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5.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trlProps/ctrlProp4.xml" ContentType="application/vnd.ms-excel.controlproperties+xml"/>
  <Override PartName="/xl/drawings/drawing22.xml" ContentType="application/vnd.openxmlformats-officedocument.drawing+xml"/>
  <Override PartName="/xl/ctrlProps/ctrlProp5.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ctrlProps/ctrlProp6.xml" ContentType="application/vnd.ms-excel.controlproperti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026" codeName="{AE6600E7-7A62-396C-DE95-9942FA9DD81E}"/>
  <workbookPr showInkAnnotation="0" codeName="ThisWorkbook"/>
  <mc:AlternateContent xmlns:mc="http://schemas.openxmlformats.org/markup-compatibility/2006">
    <mc:Choice Requires="x15">
      <x15ac:absPath xmlns:x15ac="http://schemas.microsoft.com/office/spreadsheetml/2010/11/ac" url="D:\DOSSIERS  JMK\Dropbox\Dropbox\UNSS Logiciel\2023\ARC\"/>
    </mc:Choice>
  </mc:AlternateContent>
  <xr:revisionPtr revIDLastSave="0" documentId="13_ncr:1_{68E43830-D1F1-4B28-8C79-9C7C7C9495A8}" xr6:coauthVersionLast="47" xr6:coauthVersionMax="47" xr10:uidLastSave="{00000000-0000-0000-0000-000000000000}"/>
  <bookViews>
    <workbookView xWindow="-120" yWindow="-120" windowWidth="29040" windowHeight="15720" tabRatio="868" xr2:uid="{00000000-000D-0000-FFFF-FFFF00000000}"/>
  </bookViews>
  <sheets>
    <sheet name="Menu" sheetId="38" r:id="rId1"/>
    <sheet name="Paramétres" sheetId="29" r:id="rId2"/>
    <sheet name="Import Internet" sheetId="11" r:id="rId3"/>
    <sheet name="Listing" sheetId="7" r:id="rId4"/>
    <sheet name="Etiquettes" sheetId="28" r:id="rId5"/>
    <sheet name="Engagements" sheetId="10" r:id="rId6"/>
    <sheet name="DUELS" sheetId="352" r:id="rId7"/>
    <sheet name="Fiches Qualif" sheetId="22" r:id="rId8"/>
    <sheet name="Saisie Qualif" sheetId="6" r:id="rId9"/>
    <sheet name="Qualif" sheetId="21" r:id="rId10"/>
    <sheet name="Etab" sheetId="13" r:id="rId11"/>
    <sheet name="affQualif" sheetId="16" state="hidden" r:id="rId12"/>
    <sheet name="Phase_Finale Pair" sheetId="12" state="hidden" r:id="rId13"/>
    <sheet name="Phase_Finale Impair" sheetId="31" state="hidden" r:id="rId14"/>
    <sheet name="Classement Pair" sheetId="4" state="hidden" r:id="rId15"/>
    <sheet name="Res. Indiv" sheetId="155" state="hidden" r:id="rId16"/>
    <sheet name="Fiche cible Ql" sheetId="33" state="hidden" r:id="rId17"/>
    <sheet name="Imp DUELS" sheetId="105" r:id="rId18"/>
    <sheet name="ciblesD2" sheetId="19" state="hidden" r:id="rId19"/>
    <sheet name="ciblesD1" sheetId="14" state="hidden" r:id="rId20"/>
    <sheet name="FicheD1" sheetId="23" state="hidden" r:id="rId21"/>
    <sheet name="FicheD2" sheetId="26" state="hidden" r:id="rId22"/>
    <sheet name="ciblesD3" sheetId="20" state="hidden" r:id="rId23"/>
    <sheet name="FicheD3" sheetId="27" state="hidden" r:id="rId24"/>
    <sheet name="Fiches Duels 1" sheetId="34" r:id="rId25"/>
    <sheet name="Imp_DUELS2018" sheetId="197" r:id="rId26"/>
    <sheet name="Imp_DUELS2023" sheetId="323" r:id="rId27"/>
    <sheet name="Feuil1" sheetId="324" state="hidden" r:id="rId28"/>
    <sheet name="FI - Qualif" sheetId="153" state="hidden" r:id="rId29"/>
    <sheet name="Qualif 3" sheetId="154" r:id="rId30"/>
    <sheet name="Qualif2018" sheetId="196" r:id="rId31"/>
    <sheet name="Barèmes" sheetId="3" r:id="rId32"/>
    <sheet name="OUTILS" sheetId="37" r:id="rId33"/>
    <sheet name="Tables" sheetId="32" state="hidden" r:id="rId34"/>
    <sheet name="Fiches Duels  2" sheetId="35" r:id="rId35"/>
    <sheet name="Fiches Duels 3" sheetId="36" r:id="rId36"/>
    <sheet name="Imp_aff_Qual" sheetId="39" state="hidden" r:id="rId37"/>
    <sheet name="Imp. Qualif." sheetId="5" r:id="rId38"/>
    <sheet name="2 Equipes" sheetId="327" state="hidden" r:id="rId39"/>
    <sheet name="3 Equipes" sheetId="86" state="hidden" r:id="rId40"/>
    <sheet name="4 Equipes" sheetId="85" state="hidden" r:id="rId41"/>
    <sheet name="5 Equipes" sheetId="84" state="hidden" r:id="rId42"/>
    <sheet name="6 Equipes" sheetId="82" state="hidden" r:id="rId43"/>
    <sheet name="7 Equipes" sheetId="266" state="hidden" r:id="rId44"/>
    <sheet name="8 Equipes" sheetId="80" state="hidden" r:id="rId45"/>
    <sheet name="9 Equipes" sheetId="79" state="hidden" r:id="rId46"/>
    <sheet name="10 Equipes" sheetId="78" state="hidden" r:id="rId47"/>
    <sheet name="11 Equipes" sheetId="77" state="hidden" r:id="rId48"/>
    <sheet name="12 Equipes" sheetId="76" state="hidden" r:id="rId49"/>
    <sheet name="13 Equipes" sheetId="75" state="hidden" r:id="rId50"/>
    <sheet name="14 Equipes" sheetId="74" state="hidden" r:id="rId51"/>
    <sheet name="15 Equipes" sheetId="272" state="hidden" r:id="rId52"/>
    <sheet name="16 Equipes" sheetId="72" state="hidden" r:id="rId53"/>
    <sheet name="17 Equipes" sheetId="71" state="hidden" r:id="rId54"/>
    <sheet name="18 Equipes" sheetId="70" state="hidden" r:id="rId55"/>
    <sheet name="19 Equipes" sheetId="273" state="hidden" r:id="rId56"/>
    <sheet name="20 Equipes" sheetId="221" state="hidden" r:id="rId57"/>
    <sheet name="21 Equipes" sheetId="328" state="hidden" r:id="rId58"/>
    <sheet name="22 Equipes" sheetId="331" state="hidden" r:id="rId59"/>
    <sheet name="23 Equipes" sheetId="332" state="hidden" r:id="rId60"/>
    <sheet name="24 Equipes" sheetId="333" state="hidden" r:id="rId61"/>
    <sheet name="Podium" sheetId="146" r:id="rId62"/>
    <sheet name="F Engagement" sheetId="182" r:id="rId63"/>
  </sheets>
  <definedNames>
    <definedName name="_xlnm._FilterDatabase" localSheetId="2" hidden="1">'Import Internet'!$Q$1:$Q$707</definedName>
    <definedName name="Acad_duel" localSheetId="21">OFFSET(FicheD2!$AE$122,,,NB_EQUIPES,2)</definedName>
    <definedName name="Acad_duel" localSheetId="23">OFFSET(FicheD3!$AE$122,,,NB_EQUIPES,2)</definedName>
    <definedName name="Acad_duel">OFFSET(FicheD1!$AE$122,,,NB_EQUIPES,2)</definedName>
    <definedName name="académie">OFFSET('Fiches Qualif'!$AZ$33,,,NB_PARTICIPANTS+4,2)</definedName>
    <definedName name="Barèmecatégorie">Barèmes!$B$6:$C$20</definedName>
    <definedName name="barèmecible">Barèmes!$E$6:$F$20</definedName>
    <definedName name="BASE_ETAB">OFFSET(Etab!$A$3,,,NB_EQUIPES,4)</definedName>
    <definedName name="BASE_IMPAIR_11">'Phase_Finale Impair'!$CP$8:$CY$44</definedName>
    <definedName name="BASE_IMPAIR_13">'Phase_Finale Impair'!$CC$8:$CL$50</definedName>
    <definedName name="BASE_IMPAIR_15">'Phase_Finale Impair'!$BP$8:$BY$56</definedName>
    <definedName name="BASE_IMPAIR_17">'Phase_Finale Impair'!$BC$8:$BL$62</definedName>
    <definedName name="BASE_IMPAIR_19">'Phase_Finale Impair'!$AP$8:$AY$68</definedName>
    <definedName name="BASE_IMPAIR_21">'Phase_Finale Impair'!$AC$8:$AL$74</definedName>
    <definedName name="BASE_IMPAIR_5">'Phase_Finale Impair'!$EC$8:$EL$26</definedName>
    <definedName name="BASE_IMPAIR_7">'Phase_Finale Impair'!$DP$8:$DY$32</definedName>
    <definedName name="BASE_IMPAIR_9">'Phase_Finale Impair'!$DC$8:$DL$38</definedName>
    <definedName name="BASE_PAIR_10">'Phase_Finale Pair'!$DD$8:$DM$41</definedName>
    <definedName name="BASE_PAIR_12">'Phase_Finale Pair'!$CQ$8:$CZ$47</definedName>
    <definedName name="BASE_PAIR_14">'Phase_Finale Pair'!$CD$8:$CM$53</definedName>
    <definedName name="BASE_PAIR_16">'Phase_Finale Pair'!$BQ$8:$BZ$59</definedName>
    <definedName name="BASE_PAIR_18">'Phase_Finale Pair'!$BD$8:$BM$65</definedName>
    <definedName name="BASE_PAIR_20">'Phase_Finale Pair'!$AQ$8:$AZ$71</definedName>
    <definedName name="BASE_PAIR_22">'Phase_Finale Pair'!$AD$8:$AM$77</definedName>
    <definedName name="BASE_PAIR_6">'Phase_Finale Pair'!$ED$8:$EM$29</definedName>
    <definedName name="BASE_PAIR_8">'Phase_Finale Pair'!$DQ$8:$DZ$35</definedName>
    <definedName name="BF">'Fiches Qualif'!$AO$34:$AP$45</definedName>
    <definedName name="blason">OFFSET('Fiches Qualif'!$BL$33,,,NB_PARTICIPANTS+4,2)</definedName>
    <definedName name="CATEG">Paramétres!$B$7</definedName>
    <definedName name="CATEG_IMPORTEE">'Import Internet'!$F$1</definedName>
    <definedName name="catégorie">OFFSET('Fiches Qualif'!$BJ$33,,,NB_PARTICIPANTS+4,2)</definedName>
    <definedName name="Championnat">Paramétres!$E$1</definedName>
    <definedName name="Classement_Qualifs">OFFSET('Saisie Qualif'!$S$9,,,NB_EQUIPES,5)</definedName>
    <definedName name="classementéquipe">OFFSET('Saisie Qualif'!$V$9,,,NB_EQUIPES,1)</definedName>
    <definedName name="classementequipeacad">OFFSET('Saisie Qualif'!$V$9,,,NB_EQUIPES,1)</definedName>
    <definedName name="classementindividuel" localSheetId="56">OFFSET('Saisie Qualif'!#REF!,,,[0]!NB_PARTICIPANTS,1)</definedName>
    <definedName name="CLT_FINAL" localSheetId="13">'Phase_Finale Impair'!$C$2:$N$59</definedName>
    <definedName name="CLT_FINAL">OFFSET('Phase_Finale Pair'!$C$2,,,NB_PARTICIPANTS+6,12)</definedName>
    <definedName name="Copie_engagement_pour_tri">OFFSET(Engagements!$B$6,,,NB_PARTICIPANTS-1,10)</definedName>
    <definedName name="DATE">Paramétres!$B$6</definedName>
    <definedName name="date_de_naissance">OFFSET('Fiches Qualif'!$BF$33,,,NB_PARTICIPANTS+4,2)</definedName>
    <definedName name="Etab_duel" localSheetId="21">OFFSET(FicheD2!$AB$122,,,NB_EQUIPES+1,2)</definedName>
    <definedName name="Etab_duel" localSheetId="23">OFFSET(FicheD3!$AB$122,,,NB_EQUIPES+1,2)</definedName>
    <definedName name="Etab_duel">OFFSET(FicheD1!$AB$123,,,NB_EQUIPES+1,2)</definedName>
    <definedName name="établissement">OFFSET('Fiches Qualif'!$AV$33,,,NB_PARTICIPANTS+4,2)</definedName>
    <definedName name="etiquettes">OFFSET(Etiquettes!$C$1,,,NB_EQUIPES+1,3)</definedName>
    <definedName name="ID_archer_cible" comment="affectation de l'archer sur la cible de qualification pour feuille de marque">Tables!$A$3:$K$98</definedName>
    <definedName name="IMP_DUEL">'Fiches Qualif'!$A$1:$AT$31</definedName>
    <definedName name="Info_D1">Paramétres!$B$19</definedName>
    <definedName name="Info_D2">Paramétres!$B$20</definedName>
    <definedName name="Info_D3">Paramétres!$B$21</definedName>
    <definedName name="Info_Engagement">Paramétres!$B$23</definedName>
    <definedName name="Info_TirQ">Paramétres!$B$18</definedName>
    <definedName name="LIEU">Paramétres!$B$5</definedName>
    <definedName name="LISTE_CATEGORIE">Paramétres!$Q$4:$Q$9</definedName>
    <definedName name="LISTING_BLANC">Listing!$B$6:$J$101</definedName>
    <definedName name="n_licence">OFFSET('Fiches Qualif'!$BH$33,,,NB_PARTICIPANTS+4,2)</definedName>
    <definedName name="N°LicPRO">'Import Internet'!$FK$2:$FN$342</definedName>
    <definedName name="NB_EQUIPES">Paramétres!$B$9</definedName>
    <definedName name="Nb_equipiers">Paramétres!$B$10</definedName>
    <definedName name="NB_PARTICIPANTS">Paramétres!$B$11</definedName>
    <definedName name="Niveau">Paramétres!$B$4</definedName>
    <definedName name="nom">OFFSET('Fiches Qualif'!$BB$33,,,NB_PARTICIPANTS+4,2)</definedName>
    <definedName name="NOMBRE_EQUIPES">Paramétres!$S$4:$S$26</definedName>
    <definedName name="Num_AS" comment="correspondance N° AS et Etab">Tables!$AP$3:$BS$27</definedName>
    <definedName name="Num_Cible">Paramétres!$G$3</definedName>
    <definedName name="prénom">OFFSET('Fiches Qualif'!$BD$33,,,NB_PARTICIPANTS+4,2)</definedName>
    <definedName name="PRO_Rang">Podium!$AI$11:$AJ$35</definedName>
    <definedName name="PTS_SP">'Imp. Qualif.'!$Q$10:$S$34</definedName>
    <definedName name="REPERE">OFFSET(Etab!$J$3,,,NB_EQUIPES,2)</definedName>
    <definedName name="SENIOR1">Barèmes!$B$10</definedName>
    <definedName name="Tab_etab_ville">Tables!$AO$2:$AP$26</definedName>
    <definedName name="Table_acad">'Import Internet'!$FF$2:$FG$34</definedName>
    <definedName name="Table_Podium">Tables!$AO$2:$BT$26</definedName>
    <definedName name="taille_cibles">OFFSET(Etab!$F$1,,,NB_EQUIPES+2,2)</definedName>
    <definedName name="TBL_equipe" comment="Table des équipes pour feuilles des duels">Tables!$M$3:$AN$24</definedName>
    <definedName name="ville">OFFSET('Fiches Qualif'!$AX$33,,,NB_PARTICIPANTS+4,2)</definedName>
    <definedName name="_xlnm.Print_Area" localSheetId="48">'12 Equipes'!$K$1:$AA$86</definedName>
    <definedName name="_xlnm.Print_Area" localSheetId="49">'13 Equipes'!$K$1:$AA$86</definedName>
    <definedName name="_xlnm.Print_Area" localSheetId="51">'15 Equipes'!$K$1:$AA$86</definedName>
    <definedName name="_xlnm.Print_Area" localSheetId="53">'17 Equipes'!$K$1:$AA$86</definedName>
    <definedName name="_xlnm.Print_Area" localSheetId="54">'18 Equipes'!$K$1:$AA$86</definedName>
    <definedName name="_xlnm.Print_Area" localSheetId="55">'19 Equipes'!$K$1:$AA$86</definedName>
    <definedName name="_xlnm.Print_Area" localSheetId="56">'20 Equipes'!$AF$1:$AJ$30</definedName>
    <definedName name="_xlnm.Print_Area" localSheetId="60">'24 Equipes'!$J$1:$Z$86</definedName>
    <definedName name="_xlnm.Print_Area" localSheetId="39">'3 Equipes'!$J$1:$Z$86</definedName>
    <definedName name="_xlnm.Print_Area" localSheetId="40">'4 Equipes'!$K$1:$AA$86</definedName>
    <definedName name="_xlnm.Print_Area" localSheetId="41">'5 Equipes'!$K$1:$AA$86</definedName>
    <definedName name="_xlnm.Print_Area" localSheetId="43">'7 Equipes'!$K$1:$AA$86</definedName>
    <definedName name="_xlnm.Print_Area" localSheetId="11">affQualif!$A$2:$E$29</definedName>
    <definedName name="_xlnm.Print_Area" localSheetId="31">Barèmes!$B$1:$H$29</definedName>
    <definedName name="_xlnm.Print_Area" localSheetId="19">ciblesD1!$A$2:$G$39</definedName>
    <definedName name="_xlnm.Print_Area" localSheetId="18">ciblesD2!$A$2:$G$39</definedName>
    <definedName name="_xlnm.Print_Area" localSheetId="22">ciblesD3!$A$2:$G$39</definedName>
    <definedName name="_xlnm.Print_Area" localSheetId="14">'Classement Pair'!$F$1:$Q$45</definedName>
    <definedName name="_xlnm.Print_Area" localSheetId="5">Engagements!$N$5:$X$93</definedName>
    <definedName name="_xlnm.Print_Area" localSheetId="4">Etiquettes!$A$1:$L$13</definedName>
    <definedName name="_xlnm.Print_Area" localSheetId="62">'F Engagement'!$A$1:$AK$768</definedName>
    <definedName name="_xlnm.Print_Area" localSheetId="20">FicheD1!$A$2:$Y$28</definedName>
    <definedName name="_xlnm.Print_Area" localSheetId="21">FicheD2!$A$2:$Y$28</definedName>
    <definedName name="_xlnm.Print_Area" localSheetId="23">FicheD3!$A$2:$Y$28</definedName>
    <definedName name="_xlnm.Print_Area" localSheetId="24">'Fiches Duels 1'!$A$1:$Y$696</definedName>
    <definedName name="_xlnm.Print_Area" localSheetId="35">'Fiches Duels 3'!$A$1:$Z$637</definedName>
    <definedName name="_xlnm.Print_Area" localSheetId="7">'Fiches Qualif'!$A$1:$AT$32</definedName>
    <definedName name="_xlnm.Print_Area" localSheetId="17">'Imp DUELS'!$A$2:$F$42</definedName>
    <definedName name="_xlnm.Print_Area" localSheetId="37">'Imp. Qualif.'!$K$1:$R$36</definedName>
    <definedName name="_xlnm.Print_Area" localSheetId="36">Imp_aff_Qual!$A$1:$L$100</definedName>
    <definedName name="_xlnm.Print_Area" localSheetId="25">Imp_DUELS2018!$A$1:$S$744</definedName>
    <definedName name="_xlnm.Print_Area" localSheetId="26">Imp_DUELS2023!$A$31:$AE$726</definedName>
    <definedName name="_xlnm.Print_Area" localSheetId="3">Listing!$A$2:$K$53</definedName>
    <definedName name="_xlnm.Print_Area" localSheetId="13">'Phase_Finale Impair'!$C$1:$N$66</definedName>
    <definedName name="_xlnm.Print_Area" localSheetId="12">'Phase_Finale Pair'!$C$1:$N$72</definedName>
    <definedName name="_xlnm.Print_Area" localSheetId="9">Qualif!$A$1:$H$29</definedName>
    <definedName name="_xlnm.Print_Area" localSheetId="29">'Qualif 3'!$A$1:$AA$791</definedName>
    <definedName name="_xlnm.Print_Area" localSheetId="30">Qualif2018!$A$1:$W$721</definedName>
    <definedName name="_xlnm.Print_Area" localSheetId="15">'Res. Indiv'!$A$1:$M$102</definedName>
    <definedName name="_xlnm.Print_Area" localSheetId="8">'Saisie Qualif'!$A$1:$N$102</definedName>
    <definedName name="_xlnm.Print_Area" localSheetId="33">Tables!$M$1:$P$28</definedName>
    <definedName name="ZONE_ETAB">OFFSET(Etab!$B$3,,,NB_EQUIPES,2)</definedName>
    <definedName name="ZONE_INTERNET">'Import Internet'!$B$2:$FB$340</definedName>
    <definedName name="ZONE_Liste_Etiquettes" localSheetId="4">OFFSET(Etiquettes!$C$2,,,NB_EQUIPES,10)</definedName>
    <definedName name="ZONE_Liste_Listing">OFFSET(Listing!$B$6,,,NB_PARTICIPANTS,2)</definedName>
  </definedNames>
  <calcPr calcId="191029" concurrentCalc="0"/>
  <webPublishObjects count="1">
    <webPublishObject id="30868" divId="Equipes_COLLEGE_résultats_Ac_Amiens_30868" sourceObject="CLT_FINAL" destinationFile="E:\A_DNA\Activités DNA\TIR à l'ARC\CF_Noyon_06\Page.htm"/>
  </webPublishObject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60" i="352" l="1"/>
  <c r="N60" i="352"/>
  <c r="M60" i="352"/>
  <c r="L60" i="352"/>
  <c r="O58" i="352"/>
  <c r="N58" i="352"/>
  <c r="M58" i="352"/>
  <c r="L58" i="352"/>
  <c r="J28" i="352"/>
  <c r="I28" i="352"/>
  <c r="H28" i="352"/>
  <c r="G28" i="352"/>
  <c r="J27" i="352"/>
  <c r="I27" i="352"/>
  <c r="H27" i="352"/>
  <c r="G27" i="352"/>
  <c r="J26" i="352"/>
  <c r="I26" i="352"/>
  <c r="H26" i="352"/>
  <c r="G26" i="352"/>
  <c r="J25" i="352"/>
  <c r="I25" i="352"/>
  <c r="H25" i="352"/>
  <c r="G25" i="352"/>
  <c r="J24" i="352"/>
  <c r="I24" i="352"/>
  <c r="H24" i="352"/>
  <c r="G24" i="352"/>
  <c r="J23" i="352"/>
  <c r="I23" i="352"/>
  <c r="H23" i="352"/>
  <c r="G23" i="352"/>
  <c r="J22" i="352"/>
  <c r="I22" i="352"/>
  <c r="H22" i="352"/>
  <c r="G22" i="352"/>
  <c r="J21" i="352"/>
  <c r="I21" i="352"/>
  <c r="H21" i="352"/>
  <c r="G21" i="352"/>
  <c r="J20" i="352"/>
  <c r="I20" i="352"/>
  <c r="H20" i="352"/>
  <c r="G20" i="352"/>
  <c r="J19" i="352"/>
  <c r="I19" i="352"/>
  <c r="H19" i="352"/>
  <c r="G19" i="352"/>
  <c r="J18" i="352"/>
  <c r="I18" i="352"/>
  <c r="H18" i="352"/>
  <c r="G18" i="352"/>
  <c r="B6" i="352"/>
  <c r="C6" i="352"/>
  <c r="G6" i="352"/>
  <c r="L13" i="352"/>
  <c r="X17" i="352"/>
  <c r="B5" i="352"/>
  <c r="C5" i="352"/>
  <c r="G5" i="352"/>
  <c r="I5" i="352"/>
  <c r="Y17" i="352"/>
  <c r="L11" i="352"/>
  <c r="R17" i="352"/>
  <c r="S17" i="352"/>
  <c r="J17" i="352"/>
  <c r="I17" i="352"/>
  <c r="H17" i="352"/>
  <c r="G17" i="352"/>
  <c r="Z16" i="352"/>
  <c r="H5" i="352"/>
  <c r="Y16" i="352"/>
  <c r="T16" i="352"/>
  <c r="S16" i="352"/>
  <c r="J16" i="352"/>
  <c r="I16" i="352"/>
  <c r="H16" i="352"/>
  <c r="G16" i="352"/>
  <c r="S15" i="352"/>
  <c r="R15" i="352"/>
  <c r="Q15" i="352"/>
  <c r="P15" i="352"/>
  <c r="J15" i="352"/>
  <c r="I15" i="352"/>
  <c r="H15" i="352"/>
  <c r="G15" i="352"/>
  <c r="D14" i="352"/>
  <c r="J14" i="352"/>
  <c r="C14" i="352"/>
  <c r="I14" i="352"/>
  <c r="B14" i="352"/>
  <c r="H14" i="352"/>
  <c r="G14" i="352"/>
  <c r="E14" i="352"/>
  <c r="R13" i="352"/>
  <c r="X13" i="352"/>
  <c r="Y13" i="352"/>
  <c r="S13" i="352"/>
  <c r="M13" i="352"/>
  <c r="D13" i="352"/>
  <c r="J13" i="352"/>
  <c r="C13" i="352"/>
  <c r="I13" i="352"/>
  <c r="B13" i="352"/>
  <c r="H13" i="352"/>
  <c r="G13" i="352"/>
  <c r="E13" i="352"/>
  <c r="Y12" i="352"/>
  <c r="K10" i="352"/>
  <c r="K12" i="352"/>
  <c r="Q12" i="352"/>
  <c r="W12" i="352"/>
  <c r="S12" i="352"/>
  <c r="M12" i="352"/>
  <c r="D12" i="352"/>
  <c r="J12" i="352"/>
  <c r="C12" i="352"/>
  <c r="I12" i="352"/>
  <c r="B12" i="352"/>
  <c r="H12" i="352"/>
  <c r="G12" i="352"/>
  <c r="E12" i="352"/>
  <c r="R11" i="352"/>
  <c r="X11" i="352"/>
  <c r="Y11" i="352"/>
  <c r="S11" i="352"/>
  <c r="M11" i="352"/>
  <c r="D11" i="352"/>
  <c r="J11" i="352"/>
  <c r="C11" i="352"/>
  <c r="I11" i="352"/>
  <c r="B11" i="352"/>
  <c r="H11" i="352"/>
  <c r="G11" i="352"/>
  <c r="E11" i="352"/>
  <c r="Y10" i="352"/>
  <c r="Q10" i="352"/>
  <c r="W10" i="352"/>
  <c r="S10" i="352"/>
  <c r="M10" i="352"/>
  <c r="D10" i="352"/>
  <c r="J10" i="352"/>
  <c r="C10" i="352"/>
  <c r="I10" i="352"/>
  <c r="B10" i="352"/>
  <c r="H10" i="352"/>
  <c r="G10" i="352"/>
  <c r="E10" i="352"/>
  <c r="D9" i="352"/>
  <c r="J9" i="352"/>
  <c r="C9" i="352"/>
  <c r="I9" i="352"/>
  <c r="B9" i="352"/>
  <c r="H9" i="352"/>
  <c r="G9" i="352"/>
  <c r="E9" i="352"/>
  <c r="AG8" i="352"/>
  <c r="D5" i="352"/>
  <c r="J5" i="352"/>
  <c r="AJ8" i="352"/>
  <c r="AI8" i="352"/>
  <c r="AH8" i="352"/>
  <c r="D8" i="352"/>
  <c r="J8" i="352"/>
  <c r="C8" i="352"/>
  <c r="I8" i="352"/>
  <c r="B8" i="352"/>
  <c r="H8" i="352"/>
  <c r="G8" i="352"/>
  <c r="E8" i="352"/>
  <c r="AT7" i="352"/>
  <c r="AX7" i="352"/>
  <c r="AS7" i="352"/>
  <c r="AW7" i="352"/>
  <c r="AR7" i="352"/>
  <c r="AV7" i="352"/>
  <c r="AO7" i="352"/>
  <c r="AN7" i="352"/>
  <c r="AG7" i="352"/>
  <c r="AJ7" i="352"/>
  <c r="AI7" i="352"/>
  <c r="AH7" i="352"/>
  <c r="D7" i="352"/>
  <c r="J7" i="352"/>
  <c r="C7" i="352"/>
  <c r="I7" i="352"/>
  <c r="B7" i="352"/>
  <c r="H7" i="352"/>
  <c r="G7" i="352"/>
  <c r="E7" i="352"/>
  <c r="AT6" i="352"/>
  <c r="AX6" i="352"/>
  <c r="AS6" i="352"/>
  <c r="AW6" i="352"/>
  <c r="AR6" i="352"/>
  <c r="AV6" i="352"/>
  <c r="AP6" i="352"/>
  <c r="AO6" i="352"/>
  <c r="AN6" i="352"/>
  <c r="D6" i="352"/>
  <c r="J6" i="352"/>
  <c r="I6" i="352"/>
  <c r="H6" i="352"/>
  <c r="E6" i="352"/>
  <c r="E5" i="352"/>
  <c r="AF3" i="352"/>
  <c r="N3" i="352"/>
  <c r="F1" i="11"/>
  <c r="AF2" i="352"/>
  <c r="K2" i="352"/>
  <c r="AF1" i="352"/>
  <c r="K1" i="352"/>
  <c r="O85" i="70"/>
  <c r="N85" i="70"/>
  <c r="M85" i="70"/>
  <c r="L85" i="70"/>
  <c r="Z72" i="70"/>
  <c r="N83" i="70"/>
  <c r="O83" i="70"/>
  <c r="M83" i="70"/>
  <c r="L83" i="70"/>
  <c r="T72" i="70"/>
  <c r="X87" i="333"/>
  <c r="B5" i="333"/>
  <c r="C5" i="333"/>
  <c r="G5" i="333"/>
  <c r="B6" i="333"/>
  <c r="C6" i="333"/>
  <c r="G6" i="333"/>
  <c r="B7" i="333"/>
  <c r="C7" i="333"/>
  <c r="G7" i="333"/>
  <c r="H5" i="333"/>
  <c r="I5" i="333"/>
  <c r="D5" i="333"/>
  <c r="J5" i="333"/>
  <c r="H6" i="333"/>
  <c r="I6" i="333"/>
  <c r="D6" i="333"/>
  <c r="J6" i="333"/>
  <c r="H7" i="333"/>
  <c r="I7" i="333"/>
  <c r="D7" i="333"/>
  <c r="J7" i="333"/>
  <c r="B8" i="333"/>
  <c r="C8" i="333"/>
  <c r="G8" i="333"/>
  <c r="H8" i="333"/>
  <c r="I8" i="333"/>
  <c r="D8" i="333"/>
  <c r="J8" i="333"/>
  <c r="B9" i="333"/>
  <c r="C9" i="333"/>
  <c r="G9" i="333"/>
  <c r="H9" i="333"/>
  <c r="I9" i="333"/>
  <c r="D9" i="333"/>
  <c r="J9" i="333"/>
  <c r="B10" i="333"/>
  <c r="C10" i="333"/>
  <c r="G10" i="333"/>
  <c r="H10" i="333"/>
  <c r="I10" i="333"/>
  <c r="D10" i="333"/>
  <c r="J10" i="333"/>
  <c r="B11" i="333"/>
  <c r="C11" i="333"/>
  <c r="G11" i="333"/>
  <c r="H11" i="333"/>
  <c r="I11" i="333"/>
  <c r="D11" i="333"/>
  <c r="J11" i="333"/>
  <c r="B12" i="333"/>
  <c r="C12" i="333"/>
  <c r="G12" i="333"/>
  <c r="H12" i="333"/>
  <c r="I12" i="333"/>
  <c r="D12" i="333"/>
  <c r="J12" i="333"/>
  <c r="B13" i="333"/>
  <c r="C13" i="333"/>
  <c r="G13" i="333"/>
  <c r="H13" i="333"/>
  <c r="I13" i="333"/>
  <c r="D13" i="333"/>
  <c r="J13" i="333"/>
  <c r="B14" i="333"/>
  <c r="C14" i="333"/>
  <c r="G14" i="333"/>
  <c r="H14" i="333"/>
  <c r="I14" i="333"/>
  <c r="D14" i="333"/>
  <c r="J14" i="333"/>
  <c r="B15" i="333"/>
  <c r="C15" i="333"/>
  <c r="G15" i="333"/>
  <c r="H15" i="333"/>
  <c r="I15" i="333"/>
  <c r="D15" i="333"/>
  <c r="J15" i="333"/>
  <c r="B16" i="333"/>
  <c r="C16" i="333"/>
  <c r="G16" i="333"/>
  <c r="H16" i="333"/>
  <c r="I16" i="333"/>
  <c r="D16" i="333"/>
  <c r="J16" i="333"/>
  <c r="B17" i="333"/>
  <c r="C17" i="333"/>
  <c r="G17" i="333"/>
  <c r="H17" i="333"/>
  <c r="I17" i="333"/>
  <c r="D17" i="333"/>
  <c r="J17" i="333"/>
  <c r="B18" i="333"/>
  <c r="C18" i="333"/>
  <c r="G18" i="333"/>
  <c r="H18" i="333"/>
  <c r="I18" i="333"/>
  <c r="D18" i="333"/>
  <c r="J18" i="333"/>
  <c r="B19" i="333"/>
  <c r="C19" i="333"/>
  <c r="G19" i="333"/>
  <c r="H19" i="333"/>
  <c r="I19" i="333"/>
  <c r="D19" i="333"/>
  <c r="J19" i="333"/>
  <c r="B20" i="333"/>
  <c r="C20" i="333"/>
  <c r="G20" i="333"/>
  <c r="H20" i="333"/>
  <c r="I20" i="333"/>
  <c r="D20" i="333"/>
  <c r="J20" i="333"/>
  <c r="B21" i="333"/>
  <c r="C21" i="333"/>
  <c r="G21" i="333"/>
  <c r="H21" i="333"/>
  <c r="I21" i="333"/>
  <c r="D21" i="333"/>
  <c r="J21" i="333"/>
  <c r="B22" i="333"/>
  <c r="C22" i="333"/>
  <c r="G22" i="333"/>
  <c r="H22" i="333"/>
  <c r="I22" i="333"/>
  <c r="D22" i="333"/>
  <c r="J22" i="333"/>
  <c r="B23" i="333"/>
  <c r="C23" i="333"/>
  <c r="G23" i="333"/>
  <c r="H23" i="333"/>
  <c r="I23" i="333"/>
  <c r="D23" i="333"/>
  <c r="J23" i="333"/>
  <c r="B24" i="333"/>
  <c r="C24" i="333"/>
  <c r="G24" i="333"/>
  <c r="H24" i="333"/>
  <c r="I24" i="333"/>
  <c r="D24" i="333"/>
  <c r="J24" i="333"/>
  <c r="B25" i="333"/>
  <c r="C25" i="333"/>
  <c r="G25" i="333"/>
  <c r="H25" i="333"/>
  <c r="I25" i="333"/>
  <c r="D25" i="333"/>
  <c r="J25" i="333"/>
  <c r="B26" i="333"/>
  <c r="C26" i="333"/>
  <c r="G26" i="333"/>
  <c r="H26" i="333"/>
  <c r="I26" i="333"/>
  <c r="D26" i="333"/>
  <c r="J26" i="333"/>
  <c r="B27" i="333"/>
  <c r="C27" i="333"/>
  <c r="G27" i="333"/>
  <c r="H27" i="333"/>
  <c r="I27" i="333"/>
  <c r="D27" i="333"/>
  <c r="J27" i="333"/>
  <c r="B28" i="333"/>
  <c r="C28" i="333"/>
  <c r="G28" i="333"/>
  <c r="H28" i="333"/>
  <c r="I28" i="333"/>
  <c r="D28" i="333"/>
  <c r="J28" i="333"/>
  <c r="Y87" i="333"/>
  <c r="Y86" i="333"/>
  <c r="K7" i="333"/>
  <c r="K9" i="333"/>
  <c r="K14" i="333"/>
  <c r="K16" i="333"/>
  <c r="K21" i="333"/>
  <c r="K23" i="333"/>
  <c r="K28" i="333"/>
  <c r="K30" i="333"/>
  <c r="K35" i="333"/>
  <c r="K37" i="333"/>
  <c r="K42" i="333"/>
  <c r="K44" i="333"/>
  <c r="K49" i="333"/>
  <c r="K51" i="333"/>
  <c r="K56" i="333"/>
  <c r="K58" i="333"/>
  <c r="K63" i="333"/>
  <c r="Q63" i="333"/>
  <c r="W63" i="333"/>
  <c r="W65" i="333"/>
  <c r="W70" i="333"/>
  <c r="W72" i="333"/>
  <c r="W77" i="333"/>
  <c r="W79" i="333"/>
  <c r="W84" i="333"/>
  <c r="W86" i="333"/>
  <c r="X85" i="333"/>
  <c r="Y85" i="333"/>
  <c r="Y84" i="333"/>
  <c r="X80" i="333"/>
  <c r="Y80" i="333"/>
  <c r="Y79" i="333"/>
  <c r="X78" i="333"/>
  <c r="Y78" i="333"/>
  <c r="Y77" i="333"/>
  <c r="X73" i="333"/>
  <c r="Y73" i="333"/>
  <c r="Y72" i="333"/>
  <c r="X71" i="333"/>
  <c r="Y71" i="333"/>
  <c r="Y70" i="333"/>
  <c r="X66" i="333"/>
  <c r="Y66" i="333"/>
  <c r="Y65" i="333"/>
  <c r="X64" i="333"/>
  <c r="Y64" i="333"/>
  <c r="Y63" i="333"/>
  <c r="R87" i="333"/>
  <c r="S87" i="333"/>
  <c r="S86" i="333"/>
  <c r="Q65" i="333"/>
  <c r="Q70" i="333"/>
  <c r="Q72" i="333"/>
  <c r="Q77" i="333"/>
  <c r="Q79" i="333"/>
  <c r="Q84" i="333"/>
  <c r="Q86" i="333"/>
  <c r="R85" i="333"/>
  <c r="S85" i="333"/>
  <c r="S84" i="333"/>
  <c r="R80" i="333"/>
  <c r="S80" i="333"/>
  <c r="S79" i="333"/>
  <c r="R78" i="333"/>
  <c r="S78" i="333"/>
  <c r="S77" i="333"/>
  <c r="R73" i="333"/>
  <c r="S73" i="333"/>
  <c r="S72" i="333"/>
  <c r="R71" i="333"/>
  <c r="S71" i="333"/>
  <c r="S70" i="333"/>
  <c r="R66" i="333"/>
  <c r="S66" i="333"/>
  <c r="S65" i="333"/>
  <c r="R64" i="333"/>
  <c r="S64" i="333"/>
  <c r="S63" i="333"/>
  <c r="R59" i="333"/>
  <c r="S59" i="333"/>
  <c r="S58" i="333"/>
  <c r="Q35" i="333"/>
  <c r="Q37" i="333"/>
  <c r="Q42" i="333"/>
  <c r="Q44" i="333"/>
  <c r="Q49" i="333"/>
  <c r="Q51" i="333"/>
  <c r="Q56" i="333"/>
  <c r="Q58" i="333"/>
  <c r="R57" i="333"/>
  <c r="S57" i="333"/>
  <c r="S56" i="333"/>
  <c r="R52" i="333"/>
  <c r="S52" i="333"/>
  <c r="S51" i="333"/>
  <c r="R50" i="333"/>
  <c r="S50" i="333"/>
  <c r="S49" i="333"/>
  <c r="R45" i="333"/>
  <c r="S45" i="333"/>
  <c r="S44" i="333"/>
  <c r="R43" i="333"/>
  <c r="S43" i="333"/>
  <c r="S42" i="333"/>
  <c r="R38" i="333"/>
  <c r="S38" i="333"/>
  <c r="S37" i="333"/>
  <c r="R36" i="333"/>
  <c r="S36" i="333"/>
  <c r="S35" i="333"/>
  <c r="X59" i="333"/>
  <c r="Y59" i="333"/>
  <c r="Y58" i="333"/>
  <c r="W35" i="333"/>
  <c r="W37" i="333"/>
  <c r="W42" i="333"/>
  <c r="W44" i="333"/>
  <c r="W49" i="333"/>
  <c r="W51" i="333"/>
  <c r="W56" i="333"/>
  <c r="W58" i="333"/>
  <c r="X57" i="333"/>
  <c r="Y57" i="333"/>
  <c r="Y56" i="333"/>
  <c r="X52" i="333"/>
  <c r="Y52" i="333"/>
  <c r="Y51" i="333"/>
  <c r="X50" i="333"/>
  <c r="Y50" i="333"/>
  <c r="Y49" i="333"/>
  <c r="X45" i="333"/>
  <c r="Y45" i="333"/>
  <c r="Y44" i="333"/>
  <c r="X43" i="333"/>
  <c r="Y43" i="333"/>
  <c r="Y42" i="333"/>
  <c r="X38" i="333"/>
  <c r="Y38" i="333"/>
  <c r="Y37" i="333"/>
  <c r="X36" i="333"/>
  <c r="Y36" i="333"/>
  <c r="Y35" i="333"/>
  <c r="X84" i="332"/>
  <c r="B5" i="332"/>
  <c r="C5" i="332"/>
  <c r="G5" i="332"/>
  <c r="B6" i="332"/>
  <c r="C6" i="332"/>
  <c r="G6" i="332"/>
  <c r="B7" i="332"/>
  <c r="C7" i="332"/>
  <c r="G7" i="332"/>
  <c r="H5" i="332"/>
  <c r="I5" i="332"/>
  <c r="D5" i="332"/>
  <c r="J5" i="332"/>
  <c r="H6" i="332"/>
  <c r="I6" i="332"/>
  <c r="D6" i="332"/>
  <c r="J6" i="332"/>
  <c r="H7" i="332"/>
  <c r="I7" i="332"/>
  <c r="D7" i="332"/>
  <c r="J7" i="332"/>
  <c r="B8" i="332"/>
  <c r="C8" i="332"/>
  <c r="G8" i="332"/>
  <c r="H8" i="332"/>
  <c r="I8" i="332"/>
  <c r="D8" i="332"/>
  <c r="J8" i="332"/>
  <c r="B9" i="332"/>
  <c r="C9" i="332"/>
  <c r="G9" i="332"/>
  <c r="H9" i="332"/>
  <c r="I9" i="332"/>
  <c r="D9" i="332"/>
  <c r="J9" i="332"/>
  <c r="B10" i="332"/>
  <c r="C10" i="332"/>
  <c r="G10" i="332"/>
  <c r="H10" i="332"/>
  <c r="I10" i="332"/>
  <c r="D10" i="332"/>
  <c r="J10" i="332"/>
  <c r="B11" i="332"/>
  <c r="C11" i="332"/>
  <c r="G11" i="332"/>
  <c r="H11" i="332"/>
  <c r="I11" i="332"/>
  <c r="D11" i="332"/>
  <c r="J11" i="332"/>
  <c r="B12" i="332"/>
  <c r="C12" i="332"/>
  <c r="G12" i="332"/>
  <c r="H12" i="332"/>
  <c r="I12" i="332"/>
  <c r="D12" i="332"/>
  <c r="J12" i="332"/>
  <c r="B13" i="332"/>
  <c r="C13" i="332"/>
  <c r="G13" i="332"/>
  <c r="H13" i="332"/>
  <c r="I13" i="332"/>
  <c r="D13" i="332"/>
  <c r="J13" i="332"/>
  <c r="B14" i="332"/>
  <c r="C14" i="332"/>
  <c r="G14" i="332"/>
  <c r="H14" i="332"/>
  <c r="I14" i="332"/>
  <c r="D14" i="332"/>
  <c r="J14" i="332"/>
  <c r="B15" i="332"/>
  <c r="C15" i="332"/>
  <c r="G15" i="332"/>
  <c r="H15" i="332"/>
  <c r="I15" i="332"/>
  <c r="D15" i="332"/>
  <c r="J15" i="332"/>
  <c r="B16" i="332"/>
  <c r="C16" i="332"/>
  <c r="G16" i="332"/>
  <c r="H16" i="332"/>
  <c r="I16" i="332"/>
  <c r="D16" i="332"/>
  <c r="J16" i="332"/>
  <c r="B17" i="332"/>
  <c r="C17" i="332"/>
  <c r="G17" i="332"/>
  <c r="H17" i="332"/>
  <c r="I17" i="332"/>
  <c r="D17" i="332"/>
  <c r="J17" i="332"/>
  <c r="B18" i="332"/>
  <c r="C18" i="332"/>
  <c r="G18" i="332"/>
  <c r="H18" i="332"/>
  <c r="I18" i="332"/>
  <c r="D18" i="332"/>
  <c r="J18" i="332"/>
  <c r="B19" i="332"/>
  <c r="C19" i="332"/>
  <c r="G19" i="332"/>
  <c r="H19" i="332"/>
  <c r="I19" i="332"/>
  <c r="D19" i="332"/>
  <c r="J19" i="332"/>
  <c r="B20" i="332"/>
  <c r="C20" i="332"/>
  <c r="G20" i="332"/>
  <c r="H20" i="332"/>
  <c r="I20" i="332"/>
  <c r="D20" i="332"/>
  <c r="J20" i="332"/>
  <c r="B21" i="332"/>
  <c r="C21" i="332"/>
  <c r="G21" i="332"/>
  <c r="H21" i="332"/>
  <c r="I21" i="332"/>
  <c r="D21" i="332"/>
  <c r="J21" i="332"/>
  <c r="B22" i="332"/>
  <c r="C22" i="332"/>
  <c r="G22" i="332"/>
  <c r="H22" i="332"/>
  <c r="I22" i="332"/>
  <c r="D22" i="332"/>
  <c r="J22" i="332"/>
  <c r="B23" i="332"/>
  <c r="C23" i="332"/>
  <c r="G23" i="332"/>
  <c r="H23" i="332"/>
  <c r="I23" i="332"/>
  <c r="D23" i="332"/>
  <c r="J23" i="332"/>
  <c r="B24" i="332"/>
  <c r="C24" i="332"/>
  <c r="G24" i="332"/>
  <c r="H24" i="332"/>
  <c r="I24" i="332"/>
  <c r="D24" i="332"/>
  <c r="J24" i="332"/>
  <c r="B25" i="332"/>
  <c r="C25" i="332"/>
  <c r="G25" i="332"/>
  <c r="H25" i="332"/>
  <c r="I25" i="332"/>
  <c r="D25" i="332"/>
  <c r="J25" i="332"/>
  <c r="B26" i="332"/>
  <c r="C26" i="332"/>
  <c r="G26" i="332"/>
  <c r="H26" i="332"/>
  <c r="I26" i="332"/>
  <c r="D26" i="332"/>
  <c r="J26" i="332"/>
  <c r="B27" i="332"/>
  <c r="C27" i="332"/>
  <c r="G27" i="332"/>
  <c r="H27" i="332"/>
  <c r="I27" i="332"/>
  <c r="D27" i="332"/>
  <c r="J27" i="332"/>
  <c r="B28" i="332"/>
  <c r="C28" i="332"/>
  <c r="G28" i="332"/>
  <c r="H28" i="332"/>
  <c r="I28" i="332"/>
  <c r="D28" i="332"/>
  <c r="J28" i="332"/>
  <c r="Y84" i="332"/>
  <c r="Z83" i="332"/>
  <c r="Y83" i="332"/>
  <c r="W63" i="332"/>
  <c r="W65" i="332"/>
  <c r="W70" i="332"/>
  <c r="W72" i="332"/>
  <c r="W77" i="332"/>
  <c r="W79" i="332"/>
  <c r="W83" i="332"/>
  <c r="X80" i="332"/>
  <c r="Y80" i="332"/>
  <c r="Y79" i="332"/>
  <c r="R77" i="332"/>
  <c r="X78" i="332"/>
  <c r="Y78" i="332"/>
  <c r="Y77" i="332"/>
  <c r="X73" i="332"/>
  <c r="Y73" i="332"/>
  <c r="Y72" i="332"/>
  <c r="X71" i="332"/>
  <c r="Y71" i="332"/>
  <c r="Y70" i="332"/>
  <c r="X66" i="332"/>
  <c r="Y66" i="332"/>
  <c r="Y65" i="332"/>
  <c r="L64" i="332"/>
  <c r="R64" i="332"/>
  <c r="X64" i="332"/>
  <c r="Y64" i="332"/>
  <c r="Y63" i="332"/>
  <c r="R84" i="332"/>
  <c r="S84" i="332"/>
  <c r="S83" i="332"/>
  <c r="K7" i="332"/>
  <c r="K9" i="332"/>
  <c r="K14" i="332"/>
  <c r="K16" i="332"/>
  <c r="K21" i="332"/>
  <c r="K23" i="332"/>
  <c r="K28" i="332"/>
  <c r="K30" i="332"/>
  <c r="K35" i="332"/>
  <c r="K37" i="332"/>
  <c r="K42" i="332"/>
  <c r="K44" i="332"/>
  <c r="K49" i="332"/>
  <c r="K51" i="332"/>
  <c r="K56" i="332"/>
  <c r="K58" i="332"/>
  <c r="K63" i="332"/>
  <c r="Q63" i="332"/>
  <c r="Q65" i="332"/>
  <c r="Q69" i="332"/>
  <c r="Q71" i="332"/>
  <c r="Q76" i="332"/>
  <c r="Q81" i="332"/>
  <c r="Q83" i="332"/>
  <c r="R82" i="332"/>
  <c r="S82" i="332"/>
  <c r="S81" i="332"/>
  <c r="S79" i="332"/>
  <c r="S78" i="332"/>
  <c r="S77" i="332"/>
  <c r="S76" i="332"/>
  <c r="R72" i="332"/>
  <c r="S72" i="332"/>
  <c r="S71" i="332"/>
  <c r="R70" i="332"/>
  <c r="S70" i="332"/>
  <c r="S69" i="332"/>
  <c r="R66" i="332"/>
  <c r="S66" i="332"/>
  <c r="S65" i="332"/>
  <c r="S64" i="332"/>
  <c r="S63" i="332"/>
  <c r="X59" i="332"/>
  <c r="Y59" i="332"/>
  <c r="Y58" i="332"/>
  <c r="Q35" i="332"/>
  <c r="W35" i="332"/>
  <c r="W37" i="332"/>
  <c r="W42" i="332"/>
  <c r="W44" i="332"/>
  <c r="W49" i="332"/>
  <c r="W51" i="332"/>
  <c r="W56" i="332"/>
  <c r="W58" i="332"/>
  <c r="X57" i="332"/>
  <c r="Y57" i="332"/>
  <c r="Y56" i="332"/>
  <c r="X52" i="332"/>
  <c r="Y52" i="332"/>
  <c r="Y51" i="332"/>
  <c r="X50" i="332"/>
  <c r="Y50" i="332"/>
  <c r="Y49" i="332"/>
  <c r="X45" i="332"/>
  <c r="Y45" i="332"/>
  <c r="Y44" i="332"/>
  <c r="X43" i="332"/>
  <c r="Y43" i="332"/>
  <c r="Y42" i="332"/>
  <c r="X38" i="332"/>
  <c r="Y38" i="332"/>
  <c r="Y37" i="332"/>
  <c r="X36" i="332"/>
  <c r="Y36" i="332"/>
  <c r="Y35" i="332"/>
  <c r="R59" i="332"/>
  <c r="S59" i="332"/>
  <c r="S58" i="332"/>
  <c r="Q37" i="332"/>
  <c r="Q42" i="332"/>
  <c r="Q44" i="332"/>
  <c r="Q49" i="332"/>
  <c r="Q51" i="332"/>
  <c r="Q56" i="332"/>
  <c r="Q58" i="332"/>
  <c r="R57" i="332"/>
  <c r="S57" i="332"/>
  <c r="S56" i="332"/>
  <c r="R52" i="332"/>
  <c r="S52" i="332"/>
  <c r="S51" i="332"/>
  <c r="R50" i="332"/>
  <c r="S50" i="332"/>
  <c r="S49" i="332"/>
  <c r="R45" i="332"/>
  <c r="S45" i="332"/>
  <c r="S44" i="332"/>
  <c r="R43" i="332"/>
  <c r="S43" i="332"/>
  <c r="S42" i="332"/>
  <c r="R38" i="332"/>
  <c r="S38" i="332"/>
  <c r="S37" i="332"/>
  <c r="R36" i="332"/>
  <c r="S36" i="332"/>
  <c r="S35" i="332"/>
  <c r="R59" i="331"/>
  <c r="B5" i="331"/>
  <c r="C5" i="331"/>
  <c r="G5" i="331"/>
  <c r="B6" i="331"/>
  <c r="C6" i="331"/>
  <c r="G6" i="331"/>
  <c r="B7" i="331"/>
  <c r="C7" i="331"/>
  <c r="G7" i="331"/>
  <c r="H5" i="331"/>
  <c r="I5" i="331"/>
  <c r="D5" i="331"/>
  <c r="J5" i="331"/>
  <c r="H6" i="331"/>
  <c r="I6" i="331"/>
  <c r="D6" i="331"/>
  <c r="J6" i="331"/>
  <c r="H7" i="331"/>
  <c r="I7" i="331"/>
  <c r="D7" i="331"/>
  <c r="J7" i="331"/>
  <c r="B8" i="331"/>
  <c r="C8" i="331"/>
  <c r="G8" i="331"/>
  <c r="H8" i="331"/>
  <c r="I8" i="331"/>
  <c r="D8" i="331"/>
  <c r="J8" i="331"/>
  <c r="B9" i="331"/>
  <c r="C9" i="331"/>
  <c r="G9" i="331"/>
  <c r="H9" i="331"/>
  <c r="I9" i="331"/>
  <c r="D9" i="331"/>
  <c r="J9" i="331"/>
  <c r="B10" i="331"/>
  <c r="C10" i="331"/>
  <c r="G10" i="331"/>
  <c r="H10" i="331"/>
  <c r="I10" i="331"/>
  <c r="D10" i="331"/>
  <c r="J10" i="331"/>
  <c r="B11" i="331"/>
  <c r="C11" i="331"/>
  <c r="G11" i="331"/>
  <c r="H11" i="331"/>
  <c r="I11" i="331"/>
  <c r="D11" i="331"/>
  <c r="J11" i="331"/>
  <c r="B12" i="331"/>
  <c r="C12" i="331"/>
  <c r="G12" i="331"/>
  <c r="H12" i="331"/>
  <c r="I12" i="331"/>
  <c r="D12" i="331"/>
  <c r="J12" i="331"/>
  <c r="B13" i="331"/>
  <c r="C13" i="331"/>
  <c r="G13" i="331"/>
  <c r="H13" i="331"/>
  <c r="I13" i="331"/>
  <c r="D13" i="331"/>
  <c r="J13" i="331"/>
  <c r="B14" i="331"/>
  <c r="C14" i="331"/>
  <c r="G14" i="331"/>
  <c r="H14" i="331"/>
  <c r="I14" i="331"/>
  <c r="D14" i="331"/>
  <c r="J14" i="331"/>
  <c r="B15" i="331"/>
  <c r="C15" i="331"/>
  <c r="G15" i="331"/>
  <c r="H15" i="331"/>
  <c r="I15" i="331"/>
  <c r="D15" i="331"/>
  <c r="J15" i="331"/>
  <c r="B16" i="331"/>
  <c r="C16" i="331"/>
  <c r="G16" i="331"/>
  <c r="H16" i="331"/>
  <c r="I16" i="331"/>
  <c r="D16" i="331"/>
  <c r="J16" i="331"/>
  <c r="B17" i="331"/>
  <c r="C17" i="331"/>
  <c r="G17" i="331"/>
  <c r="H17" i="331"/>
  <c r="I17" i="331"/>
  <c r="D17" i="331"/>
  <c r="J17" i="331"/>
  <c r="B18" i="331"/>
  <c r="C18" i="331"/>
  <c r="G18" i="331"/>
  <c r="H18" i="331"/>
  <c r="I18" i="331"/>
  <c r="D18" i="331"/>
  <c r="J18" i="331"/>
  <c r="B19" i="331"/>
  <c r="C19" i="331"/>
  <c r="G19" i="331"/>
  <c r="H19" i="331"/>
  <c r="I19" i="331"/>
  <c r="D19" i="331"/>
  <c r="J19" i="331"/>
  <c r="B20" i="331"/>
  <c r="C20" i="331"/>
  <c r="G20" i="331"/>
  <c r="H20" i="331"/>
  <c r="I20" i="331"/>
  <c r="D20" i="331"/>
  <c r="J20" i="331"/>
  <c r="B21" i="331"/>
  <c r="C21" i="331"/>
  <c r="G21" i="331"/>
  <c r="H21" i="331"/>
  <c r="I21" i="331"/>
  <c r="D21" i="331"/>
  <c r="J21" i="331"/>
  <c r="B22" i="331"/>
  <c r="C22" i="331"/>
  <c r="G22" i="331"/>
  <c r="H22" i="331"/>
  <c r="I22" i="331"/>
  <c r="D22" i="331"/>
  <c r="J22" i="331"/>
  <c r="B23" i="331"/>
  <c r="C23" i="331"/>
  <c r="G23" i="331"/>
  <c r="H23" i="331"/>
  <c r="I23" i="331"/>
  <c r="D23" i="331"/>
  <c r="J23" i="331"/>
  <c r="B24" i="331"/>
  <c r="C24" i="331"/>
  <c r="G24" i="331"/>
  <c r="H24" i="331"/>
  <c r="I24" i="331"/>
  <c r="D24" i="331"/>
  <c r="J24" i="331"/>
  <c r="B25" i="331"/>
  <c r="C25" i="331"/>
  <c r="G25" i="331"/>
  <c r="H25" i="331"/>
  <c r="I25" i="331"/>
  <c r="D25" i="331"/>
  <c r="J25" i="331"/>
  <c r="B26" i="331"/>
  <c r="C26" i="331"/>
  <c r="G26" i="331"/>
  <c r="H26" i="331"/>
  <c r="I26" i="331"/>
  <c r="D26" i="331"/>
  <c r="J26" i="331"/>
  <c r="B27" i="331"/>
  <c r="C27" i="331"/>
  <c r="G27" i="331"/>
  <c r="H27" i="331"/>
  <c r="I27" i="331"/>
  <c r="D27" i="331"/>
  <c r="J27" i="331"/>
  <c r="B28" i="331"/>
  <c r="C28" i="331"/>
  <c r="G28" i="331"/>
  <c r="H28" i="331"/>
  <c r="I28" i="331"/>
  <c r="D28" i="331"/>
  <c r="J28" i="331"/>
  <c r="S59" i="331"/>
  <c r="S58" i="331"/>
  <c r="K7" i="331"/>
  <c r="K9" i="331"/>
  <c r="K14" i="331"/>
  <c r="K16" i="331"/>
  <c r="K21" i="331"/>
  <c r="K23" i="331"/>
  <c r="K28" i="331"/>
  <c r="K30" i="331"/>
  <c r="K35" i="331"/>
  <c r="Q35" i="331"/>
  <c r="Q37" i="331"/>
  <c r="Q42" i="331"/>
  <c r="Q44" i="331"/>
  <c r="Q49" i="331"/>
  <c r="Q51" i="331"/>
  <c r="Q56" i="331"/>
  <c r="Q58" i="331"/>
  <c r="R57" i="331"/>
  <c r="S57" i="331"/>
  <c r="S56" i="331"/>
  <c r="R52" i="331"/>
  <c r="S52" i="331"/>
  <c r="S51" i="331"/>
  <c r="R50" i="331"/>
  <c r="S50" i="331"/>
  <c r="S49" i="331"/>
  <c r="R45" i="331"/>
  <c r="S45" i="331"/>
  <c r="S44" i="331"/>
  <c r="R43" i="331"/>
  <c r="S43" i="331"/>
  <c r="S42" i="331"/>
  <c r="R38" i="331"/>
  <c r="S38" i="331"/>
  <c r="S37" i="331"/>
  <c r="R36" i="331"/>
  <c r="S36" i="331"/>
  <c r="S35" i="331"/>
  <c r="X59" i="331"/>
  <c r="Y59" i="331"/>
  <c r="Y58" i="331"/>
  <c r="W35" i="331"/>
  <c r="W37" i="331"/>
  <c r="W42" i="331"/>
  <c r="W44" i="331"/>
  <c r="W49" i="331"/>
  <c r="W51" i="331"/>
  <c r="W56" i="331"/>
  <c r="W58" i="331"/>
  <c r="X57" i="331"/>
  <c r="Y57" i="331"/>
  <c r="Y56" i="331"/>
  <c r="X52" i="331"/>
  <c r="Y52" i="331"/>
  <c r="Y51" i="331"/>
  <c r="X50" i="331"/>
  <c r="Y50" i="331"/>
  <c r="Y49" i="331"/>
  <c r="X45" i="331"/>
  <c r="Y45" i="331"/>
  <c r="Y44" i="331"/>
  <c r="X43" i="331"/>
  <c r="Y43" i="331"/>
  <c r="Y42" i="331"/>
  <c r="X38" i="331"/>
  <c r="Y38" i="331"/>
  <c r="Y37" i="331"/>
  <c r="X36" i="331"/>
  <c r="Y36" i="331"/>
  <c r="Y35" i="331"/>
  <c r="X75" i="328"/>
  <c r="B5" i="328"/>
  <c r="C5" i="328"/>
  <c r="G5" i="328"/>
  <c r="B6" i="328"/>
  <c r="C6" i="328"/>
  <c r="G6" i="328"/>
  <c r="B7" i="328"/>
  <c r="C7" i="328"/>
  <c r="G7" i="328"/>
  <c r="H5" i="328"/>
  <c r="I5" i="328"/>
  <c r="D5" i="328"/>
  <c r="J5" i="328"/>
  <c r="H6" i="328"/>
  <c r="I6" i="328"/>
  <c r="D6" i="328"/>
  <c r="J6" i="328"/>
  <c r="H7" i="328"/>
  <c r="I7" i="328"/>
  <c r="D7" i="328"/>
  <c r="J7" i="328"/>
  <c r="B8" i="328"/>
  <c r="C8" i="328"/>
  <c r="G8" i="328"/>
  <c r="H8" i="328"/>
  <c r="I8" i="328"/>
  <c r="D8" i="328"/>
  <c r="J8" i="328"/>
  <c r="B9" i="328"/>
  <c r="C9" i="328"/>
  <c r="G9" i="328"/>
  <c r="H9" i="328"/>
  <c r="I9" i="328"/>
  <c r="D9" i="328"/>
  <c r="J9" i="328"/>
  <c r="B10" i="328"/>
  <c r="C10" i="328"/>
  <c r="G10" i="328"/>
  <c r="H10" i="328"/>
  <c r="I10" i="328"/>
  <c r="D10" i="328"/>
  <c r="J10" i="328"/>
  <c r="B11" i="328"/>
  <c r="C11" i="328"/>
  <c r="G11" i="328"/>
  <c r="H11" i="328"/>
  <c r="I11" i="328"/>
  <c r="D11" i="328"/>
  <c r="J11" i="328"/>
  <c r="B12" i="328"/>
  <c r="C12" i="328"/>
  <c r="G12" i="328"/>
  <c r="H12" i="328"/>
  <c r="I12" i="328"/>
  <c r="D12" i="328"/>
  <c r="J12" i="328"/>
  <c r="B13" i="328"/>
  <c r="C13" i="328"/>
  <c r="G13" i="328"/>
  <c r="H13" i="328"/>
  <c r="I13" i="328"/>
  <c r="D13" i="328"/>
  <c r="J13" i="328"/>
  <c r="B14" i="328"/>
  <c r="C14" i="328"/>
  <c r="G14" i="328"/>
  <c r="H14" i="328"/>
  <c r="I14" i="328"/>
  <c r="D14" i="328"/>
  <c r="J14" i="328"/>
  <c r="B15" i="328"/>
  <c r="C15" i="328"/>
  <c r="G15" i="328"/>
  <c r="H15" i="328"/>
  <c r="I15" i="328"/>
  <c r="D15" i="328"/>
  <c r="J15" i="328"/>
  <c r="B16" i="328"/>
  <c r="C16" i="328"/>
  <c r="G16" i="328"/>
  <c r="H16" i="328"/>
  <c r="I16" i="328"/>
  <c r="D16" i="328"/>
  <c r="J16" i="328"/>
  <c r="B17" i="328"/>
  <c r="C17" i="328"/>
  <c r="G17" i="328"/>
  <c r="H17" i="328"/>
  <c r="I17" i="328"/>
  <c r="D17" i="328"/>
  <c r="J17" i="328"/>
  <c r="B18" i="328"/>
  <c r="C18" i="328"/>
  <c r="G18" i="328"/>
  <c r="H18" i="328"/>
  <c r="I18" i="328"/>
  <c r="D18" i="328"/>
  <c r="J18" i="328"/>
  <c r="B19" i="328"/>
  <c r="C19" i="328"/>
  <c r="G19" i="328"/>
  <c r="H19" i="328"/>
  <c r="I19" i="328"/>
  <c r="D19" i="328"/>
  <c r="J19" i="328"/>
  <c r="B20" i="328"/>
  <c r="C20" i="328"/>
  <c r="G20" i="328"/>
  <c r="H20" i="328"/>
  <c r="I20" i="328"/>
  <c r="D20" i="328"/>
  <c r="J20" i="328"/>
  <c r="B21" i="328"/>
  <c r="C21" i="328"/>
  <c r="G21" i="328"/>
  <c r="H21" i="328"/>
  <c r="I21" i="328"/>
  <c r="D21" i="328"/>
  <c r="J21" i="328"/>
  <c r="B22" i="328"/>
  <c r="C22" i="328"/>
  <c r="G22" i="328"/>
  <c r="H22" i="328"/>
  <c r="I22" i="328"/>
  <c r="D22" i="328"/>
  <c r="J22" i="328"/>
  <c r="B23" i="328"/>
  <c r="C23" i="328"/>
  <c r="G23" i="328"/>
  <c r="H23" i="328"/>
  <c r="I23" i="328"/>
  <c r="D23" i="328"/>
  <c r="J23" i="328"/>
  <c r="B24" i="328"/>
  <c r="C24" i="328"/>
  <c r="G24" i="328"/>
  <c r="H24" i="328"/>
  <c r="I24" i="328"/>
  <c r="D24" i="328"/>
  <c r="J24" i="328"/>
  <c r="B25" i="328"/>
  <c r="C25" i="328"/>
  <c r="G25" i="328"/>
  <c r="H25" i="328"/>
  <c r="I25" i="328"/>
  <c r="D25" i="328"/>
  <c r="J25" i="328"/>
  <c r="B26" i="328"/>
  <c r="C26" i="328"/>
  <c r="G26" i="328"/>
  <c r="H26" i="328"/>
  <c r="I26" i="328"/>
  <c r="D26" i="328"/>
  <c r="J26" i="328"/>
  <c r="B27" i="328"/>
  <c r="C27" i="328"/>
  <c r="G27" i="328"/>
  <c r="H27" i="328"/>
  <c r="I27" i="328"/>
  <c r="D27" i="328"/>
  <c r="J27" i="328"/>
  <c r="B28" i="328"/>
  <c r="C28" i="328"/>
  <c r="G28" i="328"/>
  <c r="H28" i="328"/>
  <c r="I28" i="328"/>
  <c r="D28" i="328"/>
  <c r="J28" i="328"/>
  <c r="Y75" i="328"/>
  <c r="Y74" i="328"/>
  <c r="K7" i="328"/>
  <c r="K9" i="328"/>
  <c r="K14" i="328"/>
  <c r="K16" i="328"/>
  <c r="K21" i="328"/>
  <c r="K23" i="328"/>
  <c r="K28" i="328"/>
  <c r="K30" i="328"/>
  <c r="K35" i="328"/>
  <c r="K37" i="328"/>
  <c r="K42" i="328"/>
  <c r="K44" i="328"/>
  <c r="K49" i="328"/>
  <c r="K51" i="328"/>
  <c r="K56" i="328"/>
  <c r="K58" i="328"/>
  <c r="K63" i="328"/>
  <c r="Q63" i="328"/>
  <c r="W63" i="328"/>
  <c r="W65" i="328"/>
  <c r="W72" i="328"/>
  <c r="W74" i="328"/>
  <c r="X73" i="328"/>
  <c r="Y73" i="328"/>
  <c r="Y72" i="328"/>
  <c r="X66" i="328"/>
  <c r="Y66" i="328"/>
  <c r="Y65" i="328"/>
  <c r="X64" i="328"/>
  <c r="Y64" i="328"/>
  <c r="Y63" i="328"/>
  <c r="L70" i="328"/>
  <c r="L72" i="328"/>
  <c r="R79" i="328"/>
  <c r="S79" i="328"/>
  <c r="S78" i="328"/>
  <c r="Q65" i="328"/>
  <c r="Q70" i="328"/>
  <c r="Q72" i="328"/>
  <c r="Q78" i="328"/>
  <c r="L79" i="328"/>
  <c r="R73" i="328"/>
  <c r="S73" i="328"/>
  <c r="S72" i="328"/>
  <c r="U71" i="328"/>
  <c r="L77" i="328"/>
  <c r="R71" i="328"/>
  <c r="S71" i="328"/>
  <c r="S70" i="328"/>
  <c r="U66" i="328"/>
  <c r="R66" i="328"/>
  <c r="S66" i="328"/>
  <c r="S65" i="328"/>
  <c r="U64" i="328"/>
  <c r="L64" i="328"/>
  <c r="R64" i="328"/>
  <c r="S64" i="328"/>
  <c r="S63" i="328"/>
  <c r="X59" i="328"/>
  <c r="Y59" i="328"/>
  <c r="Y58" i="328"/>
  <c r="Q35" i="328"/>
  <c r="W35" i="328"/>
  <c r="W37" i="328"/>
  <c r="W42" i="328"/>
  <c r="W44" i="328"/>
  <c r="W49" i="328"/>
  <c r="W51" i="328"/>
  <c r="W56" i="328"/>
  <c r="W58" i="328"/>
  <c r="X57" i="328"/>
  <c r="Y57" i="328"/>
  <c r="Y56" i="328"/>
  <c r="X52" i="328"/>
  <c r="Y52" i="328"/>
  <c r="Y51" i="328"/>
  <c r="X50" i="328"/>
  <c r="Y50" i="328"/>
  <c r="Y49" i="328"/>
  <c r="X45" i="328"/>
  <c r="Y45" i="328"/>
  <c r="Y44" i="328"/>
  <c r="X43" i="328"/>
  <c r="Y43" i="328"/>
  <c r="Y42" i="328"/>
  <c r="X38" i="328"/>
  <c r="Y38" i="328"/>
  <c r="Y37" i="328"/>
  <c r="X36" i="328"/>
  <c r="Y36" i="328"/>
  <c r="Y35" i="328"/>
  <c r="R59" i="328"/>
  <c r="S59" i="328"/>
  <c r="S58" i="328"/>
  <c r="Q37" i="328"/>
  <c r="Q42" i="328"/>
  <c r="Q44" i="328"/>
  <c r="Q49" i="328"/>
  <c r="Q51" i="328"/>
  <c r="Q56" i="328"/>
  <c r="Q58" i="328"/>
  <c r="R57" i="328"/>
  <c r="S57" i="328"/>
  <c r="S56" i="328"/>
  <c r="R52" i="328"/>
  <c r="S52" i="328"/>
  <c r="S51" i="328"/>
  <c r="R50" i="328"/>
  <c r="S50" i="328"/>
  <c r="S49" i="328"/>
  <c r="R45" i="328"/>
  <c r="S45" i="328"/>
  <c r="S44" i="328"/>
  <c r="R43" i="328"/>
  <c r="S43" i="328"/>
  <c r="S42" i="328"/>
  <c r="R38" i="328"/>
  <c r="S38" i="328"/>
  <c r="S37" i="328"/>
  <c r="R36" i="328"/>
  <c r="S36" i="328"/>
  <c r="S35" i="328"/>
  <c r="AG30" i="333"/>
  <c r="AG29" i="333"/>
  <c r="AW28" i="333"/>
  <c r="AX29" i="333"/>
  <c r="AW29" i="333"/>
  <c r="AX28" i="333"/>
  <c r="AW26" i="333"/>
  <c r="AX27" i="333"/>
  <c r="AW27" i="333"/>
  <c r="AX26" i="333"/>
  <c r="AW24" i="333"/>
  <c r="AX25" i="333"/>
  <c r="AW25" i="333"/>
  <c r="AX24" i="333"/>
  <c r="AW22" i="333"/>
  <c r="AX23" i="333"/>
  <c r="AW23" i="333"/>
  <c r="AX22" i="333"/>
  <c r="AW20" i="333"/>
  <c r="AX21" i="333"/>
  <c r="AW21" i="333"/>
  <c r="AX20" i="333"/>
  <c r="AW18" i="333"/>
  <c r="AX19" i="333"/>
  <c r="AW19" i="333"/>
  <c r="AX18" i="333"/>
  <c r="AW16" i="333"/>
  <c r="AX17" i="333"/>
  <c r="AW17" i="333"/>
  <c r="AX16" i="333"/>
  <c r="AW14" i="333"/>
  <c r="AX15" i="333"/>
  <c r="AW15" i="333"/>
  <c r="AX14" i="333"/>
  <c r="L10" i="333"/>
  <c r="R22" i="333"/>
  <c r="X29" i="333"/>
  <c r="AW12" i="333"/>
  <c r="AX13" i="333"/>
  <c r="L31" i="333"/>
  <c r="R31" i="333"/>
  <c r="X31" i="333"/>
  <c r="AW13" i="333"/>
  <c r="AX12" i="333"/>
  <c r="L17" i="333"/>
  <c r="R24" i="333"/>
  <c r="X22" i="333"/>
  <c r="AW10" i="333"/>
  <c r="AX11" i="333"/>
  <c r="L24" i="333"/>
  <c r="R29" i="333"/>
  <c r="X24" i="333"/>
  <c r="AW11" i="333"/>
  <c r="AX10" i="333"/>
  <c r="L15" i="333"/>
  <c r="R10" i="333"/>
  <c r="X15" i="333"/>
  <c r="AW8" i="333"/>
  <c r="AX9" i="333"/>
  <c r="L22" i="333"/>
  <c r="R15" i="333"/>
  <c r="X17" i="333"/>
  <c r="AW9" i="333"/>
  <c r="AX8" i="333"/>
  <c r="AV29" i="333"/>
  <c r="AV28" i="333"/>
  <c r="AV27" i="333"/>
  <c r="AS29" i="333"/>
  <c r="AS28" i="333"/>
  <c r="AS27" i="333"/>
  <c r="AS26" i="333"/>
  <c r="AS25" i="333"/>
  <c r="AS24" i="333"/>
  <c r="AS23" i="333"/>
  <c r="AR29" i="333"/>
  <c r="AR28" i="333"/>
  <c r="AR27" i="333"/>
  <c r="AR26" i="333"/>
  <c r="AR25" i="333"/>
  <c r="AR24" i="333"/>
  <c r="L87" i="333"/>
  <c r="AO29" i="333"/>
  <c r="L85" i="333"/>
  <c r="AO28" i="333"/>
  <c r="L80" i="333"/>
  <c r="AO27" i="333"/>
  <c r="L78" i="333"/>
  <c r="AO26" i="333"/>
  <c r="L73" i="333"/>
  <c r="AO25" i="333"/>
  <c r="L71" i="333"/>
  <c r="AO24" i="333"/>
  <c r="L66" i="333"/>
  <c r="AO23" i="333"/>
  <c r="K65" i="333"/>
  <c r="K70" i="333"/>
  <c r="K72" i="333"/>
  <c r="K77" i="333"/>
  <c r="K79" i="333"/>
  <c r="K84" i="333"/>
  <c r="K86" i="333"/>
  <c r="AN29" i="333"/>
  <c r="AN27" i="333"/>
  <c r="AN25" i="333"/>
  <c r="AN23" i="333"/>
  <c r="L64" i="333"/>
  <c r="M87" i="333"/>
  <c r="M86" i="333"/>
  <c r="M85" i="333"/>
  <c r="M84" i="333"/>
  <c r="M80" i="333"/>
  <c r="M79" i="333"/>
  <c r="M78" i="333"/>
  <c r="M77" i="333"/>
  <c r="M73" i="333"/>
  <c r="M72" i="333"/>
  <c r="M71" i="333"/>
  <c r="M70" i="333"/>
  <c r="M66" i="333"/>
  <c r="M65" i="333"/>
  <c r="M64" i="333"/>
  <c r="M63" i="333"/>
  <c r="L59" i="333"/>
  <c r="M59" i="333"/>
  <c r="M58" i="333"/>
  <c r="L57" i="333"/>
  <c r="M57" i="333"/>
  <c r="M56" i="333"/>
  <c r="L52" i="333"/>
  <c r="M52" i="333"/>
  <c r="M51" i="333"/>
  <c r="L50" i="333"/>
  <c r="M50" i="333"/>
  <c r="M49" i="333"/>
  <c r="L45" i="333"/>
  <c r="M45" i="333"/>
  <c r="M44" i="333"/>
  <c r="L43" i="333"/>
  <c r="M43" i="333"/>
  <c r="M42" i="333"/>
  <c r="L38" i="333"/>
  <c r="M38" i="333"/>
  <c r="M37" i="333"/>
  <c r="L36" i="333"/>
  <c r="M36" i="333"/>
  <c r="M35" i="333"/>
  <c r="Y31" i="333"/>
  <c r="S31" i="333"/>
  <c r="M31" i="333"/>
  <c r="AJ30" i="333"/>
  <c r="AI30" i="333"/>
  <c r="AH30" i="333"/>
  <c r="Y30" i="333"/>
  <c r="Q7" i="333"/>
  <c r="W7" i="333"/>
  <c r="W9" i="333"/>
  <c r="W14" i="333"/>
  <c r="W16" i="333"/>
  <c r="W21" i="333"/>
  <c r="W23" i="333"/>
  <c r="W28" i="333"/>
  <c r="W30" i="333"/>
  <c r="S30" i="333"/>
  <c r="Q9" i="333"/>
  <c r="Q14" i="333"/>
  <c r="Q16" i="333"/>
  <c r="Q21" i="333"/>
  <c r="Q23" i="333"/>
  <c r="Q28" i="333"/>
  <c r="Q30" i="333"/>
  <c r="M30" i="333"/>
  <c r="AJ29" i="333"/>
  <c r="AI29" i="333"/>
  <c r="AH29" i="333"/>
  <c r="Y29" i="333"/>
  <c r="S29" i="333"/>
  <c r="L29" i="333"/>
  <c r="M29" i="333"/>
  <c r="AT28" i="333"/>
  <c r="AP28" i="333"/>
  <c r="AN28" i="333"/>
  <c r="AG28" i="333"/>
  <c r="AJ28" i="333"/>
  <c r="AI28" i="333"/>
  <c r="AH28" i="333"/>
  <c r="Y28" i="333"/>
  <c r="S28" i="333"/>
  <c r="M28" i="333"/>
  <c r="E28" i="333"/>
  <c r="AT27" i="333"/>
  <c r="AP27" i="333"/>
  <c r="AG27" i="333"/>
  <c r="AJ27" i="333"/>
  <c r="AI27" i="333"/>
  <c r="AH27" i="333"/>
  <c r="E27" i="333"/>
  <c r="AV26" i="333"/>
  <c r="AP26" i="333"/>
  <c r="AN26" i="333"/>
  <c r="AG26" i="333"/>
  <c r="AJ26" i="333"/>
  <c r="AI26" i="333"/>
  <c r="AH26" i="333"/>
  <c r="E26" i="333"/>
  <c r="AV25" i="333"/>
  <c r="AT25" i="333"/>
  <c r="AP25" i="333"/>
  <c r="AG25" i="333"/>
  <c r="AJ25" i="333"/>
  <c r="AI25" i="333"/>
  <c r="AH25" i="333"/>
  <c r="E25" i="333"/>
  <c r="AV24" i="333"/>
  <c r="AT24" i="333"/>
  <c r="AP24" i="333"/>
  <c r="AN24" i="333"/>
  <c r="AG24" i="333"/>
  <c r="AJ24" i="333"/>
  <c r="AI24" i="333"/>
  <c r="AH24" i="333"/>
  <c r="Y24" i="333"/>
  <c r="S24" i="333"/>
  <c r="M24" i="333"/>
  <c r="E24" i="333"/>
  <c r="AV23" i="333"/>
  <c r="AS22" i="333"/>
  <c r="AT23" i="333"/>
  <c r="AR23" i="333"/>
  <c r="AP23" i="333"/>
  <c r="AG23" i="333"/>
  <c r="AJ23" i="333"/>
  <c r="AI23" i="333"/>
  <c r="AH23" i="333"/>
  <c r="Y23" i="333"/>
  <c r="S23" i="333"/>
  <c r="M23" i="333"/>
  <c r="E23" i="333"/>
  <c r="AV22" i="333"/>
  <c r="AT22" i="333"/>
  <c r="AR22" i="333"/>
  <c r="AO22" i="333"/>
  <c r="AN22" i="333"/>
  <c r="AG22" i="333"/>
  <c r="AJ22" i="333"/>
  <c r="AI22" i="333"/>
  <c r="AH22" i="333"/>
  <c r="Y22" i="333"/>
  <c r="S22" i="333"/>
  <c r="M22" i="333"/>
  <c r="E22" i="333"/>
  <c r="AV21" i="333"/>
  <c r="AS20" i="333"/>
  <c r="AT21" i="333"/>
  <c r="AS21" i="333"/>
  <c r="AR21" i="333"/>
  <c r="AO20" i="333"/>
  <c r="AP21" i="333"/>
  <c r="AO21" i="333"/>
  <c r="AN21" i="333"/>
  <c r="AG21" i="333"/>
  <c r="AJ21" i="333"/>
  <c r="AI21" i="333"/>
  <c r="AH21" i="333"/>
  <c r="Y21" i="333"/>
  <c r="S21" i="333"/>
  <c r="M21" i="333"/>
  <c r="E21" i="333"/>
  <c r="AV20" i="333"/>
  <c r="AT20" i="333"/>
  <c r="AR20" i="333"/>
  <c r="AP20" i="333"/>
  <c r="AN20" i="333"/>
  <c r="AG20" i="333"/>
  <c r="AJ20" i="333"/>
  <c r="AI20" i="333"/>
  <c r="AH20" i="333"/>
  <c r="E20" i="333"/>
  <c r="AV19" i="333"/>
  <c r="AS18" i="333"/>
  <c r="AT19" i="333"/>
  <c r="AS19" i="333"/>
  <c r="AR19" i="333"/>
  <c r="AO18" i="333"/>
  <c r="AP19" i="333"/>
  <c r="AO19" i="333"/>
  <c r="AN19" i="333"/>
  <c r="AG19" i="333"/>
  <c r="AJ19" i="333"/>
  <c r="AI19" i="333"/>
  <c r="AH19" i="333"/>
  <c r="E19" i="333"/>
  <c r="AV18" i="333"/>
  <c r="AT18" i="333"/>
  <c r="AR18" i="333"/>
  <c r="AP18" i="333"/>
  <c r="AN18" i="333"/>
  <c r="AG18" i="333"/>
  <c r="AJ18" i="333"/>
  <c r="AI18" i="333"/>
  <c r="AH18" i="333"/>
  <c r="E18" i="333"/>
  <c r="AV17" i="333"/>
  <c r="AS16" i="333"/>
  <c r="AT17" i="333"/>
  <c r="AS17" i="333"/>
  <c r="AR17" i="333"/>
  <c r="AO16" i="333"/>
  <c r="AP17" i="333"/>
  <c r="AO17" i="333"/>
  <c r="AN17" i="333"/>
  <c r="AG17" i="333"/>
  <c r="AJ17" i="333"/>
  <c r="AI17" i="333"/>
  <c r="AH17" i="333"/>
  <c r="Y17" i="333"/>
  <c r="R17" i="333"/>
  <c r="S17" i="333"/>
  <c r="M17" i="333"/>
  <c r="E17" i="333"/>
  <c r="AV16" i="333"/>
  <c r="AT16" i="333"/>
  <c r="AR16" i="333"/>
  <c r="AP16" i="333"/>
  <c r="AN16" i="333"/>
  <c r="AG16" i="333"/>
  <c r="AJ16" i="333"/>
  <c r="AI16" i="333"/>
  <c r="AH16" i="333"/>
  <c r="Y16" i="333"/>
  <c r="S16" i="333"/>
  <c r="M16" i="333"/>
  <c r="E16" i="333"/>
  <c r="AV15" i="333"/>
  <c r="AS14" i="333"/>
  <c r="AT15" i="333"/>
  <c r="AS15" i="333"/>
  <c r="AR15" i="333"/>
  <c r="AO14" i="333"/>
  <c r="AP15" i="333"/>
  <c r="AO15" i="333"/>
  <c r="AN15" i="333"/>
  <c r="AG15" i="333"/>
  <c r="AJ15" i="333"/>
  <c r="AI15" i="333"/>
  <c r="AH15" i="333"/>
  <c r="Y15" i="333"/>
  <c r="S15" i="333"/>
  <c r="M15" i="333"/>
  <c r="E15" i="333"/>
  <c r="AV14" i="333"/>
  <c r="AT14" i="333"/>
  <c r="AR14" i="333"/>
  <c r="AP14" i="333"/>
  <c r="AN14" i="333"/>
  <c r="AG14" i="333"/>
  <c r="AJ14" i="333"/>
  <c r="AI14" i="333"/>
  <c r="AH14" i="333"/>
  <c r="Y14" i="333"/>
  <c r="S14" i="333"/>
  <c r="M14" i="333"/>
  <c r="E14" i="333"/>
  <c r="AV13" i="333"/>
  <c r="AS12" i="333"/>
  <c r="AT13" i="333"/>
  <c r="AS13" i="333"/>
  <c r="AR13" i="333"/>
  <c r="AO12" i="333"/>
  <c r="AP13" i="333"/>
  <c r="AO13" i="333"/>
  <c r="AN13" i="333"/>
  <c r="AG13" i="333"/>
  <c r="AJ13" i="333"/>
  <c r="AI13" i="333"/>
  <c r="AH13" i="333"/>
  <c r="E13" i="333"/>
  <c r="AV12" i="333"/>
  <c r="AT12" i="333"/>
  <c r="AR12" i="333"/>
  <c r="AP12" i="333"/>
  <c r="AN12" i="333"/>
  <c r="AG12" i="333"/>
  <c r="AJ12" i="333"/>
  <c r="AI12" i="333"/>
  <c r="AH12" i="333"/>
  <c r="E12" i="333"/>
  <c r="AV11" i="333"/>
  <c r="AS10" i="333"/>
  <c r="AT11" i="333"/>
  <c r="AS11" i="333"/>
  <c r="AR11" i="333"/>
  <c r="AO10" i="333"/>
  <c r="AP11" i="333"/>
  <c r="AO11" i="333"/>
  <c r="AN11" i="333"/>
  <c r="AG11" i="333"/>
  <c r="AJ11" i="333"/>
  <c r="AI11" i="333"/>
  <c r="AH11" i="333"/>
  <c r="E11" i="333"/>
  <c r="AV10" i="333"/>
  <c r="AT10" i="333"/>
  <c r="AR10" i="333"/>
  <c r="AP10" i="333"/>
  <c r="AN10" i="333"/>
  <c r="AG10" i="333"/>
  <c r="AJ10" i="333"/>
  <c r="AI10" i="333"/>
  <c r="AH10" i="333"/>
  <c r="X10" i="333"/>
  <c r="Y10" i="333"/>
  <c r="S10" i="333"/>
  <c r="M10" i="333"/>
  <c r="E10" i="333"/>
  <c r="AV9" i="333"/>
  <c r="AS8" i="333"/>
  <c r="AT9" i="333"/>
  <c r="AS9" i="333"/>
  <c r="AR9" i="333"/>
  <c r="AO8" i="333"/>
  <c r="AP9" i="333"/>
  <c r="AO9" i="333"/>
  <c r="AN9" i="333"/>
  <c r="AG9" i="333"/>
  <c r="AJ9" i="333"/>
  <c r="AI9" i="333"/>
  <c r="AH9" i="333"/>
  <c r="Y9" i="333"/>
  <c r="S9" i="333"/>
  <c r="M9" i="333"/>
  <c r="E9" i="333"/>
  <c r="AV8" i="333"/>
  <c r="AT8" i="333"/>
  <c r="AR8" i="333"/>
  <c r="AP8" i="333"/>
  <c r="AN8" i="333"/>
  <c r="AG8" i="333"/>
  <c r="AJ8" i="333"/>
  <c r="AI8" i="333"/>
  <c r="AH8" i="333"/>
  <c r="L8" i="333"/>
  <c r="R8" i="333"/>
  <c r="X8" i="333"/>
  <c r="Y8" i="333"/>
  <c r="S8" i="333"/>
  <c r="M8" i="333"/>
  <c r="E8" i="333"/>
  <c r="AW6" i="333"/>
  <c r="AX7" i="333"/>
  <c r="AW7" i="333"/>
  <c r="AV7" i="333"/>
  <c r="AS6" i="333"/>
  <c r="AT7" i="333"/>
  <c r="AS7" i="333"/>
  <c r="AR7" i="333"/>
  <c r="AO6" i="333"/>
  <c r="AP7" i="333"/>
  <c r="AO7" i="333"/>
  <c r="AN7" i="333"/>
  <c r="AG7" i="333"/>
  <c r="AJ7" i="333"/>
  <c r="AI7" i="333"/>
  <c r="AH7" i="333"/>
  <c r="Y7" i="333"/>
  <c r="S7" i="333"/>
  <c r="M7" i="333"/>
  <c r="E7" i="333"/>
  <c r="AX6" i="333"/>
  <c r="AV6" i="333"/>
  <c r="AT6" i="333"/>
  <c r="AR6" i="333"/>
  <c r="AP6" i="333"/>
  <c r="AN6" i="333"/>
  <c r="E6" i="333"/>
  <c r="E5" i="333"/>
  <c r="AF3" i="333"/>
  <c r="N3" i="333"/>
  <c r="AF2" i="333"/>
  <c r="K2" i="333"/>
  <c r="E1" i="29"/>
  <c r="AF1" i="333"/>
  <c r="K1" i="333"/>
  <c r="AG29" i="332"/>
  <c r="AG28" i="332"/>
  <c r="AW28" i="332"/>
  <c r="AW27" i="332"/>
  <c r="AW26" i="332"/>
  <c r="AW25" i="332"/>
  <c r="AW24" i="332"/>
  <c r="AW23" i="332"/>
  <c r="AW22" i="332"/>
  <c r="AV28" i="332"/>
  <c r="AV27" i="332"/>
  <c r="AV26" i="332"/>
  <c r="AV25" i="332"/>
  <c r="AV24" i="332"/>
  <c r="AV23" i="332"/>
  <c r="AV22" i="332"/>
  <c r="AV21" i="332"/>
  <c r="AS27" i="332"/>
  <c r="AT28" i="332"/>
  <c r="AS28" i="332"/>
  <c r="AT27" i="332"/>
  <c r="AS24" i="332"/>
  <c r="AT25" i="332"/>
  <c r="AS25" i="332"/>
  <c r="AT24" i="332"/>
  <c r="AS22" i="332"/>
  <c r="AT23" i="332"/>
  <c r="AS23" i="332"/>
  <c r="AT22" i="332"/>
  <c r="AR28" i="332"/>
  <c r="AS26" i="332"/>
  <c r="AS21" i="332"/>
  <c r="AR27" i="332"/>
  <c r="AR26" i="332"/>
  <c r="AR25" i="332"/>
  <c r="AR24" i="332"/>
  <c r="AR23" i="332"/>
  <c r="AR22" i="332"/>
  <c r="AR21" i="332"/>
  <c r="L83" i="332"/>
  <c r="AO27" i="332"/>
  <c r="AP28" i="332"/>
  <c r="L85" i="332"/>
  <c r="AO28" i="332"/>
  <c r="AP27" i="332"/>
  <c r="L76" i="332"/>
  <c r="AO25" i="332"/>
  <c r="AP26" i="332"/>
  <c r="L78" i="332"/>
  <c r="AO26" i="332"/>
  <c r="AP25" i="332"/>
  <c r="L69" i="332"/>
  <c r="AO23" i="332"/>
  <c r="AP24" i="332"/>
  <c r="L71" i="332"/>
  <c r="AO24" i="332"/>
  <c r="AP23" i="332"/>
  <c r="K68" i="332"/>
  <c r="K70" i="332"/>
  <c r="K75" i="332"/>
  <c r="K77" i="332"/>
  <c r="K82" i="332"/>
  <c r="K84" i="332"/>
  <c r="AN28" i="332"/>
  <c r="AN27" i="332"/>
  <c r="AN26" i="332"/>
  <c r="AN25" i="332"/>
  <c r="AN24" i="332"/>
  <c r="AN23" i="332"/>
  <c r="AN22" i="332"/>
  <c r="AN21" i="332"/>
  <c r="M85" i="332"/>
  <c r="M84" i="332"/>
  <c r="M83" i="332"/>
  <c r="M82" i="332"/>
  <c r="M78" i="332"/>
  <c r="M77" i="332"/>
  <c r="M76" i="332"/>
  <c r="M75" i="332"/>
  <c r="M71" i="332"/>
  <c r="M70" i="332"/>
  <c r="M69" i="332"/>
  <c r="M68" i="332"/>
  <c r="M64" i="332"/>
  <c r="M63" i="332"/>
  <c r="AO22" i="332"/>
  <c r="L59" i="332"/>
  <c r="AO21" i="332"/>
  <c r="L71" i="331"/>
  <c r="R78" i="331"/>
  <c r="X78" i="331"/>
  <c r="L84" i="331"/>
  <c r="R80" i="331"/>
  <c r="X80" i="331"/>
  <c r="AG28" i="331"/>
  <c r="AG27" i="331"/>
  <c r="L69" i="331"/>
  <c r="R66" i="331"/>
  <c r="X73" i="331"/>
  <c r="AG26" i="331"/>
  <c r="L82" i="331"/>
  <c r="R73" i="331"/>
  <c r="X71" i="331"/>
  <c r="AG25" i="331"/>
  <c r="L77" i="331"/>
  <c r="R71" i="331"/>
  <c r="X66" i="331"/>
  <c r="AG24" i="331"/>
  <c r="L64" i="331"/>
  <c r="R64" i="331"/>
  <c r="X64" i="331"/>
  <c r="AG23" i="331"/>
  <c r="AG27" i="332"/>
  <c r="AG26" i="332"/>
  <c r="AG25" i="332"/>
  <c r="AG24" i="332"/>
  <c r="M59" i="332"/>
  <c r="M58" i="332"/>
  <c r="L57" i="332"/>
  <c r="M57" i="332"/>
  <c r="M56" i="332"/>
  <c r="L52" i="332"/>
  <c r="M52" i="332"/>
  <c r="M51" i="332"/>
  <c r="L50" i="332"/>
  <c r="M50" i="332"/>
  <c r="M49" i="332"/>
  <c r="L45" i="332"/>
  <c r="M45" i="332"/>
  <c r="M44" i="332"/>
  <c r="L43" i="332"/>
  <c r="M43" i="332"/>
  <c r="M42" i="332"/>
  <c r="L38" i="332"/>
  <c r="M38" i="332"/>
  <c r="M37" i="332"/>
  <c r="L36" i="332"/>
  <c r="M36" i="332"/>
  <c r="M35" i="332"/>
  <c r="L31" i="332"/>
  <c r="R31" i="332"/>
  <c r="X31" i="332"/>
  <c r="Y31" i="332"/>
  <c r="S31" i="332"/>
  <c r="M31" i="332"/>
  <c r="AG30" i="332"/>
  <c r="AJ30" i="332"/>
  <c r="AI30" i="332"/>
  <c r="AH30" i="332"/>
  <c r="Y30" i="332"/>
  <c r="Q7" i="332"/>
  <c r="W7" i="332"/>
  <c r="W9" i="332"/>
  <c r="W14" i="332"/>
  <c r="W16" i="332"/>
  <c r="W21" i="332"/>
  <c r="W23" i="332"/>
  <c r="W28" i="332"/>
  <c r="W30" i="332"/>
  <c r="S30" i="332"/>
  <c r="Q9" i="332"/>
  <c r="Q14" i="332"/>
  <c r="Q16" i="332"/>
  <c r="Q21" i="332"/>
  <c r="Q23" i="332"/>
  <c r="Q28" i="332"/>
  <c r="Q30" i="332"/>
  <c r="M30" i="332"/>
  <c r="AJ29" i="332"/>
  <c r="AI29" i="332"/>
  <c r="AH29" i="332"/>
  <c r="L10" i="332"/>
  <c r="R22" i="332"/>
  <c r="X29" i="332"/>
  <c r="Y29" i="332"/>
  <c r="L24" i="332"/>
  <c r="R29" i="332"/>
  <c r="S29" i="332"/>
  <c r="L29" i="332"/>
  <c r="M29" i="332"/>
  <c r="AJ28" i="332"/>
  <c r="AI28" i="332"/>
  <c r="AH28" i="332"/>
  <c r="Y28" i="332"/>
  <c r="S28" i="332"/>
  <c r="M28" i="332"/>
  <c r="E28" i="332"/>
  <c r="AX27" i="332"/>
  <c r="AJ27" i="332"/>
  <c r="AI27" i="332"/>
  <c r="AH27" i="332"/>
  <c r="E27" i="332"/>
  <c r="AX26" i="332"/>
  <c r="AJ26" i="332"/>
  <c r="AI26" i="332"/>
  <c r="AH26" i="332"/>
  <c r="E26" i="332"/>
  <c r="AX25" i="332"/>
  <c r="AJ25" i="332"/>
  <c r="AI25" i="332"/>
  <c r="AH25" i="332"/>
  <c r="E25" i="332"/>
  <c r="AX24" i="332"/>
  <c r="AJ24" i="332"/>
  <c r="AI24" i="332"/>
  <c r="AH24" i="332"/>
  <c r="X24" i="332"/>
  <c r="Y24" i="332"/>
  <c r="L17" i="332"/>
  <c r="R24" i="332"/>
  <c r="S24" i="332"/>
  <c r="M24" i="332"/>
  <c r="E24" i="332"/>
  <c r="AX23" i="332"/>
  <c r="AG23" i="332"/>
  <c r="AJ23" i="332"/>
  <c r="AI23" i="332"/>
  <c r="AH23" i="332"/>
  <c r="Y23" i="332"/>
  <c r="S23" i="332"/>
  <c r="M23" i="332"/>
  <c r="E23" i="332"/>
  <c r="AX22" i="332"/>
  <c r="AG22" i="332"/>
  <c r="AJ22" i="332"/>
  <c r="AI22" i="332"/>
  <c r="AH22" i="332"/>
  <c r="X22" i="332"/>
  <c r="Y22" i="332"/>
  <c r="S22" i="332"/>
  <c r="L22" i="332"/>
  <c r="M22" i="332"/>
  <c r="E22" i="332"/>
  <c r="AW20" i="332"/>
  <c r="AX21" i="332"/>
  <c r="AW21" i="332"/>
  <c r="AS20" i="332"/>
  <c r="AT21" i="332"/>
  <c r="AO20" i="332"/>
  <c r="AP21" i="332"/>
  <c r="AG21" i="332"/>
  <c r="AJ21" i="332"/>
  <c r="AI21" i="332"/>
  <c r="AH21" i="332"/>
  <c r="Y21" i="332"/>
  <c r="S21" i="332"/>
  <c r="M21" i="332"/>
  <c r="E21" i="332"/>
  <c r="AX20" i="332"/>
  <c r="AV20" i="332"/>
  <c r="AT20" i="332"/>
  <c r="AR20" i="332"/>
  <c r="AP20" i="332"/>
  <c r="AN20" i="332"/>
  <c r="AG20" i="332"/>
  <c r="AJ20" i="332"/>
  <c r="AI20" i="332"/>
  <c r="AH20" i="332"/>
  <c r="E20" i="332"/>
  <c r="AW18" i="332"/>
  <c r="AX19" i="332"/>
  <c r="AW19" i="332"/>
  <c r="AV19" i="332"/>
  <c r="AS18" i="332"/>
  <c r="AT19" i="332"/>
  <c r="AS19" i="332"/>
  <c r="AR19" i="332"/>
  <c r="AO18" i="332"/>
  <c r="AP19" i="332"/>
  <c r="AO19" i="332"/>
  <c r="AN19" i="332"/>
  <c r="AG19" i="332"/>
  <c r="AJ19" i="332"/>
  <c r="AI19" i="332"/>
  <c r="AH19" i="332"/>
  <c r="E19" i="332"/>
  <c r="AX18" i="332"/>
  <c r="AV18" i="332"/>
  <c r="AT18" i="332"/>
  <c r="AR18" i="332"/>
  <c r="AP18" i="332"/>
  <c r="AN18" i="332"/>
  <c r="AG18" i="332"/>
  <c r="AJ18" i="332"/>
  <c r="AI18" i="332"/>
  <c r="AH18" i="332"/>
  <c r="E18" i="332"/>
  <c r="AW16" i="332"/>
  <c r="AX17" i="332"/>
  <c r="AW17" i="332"/>
  <c r="AV17" i="332"/>
  <c r="AS16" i="332"/>
  <c r="AT17" i="332"/>
  <c r="AS17" i="332"/>
  <c r="AR17" i="332"/>
  <c r="AO16" i="332"/>
  <c r="AP17" i="332"/>
  <c r="AO17" i="332"/>
  <c r="AN17" i="332"/>
  <c r="AG17" i="332"/>
  <c r="AJ17" i="332"/>
  <c r="AI17" i="332"/>
  <c r="AH17" i="332"/>
  <c r="R15" i="332"/>
  <c r="X17" i="332"/>
  <c r="Y17" i="332"/>
  <c r="R17" i="332"/>
  <c r="S17" i="332"/>
  <c r="M17" i="332"/>
  <c r="E17" i="332"/>
  <c r="AX16" i="332"/>
  <c r="AV16" i="332"/>
  <c r="AT16" i="332"/>
  <c r="AR16" i="332"/>
  <c r="AP16" i="332"/>
  <c r="AN16" i="332"/>
  <c r="AG16" i="332"/>
  <c r="AJ16" i="332"/>
  <c r="AI16" i="332"/>
  <c r="AH16" i="332"/>
  <c r="Y16" i="332"/>
  <c r="S16" i="332"/>
  <c r="M16" i="332"/>
  <c r="E16" i="332"/>
  <c r="AW14" i="332"/>
  <c r="AX15" i="332"/>
  <c r="AW15" i="332"/>
  <c r="AV15" i="332"/>
  <c r="AS14" i="332"/>
  <c r="AT15" i="332"/>
  <c r="AS15" i="332"/>
  <c r="AR15" i="332"/>
  <c r="AO14" i="332"/>
  <c r="AP15" i="332"/>
  <c r="AO15" i="332"/>
  <c r="AN15" i="332"/>
  <c r="AG15" i="332"/>
  <c r="AJ15" i="332"/>
  <c r="AI15" i="332"/>
  <c r="AH15" i="332"/>
  <c r="L15" i="332"/>
  <c r="R10" i="332"/>
  <c r="X15" i="332"/>
  <c r="Y15" i="332"/>
  <c r="S15" i="332"/>
  <c r="M15" i="332"/>
  <c r="E15" i="332"/>
  <c r="AX14" i="332"/>
  <c r="AV14" i="332"/>
  <c r="AT14" i="332"/>
  <c r="AR14" i="332"/>
  <c r="AP14" i="332"/>
  <c r="AN14" i="332"/>
  <c r="AG14" i="332"/>
  <c r="AJ14" i="332"/>
  <c r="AI14" i="332"/>
  <c r="AH14" i="332"/>
  <c r="Y14" i="332"/>
  <c r="S14" i="332"/>
  <c r="M14" i="332"/>
  <c r="E14" i="332"/>
  <c r="AW12" i="332"/>
  <c r="AX13" i="332"/>
  <c r="AW13" i="332"/>
  <c r="AV13" i="332"/>
  <c r="AS12" i="332"/>
  <c r="AT13" i="332"/>
  <c r="AS13" i="332"/>
  <c r="AR13" i="332"/>
  <c r="AO12" i="332"/>
  <c r="AP13" i="332"/>
  <c r="AO13" i="332"/>
  <c r="AN13" i="332"/>
  <c r="AG13" i="332"/>
  <c r="AJ13" i="332"/>
  <c r="AI13" i="332"/>
  <c r="AH13" i="332"/>
  <c r="E13" i="332"/>
  <c r="AX12" i="332"/>
  <c r="AV12" i="332"/>
  <c r="AT12" i="332"/>
  <c r="AR12" i="332"/>
  <c r="AP12" i="332"/>
  <c r="AN12" i="332"/>
  <c r="AG12" i="332"/>
  <c r="AJ12" i="332"/>
  <c r="AI12" i="332"/>
  <c r="AH12" i="332"/>
  <c r="E12" i="332"/>
  <c r="AW10" i="332"/>
  <c r="AX11" i="332"/>
  <c r="AW11" i="332"/>
  <c r="AV11" i="332"/>
  <c r="AS10" i="332"/>
  <c r="AT11" i="332"/>
  <c r="AS11" i="332"/>
  <c r="AR11" i="332"/>
  <c r="AO10" i="332"/>
  <c r="AP11" i="332"/>
  <c r="AO11" i="332"/>
  <c r="AN11" i="332"/>
  <c r="AG11" i="332"/>
  <c r="AJ11" i="332"/>
  <c r="AI11" i="332"/>
  <c r="AH11" i="332"/>
  <c r="E11" i="332"/>
  <c r="AX10" i="332"/>
  <c r="AV10" i="332"/>
  <c r="AT10" i="332"/>
  <c r="AR10" i="332"/>
  <c r="AP10" i="332"/>
  <c r="AN10" i="332"/>
  <c r="AG10" i="332"/>
  <c r="AJ10" i="332"/>
  <c r="AI10" i="332"/>
  <c r="AH10" i="332"/>
  <c r="X10" i="332"/>
  <c r="Y10" i="332"/>
  <c r="S10" i="332"/>
  <c r="M10" i="332"/>
  <c r="E10" i="332"/>
  <c r="AW8" i="332"/>
  <c r="AX9" i="332"/>
  <c r="AW9" i="332"/>
  <c r="AV9" i="332"/>
  <c r="AS8" i="332"/>
  <c r="AT9" i="332"/>
  <c r="AS9" i="332"/>
  <c r="AR9" i="332"/>
  <c r="AO8" i="332"/>
  <c r="AP9" i="332"/>
  <c r="AO9" i="332"/>
  <c r="AN9" i="332"/>
  <c r="AG9" i="332"/>
  <c r="AJ9" i="332"/>
  <c r="AI9" i="332"/>
  <c r="AH9" i="332"/>
  <c r="Y9" i="332"/>
  <c r="S9" i="332"/>
  <c r="M9" i="332"/>
  <c r="E9" i="332"/>
  <c r="AX8" i="332"/>
  <c r="AV8" i="332"/>
  <c r="AT8" i="332"/>
  <c r="AR8" i="332"/>
  <c r="AP8" i="332"/>
  <c r="AN8" i="332"/>
  <c r="AG8" i="332"/>
  <c r="AJ8" i="332"/>
  <c r="AI8" i="332"/>
  <c r="AH8" i="332"/>
  <c r="L8" i="332"/>
  <c r="R8" i="332"/>
  <c r="X8" i="332"/>
  <c r="Y8" i="332"/>
  <c r="S8" i="332"/>
  <c r="M8" i="332"/>
  <c r="E8" i="332"/>
  <c r="AW6" i="332"/>
  <c r="AX7" i="332"/>
  <c r="AW7" i="332"/>
  <c r="AV7" i="332"/>
  <c r="AS6" i="332"/>
  <c r="AT7" i="332"/>
  <c r="AS7" i="332"/>
  <c r="AR7" i="332"/>
  <c r="AO6" i="332"/>
  <c r="AP7" i="332"/>
  <c r="AO7" i="332"/>
  <c r="AN7" i="332"/>
  <c r="AG7" i="332"/>
  <c r="AJ7" i="332"/>
  <c r="AI7" i="332"/>
  <c r="AH7" i="332"/>
  <c r="Y7" i="332"/>
  <c r="S7" i="332"/>
  <c r="M7" i="332"/>
  <c r="E7" i="332"/>
  <c r="AX6" i="332"/>
  <c r="AV6" i="332"/>
  <c r="AT6" i="332"/>
  <c r="AR6" i="332"/>
  <c r="AP6" i="332"/>
  <c r="AN6" i="332"/>
  <c r="E6" i="332"/>
  <c r="E5" i="332"/>
  <c r="AF3" i="332"/>
  <c r="N3" i="332"/>
  <c r="AF2" i="332"/>
  <c r="K2" i="332"/>
  <c r="AF1" i="332"/>
  <c r="K1" i="332"/>
  <c r="AW26" i="331"/>
  <c r="AX27" i="331"/>
  <c r="AW27" i="331"/>
  <c r="AX26" i="331"/>
  <c r="AW24" i="331"/>
  <c r="AX25" i="331"/>
  <c r="AW25" i="331"/>
  <c r="AX24" i="331"/>
  <c r="AW22" i="331"/>
  <c r="AX23" i="331"/>
  <c r="AW23" i="331"/>
  <c r="AX22" i="331"/>
  <c r="AW20" i="331"/>
  <c r="AX21" i="331"/>
  <c r="AW21" i="331"/>
  <c r="AX20" i="331"/>
  <c r="AW18" i="331"/>
  <c r="AX19" i="331"/>
  <c r="AW19" i="331"/>
  <c r="AX18" i="331"/>
  <c r="AW16" i="331"/>
  <c r="AX17" i="331"/>
  <c r="AW17" i="331"/>
  <c r="AX16" i="331"/>
  <c r="AW14" i="331"/>
  <c r="AX15" i="331"/>
  <c r="AW15" i="331"/>
  <c r="AX14" i="331"/>
  <c r="L10" i="331"/>
  <c r="R22" i="331"/>
  <c r="X29" i="331"/>
  <c r="AW12" i="331"/>
  <c r="AX13" i="331"/>
  <c r="L31" i="331"/>
  <c r="R31" i="331"/>
  <c r="X31" i="331"/>
  <c r="AW13" i="331"/>
  <c r="AX12" i="331"/>
  <c r="L17" i="331"/>
  <c r="R24" i="331"/>
  <c r="X22" i="331"/>
  <c r="AW10" i="331"/>
  <c r="AX11" i="331"/>
  <c r="L24" i="331"/>
  <c r="R29" i="331"/>
  <c r="X24" i="331"/>
  <c r="AW11" i="331"/>
  <c r="AX10" i="331"/>
  <c r="L15" i="331"/>
  <c r="R10" i="331"/>
  <c r="X15" i="331"/>
  <c r="AW8" i="331"/>
  <c r="AX9" i="331"/>
  <c r="L22" i="331"/>
  <c r="R15" i="331"/>
  <c r="X17" i="331"/>
  <c r="AW9" i="331"/>
  <c r="AX8" i="331"/>
  <c r="K37" i="331"/>
  <c r="K42" i="331"/>
  <c r="K44" i="331"/>
  <c r="K49" i="331"/>
  <c r="K51" i="331"/>
  <c r="K56" i="331"/>
  <c r="K58" i="331"/>
  <c r="K63" i="331"/>
  <c r="Q63" i="331"/>
  <c r="W63" i="331"/>
  <c r="W65" i="331"/>
  <c r="W70" i="331"/>
  <c r="W72" i="331"/>
  <c r="W77" i="331"/>
  <c r="AV26" i="331"/>
  <c r="W79" i="331"/>
  <c r="AV27" i="331"/>
  <c r="AV25" i="331"/>
  <c r="AV24" i="331"/>
  <c r="AV23" i="331"/>
  <c r="AV22" i="331"/>
  <c r="AV21" i="331"/>
  <c r="AS26" i="331"/>
  <c r="AT27" i="331"/>
  <c r="AS27" i="331"/>
  <c r="AT26" i="331"/>
  <c r="AS24" i="331"/>
  <c r="AT25" i="331"/>
  <c r="AS25" i="331"/>
  <c r="AT24" i="331"/>
  <c r="AS22" i="331"/>
  <c r="AT23" i="331"/>
  <c r="AS23" i="331"/>
  <c r="AT22" i="331"/>
  <c r="AS20" i="331"/>
  <c r="AT21" i="331"/>
  <c r="AS21" i="331"/>
  <c r="AT20" i="331"/>
  <c r="AS18" i="331"/>
  <c r="AT19" i="331"/>
  <c r="AS19" i="331"/>
  <c r="AT18" i="331"/>
  <c r="AS16" i="331"/>
  <c r="AT17" i="331"/>
  <c r="AS17" i="331"/>
  <c r="AT16" i="331"/>
  <c r="AS14" i="331"/>
  <c r="AT15" i="331"/>
  <c r="AS15" i="331"/>
  <c r="AT14" i="331"/>
  <c r="AS12" i="331"/>
  <c r="AT13" i="331"/>
  <c r="AS13" i="331"/>
  <c r="AT12" i="331"/>
  <c r="AS10" i="331"/>
  <c r="AT11" i="331"/>
  <c r="AS11" i="331"/>
  <c r="AT10" i="331"/>
  <c r="AS8" i="331"/>
  <c r="AT9" i="331"/>
  <c r="L29" i="331"/>
  <c r="R17" i="331"/>
  <c r="AS9" i="331"/>
  <c r="AT8" i="331"/>
  <c r="Q65" i="331"/>
  <c r="Q70" i="331"/>
  <c r="Q72" i="331"/>
  <c r="Q77" i="331"/>
  <c r="Q79" i="331"/>
  <c r="AR27" i="331"/>
  <c r="AR26" i="331"/>
  <c r="AO26" i="331"/>
  <c r="AP27" i="331"/>
  <c r="AO27" i="331"/>
  <c r="AP26" i="331"/>
  <c r="AO23" i="331"/>
  <c r="AP24" i="331"/>
  <c r="AO24" i="331"/>
  <c r="AP23" i="331"/>
  <c r="AO25" i="331"/>
  <c r="AO22" i="331"/>
  <c r="K68" i="331"/>
  <c r="K70" i="331"/>
  <c r="K76" i="331"/>
  <c r="K81" i="331"/>
  <c r="K83" i="331"/>
  <c r="AN27" i="331"/>
  <c r="AN26" i="331"/>
  <c r="AN25" i="331"/>
  <c r="AN24" i="331"/>
  <c r="AN23" i="331"/>
  <c r="AN22" i="331"/>
  <c r="AN21" i="331"/>
  <c r="AN6" i="331"/>
  <c r="M84" i="331"/>
  <c r="M83" i="331"/>
  <c r="M82" i="331"/>
  <c r="M81" i="331"/>
  <c r="Y80" i="331"/>
  <c r="S80" i="331"/>
  <c r="Y79" i="331"/>
  <c r="S79" i="331"/>
  <c r="Y78" i="331"/>
  <c r="S78" i="331"/>
  <c r="Y77" i="331"/>
  <c r="S77" i="331"/>
  <c r="M77" i="331"/>
  <c r="M76" i="331"/>
  <c r="Y73" i="331"/>
  <c r="S73" i="331"/>
  <c r="Y72" i="331"/>
  <c r="S72" i="331"/>
  <c r="Y71" i="331"/>
  <c r="S71" i="331"/>
  <c r="M71" i="331"/>
  <c r="Y70" i="331"/>
  <c r="S70" i="331"/>
  <c r="M70" i="331"/>
  <c r="M69" i="331"/>
  <c r="M68" i="331"/>
  <c r="Y66" i="331"/>
  <c r="S66" i="331"/>
  <c r="Y65" i="331"/>
  <c r="S65" i="331"/>
  <c r="Y64" i="331"/>
  <c r="S64" i="331"/>
  <c r="M64" i="331"/>
  <c r="Y63" i="331"/>
  <c r="S63" i="331"/>
  <c r="M63" i="331"/>
  <c r="L59" i="331"/>
  <c r="M59" i="331"/>
  <c r="M58" i="331"/>
  <c r="L57" i="331"/>
  <c r="M57" i="331"/>
  <c r="M56" i="331"/>
  <c r="L52" i="331"/>
  <c r="M52" i="331"/>
  <c r="M51" i="331"/>
  <c r="L50" i="331"/>
  <c r="M50" i="331"/>
  <c r="M49" i="331"/>
  <c r="L45" i="331"/>
  <c r="M45" i="331"/>
  <c r="M44" i="331"/>
  <c r="L43" i="331"/>
  <c r="M43" i="331"/>
  <c r="M42" i="331"/>
  <c r="L38" i="331"/>
  <c r="M38" i="331"/>
  <c r="M37" i="331"/>
  <c r="L36" i="331"/>
  <c r="M36" i="331"/>
  <c r="M35" i="331"/>
  <c r="Y31" i="331"/>
  <c r="S31" i="331"/>
  <c r="M31" i="331"/>
  <c r="AG30" i="331"/>
  <c r="AJ30" i="331"/>
  <c r="AI30" i="331"/>
  <c r="AH30" i="331"/>
  <c r="Y30" i="331"/>
  <c r="Q7" i="331"/>
  <c r="W7" i="331"/>
  <c r="W9" i="331"/>
  <c r="W14" i="331"/>
  <c r="W16" i="331"/>
  <c r="W21" i="331"/>
  <c r="W23" i="331"/>
  <c r="W28" i="331"/>
  <c r="W30" i="331"/>
  <c r="S30" i="331"/>
  <c r="Q9" i="331"/>
  <c r="Q14" i="331"/>
  <c r="Q16" i="331"/>
  <c r="Q21" i="331"/>
  <c r="Q23" i="331"/>
  <c r="Q28" i="331"/>
  <c r="Q30" i="331"/>
  <c r="M30" i="331"/>
  <c r="AG29" i="331"/>
  <c r="AJ29" i="331"/>
  <c r="AI29" i="331"/>
  <c r="AH29" i="331"/>
  <c r="Y29" i="331"/>
  <c r="S29" i="331"/>
  <c r="M29" i="331"/>
  <c r="AJ28" i="331"/>
  <c r="AI28" i="331"/>
  <c r="AH28" i="331"/>
  <c r="Y28" i="331"/>
  <c r="S28" i="331"/>
  <c r="M28" i="331"/>
  <c r="E28" i="331"/>
  <c r="AJ27" i="331"/>
  <c r="AI27" i="331"/>
  <c r="AH27" i="331"/>
  <c r="E27" i="331"/>
  <c r="AJ26" i="331"/>
  <c r="AI26" i="331"/>
  <c r="AH26" i="331"/>
  <c r="E26" i="331"/>
  <c r="AR25" i="331"/>
  <c r="AJ25" i="331"/>
  <c r="AI25" i="331"/>
  <c r="AH25" i="331"/>
  <c r="E25" i="331"/>
  <c r="AR24" i="331"/>
  <c r="AJ24" i="331"/>
  <c r="AI24" i="331"/>
  <c r="AH24" i="331"/>
  <c r="Y24" i="331"/>
  <c r="S24" i="331"/>
  <c r="M24" i="331"/>
  <c r="E24" i="331"/>
  <c r="AR23" i="331"/>
  <c r="AJ23" i="331"/>
  <c r="AI23" i="331"/>
  <c r="AH23" i="331"/>
  <c r="Y23" i="331"/>
  <c r="S23" i="331"/>
  <c r="M23" i="331"/>
  <c r="E23" i="331"/>
  <c r="AR22" i="331"/>
  <c r="AG22" i="331"/>
  <c r="AJ22" i="331"/>
  <c r="AI22" i="331"/>
  <c r="AH22" i="331"/>
  <c r="Y22" i="331"/>
  <c r="S22" i="331"/>
  <c r="M22" i="331"/>
  <c r="E22" i="331"/>
  <c r="AR21" i="331"/>
  <c r="AO20" i="331"/>
  <c r="AP21" i="331"/>
  <c r="AO21" i="331"/>
  <c r="AG21" i="331"/>
  <c r="AJ21" i="331"/>
  <c r="AI21" i="331"/>
  <c r="AH21" i="331"/>
  <c r="Y21" i="331"/>
  <c r="S21" i="331"/>
  <c r="M21" i="331"/>
  <c r="E21" i="331"/>
  <c r="AV20" i="331"/>
  <c r="AR20" i="331"/>
  <c r="AP20" i="331"/>
  <c r="AN20" i="331"/>
  <c r="AG20" i="331"/>
  <c r="AJ20" i="331"/>
  <c r="AI20" i="331"/>
  <c r="AH20" i="331"/>
  <c r="E20" i="331"/>
  <c r="AV19" i="331"/>
  <c r="AR19" i="331"/>
  <c r="AO18" i="331"/>
  <c r="AP19" i="331"/>
  <c r="AO19" i="331"/>
  <c r="AN19" i="331"/>
  <c r="AG19" i="331"/>
  <c r="AJ19" i="331"/>
  <c r="AI19" i="331"/>
  <c r="AH19" i="331"/>
  <c r="E19" i="331"/>
  <c r="AV18" i="331"/>
  <c r="AR18" i="331"/>
  <c r="AP18" i="331"/>
  <c r="AN18" i="331"/>
  <c r="AG18" i="331"/>
  <c r="AJ18" i="331"/>
  <c r="AI18" i="331"/>
  <c r="AH18" i="331"/>
  <c r="E18" i="331"/>
  <c r="AV17" i="331"/>
  <c r="AR17" i="331"/>
  <c r="AO16" i="331"/>
  <c r="AP17" i="331"/>
  <c r="AO17" i="331"/>
  <c r="AN17" i="331"/>
  <c r="AG17" i="331"/>
  <c r="AJ17" i="331"/>
  <c r="AI17" i="331"/>
  <c r="AH17" i="331"/>
  <c r="Y17" i="331"/>
  <c r="S17" i="331"/>
  <c r="M17" i="331"/>
  <c r="E17" i="331"/>
  <c r="AV16" i="331"/>
  <c r="AR16" i="331"/>
  <c r="AP16" i="331"/>
  <c r="AN16" i="331"/>
  <c r="AG16" i="331"/>
  <c r="AJ16" i="331"/>
  <c r="AI16" i="331"/>
  <c r="AH16" i="331"/>
  <c r="Y16" i="331"/>
  <c r="S16" i="331"/>
  <c r="M16" i="331"/>
  <c r="E16" i="331"/>
  <c r="AV15" i="331"/>
  <c r="AR15" i="331"/>
  <c r="AO14" i="331"/>
  <c r="AP15" i="331"/>
  <c r="AO15" i="331"/>
  <c r="AN15" i="331"/>
  <c r="AG15" i="331"/>
  <c r="AJ15" i="331"/>
  <c r="AI15" i="331"/>
  <c r="AH15" i="331"/>
  <c r="Y15" i="331"/>
  <c r="S15" i="331"/>
  <c r="M15" i="331"/>
  <c r="E15" i="331"/>
  <c r="AV14" i="331"/>
  <c r="AR14" i="331"/>
  <c r="AP14" i="331"/>
  <c r="AN14" i="331"/>
  <c r="AG14" i="331"/>
  <c r="AJ14" i="331"/>
  <c r="AI14" i="331"/>
  <c r="AH14" i="331"/>
  <c r="Y14" i="331"/>
  <c r="S14" i="331"/>
  <c r="M14" i="331"/>
  <c r="E14" i="331"/>
  <c r="AV13" i="331"/>
  <c r="AR13" i="331"/>
  <c r="AO12" i="331"/>
  <c r="AP13" i="331"/>
  <c r="AO13" i="331"/>
  <c r="AN13" i="331"/>
  <c r="AG13" i="331"/>
  <c r="AJ13" i="331"/>
  <c r="AI13" i="331"/>
  <c r="AH13" i="331"/>
  <c r="E13" i="331"/>
  <c r="AV12" i="331"/>
  <c r="AR12" i="331"/>
  <c r="AP12" i="331"/>
  <c r="AN12" i="331"/>
  <c r="AG12" i="331"/>
  <c r="AJ12" i="331"/>
  <c r="AI12" i="331"/>
  <c r="AH12" i="331"/>
  <c r="E12" i="331"/>
  <c r="AV11" i="331"/>
  <c r="AR11" i="331"/>
  <c r="AO10" i="331"/>
  <c r="AP11" i="331"/>
  <c r="AO11" i="331"/>
  <c r="AN11" i="331"/>
  <c r="AG11" i="331"/>
  <c r="AJ11" i="331"/>
  <c r="AI11" i="331"/>
  <c r="AH11" i="331"/>
  <c r="E11" i="331"/>
  <c r="AV10" i="331"/>
  <c r="AR10" i="331"/>
  <c r="AP10" i="331"/>
  <c r="AN10" i="331"/>
  <c r="AG10" i="331"/>
  <c r="AJ10" i="331"/>
  <c r="AI10" i="331"/>
  <c r="AH10" i="331"/>
  <c r="X10" i="331"/>
  <c r="Y10" i="331"/>
  <c r="S10" i="331"/>
  <c r="M10" i="331"/>
  <c r="E10" i="331"/>
  <c r="AV9" i="331"/>
  <c r="AR9" i="331"/>
  <c r="AO8" i="331"/>
  <c r="AP9" i="331"/>
  <c r="AO9" i="331"/>
  <c r="AN9" i="331"/>
  <c r="AG9" i="331"/>
  <c r="AJ9" i="331"/>
  <c r="AI9" i="331"/>
  <c r="AH9" i="331"/>
  <c r="Y9" i="331"/>
  <c r="S9" i="331"/>
  <c r="M9" i="331"/>
  <c r="E9" i="331"/>
  <c r="AV8" i="331"/>
  <c r="AR8" i="331"/>
  <c r="AP8" i="331"/>
  <c r="AN8" i="331"/>
  <c r="AG8" i="331"/>
  <c r="AJ8" i="331"/>
  <c r="AI8" i="331"/>
  <c r="AH8" i="331"/>
  <c r="L8" i="331"/>
  <c r="R8" i="331"/>
  <c r="X8" i="331"/>
  <c r="Y8" i="331"/>
  <c r="S8" i="331"/>
  <c r="M8" i="331"/>
  <c r="E8" i="331"/>
  <c r="AW6" i="331"/>
  <c r="AX7" i="331"/>
  <c r="AW7" i="331"/>
  <c r="AV7" i="331"/>
  <c r="AS6" i="331"/>
  <c r="AT7" i="331"/>
  <c r="AS7" i="331"/>
  <c r="AR7" i="331"/>
  <c r="AO6" i="331"/>
  <c r="AP7" i="331"/>
  <c r="AO7" i="331"/>
  <c r="AN7" i="331"/>
  <c r="AG7" i="331"/>
  <c r="AJ7" i="331"/>
  <c r="AI7" i="331"/>
  <c r="AH7" i="331"/>
  <c r="Y7" i="331"/>
  <c r="S7" i="331"/>
  <c r="M7" i="331"/>
  <c r="E7" i="331"/>
  <c r="AX6" i="331"/>
  <c r="AV6" i="331"/>
  <c r="AT6" i="331"/>
  <c r="AR6" i="331"/>
  <c r="AP6" i="331"/>
  <c r="E6" i="331"/>
  <c r="E5" i="331"/>
  <c r="AF3" i="331"/>
  <c r="N3" i="331"/>
  <c r="AF2" i="331"/>
  <c r="K2" i="331"/>
  <c r="AF1" i="331"/>
  <c r="K1" i="331"/>
  <c r="AE720" i="323"/>
  <c r="Z699" i="323"/>
  <c r="Y698" i="323"/>
  <c r="Z698" i="323"/>
  <c r="B6" i="10"/>
  <c r="N3" i="32"/>
  <c r="C6" i="10"/>
  <c r="O3" i="32"/>
  <c r="AO3" i="32"/>
  <c r="AP3" i="32"/>
  <c r="B10" i="10"/>
  <c r="N4" i="32"/>
  <c r="C10" i="10"/>
  <c r="O4" i="32"/>
  <c r="AO4" i="32"/>
  <c r="AP4" i="32"/>
  <c r="B14" i="10"/>
  <c r="N5" i="32"/>
  <c r="C14" i="10"/>
  <c r="O5" i="32"/>
  <c r="AO5" i="32"/>
  <c r="AP5" i="32"/>
  <c r="B18" i="10"/>
  <c r="N6" i="32"/>
  <c r="C18" i="10"/>
  <c r="O6" i="32"/>
  <c r="AO6" i="32"/>
  <c r="AP6" i="32"/>
  <c r="AQ3" i="32"/>
  <c r="AR3" i="32"/>
  <c r="H1" i="3"/>
  <c r="H3" i="3"/>
  <c r="H2" i="3"/>
  <c r="H4" i="3"/>
  <c r="B8" i="3"/>
  <c r="B9" i="3"/>
  <c r="B10" i="3"/>
  <c r="B11" i="3"/>
  <c r="B12" i="3"/>
  <c r="B13" i="3"/>
  <c r="E13" i="3"/>
  <c r="B14" i="3"/>
  <c r="B15" i="3"/>
  <c r="B16" i="3"/>
  <c r="B17" i="3"/>
  <c r="E17" i="3"/>
  <c r="E15" i="3"/>
  <c r="E14" i="3"/>
  <c r="E8" i="3"/>
  <c r="E7" i="3"/>
  <c r="E6" i="3"/>
  <c r="E9" i="3"/>
  <c r="E10" i="3"/>
  <c r="N13" i="3"/>
  <c r="N9" i="3"/>
  <c r="E11" i="3"/>
  <c r="N11" i="3"/>
  <c r="N10" i="3"/>
  <c r="H9" i="3"/>
  <c r="H11" i="3"/>
  <c r="F10" i="3"/>
  <c r="E12" i="3"/>
  <c r="N12" i="3"/>
  <c r="F11" i="3"/>
  <c r="F12" i="3"/>
  <c r="N14" i="3"/>
  <c r="F13" i="3"/>
  <c r="N17" i="3"/>
  <c r="N15" i="3"/>
  <c r="F14" i="3"/>
  <c r="E16" i="3"/>
  <c r="N16" i="3"/>
  <c r="F15" i="3"/>
  <c r="F16" i="3"/>
  <c r="B18" i="3"/>
  <c r="E18" i="3"/>
  <c r="N18" i="3"/>
  <c r="F17" i="3"/>
  <c r="B19" i="3"/>
  <c r="E19" i="3"/>
  <c r="N19" i="3"/>
  <c r="F18" i="3"/>
  <c r="B20" i="3"/>
  <c r="E20" i="3"/>
  <c r="N20" i="3"/>
  <c r="F19" i="3"/>
  <c r="F20" i="3"/>
  <c r="K6" i="7"/>
  <c r="J6" i="10"/>
  <c r="V3" i="32"/>
  <c r="AZ3" i="32"/>
  <c r="K7" i="7"/>
  <c r="J7" i="10"/>
  <c r="AB3" i="32"/>
  <c r="BF3" i="32"/>
  <c r="K8" i="7"/>
  <c r="J8" i="10"/>
  <c r="AH3" i="32"/>
  <c r="BL3" i="32"/>
  <c r="K9" i="7"/>
  <c r="J9" i="10"/>
  <c r="AN3" i="32"/>
  <c r="BR3" i="32"/>
  <c r="BS3" i="32"/>
  <c r="AQ4" i="32"/>
  <c r="AR4" i="32"/>
  <c r="K10" i="7"/>
  <c r="J10" i="10"/>
  <c r="V4" i="32"/>
  <c r="AZ4" i="32"/>
  <c r="K11" i="7"/>
  <c r="J11" i="10"/>
  <c r="AB4" i="32"/>
  <c r="BF4" i="32"/>
  <c r="K12" i="7"/>
  <c r="J12" i="10"/>
  <c r="AH4" i="32"/>
  <c r="BL4" i="32"/>
  <c r="K13" i="7"/>
  <c r="J13" i="10"/>
  <c r="AN4" i="32"/>
  <c r="BR4" i="32"/>
  <c r="BS4" i="32"/>
  <c r="AQ5" i="32"/>
  <c r="AR5" i="32"/>
  <c r="K14" i="7"/>
  <c r="J14" i="10"/>
  <c r="V5" i="32"/>
  <c r="AZ5" i="32"/>
  <c r="K15" i="7"/>
  <c r="J15" i="10"/>
  <c r="AB5" i="32"/>
  <c r="BF5" i="32"/>
  <c r="K16" i="7"/>
  <c r="J16" i="10"/>
  <c r="AH5" i="32"/>
  <c r="BL5" i="32"/>
  <c r="K17" i="7"/>
  <c r="J17" i="10"/>
  <c r="AN5" i="32"/>
  <c r="BR5" i="32"/>
  <c r="BS5" i="32"/>
  <c r="AQ6" i="32"/>
  <c r="AR6" i="32"/>
  <c r="K18" i="7"/>
  <c r="J18" i="10"/>
  <c r="V6" i="32"/>
  <c r="AZ6" i="32"/>
  <c r="K19" i="7"/>
  <c r="J19" i="10"/>
  <c r="AB6" i="32"/>
  <c r="BF6" i="32"/>
  <c r="K20" i="7"/>
  <c r="J20" i="10"/>
  <c r="AH6" i="32"/>
  <c r="BL6" i="32"/>
  <c r="K21" i="7"/>
  <c r="J21" i="10"/>
  <c r="AN6" i="32"/>
  <c r="BR6" i="32"/>
  <c r="BS6" i="32"/>
  <c r="B22" i="10"/>
  <c r="N7" i="32"/>
  <c r="C22" i="10"/>
  <c r="O7" i="32"/>
  <c r="AO7" i="32"/>
  <c r="AP7" i="32"/>
  <c r="AQ7" i="32"/>
  <c r="AR7" i="32"/>
  <c r="K22" i="7"/>
  <c r="J22" i="10"/>
  <c r="V7" i="32"/>
  <c r="AZ7" i="32"/>
  <c r="K23" i="7"/>
  <c r="J23" i="10"/>
  <c r="AB7" i="32"/>
  <c r="BF7" i="32"/>
  <c r="K24" i="7"/>
  <c r="J24" i="10"/>
  <c r="AH7" i="32"/>
  <c r="BL7" i="32"/>
  <c r="K25" i="7"/>
  <c r="J25" i="10"/>
  <c r="AN7" i="32"/>
  <c r="BR7" i="32"/>
  <c r="BS7" i="32"/>
  <c r="B26" i="10"/>
  <c r="N8" i="32"/>
  <c r="C26" i="10"/>
  <c r="O8" i="32"/>
  <c r="AO8" i="32"/>
  <c r="AP8" i="32"/>
  <c r="AQ8" i="32"/>
  <c r="AR8" i="32"/>
  <c r="K26" i="7"/>
  <c r="J26" i="10"/>
  <c r="V8" i="32"/>
  <c r="AZ8" i="32"/>
  <c r="K27" i="7"/>
  <c r="J27" i="10"/>
  <c r="AB8" i="32"/>
  <c r="BF8" i="32"/>
  <c r="K28" i="7"/>
  <c r="J28" i="10"/>
  <c r="AH8" i="32"/>
  <c r="BL8" i="32"/>
  <c r="K29" i="7"/>
  <c r="J29" i="10"/>
  <c r="AN8" i="32"/>
  <c r="BR8" i="32"/>
  <c r="BS8" i="32"/>
  <c r="B30" i="10"/>
  <c r="N9" i="32"/>
  <c r="C30" i="10"/>
  <c r="O9" i="32"/>
  <c r="AO9" i="32"/>
  <c r="AP9" i="32"/>
  <c r="AQ9" i="32"/>
  <c r="AR9" i="32"/>
  <c r="K30" i="7"/>
  <c r="J30" i="10"/>
  <c r="V9" i="32"/>
  <c r="AZ9" i="32"/>
  <c r="K31" i="7"/>
  <c r="J31" i="10"/>
  <c r="AB9" i="32"/>
  <c r="BF9" i="32"/>
  <c r="K32" i="7"/>
  <c r="J32" i="10"/>
  <c r="AH9" i="32"/>
  <c r="BL9" i="32"/>
  <c r="K33" i="7"/>
  <c r="J33" i="10"/>
  <c r="AN9" i="32"/>
  <c r="BR9" i="32"/>
  <c r="BS9" i="32"/>
  <c r="B34" i="10"/>
  <c r="N10" i="32"/>
  <c r="C34" i="10"/>
  <c r="O10" i="32"/>
  <c r="AO10" i="32"/>
  <c r="AP10" i="32"/>
  <c r="AQ10" i="32"/>
  <c r="AR10" i="32"/>
  <c r="K34" i="7"/>
  <c r="J34" i="10"/>
  <c r="V10" i="32"/>
  <c r="AZ10" i="32"/>
  <c r="K35" i="7"/>
  <c r="J35" i="10"/>
  <c r="AB10" i="32"/>
  <c r="BF10" i="32"/>
  <c r="K36" i="7"/>
  <c r="J36" i="10"/>
  <c r="AH10" i="32"/>
  <c r="BL10" i="32"/>
  <c r="K37" i="7"/>
  <c r="J37" i="10"/>
  <c r="AN10" i="32"/>
  <c r="BR10" i="32"/>
  <c r="BS10" i="32"/>
  <c r="B38" i="10"/>
  <c r="N11" i="32"/>
  <c r="C38" i="10"/>
  <c r="O11" i="32"/>
  <c r="AO11" i="32"/>
  <c r="AP11" i="32"/>
  <c r="AQ11" i="32"/>
  <c r="AR11" i="32"/>
  <c r="K38" i="7"/>
  <c r="J38" i="10"/>
  <c r="V11" i="32"/>
  <c r="AZ11" i="32"/>
  <c r="K39" i="7"/>
  <c r="J39" i="10"/>
  <c r="AB11" i="32"/>
  <c r="BF11" i="32"/>
  <c r="K40" i="7"/>
  <c r="J40" i="10"/>
  <c r="AH11" i="32"/>
  <c r="BL11" i="32"/>
  <c r="K41" i="7"/>
  <c r="J41" i="10"/>
  <c r="AN11" i="32"/>
  <c r="BR11" i="32"/>
  <c r="BS11" i="32"/>
  <c r="B42" i="10"/>
  <c r="N12" i="32"/>
  <c r="C42" i="10"/>
  <c r="O12" i="32"/>
  <c r="AO12" i="32"/>
  <c r="AP12" i="32"/>
  <c r="AQ12" i="32"/>
  <c r="AR12" i="32"/>
  <c r="K42" i="7"/>
  <c r="J42" i="10"/>
  <c r="V12" i="32"/>
  <c r="AZ12" i="32"/>
  <c r="K43" i="7"/>
  <c r="J43" i="10"/>
  <c r="AB12" i="32"/>
  <c r="BF12" i="32"/>
  <c r="K44" i="7"/>
  <c r="J44" i="10"/>
  <c r="AH12" i="32"/>
  <c r="BL12" i="32"/>
  <c r="K45" i="7"/>
  <c r="J45" i="10"/>
  <c r="AN12" i="32"/>
  <c r="BR12" i="32"/>
  <c r="BS12" i="32"/>
  <c r="B46" i="10"/>
  <c r="N13" i="32"/>
  <c r="C46" i="10"/>
  <c r="O13" i="32"/>
  <c r="AO13" i="32"/>
  <c r="AP13" i="32"/>
  <c r="AQ13" i="32"/>
  <c r="AR13" i="32"/>
  <c r="K46" i="7"/>
  <c r="J46" i="10"/>
  <c r="V13" i="32"/>
  <c r="AZ13" i="32"/>
  <c r="K47" i="7"/>
  <c r="J47" i="10"/>
  <c r="AB13" i="32"/>
  <c r="BF13" i="32"/>
  <c r="K48" i="7"/>
  <c r="J48" i="10"/>
  <c r="AH13" i="32"/>
  <c r="BL13" i="32"/>
  <c r="K49" i="7"/>
  <c r="J49" i="10"/>
  <c r="AN13" i="32"/>
  <c r="BR13" i="32"/>
  <c r="BS13" i="32"/>
  <c r="B50" i="10"/>
  <c r="N14" i="32"/>
  <c r="C50" i="10"/>
  <c r="O14" i="32"/>
  <c r="AO14" i="32"/>
  <c r="AP14" i="32"/>
  <c r="AQ14" i="32"/>
  <c r="AR14" i="32"/>
  <c r="K50" i="7"/>
  <c r="J50" i="10"/>
  <c r="V14" i="32"/>
  <c r="AZ14" i="32"/>
  <c r="K51" i="7"/>
  <c r="J51" i="10"/>
  <c r="AB14" i="32"/>
  <c r="BF14" i="32"/>
  <c r="K52" i="7"/>
  <c r="J52" i="10"/>
  <c r="AH14" i="32"/>
  <c r="BL14" i="32"/>
  <c r="K53" i="7"/>
  <c r="J53" i="10"/>
  <c r="AN14" i="32"/>
  <c r="BR14" i="32"/>
  <c r="BS14" i="32"/>
  <c r="B54" i="10"/>
  <c r="N15" i="32"/>
  <c r="C54" i="10"/>
  <c r="O15" i="32"/>
  <c r="AO15" i="32"/>
  <c r="AP15" i="32"/>
  <c r="AQ15" i="32"/>
  <c r="AR15" i="32"/>
  <c r="K54" i="7"/>
  <c r="J54" i="10"/>
  <c r="V15" i="32"/>
  <c r="AZ15" i="32"/>
  <c r="K55" i="7"/>
  <c r="J55" i="10"/>
  <c r="AB15" i="32"/>
  <c r="BF15" i="32"/>
  <c r="K56" i="7"/>
  <c r="J56" i="10"/>
  <c r="AH15" i="32"/>
  <c r="BL15" i="32"/>
  <c r="K57" i="7"/>
  <c r="J57" i="10"/>
  <c r="AN15" i="32"/>
  <c r="BR15" i="32"/>
  <c r="BS15" i="32"/>
  <c r="B58" i="10"/>
  <c r="N16" i="32"/>
  <c r="C58" i="10"/>
  <c r="O16" i="32"/>
  <c r="AO16" i="32"/>
  <c r="AP16" i="32"/>
  <c r="B62" i="10"/>
  <c r="N17" i="32"/>
  <c r="C62" i="10"/>
  <c r="O17" i="32"/>
  <c r="AO17" i="32"/>
  <c r="AP17" i="32"/>
  <c r="B66" i="10"/>
  <c r="N18" i="32"/>
  <c r="C66" i="10"/>
  <c r="O18" i="32"/>
  <c r="AO18" i="32"/>
  <c r="AP18" i="32"/>
  <c r="B70" i="10"/>
  <c r="N19" i="32"/>
  <c r="C70" i="10"/>
  <c r="O19" i="32"/>
  <c r="AO19" i="32"/>
  <c r="AP19" i="32"/>
  <c r="D6" i="10"/>
  <c r="P3" i="32"/>
  <c r="AS3" i="32"/>
  <c r="H9" i="10"/>
  <c r="AL3" i="32"/>
  <c r="AT3" i="32"/>
  <c r="E6" i="10"/>
  <c r="Q3" i="32"/>
  <c r="AU3" i="32"/>
  <c r="F6" i="10"/>
  <c r="R3" i="32"/>
  <c r="AV3" i="32"/>
  <c r="G6" i="10"/>
  <c r="S3" i="32"/>
  <c r="AW3" i="32"/>
  <c r="H6" i="10"/>
  <c r="T3" i="32"/>
  <c r="AX3" i="32"/>
  <c r="I6" i="10"/>
  <c r="U3" i="32"/>
  <c r="AY3" i="32"/>
  <c r="E7" i="10"/>
  <c r="W3" i="32"/>
  <c r="BA3" i="32"/>
  <c r="F7" i="10"/>
  <c r="X3" i="32"/>
  <c r="BB3" i="32"/>
  <c r="G7" i="10"/>
  <c r="Y3" i="32"/>
  <c r="BC3" i="32"/>
  <c r="H7" i="10"/>
  <c r="Z3" i="32"/>
  <c r="BD3" i="32"/>
  <c r="I7" i="10"/>
  <c r="AA3" i="32"/>
  <c r="BE3" i="32"/>
  <c r="E8" i="10"/>
  <c r="AC3" i="32"/>
  <c r="BG3" i="32"/>
  <c r="F8" i="10"/>
  <c r="AD3" i="32"/>
  <c r="BH3" i="32"/>
  <c r="G8" i="10"/>
  <c r="AE3" i="32"/>
  <c r="BI3" i="32"/>
  <c r="H8" i="10"/>
  <c r="AF3" i="32"/>
  <c r="BJ3" i="32"/>
  <c r="I8" i="10"/>
  <c r="AG3" i="32"/>
  <c r="BK3" i="32"/>
  <c r="E9" i="10"/>
  <c r="AI3" i="32"/>
  <c r="BM3" i="32"/>
  <c r="F9" i="10"/>
  <c r="AJ3" i="32"/>
  <c r="BN3" i="32"/>
  <c r="G9" i="10"/>
  <c r="AK3" i="32"/>
  <c r="BO3" i="32"/>
  <c r="BP3" i="32"/>
  <c r="I9" i="10"/>
  <c r="AM3" i="32"/>
  <c r="BQ3" i="32"/>
  <c r="D10" i="10"/>
  <c r="P4" i="32"/>
  <c r="AS4" i="32"/>
  <c r="H13" i="10"/>
  <c r="AL4" i="32"/>
  <c r="AT4" i="32"/>
  <c r="E10" i="10"/>
  <c r="Q4" i="32"/>
  <c r="AU4" i="32"/>
  <c r="F10" i="10"/>
  <c r="R4" i="32"/>
  <c r="AV4" i="32"/>
  <c r="G10" i="10"/>
  <c r="S4" i="32"/>
  <c r="AW4" i="32"/>
  <c r="H10" i="10"/>
  <c r="T4" i="32"/>
  <c r="AX4" i="32"/>
  <c r="I10" i="10"/>
  <c r="U4" i="32"/>
  <c r="AY4" i="32"/>
  <c r="E11" i="10"/>
  <c r="W4" i="32"/>
  <c r="BA4" i="32"/>
  <c r="F11" i="10"/>
  <c r="X4" i="32"/>
  <c r="BB4" i="32"/>
  <c r="G11" i="10"/>
  <c r="Y4" i="32"/>
  <c r="BC4" i="32"/>
  <c r="H11" i="10"/>
  <c r="Z4" i="32"/>
  <c r="BD4" i="32"/>
  <c r="I11" i="10"/>
  <c r="AA4" i="32"/>
  <c r="BE4" i="32"/>
  <c r="E12" i="10"/>
  <c r="AC4" i="32"/>
  <c r="BG4" i="32"/>
  <c r="F12" i="10"/>
  <c r="AD4" i="32"/>
  <c r="BH4" i="32"/>
  <c r="G12" i="10"/>
  <c r="AE4" i="32"/>
  <c r="BI4" i="32"/>
  <c r="H12" i="10"/>
  <c r="AF4" i="32"/>
  <c r="BJ4" i="32"/>
  <c r="I12" i="10"/>
  <c r="AG4" i="32"/>
  <c r="BK4" i="32"/>
  <c r="E13" i="10"/>
  <c r="AI4" i="32"/>
  <c r="BM4" i="32"/>
  <c r="F13" i="10"/>
  <c r="AJ4" i="32"/>
  <c r="BN4" i="32"/>
  <c r="G13" i="10"/>
  <c r="AK4" i="32"/>
  <c r="BO4" i="32"/>
  <c r="BP4" i="32"/>
  <c r="I13" i="10"/>
  <c r="AM4" i="32"/>
  <c r="BQ4" i="32"/>
  <c r="D14" i="10"/>
  <c r="P5" i="32"/>
  <c r="AS5" i="32"/>
  <c r="H17" i="10"/>
  <c r="AL5" i="32"/>
  <c r="AT5" i="32"/>
  <c r="E14" i="10"/>
  <c r="Q5" i="32"/>
  <c r="AU5" i="32"/>
  <c r="F14" i="10"/>
  <c r="R5" i="32"/>
  <c r="AV5" i="32"/>
  <c r="G14" i="10"/>
  <c r="S5" i="32"/>
  <c r="AW5" i="32"/>
  <c r="H14" i="10"/>
  <c r="T5" i="32"/>
  <c r="AX5" i="32"/>
  <c r="I14" i="10"/>
  <c r="U5" i="32"/>
  <c r="AY5" i="32"/>
  <c r="E15" i="10"/>
  <c r="W5" i="32"/>
  <c r="BA5" i="32"/>
  <c r="F15" i="10"/>
  <c r="X5" i="32"/>
  <c r="BB5" i="32"/>
  <c r="G15" i="10"/>
  <c r="Y5" i="32"/>
  <c r="BC5" i="32"/>
  <c r="H15" i="10"/>
  <c r="Z5" i="32"/>
  <c r="BD5" i="32"/>
  <c r="I15" i="10"/>
  <c r="AA5" i="32"/>
  <c r="BE5" i="32"/>
  <c r="E16" i="10"/>
  <c r="AC5" i="32"/>
  <c r="BG5" i="32"/>
  <c r="F16" i="10"/>
  <c r="AD5" i="32"/>
  <c r="BH5" i="32"/>
  <c r="G16" i="10"/>
  <c r="AE5" i="32"/>
  <c r="BI5" i="32"/>
  <c r="H16" i="10"/>
  <c r="AF5" i="32"/>
  <c r="BJ5" i="32"/>
  <c r="I16" i="10"/>
  <c r="AG5" i="32"/>
  <c r="BK5" i="32"/>
  <c r="E17" i="10"/>
  <c r="AI5" i="32"/>
  <c r="BM5" i="32"/>
  <c r="F17" i="10"/>
  <c r="AJ5" i="32"/>
  <c r="BN5" i="32"/>
  <c r="G17" i="10"/>
  <c r="AK5" i="32"/>
  <c r="BO5" i="32"/>
  <c r="BP5" i="32"/>
  <c r="I17" i="10"/>
  <c r="AM5" i="32"/>
  <c r="BQ5" i="32"/>
  <c r="D18" i="10"/>
  <c r="P6" i="32"/>
  <c r="AS6" i="32"/>
  <c r="H21" i="10"/>
  <c r="AL6" i="32"/>
  <c r="AT6" i="32"/>
  <c r="E18" i="10"/>
  <c r="Q6" i="32"/>
  <c r="AU6" i="32"/>
  <c r="F18" i="10"/>
  <c r="R6" i="32"/>
  <c r="AV6" i="32"/>
  <c r="G18" i="10"/>
  <c r="S6" i="32"/>
  <c r="AW6" i="32"/>
  <c r="H18" i="10"/>
  <c r="T6" i="32"/>
  <c r="AX6" i="32"/>
  <c r="I18" i="10"/>
  <c r="U6" i="32"/>
  <c r="AY6" i="32"/>
  <c r="E19" i="10"/>
  <c r="W6" i="32"/>
  <c r="BA6" i="32"/>
  <c r="F19" i="10"/>
  <c r="X6" i="32"/>
  <c r="BB6" i="32"/>
  <c r="G19" i="10"/>
  <c r="Y6" i="32"/>
  <c r="BC6" i="32"/>
  <c r="H19" i="10"/>
  <c r="Z6" i="32"/>
  <c r="BD6" i="32"/>
  <c r="I19" i="10"/>
  <c r="AA6" i="32"/>
  <c r="BE6" i="32"/>
  <c r="E20" i="10"/>
  <c r="AC6" i="32"/>
  <c r="BG6" i="32"/>
  <c r="F20" i="10"/>
  <c r="AD6" i="32"/>
  <c r="BH6" i="32"/>
  <c r="G20" i="10"/>
  <c r="AE6" i="32"/>
  <c r="BI6" i="32"/>
  <c r="H20" i="10"/>
  <c r="AF6" i="32"/>
  <c r="BJ6" i="32"/>
  <c r="I20" i="10"/>
  <c r="AG6" i="32"/>
  <c r="BK6" i="32"/>
  <c r="E21" i="10"/>
  <c r="AI6" i="32"/>
  <c r="BM6" i="32"/>
  <c r="F21" i="10"/>
  <c r="AJ6" i="32"/>
  <c r="BN6" i="32"/>
  <c r="G21" i="10"/>
  <c r="AK6" i="32"/>
  <c r="BO6" i="32"/>
  <c r="BP6" i="32"/>
  <c r="I21" i="10"/>
  <c r="AM6" i="32"/>
  <c r="BQ6" i="32"/>
  <c r="D22" i="10"/>
  <c r="P7" i="32"/>
  <c r="AS7" i="32"/>
  <c r="H25" i="10"/>
  <c r="AL7" i="32"/>
  <c r="AT7" i="32"/>
  <c r="E22" i="10"/>
  <c r="Q7" i="32"/>
  <c r="AU7" i="32"/>
  <c r="F22" i="10"/>
  <c r="R7" i="32"/>
  <c r="AV7" i="32"/>
  <c r="G22" i="10"/>
  <c r="S7" i="32"/>
  <c r="AW7" i="32"/>
  <c r="H22" i="10"/>
  <c r="T7" i="32"/>
  <c r="AX7" i="32"/>
  <c r="I22" i="10"/>
  <c r="U7" i="32"/>
  <c r="AY7" i="32"/>
  <c r="E23" i="10"/>
  <c r="W7" i="32"/>
  <c r="BA7" i="32"/>
  <c r="F23" i="10"/>
  <c r="X7" i="32"/>
  <c r="BB7" i="32"/>
  <c r="G23" i="10"/>
  <c r="Y7" i="32"/>
  <c r="BC7" i="32"/>
  <c r="H23" i="10"/>
  <c r="Z7" i="32"/>
  <c r="BD7" i="32"/>
  <c r="I23" i="10"/>
  <c r="AA7" i="32"/>
  <c r="BE7" i="32"/>
  <c r="E24" i="10"/>
  <c r="AC7" i="32"/>
  <c r="BG7" i="32"/>
  <c r="F24" i="10"/>
  <c r="AD7" i="32"/>
  <c r="BH7" i="32"/>
  <c r="G24" i="10"/>
  <c r="AE7" i="32"/>
  <c r="BI7" i="32"/>
  <c r="H24" i="10"/>
  <c r="AF7" i="32"/>
  <c r="BJ7" i="32"/>
  <c r="I24" i="10"/>
  <c r="AG7" i="32"/>
  <c r="BK7" i="32"/>
  <c r="E25" i="10"/>
  <c r="AI7" i="32"/>
  <c r="BM7" i="32"/>
  <c r="F25" i="10"/>
  <c r="AJ7" i="32"/>
  <c r="BN7" i="32"/>
  <c r="G25" i="10"/>
  <c r="AK7" i="32"/>
  <c r="BO7" i="32"/>
  <c r="BP7" i="32"/>
  <c r="I25" i="10"/>
  <c r="AM7" i="32"/>
  <c r="BQ7" i="32"/>
  <c r="D26" i="10"/>
  <c r="P8" i="32"/>
  <c r="AS8" i="32"/>
  <c r="H29" i="10"/>
  <c r="AL8" i="32"/>
  <c r="AT8" i="32"/>
  <c r="E26" i="10"/>
  <c r="Q8" i="32"/>
  <c r="AU8" i="32"/>
  <c r="F26" i="10"/>
  <c r="R8" i="32"/>
  <c r="AV8" i="32"/>
  <c r="G26" i="10"/>
  <c r="S8" i="32"/>
  <c r="AW8" i="32"/>
  <c r="H26" i="10"/>
  <c r="T8" i="32"/>
  <c r="AX8" i="32"/>
  <c r="I26" i="10"/>
  <c r="U8" i="32"/>
  <c r="AY8" i="32"/>
  <c r="E27" i="10"/>
  <c r="W8" i="32"/>
  <c r="BA8" i="32"/>
  <c r="F27" i="10"/>
  <c r="X8" i="32"/>
  <c r="BB8" i="32"/>
  <c r="G27" i="10"/>
  <c r="Y8" i="32"/>
  <c r="BC8" i="32"/>
  <c r="H27" i="10"/>
  <c r="Z8" i="32"/>
  <c r="BD8" i="32"/>
  <c r="I27" i="10"/>
  <c r="AA8" i="32"/>
  <c r="BE8" i="32"/>
  <c r="E28" i="10"/>
  <c r="AC8" i="32"/>
  <c r="BG8" i="32"/>
  <c r="F28" i="10"/>
  <c r="AD8" i="32"/>
  <c r="BH8" i="32"/>
  <c r="G28" i="10"/>
  <c r="AE8" i="32"/>
  <c r="BI8" i="32"/>
  <c r="H28" i="10"/>
  <c r="AF8" i="32"/>
  <c r="BJ8" i="32"/>
  <c r="I28" i="10"/>
  <c r="AG8" i="32"/>
  <c r="BK8" i="32"/>
  <c r="E29" i="10"/>
  <c r="AI8" i="32"/>
  <c r="BM8" i="32"/>
  <c r="F29" i="10"/>
  <c r="AJ8" i="32"/>
  <c r="BN8" i="32"/>
  <c r="G29" i="10"/>
  <c r="AK8" i="32"/>
  <c r="BO8" i="32"/>
  <c r="BP8" i="32"/>
  <c r="I29" i="10"/>
  <c r="AM8" i="32"/>
  <c r="BQ8" i="32"/>
  <c r="D30" i="10"/>
  <c r="P9" i="32"/>
  <c r="AS9" i="32"/>
  <c r="H33" i="10"/>
  <c r="AL9" i="32"/>
  <c r="AT9" i="32"/>
  <c r="E30" i="10"/>
  <c r="Q9" i="32"/>
  <c r="AU9" i="32"/>
  <c r="F30" i="10"/>
  <c r="R9" i="32"/>
  <c r="AV9" i="32"/>
  <c r="G30" i="10"/>
  <c r="S9" i="32"/>
  <c r="AW9" i="32"/>
  <c r="H30" i="10"/>
  <c r="T9" i="32"/>
  <c r="AX9" i="32"/>
  <c r="I30" i="10"/>
  <c r="U9" i="32"/>
  <c r="AY9" i="32"/>
  <c r="E31" i="10"/>
  <c r="W9" i="32"/>
  <c r="BA9" i="32"/>
  <c r="F31" i="10"/>
  <c r="X9" i="32"/>
  <c r="BB9" i="32"/>
  <c r="G31" i="10"/>
  <c r="Y9" i="32"/>
  <c r="BC9" i="32"/>
  <c r="H31" i="10"/>
  <c r="Z9" i="32"/>
  <c r="BD9" i="32"/>
  <c r="I31" i="10"/>
  <c r="AA9" i="32"/>
  <c r="BE9" i="32"/>
  <c r="E32" i="10"/>
  <c r="AC9" i="32"/>
  <c r="BG9" i="32"/>
  <c r="F32" i="10"/>
  <c r="AD9" i="32"/>
  <c r="BH9" i="32"/>
  <c r="G32" i="10"/>
  <c r="AE9" i="32"/>
  <c r="BI9" i="32"/>
  <c r="H32" i="10"/>
  <c r="AF9" i="32"/>
  <c r="BJ9" i="32"/>
  <c r="I32" i="10"/>
  <c r="AG9" i="32"/>
  <c r="BK9" i="32"/>
  <c r="E33" i="10"/>
  <c r="AI9" i="32"/>
  <c r="BM9" i="32"/>
  <c r="F33" i="10"/>
  <c r="AJ9" i="32"/>
  <c r="BN9" i="32"/>
  <c r="G33" i="10"/>
  <c r="AK9" i="32"/>
  <c r="BO9" i="32"/>
  <c r="BP9" i="32"/>
  <c r="I33" i="10"/>
  <c r="AM9" i="32"/>
  <c r="BQ9" i="32"/>
  <c r="D34" i="10"/>
  <c r="P10" i="32"/>
  <c r="AS10" i="32"/>
  <c r="H37" i="10"/>
  <c r="AL10" i="32"/>
  <c r="AT10" i="32"/>
  <c r="E34" i="10"/>
  <c r="Q10" i="32"/>
  <c r="AU10" i="32"/>
  <c r="F34" i="10"/>
  <c r="R10" i="32"/>
  <c r="AV10" i="32"/>
  <c r="G34" i="10"/>
  <c r="S10" i="32"/>
  <c r="AW10" i="32"/>
  <c r="H34" i="10"/>
  <c r="T10" i="32"/>
  <c r="AX10" i="32"/>
  <c r="I34" i="10"/>
  <c r="U10" i="32"/>
  <c r="AY10" i="32"/>
  <c r="E35" i="10"/>
  <c r="W10" i="32"/>
  <c r="BA10" i="32"/>
  <c r="F35" i="10"/>
  <c r="X10" i="32"/>
  <c r="BB10" i="32"/>
  <c r="G35" i="10"/>
  <c r="Y10" i="32"/>
  <c r="BC10" i="32"/>
  <c r="H35" i="10"/>
  <c r="Z10" i="32"/>
  <c r="BD10" i="32"/>
  <c r="I35" i="10"/>
  <c r="AA10" i="32"/>
  <c r="BE10" i="32"/>
  <c r="E36" i="10"/>
  <c r="AC10" i="32"/>
  <c r="BG10" i="32"/>
  <c r="F36" i="10"/>
  <c r="AD10" i="32"/>
  <c r="BH10" i="32"/>
  <c r="G36" i="10"/>
  <c r="AE10" i="32"/>
  <c r="BI10" i="32"/>
  <c r="H36" i="10"/>
  <c r="AF10" i="32"/>
  <c r="BJ10" i="32"/>
  <c r="I36" i="10"/>
  <c r="AG10" i="32"/>
  <c r="BK10" i="32"/>
  <c r="E37" i="10"/>
  <c r="AI10" i="32"/>
  <c r="BM10" i="32"/>
  <c r="F37" i="10"/>
  <c r="AJ10" i="32"/>
  <c r="BN10" i="32"/>
  <c r="G37" i="10"/>
  <c r="AK10" i="32"/>
  <c r="BO10" i="32"/>
  <c r="BP10" i="32"/>
  <c r="I37" i="10"/>
  <c r="AM10" i="32"/>
  <c r="BQ10" i="32"/>
  <c r="D38" i="10"/>
  <c r="P11" i="32"/>
  <c r="AS11" i="32"/>
  <c r="H41" i="10"/>
  <c r="AL11" i="32"/>
  <c r="AT11" i="32"/>
  <c r="E38" i="10"/>
  <c r="Q11" i="32"/>
  <c r="AU11" i="32"/>
  <c r="F38" i="10"/>
  <c r="R11" i="32"/>
  <c r="AV11" i="32"/>
  <c r="G38" i="10"/>
  <c r="S11" i="32"/>
  <c r="AW11" i="32"/>
  <c r="H38" i="10"/>
  <c r="T11" i="32"/>
  <c r="AX11" i="32"/>
  <c r="I38" i="10"/>
  <c r="U11" i="32"/>
  <c r="AY11" i="32"/>
  <c r="E39" i="10"/>
  <c r="W11" i="32"/>
  <c r="BA11" i="32"/>
  <c r="F39" i="10"/>
  <c r="X11" i="32"/>
  <c r="BB11" i="32"/>
  <c r="G39" i="10"/>
  <c r="Y11" i="32"/>
  <c r="BC11" i="32"/>
  <c r="H39" i="10"/>
  <c r="Z11" i="32"/>
  <c r="BD11" i="32"/>
  <c r="I39" i="10"/>
  <c r="AA11" i="32"/>
  <c r="BE11" i="32"/>
  <c r="E40" i="10"/>
  <c r="AC11" i="32"/>
  <c r="BG11" i="32"/>
  <c r="F40" i="10"/>
  <c r="AD11" i="32"/>
  <c r="BH11" i="32"/>
  <c r="G40" i="10"/>
  <c r="AE11" i="32"/>
  <c r="BI11" i="32"/>
  <c r="H40" i="10"/>
  <c r="AF11" i="32"/>
  <c r="BJ11" i="32"/>
  <c r="I40" i="10"/>
  <c r="AG11" i="32"/>
  <c r="BK11" i="32"/>
  <c r="E41" i="10"/>
  <c r="AI11" i="32"/>
  <c r="BM11" i="32"/>
  <c r="F41" i="10"/>
  <c r="AJ11" i="32"/>
  <c r="BN11" i="32"/>
  <c r="G41" i="10"/>
  <c r="AK11" i="32"/>
  <c r="BO11" i="32"/>
  <c r="BP11" i="32"/>
  <c r="I41" i="10"/>
  <c r="AM11" i="32"/>
  <c r="BQ11" i="32"/>
  <c r="D42" i="10"/>
  <c r="P12" i="32"/>
  <c r="AS12" i="32"/>
  <c r="H45" i="10"/>
  <c r="AL12" i="32"/>
  <c r="AT12" i="32"/>
  <c r="E42" i="10"/>
  <c r="Q12" i="32"/>
  <c r="AU12" i="32"/>
  <c r="F42" i="10"/>
  <c r="R12" i="32"/>
  <c r="AV12" i="32"/>
  <c r="G42" i="10"/>
  <c r="S12" i="32"/>
  <c r="AW12" i="32"/>
  <c r="H42" i="10"/>
  <c r="T12" i="32"/>
  <c r="AX12" i="32"/>
  <c r="I42" i="10"/>
  <c r="U12" i="32"/>
  <c r="AY12" i="32"/>
  <c r="E43" i="10"/>
  <c r="W12" i="32"/>
  <c r="BA12" i="32"/>
  <c r="F43" i="10"/>
  <c r="X12" i="32"/>
  <c r="BB12" i="32"/>
  <c r="G43" i="10"/>
  <c r="Y12" i="32"/>
  <c r="BC12" i="32"/>
  <c r="H43" i="10"/>
  <c r="Z12" i="32"/>
  <c r="BD12" i="32"/>
  <c r="I43" i="10"/>
  <c r="AA12" i="32"/>
  <c r="BE12" i="32"/>
  <c r="E44" i="10"/>
  <c r="AC12" i="32"/>
  <c r="BG12" i="32"/>
  <c r="F44" i="10"/>
  <c r="AD12" i="32"/>
  <c r="BH12" i="32"/>
  <c r="G44" i="10"/>
  <c r="AE12" i="32"/>
  <c r="BI12" i="32"/>
  <c r="H44" i="10"/>
  <c r="AF12" i="32"/>
  <c r="BJ12" i="32"/>
  <c r="I44" i="10"/>
  <c r="AG12" i="32"/>
  <c r="BK12" i="32"/>
  <c r="E45" i="10"/>
  <c r="AI12" i="32"/>
  <c r="BM12" i="32"/>
  <c r="F45" i="10"/>
  <c r="AJ12" i="32"/>
  <c r="BN12" i="32"/>
  <c r="G45" i="10"/>
  <c r="AK12" i="32"/>
  <c r="BO12" i="32"/>
  <c r="BP12" i="32"/>
  <c r="I45" i="10"/>
  <c r="AM12" i="32"/>
  <c r="BQ12" i="32"/>
  <c r="D46" i="10"/>
  <c r="P13" i="32"/>
  <c r="AS13" i="32"/>
  <c r="H49" i="10"/>
  <c r="AL13" i="32"/>
  <c r="AT13" i="32"/>
  <c r="E46" i="10"/>
  <c r="Q13" i="32"/>
  <c r="AU13" i="32"/>
  <c r="F46" i="10"/>
  <c r="R13" i="32"/>
  <c r="AV13" i="32"/>
  <c r="G46" i="10"/>
  <c r="S13" i="32"/>
  <c r="AW13" i="32"/>
  <c r="H46" i="10"/>
  <c r="T13" i="32"/>
  <c r="AX13" i="32"/>
  <c r="I46" i="10"/>
  <c r="U13" i="32"/>
  <c r="AY13" i="32"/>
  <c r="E47" i="10"/>
  <c r="W13" i="32"/>
  <c r="BA13" i="32"/>
  <c r="F47" i="10"/>
  <c r="X13" i="32"/>
  <c r="BB13" i="32"/>
  <c r="G47" i="10"/>
  <c r="Y13" i="32"/>
  <c r="BC13" i="32"/>
  <c r="H47" i="10"/>
  <c r="Z13" i="32"/>
  <c r="BD13" i="32"/>
  <c r="I47" i="10"/>
  <c r="AA13" i="32"/>
  <c r="BE13" i="32"/>
  <c r="E48" i="10"/>
  <c r="AC13" i="32"/>
  <c r="BG13" i="32"/>
  <c r="F48" i="10"/>
  <c r="AD13" i="32"/>
  <c r="BH13" i="32"/>
  <c r="G48" i="10"/>
  <c r="AE13" i="32"/>
  <c r="BI13" i="32"/>
  <c r="H48" i="10"/>
  <c r="AF13" i="32"/>
  <c r="BJ13" i="32"/>
  <c r="I48" i="10"/>
  <c r="AG13" i="32"/>
  <c r="BK13" i="32"/>
  <c r="E49" i="10"/>
  <c r="AI13" i="32"/>
  <c r="BM13" i="32"/>
  <c r="F49" i="10"/>
  <c r="AJ13" i="32"/>
  <c r="BN13" i="32"/>
  <c r="G49" i="10"/>
  <c r="AK13" i="32"/>
  <c r="BO13" i="32"/>
  <c r="BP13" i="32"/>
  <c r="I49" i="10"/>
  <c r="AM13" i="32"/>
  <c r="BQ13" i="32"/>
  <c r="D50" i="10"/>
  <c r="P14" i="32"/>
  <c r="AS14" i="32"/>
  <c r="H53" i="10"/>
  <c r="AL14" i="32"/>
  <c r="AT14" i="32"/>
  <c r="E50" i="10"/>
  <c r="Q14" i="32"/>
  <c r="AU14" i="32"/>
  <c r="F50" i="10"/>
  <c r="R14" i="32"/>
  <c r="AV14" i="32"/>
  <c r="G50" i="10"/>
  <c r="S14" i="32"/>
  <c r="AW14" i="32"/>
  <c r="H50" i="10"/>
  <c r="T14" i="32"/>
  <c r="AX14" i="32"/>
  <c r="I50" i="10"/>
  <c r="U14" i="32"/>
  <c r="AY14" i="32"/>
  <c r="E51" i="10"/>
  <c r="W14" i="32"/>
  <c r="BA14" i="32"/>
  <c r="F51" i="10"/>
  <c r="X14" i="32"/>
  <c r="BB14" i="32"/>
  <c r="G51" i="10"/>
  <c r="Y14" i="32"/>
  <c r="BC14" i="32"/>
  <c r="H51" i="10"/>
  <c r="Z14" i="32"/>
  <c r="BD14" i="32"/>
  <c r="I51" i="10"/>
  <c r="AA14" i="32"/>
  <c r="BE14" i="32"/>
  <c r="E52" i="10"/>
  <c r="AC14" i="32"/>
  <c r="BG14" i="32"/>
  <c r="F52" i="10"/>
  <c r="AD14" i="32"/>
  <c r="BH14" i="32"/>
  <c r="G52" i="10"/>
  <c r="AE14" i="32"/>
  <c r="BI14" i="32"/>
  <c r="H52" i="10"/>
  <c r="AF14" i="32"/>
  <c r="BJ14" i="32"/>
  <c r="I52" i="10"/>
  <c r="AG14" i="32"/>
  <c r="BK14" i="32"/>
  <c r="E53" i="10"/>
  <c r="AI14" i="32"/>
  <c r="BM14" i="32"/>
  <c r="F53" i="10"/>
  <c r="AJ14" i="32"/>
  <c r="BN14" i="32"/>
  <c r="G53" i="10"/>
  <c r="AK14" i="32"/>
  <c r="BO14" i="32"/>
  <c r="BP14" i="32"/>
  <c r="I53" i="10"/>
  <c r="AM14" i="32"/>
  <c r="BQ14" i="32"/>
  <c r="D54" i="10"/>
  <c r="P15" i="32"/>
  <c r="AS15" i="32"/>
  <c r="H57" i="10"/>
  <c r="AL15" i="32"/>
  <c r="AT15" i="32"/>
  <c r="E54" i="10"/>
  <c r="Q15" i="32"/>
  <c r="AU15" i="32"/>
  <c r="F54" i="10"/>
  <c r="R15" i="32"/>
  <c r="AV15" i="32"/>
  <c r="G54" i="10"/>
  <c r="S15" i="32"/>
  <c r="AW15" i="32"/>
  <c r="H54" i="10"/>
  <c r="T15" i="32"/>
  <c r="AX15" i="32"/>
  <c r="I54" i="10"/>
  <c r="U15" i="32"/>
  <c r="AY15" i="32"/>
  <c r="E55" i="10"/>
  <c r="W15" i="32"/>
  <c r="BA15" i="32"/>
  <c r="F55" i="10"/>
  <c r="X15" i="32"/>
  <c r="BB15" i="32"/>
  <c r="G55" i="10"/>
  <c r="Y15" i="32"/>
  <c r="BC15" i="32"/>
  <c r="H55" i="10"/>
  <c r="Z15" i="32"/>
  <c r="BD15" i="32"/>
  <c r="I55" i="10"/>
  <c r="AA15" i="32"/>
  <c r="BE15" i="32"/>
  <c r="E56" i="10"/>
  <c r="AC15" i="32"/>
  <c r="BG15" i="32"/>
  <c r="F56" i="10"/>
  <c r="AD15" i="32"/>
  <c r="BH15" i="32"/>
  <c r="G56" i="10"/>
  <c r="AE15" i="32"/>
  <c r="BI15" i="32"/>
  <c r="H56" i="10"/>
  <c r="AF15" i="32"/>
  <c r="BJ15" i="32"/>
  <c r="I56" i="10"/>
  <c r="AG15" i="32"/>
  <c r="BK15" i="32"/>
  <c r="E57" i="10"/>
  <c r="AI15" i="32"/>
  <c r="BM15" i="32"/>
  <c r="F57" i="10"/>
  <c r="AJ15" i="32"/>
  <c r="BN15" i="32"/>
  <c r="G57" i="10"/>
  <c r="AK15" i="32"/>
  <c r="BO15" i="32"/>
  <c r="BP15" i="32"/>
  <c r="I57" i="10"/>
  <c r="AM15" i="32"/>
  <c r="BQ15" i="32"/>
  <c r="AQ16" i="32"/>
  <c r="AR16" i="32"/>
  <c r="D58" i="10"/>
  <c r="P16" i="32"/>
  <c r="AS16" i="32"/>
  <c r="H61" i="10"/>
  <c r="AL16" i="32"/>
  <c r="AT16" i="32"/>
  <c r="E58" i="10"/>
  <c r="Q16" i="32"/>
  <c r="AU16" i="32"/>
  <c r="F58" i="10"/>
  <c r="R16" i="32"/>
  <c r="AV16" i="32"/>
  <c r="G58" i="10"/>
  <c r="S16" i="32"/>
  <c r="AW16" i="32"/>
  <c r="H58" i="10"/>
  <c r="T16" i="32"/>
  <c r="AX16" i="32"/>
  <c r="I58" i="10"/>
  <c r="U16" i="32"/>
  <c r="AY16" i="32"/>
  <c r="K58" i="7"/>
  <c r="J58" i="10"/>
  <c r="V16" i="32"/>
  <c r="AZ16" i="32"/>
  <c r="E59" i="10"/>
  <c r="W16" i="32"/>
  <c r="BA16" i="32"/>
  <c r="F59" i="10"/>
  <c r="X16" i="32"/>
  <c r="BB16" i="32"/>
  <c r="G59" i="10"/>
  <c r="Y16" i="32"/>
  <c r="BC16" i="32"/>
  <c r="H59" i="10"/>
  <c r="Z16" i="32"/>
  <c r="BD16" i="32"/>
  <c r="I59" i="10"/>
  <c r="AA16" i="32"/>
  <c r="BE16" i="32"/>
  <c r="K59" i="7"/>
  <c r="J59" i="10"/>
  <c r="AB16" i="32"/>
  <c r="BF16" i="32"/>
  <c r="E60" i="10"/>
  <c r="AC16" i="32"/>
  <c r="BG16" i="32"/>
  <c r="F60" i="10"/>
  <c r="AD16" i="32"/>
  <c r="BH16" i="32"/>
  <c r="G60" i="10"/>
  <c r="AE16" i="32"/>
  <c r="BI16" i="32"/>
  <c r="H60" i="10"/>
  <c r="AF16" i="32"/>
  <c r="BJ16" i="32"/>
  <c r="I60" i="10"/>
  <c r="AG16" i="32"/>
  <c r="BK16" i="32"/>
  <c r="K60" i="7"/>
  <c r="J60" i="10"/>
  <c r="AH16" i="32"/>
  <c r="BL16" i="32"/>
  <c r="E61" i="10"/>
  <c r="AI16" i="32"/>
  <c r="BM16" i="32"/>
  <c r="F61" i="10"/>
  <c r="AJ16" i="32"/>
  <c r="BN16" i="32"/>
  <c r="G61" i="10"/>
  <c r="AK16" i="32"/>
  <c r="BO16" i="32"/>
  <c r="BP16" i="32"/>
  <c r="I61" i="10"/>
  <c r="AM16" i="32"/>
  <c r="BQ16" i="32"/>
  <c r="K61" i="7"/>
  <c r="J61" i="10"/>
  <c r="AN16" i="32"/>
  <c r="BR16" i="32"/>
  <c r="BS16" i="32"/>
  <c r="AQ17" i="32"/>
  <c r="AR17" i="32"/>
  <c r="D62" i="10"/>
  <c r="P17" i="32"/>
  <c r="AS17" i="32"/>
  <c r="H65" i="10"/>
  <c r="AL17" i="32"/>
  <c r="AT17" i="32"/>
  <c r="E62" i="10"/>
  <c r="Q17" i="32"/>
  <c r="AU17" i="32"/>
  <c r="F62" i="10"/>
  <c r="R17" i="32"/>
  <c r="AV17" i="32"/>
  <c r="G62" i="10"/>
  <c r="S17" i="32"/>
  <c r="AW17" i="32"/>
  <c r="H62" i="10"/>
  <c r="T17" i="32"/>
  <c r="AX17" i="32"/>
  <c r="I62" i="10"/>
  <c r="U17" i="32"/>
  <c r="AY17" i="32"/>
  <c r="K62" i="7"/>
  <c r="J62" i="10"/>
  <c r="V17" i="32"/>
  <c r="AZ17" i="32"/>
  <c r="E63" i="10"/>
  <c r="W17" i="32"/>
  <c r="BA17" i="32"/>
  <c r="F63" i="10"/>
  <c r="X17" i="32"/>
  <c r="BB17" i="32"/>
  <c r="G63" i="10"/>
  <c r="Y17" i="32"/>
  <c r="BC17" i="32"/>
  <c r="H63" i="10"/>
  <c r="Z17" i="32"/>
  <c r="BD17" i="32"/>
  <c r="I63" i="10"/>
  <c r="AA17" i="32"/>
  <c r="BE17" i="32"/>
  <c r="K63" i="7"/>
  <c r="J63" i="10"/>
  <c r="AB17" i="32"/>
  <c r="BF17" i="32"/>
  <c r="E64" i="10"/>
  <c r="AC17" i="32"/>
  <c r="BG17" i="32"/>
  <c r="F64" i="10"/>
  <c r="AD17" i="32"/>
  <c r="BH17" i="32"/>
  <c r="G64" i="10"/>
  <c r="AE17" i="32"/>
  <c r="BI17" i="32"/>
  <c r="H64" i="10"/>
  <c r="AF17" i="32"/>
  <c r="BJ17" i="32"/>
  <c r="I64" i="10"/>
  <c r="AG17" i="32"/>
  <c r="BK17" i="32"/>
  <c r="K64" i="7"/>
  <c r="J64" i="10"/>
  <c r="AH17" i="32"/>
  <c r="BL17" i="32"/>
  <c r="E65" i="10"/>
  <c r="AI17" i="32"/>
  <c r="BM17" i="32"/>
  <c r="F65" i="10"/>
  <c r="AJ17" i="32"/>
  <c r="BN17" i="32"/>
  <c r="G65" i="10"/>
  <c r="AK17" i="32"/>
  <c r="BO17" i="32"/>
  <c r="BP17" i="32"/>
  <c r="I65" i="10"/>
  <c r="AM17" i="32"/>
  <c r="BQ17" i="32"/>
  <c r="K65" i="7"/>
  <c r="J65" i="10"/>
  <c r="AN17" i="32"/>
  <c r="BR17" i="32"/>
  <c r="BS17" i="32"/>
  <c r="AQ18" i="32"/>
  <c r="AR18" i="32"/>
  <c r="D66" i="10"/>
  <c r="P18" i="32"/>
  <c r="AS18" i="32"/>
  <c r="H69" i="10"/>
  <c r="AL18" i="32"/>
  <c r="AT18" i="32"/>
  <c r="E66" i="10"/>
  <c r="Q18" i="32"/>
  <c r="AU18" i="32"/>
  <c r="F66" i="10"/>
  <c r="R18" i="32"/>
  <c r="AV18" i="32"/>
  <c r="G66" i="10"/>
  <c r="S18" i="32"/>
  <c r="AW18" i="32"/>
  <c r="H66" i="10"/>
  <c r="T18" i="32"/>
  <c r="AX18" i="32"/>
  <c r="I66" i="10"/>
  <c r="U18" i="32"/>
  <c r="AY18" i="32"/>
  <c r="K66" i="7"/>
  <c r="J66" i="10"/>
  <c r="V18" i="32"/>
  <c r="AZ18" i="32"/>
  <c r="E67" i="10"/>
  <c r="W18" i="32"/>
  <c r="BA18" i="32"/>
  <c r="F67" i="10"/>
  <c r="X18" i="32"/>
  <c r="BB18" i="32"/>
  <c r="G67" i="10"/>
  <c r="Y18" i="32"/>
  <c r="BC18" i="32"/>
  <c r="H67" i="10"/>
  <c r="Z18" i="32"/>
  <c r="BD18" i="32"/>
  <c r="I67" i="10"/>
  <c r="AA18" i="32"/>
  <c r="BE18" i="32"/>
  <c r="K67" i="7"/>
  <c r="J67" i="10"/>
  <c r="AB18" i="32"/>
  <c r="BF18" i="32"/>
  <c r="E68" i="10"/>
  <c r="AC18" i="32"/>
  <c r="BG18" i="32"/>
  <c r="F68" i="10"/>
  <c r="AD18" i="32"/>
  <c r="BH18" i="32"/>
  <c r="G68" i="10"/>
  <c r="AE18" i="32"/>
  <c r="BI18" i="32"/>
  <c r="H68" i="10"/>
  <c r="AF18" i="32"/>
  <c r="BJ18" i="32"/>
  <c r="I68" i="10"/>
  <c r="AG18" i="32"/>
  <c r="BK18" i="32"/>
  <c r="K68" i="7"/>
  <c r="J68" i="10"/>
  <c r="AH18" i="32"/>
  <c r="BL18" i="32"/>
  <c r="E69" i="10"/>
  <c r="AI18" i="32"/>
  <c r="BM18" i="32"/>
  <c r="F69" i="10"/>
  <c r="AJ18" i="32"/>
  <c r="BN18" i="32"/>
  <c r="G69" i="10"/>
  <c r="AK18" i="32"/>
  <c r="BO18" i="32"/>
  <c r="BP18" i="32"/>
  <c r="I69" i="10"/>
  <c r="AM18" i="32"/>
  <c r="BQ18" i="32"/>
  <c r="K69" i="7"/>
  <c r="J69" i="10"/>
  <c r="AN18" i="32"/>
  <c r="BR18" i="32"/>
  <c r="BS18" i="32"/>
  <c r="AQ19" i="32"/>
  <c r="AR19" i="32"/>
  <c r="D70" i="10"/>
  <c r="P19" i="32"/>
  <c r="AS19" i="32"/>
  <c r="H73" i="10"/>
  <c r="AL19" i="32"/>
  <c r="AT19" i="32"/>
  <c r="E70" i="10"/>
  <c r="Q19" i="32"/>
  <c r="AU19" i="32"/>
  <c r="F70" i="10"/>
  <c r="R19" i="32"/>
  <c r="AV19" i="32"/>
  <c r="G70" i="10"/>
  <c r="S19" i="32"/>
  <c r="AW19" i="32"/>
  <c r="H70" i="10"/>
  <c r="T19" i="32"/>
  <c r="AX19" i="32"/>
  <c r="I70" i="10"/>
  <c r="U19" i="32"/>
  <c r="AY19" i="32"/>
  <c r="K70" i="7"/>
  <c r="J70" i="10"/>
  <c r="V19" i="32"/>
  <c r="AZ19" i="32"/>
  <c r="E71" i="10"/>
  <c r="W19" i="32"/>
  <c r="BA19" i="32"/>
  <c r="F71" i="10"/>
  <c r="X19" i="32"/>
  <c r="BB19" i="32"/>
  <c r="G71" i="10"/>
  <c r="Y19" i="32"/>
  <c r="BC19" i="32"/>
  <c r="H71" i="10"/>
  <c r="Z19" i="32"/>
  <c r="BD19" i="32"/>
  <c r="I71" i="10"/>
  <c r="AA19" i="32"/>
  <c r="BE19" i="32"/>
  <c r="K71" i="7"/>
  <c r="J71" i="10"/>
  <c r="AB19" i="32"/>
  <c r="BF19" i="32"/>
  <c r="E72" i="10"/>
  <c r="AC19" i="32"/>
  <c r="BG19" i="32"/>
  <c r="F72" i="10"/>
  <c r="AD19" i="32"/>
  <c r="BH19" i="32"/>
  <c r="G72" i="10"/>
  <c r="AE19" i="32"/>
  <c r="BI19" i="32"/>
  <c r="H72" i="10"/>
  <c r="AF19" i="32"/>
  <c r="BJ19" i="32"/>
  <c r="I72" i="10"/>
  <c r="AG19" i="32"/>
  <c r="BK19" i="32"/>
  <c r="K72" i="7"/>
  <c r="J72" i="10"/>
  <c r="AH19" i="32"/>
  <c r="BL19" i="32"/>
  <c r="E73" i="10"/>
  <c r="AI19" i="32"/>
  <c r="BM19" i="32"/>
  <c r="F73" i="10"/>
  <c r="AJ19" i="32"/>
  <c r="BN19" i="32"/>
  <c r="G73" i="10"/>
  <c r="AK19" i="32"/>
  <c r="BO19" i="32"/>
  <c r="BP19" i="32"/>
  <c r="I73" i="10"/>
  <c r="AM19" i="32"/>
  <c r="BQ19" i="32"/>
  <c r="K73" i="7"/>
  <c r="J73" i="10"/>
  <c r="AN19" i="32"/>
  <c r="BR19" i="32"/>
  <c r="BS19" i="32"/>
  <c r="B74" i="10"/>
  <c r="N20" i="32"/>
  <c r="C74" i="10"/>
  <c r="O20" i="32"/>
  <c r="AO20" i="32"/>
  <c r="AP20" i="32"/>
  <c r="AQ20" i="32"/>
  <c r="AR20" i="32"/>
  <c r="D74" i="10"/>
  <c r="P20" i="32"/>
  <c r="AS20" i="32"/>
  <c r="H77" i="10"/>
  <c r="AL20" i="32"/>
  <c r="AT20" i="32"/>
  <c r="E74" i="10"/>
  <c r="Q20" i="32"/>
  <c r="AU20" i="32"/>
  <c r="F74" i="10"/>
  <c r="R20" i="32"/>
  <c r="AV20" i="32"/>
  <c r="G74" i="10"/>
  <c r="S20" i="32"/>
  <c r="AW20" i="32"/>
  <c r="H74" i="10"/>
  <c r="T20" i="32"/>
  <c r="AX20" i="32"/>
  <c r="I74" i="10"/>
  <c r="U20" i="32"/>
  <c r="AY20" i="32"/>
  <c r="K74" i="7"/>
  <c r="J74" i="10"/>
  <c r="V20" i="32"/>
  <c r="AZ20" i="32"/>
  <c r="E75" i="10"/>
  <c r="W20" i="32"/>
  <c r="BA20" i="32"/>
  <c r="F75" i="10"/>
  <c r="X20" i="32"/>
  <c r="BB20" i="32"/>
  <c r="G75" i="10"/>
  <c r="Y20" i="32"/>
  <c r="BC20" i="32"/>
  <c r="H75" i="10"/>
  <c r="Z20" i="32"/>
  <c r="BD20" i="32"/>
  <c r="I75" i="10"/>
  <c r="AA20" i="32"/>
  <c r="BE20" i="32"/>
  <c r="K75" i="7"/>
  <c r="J75" i="10"/>
  <c r="AB20" i="32"/>
  <c r="BF20" i="32"/>
  <c r="E76" i="10"/>
  <c r="AC20" i="32"/>
  <c r="BG20" i="32"/>
  <c r="F76" i="10"/>
  <c r="AD20" i="32"/>
  <c r="BH20" i="32"/>
  <c r="G76" i="10"/>
  <c r="AE20" i="32"/>
  <c r="BI20" i="32"/>
  <c r="H76" i="10"/>
  <c r="AF20" i="32"/>
  <c r="BJ20" i="32"/>
  <c r="I76" i="10"/>
  <c r="AG20" i="32"/>
  <c r="BK20" i="32"/>
  <c r="K76" i="7"/>
  <c r="J76" i="10"/>
  <c r="AH20" i="32"/>
  <c r="BL20" i="32"/>
  <c r="E77" i="10"/>
  <c r="AI20" i="32"/>
  <c r="BM20" i="32"/>
  <c r="F77" i="10"/>
  <c r="AJ20" i="32"/>
  <c r="BN20" i="32"/>
  <c r="G77" i="10"/>
  <c r="AK20" i="32"/>
  <c r="BO20" i="32"/>
  <c r="BP20" i="32"/>
  <c r="I77" i="10"/>
  <c r="AM20" i="32"/>
  <c r="BQ20" i="32"/>
  <c r="K77" i="7"/>
  <c r="J77" i="10"/>
  <c r="AN20" i="32"/>
  <c r="BR20" i="32"/>
  <c r="BS20" i="32"/>
  <c r="B78" i="10"/>
  <c r="N21" i="32"/>
  <c r="C78" i="10"/>
  <c r="O21" i="32"/>
  <c r="AO21" i="32"/>
  <c r="AP21" i="32"/>
  <c r="AQ21" i="32"/>
  <c r="AR21" i="32"/>
  <c r="D78" i="10"/>
  <c r="P21" i="32"/>
  <c r="AS21" i="32"/>
  <c r="H81" i="10"/>
  <c r="AL21" i="32"/>
  <c r="AT21" i="32"/>
  <c r="E78" i="10"/>
  <c r="Q21" i="32"/>
  <c r="AU21" i="32"/>
  <c r="F78" i="10"/>
  <c r="R21" i="32"/>
  <c r="AV21" i="32"/>
  <c r="G78" i="10"/>
  <c r="S21" i="32"/>
  <c r="AW21" i="32"/>
  <c r="H78" i="10"/>
  <c r="T21" i="32"/>
  <c r="AX21" i="32"/>
  <c r="I78" i="10"/>
  <c r="U21" i="32"/>
  <c r="AY21" i="32"/>
  <c r="K78" i="7"/>
  <c r="J78" i="10"/>
  <c r="V21" i="32"/>
  <c r="AZ21" i="32"/>
  <c r="E79" i="10"/>
  <c r="W21" i="32"/>
  <c r="BA21" i="32"/>
  <c r="F79" i="10"/>
  <c r="X21" i="32"/>
  <c r="BB21" i="32"/>
  <c r="G79" i="10"/>
  <c r="Y21" i="32"/>
  <c r="BC21" i="32"/>
  <c r="H79" i="10"/>
  <c r="Z21" i="32"/>
  <c r="BD21" i="32"/>
  <c r="I79" i="10"/>
  <c r="AA21" i="32"/>
  <c r="BE21" i="32"/>
  <c r="K79" i="7"/>
  <c r="J79" i="10"/>
  <c r="AB21" i="32"/>
  <c r="BF21" i="32"/>
  <c r="E80" i="10"/>
  <c r="AC21" i="32"/>
  <c r="BG21" i="32"/>
  <c r="F80" i="10"/>
  <c r="AD21" i="32"/>
  <c r="BH21" i="32"/>
  <c r="G80" i="10"/>
  <c r="AE21" i="32"/>
  <c r="BI21" i="32"/>
  <c r="H80" i="10"/>
  <c r="AF21" i="32"/>
  <c r="BJ21" i="32"/>
  <c r="I80" i="10"/>
  <c r="AG21" i="32"/>
  <c r="BK21" i="32"/>
  <c r="K80" i="7"/>
  <c r="J80" i="10"/>
  <c r="AH21" i="32"/>
  <c r="BL21" i="32"/>
  <c r="E81" i="10"/>
  <c r="AI21" i="32"/>
  <c r="BM21" i="32"/>
  <c r="F81" i="10"/>
  <c r="AJ21" i="32"/>
  <c r="BN21" i="32"/>
  <c r="G81" i="10"/>
  <c r="AK21" i="32"/>
  <c r="BO21" i="32"/>
  <c r="BP21" i="32"/>
  <c r="I81" i="10"/>
  <c r="AM21" i="32"/>
  <c r="BQ21" i="32"/>
  <c r="K81" i="7"/>
  <c r="J81" i="10"/>
  <c r="AN21" i="32"/>
  <c r="BR21" i="32"/>
  <c r="BS21" i="32"/>
  <c r="B82" i="10"/>
  <c r="N22" i="32"/>
  <c r="C82" i="10"/>
  <c r="O22" i="32"/>
  <c r="AO22" i="32"/>
  <c r="AP22" i="32"/>
  <c r="AQ22" i="32"/>
  <c r="AR22" i="32"/>
  <c r="D82" i="10"/>
  <c r="P22" i="32"/>
  <c r="AS22" i="32"/>
  <c r="H85" i="10"/>
  <c r="AL22" i="32"/>
  <c r="AT22" i="32"/>
  <c r="E82" i="10"/>
  <c r="Q22" i="32"/>
  <c r="AU22" i="32"/>
  <c r="F82" i="10"/>
  <c r="R22" i="32"/>
  <c r="AV22" i="32"/>
  <c r="G82" i="10"/>
  <c r="S22" i="32"/>
  <c r="AW22" i="32"/>
  <c r="H82" i="10"/>
  <c r="T22" i="32"/>
  <c r="AX22" i="32"/>
  <c r="I82" i="10"/>
  <c r="U22" i="32"/>
  <c r="AY22" i="32"/>
  <c r="K82" i="7"/>
  <c r="J82" i="10"/>
  <c r="V22" i="32"/>
  <c r="AZ22" i="32"/>
  <c r="E83" i="10"/>
  <c r="W22" i="32"/>
  <c r="BA22" i="32"/>
  <c r="F83" i="10"/>
  <c r="X22" i="32"/>
  <c r="BB22" i="32"/>
  <c r="G83" i="10"/>
  <c r="Y22" i="32"/>
  <c r="BC22" i="32"/>
  <c r="H83" i="10"/>
  <c r="Z22" i="32"/>
  <c r="BD22" i="32"/>
  <c r="I83" i="10"/>
  <c r="AA22" i="32"/>
  <c r="BE22" i="32"/>
  <c r="K83" i="7"/>
  <c r="J83" i="10"/>
  <c r="AB22" i="32"/>
  <c r="BF22" i="32"/>
  <c r="E84" i="10"/>
  <c r="AC22" i="32"/>
  <c r="BG22" i="32"/>
  <c r="F84" i="10"/>
  <c r="AD22" i="32"/>
  <c r="BH22" i="32"/>
  <c r="G84" i="10"/>
  <c r="AE22" i="32"/>
  <c r="BI22" i="32"/>
  <c r="H84" i="10"/>
  <c r="AF22" i="32"/>
  <c r="BJ22" i="32"/>
  <c r="I84" i="10"/>
  <c r="AG22" i="32"/>
  <c r="BK22" i="32"/>
  <c r="K84" i="7"/>
  <c r="J84" i="10"/>
  <c r="AH22" i="32"/>
  <c r="BL22" i="32"/>
  <c r="E85" i="10"/>
  <c r="AI22" i="32"/>
  <c r="BM22" i="32"/>
  <c r="F85" i="10"/>
  <c r="AJ22" i="32"/>
  <c r="BN22" i="32"/>
  <c r="G85" i="10"/>
  <c r="AK22" i="32"/>
  <c r="BO22" i="32"/>
  <c r="BP22" i="32"/>
  <c r="I85" i="10"/>
  <c r="AM22" i="32"/>
  <c r="BQ22" i="32"/>
  <c r="K85" i="7"/>
  <c r="J85" i="10"/>
  <c r="AN22" i="32"/>
  <c r="BR22" i="32"/>
  <c r="BS22" i="32"/>
  <c r="B86" i="10"/>
  <c r="N23" i="32"/>
  <c r="C86" i="10"/>
  <c r="O23" i="32"/>
  <c r="AO23" i="32"/>
  <c r="AP23" i="32"/>
  <c r="AQ23" i="32"/>
  <c r="AR23" i="32"/>
  <c r="D86" i="10"/>
  <c r="P23" i="32"/>
  <c r="AS23" i="32"/>
  <c r="H89" i="10"/>
  <c r="AL23" i="32"/>
  <c r="AT23" i="32"/>
  <c r="E86" i="10"/>
  <c r="Q23" i="32"/>
  <c r="AU23" i="32"/>
  <c r="F86" i="10"/>
  <c r="R23" i="32"/>
  <c r="AV23" i="32"/>
  <c r="G86" i="10"/>
  <c r="S23" i="32"/>
  <c r="AW23" i="32"/>
  <c r="H86" i="10"/>
  <c r="T23" i="32"/>
  <c r="AX23" i="32"/>
  <c r="I86" i="10"/>
  <c r="U23" i="32"/>
  <c r="AY23" i="32"/>
  <c r="K86" i="7"/>
  <c r="J86" i="10"/>
  <c r="V23" i="32"/>
  <c r="AZ23" i="32"/>
  <c r="E87" i="10"/>
  <c r="W23" i="32"/>
  <c r="BA23" i="32"/>
  <c r="F87" i="10"/>
  <c r="X23" i="32"/>
  <c r="BB23" i="32"/>
  <c r="G87" i="10"/>
  <c r="Y23" i="32"/>
  <c r="BC23" i="32"/>
  <c r="H87" i="10"/>
  <c r="Z23" i="32"/>
  <c r="BD23" i="32"/>
  <c r="I87" i="10"/>
  <c r="AA23" i="32"/>
  <c r="BE23" i="32"/>
  <c r="K87" i="7"/>
  <c r="J87" i="10"/>
  <c r="AB23" i="32"/>
  <c r="BF23" i="32"/>
  <c r="E88" i="10"/>
  <c r="AC23" i="32"/>
  <c r="BG23" i="32"/>
  <c r="F88" i="10"/>
  <c r="AD23" i="32"/>
  <c r="BH23" i="32"/>
  <c r="G88" i="10"/>
  <c r="AE23" i="32"/>
  <c r="BI23" i="32"/>
  <c r="H88" i="10"/>
  <c r="AF23" i="32"/>
  <c r="BJ23" i="32"/>
  <c r="I88" i="10"/>
  <c r="AG23" i="32"/>
  <c r="BK23" i="32"/>
  <c r="K88" i="7"/>
  <c r="J88" i="10"/>
  <c r="AH23" i="32"/>
  <c r="BL23" i="32"/>
  <c r="E89" i="10"/>
  <c r="AI23" i="32"/>
  <c r="BM23" i="32"/>
  <c r="F89" i="10"/>
  <c r="AJ23" i="32"/>
  <c r="BN23" i="32"/>
  <c r="G89" i="10"/>
  <c r="AK23" i="32"/>
  <c r="BO23" i="32"/>
  <c r="BP23" i="32"/>
  <c r="I89" i="10"/>
  <c r="AM23" i="32"/>
  <c r="BQ23" i="32"/>
  <c r="K89" i="7"/>
  <c r="J89" i="10"/>
  <c r="AN23" i="32"/>
  <c r="BR23" i="32"/>
  <c r="BS23" i="32"/>
  <c r="B90" i="10"/>
  <c r="N24" i="32"/>
  <c r="C90" i="10"/>
  <c r="O24" i="32"/>
  <c r="AO24" i="32"/>
  <c r="AP24" i="32"/>
  <c r="AQ24" i="32"/>
  <c r="AR24" i="32"/>
  <c r="D90" i="10"/>
  <c r="P24" i="32"/>
  <c r="AS24" i="32"/>
  <c r="H93" i="10"/>
  <c r="AL24" i="32"/>
  <c r="AT24" i="32"/>
  <c r="E90" i="10"/>
  <c r="Q24" i="32"/>
  <c r="AU24" i="32"/>
  <c r="F90" i="10"/>
  <c r="R24" i="32"/>
  <c r="AV24" i="32"/>
  <c r="G90" i="10"/>
  <c r="S24" i="32"/>
  <c r="AW24" i="32"/>
  <c r="H90" i="10"/>
  <c r="T24" i="32"/>
  <c r="AX24" i="32"/>
  <c r="I90" i="10"/>
  <c r="U24" i="32"/>
  <c r="AY24" i="32"/>
  <c r="K90" i="7"/>
  <c r="J90" i="10"/>
  <c r="V24" i="32"/>
  <c r="AZ24" i="32"/>
  <c r="E91" i="10"/>
  <c r="W24" i="32"/>
  <c r="BA24" i="32"/>
  <c r="F91" i="10"/>
  <c r="X24" i="32"/>
  <c r="BB24" i="32"/>
  <c r="G91" i="10"/>
  <c r="Y24" i="32"/>
  <c r="BC24" i="32"/>
  <c r="H91" i="10"/>
  <c r="Z24" i="32"/>
  <c r="BD24" i="32"/>
  <c r="I91" i="10"/>
  <c r="AA24" i="32"/>
  <c r="BE24" i="32"/>
  <c r="K91" i="7"/>
  <c r="J91" i="10"/>
  <c r="AB24" i="32"/>
  <c r="BF24" i="32"/>
  <c r="E92" i="10"/>
  <c r="AC24" i="32"/>
  <c r="BG24" i="32"/>
  <c r="F92" i="10"/>
  <c r="AD24" i="32"/>
  <c r="BH24" i="32"/>
  <c r="G92" i="10"/>
  <c r="AE24" i="32"/>
  <c r="BI24" i="32"/>
  <c r="H92" i="10"/>
  <c r="AF24" i="32"/>
  <c r="BJ24" i="32"/>
  <c r="I92" i="10"/>
  <c r="AG24" i="32"/>
  <c r="BK24" i="32"/>
  <c r="K92" i="7"/>
  <c r="J92" i="10"/>
  <c r="AH24" i="32"/>
  <c r="BL24" i="32"/>
  <c r="E93" i="10"/>
  <c r="AI24" i="32"/>
  <c r="BM24" i="32"/>
  <c r="F93" i="10"/>
  <c r="AJ24" i="32"/>
  <c r="BN24" i="32"/>
  <c r="G93" i="10"/>
  <c r="AK24" i="32"/>
  <c r="BO24" i="32"/>
  <c r="BP24" i="32"/>
  <c r="I93" i="10"/>
  <c r="AM24" i="32"/>
  <c r="BQ24" i="32"/>
  <c r="K93" i="7"/>
  <c r="J93" i="10"/>
  <c r="AN24" i="32"/>
  <c r="BR24" i="32"/>
  <c r="BS24" i="32"/>
  <c r="B94" i="10"/>
  <c r="N25" i="32"/>
  <c r="C94" i="10"/>
  <c r="O25" i="32"/>
  <c r="AO25" i="32"/>
  <c r="AP25" i="32"/>
  <c r="AQ25" i="32"/>
  <c r="AR25" i="32"/>
  <c r="D94" i="10"/>
  <c r="P25" i="32"/>
  <c r="AS25" i="32"/>
  <c r="H97" i="10"/>
  <c r="AL25" i="32"/>
  <c r="AT25" i="32"/>
  <c r="E94" i="10"/>
  <c r="Q25" i="32"/>
  <c r="AU25" i="32"/>
  <c r="F94" i="10"/>
  <c r="R25" i="32"/>
  <c r="AV25" i="32"/>
  <c r="G94" i="10"/>
  <c r="S25" i="32"/>
  <c r="AW25" i="32"/>
  <c r="H94" i="10"/>
  <c r="T25" i="32"/>
  <c r="AX25" i="32"/>
  <c r="I94" i="10"/>
  <c r="U25" i="32"/>
  <c r="AY25" i="32"/>
  <c r="K94" i="7"/>
  <c r="J94" i="10"/>
  <c r="V25" i="32"/>
  <c r="AZ25" i="32"/>
  <c r="E95" i="10"/>
  <c r="W25" i="32"/>
  <c r="BA25" i="32"/>
  <c r="F95" i="10"/>
  <c r="X25" i="32"/>
  <c r="BB25" i="32"/>
  <c r="G95" i="10"/>
  <c r="Y25" i="32"/>
  <c r="BC25" i="32"/>
  <c r="H95" i="10"/>
  <c r="Z25" i="32"/>
  <c r="BD25" i="32"/>
  <c r="I95" i="10"/>
  <c r="AA25" i="32"/>
  <c r="BE25" i="32"/>
  <c r="K95" i="7"/>
  <c r="J95" i="10"/>
  <c r="AB25" i="32"/>
  <c r="BF25" i="32"/>
  <c r="E96" i="10"/>
  <c r="AC25" i="32"/>
  <c r="BG25" i="32"/>
  <c r="F96" i="10"/>
  <c r="AD25" i="32"/>
  <c r="BH25" i="32"/>
  <c r="G96" i="10"/>
  <c r="AE25" i="32"/>
  <c r="BI25" i="32"/>
  <c r="H96" i="10"/>
  <c r="AF25" i="32"/>
  <c r="BJ25" i="32"/>
  <c r="I96" i="10"/>
  <c r="AG25" i="32"/>
  <c r="BK25" i="32"/>
  <c r="K96" i="7"/>
  <c r="J96" i="10"/>
  <c r="AH25" i="32"/>
  <c r="BL25" i="32"/>
  <c r="E97" i="10"/>
  <c r="AI25" i="32"/>
  <c r="BM25" i="32"/>
  <c r="F97" i="10"/>
  <c r="AJ25" i="32"/>
  <c r="BN25" i="32"/>
  <c r="G97" i="10"/>
  <c r="AK25" i="32"/>
  <c r="BO25" i="32"/>
  <c r="BP25" i="32"/>
  <c r="I97" i="10"/>
  <c r="AM25" i="32"/>
  <c r="BQ25" i="32"/>
  <c r="K97" i="7"/>
  <c r="J97" i="10"/>
  <c r="AN25" i="32"/>
  <c r="BR25" i="32"/>
  <c r="BS25" i="32"/>
  <c r="B98" i="10"/>
  <c r="N26" i="32"/>
  <c r="C98" i="10"/>
  <c r="O26" i="32"/>
  <c r="AO26" i="32"/>
  <c r="AP26" i="32"/>
  <c r="AQ26" i="32"/>
  <c r="AR26" i="32"/>
  <c r="D98" i="10"/>
  <c r="P26" i="32"/>
  <c r="AS26" i="32"/>
  <c r="H101" i="10"/>
  <c r="AL26" i="32"/>
  <c r="AT26" i="32"/>
  <c r="E98" i="10"/>
  <c r="Q26" i="32"/>
  <c r="AU26" i="32"/>
  <c r="F98" i="10"/>
  <c r="R26" i="32"/>
  <c r="AV26" i="32"/>
  <c r="G98" i="10"/>
  <c r="S26" i="32"/>
  <c r="AW26" i="32"/>
  <c r="H98" i="10"/>
  <c r="T26" i="32"/>
  <c r="AX26" i="32"/>
  <c r="I98" i="10"/>
  <c r="U26" i="32"/>
  <c r="AY26" i="32"/>
  <c r="K98" i="7"/>
  <c r="J98" i="10"/>
  <c r="V26" i="32"/>
  <c r="AZ26" i="32"/>
  <c r="E99" i="10"/>
  <c r="W26" i="32"/>
  <c r="BA26" i="32"/>
  <c r="F99" i="10"/>
  <c r="X26" i="32"/>
  <c r="BB26" i="32"/>
  <c r="G99" i="10"/>
  <c r="Y26" i="32"/>
  <c r="BC26" i="32"/>
  <c r="H99" i="10"/>
  <c r="Z26" i="32"/>
  <c r="BD26" i="32"/>
  <c r="I99" i="10"/>
  <c r="AA26" i="32"/>
  <c r="BE26" i="32"/>
  <c r="K99" i="7"/>
  <c r="J99" i="10"/>
  <c r="AB26" i="32"/>
  <c r="BF26" i="32"/>
  <c r="E100" i="10"/>
  <c r="AC26" i="32"/>
  <c r="BG26" i="32"/>
  <c r="F100" i="10"/>
  <c r="AD26" i="32"/>
  <c r="BH26" i="32"/>
  <c r="G100" i="10"/>
  <c r="AE26" i="32"/>
  <c r="BI26" i="32"/>
  <c r="H100" i="10"/>
  <c r="AF26" i="32"/>
  <c r="BJ26" i="32"/>
  <c r="I100" i="10"/>
  <c r="AG26" i="32"/>
  <c r="BK26" i="32"/>
  <c r="K100" i="7"/>
  <c r="J100" i="10"/>
  <c r="AH26" i="32"/>
  <c r="BL26" i="32"/>
  <c r="E101" i="10"/>
  <c r="AI26" i="32"/>
  <c r="BM26" i="32"/>
  <c r="F101" i="10"/>
  <c r="AJ26" i="32"/>
  <c r="BN26" i="32"/>
  <c r="G101" i="10"/>
  <c r="AK26" i="32"/>
  <c r="BO26" i="32"/>
  <c r="BP26" i="32"/>
  <c r="I101" i="10"/>
  <c r="AM26" i="32"/>
  <c r="BQ26" i="32"/>
  <c r="K101" i="7"/>
  <c r="J101" i="10"/>
  <c r="AN26" i="32"/>
  <c r="BR26" i="32"/>
  <c r="BS26" i="32"/>
  <c r="AC720" i="323"/>
  <c r="X720" i="323"/>
  <c r="G700" i="323"/>
  <c r="O720" i="323"/>
  <c r="X698" i="323"/>
  <c r="M720" i="323"/>
  <c r="H720" i="323"/>
  <c r="AE719" i="323"/>
  <c r="AC719" i="323"/>
  <c r="X719" i="323"/>
  <c r="O719" i="323"/>
  <c r="M719" i="323"/>
  <c r="H719" i="323"/>
  <c r="AE718" i="323"/>
  <c r="AC718" i="323"/>
  <c r="X718" i="323"/>
  <c r="O718" i="323"/>
  <c r="M718" i="323"/>
  <c r="H718" i="323"/>
  <c r="AC717" i="323"/>
  <c r="X717" i="323"/>
  <c r="M717" i="323"/>
  <c r="H717" i="323"/>
  <c r="Q702" i="323"/>
  <c r="AE712" i="323"/>
  <c r="AD712" i="323"/>
  <c r="AC712" i="323"/>
  <c r="AB712" i="323"/>
  <c r="AA712" i="323"/>
  <c r="Z712" i="323"/>
  <c r="Y712" i="323"/>
  <c r="X712" i="323"/>
  <c r="W712" i="323"/>
  <c r="V712" i="323"/>
  <c r="U712" i="323"/>
  <c r="T712" i="323"/>
  <c r="S712" i="323"/>
  <c r="Q704" i="323"/>
  <c r="Q11" i="5"/>
  <c r="Q12" i="5"/>
  <c r="Q13" i="5"/>
  <c r="Q14" i="5"/>
  <c r="Q15" i="5"/>
  <c r="Q16" i="5"/>
  <c r="Q17" i="5"/>
  <c r="Q18" i="5"/>
  <c r="Q19" i="5"/>
  <c r="Q20" i="5"/>
  <c r="Q21" i="5"/>
  <c r="Q22" i="5"/>
  <c r="Q23" i="5"/>
  <c r="Q24" i="5"/>
  <c r="Q25" i="5"/>
  <c r="Q26" i="5"/>
  <c r="Q27" i="5"/>
  <c r="Q28" i="5"/>
  <c r="Q29" i="5"/>
  <c r="Q30" i="5"/>
  <c r="Q31" i="5"/>
  <c r="Q32" i="5"/>
  <c r="Q33" i="5"/>
  <c r="Q34" i="5"/>
  <c r="U706" i="323"/>
  <c r="R709" i="323"/>
  <c r="R710" i="323"/>
  <c r="R711" i="323"/>
  <c r="R712" i="323"/>
  <c r="Q712" i="323"/>
  <c r="O712" i="323"/>
  <c r="N712" i="323"/>
  <c r="M712" i="323"/>
  <c r="L712" i="323"/>
  <c r="A702" i="323"/>
  <c r="A704" i="323"/>
  <c r="E706" i="323"/>
  <c r="B709" i="323"/>
  <c r="B710" i="323"/>
  <c r="B711" i="323"/>
  <c r="B712" i="323"/>
  <c r="AE711" i="323"/>
  <c r="AD711" i="323"/>
  <c r="AC711" i="323"/>
  <c r="AB711" i="323"/>
  <c r="AA711" i="323"/>
  <c r="Z711" i="323"/>
  <c r="Y711" i="323"/>
  <c r="X711" i="323"/>
  <c r="W711" i="323"/>
  <c r="V711" i="323"/>
  <c r="U711" i="323"/>
  <c r="T711" i="323"/>
  <c r="S711" i="323"/>
  <c r="Q711" i="323"/>
  <c r="O711" i="323"/>
  <c r="N711" i="323"/>
  <c r="M711" i="323"/>
  <c r="L711" i="323"/>
  <c r="AE710" i="323"/>
  <c r="AD710" i="323"/>
  <c r="AC710" i="323"/>
  <c r="AB710" i="323"/>
  <c r="AA710" i="323"/>
  <c r="Z710" i="323"/>
  <c r="Y710" i="323"/>
  <c r="X710" i="323"/>
  <c r="W710" i="323"/>
  <c r="V710" i="323"/>
  <c r="U710" i="323"/>
  <c r="T710" i="323"/>
  <c r="S710" i="323"/>
  <c r="Q710" i="323"/>
  <c r="O710" i="323"/>
  <c r="N710" i="323"/>
  <c r="M710" i="323"/>
  <c r="L710" i="323"/>
  <c r="AE709" i="323"/>
  <c r="AD709" i="323"/>
  <c r="AC709" i="323"/>
  <c r="AB709" i="323"/>
  <c r="AA709" i="323"/>
  <c r="Z709" i="323"/>
  <c r="Y709" i="323"/>
  <c r="X709" i="323"/>
  <c r="W709" i="323"/>
  <c r="V709" i="323"/>
  <c r="U709" i="323"/>
  <c r="T709" i="323"/>
  <c r="S709" i="323"/>
  <c r="Q709" i="323"/>
  <c r="O709" i="323"/>
  <c r="N709" i="323"/>
  <c r="M709" i="323"/>
  <c r="L709" i="323"/>
  <c r="Q705" i="323"/>
  <c r="A705" i="323"/>
  <c r="I700" i="323"/>
  <c r="S700" i="323"/>
  <c r="I699" i="323"/>
  <c r="G32" i="323"/>
  <c r="G61" i="323"/>
  <c r="G90" i="323"/>
  <c r="G119" i="323"/>
  <c r="G148" i="323"/>
  <c r="G177" i="323"/>
  <c r="G206" i="323"/>
  <c r="G235" i="323"/>
  <c r="G264" i="323"/>
  <c r="G293" i="323"/>
  <c r="G322" i="323"/>
  <c r="G351" i="323"/>
  <c r="G380" i="323"/>
  <c r="G409" i="323"/>
  <c r="G438" i="323"/>
  <c r="G467" i="323"/>
  <c r="G496" i="323"/>
  <c r="G525" i="323"/>
  <c r="G554" i="323"/>
  <c r="G583" i="323"/>
  <c r="G612" i="323"/>
  <c r="G641" i="323"/>
  <c r="G670" i="323"/>
  <c r="G699" i="323"/>
  <c r="AE691" i="323"/>
  <c r="Z670" i="323"/>
  <c r="Y669" i="323"/>
  <c r="Z669" i="323"/>
  <c r="AC691" i="323"/>
  <c r="X691" i="323"/>
  <c r="G671" i="323"/>
  <c r="O691" i="323"/>
  <c r="X669" i="323"/>
  <c r="M691" i="323"/>
  <c r="H691" i="323"/>
  <c r="AE690" i="323"/>
  <c r="AC690" i="323"/>
  <c r="X690" i="323"/>
  <c r="O690" i="323"/>
  <c r="M690" i="323"/>
  <c r="H690" i="323"/>
  <c r="AE689" i="323"/>
  <c r="AC689" i="323"/>
  <c r="X689" i="323"/>
  <c r="O689" i="323"/>
  <c r="M689" i="323"/>
  <c r="H689" i="323"/>
  <c r="AC688" i="323"/>
  <c r="X688" i="323"/>
  <c r="M688" i="323"/>
  <c r="H688" i="323"/>
  <c r="Q673" i="323"/>
  <c r="AE683" i="323"/>
  <c r="AD683" i="323"/>
  <c r="AC683" i="323"/>
  <c r="AB683" i="323"/>
  <c r="AA683" i="323"/>
  <c r="Z683" i="323"/>
  <c r="Y683" i="323"/>
  <c r="X683" i="323"/>
  <c r="W683" i="323"/>
  <c r="V683" i="323"/>
  <c r="U683" i="323"/>
  <c r="T683" i="323"/>
  <c r="S683" i="323"/>
  <c r="Q675" i="323"/>
  <c r="U677" i="323"/>
  <c r="R680" i="323"/>
  <c r="R681" i="323"/>
  <c r="R682" i="323"/>
  <c r="R683" i="323"/>
  <c r="Q683" i="323"/>
  <c r="O683" i="323"/>
  <c r="N683" i="323"/>
  <c r="M683" i="323"/>
  <c r="L683" i="323"/>
  <c r="A673" i="323"/>
  <c r="A675" i="323"/>
  <c r="E677" i="323"/>
  <c r="B680" i="323"/>
  <c r="B681" i="323"/>
  <c r="B682" i="323"/>
  <c r="B683" i="323"/>
  <c r="AE682" i="323"/>
  <c r="AD682" i="323"/>
  <c r="AC682" i="323"/>
  <c r="AB682" i="323"/>
  <c r="AA682" i="323"/>
  <c r="Z682" i="323"/>
  <c r="Y682" i="323"/>
  <c r="X682" i="323"/>
  <c r="W682" i="323"/>
  <c r="V682" i="323"/>
  <c r="U682" i="323"/>
  <c r="T682" i="323"/>
  <c r="S682" i="323"/>
  <c r="Q682" i="323"/>
  <c r="O682" i="323"/>
  <c r="N682" i="323"/>
  <c r="M682" i="323"/>
  <c r="L682" i="323"/>
  <c r="AE681" i="323"/>
  <c r="AD681" i="323"/>
  <c r="AC681" i="323"/>
  <c r="AB681" i="323"/>
  <c r="AA681" i="323"/>
  <c r="Z681" i="323"/>
  <c r="Y681" i="323"/>
  <c r="X681" i="323"/>
  <c r="W681" i="323"/>
  <c r="V681" i="323"/>
  <c r="U681" i="323"/>
  <c r="T681" i="323"/>
  <c r="S681" i="323"/>
  <c r="Q681" i="323"/>
  <c r="O681" i="323"/>
  <c r="N681" i="323"/>
  <c r="M681" i="323"/>
  <c r="L681" i="323"/>
  <c r="AE680" i="323"/>
  <c r="AD680" i="323"/>
  <c r="AC680" i="323"/>
  <c r="AB680" i="323"/>
  <c r="AA680" i="323"/>
  <c r="Z680" i="323"/>
  <c r="Y680" i="323"/>
  <c r="X680" i="323"/>
  <c r="W680" i="323"/>
  <c r="V680" i="323"/>
  <c r="U680" i="323"/>
  <c r="T680" i="323"/>
  <c r="S680" i="323"/>
  <c r="Q680" i="323"/>
  <c r="O680" i="323"/>
  <c r="N680" i="323"/>
  <c r="M680" i="323"/>
  <c r="L680" i="323"/>
  <c r="Q676" i="323"/>
  <c r="A676" i="323"/>
  <c r="I671" i="323"/>
  <c r="S671" i="323"/>
  <c r="I670" i="323"/>
  <c r="AE662" i="323"/>
  <c r="Z641" i="323"/>
  <c r="Y640" i="323"/>
  <c r="Z640" i="323"/>
  <c r="AC662" i="323"/>
  <c r="X662" i="323"/>
  <c r="G642" i="323"/>
  <c r="O662" i="323"/>
  <c r="X640" i="323"/>
  <c r="M662" i="323"/>
  <c r="H662" i="323"/>
  <c r="AE661" i="323"/>
  <c r="AC661" i="323"/>
  <c r="X661" i="323"/>
  <c r="O661" i="323"/>
  <c r="M661" i="323"/>
  <c r="H661" i="323"/>
  <c r="AE660" i="323"/>
  <c r="AC660" i="323"/>
  <c r="X660" i="323"/>
  <c r="O660" i="323"/>
  <c r="M660" i="323"/>
  <c r="H660" i="323"/>
  <c r="AC659" i="323"/>
  <c r="X659" i="323"/>
  <c r="M659" i="323"/>
  <c r="H659" i="323"/>
  <c r="Q644" i="323"/>
  <c r="AE654" i="323"/>
  <c r="AD654" i="323"/>
  <c r="AC654" i="323"/>
  <c r="AB654" i="323"/>
  <c r="AA654" i="323"/>
  <c r="Z654" i="323"/>
  <c r="Y654" i="323"/>
  <c r="X654" i="323"/>
  <c r="W654" i="323"/>
  <c r="V654" i="323"/>
  <c r="U654" i="323"/>
  <c r="T654" i="323"/>
  <c r="S654" i="323"/>
  <c r="Q646" i="323"/>
  <c r="U648" i="323"/>
  <c r="R651" i="323"/>
  <c r="R652" i="323"/>
  <c r="R653" i="323"/>
  <c r="R654" i="323"/>
  <c r="Q654" i="323"/>
  <c r="O654" i="323"/>
  <c r="N654" i="323"/>
  <c r="M654" i="323"/>
  <c r="L654" i="323"/>
  <c r="A644" i="323"/>
  <c r="A646" i="323"/>
  <c r="E648" i="323"/>
  <c r="B651" i="323"/>
  <c r="B652" i="323"/>
  <c r="B653" i="323"/>
  <c r="B654" i="323"/>
  <c r="AE653" i="323"/>
  <c r="AD653" i="323"/>
  <c r="AC653" i="323"/>
  <c r="AB653" i="323"/>
  <c r="AA653" i="323"/>
  <c r="Z653" i="323"/>
  <c r="Y653" i="323"/>
  <c r="X653" i="323"/>
  <c r="W653" i="323"/>
  <c r="V653" i="323"/>
  <c r="U653" i="323"/>
  <c r="T653" i="323"/>
  <c r="S653" i="323"/>
  <c r="Q653" i="323"/>
  <c r="O653" i="323"/>
  <c r="N653" i="323"/>
  <c r="M653" i="323"/>
  <c r="L653" i="323"/>
  <c r="AE652" i="323"/>
  <c r="AD652" i="323"/>
  <c r="AC652" i="323"/>
  <c r="AB652" i="323"/>
  <c r="AA652" i="323"/>
  <c r="Z652" i="323"/>
  <c r="Y652" i="323"/>
  <c r="X652" i="323"/>
  <c r="W652" i="323"/>
  <c r="V652" i="323"/>
  <c r="U652" i="323"/>
  <c r="T652" i="323"/>
  <c r="S652" i="323"/>
  <c r="Q652" i="323"/>
  <c r="O652" i="323"/>
  <c r="N652" i="323"/>
  <c r="M652" i="323"/>
  <c r="L652" i="323"/>
  <c r="AE651" i="323"/>
  <c r="AD651" i="323"/>
  <c r="AC651" i="323"/>
  <c r="AB651" i="323"/>
  <c r="AA651" i="323"/>
  <c r="Z651" i="323"/>
  <c r="Y651" i="323"/>
  <c r="X651" i="323"/>
  <c r="W651" i="323"/>
  <c r="V651" i="323"/>
  <c r="U651" i="323"/>
  <c r="T651" i="323"/>
  <c r="S651" i="323"/>
  <c r="Q651" i="323"/>
  <c r="O651" i="323"/>
  <c r="N651" i="323"/>
  <c r="M651" i="323"/>
  <c r="L651" i="323"/>
  <c r="Q647" i="323"/>
  <c r="A647" i="323"/>
  <c r="I642" i="323"/>
  <c r="S642" i="323"/>
  <c r="I641" i="323"/>
  <c r="AE633" i="323"/>
  <c r="Z612" i="323"/>
  <c r="Y611" i="323"/>
  <c r="Z611" i="323"/>
  <c r="AC633" i="323"/>
  <c r="X633" i="323"/>
  <c r="G613" i="323"/>
  <c r="O633" i="323"/>
  <c r="X611" i="323"/>
  <c r="M633" i="323"/>
  <c r="H633" i="323"/>
  <c r="AE632" i="323"/>
  <c r="AC632" i="323"/>
  <c r="X632" i="323"/>
  <c r="O632" i="323"/>
  <c r="M632" i="323"/>
  <c r="H632" i="323"/>
  <c r="AE631" i="323"/>
  <c r="AC631" i="323"/>
  <c r="X631" i="323"/>
  <c r="O631" i="323"/>
  <c r="M631" i="323"/>
  <c r="H631" i="323"/>
  <c r="AC630" i="323"/>
  <c r="X630" i="323"/>
  <c r="M630" i="323"/>
  <c r="H630" i="323"/>
  <c r="Q615" i="323"/>
  <c r="AE625" i="323"/>
  <c r="AD625" i="323"/>
  <c r="AC625" i="323"/>
  <c r="AB625" i="323"/>
  <c r="AA625" i="323"/>
  <c r="Z625" i="323"/>
  <c r="Y625" i="323"/>
  <c r="X625" i="323"/>
  <c r="W625" i="323"/>
  <c r="V625" i="323"/>
  <c r="U625" i="323"/>
  <c r="T625" i="323"/>
  <c r="S625" i="323"/>
  <c r="Q617" i="323"/>
  <c r="U619" i="323"/>
  <c r="R622" i="323"/>
  <c r="R623" i="323"/>
  <c r="R624" i="323"/>
  <c r="R625" i="323"/>
  <c r="Q625" i="323"/>
  <c r="O625" i="323"/>
  <c r="N625" i="323"/>
  <c r="M625" i="323"/>
  <c r="L625" i="323"/>
  <c r="A615" i="323"/>
  <c r="A617" i="323"/>
  <c r="E619" i="323"/>
  <c r="B622" i="323"/>
  <c r="B623" i="323"/>
  <c r="B624" i="323"/>
  <c r="B625" i="323"/>
  <c r="AE624" i="323"/>
  <c r="AD624" i="323"/>
  <c r="AC624" i="323"/>
  <c r="AB624" i="323"/>
  <c r="AA624" i="323"/>
  <c r="Z624" i="323"/>
  <c r="Y624" i="323"/>
  <c r="X624" i="323"/>
  <c r="W624" i="323"/>
  <c r="V624" i="323"/>
  <c r="U624" i="323"/>
  <c r="T624" i="323"/>
  <c r="S624" i="323"/>
  <c r="Q624" i="323"/>
  <c r="O624" i="323"/>
  <c r="N624" i="323"/>
  <c r="M624" i="323"/>
  <c r="L624" i="323"/>
  <c r="AE623" i="323"/>
  <c r="AD623" i="323"/>
  <c r="AC623" i="323"/>
  <c r="AB623" i="323"/>
  <c r="AA623" i="323"/>
  <c r="Z623" i="323"/>
  <c r="Y623" i="323"/>
  <c r="X623" i="323"/>
  <c r="W623" i="323"/>
  <c r="V623" i="323"/>
  <c r="U623" i="323"/>
  <c r="T623" i="323"/>
  <c r="S623" i="323"/>
  <c r="Q623" i="323"/>
  <c r="O623" i="323"/>
  <c r="N623" i="323"/>
  <c r="M623" i="323"/>
  <c r="L623" i="323"/>
  <c r="AE622" i="323"/>
  <c r="AD622" i="323"/>
  <c r="AC622" i="323"/>
  <c r="AB622" i="323"/>
  <c r="AA622" i="323"/>
  <c r="Z622" i="323"/>
  <c r="Y622" i="323"/>
  <c r="X622" i="323"/>
  <c r="W622" i="323"/>
  <c r="V622" i="323"/>
  <c r="U622" i="323"/>
  <c r="T622" i="323"/>
  <c r="S622" i="323"/>
  <c r="Q622" i="323"/>
  <c r="O622" i="323"/>
  <c r="N622" i="323"/>
  <c r="M622" i="323"/>
  <c r="L622" i="323"/>
  <c r="Q618" i="323"/>
  <c r="A618" i="323"/>
  <c r="I613" i="323"/>
  <c r="S613" i="323"/>
  <c r="I612" i="323"/>
  <c r="AE604" i="323"/>
  <c r="Z583" i="323"/>
  <c r="Y582" i="323"/>
  <c r="Z582" i="323"/>
  <c r="AC604" i="323"/>
  <c r="X604" i="323"/>
  <c r="G584" i="323"/>
  <c r="O604" i="323"/>
  <c r="X582" i="323"/>
  <c r="M604" i="323"/>
  <c r="H604" i="323"/>
  <c r="AE603" i="323"/>
  <c r="AC603" i="323"/>
  <c r="X603" i="323"/>
  <c r="O603" i="323"/>
  <c r="M603" i="323"/>
  <c r="H603" i="323"/>
  <c r="AE602" i="323"/>
  <c r="AC602" i="323"/>
  <c r="X602" i="323"/>
  <c r="O602" i="323"/>
  <c r="M602" i="323"/>
  <c r="H602" i="323"/>
  <c r="AC601" i="323"/>
  <c r="X601" i="323"/>
  <c r="M601" i="323"/>
  <c r="H601" i="323"/>
  <c r="Q586" i="323"/>
  <c r="AE596" i="323"/>
  <c r="AD596" i="323"/>
  <c r="AC596" i="323"/>
  <c r="AB596" i="323"/>
  <c r="AA596" i="323"/>
  <c r="Z596" i="323"/>
  <c r="Y596" i="323"/>
  <c r="X596" i="323"/>
  <c r="W596" i="323"/>
  <c r="V596" i="323"/>
  <c r="U596" i="323"/>
  <c r="T596" i="323"/>
  <c r="S596" i="323"/>
  <c r="Q588" i="323"/>
  <c r="U590" i="323"/>
  <c r="R593" i="323"/>
  <c r="R594" i="323"/>
  <c r="R595" i="323"/>
  <c r="R596" i="323"/>
  <c r="Q596" i="323"/>
  <c r="O596" i="323"/>
  <c r="N596" i="323"/>
  <c r="M596" i="323"/>
  <c r="L596" i="323"/>
  <c r="A586" i="323"/>
  <c r="A588" i="323"/>
  <c r="E590" i="323"/>
  <c r="B593" i="323"/>
  <c r="B594" i="323"/>
  <c r="B595" i="323"/>
  <c r="B596" i="323"/>
  <c r="AE595" i="323"/>
  <c r="AD595" i="323"/>
  <c r="AC595" i="323"/>
  <c r="AB595" i="323"/>
  <c r="AA595" i="323"/>
  <c r="Z595" i="323"/>
  <c r="Y595" i="323"/>
  <c r="X595" i="323"/>
  <c r="W595" i="323"/>
  <c r="V595" i="323"/>
  <c r="U595" i="323"/>
  <c r="T595" i="323"/>
  <c r="S595" i="323"/>
  <c r="Q595" i="323"/>
  <c r="O595" i="323"/>
  <c r="N595" i="323"/>
  <c r="M595" i="323"/>
  <c r="L595" i="323"/>
  <c r="AE594" i="323"/>
  <c r="AD594" i="323"/>
  <c r="AC594" i="323"/>
  <c r="AB594" i="323"/>
  <c r="AA594" i="323"/>
  <c r="Z594" i="323"/>
  <c r="Y594" i="323"/>
  <c r="X594" i="323"/>
  <c r="W594" i="323"/>
  <c r="V594" i="323"/>
  <c r="U594" i="323"/>
  <c r="T594" i="323"/>
  <c r="S594" i="323"/>
  <c r="Q594" i="323"/>
  <c r="O594" i="323"/>
  <c r="N594" i="323"/>
  <c r="M594" i="323"/>
  <c r="L594" i="323"/>
  <c r="AE593" i="323"/>
  <c r="AD593" i="323"/>
  <c r="AC593" i="323"/>
  <c r="AB593" i="323"/>
  <c r="AA593" i="323"/>
  <c r="Z593" i="323"/>
  <c r="Y593" i="323"/>
  <c r="X593" i="323"/>
  <c r="W593" i="323"/>
  <c r="V593" i="323"/>
  <c r="U593" i="323"/>
  <c r="T593" i="323"/>
  <c r="S593" i="323"/>
  <c r="Q593" i="323"/>
  <c r="O593" i="323"/>
  <c r="N593" i="323"/>
  <c r="M593" i="323"/>
  <c r="L593" i="323"/>
  <c r="Q589" i="323"/>
  <c r="A589" i="323"/>
  <c r="I584" i="323"/>
  <c r="S584" i="323"/>
  <c r="I583" i="323"/>
  <c r="AE575" i="323"/>
  <c r="Z554" i="323"/>
  <c r="Y553" i="323"/>
  <c r="Z553" i="323"/>
  <c r="AC575" i="323"/>
  <c r="X575" i="323"/>
  <c r="G555" i="323"/>
  <c r="O575" i="323"/>
  <c r="X553" i="323"/>
  <c r="M575" i="323"/>
  <c r="H575" i="323"/>
  <c r="AE574" i="323"/>
  <c r="AC574" i="323"/>
  <c r="X574" i="323"/>
  <c r="O574" i="323"/>
  <c r="M574" i="323"/>
  <c r="H574" i="323"/>
  <c r="AE573" i="323"/>
  <c r="AC573" i="323"/>
  <c r="X573" i="323"/>
  <c r="O573" i="323"/>
  <c r="M573" i="323"/>
  <c r="H573" i="323"/>
  <c r="AC572" i="323"/>
  <c r="X572" i="323"/>
  <c r="M572" i="323"/>
  <c r="H572" i="323"/>
  <c r="Q557" i="323"/>
  <c r="AE567" i="323"/>
  <c r="AD567" i="323"/>
  <c r="AC567" i="323"/>
  <c r="AB567" i="323"/>
  <c r="AA567" i="323"/>
  <c r="Z567" i="323"/>
  <c r="Y567" i="323"/>
  <c r="X567" i="323"/>
  <c r="W567" i="323"/>
  <c r="V567" i="323"/>
  <c r="U567" i="323"/>
  <c r="T567" i="323"/>
  <c r="S567" i="323"/>
  <c r="Q559" i="323"/>
  <c r="U561" i="323"/>
  <c r="R564" i="323"/>
  <c r="R565" i="323"/>
  <c r="R566" i="323"/>
  <c r="R567" i="323"/>
  <c r="Q567" i="323"/>
  <c r="O567" i="323"/>
  <c r="N567" i="323"/>
  <c r="M567" i="323"/>
  <c r="L567" i="323"/>
  <c r="A557" i="323"/>
  <c r="A559" i="323"/>
  <c r="E561" i="323"/>
  <c r="B564" i="323"/>
  <c r="B565" i="323"/>
  <c r="B566" i="323"/>
  <c r="B567" i="323"/>
  <c r="AE566" i="323"/>
  <c r="AD566" i="323"/>
  <c r="AC566" i="323"/>
  <c r="AB566" i="323"/>
  <c r="AA566" i="323"/>
  <c r="Z566" i="323"/>
  <c r="Y566" i="323"/>
  <c r="X566" i="323"/>
  <c r="W566" i="323"/>
  <c r="V566" i="323"/>
  <c r="U566" i="323"/>
  <c r="T566" i="323"/>
  <c r="S566" i="323"/>
  <c r="Q566" i="323"/>
  <c r="O566" i="323"/>
  <c r="N566" i="323"/>
  <c r="M566" i="323"/>
  <c r="L566" i="323"/>
  <c r="AE565" i="323"/>
  <c r="AD565" i="323"/>
  <c r="AC565" i="323"/>
  <c r="AB565" i="323"/>
  <c r="AA565" i="323"/>
  <c r="Z565" i="323"/>
  <c r="Y565" i="323"/>
  <c r="X565" i="323"/>
  <c r="W565" i="323"/>
  <c r="V565" i="323"/>
  <c r="U565" i="323"/>
  <c r="T565" i="323"/>
  <c r="S565" i="323"/>
  <c r="Q565" i="323"/>
  <c r="O565" i="323"/>
  <c r="N565" i="323"/>
  <c r="M565" i="323"/>
  <c r="L565" i="323"/>
  <c r="AE564" i="323"/>
  <c r="AD564" i="323"/>
  <c r="AC564" i="323"/>
  <c r="AB564" i="323"/>
  <c r="AA564" i="323"/>
  <c r="Z564" i="323"/>
  <c r="Y564" i="323"/>
  <c r="X564" i="323"/>
  <c r="W564" i="323"/>
  <c r="V564" i="323"/>
  <c r="U564" i="323"/>
  <c r="T564" i="323"/>
  <c r="S564" i="323"/>
  <c r="Q564" i="323"/>
  <c r="O564" i="323"/>
  <c r="N564" i="323"/>
  <c r="M564" i="323"/>
  <c r="L564" i="323"/>
  <c r="Q560" i="323"/>
  <c r="A560" i="323"/>
  <c r="I555" i="323"/>
  <c r="S555" i="323"/>
  <c r="I554" i="323"/>
  <c r="AE546" i="323"/>
  <c r="Z525" i="323"/>
  <c r="Y524" i="323"/>
  <c r="Z524" i="323"/>
  <c r="AC546" i="323"/>
  <c r="X546" i="323"/>
  <c r="G526" i="323"/>
  <c r="O546" i="323"/>
  <c r="X524" i="323"/>
  <c r="M546" i="323"/>
  <c r="H546" i="323"/>
  <c r="AE545" i="323"/>
  <c r="AC545" i="323"/>
  <c r="X545" i="323"/>
  <c r="O545" i="323"/>
  <c r="M545" i="323"/>
  <c r="H545" i="323"/>
  <c r="AE544" i="323"/>
  <c r="AC544" i="323"/>
  <c r="X544" i="323"/>
  <c r="O544" i="323"/>
  <c r="M544" i="323"/>
  <c r="H544" i="323"/>
  <c r="AC543" i="323"/>
  <c r="X543" i="323"/>
  <c r="M543" i="323"/>
  <c r="H543" i="323"/>
  <c r="Q528" i="323"/>
  <c r="AE538" i="323"/>
  <c r="AD538" i="323"/>
  <c r="AC538" i="323"/>
  <c r="AB538" i="323"/>
  <c r="AA538" i="323"/>
  <c r="Z538" i="323"/>
  <c r="Y538" i="323"/>
  <c r="X538" i="323"/>
  <c r="W538" i="323"/>
  <c r="V538" i="323"/>
  <c r="U538" i="323"/>
  <c r="T538" i="323"/>
  <c r="S538" i="323"/>
  <c r="Q530" i="323"/>
  <c r="U532" i="323"/>
  <c r="R535" i="323"/>
  <c r="R536" i="323"/>
  <c r="R537" i="323"/>
  <c r="R538" i="323"/>
  <c r="Q538" i="323"/>
  <c r="O538" i="323"/>
  <c r="N538" i="323"/>
  <c r="M538" i="323"/>
  <c r="L538" i="323"/>
  <c r="A528" i="323"/>
  <c r="A530" i="323"/>
  <c r="E532" i="323"/>
  <c r="B535" i="323"/>
  <c r="B536" i="323"/>
  <c r="B537" i="323"/>
  <c r="B538" i="323"/>
  <c r="AE537" i="323"/>
  <c r="AD537" i="323"/>
  <c r="AC537" i="323"/>
  <c r="AB537" i="323"/>
  <c r="AA537" i="323"/>
  <c r="Z537" i="323"/>
  <c r="Y537" i="323"/>
  <c r="X537" i="323"/>
  <c r="W537" i="323"/>
  <c r="V537" i="323"/>
  <c r="U537" i="323"/>
  <c r="T537" i="323"/>
  <c r="S537" i="323"/>
  <c r="Q537" i="323"/>
  <c r="O537" i="323"/>
  <c r="N537" i="323"/>
  <c r="M537" i="323"/>
  <c r="L537" i="323"/>
  <c r="AE536" i="323"/>
  <c r="AD536" i="323"/>
  <c r="AC536" i="323"/>
  <c r="AB536" i="323"/>
  <c r="AA536" i="323"/>
  <c r="Z536" i="323"/>
  <c r="Y536" i="323"/>
  <c r="X536" i="323"/>
  <c r="W536" i="323"/>
  <c r="V536" i="323"/>
  <c r="U536" i="323"/>
  <c r="T536" i="323"/>
  <c r="S536" i="323"/>
  <c r="Q536" i="323"/>
  <c r="O536" i="323"/>
  <c r="N536" i="323"/>
  <c r="M536" i="323"/>
  <c r="L536" i="323"/>
  <c r="AE535" i="323"/>
  <c r="AD535" i="323"/>
  <c r="AC535" i="323"/>
  <c r="AB535" i="323"/>
  <c r="AA535" i="323"/>
  <c r="Z535" i="323"/>
  <c r="Y535" i="323"/>
  <c r="X535" i="323"/>
  <c r="W535" i="323"/>
  <c r="V535" i="323"/>
  <c r="U535" i="323"/>
  <c r="T535" i="323"/>
  <c r="S535" i="323"/>
  <c r="Q535" i="323"/>
  <c r="O535" i="323"/>
  <c r="N535" i="323"/>
  <c r="M535" i="323"/>
  <c r="L535" i="323"/>
  <c r="Q531" i="323"/>
  <c r="A531" i="323"/>
  <c r="I526" i="323"/>
  <c r="S526" i="323"/>
  <c r="I525" i="323"/>
  <c r="AE517" i="323"/>
  <c r="Z496" i="323"/>
  <c r="Y495" i="323"/>
  <c r="Z495" i="323"/>
  <c r="AC517" i="323"/>
  <c r="X517" i="323"/>
  <c r="G497" i="323"/>
  <c r="O517" i="323"/>
  <c r="X495" i="323"/>
  <c r="M517" i="323"/>
  <c r="H517" i="323"/>
  <c r="AE516" i="323"/>
  <c r="AC516" i="323"/>
  <c r="X516" i="323"/>
  <c r="O516" i="323"/>
  <c r="M516" i="323"/>
  <c r="H516" i="323"/>
  <c r="AE515" i="323"/>
  <c r="AC515" i="323"/>
  <c r="X515" i="323"/>
  <c r="O515" i="323"/>
  <c r="M515" i="323"/>
  <c r="H515" i="323"/>
  <c r="AC514" i="323"/>
  <c r="X514" i="323"/>
  <c r="M514" i="323"/>
  <c r="H514" i="323"/>
  <c r="Q499" i="323"/>
  <c r="AE509" i="323"/>
  <c r="AD509" i="323"/>
  <c r="AC509" i="323"/>
  <c r="AB509" i="323"/>
  <c r="AA509" i="323"/>
  <c r="Z509" i="323"/>
  <c r="Y509" i="323"/>
  <c r="X509" i="323"/>
  <c r="W509" i="323"/>
  <c r="V509" i="323"/>
  <c r="U509" i="323"/>
  <c r="T509" i="323"/>
  <c r="S509" i="323"/>
  <c r="Q501" i="323"/>
  <c r="U503" i="323"/>
  <c r="R506" i="323"/>
  <c r="R507" i="323"/>
  <c r="R508" i="323"/>
  <c r="R509" i="323"/>
  <c r="Q509" i="323"/>
  <c r="O509" i="323"/>
  <c r="N509" i="323"/>
  <c r="M509" i="323"/>
  <c r="L509" i="323"/>
  <c r="A499" i="323"/>
  <c r="A501" i="323"/>
  <c r="E503" i="323"/>
  <c r="B506" i="323"/>
  <c r="B507" i="323"/>
  <c r="B508" i="323"/>
  <c r="B509" i="323"/>
  <c r="AE508" i="323"/>
  <c r="AD508" i="323"/>
  <c r="AC508" i="323"/>
  <c r="AB508" i="323"/>
  <c r="AA508" i="323"/>
  <c r="Z508" i="323"/>
  <c r="Y508" i="323"/>
  <c r="X508" i="323"/>
  <c r="W508" i="323"/>
  <c r="V508" i="323"/>
  <c r="U508" i="323"/>
  <c r="T508" i="323"/>
  <c r="S508" i="323"/>
  <c r="Q508" i="323"/>
  <c r="O508" i="323"/>
  <c r="N508" i="323"/>
  <c r="M508" i="323"/>
  <c r="L508" i="323"/>
  <c r="AE507" i="323"/>
  <c r="AD507" i="323"/>
  <c r="AC507" i="323"/>
  <c r="AB507" i="323"/>
  <c r="AA507" i="323"/>
  <c r="Z507" i="323"/>
  <c r="Y507" i="323"/>
  <c r="X507" i="323"/>
  <c r="W507" i="323"/>
  <c r="V507" i="323"/>
  <c r="U507" i="323"/>
  <c r="T507" i="323"/>
  <c r="S507" i="323"/>
  <c r="Q507" i="323"/>
  <c r="O507" i="323"/>
  <c r="N507" i="323"/>
  <c r="M507" i="323"/>
  <c r="L507" i="323"/>
  <c r="AE506" i="323"/>
  <c r="AD506" i="323"/>
  <c r="AC506" i="323"/>
  <c r="AB506" i="323"/>
  <c r="AA506" i="323"/>
  <c r="Z506" i="323"/>
  <c r="Y506" i="323"/>
  <c r="X506" i="323"/>
  <c r="W506" i="323"/>
  <c r="V506" i="323"/>
  <c r="U506" i="323"/>
  <c r="T506" i="323"/>
  <c r="S506" i="323"/>
  <c r="Q506" i="323"/>
  <c r="O506" i="323"/>
  <c r="N506" i="323"/>
  <c r="M506" i="323"/>
  <c r="L506" i="323"/>
  <c r="Q502" i="323"/>
  <c r="A502" i="323"/>
  <c r="I497" i="323"/>
  <c r="S497" i="323"/>
  <c r="I496" i="323"/>
  <c r="AE488" i="323"/>
  <c r="Z467" i="323"/>
  <c r="Y466" i="323"/>
  <c r="Z466" i="323"/>
  <c r="AC488" i="323"/>
  <c r="X488" i="323"/>
  <c r="G468" i="323"/>
  <c r="O488" i="323"/>
  <c r="X466" i="323"/>
  <c r="M488" i="323"/>
  <c r="H488" i="323"/>
  <c r="AE487" i="323"/>
  <c r="AC487" i="323"/>
  <c r="X487" i="323"/>
  <c r="O487" i="323"/>
  <c r="M487" i="323"/>
  <c r="H487" i="323"/>
  <c r="AE486" i="323"/>
  <c r="AC486" i="323"/>
  <c r="X486" i="323"/>
  <c r="O486" i="323"/>
  <c r="M486" i="323"/>
  <c r="H486" i="323"/>
  <c r="AC485" i="323"/>
  <c r="X485" i="323"/>
  <c r="M485" i="323"/>
  <c r="H485" i="323"/>
  <c r="Q470" i="323"/>
  <c r="AE480" i="323"/>
  <c r="AD480" i="323"/>
  <c r="AC480" i="323"/>
  <c r="AB480" i="323"/>
  <c r="AA480" i="323"/>
  <c r="Z480" i="323"/>
  <c r="Y480" i="323"/>
  <c r="X480" i="323"/>
  <c r="W480" i="323"/>
  <c r="V480" i="323"/>
  <c r="U480" i="323"/>
  <c r="T480" i="323"/>
  <c r="S480" i="323"/>
  <c r="Q472" i="323"/>
  <c r="U474" i="323"/>
  <c r="R477" i="323"/>
  <c r="R478" i="323"/>
  <c r="R479" i="323"/>
  <c r="R480" i="323"/>
  <c r="Q480" i="323"/>
  <c r="O480" i="323"/>
  <c r="N480" i="323"/>
  <c r="M480" i="323"/>
  <c r="L480" i="323"/>
  <c r="A470" i="323"/>
  <c r="A472" i="323"/>
  <c r="E474" i="323"/>
  <c r="B477" i="323"/>
  <c r="B478" i="323"/>
  <c r="B479" i="323"/>
  <c r="B480" i="323"/>
  <c r="AE479" i="323"/>
  <c r="AD479" i="323"/>
  <c r="AC479" i="323"/>
  <c r="AB479" i="323"/>
  <c r="AA479" i="323"/>
  <c r="Z479" i="323"/>
  <c r="Y479" i="323"/>
  <c r="X479" i="323"/>
  <c r="W479" i="323"/>
  <c r="V479" i="323"/>
  <c r="U479" i="323"/>
  <c r="T479" i="323"/>
  <c r="S479" i="323"/>
  <c r="Q479" i="323"/>
  <c r="O479" i="323"/>
  <c r="N479" i="323"/>
  <c r="M479" i="323"/>
  <c r="L479" i="323"/>
  <c r="AE478" i="323"/>
  <c r="AD478" i="323"/>
  <c r="AC478" i="323"/>
  <c r="AB478" i="323"/>
  <c r="AA478" i="323"/>
  <c r="Z478" i="323"/>
  <c r="Y478" i="323"/>
  <c r="X478" i="323"/>
  <c r="W478" i="323"/>
  <c r="V478" i="323"/>
  <c r="U478" i="323"/>
  <c r="T478" i="323"/>
  <c r="S478" i="323"/>
  <c r="Q478" i="323"/>
  <c r="O478" i="323"/>
  <c r="N478" i="323"/>
  <c r="M478" i="323"/>
  <c r="L478" i="323"/>
  <c r="AE477" i="323"/>
  <c r="AD477" i="323"/>
  <c r="AC477" i="323"/>
  <c r="AB477" i="323"/>
  <c r="AA477" i="323"/>
  <c r="Z477" i="323"/>
  <c r="Y477" i="323"/>
  <c r="X477" i="323"/>
  <c r="W477" i="323"/>
  <c r="V477" i="323"/>
  <c r="U477" i="323"/>
  <c r="T477" i="323"/>
  <c r="S477" i="323"/>
  <c r="Q477" i="323"/>
  <c r="O477" i="323"/>
  <c r="N477" i="323"/>
  <c r="M477" i="323"/>
  <c r="L477" i="323"/>
  <c r="Q473" i="323"/>
  <c r="A473" i="323"/>
  <c r="I468" i="323"/>
  <c r="S468" i="323"/>
  <c r="I467" i="323"/>
  <c r="AE459" i="323"/>
  <c r="Z438" i="323"/>
  <c r="Y437" i="323"/>
  <c r="Z437" i="323"/>
  <c r="AC459" i="323"/>
  <c r="X459" i="323"/>
  <c r="G439" i="323"/>
  <c r="O459" i="323"/>
  <c r="X437" i="323"/>
  <c r="M459" i="323"/>
  <c r="H459" i="323"/>
  <c r="AE458" i="323"/>
  <c r="AC458" i="323"/>
  <c r="X458" i="323"/>
  <c r="O458" i="323"/>
  <c r="M458" i="323"/>
  <c r="H458" i="323"/>
  <c r="AE457" i="323"/>
  <c r="AC457" i="323"/>
  <c r="X457" i="323"/>
  <c r="O457" i="323"/>
  <c r="M457" i="323"/>
  <c r="H457" i="323"/>
  <c r="AC456" i="323"/>
  <c r="X456" i="323"/>
  <c r="M456" i="323"/>
  <c r="H456" i="323"/>
  <c r="Q441" i="323"/>
  <c r="AE451" i="323"/>
  <c r="AD451" i="323"/>
  <c r="AC451" i="323"/>
  <c r="AB451" i="323"/>
  <c r="AA451" i="323"/>
  <c r="Z451" i="323"/>
  <c r="Y451" i="323"/>
  <c r="X451" i="323"/>
  <c r="W451" i="323"/>
  <c r="V451" i="323"/>
  <c r="U451" i="323"/>
  <c r="T451" i="323"/>
  <c r="S451" i="323"/>
  <c r="Q443" i="323"/>
  <c r="U445" i="323"/>
  <c r="R448" i="323"/>
  <c r="R449" i="323"/>
  <c r="R450" i="323"/>
  <c r="R451" i="323"/>
  <c r="Q451" i="323"/>
  <c r="O451" i="323"/>
  <c r="N451" i="323"/>
  <c r="M451" i="323"/>
  <c r="L451" i="323"/>
  <c r="A441" i="323"/>
  <c r="A443" i="323"/>
  <c r="E445" i="323"/>
  <c r="B448" i="323"/>
  <c r="B449" i="323"/>
  <c r="B450" i="323"/>
  <c r="B451" i="323"/>
  <c r="AE450" i="323"/>
  <c r="AD450" i="323"/>
  <c r="AC450" i="323"/>
  <c r="AB450" i="323"/>
  <c r="AA450" i="323"/>
  <c r="Z450" i="323"/>
  <c r="Y450" i="323"/>
  <c r="X450" i="323"/>
  <c r="W450" i="323"/>
  <c r="V450" i="323"/>
  <c r="U450" i="323"/>
  <c r="T450" i="323"/>
  <c r="S450" i="323"/>
  <c r="Q450" i="323"/>
  <c r="O450" i="323"/>
  <c r="N450" i="323"/>
  <c r="M450" i="323"/>
  <c r="L450" i="323"/>
  <c r="AE449" i="323"/>
  <c r="AD449" i="323"/>
  <c r="AC449" i="323"/>
  <c r="AB449" i="323"/>
  <c r="AA449" i="323"/>
  <c r="Z449" i="323"/>
  <c r="Y449" i="323"/>
  <c r="X449" i="323"/>
  <c r="W449" i="323"/>
  <c r="V449" i="323"/>
  <c r="U449" i="323"/>
  <c r="T449" i="323"/>
  <c r="S449" i="323"/>
  <c r="Q449" i="323"/>
  <c r="O449" i="323"/>
  <c r="N449" i="323"/>
  <c r="M449" i="323"/>
  <c r="L449" i="323"/>
  <c r="AE448" i="323"/>
  <c r="AD448" i="323"/>
  <c r="AC448" i="323"/>
  <c r="AB448" i="323"/>
  <c r="AA448" i="323"/>
  <c r="Z448" i="323"/>
  <c r="Y448" i="323"/>
  <c r="X448" i="323"/>
  <c r="W448" i="323"/>
  <c r="V448" i="323"/>
  <c r="U448" i="323"/>
  <c r="T448" i="323"/>
  <c r="S448" i="323"/>
  <c r="Q448" i="323"/>
  <c r="O448" i="323"/>
  <c r="N448" i="323"/>
  <c r="M448" i="323"/>
  <c r="L448" i="323"/>
  <c r="Q444" i="323"/>
  <c r="A444" i="323"/>
  <c r="I439" i="323"/>
  <c r="S439" i="323"/>
  <c r="I438" i="323"/>
  <c r="AE430" i="323"/>
  <c r="Z409" i="323"/>
  <c r="Y408" i="323"/>
  <c r="Z408" i="323"/>
  <c r="AC430" i="323"/>
  <c r="X430" i="323"/>
  <c r="G410" i="323"/>
  <c r="O430" i="323"/>
  <c r="X408" i="323"/>
  <c r="M430" i="323"/>
  <c r="H430" i="323"/>
  <c r="AE429" i="323"/>
  <c r="AC429" i="323"/>
  <c r="X429" i="323"/>
  <c r="O429" i="323"/>
  <c r="M429" i="323"/>
  <c r="H429" i="323"/>
  <c r="AE428" i="323"/>
  <c r="AC428" i="323"/>
  <c r="X428" i="323"/>
  <c r="O428" i="323"/>
  <c r="M428" i="323"/>
  <c r="H428" i="323"/>
  <c r="AC427" i="323"/>
  <c r="X427" i="323"/>
  <c r="M427" i="323"/>
  <c r="H427" i="323"/>
  <c r="Q412" i="323"/>
  <c r="AE422" i="323"/>
  <c r="AD422" i="323"/>
  <c r="AC422" i="323"/>
  <c r="AB422" i="323"/>
  <c r="AA422" i="323"/>
  <c r="Z422" i="323"/>
  <c r="Y422" i="323"/>
  <c r="X422" i="323"/>
  <c r="W422" i="323"/>
  <c r="V422" i="323"/>
  <c r="U422" i="323"/>
  <c r="T422" i="323"/>
  <c r="S422" i="323"/>
  <c r="Q414" i="323"/>
  <c r="U416" i="323"/>
  <c r="R419" i="323"/>
  <c r="R420" i="323"/>
  <c r="R421" i="323"/>
  <c r="R422" i="323"/>
  <c r="Q422" i="323"/>
  <c r="O422" i="323"/>
  <c r="N422" i="323"/>
  <c r="M422" i="323"/>
  <c r="L422" i="323"/>
  <c r="A412" i="323"/>
  <c r="A414" i="323"/>
  <c r="E416" i="323"/>
  <c r="B419" i="323"/>
  <c r="B420" i="323"/>
  <c r="B421" i="323"/>
  <c r="B422" i="323"/>
  <c r="AE421" i="323"/>
  <c r="AD421" i="323"/>
  <c r="AC421" i="323"/>
  <c r="AB421" i="323"/>
  <c r="AA421" i="323"/>
  <c r="Z421" i="323"/>
  <c r="Y421" i="323"/>
  <c r="X421" i="323"/>
  <c r="W421" i="323"/>
  <c r="V421" i="323"/>
  <c r="U421" i="323"/>
  <c r="T421" i="323"/>
  <c r="S421" i="323"/>
  <c r="Q421" i="323"/>
  <c r="O421" i="323"/>
  <c r="N421" i="323"/>
  <c r="M421" i="323"/>
  <c r="L421" i="323"/>
  <c r="AE420" i="323"/>
  <c r="AD420" i="323"/>
  <c r="AC420" i="323"/>
  <c r="AB420" i="323"/>
  <c r="AA420" i="323"/>
  <c r="Z420" i="323"/>
  <c r="Y420" i="323"/>
  <c r="X420" i="323"/>
  <c r="W420" i="323"/>
  <c r="V420" i="323"/>
  <c r="U420" i="323"/>
  <c r="T420" i="323"/>
  <c r="S420" i="323"/>
  <c r="Q420" i="323"/>
  <c r="O420" i="323"/>
  <c r="N420" i="323"/>
  <c r="M420" i="323"/>
  <c r="L420" i="323"/>
  <c r="AE419" i="323"/>
  <c r="AD419" i="323"/>
  <c r="AC419" i="323"/>
  <c r="AB419" i="323"/>
  <c r="AA419" i="323"/>
  <c r="Z419" i="323"/>
  <c r="Y419" i="323"/>
  <c r="X419" i="323"/>
  <c r="W419" i="323"/>
  <c r="V419" i="323"/>
  <c r="U419" i="323"/>
  <c r="T419" i="323"/>
  <c r="S419" i="323"/>
  <c r="Q419" i="323"/>
  <c r="O419" i="323"/>
  <c r="N419" i="323"/>
  <c r="M419" i="323"/>
  <c r="L419" i="323"/>
  <c r="Q415" i="323"/>
  <c r="A415" i="323"/>
  <c r="I410" i="323"/>
  <c r="S410" i="323"/>
  <c r="I409" i="323"/>
  <c r="AE401" i="323"/>
  <c r="Z380" i="323"/>
  <c r="Y379" i="323"/>
  <c r="Z379" i="323"/>
  <c r="AC401" i="323"/>
  <c r="X401" i="323"/>
  <c r="G381" i="323"/>
  <c r="O401" i="323"/>
  <c r="X379" i="323"/>
  <c r="M401" i="323"/>
  <c r="H401" i="323"/>
  <c r="AE400" i="323"/>
  <c r="AC400" i="323"/>
  <c r="X400" i="323"/>
  <c r="O400" i="323"/>
  <c r="M400" i="323"/>
  <c r="H400" i="323"/>
  <c r="AE399" i="323"/>
  <c r="AC399" i="323"/>
  <c r="X399" i="323"/>
  <c r="O399" i="323"/>
  <c r="M399" i="323"/>
  <c r="H399" i="323"/>
  <c r="AC398" i="323"/>
  <c r="X398" i="323"/>
  <c r="M398" i="323"/>
  <c r="H398" i="323"/>
  <c r="Q383" i="323"/>
  <c r="AE393" i="323"/>
  <c r="AD393" i="323"/>
  <c r="AC393" i="323"/>
  <c r="AB393" i="323"/>
  <c r="AA393" i="323"/>
  <c r="Z393" i="323"/>
  <c r="Y393" i="323"/>
  <c r="X393" i="323"/>
  <c r="W393" i="323"/>
  <c r="V393" i="323"/>
  <c r="U393" i="323"/>
  <c r="T393" i="323"/>
  <c r="S393" i="323"/>
  <c r="Q385" i="323"/>
  <c r="U387" i="323"/>
  <c r="R390" i="323"/>
  <c r="R391" i="323"/>
  <c r="R392" i="323"/>
  <c r="R393" i="323"/>
  <c r="Q393" i="323"/>
  <c r="O393" i="323"/>
  <c r="N393" i="323"/>
  <c r="M393" i="323"/>
  <c r="L393" i="323"/>
  <c r="A383" i="323"/>
  <c r="A385" i="323"/>
  <c r="E387" i="323"/>
  <c r="B390" i="323"/>
  <c r="B391" i="323"/>
  <c r="B392" i="323"/>
  <c r="B393" i="323"/>
  <c r="AE392" i="323"/>
  <c r="AD392" i="323"/>
  <c r="AC392" i="323"/>
  <c r="AB392" i="323"/>
  <c r="AA392" i="323"/>
  <c r="Z392" i="323"/>
  <c r="Y392" i="323"/>
  <c r="X392" i="323"/>
  <c r="W392" i="323"/>
  <c r="V392" i="323"/>
  <c r="U392" i="323"/>
  <c r="T392" i="323"/>
  <c r="S392" i="323"/>
  <c r="Q392" i="323"/>
  <c r="O392" i="323"/>
  <c r="N392" i="323"/>
  <c r="M392" i="323"/>
  <c r="L392" i="323"/>
  <c r="AE391" i="323"/>
  <c r="AD391" i="323"/>
  <c r="AC391" i="323"/>
  <c r="AB391" i="323"/>
  <c r="AA391" i="323"/>
  <c r="Z391" i="323"/>
  <c r="Y391" i="323"/>
  <c r="X391" i="323"/>
  <c r="W391" i="323"/>
  <c r="V391" i="323"/>
  <c r="U391" i="323"/>
  <c r="T391" i="323"/>
  <c r="S391" i="323"/>
  <c r="Q391" i="323"/>
  <c r="O391" i="323"/>
  <c r="N391" i="323"/>
  <c r="M391" i="323"/>
  <c r="L391" i="323"/>
  <c r="AE390" i="323"/>
  <c r="AD390" i="323"/>
  <c r="AC390" i="323"/>
  <c r="AB390" i="323"/>
  <c r="AA390" i="323"/>
  <c r="Z390" i="323"/>
  <c r="Y390" i="323"/>
  <c r="X390" i="323"/>
  <c r="W390" i="323"/>
  <c r="V390" i="323"/>
  <c r="U390" i="323"/>
  <c r="T390" i="323"/>
  <c r="S390" i="323"/>
  <c r="Q390" i="323"/>
  <c r="O390" i="323"/>
  <c r="N390" i="323"/>
  <c r="M390" i="323"/>
  <c r="L390" i="323"/>
  <c r="Q386" i="323"/>
  <c r="A386" i="323"/>
  <c r="I381" i="323"/>
  <c r="S381" i="323"/>
  <c r="I380" i="323"/>
  <c r="AE372" i="323"/>
  <c r="Z351" i="323"/>
  <c r="Y350" i="323"/>
  <c r="Z350" i="323"/>
  <c r="AC372" i="323"/>
  <c r="X372" i="323"/>
  <c r="G352" i="323"/>
  <c r="O372" i="323"/>
  <c r="X350" i="323"/>
  <c r="M372" i="323"/>
  <c r="H372" i="323"/>
  <c r="AE371" i="323"/>
  <c r="AC371" i="323"/>
  <c r="X371" i="323"/>
  <c r="O371" i="323"/>
  <c r="M371" i="323"/>
  <c r="H371" i="323"/>
  <c r="AE370" i="323"/>
  <c r="AC370" i="323"/>
  <c r="X370" i="323"/>
  <c r="O370" i="323"/>
  <c r="M370" i="323"/>
  <c r="H370" i="323"/>
  <c r="AC369" i="323"/>
  <c r="X369" i="323"/>
  <c r="M369" i="323"/>
  <c r="H369" i="323"/>
  <c r="Q354" i="323"/>
  <c r="AE364" i="323"/>
  <c r="AD364" i="323"/>
  <c r="AC364" i="323"/>
  <c r="AB364" i="323"/>
  <c r="AA364" i="323"/>
  <c r="Z364" i="323"/>
  <c r="Y364" i="323"/>
  <c r="X364" i="323"/>
  <c r="W364" i="323"/>
  <c r="V364" i="323"/>
  <c r="U364" i="323"/>
  <c r="T364" i="323"/>
  <c r="S364" i="323"/>
  <c r="Q356" i="323"/>
  <c r="U358" i="323"/>
  <c r="R361" i="323"/>
  <c r="R362" i="323"/>
  <c r="R363" i="323"/>
  <c r="R364" i="323"/>
  <c r="Q364" i="323"/>
  <c r="O364" i="323"/>
  <c r="N364" i="323"/>
  <c r="M364" i="323"/>
  <c r="L364" i="323"/>
  <c r="A354" i="323"/>
  <c r="A356" i="323"/>
  <c r="E358" i="323"/>
  <c r="B361" i="323"/>
  <c r="B362" i="323"/>
  <c r="B363" i="323"/>
  <c r="B364" i="323"/>
  <c r="AE363" i="323"/>
  <c r="AD363" i="323"/>
  <c r="AC363" i="323"/>
  <c r="AB363" i="323"/>
  <c r="AA363" i="323"/>
  <c r="Z363" i="323"/>
  <c r="Y363" i="323"/>
  <c r="X363" i="323"/>
  <c r="W363" i="323"/>
  <c r="V363" i="323"/>
  <c r="U363" i="323"/>
  <c r="T363" i="323"/>
  <c r="S363" i="323"/>
  <c r="Q363" i="323"/>
  <c r="O363" i="323"/>
  <c r="N363" i="323"/>
  <c r="M363" i="323"/>
  <c r="L363" i="323"/>
  <c r="AE362" i="323"/>
  <c r="AD362" i="323"/>
  <c r="AC362" i="323"/>
  <c r="AB362" i="323"/>
  <c r="AA362" i="323"/>
  <c r="Z362" i="323"/>
  <c r="Y362" i="323"/>
  <c r="X362" i="323"/>
  <c r="W362" i="323"/>
  <c r="V362" i="323"/>
  <c r="U362" i="323"/>
  <c r="T362" i="323"/>
  <c r="S362" i="323"/>
  <c r="Q362" i="323"/>
  <c r="O362" i="323"/>
  <c r="N362" i="323"/>
  <c r="M362" i="323"/>
  <c r="L362" i="323"/>
  <c r="AE361" i="323"/>
  <c r="AD361" i="323"/>
  <c r="AC361" i="323"/>
  <c r="AB361" i="323"/>
  <c r="AA361" i="323"/>
  <c r="Z361" i="323"/>
  <c r="Y361" i="323"/>
  <c r="X361" i="323"/>
  <c r="W361" i="323"/>
  <c r="V361" i="323"/>
  <c r="U361" i="323"/>
  <c r="T361" i="323"/>
  <c r="S361" i="323"/>
  <c r="Q361" i="323"/>
  <c r="O361" i="323"/>
  <c r="N361" i="323"/>
  <c r="M361" i="323"/>
  <c r="L361" i="323"/>
  <c r="Q357" i="323"/>
  <c r="A357" i="323"/>
  <c r="I352" i="323"/>
  <c r="S352" i="323"/>
  <c r="I351" i="323"/>
  <c r="AE343" i="323"/>
  <c r="Z322" i="323"/>
  <c r="Y321" i="323"/>
  <c r="Z321" i="323"/>
  <c r="AC343" i="323"/>
  <c r="X343" i="323"/>
  <c r="G323" i="323"/>
  <c r="O343" i="323"/>
  <c r="X321" i="323"/>
  <c r="M343" i="323"/>
  <c r="H343" i="323"/>
  <c r="AE342" i="323"/>
  <c r="AC342" i="323"/>
  <c r="X342" i="323"/>
  <c r="O342" i="323"/>
  <c r="M342" i="323"/>
  <c r="H342" i="323"/>
  <c r="AE341" i="323"/>
  <c r="AC341" i="323"/>
  <c r="X341" i="323"/>
  <c r="O341" i="323"/>
  <c r="M341" i="323"/>
  <c r="H341" i="323"/>
  <c r="AC340" i="323"/>
  <c r="X340" i="323"/>
  <c r="M340" i="323"/>
  <c r="H340" i="323"/>
  <c r="Q325" i="323"/>
  <c r="AE335" i="323"/>
  <c r="AD335" i="323"/>
  <c r="AC335" i="323"/>
  <c r="AB335" i="323"/>
  <c r="AA335" i="323"/>
  <c r="Z335" i="323"/>
  <c r="Y335" i="323"/>
  <c r="X335" i="323"/>
  <c r="W335" i="323"/>
  <c r="V335" i="323"/>
  <c r="U335" i="323"/>
  <c r="T335" i="323"/>
  <c r="S335" i="323"/>
  <c r="Q327" i="323"/>
  <c r="U329" i="323"/>
  <c r="R332" i="323"/>
  <c r="R333" i="323"/>
  <c r="R334" i="323"/>
  <c r="R335" i="323"/>
  <c r="Q335" i="323"/>
  <c r="O335" i="323"/>
  <c r="N335" i="323"/>
  <c r="M335" i="323"/>
  <c r="L335" i="323"/>
  <c r="A325" i="323"/>
  <c r="A327" i="323"/>
  <c r="E329" i="323"/>
  <c r="B332" i="323"/>
  <c r="B333" i="323"/>
  <c r="B334" i="323"/>
  <c r="B335" i="323"/>
  <c r="AE334" i="323"/>
  <c r="AD334" i="323"/>
  <c r="AC334" i="323"/>
  <c r="AB334" i="323"/>
  <c r="AA334" i="323"/>
  <c r="Z334" i="323"/>
  <c r="Y334" i="323"/>
  <c r="X334" i="323"/>
  <c r="W334" i="323"/>
  <c r="V334" i="323"/>
  <c r="U334" i="323"/>
  <c r="T334" i="323"/>
  <c r="S334" i="323"/>
  <c r="Q334" i="323"/>
  <c r="O334" i="323"/>
  <c r="N334" i="323"/>
  <c r="M334" i="323"/>
  <c r="L334" i="323"/>
  <c r="AE333" i="323"/>
  <c r="AD333" i="323"/>
  <c r="AC333" i="323"/>
  <c r="AB333" i="323"/>
  <c r="AA333" i="323"/>
  <c r="Z333" i="323"/>
  <c r="Y333" i="323"/>
  <c r="X333" i="323"/>
  <c r="W333" i="323"/>
  <c r="V333" i="323"/>
  <c r="U333" i="323"/>
  <c r="T333" i="323"/>
  <c r="S333" i="323"/>
  <c r="Q333" i="323"/>
  <c r="O333" i="323"/>
  <c r="N333" i="323"/>
  <c r="M333" i="323"/>
  <c r="L333" i="323"/>
  <c r="AE332" i="323"/>
  <c r="AD332" i="323"/>
  <c r="AC332" i="323"/>
  <c r="AB332" i="323"/>
  <c r="AA332" i="323"/>
  <c r="Z332" i="323"/>
  <c r="Y332" i="323"/>
  <c r="X332" i="323"/>
  <c r="W332" i="323"/>
  <c r="V332" i="323"/>
  <c r="U332" i="323"/>
  <c r="T332" i="323"/>
  <c r="S332" i="323"/>
  <c r="Q332" i="323"/>
  <c r="O332" i="323"/>
  <c r="N332" i="323"/>
  <c r="M332" i="323"/>
  <c r="L332" i="323"/>
  <c r="Q328" i="323"/>
  <c r="A328" i="323"/>
  <c r="I323" i="323"/>
  <c r="S323" i="323"/>
  <c r="I322" i="323"/>
  <c r="AE314" i="323"/>
  <c r="Z293" i="323"/>
  <c r="Y292" i="323"/>
  <c r="Z292" i="323"/>
  <c r="AC314" i="323"/>
  <c r="X314" i="323"/>
  <c r="G294" i="323"/>
  <c r="O314" i="323"/>
  <c r="X292" i="323"/>
  <c r="M314" i="323"/>
  <c r="H314" i="323"/>
  <c r="AE313" i="323"/>
  <c r="AC313" i="323"/>
  <c r="X313" i="323"/>
  <c r="O313" i="323"/>
  <c r="M313" i="323"/>
  <c r="H313" i="323"/>
  <c r="AE312" i="323"/>
  <c r="AC312" i="323"/>
  <c r="X312" i="323"/>
  <c r="O312" i="323"/>
  <c r="M312" i="323"/>
  <c r="H312" i="323"/>
  <c r="AC311" i="323"/>
  <c r="X311" i="323"/>
  <c r="M311" i="323"/>
  <c r="H311" i="323"/>
  <c r="Q296" i="323"/>
  <c r="AE306" i="323"/>
  <c r="AD306" i="323"/>
  <c r="AC306" i="323"/>
  <c r="AB306" i="323"/>
  <c r="AA306" i="323"/>
  <c r="Z306" i="323"/>
  <c r="Y306" i="323"/>
  <c r="X306" i="323"/>
  <c r="W306" i="323"/>
  <c r="V306" i="323"/>
  <c r="U306" i="323"/>
  <c r="T306" i="323"/>
  <c r="S306" i="323"/>
  <c r="Q298" i="323"/>
  <c r="U300" i="323"/>
  <c r="R303" i="323"/>
  <c r="R304" i="323"/>
  <c r="R305" i="323"/>
  <c r="R306" i="323"/>
  <c r="Q306" i="323"/>
  <c r="O306" i="323"/>
  <c r="N306" i="323"/>
  <c r="M306" i="323"/>
  <c r="L306" i="323"/>
  <c r="A296" i="323"/>
  <c r="A298" i="323"/>
  <c r="E300" i="323"/>
  <c r="B303" i="323"/>
  <c r="B304" i="323"/>
  <c r="B305" i="323"/>
  <c r="B306" i="323"/>
  <c r="AE305" i="323"/>
  <c r="AD305" i="323"/>
  <c r="AC305" i="323"/>
  <c r="AB305" i="323"/>
  <c r="AA305" i="323"/>
  <c r="Z305" i="323"/>
  <c r="Y305" i="323"/>
  <c r="X305" i="323"/>
  <c r="W305" i="323"/>
  <c r="V305" i="323"/>
  <c r="U305" i="323"/>
  <c r="T305" i="323"/>
  <c r="S305" i="323"/>
  <c r="Q305" i="323"/>
  <c r="O305" i="323"/>
  <c r="N305" i="323"/>
  <c r="M305" i="323"/>
  <c r="L305" i="323"/>
  <c r="AE304" i="323"/>
  <c r="AD304" i="323"/>
  <c r="AC304" i="323"/>
  <c r="AB304" i="323"/>
  <c r="AA304" i="323"/>
  <c r="Z304" i="323"/>
  <c r="Y304" i="323"/>
  <c r="X304" i="323"/>
  <c r="W304" i="323"/>
  <c r="V304" i="323"/>
  <c r="U304" i="323"/>
  <c r="T304" i="323"/>
  <c r="S304" i="323"/>
  <c r="Q304" i="323"/>
  <c r="O304" i="323"/>
  <c r="N304" i="323"/>
  <c r="M304" i="323"/>
  <c r="L304" i="323"/>
  <c r="AE303" i="323"/>
  <c r="AD303" i="323"/>
  <c r="AC303" i="323"/>
  <c r="AB303" i="323"/>
  <c r="AA303" i="323"/>
  <c r="Z303" i="323"/>
  <c r="Y303" i="323"/>
  <c r="X303" i="323"/>
  <c r="W303" i="323"/>
  <c r="V303" i="323"/>
  <c r="U303" i="323"/>
  <c r="T303" i="323"/>
  <c r="S303" i="323"/>
  <c r="Q303" i="323"/>
  <c r="O303" i="323"/>
  <c r="N303" i="323"/>
  <c r="M303" i="323"/>
  <c r="L303" i="323"/>
  <c r="Q299" i="323"/>
  <c r="A299" i="323"/>
  <c r="I294" i="323"/>
  <c r="S294" i="323"/>
  <c r="I293" i="323"/>
  <c r="AE285" i="323"/>
  <c r="Z264" i="323"/>
  <c r="Y263" i="323"/>
  <c r="Z263" i="323"/>
  <c r="AC285" i="323"/>
  <c r="X285" i="323"/>
  <c r="G265" i="323"/>
  <c r="O285" i="323"/>
  <c r="X263" i="323"/>
  <c r="M285" i="323"/>
  <c r="H285" i="323"/>
  <c r="AE284" i="323"/>
  <c r="AC284" i="323"/>
  <c r="X284" i="323"/>
  <c r="O284" i="323"/>
  <c r="M284" i="323"/>
  <c r="H284" i="323"/>
  <c r="AE283" i="323"/>
  <c r="AC283" i="323"/>
  <c r="X283" i="323"/>
  <c r="O283" i="323"/>
  <c r="M283" i="323"/>
  <c r="H283" i="323"/>
  <c r="AC282" i="323"/>
  <c r="X282" i="323"/>
  <c r="M282" i="323"/>
  <c r="H282" i="323"/>
  <c r="Q267" i="323"/>
  <c r="AE277" i="323"/>
  <c r="AD277" i="323"/>
  <c r="AC277" i="323"/>
  <c r="AB277" i="323"/>
  <c r="AA277" i="323"/>
  <c r="Z277" i="323"/>
  <c r="Y277" i="323"/>
  <c r="X277" i="323"/>
  <c r="W277" i="323"/>
  <c r="V277" i="323"/>
  <c r="U277" i="323"/>
  <c r="T277" i="323"/>
  <c r="S277" i="323"/>
  <c r="Q269" i="323"/>
  <c r="U271" i="323"/>
  <c r="R274" i="323"/>
  <c r="R275" i="323"/>
  <c r="R276" i="323"/>
  <c r="R277" i="323"/>
  <c r="Q277" i="323"/>
  <c r="O277" i="323"/>
  <c r="N277" i="323"/>
  <c r="M277" i="323"/>
  <c r="L277" i="323"/>
  <c r="A267" i="323"/>
  <c r="A269" i="323"/>
  <c r="E271" i="323"/>
  <c r="B274" i="323"/>
  <c r="B275" i="323"/>
  <c r="B276" i="323"/>
  <c r="B277" i="323"/>
  <c r="AE276" i="323"/>
  <c r="AD276" i="323"/>
  <c r="AC276" i="323"/>
  <c r="AB276" i="323"/>
  <c r="AA276" i="323"/>
  <c r="Z276" i="323"/>
  <c r="Y276" i="323"/>
  <c r="X276" i="323"/>
  <c r="W276" i="323"/>
  <c r="V276" i="323"/>
  <c r="U276" i="323"/>
  <c r="T276" i="323"/>
  <c r="S276" i="323"/>
  <c r="Q276" i="323"/>
  <c r="O276" i="323"/>
  <c r="N276" i="323"/>
  <c r="M276" i="323"/>
  <c r="L276" i="323"/>
  <c r="AE275" i="323"/>
  <c r="AD275" i="323"/>
  <c r="AC275" i="323"/>
  <c r="AB275" i="323"/>
  <c r="AA275" i="323"/>
  <c r="Z275" i="323"/>
  <c r="Y275" i="323"/>
  <c r="X275" i="323"/>
  <c r="W275" i="323"/>
  <c r="V275" i="323"/>
  <c r="U275" i="323"/>
  <c r="T275" i="323"/>
  <c r="S275" i="323"/>
  <c r="Q275" i="323"/>
  <c r="O275" i="323"/>
  <c r="N275" i="323"/>
  <c r="M275" i="323"/>
  <c r="L275" i="323"/>
  <c r="AE274" i="323"/>
  <c r="AD274" i="323"/>
  <c r="AC274" i="323"/>
  <c r="AB274" i="323"/>
  <c r="AA274" i="323"/>
  <c r="Z274" i="323"/>
  <c r="Y274" i="323"/>
  <c r="X274" i="323"/>
  <c r="W274" i="323"/>
  <c r="V274" i="323"/>
  <c r="U274" i="323"/>
  <c r="T274" i="323"/>
  <c r="S274" i="323"/>
  <c r="Q274" i="323"/>
  <c r="O274" i="323"/>
  <c r="N274" i="323"/>
  <c r="M274" i="323"/>
  <c r="L274" i="323"/>
  <c r="Q270" i="323"/>
  <c r="A270" i="323"/>
  <c r="I265" i="323"/>
  <c r="S265" i="323"/>
  <c r="I264" i="323"/>
  <c r="AE256" i="323"/>
  <c r="Z235" i="323"/>
  <c r="Y234" i="323"/>
  <c r="Z234" i="323"/>
  <c r="AC256" i="323"/>
  <c r="X256" i="323"/>
  <c r="G236" i="323"/>
  <c r="O256" i="323"/>
  <c r="X234" i="323"/>
  <c r="M256" i="323"/>
  <c r="H256" i="323"/>
  <c r="AE255" i="323"/>
  <c r="AC255" i="323"/>
  <c r="X255" i="323"/>
  <c r="O255" i="323"/>
  <c r="M255" i="323"/>
  <c r="H255" i="323"/>
  <c r="AE254" i="323"/>
  <c r="AC254" i="323"/>
  <c r="X254" i="323"/>
  <c r="O254" i="323"/>
  <c r="M254" i="323"/>
  <c r="H254" i="323"/>
  <c r="AC253" i="323"/>
  <c r="X253" i="323"/>
  <c r="M253" i="323"/>
  <c r="H253" i="323"/>
  <c r="Q238" i="323"/>
  <c r="AE248" i="323"/>
  <c r="AD248" i="323"/>
  <c r="AC248" i="323"/>
  <c r="AB248" i="323"/>
  <c r="AA248" i="323"/>
  <c r="Z248" i="323"/>
  <c r="Y248" i="323"/>
  <c r="X248" i="323"/>
  <c r="W248" i="323"/>
  <c r="V248" i="323"/>
  <c r="U248" i="323"/>
  <c r="T248" i="323"/>
  <c r="S248" i="323"/>
  <c r="Q240" i="323"/>
  <c r="U242" i="323"/>
  <c r="R245" i="323"/>
  <c r="R246" i="323"/>
  <c r="R247" i="323"/>
  <c r="R248" i="323"/>
  <c r="Q248" i="323"/>
  <c r="O248" i="323"/>
  <c r="N248" i="323"/>
  <c r="M248" i="323"/>
  <c r="L248" i="323"/>
  <c r="A238" i="323"/>
  <c r="A240" i="323"/>
  <c r="E242" i="323"/>
  <c r="B245" i="323"/>
  <c r="B246" i="323"/>
  <c r="B247" i="323"/>
  <c r="B248" i="323"/>
  <c r="AE247" i="323"/>
  <c r="AD247" i="323"/>
  <c r="AC247" i="323"/>
  <c r="AB247" i="323"/>
  <c r="AA247" i="323"/>
  <c r="Z247" i="323"/>
  <c r="Y247" i="323"/>
  <c r="X247" i="323"/>
  <c r="W247" i="323"/>
  <c r="V247" i="323"/>
  <c r="U247" i="323"/>
  <c r="T247" i="323"/>
  <c r="S247" i="323"/>
  <c r="Q247" i="323"/>
  <c r="O247" i="323"/>
  <c r="N247" i="323"/>
  <c r="M247" i="323"/>
  <c r="L247" i="323"/>
  <c r="AE246" i="323"/>
  <c r="AD246" i="323"/>
  <c r="AC246" i="323"/>
  <c r="AB246" i="323"/>
  <c r="AA246" i="323"/>
  <c r="Z246" i="323"/>
  <c r="Y246" i="323"/>
  <c r="X246" i="323"/>
  <c r="W246" i="323"/>
  <c r="V246" i="323"/>
  <c r="U246" i="323"/>
  <c r="T246" i="323"/>
  <c r="S246" i="323"/>
  <c r="Q246" i="323"/>
  <c r="O246" i="323"/>
  <c r="N246" i="323"/>
  <c r="M246" i="323"/>
  <c r="L246" i="323"/>
  <c r="AE245" i="323"/>
  <c r="AD245" i="323"/>
  <c r="AC245" i="323"/>
  <c r="AB245" i="323"/>
  <c r="AA245" i="323"/>
  <c r="Z245" i="323"/>
  <c r="Y245" i="323"/>
  <c r="X245" i="323"/>
  <c r="W245" i="323"/>
  <c r="V245" i="323"/>
  <c r="U245" i="323"/>
  <c r="T245" i="323"/>
  <c r="S245" i="323"/>
  <c r="Q245" i="323"/>
  <c r="O245" i="323"/>
  <c r="N245" i="323"/>
  <c r="M245" i="323"/>
  <c r="L245" i="323"/>
  <c r="Q241" i="323"/>
  <c r="A241" i="323"/>
  <c r="I236" i="323"/>
  <c r="S236" i="323"/>
  <c r="I235" i="323"/>
  <c r="AE227" i="323"/>
  <c r="Z206" i="323"/>
  <c r="Y205" i="323"/>
  <c r="Z205" i="323"/>
  <c r="AC227" i="323"/>
  <c r="X227" i="323"/>
  <c r="G207" i="323"/>
  <c r="O227" i="323"/>
  <c r="X205" i="323"/>
  <c r="M227" i="323"/>
  <c r="H227" i="323"/>
  <c r="AE226" i="323"/>
  <c r="AC226" i="323"/>
  <c r="X226" i="323"/>
  <c r="O226" i="323"/>
  <c r="M226" i="323"/>
  <c r="H226" i="323"/>
  <c r="AE225" i="323"/>
  <c r="AC225" i="323"/>
  <c r="X225" i="323"/>
  <c r="O225" i="323"/>
  <c r="M225" i="323"/>
  <c r="H225" i="323"/>
  <c r="AC224" i="323"/>
  <c r="X224" i="323"/>
  <c r="M224" i="323"/>
  <c r="H224" i="323"/>
  <c r="Q209" i="323"/>
  <c r="AE219" i="323"/>
  <c r="AD219" i="323"/>
  <c r="AC219" i="323"/>
  <c r="AB219" i="323"/>
  <c r="AA219" i="323"/>
  <c r="Z219" i="323"/>
  <c r="Y219" i="323"/>
  <c r="X219" i="323"/>
  <c r="W219" i="323"/>
  <c r="V219" i="323"/>
  <c r="U219" i="323"/>
  <c r="T219" i="323"/>
  <c r="S219" i="323"/>
  <c r="Q211" i="323"/>
  <c r="U213" i="323"/>
  <c r="R216" i="323"/>
  <c r="R217" i="323"/>
  <c r="R218" i="323"/>
  <c r="R219" i="323"/>
  <c r="Q219" i="323"/>
  <c r="O219" i="323"/>
  <c r="N219" i="323"/>
  <c r="M219" i="323"/>
  <c r="L219" i="323"/>
  <c r="A209" i="323"/>
  <c r="A211" i="323"/>
  <c r="E213" i="323"/>
  <c r="B216" i="323"/>
  <c r="B217" i="323"/>
  <c r="B218" i="323"/>
  <c r="B219" i="323"/>
  <c r="AE218" i="323"/>
  <c r="AD218" i="323"/>
  <c r="AC218" i="323"/>
  <c r="AB218" i="323"/>
  <c r="AA218" i="323"/>
  <c r="Z218" i="323"/>
  <c r="Y218" i="323"/>
  <c r="X218" i="323"/>
  <c r="W218" i="323"/>
  <c r="V218" i="323"/>
  <c r="U218" i="323"/>
  <c r="T218" i="323"/>
  <c r="S218" i="323"/>
  <c r="Q218" i="323"/>
  <c r="O218" i="323"/>
  <c r="N218" i="323"/>
  <c r="M218" i="323"/>
  <c r="L218" i="323"/>
  <c r="AE217" i="323"/>
  <c r="AD217" i="323"/>
  <c r="AC217" i="323"/>
  <c r="AB217" i="323"/>
  <c r="AA217" i="323"/>
  <c r="Z217" i="323"/>
  <c r="Y217" i="323"/>
  <c r="X217" i="323"/>
  <c r="W217" i="323"/>
  <c r="V217" i="323"/>
  <c r="U217" i="323"/>
  <c r="T217" i="323"/>
  <c r="S217" i="323"/>
  <c r="Q217" i="323"/>
  <c r="O217" i="323"/>
  <c r="N217" i="323"/>
  <c r="M217" i="323"/>
  <c r="L217" i="323"/>
  <c r="AE216" i="323"/>
  <c r="AD216" i="323"/>
  <c r="AC216" i="323"/>
  <c r="AB216" i="323"/>
  <c r="AA216" i="323"/>
  <c r="Z216" i="323"/>
  <c r="Y216" i="323"/>
  <c r="X216" i="323"/>
  <c r="W216" i="323"/>
  <c r="V216" i="323"/>
  <c r="U216" i="323"/>
  <c r="T216" i="323"/>
  <c r="S216" i="323"/>
  <c r="Q216" i="323"/>
  <c r="O216" i="323"/>
  <c r="N216" i="323"/>
  <c r="M216" i="323"/>
  <c r="L216" i="323"/>
  <c r="Q212" i="323"/>
  <c r="A212" i="323"/>
  <c r="I207" i="323"/>
  <c r="S207" i="323"/>
  <c r="I206" i="323"/>
  <c r="AE198" i="323"/>
  <c r="Z177" i="323"/>
  <c r="Y176" i="323"/>
  <c r="Z176" i="323"/>
  <c r="AC198" i="323"/>
  <c r="X198" i="323"/>
  <c r="G178" i="323"/>
  <c r="O198" i="323"/>
  <c r="X176" i="323"/>
  <c r="M198" i="323"/>
  <c r="H198" i="323"/>
  <c r="AE197" i="323"/>
  <c r="AC197" i="323"/>
  <c r="X197" i="323"/>
  <c r="O197" i="323"/>
  <c r="M197" i="323"/>
  <c r="H197" i="323"/>
  <c r="AE196" i="323"/>
  <c r="AC196" i="323"/>
  <c r="X196" i="323"/>
  <c r="O196" i="323"/>
  <c r="M196" i="323"/>
  <c r="H196" i="323"/>
  <c r="AC195" i="323"/>
  <c r="X195" i="323"/>
  <c r="M195" i="323"/>
  <c r="H195" i="323"/>
  <c r="Q180" i="323"/>
  <c r="AE190" i="323"/>
  <c r="AD190" i="323"/>
  <c r="AC190" i="323"/>
  <c r="AB190" i="323"/>
  <c r="AA190" i="323"/>
  <c r="Z190" i="323"/>
  <c r="Y190" i="323"/>
  <c r="X190" i="323"/>
  <c r="W190" i="323"/>
  <c r="V190" i="323"/>
  <c r="U190" i="323"/>
  <c r="T190" i="323"/>
  <c r="S190" i="323"/>
  <c r="Q182" i="323"/>
  <c r="U184" i="323"/>
  <c r="R187" i="323"/>
  <c r="R188" i="323"/>
  <c r="R189" i="323"/>
  <c r="R190" i="323"/>
  <c r="Q190" i="323"/>
  <c r="O190" i="323"/>
  <c r="N190" i="323"/>
  <c r="M190" i="323"/>
  <c r="L190" i="323"/>
  <c r="A180" i="323"/>
  <c r="A182" i="323"/>
  <c r="E184" i="323"/>
  <c r="B187" i="323"/>
  <c r="B188" i="323"/>
  <c r="B189" i="323"/>
  <c r="B190" i="323"/>
  <c r="AE189" i="323"/>
  <c r="AD189" i="323"/>
  <c r="AC189" i="323"/>
  <c r="AB189" i="323"/>
  <c r="AA189" i="323"/>
  <c r="Z189" i="323"/>
  <c r="Y189" i="323"/>
  <c r="X189" i="323"/>
  <c r="W189" i="323"/>
  <c r="V189" i="323"/>
  <c r="U189" i="323"/>
  <c r="T189" i="323"/>
  <c r="S189" i="323"/>
  <c r="Q189" i="323"/>
  <c r="O189" i="323"/>
  <c r="N189" i="323"/>
  <c r="M189" i="323"/>
  <c r="L189" i="323"/>
  <c r="AE188" i="323"/>
  <c r="AD188" i="323"/>
  <c r="AC188" i="323"/>
  <c r="AB188" i="323"/>
  <c r="AA188" i="323"/>
  <c r="Z188" i="323"/>
  <c r="Y188" i="323"/>
  <c r="X188" i="323"/>
  <c r="W188" i="323"/>
  <c r="V188" i="323"/>
  <c r="U188" i="323"/>
  <c r="T188" i="323"/>
  <c r="S188" i="323"/>
  <c r="Q188" i="323"/>
  <c r="O188" i="323"/>
  <c r="N188" i="323"/>
  <c r="M188" i="323"/>
  <c r="L188" i="323"/>
  <c r="AE187" i="323"/>
  <c r="AD187" i="323"/>
  <c r="AC187" i="323"/>
  <c r="AB187" i="323"/>
  <c r="AA187" i="323"/>
  <c r="Z187" i="323"/>
  <c r="Y187" i="323"/>
  <c r="X187" i="323"/>
  <c r="W187" i="323"/>
  <c r="V187" i="323"/>
  <c r="U187" i="323"/>
  <c r="T187" i="323"/>
  <c r="S187" i="323"/>
  <c r="Q187" i="323"/>
  <c r="O187" i="323"/>
  <c r="N187" i="323"/>
  <c r="M187" i="323"/>
  <c r="L187" i="323"/>
  <c r="Q183" i="323"/>
  <c r="A183" i="323"/>
  <c r="I178" i="323"/>
  <c r="S178" i="323"/>
  <c r="I177" i="323"/>
  <c r="AE169" i="323"/>
  <c r="Z148" i="323"/>
  <c r="Y147" i="323"/>
  <c r="Z147" i="323"/>
  <c r="AC169" i="323"/>
  <c r="X169" i="323"/>
  <c r="G149" i="323"/>
  <c r="O169" i="323"/>
  <c r="X147" i="323"/>
  <c r="M169" i="323"/>
  <c r="H169" i="323"/>
  <c r="AE168" i="323"/>
  <c r="AC168" i="323"/>
  <c r="X168" i="323"/>
  <c r="O168" i="323"/>
  <c r="M168" i="323"/>
  <c r="H168" i="323"/>
  <c r="AE167" i="323"/>
  <c r="AC167" i="323"/>
  <c r="X167" i="323"/>
  <c r="O167" i="323"/>
  <c r="M167" i="323"/>
  <c r="H167" i="323"/>
  <c r="AC166" i="323"/>
  <c r="X166" i="323"/>
  <c r="M166" i="323"/>
  <c r="H166" i="323"/>
  <c r="Q151" i="323"/>
  <c r="AE161" i="323"/>
  <c r="AD161" i="323"/>
  <c r="AC161" i="323"/>
  <c r="AB161" i="323"/>
  <c r="AA161" i="323"/>
  <c r="Z161" i="323"/>
  <c r="Y161" i="323"/>
  <c r="X161" i="323"/>
  <c r="W161" i="323"/>
  <c r="V161" i="323"/>
  <c r="U161" i="323"/>
  <c r="T161" i="323"/>
  <c r="S161" i="323"/>
  <c r="Q153" i="323"/>
  <c r="U155" i="323"/>
  <c r="R158" i="323"/>
  <c r="R159" i="323"/>
  <c r="R160" i="323"/>
  <c r="R161" i="323"/>
  <c r="Q161" i="323"/>
  <c r="O161" i="323"/>
  <c r="N161" i="323"/>
  <c r="M161" i="323"/>
  <c r="L161" i="323"/>
  <c r="A151" i="323"/>
  <c r="A153" i="323"/>
  <c r="E155" i="323"/>
  <c r="B158" i="323"/>
  <c r="B159" i="323"/>
  <c r="B160" i="323"/>
  <c r="B161" i="323"/>
  <c r="AE160" i="323"/>
  <c r="AD160" i="323"/>
  <c r="AC160" i="323"/>
  <c r="AB160" i="323"/>
  <c r="AA160" i="323"/>
  <c r="Z160" i="323"/>
  <c r="Y160" i="323"/>
  <c r="X160" i="323"/>
  <c r="W160" i="323"/>
  <c r="V160" i="323"/>
  <c r="U160" i="323"/>
  <c r="T160" i="323"/>
  <c r="S160" i="323"/>
  <c r="Q160" i="323"/>
  <c r="O160" i="323"/>
  <c r="N160" i="323"/>
  <c r="M160" i="323"/>
  <c r="L160" i="323"/>
  <c r="AE159" i="323"/>
  <c r="AD159" i="323"/>
  <c r="AC159" i="323"/>
  <c r="AB159" i="323"/>
  <c r="AA159" i="323"/>
  <c r="Z159" i="323"/>
  <c r="Y159" i="323"/>
  <c r="X159" i="323"/>
  <c r="W159" i="323"/>
  <c r="V159" i="323"/>
  <c r="U159" i="323"/>
  <c r="T159" i="323"/>
  <c r="S159" i="323"/>
  <c r="Q159" i="323"/>
  <c r="O159" i="323"/>
  <c r="N159" i="323"/>
  <c r="M159" i="323"/>
  <c r="L159" i="323"/>
  <c r="AE158" i="323"/>
  <c r="AD158" i="323"/>
  <c r="AC158" i="323"/>
  <c r="AB158" i="323"/>
  <c r="AA158" i="323"/>
  <c r="Z158" i="323"/>
  <c r="Y158" i="323"/>
  <c r="X158" i="323"/>
  <c r="W158" i="323"/>
  <c r="V158" i="323"/>
  <c r="U158" i="323"/>
  <c r="T158" i="323"/>
  <c r="S158" i="323"/>
  <c r="Q158" i="323"/>
  <c r="O158" i="323"/>
  <c r="N158" i="323"/>
  <c r="M158" i="323"/>
  <c r="L158" i="323"/>
  <c r="Q154" i="323"/>
  <c r="A154" i="323"/>
  <c r="I149" i="323"/>
  <c r="S149" i="323"/>
  <c r="I148" i="323"/>
  <c r="AE140" i="323"/>
  <c r="Z119" i="323"/>
  <c r="Y118" i="323"/>
  <c r="Z118" i="323"/>
  <c r="AC140" i="323"/>
  <c r="X140" i="323"/>
  <c r="G120" i="323"/>
  <c r="O140" i="323"/>
  <c r="X118" i="323"/>
  <c r="M140" i="323"/>
  <c r="H140" i="323"/>
  <c r="AE139" i="323"/>
  <c r="AC139" i="323"/>
  <c r="X139" i="323"/>
  <c r="O139" i="323"/>
  <c r="M139" i="323"/>
  <c r="H139" i="323"/>
  <c r="AE138" i="323"/>
  <c r="AC138" i="323"/>
  <c r="X138" i="323"/>
  <c r="O138" i="323"/>
  <c r="M138" i="323"/>
  <c r="H138" i="323"/>
  <c r="AC137" i="323"/>
  <c r="X137" i="323"/>
  <c r="M137" i="323"/>
  <c r="H137" i="323"/>
  <c r="Q122" i="323"/>
  <c r="AE132" i="323"/>
  <c r="AD132" i="323"/>
  <c r="AC132" i="323"/>
  <c r="AB132" i="323"/>
  <c r="AA132" i="323"/>
  <c r="Z132" i="323"/>
  <c r="Y132" i="323"/>
  <c r="X132" i="323"/>
  <c r="W132" i="323"/>
  <c r="V132" i="323"/>
  <c r="U132" i="323"/>
  <c r="T132" i="323"/>
  <c r="S132" i="323"/>
  <c r="Q124" i="323"/>
  <c r="U126" i="323"/>
  <c r="R129" i="323"/>
  <c r="R130" i="323"/>
  <c r="R131" i="323"/>
  <c r="R132" i="323"/>
  <c r="Q132" i="323"/>
  <c r="O132" i="323"/>
  <c r="N132" i="323"/>
  <c r="M132" i="323"/>
  <c r="L132" i="323"/>
  <c r="A122" i="323"/>
  <c r="A124" i="323"/>
  <c r="E126" i="323"/>
  <c r="B129" i="323"/>
  <c r="B130" i="323"/>
  <c r="B131" i="323"/>
  <c r="B132" i="323"/>
  <c r="AE131" i="323"/>
  <c r="AD131" i="323"/>
  <c r="AC131" i="323"/>
  <c r="AB131" i="323"/>
  <c r="AA131" i="323"/>
  <c r="Z131" i="323"/>
  <c r="Y131" i="323"/>
  <c r="X131" i="323"/>
  <c r="W131" i="323"/>
  <c r="V131" i="323"/>
  <c r="U131" i="323"/>
  <c r="T131" i="323"/>
  <c r="S131" i="323"/>
  <c r="Q131" i="323"/>
  <c r="O131" i="323"/>
  <c r="N131" i="323"/>
  <c r="M131" i="323"/>
  <c r="L131" i="323"/>
  <c r="AE130" i="323"/>
  <c r="AD130" i="323"/>
  <c r="AC130" i="323"/>
  <c r="AB130" i="323"/>
  <c r="AA130" i="323"/>
  <c r="Z130" i="323"/>
  <c r="Y130" i="323"/>
  <c r="X130" i="323"/>
  <c r="W130" i="323"/>
  <c r="V130" i="323"/>
  <c r="U130" i="323"/>
  <c r="T130" i="323"/>
  <c r="S130" i="323"/>
  <c r="Q130" i="323"/>
  <c r="O130" i="323"/>
  <c r="N130" i="323"/>
  <c r="M130" i="323"/>
  <c r="L130" i="323"/>
  <c r="AE129" i="323"/>
  <c r="AD129" i="323"/>
  <c r="AC129" i="323"/>
  <c r="AB129" i="323"/>
  <c r="AA129" i="323"/>
  <c r="Z129" i="323"/>
  <c r="Y129" i="323"/>
  <c r="X129" i="323"/>
  <c r="W129" i="323"/>
  <c r="V129" i="323"/>
  <c r="U129" i="323"/>
  <c r="T129" i="323"/>
  <c r="S129" i="323"/>
  <c r="Q129" i="323"/>
  <c r="O129" i="323"/>
  <c r="N129" i="323"/>
  <c r="M129" i="323"/>
  <c r="L129" i="323"/>
  <c r="Q125" i="323"/>
  <c r="A125" i="323"/>
  <c r="I120" i="323"/>
  <c r="S120" i="323"/>
  <c r="I119" i="323"/>
  <c r="AE111" i="323"/>
  <c r="Z90" i="323"/>
  <c r="Y89" i="323"/>
  <c r="Z89" i="323"/>
  <c r="AC111" i="323"/>
  <c r="X111" i="323"/>
  <c r="G91" i="323"/>
  <c r="O111" i="323"/>
  <c r="X89" i="323"/>
  <c r="M111" i="323"/>
  <c r="H111" i="323"/>
  <c r="AE110" i="323"/>
  <c r="AC110" i="323"/>
  <c r="X110" i="323"/>
  <c r="O110" i="323"/>
  <c r="M110" i="323"/>
  <c r="H110" i="323"/>
  <c r="AE109" i="323"/>
  <c r="AC109" i="323"/>
  <c r="X109" i="323"/>
  <c r="O109" i="323"/>
  <c r="M109" i="323"/>
  <c r="H109" i="323"/>
  <c r="AC108" i="323"/>
  <c r="X108" i="323"/>
  <c r="M108" i="323"/>
  <c r="H108" i="323"/>
  <c r="Q93" i="323"/>
  <c r="AE103" i="323"/>
  <c r="AD103" i="323"/>
  <c r="AC103" i="323"/>
  <c r="AB103" i="323"/>
  <c r="AA103" i="323"/>
  <c r="Z103" i="323"/>
  <c r="Y103" i="323"/>
  <c r="X103" i="323"/>
  <c r="W103" i="323"/>
  <c r="V103" i="323"/>
  <c r="U103" i="323"/>
  <c r="T103" i="323"/>
  <c r="S103" i="323"/>
  <c r="Q95" i="323"/>
  <c r="U97" i="323"/>
  <c r="R100" i="323"/>
  <c r="R101" i="323"/>
  <c r="R102" i="323"/>
  <c r="R103" i="323"/>
  <c r="Q103" i="323"/>
  <c r="O103" i="323"/>
  <c r="N103" i="323"/>
  <c r="M103" i="323"/>
  <c r="L103" i="323"/>
  <c r="A93" i="323"/>
  <c r="A95" i="323"/>
  <c r="E97" i="323"/>
  <c r="B100" i="323"/>
  <c r="B101" i="323"/>
  <c r="B102" i="323"/>
  <c r="B103" i="323"/>
  <c r="AE102" i="323"/>
  <c r="AD102" i="323"/>
  <c r="AC102" i="323"/>
  <c r="AB102" i="323"/>
  <c r="AA102" i="323"/>
  <c r="Z102" i="323"/>
  <c r="Y102" i="323"/>
  <c r="X102" i="323"/>
  <c r="W102" i="323"/>
  <c r="V102" i="323"/>
  <c r="U102" i="323"/>
  <c r="T102" i="323"/>
  <c r="S102" i="323"/>
  <c r="Q102" i="323"/>
  <c r="O102" i="323"/>
  <c r="N102" i="323"/>
  <c r="M102" i="323"/>
  <c r="L102" i="323"/>
  <c r="AE101" i="323"/>
  <c r="AD101" i="323"/>
  <c r="AC101" i="323"/>
  <c r="AB101" i="323"/>
  <c r="AA101" i="323"/>
  <c r="Z101" i="323"/>
  <c r="Y101" i="323"/>
  <c r="X101" i="323"/>
  <c r="W101" i="323"/>
  <c r="V101" i="323"/>
  <c r="U101" i="323"/>
  <c r="T101" i="323"/>
  <c r="S101" i="323"/>
  <c r="Q101" i="323"/>
  <c r="O101" i="323"/>
  <c r="N101" i="323"/>
  <c r="M101" i="323"/>
  <c r="L101" i="323"/>
  <c r="AE100" i="323"/>
  <c r="AD100" i="323"/>
  <c r="AC100" i="323"/>
  <c r="AB100" i="323"/>
  <c r="AA100" i="323"/>
  <c r="Z100" i="323"/>
  <c r="Y100" i="323"/>
  <c r="X100" i="323"/>
  <c r="W100" i="323"/>
  <c r="V100" i="323"/>
  <c r="U100" i="323"/>
  <c r="T100" i="323"/>
  <c r="S100" i="323"/>
  <c r="Q100" i="323"/>
  <c r="O100" i="323"/>
  <c r="N100" i="323"/>
  <c r="M100" i="323"/>
  <c r="L100" i="323"/>
  <c r="Q96" i="323"/>
  <c r="A96" i="323"/>
  <c r="I91" i="323"/>
  <c r="S91" i="323"/>
  <c r="I90" i="323"/>
  <c r="Z60" i="323"/>
  <c r="Q64" i="323"/>
  <c r="Q66" i="323"/>
  <c r="U68" i="323"/>
  <c r="R71" i="323"/>
  <c r="R72" i="323"/>
  <c r="R73" i="323"/>
  <c r="R74" i="323"/>
  <c r="X60" i="323"/>
  <c r="A64" i="323"/>
  <c r="A66" i="323"/>
  <c r="E68" i="323"/>
  <c r="B71" i="323"/>
  <c r="B72" i="323"/>
  <c r="B73" i="323"/>
  <c r="B74" i="323"/>
  <c r="Z31" i="323"/>
  <c r="Q35" i="323"/>
  <c r="Q37" i="323"/>
  <c r="U39" i="323"/>
  <c r="R42" i="323"/>
  <c r="R43" i="323"/>
  <c r="R44" i="323"/>
  <c r="R45" i="323"/>
  <c r="X31" i="323"/>
  <c r="A35" i="323"/>
  <c r="A37" i="323"/>
  <c r="E39" i="323"/>
  <c r="G33" i="323"/>
  <c r="Y31" i="323"/>
  <c r="C2" i="34"/>
  <c r="AG26" i="323"/>
  <c r="AG25" i="323"/>
  <c r="AG24" i="323"/>
  <c r="AG23" i="323"/>
  <c r="AG22" i="323"/>
  <c r="AG21" i="323"/>
  <c r="AG20" i="323"/>
  <c r="AG19" i="323"/>
  <c r="AG18" i="323"/>
  <c r="AG17" i="323"/>
  <c r="AG16" i="323"/>
  <c r="AG15" i="323"/>
  <c r="AG14" i="323"/>
  <c r="AG13" i="323"/>
  <c r="AG12" i="323"/>
  <c r="AG11" i="323"/>
  <c r="AG10" i="323"/>
  <c r="AG9" i="323"/>
  <c r="AG8" i="323"/>
  <c r="AG7" i="323"/>
  <c r="AG6" i="323"/>
  <c r="AG5" i="323"/>
  <c r="AG4" i="323"/>
  <c r="AG3" i="323"/>
  <c r="B42" i="323"/>
  <c r="B43" i="323"/>
  <c r="B44" i="323"/>
  <c r="B45" i="323"/>
  <c r="AW24" i="328"/>
  <c r="AX25" i="328"/>
  <c r="AW25" i="328"/>
  <c r="AX24" i="328"/>
  <c r="AW22" i="328"/>
  <c r="AX23" i="328"/>
  <c r="AW23" i="328"/>
  <c r="AX22" i="328"/>
  <c r="AW20" i="328"/>
  <c r="AX21" i="328"/>
  <c r="AW21" i="328"/>
  <c r="AX20" i="328"/>
  <c r="AW18" i="328"/>
  <c r="AX19" i="328"/>
  <c r="AW19" i="328"/>
  <c r="AX18" i="328"/>
  <c r="AW16" i="328"/>
  <c r="AX17" i="328"/>
  <c r="AW17" i="328"/>
  <c r="AX16" i="328"/>
  <c r="AW14" i="328"/>
  <c r="AX15" i="328"/>
  <c r="AW15" i="328"/>
  <c r="AX14" i="328"/>
  <c r="L10" i="328"/>
  <c r="R22" i="328"/>
  <c r="X29" i="328"/>
  <c r="AW12" i="328"/>
  <c r="AX13" i="328"/>
  <c r="L31" i="328"/>
  <c r="R31" i="328"/>
  <c r="X31" i="328"/>
  <c r="AW13" i="328"/>
  <c r="AX12" i="328"/>
  <c r="L17" i="328"/>
  <c r="R24" i="328"/>
  <c r="X22" i="328"/>
  <c r="AW10" i="328"/>
  <c r="AX11" i="328"/>
  <c r="L24" i="328"/>
  <c r="R29" i="328"/>
  <c r="X24" i="328"/>
  <c r="AW11" i="328"/>
  <c r="AX10" i="328"/>
  <c r="L15" i="328"/>
  <c r="R10" i="328"/>
  <c r="X15" i="328"/>
  <c r="AW8" i="328"/>
  <c r="AX9" i="328"/>
  <c r="L22" i="328"/>
  <c r="R15" i="328"/>
  <c r="X17" i="328"/>
  <c r="AW9" i="328"/>
  <c r="AX8" i="328"/>
  <c r="L8" i="328"/>
  <c r="R8" i="328"/>
  <c r="X8" i="328"/>
  <c r="AW6" i="328"/>
  <c r="AX7" i="328"/>
  <c r="L29" i="328"/>
  <c r="R17" i="328"/>
  <c r="X10" i="328"/>
  <c r="AW7" i="328"/>
  <c r="AX6" i="328"/>
  <c r="AV25" i="328"/>
  <c r="AV24" i="328"/>
  <c r="AV23" i="328"/>
  <c r="AS26" i="328"/>
  <c r="AR26" i="328"/>
  <c r="AO25" i="328"/>
  <c r="AP26" i="328"/>
  <c r="AO26" i="328"/>
  <c r="AP25" i="328"/>
  <c r="AO23" i="328"/>
  <c r="AP24" i="328"/>
  <c r="AO24" i="328"/>
  <c r="AP23" i="328"/>
  <c r="K69" i="328"/>
  <c r="K71" i="328"/>
  <c r="K76" i="328"/>
  <c r="K78" i="328"/>
  <c r="AN26" i="328"/>
  <c r="AN25" i="328"/>
  <c r="AN24" i="328"/>
  <c r="AN23" i="328"/>
  <c r="AG27" i="328"/>
  <c r="AG26" i="328"/>
  <c r="AG25" i="328"/>
  <c r="AG24" i="328"/>
  <c r="AG23" i="328"/>
  <c r="L45" i="328"/>
  <c r="L43" i="328"/>
  <c r="L38" i="328"/>
  <c r="L36" i="328"/>
  <c r="L50" i="328"/>
  <c r="L52" i="328"/>
  <c r="L57" i="328"/>
  <c r="L59" i="328"/>
  <c r="M72" i="328"/>
  <c r="M71" i="328"/>
  <c r="E25" i="328"/>
  <c r="E26" i="328"/>
  <c r="E27" i="328"/>
  <c r="E28" i="328"/>
  <c r="M79" i="328"/>
  <c r="M78" i="328"/>
  <c r="M77" i="328"/>
  <c r="M76" i="328"/>
  <c r="M70" i="328"/>
  <c r="M69" i="328"/>
  <c r="M64" i="328"/>
  <c r="M63" i="328"/>
  <c r="M59" i="328"/>
  <c r="M58" i="328"/>
  <c r="M57" i="328"/>
  <c r="M56" i="328"/>
  <c r="M52" i="328"/>
  <c r="M51" i="328"/>
  <c r="M50" i="328"/>
  <c r="M49" i="328"/>
  <c r="M45" i="328"/>
  <c r="M44" i="328"/>
  <c r="M43" i="328"/>
  <c r="M42" i="328"/>
  <c r="M38" i="328"/>
  <c r="M37" i="328"/>
  <c r="M36" i="328"/>
  <c r="M35" i="328"/>
  <c r="Y31" i="328"/>
  <c r="S31" i="328"/>
  <c r="M31" i="328"/>
  <c r="AG30" i="328"/>
  <c r="AJ30" i="328"/>
  <c r="AI30" i="328"/>
  <c r="AH30" i="328"/>
  <c r="Y30" i="328"/>
  <c r="Q7" i="328"/>
  <c r="W7" i="328"/>
  <c r="W9" i="328"/>
  <c r="W14" i="328"/>
  <c r="W16" i="328"/>
  <c r="W21" i="328"/>
  <c r="W23" i="328"/>
  <c r="W28" i="328"/>
  <c r="W30" i="328"/>
  <c r="S30" i="328"/>
  <c r="Q9" i="328"/>
  <c r="Q14" i="328"/>
  <c r="Q16" i="328"/>
  <c r="Q21" i="328"/>
  <c r="Q23" i="328"/>
  <c r="Q28" i="328"/>
  <c r="Q30" i="328"/>
  <c r="M30" i="328"/>
  <c r="AG29" i="328"/>
  <c r="AJ29" i="328"/>
  <c r="AI29" i="328"/>
  <c r="AH29" i="328"/>
  <c r="Y29" i="328"/>
  <c r="S29" i="328"/>
  <c r="M29" i="328"/>
  <c r="AG28" i="328"/>
  <c r="AJ28" i="328"/>
  <c r="AI28" i="328"/>
  <c r="AH28" i="328"/>
  <c r="Y28" i="328"/>
  <c r="S28" i="328"/>
  <c r="M28" i="328"/>
  <c r="AJ27" i="328"/>
  <c r="AI27" i="328"/>
  <c r="AH27" i="328"/>
  <c r="AJ26" i="328"/>
  <c r="AI26" i="328"/>
  <c r="AH26" i="328"/>
  <c r="AS24" i="328"/>
  <c r="AT25" i="328"/>
  <c r="AS25" i="328"/>
  <c r="AR25" i="328"/>
  <c r="AJ25" i="328"/>
  <c r="AI25" i="328"/>
  <c r="AH25" i="328"/>
  <c r="AT24" i="328"/>
  <c r="AR24" i="328"/>
  <c r="AJ24" i="328"/>
  <c r="AI24" i="328"/>
  <c r="AH24" i="328"/>
  <c r="Y24" i="328"/>
  <c r="S24" i="328"/>
  <c r="M24" i="328"/>
  <c r="E24" i="328"/>
  <c r="AS22" i="328"/>
  <c r="AT23" i="328"/>
  <c r="AS23" i="328"/>
  <c r="AR23" i="328"/>
  <c r="AJ23" i="328"/>
  <c r="AI23" i="328"/>
  <c r="AH23" i="328"/>
  <c r="Y23" i="328"/>
  <c r="S23" i="328"/>
  <c r="M23" i="328"/>
  <c r="E23" i="328"/>
  <c r="AV22" i="328"/>
  <c r="AT22" i="328"/>
  <c r="AR22" i="328"/>
  <c r="AO22" i="328"/>
  <c r="AN22" i="328"/>
  <c r="AG22" i="328"/>
  <c r="AJ22" i="328"/>
  <c r="AI22" i="328"/>
  <c r="AH22" i="328"/>
  <c r="Y22" i="328"/>
  <c r="S22" i="328"/>
  <c r="M22" i="328"/>
  <c r="E22" i="328"/>
  <c r="AV21" i="328"/>
  <c r="AS20" i="328"/>
  <c r="AT21" i="328"/>
  <c r="AS21" i="328"/>
  <c r="AR21" i="328"/>
  <c r="AO20" i="328"/>
  <c r="AP21" i="328"/>
  <c r="AO21" i="328"/>
  <c r="AN21" i="328"/>
  <c r="AG21" i="328"/>
  <c r="AJ21" i="328"/>
  <c r="AI21" i="328"/>
  <c r="AH21" i="328"/>
  <c r="Y21" i="328"/>
  <c r="S21" i="328"/>
  <c r="M21" i="328"/>
  <c r="E21" i="328"/>
  <c r="AV20" i="328"/>
  <c r="AT20" i="328"/>
  <c r="AR20" i="328"/>
  <c r="AP20" i="328"/>
  <c r="AN20" i="328"/>
  <c r="AG20" i="328"/>
  <c r="AJ20" i="328"/>
  <c r="AI20" i="328"/>
  <c r="AH20" i="328"/>
  <c r="E20" i="328"/>
  <c r="AV19" i="328"/>
  <c r="AS18" i="328"/>
  <c r="AT19" i="328"/>
  <c r="AS19" i="328"/>
  <c r="AR19" i="328"/>
  <c r="AO18" i="328"/>
  <c r="AP19" i="328"/>
  <c r="AO19" i="328"/>
  <c r="AN19" i="328"/>
  <c r="AG19" i="328"/>
  <c r="AJ19" i="328"/>
  <c r="AI19" i="328"/>
  <c r="AH19" i="328"/>
  <c r="E19" i="328"/>
  <c r="AV18" i="328"/>
  <c r="AT18" i="328"/>
  <c r="AR18" i="328"/>
  <c r="AP18" i="328"/>
  <c r="AN18" i="328"/>
  <c r="AG18" i="328"/>
  <c r="AJ18" i="328"/>
  <c r="AI18" i="328"/>
  <c r="AH18" i="328"/>
  <c r="E18" i="328"/>
  <c r="AV17" i="328"/>
  <c r="AS16" i="328"/>
  <c r="AT17" i="328"/>
  <c r="AS17" i="328"/>
  <c r="AR17" i="328"/>
  <c r="AO16" i="328"/>
  <c r="AP17" i="328"/>
  <c r="AO17" i="328"/>
  <c r="AN17" i="328"/>
  <c r="AG17" i="328"/>
  <c r="AJ17" i="328"/>
  <c r="AI17" i="328"/>
  <c r="AH17" i="328"/>
  <c r="Y17" i="328"/>
  <c r="S17" i="328"/>
  <c r="M17" i="328"/>
  <c r="E17" i="328"/>
  <c r="AV16" i="328"/>
  <c r="AT16" i="328"/>
  <c r="AR16" i="328"/>
  <c r="AP16" i="328"/>
  <c r="AN16" i="328"/>
  <c r="AG16" i="328"/>
  <c r="AJ16" i="328"/>
  <c r="AI16" i="328"/>
  <c r="AH16" i="328"/>
  <c r="Y16" i="328"/>
  <c r="S16" i="328"/>
  <c r="M16" i="328"/>
  <c r="E16" i="328"/>
  <c r="AV15" i="328"/>
  <c r="AS14" i="328"/>
  <c r="AT15" i="328"/>
  <c r="AS15" i="328"/>
  <c r="AR15" i="328"/>
  <c r="AO14" i="328"/>
  <c r="AP15" i="328"/>
  <c r="AO15" i="328"/>
  <c r="AN15" i="328"/>
  <c r="AG15" i="328"/>
  <c r="AJ15" i="328"/>
  <c r="AI15" i="328"/>
  <c r="AH15" i="328"/>
  <c r="Y15" i="328"/>
  <c r="S15" i="328"/>
  <c r="M15" i="328"/>
  <c r="E15" i="328"/>
  <c r="AV14" i="328"/>
  <c r="AT14" i="328"/>
  <c r="AR14" i="328"/>
  <c r="AP14" i="328"/>
  <c r="AN14" i="328"/>
  <c r="AG14" i="328"/>
  <c r="AJ14" i="328"/>
  <c r="AI14" i="328"/>
  <c r="AH14" i="328"/>
  <c r="Y14" i="328"/>
  <c r="S14" i="328"/>
  <c r="M14" i="328"/>
  <c r="E14" i="328"/>
  <c r="AV13" i="328"/>
  <c r="AS12" i="328"/>
  <c r="AT13" i="328"/>
  <c r="AS13" i="328"/>
  <c r="AR13" i="328"/>
  <c r="AO12" i="328"/>
  <c r="AP13" i="328"/>
  <c r="AO13" i="328"/>
  <c r="AN13" i="328"/>
  <c r="AG13" i="328"/>
  <c r="AJ13" i="328"/>
  <c r="AI13" i="328"/>
  <c r="AH13" i="328"/>
  <c r="E13" i="328"/>
  <c r="AV12" i="328"/>
  <c r="AT12" i="328"/>
  <c r="AR12" i="328"/>
  <c r="AP12" i="328"/>
  <c r="AN12" i="328"/>
  <c r="AG12" i="328"/>
  <c r="AJ12" i="328"/>
  <c r="AI12" i="328"/>
  <c r="AH12" i="328"/>
  <c r="E12" i="328"/>
  <c r="AV11" i="328"/>
  <c r="AS10" i="328"/>
  <c r="AT11" i="328"/>
  <c r="AS11" i="328"/>
  <c r="AR11" i="328"/>
  <c r="AO10" i="328"/>
  <c r="AP11" i="328"/>
  <c r="AO11" i="328"/>
  <c r="AN11" i="328"/>
  <c r="AG11" i="328"/>
  <c r="AJ11" i="328"/>
  <c r="AI11" i="328"/>
  <c r="AH11" i="328"/>
  <c r="E11" i="328"/>
  <c r="AV10" i="328"/>
  <c r="AT10" i="328"/>
  <c r="AR10" i="328"/>
  <c r="AP10" i="328"/>
  <c r="AN10" i="328"/>
  <c r="AG10" i="328"/>
  <c r="AJ10" i="328"/>
  <c r="AI10" i="328"/>
  <c r="AH10" i="328"/>
  <c r="Y10" i="328"/>
  <c r="S10" i="328"/>
  <c r="M10" i="328"/>
  <c r="E10" i="328"/>
  <c r="AV9" i="328"/>
  <c r="AS8" i="328"/>
  <c r="AT9" i="328"/>
  <c r="AS9" i="328"/>
  <c r="AR9" i="328"/>
  <c r="AO8" i="328"/>
  <c r="AP9" i="328"/>
  <c r="AO9" i="328"/>
  <c r="AN9" i="328"/>
  <c r="AG9" i="328"/>
  <c r="AJ9" i="328"/>
  <c r="AI9" i="328"/>
  <c r="AH9" i="328"/>
  <c r="Y9" i="328"/>
  <c r="S9" i="328"/>
  <c r="M9" i="328"/>
  <c r="E9" i="328"/>
  <c r="AV8" i="328"/>
  <c r="AT8" i="328"/>
  <c r="AR8" i="328"/>
  <c r="AP8" i="328"/>
  <c r="AN8" i="328"/>
  <c r="AG8" i="328"/>
  <c r="AJ8" i="328"/>
  <c r="AI8" i="328"/>
  <c r="AH8" i="328"/>
  <c r="Y8" i="328"/>
  <c r="S8" i="328"/>
  <c r="M8" i="328"/>
  <c r="E8" i="328"/>
  <c r="AV7" i="328"/>
  <c r="AS6" i="328"/>
  <c r="AT7" i="328"/>
  <c r="AS7" i="328"/>
  <c r="AR7" i="328"/>
  <c r="AO6" i="328"/>
  <c r="AP7" i="328"/>
  <c r="AO7" i="328"/>
  <c r="AN7" i="328"/>
  <c r="AG7" i="328"/>
  <c r="AJ7" i="328"/>
  <c r="AI7" i="328"/>
  <c r="AH7" i="328"/>
  <c r="Y7" i="328"/>
  <c r="S7" i="328"/>
  <c r="M7" i="328"/>
  <c r="E7" i="328"/>
  <c r="AV6" i="328"/>
  <c r="AT6" i="328"/>
  <c r="AR6" i="328"/>
  <c r="AP6" i="328"/>
  <c r="AN6" i="328"/>
  <c r="E6" i="328"/>
  <c r="E5" i="328"/>
  <c r="AF3" i="328"/>
  <c r="N3" i="328"/>
  <c r="AF2" i="328"/>
  <c r="K2" i="328"/>
  <c r="AF1" i="328"/>
  <c r="K1" i="328"/>
  <c r="B23" i="221"/>
  <c r="C23" i="221"/>
  <c r="G23" i="221"/>
  <c r="L79" i="221"/>
  <c r="R73" i="221"/>
  <c r="X73" i="221"/>
  <c r="AW25" i="221"/>
  <c r="B24" i="221"/>
  <c r="C24" i="221"/>
  <c r="G24" i="221"/>
  <c r="L69" i="221"/>
  <c r="R66" i="221"/>
  <c r="X71" i="221"/>
  <c r="AW24" i="221"/>
  <c r="B22" i="221"/>
  <c r="C22" i="221"/>
  <c r="G22" i="221"/>
  <c r="L74" i="221"/>
  <c r="R71" i="221"/>
  <c r="X66" i="221"/>
  <c r="AW23" i="221"/>
  <c r="B21" i="221"/>
  <c r="C21" i="221"/>
  <c r="G21" i="221"/>
  <c r="L64" i="221"/>
  <c r="R64" i="221"/>
  <c r="X64" i="221"/>
  <c r="AW22" i="221"/>
  <c r="B19" i="221"/>
  <c r="C19" i="221"/>
  <c r="G19" i="221"/>
  <c r="L59" i="221"/>
  <c r="R59" i="221"/>
  <c r="X59" i="221"/>
  <c r="AW21" i="221"/>
  <c r="B20" i="221"/>
  <c r="C20" i="221"/>
  <c r="G20" i="221"/>
  <c r="L38" i="221"/>
  <c r="R50" i="221"/>
  <c r="X57" i="221"/>
  <c r="AW20" i="221"/>
  <c r="B18" i="221"/>
  <c r="C18" i="221"/>
  <c r="G18" i="221"/>
  <c r="L52" i="221"/>
  <c r="R57" i="221"/>
  <c r="X52" i="221"/>
  <c r="AW19" i="221"/>
  <c r="B17" i="221"/>
  <c r="C17" i="221"/>
  <c r="G17" i="221"/>
  <c r="L45" i="221"/>
  <c r="R52" i="221"/>
  <c r="X50" i="221"/>
  <c r="AW18" i="221"/>
  <c r="B15" i="221"/>
  <c r="C15" i="221"/>
  <c r="G15" i="221"/>
  <c r="L50" i="221"/>
  <c r="R43" i="221"/>
  <c r="X45" i="221"/>
  <c r="AW17" i="221"/>
  <c r="B16" i="221"/>
  <c r="C16" i="221"/>
  <c r="G16" i="221"/>
  <c r="L43" i="221"/>
  <c r="R38" i="221"/>
  <c r="X43" i="221"/>
  <c r="AW16" i="221"/>
  <c r="B14" i="221"/>
  <c r="C14" i="221"/>
  <c r="G14" i="221"/>
  <c r="L57" i="221"/>
  <c r="R45" i="221"/>
  <c r="X38" i="221"/>
  <c r="AW15" i="221"/>
  <c r="B13" i="221"/>
  <c r="C13" i="221"/>
  <c r="G13" i="221"/>
  <c r="L36" i="221"/>
  <c r="R36" i="221"/>
  <c r="X36" i="221"/>
  <c r="AW14" i="221"/>
  <c r="B11" i="221"/>
  <c r="C11" i="221"/>
  <c r="G11" i="221"/>
  <c r="L31" i="221"/>
  <c r="R31" i="221"/>
  <c r="X31" i="221"/>
  <c r="AW13" i="221"/>
  <c r="B12" i="221"/>
  <c r="C12" i="221"/>
  <c r="G12" i="221"/>
  <c r="L10" i="221"/>
  <c r="R22" i="221"/>
  <c r="X29" i="221"/>
  <c r="AW12" i="221"/>
  <c r="B10" i="221"/>
  <c r="C10" i="221"/>
  <c r="G10" i="221"/>
  <c r="L24" i="221"/>
  <c r="R29" i="221"/>
  <c r="X24" i="221"/>
  <c r="AW11" i="221"/>
  <c r="B9" i="221"/>
  <c r="C9" i="221"/>
  <c r="G9" i="221"/>
  <c r="L17" i="221"/>
  <c r="R24" i="221"/>
  <c r="X22" i="221"/>
  <c r="AW10" i="221"/>
  <c r="B7" i="221"/>
  <c r="C7" i="221"/>
  <c r="G7" i="221"/>
  <c r="L22" i="221"/>
  <c r="R15" i="221"/>
  <c r="X17" i="221"/>
  <c r="AW9" i="221"/>
  <c r="B8" i="221"/>
  <c r="C8" i="221"/>
  <c r="G8" i="221"/>
  <c r="L15" i="221"/>
  <c r="R10" i="221"/>
  <c r="X15" i="221"/>
  <c r="AW8" i="221"/>
  <c r="B6" i="221"/>
  <c r="C6" i="221"/>
  <c r="G6" i="221"/>
  <c r="L29" i="221"/>
  <c r="R17" i="221"/>
  <c r="X10" i="221"/>
  <c r="AW7" i="221"/>
  <c r="B5" i="221"/>
  <c r="C5" i="221"/>
  <c r="G5" i="221"/>
  <c r="L8" i="221"/>
  <c r="R8" i="221"/>
  <c r="X8" i="221"/>
  <c r="AW6" i="221"/>
  <c r="AS24" i="221"/>
  <c r="AT25" i="221"/>
  <c r="AS25" i="221"/>
  <c r="AT24" i="221"/>
  <c r="AS22" i="221"/>
  <c r="AT23" i="221"/>
  <c r="AS23" i="221"/>
  <c r="AT22" i="221"/>
  <c r="AS20" i="221"/>
  <c r="AT21" i="221"/>
  <c r="AS21" i="221"/>
  <c r="AT20" i="221"/>
  <c r="AS18" i="221"/>
  <c r="AT19" i="221"/>
  <c r="AS19" i="221"/>
  <c r="AT18" i="221"/>
  <c r="AS16" i="221"/>
  <c r="AT17" i="221"/>
  <c r="AS17" i="221"/>
  <c r="AT16" i="221"/>
  <c r="AS14" i="221"/>
  <c r="AT15" i="221"/>
  <c r="AS15" i="221"/>
  <c r="AT14" i="221"/>
  <c r="AS12" i="221"/>
  <c r="AT13" i="221"/>
  <c r="AS13" i="221"/>
  <c r="AT12" i="221"/>
  <c r="AS10" i="221"/>
  <c r="AT11" i="221"/>
  <c r="AS11" i="221"/>
  <c r="AT10" i="221"/>
  <c r="AS8" i="221"/>
  <c r="AT9" i="221"/>
  <c r="AS9" i="221"/>
  <c r="AT8" i="221"/>
  <c r="AS6" i="221"/>
  <c r="AT7" i="221"/>
  <c r="AS7" i="221"/>
  <c r="AT6" i="221"/>
  <c r="K7" i="221"/>
  <c r="K9" i="221"/>
  <c r="K14" i="221"/>
  <c r="K16" i="221"/>
  <c r="K21" i="221"/>
  <c r="K23" i="221"/>
  <c r="K28" i="221"/>
  <c r="K30" i="221"/>
  <c r="K35" i="221"/>
  <c r="K37" i="221"/>
  <c r="K42" i="221"/>
  <c r="K44" i="221"/>
  <c r="K49" i="221"/>
  <c r="K51" i="221"/>
  <c r="K56" i="221"/>
  <c r="K58" i="221"/>
  <c r="K63" i="221"/>
  <c r="Q63" i="221"/>
  <c r="Q65" i="221"/>
  <c r="Q70" i="221"/>
  <c r="Q72" i="221"/>
  <c r="AR25" i="221"/>
  <c r="AR24" i="221"/>
  <c r="AR23" i="221"/>
  <c r="AR22" i="221"/>
  <c r="Q35" i="221"/>
  <c r="Q37" i="221"/>
  <c r="Q42" i="221"/>
  <c r="Q44" i="221"/>
  <c r="Q49" i="221"/>
  <c r="Q51" i="221"/>
  <c r="Q56" i="221"/>
  <c r="Q58" i="221"/>
  <c r="AR21" i="221"/>
  <c r="AR20" i="221"/>
  <c r="AR19" i="221"/>
  <c r="AR18" i="221"/>
  <c r="AR17" i="221"/>
  <c r="AR16" i="221"/>
  <c r="AR15" i="221"/>
  <c r="AR14" i="221"/>
  <c r="Q7" i="221"/>
  <c r="Q9" i="221"/>
  <c r="Q14" i="221"/>
  <c r="Q16" i="221"/>
  <c r="Q21" i="221"/>
  <c r="Q23" i="221"/>
  <c r="Q28" i="221"/>
  <c r="Q30" i="221"/>
  <c r="AR13" i="221"/>
  <c r="AR12" i="221"/>
  <c r="AR11" i="221"/>
  <c r="AR10" i="221"/>
  <c r="AR9" i="221"/>
  <c r="AR8" i="221"/>
  <c r="AR7" i="221"/>
  <c r="AR6" i="221"/>
  <c r="AO20" i="221"/>
  <c r="AP21" i="221"/>
  <c r="AO21" i="221"/>
  <c r="AP20" i="221"/>
  <c r="AO18" i="221"/>
  <c r="AP19" i="221"/>
  <c r="AO19" i="221"/>
  <c r="AP18" i="221"/>
  <c r="AO16" i="221"/>
  <c r="AP17" i="221"/>
  <c r="AO17" i="221"/>
  <c r="AP16" i="221"/>
  <c r="AO14" i="221"/>
  <c r="AP15" i="221"/>
  <c r="AO15" i="221"/>
  <c r="AP14" i="221"/>
  <c r="AO12" i="221"/>
  <c r="AP13" i="221"/>
  <c r="AO13" i="221"/>
  <c r="AP12" i="221"/>
  <c r="AO10" i="221"/>
  <c r="AP11" i="221"/>
  <c r="AO11" i="221"/>
  <c r="AP10" i="221"/>
  <c r="AO8" i="221"/>
  <c r="AP9" i="221"/>
  <c r="AO9" i="221"/>
  <c r="AP8" i="221"/>
  <c r="AO6" i="221"/>
  <c r="AP7" i="221"/>
  <c r="AO7" i="221"/>
  <c r="AP6" i="221"/>
  <c r="AO25" i="221"/>
  <c r="AO24" i="221"/>
  <c r="AO23" i="221"/>
  <c r="AO22" i="221"/>
  <c r="K68" i="221"/>
  <c r="K73" i="221"/>
  <c r="K78" i="221"/>
  <c r="AN25" i="221"/>
  <c r="AN24" i="221"/>
  <c r="AN23" i="221"/>
  <c r="AN22" i="221"/>
  <c r="AN21" i="221"/>
  <c r="AN20" i="221"/>
  <c r="AN19" i="221"/>
  <c r="AN18" i="221"/>
  <c r="AN17" i="221"/>
  <c r="AN16" i="221"/>
  <c r="AN15" i="221"/>
  <c r="AN14" i="221"/>
  <c r="AN13" i="221"/>
  <c r="AN12" i="221"/>
  <c r="AN11" i="221"/>
  <c r="AN10" i="221"/>
  <c r="AN9" i="221"/>
  <c r="AN8" i="221"/>
  <c r="AN7" i="221"/>
  <c r="AN6" i="221"/>
  <c r="B21" i="273"/>
  <c r="C21" i="273"/>
  <c r="G21" i="273"/>
  <c r="L64" i="273"/>
  <c r="R64" i="273"/>
  <c r="X64" i="273"/>
  <c r="AW22" i="273"/>
  <c r="AX23" i="273"/>
  <c r="B22" i="273"/>
  <c r="C22" i="273"/>
  <c r="G22" i="273"/>
  <c r="L69" i="273"/>
  <c r="R69" i="273"/>
  <c r="X66" i="273"/>
  <c r="AW23" i="273"/>
  <c r="AX22" i="273"/>
  <c r="B20" i="273"/>
  <c r="C20" i="273"/>
  <c r="G20" i="273"/>
  <c r="L38" i="273"/>
  <c r="R50" i="273"/>
  <c r="X57" i="273"/>
  <c r="AW20" i="273"/>
  <c r="AX21" i="273"/>
  <c r="B19" i="273"/>
  <c r="C19" i="273"/>
  <c r="G19" i="273"/>
  <c r="L59" i="273"/>
  <c r="R59" i="273"/>
  <c r="X59" i="273"/>
  <c r="AW21" i="273"/>
  <c r="AX20" i="273"/>
  <c r="B17" i="273"/>
  <c r="C17" i="273"/>
  <c r="G17" i="273"/>
  <c r="L45" i="273"/>
  <c r="R52" i="273"/>
  <c r="X50" i="273"/>
  <c r="AW18" i="273"/>
  <c r="AX19" i="273"/>
  <c r="B18" i="273"/>
  <c r="C18" i="273"/>
  <c r="G18" i="273"/>
  <c r="L52" i="273"/>
  <c r="R57" i="273"/>
  <c r="X52" i="273"/>
  <c r="AW19" i="273"/>
  <c r="AX18" i="273"/>
  <c r="B16" i="273"/>
  <c r="C16" i="273"/>
  <c r="G16" i="273"/>
  <c r="L43" i="273"/>
  <c r="R38" i="273"/>
  <c r="X43" i="273"/>
  <c r="AW16" i="273"/>
  <c r="AX17" i="273"/>
  <c r="B15" i="273"/>
  <c r="C15" i="273"/>
  <c r="G15" i="273"/>
  <c r="L50" i="273"/>
  <c r="R43" i="273"/>
  <c r="X45" i="273"/>
  <c r="AW17" i="273"/>
  <c r="AX16" i="273"/>
  <c r="B13" i="273"/>
  <c r="C13" i="273"/>
  <c r="G13" i="273"/>
  <c r="L36" i="273"/>
  <c r="R36" i="273"/>
  <c r="X36" i="273"/>
  <c r="AW14" i="273"/>
  <c r="AX15" i="273"/>
  <c r="B14" i="273"/>
  <c r="C14" i="273"/>
  <c r="G14" i="273"/>
  <c r="L57" i="273"/>
  <c r="R45" i="273"/>
  <c r="X38" i="273"/>
  <c r="AW15" i="273"/>
  <c r="AX14" i="273"/>
  <c r="B12" i="273"/>
  <c r="C12" i="273"/>
  <c r="G12" i="273"/>
  <c r="L10" i="273"/>
  <c r="R22" i="273"/>
  <c r="X29" i="273"/>
  <c r="AW12" i="273"/>
  <c r="AX13" i="273"/>
  <c r="B11" i="273"/>
  <c r="C11" i="273"/>
  <c r="G11" i="273"/>
  <c r="L31" i="273"/>
  <c r="R31" i="273"/>
  <c r="X31" i="273"/>
  <c r="AW13" i="273"/>
  <c r="AX12" i="273"/>
  <c r="B9" i="273"/>
  <c r="C9" i="273"/>
  <c r="G9" i="273"/>
  <c r="L17" i="273"/>
  <c r="R24" i="273"/>
  <c r="X22" i="273"/>
  <c r="AW10" i="273"/>
  <c r="AX11" i="273"/>
  <c r="B10" i="273"/>
  <c r="C10" i="273"/>
  <c r="G10" i="273"/>
  <c r="L24" i="273"/>
  <c r="R29" i="273"/>
  <c r="X24" i="273"/>
  <c r="AW11" i="273"/>
  <c r="AX10" i="273"/>
  <c r="B8" i="273"/>
  <c r="C8" i="273"/>
  <c r="G8" i="273"/>
  <c r="L15" i="273"/>
  <c r="R10" i="273"/>
  <c r="X15" i="273"/>
  <c r="AW8" i="273"/>
  <c r="AX9" i="273"/>
  <c r="B7" i="273"/>
  <c r="C7" i="273"/>
  <c r="G7" i="273"/>
  <c r="L22" i="273"/>
  <c r="R15" i="273"/>
  <c r="X17" i="273"/>
  <c r="AW9" i="273"/>
  <c r="AX8" i="273"/>
  <c r="B5" i="273"/>
  <c r="C5" i="273"/>
  <c r="G5" i="273"/>
  <c r="L8" i="273"/>
  <c r="R8" i="273"/>
  <c r="X8" i="273"/>
  <c r="AW6" i="273"/>
  <c r="AX7" i="273"/>
  <c r="B6" i="273"/>
  <c r="C6" i="273"/>
  <c r="G6" i="273"/>
  <c r="L29" i="273"/>
  <c r="R17" i="273"/>
  <c r="X10" i="273"/>
  <c r="AW7" i="273"/>
  <c r="AX6" i="273"/>
  <c r="B23" i="273"/>
  <c r="C23" i="273"/>
  <c r="G23" i="273"/>
  <c r="L74" i="273"/>
  <c r="R71" i="273"/>
  <c r="X71" i="273"/>
  <c r="AW24" i="273"/>
  <c r="K7" i="273"/>
  <c r="K9" i="273"/>
  <c r="K14" i="273"/>
  <c r="K16" i="273"/>
  <c r="K21" i="273"/>
  <c r="K23" i="273"/>
  <c r="K28" i="273"/>
  <c r="K30" i="273"/>
  <c r="K35" i="273"/>
  <c r="K37" i="273"/>
  <c r="K42" i="273"/>
  <c r="K44" i="273"/>
  <c r="K49" i="273"/>
  <c r="K51" i="273"/>
  <c r="K56" i="273"/>
  <c r="K58" i="273"/>
  <c r="K63" i="273"/>
  <c r="R63" i="273"/>
  <c r="W63" i="273"/>
  <c r="W65" i="273"/>
  <c r="W70" i="273"/>
  <c r="AV24" i="273"/>
  <c r="AV23" i="273"/>
  <c r="AV22" i="273"/>
  <c r="Q35" i="273"/>
  <c r="W35" i="273"/>
  <c r="W37" i="273"/>
  <c r="W42" i="273"/>
  <c r="W44" i="273"/>
  <c r="W49" i="273"/>
  <c r="W51" i="273"/>
  <c r="W56" i="273"/>
  <c r="W58" i="273"/>
  <c r="AV21" i="273"/>
  <c r="AV20" i="273"/>
  <c r="AV19" i="273"/>
  <c r="AV18" i="273"/>
  <c r="AV17" i="273"/>
  <c r="AV16" i="273"/>
  <c r="AV15" i="273"/>
  <c r="AV14" i="273"/>
  <c r="Q7" i="273"/>
  <c r="W7" i="273"/>
  <c r="W9" i="273"/>
  <c r="W14" i="273"/>
  <c r="W16" i="273"/>
  <c r="W21" i="273"/>
  <c r="W23" i="273"/>
  <c r="W28" i="273"/>
  <c r="W30" i="273"/>
  <c r="AV13" i="273"/>
  <c r="AV12" i="273"/>
  <c r="AV11" i="273"/>
  <c r="AV10" i="273"/>
  <c r="AV9" i="273"/>
  <c r="AV8" i="273"/>
  <c r="AV7" i="273"/>
  <c r="AV6" i="273"/>
  <c r="AS23" i="273"/>
  <c r="AT24" i="273"/>
  <c r="AS24" i="273"/>
  <c r="AT23" i="273"/>
  <c r="AS20" i="273"/>
  <c r="AT21" i="273"/>
  <c r="AS21" i="273"/>
  <c r="AT20" i="273"/>
  <c r="AS18" i="273"/>
  <c r="AT19" i="273"/>
  <c r="AS19" i="273"/>
  <c r="AT18" i="273"/>
  <c r="AS16" i="273"/>
  <c r="AT17" i="273"/>
  <c r="AS17" i="273"/>
  <c r="AT16" i="273"/>
  <c r="AS14" i="273"/>
  <c r="AT15" i="273"/>
  <c r="AS15" i="273"/>
  <c r="AT14" i="273"/>
  <c r="AS12" i="273"/>
  <c r="AT13" i="273"/>
  <c r="AS13" i="273"/>
  <c r="AT12" i="273"/>
  <c r="AS10" i="273"/>
  <c r="AT11" i="273"/>
  <c r="AS11" i="273"/>
  <c r="AT10" i="273"/>
  <c r="AS8" i="273"/>
  <c r="AT9" i="273"/>
  <c r="AS9" i="273"/>
  <c r="AT8" i="273"/>
  <c r="AS6" i="273"/>
  <c r="AT7" i="273"/>
  <c r="AS7" i="273"/>
  <c r="AT6" i="273"/>
  <c r="AS22" i="273"/>
  <c r="Q37" i="273"/>
  <c r="Q42" i="273"/>
  <c r="Q44" i="273"/>
  <c r="Q49" i="273"/>
  <c r="Q51" i="273"/>
  <c r="Q56" i="273"/>
  <c r="Q58" i="273"/>
  <c r="Q63" i="273"/>
  <c r="Q68" i="273"/>
  <c r="Q70" i="273"/>
  <c r="K68" i="273"/>
  <c r="K73" i="273"/>
  <c r="R70" i="273"/>
  <c r="R68" i="273"/>
  <c r="AR24" i="273"/>
  <c r="AR23" i="273"/>
  <c r="AR22" i="273"/>
  <c r="AR21" i="273"/>
  <c r="AR20" i="273"/>
  <c r="AR19" i="273"/>
  <c r="AR18" i="273"/>
  <c r="AR17" i="273"/>
  <c r="AR16" i="273"/>
  <c r="AR15" i="273"/>
  <c r="AR14" i="273"/>
  <c r="Q9" i="273"/>
  <c r="Q14" i="273"/>
  <c r="Q16" i="273"/>
  <c r="Q21" i="273"/>
  <c r="Q23" i="273"/>
  <c r="Q28" i="273"/>
  <c r="Q30" i="273"/>
  <c r="AR13" i="273"/>
  <c r="AR12" i="273"/>
  <c r="AR11" i="273"/>
  <c r="AR10" i="273"/>
  <c r="AR9" i="273"/>
  <c r="AR8" i="273"/>
  <c r="AR7" i="273"/>
  <c r="AR6" i="273"/>
  <c r="AO20" i="273"/>
  <c r="AP21" i="273"/>
  <c r="AO21" i="273"/>
  <c r="AP20" i="273"/>
  <c r="AO18" i="273"/>
  <c r="AP19" i="273"/>
  <c r="AO19" i="273"/>
  <c r="AP18" i="273"/>
  <c r="AO16" i="273"/>
  <c r="AP17" i="273"/>
  <c r="AO17" i="273"/>
  <c r="AP16" i="273"/>
  <c r="AO14" i="273"/>
  <c r="AP15" i="273"/>
  <c r="AO15" i="273"/>
  <c r="AP14" i="273"/>
  <c r="AO12" i="273"/>
  <c r="AP13" i="273"/>
  <c r="AO13" i="273"/>
  <c r="AP12" i="273"/>
  <c r="AO10" i="273"/>
  <c r="AP11" i="273"/>
  <c r="AO11" i="273"/>
  <c r="AP10" i="273"/>
  <c r="AO8" i="273"/>
  <c r="AP9" i="273"/>
  <c r="AO9" i="273"/>
  <c r="AP8" i="273"/>
  <c r="AO6" i="273"/>
  <c r="AP7" i="273"/>
  <c r="AO7" i="273"/>
  <c r="AP6" i="273"/>
  <c r="AO24" i="273"/>
  <c r="AO23" i="273"/>
  <c r="AO22" i="273"/>
  <c r="AN24" i="273"/>
  <c r="AN23" i="273"/>
  <c r="AN22" i="273"/>
  <c r="AN21" i="273"/>
  <c r="AN20" i="273"/>
  <c r="AN19" i="273"/>
  <c r="AN18" i="273"/>
  <c r="AN17" i="273"/>
  <c r="AN16" i="273"/>
  <c r="AN15" i="273"/>
  <c r="AN14" i="273"/>
  <c r="AN13" i="273"/>
  <c r="AN12" i="273"/>
  <c r="AN11" i="273"/>
  <c r="AN10" i="273"/>
  <c r="AN9" i="273"/>
  <c r="AN8" i="273"/>
  <c r="AN7" i="273"/>
  <c r="AN6" i="273"/>
  <c r="B22" i="70"/>
  <c r="C22" i="70"/>
  <c r="G22" i="70"/>
  <c r="L69" i="70"/>
  <c r="R69" i="70"/>
  <c r="X69" i="70"/>
  <c r="AW23" i="70"/>
  <c r="B21" i="70"/>
  <c r="C21" i="70"/>
  <c r="G21" i="70"/>
  <c r="L67" i="70"/>
  <c r="R67" i="70"/>
  <c r="X67" i="70"/>
  <c r="AW22" i="70"/>
  <c r="B19" i="70"/>
  <c r="C19" i="70"/>
  <c r="G19" i="70"/>
  <c r="L59" i="70"/>
  <c r="R59" i="70"/>
  <c r="X59" i="70"/>
  <c r="AW21" i="70"/>
  <c r="B20" i="70"/>
  <c r="C20" i="70"/>
  <c r="G20" i="70"/>
  <c r="L38" i="70"/>
  <c r="R50" i="70"/>
  <c r="X57" i="70"/>
  <c r="AW20" i="70"/>
  <c r="B18" i="70"/>
  <c r="C18" i="70"/>
  <c r="G18" i="70"/>
  <c r="L52" i="70"/>
  <c r="R57" i="70"/>
  <c r="X52" i="70"/>
  <c r="AW19" i="70"/>
  <c r="B17" i="70"/>
  <c r="C17" i="70"/>
  <c r="G17" i="70"/>
  <c r="L45" i="70"/>
  <c r="R52" i="70"/>
  <c r="X50" i="70"/>
  <c r="AW18" i="70"/>
  <c r="B15" i="70"/>
  <c r="C15" i="70"/>
  <c r="G15" i="70"/>
  <c r="L50" i="70"/>
  <c r="R43" i="70"/>
  <c r="X45" i="70"/>
  <c r="AW17" i="70"/>
  <c r="B16" i="70"/>
  <c r="C16" i="70"/>
  <c r="G16" i="70"/>
  <c r="L43" i="70"/>
  <c r="R38" i="70"/>
  <c r="X43" i="70"/>
  <c r="AW16" i="70"/>
  <c r="B14" i="70"/>
  <c r="C14" i="70"/>
  <c r="G14" i="70"/>
  <c r="L57" i="70"/>
  <c r="R45" i="70"/>
  <c r="X38" i="70"/>
  <c r="AW15" i="70"/>
  <c r="B13" i="70"/>
  <c r="C13" i="70"/>
  <c r="G13" i="70"/>
  <c r="L36" i="70"/>
  <c r="R36" i="70"/>
  <c r="X36" i="70"/>
  <c r="AW14" i="70"/>
  <c r="B11" i="70"/>
  <c r="C11" i="70"/>
  <c r="G11" i="70"/>
  <c r="L31" i="70"/>
  <c r="R31" i="70"/>
  <c r="X31" i="70"/>
  <c r="AW13" i="70"/>
  <c r="B12" i="70"/>
  <c r="C12" i="70"/>
  <c r="G12" i="70"/>
  <c r="L10" i="70"/>
  <c r="R22" i="70"/>
  <c r="X29" i="70"/>
  <c r="AW12" i="70"/>
  <c r="B10" i="70"/>
  <c r="C10" i="70"/>
  <c r="G10" i="70"/>
  <c r="L24" i="70"/>
  <c r="R29" i="70"/>
  <c r="X24" i="70"/>
  <c r="AW11" i="70"/>
  <c r="B9" i="70"/>
  <c r="C9" i="70"/>
  <c r="G9" i="70"/>
  <c r="L17" i="70"/>
  <c r="R24" i="70"/>
  <c r="X22" i="70"/>
  <c r="AW10" i="70"/>
  <c r="B7" i="70"/>
  <c r="C7" i="70"/>
  <c r="G7" i="70"/>
  <c r="L22" i="70"/>
  <c r="R15" i="70"/>
  <c r="X17" i="70"/>
  <c r="AW9" i="70"/>
  <c r="B8" i="70"/>
  <c r="C8" i="70"/>
  <c r="G8" i="70"/>
  <c r="L15" i="70"/>
  <c r="R10" i="70"/>
  <c r="B5" i="70"/>
  <c r="C5" i="70"/>
  <c r="G5" i="70"/>
  <c r="L8" i="70"/>
  <c r="R8" i="70"/>
  <c r="X15" i="70"/>
  <c r="AW8" i="70"/>
  <c r="B6" i="70"/>
  <c r="C6" i="70"/>
  <c r="G6" i="70"/>
  <c r="L29" i="70"/>
  <c r="R17" i="70"/>
  <c r="X10" i="70"/>
  <c r="AW7" i="70"/>
  <c r="X8" i="70"/>
  <c r="AW6" i="70"/>
  <c r="K7" i="70"/>
  <c r="K9" i="70"/>
  <c r="K14" i="70"/>
  <c r="K16" i="70"/>
  <c r="K21" i="70"/>
  <c r="K23" i="70"/>
  <c r="K28" i="70"/>
  <c r="K30" i="70"/>
  <c r="K35" i="70"/>
  <c r="Q35" i="70"/>
  <c r="W35" i="70"/>
  <c r="W37" i="70"/>
  <c r="W42" i="70"/>
  <c r="W44" i="70"/>
  <c r="W49" i="70"/>
  <c r="W51" i="70"/>
  <c r="W56" i="70"/>
  <c r="W58" i="70"/>
  <c r="W66" i="70"/>
  <c r="W68" i="70"/>
  <c r="AV23" i="70"/>
  <c r="AV22" i="70"/>
  <c r="AV21" i="70"/>
  <c r="AV20" i="70"/>
  <c r="AV19" i="70"/>
  <c r="AV18" i="70"/>
  <c r="AV17" i="70"/>
  <c r="AV16" i="70"/>
  <c r="AV15" i="70"/>
  <c r="AV14" i="70"/>
  <c r="Q7" i="70"/>
  <c r="W7" i="70"/>
  <c r="W9" i="70"/>
  <c r="W14" i="70"/>
  <c r="W16" i="70"/>
  <c r="W21" i="70"/>
  <c r="W23" i="70"/>
  <c r="W28" i="70"/>
  <c r="W30" i="70"/>
  <c r="AV13" i="70"/>
  <c r="AV12" i="70"/>
  <c r="AV11" i="70"/>
  <c r="AV10" i="70"/>
  <c r="AV9" i="70"/>
  <c r="AV8" i="70"/>
  <c r="AV7" i="70"/>
  <c r="AV6" i="70"/>
  <c r="AX23" i="70"/>
  <c r="AX22" i="70"/>
  <c r="AX21" i="70"/>
  <c r="AX20" i="70"/>
  <c r="AX19" i="70"/>
  <c r="AX18" i="70"/>
  <c r="AX17" i="70"/>
  <c r="AX16" i="70"/>
  <c r="AX15" i="70"/>
  <c r="AX14" i="70"/>
  <c r="AX13" i="70"/>
  <c r="AX12" i="70"/>
  <c r="AX11" i="70"/>
  <c r="AX10" i="70"/>
  <c r="AX9" i="70"/>
  <c r="AX8" i="70"/>
  <c r="AX7" i="70"/>
  <c r="AX6" i="70"/>
  <c r="AS22" i="70"/>
  <c r="AT23" i="70"/>
  <c r="AS23" i="70"/>
  <c r="AT22" i="70"/>
  <c r="AS20" i="70"/>
  <c r="AT21" i="70"/>
  <c r="AS21" i="70"/>
  <c r="AT20" i="70"/>
  <c r="AS18" i="70"/>
  <c r="AT19" i="70"/>
  <c r="AS19" i="70"/>
  <c r="AT18" i="70"/>
  <c r="AS16" i="70"/>
  <c r="AT17" i="70"/>
  <c r="AS17" i="70"/>
  <c r="AT16" i="70"/>
  <c r="AS14" i="70"/>
  <c r="AT15" i="70"/>
  <c r="AS15" i="70"/>
  <c r="AT14" i="70"/>
  <c r="AS12" i="70"/>
  <c r="AT13" i="70"/>
  <c r="AS13" i="70"/>
  <c r="AT12" i="70"/>
  <c r="AS10" i="70"/>
  <c r="AT11" i="70"/>
  <c r="AS11" i="70"/>
  <c r="AT10" i="70"/>
  <c r="AS8" i="70"/>
  <c r="AT9" i="70"/>
  <c r="AS9" i="70"/>
  <c r="AT8" i="70"/>
  <c r="AS6" i="70"/>
  <c r="AT7" i="70"/>
  <c r="AS7" i="70"/>
  <c r="AT6" i="70"/>
  <c r="Q37" i="70"/>
  <c r="Q42" i="70"/>
  <c r="Q44" i="70"/>
  <c r="Q49" i="70"/>
  <c r="Q51" i="70"/>
  <c r="Q56" i="70"/>
  <c r="Q58" i="70"/>
  <c r="Q66" i="70"/>
  <c r="Q68" i="70"/>
  <c r="AR23" i="70"/>
  <c r="AR22" i="70"/>
  <c r="AR21" i="70"/>
  <c r="AR20" i="70"/>
  <c r="AR19" i="70"/>
  <c r="AR18" i="70"/>
  <c r="AR17" i="70"/>
  <c r="AR16" i="70"/>
  <c r="AR15" i="70"/>
  <c r="AR14" i="70"/>
  <c r="Q9" i="70"/>
  <c r="Q14" i="70"/>
  <c r="Q16" i="70"/>
  <c r="Q21" i="70"/>
  <c r="Q23" i="70"/>
  <c r="Q28" i="70"/>
  <c r="Q30" i="70"/>
  <c r="AR13" i="70"/>
  <c r="AR12" i="70"/>
  <c r="AR11" i="70"/>
  <c r="AR10" i="70"/>
  <c r="AR9" i="70"/>
  <c r="AR8" i="70"/>
  <c r="AR7" i="70"/>
  <c r="AR6" i="70"/>
  <c r="AO22" i="70"/>
  <c r="AP23" i="70"/>
  <c r="AO23" i="70"/>
  <c r="AP22" i="70"/>
  <c r="AO20" i="70"/>
  <c r="AP21" i="70"/>
  <c r="AO21" i="70"/>
  <c r="AP20" i="70"/>
  <c r="AO18" i="70"/>
  <c r="AP19" i="70"/>
  <c r="AO19" i="70"/>
  <c r="AP18" i="70"/>
  <c r="AO16" i="70"/>
  <c r="AP17" i="70"/>
  <c r="AO17" i="70"/>
  <c r="AP16" i="70"/>
  <c r="AO14" i="70"/>
  <c r="AP15" i="70"/>
  <c r="AO15" i="70"/>
  <c r="AP14" i="70"/>
  <c r="AO12" i="70"/>
  <c r="AP13" i="70"/>
  <c r="AO13" i="70"/>
  <c r="AP12" i="70"/>
  <c r="AO10" i="70"/>
  <c r="AP11" i="70"/>
  <c r="AO11" i="70"/>
  <c r="AP10" i="70"/>
  <c r="AO8" i="70"/>
  <c r="AP9" i="70"/>
  <c r="AO9" i="70"/>
  <c r="AP8" i="70"/>
  <c r="AO6" i="70"/>
  <c r="AP7" i="70"/>
  <c r="AO7" i="70"/>
  <c r="AP6" i="70"/>
  <c r="K37" i="70"/>
  <c r="K42" i="70"/>
  <c r="K44" i="70"/>
  <c r="K49" i="70"/>
  <c r="K51" i="70"/>
  <c r="K56" i="70"/>
  <c r="K58" i="70"/>
  <c r="K66" i="70"/>
  <c r="K68" i="70"/>
  <c r="AN23" i="70"/>
  <c r="AN22" i="70"/>
  <c r="AN21" i="70"/>
  <c r="AN20" i="70"/>
  <c r="AN19" i="70"/>
  <c r="AN18" i="70"/>
  <c r="AN17" i="70"/>
  <c r="AN16" i="70"/>
  <c r="AN15" i="70"/>
  <c r="AN14" i="70"/>
  <c r="AN13" i="70"/>
  <c r="AN12" i="70"/>
  <c r="AN11" i="70"/>
  <c r="AN10" i="70"/>
  <c r="AN9" i="70"/>
  <c r="AN8" i="70"/>
  <c r="AN7" i="70"/>
  <c r="AN6" i="70"/>
  <c r="K7" i="71"/>
  <c r="K9" i="71"/>
  <c r="K14" i="71"/>
  <c r="K16" i="71"/>
  <c r="K21" i="71"/>
  <c r="K23" i="71"/>
  <c r="K28" i="71"/>
  <c r="K30" i="71"/>
  <c r="K35" i="71"/>
  <c r="K37" i="71"/>
  <c r="K42" i="71"/>
  <c r="K44" i="71"/>
  <c r="K49" i="71"/>
  <c r="K51" i="71"/>
  <c r="K56" i="71"/>
  <c r="K58" i="71"/>
  <c r="K63" i="71"/>
  <c r="AN22" i="71"/>
  <c r="AN21" i="71"/>
  <c r="AN20" i="71"/>
  <c r="AN19" i="71"/>
  <c r="AN18" i="71"/>
  <c r="AN17" i="71"/>
  <c r="AN16" i="71"/>
  <c r="AN15" i="71"/>
  <c r="AN14" i="71"/>
  <c r="AN13" i="71"/>
  <c r="AN12" i="71"/>
  <c r="AN11" i="71"/>
  <c r="AN10" i="71"/>
  <c r="AN9" i="71"/>
  <c r="AN8" i="71"/>
  <c r="AN7" i="71"/>
  <c r="AN6" i="71"/>
  <c r="B12" i="71"/>
  <c r="C12" i="71"/>
  <c r="G12" i="71"/>
  <c r="L10" i="71"/>
  <c r="R22" i="71"/>
  <c r="X29" i="71"/>
  <c r="AW12" i="71"/>
  <c r="B20" i="71"/>
  <c r="C20" i="71"/>
  <c r="G20" i="71"/>
  <c r="L38" i="71"/>
  <c r="R50" i="71"/>
  <c r="AS18" i="71"/>
  <c r="B19" i="71"/>
  <c r="C19" i="71"/>
  <c r="G19" i="71"/>
  <c r="L59" i="71"/>
  <c r="R59" i="71"/>
  <c r="AS21" i="71"/>
  <c r="AT20" i="71"/>
  <c r="B21" i="71"/>
  <c r="C21" i="71"/>
  <c r="G21" i="71"/>
  <c r="L64" i="71"/>
  <c r="R64" i="71"/>
  <c r="X64" i="71"/>
  <c r="AW22" i="71"/>
  <c r="Q35" i="71"/>
  <c r="W35" i="71"/>
  <c r="W37" i="71"/>
  <c r="W42" i="71"/>
  <c r="W44" i="71"/>
  <c r="W49" i="71"/>
  <c r="W51" i="71"/>
  <c r="W56" i="71"/>
  <c r="W58" i="71"/>
  <c r="W63" i="71"/>
  <c r="AV22" i="71"/>
  <c r="AS22" i="71"/>
  <c r="Q37" i="71"/>
  <c r="Q42" i="71"/>
  <c r="Q44" i="71"/>
  <c r="Q49" i="71"/>
  <c r="Q51" i="71"/>
  <c r="Q56" i="71"/>
  <c r="Q58" i="71"/>
  <c r="Q63" i="71"/>
  <c r="AR22" i="71"/>
  <c r="X57" i="71"/>
  <c r="AW20" i="71"/>
  <c r="AX21" i="71"/>
  <c r="X59" i="71"/>
  <c r="AW21" i="71"/>
  <c r="AV21" i="71"/>
  <c r="B18" i="71"/>
  <c r="C18" i="71"/>
  <c r="G18" i="71"/>
  <c r="L52" i="71"/>
  <c r="R57" i="71"/>
  <c r="AS20" i="71"/>
  <c r="AT21" i="71"/>
  <c r="AR21" i="71"/>
  <c r="AX20" i="71"/>
  <c r="AV20" i="71"/>
  <c r="AR20" i="71"/>
  <c r="B17" i="71"/>
  <c r="C17" i="71"/>
  <c r="G17" i="71"/>
  <c r="L45" i="71"/>
  <c r="R52" i="71"/>
  <c r="X50" i="71"/>
  <c r="AW18" i="71"/>
  <c r="AX19" i="71"/>
  <c r="X52" i="71"/>
  <c r="AW19" i="71"/>
  <c r="AV19" i="71"/>
  <c r="AT19" i="71"/>
  <c r="AS19" i="71"/>
  <c r="AR19" i="71"/>
  <c r="AX18" i="71"/>
  <c r="AV18" i="71"/>
  <c r="AT18" i="71"/>
  <c r="AR18" i="71"/>
  <c r="B16" i="71"/>
  <c r="C16" i="71"/>
  <c r="G16" i="71"/>
  <c r="L43" i="71"/>
  <c r="R38" i="71"/>
  <c r="X43" i="71"/>
  <c r="AW16" i="71"/>
  <c r="AX17" i="71"/>
  <c r="B15" i="71"/>
  <c r="C15" i="71"/>
  <c r="G15" i="71"/>
  <c r="L50" i="71"/>
  <c r="R43" i="71"/>
  <c r="X45" i="71"/>
  <c r="AW17" i="71"/>
  <c r="AV17" i="71"/>
  <c r="AS16" i="71"/>
  <c r="AT17" i="71"/>
  <c r="B14" i="71"/>
  <c r="C14" i="71"/>
  <c r="G14" i="71"/>
  <c r="L57" i="71"/>
  <c r="R45" i="71"/>
  <c r="AS17" i="71"/>
  <c r="AR17" i="71"/>
  <c r="AX16" i="71"/>
  <c r="AV16" i="71"/>
  <c r="AT16" i="71"/>
  <c r="AR16" i="71"/>
  <c r="B13" i="71"/>
  <c r="C13" i="71"/>
  <c r="G13" i="71"/>
  <c r="L36" i="71"/>
  <c r="R36" i="71"/>
  <c r="X36" i="71"/>
  <c r="AW14" i="71"/>
  <c r="AX15" i="71"/>
  <c r="X38" i="71"/>
  <c r="AW15" i="71"/>
  <c r="AV15" i="71"/>
  <c r="AS14" i="71"/>
  <c r="AT15" i="71"/>
  <c r="AS15" i="71"/>
  <c r="AR15" i="71"/>
  <c r="AX14" i="71"/>
  <c r="AV14" i="71"/>
  <c r="AT14" i="71"/>
  <c r="AR14" i="71"/>
  <c r="AX13" i="71"/>
  <c r="B10" i="71"/>
  <c r="C10" i="71"/>
  <c r="G10" i="71"/>
  <c r="L24" i="71"/>
  <c r="R29" i="71"/>
  <c r="X31" i="71"/>
  <c r="AW13" i="71"/>
  <c r="Q7" i="71"/>
  <c r="W7" i="71"/>
  <c r="W9" i="71"/>
  <c r="W14" i="71"/>
  <c r="W16" i="71"/>
  <c r="W21" i="71"/>
  <c r="W23" i="71"/>
  <c r="W28" i="71"/>
  <c r="W30" i="71"/>
  <c r="AV13" i="71"/>
  <c r="AS12" i="71"/>
  <c r="AT13" i="71"/>
  <c r="B11" i="71"/>
  <c r="C11" i="71"/>
  <c r="G11" i="71"/>
  <c r="L31" i="71"/>
  <c r="R31" i="71"/>
  <c r="AS13" i="71"/>
  <c r="Q9" i="71"/>
  <c r="Q14" i="71"/>
  <c r="Q16" i="71"/>
  <c r="Q21" i="71"/>
  <c r="Q23" i="71"/>
  <c r="Q28" i="71"/>
  <c r="Q30" i="71"/>
  <c r="AR13" i="71"/>
  <c r="AX12" i="71"/>
  <c r="AV12" i="71"/>
  <c r="AT12" i="71"/>
  <c r="AR12" i="71"/>
  <c r="B9" i="71"/>
  <c r="C9" i="71"/>
  <c r="G9" i="71"/>
  <c r="L17" i="71"/>
  <c r="R24" i="71"/>
  <c r="X22" i="71"/>
  <c r="AW10" i="71"/>
  <c r="AX11" i="71"/>
  <c r="X24" i="71"/>
  <c r="AW11" i="71"/>
  <c r="AV11" i="71"/>
  <c r="AS10" i="71"/>
  <c r="AT11" i="71"/>
  <c r="AS11" i="71"/>
  <c r="AR11" i="71"/>
  <c r="AX10" i="71"/>
  <c r="AV10" i="71"/>
  <c r="AT10" i="71"/>
  <c r="AR10" i="71"/>
  <c r="B8" i="71"/>
  <c r="C8" i="71"/>
  <c r="G8" i="71"/>
  <c r="L15" i="71"/>
  <c r="R10" i="71"/>
  <c r="X15" i="71"/>
  <c r="AW8" i="71"/>
  <c r="AX9" i="71"/>
  <c r="B7" i="71"/>
  <c r="C7" i="71"/>
  <c r="G7" i="71"/>
  <c r="L22" i="71"/>
  <c r="R15" i="71"/>
  <c r="X17" i="71"/>
  <c r="AW9" i="71"/>
  <c r="AV9" i="71"/>
  <c r="AS8" i="71"/>
  <c r="AT9" i="71"/>
  <c r="B6" i="71"/>
  <c r="C6" i="71"/>
  <c r="G6" i="71"/>
  <c r="L29" i="71"/>
  <c r="R17" i="71"/>
  <c r="AS9" i="71"/>
  <c r="AR9" i="71"/>
  <c r="AX8" i="71"/>
  <c r="AV8" i="71"/>
  <c r="AT8" i="71"/>
  <c r="AR8" i="71"/>
  <c r="B5" i="71"/>
  <c r="C5" i="71"/>
  <c r="G5" i="71"/>
  <c r="L8" i="71"/>
  <c r="R8" i="71"/>
  <c r="X8" i="71"/>
  <c r="AW6" i="71"/>
  <c r="AX7" i="71"/>
  <c r="X10" i="71"/>
  <c r="AW7" i="71"/>
  <c r="AV7" i="71"/>
  <c r="AS6" i="71"/>
  <c r="AT7" i="71"/>
  <c r="AS7" i="71"/>
  <c r="AR7" i="71"/>
  <c r="AX6" i="71"/>
  <c r="AV6" i="71"/>
  <c r="AT6" i="71"/>
  <c r="AR6" i="71"/>
  <c r="AO20" i="71"/>
  <c r="AP21" i="71"/>
  <c r="AO21" i="71"/>
  <c r="AP20" i="71"/>
  <c r="AO18" i="71"/>
  <c r="AP19" i="71"/>
  <c r="AO19" i="71"/>
  <c r="AP18" i="71"/>
  <c r="AO16" i="71"/>
  <c r="AP17" i="71"/>
  <c r="AO17" i="71"/>
  <c r="AP16" i="71"/>
  <c r="AO14" i="71"/>
  <c r="AP15" i="71"/>
  <c r="AO15" i="71"/>
  <c r="AP14" i="71"/>
  <c r="AO12" i="71"/>
  <c r="AP13" i="71"/>
  <c r="AO13" i="71"/>
  <c r="AP12" i="71"/>
  <c r="AO10" i="71"/>
  <c r="AP11" i="71"/>
  <c r="AO11" i="71"/>
  <c r="AP10" i="71"/>
  <c r="AO8" i="71"/>
  <c r="AP9" i="71"/>
  <c r="AO9" i="71"/>
  <c r="AP8" i="71"/>
  <c r="AO6" i="71"/>
  <c r="AP7" i="71"/>
  <c r="AO7" i="71"/>
  <c r="AP6" i="71"/>
  <c r="B20" i="72"/>
  <c r="C20" i="72"/>
  <c r="G20" i="72"/>
  <c r="L38" i="72"/>
  <c r="R50" i="72"/>
  <c r="X57" i="72"/>
  <c r="AW20" i="72"/>
  <c r="AX21" i="72"/>
  <c r="B19" i="72"/>
  <c r="C19" i="72"/>
  <c r="G19" i="72"/>
  <c r="L59" i="72"/>
  <c r="R59" i="72"/>
  <c r="X59" i="72"/>
  <c r="AW21" i="72"/>
  <c r="AX20" i="72"/>
  <c r="B17" i="72"/>
  <c r="C17" i="72"/>
  <c r="G17" i="72"/>
  <c r="L45" i="72"/>
  <c r="R52" i="72"/>
  <c r="X50" i="72"/>
  <c r="AW18" i="72"/>
  <c r="AX19" i="72"/>
  <c r="B18" i="72"/>
  <c r="C18" i="72"/>
  <c r="G18" i="72"/>
  <c r="L52" i="72"/>
  <c r="R57" i="72"/>
  <c r="X52" i="72"/>
  <c r="AW19" i="72"/>
  <c r="AX18" i="72"/>
  <c r="B16" i="72"/>
  <c r="C16" i="72"/>
  <c r="G16" i="72"/>
  <c r="L43" i="72"/>
  <c r="R38" i="72"/>
  <c r="X43" i="72"/>
  <c r="AW16" i="72"/>
  <c r="AX17" i="72"/>
  <c r="B15" i="72"/>
  <c r="C15" i="72"/>
  <c r="G15" i="72"/>
  <c r="L50" i="72"/>
  <c r="R43" i="72"/>
  <c r="X45" i="72"/>
  <c r="AW17" i="72"/>
  <c r="AX16" i="72"/>
  <c r="B13" i="72"/>
  <c r="C13" i="72"/>
  <c r="G13" i="72"/>
  <c r="L36" i="72"/>
  <c r="R36" i="72"/>
  <c r="X36" i="72"/>
  <c r="AW14" i="72"/>
  <c r="AX15" i="72"/>
  <c r="B14" i="72"/>
  <c r="C14" i="72"/>
  <c r="G14" i="72"/>
  <c r="L57" i="72"/>
  <c r="R45" i="72"/>
  <c r="X38" i="72"/>
  <c r="AW15" i="72"/>
  <c r="AX14" i="72"/>
  <c r="B12" i="72"/>
  <c r="C12" i="72"/>
  <c r="G12" i="72"/>
  <c r="L10" i="72"/>
  <c r="R22" i="72"/>
  <c r="X29" i="72"/>
  <c r="AW12" i="72"/>
  <c r="AX13" i="72"/>
  <c r="B11" i="72"/>
  <c r="C11" i="72"/>
  <c r="G11" i="72"/>
  <c r="L31" i="72"/>
  <c r="R31" i="72"/>
  <c r="X31" i="72"/>
  <c r="AW13" i="72"/>
  <c r="AX12" i="72"/>
  <c r="B9" i="72"/>
  <c r="C9" i="72"/>
  <c r="G9" i="72"/>
  <c r="L17" i="72"/>
  <c r="R24" i="72"/>
  <c r="X22" i="72"/>
  <c r="AW10" i="72"/>
  <c r="AX11" i="72"/>
  <c r="B10" i="72"/>
  <c r="C10" i="72"/>
  <c r="G10" i="72"/>
  <c r="L24" i="72"/>
  <c r="R29" i="72"/>
  <c r="X24" i="72"/>
  <c r="AW11" i="72"/>
  <c r="AX10" i="72"/>
  <c r="B8" i="72"/>
  <c r="C8" i="72"/>
  <c r="G8" i="72"/>
  <c r="L15" i="72"/>
  <c r="R10" i="72"/>
  <c r="X15" i="72"/>
  <c r="AW8" i="72"/>
  <c r="AX9" i="72"/>
  <c r="B7" i="72"/>
  <c r="C7" i="72"/>
  <c r="G7" i="72"/>
  <c r="L22" i="72"/>
  <c r="R15" i="72"/>
  <c r="X17" i="72"/>
  <c r="AW9" i="72"/>
  <c r="AX8" i="72"/>
  <c r="B5" i="72"/>
  <c r="C5" i="72"/>
  <c r="G5" i="72"/>
  <c r="L8" i="72"/>
  <c r="R8" i="72"/>
  <c r="X8" i="72"/>
  <c r="AW6" i="72"/>
  <c r="AX7" i="72"/>
  <c r="B6" i="72"/>
  <c r="C6" i="72"/>
  <c r="G6" i="72"/>
  <c r="L29" i="72"/>
  <c r="R17" i="72"/>
  <c r="X10" i="72"/>
  <c r="AW7" i="72"/>
  <c r="AX6" i="72"/>
  <c r="K7" i="72"/>
  <c r="K9" i="72"/>
  <c r="K14" i="72"/>
  <c r="K16" i="72"/>
  <c r="K21" i="72"/>
  <c r="K23" i="72"/>
  <c r="K28" i="72"/>
  <c r="K30" i="72"/>
  <c r="K35" i="72"/>
  <c r="Q35" i="72"/>
  <c r="W35" i="72"/>
  <c r="W37" i="72"/>
  <c r="W42" i="72"/>
  <c r="W44" i="72"/>
  <c r="W49" i="72"/>
  <c r="W51" i="72"/>
  <c r="W56" i="72"/>
  <c r="W58" i="72"/>
  <c r="AV21" i="72"/>
  <c r="AV20" i="72"/>
  <c r="AV19" i="72"/>
  <c r="AV18" i="72"/>
  <c r="AV17" i="72"/>
  <c r="AV16" i="72"/>
  <c r="AV15" i="72"/>
  <c r="AV14" i="72"/>
  <c r="Q7" i="72"/>
  <c r="W7" i="72"/>
  <c r="W9" i="72"/>
  <c r="W14" i="72"/>
  <c r="W16" i="72"/>
  <c r="W21" i="72"/>
  <c r="W23" i="72"/>
  <c r="W28" i="72"/>
  <c r="W30" i="72"/>
  <c r="AV13" i="72"/>
  <c r="AV12" i="72"/>
  <c r="AV11" i="72"/>
  <c r="AV10" i="72"/>
  <c r="AV9" i="72"/>
  <c r="AV8" i="72"/>
  <c r="AV7" i="72"/>
  <c r="AV6" i="72"/>
  <c r="AS20" i="72"/>
  <c r="AT21" i="72"/>
  <c r="AS21" i="72"/>
  <c r="AT20" i="72"/>
  <c r="AS18" i="72"/>
  <c r="AT19" i="72"/>
  <c r="AS19" i="72"/>
  <c r="AT18" i="72"/>
  <c r="AS16" i="72"/>
  <c r="AT17" i="72"/>
  <c r="AS17" i="72"/>
  <c r="AT16" i="72"/>
  <c r="AS14" i="72"/>
  <c r="AT15" i="72"/>
  <c r="AS15" i="72"/>
  <c r="AT14" i="72"/>
  <c r="AS12" i="72"/>
  <c r="AT13" i="72"/>
  <c r="AS13" i="72"/>
  <c r="AT12" i="72"/>
  <c r="AS10" i="72"/>
  <c r="AT11" i="72"/>
  <c r="AS11" i="72"/>
  <c r="AT10" i="72"/>
  <c r="AS8" i="72"/>
  <c r="AT9" i="72"/>
  <c r="AS9" i="72"/>
  <c r="AT8" i="72"/>
  <c r="AS6" i="72"/>
  <c r="AT7" i="72"/>
  <c r="AS7" i="72"/>
  <c r="AT6" i="72"/>
  <c r="Q37" i="72"/>
  <c r="Q42" i="72"/>
  <c r="Q44" i="72"/>
  <c r="Q49" i="72"/>
  <c r="Q51" i="72"/>
  <c r="Q56" i="72"/>
  <c r="Q58" i="72"/>
  <c r="AR21" i="72"/>
  <c r="AR20" i="72"/>
  <c r="AR19" i="72"/>
  <c r="AR18" i="72"/>
  <c r="AR17" i="72"/>
  <c r="AR16" i="72"/>
  <c r="AR15" i="72"/>
  <c r="AR14" i="72"/>
  <c r="Q9" i="72"/>
  <c r="Q14" i="72"/>
  <c r="Q16" i="72"/>
  <c r="Q21" i="72"/>
  <c r="Q23" i="72"/>
  <c r="Q28" i="72"/>
  <c r="Q30" i="72"/>
  <c r="AR13" i="72"/>
  <c r="AR12" i="72"/>
  <c r="AR11" i="72"/>
  <c r="AR10" i="72"/>
  <c r="AR9" i="72"/>
  <c r="AR8" i="72"/>
  <c r="AR7" i="72"/>
  <c r="AR6" i="72"/>
  <c r="AO20" i="72"/>
  <c r="AP21" i="72"/>
  <c r="AO21" i="72"/>
  <c r="AP20" i="72"/>
  <c r="AO18" i="72"/>
  <c r="AP19" i="72"/>
  <c r="AO19" i="72"/>
  <c r="AP18" i="72"/>
  <c r="AO16" i="72"/>
  <c r="AP17" i="72"/>
  <c r="AO17" i="72"/>
  <c r="AP16" i="72"/>
  <c r="AO14" i="72"/>
  <c r="AP15" i="72"/>
  <c r="AO15" i="72"/>
  <c r="AP14" i="72"/>
  <c r="AO12" i="72"/>
  <c r="AP13" i="72"/>
  <c r="AO13" i="72"/>
  <c r="AP12" i="72"/>
  <c r="AO10" i="72"/>
  <c r="AP11" i="72"/>
  <c r="AO11" i="72"/>
  <c r="AP10" i="72"/>
  <c r="AO8" i="72"/>
  <c r="AP9" i="72"/>
  <c r="AO9" i="72"/>
  <c r="AP8" i="72"/>
  <c r="AO6" i="72"/>
  <c r="AP7" i="72"/>
  <c r="AO7" i="72"/>
  <c r="AP6" i="72"/>
  <c r="K37" i="72"/>
  <c r="K42" i="72"/>
  <c r="K44" i="72"/>
  <c r="K49" i="72"/>
  <c r="K51" i="72"/>
  <c r="K56" i="72"/>
  <c r="K58" i="72"/>
  <c r="AN21" i="72"/>
  <c r="AN20" i="72"/>
  <c r="AN19" i="72"/>
  <c r="AN18" i="72"/>
  <c r="AN17" i="72"/>
  <c r="AN16" i="72"/>
  <c r="AN15" i="72"/>
  <c r="AN14" i="72"/>
  <c r="AN13" i="72"/>
  <c r="AN12" i="72"/>
  <c r="AN11" i="72"/>
  <c r="AN10" i="72"/>
  <c r="AN9" i="72"/>
  <c r="AN8" i="72"/>
  <c r="AN7" i="72"/>
  <c r="AN6" i="72"/>
  <c r="B17" i="272"/>
  <c r="C17" i="272"/>
  <c r="G17" i="272"/>
  <c r="L43" i="272"/>
  <c r="R49" i="272"/>
  <c r="X50" i="272"/>
  <c r="AW18" i="272"/>
  <c r="AX19" i="272"/>
  <c r="B18" i="272"/>
  <c r="C18" i="272"/>
  <c r="G18" i="272"/>
  <c r="L50" i="272"/>
  <c r="R54" i="272"/>
  <c r="X52" i="272"/>
  <c r="AW19" i="272"/>
  <c r="AX18" i="272"/>
  <c r="B15" i="272"/>
  <c r="C15" i="272"/>
  <c r="G15" i="272"/>
  <c r="L48" i="272"/>
  <c r="R44" i="272"/>
  <c r="X43" i="272"/>
  <c r="AW16" i="272"/>
  <c r="AX17" i="272"/>
  <c r="B16" i="272"/>
  <c r="C16" i="272"/>
  <c r="G16" i="272"/>
  <c r="L41" i="272"/>
  <c r="R38" i="272"/>
  <c r="X45" i="272"/>
  <c r="AW17" i="272"/>
  <c r="AX16" i="272"/>
  <c r="B13" i="272"/>
  <c r="C13" i="272"/>
  <c r="G13" i="272"/>
  <c r="L36" i="272"/>
  <c r="R36" i="272"/>
  <c r="X36" i="272"/>
  <c r="AW14" i="272"/>
  <c r="AX15" i="272"/>
  <c r="B14" i="272"/>
  <c r="C14" i="272"/>
  <c r="G14" i="272"/>
  <c r="L55" i="272"/>
  <c r="R42" i="272"/>
  <c r="X38" i="272"/>
  <c r="AW15" i="272"/>
  <c r="AX14" i="272"/>
  <c r="B12" i="272"/>
  <c r="C12" i="272"/>
  <c r="G12" i="272"/>
  <c r="L10" i="272"/>
  <c r="R22" i="272"/>
  <c r="X29" i="272"/>
  <c r="AW12" i="272"/>
  <c r="AX13" i="272"/>
  <c r="B10" i="272"/>
  <c r="C10" i="272"/>
  <c r="G10" i="272"/>
  <c r="L24" i="272"/>
  <c r="R29" i="272"/>
  <c r="X31" i="272"/>
  <c r="AW13" i="272"/>
  <c r="AX12" i="272"/>
  <c r="B9" i="272"/>
  <c r="C9" i="272"/>
  <c r="G9" i="272"/>
  <c r="L17" i="272"/>
  <c r="R24" i="272"/>
  <c r="X22" i="272"/>
  <c r="AW10" i="272"/>
  <c r="AX11" i="272"/>
  <c r="B11" i="272"/>
  <c r="C11" i="272"/>
  <c r="G11" i="272"/>
  <c r="L31" i="272"/>
  <c r="R31" i="272"/>
  <c r="X24" i="272"/>
  <c r="AW11" i="272"/>
  <c r="AX10" i="272"/>
  <c r="B8" i="272"/>
  <c r="C8" i="272"/>
  <c r="G8" i="272"/>
  <c r="L15" i="272"/>
  <c r="R10" i="272"/>
  <c r="X15" i="272"/>
  <c r="AW8" i="272"/>
  <c r="AX9" i="272"/>
  <c r="B7" i="272"/>
  <c r="C7" i="272"/>
  <c r="G7" i="272"/>
  <c r="L22" i="272"/>
  <c r="R15" i="272"/>
  <c r="X17" i="272"/>
  <c r="AW9" i="272"/>
  <c r="AX8" i="272"/>
  <c r="B5" i="272"/>
  <c r="C5" i="272"/>
  <c r="G5" i="272"/>
  <c r="L8" i="272"/>
  <c r="R8" i="272"/>
  <c r="X8" i="272"/>
  <c r="AW6" i="272"/>
  <c r="AX7" i="272"/>
  <c r="B6" i="272"/>
  <c r="C6" i="272"/>
  <c r="G6" i="272"/>
  <c r="L29" i="272"/>
  <c r="R17" i="272"/>
  <c r="X10" i="272"/>
  <c r="AW7" i="272"/>
  <c r="AX6" i="272"/>
  <c r="K7" i="272"/>
  <c r="Q7" i="272"/>
  <c r="W7" i="272"/>
  <c r="W9" i="272"/>
  <c r="W14" i="272"/>
  <c r="W16" i="272"/>
  <c r="W21" i="272"/>
  <c r="W23" i="272"/>
  <c r="W28" i="272"/>
  <c r="W30" i="272"/>
  <c r="W35" i="272"/>
  <c r="W37" i="272"/>
  <c r="W42" i="272"/>
  <c r="W44" i="272"/>
  <c r="W49" i="272"/>
  <c r="W51" i="272"/>
  <c r="W55" i="272"/>
  <c r="AV20" i="272"/>
  <c r="AV19" i="272"/>
  <c r="AV18" i="272"/>
  <c r="AV17" i="272"/>
  <c r="AV16" i="272"/>
  <c r="AV15" i="272"/>
  <c r="AV14" i="272"/>
  <c r="AV13" i="272"/>
  <c r="AV12" i="272"/>
  <c r="AV11" i="272"/>
  <c r="AV10" i="272"/>
  <c r="AV9" i="272"/>
  <c r="AV8" i="272"/>
  <c r="AV7" i="272"/>
  <c r="AV6" i="272"/>
  <c r="AS19" i="272"/>
  <c r="AT20" i="272"/>
  <c r="B19" i="272"/>
  <c r="C19" i="272"/>
  <c r="G19" i="272"/>
  <c r="L57" i="272"/>
  <c r="R56" i="272"/>
  <c r="AS20" i="272"/>
  <c r="AT19" i="272"/>
  <c r="AS16" i="272"/>
  <c r="AT17" i="272"/>
  <c r="AS17" i="272"/>
  <c r="AT16" i="272"/>
  <c r="AS14" i="272"/>
  <c r="AT15" i="272"/>
  <c r="AS15" i="272"/>
  <c r="AT14" i="272"/>
  <c r="AS12" i="272"/>
  <c r="AT13" i="272"/>
  <c r="AS13" i="272"/>
  <c r="AT12" i="272"/>
  <c r="AS10" i="272"/>
  <c r="AT11" i="272"/>
  <c r="AS11" i="272"/>
  <c r="AT10" i="272"/>
  <c r="AS8" i="272"/>
  <c r="AT9" i="272"/>
  <c r="AS9" i="272"/>
  <c r="AT8" i="272"/>
  <c r="AS6" i="272"/>
  <c r="AT7" i="272"/>
  <c r="AS7" i="272"/>
  <c r="AT6" i="272"/>
  <c r="AS18" i="272"/>
  <c r="K9" i="272"/>
  <c r="K14" i="272"/>
  <c r="K16" i="272"/>
  <c r="K21" i="272"/>
  <c r="K23" i="272"/>
  <c r="K28" i="272"/>
  <c r="K30" i="272"/>
  <c r="K35" i="272"/>
  <c r="Q35" i="272"/>
  <c r="Q37" i="272"/>
  <c r="Q41" i="272"/>
  <c r="Q43" i="272"/>
  <c r="Q48" i="272"/>
  <c r="Q53" i="272"/>
  <c r="Q55" i="272"/>
  <c r="AR20" i="272"/>
  <c r="AR19" i="272"/>
  <c r="AR18" i="272"/>
  <c r="AR17" i="272"/>
  <c r="AR16" i="272"/>
  <c r="AR15" i="272"/>
  <c r="AR14" i="272"/>
  <c r="Q9" i="272"/>
  <c r="Q14" i="272"/>
  <c r="Q16" i="272"/>
  <c r="Q21" i="272"/>
  <c r="Q23" i="272"/>
  <c r="Q28" i="272"/>
  <c r="Q30" i="272"/>
  <c r="AR13" i="272"/>
  <c r="AR12" i="272"/>
  <c r="AR11" i="272"/>
  <c r="AR10" i="272"/>
  <c r="AR9" i="272"/>
  <c r="AR8" i="272"/>
  <c r="AR7" i="272"/>
  <c r="AR6" i="272"/>
  <c r="AO19" i="272"/>
  <c r="AP20" i="272"/>
  <c r="AO20" i="272"/>
  <c r="AP19" i="272"/>
  <c r="AO17" i="272"/>
  <c r="AP18" i="272"/>
  <c r="AO18" i="272"/>
  <c r="AP17" i="272"/>
  <c r="AO15" i="272"/>
  <c r="AP16" i="272"/>
  <c r="AO16" i="272"/>
  <c r="AP15" i="272"/>
  <c r="AO12" i="272"/>
  <c r="AP13" i="272"/>
  <c r="AO13" i="272"/>
  <c r="AP12" i="272"/>
  <c r="AO10" i="272"/>
  <c r="AP11" i="272"/>
  <c r="AO11" i="272"/>
  <c r="AP10" i="272"/>
  <c r="AO8" i="272"/>
  <c r="AP9" i="272"/>
  <c r="AO9" i="272"/>
  <c r="AP8" i="272"/>
  <c r="AO6" i="272"/>
  <c r="AP7" i="272"/>
  <c r="AO7" i="272"/>
  <c r="AP6" i="272"/>
  <c r="AO14" i="272"/>
  <c r="K40" i="272"/>
  <c r="K42" i="272"/>
  <c r="K47" i="272"/>
  <c r="K49" i="272"/>
  <c r="K54" i="272"/>
  <c r="K56" i="272"/>
  <c r="AN20" i="272"/>
  <c r="AN19" i="272"/>
  <c r="AN18" i="272"/>
  <c r="AN17" i="272"/>
  <c r="AN16" i="272"/>
  <c r="AN15" i="272"/>
  <c r="AN14" i="272"/>
  <c r="AN13" i="272"/>
  <c r="AN12" i="272"/>
  <c r="AN11" i="272"/>
  <c r="AN10" i="272"/>
  <c r="AN9" i="272"/>
  <c r="AN8" i="272"/>
  <c r="AN7" i="272"/>
  <c r="AN6" i="272"/>
  <c r="B17" i="74"/>
  <c r="C17" i="74"/>
  <c r="G17" i="74"/>
  <c r="L43" i="74"/>
  <c r="R50" i="74"/>
  <c r="X50" i="74"/>
  <c r="AW18" i="74"/>
  <c r="AX19" i="74"/>
  <c r="B18" i="74"/>
  <c r="C18" i="74"/>
  <c r="G18" i="74"/>
  <c r="L56" i="74"/>
  <c r="R52" i="74"/>
  <c r="X52" i="74"/>
  <c r="AW19" i="74"/>
  <c r="AX18" i="74"/>
  <c r="B15" i="74"/>
  <c r="C15" i="74"/>
  <c r="G15" i="74"/>
  <c r="L54" i="74"/>
  <c r="R45" i="74"/>
  <c r="X43" i="74"/>
  <c r="AW16" i="74"/>
  <c r="AX17" i="74"/>
  <c r="B16" i="74"/>
  <c r="C16" i="74"/>
  <c r="G16" i="74"/>
  <c r="L41" i="74"/>
  <c r="R38" i="74"/>
  <c r="X45" i="74"/>
  <c r="AW17" i="74"/>
  <c r="AX16" i="74"/>
  <c r="B13" i="74"/>
  <c r="C13" i="74"/>
  <c r="G13" i="74"/>
  <c r="L36" i="74"/>
  <c r="R36" i="74"/>
  <c r="X36" i="74"/>
  <c r="AW14" i="74"/>
  <c r="AX15" i="74"/>
  <c r="B14" i="74"/>
  <c r="C14" i="74"/>
  <c r="G14" i="74"/>
  <c r="L49" i="74"/>
  <c r="R43" i="74"/>
  <c r="X38" i="74"/>
  <c r="AW15" i="74"/>
  <c r="AX14" i="74"/>
  <c r="B12" i="74"/>
  <c r="C12" i="74"/>
  <c r="G12" i="74"/>
  <c r="L10" i="74"/>
  <c r="R22" i="74"/>
  <c r="X29" i="74"/>
  <c r="AW12" i="74"/>
  <c r="AX13" i="74"/>
  <c r="B11" i="74"/>
  <c r="C11" i="74"/>
  <c r="G11" i="74"/>
  <c r="L31" i="74"/>
  <c r="R31" i="74"/>
  <c r="X31" i="74"/>
  <c r="AW13" i="74"/>
  <c r="AX12" i="74"/>
  <c r="B9" i="74"/>
  <c r="C9" i="74"/>
  <c r="G9" i="74"/>
  <c r="L17" i="74"/>
  <c r="R24" i="74"/>
  <c r="X22" i="74"/>
  <c r="AW10" i="74"/>
  <c r="AX11" i="74"/>
  <c r="B10" i="74"/>
  <c r="C10" i="74"/>
  <c r="G10" i="74"/>
  <c r="L24" i="74"/>
  <c r="R29" i="74"/>
  <c r="X24" i="74"/>
  <c r="AW11" i="74"/>
  <c r="AX10" i="74"/>
  <c r="B8" i="74"/>
  <c r="C8" i="74"/>
  <c r="G8" i="74"/>
  <c r="L15" i="74"/>
  <c r="R10" i="74"/>
  <c r="X15" i="74"/>
  <c r="AW8" i="74"/>
  <c r="AX9" i="74"/>
  <c r="B7" i="74"/>
  <c r="C7" i="74"/>
  <c r="G7" i="74"/>
  <c r="L22" i="74"/>
  <c r="R15" i="74"/>
  <c r="X17" i="74"/>
  <c r="AW9" i="74"/>
  <c r="AX8" i="74"/>
  <c r="B6" i="74"/>
  <c r="C6" i="74"/>
  <c r="G6" i="74"/>
  <c r="L29" i="74"/>
  <c r="R17" i="74"/>
  <c r="X10" i="74"/>
  <c r="AW7" i="74"/>
  <c r="AX6" i="74"/>
  <c r="B5" i="74"/>
  <c r="C5" i="74"/>
  <c r="G5" i="74"/>
  <c r="L8" i="74"/>
  <c r="R8" i="74"/>
  <c r="X8" i="74"/>
  <c r="AW6" i="74"/>
  <c r="AX7" i="74"/>
  <c r="K7" i="74"/>
  <c r="K9" i="74"/>
  <c r="K14" i="74"/>
  <c r="K16" i="74"/>
  <c r="K21" i="74"/>
  <c r="K23" i="74"/>
  <c r="K28" i="74"/>
  <c r="K30" i="74"/>
  <c r="K35" i="74"/>
  <c r="Q35" i="74"/>
  <c r="W35" i="74"/>
  <c r="W37" i="74"/>
  <c r="W42" i="74"/>
  <c r="W44" i="74"/>
  <c r="W49" i="74"/>
  <c r="W51" i="74"/>
  <c r="AV19" i="74"/>
  <c r="AV18" i="74"/>
  <c r="AV17" i="74"/>
  <c r="AV16" i="74"/>
  <c r="AV15" i="74"/>
  <c r="AV14" i="74"/>
  <c r="Q7" i="74"/>
  <c r="W7" i="74"/>
  <c r="W9" i="74"/>
  <c r="W14" i="74"/>
  <c r="W16" i="74"/>
  <c r="W21" i="74"/>
  <c r="W23" i="74"/>
  <c r="W28" i="74"/>
  <c r="W30" i="74"/>
  <c r="AV13" i="74"/>
  <c r="Q9" i="74"/>
  <c r="Q14" i="74"/>
  <c r="Q16" i="74"/>
  <c r="Q21" i="74"/>
  <c r="Q23" i="74"/>
  <c r="Q28" i="74"/>
  <c r="Q30" i="74"/>
  <c r="AR13" i="74"/>
  <c r="AV12" i="74"/>
  <c r="AV11" i="74"/>
  <c r="AV10" i="74"/>
  <c r="AV9" i="74"/>
  <c r="AV8" i="74"/>
  <c r="AV7" i="74"/>
  <c r="AV6" i="74"/>
  <c r="AS16" i="74"/>
  <c r="AT17" i="74"/>
  <c r="AS17" i="74"/>
  <c r="AT16" i="74"/>
  <c r="AS14" i="74"/>
  <c r="AT15" i="74"/>
  <c r="AS15" i="74"/>
  <c r="AT14" i="74"/>
  <c r="AS12" i="74"/>
  <c r="AT13" i="74"/>
  <c r="AS13" i="74"/>
  <c r="AT12" i="74"/>
  <c r="AS10" i="74"/>
  <c r="AT11" i="74"/>
  <c r="AS11" i="74"/>
  <c r="AT10" i="74"/>
  <c r="AS8" i="74"/>
  <c r="AT9" i="74"/>
  <c r="AS9" i="74"/>
  <c r="AT8" i="74"/>
  <c r="AS6" i="74"/>
  <c r="AT7" i="74"/>
  <c r="AS7" i="74"/>
  <c r="AT6" i="74"/>
  <c r="AS19" i="74"/>
  <c r="AS18" i="74"/>
  <c r="Q37" i="74"/>
  <c r="Q42" i="74"/>
  <c r="Q44" i="74"/>
  <c r="Q49" i="74"/>
  <c r="Q51" i="74"/>
  <c r="AR19" i="74"/>
  <c r="AR18" i="74"/>
  <c r="AR17" i="74"/>
  <c r="AR16" i="74"/>
  <c r="AR15" i="74"/>
  <c r="AR14" i="74"/>
  <c r="AR12" i="74"/>
  <c r="AR11" i="74"/>
  <c r="AR10" i="74"/>
  <c r="AR9" i="74"/>
  <c r="AR8" i="74"/>
  <c r="AR7" i="74"/>
  <c r="AR6" i="74"/>
  <c r="AO18" i="74"/>
  <c r="AP19" i="74"/>
  <c r="AO19" i="74"/>
  <c r="AP18" i="74"/>
  <c r="AO15" i="74"/>
  <c r="AP16" i="74"/>
  <c r="AO16" i="74"/>
  <c r="AP15" i="74"/>
  <c r="AO12" i="74"/>
  <c r="AP13" i="74"/>
  <c r="AO13" i="74"/>
  <c r="AP12" i="74"/>
  <c r="AO10" i="74"/>
  <c r="AP11" i="74"/>
  <c r="AO11" i="74"/>
  <c r="AP10" i="74"/>
  <c r="AO8" i="74"/>
  <c r="AP9" i="74"/>
  <c r="AO9" i="74"/>
  <c r="AP8" i="74"/>
  <c r="AO6" i="74"/>
  <c r="AP7" i="74"/>
  <c r="AO7" i="74"/>
  <c r="AP6" i="74"/>
  <c r="AO17" i="74"/>
  <c r="AO14" i="74"/>
  <c r="K40" i="74"/>
  <c r="K42" i="74"/>
  <c r="K48" i="74"/>
  <c r="K53" i="74"/>
  <c r="K55" i="74"/>
  <c r="AN19" i="74"/>
  <c r="AN18" i="74"/>
  <c r="AN17" i="74"/>
  <c r="AN16" i="74"/>
  <c r="AN15" i="74"/>
  <c r="AN14" i="74"/>
  <c r="AN13" i="74"/>
  <c r="AN12" i="74"/>
  <c r="AN11" i="74"/>
  <c r="AN10" i="74"/>
  <c r="AN9" i="74"/>
  <c r="AN8" i="74"/>
  <c r="AN7" i="74"/>
  <c r="AN6" i="74"/>
  <c r="B12" i="75"/>
  <c r="C12" i="75"/>
  <c r="G12" i="75"/>
  <c r="B7" i="75"/>
  <c r="C7" i="75"/>
  <c r="G7" i="75"/>
  <c r="B15" i="75"/>
  <c r="C15" i="75"/>
  <c r="G15" i="75"/>
  <c r="L51" i="75"/>
  <c r="R45" i="75"/>
  <c r="AS17" i="75"/>
  <c r="B16" i="75"/>
  <c r="C16" i="75"/>
  <c r="G16" i="75"/>
  <c r="B8" i="75"/>
  <c r="C8" i="75"/>
  <c r="G8" i="75"/>
  <c r="L42" i="75"/>
  <c r="R38" i="75"/>
  <c r="X45" i="75"/>
  <c r="AW16" i="75"/>
  <c r="AX17" i="75"/>
  <c r="X47" i="75"/>
  <c r="AW17" i="75"/>
  <c r="AX16" i="75"/>
  <c r="B13" i="75"/>
  <c r="C13" i="75"/>
  <c r="G13" i="75"/>
  <c r="B5" i="75"/>
  <c r="C5" i="75"/>
  <c r="G5" i="75"/>
  <c r="L36" i="75"/>
  <c r="R36" i="75"/>
  <c r="X36" i="75"/>
  <c r="AW14" i="75"/>
  <c r="AX15" i="75"/>
  <c r="B14" i="75"/>
  <c r="C14" i="75"/>
  <c r="G14" i="75"/>
  <c r="B6" i="75"/>
  <c r="C6" i="75"/>
  <c r="G6" i="75"/>
  <c r="L49" i="75"/>
  <c r="R43" i="75"/>
  <c r="X38" i="75"/>
  <c r="AW15" i="75"/>
  <c r="AX14" i="75"/>
  <c r="L10" i="75"/>
  <c r="R22" i="75"/>
  <c r="X29" i="75"/>
  <c r="AW12" i="75"/>
  <c r="AX13" i="75"/>
  <c r="B11" i="75"/>
  <c r="C11" i="75"/>
  <c r="G11" i="75"/>
  <c r="L31" i="75"/>
  <c r="R31" i="75"/>
  <c r="X31" i="75"/>
  <c r="AW13" i="75"/>
  <c r="AX12" i="75"/>
  <c r="B9" i="75"/>
  <c r="C9" i="75"/>
  <c r="G9" i="75"/>
  <c r="L17" i="75"/>
  <c r="R24" i="75"/>
  <c r="X22" i="75"/>
  <c r="AW10" i="75"/>
  <c r="AX11" i="75"/>
  <c r="B10" i="75"/>
  <c r="C10" i="75"/>
  <c r="G10" i="75"/>
  <c r="L24" i="75"/>
  <c r="R29" i="75"/>
  <c r="X24" i="75"/>
  <c r="AW11" i="75"/>
  <c r="AX10" i="75"/>
  <c r="L15" i="75"/>
  <c r="R10" i="75"/>
  <c r="X15" i="75"/>
  <c r="AW8" i="75"/>
  <c r="AX9" i="75"/>
  <c r="L22" i="75"/>
  <c r="R15" i="75"/>
  <c r="X17" i="75"/>
  <c r="AW9" i="75"/>
  <c r="AX8" i="75"/>
  <c r="L8" i="75"/>
  <c r="R8" i="75"/>
  <c r="X8" i="75"/>
  <c r="AW6" i="75"/>
  <c r="AX7" i="75"/>
  <c r="L29" i="75"/>
  <c r="R17" i="75"/>
  <c r="X10" i="75"/>
  <c r="AW7" i="75"/>
  <c r="AX6" i="75"/>
  <c r="K7" i="75"/>
  <c r="K9" i="75"/>
  <c r="K14" i="75"/>
  <c r="K16" i="75"/>
  <c r="K21" i="75"/>
  <c r="K23" i="75"/>
  <c r="K28" i="75"/>
  <c r="K30" i="75"/>
  <c r="K35" i="75"/>
  <c r="Q35" i="75"/>
  <c r="W35" i="75"/>
  <c r="W37" i="75"/>
  <c r="W44" i="75"/>
  <c r="W46" i="75"/>
  <c r="AV17" i="75"/>
  <c r="AV16" i="75"/>
  <c r="AV15" i="75"/>
  <c r="AV14" i="75"/>
  <c r="Q7" i="75"/>
  <c r="W7" i="75"/>
  <c r="W9" i="75"/>
  <c r="W14" i="75"/>
  <c r="W16" i="75"/>
  <c r="W21" i="75"/>
  <c r="W23" i="75"/>
  <c r="W28" i="75"/>
  <c r="W30" i="75"/>
  <c r="AV13" i="75"/>
  <c r="AV12" i="75"/>
  <c r="AV11" i="75"/>
  <c r="AV10" i="75"/>
  <c r="AV9" i="75"/>
  <c r="AV8" i="75"/>
  <c r="AV7" i="75"/>
  <c r="AV6" i="75"/>
  <c r="AS16" i="75"/>
  <c r="AT17" i="75"/>
  <c r="AT16" i="75"/>
  <c r="AS14" i="75"/>
  <c r="AT15" i="75"/>
  <c r="AS15" i="75"/>
  <c r="AT14" i="75"/>
  <c r="AS12" i="75"/>
  <c r="AT13" i="75"/>
  <c r="AS13" i="75"/>
  <c r="AT12" i="75"/>
  <c r="AS10" i="75"/>
  <c r="AT11" i="75"/>
  <c r="AS11" i="75"/>
  <c r="AT10" i="75"/>
  <c r="AS8" i="75"/>
  <c r="AT9" i="75"/>
  <c r="AS9" i="75"/>
  <c r="AT8" i="75"/>
  <c r="AS6" i="75"/>
  <c r="AT7" i="75"/>
  <c r="AS7" i="75"/>
  <c r="AT6" i="75"/>
  <c r="B17" i="75"/>
  <c r="C17" i="75"/>
  <c r="G17" i="75"/>
  <c r="L44" i="75"/>
  <c r="R51" i="75"/>
  <c r="AS18" i="75"/>
  <c r="Q37" i="75"/>
  <c r="Q42" i="75"/>
  <c r="Q44" i="75"/>
  <c r="Q50" i="75"/>
  <c r="AR18" i="75"/>
  <c r="AR17" i="75"/>
  <c r="AR16" i="75"/>
  <c r="AR15" i="75"/>
  <c r="AR14" i="75"/>
  <c r="Q9" i="75"/>
  <c r="Q14" i="75"/>
  <c r="Q16" i="75"/>
  <c r="Q21" i="75"/>
  <c r="Q23" i="75"/>
  <c r="Q28" i="75"/>
  <c r="Q30" i="75"/>
  <c r="AR13" i="75"/>
  <c r="AR12" i="75"/>
  <c r="AR11" i="75"/>
  <c r="AR10" i="75"/>
  <c r="AR9" i="75"/>
  <c r="AR8" i="75"/>
  <c r="AR7" i="75"/>
  <c r="AR6" i="75"/>
  <c r="AO17" i="75"/>
  <c r="AP18" i="75"/>
  <c r="AO18" i="75"/>
  <c r="AP17" i="75"/>
  <c r="AO15" i="75"/>
  <c r="AP16" i="75"/>
  <c r="AO16" i="75"/>
  <c r="AP15" i="75"/>
  <c r="AO12" i="75"/>
  <c r="AP13" i="75"/>
  <c r="AO13" i="75"/>
  <c r="AP12" i="75"/>
  <c r="AO10" i="75"/>
  <c r="AP11" i="75"/>
  <c r="AO11" i="75"/>
  <c r="AP10" i="75"/>
  <c r="AO8" i="75"/>
  <c r="AP9" i="75"/>
  <c r="AO9" i="75"/>
  <c r="AP8" i="75"/>
  <c r="AO6" i="75"/>
  <c r="AP7" i="75"/>
  <c r="AO7" i="75"/>
  <c r="AP6" i="75"/>
  <c r="AO14" i="75"/>
  <c r="K41" i="75"/>
  <c r="K43" i="75"/>
  <c r="K48" i="75"/>
  <c r="K50" i="75"/>
  <c r="AN18" i="75"/>
  <c r="AN17" i="75"/>
  <c r="AN16" i="75"/>
  <c r="AN15" i="75"/>
  <c r="AN14" i="75"/>
  <c r="AN13" i="75"/>
  <c r="AN12" i="75"/>
  <c r="AN11" i="75"/>
  <c r="AN10" i="75"/>
  <c r="AN9" i="75"/>
  <c r="AN8" i="75"/>
  <c r="AN7" i="75"/>
  <c r="AN6" i="75"/>
  <c r="B16" i="76"/>
  <c r="C16" i="76"/>
  <c r="G16" i="76"/>
  <c r="L43" i="76"/>
  <c r="R38" i="76"/>
  <c r="X43" i="76"/>
  <c r="AW16" i="76"/>
  <c r="AX17" i="76"/>
  <c r="B15" i="76"/>
  <c r="C15" i="76"/>
  <c r="G15" i="76"/>
  <c r="L50" i="76"/>
  <c r="R43" i="76"/>
  <c r="X45" i="76"/>
  <c r="AW17" i="76"/>
  <c r="AX16" i="76"/>
  <c r="B13" i="76"/>
  <c r="C13" i="76"/>
  <c r="G13" i="76"/>
  <c r="L36" i="76"/>
  <c r="R36" i="76"/>
  <c r="X36" i="76"/>
  <c r="AW14" i="76"/>
  <c r="AX15" i="76"/>
  <c r="B14" i="76"/>
  <c r="C14" i="76"/>
  <c r="G14" i="76"/>
  <c r="L57" i="76"/>
  <c r="R45" i="76"/>
  <c r="X38" i="76"/>
  <c r="AW15" i="76"/>
  <c r="AX14" i="76"/>
  <c r="B12" i="76"/>
  <c r="C12" i="76"/>
  <c r="G12" i="76"/>
  <c r="L10" i="76"/>
  <c r="R22" i="76"/>
  <c r="X29" i="76"/>
  <c r="AW12" i="76"/>
  <c r="AX13" i="76"/>
  <c r="B11" i="76"/>
  <c r="C11" i="76"/>
  <c r="G11" i="76"/>
  <c r="L31" i="76"/>
  <c r="R31" i="76"/>
  <c r="X31" i="76"/>
  <c r="AW13" i="76"/>
  <c r="AX12" i="76"/>
  <c r="B9" i="76"/>
  <c r="C9" i="76"/>
  <c r="G9" i="76"/>
  <c r="L17" i="76"/>
  <c r="R24" i="76"/>
  <c r="X22" i="76"/>
  <c r="AW10" i="76"/>
  <c r="AX11" i="76"/>
  <c r="B10" i="76"/>
  <c r="C10" i="76"/>
  <c r="G10" i="76"/>
  <c r="L24" i="76"/>
  <c r="R29" i="76"/>
  <c r="X24" i="76"/>
  <c r="AW11" i="76"/>
  <c r="AX10" i="76"/>
  <c r="B8" i="76"/>
  <c r="C8" i="76"/>
  <c r="G8" i="76"/>
  <c r="L15" i="76"/>
  <c r="R10" i="76"/>
  <c r="X15" i="76"/>
  <c r="AW8" i="76"/>
  <c r="AX9" i="76"/>
  <c r="B7" i="76"/>
  <c r="C7" i="76"/>
  <c r="G7" i="76"/>
  <c r="L22" i="76"/>
  <c r="R15" i="76"/>
  <c r="X17" i="76"/>
  <c r="AW9" i="76"/>
  <c r="AX8" i="76"/>
  <c r="R8" i="76"/>
  <c r="X8" i="76"/>
  <c r="AW6" i="76"/>
  <c r="AX7" i="76"/>
  <c r="B6" i="76"/>
  <c r="C6" i="76"/>
  <c r="G6" i="76"/>
  <c r="L29" i="76"/>
  <c r="R17" i="76"/>
  <c r="X10" i="76"/>
  <c r="AW7" i="76"/>
  <c r="AX6" i="76"/>
  <c r="K7" i="76"/>
  <c r="K9" i="76"/>
  <c r="K14" i="76"/>
  <c r="K16" i="76"/>
  <c r="K21" i="76"/>
  <c r="K23" i="76"/>
  <c r="K28" i="76"/>
  <c r="K30" i="76"/>
  <c r="K35" i="76"/>
  <c r="Q35" i="76"/>
  <c r="W35" i="76"/>
  <c r="W37" i="76"/>
  <c r="W42" i="76"/>
  <c r="W44" i="76"/>
  <c r="AV17" i="76"/>
  <c r="AV16" i="76"/>
  <c r="AV15" i="76"/>
  <c r="AV14" i="76"/>
  <c r="Q7" i="76"/>
  <c r="W7" i="76"/>
  <c r="W9" i="76"/>
  <c r="W14" i="76"/>
  <c r="W16" i="76"/>
  <c r="W21" i="76"/>
  <c r="W23" i="76"/>
  <c r="W28" i="76"/>
  <c r="W30" i="76"/>
  <c r="AV13" i="76"/>
  <c r="AV12" i="76"/>
  <c r="AV11" i="76"/>
  <c r="AV10" i="76"/>
  <c r="AV9" i="76"/>
  <c r="AV8" i="76"/>
  <c r="AV7" i="76"/>
  <c r="AV6" i="76"/>
  <c r="AS16" i="76"/>
  <c r="AT17" i="76"/>
  <c r="AS17" i="76"/>
  <c r="AT16" i="76"/>
  <c r="AS14" i="76"/>
  <c r="AT15" i="76"/>
  <c r="AS15" i="76"/>
  <c r="AT14" i="76"/>
  <c r="AS12" i="76"/>
  <c r="AT13" i="76"/>
  <c r="AS13" i="76"/>
  <c r="AT12" i="76"/>
  <c r="AS10" i="76"/>
  <c r="AT11" i="76"/>
  <c r="AS11" i="76"/>
  <c r="AT10" i="76"/>
  <c r="AS8" i="76"/>
  <c r="AT9" i="76"/>
  <c r="AS9" i="76"/>
  <c r="AT8" i="76"/>
  <c r="AS6" i="76"/>
  <c r="AT7" i="76"/>
  <c r="AS7" i="76"/>
  <c r="AT6" i="76"/>
  <c r="Q37" i="76"/>
  <c r="Q42" i="76"/>
  <c r="Q44" i="76"/>
  <c r="AR17" i="76"/>
  <c r="AR16" i="76"/>
  <c r="AR15" i="76"/>
  <c r="AR14" i="76"/>
  <c r="Q9" i="76"/>
  <c r="Q14" i="76"/>
  <c r="Q16" i="76"/>
  <c r="Q21" i="76"/>
  <c r="Q23" i="76"/>
  <c r="Q28" i="76"/>
  <c r="Q30" i="76"/>
  <c r="AR13" i="76"/>
  <c r="AR12" i="76"/>
  <c r="AR11" i="76"/>
  <c r="AR10" i="76"/>
  <c r="AR9" i="76"/>
  <c r="AR8" i="76"/>
  <c r="AR7" i="76"/>
  <c r="AR6" i="76"/>
  <c r="AO12" i="76"/>
  <c r="AP13" i="76"/>
  <c r="AO13" i="76"/>
  <c r="AP12" i="76"/>
  <c r="AO10" i="76"/>
  <c r="AP11" i="76"/>
  <c r="AO11" i="76"/>
  <c r="AP10" i="76"/>
  <c r="AO8" i="76"/>
  <c r="AP9" i="76"/>
  <c r="AO9" i="76"/>
  <c r="AP8" i="76"/>
  <c r="B5" i="76"/>
  <c r="C5" i="76"/>
  <c r="G5" i="76"/>
  <c r="L8" i="76"/>
  <c r="AO6" i="76"/>
  <c r="AP7" i="76"/>
  <c r="AO7" i="76"/>
  <c r="AP6" i="76"/>
  <c r="AO17" i="76"/>
  <c r="AO16" i="76"/>
  <c r="AO15" i="76"/>
  <c r="AO14" i="76"/>
  <c r="K42" i="76"/>
  <c r="K49" i="76"/>
  <c r="K56" i="76"/>
  <c r="AN17" i="76"/>
  <c r="AN16" i="76"/>
  <c r="AN15" i="76"/>
  <c r="AN14" i="76"/>
  <c r="AN13" i="76"/>
  <c r="AN12" i="76"/>
  <c r="AN11" i="76"/>
  <c r="AN10" i="76"/>
  <c r="AN9" i="76"/>
  <c r="AN8" i="76"/>
  <c r="AN7" i="76"/>
  <c r="AN6" i="76"/>
  <c r="B13" i="77"/>
  <c r="C13" i="77"/>
  <c r="G13" i="77"/>
  <c r="L37" i="77"/>
  <c r="R37" i="77"/>
  <c r="X37" i="77"/>
  <c r="AW14" i="77"/>
  <c r="AX15" i="77"/>
  <c r="B14" i="77"/>
  <c r="C14" i="77"/>
  <c r="G14" i="77"/>
  <c r="L44" i="77"/>
  <c r="R46" i="77"/>
  <c r="X39" i="77"/>
  <c r="AW15" i="77"/>
  <c r="AX14" i="77"/>
  <c r="B12" i="77"/>
  <c r="C12" i="77"/>
  <c r="G12" i="77"/>
  <c r="L10" i="77"/>
  <c r="R22" i="77"/>
  <c r="X29" i="77"/>
  <c r="AW12" i="77"/>
  <c r="AX13" i="77"/>
  <c r="B11" i="77"/>
  <c r="C11" i="77"/>
  <c r="G11" i="77"/>
  <c r="L31" i="77"/>
  <c r="R31" i="77"/>
  <c r="X31" i="77"/>
  <c r="AW13" i="77"/>
  <c r="AX12" i="77"/>
  <c r="B9" i="77"/>
  <c r="C9" i="77"/>
  <c r="G9" i="77"/>
  <c r="L17" i="77"/>
  <c r="R24" i="77"/>
  <c r="X22" i="77"/>
  <c r="AW10" i="77"/>
  <c r="AX11" i="77"/>
  <c r="B10" i="77"/>
  <c r="C10" i="77"/>
  <c r="G10" i="77"/>
  <c r="L24" i="77"/>
  <c r="R29" i="77"/>
  <c r="X24" i="77"/>
  <c r="AW11" i="77"/>
  <c r="AX10" i="77"/>
  <c r="B8" i="77"/>
  <c r="C8" i="77"/>
  <c r="G8" i="77"/>
  <c r="L15" i="77"/>
  <c r="R10" i="77"/>
  <c r="X15" i="77"/>
  <c r="AW8" i="77"/>
  <c r="AX9" i="77"/>
  <c r="B7" i="77"/>
  <c r="C7" i="77"/>
  <c r="G7" i="77"/>
  <c r="L22" i="77"/>
  <c r="R15" i="77"/>
  <c r="X17" i="77"/>
  <c r="AW9" i="77"/>
  <c r="AX8" i="77"/>
  <c r="B5" i="77"/>
  <c r="C5" i="77"/>
  <c r="G5" i="77"/>
  <c r="L8" i="77"/>
  <c r="R8" i="77"/>
  <c r="X8" i="77"/>
  <c r="AW6" i="77"/>
  <c r="AX7" i="77"/>
  <c r="B6" i="77"/>
  <c r="C6" i="77"/>
  <c r="G6" i="77"/>
  <c r="L29" i="77"/>
  <c r="R17" i="77"/>
  <c r="X10" i="77"/>
  <c r="AW7" i="77"/>
  <c r="AX6" i="77"/>
  <c r="B15" i="77"/>
  <c r="C15" i="77"/>
  <c r="G15" i="77"/>
  <c r="L51" i="77"/>
  <c r="R48" i="77"/>
  <c r="X44" i="77"/>
  <c r="AW16" i="77"/>
  <c r="K7" i="77"/>
  <c r="K9" i="77"/>
  <c r="K14" i="77"/>
  <c r="K16" i="77"/>
  <c r="K21" i="77"/>
  <c r="K23" i="77"/>
  <c r="K28" i="77"/>
  <c r="K30" i="77"/>
  <c r="K36" i="77"/>
  <c r="Q36" i="77"/>
  <c r="W36" i="77"/>
  <c r="W38" i="77"/>
  <c r="W43" i="77"/>
  <c r="AV16" i="77"/>
  <c r="AV15" i="77"/>
  <c r="AV14" i="77"/>
  <c r="Q7" i="77"/>
  <c r="W7" i="77"/>
  <c r="W9" i="77"/>
  <c r="W14" i="77"/>
  <c r="W16" i="77"/>
  <c r="W21" i="77"/>
  <c r="W23" i="77"/>
  <c r="W28" i="77"/>
  <c r="W30" i="77"/>
  <c r="AV13" i="77"/>
  <c r="AV12" i="77"/>
  <c r="AV11" i="77"/>
  <c r="AV10" i="77"/>
  <c r="AV9" i="77"/>
  <c r="AV8" i="77"/>
  <c r="AV7" i="77"/>
  <c r="AV6" i="77"/>
  <c r="AS15" i="77"/>
  <c r="AT16" i="77"/>
  <c r="AS16" i="77"/>
  <c r="AT15" i="77"/>
  <c r="AS12" i="77"/>
  <c r="AT13" i="77"/>
  <c r="AS13" i="77"/>
  <c r="AT12" i="77"/>
  <c r="AS10" i="77"/>
  <c r="AT11" i="77"/>
  <c r="AS11" i="77"/>
  <c r="AT10" i="77"/>
  <c r="AS8" i="77"/>
  <c r="AT9" i="77"/>
  <c r="AS9" i="77"/>
  <c r="AT8" i="77"/>
  <c r="AS6" i="77"/>
  <c r="AT7" i="77"/>
  <c r="AS7" i="77"/>
  <c r="AT6" i="77"/>
  <c r="AR14" i="77"/>
  <c r="AS14" i="77"/>
  <c r="Q45" i="77"/>
  <c r="Q47" i="77"/>
  <c r="AR16" i="77"/>
  <c r="AR15" i="77"/>
  <c r="Q9" i="77"/>
  <c r="Q14" i="77"/>
  <c r="Q16" i="77"/>
  <c r="Q21" i="77"/>
  <c r="Q23" i="77"/>
  <c r="Q28" i="77"/>
  <c r="Q30" i="77"/>
  <c r="AR13" i="77"/>
  <c r="AR12" i="77"/>
  <c r="AR11" i="77"/>
  <c r="AR10" i="77"/>
  <c r="AR9" i="77"/>
  <c r="AR8" i="77"/>
  <c r="AR7" i="77"/>
  <c r="AR6" i="77"/>
  <c r="AO12" i="77"/>
  <c r="AP13" i="77"/>
  <c r="AO13" i="77"/>
  <c r="AP12" i="77"/>
  <c r="AO10" i="77"/>
  <c r="AP11" i="77"/>
  <c r="AO11" i="77"/>
  <c r="AP10" i="77"/>
  <c r="AO8" i="77"/>
  <c r="AP9" i="77"/>
  <c r="AO9" i="77"/>
  <c r="AP8" i="77"/>
  <c r="AO6" i="77"/>
  <c r="AP7" i="77"/>
  <c r="AO7" i="77"/>
  <c r="AP6" i="77"/>
  <c r="AO16" i="77"/>
  <c r="AO15" i="77"/>
  <c r="AO14" i="77"/>
  <c r="K43" i="77"/>
  <c r="K50" i="77"/>
  <c r="AN16" i="77"/>
  <c r="AN15" i="77"/>
  <c r="AN14" i="77"/>
  <c r="AN13" i="77"/>
  <c r="AN12" i="77"/>
  <c r="AN11" i="77"/>
  <c r="AN10" i="77"/>
  <c r="AN9" i="77"/>
  <c r="AN8" i="77"/>
  <c r="AN7" i="77"/>
  <c r="AN6" i="77"/>
  <c r="B13" i="78"/>
  <c r="C13" i="78"/>
  <c r="G13" i="78"/>
  <c r="L39" i="78"/>
  <c r="R39" i="78"/>
  <c r="X39" i="78"/>
  <c r="AW14" i="78"/>
  <c r="AX15" i="78"/>
  <c r="B14" i="78"/>
  <c r="C14" i="78"/>
  <c r="G14" i="78"/>
  <c r="L41" i="78"/>
  <c r="R41" i="78"/>
  <c r="X41" i="78"/>
  <c r="AW15" i="78"/>
  <c r="AX14" i="78"/>
  <c r="B12" i="78"/>
  <c r="C12" i="78"/>
  <c r="G12" i="78"/>
  <c r="L10" i="78"/>
  <c r="R22" i="78"/>
  <c r="X29" i="78"/>
  <c r="AW12" i="78"/>
  <c r="AX13" i="78"/>
  <c r="B11" i="78"/>
  <c r="C11" i="78"/>
  <c r="G11" i="78"/>
  <c r="L31" i="78"/>
  <c r="R31" i="78"/>
  <c r="X31" i="78"/>
  <c r="AW13" i="78"/>
  <c r="AX12" i="78"/>
  <c r="B9" i="78"/>
  <c r="C9" i="78"/>
  <c r="G9" i="78"/>
  <c r="L17" i="78"/>
  <c r="R24" i="78"/>
  <c r="X22" i="78"/>
  <c r="AW10" i="78"/>
  <c r="AX11" i="78"/>
  <c r="B10" i="78"/>
  <c r="C10" i="78"/>
  <c r="G10" i="78"/>
  <c r="L24" i="78"/>
  <c r="R29" i="78"/>
  <c r="X24" i="78"/>
  <c r="AW11" i="78"/>
  <c r="AX10" i="78"/>
  <c r="B8" i="78"/>
  <c r="C8" i="78"/>
  <c r="G8" i="78"/>
  <c r="L15" i="78"/>
  <c r="R10" i="78"/>
  <c r="X15" i="78"/>
  <c r="AW8" i="78"/>
  <c r="AX9" i="78"/>
  <c r="B7" i="78"/>
  <c r="C7" i="78"/>
  <c r="G7" i="78"/>
  <c r="L22" i="78"/>
  <c r="R15" i="78"/>
  <c r="X17" i="78"/>
  <c r="AW9" i="78"/>
  <c r="AX8" i="78"/>
  <c r="B5" i="78"/>
  <c r="C5" i="78"/>
  <c r="G5" i="78"/>
  <c r="L8" i="78"/>
  <c r="R8" i="78"/>
  <c r="X8" i="78"/>
  <c r="AW6" i="78"/>
  <c r="AX7" i="78"/>
  <c r="B6" i="78"/>
  <c r="C6" i="78"/>
  <c r="G6" i="78"/>
  <c r="L29" i="78"/>
  <c r="R17" i="78"/>
  <c r="X10" i="78"/>
  <c r="AW7" i="78"/>
  <c r="AX6" i="78"/>
  <c r="K7" i="78"/>
  <c r="Q7" i="78"/>
  <c r="W7" i="78"/>
  <c r="W9" i="78"/>
  <c r="W14" i="78"/>
  <c r="W16" i="78"/>
  <c r="W21" i="78"/>
  <c r="W23" i="78"/>
  <c r="W28" i="78"/>
  <c r="W30" i="78"/>
  <c r="W38" i="78"/>
  <c r="W40" i="78"/>
  <c r="AV15" i="78"/>
  <c r="AV14" i="78"/>
  <c r="AV13" i="78"/>
  <c r="AV12" i="78"/>
  <c r="AV11" i="78"/>
  <c r="AV10" i="78"/>
  <c r="AV9" i="78"/>
  <c r="AV8" i="78"/>
  <c r="AV7" i="78"/>
  <c r="AV6" i="78"/>
  <c r="AS14" i="78"/>
  <c r="AT15" i="78"/>
  <c r="AS15" i="78"/>
  <c r="AT14" i="78"/>
  <c r="AS12" i="78"/>
  <c r="AT13" i="78"/>
  <c r="AS13" i="78"/>
  <c r="AT12" i="78"/>
  <c r="AS10" i="78"/>
  <c r="AT11" i="78"/>
  <c r="AS11" i="78"/>
  <c r="AT10" i="78"/>
  <c r="AS8" i="78"/>
  <c r="AT9" i="78"/>
  <c r="AS9" i="78"/>
  <c r="AT8" i="78"/>
  <c r="AS7" i="78"/>
  <c r="AT6" i="78"/>
  <c r="AS6" i="78"/>
  <c r="AT7" i="78"/>
  <c r="Q9" i="78"/>
  <c r="Q14" i="78"/>
  <c r="Q16" i="78"/>
  <c r="Q21" i="78"/>
  <c r="Q23" i="78"/>
  <c r="Q28" i="78"/>
  <c r="Q30" i="78"/>
  <c r="Q38" i="78"/>
  <c r="Q40" i="78"/>
  <c r="AR15" i="78"/>
  <c r="AR14" i="78"/>
  <c r="AR13" i="78"/>
  <c r="AR12" i="78"/>
  <c r="AR11" i="78"/>
  <c r="AR10" i="78"/>
  <c r="AR9" i="78"/>
  <c r="AR8" i="78"/>
  <c r="AR7" i="78"/>
  <c r="AR6" i="78"/>
  <c r="AO14" i="78"/>
  <c r="AP15" i="78"/>
  <c r="AO15" i="78"/>
  <c r="AP14" i="78"/>
  <c r="AO12" i="78"/>
  <c r="AP13" i="78"/>
  <c r="AO13" i="78"/>
  <c r="AP12" i="78"/>
  <c r="AO10" i="78"/>
  <c r="AP11" i="78"/>
  <c r="AO11" i="78"/>
  <c r="AP10" i="78"/>
  <c r="AO8" i="78"/>
  <c r="AP9" i="78"/>
  <c r="AO9" i="78"/>
  <c r="AP8" i="78"/>
  <c r="AO6" i="78"/>
  <c r="AP7" i="78"/>
  <c r="AO7" i="78"/>
  <c r="AP6" i="78"/>
  <c r="AN15" i="78"/>
  <c r="K9" i="78"/>
  <c r="K14" i="78"/>
  <c r="K16" i="78"/>
  <c r="K21" i="78"/>
  <c r="K23" i="78"/>
  <c r="K28" i="78"/>
  <c r="K30" i="78"/>
  <c r="K38" i="78"/>
  <c r="AN14" i="78"/>
  <c r="AN13" i="78"/>
  <c r="AN12" i="78"/>
  <c r="AN11" i="78"/>
  <c r="AN10" i="78"/>
  <c r="AN9" i="78"/>
  <c r="AN8" i="78"/>
  <c r="AN7" i="78"/>
  <c r="AN6" i="78"/>
  <c r="B12" i="79"/>
  <c r="C12" i="79"/>
  <c r="G12" i="79"/>
  <c r="L10" i="79"/>
  <c r="R22" i="79"/>
  <c r="X29" i="79"/>
  <c r="AW12" i="79"/>
  <c r="AX13" i="79"/>
  <c r="B11" i="79"/>
  <c r="C11" i="79"/>
  <c r="G11" i="79"/>
  <c r="L31" i="79"/>
  <c r="R31" i="79"/>
  <c r="X31" i="79"/>
  <c r="AW13" i="79"/>
  <c r="AX12" i="79"/>
  <c r="B9" i="79"/>
  <c r="C9" i="79"/>
  <c r="G9" i="79"/>
  <c r="L17" i="79"/>
  <c r="R24" i="79"/>
  <c r="X22" i="79"/>
  <c r="AW10" i="79"/>
  <c r="AX11" i="79"/>
  <c r="B10" i="79"/>
  <c r="C10" i="79"/>
  <c r="G10" i="79"/>
  <c r="L24" i="79"/>
  <c r="R29" i="79"/>
  <c r="X24" i="79"/>
  <c r="AW11" i="79"/>
  <c r="AX10" i="79"/>
  <c r="B8" i="79"/>
  <c r="C8" i="79"/>
  <c r="G8" i="79"/>
  <c r="L15" i="79"/>
  <c r="R10" i="79"/>
  <c r="X15" i="79"/>
  <c r="AW8" i="79"/>
  <c r="AX9" i="79"/>
  <c r="B7" i="79"/>
  <c r="C7" i="79"/>
  <c r="G7" i="79"/>
  <c r="L22" i="79"/>
  <c r="R15" i="79"/>
  <c r="X17" i="79"/>
  <c r="AW9" i="79"/>
  <c r="AX8" i="79"/>
  <c r="B5" i="79"/>
  <c r="C5" i="79"/>
  <c r="G5" i="79"/>
  <c r="L8" i="79"/>
  <c r="R8" i="79"/>
  <c r="X8" i="79"/>
  <c r="AW6" i="79"/>
  <c r="AX7" i="79"/>
  <c r="B6" i="79"/>
  <c r="C6" i="79"/>
  <c r="G6" i="79"/>
  <c r="L29" i="79"/>
  <c r="R17" i="79"/>
  <c r="X10" i="79"/>
  <c r="AW7" i="79"/>
  <c r="AX6" i="79"/>
  <c r="B13" i="79"/>
  <c r="C13" i="79"/>
  <c r="G13" i="79"/>
  <c r="L36" i="79"/>
  <c r="R36" i="79"/>
  <c r="X36" i="79"/>
  <c r="AW14" i="79"/>
  <c r="K7" i="79"/>
  <c r="Q7" i="79"/>
  <c r="W7" i="79"/>
  <c r="W9" i="79"/>
  <c r="W14" i="79"/>
  <c r="W16" i="79"/>
  <c r="W21" i="79"/>
  <c r="W23" i="79"/>
  <c r="W28" i="79"/>
  <c r="W30" i="79"/>
  <c r="W35" i="79"/>
  <c r="AV14" i="79"/>
  <c r="AV13" i="79"/>
  <c r="AV12" i="79"/>
  <c r="AV11" i="79"/>
  <c r="AV10" i="79"/>
  <c r="AV9" i="79"/>
  <c r="AV8" i="79"/>
  <c r="AV7" i="79"/>
  <c r="AV6" i="79"/>
  <c r="AS14" i="79"/>
  <c r="AS13" i="79"/>
  <c r="AS12" i="79"/>
  <c r="AS11" i="79"/>
  <c r="AS10" i="79"/>
  <c r="AS9" i="79"/>
  <c r="AS8" i="79"/>
  <c r="AS7" i="79"/>
  <c r="AS6" i="79"/>
  <c r="Q9" i="79"/>
  <c r="Q14" i="79"/>
  <c r="Q16" i="79"/>
  <c r="Q21" i="79"/>
  <c r="Q23" i="79"/>
  <c r="Q28" i="79"/>
  <c r="Q30" i="79"/>
  <c r="Q35" i="79"/>
  <c r="AR14" i="79"/>
  <c r="AR13" i="79"/>
  <c r="AR12" i="79"/>
  <c r="AR11" i="79"/>
  <c r="AR10" i="79"/>
  <c r="AR9" i="79"/>
  <c r="AR8" i="79"/>
  <c r="AR7" i="79"/>
  <c r="AR6" i="79"/>
  <c r="AT13" i="79"/>
  <c r="AT12" i="79"/>
  <c r="AT11" i="79"/>
  <c r="AT10" i="79"/>
  <c r="AT9" i="79"/>
  <c r="AT8" i="79"/>
  <c r="AT7" i="79"/>
  <c r="AT6" i="79"/>
  <c r="AO12" i="79"/>
  <c r="AP13" i="79"/>
  <c r="AO13" i="79"/>
  <c r="AP12" i="79"/>
  <c r="AO10" i="79"/>
  <c r="AP11" i="79"/>
  <c r="AO11" i="79"/>
  <c r="AP10" i="79"/>
  <c r="AO8" i="79"/>
  <c r="AP9" i="79"/>
  <c r="AO9" i="79"/>
  <c r="AP8" i="79"/>
  <c r="AO6" i="79"/>
  <c r="AP7" i="79"/>
  <c r="AO7" i="79"/>
  <c r="AP6" i="79"/>
  <c r="AO14" i="79"/>
  <c r="K9" i="79"/>
  <c r="K14" i="79"/>
  <c r="K16" i="79"/>
  <c r="K21" i="79"/>
  <c r="K23" i="79"/>
  <c r="K28" i="79"/>
  <c r="K30" i="79"/>
  <c r="K35" i="79"/>
  <c r="AN14" i="79"/>
  <c r="AN13" i="79"/>
  <c r="AN12" i="79"/>
  <c r="AN11" i="79"/>
  <c r="AN10" i="79"/>
  <c r="AN9" i="79"/>
  <c r="AN8" i="79"/>
  <c r="AN7" i="79"/>
  <c r="AN6" i="79"/>
  <c r="B12" i="80"/>
  <c r="C12" i="80"/>
  <c r="G12" i="80"/>
  <c r="L10" i="80"/>
  <c r="R22" i="80"/>
  <c r="X29" i="80"/>
  <c r="AW12" i="80"/>
  <c r="AX13" i="80"/>
  <c r="B11" i="80"/>
  <c r="C11" i="80"/>
  <c r="G11" i="80"/>
  <c r="L31" i="80"/>
  <c r="R31" i="80"/>
  <c r="X31" i="80"/>
  <c r="AW13" i="80"/>
  <c r="AX12" i="80"/>
  <c r="B9" i="80"/>
  <c r="C9" i="80"/>
  <c r="G9" i="80"/>
  <c r="L17" i="80"/>
  <c r="R24" i="80"/>
  <c r="X22" i="80"/>
  <c r="AW10" i="80"/>
  <c r="AX11" i="80"/>
  <c r="B10" i="80"/>
  <c r="C10" i="80"/>
  <c r="G10" i="80"/>
  <c r="L24" i="80"/>
  <c r="R29" i="80"/>
  <c r="X24" i="80"/>
  <c r="AW11" i="80"/>
  <c r="AX10" i="80"/>
  <c r="B8" i="80"/>
  <c r="C8" i="80"/>
  <c r="G8" i="80"/>
  <c r="L15" i="80"/>
  <c r="R10" i="80"/>
  <c r="X15" i="80"/>
  <c r="AW8" i="80"/>
  <c r="AX9" i="80"/>
  <c r="B7" i="80"/>
  <c r="C7" i="80"/>
  <c r="G7" i="80"/>
  <c r="L22" i="80"/>
  <c r="R15" i="80"/>
  <c r="X17" i="80"/>
  <c r="AW9" i="80"/>
  <c r="AX8" i="80"/>
  <c r="B5" i="80"/>
  <c r="C5" i="80"/>
  <c r="G5" i="80"/>
  <c r="L8" i="80"/>
  <c r="R8" i="80"/>
  <c r="X8" i="80"/>
  <c r="AW6" i="80"/>
  <c r="AX7" i="80"/>
  <c r="B6" i="80"/>
  <c r="C6" i="80"/>
  <c r="G6" i="80"/>
  <c r="L29" i="80"/>
  <c r="R17" i="80"/>
  <c r="X10" i="80"/>
  <c r="AW7" i="80"/>
  <c r="AX6" i="80"/>
  <c r="K7" i="80"/>
  <c r="Q7" i="80"/>
  <c r="W7" i="80"/>
  <c r="W9" i="80"/>
  <c r="W14" i="80"/>
  <c r="W16" i="80"/>
  <c r="W21" i="80"/>
  <c r="W23" i="80"/>
  <c r="W28" i="80"/>
  <c r="W30" i="80"/>
  <c r="AV13" i="80"/>
  <c r="AV12" i="80"/>
  <c r="AV11" i="80"/>
  <c r="AV10" i="80"/>
  <c r="AV9" i="80"/>
  <c r="AV8" i="80"/>
  <c r="AV7" i="80"/>
  <c r="AV6" i="80"/>
  <c r="AS12" i="80"/>
  <c r="AT13" i="80"/>
  <c r="AS13" i="80"/>
  <c r="AT12" i="80"/>
  <c r="AS10" i="80"/>
  <c r="AT11" i="80"/>
  <c r="AS11" i="80"/>
  <c r="AT10" i="80"/>
  <c r="AS8" i="80"/>
  <c r="AT9" i="80"/>
  <c r="AS9" i="80"/>
  <c r="AT8" i="80"/>
  <c r="AS6" i="80"/>
  <c r="AT7" i="80"/>
  <c r="AS7" i="80"/>
  <c r="AT6" i="80"/>
  <c r="Q9" i="80"/>
  <c r="Q14" i="80"/>
  <c r="Q16" i="80"/>
  <c r="Q21" i="80"/>
  <c r="Q23" i="80"/>
  <c r="Q28" i="80"/>
  <c r="Q30" i="80"/>
  <c r="AR13" i="80"/>
  <c r="AR12" i="80"/>
  <c r="AR11" i="80"/>
  <c r="AR10" i="80"/>
  <c r="AR9" i="80"/>
  <c r="AR8" i="80"/>
  <c r="AR7" i="80"/>
  <c r="AR6" i="80"/>
  <c r="AO12" i="80"/>
  <c r="AP13" i="80"/>
  <c r="AO13" i="80"/>
  <c r="AP12" i="80"/>
  <c r="AO10" i="80"/>
  <c r="AP11" i="80"/>
  <c r="AO11" i="80"/>
  <c r="AP10" i="80"/>
  <c r="AO8" i="80"/>
  <c r="AP9" i="80"/>
  <c r="AO9" i="80"/>
  <c r="AP8" i="80"/>
  <c r="AO6" i="80"/>
  <c r="AP7" i="80"/>
  <c r="AO7" i="80"/>
  <c r="AP6" i="80"/>
  <c r="K9" i="80"/>
  <c r="K14" i="80"/>
  <c r="K16" i="80"/>
  <c r="K21" i="80"/>
  <c r="K23" i="80"/>
  <c r="K28" i="80"/>
  <c r="K30" i="80"/>
  <c r="AN13" i="80"/>
  <c r="AN12" i="80"/>
  <c r="AN11" i="80"/>
  <c r="AN10" i="80"/>
  <c r="AN9" i="80"/>
  <c r="AN8" i="80"/>
  <c r="AN7" i="80"/>
  <c r="AN6" i="80"/>
  <c r="B9" i="266"/>
  <c r="C9" i="266"/>
  <c r="G9" i="266"/>
  <c r="L15" i="266"/>
  <c r="R21" i="266"/>
  <c r="X22" i="266"/>
  <c r="AW10" i="266"/>
  <c r="AX11" i="266"/>
  <c r="B10" i="266"/>
  <c r="C10" i="266"/>
  <c r="G10" i="266"/>
  <c r="L22" i="266"/>
  <c r="R26" i="266"/>
  <c r="X24" i="266"/>
  <c r="AW11" i="266"/>
  <c r="AX10" i="266"/>
  <c r="B7" i="266"/>
  <c r="C7" i="266"/>
  <c r="G7" i="266"/>
  <c r="L20" i="266"/>
  <c r="R16" i="266"/>
  <c r="X15" i="266"/>
  <c r="AW8" i="266"/>
  <c r="AX9" i="266"/>
  <c r="B8" i="266"/>
  <c r="C8" i="266"/>
  <c r="G8" i="266"/>
  <c r="L13" i="266"/>
  <c r="R10" i="266"/>
  <c r="X17" i="266"/>
  <c r="AW9" i="266"/>
  <c r="AX8" i="266"/>
  <c r="B5" i="266"/>
  <c r="C5" i="266"/>
  <c r="G5" i="266"/>
  <c r="L8" i="266"/>
  <c r="R8" i="266"/>
  <c r="X8" i="266"/>
  <c r="AW6" i="266"/>
  <c r="AX7" i="266"/>
  <c r="B6" i="266"/>
  <c r="C6" i="266"/>
  <c r="G6" i="266"/>
  <c r="L27" i="266"/>
  <c r="R14" i="266"/>
  <c r="X10" i="266"/>
  <c r="AW7" i="266"/>
  <c r="AX6" i="266"/>
  <c r="W7" i="266"/>
  <c r="W9" i="266"/>
  <c r="W14" i="266"/>
  <c r="W16" i="266"/>
  <c r="W21" i="266"/>
  <c r="W23" i="266"/>
  <c r="W27" i="266"/>
  <c r="AV12" i="266"/>
  <c r="AV11" i="266"/>
  <c r="AV10" i="266"/>
  <c r="AV9" i="266"/>
  <c r="AV8" i="266"/>
  <c r="AV7" i="266"/>
  <c r="AV6" i="266"/>
  <c r="B11" i="266"/>
  <c r="C11" i="266"/>
  <c r="G11" i="266"/>
  <c r="L29" i="266"/>
  <c r="R28" i="266"/>
  <c r="AS12" i="266"/>
  <c r="AT11" i="266"/>
  <c r="AS11" i="266"/>
  <c r="AT12" i="266"/>
  <c r="AS8" i="266"/>
  <c r="AT9" i="266"/>
  <c r="AS9" i="266"/>
  <c r="AT8" i="266"/>
  <c r="AS6" i="266"/>
  <c r="AT7" i="266"/>
  <c r="AS7" i="266"/>
  <c r="AT6" i="266"/>
  <c r="AS10" i="266"/>
  <c r="K7" i="266"/>
  <c r="Q7" i="266"/>
  <c r="Q9" i="266"/>
  <c r="Q13" i="266"/>
  <c r="Q15" i="266"/>
  <c r="Q20" i="266"/>
  <c r="Q25" i="266"/>
  <c r="Q27" i="266"/>
  <c r="AR12" i="266"/>
  <c r="AR11" i="266"/>
  <c r="AR10" i="266"/>
  <c r="AR9" i="266"/>
  <c r="AR8" i="266"/>
  <c r="AR7" i="266"/>
  <c r="AR6" i="266"/>
  <c r="AO11" i="266"/>
  <c r="AP12" i="266"/>
  <c r="AO12" i="266"/>
  <c r="AP11" i="266"/>
  <c r="AO9" i="266"/>
  <c r="AP10" i="266"/>
  <c r="AO10" i="266"/>
  <c r="AP9" i="266"/>
  <c r="AO7" i="266"/>
  <c r="AP8" i="266"/>
  <c r="AO8" i="266"/>
  <c r="AP7" i="266"/>
  <c r="K12" i="266"/>
  <c r="K14" i="266"/>
  <c r="K19" i="266"/>
  <c r="K21" i="266"/>
  <c r="K26" i="266"/>
  <c r="K28" i="266"/>
  <c r="AN12" i="266"/>
  <c r="AN11" i="266"/>
  <c r="AN10" i="266"/>
  <c r="AN9" i="266"/>
  <c r="AN8" i="266"/>
  <c r="AN7" i="266"/>
  <c r="AN6" i="266"/>
  <c r="AO6" i="266"/>
  <c r="B10" i="82"/>
  <c r="C10" i="82"/>
  <c r="G10" i="82"/>
  <c r="L28" i="82"/>
  <c r="R24" i="82"/>
  <c r="X24" i="82"/>
  <c r="AW11" i="82"/>
  <c r="B9" i="82"/>
  <c r="C9" i="82"/>
  <c r="G9" i="82"/>
  <c r="L15" i="82"/>
  <c r="R22" i="82"/>
  <c r="X22" i="82"/>
  <c r="AW10" i="82"/>
  <c r="B8" i="82"/>
  <c r="C8" i="82"/>
  <c r="G8" i="82"/>
  <c r="L13" i="82"/>
  <c r="R10" i="82"/>
  <c r="X17" i="82"/>
  <c r="AW9" i="82"/>
  <c r="B7" i="82"/>
  <c r="C7" i="82"/>
  <c r="G7" i="82"/>
  <c r="L26" i="82"/>
  <c r="R17" i="82"/>
  <c r="X15" i="82"/>
  <c r="AW8" i="82"/>
  <c r="B6" i="82"/>
  <c r="C6" i="82"/>
  <c r="G6" i="82"/>
  <c r="L21" i="82"/>
  <c r="R15" i="82"/>
  <c r="X10" i="82"/>
  <c r="AW7" i="82"/>
  <c r="B5" i="82"/>
  <c r="C5" i="82"/>
  <c r="G5" i="82"/>
  <c r="L8" i="82"/>
  <c r="R8" i="82"/>
  <c r="X8" i="82"/>
  <c r="AW6" i="82"/>
  <c r="AS10" i="82"/>
  <c r="AT11" i="82"/>
  <c r="AS11" i="82"/>
  <c r="AT10" i="82"/>
  <c r="AS8" i="82"/>
  <c r="AT9" i="82"/>
  <c r="AS9" i="82"/>
  <c r="AT8" i="82"/>
  <c r="AS6" i="82"/>
  <c r="AT7" i="82"/>
  <c r="AS7" i="82"/>
  <c r="AT6" i="82"/>
  <c r="AO10" i="82"/>
  <c r="AP11" i="82"/>
  <c r="AO11" i="82"/>
  <c r="AP10" i="82"/>
  <c r="AO8" i="82"/>
  <c r="AP7" i="82"/>
  <c r="AO7" i="82"/>
  <c r="AP8" i="82"/>
  <c r="AO9" i="82"/>
  <c r="AO6" i="82"/>
  <c r="K7" i="82"/>
  <c r="K12" i="82"/>
  <c r="K14" i="82"/>
  <c r="K20" i="82"/>
  <c r="K25" i="82"/>
  <c r="K27" i="82"/>
  <c r="AN11" i="82"/>
  <c r="AN10" i="82"/>
  <c r="AN9" i="82"/>
  <c r="AN8" i="82"/>
  <c r="AN7" i="82"/>
  <c r="AN6" i="82"/>
  <c r="B8" i="84"/>
  <c r="C8" i="84"/>
  <c r="G8" i="84"/>
  <c r="L14" i="84"/>
  <c r="R10" i="84"/>
  <c r="X17" i="84"/>
  <c r="AW8" i="84"/>
  <c r="AX9" i="84"/>
  <c r="B7" i="84"/>
  <c r="C7" i="84"/>
  <c r="G7" i="84"/>
  <c r="L23" i="84"/>
  <c r="R17" i="84"/>
  <c r="X19" i="84"/>
  <c r="AW9" i="84"/>
  <c r="AX8" i="84"/>
  <c r="K7" i="84"/>
  <c r="Q7" i="84"/>
  <c r="W7" i="84"/>
  <c r="W9" i="84"/>
  <c r="W16" i="84"/>
  <c r="AV8" i="84"/>
  <c r="AV7" i="84"/>
  <c r="AV6" i="84"/>
  <c r="B6" i="84"/>
  <c r="C6" i="84"/>
  <c r="G6" i="84"/>
  <c r="L21" i="84"/>
  <c r="R15" i="84"/>
  <c r="AS8" i="84"/>
  <c r="AT9" i="84"/>
  <c r="AS9" i="84"/>
  <c r="AT8" i="84"/>
  <c r="B5" i="84"/>
  <c r="C5" i="84"/>
  <c r="G5" i="84"/>
  <c r="L8" i="84"/>
  <c r="R8" i="84"/>
  <c r="AS6" i="84"/>
  <c r="AT7" i="84"/>
  <c r="AS7" i="84"/>
  <c r="AT6" i="84"/>
  <c r="B9" i="84"/>
  <c r="C9" i="84"/>
  <c r="G9" i="84"/>
  <c r="L16" i="84"/>
  <c r="R23" i="84"/>
  <c r="AS10" i="84"/>
  <c r="AO9" i="84"/>
  <c r="AO10" i="84"/>
  <c r="AO7" i="84"/>
  <c r="AP8" i="84"/>
  <c r="AO8" i="84"/>
  <c r="AP7" i="84"/>
  <c r="AO6" i="84"/>
  <c r="B5" i="86"/>
  <c r="C5" i="86"/>
  <c r="G5" i="86"/>
  <c r="L8" i="86"/>
  <c r="R8" i="86"/>
  <c r="X8" i="86"/>
  <c r="AW6" i="86"/>
  <c r="AX7" i="86"/>
  <c r="B6" i="86"/>
  <c r="C6" i="86"/>
  <c r="G6" i="86"/>
  <c r="L15" i="86"/>
  <c r="R17" i="86"/>
  <c r="X10" i="86"/>
  <c r="AW7" i="86"/>
  <c r="AX6" i="86"/>
  <c r="K7" i="86"/>
  <c r="Q7" i="86"/>
  <c r="W7" i="86"/>
  <c r="AV6" i="86"/>
  <c r="B7" i="86"/>
  <c r="C7" i="86"/>
  <c r="G7" i="86"/>
  <c r="L22" i="86"/>
  <c r="R19" i="86"/>
  <c r="AS8" i="86"/>
  <c r="AT7" i="86"/>
  <c r="Q16" i="86"/>
  <c r="AR7" i="86"/>
  <c r="AS7" i="86"/>
  <c r="AT8" i="86"/>
  <c r="AN6" i="86"/>
  <c r="K10" i="327"/>
  <c r="K12" i="327"/>
  <c r="Q12" i="327"/>
  <c r="AR7" i="327"/>
  <c r="AV7" i="327"/>
  <c r="B6" i="327"/>
  <c r="C6" i="327"/>
  <c r="G6" i="327"/>
  <c r="L13" i="327"/>
  <c r="R13" i="327"/>
  <c r="AS7" i="327"/>
  <c r="AW7" i="327"/>
  <c r="B5" i="327"/>
  <c r="C5" i="327"/>
  <c r="G5" i="327"/>
  <c r="L11" i="327"/>
  <c r="R11" i="327"/>
  <c r="AT7" i="327"/>
  <c r="AX7" i="327"/>
  <c r="AS6" i="327"/>
  <c r="AW6" i="327"/>
  <c r="AT6" i="327"/>
  <c r="AX6" i="327"/>
  <c r="Q10" i="327"/>
  <c r="AR6" i="327"/>
  <c r="AV6" i="327"/>
  <c r="H6" i="327"/>
  <c r="H5" i="327"/>
  <c r="S12" i="327"/>
  <c r="S10" i="327"/>
  <c r="AO7" i="327"/>
  <c r="AN6" i="327"/>
  <c r="AN7" i="327"/>
  <c r="AP6" i="327"/>
  <c r="AO6" i="327"/>
  <c r="O85" i="78"/>
  <c r="M85" i="78"/>
  <c r="N85" i="78"/>
  <c r="L85" i="78"/>
  <c r="Z44" i="78"/>
  <c r="O60" i="327"/>
  <c r="M60" i="327"/>
  <c r="N60" i="327"/>
  <c r="L60" i="327"/>
  <c r="N58" i="327"/>
  <c r="O58" i="327"/>
  <c r="M58" i="327"/>
  <c r="X17" i="327"/>
  <c r="L58" i="327"/>
  <c r="T16" i="327"/>
  <c r="Z16" i="327"/>
  <c r="R17" i="327"/>
  <c r="AG8" i="327"/>
  <c r="D6" i="327"/>
  <c r="J6" i="327"/>
  <c r="D5" i="327"/>
  <c r="J5" i="327"/>
  <c r="AJ8" i="327"/>
  <c r="I6" i="327"/>
  <c r="I5" i="327"/>
  <c r="AI8" i="327"/>
  <c r="AH8" i="327"/>
  <c r="AG7" i="327"/>
  <c r="AJ7" i="327"/>
  <c r="AI7" i="327"/>
  <c r="AH7" i="327"/>
  <c r="W10" i="327"/>
  <c r="W12" i="327"/>
  <c r="B14" i="327"/>
  <c r="C14" i="327"/>
  <c r="G14" i="327"/>
  <c r="B7" i="327"/>
  <c r="C7" i="327"/>
  <c r="G7" i="327"/>
  <c r="H7" i="327"/>
  <c r="I7" i="327"/>
  <c r="D7" i="327"/>
  <c r="J7" i="327"/>
  <c r="B8" i="327"/>
  <c r="C8" i="327"/>
  <c r="G8" i="327"/>
  <c r="H8" i="327"/>
  <c r="I8" i="327"/>
  <c r="D8" i="327"/>
  <c r="J8" i="327"/>
  <c r="B9" i="327"/>
  <c r="C9" i="327"/>
  <c r="G9" i="327"/>
  <c r="H9" i="327"/>
  <c r="I9" i="327"/>
  <c r="D9" i="327"/>
  <c r="J9" i="327"/>
  <c r="B10" i="327"/>
  <c r="C10" i="327"/>
  <c r="G10" i="327"/>
  <c r="H10" i="327"/>
  <c r="I10" i="327"/>
  <c r="D10" i="327"/>
  <c r="J10" i="327"/>
  <c r="B11" i="327"/>
  <c r="C11" i="327"/>
  <c r="G11" i="327"/>
  <c r="H11" i="327"/>
  <c r="I11" i="327"/>
  <c r="D11" i="327"/>
  <c r="J11" i="327"/>
  <c r="B12" i="327"/>
  <c r="C12" i="327"/>
  <c r="G12" i="327"/>
  <c r="H12" i="327"/>
  <c r="I12" i="327"/>
  <c r="D12" i="327"/>
  <c r="J12" i="327"/>
  <c r="B13" i="327"/>
  <c r="C13" i="327"/>
  <c r="G13" i="327"/>
  <c r="H13" i="327"/>
  <c r="I13" i="327"/>
  <c r="D13" i="327"/>
  <c r="J13" i="327"/>
  <c r="H14" i="327"/>
  <c r="I14" i="327"/>
  <c r="D14" i="327"/>
  <c r="J14" i="327"/>
  <c r="G15" i="327"/>
  <c r="H15" i="327"/>
  <c r="I15" i="327"/>
  <c r="J15" i="327"/>
  <c r="G16" i="327"/>
  <c r="H16" i="327"/>
  <c r="I16" i="327"/>
  <c r="J16" i="327"/>
  <c r="G17" i="327"/>
  <c r="H17" i="327"/>
  <c r="I17" i="327"/>
  <c r="J17" i="327"/>
  <c r="G18" i="327"/>
  <c r="H18" i="327"/>
  <c r="I18" i="327"/>
  <c r="J18" i="327"/>
  <c r="G19" i="327"/>
  <c r="H19" i="327"/>
  <c r="I19" i="327"/>
  <c r="J19" i="327"/>
  <c r="G20" i="327"/>
  <c r="H20" i="327"/>
  <c r="I20" i="327"/>
  <c r="J20" i="327"/>
  <c r="G21" i="327"/>
  <c r="H21" i="327"/>
  <c r="I21" i="327"/>
  <c r="J21" i="327"/>
  <c r="G22" i="327"/>
  <c r="H22" i="327"/>
  <c r="I22" i="327"/>
  <c r="J22" i="327"/>
  <c r="G23" i="327"/>
  <c r="H23" i="327"/>
  <c r="I23" i="327"/>
  <c r="J23" i="327"/>
  <c r="G24" i="327"/>
  <c r="H24" i="327"/>
  <c r="I24" i="327"/>
  <c r="J24" i="327"/>
  <c r="G25" i="327"/>
  <c r="H25" i="327"/>
  <c r="I25" i="327"/>
  <c r="J25" i="327"/>
  <c r="G26" i="327"/>
  <c r="H26" i="327"/>
  <c r="I26" i="327"/>
  <c r="J26" i="327"/>
  <c r="G27" i="327"/>
  <c r="H27" i="327"/>
  <c r="I27" i="327"/>
  <c r="J27" i="327"/>
  <c r="G28" i="327"/>
  <c r="H28" i="327"/>
  <c r="I28" i="327"/>
  <c r="J28" i="327"/>
  <c r="Y17" i="327"/>
  <c r="S17" i="327"/>
  <c r="Y16" i="327"/>
  <c r="S16" i="327"/>
  <c r="S15" i="327"/>
  <c r="R15" i="327"/>
  <c r="Q15" i="327"/>
  <c r="P15" i="327"/>
  <c r="X13" i="327"/>
  <c r="Y13" i="327"/>
  <c r="S13" i="327"/>
  <c r="M13" i="327"/>
  <c r="Y12" i="327"/>
  <c r="M12" i="327"/>
  <c r="X11" i="327"/>
  <c r="Y11" i="327"/>
  <c r="S11" i="327"/>
  <c r="M11" i="327"/>
  <c r="Y10" i="327"/>
  <c r="M10" i="327"/>
  <c r="E14" i="327"/>
  <c r="E13" i="327"/>
  <c r="E12" i="327"/>
  <c r="E11" i="327"/>
  <c r="E10" i="327"/>
  <c r="E9" i="327"/>
  <c r="E8" i="327"/>
  <c r="E7" i="327"/>
  <c r="E6" i="327"/>
  <c r="E5" i="327"/>
  <c r="AF3" i="327"/>
  <c r="N3" i="327"/>
  <c r="AF2" i="327"/>
  <c r="K2" i="327"/>
  <c r="AF1" i="327"/>
  <c r="K1" i="327"/>
  <c r="H5" i="221"/>
  <c r="I5" i="221"/>
  <c r="D5" i="221"/>
  <c r="J5" i="221"/>
  <c r="H6" i="221"/>
  <c r="I6" i="221"/>
  <c r="D6" i="221"/>
  <c r="J6" i="221"/>
  <c r="H7" i="221"/>
  <c r="I7" i="221"/>
  <c r="D7" i="221"/>
  <c r="J7" i="221"/>
  <c r="H8" i="221"/>
  <c r="I8" i="221"/>
  <c r="D8" i="221"/>
  <c r="J8" i="221"/>
  <c r="H9" i="221"/>
  <c r="I9" i="221"/>
  <c r="D9" i="221"/>
  <c r="J9" i="221"/>
  <c r="H10" i="221"/>
  <c r="I10" i="221"/>
  <c r="D10" i="221"/>
  <c r="J10" i="221"/>
  <c r="H11" i="221"/>
  <c r="I11" i="221"/>
  <c r="D11" i="221"/>
  <c r="J11" i="221"/>
  <c r="H12" i="221"/>
  <c r="I12" i="221"/>
  <c r="D12" i="221"/>
  <c r="J12" i="221"/>
  <c r="H13" i="221"/>
  <c r="I13" i="221"/>
  <c r="D13" i="221"/>
  <c r="J13" i="221"/>
  <c r="H14" i="221"/>
  <c r="I14" i="221"/>
  <c r="D14" i="221"/>
  <c r="J14" i="221"/>
  <c r="H15" i="221"/>
  <c r="I15" i="221"/>
  <c r="D15" i="221"/>
  <c r="J15" i="221"/>
  <c r="H16" i="221"/>
  <c r="I16" i="221"/>
  <c r="D16" i="221"/>
  <c r="J16" i="221"/>
  <c r="H17" i="221"/>
  <c r="I17" i="221"/>
  <c r="D17" i="221"/>
  <c r="J17" i="221"/>
  <c r="H18" i="221"/>
  <c r="I18" i="221"/>
  <c r="D18" i="221"/>
  <c r="J18" i="221"/>
  <c r="H19" i="221"/>
  <c r="I19" i="221"/>
  <c r="D19" i="221"/>
  <c r="J19" i="221"/>
  <c r="H20" i="221"/>
  <c r="I20" i="221"/>
  <c r="D20" i="221"/>
  <c r="J20" i="221"/>
  <c r="H21" i="221"/>
  <c r="I21" i="221"/>
  <c r="D21" i="221"/>
  <c r="J21" i="221"/>
  <c r="H22" i="221"/>
  <c r="I22" i="221"/>
  <c r="D22" i="221"/>
  <c r="J22" i="221"/>
  <c r="H23" i="221"/>
  <c r="I23" i="221"/>
  <c r="D23" i="221"/>
  <c r="J23" i="221"/>
  <c r="H24" i="221"/>
  <c r="I24" i="221"/>
  <c r="D24" i="221"/>
  <c r="J24" i="221"/>
  <c r="AG30" i="221"/>
  <c r="G25" i="221"/>
  <c r="J25" i="221"/>
  <c r="AJ30" i="221"/>
  <c r="I25" i="221"/>
  <c r="AI30" i="221"/>
  <c r="H25" i="221"/>
  <c r="AH30" i="221"/>
  <c r="AG29" i="221"/>
  <c r="AJ29" i="221"/>
  <c r="AI29" i="221"/>
  <c r="AH29" i="221"/>
  <c r="AG28" i="221"/>
  <c r="AJ28" i="221"/>
  <c r="AI28" i="221"/>
  <c r="AH28" i="221"/>
  <c r="AG27" i="221"/>
  <c r="AJ27" i="221"/>
  <c r="AI27" i="221"/>
  <c r="AH27" i="221"/>
  <c r="AG26" i="221"/>
  <c r="AJ26" i="221"/>
  <c r="AI26" i="221"/>
  <c r="AH26" i="221"/>
  <c r="AG25" i="221"/>
  <c r="AJ25" i="221"/>
  <c r="AI25" i="221"/>
  <c r="AH25" i="221"/>
  <c r="AG24" i="221"/>
  <c r="AJ24" i="221"/>
  <c r="AI24" i="221"/>
  <c r="AH24" i="221"/>
  <c r="AG23" i="221"/>
  <c r="AJ23" i="221"/>
  <c r="AI23" i="221"/>
  <c r="AH23" i="221"/>
  <c r="AG22" i="221"/>
  <c r="AJ22" i="221"/>
  <c r="AI22" i="221"/>
  <c r="AH22" i="221"/>
  <c r="AG21" i="221"/>
  <c r="AJ21" i="221"/>
  <c r="AI21" i="221"/>
  <c r="AH21" i="221"/>
  <c r="AG20" i="221"/>
  <c r="AJ20" i="221"/>
  <c r="AI20" i="221"/>
  <c r="AH20" i="221"/>
  <c r="AG19" i="221"/>
  <c r="AJ19" i="221"/>
  <c r="AI19" i="221"/>
  <c r="AH19" i="221"/>
  <c r="AG18" i="221"/>
  <c r="AJ18" i="221"/>
  <c r="AI18" i="221"/>
  <c r="AH18" i="221"/>
  <c r="AG17" i="221"/>
  <c r="AJ17" i="221"/>
  <c r="AI17" i="221"/>
  <c r="AH17" i="221"/>
  <c r="AG16" i="221"/>
  <c r="AJ16" i="221"/>
  <c r="AI16" i="221"/>
  <c r="AH16" i="221"/>
  <c r="AG15" i="221"/>
  <c r="AJ15" i="221"/>
  <c r="AI15" i="221"/>
  <c r="AH15" i="221"/>
  <c r="AG14" i="221"/>
  <c r="AJ14" i="221"/>
  <c r="AI14" i="221"/>
  <c r="AH14" i="221"/>
  <c r="AG13" i="221"/>
  <c r="AJ13" i="221"/>
  <c r="AI13" i="221"/>
  <c r="AH13" i="221"/>
  <c r="AG12" i="221"/>
  <c r="AJ12" i="221"/>
  <c r="AI12" i="221"/>
  <c r="AH12" i="221"/>
  <c r="AG11" i="221"/>
  <c r="AJ11" i="221"/>
  <c r="AI11" i="221"/>
  <c r="AH11" i="221"/>
  <c r="AG10" i="221"/>
  <c r="AJ10" i="221"/>
  <c r="AI10" i="221"/>
  <c r="AH10" i="221"/>
  <c r="AG9" i="221"/>
  <c r="AJ9" i="221"/>
  <c r="AI9" i="221"/>
  <c r="AH9" i="221"/>
  <c r="AG8" i="221"/>
  <c r="AJ8" i="221"/>
  <c r="AI8" i="221"/>
  <c r="AH8" i="221"/>
  <c r="AG7" i="221"/>
  <c r="AJ7" i="221"/>
  <c r="AI7" i="221"/>
  <c r="AH7" i="221"/>
  <c r="M79" i="221"/>
  <c r="M78" i="221"/>
  <c r="M74" i="221"/>
  <c r="M73" i="221"/>
  <c r="Y73" i="221"/>
  <c r="S73" i="221"/>
  <c r="Y72" i="221"/>
  <c r="W63" i="221"/>
  <c r="W65" i="221"/>
  <c r="W70" i="221"/>
  <c r="W72" i="221"/>
  <c r="S72" i="221"/>
  <c r="Y71" i="221"/>
  <c r="S71" i="221"/>
  <c r="M69" i="221"/>
  <c r="Y70" i="221"/>
  <c r="S70" i="221"/>
  <c r="M68" i="221"/>
  <c r="Y66" i="221"/>
  <c r="S66" i="221"/>
  <c r="Y65" i="221"/>
  <c r="S65" i="221"/>
  <c r="Y64" i="221"/>
  <c r="S64" i="221"/>
  <c r="M64" i="221"/>
  <c r="Y63" i="221"/>
  <c r="S63" i="221"/>
  <c r="M63" i="221"/>
  <c r="Y59" i="221"/>
  <c r="S59" i="221"/>
  <c r="M59" i="221"/>
  <c r="Y58" i="221"/>
  <c r="W35" i="221"/>
  <c r="W37" i="221"/>
  <c r="W42" i="221"/>
  <c r="W44" i="221"/>
  <c r="W49" i="221"/>
  <c r="W51" i="221"/>
  <c r="W56" i="221"/>
  <c r="W58" i="221"/>
  <c r="S58" i="221"/>
  <c r="M58" i="221"/>
  <c r="Y57" i="221"/>
  <c r="S57" i="221"/>
  <c r="M57" i="221"/>
  <c r="Y56" i="221"/>
  <c r="S56" i="221"/>
  <c r="M56" i="221"/>
  <c r="Y52" i="221"/>
  <c r="S52" i="221"/>
  <c r="M52" i="221"/>
  <c r="Y51" i="221"/>
  <c r="S51" i="221"/>
  <c r="M51" i="221"/>
  <c r="Y50" i="221"/>
  <c r="S50" i="221"/>
  <c r="M50" i="221"/>
  <c r="Y49" i="221"/>
  <c r="S49" i="221"/>
  <c r="M49" i="221"/>
  <c r="Y45" i="221"/>
  <c r="S45" i="221"/>
  <c r="M45" i="221"/>
  <c r="Y44" i="221"/>
  <c r="S44" i="221"/>
  <c r="M44" i="221"/>
  <c r="Y43" i="221"/>
  <c r="S43" i="221"/>
  <c r="M43" i="221"/>
  <c r="Y42" i="221"/>
  <c r="S42" i="221"/>
  <c r="M42" i="221"/>
  <c r="Y38" i="221"/>
  <c r="S38" i="221"/>
  <c r="M38" i="221"/>
  <c r="Y37" i="221"/>
  <c r="S37" i="221"/>
  <c r="M37" i="221"/>
  <c r="Y36" i="221"/>
  <c r="S36" i="221"/>
  <c r="M36" i="221"/>
  <c r="Y35" i="221"/>
  <c r="S35" i="221"/>
  <c r="M35" i="221"/>
  <c r="Y31" i="221"/>
  <c r="S31" i="221"/>
  <c r="M31" i="221"/>
  <c r="Y30" i="221"/>
  <c r="W7" i="221"/>
  <c r="W9" i="221"/>
  <c r="W14" i="221"/>
  <c r="W16" i="221"/>
  <c r="W21" i="221"/>
  <c r="W23" i="221"/>
  <c r="W28" i="221"/>
  <c r="W30" i="221"/>
  <c r="S30" i="221"/>
  <c r="M30" i="221"/>
  <c r="Y29" i="221"/>
  <c r="S29" i="221"/>
  <c r="M29" i="221"/>
  <c r="Y28" i="221"/>
  <c r="S28" i="221"/>
  <c r="M28" i="221"/>
  <c r="Y24" i="221"/>
  <c r="S24" i="221"/>
  <c r="M24" i="221"/>
  <c r="Y23" i="221"/>
  <c r="S23" i="221"/>
  <c r="M23" i="221"/>
  <c r="Y22" i="221"/>
  <c r="S22" i="221"/>
  <c r="M22" i="221"/>
  <c r="Y21" i="221"/>
  <c r="S21" i="221"/>
  <c r="M21" i="221"/>
  <c r="Y17" i="221"/>
  <c r="S17" i="221"/>
  <c r="M17" i="221"/>
  <c r="Y16" i="221"/>
  <c r="S16" i="221"/>
  <c r="M16" i="221"/>
  <c r="Y15" i="221"/>
  <c r="S15" i="221"/>
  <c r="M15" i="221"/>
  <c r="Y14" i="221"/>
  <c r="S14" i="221"/>
  <c r="M14" i="221"/>
  <c r="Y10" i="221"/>
  <c r="S10" i="221"/>
  <c r="M10" i="221"/>
  <c r="Y9" i="221"/>
  <c r="S9" i="221"/>
  <c r="M9" i="221"/>
  <c r="Y8" i="221"/>
  <c r="S8" i="221"/>
  <c r="M8" i="221"/>
  <c r="Y7" i="221"/>
  <c r="S7" i="221"/>
  <c r="M7" i="221"/>
  <c r="AG25" i="273"/>
  <c r="AG24" i="273"/>
  <c r="AG23" i="273"/>
  <c r="AG8" i="273"/>
  <c r="H6" i="273"/>
  <c r="H5" i="273"/>
  <c r="AH8" i="273"/>
  <c r="I6" i="273"/>
  <c r="I5" i="273"/>
  <c r="AI8" i="273"/>
  <c r="D6" i="273"/>
  <c r="J6" i="273"/>
  <c r="D5" i="273"/>
  <c r="J5" i="273"/>
  <c r="AJ8" i="273"/>
  <c r="AG9" i="273"/>
  <c r="H7" i="273"/>
  <c r="AH9" i="273"/>
  <c r="I7" i="273"/>
  <c r="AI9" i="273"/>
  <c r="D7" i="273"/>
  <c r="J7" i="273"/>
  <c r="AJ9" i="273"/>
  <c r="AG10" i="273"/>
  <c r="H8" i="273"/>
  <c r="AH10" i="273"/>
  <c r="I8" i="273"/>
  <c r="AI10" i="273"/>
  <c r="D8" i="273"/>
  <c r="J8" i="273"/>
  <c r="AJ10" i="273"/>
  <c r="AG11" i="273"/>
  <c r="H9" i="273"/>
  <c r="AH11" i="273"/>
  <c r="I9" i="273"/>
  <c r="AI11" i="273"/>
  <c r="D9" i="273"/>
  <c r="J9" i="273"/>
  <c r="AJ11" i="273"/>
  <c r="AG12" i="273"/>
  <c r="H10" i="273"/>
  <c r="AH12" i="273"/>
  <c r="I10" i="273"/>
  <c r="AI12" i="273"/>
  <c r="D10" i="273"/>
  <c r="J10" i="273"/>
  <c r="AJ12" i="273"/>
  <c r="AG13" i="273"/>
  <c r="H11" i="273"/>
  <c r="AH13" i="273"/>
  <c r="I11" i="273"/>
  <c r="AI13" i="273"/>
  <c r="D11" i="273"/>
  <c r="J11" i="273"/>
  <c r="AJ13" i="273"/>
  <c r="AG14" i="273"/>
  <c r="H12" i="273"/>
  <c r="AH14" i="273"/>
  <c r="I12" i="273"/>
  <c r="AI14" i="273"/>
  <c r="D12" i="273"/>
  <c r="J12" i="273"/>
  <c r="AJ14" i="273"/>
  <c r="AG15" i="273"/>
  <c r="H13" i="273"/>
  <c r="AH15" i="273"/>
  <c r="I13" i="273"/>
  <c r="AI15" i="273"/>
  <c r="D13" i="273"/>
  <c r="J13" i="273"/>
  <c r="AJ15" i="273"/>
  <c r="AG16" i="273"/>
  <c r="H14" i="273"/>
  <c r="AH16" i="273"/>
  <c r="I14" i="273"/>
  <c r="AI16" i="273"/>
  <c r="D14" i="273"/>
  <c r="J14" i="273"/>
  <c r="AJ16" i="273"/>
  <c r="AG17" i="273"/>
  <c r="H15" i="273"/>
  <c r="AH17" i="273"/>
  <c r="I15" i="273"/>
  <c r="AI17" i="273"/>
  <c r="D15" i="273"/>
  <c r="J15" i="273"/>
  <c r="AJ17" i="273"/>
  <c r="AG18" i="273"/>
  <c r="H16" i="273"/>
  <c r="AH18" i="273"/>
  <c r="I16" i="273"/>
  <c r="AI18" i="273"/>
  <c r="D16" i="273"/>
  <c r="J16" i="273"/>
  <c r="AJ18" i="273"/>
  <c r="AG19" i="273"/>
  <c r="H17" i="273"/>
  <c r="AH19" i="273"/>
  <c r="I17" i="273"/>
  <c r="AI19" i="273"/>
  <c r="D17" i="273"/>
  <c r="J17" i="273"/>
  <c r="AJ19" i="273"/>
  <c r="AG20" i="273"/>
  <c r="H18" i="273"/>
  <c r="AH20" i="273"/>
  <c r="I18" i="273"/>
  <c r="AI20" i="273"/>
  <c r="D18" i="273"/>
  <c r="J18" i="273"/>
  <c r="AJ20" i="273"/>
  <c r="AG21" i="273"/>
  <c r="H19" i="273"/>
  <c r="AH21" i="273"/>
  <c r="I19" i="273"/>
  <c r="AI21" i="273"/>
  <c r="D19" i="273"/>
  <c r="J19" i="273"/>
  <c r="AJ21" i="273"/>
  <c r="AG22" i="273"/>
  <c r="H20" i="273"/>
  <c r="AH22" i="273"/>
  <c r="I20" i="273"/>
  <c r="AI22" i="273"/>
  <c r="D20" i="273"/>
  <c r="J20" i="273"/>
  <c r="AJ22" i="273"/>
  <c r="H21" i="273"/>
  <c r="AH23" i="273"/>
  <c r="I21" i="273"/>
  <c r="AI23" i="273"/>
  <c r="D21" i="273"/>
  <c r="J21" i="273"/>
  <c r="AJ23" i="273"/>
  <c r="H22" i="273"/>
  <c r="AH24" i="273"/>
  <c r="I22" i="273"/>
  <c r="AI24" i="273"/>
  <c r="D22" i="273"/>
  <c r="J22" i="273"/>
  <c r="AJ24" i="273"/>
  <c r="H23" i="273"/>
  <c r="AH25" i="273"/>
  <c r="I23" i="273"/>
  <c r="AI25" i="273"/>
  <c r="D23" i="273"/>
  <c r="J23" i="273"/>
  <c r="AJ25" i="273"/>
  <c r="AG7" i="273"/>
  <c r="AJ7" i="273"/>
  <c r="AI7" i="273"/>
  <c r="AH7" i="273"/>
  <c r="M74" i="273"/>
  <c r="M73" i="273"/>
  <c r="S71" i="273"/>
  <c r="S70" i="273"/>
  <c r="S69" i="273"/>
  <c r="S68" i="273"/>
  <c r="Y71" i="273"/>
  <c r="M69" i="273"/>
  <c r="Y70" i="273"/>
  <c r="M68" i="273"/>
  <c r="Y66" i="273"/>
  <c r="Y65" i="273"/>
  <c r="Y64" i="273"/>
  <c r="U64" i="273"/>
  <c r="S64" i="273"/>
  <c r="M64" i="273"/>
  <c r="Y63" i="273"/>
  <c r="S63" i="273"/>
  <c r="M63" i="273"/>
  <c r="Y59" i="273"/>
  <c r="S59" i="273"/>
  <c r="M59" i="273"/>
  <c r="Y58" i="273"/>
  <c r="S58" i="273"/>
  <c r="M58" i="273"/>
  <c r="Y57" i="273"/>
  <c r="S57" i="273"/>
  <c r="M57" i="273"/>
  <c r="Y56" i="273"/>
  <c r="S56" i="273"/>
  <c r="M56" i="273"/>
  <c r="Y52" i="273"/>
  <c r="S52" i="273"/>
  <c r="M52" i="273"/>
  <c r="Y51" i="273"/>
  <c r="S51" i="273"/>
  <c r="M51" i="273"/>
  <c r="Y50" i="273"/>
  <c r="S50" i="273"/>
  <c r="M50" i="273"/>
  <c r="Y49" i="273"/>
  <c r="S49" i="273"/>
  <c r="M49" i="273"/>
  <c r="Y45" i="273"/>
  <c r="S45" i="273"/>
  <c r="M45" i="273"/>
  <c r="Y44" i="273"/>
  <c r="S44" i="273"/>
  <c r="M44" i="273"/>
  <c r="Y43" i="273"/>
  <c r="S43" i="273"/>
  <c r="M43" i="273"/>
  <c r="Y42" i="273"/>
  <c r="S42" i="273"/>
  <c r="M42" i="273"/>
  <c r="Y38" i="273"/>
  <c r="S38" i="273"/>
  <c r="M38" i="273"/>
  <c r="Y37" i="273"/>
  <c r="S37" i="273"/>
  <c r="M37" i="273"/>
  <c r="Y36" i="273"/>
  <c r="S36" i="273"/>
  <c r="M36" i="273"/>
  <c r="Y35" i="273"/>
  <c r="S35" i="273"/>
  <c r="M35" i="273"/>
  <c r="Y31" i="273"/>
  <c r="S31" i="273"/>
  <c r="M31" i="273"/>
  <c r="Y30" i="273"/>
  <c r="S30" i="273"/>
  <c r="M30" i="273"/>
  <c r="Y29" i="273"/>
  <c r="S29" i="273"/>
  <c r="M29" i="273"/>
  <c r="Y28" i="273"/>
  <c r="S28" i="273"/>
  <c r="M28" i="273"/>
  <c r="Y24" i="273"/>
  <c r="S24" i="273"/>
  <c r="M24" i="273"/>
  <c r="Y23" i="273"/>
  <c r="S23" i="273"/>
  <c r="M23" i="273"/>
  <c r="Y22" i="273"/>
  <c r="S22" i="273"/>
  <c r="M22" i="273"/>
  <c r="Y21" i="273"/>
  <c r="S21" i="273"/>
  <c r="M21" i="273"/>
  <c r="Y17" i="273"/>
  <c r="S17" i="273"/>
  <c r="M17" i="273"/>
  <c r="Y16" i="273"/>
  <c r="S16" i="273"/>
  <c r="M16" i="273"/>
  <c r="Y15" i="273"/>
  <c r="S15" i="273"/>
  <c r="M15" i="273"/>
  <c r="Y14" i="273"/>
  <c r="S14" i="273"/>
  <c r="M14" i="273"/>
  <c r="Y10" i="273"/>
  <c r="S10" i="273"/>
  <c r="M10" i="273"/>
  <c r="Y9" i="273"/>
  <c r="S9" i="273"/>
  <c r="M9" i="273"/>
  <c r="Y8" i="273"/>
  <c r="S8" i="273"/>
  <c r="M8" i="273"/>
  <c r="Y7" i="273"/>
  <c r="S7" i="273"/>
  <c r="M7" i="273"/>
  <c r="B23" i="70"/>
  <c r="C23" i="70"/>
  <c r="D23" i="70"/>
  <c r="E23" i="70"/>
  <c r="B24" i="70"/>
  <c r="C24" i="70"/>
  <c r="D24" i="70"/>
  <c r="E24" i="70"/>
  <c r="B25" i="70"/>
  <c r="C25" i="70"/>
  <c r="D25" i="70"/>
  <c r="E25" i="70"/>
  <c r="B26" i="70"/>
  <c r="C26" i="70"/>
  <c r="D26" i="70"/>
  <c r="E26" i="70"/>
  <c r="B27" i="70"/>
  <c r="C27" i="70"/>
  <c r="D27" i="70"/>
  <c r="E27" i="70"/>
  <c r="B28" i="70"/>
  <c r="C28" i="70"/>
  <c r="D28" i="70"/>
  <c r="E28" i="70"/>
  <c r="G23" i="70"/>
  <c r="G24" i="70"/>
  <c r="G25" i="70"/>
  <c r="G26" i="70"/>
  <c r="G27" i="70"/>
  <c r="G28" i="70"/>
  <c r="H6" i="70"/>
  <c r="I6" i="70"/>
  <c r="D6" i="70"/>
  <c r="J6" i="70"/>
  <c r="H7" i="70"/>
  <c r="I7" i="70"/>
  <c r="D7" i="70"/>
  <c r="J7" i="70"/>
  <c r="H8" i="70"/>
  <c r="I8" i="70"/>
  <c r="D8" i="70"/>
  <c r="J8" i="70"/>
  <c r="H9" i="70"/>
  <c r="I9" i="70"/>
  <c r="D9" i="70"/>
  <c r="J9" i="70"/>
  <c r="H10" i="70"/>
  <c r="I10" i="70"/>
  <c r="D10" i="70"/>
  <c r="J10" i="70"/>
  <c r="H11" i="70"/>
  <c r="I11" i="70"/>
  <c r="D11" i="70"/>
  <c r="J11" i="70"/>
  <c r="H12" i="70"/>
  <c r="I12" i="70"/>
  <c r="D12" i="70"/>
  <c r="J12" i="70"/>
  <c r="H13" i="70"/>
  <c r="I13" i="70"/>
  <c r="D13" i="70"/>
  <c r="J13" i="70"/>
  <c r="H14" i="70"/>
  <c r="I14" i="70"/>
  <c r="D14" i="70"/>
  <c r="J14" i="70"/>
  <c r="H15" i="70"/>
  <c r="I15" i="70"/>
  <c r="D15" i="70"/>
  <c r="J15" i="70"/>
  <c r="H16" i="70"/>
  <c r="I16" i="70"/>
  <c r="D16" i="70"/>
  <c r="J16" i="70"/>
  <c r="H17" i="70"/>
  <c r="I17" i="70"/>
  <c r="D17" i="70"/>
  <c r="J17" i="70"/>
  <c r="H18" i="70"/>
  <c r="I18" i="70"/>
  <c r="D18" i="70"/>
  <c r="J18" i="70"/>
  <c r="H19" i="70"/>
  <c r="I19" i="70"/>
  <c r="D19" i="70"/>
  <c r="J19" i="70"/>
  <c r="H20" i="70"/>
  <c r="I20" i="70"/>
  <c r="D20" i="70"/>
  <c r="J20" i="70"/>
  <c r="H21" i="70"/>
  <c r="I21" i="70"/>
  <c r="D21" i="70"/>
  <c r="J21" i="70"/>
  <c r="H22" i="70"/>
  <c r="I22" i="70"/>
  <c r="D22" i="70"/>
  <c r="J22" i="70"/>
  <c r="H23" i="70"/>
  <c r="I23" i="70"/>
  <c r="J23" i="70"/>
  <c r="H24" i="70"/>
  <c r="I24" i="70"/>
  <c r="J24" i="70"/>
  <c r="H25" i="70"/>
  <c r="I25" i="70"/>
  <c r="J25" i="70"/>
  <c r="H26" i="70"/>
  <c r="I26" i="70"/>
  <c r="J26" i="70"/>
  <c r="H27" i="70"/>
  <c r="I27" i="70"/>
  <c r="J27" i="70"/>
  <c r="H28" i="70"/>
  <c r="I28" i="70"/>
  <c r="J28" i="70"/>
  <c r="AG7" i="70"/>
  <c r="I5" i="70"/>
  <c r="AI7" i="70"/>
  <c r="AG8" i="70"/>
  <c r="AI8" i="70"/>
  <c r="AG9" i="70"/>
  <c r="AI9" i="70"/>
  <c r="AG10" i="70"/>
  <c r="AI10" i="70"/>
  <c r="AG11" i="70"/>
  <c r="AI11" i="70"/>
  <c r="AG12" i="70"/>
  <c r="AI12" i="70"/>
  <c r="AG13" i="70"/>
  <c r="AI13" i="70"/>
  <c r="AG14" i="70"/>
  <c r="AI14" i="70"/>
  <c r="AG15" i="70"/>
  <c r="AI15" i="70"/>
  <c r="AG16" i="70"/>
  <c r="AI16" i="70"/>
  <c r="AG17" i="70"/>
  <c r="AI17" i="70"/>
  <c r="AG18" i="70"/>
  <c r="AI18" i="70"/>
  <c r="AG19" i="70"/>
  <c r="AI19" i="70"/>
  <c r="AG20" i="70"/>
  <c r="AI20" i="70"/>
  <c r="AG21" i="70"/>
  <c r="AI21" i="70"/>
  <c r="AG22" i="70"/>
  <c r="AI22" i="70"/>
  <c r="R73" i="70"/>
  <c r="AG23" i="70"/>
  <c r="AI23" i="70"/>
  <c r="AG24" i="70"/>
  <c r="AI24" i="70"/>
  <c r="G26" i="221"/>
  <c r="H26" i="221"/>
  <c r="I26" i="221"/>
  <c r="J26" i="221"/>
  <c r="G27" i="221"/>
  <c r="H27" i="221"/>
  <c r="I27" i="221"/>
  <c r="J27" i="221"/>
  <c r="G28" i="221"/>
  <c r="H28" i="221"/>
  <c r="I28" i="221"/>
  <c r="J28" i="221"/>
  <c r="N8" i="3"/>
  <c r="N7" i="3"/>
  <c r="N6" i="3"/>
  <c r="H5" i="72"/>
  <c r="I5" i="72"/>
  <c r="D5" i="72"/>
  <c r="J5" i="72"/>
  <c r="H6" i="72"/>
  <c r="I6" i="72"/>
  <c r="D6" i="72"/>
  <c r="J6" i="72"/>
  <c r="H7" i="72"/>
  <c r="I7" i="72"/>
  <c r="D7" i="72"/>
  <c r="J7" i="72"/>
  <c r="H8" i="72"/>
  <c r="I8" i="72"/>
  <c r="D8" i="72"/>
  <c r="J8" i="72"/>
  <c r="H9" i="72"/>
  <c r="I9" i="72"/>
  <c r="D9" i="72"/>
  <c r="J9" i="72"/>
  <c r="H10" i="72"/>
  <c r="I10" i="72"/>
  <c r="D10" i="72"/>
  <c r="J10" i="72"/>
  <c r="H11" i="72"/>
  <c r="I11" i="72"/>
  <c r="D11" i="72"/>
  <c r="J11" i="72"/>
  <c r="H12" i="72"/>
  <c r="I12" i="72"/>
  <c r="D12" i="72"/>
  <c r="J12" i="72"/>
  <c r="H13" i="72"/>
  <c r="I13" i="72"/>
  <c r="D13" i="72"/>
  <c r="J13" i="72"/>
  <c r="H14" i="72"/>
  <c r="I14" i="72"/>
  <c r="D14" i="72"/>
  <c r="J14" i="72"/>
  <c r="H15" i="72"/>
  <c r="I15" i="72"/>
  <c r="D15" i="72"/>
  <c r="J15" i="72"/>
  <c r="H16" i="72"/>
  <c r="I16" i="72"/>
  <c r="D16" i="72"/>
  <c r="J16" i="72"/>
  <c r="H17" i="72"/>
  <c r="I17" i="72"/>
  <c r="D17" i="72"/>
  <c r="J17" i="72"/>
  <c r="H18" i="72"/>
  <c r="I18" i="72"/>
  <c r="D18" i="72"/>
  <c r="J18" i="72"/>
  <c r="H19" i="72"/>
  <c r="I19" i="72"/>
  <c r="D19" i="72"/>
  <c r="J19" i="72"/>
  <c r="H20" i="72"/>
  <c r="I20" i="72"/>
  <c r="D20" i="72"/>
  <c r="J20" i="72"/>
  <c r="G21" i="72"/>
  <c r="H21" i="72"/>
  <c r="I21" i="72"/>
  <c r="J21" i="72"/>
  <c r="G22" i="72"/>
  <c r="H22" i="72"/>
  <c r="I22" i="72"/>
  <c r="J22" i="72"/>
  <c r="G23" i="72"/>
  <c r="H23" i="72"/>
  <c r="I23" i="72"/>
  <c r="J23" i="72"/>
  <c r="G24" i="72"/>
  <c r="H24" i="72"/>
  <c r="I24" i="72"/>
  <c r="J24" i="72"/>
  <c r="G25" i="72"/>
  <c r="H25" i="72"/>
  <c r="I25" i="72"/>
  <c r="J25" i="72"/>
  <c r="G26" i="72"/>
  <c r="H26" i="72"/>
  <c r="I26" i="72"/>
  <c r="J26" i="72"/>
  <c r="G27" i="72"/>
  <c r="H27" i="72"/>
  <c r="I27" i="72"/>
  <c r="J27" i="72"/>
  <c r="G28" i="72"/>
  <c r="H28" i="72"/>
  <c r="I28" i="72"/>
  <c r="J28" i="72"/>
  <c r="M38" i="72"/>
  <c r="M37" i="72"/>
  <c r="M36" i="72"/>
  <c r="M35" i="72"/>
  <c r="H5" i="70"/>
  <c r="D5" i="70"/>
  <c r="J5" i="70"/>
  <c r="AH23" i="70"/>
  <c r="AJ24" i="70"/>
  <c r="AH24" i="70"/>
  <c r="AJ23" i="70"/>
  <c r="AJ22" i="70"/>
  <c r="AH22" i="70"/>
  <c r="AJ21" i="70"/>
  <c r="AH21" i="70"/>
  <c r="AJ20" i="70"/>
  <c r="AH20" i="70"/>
  <c r="AJ19" i="70"/>
  <c r="AH19" i="70"/>
  <c r="AJ18" i="70"/>
  <c r="AH18" i="70"/>
  <c r="AJ17" i="70"/>
  <c r="AH17" i="70"/>
  <c r="AJ16" i="70"/>
  <c r="AH16" i="70"/>
  <c r="AJ15" i="70"/>
  <c r="AH15" i="70"/>
  <c r="AJ14" i="70"/>
  <c r="AH14" i="70"/>
  <c r="AJ13" i="70"/>
  <c r="AH13" i="70"/>
  <c r="AJ12" i="70"/>
  <c r="AH12" i="70"/>
  <c r="AJ11" i="70"/>
  <c r="AH11" i="70"/>
  <c r="AJ10" i="70"/>
  <c r="AH10" i="70"/>
  <c r="AJ9" i="70"/>
  <c r="AH9" i="70"/>
  <c r="AJ8" i="70"/>
  <c r="AH8" i="70"/>
  <c r="AJ7" i="70"/>
  <c r="AH7" i="70"/>
  <c r="X73" i="70"/>
  <c r="Y73" i="70"/>
  <c r="S73" i="70"/>
  <c r="Y72" i="70"/>
  <c r="S72" i="70"/>
  <c r="S71" i="70"/>
  <c r="R71" i="70"/>
  <c r="Q71" i="70"/>
  <c r="P71" i="70"/>
  <c r="Y69" i="70"/>
  <c r="S69" i="70"/>
  <c r="M69" i="70"/>
  <c r="Y68" i="70"/>
  <c r="S68" i="70"/>
  <c r="M68" i="70"/>
  <c r="Y67" i="70"/>
  <c r="S67" i="70"/>
  <c r="M67" i="70"/>
  <c r="Y66" i="70"/>
  <c r="S66" i="70"/>
  <c r="M66" i="70"/>
  <c r="Y59" i="70"/>
  <c r="S59" i="70"/>
  <c r="M59" i="70"/>
  <c r="Y58" i="70"/>
  <c r="S58" i="70"/>
  <c r="M58" i="70"/>
  <c r="Y57" i="70"/>
  <c r="S57" i="70"/>
  <c r="M57" i="70"/>
  <c r="Y56" i="70"/>
  <c r="S56" i="70"/>
  <c r="M56" i="70"/>
  <c r="Y52" i="70"/>
  <c r="S52" i="70"/>
  <c r="M52" i="70"/>
  <c r="Y51" i="70"/>
  <c r="S51" i="70"/>
  <c r="M51" i="70"/>
  <c r="Y50" i="70"/>
  <c r="S50" i="70"/>
  <c r="M50" i="70"/>
  <c r="Y49" i="70"/>
  <c r="S49" i="70"/>
  <c r="M49" i="70"/>
  <c r="Y45" i="70"/>
  <c r="S45" i="70"/>
  <c r="M45" i="70"/>
  <c r="Y44" i="70"/>
  <c r="S44" i="70"/>
  <c r="M44" i="70"/>
  <c r="Y43" i="70"/>
  <c r="S43" i="70"/>
  <c r="M43" i="70"/>
  <c r="Y42" i="70"/>
  <c r="S42" i="70"/>
  <c r="M42" i="70"/>
  <c r="Y38" i="70"/>
  <c r="S38" i="70"/>
  <c r="M38" i="70"/>
  <c r="Y37" i="70"/>
  <c r="S37" i="70"/>
  <c r="M37" i="70"/>
  <c r="Y36" i="70"/>
  <c r="S36" i="70"/>
  <c r="M36" i="70"/>
  <c r="Y35" i="70"/>
  <c r="S35" i="70"/>
  <c r="M35" i="70"/>
  <c r="Y31" i="70"/>
  <c r="S31" i="70"/>
  <c r="M31" i="70"/>
  <c r="Y30" i="70"/>
  <c r="S30" i="70"/>
  <c r="M30" i="70"/>
  <c r="Y29" i="70"/>
  <c r="S29" i="70"/>
  <c r="M29" i="70"/>
  <c r="Y28" i="70"/>
  <c r="S28" i="70"/>
  <c r="M28" i="70"/>
  <c r="Y24" i="70"/>
  <c r="S24" i="70"/>
  <c r="M24" i="70"/>
  <c r="Y23" i="70"/>
  <c r="S23" i="70"/>
  <c r="M23" i="70"/>
  <c r="Y22" i="70"/>
  <c r="S22" i="70"/>
  <c r="M22" i="70"/>
  <c r="Y21" i="70"/>
  <c r="S21" i="70"/>
  <c r="M21" i="70"/>
  <c r="Y17" i="70"/>
  <c r="S17" i="70"/>
  <c r="M17" i="70"/>
  <c r="Y16" i="70"/>
  <c r="S16" i="70"/>
  <c r="M16" i="70"/>
  <c r="Y15" i="70"/>
  <c r="S15" i="70"/>
  <c r="M15" i="70"/>
  <c r="Y14" i="70"/>
  <c r="S14" i="70"/>
  <c r="M14" i="70"/>
  <c r="Y10" i="70"/>
  <c r="S10" i="70"/>
  <c r="M10" i="70"/>
  <c r="Y9" i="70"/>
  <c r="S9" i="70"/>
  <c r="M9" i="70"/>
  <c r="Y8" i="70"/>
  <c r="S8" i="70"/>
  <c r="M8" i="70"/>
  <c r="Y7" i="70"/>
  <c r="S7" i="70"/>
  <c r="M7" i="70"/>
  <c r="AG23" i="71"/>
  <c r="H5" i="71"/>
  <c r="I5" i="71"/>
  <c r="D5" i="71"/>
  <c r="J5" i="71"/>
  <c r="H6" i="71"/>
  <c r="I6" i="71"/>
  <c r="D6" i="71"/>
  <c r="J6" i="71"/>
  <c r="H7" i="71"/>
  <c r="I7" i="71"/>
  <c r="D7" i="71"/>
  <c r="J7" i="71"/>
  <c r="H8" i="71"/>
  <c r="I8" i="71"/>
  <c r="D8" i="71"/>
  <c r="J8" i="71"/>
  <c r="H9" i="71"/>
  <c r="I9" i="71"/>
  <c r="D9" i="71"/>
  <c r="J9" i="71"/>
  <c r="H10" i="71"/>
  <c r="I10" i="71"/>
  <c r="D10" i="71"/>
  <c r="J10" i="71"/>
  <c r="H11" i="71"/>
  <c r="I11" i="71"/>
  <c r="D11" i="71"/>
  <c r="J11" i="71"/>
  <c r="H12" i="71"/>
  <c r="I12" i="71"/>
  <c r="D12" i="71"/>
  <c r="J12" i="71"/>
  <c r="H13" i="71"/>
  <c r="I13" i="71"/>
  <c r="D13" i="71"/>
  <c r="J13" i="71"/>
  <c r="H14" i="71"/>
  <c r="I14" i="71"/>
  <c r="D14" i="71"/>
  <c r="J14" i="71"/>
  <c r="H15" i="71"/>
  <c r="I15" i="71"/>
  <c r="D15" i="71"/>
  <c r="J15" i="71"/>
  <c r="H16" i="71"/>
  <c r="I16" i="71"/>
  <c r="D16" i="71"/>
  <c r="J16" i="71"/>
  <c r="H17" i="71"/>
  <c r="I17" i="71"/>
  <c r="D17" i="71"/>
  <c r="J17" i="71"/>
  <c r="H18" i="71"/>
  <c r="I18" i="71"/>
  <c r="D18" i="71"/>
  <c r="J18" i="71"/>
  <c r="H19" i="71"/>
  <c r="I19" i="71"/>
  <c r="D19" i="71"/>
  <c r="J19" i="71"/>
  <c r="H20" i="71"/>
  <c r="I20" i="71"/>
  <c r="D20" i="71"/>
  <c r="J20" i="71"/>
  <c r="H21" i="71"/>
  <c r="I21" i="71"/>
  <c r="D21" i="71"/>
  <c r="J21" i="71"/>
  <c r="Y64" i="71"/>
  <c r="S64" i="71"/>
  <c r="M64" i="71"/>
  <c r="Y63" i="71"/>
  <c r="S63" i="71"/>
  <c r="M63" i="71"/>
  <c r="Y78" i="71"/>
  <c r="AJ23" i="71"/>
  <c r="AI23" i="71"/>
  <c r="AH23" i="71"/>
  <c r="Y76" i="71"/>
  <c r="X76" i="71"/>
  <c r="X77" i="71"/>
  <c r="X78" i="71"/>
  <c r="W76" i="71"/>
  <c r="V76" i="71"/>
  <c r="W77" i="71"/>
  <c r="V77" i="71"/>
  <c r="W78" i="71"/>
  <c r="V78" i="71"/>
  <c r="AG22" i="71"/>
  <c r="AJ22" i="71"/>
  <c r="AI22" i="71"/>
  <c r="AH22" i="71"/>
  <c r="Y77" i="71"/>
  <c r="AG21" i="71"/>
  <c r="AJ21" i="71"/>
  <c r="AI21" i="71"/>
  <c r="AH21" i="71"/>
  <c r="AG20" i="71"/>
  <c r="AJ20" i="71"/>
  <c r="AI20" i="71"/>
  <c r="AH20" i="71"/>
  <c r="AG19" i="71"/>
  <c r="AJ19" i="71"/>
  <c r="AI19" i="71"/>
  <c r="AH19" i="71"/>
  <c r="AG18" i="71"/>
  <c r="AJ18" i="71"/>
  <c r="AI18" i="71"/>
  <c r="AH18" i="71"/>
  <c r="AG17" i="71"/>
  <c r="AJ17" i="71"/>
  <c r="AI17" i="71"/>
  <c r="AH17" i="71"/>
  <c r="AG16" i="71"/>
  <c r="AJ16" i="71"/>
  <c r="AI16" i="71"/>
  <c r="AH16" i="71"/>
  <c r="AG15" i="71"/>
  <c r="AJ15" i="71"/>
  <c r="AI15" i="71"/>
  <c r="AH15" i="71"/>
  <c r="AG14" i="71"/>
  <c r="AJ14" i="71"/>
  <c r="AI14" i="71"/>
  <c r="AH14" i="71"/>
  <c r="AG13" i="71"/>
  <c r="AJ13" i="71"/>
  <c r="AI13" i="71"/>
  <c r="AH13" i="71"/>
  <c r="AG12" i="71"/>
  <c r="AJ12" i="71"/>
  <c r="AI12" i="71"/>
  <c r="AH12" i="71"/>
  <c r="AG11" i="71"/>
  <c r="AJ11" i="71"/>
  <c r="AI11" i="71"/>
  <c r="AH11" i="71"/>
  <c r="AG10" i="71"/>
  <c r="AJ10" i="71"/>
  <c r="AI10" i="71"/>
  <c r="AH10" i="71"/>
  <c r="AG9" i="71"/>
  <c r="AJ9" i="71"/>
  <c r="AI9" i="71"/>
  <c r="AH9" i="71"/>
  <c r="AG8" i="71"/>
  <c r="AJ8" i="71"/>
  <c r="AI8" i="71"/>
  <c r="AH8" i="71"/>
  <c r="AG7" i="71"/>
  <c r="AJ7" i="71"/>
  <c r="AI7" i="71"/>
  <c r="AH7" i="71"/>
  <c r="Y59" i="71"/>
  <c r="S59" i="71"/>
  <c r="M59" i="71"/>
  <c r="Y58" i="71"/>
  <c r="S58" i="71"/>
  <c r="M58" i="71"/>
  <c r="Y57" i="71"/>
  <c r="S57" i="71"/>
  <c r="M57" i="71"/>
  <c r="Y56" i="71"/>
  <c r="S56" i="71"/>
  <c r="M56" i="71"/>
  <c r="Y52" i="71"/>
  <c r="S52" i="71"/>
  <c r="M52" i="71"/>
  <c r="Y51" i="71"/>
  <c r="S51" i="71"/>
  <c r="M51" i="71"/>
  <c r="Y50" i="71"/>
  <c r="S50" i="71"/>
  <c r="M50" i="71"/>
  <c r="Y49" i="71"/>
  <c r="S49" i="71"/>
  <c r="M49" i="71"/>
  <c r="Y45" i="71"/>
  <c r="S45" i="71"/>
  <c r="M45" i="71"/>
  <c r="Y44" i="71"/>
  <c r="S44" i="71"/>
  <c r="M44" i="71"/>
  <c r="Y43" i="71"/>
  <c r="S43" i="71"/>
  <c r="M43" i="71"/>
  <c r="Y42" i="71"/>
  <c r="S42" i="71"/>
  <c r="M42" i="71"/>
  <c r="Y38" i="71"/>
  <c r="S38" i="71"/>
  <c r="M38" i="71"/>
  <c r="Y37" i="71"/>
  <c r="S37" i="71"/>
  <c r="M37" i="71"/>
  <c r="Y36" i="71"/>
  <c r="S36" i="71"/>
  <c r="M36" i="71"/>
  <c r="Y35" i="71"/>
  <c r="S35" i="71"/>
  <c r="M35" i="71"/>
  <c r="Y31" i="71"/>
  <c r="S31" i="71"/>
  <c r="M31" i="71"/>
  <c r="Y30" i="71"/>
  <c r="S30" i="71"/>
  <c r="M30" i="71"/>
  <c r="Y29" i="71"/>
  <c r="S29" i="71"/>
  <c r="M29" i="71"/>
  <c r="Y28" i="71"/>
  <c r="S28" i="71"/>
  <c r="M28" i="71"/>
  <c r="Y24" i="71"/>
  <c r="S24" i="71"/>
  <c r="M24" i="71"/>
  <c r="Y23" i="71"/>
  <c r="S23" i="71"/>
  <c r="M23" i="71"/>
  <c r="Y22" i="71"/>
  <c r="S22" i="71"/>
  <c r="M22" i="71"/>
  <c r="Y21" i="71"/>
  <c r="S21" i="71"/>
  <c r="M21" i="71"/>
  <c r="Y17" i="71"/>
  <c r="S17" i="71"/>
  <c r="M17" i="71"/>
  <c r="Y16" i="71"/>
  <c r="S16" i="71"/>
  <c r="M16" i="71"/>
  <c r="Y15" i="71"/>
  <c r="S15" i="71"/>
  <c r="M15" i="71"/>
  <c r="Y14" i="71"/>
  <c r="S14" i="71"/>
  <c r="M14" i="71"/>
  <c r="Y10" i="71"/>
  <c r="S10" i="71"/>
  <c r="M10" i="71"/>
  <c r="Y9" i="71"/>
  <c r="S9" i="71"/>
  <c r="M9" i="71"/>
  <c r="Y8" i="71"/>
  <c r="S8" i="71"/>
  <c r="M8" i="71"/>
  <c r="Y7" i="71"/>
  <c r="S7" i="71"/>
  <c r="M7" i="71"/>
  <c r="H5" i="272"/>
  <c r="I5" i="272"/>
  <c r="D5" i="272"/>
  <c r="J5" i="272"/>
  <c r="H6" i="272"/>
  <c r="I6" i="272"/>
  <c r="D6" i="272"/>
  <c r="J6" i="272"/>
  <c r="H7" i="272"/>
  <c r="I7" i="272"/>
  <c r="D7" i="272"/>
  <c r="J7" i="272"/>
  <c r="H8" i="272"/>
  <c r="I8" i="272"/>
  <c r="D8" i="272"/>
  <c r="J8" i="272"/>
  <c r="H9" i="272"/>
  <c r="I9" i="272"/>
  <c r="D9" i="272"/>
  <c r="J9" i="272"/>
  <c r="H10" i="272"/>
  <c r="I10" i="272"/>
  <c r="D10" i="272"/>
  <c r="J10" i="272"/>
  <c r="H11" i="272"/>
  <c r="I11" i="272"/>
  <c r="D11" i="272"/>
  <c r="J11" i="272"/>
  <c r="H12" i="272"/>
  <c r="I12" i="272"/>
  <c r="D12" i="272"/>
  <c r="J12" i="272"/>
  <c r="H13" i="272"/>
  <c r="I13" i="272"/>
  <c r="D13" i="272"/>
  <c r="J13" i="272"/>
  <c r="H14" i="272"/>
  <c r="I14" i="272"/>
  <c r="D14" i="272"/>
  <c r="J14" i="272"/>
  <c r="H15" i="272"/>
  <c r="I15" i="272"/>
  <c r="D15" i="272"/>
  <c r="J15" i="272"/>
  <c r="H16" i="272"/>
  <c r="I16" i="272"/>
  <c r="D16" i="272"/>
  <c r="J16" i="272"/>
  <c r="H17" i="272"/>
  <c r="I17" i="272"/>
  <c r="D17" i="272"/>
  <c r="J17" i="272"/>
  <c r="H18" i="272"/>
  <c r="I18" i="272"/>
  <c r="D18" i="272"/>
  <c r="J18" i="272"/>
  <c r="H19" i="272"/>
  <c r="I19" i="272"/>
  <c r="D19" i="272"/>
  <c r="J19" i="272"/>
  <c r="M57" i="272"/>
  <c r="M56" i="272"/>
  <c r="M55" i="272"/>
  <c r="M54" i="272"/>
  <c r="M36" i="272"/>
  <c r="M35" i="272"/>
  <c r="H5" i="74"/>
  <c r="I5" i="74"/>
  <c r="D5" i="74"/>
  <c r="J5" i="74"/>
  <c r="H6" i="74"/>
  <c r="I6" i="74"/>
  <c r="D6" i="74"/>
  <c r="J6" i="74"/>
  <c r="H7" i="74"/>
  <c r="I7" i="74"/>
  <c r="D7" i="74"/>
  <c r="J7" i="74"/>
  <c r="H8" i="74"/>
  <c r="I8" i="74"/>
  <c r="D8" i="74"/>
  <c r="J8" i="74"/>
  <c r="H9" i="74"/>
  <c r="I9" i="74"/>
  <c r="D9" i="74"/>
  <c r="J9" i="74"/>
  <c r="H10" i="74"/>
  <c r="I10" i="74"/>
  <c r="D10" i="74"/>
  <c r="J10" i="74"/>
  <c r="H11" i="74"/>
  <c r="I11" i="74"/>
  <c r="D11" i="74"/>
  <c r="J11" i="74"/>
  <c r="H12" i="74"/>
  <c r="I12" i="74"/>
  <c r="D12" i="74"/>
  <c r="J12" i="74"/>
  <c r="H13" i="74"/>
  <c r="I13" i="74"/>
  <c r="D13" i="74"/>
  <c r="J13" i="74"/>
  <c r="H14" i="74"/>
  <c r="I14" i="74"/>
  <c r="D14" i="74"/>
  <c r="J14" i="74"/>
  <c r="H15" i="74"/>
  <c r="I15" i="74"/>
  <c r="D15" i="74"/>
  <c r="J15" i="74"/>
  <c r="H16" i="74"/>
  <c r="I16" i="74"/>
  <c r="D16" i="74"/>
  <c r="J16" i="74"/>
  <c r="H17" i="74"/>
  <c r="I17" i="74"/>
  <c r="D17" i="74"/>
  <c r="J17" i="74"/>
  <c r="H18" i="74"/>
  <c r="I18" i="74"/>
  <c r="D18" i="74"/>
  <c r="J18" i="74"/>
  <c r="M43" i="74"/>
  <c r="M42" i="74"/>
  <c r="M41" i="74"/>
  <c r="M40" i="74"/>
  <c r="M49" i="74"/>
  <c r="M48" i="74"/>
  <c r="M36" i="74"/>
  <c r="M35" i="74"/>
  <c r="M56" i="74"/>
  <c r="M55" i="74"/>
  <c r="M54" i="74"/>
  <c r="M53" i="74"/>
  <c r="H5" i="75"/>
  <c r="I5" i="75"/>
  <c r="D5" i="75"/>
  <c r="J5" i="75"/>
  <c r="H6" i="75"/>
  <c r="I6" i="75"/>
  <c r="D6" i="75"/>
  <c r="J6" i="75"/>
  <c r="H7" i="75"/>
  <c r="I7" i="75"/>
  <c r="D7" i="75"/>
  <c r="J7" i="75"/>
  <c r="H8" i="75"/>
  <c r="I8" i="75"/>
  <c r="D8" i="75"/>
  <c r="J8" i="75"/>
  <c r="H9" i="75"/>
  <c r="I9" i="75"/>
  <c r="D9" i="75"/>
  <c r="J9" i="75"/>
  <c r="H10" i="75"/>
  <c r="I10" i="75"/>
  <c r="D10" i="75"/>
  <c r="J10" i="75"/>
  <c r="H11" i="75"/>
  <c r="I11" i="75"/>
  <c r="D11" i="75"/>
  <c r="J11" i="75"/>
  <c r="H12" i="75"/>
  <c r="I12" i="75"/>
  <c r="D12" i="75"/>
  <c r="J12" i="75"/>
  <c r="H13" i="75"/>
  <c r="I13" i="75"/>
  <c r="D13" i="75"/>
  <c r="J13" i="75"/>
  <c r="H14" i="75"/>
  <c r="I14" i="75"/>
  <c r="D14" i="75"/>
  <c r="J14" i="75"/>
  <c r="H15" i="75"/>
  <c r="I15" i="75"/>
  <c r="D15" i="75"/>
  <c r="J15" i="75"/>
  <c r="H16" i="75"/>
  <c r="I16" i="75"/>
  <c r="D16" i="75"/>
  <c r="J16" i="75"/>
  <c r="H17" i="75"/>
  <c r="I17" i="75"/>
  <c r="D17" i="75"/>
  <c r="J17" i="75"/>
  <c r="M51" i="75"/>
  <c r="M50" i="75"/>
  <c r="M49" i="75"/>
  <c r="M48" i="75"/>
  <c r="M44" i="75"/>
  <c r="M43" i="75"/>
  <c r="M42" i="75"/>
  <c r="M41" i="75"/>
  <c r="M36" i="75"/>
  <c r="M35" i="75"/>
  <c r="H5" i="76"/>
  <c r="I5" i="76"/>
  <c r="D5" i="76"/>
  <c r="J5" i="76"/>
  <c r="H6" i="76"/>
  <c r="I6" i="76"/>
  <c r="D6" i="76"/>
  <c r="J6" i="76"/>
  <c r="H7" i="76"/>
  <c r="I7" i="76"/>
  <c r="D7" i="76"/>
  <c r="J7" i="76"/>
  <c r="H8" i="76"/>
  <c r="I8" i="76"/>
  <c r="D8" i="76"/>
  <c r="J8" i="76"/>
  <c r="H9" i="76"/>
  <c r="I9" i="76"/>
  <c r="D9" i="76"/>
  <c r="J9" i="76"/>
  <c r="H10" i="76"/>
  <c r="I10" i="76"/>
  <c r="D10" i="76"/>
  <c r="J10" i="76"/>
  <c r="H11" i="76"/>
  <c r="I11" i="76"/>
  <c r="D11" i="76"/>
  <c r="J11" i="76"/>
  <c r="H12" i="76"/>
  <c r="I12" i="76"/>
  <c r="D12" i="76"/>
  <c r="J12" i="76"/>
  <c r="H13" i="76"/>
  <c r="I13" i="76"/>
  <c r="D13" i="76"/>
  <c r="J13" i="76"/>
  <c r="H14" i="76"/>
  <c r="I14" i="76"/>
  <c r="D14" i="76"/>
  <c r="J14" i="76"/>
  <c r="H15" i="76"/>
  <c r="I15" i="76"/>
  <c r="D15" i="76"/>
  <c r="J15" i="76"/>
  <c r="H16" i="76"/>
  <c r="I16" i="76"/>
  <c r="D16" i="76"/>
  <c r="J16" i="76"/>
  <c r="M57" i="76"/>
  <c r="M56" i="76"/>
  <c r="M50" i="76"/>
  <c r="M49" i="76"/>
  <c r="M43" i="76"/>
  <c r="M42" i="76"/>
  <c r="M36" i="76"/>
  <c r="M35" i="76"/>
  <c r="M31" i="76"/>
  <c r="M30" i="76"/>
  <c r="M29" i="76"/>
  <c r="M28" i="76"/>
  <c r="M24" i="76"/>
  <c r="M23" i="76"/>
  <c r="M22" i="76"/>
  <c r="M21" i="76"/>
  <c r="M17" i="76"/>
  <c r="M16" i="76"/>
  <c r="M15" i="76"/>
  <c r="M14" i="76"/>
  <c r="M10" i="76"/>
  <c r="M9" i="76"/>
  <c r="M8" i="76"/>
  <c r="M7" i="76"/>
  <c r="H5" i="77"/>
  <c r="I5" i="77"/>
  <c r="D5" i="77"/>
  <c r="J5" i="77"/>
  <c r="H6" i="77"/>
  <c r="I6" i="77"/>
  <c r="D6" i="77"/>
  <c r="J6" i="77"/>
  <c r="H7" i="77"/>
  <c r="I7" i="77"/>
  <c r="D7" i="77"/>
  <c r="J7" i="77"/>
  <c r="H8" i="77"/>
  <c r="I8" i="77"/>
  <c r="D8" i="77"/>
  <c r="J8" i="77"/>
  <c r="H9" i="77"/>
  <c r="I9" i="77"/>
  <c r="D9" i="77"/>
  <c r="J9" i="77"/>
  <c r="H10" i="77"/>
  <c r="I10" i="77"/>
  <c r="D10" i="77"/>
  <c r="J10" i="77"/>
  <c r="H11" i="77"/>
  <c r="I11" i="77"/>
  <c r="D11" i="77"/>
  <c r="J11" i="77"/>
  <c r="H12" i="77"/>
  <c r="I12" i="77"/>
  <c r="D12" i="77"/>
  <c r="J12" i="77"/>
  <c r="H13" i="77"/>
  <c r="I13" i="77"/>
  <c r="D13" i="77"/>
  <c r="J13" i="77"/>
  <c r="H14" i="77"/>
  <c r="I14" i="77"/>
  <c r="D14" i="77"/>
  <c r="J14" i="77"/>
  <c r="H15" i="77"/>
  <c r="I15" i="77"/>
  <c r="D15" i="77"/>
  <c r="J15" i="77"/>
  <c r="Y44" i="77"/>
  <c r="Y43" i="77"/>
  <c r="H5" i="78"/>
  <c r="I5" i="78"/>
  <c r="D5" i="78"/>
  <c r="J5" i="78"/>
  <c r="H6" i="78"/>
  <c r="I6" i="78"/>
  <c r="D6" i="78"/>
  <c r="J6" i="78"/>
  <c r="H7" i="78"/>
  <c r="I7" i="78"/>
  <c r="D7" i="78"/>
  <c r="J7" i="78"/>
  <c r="H8" i="78"/>
  <c r="I8" i="78"/>
  <c r="D8" i="78"/>
  <c r="J8" i="78"/>
  <c r="H9" i="78"/>
  <c r="I9" i="78"/>
  <c r="D9" i="78"/>
  <c r="J9" i="78"/>
  <c r="H10" i="78"/>
  <c r="I10" i="78"/>
  <c r="D10" i="78"/>
  <c r="J10" i="78"/>
  <c r="H11" i="78"/>
  <c r="I11" i="78"/>
  <c r="D11" i="78"/>
  <c r="J11" i="78"/>
  <c r="H12" i="78"/>
  <c r="I12" i="78"/>
  <c r="D12" i="78"/>
  <c r="J12" i="78"/>
  <c r="H13" i="78"/>
  <c r="I13" i="78"/>
  <c r="D13" i="78"/>
  <c r="J13" i="78"/>
  <c r="H14" i="78"/>
  <c r="I14" i="78"/>
  <c r="D14" i="78"/>
  <c r="J14" i="78"/>
  <c r="Y41" i="78"/>
  <c r="Y40" i="78"/>
  <c r="Y39" i="78"/>
  <c r="Y38" i="78"/>
  <c r="S41" i="78"/>
  <c r="S40" i="78"/>
  <c r="S39" i="78"/>
  <c r="S38" i="78"/>
  <c r="M41" i="78"/>
  <c r="M40" i="78"/>
  <c r="M39" i="78"/>
  <c r="M38" i="78"/>
  <c r="M31" i="78"/>
  <c r="M30" i="78"/>
  <c r="M29" i="78"/>
  <c r="M28" i="78"/>
  <c r="M24" i="78"/>
  <c r="M23" i="78"/>
  <c r="M22" i="78"/>
  <c r="M21" i="78"/>
  <c r="M17" i="78"/>
  <c r="M16" i="78"/>
  <c r="M15" i="78"/>
  <c r="M14" i="78"/>
  <c r="M10" i="78"/>
  <c r="M9" i="78"/>
  <c r="M8" i="78"/>
  <c r="M7" i="78"/>
  <c r="I6" i="79"/>
  <c r="H5" i="79"/>
  <c r="I5" i="79"/>
  <c r="D5" i="79"/>
  <c r="J5" i="79"/>
  <c r="H6" i="79"/>
  <c r="D6" i="79"/>
  <c r="J6" i="79"/>
  <c r="H7" i="79"/>
  <c r="I7" i="79"/>
  <c r="D7" i="79"/>
  <c r="J7" i="79"/>
  <c r="H8" i="79"/>
  <c r="I8" i="79"/>
  <c r="D8" i="79"/>
  <c r="J8" i="79"/>
  <c r="H9" i="79"/>
  <c r="I9" i="79"/>
  <c r="D9" i="79"/>
  <c r="J9" i="79"/>
  <c r="H10" i="79"/>
  <c r="I10" i="79"/>
  <c r="D10" i="79"/>
  <c r="J10" i="79"/>
  <c r="H11" i="79"/>
  <c r="I11" i="79"/>
  <c r="D11" i="79"/>
  <c r="J11" i="79"/>
  <c r="H12" i="79"/>
  <c r="I12" i="79"/>
  <c r="D12" i="79"/>
  <c r="J12" i="79"/>
  <c r="H13" i="79"/>
  <c r="I13" i="79"/>
  <c r="D13" i="79"/>
  <c r="J13" i="79"/>
  <c r="M36" i="79"/>
  <c r="M35" i="79"/>
  <c r="M31" i="79"/>
  <c r="M30" i="79"/>
  <c r="M29" i="79"/>
  <c r="M28" i="79"/>
  <c r="M24" i="79"/>
  <c r="M23" i="79"/>
  <c r="M22" i="79"/>
  <c r="M21" i="79"/>
  <c r="M17" i="79"/>
  <c r="M16" i="79"/>
  <c r="M15" i="79"/>
  <c r="M14" i="79"/>
  <c r="M10" i="79"/>
  <c r="M9" i="79"/>
  <c r="M8" i="79"/>
  <c r="M7" i="79"/>
  <c r="X28" i="266"/>
  <c r="H5" i="266"/>
  <c r="I5" i="266"/>
  <c r="D5" i="266"/>
  <c r="J5" i="266"/>
  <c r="H6" i="266"/>
  <c r="I6" i="266"/>
  <c r="D6" i="266"/>
  <c r="J6" i="266"/>
  <c r="H7" i="266"/>
  <c r="I7" i="266"/>
  <c r="D7" i="266"/>
  <c r="J7" i="266"/>
  <c r="H8" i="266"/>
  <c r="I8" i="266"/>
  <c r="D8" i="266"/>
  <c r="J8" i="266"/>
  <c r="H9" i="266"/>
  <c r="I9" i="266"/>
  <c r="D9" i="266"/>
  <c r="J9" i="266"/>
  <c r="H10" i="266"/>
  <c r="I10" i="266"/>
  <c r="D10" i="266"/>
  <c r="J10" i="266"/>
  <c r="H11" i="266"/>
  <c r="I11" i="266"/>
  <c r="D11" i="266"/>
  <c r="J11" i="266"/>
  <c r="Y28" i="266"/>
  <c r="Y27" i="266"/>
  <c r="M29" i="266"/>
  <c r="M28" i="266"/>
  <c r="M27" i="266"/>
  <c r="M26" i="266"/>
  <c r="M22" i="266"/>
  <c r="M21" i="266"/>
  <c r="M20" i="266"/>
  <c r="M19" i="266"/>
  <c r="M15" i="266"/>
  <c r="M14" i="266"/>
  <c r="M13" i="266"/>
  <c r="M12" i="266"/>
  <c r="I7" i="84"/>
  <c r="I5" i="84"/>
  <c r="M23" i="84"/>
  <c r="H7" i="84"/>
  <c r="H5" i="84"/>
  <c r="M22" i="84"/>
  <c r="I6" i="84"/>
  <c r="M21" i="84"/>
  <c r="H6" i="84"/>
  <c r="M20" i="84"/>
  <c r="D5" i="84"/>
  <c r="J5" i="84"/>
  <c r="D6" i="84"/>
  <c r="J6" i="84"/>
  <c r="D7" i="84"/>
  <c r="J7" i="84"/>
  <c r="H8" i="84"/>
  <c r="I8" i="84"/>
  <c r="D8" i="84"/>
  <c r="J8" i="84"/>
  <c r="H9" i="84"/>
  <c r="I9" i="84"/>
  <c r="D9" i="84"/>
  <c r="J9" i="84"/>
  <c r="M16" i="84"/>
  <c r="M15" i="84"/>
  <c r="M14" i="84"/>
  <c r="M13" i="84"/>
  <c r="M8" i="84"/>
  <c r="M7" i="84"/>
  <c r="X56" i="272"/>
  <c r="AG21" i="272"/>
  <c r="AJ21" i="272"/>
  <c r="AI21" i="272"/>
  <c r="AH21" i="272"/>
  <c r="AG20" i="272"/>
  <c r="AJ20" i="272"/>
  <c r="AI20" i="272"/>
  <c r="AH20" i="272"/>
  <c r="AG19" i="272"/>
  <c r="AJ19" i="272"/>
  <c r="AI19" i="272"/>
  <c r="AH19" i="272"/>
  <c r="AG18" i="272"/>
  <c r="AJ18" i="272"/>
  <c r="AI18" i="272"/>
  <c r="AH18" i="272"/>
  <c r="AG17" i="272"/>
  <c r="AJ17" i="272"/>
  <c r="AI17" i="272"/>
  <c r="AH17" i="272"/>
  <c r="AG16" i="272"/>
  <c r="AJ16" i="272"/>
  <c r="AI16" i="272"/>
  <c r="AH16" i="272"/>
  <c r="AG15" i="272"/>
  <c r="AJ15" i="272"/>
  <c r="AI15" i="272"/>
  <c r="AH15" i="272"/>
  <c r="AG14" i="272"/>
  <c r="AJ14" i="272"/>
  <c r="AI14" i="272"/>
  <c r="AH14" i="272"/>
  <c r="AG13" i="272"/>
  <c r="AJ13" i="272"/>
  <c r="AI13" i="272"/>
  <c r="AH13" i="272"/>
  <c r="AG12" i="272"/>
  <c r="AJ12" i="272"/>
  <c r="AI12" i="272"/>
  <c r="AH12" i="272"/>
  <c r="AG11" i="272"/>
  <c r="AJ11" i="272"/>
  <c r="AI11" i="272"/>
  <c r="AH11" i="272"/>
  <c r="AG10" i="272"/>
  <c r="AJ10" i="272"/>
  <c r="AI10" i="272"/>
  <c r="AH10" i="272"/>
  <c r="AG9" i="272"/>
  <c r="AJ9" i="272"/>
  <c r="AI9" i="272"/>
  <c r="AH9" i="272"/>
  <c r="AG8" i="272"/>
  <c r="AJ8" i="272"/>
  <c r="AI8" i="272"/>
  <c r="AH8" i="272"/>
  <c r="AG20" i="74"/>
  <c r="AJ20" i="74"/>
  <c r="AI20" i="74"/>
  <c r="AH20" i="74"/>
  <c r="AG19" i="74"/>
  <c r="AJ19" i="74"/>
  <c r="AI19" i="74"/>
  <c r="AH19" i="74"/>
  <c r="AG18" i="74"/>
  <c r="AJ18" i="74"/>
  <c r="AI18" i="74"/>
  <c r="AH18" i="74"/>
  <c r="AG17" i="74"/>
  <c r="AJ17" i="74"/>
  <c r="AI17" i="74"/>
  <c r="AH17" i="74"/>
  <c r="AG16" i="74"/>
  <c r="AJ16" i="74"/>
  <c r="AI16" i="74"/>
  <c r="AH16" i="74"/>
  <c r="AG15" i="74"/>
  <c r="AJ15" i="74"/>
  <c r="AI15" i="74"/>
  <c r="AH15" i="74"/>
  <c r="AG14" i="74"/>
  <c r="AJ14" i="74"/>
  <c r="AI14" i="74"/>
  <c r="AH14" i="74"/>
  <c r="AG13" i="74"/>
  <c r="AJ13" i="74"/>
  <c r="AI13" i="74"/>
  <c r="AH13" i="74"/>
  <c r="AG12" i="74"/>
  <c r="AJ12" i="74"/>
  <c r="AI12" i="74"/>
  <c r="AH12" i="74"/>
  <c r="AG11" i="74"/>
  <c r="AJ11" i="74"/>
  <c r="AI11" i="74"/>
  <c r="AH11" i="74"/>
  <c r="AG10" i="74"/>
  <c r="AJ10" i="74"/>
  <c r="AI10" i="74"/>
  <c r="AH10" i="74"/>
  <c r="AG9" i="74"/>
  <c r="AJ9" i="74"/>
  <c r="AI9" i="74"/>
  <c r="AH9" i="74"/>
  <c r="AG8" i="74"/>
  <c r="AJ8" i="74"/>
  <c r="AI8" i="74"/>
  <c r="AH8" i="74"/>
  <c r="AG19" i="75"/>
  <c r="AJ19" i="75"/>
  <c r="AI19" i="75"/>
  <c r="AH19" i="75"/>
  <c r="AG18" i="75"/>
  <c r="AJ18" i="75"/>
  <c r="AI18" i="75"/>
  <c r="AH18" i="75"/>
  <c r="AG17" i="75"/>
  <c r="AJ17" i="75"/>
  <c r="AI17" i="75"/>
  <c r="AH17" i="75"/>
  <c r="AG16" i="75"/>
  <c r="AJ16" i="75"/>
  <c r="AI16" i="75"/>
  <c r="AH16" i="75"/>
  <c r="AG15" i="75"/>
  <c r="AJ15" i="75"/>
  <c r="AI15" i="75"/>
  <c r="AH15" i="75"/>
  <c r="AG14" i="75"/>
  <c r="AJ14" i="75"/>
  <c r="AI14" i="75"/>
  <c r="AH14" i="75"/>
  <c r="AG13" i="75"/>
  <c r="AJ13" i="75"/>
  <c r="AI13" i="75"/>
  <c r="AH13" i="75"/>
  <c r="AG12" i="75"/>
  <c r="AJ12" i="75"/>
  <c r="AI12" i="75"/>
  <c r="AH12" i="75"/>
  <c r="AG11" i="75"/>
  <c r="AJ11" i="75"/>
  <c r="AI11" i="75"/>
  <c r="AH11" i="75"/>
  <c r="AG10" i="75"/>
  <c r="AJ10" i="75"/>
  <c r="AI10" i="75"/>
  <c r="AH10" i="75"/>
  <c r="AG9" i="75"/>
  <c r="AJ9" i="75"/>
  <c r="AI9" i="75"/>
  <c r="AH9" i="75"/>
  <c r="AG8" i="75"/>
  <c r="AJ8" i="75"/>
  <c r="AI8" i="75"/>
  <c r="AH8" i="75"/>
  <c r="AG18" i="76"/>
  <c r="AJ18" i="76"/>
  <c r="AI18" i="76"/>
  <c r="AH18" i="76"/>
  <c r="AG17" i="76"/>
  <c r="AJ17" i="76"/>
  <c r="AI17" i="76"/>
  <c r="AH17" i="76"/>
  <c r="AG16" i="76"/>
  <c r="AJ16" i="76"/>
  <c r="AI16" i="76"/>
  <c r="AH16" i="76"/>
  <c r="AG15" i="76"/>
  <c r="AJ15" i="76"/>
  <c r="AI15" i="76"/>
  <c r="AH15" i="76"/>
  <c r="AG14" i="76"/>
  <c r="AJ14" i="76"/>
  <c r="AI14" i="76"/>
  <c r="AH14" i="76"/>
  <c r="AG13" i="76"/>
  <c r="AJ13" i="76"/>
  <c r="AI13" i="76"/>
  <c r="AH13" i="76"/>
  <c r="AG12" i="76"/>
  <c r="AJ12" i="76"/>
  <c r="AI12" i="76"/>
  <c r="AH12" i="76"/>
  <c r="AG11" i="76"/>
  <c r="AJ11" i="76"/>
  <c r="AI11" i="76"/>
  <c r="AH11" i="76"/>
  <c r="AG10" i="76"/>
  <c r="AJ10" i="76"/>
  <c r="AI10" i="76"/>
  <c r="AH10" i="76"/>
  <c r="AG9" i="76"/>
  <c r="AJ9" i="76"/>
  <c r="AI9" i="76"/>
  <c r="AH9" i="76"/>
  <c r="AG8" i="76"/>
  <c r="AJ8" i="76"/>
  <c r="AI8" i="76"/>
  <c r="AH8" i="76"/>
  <c r="AG17" i="77"/>
  <c r="AJ17" i="77"/>
  <c r="AI17" i="77"/>
  <c r="AH17" i="77"/>
  <c r="AG16" i="77"/>
  <c r="AJ16" i="77"/>
  <c r="AI16" i="77"/>
  <c r="AH16" i="77"/>
  <c r="AG15" i="77"/>
  <c r="AJ15" i="77"/>
  <c r="AI15" i="77"/>
  <c r="AH15" i="77"/>
  <c r="AG14" i="77"/>
  <c r="AJ14" i="77"/>
  <c r="AI14" i="77"/>
  <c r="AH14" i="77"/>
  <c r="AG13" i="77"/>
  <c r="AJ13" i="77"/>
  <c r="AI13" i="77"/>
  <c r="AH13" i="77"/>
  <c r="AG12" i="77"/>
  <c r="AJ12" i="77"/>
  <c r="AI12" i="77"/>
  <c r="AH12" i="77"/>
  <c r="AG11" i="77"/>
  <c r="AJ11" i="77"/>
  <c r="AI11" i="77"/>
  <c r="AH11" i="77"/>
  <c r="AG10" i="77"/>
  <c r="AJ10" i="77"/>
  <c r="AI10" i="77"/>
  <c r="AH10" i="77"/>
  <c r="AG9" i="77"/>
  <c r="AJ9" i="77"/>
  <c r="AI9" i="77"/>
  <c r="AH9" i="77"/>
  <c r="AG8" i="77"/>
  <c r="AJ8" i="77"/>
  <c r="AI8" i="77"/>
  <c r="AH8" i="77"/>
  <c r="X45" i="78"/>
  <c r="M83" i="78"/>
  <c r="N83" i="78"/>
  <c r="O83" i="78"/>
  <c r="L83" i="78"/>
  <c r="T44" i="78"/>
  <c r="R45" i="78"/>
  <c r="AG16" i="78"/>
  <c r="AJ16" i="78"/>
  <c r="AI16" i="78"/>
  <c r="AH16" i="78"/>
  <c r="AG15" i="78"/>
  <c r="AJ15" i="78"/>
  <c r="AI15" i="78"/>
  <c r="AH15" i="78"/>
  <c r="AG14" i="78"/>
  <c r="AJ14" i="78"/>
  <c r="AI14" i="78"/>
  <c r="AH14" i="78"/>
  <c r="AG13" i="78"/>
  <c r="AJ13" i="78"/>
  <c r="AI13" i="78"/>
  <c r="AH13" i="78"/>
  <c r="AG12" i="78"/>
  <c r="AJ12" i="78"/>
  <c r="AI12" i="78"/>
  <c r="AH12" i="78"/>
  <c r="AG11" i="78"/>
  <c r="AJ11" i="78"/>
  <c r="AI11" i="78"/>
  <c r="AH11" i="78"/>
  <c r="AG10" i="78"/>
  <c r="AJ10" i="78"/>
  <c r="AI10" i="78"/>
  <c r="AH10" i="78"/>
  <c r="AG9" i="78"/>
  <c r="AJ9" i="78"/>
  <c r="AI9" i="78"/>
  <c r="AH9" i="78"/>
  <c r="AG8" i="78"/>
  <c r="AJ8" i="78"/>
  <c r="AI8" i="78"/>
  <c r="AH8" i="78"/>
  <c r="AG15" i="79"/>
  <c r="AJ15" i="79"/>
  <c r="AI15" i="79"/>
  <c r="AH15" i="79"/>
  <c r="AG14" i="79"/>
  <c r="AJ14" i="79"/>
  <c r="AI14" i="79"/>
  <c r="AH14" i="79"/>
  <c r="AG13" i="79"/>
  <c r="AJ13" i="79"/>
  <c r="AI13" i="79"/>
  <c r="AH13" i="79"/>
  <c r="AG12" i="79"/>
  <c r="AJ12" i="79"/>
  <c r="AI12" i="79"/>
  <c r="AH12" i="79"/>
  <c r="AG11" i="79"/>
  <c r="AJ11" i="79"/>
  <c r="AI11" i="79"/>
  <c r="AH11" i="79"/>
  <c r="AG10" i="79"/>
  <c r="AJ10" i="79"/>
  <c r="AI10" i="79"/>
  <c r="AH10" i="79"/>
  <c r="AG9" i="79"/>
  <c r="AJ9" i="79"/>
  <c r="AI9" i="79"/>
  <c r="AH9" i="79"/>
  <c r="AG8" i="79"/>
  <c r="AJ8" i="79"/>
  <c r="AI8" i="79"/>
  <c r="AH8" i="79"/>
  <c r="AG14" i="80"/>
  <c r="H5" i="80"/>
  <c r="I5" i="80"/>
  <c r="D5" i="80"/>
  <c r="J5" i="80"/>
  <c r="H6" i="80"/>
  <c r="I6" i="80"/>
  <c r="D6" i="80"/>
  <c r="J6" i="80"/>
  <c r="H7" i="80"/>
  <c r="I7" i="80"/>
  <c r="D7" i="80"/>
  <c r="J7" i="80"/>
  <c r="H8" i="80"/>
  <c r="I8" i="80"/>
  <c r="D8" i="80"/>
  <c r="J8" i="80"/>
  <c r="H9" i="80"/>
  <c r="I9" i="80"/>
  <c r="D9" i="80"/>
  <c r="J9" i="80"/>
  <c r="H10" i="80"/>
  <c r="I10" i="80"/>
  <c r="D10" i="80"/>
  <c r="J10" i="80"/>
  <c r="H11" i="80"/>
  <c r="I11" i="80"/>
  <c r="D11" i="80"/>
  <c r="J11" i="80"/>
  <c r="H12" i="80"/>
  <c r="I12" i="80"/>
  <c r="D12" i="80"/>
  <c r="J12" i="80"/>
  <c r="AJ14" i="80"/>
  <c r="AI14" i="80"/>
  <c r="AH14" i="80"/>
  <c r="AG13" i="80"/>
  <c r="AJ13" i="80"/>
  <c r="AI13" i="80"/>
  <c r="AH13" i="80"/>
  <c r="AG12" i="80"/>
  <c r="AJ12" i="80"/>
  <c r="AI12" i="80"/>
  <c r="AH12" i="80"/>
  <c r="AG11" i="80"/>
  <c r="AJ11" i="80"/>
  <c r="AI11" i="80"/>
  <c r="AH11" i="80"/>
  <c r="AG10" i="80"/>
  <c r="AJ10" i="80"/>
  <c r="AI10" i="80"/>
  <c r="AH10" i="80"/>
  <c r="AG9" i="80"/>
  <c r="AJ9" i="80"/>
  <c r="AI9" i="80"/>
  <c r="AH9" i="80"/>
  <c r="AG8" i="80"/>
  <c r="AJ8" i="80"/>
  <c r="AI8" i="80"/>
  <c r="AH8" i="80"/>
  <c r="AG13" i="266"/>
  <c r="AJ13" i="266"/>
  <c r="AI13" i="266"/>
  <c r="AH13" i="266"/>
  <c r="AG12" i="266"/>
  <c r="AJ12" i="266"/>
  <c r="AI12" i="266"/>
  <c r="AH12" i="266"/>
  <c r="AG11" i="266"/>
  <c r="AJ11" i="266"/>
  <c r="AI11" i="266"/>
  <c r="AH11" i="266"/>
  <c r="AG10" i="266"/>
  <c r="AJ10" i="266"/>
  <c r="AI10" i="266"/>
  <c r="AH10" i="266"/>
  <c r="AG9" i="266"/>
  <c r="AJ9" i="266"/>
  <c r="AI9" i="266"/>
  <c r="AH9" i="266"/>
  <c r="AG8" i="266"/>
  <c r="AJ8" i="266"/>
  <c r="AI8" i="266"/>
  <c r="AH8" i="266"/>
  <c r="AG12" i="82"/>
  <c r="H5" i="82"/>
  <c r="I5" i="82"/>
  <c r="D5" i="82"/>
  <c r="J5" i="82"/>
  <c r="H6" i="82"/>
  <c r="I6" i="82"/>
  <c r="D6" i="82"/>
  <c r="J6" i="82"/>
  <c r="H7" i="82"/>
  <c r="I7" i="82"/>
  <c r="D7" i="82"/>
  <c r="J7" i="82"/>
  <c r="H8" i="82"/>
  <c r="I8" i="82"/>
  <c r="D8" i="82"/>
  <c r="J8" i="82"/>
  <c r="H9" i="82"/>
  <c r="I9" i="82"/>
  <c r="D9" i="82"/>
  <c r="J9" i="82"/>
  <c r="H10" i="82"/>
  <c r="I10" i="82"/>
  <c r="D10" i="82"/>
  <c r="J10" i="82"/>
  <c r="AJ12" i="82"/>
  <c r="AI12" i="82"/>
  <c r="AH12" i="82"/>
  <c r="AG11" i="82"/>
  <c r="AJ11" i="82"/>
  <c r="AI11" i="82"/>
  <c r="AH11" i="82"/>
  <c r="AG10" i="82"/>
  <c r="AJ10" i="82"/>
  <c r="AI10" i="82"/>
  <c r="AH10" i="82"/>
  <c r="AG9" i="82"/>
  <c r="AJ9" i="82"/>
  <c r="AI9" i="82"/>
  <c r="AH9" i="82"/>
  <c r="AG8" i="82"/>
  <c r="AJ8" i="82"/>
  <c r="AI8" i="82"/>
  <c r="AH8" i="82"/>
  <c r="AG11" i="84"/>
  <c r="AJ11" i="84"/>
  <c r="AI11" i="84"/>
  <c r="AH11" i="84"/>
  <c r="AG10" i="84"/>
  <c r="AJ10" i="84"/>
  <c r="AI10" i="84"/>
  <c r="AH10" i="84"/>
  <c r="AG9" i="84"/>
  <c r="AJ9" i="84"/>
  <c r="AI9" i="84"/>
  <c r="AH9" i="84"/>
  <c r="X10" i="84"/>
  <c r="AG8" i="84"/>
  <c r="AJ8" i="84"/>
  <c r="AI8" i="84"/>
  <c r="AH8" i="84"/>
  <c r="B5" i="85"/>
  <c r="C5" i="85"/>
  <c r="G5" i="85"/>
  <c r="L8" i="85"/>
  <c r="R8" i="85"/>
  <c r="B8" i="85"/>
  <c r="C8" i="85"/>
  <c r="G8" i="85"/>
  <c r="L15" i="85"/>
  <c r="R10" i="85"/>
  <c r="X15" i="85"/>
  <c r="AG10" i="85"/>
  <c r="D5" i="85"/>
  <c r="J5" i="85"/>
  <c r="B6" i="85"/>
  <c r="C6" i="85"/>
  <c r="G6" i="85"/>
  <c r="B7" i="85"/>
  <c r="C7" i="85"/>
  <c r="G7" i="85"/>
  <c r="D8" i="85"/>
  <c r="J8" i="85"/>
  <c r="B9" i="85"/>
  <c r="C9" i="85"/>
  <c r="G9" i="85"/>
  <c r="B10" i="85"/>
  <c r="C10" i="85"/>
  <c r="G10" i="85"/>
  <c r="B11" i="85"/>
  <c r="C11" i="85"/>
  <c r="G11" i="85"/>
  <c r="B12" i="85"/>
  <c r="C12" i="85"/>
  <c r="G12" i="85"/>
  <c r="H5" i="85"/>
  <c r="I5" i="85"/>
  <c r="H6" i="85"/>
  <c r="I6" i="85"/>
  <c r="D6" i="85"/>
  <c r="J6" i="85"/>
  <c r="H7" i="85"/>
  <c r="I7" i="85"/>
  <c r="D7" i="85"/>
  <c r="J7" i="85"/>
  <c r="H8" i="85"/>
  <c r="I8" i="85"/>
  <c r="H9" i="85"/>
  <c r="I9" i="85"/>
  <c r="D9" i="85"/>
  <c r="J9" i="85"/>
  <c r="H10" i="85"/>
  <c r="I10" i="85"/>
  <c r="D10" i="85"/>
  <c r="J10" i="85"/>
  <c r="H11" i="85"/>
  <c r="I11" i="85"/>
  <c r="D11" i="85"/>
  <c r="J11" i="85"/>
  <c r="H12" i="85"/>
  <c r="I12" i="85"/>
  <c r="D12" i="85"/>
  <c r="J12" i="85"/>
  <c r="B13" i="85"/>
  <c r="C13" i="85"/>
  <c r="G13" i="85"/>
  <c r="H13" i="85"/>
  <c r="I13" i="85"/>
  <c r="D13" i="85"/>
  <c r="J13" i="85"/>
  <c r="B14" i="85"/>
  <c r="C14" i="85"/>
  <c r="G14" i="85"/>
  <c r="H14" i="85"/>
  <c r="I14" i="85"/>
  <c r="D14" i="85"/>
  <c r="J14" i="85"/>
  <c r="B15" i="85"/>
  <c r="C15" i="85"/>
  <c r="G15" i="85"/>
  <c r="H15" i="85"/>
  <c r="I15" i="85"/>
  <c r="D15" i="85"/>
  <c r="J15" i="85"/>
  <c r="B16" i="85"/>
  <c r="C16" i="85"/>
  <c r="G16" i="85"/>
  <c r="H16" i="85"/>
  <c r="I16" i="85"/>
  <c r="D16" i="85"/>
  <c r="J16" i="85"/>
  <c r="B17" i="85"/>
  <c r="C17" i="85"/>
  <c r="G17" i="85"/>
  <c r="H17" i="85"/>
  <c r="I17" i="85"/>
  <c r="D17" i="85"/>
  <c r="J17" i="85"/>
  <c r="B18" i="85"/>
  <c r="C18" i="85"/>
  <c r="G18" i="85"/>
  <c r="H18" i="85"/>
  <c r="I18" i="85"/>
  <c r="D18" i="85"/>
  <c r="J18" i="85"/>
  <c r="B19" i="85"/>
  <c r="C19" i="85"/>
  <c r="G19" i="85"/>
  <c r="H19" i="85"/>
  <c r="I19" i="85"/>
  <c r="D19" i="85"/>
  <c r="J19" i="85"/>
  <c r="B20" i="85"/>
  <c r="C20" i="85"/>
  <c r="G20" i="85"/>
  <c r="H20" i="85"/>
  <c r="I20" i="85"/>
  <c r="D20" i="85"/>
  <c r="J20" i="85"/>
  <c r="B21" i="85"/>
  <c r="C21" i="85"/>
  <c r="G21" i="85"/>
  <c r="H21" i="85"/>
  <c r="I21" i="85"/>
  <c r="D21" i="85"/>
  <c r="J21" i="85"/>
  <c r="B22" i="85"/>
  <c r="C22" i="85"/>
  <c r="G22" i="85"/>
  <c r="H22" i="85"/>
  <c r="I22" i="85"/>
  <c r="D22" i="85"/>
  <c r="J22" i="85"/>
  <c r="B23" i="85"/>
  <c r="C23" i="85"/>
  <c r="G23" i="85"/>
  <c r="H23" i="85"/>
  <c r="I23" i="85"/>
  <c r="D23" i="85"/>
  <c r="J23" i="85"/>
  <c r="B24" i="85"/>
  <c r="C24" i="85"/>
  <c r="G24" i="85"/>
  <c r="H24" i="85"/>
  <c r="I24" i="85"/>
  <c r="D24" i="85"/>
  <c r="J24" i="85"/>
  <c r="B25" i="85"/>
  <c r="C25" i="85"/>
  <c r="G25" i="85"/>
  <c r="H25" i="85"/>
  <c r="I25" i="85"/>
  <c r="D25" i="85"/>
  <c r="J25" i="85"/>
  <c r="B26" i="85"/>
  <c r="C26" i="85"/>
  <c r="G26" i="85"/>
  <c r="H26" i="85"/>
  <c r="I26" i="85"/>
  <c r="D26" i="85"/>
  <c r="J26" i="85"/>
  <c r="B27" i="85"/>
  <c r="C27" i="85"/>
  <c r="G27" i="85"/>
  <c r="H27" i="85"/>
  <c r="I27" i="85"/>
  <c r="D27" i="85"/>
  <c r="J27" i="85"/>
  <c r="B28" i="85"/>
  <c r="C28" i="85"/>
  <c r="G28" i="85"/>
  <c r="H28" i="85"/>
  <c r="I28" i="85"/>
  <c r="D28" i="85"/>
  <c r="J28" i="85"/>
  <c r="AJ10" i="85"/>
  <c r="AI10" i="85"/>
  <c r="AH10" i="85"/>
  <c r="L29" i="85"/>
  <c r="R17" i="85"/>
  <c r="X17" i="85"/>
  <c r="AG9" i="85"/>
  <c r="AJ9" i="85"/>
  <c r="AI9" i="85"/>
  <c r="AH9" i="85"/>
  <c r="L22" i="85"/>
  <c r="R15" i="85"/>
  <c r="X10" i="85"/>
  <c r="AG8" i="85"/>
  <c r="AJ8" i="85"/>
  <c r="AI8" i="85"/>
  <c r="AH8" i="85"/>
  <c r="X15" i="86"/>
  <c r="AG9" i="86"/>
  <c r="D6" i="86"/>
  <c r="J6" i="86"/>
  <c r="D7" i="86"/>
  <c r="J7" i="86"/>
  <c r="D5" i="86"/>
  <c r="J5" i="86"/>
  <c r="AJ9" i="86"/>
  <c r="I6" i="86"/>
  <c r="I7" i="86"/>
  <c r="I5" i="86"/>
  <c r="AI9" i="86"/>
  <c r="H6" i="86"/>
  <c r="H7" i="86"/>
  <c r="H5" i="86"/>
  <c r="AH9" i="86"/>
  <c r="AG8" i="86"/>
  <c r="AJ8" i="86"/>
  <c r="AI8" i="86"/>
  <c r="AH8" i="86"/>
  <c r="AG7" i="86"/>
  <c r="AJ7" i="86"/>
  <c r="AI7" i="86"/>
  <c r="AH7" i="86"/>
  <c r="X8" i="85"/>
  <c r="AG7" i="85"/>
  <c r="AJ7" i="85"/>
  <c r="AI7" i="85"/>
  <c r="AH7" i="85"/>
  <c r="X8" i="84"/>
  <c r="AG7" i="84"/>
  <c r="AJ7" i="84"/>
  <c r="AI7" i="84"/>
  <c r="AH7" i="84"/>
  <c r="AG7" i="82"/>
  <c r="AJ7" i="82"/>
  <c r="AI7" i="82"/>
  <c r="AH7" i="82"/>
  <c r="AG7" i="266"/>
  <c r="AJ7" i="266"/>
  <c r="AI7" i="266"/>
  <c r="AH7" i="266"/>
  <c r="AG7" i="80"/>
  <c r="AJ7" i="80"/>
  <c r="AI7" i="80"/>
  <c r="AH7" i="80"/>
  <c r="AG7" i="79"/>
  <c r="AJ7" i="79"/>
  <c r="AI7" i="79"/>
  <c r="AH7" i="79"/>
  <c r="AG7" i="78"/>
  <c r="AJ7" i="78"/>
  <c r="AI7" i="78"/>
  <c r="AH7" i="78"/>
  <c r="AG7" i="77"/>
  <c r="AJ7" i="77"/>
  <c r="AI7" i="77"/>
  <c r="AH7" i="77"/>
  <c r="AG7" i="76"/>
  <c r="AJ7" i="76"/>
  <c r="AI7" i="76"/>
  <c r="AH7" i="76"/>
  <c r="AG7" i="75"/>
  <c r="AJ7" i="75"/>
  <c r="AI7" i="75"/>
  <c r="AH7" i="75"/>
  <c r="AG7" i="74"/>
  <c r="AJ7" i="74"/>
  <c r="AI7" i="74"/>
  <c r="AH7" i="74"/>
  <c r="AG7" i="272"/>
  <c r="AJ7" i="272"/>
  <c r="AI7" i="272"/>
  <c r="AH7" i="272"/>
  <c r="AG22" i="72"/>
  <c r="AJ22" i="72"/>
  <c r="AI22" i="72"/>
  <c r="AH22" i="72"/>
  <c r="AG21" i="72"/>
  <c r="AJ21" i="72"/>
  <c r="AI21" i="72"/>
  <c r="AH21" i="72"/>
  <c r="AG20" i="72"/>
  <c r="AJ20" i="72"/>
  <c r="AI20" i="72"/>
  <c r="AH20" i="72"/>
  <c r="AG19" i="72"/>
  <c r="AJ19" i="72"/>
  <c r="AI19" i="72"/>
  <c r="AH19" i="72"/>
  <c r="AG18" i="72"/>
  <c r="AJ18" i="72"/>
  <c r="AI18" i="72"/>
  <c r="AH18" i="72"/>
  <c r="AG17" i="72"/>
  <c r="AJ17" i="72"/>
  <c r="AI17" i="72"/>
  <c r="AH17" i="72"/>
  <c r="AG16" i="72"/>
  <c r="AJ16" i="72"/>
  <c r="AI16" i="72"/>
  <c r="AH16" i="72"/>
  <c r="AG15" i="72"/>
  <c r="AJ15" i="72"/>
  <c r="AI15" i="72"/>
  <c r="AH15" i="72"/>
  <c r="AG14" i="72"/>
  <c r="AJ14" i="72"/>
  <c r="AI14" i="72"/>
  <c r="AH14" i="72"/>
  <c r="AG13" i="72"/>
  <c r="AJ13" i="72"/>
  <c r="AI13" i="72"/>
  <c r="AH13" i="72"/>
  <c r="AG12" i="72"/>
  <c r="AJ12" i="72"/>
  <c r="AI12" i="72"/>
  <c r="AH12" i="72"/>
  <c r="AG11" i="72"/>
  <c r="AJ11" i="72"/>
  <c r="AI11" i="72"/>
  <c r="AH11" i="72"/>
  <c r="AG10" i="72"/>
  <c r="AJ10" i="72"/>
  <c r="AI10" i="72"/>
  <c r="AH10" i="72"/>
  <c r="AG9" i="72"/>
  <c r="AJ9" i="72"/>
  <c r="AI9" i="72"/>
  <c r="AH9" i="72"/>
  <c r="AG8" i="72"/>
  <c r="AJ8" i="72"/>
  <c r="AI8" i="72"/>
  <c r="AH8" i="72"/>
  <c r="AG7" i="72"/>
  <c r="AJ7" i="72"/>
  <c r="AI7" i="72"/>
  <c r="AH7" i="72"/>
  <c r="M7" i="72"/>
  <c r="S10" i="85"/>
  <c r="S9" i="85"/>
  <c r="S8" i="85"/>
  <c r="S7" i="85"/>
  <c r="S17" i="85"/>
  <c r="S16" i="85"/>
  <c r="S15" i="85"/>
  <c r="S14" i="85"/>
  <c r="Y17" i="85"/>
  <c r="Y16" i="85"/>
  <c r="Y15" i="85"/>
  <c r="Y14" i="85"/>
  <c r="Y10" i="85"/>
  <c r="Y9" i="85"/>
  <c r="Y8" i="85"/>
  <c r="Y7" i="85"/>
  <c r="M8" i="266"/>
  <c r="M7" i="266"/>
  <c r="M21" i="82"/>
  <c r="M20" i="82"/>
  <c r="M8" i="82"/>
  <c r="M7" i="82"/>
  <c r="M28" i="82"/>
  <c r="M27" i="82"/>
  <c r="M26" i="82"/>
  <c r="M25" i="82"/>
  <c r="M15" i="82"/>
  <c r="M14" i="82"/>
  <c r="M13" i="82"/>
  <c r="M12" i="82"/>
  <c r="Y59" i="72"/>
  <c r="S59" i="72"/>
  <c r="M59" i="72"/>
  <c r="Y58" i="72"/>
  <c r="S58" i="72"/>
  <c r="M58" i="72"/>
  <c r="Y57" i="72"/>
  <c r="S57" i="72"/>
  <c r="M57" i="72"/>
  <c r="Y56" i="72"/>
  <c r="S56" i="72"/>
  <c r="M56" i="72"/>
  <c r="Y52" i="72"/>
  <c r="S52" i="72"/>
  <c r="M52" i="72"/>
  <c r="Y51" i="72"/>
  <c r="S51" i="72"/>
  <c r="M51" i="72"/>
  <c r="Y50" i="72"/>
  <c r="S50" i="72"/>
  <c r="M50" i="72"/>
  <c r="Y49" i="72"/>
  <c r="S49" i="72"/>
  <c r="M49" i="72"/>
  <c r="Y45" i="72"/>
  <c r="S45" i="72"/>
  <c r="M45" i="72"/>
  <c r="Y44" i="72"/>
  <c r="S44" i="72"/>
  <c r="M44" i="72"/>
  <c r="Y43" i="72"/>
  <c r="S43" i="72"/>
  <c r="M43" i="72"/>
  <c r="Y42" i="72"/>
  <c r="S42" i="72"/>
  <c r="M42" i="72"/>
  <c r="Y38" i="72"/>
  <c r="S38" i="72"/>
  <c r="Y37" i="72"/>
  <c r="S37" i="72"/>
  <c r="Y36" i="72"/>
  <c r="S36" i="72"/>
  <c r="Y35" i="72"/>
  <c r="S35" i="72"/>
  <c r="Y31" i="72"/>
  <c r="S31" i="72"/>
  <c r="M31" i="72"/>
  <c r="Y30" i="72"/>
  <c r="S30" i="72"/>
  <c r="M30" i="72"/>
  <c r="Y29" i="72"/>
  <c r="S29" i="72"/>
  <c r="M29" i="72"/>
  <c r="Y28" i="72"/>
  <c r="S28" i="72"/>
  <c r="M28" i="72"/>
  <c r="Y24" i="72"/>
  <c r="S24" i="72"/>
  <c r="M24" i="72"/>
  <c r="Y23" i="72"/>
  <c r="S23" i="72"/>
  <c r="M23" i="72"/>
  <c r="Y22" i="72"/>
  <c r="S22" i="72"/>
  <c r="M22" i="72"/>
  <c r="Y21" i="72"/>
  <c r="S21" i="72"/>
  <c r="M21" i="72"/>
  <c r="Y17" i="72"/>
  <c r="S17" i="72"/>
  <c r="M17" i="72"/>
  <c r="Y16" i="72"/>
  <c r="S16" i="72"/>
  <c r="M16" i="72"/>
  <c r="Y15" i="72"/>
  <c r="S15" i="72"/>
  <c r="M15" i="72"/>
  <c r="Y14" i="72"/>
  <c r="S14" i="72"/>
  <c r="M14" i="72"/>
  <c r="Y10" i="72"/>
  <c r="S10" i="72"/>
  <c r="M10" i="72"/>
  <c r="Y9" i="72"/>
  <c r="S9" i="72"/>
  <c r="M9" i="72"/>
  <c r="Y8" i="72"/>
  <c r="S8" i="72"/>
  <c r="M8" i="72"/>
  <c r="Y7" i="72"/>
  <c r="S7" i="72"/>
  <c r="E20" i="72"/>
  <c r="E19" i="72"/>
  <c r="E18" i="72"/>
  <c r="E17" i="72"/>
  <c r="E16" i="72"/>
  <c r="E15" i="72"/>
  <c r="E14" i="72"/>
  <c r="E13" i="72"/>
  <c r="E12" i="72"/>
  <c r="E11" i="72"/>
  <c r="E10" i="72"/>
  <c r="E9" i="72"/>
  <c r="E8" i="72"/>
  <c r="E7" i="72"/>
  <c r="E6" i="72"/>
  <c r="E5" i="72"/>
  <c r="Y56" i="272"/>
  <c r="Y55" i="272"/>
  <c r="S38" i="272"/>
  <c r="S37" i="272"/>
  <c r="S36" i="272"/>
  <c r="S35" i="272"/>
  <c r="M43" i="272"/>
  <c r="M42" i="272"/>
  <c r="M41" i="272"/>
  <c r="M40" i="272"/>
  <c r="M50" i="272"/>
  <c r="M49" i="272"/>
  <c r="M48" i="272"/>
  <c r="M47" i="272"/>
  <c r="Y31" i="272"/>
  <c r="S31" i="272"/>
  <c r="M31" i="272"/>
  <c r="Y30" i="272"/>
  <c r="S30" i="272"/>
  <c r="M30" i="272"/>
  <c r="Y29" i="272"/>
  <c r="S29" i="272"/>
  <c r="M29" i="272"/>
  <c r="Y28" i="272"/>
  <c r="S28" i="272"/>
  <c r="M28" i="272"/>
  <c r="Y24" i="272"/>
  <c r="S24" i="272"/>
  <c r="M24" i="272"/>
  <c r="Y23" i="272"/>
  <c r="S23" i="272"/>
  <c r="M23" i="272"/>
  <c r="Y22" i="272"/>
  <c r="S22" i="272"/>
  <c r="M22" i="272"/>
  <c r="Y21" i="272"/>
  <c r="S21" i="272"/>
  <c r="M21" i="272"/>
  <c r="Y17" i="272"/>
  <c r="S17" i="272"/>
  <c r="M17" i="272"/>
  <c r="Y16" i="272"/>
  <c r="S16" i="272"/>
  <c r="M16" i="272"/>
  <c r="Y15" i="272"/>
  <c r="S15" i="272"/>
  <c r="M15" i="272"/>
  <c r="Y14" i="272"/>
  <c r="S14" i="272"/>
  <c r="M14" i="272"/>
  <c r="Y10" i="272"/>
  <c r="S10" i="272"/>
  <c r="M10" i="272"/>
  <c r="Y9" i="272"/>
  <c r="S9" i="272"/>
  <c r="M9" i="272"/>
  <c r="Y8" i="272"/>
  <c r="S8" i="272"/>
  <c r="M8" i="272"/>
  <c r="Y7" i="272"/>
  <c r="S7" i="272"/>
  <c r="M7" i="272"/>
  <c r="S56" i="272"/>
  <c r="Z55" i="272"/>
  <c r="S55" i="272"/>
  <c r="S54" i="272"/>
  <c r="S53" i="272"/>
  <c r="Y52" i="272"/>
  <c r="Y51" i="272"/>
  <c r="G20" i="272"/>
  <c r="G21" i="272"/>
  <c r="G22" i="272"/>
  <c r="G23" i="272"/>
  <c r="H20" i="272"/>
  <c r="I20" i="272"/>
  <c r="J20" i="272"/>
  <c r="H21" i="272"/>
  <c r="I21" i="272"/>
  <c r="J21" i="272"/>
  <c r="H22" i="272"/>
  <c r="I22" i="272"/>
  <c r="J22" i="272"/>
  <c r="H23" i="272"/>
  <c r="I23" i="272"/>
  <c r="J23" i="272"/>
  <c r="G24" i="272"/>
  <c r="H24" i="272"/>
  <c r="I24" i="272"/>
  <c r="J24" i="272"/>
  <c r="G25" i="272"/>
  <c r="H25" i="272"/>
  <c r="I25" i="272"/>
  <c r="J25" i="272"/>
  <c r="G26" i="272"/>
  <c r="H26" i="272"/>
  <c r="I26" i="272"/>
  <c r="J26" i="272"/>
  <c r="G27" i="272"/>
  <c r="H27" i="272"/>
  <c r="I27" i="272"/>
  <c r="J27" i="272"/>
  <c r="G28" i="272"/>
  <c r="H28" i="272"/>
  <c r="I28" i="272"/>
  <c r="J28" i="272"/>
  <c r="S51" i="272"/>
  <c r="Y50" i="272"/>
  <c r="S50" i="272"/>
  <c r="Y49" i="272"/>
  <c r="S49" i="272"/>
  <c r="S48" i="272"/>
  <c r="Y45" i="272"/>
  <c r="Y44" i="272"/>
  <c r="S44" i="272"/>
  <c r="Y43" i="272"/>
  <c r="S43" i="272"/>
  <c r="Y42" i="272"/>
  <c r="S42" i="272"/>
  <c r="S41" i="272"/>
  <c r="Y38" i="272"/>
  <c r="Y37" i="272"/>
  <c r="Y36" i="272"/>
  <c r="Y35" i="272"/>
  <c r="J28" i="273"/>
  <c r="I28" i="273"/>
  <c r="H28" i="273"/>
  <c r="G28" i="273"/>
  <c r="J27" i="273"/>
  <c r="I27" i="273"/>
  <c r="H27" i="273"/>
  <c r="G27" i="273"/>
  <c r="J26" i="273"/>
  <c r="I26" i="273"/>
  <c r="H26" i="273"/>
  <c r="G26" i="273"/>
  <c r="J25" i="273"/>
  <c r="I25" i="273"/>
  <c r="H25" i="273"/>
  <c r="G25" i="273"/>
  <c r="J24" i="273"/>
  <c r="I24" i="273"/>
  <c r="H24" i="273"/>
  <c r="G24" i="273"/>
  <c r="J28" i="71"/>
  <c r="I28" i="71"/>
  <c r="H28" i="71"/>
  <c r="G28" i="71"/>
  <c r="J27" i="71"/>
  <c r="I27" i="71"/>
  <c r="H27" i="71"/>
  <c r="G27" i="71"/>
  <c r="J26" i="71"/>
  <c r="I26" i="71"/>
  <c r="H26" i="71"/>
  <c r="G26" i="71"/>
  <c r="J25" i="71"/>
  <c r="I25" i="71"/>
  <c r="H25" i="71"/>
  <c r="G25" i="71"/>
  <c r="J24" i="71"/>
  <c r="I24" i="71"/>
  <c r="H24" i="71"/>
  <c r="G24" i="71"/>
  <c r="J23" i="71"/>
  <c r="I23" i="71"/>
  <c r="H23" i="71"/>
  <c r="G23" i="71"/>
  <c r="J22" i="71"/>
  <c r="I22" i="71"/>
  <c r="H22" i="71"/>
  <c r="G22" i="71"/>
  <c r="J28" i="74"/>
  <c r="I28" i="74"/>
  <c r="H28" i="74"/>
  <c r="G28" i="74"/>
  <c r="J27" i="74"/>
  <c r="I27" i="74"/>
  <c r="H27" i="74"/>
  <c r="G27" i="74"/>
  <c r="J26" i="74"/>
  <c r="I26" i="74"/>
  <c r="H26" i="74"/>
  <c r="G26" i="74"/>
  <c r="J25" i="74"/>
  <c r="I25" i="74"/>
  <c r="H25" i="74"/>
  <c r="G25" i="74"/>
  <c r="J24" i="74"/>
  <c r="I24" i="74"/>
  <c r="H24" i="74"/>
  <c r="G24" i="74"/>
  <c r="J23" i="74"/>
  <c r="I23" i="74"/>
  <c r="H23" i="74"/>
  <c r="G23" i="74"/>
  <c r="J22" i="74"/>
  <c r="I22" i="74"/>
  <c r="H22" i="74"/>
  <c r="G22" i="74"/>
  <c r="J21" i="74"/>
  <c r="I21" i="74"/>
  <c r="H21" i="74"/>
  <c r="G21" i="74"/>
  <c r="J20" i="74"/>
  <c r="I20" i="74"/>
  <c r="H20" i="74"/>
  <c r="G20" i="74"/>
  <c r="J19" i="74"/>
  <c r="I19" i="74"/>
  <c r="H19" i="74"/>
  <c r="G19" i="74"/>
  <c r="J28" i="75"/>
  <c r="I28" i="75"/>
  <c r="H28" i="75"/>
  <c r="G28" i="75"/>
  <c r="J27" i="75"/>
  <c r="I27" i="75"/>
  <c r="H27" i="75"/>
  <c r="G27" i="75"/>
  <c r="J26" i="75"/>
  <c r="I26" i="75"/>
  <c r="H26" i="75"/>
  <c r="G26" i="75"/>
  <c r="J25" i="75"/>
  <c r="I25" i="75"/>
  <c r="H25" i="75"/>
  <c r="G25" i="75"/>
  <c r="J24" i="75"/>
  <c r="I24" i="75"/>
  <c r="H24" i="75"/>
  <c r="G24" i="75"/>
  <c r="J23" i="75"/>
  <c r="I23" i="75"/>
  <c r="H23" i="75"/>
  <c r="G23" i="75"/>
  <c r="J22" i="75"/>
  <c r="I22" i="75"/>
  <c r="H22" i="75"/>
  <c r="G22" i="75"/>
  <c r="J21" i="75"/>
  <c r="I21" i="75"/>
  <c r="H21" i="75"/>
  <c r="G21" i="75"/>
  <c r="J20" i="75"/>
  <c r="I20" i="75"/>
  <c r="H20" i="75"/>
  <c r="G20" i="75"/>
  <c r="J19" i="75"/>
  <c r="I19" i="75"/>
  <c r="H19" i="75"/>
  <c r="G19" i="75"/>
  <c r="J18" i="75"/>
  <c r="I18" i="75"/>
  <c r="H18" i="75"/>
  <c r="G18" i="75"/>
  <c r="J28" i="76"/>
  <c r="I28" i="76"/>
  <c r="H28" i="76"/>
  <c r="G28" i="76"/>
  <c r="J27" i="76"/>
  <c r="I27" i="76"/>
  <c r="H27" i="76"/>
  <c r="G27" i="76"/>
  <c r="J26" i="76"/>
  <c r="I26" i="76"/>
  <c r="H26" i="76"/>
  <c r="G26" i="76"/>
  <c r="J25" i="76"/>
  <c r="I25" i="76"/>
  <c r="H25" i="76"/>
  <c r="G25" i="76"/>
  <c r="J24" i="76"/>
  <c r="I24" i="76"/>
  <c r="H24" i="76"/>
  <c r="G24" i="76"/>
  <c r="J23" i="76"/>
  <c r="I23" i="76"/>
  <c r="H23" i="76"/>
  <c r="G23" i="76"/>
  <c r="J22" i="76"/>
  <c r="I22" i="76"/>
  <c r="H22" i="76"/>
  <c r="G22" i="76"/>
  <c r="J21" i="76"/>
  <c r="I21" i="76"/>
  <c r="H21" i="76"/>
  <c r="G21" i="76"/>
  <c r="J20" i="76"/>
  <c r="I20" i="76"/>
  <c r="H20" i="76"/>
  <c r="G20" i="76"/>
  <c r="J19" i="76"/>
  <c r="I19" i="76"/>
  <c r="H19" i="76"/>
  <c r="G19" i="76"/>
  <c r="J18" i="76"/>
  <c r="I18" i="76"/>
  <c r="H18" i="76"/>
  <c r="G18" i="76"/>
  <c r="J17" i="76"/>
  <c r="I17" i="76"/>
  <c r="H17" i="76"/>
  <c r="G17" i="76"/>
  <c r="J28" i="77"/>
  <c r="I28" i="77"/>
  <c r="H28" i="77"/>
  <c r="G28" i="77"/>
  <c r="J27" i="77"/>
  <c r="I27" i="77"/>
  <c r="H27" i="77"/>
  <c r="G27" i="77"/>
  <c r="J26" i="77"/>
  <c r="I26" i="77"/>
  <c r="H26" i="77"/>
  <c r="G26" i="77"/>
  <c r="J25" i="77"/>
  <c r="I25" i="77"/>
  <c r="H25" i="77"/>
  <c r="G25" i="77"/>
  <c r="J24" i="77"/>
  <c r="I24" i="77"/>
  <c r="H24" i="77"/>
  <c r="G24" i="77"/>
  <c r="J23" i="77"/>
  <c r="I23" i="77"/>
  <c r="H23" i="77"/>
  <c r="G23" i="77"/>
  <c r="J22" i="77"/>
  <c r="I22" i="77"/>
  <c r="H22" i="77"/>
  <c r="G22" i="77"/>
  <c r="J21" i="77"/>
  <c r="I21" i="77"/>
  <c r="H21" i="77"/>
  <c r="G21" i="77"/>
  <c r="J20" i="77"/>
  <c r="I20" i="77"/>
  <c r="H20" i="77"/>
  <c r="G20" i="77"/>
  <c r="J19" i="77"/>
  <c r="I19" i="77"/>
  <c r="H19" i="77"/>
  <c r="G19" i="77"/>
  <c r="J18" i="77"/>
  <c r="I18" i="77"/>
  <c r="H18" i="77"/>
  <c r="G18" i="77"/>
  <c r="J17" i="77"/>
  <c r="I17" i="77"/>
  <c r="H17" i="77"/>
  <c r="G17" i="77"/>
  <c r="J16" i="77"/>
  <c r="I16" i="77"/>
  <c r="H16" i="77"/>
  <c r="G16" i="77"/>
  <c r="J28" i="78"/>
  <c r="I28" i="78"/>
  <c r="H28" i="78"/>
  <c r="G28" i="78"/>
  <c r="J27" i="78"/>
  <c r="I27" i="78"/>
  <c r="H27" i="78"/>
  <c r="G27" i="78"/>
  <c r="J26" i="78"/>
  <c r="I26" i="78"/>
  <c r="H26" i="78"/>
  <c r="G26" i="78"/>
  <c r="J25" i="78"/>
  <c r="I25" i="78"/>
  <c r="H25" i="78"/>
  <c r="G25" i="78"/>
  <c r="J24" i="78"/>
  <c r="I24" i="78"/>
  <c r="H24" i="78"/>
  <c r="G24" i="78"/>
  <c r="J23" i="78"/>
  <c r="I23" i="78"/>
  <c r="H23" i="78"/>
  <c r="G23" i="78"/>
  <c r="J22" i="78"/>
  <c r="I22" i="78"/>
  <c r="H22" i="78"/>
  <c r="G22" i="78"/>
  <c r="J21" i="78"/>
  <c r="I21" i="78"/>
  <c r="H21" i="78"/>
  <c r="G21" i="78"/>
  <c r="J20" i="78"/>
  <c r="I20" i="78"/>
  <c r="H20" i="78"/>
  <c r="G20" i="78"/>
  <c r="J19" i="78"/>
  <c r="I19" i="78"/>
  <c r="H19" i="78"/>
  <c r="G19" i="78"/>
  <c r="J18" i="78"/>
  <c r="I18" i="78"/>
  <c r="H18" i="78"/>
  <c r="G18" i="78"/>
  <c r="J17" i="78"/>
  <c r="I17" i="78"/>
  <c r="H17" i="78"/>
  <c r="G17" i="78"/>
  <c r="J16" i="78"/>
  <c r="I16" i="78"/>
  <c r="H16" i="78"/>
  <c r="G16" i="78"/>
  <c r="J15" i="78"/>
  <c r="I15" i="78"/>
  <c r="H15" i="78"/>
  <c r="G15" i="78"/>
  <c r="J28" i="79"/>
  <c r="I28" i="79"/>
  <c r="H28" i="79"/>
  <c r="G28" i="79"/>
  <c r="J27" i="79"/>
  <c r="I27" i="79"/>
  <c r="H27" i="79"/>
  <c r="G27" i="79"/>
  <c r="J26" i="79"/>
  <c r="I26" i="79"/>
  <c r="H26" i="79"/>
  <c r="G26" i="79"/>
  <c r="J25" i="79"/>
  <c r="I25" i="79"/>
  <c r="H25" i="79"/>
  <c r="G25" i="79"/>
  <c r="J24" i="79"/>
  <c r="I24" i="79"/>
  <c r="H24" i="79"/>
  <c r="G24" i="79"/>
  <c r="J23" i="79"/>
  <c r="I23" i="79"/>
  <c r="H23" i="79"/>
  <c r="G23" i="79"/>
  <c r="J22" i="79"/>
  <c r="I22" i="79"/>
  <c r="H22" i="79"/>
  <c r="G22" i="79"/>
  <c r="J21" i="79"/>
  <c r="I21" i="79"/>
  <c r="H21" i="79"/>
  <c r="G21" i="79"/>
  <c r="J20" i="79"/>
  <c r="I20" i="79"/>
  <c r="H20" i="79"/>
  <c r="G20" i="79"/>
  <c r="J19" i="79"/>
  <c r="I19" i="79"/>
  <c r="H19" i="79"/>
  <c r="G19" i="79"/>
  <c r="J18" i="79"/>
  <c r="I18" i="79"/>
  <c r="H18" i="79"/>
  <c r="G18" i="79"/>
  <c r="J17" i="79"/>
  <c r="I17" i="79"/>
  <c r="H17" i="79"/>
  <c r="G17" i="79"/>
  <c r="J16" i="79"/>
  <c r="I16" i="79"/>
  <c r="H16" i="79"/>
  <c r="G16" i="79"/>
  <c r="J15" i="79"/>
  <c r="I15" i="79"/>
  <c r="H15" i="79"/>
  <c r="G15" i="79"/>
  <c r="J14" i="79"/>
  <c r="I14" i="79"/>
  <c r="H14" i="79"/>
  <c r="G14" i="79"/>
  <c r="J28" i="266"/>
  <c r="I28" i="266"/>
  <c r="H28" i="266"/>
  <c r="G28" i="266"/>
  <c r="J27" i="266"/>
  <c r="I27" i="266"/>
  <c r="H27" i="266"/>
  <c r="G27" i="266"/>
  <c r="J26" i="266"/>
  <c r="I26" i="266"/>
  <c r="H26" i="266"/>
  <c r="G26" i="266"/>
  <c r="J25" i="266"/>
  <c r="I25" i="266"/>
  <c r="H25" i="266"/>
  <c r="G25" i="266"/>
  <c r="J24" i="266"/>
  <c r="I24" i="266"/>
  <c r="H24" i="266"/>
  <c r="G24" i="266"/>
  <c r="J23" i="266"/>
  <c r="I23" i="266"/>
  <c r="H23" i="266"/>
  <c r="G23" i="266"/>
  <c r="J22" i="266"/>
  <c r="I22" i="266"/>
  <c r="H22" i="266"/>
  <c r="G22" i="266"/>
  <c r="J21" i="266"/>
  <c r="I21" i="266"/>
  <c r="H21" i="266"/>
  <c r="G21" i="266"/>
  <c r="J20" i="266"/>
  <c r="I20" i="266"/>
  <c r="H20" i="266"/>
  <c r="G20" i="266"/>
  <c r="J19" i="266"/>
  <c r="I19" i="266"/>
  <c r="H19" i="266"/>
  <c r="G19" i="266"/>
  <c r="J18" i="266"/>
  <c r="I18" i="266"/>
  <c r="H18" i="266"/>
  <c r="G18" i="266"/>
  <c r="J17" i="266"/>
  <c r="I17" i="266"/>
  <c r="H17" i="266"/>
  <c r="G17" i="266"/>
  <c r="J16" i="266"/>
  <c r="I16" i="266"/>
  <c r="H16" i="266"/>
  <c r="G16" i="266"/>
  <c r="J15" i="266"/>
  <c r="I15" i="266"/>
  <c r="H15" i="266"/>
  <c r="G15" i="266"/>
  <c r="J14" i="266"/>
  <c r="I14" i="266"/>
  <c r="H14" i="266"/>
  <c r="G14" i="266"/>
  <c r="J13" i="266"/>
  <c r="I13" i="266"/>
  <c r="H13" i="266"/>
  <c r="G13" i="266"/>
  <c r="J12" i="266"/>
  <c r="I12" i="266"/>
  <c r="H12" i="266"/>
  <c r="G12" i="266"/>
  <c r="J28" i="82"/>
  <c r="I28" i="82"/>
  <c r="H28" i="82"/>
  <c r="G28" i="82"/>
  <c r="J27" i="82"/>
  <c r="I27" i="82"/>
  <c r="H27" i="82"/>
  <c r="G27" i="82"/>
  <c r="J26" i="82"/>
  <c r="I26" i="82"/>
  <c r="H26" i="82"/>
  <c r="G26" i="82"/>
  <c r="J25" i="82"/>
  <c r="I25" i="82"/>
  <c r="H25" i="82"/>
  <c r="G25" i="82"/>
  <c r="J24" i="82"/>
  <c r="I24" i="82"/>
  <c r="H24" i="82"/>
  <c r="G24" i="82"/>
  <c r="J23" i="82"/>
  <c r="I23" i="82"/>
  <c r="H23" i="82"/>
  <c r="G23" i="82"/>
  <c r="J22" i="82"/>
  <c r="I22" i="82"/>
  <c r="H22" i="82"/>
  <c r="G22" i="82"/>
  <c r="J21" i="82"/>
  <c r="I21" i="82"/>
  <c r="H21" i="82"/>
  <c r="G21" i="82"/>
  <c r="J20" i="82"/>
  <c r="I20" i="82"/>
  <c r="H20" i="82"/>
  <c r="G20" i="82"/>
  <c r="J19" i="82"/>
  <c r="I19" i="82"/>
  <c r="H19" i="82"/>
  <c r="G19" i="82"/>
  <c r="J18" i="82"/>
  <c r="I18" i="82"/>
  <c r="H18" i="82"/>
  <c r="G18" i="82"/>
  <c r="J17" i="82"/>
  <c r="I17" i="82"/>
  <c r="H17" i="82"/>
  <c r="G17" i="82"/>
  <c r="J16" i="82"/>
  <c r="I16" i="82"/>
  <c r="H16" i="82"/>
  <c r="G16" i="82"/>
  <c r="J15" i="82"/>
  <c r="I15" i="82"/>
  <c r="H15" i="82"/>
  <c r="G15" i="82"/>
  <c r="J14" i="82"/>
  <c r="I14" i="82"/>
  <c r="H14" i="82"/>
  <c r="G14" i="82"/>
  <c r="J13" i="82"/>
  <c r="I13" i="82"/>
  <c r="H13" i="82"/>
  <c r="G13" i="82"/>
  <c r="J12" i="82"/>
  <c r="I12" i="82"/>
  <c r="H12" i="82"/>
  <c r="G12" i="82"/>
  <c r="J11" i="82"/>
  <c r="I11" i="82"/>
  <c r="H11" i="82"/>
  <c r="G11" i="82"/>
  <c r="J28" i="84"/>
  <c r="I28" i="84"/>
  <c r="H28" i="84"/>
  <c r="G28" i="84"/>
  <c r="J27" i="84"/>
  <c r="I27" i="84"/>
  <c r="H27" i="84"/>
  <c r="G27" i="84"/>
  <c r="J26" i="84"/>
  <c r="I26" i="84"/>
  <c r="H26" i="84"/>
  <c r="G26" i="84"/>
  <c r="J25" i="84"/>
  <c r="I25" i="84"/>
  <c r="H25" i="84"/>
  <c r="G25" i="84"/>
  <c r="J24" i="84"/>
  <c r="I24" i="84"/>
  <c r="H24" i="84"/>
  <c r="G24" i="84"/>
  <c r="J23" i="84"/>
  <c r="I23" i="84"/>
  <c r="H23" i="84"/>
  <c r="G23" i="84"/>
  <c r="J22" i="84"/>
  <c r="I22" i="84"/>
  <c r="H22" i="84"/>
  <c r="G22" i="84"/>
  <c r="J21" i="84"/>
  <c r="I21" i="84"/>
  <c r="H21" i="84"/>
  <c r="G21" i="84"/>
  <c r="J20" i="84"/>
  <c r="I20" i="84"/>
  <c r="H20" i="84"/>
  <c r="G20" i="84"/>
  <c r="J19" i="84"/>
  <c r="I19" i="84"/>
  <c r="H19" i="84"/>
  <c r="G19" i="84"/>
  <c r="J18" i="84"/>
  <c r="I18" i="84"/>
  <c r="H18" i="84"/>
  <c r="G18" i="84"/>
  <c r="J17" i="84"/>
  <c r="I17" i="84"/>
  <c r="H17" i="84"/>
  <c r="G17" i="84"/>
  <c r="J16" i="84"/>
  <c r="I16" i="84"/>
  <c r="H16" i="84"/>
  <c r="G16" i="84"/>
  <c r="J15" i="84"/>
  <c r="I15" i="84"/>
  <c r="H15" i="84"/>
  <c r="G15" i="84"/>
  <c r="J14" i="84"/>
  <c r="I14" i="84"/>
  <c r="H14" i="84"/>
  <c r="G14" i="84"/>
  <c r="J13" i="84"/>
  <c r="I13" i="84"/>
  <c r="H13" i="84"/>
  <c r="G13" i="84"/>
  <c r="J12" i="84"/>
  <c r="I12" i="84"/>
  <c r="H12" i="84"/>
  <c r="G12" i="84"/>
  <c r="J11" i="84"/>
  <c r="I11" i="84"/>
  <c r="H11" i="84"/>
  <c r="G11" i="84"/>
  <c r="J10" i="84"/>
  <c r="I10" i="84"/>
  <c r="H10" i="84"/>
  <c r="G10" i="84"/>
  <c r="J28" i="86"/>
  <c r="I28" i="86"/>
  <c r="H28" i="86"/>
  <c r="G28" i="86"/>
  <c r="J27" i="86"/>
  <c r="I27" i="86"/>
  <c r="H27" i="86"/>
  <c r="G27" i="86"/>
  <c r="J26" i="86"/>
  <c r="I26" i="86"/>
  <c r="H26" i="86"/>
  <c r="G26" i="86"/>
  <c r="J25" i="86"/>
  <c r="I25" i="86"/>
  <c r="H25" i="86"/>
  <c r="G25" i="86"/>
  <c r="J24" i="86"/>
  <c r="I24" i="86"/>
  <c r="H24" i="86"/>
  <c r="G24" i="86"/>
  <c r="J23" i="86"/>
  <c r="I23" i="86"/>
  <c r="H23" i="86"/>
  <c r="G23" i="86"/>
  <c r="J22" i="86"/>
  <c r="I22" i="86"/>
  <c r="H22" i="86"/>
  <c r="G22" i="86"/>
  <c r="J21" i="86"/>
  <c r="I21" i="86"/>
  <c r="H21" i="86"/>
  <c r="G21" i="86"/>
  <c r="J20" i="86"/>
  <c r="I20" i="86"/>
  <c r="H20" i="86"/>
  <c r="G20" i="86"/>
  <c r="J19" i="86"/>
  <c r="I19" i="86"/>
  <c r="H19" i="86"/>
  <c r="G19" i="86"/>
  <c r="J18" i="86"/>
  <c r="I18" i="86"/>
  <c r="H18" i="86"/>
  <c r="G18" i="86"/>
  <c r="J17" i="86"/>
  <c r="I17" i="86"/>
  <c r="H17" i="86"/>
  <c r="G17" i="86"/>
  <c r="J16" i="86"/>
  <c r="I16" i="86"/>
  <c r="H16" i="86"/>
  <c r="G16" i="86"/>
  <c r="J15" i="86"/>
  <c r="I15" i="86"/>
  <c r="H15" i="86"/>
  <c r="G15" i="86"/>
  <c r="J14" i="86"/>
  <c r="I14" i="86"/>
  <c r="H14" i="86"/>
  <c r="G14" i="86"/>
  <c r="J13" i="86"/>
  <c r="I13" i="86"/>
  <c r="H13" i="86"/>
  <c r="G13" i="86"/>
  <c r="J12" i="86"/>
  <c r="I12" i="86"/>
  <c r="H12" i="86"/>
  <c r="G12" i="86"/>
  <c r="J11" i="86"/>
  <c r="I11" i="86"/>
  <c r="H11" i="86"/>
  <c r="G11" i="86"/>
  <c r="J10" i="86"/>
  <c r="I10" i="86"/>
  <c r="H10" i="86"/>
  <c r="G10" i="86"/>
  <c r="J9" i="86"/>
  <c r="I9" i="86"/>
  <c r="H9" i="86"/>
  <c r="G9" i="86"/>
  <c r="J8" i="86"/>
  <c r="I8" i="86"/>
  <c r="H8" i="86"/>
  <c r="G8" i="86"/>
  <c r="G13" i="80"/>
  <c r="H13" i="80"/>
  <c r="I13" i="80"/>
  <c r="J13" i="80"/>
  <c r="G14" i="80"/>
  <c r="H14" i="80"/>
  <c r="I14" i="80"/>
  <c r="J14" i="80"/>
  <c r="G15" i="80"/>
  <c r="H15" i="80"/>
  <c r="I15" i="80"/>
  <c r="J15" i="80"/>
  <c r="G16" i="80"/>
  <c r="H16" i="80"/>
  <c r="I16" i="80"/>
  <c r="J16" i="80"/>
  <c r="G17" i="80"/>
  <c r="H17" i="80"/>
  <c r="I17" i="80"/>
  <c r="J17" i="80"/>
  <c r="G18" i="80"/>
  <c r="H18" i="80"/>
  <c r="I18" i="80"/>
  <c r="J18" i="80"/>
  <c r="G19" i="80"/>
  <c r="H19" i="80"/>
  <c r="I19" i="80"/>
  <c r="J19" i="80"/>
  <c r="G20" i="80"/>
  <c r="H20" i="80"/>
  <c r="I20" i="80"/>
  <c r="J20" i="80"/>
  <c r="G21" i="80"/>
  <c r="H21" i="80"/>
  <c r="I21" i="80"/>
  <c r="J21" i="80"/>
  <c r="G22" i="80"/>
  <c r="H22" i="80"/>
  <c r="I22" i="80"/>
  <c r="J22" i="80"/>
  <c r="G23" i="80"/>
  <c r="H23" i="80"/>
  <c r="I23" i="80"/>
  <c r="J23" i="80"/>
  <c r="G24" i="80"/>
  <c r="H24" i="80"/>
  <c r="I24" i="80"/>
  <c r="J24" i="80"/>
  <c r="G25" i="80"/>
  <c r="H25" i="80"/>
  <c r="I25" i="80"/>
  <c r="J25" i="80"/>
  <c r="G26" i="80"/>
  <c r="H26" i="80"/>
  <c r="I26" i="80"/>
  <c r="J26" i="80"/>
  <c r="G27" i="80"/>
  <c r="H27" i="80"/>
  <c r="I27" i="80"/>
  <c r="J27" i="80"/>
  <c r="G28" i="80"/>
  <c r="H28" i="80"/>
  <c r="I28" i="80"/>
  <c r="J28" i="80"/>
  <c r="Y52" i="74"/>
  <c r="S52" i="74"/>
  <c r="Y51" i="74"/>
  <c r="S51" i="74"/>
  <c r="Y50" i="74"/>
  <c r="S50" i="74"/>
  <c r="Y49" i="74"/>
  <c r="S49" i="74"/>
  <c r="Y45" i="74"/>
  <c r="S45" i="74"/>
  <c r="Y44" i="74"/>
  <c r="S44" i="74"/>
  <c r="Y43" i="74"/>
  <c r="S43" i="74"/>
  <c r="Y42" i="74"/>
  <c r="S42" i="74"/>
  <c r="Y38" i="74"/>
  <c r="S38" i="74"/>
  <c r="Y37" i="74"/>
  <c r="S37" i="74"/>
  <c r="Y36" i="74"/>
  <c r="S36" i="74"/>
  <c r="Y35" i="74"/>
  <c r="S35" i="74"/>
  <c r="Y31" i="74"/>
  <c r="S31" i="74"/>
  <c r="M31" i="74"/>
  <c r="Y30" i="74"/>
  <c r="S30" i="74"/>
  <c r="M30" i="74"/>
  <c r="Y29" i="74"/>
  <c r="S29" i="74"/>
  <c r="M29" i="74"/>
  <c r="Y28" i="74"/>
  <c r="S28" i="74"/>
  <c r="M28" i="74"/>
  <c r="Y24" i="74"/>
  <c r="S24" i="74"/>
  <c r="M24" i="74"/>
  <c r="Y23" i="74"/>
  <c r="S23" i="74"/>
  <c r="M23" i="74"/>
  <c r="Y22" i="74"/>
  <c r="S22" i="74"/>
  <c r="M22" i="74"/>
  <c r="Y21" i="74"/>
  <c r="S21" i="74"/>
  <c r="M21" i="74"/>
  <c r="Y17" i="74"/>
  <c r="S17" i="74"/>
  <c r="M17" i="74"/>
  <c r="Y16" i="74"/>
  <c r="S16" i="74"/>
  <c r="M16" i="74"/>
  <c r="Y15" i="74"/>
  <c r="S15" i="74"/>
  <c r="M15" i="74"/>
  <c r="Y14" i="74"/>
  <c r="S14" i="74"/>
  <c r="M14" i="74"/>
  <c r="Y10" i="74"/>
  <c r="S10" i="74"/>
  <c r="M10" i="74"/>
  <c r="Y9" i="74"/>
  <c r="S9" i="74"/>
  <c r="M9" i="74"/>
  <c r="Y8" i="74"/>
  <c r="S8" i="74"/>
  <c r="M8" i="74"/>
  <c r="Y7" i="74"/>
  <c r="S7" i="74"/>
  <c r="M7" i="74"/>
  <c r="S51" i="75"/>
  <c r="S50" i="75"/>
  <c r="Y47" i="75"/>
  <c r="Y46" i="75"/>
  <c r="Y45" i="75"/>
  <c r="S45" i="75"/>
  <c r="Y44" i="75"/>
  <c r="S44" i="75"/>
  <c r="U43" i="75"/>
  <c r="S43" i="75"/>
  <c r="S42" i="75"/>
  <c r="Y38" i="75"/>
  <c r="U38" i="75"/>
  <c r="S38" i="75"/>
  <c r="Y37" i="75"/>
  <c r="S37" i="75"/>
  <c r="Y36" i="75"/>
  <c r="U36" i="75"/>
  <c r="S36" i="75"/>
  <c r="Y35" i="75"/>
  <c r="S35" i="75"/>
  <c r="M31" i="75"/>
  <c r="M30" i="75"/>
  <c r="M29" i="75"/>
  <c r="M28" i="75"/>
  <c r="M24" i="75"/>
  <c r="M23" i="75"/>
  <c r="M22" i="75"/>
  <c r="M21" i="75"/>
  <c r="M17" i="75"/>
  <c r="M16" i="75"/>
  <c r="M15" i="75"/>
  <c r="M14" i="75"/>
  <c r="M10" i="75"/>
  <c r="M9" i="75"/>
  <c r="M8" i="75"/>
  <c r="M7" i="75"/>
  <c r="S48" i="77"/>
  <c r="S47" i="77"/>
  <c r="S46" i="77"/>
  <c r="S45" i="77"/>
  <c r="S37" i="77"/>
  <c r="S36" i="77"/>
  <c r="M51" i="77"/>
  <c r="M50" i="77"/>
  <c r="M44" i="77"/>
  <c r="M43" i="77"/>
  <c r="M37" i="77"/>
  <c r="M36" i="77"/>
  <c r="Y39" i="77"/>
  <c r="Y38" i="77"/>
  <c r="Y37" i="77"/>
  <c r="Y36" i="77"/>
  <c r="Y31" i="77"/>
  <c r="Y30" i="77"/>
  <c r="Y29" i="77"/>
  <c r="Y28" i="77"/>
  <c r="Y24" i="77"/>
  <c r="Y23" i="77"/>
  <c r="Y22" i="77"/>
  <c r="Y21" i="77"/>
  <c r="Y17" i="77"/>
  <c r="Y16" i="77"/>
  <c r="Y15" i="77"/>
  <c r="Y14" i="77"/>
  <c r="Y10" i="77"/>
  <c r="Y9" i="77"/>
  <c r="Y8" i="77"/>
  <c r="Y7" i="77"/>
  <c r="S31" i="77"/>
  <c r="S30" i="77"/>
  <c r="S29" i="77"/>
  <c r="S28" i="77"/>
  <c r="S24" i="77"/>
  <c r="S23" i="77"/>
  <c r="S22" i="77"/>
  <c r="S21" i="77"/>
  <c r="S17" i="77"/>
  <c r="S16" i="77"/>
  <c r="S15" i="77"/>
  <c r="S14" i="77"/>
  <c r="S10" i="77"/>
  <c r="S9" i="77"/>
  <c r="S8" i="77"/>
  <c r="S7" i="77"/>
  <c r="M31" i="77"/>
  <c r="M30" i="77"/>
  <c r="M29" i="77"/>
  <c r="M28" i="77"/>
  <c r="M24" i="77"/>
  <c r="M23" i="77"/>
  <c r="M22" i="77"/>
  <c r="M21" i="77"/>
  <c r="M17" i="77"/>
  <c r="M16" i="77"/>
  <c r="M15" i="77"/>
  <c r="M14" i="77"/>
  <c r="M10" i="77"/>
  <c r="M9" i="77"/>
  <c r="M8" i="77"/>
  <c r="M7" i="77"/>
  <c r="M31" i="80"/>
  <c r="M30" i="80"/>
  <c r="M29" i="80"/>
  <c r="M28" i="80"/>
  <c r="M24" i="80"/>
  <c r="M23" i="80"/>
  <c r="M22" i="80"/>
  <c r="M21" i="80"/>
  <c r="M17" i="80"/>
  <c r="M16" i="80"/>
  <c r="M15" i="80"/>
  <c r="M14" i="80"/>
  <c r="M10" i="80"/>
  <c r="M9" i="80"/>
  <c r="M8" i="80"/>
  <c r="M7" i="80"/>
  <c r="Y45" i="78"/>
  <c r="Y44" i="78"/>
  <c r="S45" i="78"/>
  <c r="S44" i="78"/>
  <c r="R43" i="78"/>
  <c r="S43" i="78"/>
  <c r="Y30" i="78"/>
  <c r="Y31" i="75"/>
  <c r="Y30" i="75"/>
  <c r="Y29" i="75"/>
  <c r="Y28" i="75"/>
  <c r="Y24" i="75"/>
  <c r="Y23" i="75"/>
  <c r="Y22" i="75"/>
  <c r="Y21" i="75"/>
  <c r="Y17" i="75"/>
  <c r="Y16" i="75"/>
  <c r="Y15" i="75"/>
  <c r="Y14" i="75"/>
  <c r="Y10" i="75"/>
  <c r="Y9" i="75"/>
  <c r="Y8" i="75"/>
  <c r="Y7" i="75"/>
  <c r="S31" i="75"/>
  <c r="S30" i="75"/>
  <c r="S29" i="75"/>
  <c r="S28" i="75"/>
  <c r="S24" i="75"/>
  <c r="S23" i="75"/>
  <c r="S22" i="75"/>
  <c r="S21" i="75"/>
  <c r="S17" i="75"/>
  <c r="S16" i="75"/>
  <c r="S15" i="75"/>
  <c r="S14" i="75"/>
  <c r="S10" i="75"/>
  <c r="S9" i="75"/>
  <c r="S8" i="75"/>
  <c r="S7" i="75"/>
  <c r="Y45" i="76"/>
  <c r="Y44" i="76"/>
  <c r="Y43" i="76"/>
  <c r="Y42" i="76"/>
  <c r="Y38" i="76"/>
  <c r="Y37" i="76"/>
  <c r="Y36" i="76"/>
  <c r="Y35" i="76"/>
  <c r="Y31" i="76"/>
  <c r="Y30" i="76"/>
  <c r="Y29" i="76"/>
  <c r="Y28" i="76"/>
  <c r="Y24" i="76"/>
  <c r="Y23" i="76"/>
  <c r="Y22" i="76"/>
  <c r="Y21" i="76"/>
  <c r="Y17" i="76"/>
  <c r="Y16" i="76"/>
  <c r="Y15" i="76"/>
  <c r="Y14" i="76"/>
  <c r="Y10" i="76"/>
  <c r="Y9" i="76"/>
  <c r="Y8" i="76"/>
  <c r="Y7" i="76"/>
  <c r="Q59" i="76"/>
  <c r="Q60" i="76"/>
  <c r="Q61" i="76"/>
  <c r="Q62" i="76"/>
  <c r="S45" i="76"/>
  <c r="S44" i="76"/>
  <c r="S43" i="76"/>
  <c r="S42" i="76"/>
  <c r="S38" i="76"/>
  <c r="S37" i="76"/>
  <c r="S36" i="76"/>
  <c r="S35" i="76"/>
  <c r="S31" i="76"/>
  <c r="S30" i="76"/>
  <c r="S29" i="76"/>
  <c r="S28" i="76"/>
  <c r="S24" i="76"/>
  <c r="S23" i="76"/>
  <c r="S22" i="76"/>
  <c r="S21" i="76"/>
  <c r="S17" i="76"/>
  <c r="S16" i="76"/>
  <c r="S15" i="76"/>
  <c r="S14" i="76"/>
  <c r="S10" i="76"/>
  <c r="S9" i="76"/>
  <c r="S8" i="76"/>
  <c r="S7" i="76"/>
  <c r="Y31" i="78"/>
  <c r="Y29" i="78"/>
  <c r="Y28" i="78"/>
  <c r="Y24" i="78"/>
  <c r="Y23" i="78"/>
  <c r="Y22" i="78"/>
  <c r="Y21" i="78"/>
  <c r="Y17" i="78"/>
  <c r="Y16" i="78"/>
  <c r="Y15" i="78"/>
  <c r="Y14" i="78"/>
  <c r="Y10" i="78"/>
  <c r="Y9" i="78"/>
  <c r="Y8" i="78"/>
  <c r="Y7" i="78"/>
  <c r="S31" i="78"/>
  <c r="S30" i="78"/>
  <c r="S29" i="78"/>
  <c r="S28" i="78"/>
  <c r="S24" i="78"/>
  <c r="S23" i="78"/>
  <c r="S22" i="78"/>
  <c r="S21" i="78"/>
  <c r="S17" i="78"/>
  <c r="S16" i="78"/>
  <c r="S15" i="78"/>
  <c r="S14" i="78"/>
  <c r="S10" i="78"/>
  <c r="S9" i="78"/>
  <c r="S8" i="78"/>
  <c r="S7" i="78"/>
  <c r="S36" i="79"/>
  <c r="S35" i="79"/>
  <c r="Y36" i="79"/>
  <c r="Y35" i="79"/>
  <c r="Y31" i="79"/>
  <c r="Y30" i="79"/>
  <c r="Y29" i="79"/>
  <c r="Y28" i="79"/>
  <c r="Y24" i="79"/>
  <c r="Y23" i="79"/>
  <c r="Y22" i="79"/>
  <c r="Y21" i="79"/>
  <c r="Y17" i="79"/>
  <c r="Y16" i="79"/>
  <c r="Y15" i="79"/>
  <c r="Y14" i="79"/>
  <c r="Y10" i="79"/>
  <c r="Y9" i="79"/>
  <c r="Y8" i="79"/>
  <c r="Y7" i="79"/>
  <c r="S31" i="79"/>
  <c r="S30" i="79"/>
  <c r="S29" i="79"/>
  <c r="S28" i="79"/>
  <c r="S24" i="79"/>
  <c r="S23" i="79"/>
  <c r="S22" i="79"/>
  <c r="S21" i="79"/>
  <c r="S17" i="79"/>
  <c r="S16" i="79"/>
  <c r="S15" i="79"/>
  <c r="S14" i="79"/>
  <c r="S10" i="79"/>
  <c r="S9" i="79"/>
  <c r="S8" i="79"/>
  <c r="S7" i="79"/>
  <c r="Y31" i="80"/>
  <c r="Y30" i="80"/>
  <c r="Y29" i="80"/>
  <c r="Y28" i="80"/>
  <c r="Y24" i="80"/>
  <c r="Y23" i="80"/>
  <c r="Y22" i="80"/>
  <c r="Y21" i="80"/>
  <c r="Y17" i="80"/>
  <c r="Y16" i="80"/>
  <c r="Y15" i="80"/>
  <c r="Y14" i="80"/>
  <c r="Y10" i="80"/>
  <c r="Y9" i="80"/>
  <c r="Y8" i="80"/>
  <c r="Y7" i="80"/>
  <c r="S31" i="80"/>
  <c r="S30" i="80"/>
  <c r="S29" i="80"/>
  <c r="S28" i="80"/>
  <c r="S24" i="80"/>
  <c r="S23" i="80"/>
  <c r="S22" i="80"/>
  <c r="S21" i="80"/>
  <c r="S17" i="80"/>
  <c r="S16" i="80"/>
  <c r="S15" i="80"/>
  <c r="S14" i="80"/>
  <c r="S10" i="80"/>
  <c r="S9" i="80"/>
  <c r="S8" i="80"/>
  <c r="S7" i="80"/>
  <c r="Y24" i="266"/>
  <c r="Y23" i="266"/>
  <c r="Y22" i="266"/>
  <c r="Y21" i="266"/>
  <c r="Y17" i="266"/>
  <c r="Y16" i="266"/>
  <c r="Y15" i="266"/>
  <c r="Y14" i="266"/>
  <c r="Y10" i="266"/>
  <c r="Y9" i="266"/>
  <c r="Y8" i="266"/>
  <c r="Y7" i="266"/>
  <c r="S28" i="266"/>
  <c r="S27" i="266"/>
  <c r="S26" i="266"/>
  <c r="S25" i="266"/>
  <c r="S23" i="266"/>
  <c r="S22" i="266"/>
  <c r="S21" i="266"/>
  <c r="S20" i="266"/>
  <c r="S16" i="266"/>
  <c r="S15" i="266"/>
  <c r="S14" i="266"/>
  <c r="S13" i="266"/>
  <c r="S10" i="266"/>
  <c r="S9" i="266"/>
  <c r="S8" i="266"/>
  <c r="S7" i="266"/>
  <c r="Y24" i="82"/>
  <c r="Y23" i="82"/>
  <c r="Y22" i="82"/>
  <c r="Y21" i="82"/>
  <c r="Y17" i="82"/>
  <c r="Y16" i="82"/>
  <c r="Y15" i="82"/>
  <c r="Y14" i="82"/>
  <c r="Y10" i="82"/>
  <c r="Y9" i="82"/>
  <c r="Y8" i="82"/>
  <c r="Y7" i="82"/>
  <c r="S24" i="82"/>
  <c r="S23" i="82"/>
  <c r="S22" i="82"/>
  <c r="S21" i="82"/>
  <c r="S17" i="82"/>
  <c r="S16" i="82"/>
  <c r="S15" i="82"/>
  <c r="S14" i="82"/>
  <c r="S10" i="82"/>
  <c r="S9" i="82"/>
  <c r="S8" i="82"/>
  <c r="S7" i="82"/>
  <c r="S23" i="84"/>
  <c r="S22" i="84"/>
  <c r="Y19" i="84"/>
  <c r="Y18" i="84"/>
  <c r="Y17" i="84"/>
  <c r="Y16" i="84"/>
  <c r="Y10" i="84"/>
  <c r="Y9" i="84"/>
  <c r="Y8" i="84"/>
  <c r="Y7" i="84"/>
  <c r="S17" i="84"/>
  <c r="S16" i="84"/>
  <c r="S15" i="84"/>
  <c r="S14" i="84"/>
  <c r="S10" i="84"/>
  <c r="S9" i="84"/>
  <c r="S8" i="84"/>
  <c r="S7" i="84"/>
  <c r="M22" i="86"/>
  <c r="M21" i="86"/>
  <c r="M15" i="86"/>
  <c r="M14" i="86"/>
  <c r="M8" i="86"/>
  <c r="M7" i="86"/>
  <c r="S8" i="86"/>
  <c r="S7" i="86"/>
  <c r="Y15" i="86"/>
  <c r="Y14" i="86"/>
  <c r="Y10" i="86"/>
  <c r="Y9" i="86"/>
  <c r="Y8" i="86"/>
  <c r="Y7" i="86"/>
  <c r="S19" i="86"/>
  <c r="S18" i="86"/>
  <c r="S17" i="86"/>
  <c r="S16" i="86"/>
  <c r="M29" i="85"/>
  <c r="M28" i="85"/>
  <c r="M22" i="85"/>
  <c r="M21" i="85"/>
  <c r="M15" i="85"/>
  <c r="M14" i="85"/>
  <c r="M8" i="85"/>
  <c r="M7" i="85"/>
  <c r="E9" i="85"/>
  <c r="E10" i="85"/>
  <c r="E11" i="85"/>
  <c r="E12" i="85"/>
  <c r="E13" i="85"/>
  <c r="E14" i="85"/>
  <c r="E15" i="85"/>
  <c r="E16" i="85"/>
  <c r="E17" i="85"/>
  <c r="E18" i="85"/>
  <c r="E19" i="85"/>
  <c r="E20" i="85"/>
  <c r="E21" i="85"/>
  <c r="E22" i="85"/>
  <c r="E23" i="85"/>
  <c r="E24" i="85"/>
  <c r="E25" i="85"/>
  <c r="E26" i="85"/>
  <c r="E27" i="85"/>
  <c r="E28" i="85"/>
  <c r="U37" i="77"/>
  <c r="R62" i="76"/>
  <c r="R61" i="76"/>
  <c r="R60" i="76"/>
  <c r="R59" i="76"/>
  <c r="Q43" i="78"/>
  <c r="P43" i="78"/>
  <c r="K13" i="84"/>
  <c r="Q9" i="84"/>
  <c r="Z61" i="323"/>
  <c r="AE82" i="323"/>
  <c r="AE81" i="323"/>
  <c r="AE80" i="323"/>
  <c r="I62" i="323"/>
  <c r="S62" i="323"/>
  <c r="Y60" i="323"/>
  <c r="AE53" i="323"/>
  <c r="AE52" i="323"/>
  <c r="AE51" i="323"/>
  <c r="S33" i="323"/>
  <c r="I33" i="323"/>
  <c r="O1" i="197"/>
  <c r="P1" i="197"/>
  <c r="G62" i="323"/>
  <c r="H81" i="323"/>
  <c r="H79" i="323"/>
  <c r="A67" i="323"/>
  <c r="M82" i="323"/>
  <c r="M80" i="323"/>
  <c r="M81" i="323"/>
  <c r="H82" i="323"/>
  <c r="H80" i="323"/>
  <c r="M79" i="323"/>
  <c r="AC53" i="323"/>
  <c r="AC52" i="323"/>
  <c r="AC51" i="323"/>
  <c r="AC50" i="323"/>
  <c r="X53" i="323"/>
  <c r="X52" i="323"/>
  <c r="X51" i="323"/>
  <c r="X50" i="323"/>
  <c r="M52" i="323"/>
  <c r="M51" i="323"/>
  <c r="H53" i="323"/>
  <c r="H52" i="323"/>
  <c r="H51" i="323"/>
  <c r="M53" i="323"/>
  <c r="M50" i="323"/>
  <c r="H50" i="323"/>
  <c r="A38" i="323"/>
  <c r="O53" i="323"/>
  <c r="O52" i="323"/>
  <c r="O51" i="323"/>
  <c r="Q38" i="323"/>
  <c r="AE45" i="323"/>
  <c r="S45" i="323"/>
  <c r="Y44" i="323"/>
  <c r="AE43" i="323"/>
  <c r="S43" i="323"/>
  <c r="Y42" i="323"/>
  <c r="AD45" i="323"/>
  <c r="Q45" i="323"/>
  <c r="X44" i="323"/>
  <c r="AD43" i="323"/>
  <c r="Q43" i="323"/>
  <c r="X42" i="323"/>
  <c r="AC45" i="323"/>
  <c r="O45" i="323"/>
  <c r="W44" i="323"/>
  <c r="AC43" i="323"/>
  <c r="O43" i="323"/>
  <c r="W42" i="323"/>
  <c r="AB45" i="323"/>
  <c r="N45" i="323"/>
  <c r="V44" i="323"/>
  <c r="AB43" i="323"/>
  <c r="N43" i="323"/>
  <c r="V42" i="323"/>
  <c r="AA45" i="323"/>
  <c r="M45" i="323"/>
  <c r="U44" i="323"/>
  <c r="AA43" i="323"/>
  <c r="M43" i="323"/>
  <c r="U42" i="323"/>
  <c r="Z45" i="323"/>
  <c r="L45" i="323"/>
  <c r="T44" i="323"/>
  <c r="Z43" i="323"/>
  <c r="L43" i="323"/>
  <c r="T42" i="323"/>
  <c r="L42" i="323"/>
  <c r="Y45" i="323"/>
  <c r="AE44" i="323"/>
  <c r="S44" i="323"/>
  <c r="Y43" i="323"/>
  <c r="AE42" i="323"/>
  <c r="S42" i="323"/>
  <c r="T43" i="323"/>
  <c r="X45" i="323"/>
  <c r="AD44" i="323"/>
  <c r="Q44" i="323"/>
  <c r="X43" i="323"/>
  <c r="AD42" i="323"/>
  <c r="Q42" i="323"/>
  <c r="Z42" i="323"/>
  <c r="W45" i="323"/>
  <c r="AC44" i="323"/>
  <c r="O44" i="323"/>
  <c r="W43" i="323"/>
  <c r="AC42" i="323"/>
  <c r="O42" i="323"/>
  <c r="Z44" i="323"/>
  <c r="V45" i="323"/>
  <c r="AB44" i="323"/>
  <c r="N44" i="323"/>
  <c r="V43" i="323"/>
  <c r="AB42" i="323"/>
  <c r="N42" i="323"/>
  <c r="L44" i="323"/>
  <c r="U45" i="323"/>
  <c r="AA44" i="323"/>
  <c r="M44" i="323"/>
  <c r="U43" i="323"/>
  <c r="AA42" i="323"/>
  <c r="M42" i="323"/>
  <c r="T45" i="323"/>
  <c r="O81" i="323"/>
  <c r="O82" i="323"/>
  <c r="O80" i="323"/>
  <c r="Q67" i="323"/>
  <c r="AC82" i="323"/>
  <c r="AC80" i="323"/>
  <c r="X82" i="323"/>
  <c r="X80" i="323"/>
  <c r="AC79" i="323"/>
  <c r="AC81" i="323"/>
  <c r="X79" i="323"/>
  <c r="X81" i="323"/>
  <c r="AE74" i="323"/>
  <c r="S74" i="323"/>
  <c r="Y73" i="323"/>
  <c r="AE72" i="323"/>
  <c r="S72" i="323"/>
  <c r="Y71" i="323"/>
  <c r="U74" i="323"/>
  <c r="AD74" i="323"/>
  <c r="Q74" i="323"/>
  <c r="X73" i="323"/>
  <c r="AD72" i="323"/>
  <c r="Q72" i="323"/>
  <c r="X71" i="323"/>
  <c r="M73" i="323"/>
  <c r="AC74" i="323"/>
  <c r="O74" i="323"/>
  <c r="W73" i="323"/>
  <c r="AC72" i="323"/>
  <c r="O72" i="323"/>
  <c r="W71" i="323"/>
  <c r="U72" i="323"/>
  <c r="AB74" i="323"/>
  <c r="N74" i="323"/>
  <c r="V73" i="323"/>
  <c r="AB72" i="323"/>
  <c r="N72" i="323"/>
  <c r="V71" i="323"/>
  <c r="AB71" i="323"/>
  <c r="AA74" i="323"/>
  <c r="M74" i="323"/>
  <c r="U73" i="323"/>
  <c r="AA72" i="323"/>
  <c r="M72" i="323"/>
  <c r="U71" i="323"/>
  <c r="N71" i="323"/>
  <c r="M71" i="323"/>
  <c r="Z74" i="323"/>
  <c r="L74" i="323"/>
  <c r="T73" i="323"/>
  <c r="Z72" i="323"/>
  <c r="L72" i="323"/>
  <c r="T71" i="323"/>
  <c r="V72" i="323"/>
  <c r="Y74" i="323"/>
  <c r="AE73" i="323"/>
  <c r="S73" i="323"/>
  <c r="Y72" i="323"/>
  <c r="AE71" i="323"/>
  <c r="S71" i="323"/>
  <c r="N73" i="323"/>
  <c r="AA71" i="323"/>
  <c r="X74" i="323"/>
  <c r="AD73" i="323"/>
  <c r="Q73" i="323"/>
  <c r="X72" i="323"/>
  <c r="AD71" i="323"/>
  <c r="Q71" i="323"/>
  <c r="AB73" i="323"/>
  <c r="W74" i="323"/>
  <c r="AC73" i="323"/>
  <c r="O73" i="323"/>
  <c r="W72" i="323"/>
  <c r="AC71" i="323"/>
  <c r="O71" i="323"/>
  <c r="V74" i="323"/>
  <c r="T74" i="323"/>
  <c r="Z73" i="323"/>
  <c r="L73" i="323"/>
  <c r="T72" i="323"/>
  <c r="Z71" i="323"/>
  <c r="L71" i="323"/>
  <c r="AA73" i="323"/>
  <c r="B120" i="35"/>
  <c r="B149" i="36"/>
  <c r="B294" i="35"/>
  <c r="B323" i="36"/>
  <c r="B352" i="35"/>
  <c r="B497" i="35"/>
  <c r="B526" i="35"/>
  <c r="C95" i="32"/>
  <c r="T68" i="182"/>
  <c r="FK3" i="11"/>
  <c r="FK4" i="11"/>
  <c r="FK5" i="11"/>
  <c r="FK6" i="11"/>
  <c r="FL3" i="11"/>
  <c r="FN3" i="11"/>
  <c r="FM3" i="11"/>
  <c r="FL4" i="11"/>
  <c r="FN4" i="11"/>
  <c r="FM4" i="11"/>
  <c r="FL5" i="11"/>
  <c r="FN5" i="11"/>
  <c r="FM5" i="11"/>
  <c r="FL6" i="11"/>
  <c r="FN6" i="11"/>
  <c r="FM6" i="11"/>
  <c r="FK7" i="11"/>
  <c r="FL7" i="11"/>
  <c r="FN7" i="11"/>
  <c r="FM7" i="11"/>
  <c r="FK8" i="11"/>
  <c r="FL8" i="11"/>
  <c r="FN8" i="11"/>
  <c r="FM8" i="11"/>
  <c r="FK9" i="11"/>
  <c r="FL9" i="11"/>
  <c r="FN9" i="11"/>
  <c r="FM9" i="11"/>
  <c r="FK10" i="11"/>
  <c r="FL10" i="11"/>
  <c r="FN10" i="11"/>
  <c r="FM10" i="11"/>
  <c r="FK11" i="11"/>
  <c r="FL11" i="11"/>
  <c r="FN11" i="11"/>
  <c r="FM11" i="11"/>
  <c r="FK12" i="11"/>
  <c r="FL12" i="11"/>
  <c r="FN12" i="11"/>
  <c r="FM12" i="11"/>
  <c r="FK13" i="11"/>
  <c r="FL13" i="11"/>
  <c r="FN13" i="11"/>
  <c r="FM13" i="11"/>
  <c r="FK14" i="11"/>
  <c r="FL14" i="11"/>
  <c r="FN14" i="11"/>
  <c r="FM14" i="11"/>
  <c r="FK15" i="11"/>
  <c r="FL15" i="11"/>
  <c r="FN15" i="11"/>
  <c r="FM15" i="11"/>
  <c r="FK16" i="11"/>
  <c r="FL16" i="11"/>
  <c r="FN16" i="11"/>
  <c r="FM16" i="11"/>
  <c r="FK17" i="11"/>
  <c r="FL17" i="11"/>
  <c r="FN17" i="11"/>
  <c r="FM17" i="11"/>
  <c r="FK18" i="11"/>
  <c r="FL18" i="11"/>
  <c r="FN18" i="11"/>
  <c r="FM18" i="11"/>
  <c r="FK19" i="11"/>
  <c r="FL19" i="11"/>
  <c r="FN19" i="11"/>
  <c r="FM19" i="11"/>
  <c r="FK20" i="11"/>
  <c r="FL20" i="11"/>
  <c r="FN20" i="11"/>
  <c r="FM20" i="11"/>
  <c r="FK21" i="11"/>
  <c r="FL21" i="11"/>
  <c r="FN21" i="11"/>
  <c r="FM21" i="11"/>
  <c r="FK22" i="11"/>
  <c r="FL22" i="11"/>
  <c r="FN22" i="11"/>
  <c r="FM22" i="11"/>
  <c r="FK23" i="11"/>
  <c r="FL23" i="11"/>
  <c r="FN23" i="11"/>
  <c r="FM23" i="11"/>
  <c r="FK24" i="11"/>
  <c r="FL24" i="11"/>
  <c r="FN24" i="11"/>
  <c r="FM24" i="11"/>
  <c r="FK25" i="11"/>
  <c r="FL25" i="11"/>
  <c r="FN25" i="11"/>
  <c r="FM25" i="11"/>
  <c r="FK26" i="11"/>
  <c r="FL26" i="11"/>
  <c r="FN26" i="11"/>
  <c r="FM26" i="11"/>
  <c r="FK27" i="11"/>
  <c r="FL27" i="11"/>
  <c r="FN27" i="11"/>
  <c r="FM27" i="11"/>
  <c r="FK28" i="11"/>
  <c r="FL28" i="11"/>
  <c r="FN28" i="11"/>
  <c r="FM28" i="11"/>
  <c r="FK29" i="11"/>
  <c r="FL29" i="11"/>
  <c r="FN29" i="11"/>
  <c r="FM29" i="11"/>
  <c r="FK30" i="11"/>
  <c r="FL30" i="11"/>
  <c r="FN30" i="11"/>
  <c r="FM30" i="11"/>
  <c r="FK31" i="11"/>
  <c r="FL31" i="11"/>
  <c r="FN31" i="11"/>
  <c r="FM31" i="11"/>
  <c r="FK32" i="11"/>
  <c r="FL32" i="11"/>
  <c r="FN32" i="11"/>
  <c r="FM32" i="11"/>
  <c r="FK33" i="11"/>
  <c r="FL33" i="11"/>
  <c r="FN33" i="11"/>
  <c r="FM33" i="11"/>
  <c r="FK34" i="11"/>
  <c r="FL34" i="11"/>
  <c r="FN34" i="11"/>
  <c r="FM34" i="11"/>
  <c r="FK35" i="11"/>
  <c r="FL35" i="11"/>
  <c r="FN35" i="11"/>
  <c r="FM35" i="11"/>
  <c r="FK36" i="11"/>
  <c r="FL36" i="11"/>
  <c r="FN36" i="11"/>
  <c r="FM36" i="11"/>
  <c r="FK37" i="11"/>
  <c r="FL37" i="11"/>
  <c r="FN37" i="11"/>
  <c r="FM37" i="11"/>
  <c r="FK38" i="11"/>
  <c r="FL38" i="11"/>
  <c r="FN38" i="11"/>
  <c r="FM38" i="11"/>
  <c r="FK39" i="11"/>
  <c r="FL39" i="11"/>
  <c r="FN39" i="11"/>
  <c r="FM39" i="11"/>
  <c r="FK40" i="11"/>
  <c r="FL40" i="11"/>
  <c r="FN40" i="11"/>
  <c r="FM40" i="11"/>
  <c r="FK41" i="11"/>
  <c r="FL41" i="11"/>
  <c r="FN41" i="11"/>
  <c r="FM41" i="11"/>
  <c r="FK42" i="11"/>
  <c r="FL42" i="11"/>
  <c r="FN42" i="11"/>
  <c r="FM42" i="11"/>
  <c r="FK43" i="11"/>
  <c r="FL43" i="11"/>
  <c r="FN43" i="11"/>
  <c r="FM43" i="11"/>
  <c r="FK44" i="11"/>
  <c r="FL44" i="11"/>
  <c r="FN44" i="11"/>
  <c r="FM44" i="11"/>
  <c r="FK45" i="11"/>
  <c r="FL45" i="11"/>
  <c r="FN45" i="11"/>
  <c r="FM45" i="11"/>
  <c r="FK46" i="11"/>
  <c r="FL46" i="11"/>
  <c r="FN46" i="11"/>
  <c r="FM46" i="11"/>
  <c r="FK47" i="11"/>
  <c r="FL47" i="11"/>
  <c r="FN47" i="11"/>
  <c r="FM47" i="11"/>
  <c r="FK48" i="11"/>
  <c r="FL48" i="11"/>
  <c r="FN48" i="11"/>
  <c r="FM48" i="11"/>
  <c r="FK49" i="11"/>
  <c r="FL49" i="11"/>
  <c r="FN49" i="11"/>
  <c r="FM49" i="11"/>
  <c r="FK50" i="11"/>
  <c r="FL50" i="11"/>
  <c r="FN50" i="11"/>
  <c r="FM50" i="11"/>
  <c r="FK51" i="11"/>
  <c r="FL51" i="11"/>
  <c r="FN51" i="11"/>
  <c r="FM51" i="11"/>
  <c r="FK52" i="11"/>
  <c r="FL52" i="11"/>
  <c r="FN52" i="11"/>
  <c r="FM52" i="11"/>
  <c r="FK53" i="11"/>
  <c r="FL53" i="11"/>
  <c r="FN53" i="11"/>
  <c r="FM53" i="11"/>
  <c r="FK54" i="11"/>
  <c r="FL54" i="11"/>
  <c r="FN54" i="11"/>
  <c r="FM54" i="11"/>
  <c r="FK55" i="11"/>
  <c r="FL55" i="11"/>
  <c r="FN55" i="11"/>
  <c r="FM55" i="11"/>
  <c r="FK56" i="11"/>
  <c r="FL56" i="11"/>
  <c r="FN56" i="11"/>
  <c r="FM56" i="11"/>
  <c r="FK57" i="11"/>
  <c r="FL57" i="11"/>
  <c r="FN57" i="11"/>
  <c r="FM57" i="11"/>
  <c r="FK58" i="11"/>
  <c r="FL58" i="11"/>
  <c r="FN58" i="11"/>
  <c r="FM58" i="11"/>
  <c r="FK59" i="11"/>
  <c r="FL59" i="11"/>
  <c r="FN59" i="11"/>
  <c r="FM59" i="11"/>
  <c r="FK60" i="11"/>
  <c r="FL60" i="11"/>
  <c r="FN60" i="11"/>
  <c r="FM60" i="11"/>
  <c r="FK61" i="11"/>
  <c r="FL61" i="11"/>
  <c r="FN61" i="11"/>
  <c r="FM61" i="11"/>
  <c r="FK62" i="11"/>
  <c r="FL62" i="11"/>
  <c r="FN62" i="11"/>
  <c r="FM62" i="11"/>
  <c r="FK63" i="11"/>
  <c r="FL63" i="11"/>
  <c r="FN63" i="11"/>
  <c r="FM63" i="11"/>
  <c r="FK64" i="11"/>
  <c r="FL64" i="11"/>
  <c r="FN64" i="11"/>
  <c r="FM64" i="11"/>
  <c r="FK65" i="11"/>
  <c r="FL65" i="11"/>
  <c r="FN65" i="11"/>
  <c r="FM65" i="11"/>
  <c r="FK66" i="11"/>
  <c r="FL66" i="11"/>
  <c r="FN66" i="11"/>
  <c r="FM66" i="11"/>
  <c r="FK67" i="11"/>
  <c r="FL67" i="11"/>
  <c r="FN67" i="11"/>
  <c r="FM67" i="11"/>
  <c r="FK68" i="11"/>
  <c r="FL68" i="11"/>
  <c r="FN68" i="11"/>
  <c r="FM68" i="11"/>
  <c r="FK69" i="11"/>
  <c r="FL69" i="11"/>
  <c r="FN69" i="11"/>
  <c r="FM69" i="11"/>
  <c r="FK70" i="11"/>
  <c r="FL70" i="11"/>
  <c r="FN70" i="11"/>
  <c r="FM70" i="11"/>
  <c r="FK71" i="11"/>
  <c r="FL71" i="11"/>
  <c r="FN71" i="11"/>
  <c r="FM71" i="11"/>
  <c r="FK72" i="11"/>
  <c r="FL72" i="11"/>
  <c r="FN72" i="11"/>
  <c r="FM72" i="11"/>
  <c r="FK73" i="11"/>
  <c r="FL73" i="11"/>
  <c r="FN73" i="11"/>
  <c r="FM73" i="11"/>
  <c r="FK74" i="11"/>
  <c r="FL74" i="11"/>
  <c r="FN74" i="11"/>
  <c r="FM74" i="11"/>
  <c r="FK75" i="11"/>
  <c r="FL75" i="11"/>
  <c r="FN75" i="11"/>
  <c r="FM75" i="11"/>
  <c r="FK76" i="11"/>
  <c r="FL76" i="11"/>
  <c r="FN76" i="11"/>
  <c r="FM76" i="11"/>
  <c r="FK77" i="11"/>
  <c r="FL77" i="11"/>
  <c r="FN77" i="11"/>
  <c r="FM77" i="11"/>
  <c r="FK78" i="11"/>
  <c r="FL78" i="11"/>
  <c r="FN78" i="11"/>
  <c r="FM78" i="11"/>
  <c r="FK79" i="11"/>
  <c r="FL79" i="11"/>
  <c r="FN79" i="11"/>
  <c r="FM79" i="11"/>
  <c r="FK80" i="11"/>
  <c r="FL80" i="11"/>
  <c r="FN80" i="11"/>
  <c r="FM80" i="11"/>
  <c r="FK81" i="11"/>
  <c r="FL81" i="11"/>
  <c r="FN81" i="11"/>
  <c r="FM81" i="11"/>
  <c r="FK82" i="11"/>
  <c r="FL82" i="11"/>
  <c r="FN82" i="11"/>
  <c r="FM82" i="11"/>
  <c r="FK83" i="11"/>
  <c r="FL83" i="11"/>
  <c r="FN83" i="11"/>
  <c r="FM83" i="11"/>
  <c r="FK84" i="11"/>
  <c r="FL84" i="11"/>
  <c r="FN84" i="11"/>
  <c r="FM84" i="11"/>
  <c r="FK85" i="11"/>
  <c r="FL85" i="11"/>
  <c r="FN85" i="11"/>
  <c r="FM85" i="11"/>
  <c r="FK86" i="11"/>
  <c r="FL86" i="11"/>
  <c r="FN86" i="11"/>
  <c r="FM86" i="11"/>
  <c r="FK87" i="11"/>
  <c r="FL87" i="11"/>
  <c r="FN87" i="11"/>
  <c r="FM87" i="11"/>
  <c r="FK88" i="11"/>
  <c r="FL88" i="11"/>
  <c r="FN88" i="11"/>
  <c r="FM88" i="11"/>
  <c r="FK89" i="11"/>
  <c r="FL89" i="11"/>
  <c r="FN89" i="11"/>
  <c r="FM89" i="11"/>
  <c r="FK90" i="11"/>
  <c r="FL90" i="11"/>
  <c r="FN90" i="11"/>
  <c r="FM90" i="11"/>
  <c r="FK91" i="11"/>
  <c r="FL91" i="11"/>
  <c r="FN91" i="11"/>
  <c r="FM91" i="11"/>
  <c r="FK92" i="11"/>
  <c r="FL92" i="11"/>
  <c r="FN92" i="11"/>
  <c r="FM92" i="11"/>
  <c r="FK93" i="11"/>
  <c r="FL93" i="11"/>
  <c r="FN93" i="11"/>
  <c r="FM93" i="11"/>
  <c r="FK94" i="11"/>
  <c r="FL94" i="11"/>
  <c r="FN94" i="11"/>
  <c r="FM94" i="11"/>
  <c r="FK95" i="11"/>
  <c r="FL95" i="11"/>
  <c r="FN95" i="11"/>
  <c r="FM95" i="11"/>
  <c r="FK96" i="11"/>
  <c r="FL96" i="11"/>
  <c r="FN96" i="11"/>
  <c r="FM96" i="11"/>
  <c r="FK97" i="11"/>
  <c r="FL97" i="11"/>
  <c r="FN97" i="11"/>
  <c r="FM97" i="11"/>
  <c r="FK98" i="11"/>
  <c r="FL98" i="11"/>
  <c r="FN98" i="11"/>
  <c r="FM98" i="11"/>
  <c r="FK99" i="11"/>
  <c r="FL99" i="11"/>
  <c r="FN99" i="11"/>
  <c r="FM99" i="11"/>
  <c r="FK100" i="11"/>
  <c r="FL100" i="11"/>
  <c r="FN100" i="11"/>
  <c r="FM100" i="11"/>
  <c r="FK101" i="11"/>
  <c r="FL101" i="11"/>
  <c r="FN101" i="11"/>
  <c r="FM101" i="11"/>
  <c r="FK102" i="11"/>
  <c r="FL102" i="11"/>
  <c r="FN102" i="11"/>
  <c r="FM102" i="11"/>
  <c r="FK103" i="11"/>
  <c r="FL103" i="11"/>
  <c r="FN103" i="11"/>
  <c r="FM103" i="11"/>
  <c r="FK104" i="11"/>
  <c r="FL104" i="11"/>
  <c r="FN104" i="11"/>
  <c r="FM104" i="11"/>
  <c r="FK105" i="11"/>
  <c r="FL105" i="11"/>
  <c r="FN105" i="11"/>
  <c r="FM105" i="11"/>
  <c r="FK106" i="11"/>
  <c r="FL106" i="11"/>
  <c r="FN106" i="11"/>
  <c r="FM106" i="11"/>
  <c r="FK107" i="11"/>
  <c r="FL107" i="11"/>
  <c r="FN107" i="11"/>
  <c r="FM107" i="11"/>
  <c r="FK108" i="11"/>
  <c r="FL108" i="11"/>
  <c r="FN108" i="11"/>
  <c r="FM108" i="11"/>
  <c r="FK109" i="11"/>
  <c r="FL109" i="11"/>
  <c r="FN109" i="11"/>
  <c r="FM109" i="11"/>
  <c r="FK110" i="11"/>
  <c r="FL110" i="11"/>
  <c r="FN110" i="11"/>
  <c r="FM110" i="11"/>
  <c r="FK111" i="11"/>
  <c r="FL111" i="11"/>
  <c r="FN111" i="11"/>
  <c r="FM111" i="11"/>
  <c r="FK112" i="11"/>
  <c r="FL112" i="11"/>
  <c r="FN112" i="11"/>
  <c r="FM112" i="11"/>
  <c r="FK113" i="11"/>
  <c r="FL113" i="11"/>
  <c r="FN113" i="11"/>
  <c r="FM113" i="11"/>
  <c r="FK114" i="11"/>
  <c r="FL114" i="11"/>
  <c r="FN114" i="11"/>
  <c r="FM114" i="11"/>
  <c r="FK115" i="11"/>
  <c r="FL115" i="11"/>
  <c r="FN115" i="11"/>
  <c r="FM115" i="11"/>
  <c r="FK116" i="11"/>
  <c r="FL116" i="11"/>
  <c r="FN116" i="11"/>
  <c r="FM116" i="11"/>
  <c r="FK117" i="11"/>
  <c r="FL117" i="11"/>
  <c r="FN117" i="11"/>
  <c r="FM117" i="11"/>
  <c r="FK118" i="11"/>
  <c r="FL118" i="11"/>
  <c r="FN118" i="11"/>
  <c r="FM118" i="11"/>
  <c r="FK119" i="11"/>
  <c r="FL119" i="11"/>
  <c r="FN119" i="11"/>
  <c r="FM119" i="11"/>
  <c r="FK120" i="11"/>
  <c r="FL120" i="11"/>
  <c r="FN120" i="11"/>
  <c r="FM120" i="11"/>
  <c r="FK121" i="11"/>
  <c r="FL121" i="11"/>
  <c r="FN121" i="11"/>
  <c r="FM121" i="11"/>
  <c r="FK122" i="11"/>
  <c r="FL122" i="11"/>
  <c r="FN122" i="11"/>
  <c r="FM122" i="11"/>
  <c r="FK123" i="11"/>
  <c r="FL123" i="11"/>
  <c r="FN123" i="11"/>
  <c r="FM123" i="11"/>
  <c r="FK124" i="11"/>
  <c r="FL124" i="11"/>
  <c r="FN124" i="11"/>
  <c r="FM124" i="11"/>
  <c r="FK125" i="11"/>
  <c r="FL125" i="11"/>
  <c r="FN125" i="11"/>
  <c r="FM125" i="11"/>
  <c r="FK126" i="11"/>
  <c r="FL126" i="11"/>
  <c r="FN126" i="11"/>
  <c r="FM126" i="11"/>
  <c r="FK127" i="11"/>
  <c r="FL127" i="11"/>
  <c r="FN127" i="11"/>
  <c r="FM127" i="11"/>
  <c r="FK128" i="11"/>
  <c r="FL128" i="11"/>
  <c r="FN128" i="11"/>
  <c r="FM128" i="11"/>
  <c r="FK129" i="11"/>
  <c r="FL129" i="11"/>
  <c r="FN129" i="11"/>
  <c r="FM129" i="11"/>
  <c r="FK130" i="11"/>
  <c r="FL130" i="11"/>
  <c r="FN130" i="11"/>
  <c r="FM130" i="11"/>
  <c r="FK131" i="11"/>
  <c r="FL131" i="11"/>
  <c r="FN131" i="11"/>
  <c r="FM131" i="11"/>
  <c r="FK132" i="11"/>
  <c r="FL132" i="11"/>
  <c r="FN132" i="11"/>
  <c r="FM132" i="11"/>
  <c r="FK133" i="11"/>
  <c r="FL133" i="11"/>
  <c r="FN133" i="11"/>
  <c r="FM133" i="11"/>
  <c r="FK134" i="11"/>
  <c r="FL134" i="11"/>
  <c r="FN134" i="11"/>
  <c r="FM134" i="11"/>
  <c r="FK135" i="11"/>
  <c r="FL135" i="11"/>
  <c r="FN135" i="11"/>
  <c r="FM135" i="11"/>
  <c r="FK136" i="11"/>
  <c r="FL136" i="11"/>
  <c r="FN136" i="11"/>
  <c r="FM136" i="11"/>
  <c r="FK137" i="11"/>
  <c r="FL137" i="11"/>
  <c r="FN137" i="11"/>
  <c r="FM137" i="11"/>
  <c r="FK138" i="11"/>
  <c r="FL138" i="11"/>
  <c r="FN138" i="11"/>
  <c r="FM138" i="11"/>
  <c r="FK139" i="11"/>
  <c r="FL139" i="11"/>
  <c r="FN139" i="11"/>
  <c r="FM139" i="11"/>
  <c r="FK140" i="11"/>
  <c r="FL140" i="11"/>
  <c r="FN140" i="11"/>
  <c r="FM140" i="11"/>
  <c r="FK141" i="11"/>
  <c r="FL141" i="11"/>
  <c r="FN141" i="11"/>
  <c r="FM141" i="11"/>
  <c r="FK142" i="11"/>
  <c r="FL142" i="11"/>
  <c r="FN142" i="11"/>
  <c r="FM142" i="11"/>
  <c r="FK143" i="11"/>
  <c r="FL143" i="11"/>
  <c r="FN143" i="11"/>
  <c r="FM143" i="11"/>
  <c r="FK144" i="11"/>
  <c r="FL144" i="11"/>
  <c r="FN144" i="11"/>
  <c r="FM144" i="11"/>
  <c r="FK145" i="11"/>
  <c r="FL145" i="11"/>
  <c r="FN145" i="11"/>
  <c r="FM145" i="11"/>
  <c r="FK146" i="11"/>
  <c r="FL146" i="11"/>
  <c r="FN146" i="11"/>
  <c r="FM146" i="11"/>
  <c r="FK147" i="11"/>
  <c r="FL147" i="11"/>
  <c r="FN147" i="11"/>
  <c r="FM147" i="11"/>
  <c r="FK148" i="11"/>
  <c r="FL148" i="11"/>
  <c r="FN148" i="11"/>
  <c r="FM148" i="11"/>
  <c r="FK149" i="11"/>
  <c r="FL149" i="11"/>
  <c r="FN149" i="11"/>
  <c r="FM149" i="11"/>
  <c r="FK150" i="11"/>
  <c r="FL150" i="11"/>
  <c r="FN150" i="11"/>
  <c r="FM150" i="11"/>
  <c r="FK151" i="11"/>
  <c r="FL151" i="11"/>
  <c r="FN151" i="11"/>
  <c r="FM151" i="11"/>
  <c r="FK152" i="11"/>
  <c r="FL152" i="11"/>
  <c r="FN152" i="11"/>
  <c r="FM152" i="11"/>
  <c r="FK153" i="11"/>
  <c r="FL153" i="11"/>
  <c r="FN153" i="11"/>
  <c r="FM153" i="11"/>
  <c r="FK154" i="11"/>
  <c r="FL154" i="11"/>
  <c r="FN154" i="11"/>
  <c r="FM154" i="11"/>
  <c r="FK155" i="11"/>
  <c r="FL155" i="11"/>
  <c r="FN155" i="11"/>
  <c r="FM155" i="11"/>
  <c r="FK156" i="11"/>
  <c r="FL156" i="11"/>
  <c r="FN156" i="11"/>
  <c r="FM156" i="11"/>
  <c r="FK157" i="11"/>
  <c r="FL157" i="11"/>
  <c r="FN157" i="11"/>
  <c r="FM157" i="11"/>
  <c r="FK158" i="11"/>
  <c r="FL158" i="11"/>
  <c r="FN158" i="11"/>
  <c r="FM158" i="11"/>
  <c r="FK159" i="11"/>
  <c r="FL159" i="11"/>
  <c r="FN159" i="11"/>
  <c r="FM159" i="11"/>
  <c r="FK160" i="11"/>
  <c r="FL160" i="11"/>
  <c r="FN160" i="11"/>
  <c r="FM160" i="11"/>
  <c r="FK161" i="11"/>
  <c r="FL161" i="11"/>
  <c r="FN161" i="11"/>
  <c r="FM161" i="11"/>
  <c r="FK162" i="11"/>
  <c r="FL162" i="11"/>
  <c r="FN162" i="11"/>
  <c r="FM162" i="11"/>
  <c r="FK163" i="11"/>
  <c r="FL163" i="11"/>
  <c r="FN163" i="11"/>
  <c r="FM163" i="11"/>
  <c r="FK164" i="11"/>
  <c r="FL164" i="11"/>
  <c r="FN164" i="11"/>
  <c r="FM164" i="11"/>
  <c r="FK165" i="11"/>
  <c r="FL165" i="11"/>
  <c r="FN165" i="11"/>
  <c r="FM165" i="11"/>
  <c r="FK166" i="11"/>
  <c r="FL166" i="11"/>
  <c r="FN166" i="11"/>
  <c r="FM166" i="11"/>
  <c r="FK167" i="11"/>
  <c r="FL167" i="11"/>
  <c r="FN167" i="11"/>
  <c r="FM167" i="11"/>
  <c r="FK168" i="11"/>
  <c r="FL168" i="11"/>
  <c r="FN168" i="11"/>
  <c r="FM168" i="11"/>
  <c r="FK169" i="11"/>
  <c r="FL169" i="11"/>
  <c r="FN169" i="11"/>
  <c r="FM169" i="11"/>
  <c r="FK170" i="11"/>
  <c r="FL170" i="11"/>
  <c r="FN170" i="11"/>
  <c r="FM170" i="11"/>
  <c r="FK171" i="11"/>
  <c r="FL171" i="11"/>
  <c r="FN171" i="11"/>
  <c r="FM171" i="11"/>
  <c r="FK172" i="11"/>
  <c r="FL172" i="11"/>
  <c r="FN172" i="11"/>
  <c r="FM172" i="11"/>
  <c r="FK173" i="11"/>
  <c r="FL173" i="11"/>
  <c r="FN173" i="11"/>
  <c r="FM173" i="11"/>
  <c r="FK174" i="11"/>
  <c r="FL174" i="11"/>
  <c r="FN174" i="11"/>
  <c r="FM174" i="11"/>
  <c r="FK175" i="11"/>
  <c r="FL175" i="11"/>
  <c r="FN175" i="11"/>
  <c r="FM175" i="11"/>
  <c r="FK176" i="11"/>
  <c r="FL176" i="11"/>
  <c r="FN176" i="11"/>
  <c r="FM176" i="11"/>
  <c r="FK177" i="11"/>
  <c r="FL177" i="11"/>
  <c r="FN177" i="11"/>
  <c r="FM177" i="11"/>
  <c r="FK178" i="11"/>
  <c r="FL178" i="11"/>
  <c r="FN178" i="11"/>
  <c r="FM178" i="11"/>
  <c r="FK179" i="11"/>
  <c r="FL179" i="11"/>
  <c r="FN179" i="11"/>
  <c r="FM179" i="11"/>
  <c r="FK180" i="11"/>
  <c r="FL180" i="11"/>
  <c r="FN180" i="11"/>
  <c r="FM180" i="11"/>
  <c r="FK181" i="11"/>
  <c r="FL181" i="11"/>
  <c r="FN181" i="11"/>
  <c r="FM181" i="11"/>
  <c r="FK182" i="11"/>
  <c r="FL182" i="11"/>
  <c r="FN182" i="11"/>
  <c r="FM182" i="11"/>
  <c r="FK183" i="11"/>
  <c r="FL183" i="11"/>
  <c r="FN183" i="11"/>
  <c r="FM183" i="11"/>
  <c r="FK184" i="11"/>
  <c r="FL184" i="11"/>
  <c r="FN184" i="11"/>
  <c r="FM184" i="11"/>
  <c r="FK185" i="11"/>
  <c r="FL185" i="11"/>
  <c r="FN185" i="11"/>
  <c r="FM185" i="11"/>
  <c r="FK186" i="11"/>
  <c r="FL186" i="11"/>
  <c r="FN186" i="11"/>
  <c r="FM186" i="11"/>
  <c r="FK187" i="11"/>
  <c r="FL187" i="11"/>
  <c r="FN187" i="11"/>
  <c r="FM187" i="11"/>
  <c r="FK188" i="11"/>
  <c r="FL188" i="11"/>
  <c r="FN188" i="11"/>
  <c r="FM188" i="11"/>
  <c r="FK189" i="11"/>
  <c r="FL189" i="11"/>
  <c r="FN189" i="11"/>
  <c r="FM189" i="11"/>
  <c r="FK190" i="11"/>
  <c r="FL190" i="11"/>
  <c r="FN190" i="11"/>
  <c r="FM190" i="11"/>
  <c r="FK191" i="11"/>
  <c r="FL191" i="11"/>
  <c r="FN191" i="11"/>
  <c r="FM191" i="11"/>
  <c r="FK192" i="11"/>
  <c r="FL192" i="11"/>
  <c r="FN192" i="11"/>
  <c r="FM192" i="11"/>
  <c r="FK193" i="11"/>
  <c r="FL193" i="11"/>
  <c r="FN193" i="11"/>
  <c r="FM193" i="11"/>
  <c r="FK194" i="11"/>
  <c r="FL194" i="11"/>
  <c r="FN194" i="11"/>
  <c r="FM194" i="11"/>
  <c r="FK195" i="11"/>
  <c r="FL195" i="11"/>
  <c r="FN195" i="11"/>
  <c r="FM195" i="11"/>
  <c r="FK196" i="11"/>
  <c r="FL196" i="11"/>
  <c r="FN196" i="11"/>
  <c r="FM196" i="11"/>
  <c r="FK197" i="11"/>
  <c r="FL197" i="11"/>
  <c r="FN197" i="11"/>
  <c r="FM197" i="11"/>
  <c r="FK198" i="11"/>
  <c r="FL198" i="11"/>
  <c r="FN198" i="11"/>
  <c r="FM198" i="11"/>
  <c r="FK199" i="11"/>
  <c r="FL199" i="11"/>
  <c r="FN199" i="11"/>
  <c r="FM199" i="11"/>
  <c r="FK200" i="11"/>
  <c r="FL200" i="11"/>
  <c r="FN200" i="11"/>
  <c r="FM200" i="11"/>
  <c r="FK201" i="11"/>
  <c r="FL201" i="11"/>
  <c r="FN201" i="11"/>
  <c r="FM201" i="11"/>
  <c r="FK202" i="11"/>
  <c r="FL202" i="11"/>
  <c r="FN202" i="11"/>
  <c r="FM202" i="11"/>
  <c r="FK203" i="11"/>
  <c r="FL203" i="11"/>
  <c r="FN203" i="11"/>
  <c r="FM203" i="11"/>
  <c r="FK204" i="11"/>
  <c r="FL204" i="11"/>
  <c r="FN204" i="11"/>
  <c r="FM204" i="11"/>
  <c r="FK205" i="11"/>
  <c r="FL205" i="11"/>
  <c r="FN205" i="11"/>
  <c r="FM205" i="11"/>
  <c r="FK206" i="11"/>
  <c r="FL206" i="11"/>
  <c r="FN206" i="11"/>
  <c r="FM206" i="11"/>
  <c r="FK207" i="11"/>
  <c r="FL207" i="11"/>
  <c r="FN207" i="11"/>
  <c r="FM207" i="11"/>
  <c r="FK208" i="11"/>
  <c r="FL208" i="11"/>
  <c r="FN208" i="11"/>
  <c r="FM208" i="11"/>
  <c r="FK209" i="11"/>
  <c r="FL209" i="11"/>
  <c r="FN209" i="11"/>
  <c r="FM209" i="11"/>
  <c r="FK210" i="11"/>
  <c r="FL210" i="11"/>
  <c r="FN210" i="11"/>
  <c r="FM210" i="11"/>
  <c r="FK211" i="11"/>
  <c r="FL211" i="11"/>
  <c r="FN211" i="11"/>
  <c r="FM211" i="11"/>
  <c r="FK212" i="11"/>
  <c r="FL212" i="11"/>
  <c r="FN212" i="11"/>
  <c r="FM212" i="11"/>
  <c r="FK213" i="11"/>
  <c r="FL213" i="11"/>
  <c r="FN213" i="11"/>
  <c r="FM213" i="11"/>
  <c r="FK214" i="11"/>
  <c r="FL214" i="11"/>
  <c r="FN214" i="11"/>
  <c r="FM214" i="11"/>
  <c r="FK215" i="11"/>
  <c r="FL215" i="11"/>
  <c r="FN215" i="11"/>
  <c r="FM215" i="11"/>
  <c r="FK216" i="11"/>
  <c r="FL216" i="11"/>
  <c r="FN216" i="11"/>
  <c r="FM216" i="11"/>
  <c r="FK217" i="11"/>
  <c r="FL217" i="11"/>
  <c r="FN217" i="11"/>
  <c r="FM217" i="11"/>
  <c r="FK218" i="11"/>
  <c r="FL218" i="11"/>
  <c r="FN218" i="11"/>
  <c r="FM218" i="11"/>
  <c r="FK219" i="11"/>
  <c r="FL219" i="11"/>
  <c r="FN219" i="11"/>
  <c r="FM219" i="11"/>
  <c r="FK220" i="11"/>
  <c r="FL220" i="11"/>
  <c r="FN220" i="11"/>
  <c r="FM220" i="11"/>
  <c r="FK221" i="11"/>
  <c r="FL221" i="11"/>
  <c r="FN221" i="11"/>
  <c r="FM221" i="11"/>
  <c r="FK222" i="11"/>
  <c r="FL222" i="11"/>
  <c r="FN222" i="11"/>
  <c r="FM222" i="11"/>
  <c r="FK223" i="11"/>
  <c r="FL223" i="11"/>
  <c r="FN223" i="11"/>
  <c r="FM223" i="11"/>
  <c r="FK224" i="11"/>
  <c r="FL224" i="11"/>
  <c r="FN224" i="11"/>
  <c r="FM224" i="11"/>
  <c r="FK225" i="11"/>
  <c r="FL225" i="11"/>
  <c r="FN225" i="11"/>
  <c r="FM225" i="11"/>
  <c r="FK226" i="11"/>
  <c r="FL226" i="11"/>
  <c r="FN226" i="11"/>
  <c r="FM226" i="11"/>
  <c r="FK227" i="11"/>
  <c r="FL227" i="11"/>
  <c r="FN227" i="11"/>
  <c r="FM227" i="11"/>
  <c r="FK228" i="11"/>
  <c r="FL228" i="11"/>
  <c r="FN228" i="11"/>
  <c r="FM228" i="11"/>
  <c r="FK229" i="11"/>
  <c r="FL229" i="11"/>
  <c r="FN229" i="11"/>
  <c r="FM229" i="11"/>
  <c r="FK230" i="11"/>
  <c r="FL230" i="11"/>
  <c r="FN230" i="11"/>
  <c r="FM230" i="11"/>
  <c r="FK231" i="11"/>
  <c r="FL231" i="11"/>
  <c r="FN231" i="11"/>
  <c r="FM231" i="11"/>
  <c r="FK232" i="11"/>
  <c r="FL232" i="11"/>
  <c r="FN232" i="11"/>
  <c r="FM232" i="11"/>
  <c r="FK233" i="11"/>
  <c r="FL233" i="11"/>
  <c r="FN233" i="11"/>
  <c r="FM233" i="11"/>
  <c r="FK234" i="11"/>
  <c r="FL234" i="11"/>
  <c r="FN234" i="11"/>
  <c r="FM234" i="11"/>
  <c r="FK235" i="11"/>
  <c r="FL235" i="11"/>
  <c r="FN235" i="11"/>
  <c r="FM235" i="11"/>
  <c r="FK236" i="11"/>
  <c r="FL236" i="11"/>
  <c r="FN236" i="11"/>
  <c r="FM236" i="11"/>
  <c r="FK237" i="11"/>
  <c r="FL237" i="11"/>
  <c r="FN237" i="11"/>
  <c r="FM237" i="11"/>
  <c r="FK238" i="11"/>
  <c r="FL238" i="11"/>
  <c r="FN238" i="11"/>
  <c r="FM238" i="11"/>
  <c r="FK239" i="11"/>
  <c r="FL239" i="11"/>
  <c r="FN239" i="11"/>
  <c r="FM239" i="11"/>
  <c r="FK240" i="11"/>
  <c r="FL240" i="11"/>
  <c r="FN240" i="11"/>
  <c r="FM240" i="11"/>
  <c r="FK241" i="11"/>
  <c r="FL241" i="11"/>
  <c r="FN241" i="11"/>
  <c r="FM241" i="11"/>
  <c r="FK242" i="11"/>
  <c r="FL242" i="11"/>
  <c r="FN242" i="11"/>
  <c r="FM242" i="11"/>
  <c r="FK243" i="11"/>
  <c r="FL243" i="11"/>
  <c r="FN243" i="11"/>
  <c r="FM243" i="11"/>
  <c r="FK244" i="11"/>
  <c r="FL244" i="11"/>
  <c r="FN244" i="11"/>
  <c r="FM244" i="11"/>
  <c r="FK245" i="11"/>
  <c r="FL245" i="11"/>
  <c r="FN245" i="11"/>
  <c r="FM245" i="11"/>
  <c r="FK246" i="11"/>
  <c r="FL246" i="11"/>
  <c r="FN246" i="11"/>
  <c r="FM246" i="11"/>
  <c r="FK247" i="11"/>
  <c r="FL247" i="11"/>
  <c r="FN247" i="11"/>
  <c r="FM247" i="11"/>
  <c r="FK248" i="11"/>
  <c r="FL248" i="11"/>
  <c r="FN248" i="11"/>
  <c r="FM248" i="11"/>
  <c r="FK249" i="11"/>
  <c r="FL249" i="11"/>
  <c r="FN249" i="11"/>
  <c r="FM249" i="11"/>
  <c r="FK250" i="11"/>
  <c r="FL250" i="11"/>
  <c r="FN250" i="11"/>
  <c r="FM250" i="11"/>
  <c r="FK251" i="11"/>
  <c r="FL251" i="11"/>
  <c r="FN251" i="11"/>
  <c r="FM251" i="11"/>
  <c r="FK252" i="11"/>
  <c r="FL252" i="11"/>
  <c r="FN252" i="11"/>
  <c r="FM252" i="11"/>
  <c r="FK253" i="11"/>
  <c r="FL253" i="11"/>
  <c r="FN253" i="11"/>
  <c r="FM253" i="11"/>
  <c r="FK254" i="11"/>
  <c r="FL254" i="11"/>
  <c r="FN254" i="11"/>
  <c r="FM254" i="11"/>
  <c r="FK255" i="11"/>
  <c r="FL255" i="11"/>
  <c r="FN255" i="11"/>
  <c r="FM255" i="11"/>
  <c r="FK256" i="11"/>
  <c r="FL256" i="11"/>
  <c r="FN256" i="11"/>
  <c r="FM256" i="11"/>
  <c r="FK257" i="11"/>
  <c r="FL257" i="11"/>
  <c r="FN257" i="11"/>
  <c r="FM257" i="11"/>
  <c r="FK258" i="11"/>
  <c r="FL258" i="11"/>
  <c r="FN258" i="11"/>
  <c r="FM258" i="11"/>
  <c r="FK259" i="11"/>
  <c r="FL259" i="11"/>
  <c r="FN259" i="11"/>
  <c r="FM259" i="11"/>
  <c r="FK260" i="11"/>
  <c r="FL260" i="11"/>
  <c r="FN260" i="11"/>
  <c r="FM260" i="11"/>
  <c r="FK261" i="11"/>
  <c r="FL261" i="11"/>
  <c r="FN261" i="11"/>
  <c r="FM261" i="11"/>
  <c r="FK262" i="11"/>
  <c r="FL262" i="11"/>
  <c r="FN262" i="11"/>
  <c r="FM262" i="11"/>
  <c r="FK263" i="11"/>
  <c r="FL263" i="11"/>
  <c r="FN263" i="11"/>
  <c r="FM263" i="11"/>
  <c r="FK264" i="11"/>
  <c r="FL264" i="11"/>
  <c r="FN264" i="11"/>
  <c r="FM264" i="11"/>
  <c r="FK265" i="11"/>
  <c r="FL265" i="11"/>
  <c r="FN265" i="11"/>
  <c r="FM265" i="11"/>
  <c r="FK266" i="11"/>
  <c r="FL266" i="11"/>
  <c r="FN266" i="11"/>
  <c r="FM266" i="11"/>
  <c r="FK267" i="11"/>
  <c r="FL267" i="11"/>
  <c r="FN267" i="11"/>
  <c r="FM267" i="11"/>
  <c r="FK268" i="11"/>
  <c r="FL268" i="11"/>
  <c r="FN268" i="11"/>
  <c r="FM268" i="11"/>
  <c r="FK269" i="11"/>
  <c r="FL269" i="11"/>
  <c r="FN269" i="11"/>
  <c r="FM269" i="11"/>
  <c r="FK270" i="11"/>
  <c r="FL270" i="11"/>
  <c r="FN270" i="11"/>
  <c r="FM270" i="11"/>
  <c r="FK271" i="11"/>
  <c r="FL271" i="11"/>
  <c r="FN271" i="11"/>
  <c r="FM271" i="11"/>
  <c r="FK272" i="11"/>
  <c r="FL272" i="11"/>
  <c r="FN272" i="11"/>
  <c r="FM272" i="11"/>
  <c r="FK273" i="11"/>
  <c r="FL273" i="11"/>
  <c r="FN273" i="11"/>
  <c r="FM273" i="11"/>
  <c r="FK274" i="11"/>
  <c r="FL274" i="11"/>
  <c r="FN274" i="11"/>
  <c r="FM274" i="11"/>
  <c r="FK275" i="11"/>
  <c r="FL275" i="11"/>
  <c r="FN275" i="11"/>
  <c r="FM275" i="11"/>
  <c r="FK276" i="11"/>
  <c r="FL276" i="11"/>
  <c r="FN276" i="11"/>
  <c r="FM276" i="11"/>
  <c r="FK277" i="11"/>
  <c r="FL277" i="11"/>
  <c r="FN277" i="11"/>
  <c r="FM277" i="11"/>
  <c r="FK278" i="11"/>
  <c r="FL278" i="11"/>
  <c r="FN278" i="11"/>
  <c r="FM278" i="11"/>
  <c r="FK279" i="11"/>
  <c r="FL279" i="11"/>
  <c r="FN279" i="11"/>
  <c r="FM279" i="11"/>
  <c r="FK280" i="11"/>
  <c r="FL280" i="11"/>
  <c r="FN280" i="11"/>
  <c r="FM280" i="11"/>
  <c r="FK281" i="11"/>
  <c r="FL281" i="11"/>
  <c r="FN281" i="11"/>
  <c r="FM281" i="11"/>
  <c r="FK282" i="11"/>
  <c r="FL282" i="11"/>
  <c r="FN282" i="11"/>
  <c r="FM282" i="11"/>
  <c r="FK283" i="11"/>
  <c r="FL283" i="11"/>
  <c r="FN283" i="11"/>
  <c r="FM283" i="11"/>
  <c r="FK284" i="11"/>
  <c r="FL284" i="11"/>
  <c r="FN284" i="11"/>
  <c r="FM284" i="11"/>
  <c r="FK285" i="11"/>
  <c r="FL285" i="11"/>
  <c r="FN285" i="11"/>
  <c r="FM285" i="11"/>
  <c r="FK286" i="11"/>
  <c r="FL286" i="11"/>
  <c r="FN286" i="11"/>
  <c r="FM286" i="11"/>
  <c r="FK287" i="11"/>
  <c r="FL287" i="11"/>
  <c r="FN287" i="11"/>
  <c r="FM287" i="11"/>
  <c r="FK288" i="11"/>
  <c r="FL288" i="11"/>
  <c r="FN288" i="11"/>
  <c r="FM288" i="11"/>
  <c r="FK289" i="11"/>
  <c r="FL289" i="11"/>
  <c r="FN289" i="11"/>
  <c r="FM289" i="11"/>
  <c r="FK290" i="11"/>
  <c r="FL290" i="11"/>
  <c r="FN290" i="11"/>
  <c r="FM290" i="11"/>
  <c r="FK291" i="11"/>
  <c r="FL291" i="11"/>
  <c r="FN291" i="11"/>
  <c r="FM291" i="11"/>
  <c r="FK292" i="11"/>
  <c r="FL292" i="11"/>
  <c r="FN292" i="11"/>
  <c r="FM292" i="11"/>
  <c r="FK293" i="11"/>
  <c r="FL293" i="11"/>
  <c r="FN293" i="11"/>
  <c r="FM293" i="11"/>
  <c r="FK294" i="11"/>
  <c r="FL294" i="11"/>
  <c r="FN294" i="11"/>
  <c r="FM294" i="11"/>
  <c r="FK295" i="11"/>
  <c r="FL295" i="11"/>
  <c r="FN295" i="11"/>
  <c r="FM295" i="11"/>
  <c r="FK296" i="11"/>
  <c r="FL296" i="11"/>
  <c r="FN296" i="11"/>
  <c r="FM296" i="11"/>
  <c r="FK297" i="11"/>
  <c r="FL297" i="11"/>
  <c r="FN297" i="11"/>
  <c r="FM297" i="11"/>
  <c r="FK298" i="11"/>
  <c r="FL298" i="11"/>
  <c r="FN298" i="11"/>
  <c r="FM298" i="11"/>
  <c r="FK299" i="11"/>
  <c r="FL299" i="11"/>
  <c r="FN299" i="11"/>
  <c r="FM299" i="11"/>
  <c r="FK300" i="11"/>
  <c r="FL300" i="11"/>
  <c r="FN300" i="11"/>
  <c r="FM300" i="11"/>
  <c r="FK301" i="11"/>
  <c r="FL301" i="11"/>
  <c r="FN301" i="11"/>
  <c r="FM301" i="11"/>
  <c r="FK302" i="11"/>
  <c r="FL302" i="11"/>
  <c r="FN302" i="11"/>
  <c r="FM302" i="11"/>
  <c r="FK303" i="11"/>
  <c r="FL303" i="11"/>
  <c r="FN303" i="11"/>
  <c r="FM303" i="11"/>
  <c r="FK304" i="11"/>
  <c r="FL304" i="11"/>
  <c r="FN304" i="11"/>
  <c r="FM304" i="11"/>
  <c r="FK305" i="11"/>
  <c r="FL305" i="11"/>
  <c r="FN305" i="11"/>
  <c r="FM305" i="11"/>
  <c r="FK306" i="11"/>
  <c r="FL306" i="11"/>
  <c r="FN306" i="11"/>
  <c r="FM306" i="11"/>
  <c r="FK307" i="11"/>
  <c r="FL307" i="11"/>
  <c r="FN307" i="11"/>
  <c r="FM307" i="11"/>
  <c r="FK308" i="11"/>
  <c r="FL308" i="11"/>
  <c r="FN308" i="11"/>
  <c r="FM308" i="11"/>
  <c r="FK309" i="11"/>
  <c r="FL309" i="11"/>
  <c r="FN309" i="11"/>
  <c r="FM309" i="11"/>
  <c r="FK310" i="11"/>
  <c r="FL310" i="11"/>
  <c r="FN310" i="11"/>
  <c r="FM310" i="11"/>
  <c r="FK311" i="11"/>
  <c r="FL311" i="11"/>
  <c r="FN311" i="11"/>
  <c r="FM311" i="11"/>
  <c r="FK312" i="11"/>
  <c r="FL312" i="11"/>
  <c r="FN312" i="11"/>
  <c r="FM312" i="11"/>
  <c r="FK313" i="11"/>
  <c r="FL313" i="11"/>
  <c r="FN313" i="11"/>
  <c r="FM313" i="11"/>
  <c r="FK314" i="11"/>
  <c r="FL314" i="11"/>
  <c r="FN314" i="11"/>
  <c r="FM314" i="11"/>
  <c r="FK315" i="11"/>
  <c r="FL315" i="11"/>
  <c r="FN315" i="11"/>
  <c r="FM315" i="11"/>
  <c r="FK316" i="11"/>
  <c r="FL316" i="11"/>
  <c r="FN316" i="11"/>
  <c r="FM316" i="11"/>
  <c r="FK317" i="11"/>
  <c r="FL317" i="11"/>
  <c r="FN317" i="11"/>
  <c r="FM317" i="11"/>
  <c r="FK318" i="11"/>
  <c r="FL318" i="11"/>
  <c r="FN318" i="11"/>
  <c r="FM318" i="11"/>
  <c r="FK319" i="11"/>
  <c r="FL319" i="11"/>
  <c r="FN319" i="11"/>
  <c r="FM319" i="11"/>
  <c r="FK320" i="11"/>
  <c r="FL320" i="11"/>
  <c r="FN320" i="11"/>
  <c r="FM320" i="11"/>
  <c r="FK321" i="11"/>
  <c r="FL321" i="11"/>
  <c r="FN321" i="11"/>
  <c r="FM321" i="11"/>
  <c r="FK322" i="11"/>
  <c r="FL322" i="11"/>
  <c r="FN322" i="11"/>
  <c r="FM322" i="11"/>
  <c r="FK323" i="11"/>
  <c r="FL323" i="11"/>
  <c r="FN323" i="11"/>
  <c r="FM323" i="11"/>
  <c r="FK324" i="11"/>
  <c r="FL324" i="11"/>
  <c r="FN324" i="11"/>
  <c r="FM324" i="11"/>
  <c r="FK325" i="11"/>
  <c r="FL325" i="11"/>
  <c r="FN325" i="11"/>
  <c r="FM325" i="11"/>
  <c r="FK326" i="11"/>
  <c r="FL326" i="11"/>
  <c r="FN326" i="11"/>
  <c r="FM326" i="11"/>
  <c r="FK327" i="11"/>
  <c r="FL327" i="11"/>
  <c r="FN327" i="11"/>
  <c r="FM327" i="11"/>
  <c r="FK328" i="11"/>
  <c r="FL328" i="11"/>
  <c r="FN328" i="11"/>
  <c r="FM328" i="11"/>
  <c r="FK329" i="11"/>
  <c r="FL329" i="11"/>
  <c r="FN329" i="11"/>
  <c r="FM329" i="11"/>
  <c r="FK330" i="11"/>
  <c r="FL330" i="11"/>
  <c r="FN330" i="11"/>
  <c r="FM330" i="11"/>
  <c r="FK331" i="11"/>
  <c r="FL331" i="11"/>
  <c r="FN331" i="11"/>
  <c r="FM331" i="11"/>
  <c r="FK332" i="11"/>
  <c r="FL332" i="11"/>
  <c r="FN332" i="11"/>
  <c r="FM332" i="11"/>
  <c r="FK333" i="11"/>
  <c r="FL333" i="11"/>
  <c r="FN333" i="11"/>
  <c r="FM333" i="11"/>
  <c r="FK334" i="11"/>
  <c r="FL334" i="11"/>
  <c r="FN334" i="11"/>
  <c r="FM334" i="11"/>
  <c r="FK335" i="11"/>
  <c r="FL335" i="11"/>
  <c r="FN335" i="11"/>
  <c r="FM335" i="11"/>
  <c r="FK336" i="11"/>
  <c r="FL336" i="11"/>
  <c r="FN336" i="11"/>
  <c r="FM336" i="11"/>
  <c r="FK337" i="11"/>
  <c r="FL337" i="11"/>
  <c r="FN337" i="11"/>
  <c r="FM337" i="11"/>
  <c r="FK338" i="11"/>
  <c r="FL338" i="11"/>
  <c r="FN338" i="11"/>
  <c r="FM338" i="11"/>
  <c r="FK339" i="11"/>
  <c r="FL339" i="11"/>
  <c r="FN339" i="11"/>
  <c r="FM339" i="11"/>
  <c r="FK340" i="11"/>
  <c r="FL340" i="11"/>
  <c r="FN340" i="11"/>
  <c r="FM340" i="11"/>
  <c r="FK341" i="11"/>
  <c r="FL341" i="11"/>
  <c r="FN341" i="11"/>
  <c r="FM341" i="11"/>
  <c r="FK342" i="11"/>
  <c r="FL342" i="11"/>
  <c r="FN342" i="11"/>
  <c r="FM342" i="11"/>
  <c r="AA35" i="146"/>
  <c r="AF35" i="146"/>
  <c r="AA34" i="146"/>
  <c r="AF34" i="146"/>
  <c r="AA33" i="146"/>
  <c r="AE33" i="146"/>
  <c r="AA32" i="146"/>
  <c r="AC32" i="146"/>
  <c r="AA31" i="146"/>
  <c r="AE31" i="146"/>
  <c r="AA30" i="146"/>
  <c r="AF30" i="146"/>
  <c r="AA29" i="146"/>
  <c r="AA28" i="146"/>
  <c r="AF28" i="146"/>
  <c r="AA27" i="146"/>
  <c r="AA26" i="146"/>
  <c r="AG26" i="146"/>
  <c r="AH26" i="146"/>
  <c r="AI26" i="146"/>
  <c r="AJ26" i="146"/>
  <c r="AA25" i="146"/>
  <c r="AG25" i="146"/>
  <c r="AH25" i="146"/>
  <c r="AI25" i="146"/>
  <c r="AJ25" i="146"/>
  <c r="AA24" i="146"/>
  <c r="AA23" i="146"/>
  <c r="AG23" i="146"/>
  <c r="AH23" i="146"/>
  <c r="AI23" i="146"/>
  <c r="AJ23" i="146"/>
  <c r="AA22" i="146"/>
  <c r="AG22" i="146"/>
  <c r="AH22" i="146"/>
  <c r="AI22" i="146"/>
  <c r="AJ22" i="146"/>
  <c r="AA21" i="146"/>
  <c r="AG21" i="146"/>
  <c r="AH21" i="146"/>
  <c r="AI21" i="146"/>
  <c r="AA20" i="146"/>
  <c r="AC20" i="146"/>
  <c r="AA19" i="146"/>
  <c r="AF19" i="146"/>
  <c r="AA18" i="146"/>
  <c r="AE18" i="146"/>
  <c r="AA17" i="146"/>
  <c r="AA16" i="146"/>
  <c r="AE16" i="146"/>
  <c r="AA15" i="146"/>
  <c r="AA14" i="146"/>
  <c r="AD14" i="146"/>
  <c r="AA13" i="146"/>
  <c r="AD13" i="146"/>
  <c r="AA12" i="146"/>
  <c r="A4" i="146"/>
  <c r="A21" i="146"/>
  <c r="G21" i="146"/>
  <c r="A3" i="146"/>
  <c r="D3" i="146"/>
  <c r="A2" i="146"/>
  <c r="A14" i="146"/>
  <c r="G14" i="146"/>
  <c r="Z27" i="266"/>
  <c r="R79" i="71"/>
  <c r="R80" i="71"/>
  <c r="R81" i="71"/>
  <c r="R75" i="71"/>
  <c r="R76" i="71"/>
  <c r="R77" i="71"/>
  <c r="L98" i="7"/>
  <c r="L99" i="7"/>
  <c r="L100" i="7"/>
  <c r="L101" i="7"/>
  <c r="L94" i="7"/>
  <c r="L95" i="7"/>
  <c r="L96" i="7"/>
  <c r="L97" i="7"/>
  <c r="L90" i="7"/>
  <c r="L91" i="7"/>
  <c r="L92" i="7"/>
  <c r="L93" i="7"/>
  <c r="L86" i="7"/>
  <c r="L87" i="7"/>
  <c r="L88" i="7"/>
  <c r="L89" i="7"/>
  <c r="L82" i="7"/>
  <c r="L83" i="7"/>
  <c r="L84" i="7"/>
  <c r="L85" i="7"/>
  <c r="L78" i="7"/>
  <c r="L79" i="7"/>
  <c r="L80" i="7"/>
  <c r="L81" i="7"/>
  <c r="L74" i="7"/>
  <c r="L75" i="7"/>
  <c r="L76" i="7"/>
  <c r="L77" i="7"/>
  <c r="L70" i="7"/>
  <c r="L71" i="7"/>
  <c r="L72" i="7"/>
  <c r="L73" i="7"/>
  <c r="L66" i="7"/>
  <c r="L67" i="7"/>
  <c r="L68" i="7"/>
  <c r="L69" i="7"/>
  <c r="L62" i="7"/>
  <c r="L63" i="7"/>
  <c r="L64" i="7"/>
  <c r="L65" i="7"/>
  <c r="L58" i="7"/>
  <c r="L59" i="7"/>
  <c r="L60" i="7"/>
  <c r="L61" i="7"/>
  <c r="L54" i="7"/>
  <c r="L55" i="7"/>
  <c r="L56" i="7"/>
  <c r="L57" i="7"/>
  <c r="L50" i="7"/>
  <c r="L51" i="7"/>
  <c r="L52" i="7"/>
  <c r="L53" i="7"/>
  <c r="L46" i="7"/>
  <c r="L47" i="7"/>
  <c r="L48" i="7"/>
  <c r="L49" i="7"/>
  <c r="L42" i="7"/>
  <c r="L43" i="7"/>
  <c r="L44" i="7"/>
  <c r="L45" i="7"/>
  <c r="L38" i="7"/>
  <c r="L39" i="7"/>
  <c r="L40" i="7"/>
  <c r="L41" i="7"/>
  <c r="L34" i="7"/>
  <c r="L35" i="7"/>
  <c r="L36" i="7"/>
  <c r="L37" i="7"/>
  <c r="L30" i="7"/>
  <c r="L31" i="7"/>
  <c r="L32" i="7"/>
  <c r="L33" i="7"/>
  <c r="L26" i="7"/>
  <c r="L27" i="7"/>
  <c r="L28" i="7"/>
  <c r="L29" i="7"/>
  <c r="L22" i="7"/>
  <c r="L23" i="7"/>
  <c r="L24" i="7"/>
  <c r="L25" i="7"/>
  <c r="L18" i="7"/>
  <c r="L19" i="7"/>
  <c r="L20" i="7"/>
  <c r="L21" i="7"/>
  <c r="L14" i="7"/>
  <c r="L15" i="7"/>
  <c r="L16" i="7"/>
  <c r="L17" i="7"/>
  <c r="L10" i="7"/>
  <c r="L11" i="7"/>
  <c r="L12" i="7"/>
  <c r="L13" i="7"/>
  <c r="U8" i="86"/>
  <c r="AV8" i="221"/>
  <c r="AF3" i="273"/>
  <c r="N3" i="273"/>
  <c r="K1" i="273"/>
  <c r="AF3" i="272"/>
  <c r="N3" i="272"/>
  <c r="AF3" i="266"/>
  <c r="N3" i="266"/>
  <c r="M7" i="6"/>
  <c r="M8" i="6"/>
  <c r="M9" i="6"/>
  <c r="AF3" i="221"/>
  <c r="N3" i="221"/>
  <c r="AX24" i="221"/>
  <c r="AX10" i="221"/>
  <c r="AX13" i="221"/>
  <c r="AX21" i="221"/>
  <c r="AX8" i="221"/>
  <c r="AX12" i="221"/>
  <c r="AX20" i="221"/>
  <c r="AX11" i="221"/>
  <c r="AX7" i="221"/>
  <c r="AX9" i="221"/>
  <c r="AX23" i="221"/>
  <c r="S79" i="70"/>
  <c r="M79" i="70"/>
  <c r="S78" i="70"/>
  <c r="M78" i="70"/>
  <c r="S77" i="70"/>
  <c r="M77" i="70"/>
  <c r="S75" i="70"/>
  <c r="M75" i="70"/>
  <c r="R39" i="79"/>
  <c r="R41" i="79"/>
  <c r="R40" i="79"/>
  <c r="Y41" i="82"/>
  <c r="Y40" i="82"/>
  <c r="Y39" i="82"/>
  <c r="Y38" i="82"/>
  <c r="Y37" i="82"/>
  <c r="Y36" i="82"/>
  <c r="R41" i="82"/>
  <c r="R40" i="82"/>
  <c r="R39" i="82"/>
  <c r="R38" i="82"/>
  <c r="R37" i="82"/>
  <c r="R36" i="82"/>
  <c r="AM13" i="146"/>
  <c r="AM14" i="146"/>
  <c r="AM15" i="146"/>
  <c r="AM16" i="146"/>
  <c r="AM17" i="146"/>
  <c r="AM18" i="146"/>
  <c r="AM19" i="146"/>
  <c r="AM20" i="146"/>
  <c r="AM21" i="146"/>
  <c r="AM22" i="146"/>
  <c r="AM23" i="146"/>
  <c r="AM24" i="146"/>
  <c r="AM25" i="146"/>
  <c r="AM26" i="146"/>
  <c r="AM27" i="146"/>
  <c r="AM28" i="146"/>
  <c r="AM29" i="146"/>
  <c r="AM30" i="146"/>
  <c r="AM31" i="146"/>
  <c r="AM32" i="146"/>
  <c r="AM33" i="146"/>
  <c r="AM34" i="146"/>
  <c r="AM35" i="146"/>
  <c r="AM12" i="146"/>
  <c r="AN11" i="146"/>
  <c r="AO11" i="146"/>
  <c r="AP11" i="146"/>
  <c r="AQ11" i="146"/>
  <c r="AM11" i="146"/>
  <c r="P7" i="146"/>
  <c r="AB9" i="146"/>
  <c r="AM9" i="146"/>
  <c r="AB8" i="146"/>
  <c r="AM8" i="146"/>
  <c r="K3" i="146"/>
  <c r="K4" i="146"/>
  <c r="K2" i="146"/>
  <c r="Q693" i="196"/>
  <c r="Q663" i="196"/>
  <c r="Q633" i="196"/>
  <c r="Q603" i="196"/>
  <c r="Q573" i="196"/>
  <c r="Q543" i="196"/>
  <c r="Q513" i="196"/>
  <c r="Q483" i="196"/>
  <c r="Q453" i="196"/>
  <c r="Q423" i="196"/>
  <c r="Q393" i="196"/>
  <c r="Q363" i="196"/>
  <c r="Q333" i="196"/>
  <c r="Q303" i="196"/>
  <c r="Q273" i="196"/>
  <c r="Q243" i="196"/>
  <c r="Q213" i="196"/>
  <c r="Q183" i="196"/>
  <c r="Q153" i="196"/>
  <c r="Q123" i="196"/>
  <c r="Q93" i="196"/>
  <c r="Q63" i="196"/>
  <c r="J716" i="197"/>
  <c r="J685" i="197"/>
  <c r="J654" i="197"/>
  <c r="J623" i="197"/>
  <c r="J592" i="197"/>
  <c r="J561" i="197"/>
  <c r="J530" i="197"/>
  <c r="J499" i="197"/>
  <c r="J468" i="197"/>
  <c r="J437" i="197"/>
  <c r="J406" i="197"/>
  <c r="J375" i="197"/>
  <c r="J344" i="197"/>
  <c r="J313" i="197"/>
  <c r="J282" i="197"/>
  <c r="J251" i="197"/>
  <c r="J220" i="197"/>
  <c r="J189" i="197"/>
  <c r="J158" i="197"/>
  <c r="J127" i="197"/>
  <c r="J96" i="197"/>
  <c r="J65" i="197"/>
  <c r="P33" i="197"/>
  <c r="P64" i="197"/>
  <c r="J34" i="197"/>
  <c r="FI15" i="11"/>
  <c r="FI16" i="11"/>
  <c r="FI17" i="11"/>
  <c r="FI18" i="11"/>
  <c r="FI19" i="11"/>
  <c r="FI20" i="11"/>
  <c r="FI21" i="11"/>
  <c r="FI22" i="11"/>
  <c r="FI23" i="11"/>
  <c r="FI24" i="11"/>
  <c r="FI25" i="11"/>
  <c r="FI26" i="11"/>
  <c r="FI27" i="11"/>
  <c r="FI28" i="11"/>
  <c r="FI29" i="11"/>
  <c r="FI30" i="11"/>
  <c r="FI31" i="11"/>
  <c r="FI32" i="11"/>
  <c r="FI33" i="11"/>
  <c r="FI34" i="11"/>
  <c r="FI35" i="11"/>
  <c r="FI36" i="11"/>
  <c r="FI37" i="11"/>
  <c r="FI38" i="11"/>
  <c r="FI39" i="11"/>
  <c r="FI40" i="11"/>
  <c r="FI41" i="11"/>
  <c r="FI42" i="11"/>
  <c r="FI43" i="11"/>
  <c r="FI44" i="11"/>
  <c r="FI45" i="11"/>
  <c r="FI46" i="11"/>
  <c r="FI47" i="11"/>
  <c r="FI48" i="11"/>
  <c r="FI49" i="11"/>
  <c r="FI50" i="11"/>
  <c r="FI51" i="11"/>
  <c r="FI52" i="11"/>
  <c r="FI53" i="11"/>
  <c r="FI54" i="11"/>
  <c r="FI55" i="11"/>
  <c r="FI56" i="11"/>
  <c r="FI57" i="11"/>
  <c r="FI58" i="11"/>
  <c r="FI59" i="11"/>
  <c r="FI60" i="11"/>
  <c r="FI61" i="11"/>
  <c r="FI62" i="11"/>
  <c r="FI63" i="11"/>
  <c r="FI64" i="11"/>
  <c r="FI65" i="11"/>
  <c r="FI66" i="11"/>
  <c r="FI67" i="11"/>
  <c r="FI68" i="11"/>
  <c r="FI69" i="11"/>
  <c r="FI70" i="11"/>
  <c r="FI71" i="11"/>
  <c r="FI72" i="11"/>
  <c r="FI73" i="11"/>
  <c r="FI74" i="11"/>
  <c r="FI75" i="11"/>
  <c r="FI76" i="11"/>
  <c r="FI77" i="11"/>
  <c r="FI78" i="11"/>
  <c r="FI79" i="11"/>
  <c r="FI80" i="11"/>
  <c r="FI81" i="11"/>
  <c r="FI82" i="11"/>
  <c r="FI83" i="11"/>
  <c r="FI84" i="11"/>
  <c r="FI85" i="11"/>
  <c r="FI86" i="11"/>
  <c r="FI87" i="11"/>
  <c r="FI88" i="11"/>
  <c r="FI89" i="11"/>
  <c r="FI90" i="11"/>
  <c r="FI91" i="11"/>
  <c r="FI92" i="11"/>
  <c r="FI93" i="11"/>
  <c r="FI94" i="11"/>
  <c r="FI95" i="11"/>
  <c r="FI96" i="11"/>
  <c r="FI97" i="11"/>
  <c r="FI98" i="11"/>
  <c r="FI99" i="11"/>
  <c r="FI100" i="11"/>
  <c r="FI101" i="11"/>
  <c r="FI102" i="11"/>
  <c r="FI103" i="11"/>
  <c r="FI104" i="11"/>
  <c r="FI105" i="11"/>
  <c r="FI106" i="11"/>
  <c r="FI107" i="11"/>
  <c r="FI108" i="11"/>
  <c r="FI109" i="11"/>
  <c r="FI110" i="11"/>
  <c r="FI111" i="11"/>
  <c r="FI112" i="11"/>
  <c r="FI113" i="11"/>
  <c r="FI114" i="11"/>
  <c r="FI115" i="11"/>
  <c r="FI116" i="11"/>
  <c r="FI117" i="11"/>
  <c r="FI118" i="11"/>
  <c r="FI119" i="11"/>
  <c r="FI120" i="11"/>
  <c r="FI121" i="11"/>
  <c r="FI122" i="11"/>
  <c r="FI123" i="11"/>
  <c r="FI124" i="11"/>
  <c r="FI125" i="11"/>
  <c r="FI126" i="11"/>
  <c r="FI127" i="11"/>
  <c r="FI128" i="11"/>
  <c r="FI129" i="11"/>
  <c r="FI130" i="11"/>
  <c r="FI131" i="11"/>
  <c r="FI132" i="11"/>
  <c r="FI133" i="11"/>
  <c r="FI134" i="11"/>
  <c r="FI135" i="11"/>
  <c r="FI136" i="11"/>
  <c r="FI137" i="11"/>
  <c r="FI138" i="11"/>
  <c r="FI139" i="11"/>
  <c r="FI140" i="11"/>
  <c r="FI141" i="11"/>
  <c r="FI142" i="11"/>
  <c r="FI143" i="11"/>
  <c r="FI144" i="11"/>
  <c r="FI145" i="11"/>
  <c r="FI146" i="11"/>
  <c r="FI147" i="11"/>
  <c r="FI148" i="11"/>
  <c r="FI149" i="11"/>
  <c r="FI150" i="11"/>
  <c r="FI151" i="11"/>
  <c r="FI152" i="11"/>
  <c r="FI153" i="11"/>
  <c r="FI154" i="11"/>
  <c r="FI155" i="11"/>
  <c r="FI156" i="11"/>
  <c r="FI157" i="11"/>
  <c r="FI158" i="11"/>
  <c r="FI159" i="11"/>
  <c r="FI160" i="11"/>
  <c r="FI161" i="11"/>
  <c r="FI162" i="11"/>
  <c r="FI163" i="11"/>
  <c r="FI164" i="11"/>
  <c r="FI165" i="11"/>
  <c r="FI166" i="11"/>
  <c r="FI167" i="11"/>
  <c r="FI168" i="11"/>
  <c r="FI169" i="11"/>
  <c r="FI170" i="11"/>
  <c r="FI171" i="11"/>
  <c r="FI172" i="11"/>
  <c r="FI173" i="11"/>
  <c r="FI174" i="11"/>
  <c r="FI175" i="11"/>
  <c r="FI176" i="11"/>
  <c r="FI177" i="11"/>
  <c r="FI178" i="11"/>
  <c r="FI179" i="11"/>
  <c r="FI180" i="11"/>
  <c r="FI181" i="11"/>
  <c r="FI182" i="11"/>
  <c r="FI183" i="11"/>
  <c r="FI184" i="11"/>
  <c r="FI185" i="11"/>
  <c r="FI186" i="11"/>
  <c r="FI187" i="11"/>
  <c r="FI188" i="11"/>
  <c r="FI189" i="11"/>
  <c r="FI190" i="11"/>
  <c r="FI191" i="11"/>
  <c r="FI192" i="11"/>
  <c r="FI193" i="11"/>
  <c r="FI194" i="11"/>
  <c r="FI195" i="11"/>
  <c r="FI196" i="11"/>
  <c r="FI197" i="11"/>
  <c r="FI198" i="11"/>
  <c r="FI199" i="11"/>
  <c r="FI200" i="11"/>
  <c r="FI201" i="11"/>
  <c r="FI202" i="11"/>
  <c r="FI203" i="11"/>
  <c r="FI204" i="11"/>
  <c r="FI205" i="11"/>
  <c r="FI206" i="11"/>
  <c r="FI207" i="11"/>
  <c r="FI208" i="11"/>
  <c r="FI209" i="11"/>
  <c r="FI210" i="11"/>
  <c r="FI211" i="11"/>
  <c r="FI212" i="11"/>
  <c r="FI213" i="11"/>
  <c r="FI214" i="11"/>
  <c r="FI215" i="11"/>
  <c r="FI216" i="11"/>
  <c r="FI217" i="11"/>
  <c r="FI218" i="11"/>
  <c r="FI219" i="11"/>
  <c r="FI220" i="11"/>
  <c r="FI221" i="11"/>
  <c r="FI222" i="11"/>
  <c r="FI223" i="11"/>
  <c r="FI224" i="11"/>
  <c r="FI225" i="11"/>
  <c r="FI226" i="11"/>
  <c r="FI227" i="11"/>
  <c r="FI228" i="11"/>
  <c r="FI229" i="11"/>
  <c r="FI230" i="11"/>
  <c r="FI231" i="11"/>
  <c r="FI232" i="11"/>
  <c r="FI233" i="11"/>
  <c r="FI234" i="11"/>
  <c r="FI235" i="11"/>
  <c r="FI236" i="11"/>
  <c r="FI237" i="11"/>
  <c r="FI238" i="11"/>
  <c r="FI239" i="11"/>
  <c r="FI240" i="11"/>
  <c r="FI241" i="11"/>
  <c r="FI242" i="11"/>
  <c r="FI243" i="11"/>
  <c r="FI244" i="11"/>
  <c r="FI245" i="11"/>
  <c r="FI246" i="11"/>
  <c r="FI247" i="11"/>
  <c r="FI248" i="11"/>
  <c r="FI249" i="11"/>
  <c r="FI250" i="11"/>
  <c r="FI251" i="11"/>
  <c r="FI252" i="11"/>
  <c r="FI253" i="11"/>
  <c r="FI254" i="11"/>
  <c r="FI255" i="11"/>
  <c r="FI256" i="11"/>
  <c r="FI257" i="11"/>
  <c r="FI258" i="11"/>
  <c r="FI259" i="11"/>
  <c r="FI260" i="11"/>
  <c r="FI261" i="11"/>
  <c r="FI262" i="11"/>
  <c r="FI263" i="11"/>
  <c r="FI264" i="11"/>
  <c r="FI265" i="11"/>
  <c r="FI266" i="11"/>
  <c r="FI267" i="11"/>
  <c r="FI268" i="11"/>
  <c r="FI269" i="11"/>
  <c r="FI270" i="11"/>
  <c r="FI271" i="11"/>
  <c r="FI272" i="11"/>
  <c r="FI273" i="11"/>
  <c r="FI274" i="11"/>
  <c r="FI275" i="11"/>
  <c r="FI276" i="11"/>
  <c r="FI277" i="11"/>
  <c r="FI278" i="11"/>
  <c r="FI279" i="11"/>
  <c r="FI280" i="11"/>
  <c r="FI281" i="11"/>
  <c r="FI282" i="11"/>
  <c r="FI283" i="11"/>
  <c r="FI284" i="11"/>
  <c r="FI285" i="11"/>
  <c r="FI286" i="11"/>
  <c r="FI287" i="11"/>
  <c r="FI288" i="11"/>
  <c r="FI289" i="11"/>
  <c r="FI290" i="11"/>
  <c r="FI291" i="11"/>
  <c r="FI292" i="11"/>
  <c r="FI293" i="11"/>
  <c r="FI294" i="11"/>
  <c r="FI295" i="11"/>
  <c r="FI296" i="11"/>
  <c r="FI297" i="11"/>
  <c r="FI298" i="11"/>
  <c r="FI299" i="11"/>
  <c r="FI300" i="11"/>
  <c r="FI301" i="11"/>
  <c r="FI302" i="11"/>
  <c r="FI303" i="11"/>
  <c r="FI304" i="11"/>
  <c r="FI305" i="11"/>
  <c r="FI306" i="11"/>
  <c r="FI307" i="11"/>
  <c r="FI308" i="11"/>
  <c r="FI309" i="11"/>
  <c r="FI310" i="11"/>
  <c r="FI311" i="11"/>
  <c r="FI312" i="11"/>
  <c r="FI313" i="11"/>
  <c r="FI314" i="11"/>
  <c r="FI315" i="11"/>
  <c r="FI316" i="11"/>
  <c r="FI317" i="11"/>
  <c r="FI318" i="11"/>
  <c r="FI319" i="11"/>
  <c r="FI320" i="11"/>
  <c r="FI321" i="11"/>
  <c r="FI322" i="11"/>
  <c r="FI323" i="11"/>
  <c r="FI324" i="11"/>
  <c r="FI325" i="11"/>
  <c r="FI326" i="11"/>
  <c r="FI327" i="11"/>
  <c r="FI328" i="11"/>
  <c r="FI329" i="11"/>
  <c r="FI330" i="11"/>
  <c r="FI331" i="11"/>
  <c r="FI332" i="11"/>
  <c r="FI333" i="11"/>
  <c r="FI334" i="11"/>
  <c r="FI335" i="11"/>
  <c r="FI336" i="11"/>
  <c r="FI337" i="11"/>
  <c r="FI338" i="11"/>
  <c r="FI339" i="11"/>
  <c r="FI340" i="11"/>
  <c r="FI341" i="11"/>
  <c r="FI342" i="11"/>
  <c r="FI4" i="11"/>
  <c r="FI5" i="11"/>
  <c r="FI6" i="11"/>
  <c r="FI7" i="11"/>
  <c r="FI8" i="11"/>
  <c r="FI9" i="11"/>
  <c r="FI10" i="11"/>
  <c r="FI11" i="11"/>
  <c r="FI12" i="11"/>
  <c r="FI13" i="11"/>
  <c r="FI14" i="11"/>
  <c r="FI3" i="11"/>
  <c r="B9" i="39"/>
  <c r="H8" i="39"/>
  <c r="E7" i="6"/>
  <c r="K5" i="39"/>
  <c r="BI33" i="22"/>
  <c r="BC34" i="22"/>
  <c r="AI31" i="26"/>
  <c r="K6" i="39"/>
  <c r="D7" i="39"/>
  <c r="BE35" i="22"/>
  <c r="G7" i="39"/>
  <c r="E10" i="6"/>
  <c r="C11" i="35"/>
  <c r="C18" i="35"/>
  <c r="BG36" i="22"/>
  <c r="AM33" i="27"/>
  <c r="G11" i="36"/>
  <c r="L13" i="10"/>
  <c r="BG37" i="22"/>
  <c r="AM34" i="27"/>
  <c r="L10" i="10"/>
  <c r="I9" i="39"/>
  <c r="D10" i="39"/>
  <c r="F10" i="39"/>
  <c r="G10" i="39"/>
  <c r="H8" i="32"/>
  <c r="G38" i="36"/>
  <c r="E13" i="6"/>
  <c r="K11" i="39"/>
  <c r="G11" i="39"/>
  <c r="I10" i="32"/>
  <c r="D13" i="39"/>
  <c r="BE41" i="22"/>
  <c r="AK38" i="26"/>
  <c r="G13" i="39"/>
  <c r="BI41" i="22"/>
  <c r="AO38" i="27"/>
  <c r="E14" i="39"/>
  <c r="F16" i="6"/>
  <c r="G14" i="39"/>
  <c r="H12" i="32"/>
  <c r="I12" i="32"/>
  <c r="E15" i="39"/>
  <c r="G13" i="32"/>
  <c r="L16" i="10"/>
  <c r="BK43" i="22"/>
  <c r="BG44" i="22"/>
  <c r="AM41" i="23"/>
  <c r="D15" i="32"/>
  <c r="BI48" i="22"/>
  <c r="AO45" i="27"/>
  <c r="BE45" i="22"/>
  <c r="BI45" i="22"/>
  <c r="AO42" i="26"/>
  <c r="E20" i="6"/>
  <c r="K18" i="39"/>
  <c r="H18" i="39"/>
  <c r="E17" i="32"/>
  <c r="K19" i="39"/>
  <c r="D20" i="39"/>
  <c r="F22" i="6"/>
  <c r="G20" i="39"/>
  <c r="I18" i="32"/>
  <c r="H24" i="39"/>
  <c r="D21" i="39"/>
  <c r="G19" i="32"/>
  <c r="D22" i="39"/>
  <c r="K22" i="39"/>
  <c r="G20" i="32"/>
  <c r="BI50" i="22"/>
  <c r="BC51" i="22"/>
  <c r="F25" i="6"/>
  <c r="G23" i="39"/>
  <c r="BI51" i="22"/>
  <c r="AO48" i="27"/>
  <c r="I21" i="32"/>
  <c r="C127" i="35"/>
  <c r="C134" i="35"/>
  <c r="G24" i="39"/>
  <c r="BI56" i="22"/>
  <c r="AO53" i="26"/>
  <c r="E25" i="39"/>
  <c r="K25" i="39"/>
  <c r="E28" i="6"/>
  <c r="K26" i="39"/>
  <c r="L27" i="10"/>
  <c r="BK54" i="22"/>
  <c r="AQ51" i="26"/>
  <c r="D27" i="39"/>
  <c r="K27" i="39"/>
  <c r="D28" i="39"/>
  <c r="BE56" i="22"/>
  <c r="AK53" i="23"/>
  <c r="G26" i="32"/>
  <c r="I26" i="32"/>
  <c r="D29" i="39"/>
  <c r="G29" i="39"/>
  <c r="J182" i="36"/>
  <c r="K30" i="39"/>
  <c r="G28" i="32"/>
  <c r="H30" i="39"/>
  <c r="I28" i="32"/>
  <c r="A184" i="35"/>
  <c r="A191" i="35"/>
  <c r="K31" i="39"/>
  <c r="BG59" i="22"/>
  <c r="AM56" i="26"/>
  <c r="I29" i="32"/>
  <c r="E30" i="32"/>
  <c r="BG60" i="22"/>
  <c r="I32" i="39"/>
  <c r="D35" i="6"/>
  <c r="D33" i="39"/>
  <c r="F35" i="6"/>
  <c r="H33" i="39"/>
  <c r="D34" i="39"/>
  <c r="G32" i="32"/>
  <c r="BI62" i="22"/>
  <c r="BC63" i="22"/>
  <c r="AI60" i="23"/>
  <c r="K35" i="39"/>
  <c r="L36" i="10"/>
  <c r="I35" i="39"/>
  <c r="E38" i="6"/>
  <c r="E35" i="32"/>
  <c r="K37" i="39"/>
  <c r="G37" i="39"/>
  <c r="I35" i="32"/>
  <c r="K38" i="39"/>
  <c r="L39" i="10"/>
  <c r="D39" i="39"/>
  <c r="F37" i="32"/>
  <c r="BG67" i="22"/>
  <c r="AM64" i="26"/>
  <c r="K40" i="39"/>
  <c r="BK68" i="22"/>
  <c r="AQ65" i="26"/>
  <c r="BC69" i="22"/>
  <c r="C269" i="36"/>
  <c r="C276" i="36"/>
  <c r="G269" i="36"/>
  <c r="D42" i="39"/>
  <c r="F42" i="39"/>
  <c r="G42" i="39"/>
  <c r="I40" i="32"/>
  <c r="D43" i="39"/>
  <c r="K43" i="39"/>
  <c r="L44" i="10"/>
  <c r="BK71" i="22"/>
  <c r="AQ68" i="27"/>
  <c r="A272" i="35"/>
  <c r="A279" i="35"/>
  <c r="F42" i="32"/>
  <c r="G44" i="39"/>
  <c r="D43" i="32"/>
  <c r="K45" i="39"/>
  <c r="G45" i="39"/>
  <c r="G298" i="36"/>
  <c r="B59" i="6"/>
  <c r="D47" i="32"/>
  <c r="L1" i="5"/>
  <c r="U1" i="5"/>
  <c r="J3" i="197"/>
  <c r="B2" i="197"/>
  <c r="B33" i="197"/>
  <c r="B64" i="197"/>
  <c r="B95" i="197"/>
  <c r="B126" i="197"/>
  <c r="B157" i="197"/>
  <c r="B188" i="197"/>
  <c r="B219" i="197"/>
  <c r="B250" i="197"/>
  <c r="B281" i="197"/>
  <c r="B312" i="197"/>
  <c r="B343" i="197"/>
  <c r="B374" i="197"/>
  <c r="B405" i="197"/>
  <c r="B436" i="197"/>
  <c r="B467" i="197"/>
  <c r="B498" i="197"/>
  <c r="B529" i="197"/>
  <c r="B560" i="197"/>
  <c r="B591" i="197"/>
  <c r="B622" i="197"/>
  <c r="B653" i="197"/>
  <c r="B684" i="197"/>
  <c r="B715" i="197"/>
  <c r="AG26" i="197"/>
  <c r="AG25" i="197"/>
  <c r="AG24" i="197"/>
  <c r="AG23" i="197"/>
  <c r="AG22" i="197"/>
  <c r="AG21" i="197"/>
  <c r="AG20" i="197"/>
  <c r="AG19" i="197"/>
  <c r="AG18" i="197"/>
  <c r="AG17" i="197"/>
  <c r="AG16" i="197"/>
  <c r="AG15" i="197"/>
  <c r="AG14" i="197"/>
  <c r="AG13" i="197"/>
  <c r="AG12" i="197"/>
  <c r="AG11" i="197"/>
  <c r="AG10" i="197"/>
  <c r="AG9" i="197"/>
  <c r="AG8" i="197"/>
  <c r="AG7" i="197"/>
  <c r="AG6" i="197"/>
  <c r="AG5" i="197"/>
  <c r="AG4" i="197"/>
  <c r="AG3" i="197"/>
  <c r="K6" i="10"/>
  <c r="L5" i="39"/>
  <c r="K7" i="10"/>
  <c r="K8" i="10"/>
  <c r="K5" i="32"/>
  <c r="A5" i="32"/>
  <c r="K9" i="10"/>
  <c r="K6" i="32"/>
  <c r="A6" i="32"/>
  <c r="B7" i="10"/>
  <c r="B4" i="32"/>
  <c r="C7" i="10"/>
  <c r="AY34" i="22"/>
  <c r="AE31" i="26"/>
  <c r="D7" i="10"/>
  <c r="D4" i="32"/>
  <c r="B8" i="10"/>
  <c r="B7" i="39"/>
  <c r="C8" i="10"/>
  <c r="C7" i="39"/>
  <c r="D8" i="10"/>
  <c r="D9" i="6"/>
  <c r="B9" i="10"/>
  <c r="B6" i="32"/>
  <c r="C9" i="10"/>
  <c r="AY36" i="22"/>
  <c r="AE33" i="23"/>
  <c r="D9" i="10"/>
  <c r="BA36" i="22"/>
  <c r="AG33" i="26"/>
  <c r="K10" i="10"/>
  <c r="K7" i="32"/>
  <c r="A7" i="32"/>
  <c r="K11" i="10"/>
  <c r="K8" i="32"/>
  <c r="A8" i="32"/>
  <c r="B11" i="10"/>
  <c r="C11" i="10"/>
  <c r="C12" i="6"/>
  <c r="D11" i="10"/>
  <c r="D8" i="32"/>
  <c r="K12" i="10"/>
  <c r="K9" i="32"/>
  <c r="A9" i="32"/>
  <c r="B12" i="10"/>
  <c r="B9" i="32"/>
  <c r="C12" i="10"/>
  <c r="C11" i="39"/>
  <c r="D12" i="10"/>
  <c r="D9" i="32"/>
  <c r="K13" i="10"/>
  <c r="K10" i="32"/>
  <c r="A10" i="32"/>
  <c r="B13" i="10"/>
  <c r="C13" i="10"/>
  <c r="C12" i="39"/>
  <c r="D13" i="10"/>
  <c r="K14" i="10"/>
  <c r="K11" i="32"/>
  <c r="A11" i="32"/>
  <c r="K15" i="10"/>
  <c r="B15" i="10"/>
  <c r="C15" i="10"/>
  <c r="C16" i="6"/>
  <c r="D15" i="10"/>
  <c r="BA42" i="22"/>
  <c r="K16" i="10"/>
  <c r="K13" i="32"/>
  <c r="A13" i="32"/>
  <c r="B16" i="10"/>
  <c r="C16" i="10"/>
  <c r="AY43" i="22"/>
  <c r="AE40" i="27"/>
  <c r="D16" i="10"/>
  <c r="BA43" i="22"/>
  <c r="AG40" i="23"/>
  <c r="K17" i="10"/>
  <c r="B17" i="10"/>
  <c r="B16" i="39"/>
  <c r="C17" i="10"/>
  <c r="C16" i="39"/>
  <c r="D17" i="10"/>
  <c r="D14" i="32"/>
  <c r="K18" i="10"/>
  <c r="K19" i="10"/>
  <c r="B19" i="10"/>
  <c r="B18" i="39"/>
  <c r="C19" i="10"/>
  <c r="C16" i="32"/>
  <c r="D19" i="10"/>
  <c r="D16" i="32"/>
  <c r="K20" i="10"/>
  <c r="L19" i="39"/>
  <c r="B20" i="10"/>
  <c r="B19" i="39"/>
  <c r="C20" i="10"/>
  <c r="C17" i="32"/>
  <c r="D20" i="10"/>
  <c r="K21" i="10"/>
  <c r="K18" i="32"/>
  <c r="A18" i="32"/>
  <c r="B21" i="10"/>
  <c r="B22" i="6"/>
  <c r="C21" i="10"/>
  <c r="AY48" i="22"/>
  <c r="AE45" i="23"/>
  <c r="D21" i="10"/>
  <c r="BA48" i="22"/>
  <c r="AG45" i="23"/>
  <c r="K22" i="10"/>
  <c r="K23" i="10"/>
  <c r="K20" i="32"/>
  <c r="A20" i="32"/>
  <c r="B23" i="10"/>
  <c r="B24" i="6"/>
  <c r="C23" i="10"/>
  <c r="C24" i="6"/>
  <c r="D23" i="10"/>
  <c r="D24" i="6"/>
  <c r="K24" i="10"/>
  <c r="K21" i="32"/>
  <c r="A21" i="32"/>
  <c r="B24" i="10"/>
  <c r="B23" i="39"/>
  <c r="C24" i="10"/>
  <c r="D24" i="10"/>
  <c r="D25" i="6"/>
  <c r="K25" i="10"/>
  <c r="K22" i="32"/>
  <c r="A22" i="32"/>
  <c r="B25" i="10"/>
  <c r="B24" i="39"/>
  <c r="C25" i="10"/>
  <c r="C24" i="39"/>
  <c r="D25" i="10"/>
  <c r="K26" i="10"/>
  <c r="K23" i="32"/>
  <c r="A23" i="32"/>
  <c r="K27" i="10"/>
  <c r="K24" i="32"/>
  <c r="A24" i="32"/>
  <c r="B27" i="10"/>
  <c r="B28" i="6"/>
  <c r="C27" i="10"/>
  <c r="C26" i="39"/>
  <c r="D27" i="10"/>
  <c r="BA54" i="22"/>
  <c r="AG51" i="26"/>
  <c r="K28" i="10"/>
  <c r="K25" i="32"/>
  <c r="A25" i="32"/>
  <c r="B28" i="10"/>
  <c r="AW55" i="22"/>
  <c r="AC52" i="27"/>
  <c r="C28" i="10"/>
  <c r="C25" i="32"/>
  <c r="D28" i="10"/>
  <c r="D25" i="32"/>
  <c r="K29" i="10"/>
  <c r="K26" i="32"/>
  <c r="A26" i="32"/>
  <c r="B29" i="10"/>
  <c r="B26" i="32"/>
  <c r="C29" i="10"/>
  <c r="D29" i="10"/>
  <c r="D30" i="6"/>
  <c r="K30" i="10"/>
  <c r="K27" i="32"/>
  <c r="A27" i="32"/>
  <c r="K31" i="10"/>
  <c r="K28" i="32"/>
  <c r="A28" i="32"/>
  <c r="B31" i="10"/>
  <c r="AW58" i="22"/>
  <c r="AC55" i="23"/>
  <c r="C31" i="10"/>
  <c r="C28" i="32"/>
  <c r="D31" i="10"/>
  <c r="D28" i="32"/>
  <c r="K32" i="10"/>
  <c r="B32" i="10"/>
  <c r="B31" i="39"/>
  <c r="C32" i="10"/>
  <c r="C33" i="6"/>
  <c r="D32" i="10"/>
  <c r="BA59" i="22"/>
  <c r="AG56" i="27"/>
  <c r="K33" i="10"/>
  <c r="K30" i="32"/>
  <c r="A30" i="32"/>
  <c r="B33" i="10"/>
  <c r="C33" i="10"/>
  <c r="C34" i="6"/>
  <c r="D33" i="10"/>
  <c r="D30" i="32"/>
  <c r="K34" i="10"/>
  <c r="K31" i="32"/>
  <c r="A31" i="32"/>
  <c r="K35" i="10"/>
  <c r="K32" i="32"/>
  <c r="A32" i="32"/>
  <c r="B35" i="10"/>
  <c r="B36" i="6"/>
  <c r="C35" i="10"/>
  <c r="C32" i="32"/>
  <c r="D35" i="10"/>
  <c r="D32" i="32"/>
  <c r="K36" i="10"/>
  <c r="K33" i="32"/>
  <c r="A33" i="32"/>
  <c r="B36" i="10"/>
  <c r="B37" i="6"/>
  <c r="C36" i="10"/>
  <c r="C37" i="6"/>
  <c r="D36" i="10"/>
  <c r="D33" i="32"/>
  <c r="K37" i="10"/>
  <c r="B37" i="10"/>
  <c r="B36" i="39"/>
  <c r="C37" i="10"/>
  <c r="C34" i="32"/>
  <c r="D37" i="10"/>
  <c r="D38" i="6"/>
  <c r="K38" i="10"/>
  <c r="K39" i="10"/>
  <c r="K36" i="32"/>
  <c r="A36" i="32"/>
  <c r="B39" i="10"/>
  <c r="AW66" i="22"/>
  <c r="AC63" i="26"/>
  <c r="C39" i="10"/>
  <c r="C36" i="32"/>
  <c r="D39" i="10"/>
  <c r="BA66" i="22"/>
  <c r="K40" i="10"/>
  <c r="B40" i="10"/>
  <c r="B37" i="32"/>
  <c r="C40" i="10"/>
  <c r="C39" i="39"/>
  <c r="D40" i="10"/>
  <c r="D37" i="32"/>
  <c r="K41" i="10"/>
  <c r="K38" i="32"/>
  <c r="A38" i="32"/>
  <c r="B41" i="10"/>
  <c r="AW68" i="22"/>
  <c r="C41" i="10"/>
  <c r="AY68" i="22"/>
  <c r="AE65" i="26"/>
  <c r="D41" i="10"/>
  <c r="D38" i="32"/>
  <c r="K42" i="10"/>
  <c r="K39" i="32"/>
  <c r="A39" i="32"/>
  <c r="K43" i="10"/>
  <c r="K40" i="32"/>
  <c r="A40" i="32"/>
  <c r="B43" i="10"/>
  <c r="B40" i="32"/>
  <c r="C43" i="10"/>
  <c r="C42" i="39"/>
  <c r="D43" i="10"/>
  <c r="D40" i="32"/>
  <c r="K44" i="10"/>
  <c r="K41" i="32"/>
  <c r="A41" i="32"/>
  <c r="B44" i="10"/>
  <c r="C44" i="10"/>
  <c r="C41" i="32"/>
  <c r="D44" i="10"/>
  <c r="D41" i="32"/>
  <c r="K45" i="10"/>
  <c r="K42" i="32"/>
  <c r="A42" i="32"/>
  <c r="B45" i="10"/>
  <c r="AW72" i="22"/>
  <c r="AC69" i="27"/>
  <c r="C45" i="10"/>
  <c r="D45" i="10"/>
  <c r="D42" i="32"/>
  <c r="K46" i="10"/>
  <c r="K43" i="32"/>
  <c r="A43" i="32"/>
  <c r="K47" i="10"/>
  <c r="K44" i="32"/>
  <c r="A44" i="32"/>
  <c r="B47" i="10"/>
  <c r="B46" i="39"/>
  <c r="C47" i="10"/>
  <c r="AY74" i="22"/>
  <c r="D47" i="10"/>
  <c r="D48" i="6"/>
  <c r="D46" i="39"/>
  <c r="BG74" i="22"/>
  <c r="AM71" i="23"/>
  <c r="BI74" i="22"/>
  <c r="BK74" i="22"/>
  <c r="K48" i="10"/>
  <c r="K45" i="32"/>
  <c r="A45" i="32"/>
  <c r="B48" i="10"/>
  <c r="B49" i="6"/>
  <c r="C48" i="10"/>
  <c r="C49" i="6"/>
  <c r="D48" i="10"/>
  <c r="BA75" i="22"/>
  <c r="BC75" i="22"/>
  <c r="AI72" i="27"/>
  <c r="BG75" i="22"/>
  <c r="AM72" i="27"/>
  <c r="BI75" i="22"/>
  <c r="AO72" i="27"/>
  <c r="I47" i="39"/>
  <c r="K49" i="10"/>
  <c r="K46" i="32"/>
  <c r="A46" i="32"/>
  <c r="B49" i="10"/>
  <c r="B46" i="32"/>
  <c r="C49" i="10"/>
  <c r="C46" i="32"/>
  <c r="D49" i="10"/>
  <c r="E48" i="39"/>
  <c r="C301" i="35"/>
  <c r="C308" i="35"/>
  <c r="G48" i="39"/>
  <c r="H48" i="39"/>
  <c r="BK76" i="22"/>
  <c r="K50" i="10"/>
  <c r="K47" i="32"/>
  <c r="A47" i="32"/>
  <c r="E49" i="39"/>
  <c r="F47" i="32"/>
  <c r="G47" i="32"/>
  <c r="H47" i="32"/>
  <c r="I47" i="32"/>
  <c r="K51" i="10"/>
  <c r="K48" i="32"/>
  <c r="A48" i="32"/>
  <c r="B51" i="10"/>
  <c r="B52" i="6"/>
  <c r="C51" i="10"/>
  <c r="AY78" i="22"/>
  <c r="AE75" i="27"/>
  <c r="D51" i="10"/>
  <c r="BA78" i="22"/>
  <c r="AG75" i="27"/>
  <c r="G50" i="39"/>
  <c r="K52" i="10"/>
  <c r="K49" i="32"/>
  <c r="A49" i="32"/>
  <c r="B52" i="10"/>
  <c r="B49" i="32"/>
  <c r="C52" i="10"/>
  <c r="C51" i="39"/>
  <c r="D52" i="10"/>
  <c r="D51" i="39"/>
  <c r="K51" i="39"/>
  <c r="G49" i="32"/>
  <c r="J329" i="36"/>
  <c r="I51" i="39"/>
  <c r="K53" i="10"/>
  <c r="K50" i="32"/>
  <c r="A50" i="32"/>
  <c r="B53" i="10"/>
  <c r="B50" i="32"/>
  <c r="C53" i="10"/>
  <c r="D53" i="10"/>
  <c r="BA80" i="22"/>
  <c r="AG77" i="23"/>
  <c r="BC80" i="22"/>
  <c r="F54" i="6"/>
  <c r="BI80" i="22"/>
  <c r="AO77" i="23"/>
  <c r="I52" i="39"/>
  <c r="K54" i="10"/>
  <c r="K51" i="32"/>
  <c r="A51" i="32"/>
  <c r="BA81" i="22"/>
  <c r="AG78" i="26"/>
  <c r="D53" i="39"/>
  <c r="K53" i="39"/>
  <c r="K55" i="10"/>
  <c r="K52" i="32"/>
  <c r="A52" i="32"/>
  <c r="B55" i="10"/>
  <c r="B52" i="32"/>
  <c r="C55" i="10"/>
  <c r="D55" i="10"/>
  <c r="D52" i="32"/>
  <c r="D54" i="39"/>
  <c r="G52" i="32"/>
  <c r="I52" i="32"/>
  <c r="K56" i="10"/>
  <c r="K53" i="32"/>
  <c r="A53" i="32"/>
  <c r="B56" i="10"/>
  <c r="B57" i="6"/>
  <c r="C56" i="10"/>
  <c r="C55" i="39"/>
  <c r="D56" i="10"/>
  <c r="D57" i="6"/>
  <c r="D55" i="39"/>
  <c r="F57" i="6"/>
  <c r="BG83" i="22"/>
  <c r="AM80" i="26"/>
  <c r="I53" i="32"/>
  <c r="K57" i="10"/>
  <c r="K54" i="32"/>
  <c r="A54" i="32"/>
  <c r="B57" i="10"/>
  <c r="C57" i="10"/>
  <c r="C54" i="32"/>
  <c r="D57" i="10"/>
  <c r="D58" i="6"/>
  <c r="K56" i="39"/>
  <c r="G56" i="39"/>
  <c r="J359" i="35"/>
  <c r="K58" i="10"/>
  <c r="K55" i="32"/>
  <c r="A55" i="32"/>
  <c r="BA85" i="22"/>
  <c r="AG82" i="23"/>
  <c r="BC85" i="22"/>
  <c r="AI82" i="23"/>
  <c r="F55" i="32"/>
  <c r="BI85" i="22"/>
  <c r="AO82" i="26"/>
  <c r="K59" i="10"/>
  <c r="B59" i="10"/>
  <c r="AW86" i="22"/>
  <c r="AC83" i="23"/>
  <c r="C59" i="10"/>
  <c r="C58" i="39"/>
  <c r="D59" i="10"/>
  <c r="D56" i="32"/>
  <c r="A386" i="35"/>
  <c r="A393" i="35"/>
  <c r="F56" i="32"/>
  <c r="G56" i="32"/>
  <c r="I56" i="32"/>
  <c r="K60" i="10"/>
  <c r="B60" i="10"/>
  <c r="AW87" i="22"/>
  <c r="AC84" i="27"/>
  <c r="C60" i="10"/>
  <c r="C57" i="32"/>
  <c r="D60" i="10"/>
  <c r="D57" i="32"/>
  <c r="D59" i="39"/>
  <c r="G57" i="32"/>
  <c r="H57" i="32"/>
  <c r="BK87" i="22"/>
  <c r="AQ84" i="23"/>
  <c r="K61" i="10"/>
  <c r="K58" i="32"/>
  <c r="A58" i="32"/>
  <c r="B61" i="10"/>
  <c r="B58" i="32"/>
  <c r="C61" i="10"/>
  <c r="C58" i="32"/>
  <c r="D61" i="10"/>
  <c r="D60" i="39"/>
  <c r="BE88" i="22"/>
  <c r="AK85" i="26"/>
  <c r="L61" i="10"/>
  <c r="I60" i="39"/>
  <c r="K62" i="10"/>
  <c r="K59" i="32"/>
  <c r="A59" i="32"/>
  <c r="D59" i="32"/>
  <c r="A414" i="35"/>
  <c r="A421" i="35"/>
  <c r="K61" i="39"/>
  <c r="G59" i="32"/>
  <c r="L62" i="10"/>
  <c r="BK89" i="22"/>
  <c r="AQ86" i="26"/>
  <c r="K63" i="10"/>
  <c r="K60" i="32"/>
  <c r="A60" i="32"/>
  <c r="B63" i="10"/>
  <c r="AW90" i="22"/>
  <c r="AC87" i="27"/>
  <c r="C63" i="10"/>
  <c r="C64" i="6"/>
  <c r="D63" i="10"/>
  <c r="D60" i="32"/>
  <c r="BC90" i="22"/>
  <c r="AI87" i="27"/>
  <c r="F60" i="32"/>
  <c r="H62" i="39"/>
  <c r="BK90" i="22"/>
  <c r="AQ87" i="26"/>
  <c r="K64" i="10"/>
  <c r="B64" i="10"/>
  <c r="B65" i="6"/>
  <c r="C64" i="10"/>
  <c r="D64" i="10"/>
  <c r="D61" i="32"/>
  <c r="D63" i="39"/>
  <c r="BI91" i="22"/>
  <c r="K65" i="10"/>
  <c r="K62" i="32"/>
  <c r="A62" i="32"/>
  <c r="B65" i="10"/>
  <c r="AW92" i="22"/>
  <c r="AC89" i="27"/>
  <c r="C65" i="10"/>
  <c r="C62" i="32"/>
  <c r="D65" i="10"/>
  <c r="E66" i="6"/>
  <c r="G62" i="32"/>
  <c r="K66" i="10"/>
  <c r="K63" i="32"/>
  <c r="A63" i="32"/>
  <c r="D63" i="32"/>
  <c r="D65" i="39"/>
  <c r="C443" i="35"/>
  <c r="C450" i="35"/>
  <c r="G63" i="32"/>
  <c r="L66" i="10"/>
  <c r="G443" i="35"/>
  <c r="K67" i="10"/>
  <c r="K64" i="32"/>
  <c r="A64" i="32"/>
  <c r="B67" i="10"/>
  <c r="B64" i="32"/>
  <c r="C67" i="10"/>
  <c r="C64" i="32"/>
  <c r="D67" i="10"/>
  <c r="E66" i="39"/>
  <c r="F64" i="32"/>
  <c r="G64" i="32"/>
  <c r="H64" i="32"/>
  <c r="BK94" i="22"/>
  <c r="AQ91" i="27"/>
  <c r="K68" i="10"/>
  <c r="K65" i="32"/>
  <c r="A65" i="32"/>
  <c r="B68" i="10"/>
  <c r="B65" i="32"/>
  <c r="C68" i="10"/>
  <c r="C67" i="39"/>
  <c r="D68" i="10"/>
  <c r="D65" i="32"/>
  <c r="E65" i="32"/>
  <c r="K67" i="39"/>
  <c r="BG95" i="22"/>
  <c r="AM92" i="23"/>
  <c r="I65" i="32"/>
  <c r="K69" i="10"/>
  <c r="K66" i="32"/>
  <c r="A66" i="32"/>
  <c r="B69" i="10"/>
  <c r="B70" i="6"/>
  <c r="C69" i="10"/>
  <c r="AY96" i="22"/>
  <c r="AE93" i="27"/>
  <c r="D69" i="10"/>
  <c r="D66" i="32"/>
  <c r="E68" i="39"/>
  <c r="BG96" i="22"/>
  <c r="AM93" i="23"/>
  <c r="BI96" i="22"/>
  <c r="AO93" i="23"/>
  <c r="I66" i="32"/>
  <c r="K70" i="10"/>
  <c r="K67" i="32"/>
  <c r="A67" i="32"/>
  <c r="E71" i="6"/>
  <c r="F71" i="6"/>
  <c r="G67" i="32"/>
  <c r="G472" i="36"/>
  <c r="K71" i="10"/>
  <c r="K68" i="32"/>
  <c r="A68" i="32"/>
  <c r="B71" i="10"/>
  <c r="C71" i="10"/>
  <c r="C68" i="32"/>
  <c r="D71" i="10"/>
  <c r="D70" i="39"/>
  <c r="K70" i="39"/>
  <c r="H70" i="39"/>
  <c r="BK98" i="22"/>
  <c r="AQ95" i="23"/>
  <c r="K72" i="10"/>
  <c r="K69" i="32"/>
  <c r="A69" i="32"/>
  <c r="B72" i="10"/>
  <c r="B71" i="39"/>
  <c r="C72" i="10"/>
  <c r="C73" i="6"/>
  <c r="D72" i="10"/>
  <c r="D69" i="32"/>
  <c r="F69" i="32"/>
  <c r="G69" i="32"/>
  <c r="H71" i="39"/>
  <c r="I69" i="32"/>
  <c r="K73" i="10"/>
  <c r="B73" i="10"/>
  <c r="AW100" i="22"/>
  <c r="C73" i="10"/>
  <c r="AY100" i="22"/>
  <c r="D73" i="10"/>
  <c r="D70" i="32"/>
  <c r="BC100" i="22"/>
  <c r="BE100" i="22"/>
  <c r="AK97" i="27"/>
  <c r="G72" i="39"/>
  <c r="I70" i="32"/>
  <c r="K74" i="10"/>
  <c r="K71" i="32"/>
  <c r="A71" i="32"/>
  <c r="D75" i="6"/>
  <c r="D73" i="39"/>
  <c r="G73" i="39"/>
  <c r="L74" i="10"/>
  <c r="K75" i="10"/>
  <c r="B75" i="10"/>
  <c r="B72" i="32"/>
  <c r="C75" i="10"/>
  <c r="C74" i="39"/>
  <c r="D75" i="10"/>
  <c r="E74" i="39"/>
  <c r="J502" i="36"/>
  <c r="K76" i="10"/>
  <c r="L75" i="39"/>
  <c r="B76" i="10"/>
  <c r="B75" i="39"/>
  <c r="C76" i="10"/>
  <c r="AY103" i="22"/>
  <c r="AE100" i="23"/>
  <c r="D76" i="10"/>
  <c r="BA103" i="22"/>
  <c r="AG100" i="26"/>
  <c r="E73" i="32"/>
  <c r="K75" i="39"/>
  <c r="G75" i="39"/>
  <c r="BI103" i="22"/>
  <c r="AO100" i="26"/>
  <c r="BK103" i="22"/>
  <c r="AQ100" i="23"/>
  <c r="K77" i="10"/>
  <c r="K74" i="32"/>
  <c r="A74" i="32"/>
  <c r="B77" i="10"/>
  <c r="AW104" i="22"/>
  <c r="AC101" i="27"/>
  <c r="C77" i="10"/>
  <c r="C76" i="39"/>
  <c r="D77" i="10"/>
  <c r="D74" i="32"/>
  <c r="E74" i="32"/>
  <c r="K76" i="39"/>
  <c r="H74" i="32"/>
  <c r="BK104" i="22"/>
  <c r="AQ101" i="27"/>
  <c r="K78" i="10"/>
  <c r="K75" i="32"/>
  <c r="A75" i="32"/>
  <c r="BA105" i="22"/>
  <c r="AG102" i="23"/>
  <c r="E75" i="32"/>
  <c r="F79" i="6"/>
  <c r="G77" i="39"/>
  <c r="I75" i="32"/>
  <c r="K79" i="10"/>
  <c r="K76" i="32"/>
  <c r="A76" i="32"/>
  <c r="B79" i="10"/>
  <c r="AW106" i="22"/>
  <c r="AC103" i="23"/>
  <c r="C79" i="10"/>
  <c r="D79" i="10"/>
  <c r="BA106" i="22"/>
  <c r="AG103" i="23"/>
  <c r="E80" i="6"/>
  <c r="G76" i="32"/>
  <c r="J531" i="35"/>
  <c r="I76" i="32"/>
  <c r="K80" i="10"/>
  <c r="K77" i="32"/>
  <c r="A77" i="32"/>
  <c r="B80" i="10"/>
  <c r="C80" i="10"/>
  <c r="C77" i="32"/>
  <c r="D80" i="10"/>
  <c r="D77" i="32"/>
  <c r="D79" i="39"/>
  <c r="F79" i="39"/>
  <c r="BI107" i="22"/>
  <c r="AO104" i="26"/>
  <c r="BK107" i="22"/>
  <c r="AQ104" i="23"/>
  <c r="K81" i="10"/>
  <c r="K78" i="32"/>
  <c r="A78" i="32"/>
  <c r="B81" i="10"/>
  <c r="B80" i="39"/>
  <c r="C81" i="10"/>
  <c r="C78" i="32"/>
  <c r="D81" i="10"/>
  <c r="BA108" i="22"/>
  <c r="AG105" i="27"/>
  <c r="BC108" i="22"/>
  <c r="C533" i="35"/>
  <c r="C540" i="35"/>
  <c r="G78" i="32"/>
  <c r="H78" i="32"/>
  <c r="K82" i="10"/>
  <c r="K79" i="32"/>
  <c r="A79" i="32"/>
  <c r="BA109" i="22"/>
  <c r="AG106" i="23"/>
  <c r="BE109" i="22"/>
  <c r="J559" i="36"/>
  <c r="K83" i="10"/>
  <c r="B83" i="10"/>
  <c r="AW110" i="22"/>
  <c r="C83" i="10"/>
  <c r="C80" i="32"/>
  <c r="D83" i="10"/>
  <c r="D80" i="32"/>
  <c r="E82" i="39"/>
  <c r="K82" i="39"/>
  <c r="G80" i="32"/>
  <c r="H80" i="32"/>
  <c r="I80" i="32"/>
  <c r="K84" i="10"/>
  <c r="K81" i="32"/>
  <c r="A81" i="32"/>
  <c r="B84" i="10"/>
  <c r="AW111" i="22"/>
  <c r="AC108" i="23"/>
  <c r="C84" i="10"/>
  <c r="C83" i="39"/>
  <c r="D84" i="10"/>
  <c r="D83" i="39"/>
  <c r="F83" i="39"/>
  <c r="G83" i="39"/>
  <c r="BI111" i="22"/>
  <c r="AO108" i="23"/>
  <c r="BK111" i="22"/>
  <c r="AQ108" i="27"/>
  <c r="K85" i="10"/>
  <c r="K82" i="32"/>
  <c r="A82" i="32"/>
  <c r="B85" i="10"/>
  <c r="C85" i="10"/>
  <c r="C84" i="39"/>
  <c r="D85" i="10"/>
  <c r="BA112" i="22"/>
  <c r="AG109" i="27"/>
  <c r="D84" i="39"/>
  <c r="K84" i="39"/>
  <c r="H82" i="32"/>
  <c r="I82" i="32"/>
  <c r="K86" i="10"/>
  <c r="K83" i="32"/>
  <c r="A83" i="32"/>
  <c r="E87" i="6"/>
  <c r="K85" i="39"/>
  <c r="I85" i="39"/>
  <c r="K87" i="10"/>
  <c r="B87" i="10"/>
  <c r="C87" i="10"/>
  <c r="C88" i="6"/>
  <c r="D87" i="10"/>
  <c r="D84" i="32"/>
  <c r="D86" i="39"/>
  <c r="K86" i="39"/>
  <c r="G84" i="32"/>
  <c r="H86" i="39"/>
  <c r="BK114" i="22"/>
  <c r="AQ111" i="23"/>
  <c r="K88" i="10"/>
  <c r="K85" i="32"/>
  <c r="A85" i="32"/>
  <c r="B88" i="10"/>
  <c r="AW115" i="22"/>
  <c r="C88" i="10"/>
  <c r="C85" i="32"/>
  <c r="D88" i="10"/>
  <c r="E87" i="39"/>
  <c r="K87" i="39"/>
  <c r="G87" i="39"/>
  <c r="H87" i="39"/>
  <c r="BK115" i="22"/>
  <c r="AQ112" i="26"/>
  <c r="K89" i="10"/>
  <c r="K86" i="32"/>
  <c r="A86" i="32"/>
  <c r="B89" i="10"/>
  <c r="B90" i="6"/>
  <c r="C89" i="10"/>
  <c r="C88" i="39"/>
  <c r="D89" i="10"/>
  <c r="D86" i="32"/>
  <c r="D88" i="39"/>
  <c r="K88" i="39"/>
  <c r="G591" i="35"/>
  <c r="K90" i="10"/>
  <c r="K87" i="32"/>
  <c r="A87" i="32"/>
  <c r="D91" i="6"/>
  <c r="BC117" i="22"/>
  <c r="BI117" i="22"/>
  <c r="AO114" i="26"/>
  <c r="I87" i="32"/>
  <c r="K91" i="10"/>
  <c r="K88" i="32"/>
  <c r="A88" i="32"/>
  <c r="B91" i="10"/>
  <c r="AW118" i="22"/>
  <c r="AC115" i="27"/>
  <c r="C91" i="10"/>
  <c r="D91" i="10"/>
  <c r="E92" i="6"/>
  <c r="K90" i="39"/>
  <c r="BG118" i="22"/>
  <c r="AM115" i="23"/>
  <c r="BK118" i="22"/>
  <c r="AQ115" i="23"/>
  <c r="K92" i="10"/>
  <c r="K89" i="32"/>
  <c r="A89" i="32"/>
  <c r="B92" i="10"/>
  <c r="B93" i="6"/>
  <c r="C92" i="10"/>
  <c r="C91" i="39"/>
  <c r="D92" i="10"/>
  <c r="D91" i="39"/>
  <c r="K91" i="39"/>
  <c r="H89" i="32"/>
  <c r="K93" i="10"/>
  <c r="K90" i="32"/>
  <c r="A90" i="32"/>
  <c r="B93" i="10"/>
  <c r="C93" i="10"/>
  <c r="C94" i="6"/>
  <c r="D93" i="10"/>
  <c r="D94" i="6"/>
  <c r="BC120" i="22"/>
  <c r="AI117" i="27"/>
  <c r="K92" i="39"/>
  <c r="J620" i="35"/>
  <c r="K94" i="10"/>
  <c r="D91" i="32"/>
  <c r="D93" i="39"/>
  <c r="F93" i="39"/>
  <c r="K95" i="10"/>
  <c r="L94" i="39"/>
  <c r="B95" i="10"/>
  <c r="B92" i="32"/>
  <c r="C95" i="10"/>
  <c r="D95" i="10"/>
  <c r="D92" i="32"/>
  <c r="D94" i="39"/>
  <c r="F94" i="39"/>
  <c r="K96" i="10"/>
  <c r="K93" i="32"/>
  <c r="A93" i="32"/>
  <c r="B96" i="10"/>
  <c r="B93" i="32"/>
  <c r="C96" i="10"/>
  <c r="C93" i="32"/>
  <c r="D96" i="10"/>
  <c r="D93" i="32"/>
  <c r="D95" i="39"/>
  <c r="F95" i="39"/>
  <c r="I93" i="32"/>
  <c r="K97" i="10"/>
  <c r="L96" i="39"/>
  <c r="B97" i="10"/>
  <c r="B94" i="32"/>
  <c r="C97" i="10"/>
  <c r="C98" i="6"/>
  <c r="D97" i="10"/>
  <c r="E96" i="39"/>
  <c r="F94" i="32"/>
  <c r="L97" i="10"/>
  <c r="K98" i="10"/>
  <c r="K95" i="32"/>
  <c r="A95" i="32"/>
  <c r="D99" i="6"/>
  <c r="F99" i="6"/>
  <c r="G97" i="39"/>
  <c r="H95" i="32"/>
  <c r="I97" i="39"/>
  <c r="K99" i="10"/>
  <c r="K96" i="32"/>
  <c r="A96" i="32"/>
  <c r="B99" i="10"/>
  <c r="B100" i="6"/>
  <c r="C99" i="10"/>
  <c r="C100" i="6"/>
  <c r="D99" i="10"/>
  <c r="D96" i="32"/>
  <c r="D98" i="39"/>
  <c r="F100" i="6"/>
  <c r="I98" i="39"/>
  <c r="K100" i="10"/>
  <c r="L99" i="39"/>
  <c r="B100" i="10"/>
  <c r="B97" i="32"/>
  <c r="C100" i="10"/>
  <c r="C97" i="32"/>
  <c r="D100" i="10"/>
  <c r="D101" i="6"/>
  <c r="F99" i="39"/>
  <c r="G97" i="32"/>
  <c r="I99" i="39"/>
  <c r="K101" i="10"/>
  <c r="B101" i="10"/>
  <c r="B98" i="32"/>
  <c r="C101" i="10"/>
  <c r="C98" i="32"/>
  <c r="D101" i="10"/>
  <c r="D98" i="32"/>
  <c r="D100" i="39"/>
  <c r="F100" i="39"/>
  <c r="G100" i="39"/>
  <c r="H98" i="32"/>
  <c r="I100" i="39"/>
  <c r="Q33" i="196"/>
  <c r="U761" i="182"/>
  <c r="Y759" i="182"/>
  <c r="Y758" i="182"/>
  <c r="Y757" i="182"/>
  <c r="Y756" i="182"/>
  <c r="T739" i="182"/>
  <c r="U729" i="182"/>
  <c r="Y727" i="182"/>
  <c r="Y726" i="182"/>
  <c r="Y725" i="182"/>
  <c r="Y724" i="182"/>
  <c r="T707" i="182"/>
  <c r="T706" i="182"/>
  <c r="U697" i="182"/>
  <c r="Y695" i="182"/>
  <c r="Y694" i="182"/>
  <c r="Y693" i="182"/>
  <c r="Y692" i="182"/>
  <c r="T675" i="182"/>
  <c r="U665" i="182"/>
  <c r="Y663" i="182"/>
  <c r="Y662" i="182"/>
  <c r="Y661" i="182"/>
  <c r="Y660" i="182"/>
  <c r="T643" i="182"/>
  <c r="U633" i="182"/>
  <c r="Y631" i="182"/>
  <c r="Y630" i="182"/>
  <c r="Y629" i="182"/>
  <c r="Y628" i="182"/>
  <c r="T611" i="182"/>
  <c r="U601" i="182"/>
  <c r="Y599" i="182"/>
  <c r="Y598" i="182"/>
  <c r="Y597" i="182"/>
  <c r="Y596" i="182"/>
  <c r="T579" i="182"/>
  <c r="U569" i="182"/>
  <c r="Y567" i="182"/>
  <c r="Y566" i="182"/>
  <c r="Y565" i="182"/>
  <c r="Y564" i="182"/>
  <c r="T547" i="182"/>
  <c r="U537" i="182"/>
  <c r="Y535" i="182"/>
  <c r="Y534" i="182"/>
  <c r="Y533" i="182"/>
  <c r="Y532" i="182"/>
  <c r="T515" i="182"/>
  <c r="T514" i="182"/>
  <c r="U505" i="182"/>
  <c r="Y503" i="182"/>
  <c r="Y502" i="182"/>
  <c r="Y501" i="182"/>
  <c r="Y500" i="182"/>
  <c r="T483" i="182"/>
  <c r="U473" i="182"/>
  <c r="Y471" i="182"/>
  <c r="Y470" i="182"/>
  <c r="Y469" i="182"/>
  <c r="Y468" i="182"/>
  <c r="T451" i="182"/>
  <c r="U441" i="182"/>
  <c r="Y439" i="182"/>
  <c r="Y438" i="182"/>
  <c r="Y437" i="182"/>
  <c r="Y436" i="182"/>
  <c r="T419" i="182"/>
  <c r="U409" i="182"/>
  <c r="Y407" i="182"/>
  <c r="Y406" i="182"/>
  <c r="Y405" i="182"/>
  <c r="Y404" i="182"/>
  <c r="T387" i="182"/>
  <c r="U377" i="182"/>
  <c r="Y375" i="182"/>
  <c r="Y374" i="182"/>
  <c r="Y373" i="182"/>
  <c r="Y372" i="182"/>
  <c r="T355" i="182"/>
  <c r="U345" i="182"/>
  <c r="Y343" i="182"/>
  <c r="Y342" i="182"/>
  <c r="Y341" i="182"/>
  <c r="Y340" i="182"/>
  <c r="T323" i="182"/>
  <c r="U313" i="182"/>
  <c r="Y311" i="182"/>
  <c r="Y310" i="182"/>
  <c r="Y309" i="182"/>
  <c r="Y308" i="182"/>
  <c r="T291" i="182"/>
  <c r="U281" i="182"/>
  <c r="Y279" i="182"/>
  <c r="Y278" i="182"/>
  <c r="Y277" i="182"/>
  <c r="Y276" i="182"/>
  <c r="T259" i="182"/>
  <c r="U249" i="182"/>
  <c r="Y247" i="182"/>
  <c r="Y246" i="182"/>
  <c r="Y245" i="182"/>
  <c r="Y244" i="182"/>
  <c r="T227" i="182"/>
  <c r="U217" i="182"/>
  <c r="Y215" i="182"/>
  <c r="Y214" i="182"/>
  <c r="Y213" i="182"/>
  <c r="Y212" i="182"/>
  <c r="T195" i="182"/>
  <c r="U185" i="182"/>
  <c r="Y183" i="182"/>
  <c r="Y182" i="182"/>
  <c r="Y181" i="182"/>
  <c r="Y180" i="182"/>
  <c r="T163" i="182"/>
  <c r="U153" i="182"/>
  <c r="Y151" i="182"/>
  <c r="Y150" i="182"/>
  <c r="Y149" i="182"/>
  <c r="Y148" i="182"/>
  <c r="T131" i="182"/>
  <c r="T130" i="182"/>
  <c r="U121" i="182"/>
  <c r="Y119" i="182"/>
  <c r="Y118" i="182"/>
  <c r="Y117" i="182"/>
  <c r="Y116" i="182"/>
  <c r="T99" i="182"/>
  <c r="U89" i="182"/>
  <c r="Y87" i="182"/>
  <c r="Y86" i="182"/>
  <c r="Y85" i="182"/>
  <c r="Y84" i="182"/>
  <c r="T67" i="182"/>
  <c r="U57" i="182"/>
  <c r="Y55" i="182"/>
  <c r="Y54" i="182"/>
  <c r="Y53" i="182"/>
  <c r="Y52" i="182"/>
  <c r="T35" i="182"/>
  <c r="U25" i="182"/>
  <c r="Y23" i="182"/>
  <c r="Y22" i="182"/>
  <c r="Y21" i="182"/>
  <c r="Y20" i="182"/>
  <c r="T3" i="182"/>
  <c r="Q3" i="196"/>
  <c r="E2" i="196"/>
  <c r="F29" i="146"/>
  <c r="C29" i="146"/>
  <c r="C27" i="146"/>
  <c r="P6" i="182"/>
  <c r="J17" i="182"/>
  <c r="F21" i="182"/>
  <c r="F22" i="182"/>
  <c r="B761" i="182"/>
  <c r="F759" i="182"/>
  <c r="F758" i="182"/>
  <c r="F757" i="182"/>
  <c r="F756" i="182"/>
  <c r="A739" i="182"/>
  <c r="B729" i="182"/>
  <c r="F727" i="182"/>
  <c r="F726" i="182"/>
  <c r="F725" i="182"/>
  <c r="F724" i="182"/>
  <c r="A707" i="182"/>
  <c r="B697" i="182"/>
  <c r="F695" i="182"/>
  <c r="F694" i="182"/>
  <c r="F693" i="182"/>
  <c r="F692" i="182"/>
  <c r="A675" i="182"/>
  <c r="A674" i="182"/>
  <c r="B665" i="182"/>
  <c r="F663" i="182"/>
  <c r="F662" i="182"/>
  <c r="F661" i="182"/>
  <c r="F660" i="182"/>
  <c r="A643" i="182"/>
  <c r="B633" i="182"/>
  <c r="F631" i="182"/>
  <c r="F630" i="182"/>
  <c r="F629" i="182"/>
  <c r="F628" i="182"/>
  <c r="A611" i="182"/>
  <c r="B601" i="182"/>
  <c r="F599" i="182"/>
  <c r="F598" i="182"/>
  <c r="F597" i="182"/>
  <c r="F596" i="182"/>
  <c r="A579" i="182"/>
  <c r="A578" i="182"/>
  <c r="B569" i="182"/>
  <c r="F567" i="182"/>
  <c r="F566" i="182"/>
  <c r="F565" i="182"/>
  <c r="F564" i="182"/>
  <c r="A547" i="182"/>
  <c r="B537" i="182"/>
  <c r="F535" i="182"/>
  <c r="F534" i="182"/>
  <c r="F533" i="182"/>
  <c r="F532" i="182"/>
  <c r="A515" i="182"/>
  <c r="B505" i="182"/>
  <c r="F503" i="182"/>
  <c r="F502" i="182"/>
  <c r="F501" i="182"/>
  <c r="F500" i="182"/>
  <c r="A483" i="182"/>
  <c r="B473" i="182"/>
  <c r="F471" i="182"/>
  <c r="F470" i="182"/>
  <c r="F469" i="182"/>
  <c r="F468" i="182"/>
  <c r="A451" i="182"/>
  <c r="B441" i="182"/>
  <c r="F439" i="182"/>
  <c r="F438" i="182"/>
  <c r="F437" i="182"/>
  <c r="F436" i="182"/>
  <c r="A419" i="182"/>
  <c r="B409" i="182"/>
  <c r="F407" i="182"/>
  <c r="F406" i="182"/>
  <c r="F405" i="182"/>
  <c r="F404" i="182"/>
  <c r="A387" i="182"/>
  <c r="B377" i="182"/>
  <c r="F375" i="182"/>
  <c r="F374" i="182"/>
  <c r="F373" i="182"/>
  <c r="F372" i="182"/>
  <c r="A355" i="182"/>
  <c r="B345" i="182"/>
  <c r="F343" i="182"/>
  <c r="F342" i="182"/>
  <c r="F341" i="182"/>
  <c r="F340" i="182"/>
  <c r="A323" i="182"/>
  <c r="B313" i="182"/>
  <c r="F311" i="182"/>
  <c r="F310" i="182"/>
  <c r="F309" i="182"/>
  <c r="F308" i="182"/>
  <c r="A291" i="182"/>
  <c r="B281" i="182"/>
  <c r="F279" i="182"/>
  <c r="F278" i="182"/>
  <c r="F277" i="182"/>
  <c r="F276" i="182"/>
  <c r="A259" i="182"/>
  <c r="B249" i="182"/>
  <c r="F247" i="182"/>
  <c r="F246" i="182"/>
  <c r="F245" i="182"/>
  <c r="F244" i="182"/>
  <c r="A227" i="182"/>
  <c r="B217" i="182"/>
  <c r="F215" i="182"/>
  <c r="F214" i="182"/>
  <c r="F213" i="182"/>
  <c r="F212" i="182"/>
  <c r="A195" i="182"/>
  <c r="A194" i="182"/>
  <c r="B185" i="182"/>
  <c r="F183" i="182"/>
  <c r="F182" i="182"/>
  <c r="F181" i="182"/>
  <c r="F180" i="182"/>
  <c r="A163" i="182"/>
  <c r="B153" i="182"/>
  <c r="F151" i="182"/>
  <c r="F150" i="182"/>
  <c r="F149" i="182"/>
  <c r="F148" i="182"/>
  <c r="A131" i="182"/>
  <c r="B121" i="182"/>
  <c r="F119" i="182"/>
  <c r="F118" i="182"/>
  <c r="F117" i="182"/>
  <c r="F116" i="182"/>
  <c r="A99" i="182"/>
  <c r="B89" i="182"/>
  <c r="F87" i="182"/>
  <c r="F86" i="182"/>
  <c r="F85" i="182"/>
  <c r="F84" i="182"/>
  <c r="A67" i="182"/>
  <c r="B57" i="182"/>
  <c r="F55" i="182"/>
  <c r="F54" i="182"/>
  <c r="F53" i="182"/>
  <c r="F52" i="182"/>
  <c r="A35" i="182"/>
  <c r="B25" i="182"/>
  <c r="F23" i="182"/>
  <c r="F20" i="182"/>
  <c r="A3" i="182"/>
  <c r="FC323" i="11"/>
  <c r="FD323" i="11"/>
  <c r="FE323" i="11"/>
  <c r="FC324" i="11"/>
  <c r="FD324" i="11"/>
  <c r="FE324" i="11"/>
  <c r="FC325" i="11"/>
  <c r="FD325" i="11"/>
  <c r="FE325" i="11"/>
  <c r="FC326" i="11"/>
  <c r="FD326" i="11"/>
  <c r="FE326" i="11"/>
  <c r="FC327" i="11"/>
  <c r="FD327" i="11"/>
  <c r="FE327" i="11"/>
  <c r="FC328" i="11"/>
  <c r="FD328" i="11"/>
  <c r="FE328" i="11"/>
  <c r="FC329" i="11"/>
  <c r="FD329" i="11"/>
  <c r="FE329" i="11"/>
  <c r="FC330" i="11"/>
  <c r="FD330" i="11"/>
  <c r="FE330" i="11"/>
  <c r="FC331" i="11"/>
  <c r="FD331" i="11"/>
  <c r="FE331" i="11"/>
  <c r="FC332" i="11"/>
  <c r="FD332" i="11"/>
  <c r="FE332" i="11"/>
  <c r="FC333" i="11"/>
  <c r="FD333" i="11"/>
  <c r="FE333" i="11"/>
  <c r="FC334" i="11"/>
  <c r="FD334" i="11"/>
  <c r="FE334" i="11"/>
  <c r="FC335" i="11"/>
  <c r="FD335" i="11"/>
  <c r="FE335" i="11"/>
  <c r="FC336" i="11"/>
  <c r="FD336" i="11"/>
  <c r="FE336" i="11"/>
  <c r="FC337" i="11"/>
  <c r="FD337" i="11"/>
  <c r="FE337" i="11"/>
  <c r="FC338" i="11"/>
  <c r="FD338" i="11"/>
  <c r="FE338" i="11"/>
  <c r="FC339" i="11"/>
  <c r="FD339" i="11"/>
  <c r="FE339" i="11"/>
  <c r="FC340" i="11"/>
  <c r="FD340" i="11"/>
  <c r="FE340" i="11"/>
  <c r="FC341" i="11"/>
  <c r="FD341" i="11"/>
  <c r="FE341" i="11"/>
  <c r="FC342" i="11"/>
  <c r="FD342" i="11"/>
  <c r="FE342" i="11"/>
  <c r="A779" i="154"/>
  <c r="A746" i="154"/>
  <c r="A713" i="154"/>
  <c r="A680" i="154"/>
  <c r="A647" i="154"/>
  <c r="A614" i="154"/>
  <c r="A581" i="154"/>
  <c r="A548" i="154"/>
  <c r="A515" i="154"/>
  <c r="A482" i="154"/>
  <c r="A449" i="154"/>
  <c r="A416" i="154"/>
  <c r="A383" i="154"/>
  <c r="A350" i="154"/>
  <c r="A317" i="154"/>
  <c r="A284" i="154"/>
  <c r="A251" i="154"/>
  <c r="A218" i="154"/>
  <c r="A185" i="154"/>
  <c r="A152" i="154"/>
  <c r="A119" i="154"/>
  <c r="A86" i="154"/>
  <c r="A53" i="154"/>
  <c r="A20" i="154"/>
  <c r="M61" i="6"/>
  <c r="M62" i="6"/>
  <c r="N82" i="155"/>
  <c r="N102" i="155"/>
  <c r="N101" i="155"/>
  <c r="N100" i="155"/>
  <c r="N99" i="155"/>
  <c r="N98" i="155"/>
  <c r="N97" i="155"/>
  <c r="N96" i="155"/>
  <c r="N95" i="155"/>
  <c r="N94" i="155"/>
  <c r="N93" i="155"/>
  <c r="N92" i="155"/>
  <c r="N91" i="155"/>
  <c r="N90" i="155"/>
  <c r="N89" i="155"/>
  <c r="N88" i="155"/>
  <c r="N87" i="155"/>
  <c r="N36" i="155"/>
  <c r="N49" i="155"/>
  <c r="N52" i="155"/>
  <c r="N56" i="155"/>
  <c r="N72" i="155"/>
  <c r="N23" i="155"/>
  <c r="N44" i="155"/>
  <c r="N33" i="155"/>
  <c r="N8" i="155"/>
  <c r="N34" i="155"/>
  <c r="N24" i="155"/>
  <c r="N68" i="155"/>
  <c r="N78" i="155"/>
  <c r="N76" i="155"/>
  <c r="N31" i="155"/>
  <c r="N16" i="155"/>
  <c r="N27" i="155"/>
  <c r="N13" i="155"/>
  <c r="N65" i="155"/>
  <c r="N55" i="155"/>
  <c r="N59" i="155"/>
  <c r="N26" i="155"/>
  <c r="N67" i="155"/>
  <c r="N86" i="155"/>
  <c r="N84" i="155"/>
  <c r="N47" i="155"/>
  <c r="N38" i="155"/>
  <c r="N51" i="155"/>
  <c r="N80" i="155"/>
  <c r="N69" i="155"/>
  <c r="N42" i="155"/>
  <c r="N37" i="155"/>
  <c r="N73" i="155"/>
  <c r="N50" i="155"/>
  <c r="N40" i="155"/>
  <c r="N48" i="155"/>
  <c r="N61" i="155"/>
  <c r="N18" i="155"/>
  <c r="N12" i="155"/>
  <c r="N66" i="155"/>
  <c r="N75" i="155"/>
  <c r="N62" i="155"/>
  <c r="N74" i="155"/>
  <c r="N45" i="155"/>
  <c r="N85" i="155"/>
  <c r="N54" i="155"/>
  <c r="N60" i="155"/>
  <c r="N70" i="155"/>
  <c r="N17" i="155"/>
  <c r="N58" i="155"/>
  <c r="N10" i="155"/>
  <c r="N39" i="155"/>
  <c r="N25" i="155"/>
  <c r="N41" i="155"/>
  <c r="N19" i="155"/>
  <c r="N20" i="155"/>
  <c r="N15" i="155"/>
  <c r="N30" i="155"/>
  <c r="N21" i="155"/>
  <c r="N32" i="155"/>
  <c r="N43" i="155"/>
  <c r="N79" i="155"/>
  <c r="N53" i="155"/>
  <c r="N28" i="155"/>
  <c r="N35" i="155"/>
  <c r="N77" i="155"/>
  <c r="N63" i="155"/>
  <c r="N7" i="155"/>
  <c r="N9" i="155"/>
  <c r="N11" i="155"/>
  <c r="N57" i="155"/>
  <c r="N81" i="155"/>
  <c r="N22" i="155"/>
  <c r="N29" i="155"/>
  <c r="N14" i="155"/>
  <c r="N83" i="155"/>
  <c r="N46" i="155"/>
  <c r="N71" i="155"/>
  <c r="N64" i="155"/>
  <c r="F3" i="155"/>
  <c r="B3" i="155"/>
  <c r="F2" i="155"/>
  <c r="P11" i="6"/>
  <c r="P15" i="6"/>
  <c r="P19" i="6"/>
  <c r="P23" i="6"/>
  <c r="P27" i="6"/>
  <c r="P31" i="6"/>
  <c r="P35" i="6"/>
  <c r="P39" i="6"/>
  <c r="P43" i="6"/>
  <c r="P47" i="6"/>
  <c r="P51" i="6"/>
  <c r="P55" i="6"/>
  <c r="P59" i="6"/>
  <c r="P63" i="6"/>
  <c r="P67" i="6"/>
  <c r="P71" i="6"/>
  <c r="P75" i="6"/>
  <c r="P79" i="6"/>
  <c r="P83" i="6"/>
  <c r="P87" i="6"/>
  <c r="P91" i="6"/>
  <c r="P95" i="6"/>
  <c r="P99" i="6"/>
  <c r="P7" i="6"/>
  <c r="X10" i="6"/>
  <c r="Y10" i="6"/>
  <c r="X11" i="6"/>
  <c r="Y11" i="6"/>
  <c r="X12" i="6"/>
  <c r="Y12" i="6"/>
  <c r="X13" i="6"/>
  <c r="Y13" i="6"/>
  <c r="X14" i="6"/>
  <c r="Y14" i="6"/>
  <c r="X15" i="6"/>
  <c r="Y15" i="6"/>
  <c r="X16" i="6"/>
  <c r="Y16" i="6"/>
  <c r="X17" i="6"/>
  <c r="Y17" i="6"/>
  <c r="X18" i="6"/>
  <c r="Y18" i="6"/>
  <c r="X19" i="6"/>
  <c r="Y19" i="6"/>
  <c r="X20" i="6"/>
  <c r="Y20" i="6"/>
  <c r="X21" i="6"/>
  <c r="Y21" i="6"/>
  <c r="X22" i="6"/>
  <c r="Y22" i="6"/>
  <c r="X23" i="6"/>
  <c r="Y23" i="6"/>
  <c r="X24" i="6"/>
  <c r="Y24" i="6"/>
  <c r="X25" i="6"/>
  <c r="Y25"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T762" i="154"/>
  <c r="T729" i="154"/>
  <c r="T696" i="154"/>
  <c r="T663" i="154"/>
  <c r="T630" i="154"/>
  <c r="T597" i="154"/>
  <c r="T564" i="154"/>
  <c r="T531" i="154"/>
  <c r="T498" i="154"/>
  <c r="T465" i="154"/>
  <c r="T432" i="154"/>
  <c r="T399" i="154"/>
  <c r="T366" i="154"/>
  <c r="T333" i="154"/>
  <c r="T300" i="154"/>
  <c r="T267" i="154"/>
  <c r="T234" i="154"/>
  <c r="T201" i="154"/>
  <c r="T168" i="154"/>
  <c r="T135" i="154"/>
  <c r="T102" i="154"/>
  <c r="T69" i="154"/>
  <c r="T36" i="154"/>
  <c r="T3" i="154"/>
  <c r="T3" i="153"/>
  <c r="F8" i="146"/>
  <c r="C8" i="146"/>
  <c r="B2" i="154"/>
  <c r="B35" i="154"/>
  <c r="A3" i="39"/>
  <c r="B1453" i="33"/>
  <c r="B1389" i="33"/>
  <c r="A93" i="39"/>
  <c r="A94" i="39"/>
  <c r="A95" i="39"/>
  <c r="A96" i="39"/>
  <c r="A97" i="39"/>
  <c r="A98" i="39"/>
  <c r="A99" i="39"/>
  <c r="A100" i="39"/>
  <c r="T738" i="182"/>
  <c r="E761" i="154"/>
  <c r="E365" i="154"/>
  <c r="E167" i="154"/>
  <c r="E101" i="154"/>
  <c r="E728" i="154"/>
  <c r="E332" i="154"/>
  <c r="E200" i="154"/>
  <c r="E134" i="154"/>
  <c r="E68" i="154"/>
  <c r="E2" i="153"/>
  <c r="AF1" i="78"/>
  <c r="K1" i="74"/>
  <c r="C6" i="146"/>
  <c r="B1452" i="33"/>
  <c r="C1" i="39"/>
  <c r="AF1" i="77"/>
  <c r="B1072" i="33"/>
  <c r="B820" i="33"/>
  <c r="B505" i="33"/>
  <c r="B1135" i="33"/>
  <c r="K1" i="85"/>
  <c r="K1" i="79"/>
  <c r="B64" i="33"/>
  <c r="C1" i="105"/>
  <c r="K1" i="82"/>
  <c r="AF1" i="70"/>
  <c r="B253" i="33"/>
  <c r="B1324" i="33"/>
  <c r="B190" i="33"/>
  <c r="B442" i="33"/>
  <c r="B694" i="33"/>
  <c r="Q6" i="34"/>
  <c r="C30" i="21"/>
  <c r="G30" i="21"/>
  <c r="C31" i="21"/>
  <c r="G31" i="21"/>
  <c r="B30" i="21"/>
  <c r="B31" i="21"/>
  <c r="C17" i="21"/>
  <c r="G17" i="21"/>
  <c r="B9" i="105"/>
  <c r="B11" i="105"/>
  <c r="B12" i="105"/>
  <c r="B14" i="105"/>
  <c r="E14" i="105"/>
  <c r="B15" i="105"/>
  <c r="E15" i="105"/>
  <c r="B17" i="105"/>
  <c r="E17" i="105"/>
  <c r="B18" i="105"/>
  <c r="E18" i="105"/>
  <c r="B20" i="105"/>
  <c r="E20" i="105"/>
  <c r="B21" i="105"/>
  <c r="E21" i="105"/>
  <c r="B23" i="105"/>
  <c r="E23" i="105"/>
  <c r="B24" i="105"/>
  <c r="E24" i="105"/>
  <c r="B26" i="105"/>
  <c r="E26" i="105"/>
  <c r="B27" i="105"/>
  <c r="E27" i="105"/>
  <c r="B29" i="105"/>
  <c r="E29" i="105"/>
  <c r="B30" i="105"/>
  <c r="E30" i="105"/>
  <c r="B32" i="105"/>
  <c r="E32" i="105"/>
  <c r="B33" i="105"/>
  <c r="E33" i="105"/>
  <c r="B35" i="105"/>
  <c r="E35" i="105"/>
  <c r="B36" i="105"/>
  <c r="E36" i="105"/>
  <c r="B38" i="105"/>
  <c r="E38" i="105"/>
  <c r="B39" i="105"/>
  <c r="E39" i="105"/>
  <c r="B41" i="105"/>
  <c r="E41" i="105"/>
  <c r="B42" i="105"/>
  <c r="E42" i="105"/>
  <c r="AG4" i="34"/>
  <c r="AG5" i="34"/>
  <c r="AG6" i="34"/>
  <c r="AG7" i="34"/>
  <c r="AG8" i="34"/>
  <c r="AG9" i="34"/>
  <c r="AG10" i="34"/>
  <c r="AG11" i="34"/>
  <c r="AG12" i="34"/>
  <c r="AG13" i="34"/>
  <c r="AG14" i="34"/>
  <c r="AG15" i="34"/>
  <c r="AG16" i="34"/>
  <c r="AG17" i="34"/>
  <c r="AG18" i="34"/>
  <c r="AG19" i="34"/>
  <c r="AG20" i="34"/>
  <c r="AG21" i="34"/>
  <c r="AG22" i="34"/>
  <c r="AG23" i="34"/>
  <c r="AG24" i="34"/>
  <c r="AG25" i="34"/>
  <c r="AG26" i="34"/>
  <c r="AG3" i="34"/>
  <c r="B8" i="105"/>
  <c r="C3" i="105"/>
  <c r="M66" i="12"/>
  <c r="J66" i="12"/>
  <c r="G66" i="12"/>
  <c r="M65" i="12"/>
  <c r="J65" i="12"/>
  <c r="G65" i="12"/>
  <c r="M63" i="12"/>
  <c r="J63" i="12"/>
  <c r="G63" i="12"/>
  <c r="M62" i="12"/>
  <c r="J62" i="12"/>
  <c r="G62" i="12"/>
  <c r="M60" i="12"/>
  <c r="J60" i="12"/>
  <c r="G60" i="12"/>
  <c r="M59" i="12"/>
  <c r="J59" i="12"/>
  <c r="G59" i="12"/>
  <c r="M57" i="12"/>
  <c r="J57" i="12"/>
  <c r="G57" i="12"/>
  <c r="M56" i="12"/>
  <c r="J56" i="12"/>
  <c r="G56" i="12"/>
  <c r="M54" i="12"/>
  <c r="J54" i="12"/>
  <c r="G54" i="12"/>
  <c r="M53" i="12"/>
  <c r="J53" i="12"/>
  <c r="G53" i="12"/>
  <c r="M51" i="12"/>
  <c r="J51" i="12"/>
  <c r="G51" i="12"/>
  <c r="M50" i="12"/>
  <c r="J50" i="12"/>
  <c r="G50" i="12"/>
  <c r="M48" i="12"/>
  <c r="J48" i="12"/>
  <c r="G48" i="12"/>
  <c r="M47" i="12"/>
  <c r="J47" i="12"/>
  <c r="G47" i="12"/>
  <c r="M45" i="12"/>
  <c r="J45" i="12"/>
  <c r="G45" i="12"/>
  <c r="M44" i="12"/>
  <c r="J44" i="12"/>
  <c r="G44" i="12"/>
  <c r="M42" i="12"/>
  <c r="J42" i="12"/>
  <c r="G42" i="12"/>
  <c r="M41" i="12"/>
  <c r="J41" i="12"/>
  <c r="G41" i="12"/>
  <c r="M39" i="12"/>
  <c r="J39" i="12"/>
  <c r="G39" i="12"/>
  <c r="M38" i="12"/>
  <c r="J38" i="12"/>
  <c r="G38" i="12"/>
  <c r="M36" i="12"/>
  <c r="J36" i="12"/>
  <c r="G36" i="12"/>
  <c r="M35" i="12"/>
  <c r="J35" i="12"/>
  <c r="G35" i="12"/>
  <c r="M33" i="12"/>
  <c r="J33" i="12"/>
  <c r="G33" i="12"/>
  <c r="M32" i="12"/>
  <c r="J32" i="12"/>
  <c r="G32" i="12"/>
  <c r="M30" i="12"/>
  <c r="J30" i="12"/>
  <c r="G30" i="12"/>
  <c r="M29" i="12"/>
  <c r="J29" i="12"/>
  <c r="G29" i="12"/>
  <c r="M27" i="12"/>
  <c r="J27" i="12"/>
  <c r="G27" i="12"/>
  <c r="M26" i="12"/>
  <c r="J26" i="12"/>
  <c r="G26" i="12"/>
  <c r="M24" i="12"/>
  <c r="J24" i="12"/>
  <c r="G24" i="12"/>
  <c r="M23" i="12"/>
  <c r="J23" i="12"/>
  <c r="G23" i="12"/>
  <c r="M21" i="12"/>
  <c r="J21" i="12"/>
  <c r="G21" i="12"/>
  <c r="M20" i="12"/>
  <c r="J20" i="12"/>
  <c r="G20" i="12"/>
  <c r="M18" i="12"/>
  <c r="J18" i="12"/>
  <c r="G18" i="12"/>
  <c r="M17" i="12"/>
  <c r="J17" i="12"/>
  <c r="G17" i="12"/>
  <c r="M15" i="12"/>
  <c r="J15" i="12"/>
  <c r="G15" i="12"/>
  <c r="M14" i="12"/>
  <c r="J14" i="12"/>
  <c r="G14" i="12"/>
  <c r="M12" i="12"/>
  <c r="J12" i="12"/>
  <c r="G12" i="12"/>
  <c r="M11" i="12"/>
  <c r="J11" i="12"/>
  <c r="G11" i="12"/>
  <c r="M9" i="12"/>
  <c r="J9" i="12"/>
  <c r="G9" i="12"/>
  <c r="M8" i="12"/>
  <c r="J8" i="12"/>
  <c r="G8" i="12"/>
  <c r="C93" i="39"/>
  <c r="AF3" i="86"/>
  <c r="N3" i="86"/>
  <c r="AF3" i="85"/>
  <c r="N3" i="85"/>
  <c r="AF3" i="84"/>
  <c r="N3" i="84"/>
  <c r="Q7" i="82"/>
  <c r="AR6" i="82"/>
  <c r="AF3" i="82"/>
  <c r="N3" i="82"/>
  <c r="AF3" i="80"/>
  <c r="N3" i="80"/>
  <c r="AF3" i="79"/>
  <c r="N3" i="79"/>
  <c r="AF3" i="78"/>
  <c r="N3" i="78"/>
  <c r="AF3" i="77"/>
  <c r="N3" i="77"/>
  <c r="AF3" i="76"/>
  <c r="N3" i="76"/>
  <c r="AF3" i="75"/>
  <c r="N3" i="75"/>
  <c r="AF3" i="74"/>
  <c r="N3" i="74"/>
  <c r="AF3" i="72"/>
  <c r="N3" i="72"/>
  <c r="AF3" i="71"/>
  <c r="N3" i="71"/>
  <c r="AG30" i="70"/>
  <c r="AG29" i="70"/>
  <c r="AG28" i="70"/>
  <c r="AG27" i="70"/>
  <c r="AF3" i="70"/>
  <c r="N3" i="70"/>
  <c r="C31" i="34"/>
  <c r="C60" i="34"/>
  <c r="C89" i="34"/>
  <c r="C118" i="34"/>
  <c r="C147" i="34"/>
  <c r="C176" i="34"/>
  <c r="C205" i="34"/>
  <c r="C234" i="34"/>
  <c r="C263" i="34"/>
  <c r="C292" i="34"/>
  <c r="C321" i="34"/>
  <c r="C350" i="34"/>
  <c r="C379" i="34"/>
  <c r="C408" i="34"/>
  <c r="C437" i="34"/>
  <c r="C466" i="34"/>
  <c r="C495" i="34"/>
  <c r="C524" i="34"/>
  <c r="C553" i="34"/>
  <c r="C582" i="34"/>
  <c r="C611" i="34"/>
  <c r="C640" i="34"/>
  <c r="C669" i="34"/>
  <c r="Q7" i="34"/>
  <c r="Q36" i="34"/>
  <c r="Q65" i="34"/>
  <c r="Q94" i="34"/>
  <c r="Q123" i="34"/>
  <c r="Q152" i="34"/>
  <c r="Q181" i="34"/>
  <c r="Q210" i="34"/>
  <c r="Q239" i="34"/>
  <c r="Q268" i="34"/>
  <c r="Q297" i="34"/>
  <c r="Q326" i="34"/>
  <c r="Q355" i="34"/>
  <c r="Q384" i="34"/>
  <c r="Q413" i="34"/>
  <c r="Q442" i="34"/>
  <c r="Q471" i="34"/>
  <c r="Q500" i="34"/>
  <c r="Q529" i="34"/>
  <c r="Q558" i="34"/>
  <c r="Q587" i="34"/>
  <c r="Q616" i="34"/>
  <c r="Q645" i="34"/>
  <c r="Q674" i="34"/>
  <c r="Y31" i="34"/>
  <c r="V31" i="34"/>
  <c r="V2" i="34"/>
  <c r="X31" i="6"/>
  <c r="Y31" i="6"/>
  <c r="X32" i="6"/>
  <c r="Y32" i="6"/>
  <c r="AG25" i="70"/>
  <c r="AG26" i="70"/>
  <c r="FC4" i="11"/>
  <c r="FD4" i="11"/>
  <c r="FE4" i="11"/>
  <c r="FC5" i="11"/>
  <c r="FD5" i="11"/>
  <c r="FE5" i="11"/>
  <c r="FC6" i="11"/>
  <c r="FD6" i="11"/>
  <c r="FE6" i="11"/>
  <c r="FC7" i="11"/>
  <c r="FD7" i="11"/>
  <c r="FE7" i="11"/>
  <c r="FC8" i="11"/>
  <c r="FD8" i="11"/>
  <c r="FE8" i="11"/>
  <c r="FC9" i="11"/>
  <c r="FD9" i="11"/>
  <c r="FE9" i="11"/>
  <c r="FC10" i="11"/>
  <c r="FD10" i="11"/>
  <c r="FE10" i="11"/>
  <c r="FC11" i="11"/>
  <c r="FD11" i="11"/>
  <c r="FE11" i="11"/>
  <c r="FC12" i="11"/>
  <c r="FD12" i="11"/>
  <c r="FE12" i="11"/>
  <c r="FC13" i="11"/>
  <c r="FD13" i="11"/>
  <c r="FE13" i="11"/>
  <c r="FC14" i="11"/>
  <c r="FD14" i="11"/>
  <c r="FE14" i="11"/>
  <c r="FC15" i="11"/>
  <c r="FD15" i="11"/>
  <c r="FE15" i="11"/>
  <c r="FC16" i="11"/>
  <c r="FD16" i="11"/>
  <c r="FE16" i="11"/>
  <c r="FC17" i="11"/>
  <c r="FD17" i="11"/>
  <c r="FE17" i="11"/>
  <c r="FC18" i="11"/>
  <c r="FD18" i="11"/>
  <c r="FE18" i="11"/>
  <c r="FC19" i="11"/>
  <c r="FD19" i="11"/>
  <c r="FE19" i="11"/>
  <c r="FC20" i="11"/>
  <c r="FD20" i="11"/>
  <c r="FE20" i="11"/>
  <c r="FC21" i="11"/>
  <c r="FD21" i="11"/>
  <c r="FE21" i="11"/>
  <c r="FC22" i="11"/>
  <c r="FD22" i="11"/>
  <c r="FE22" i="11"/>
  <c r="FC23" i="11"/>
  <c r="FD23" i="11"/>
  <c r="FE23" i="11"/>
  <c r="FC24" i="11"/>
  <c r="FD24" i="11"/>
  <c r="FE24" i="11"/>
  <c r="FC25" i="11"/>
  <c r="FD25" i="11"/>
  <c r="FE25" i="11"/>
  <c r="FC26" i="11"/>
  <c r="FD26" i="11"/>
  <c r="FE26" i="11"/>
  <c r="FC27" i="11"/>
  <c r="FD27" i="11"/>
  <c r="FE27" i="11"/>
  <c r="FC28" i="11"/>
  <c r="FD28" i="11"/>
  <c r="FE28" i="11"/>
  <c r="FC29" i="11"/>
  <c r="FD29" i="11"/>
  <c r="FE29" i="11"/>
  <c r="FC30" i="11"/>
  <c r="FD30" i="11"/>
  <c r="FE30" i="11"/>
  <c r="FC31" i="11"/>
  <c r="FD31" i="11"/>
  <c r="FE31" i="11"/>
  <c r="FC32" i="11"/>
  <c r="FD32" i="11"/>
  <c r="FE32" i="11"/>
  <c r="FC33" i="11"/>
  <c r="FD33" i="11"/>
  <c r="FE33" i="11"/>
  <c r="FC34" i="11"/>
  <c r="FD34" i="11"/>
  <c r="FE34" i="11"/>
  <c r="FC35" i="11"/>
  <c r="FD35" i="11"/>
  <c r="FE35" i="11"/>
  <c r="FC36" i="11"/>
  <c r="FD36" i="11"/>
  <c r="FE36" i="11"/>
  <c r="FC37" i="11"/>
  <c r="FD37" i="11"/>
  <c r="FE37" i="11"/>
  <c r="FC38" i="11"/>
  <c r="FD38" i="11"/>
  <c r="FE38" i="11"/>
  <c r="FC39" i="11"/>
  <c r="FD39" i="11"/>
  <c r="FE39" i="11"/>
  <c r="FC40" i="11"/>
  <c r="FD40" i="11"/>
  <c r="FE40" i="11"/>
  <c r="FC41" i="11"/>
  <c r="FD41" i="11"/>
  <c r="FE41" i="11"/>
  <c r="FC42" i="11"/>
  <c r="FD42" i="11"/>
  <c r="FE42" i="11"/>
  <c r="FC43" i="11"/>
  <c r="FD43" i="11"/>
  <c r="FE43" i="11"/>
  <c r="FC44" i="11"/>
  <c r="FD44" i="11"/>
  <c r="FE44" i="11"/>
  <c r="FC45" i="11"/>
  <c r="FD45" i="11"/>
  <c r="FE45" i="11"/>
  <c r="FC46" i="11"/>
  <c r="FD46" i="11"/>
  <c r="FE46" i="11"/>
  <c r="FC47" i="11"/>
  <c r="FD47" i="11"/>
  <c r="FE47" i="11"/>
  <c r="FC48" i="11"/>
  <c r="FD48" i="11"/>
  <c r="FE48" i="11"/>
  <c r="FC49" i="11"/>
  <c r="FD49" i="11"/>
  <c r="FE49" i="11"/>
  <c r="FC50" i="11"/>
  <c r="FD50" i="11"/>
  <c r="FE50" i="11"/>
  <c r="FC51" i="11"/>
  <c r="FD51" i="11"/>
  <c r="FE51" i="11"/>
  <c r="FC52" i="11"/>
  <c r="FD52" i="11"/>
  <c r="FE52" i="11"/>
  <c r="FC53" i="11"/>
  <c r="FD53" i="11"/>
  <c r="FE53" i="11"/>
  <c r="FC54" i="11"/>
  <c r="FD54" i="11"/>
  <c r="FE54" i="11"/>
  <c r="FC55" i="11"/>
  <c r="FD55" i="11"/>
  <c r="FE55" i="11"/>
  <c r="FC56" i="11"/>
  <c r="FD56" i="11"/>
  <c r="FE56" i="11"/>
  <c r="FC57" i="11"/>
  <c r="FD57" i="11"/>
  <c r="FE57" i="11"/>
  <c r="FC58" i="11"/>
  <c r="FD58" i="11"/>
  <c r="FE58" i="11"/>
  <c r="FC59" i="11"/>
  <c r="FD59" i="11"/>
  <c r="FE59" i="11"/>
  <c r="FC60" i="11"/>
  <c r="FD60" i="11"/>
  <c r="FE60" i="11"/>
  <c r="FC61" i="11"/>
  <c r="FD61" i="11"/>
  <c r="FE61" i="11"/>
  <c r="FC62" i="11"/>
  <c r="FD62" i="11"/>
  <c r="FE62" i="11"/>
  <c r="FC63" i="11"/>
  <c r="FD63" i="11"/>
  <c r="FE63" i="11"/>
  <c r="FC64" i="11"/>
  <c r="FD64" i="11"/>
  <c r="FE64" i="11"/>
  <c r="FC65" i="11"/>
  <c r="FD65" i="11"/>
  <c r="FE65" i="11"/>
  <c r="FC66" i="11"/>
  <c r="FD66" i="11"/>
  <c r="FE66" i="11"/>
  <c r="FC67" i="11"/>
  <c r="FD67" i="11"/>
  <c r="FE67" i="11"/>
  <c r="FC68" i="11"/>
  <c r="FD68" i="11"/>
  <c r="FE68" i="11"/>
  <c r="FC69" i="11"/>
  <c r="FD69" i="11"/>
  <c r="FE69" i="11"/>
  <c r="FC70" i="11"/>
  <c r="FD70" i="11"/>
  <c r="FE70" i="11"/>
  <c r="FC71" i="11"/>
  <c r="FD71" i="11"/>
  <c r="FE71" i="11"/>
  <c r="FC72" i="11"/>
  <c r="FD72" i="11"/>
  <c r="FE72" i="11"/>
  <c r="FC73" i="11"/>
  <c r="FD73" i="11"/>
  <c r="FE73" i="11"/>
  <c r="FC74" i="11"/>
  <c r="FD74" i="11"/>
  <c r="FE74" i="11"/>
  <c r="FC75" i="11"/>
  <c r="FD75" i="11"/>
  <c r="FE75" i="11"/>
  <c r="FC76" i="11"/>
  <c r="FD76" i="11"/>
  <c r="FE76" i="11"/>
  <c r="FC77" i="11"/>
  <c r="FD77" i="11"/>
  <c r="FE77" i="11"/>
  <c r="FC78" i="11"/>
  <c r="FD78" i="11"/>
  <c r="FE78" i="11"/>
  <c r="FC79" i="11"/>
  <c r="FD79" i="11"/>
  <c r="FE79" i="11"/>
  <c r="FC80" i="11"/>
  <c r="FD80" i="11"/>
  <c r="FE80" i="11"/>
  <c r="FC81" i="11"/>
  <c r="FD81" i="11"/>
  <c r="FE81" i="11"/>
  <c r="FC82" i="11"/>
  <c r="FD82" i="11"/>
  <c r="FE82" i="11"/>
  <c r="FC83" i="11"/>
  <c r="FD83" i="11"/>
  <c r="FE83" i="11"/>
  <c r="FC84" i="11"/>
  <c r="FD84" i="11"/>
  <c r="FE84" i="11"/>
  <c r="FC85" i="11"/>
  <c r="FD85" i="11"/>
  <c r="FE85" i="11"/>
  <c r="FC86" i="11"/>
  <c r="FD86" i="11"/>
  <c r="FE86" i="11"/>
  <c r="FC87" i="11"/>
  <c r="FD87" i="11"/>
  <c r="FE87" i="11"/>
  <c r="FC88" i="11"/>
  <c r="FD88" i="11"/>
  <c r="FE88" i="11"/>
  <c r="FC89" i="11"/>
  <c r="FD89" i="11"/>
  <c r="FE89" i="11"/>
  <c r="FC90" i="11"/>
  <c r="FD90" i="11"/>
  <c r="FE90" i="11"/>
  <c r="FC91" i="11"/>
  <c r="FD91" i="11"/>
  <c r="FE91" i="11"/>
  <c r="FC92" i="11"/>
  <c r="FD92" i="11"/>
  <c r="FE92" i="11"/>
  <c r="FC93" i="11"/>
  <c r="FD93" i="11"/>
  <c r="FE93" i="11"/>
  <c r="FC94" i="11"/>
  <c r="FD94" i="11"/>
  <c r="FE94" i="11"/>
  <c r="FC95" i="11"/>
  <c r="FD95" i="11"/>
  <c r="FE95" i="11"/>
  <c r="FC96" i="11"/>
  <c r="FD96" i="11"/>
  <c r="FE96" i="11"/>
  <c r="FC97" i="11"/>
  <c r="FD97" i="11"/>
  <c r="FE97" i="11"/>
  <c r="FC98" i="11"/>
  <c r="FD98" i="11"/>
  <c r="FE98" i="11"/>
  <c r="FC99" i="11"/>
  <c r="FD99" i="11"/>
  <c r="FE99" i="11"/>
  <c r="FC100" i="11"/>
  <c r="FD100" i="11"/>
  <c r="FE100" i="11"/>
  <c r="FC101" i="11"/>
  <c r="FD101" i="11"/>
  <c r="FE101" i="11"/>
  <c r="FC102" i="11"/>
  <c r="FD102" i="11"/>
  <c r="FE102" i="11"/>
  <c r="FC103" i="11"/>
  <c r="FD103" i="11"/>
  <c r="FE103" i="11"/>
  <c r="FC104" i="11"/>
  <c r="FD104" i="11"/>
  <c r="FE104" i="11"/>
  <c r="FC105" i="11"/>
  <c r="FD105" i="11"/>
  <c r="FE105" i="11"/>
  <c r="FC106" i="11"/>
  <c r="FD106" i="11"/>
  <c r="FE106" i="11"/>
  <c r="FC107" i="11"/>
  <c r="FD107" i="11"/>
  <c r="FE107" i="11"/>
  <c r="FC108" i="11"/>
  <c r="FD108" i="11"/>
  <c r="FE108" i="11"/>
  <c r="FC109" i="11"/>
  <c r="FD109" i="11"/>
  <c r="FE109" i="11"/>
  <c r="FC110" i="11"/>
  <c r="FD110" i="11"/>
  <c r="FE110" i="11"/>
  <c r="FC111" i="11"/>
  <c r="FD111" i="11"/>
  <c r="FE111" i="11"/>
  <c r="FC112" i="11"/>
  <c r="FD112" i="11"/>
  <c r="FE112" i="11"/>
  <c r="FC113" i="11"/>
  <c r="FD113" i="11"/>
  <c r="FE113" i="11"/>
  <c r="FC114" i="11"/>
  <c r="FD114" i="11"/>
  <c r="FE114" i="11"/>
  <c r="FC115" i="11"/>
  <c r="FD115" i="11"/>
  <c r="FE115" i="11"/>
  <c r="FC116" i="11"/>
  <c r="FD116" i="11"/>
  <c r="FE116" i="11"/>
  <c r="FC117" i="11"/>
  <c r="FD117" i="11"/>
  <c r="FE117" i="11"/>
  <c r="FC118" i="11"/>
  <c r="FD118" i="11"/>
  <c r="FE118" i="11"/>
  <c r="FC119" i="11"/>
  <c r="FD119" i="11"/>
  <c r="FE119" i="11"/>
  <c r="FC120" i="11"/>
  <c r="FD120" i="11"/>
  <c r="FE120" i="11"/>
  <c r="FC121" i="11"/>
  <c r="FD121" i="11"/>
  <c r="FE121" i="11"/>
  <c r="FC122" i="11"/>
  <c r="FD122" i="11"/>
  <c r="FE122" i="11"/>
  <c r="FC123" i="11"/>
  <c r="FD123" i="11"/>
  <c r="FE123" i="11"/>
  <c r="FC124" i="11"/>
  <c r="FD124" i="11"/>
  <c r="FE124" i="11"/>
  <c r="FC125" i="11"/>
  <c r="FD125" i="11"/>
  <c r="FE125" i="11"/>
  <c r="FC126" i="11"/>
  <c r="FD126" i="11"/>
  <c r="FE126" i="11"/>
  <c r="FC127" i="11"/>
  <c r="FD127" i="11"/>
  <c r="FE127" i="11"/>
  <c r="FC128" i="11"/>
  <c r="FD128" i="11"/>
  <c r="FE128" i="11"/>
  <c r="FC129" i="11"/>
  <c r="FD129" i="11"/>
  <c r="FE129" i="11"/>
  <c r="FC130" i="11"/>
  <c r="FD130" i="11"/>
  <c r="FE130" i="11"/>
  <c r="FC131" i="11"/>
  <c r="FD131" i="11"/>
  <c r="FE131" i="11"/>
  <c r="FC132" i="11"/>
  <c r="FD132" i="11"/>
  <c r="FE132" i="11"/>
  <c r="FC133" i="11"/>
  <c r="FD133" i="11"/>
  <c r="FE133" i="11"/>
  <c r="FC134" i="11"/>
  <c r="FD134" i="11"/>
  <c r="FE134" i="11"/>
  <c r="FC135" i="11"/>
  <c r="FD135" i="11"/>
  <c r="FE135" i="11"/>
  <c r="FC136" i="11"/>
  <c r="FD136" i="11"/>
  <c r="FE136" i="11"/>
  <c r="FC137" i="11"/>
  <c r="FD137" i="11"/>
  <c r="FE137" i="11"/>
  <c r="FC138" i="11"/>
  <c r="FD138" i="11"/>
  <c r="FE138" i="11"/>
  <c r="FC139" i="11"/>
  <c r="FD139" i="11"/>
  <c r="FE139" i="11"/>
  <c r="FC140" i="11"/>
  <c r="FD140" i="11"/>
  <c r="FE140" i="11"/>
  <c r="FC141" i="11"/>
  <c r="FD141" i="11"/>
  <c r="FE141" i="11"/>
  <c r="FC142" i="11"/>
  <c r="FD142" i="11"/>
  <c r="FE142" i="11"/>
  <c r="FC143" i="11"/>
  <c r="FD143" i="11"/>
  <c r="FE143" i="11"/>
  <c r="FC144" i="11"/>
  <c r="FD144" i="11"/>
  <c r="FE144" i="11"/>
  <c r="FC145" i="11"/>
  <c r="FD145" i="11"/>
  <c r="FE145" i="11"/>
  <c r="FC146" i="11"/>
  <c r="FD146" i="11"/>
  <c r="FE146" i="11"/>
  <c r="FC147" i="11"/>
  <c r="FD147" i="11"/>
  <c r="FE147" i="11"/>
  <c r="FC148" i="11"/>
  <c r="FD148" i="11"/>
  <c r="FE148" i="11"/>
  <c r="FC149" i="11"/>
  <c r="FD149" i="11"/>
  <c r="FE149" i="11"/>
  <c r="FC150" i="11"/>
  <c r="FD150" i="11"/>
  <c r="FE150" i="11"/>
  <c r="FC151" i="11"/>
  <c r="FD151" i="11"/>
  <c r="FE151" i="11"/>
  <c r="FC152" i="11"/>
  <c r="FD152" i="11"/>
  <c r="FE152" i="11"/>
  <c r="FC153" i="11"/>
  <c r="FD153" i="11"/>
  <c r="FE153" i="11"/>
  <c r="FC154" i="11"/>
  <c r="FD154" i="11"/>
  <c r="FE154" i="11"/>
  <c r="FC155" i="11"/>
  <c r="FD155" i="11"/>
  <c r="FE155" i="11"/>
  <c r="FC156" i="11"/>
  <c r="FD156" i="11"/>
  <c r="FE156" i="11"/>
  <c r="FC157" i="11"/>
  <c r="FD157" i="11"/>
  <c r="FE157" i="11"/>
  <c r="FC158" i="11"/>
  <c r="FD158" i="11"/>
  <c r="FE158" i="11"/>
  <c r="FC159" i="11"/>
  <c r="FD159" i="11"/>
  <c r="FE159" i="11"/>
  <c r="FC160" i="11"/>
  <c r="FD160" i="11"/>
  <c r="FE160" i="11"/>
  <c r="FC161" i="11"/>
  <c r="FD161" i="11"/>
  <c r="FE161" i="11"/>
  <c r="FC162" i="11"/>
  <c r="FD162" i="11"/>
  <c r="FE162" i="11"/>
  <c r="FC163" i="11"/>
  <c r="FD163" i="11"/>
  <c r="FE163" i="11"/>
  <c r="FC164" i="11"/>
  <c r="FD164" i="11"/>
  <c r="FE164" i="11"/>
  <c r="FC165" i="11"/>
  <c r="FD165" i="11"/>
  <c r="FE165" i="11"/>
  <c r="FC166" i="11"/>
  <c r="FD166" i="11"/>
  <c r="FE166" i="11"/>
  <c r="FC167" i="11"/>
  <c r="FD167" i="11"/>
  <c r="FE167" i="11"/>
  <c r="FC168" i="11"/>
  <c r="FD168" i="11"/>
  <c r="FE168" i="11"/>
  <c r="FC169" i="11"/>
  <c r="FD169" i="11"/>
  <c r="FE169" i="11"/>
  <c r="FC170" i="11"/>
  <c r="FD170" i="11"/>
  <c r="FE170" i="11"/>
  <c r="FC171" i="11"/>
  <c r="FD171" i="11"/>
  <c r="FE171" i="11"/>
  <c r="FC172" i="11"/>
  <c r="FD172" i="11"/>
  <c r="FE172" i="11"/>
  <c r="FC173" i="11"/>
  <c r="FD173" i="11"/>
  <c r="FE173" i="11"/>
  <c r="FC174" i="11"/>
  <c r="FD174" i="11"/>
  <c r="FE174" i="11"/>
  <c r="FC175" i="11"/>
  <c r="FD175" i="11"/>
  <c r="FE175" i="11"/>
  <c r="FC176" i="11"/>
  <c r="FD176" i="11"/>
  <c r="FE176" i="11"/>
  <c r="FC177" i="11"/>
  <c r="FD177" i="11"/>
  <c r="FE177" i="11"/>
  <c r="FC178" i="11"/>
  <c r="FD178" i="11"/>
  <c r="FE178" i="11"/>
  <c r="FC179" i="11"/>
  <c r="FD179" i="11"/>
  <c r="FE179" i="11"/>
  <c r="FC180" i="11"/>
  <c r="FD180" i="11"/>
  <c r="FE180" i="11"/>
  <c r="FC181" i="11"/>
  <c r="FD181" i="11"/>
  <c r="FE181" i="11"/>
  <c r="FC182" i="11"/>
  <c r="FD182" i="11"/>
  <c r="FE182" i="11"/>
  <c r="FC183" i="11"/>
  <c r="FD183" i="11"/>
  <c r="FE183" i="11"/>
  <c r="FC184" i="11"/>
  <c r="FD184" i="11"/>
  <c r="FE184" i="11"/>
  <c r="FC185" i="11"/>
  <c r="FD185" i="11"/>
  <c r="FE185" i="11"/>
  <c r="FC186" i="11"/>
  <c r="FD186" i="11"/>
  <c r="FE186" i="11"/>
  <c r="FC187" i="11"/>
  <c r="FD187" i="11"/>
  <c r="FE187" i="11"/>
  <c r="FC188" i="11"/>
  <c r="FD188" i="11"/>
  <c r="FE188" i="11"/>
  <c r="FC189" i="11"/>
  <c r="FD189" i="11"/>
  <c r="FE189" i="11"/>
  <c r="FC190" i="11"/>
  <c r="FD190" i="11"/>
  <c r="FE190" i="11"/>
  <c r="FC191" i="11"/>
  <c r="FD191" i="11"/>
  <c r="FE191" i="11"/>
  <c r="FC192" i="11"/>
  <c r="FD192" i="11"/>
  <c r="FE192" i="11"/>
  <c r="FC193" i="11"/>
  <c r="FD193" i="11"/>
  <c r="FE193" i="11"/>
  <c r="FC194" i="11"/>
  <c r="FD194" i="11"/>
  <c r="FE194" i="11"/>
  <c r="FC195" i="11"/>
  <c r="FD195" i="11"/>
  <c r="FE195" i="11"/>
  <c r="FC196" i="11"/>
  <c r="FD196" i="11"/>
  <c r="FE196" i="11"/>
  <c r="FC197" i="11"/>
  <c r="FD197" i="11"/>
  <c r="FE197" i="11"/>
  <c r="FC198" i="11"/>
  <c r="FD198" i="11"/>
  <c r="FE198" i="11"/>
  <c r="FC199" i="11"/>
  <c r="FD199" i="11"/>
  <c r="FE199" i="11"/>
  <c r="FC200" i="11"/>
  <c r="FD200" i="11"/>
  <c r="FE200" i="11"/>
  <c r="FC201" i="11"/>
  <c r="FD201" i="11"/>
  <c r="FE201" i="11"/>
  <c r="FC202" i="11"/>
  <c r="FD202" i="11"/>
  <c r="FE202" i="11"/>
  <c r="FC203" i="11"/>
  <c r="FD203" i="11"/>
  <c r="FE203" i="11"/>
  <c r="FC204" i="11"/>
  <c r="FD204" i="11"/>
  <c r="FE204" i="11"/>
  <c r="FC205" i="11"/>
  <c r="FD205" i="11"/>
  <c r="FE205" i="11"/>
  <c r="FC206" i="11"/>
  <c r="FD206" i="11"/>
  <c r="FE206" i="11"/>
  <c r="FC207" i="11"/>
  <c r="FD207" i="11"/>
  <c r="FE207" i="11"/>
  <c r="FC208" i="11"/>
  <c r="FD208" i="11"/>
  <c r="FE208" i="11"/>
  <c r="FC209" i="11"/>
  <c r="FD209" i="11"/>
  <c r="FE209" i="11"/>
  <c r="FC210" i="11"/>
  <c r="FD210" i="11"/>
  <c r="FE210" i="11"/>
  <c r="FC211" i="11"/>
  <c r="FD211" i="11"/>
  <c r="FE211" i="11"/>
  <c r="FC212" i="11"/>
  <c r="FD212" i="11"/>
  <c r="FE212" i="11"/>
  <c r="FC213" i="11"/>
  <c r="FD213" i="11"/>
  <c r="FE213" i="11"/>
  <c r="FC214" i="11"/>
  <c r="FD214" i="11"/>
  <c r="FE214" i="11"/>
  <c r="FC215" i="11"/>
  <c r="FD215" i="11"/>
  <c r="FE215" i="11"/>
  <c r="FC216" i="11"/>
  <c r="FD216" i="11"/>
  <c r="FE216" i="11"/>
  <c r="FC217" i="11"/>
  <c r="FD217" i="11"/>
  <c r="FE217" i="11"/>
  <c r="FC218" i="11"/>
  <c r="FD218" i="11"/>
  <c r="FE218" i="11"/>
  <c r="FC219" i="11"/>
  <c r="FD219" i="11"/>
  <c r="FE219" i="11"/>
  <c r="FC220" i="11"/>
  <c r="FD220" i="11"/>
  <c r="FE220" i="11"/>
  <c r="FC221" i="11"/>
  <c r="FD221" i="11"/>
  <c r="FE221" i="11"/>
  <c r="FC222" i="11"/>
  <c r="FD222" i="11"/>
  <c r="FE222" i="11"/>
  <c r="FC223" i="11"/>
  <c r="FD223" i="11"/>
  <c r="FE223" i="11"/>
  <c r="FC224" i="11"/>
  <c r="FD224" i="11"/>
  <c r="FE224" i="11"/>
  <c r="FC225" i="11"/>
  <c r="FD225" i="11"/>
  <c r="FE225" i="11"/>
  <c r="FC226" i="11"/>
  <c r="FD226" i="11"/>
  <c r="FE226" i="11"/>
  <c r="FC227" i="11"/>
  <c r="FD227" i="11"/>
  <c r="FE227" i="11"/>
  <c r="FC228" i="11"/>
  <c r="FD228" i="11"/>
  <c r="FE228" i="11"/>
  <c r="FC229" i="11"/>
  <c r="FD229" i="11"/>
  <c r="FE229" i="11"/>
  <c r="FC230" i="11"/>
  <c r="FD230" i="11"/>
  <c r="FE230" i="11"/>
  <c r="FC231" i="11"/>
  <c r="FD231" i="11"/>
  <c r="FE231" i="11"/>
  <c r="FC232" i="11"/>
  <c r="FD232" i="11"/>
  <c r="FE232" i="11"/>
  <c r="FC233" i="11"/>
  <c r="FD233" i="11"/>
  <c r="FE233" i="11"/>
  <c r="FC234" i="11"/>
  <c r="FD234" i="11"/>
  <c r="FE234" i="11"/>
  <c r="FC235" i="11"/>
  <c r="FD235" i="11"/>
  <c r="FE235" i="11"/>
  <c r="FC236" i="11"/>
  <c r="FD236" i="11"/>
  <c r="FE236" i="11"/>
  <c r="FC237" i="11"/>
  <c r="FD237" i="11"/>
  <c r="FE237" i="11"/>
  <c r="FC238" i="11"/>
  <c r="FD238" i="11"/>
  <c r="FE238" i="11"/>
  <c r="FC239" i="11"/>
  <c r="FD239" i="11"/>
  <c r="FE239" i="11"/>
  <c r="FC240" i="11"/>
  <c r="FD240" i="11"/>
  <c r="FE240" i="11"/>
  <c r="FC241" i="11"/>
  <c r="FD241" i="11"/>
  <c r="FE241" i="11"/>
  <c r="FC242" i="11"/>
  <c r="FD242" i="11"/>
  <c r="FE242" i="11"/>
  <c r="FC243" i="11"/>
  <c r="FD243" i="11"/>
  <c r="FE243" i="11"/>
  <c r="FC244" i="11"/>
  <c r="FD244" i="11"/>
  <c r="FE244" i="11"/>
  <c r="FC245" i="11"/>
  <c r="FD245" i="11"/>
  <c r="FE245" i="11"/>
  <c r="FC246" i="11"/>
  <c r="FD246" i="11"/>
  <c r="FE246" i="11"/>
  <c r="FC247" i="11"/>
  <c r="FD247" i="11"/>
  <c r="FE247" i="11"/>
  <c r="FC248" i="11"/>
  <c r="FD248" i="11"/>
  <c r="FE248" i="11"/>
  <c r="FC249" i="11"/>
  <c r="FD249" i="11"/>
  <c r="FE249" i="11"/>
  <c r="FC250" i="11"/>
  <c r="FD250" i="11"/>
  <c r="FE250" i="11"/>
  <c r="FC251" i="11"/>
  <c r="FD251" i="11"/>
  <c r="FE251" i="11"/>
  <c r="FC252" i="11"/>
  <c r="FD252" i="11"/>
  <c r="FE252" i="11"/>
  <c r="FC253" i="11"/>
  <c r="FD253" i="11"/>
  <c r="FE253" i="11"/>
  <c r="FC254" i="11"/>
  <c r="FD254" i="11"/>
  <c r="FE254" i="11"/>
  <c r="FC255" i="11"/>
  <c r="FD255" i="11"/>
  <c r="FE255" i="11"/>
  <c r="FC256" i="11"/>
  <c r="FD256" i="11"/>
  <c r="FE256" i="11"/>
  <c r="FC257" i="11"/>
  <c r="FD257" i="11"/>
  <c r="FE257" i="11"/>
  <c r="FC258" i="11"/>
  <c r="FD258" i="11"/>
  <c r="FE258" i="11"/>
  <c r="FC259" i="11"/>
  <c r="FD259" i="11"/>
  <c r="FE259" i="11"/>
  <c r="FC260" i="11"/>
  <c r="FD260" i="11"/>
  <c r="FE260" i="11"/>
  <c r="FC261" i="11"/>
  <c r="FD261" i="11"/>
  <c r="FE261" i="11"/>
  <c r="FC262" i="11"/>
  <c r="FD262" i="11"/>
  <c r="FE262" i="11"/>
  <c r="FC263" i="11"/>
  <c r="FD263" i="11"/>
  <c r="FE263" i="11"/>
  <c r="FC264" i="11"/>
  <c r="FD264" i="11"/>
  <c r="FE264" i="11"/>
  <c r="FC265" i="11"/>
  <c r="FD265" i="11"/>
  <c r="FE265" i="11"/>
  <c r="FC266" i="11"/>
  <c r="FD266" i="11"/>
  <c r="FE266" i="11"/>
  <c r="FC267" i="11"/>
  <c r="FD267" i="11"/>
  <c r="FE267" i="11"/>
  <c r="FC268" i="11"/>
  <c r="FD268" i="11"/>
  <c r="FE268" i="11"/>
  <c r="FC269" i="11"/>
  <c r="FD269" i="11"/>
  <c r="FE269" i="11"/>
  <c r="FC270" i="11"/>
  <c r="FD270" i="11"/>
  <c r="FE270" i="11"/>
  <c r="FC271" i="11"/>
  <c r="FD271" i="11"/>
  <c r="FE271" i="11"/>
  <c r="FC272" i="11"/>
  <c r="FD272" i="11"/>
  <c r="FE272" i="11"/>
  <c r="FC273" i="11"/>
  <c r="FD273" i="11"/>
  <c r="FE273" i="11"/>
  <c r="FC274" i="11"/>
  <c r="FD274" i="11"/>
  <c r="FE274" i="11"/>
  <c r="FC275" i="11"/>
  <c r="FD275" i="11"/>
  <c r="FE275" i="11"/>
  <c r="FC276" i="11"/>
  <c r="FD276" i="11"/>
  <c r="FE276" i="11"/>
  <c r="FC277" i="11"/>
  <c r="FD277" i="11"/>
  <c r="FE277" i="11"/>
  <c r="FC278" i="11"/>
  <c r="FD278" i="11"/>
  <c r="FE278" i="11"/>
  <c r="FC279" i="11"/>
  <c r="FD279" i="11"/>
  <c r="FE279" i="11"/>
  <c r="FC280" i="11"/>
  <c r="FD280" i="11"/>
  <c r="FE280" i="11"/>
  <c r="FC281" i="11"/>
  <c r="FD281" i="11"/>
  <c r="FE281" i="11"/>
  <c r="FC282" i="11"/>
  <c r="FD282" i="11"/>
  <c r="FE282" i="11"/>
  <c r="FC283" i="11"/>
  <c r="FD283" i="11"/>
  <c r="FE283" i="11"/>
  <c r="FC284" i="11"/>
  <c r="FD284" i="11"/>
  <c r="FE284" i="11"/>
  <c r="FC285" i="11"/>
  <c r="FD285" i="11"/>
  <c r="FE285" i="11"/>
  <c r="FC286" i="11"/>
  <c r="FD286" i="11"/>
  <c r="FE286" i="11"/>
  <c r="FC287" i="11"/>
  <c r="FD287" i="11"/>
  <c r="FE287" i="11"/>
  <c r="FC288" i="11"/>
  <c r="FD288" i="11"/>
  <c r="FE288" i="11"/>
  <c r="FC289" i="11"/>
  <c r="FD289" i="11"/>
  <c r="FE289" i="11"/>
  <c r="FC290" i="11"/>
  <c r="FD290" i="11"/>
  <c r="FE290" i="11"/>
  <c r="FC291" i="11"/>
  <c r="FD291" i="11"/>
  <c r="FE291" i="11"/>
  <c r="FC292" i="11"/>
  <c r="FD292" i="11"/>
  <c r="FE292" i="11"/>
  <c r="FC293" i="11"/>
  <c r="FD293" i="11"/>
  <c r="FE293" i="11"/>
  <c r="FC294" i="11"/>
  <c r="FD294" i="11"/>
  <c r="FE294" i="11"/>
  <c r="FC295" i="11"/>
  <c r="FD295" i="11"/>
  <c r="FE295" i="11"/>
  <c r="FC296" i="11"/>
  <c r="FD296" i="11"/>
  <c r="FE296" i="11"/>
  <c r="FC297" i="11"/>
  <c r="FD297" i="11"/>
  <c r="FE297" i="11"/>
  <c r="FC298" i="11"/>
  <c r="FD298" i="11"/>
  <c r="FE298" i="11"/>
  <c r="FC299" i="11"/>
  <c r="FD299" i="11"/>
  <c r="FE299" i="11"/>
  <c r="FC300" i="11"/>
  <c r="FD300" i="11"/>
  <c r="FE300" i="11"/>
  <c r="FC301" i="11"/>
  <c r="FD301" i="11"/>
  <c r="FE301" i="11"/>
  <c r="FC302" i="11"/>
  <c r="FD302" i="11"/>
  <c r="FE302" i="11"/>
  <c r="FC303" i="11"/>
  <c r="FD303" i="11"/>
  <c r="FE303" i="11"/>
  <c r="FC304" i="11"/>
  <c r="FD304" i="11"/>
  <c r="FE304" i="11"/>
  <c r="FC305" i="11"/>
  <c r="FD305" i="11"/>
  <c r="FE305" i="11"/>
  <c r="FC306" i="11"/>
  <c r="FD306" i="11"/>
  <c r="FE306" i="11"/>
  <c r="FC307" i="11"/>
  <c r="FD307" i="11"/>
  <c r="FE307" i="11"/>
  <c r="FC308" i="11"/>
  <c r="FD308" i="11"/>
  <c r="FE308" i="11"/>
  <c r="FC309" i="11"/>
  <c r="FD309" i="11"/>
  <c r="FE309" i="11"/>
  <c r="FC310" i="11"/>
  <c r="FD310" i="11"/>
  <c r="FE310" i="11"/>
  <c r="FC311" i="11"/>
  <c r="FD311" i="11"/>
  <c r="FE311" i="11"/>
  <c r="FC312" i="11"/>
  <c r="FD312" i="11"/>
  <c r="FE312" i="11"/>
  <c r="FC313" i="11"/>
  <c r="FD313" i="11"/>
  <c r="FE313" i="11"/>
  <c r="FC314" i="11"/>
  <c r="FD314" i="11"/>
  <c r="FE314" i="11"/>
  <c r="FC315" i="11"/>
  <c r="FD315" i="11"/>
  <c r="FE315" i="11"/>
  <c r="FC316" i="11"/>
  <c r="FD316" i="11"/>
  <c r="FE316" i="11"/>
  <c r="FC317" i="11"/>
  <c r="FD317" i="11"/>
  <c r="FE317" i="11"/>
  <c r="FC318" i="11"/>
  <c r="FD318" i="11"/>
  <c r="FE318" i="11"/>
  <c r="FC319" i="11"/>
  <c r="FD319" i="11"/>
  <c r="FE319" i="11"/>
  <c r="FC320" i="11"/>
  <c r="FD320" i="11"/>
  <c r="FE320" i="11"/>
  <c r="FC321" i="11"/>
  <c r="FD321" i="11"/>
  <c r="FE321" i="11"/>
  <c r="FC322" i="11"/>
  <c r="FD322" i="11"/>
  <c r="FE322" i="11"/>
  <c r="FC3" i="11"/>
  <c r="FD3" i="11"/>
  <c r="FE3" i="11"/>
  <c r="L7" i="7"/>
  <c r="L8" i="7"/>
  <c r="L9" i="7"/>
  <c r="L6" i="7"/>
  <c r="M63" i="31"/>
  <c r="J63" i="31"/>
  <c r="G63" i="31"/>
  <c r="M62" i="31"/>
  <c r="L62" i="31"/>
  <c r="J62" i="31"/>
  <c r="I62" i="31"/>
  <c r="G62" i="31"/>
  <c r="F62" i="31"/>
  <c r="M60" i="31"/>
  <c r="J60" i="31"/>
  <c r="G60" i="31"/>
  <c r="M59" i="31"/>
  <c r="L59" i="31"/>
  <c r="J59" i="31"/>
  <c r="I59" i="31"/>
  <c r="G59" i="31"/>
  <c r="F59" i="31"/>
  <c r="M57" i="31"/>
  <c r="J57" i="31"/>
  <c r="G57" i="31"/>
  <c r="M56" i="31"/>
  <c r="L56" i="31"/>
  <c r="J56" i="31"/>
  <c r="I56" i="31"/>
  <c r="G56" i="31"/>
  <c r="F56" i="31"/>
  <c r="M54" i="31"/>
  <c r="J54" i="31"/>
  <c r="G54" i="31"/>
  <c r="M53" i="31"/>
  <c r="J53" i="31"/>
  <c r="G53" i="31"/>
  <c r="M51" i="31"/>
  <c r="J51" i="31"/>
  <c r="G51" i="31"/>
  <c r="M50" i="31"/>
  <c r="J50" i="31"/>
  <c r="G50" i="31"/>
  <c r="M48" i="31"/>
  <c r="J48" i="31"/>
  <c r="G48" i="31"/>
  <c r="M47" i="31"/>
  <c r="J47" i="31"/>
  <c r="G47" i="31"/>
  <c r="M45" i="31"/>
  <c r="J45" i="31"/>
  <c r="G45" i="31"/>
  <c r="M44" i="31"/>
  <c r="J44" i="31"/>
  <c r="G44" i="31"/>
  <c r="M42" i="31"/>
  <c r="J42" i="31"/>
  <c r="G42" i="31"/>
  <c r="M41" i="31"/>
  <c r="J41" i="31"/>
  <c r="G41" i="31"/>
  <c r="M39" i="31"/>
  <c r="J39" i="31"/>
  <c r="G39" i="31"/>
  <c r="M38" i="31"/>
  <c r="J38" i="31"/>
  <c r="G38" i="31"/>
  <c r="M36" i="31"/>
  <c r="J36" i="31"/>
  <c r="G36" i="31"/>
  <c r="M35" i="31"/>
  <c r="J35" i="31"/>
  <c r="G35" i="31"/>
  <c r="M33" i="31"/>
  <c r="J33" i="31"/>
  <c r="G33" i="31"/>
  <c r="M32" i="31"/>
  <c r="J32" i="31"/>
  <c r="G32" i="31"/>
  <c r="M30" i="31"/>
  <c r="J30" i="31"/>
  <c r="G30" i="31"/>
  <c r="M29" i="31"/>
  <c r="J29" i="31"/>
  <c r="G29" i="31"/>
  <c r="M27" i="31"/>
  <c r="J27" i="31"/>
  <c r="G27" i="31"/>
  <c r="M26" i="31"/>
  <c r="J26" i="31"/>
  <c r="G26" i="31"/>
  <c r="M24" i="31"/>
  <c r="J24" i="31"/>
  <c r="G24" i="31"/>
  <c r="M23" i="31"/>
  <c r="J23" i="31"/>
  <c r="G23" i="31"/>
  <c r="M21" i="31"/>
  <c r="J21" i="31"/>
  <c r="G21" i="31"/>
  <c r="M20" i="31"/>
  <c r="J20" i="31"/>
  <c r="G20" i="31"/>
  <c r="M18" i="31"/>
  <c r="J18" i="31"/>
  <c r="G18" i="31"/>
  <c r="M17" i="31"/>
  <c r="J17" i="31"/>
  <c r="G17" i="31"/>
  <c r="M15" i="31"/>
  <c r="J15" i="31"/>
  <c r="G15" i="31"/>
  <c r="M14" i="31"/>
  <c r="J14" i="31"/>
  <c r="G14" i="31"/>
  <c r="M12" i="31"/>
  <c r="J12" i="31"/>
  <c r="G12" i="31"/>
  <c r="M11" i="31"/>
  <c r="J11" i="31"/>
  <c r="G11" i="31"/>
  <c r="M9" i="31"/>
  <c r="J9" i="31"/>
  <c r="G9" i="31"/>
  <c r="M8" i="31"/>
  <c r="J8" i="31"/>
  <c r="G8" i="31"/>
  <c r="P1" i="11"/>
  <c r="C39" i="20"/>
  <c r="G39" i="20"/>
  <c r="B39" i="20"/>
  <c r="C38" i="20"/>
  <c r="F38" i="20"/>
  <c r="B38" i="20"/>
  <c r="C36" i="20"/>
  <c r="F36" i="20"/>
  <c r="B36" i="20"/>
  <c r="C35" i="20"/>
  <c r="F35" i="20"/>
  <c r="B35" i="20"/>
  <c r="C33" i="20"/>
  <c r="F33" i="20"/>
  <c r="B33" i="20"/>
  <c r="C32" i="20"/>
  <c r="F32" i="20"/>
  <c r="B32" i="20"/>
  <c r="C30" i="20"/>
  <c r="F30" i="20"/>
  <c r="B30" i="20"/>
  <c r="C29" i="20"/>
  <c r="G29" i="20"/>
  <c r="B29" i="20"/>
  <c r="C27" i="20"/>
  <c r="F27" i="20"/>
  <c r="B27" i="20"/>
  <c r="C26" i="20"/>
  <c r="F26" i="20"/>
  <c r="B26" i="20"/>
  <c r="C24" i="20"/>
  <c r="G24" i="20"/>
  <c r="B24" i="20"/>
  <c r="C23" i="20"/>
  <c r="F23" i="20"/>
  <c r="B23" i="20"/>
  <c r="C21" i="20"/>
  <c r="F21" i="20"/>
  <c r="B21" i="20"/>
  <c r="C20" i="20"/>
  <c r="F20" i="20"/>
  <c r="B20" i="20"/>
  <c r="C18" i="20"/>
  <c r="G18" i="20"/>
  <c r="B18" i="20"/>
  <c r="C17" i="20"/>
  <c r="F17" i="20"/>
  <c r="B17" i="20"/>
  <c r="C15" i="20"/>
  <c r="G15" i="20"/>
  <c r="B15" i="20"/>
  <c r="C39" i="19"/>
  <c r="F39" i="19"/>
  <c r="B39" i="19"/>
  <c r="C38" i="19"/>
  <c r="F38" i="19"/>
  <c r="B38" i="19"/>
  <c r="C36" i="19"/>
  <c r="F36" i="19"/>
  <c r="B36" i="19"/>
  <c r="C35" i="19"/>
  <c r="G35" i="19"/>
  <c r="B35" i="19"/>
  <c r="C33" i="19"/>
  <c r="F33" i="19"/>
  <c r="B33" i="19"/>
  <c r="C32" i="19"/>
  <c r="F32" i="19"/>
  <c r="B32" i="19"/>
  <c r="C30" i="19"/>
  <c r="G30" i="19"/>
  <c r="B30" i="19"/>
  <c r="C29" i="19"/>
  <c r="F29" i="19"/>
  <c r="B29" i="19"/>
  <c r="C27" i="19"/>
  <c r="F27" i="19"/>
  <c r="B27" i="19"/>
  <c r="C26" i="19"/>
  <c r="F26" i="19"/>
  <c r="B26" i="19"/>
  <c r="C24" i="19"/>
  <c r="G24" i="19"/>
  <c r="B24" i="19"/>
  <c r="C23" i="19"/>
  <c r="F23" i="19"/>
  <c r="B23" i="19"/>
  <c r="C21" i="19"/>
  <c r="F21" i="19"/>
  <c r="B21" i="19"/>
  <c r="C20" i="19"/>
  <c r="B20" i="19"/>
  <c r="C18" i="19"/>
  <c r="G18" i="19"/>
  <c r="B18" i="19"/>
  <c r="C15" i="19"/>
  <c r="F15" i="19"/>
  <c r="B15" i="19"/>
  <c r="C39" i="14"/>
  <c r="F39" i="14"/>
  <c r="B39" i="14"/>
  <c r="C38" i="14"/>
  <c r="G38" i="14"/>
  <c r="B38" i="14"/>
  <c r="C36" i="14"/>
  <c r="F36" i="14"/>
  <c r="B36" i="14"/>
  <c r="D8" i="20"/>
  <c r="D9" i="20"/>
  <c r="D11" i="20"/>
  <c r="D12" i="20"/>
  <c r="D14" i="20"/>
  <c r="D15" i="20"/>
  <c r="D17" i="20"/>
  <c r="D18" i="20"/>
  <c r="D20" i="20"/>
  <c r="D21" i="20"/>
  <c r="D23" i="20"/>
  <c r="D24" i="20"/>
  <c r="D26" i="20"/>
  <c r="D27" i="20"/>
  <c r="D29" i="20"/>
  <c r="D30" i="20"/>
  <c r="D32" i="20"/>
  <c r="D33" i="20"/>
  <c r="D35" i="20"/>
  <c r="D36" i="20"/>
  <c r="D38" i="20"/>
  <c r="D39" i="20"/>
  <c r="A6" i="39"/>
  <c r="A7" i="39"/>
  <c r="A8" i="39"/>
  <c r="A9" i="39"/>
  <c r="A10" i="39"/>
  <c r="A11" i="39"/>
  <c r="A12" i="39"/>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A53" i="39"/>
  <c r="A54" i="39"/>
  <c r="A55" i="39"/>
  <c r="A56" i="39"/>
  <c r="A57" i="39"/>
  <c r="A58" i="39"/>
  <c r="A59" i="39"/>
  <c r="A60" i="39"/>
  <c r="A61" i="39"/>
  <c r="A62" i="39"/>
  <c r="A63" i="39"/>
  <c r="A64" i="39"/>
  <c r="A65" i="39"/>
  <c r="A66" i="39"/>
  <c r="A67" i="39"/>
  <c r="A68" i="39"/>
  <c r="A69" i="39"/>
  <c r="A70" i="39"/>
  <c r="A71" i="39"/>
  <c r="A72" i="39"/>
  <c r="A73" i="39"/>
  <c r="A74" i="39"/>
  <c r="A75" i="39"/>
  <c r="A76" i="39"/>
  <c r="A77" i="39"/>
  <c r="A78" i="39"/>
  <c r="A79" i="39"/>
  <c r="A80" i="39"/>
  <c r="A81" i="39"/>
  <c r="A82" i="39"/>
  <c r="A83" i="39"/>
  <c r="A84" i="39"/>
  <c r="A85" i="39"/>
  <c r="A86" i="39"/>
  <c r="A87" i="39"/>
  <c r="A88" i="39"/>
  <c r="A89" i="39"/>
  <c r="A90" i="39"/>
  <c r="A91" i="39"/>
  <c r="A92" i="39"/>
  <c r="A5" i="39"/>
  <c r="M620" i="36"/>
  <c r="M619" i="36"/>
  <c r="M618" i="36"/>
  <c r="M617" i="36"/>
  <c r="V613" i="36"/>
  <c r="O613" i="36"/>
  <c r="M591" i="36"/>
  <c r="M590" i="36"/>
  <c r="M589" i="36"/>
  <c r="M588" i="36"/>
  <c r="V584" i="36"/>
  <c r="O584" i="36"/>
  <c r="M562" i="36"/>
  <c r="M561" i="36"/>
  <c r="M560" i="36"/>
  <c r="M559" i="36"/>
  <c r="V555" i="36"/>
  <c r="O555" i="36"/>
  <c r="M533" i="36"/>
  <c r="M532" i="36"/>
  <c r="M531" i="36"/>
  <c r="M530" i="36"/>
  <c r="V526" i="36"/>
  <c r="O526" i="36"/>
  <c r="M504" i="36"/>
  <c r="M503" i="36"/>
  <c r="M502" i="36"/>
  <c r="M501" i="36"/>
  <c r="V497" i="36"/>
  <c r="O497" i="36"/>
  <c r="M475" i="36"/>
  <c r="M474" i="36"/>
  <c r="M473" i="36"/>
  <c r="M472" i="36"/>
  <c r="V468" i="36"/>
  <c r="O468" i="36"/>
  <c r="M446" i="36"/>
  <c r="M445" i="36"/>
  <c r="M444" i="36"/>
  <c r="M443" i="36"/>
  <c r="V439" i="36"/>
  <c r="O439" i="36"/>
  <c r="M417" i="36"/>
  <c r="M416" i="36"/>
  <c r="M415" i="36"/>
  <c r="M414" i="36"/>
  <c r="V410" i="36"/>
  <c r="O410" i="36"/>
  <c r="M388" i="36"/>
  <c r="M387" i="36"/>
  <c r="M386" i="36"/>
  <c r="M385" i="36"/>
  <c r="V381" i="36"/>
  <c r="O381" i="36"/>
  <c r="M359" i="36"/>
  <c r="M358" i="36"/>
  <c r="M357" i="36"/>
  <c r="M356" i="36"/>
  <c r="V352" i="36"/>
  <c r="O352" i="36"/>
  <c r="M330" i="36"/>
  <c r="M329" i="36"/>
  <c r="M328" i="36"/>
  <c r="M327" i="36"/>
  <c r="V323" i="36"/>
  <c r="O323" i="36"/>
  <c r="M301" i="36"/>
  <c r="M300" i="36"/>
  <c r="M299" i="36"/>
  <c r="M298" i="36"/>
  <c r="V294" i="36"/>
  <c r="O294" i="36"/>
  <c r="M272" i="36"/>
  <c r="M271" i="36"/>
  <c r="M270" i="36"/>
  <c r="M269" i="36"/>
  <c r="V265" i="36"/>
  <c r="O265" i="36"/>
  <c r="M243" i="36"/>
  <c r="M242" i="36"/>
  <c r="M241" i="36"/>
  <c r="M240" i="36"/>
  <c r="V236" i="36"/>
  <c r="O236" i="36"/>
  <c r="M214" i="36"/>
  <c r="M213" i="36"/>
  <c r="M212" i="36"/>
  <c r="M211" i="36"/>
  <c r="V207" i="36"/>
  <c r="O207" i="36"/>
  <c r="M185" i="36"/>
  <c r="M184" i="36"/>
  <c r="M183" i="36"/>
  <c r="M182" i="36"/>
  <c r="V178" i="36"/>
  <c r="O178" i="36"/>
  <c r="M156" i="36"/>
  <c r="M155" i="36"/>
  <c r="M154" i="36"/>
  <c r="M153" i="36"/>
  <c r="V149" i="36"/>
  <c r="O149" i="36"/>
  <c r="M127" i="36"/>
  <c r="M126" i="36"/>
  <c r="M125" i="36"/>
  <c r="M124" i="36"/>
  <c r="V120" i="36"/>
  <c r="O120" i="36"/>
  <c r="M98" i="36"/>
  <c r="M97" i="36"/>
  <c r="M96" i="36"/>
  <c r="M95" i="36"/>
  <c r="V91" i="36"/>
  <c r="O91" i="36"/>
  <c r="M69" i="36"/>
  <c r="M68" i="36"/>
  <c r="M67" i="36"/>
  <c r="M66" i="36"/>
  <c r="V62" i="36"/>
  <c r="O62" i="36"/>
  <c r="M40" i="36"/>
  <c r="M39" i="36"/>
  <c r="M38" i="36"/>
  <c r="M37" i="36"/>
  <c r="V33" i="36"/>
  <c r="O33" i="36"/>
  <c r="M11" i="36"/>
  <c r="M10" i="36"/>
  <c r="M9" i="36"/>
  <c r="M8" i="36"/>
  <c r="V4" i="36"/>
  <c r="O4" i="36"/>
  <c r="M620" i="35"/>
  <c r="M619" i="35"/>
  <c r="M618" i="35"/>
  <c r="M617" i="35"/>
  <c r="V613" i="35"/>
  <c r="O613" i="35"/>
  <c r="M591" i="35"/>
  <c r="M590" i="35"/>
  <c r="M589" i="35"/>
  <c r="M588" i="35"/>
  <c r="V584" i="35"/>
  <c r="O584" i="35"/>
  <c r="M562" i="35"/>
  <c r="M561" i="35"/>
  <c r="M560" i="35"/>
  <c r="M559" i="35"/>
  <c r="V555" i="35"/>
  <c r="O555" i="35"/>
  <c r="M533" i="35"/>
  <c r="M532" i="35"/>
  <c r="M531" i="35"/>
  <c r="M530" i="35"/>
  <c r="V526" i="35"/>
  <c r="O526" i="35"/>
  <c r="M504" i="35"/>
  <c r="M503" i="35"/>
  <c r="M502" i="35"/>
  <c r="M501" i="35"/>
  <c r="V497" i="35"/>
  <c r="O497" i="35"/>
  <c r="M475" i="35"/>
  <c r="M474" i="35"/>
  <c r="M473" i="35"/>
  <c r="M472" i="35"/>
  <c r="V468" i="35"/>
  <c r="O468" i="35"/>
  <c r="M446" i="35"/>
  <c r="M445" i="35"/>
  <c r="M444" i="35"/>
  <c r="M443" i="35"/>
  <c r="V439" i="35"/>
  <c r="O439" i="35"/>
  <c r="M417" i="35"/>
  <c r="M416" i="35"/>
  <c r="M415" i="35"/>
  <c r="M414" i="35"/>
  <c r="V410" i="35"/>
  <c r="O410" i="35"/>
  <c r="M388" i="35"/>
  <c r="M387" i="35"/>
  <c r="M386" i="35"/>
  <c r="M385" i="35"/>
  <c r="V381" i="35"/>
  <c r="O381" i="35"/>
  <c r="M359" i="35"/>
  <c r="M358" i="35"/>
  <c r="M357" i="35"/>
  <c r="M356" i="35"/>
  <c r="V352" i="35"/>
  <c r="O352" i="35"/>
  <c r="M330" i="35"/>
  <c r="M329" i="35"/>
  <c r="M328" i="35"/>
  <c r="M327" i="35"/>
  <c r="V323" i="35"/>
  <c r="O323" i="35"/>
  <c r="M301" i="35"/>
  <c r="M300" i="35"/>
  <c r="M299" i="35"/>
  <c r="M298" i="35"/>
  <c r="V294" i="35"/>
  <c r="O294" i="35"/>
  <c r="M272" i="35"/>
  <c r="M271" i="35"/>
  <c r="M270" i="35"/>
  <c r="M269" i="35"/>
  <c r="V265" i="35"/>
  <c r="O265" i="35"/>
  <c r="M243" i="35"/>
  <c r="M242" i="35"/>
  <c r="M241" i="35"/>
  <c r="M240" i="35"/>
  <c r="V236" i="35"/>
  <c r="O236" i="35"/>
  <c r="M214" i="35"/>
  <c r="M213" i="35"/>
  <c r="M212" i="35"/>
  <c r="M211" i="35"/>
  <c r="V207" i="35"/>
  <c r="O207" i="35"/>
  <c r="M185" i="35"/>
  <c r="M184" i="35"/>
  <c r="M183" i="35"/>
  <c r="M182" i="35"/>
  <c r="V178" i="35"/>
  <c r="O178" i="35"/>
  <c r="M156" i="35"/>
  <c r="M155" i="35"/>
  <c r="M154" i="35"/>
  <c r="M153" i="35"/>
  <c r="V149" i="35"/>
  <c r="O149" i="35"/>
  <c r="M127" i="35"/>
  <c r="M126" i="35"/>
  <c r="M125" i="35"/>
  <c r="M124" i="35"/>
  <c r="V120" i="35"/>
  <c r="O120" i="35"/>
  <c r="M98" i="35"/>
  <c r="M97" i="35"/>
  <c r="M96" i="35"/>
  <c r="M95" i="35"/>
  <c r="V91" i="35"/>
  <c r="O91" i="35"/>
  <c r="M69" i="35"/>
  <c r="M68" i="35"/>
  <c r="M67" i="35"/>
  <c r="M66" i="35"/>
  <c r="V62" i="35"/>
  <c r="O62" i="35"/>
  <c r="M40" i="35"/>
  <c r="M39" i="35"/>
  <c r="M38" i="35"/>
  <c r="M37" i="35"/>
  <c r="V33" i="35"/>
  <c r="O33" i="35"/>
  <c r="M11" i="35"/>
  <c r="M10" i="35"/>
  <c r="M9" i="35"/>
  <c r="M8" i="35"/>
  <c r="V4" i="35"/>
  <c r="O4" i="35"/>
  <c r="B1325" i="33"/>
  <c r="B1262" i="33"/>
  <c r="B1199" i="33"/>
  <c r="B1136" i="33"/>
  <c r="B1073" i="33"/>
  <c r="B1010" i="33"/>
  <c r="B947" i="33"/>
  <c r="B884" i="33"/>
  <c r="B821" i="33"/>
  <c r="B758" i="33"/>
  <c r="B695" i="33"/>
  <c r="B632" i="33"/>
  <c r="B569" i="33"/>
  <c r="B506" i="33"/>
  <c r="B443" i="33"/>
  <c r="B380" i="33"/>
  <c r="B317" i="33"/>
  <c r="B254" i="33"/>
  <c r="B191" i="33"/>
  <c r="B128" i="33"/>
  <c r="B65" i="33"/>
  <c r="B2" i="33"/>
  <c r="EM15" i="12"/>
  <c r="EJ15" i="12"/>
  <c r="EG15" i="12"/>
  <c r="EM14" i="12"/>
  <c r="EJ14" i="12"/>
  <c r="EG14" i="12"/>
  <c r="EM12" i="12"/>
  <c r="EJ12" i="12"/>
  <c r="EG12" i="12"/>
  <c r="EM11" i="12"/>
  <c r="EJ11" i="12"/>
  <c r="EG11" i="12"/>
  <c r="EM9" i="12"/>
  <c r="EJ9" i="12"/>
  <c r="EG9" i="12"/>
  <c r="EM8" i="12"/>
  <c r="EJ8" i="12"/>
  <c r="EG8" i="12"/>
  <c r="EM24" i="12"/>
  <c r="EJ24" i="12"/>
  <c r="EG24" i="12"/>
  <c r="EM23" i="12"/>
  <c r="EJ23" i="12"/>
  <c r="EG23" i="12"/>
  <c r="EM21" i="12"/>
  <c r="EJ21" i="12"/>
  <c r="EG21" i="12"/>
  <c r="EM20" i="12"/>
  <c r="EJ20" i="12"/>
  <c r="EG20" i="12"/>
  <c r="EM18" i="12"/>
  <c r="EJ18" i="12"/>
  <c r="EG18" i="12"/>
  <c r="EM17" i="12"/>
  <c r="EJ17" i="12"/>
  <c r="EG17" i="12"/>
  <c r="EI3" i="12"/>
  <c r="ED3" i="12"/>
  <c r="EE20" i="31"/>
  <c r="EE17" i="31"/>
  <c r="EE14" i="31"/>
  <c r="DR26" i="31"/>
  <c r="DR23" i="31"/>
  <c r="DR20" i="31"/>
  <c r="DE32" i="31"/>
  <c r="DE29" i="31"/>
  <c r="DE26" i="31"/>
  <c r="CR38" i="31"/>
  <c r="CR35" i="31"/>
  <c r="CR32" i="31"/>
  <c r="CE44" i="31"/>
  <c r="CE41" i="31"/>
  <c r="CE38" i="31"/>
  <c r="BR50" i="31"/>
  <c r="BR47" i="31"/>
  <c r="BR44" i="31"/>
  <c r="BE56" i="31"/>
  <c r="BE53" i="31"/>
  <c r="BE50" i="31"/>
  <c r="AR62" i="31"/>
  <c r="AR59" i="31"/>
  <c r="AR56" i="31"/>
  <c r="EL21" i="31"/>
  <c r="EI21" i="31"/>
  <c r="EF21" i="31"/>
  <c r="EL20" i="31"/>
  <c r="EK20" i="31"/>
  <c r="EI20" i="31"/>
  <c r="EH20" i="31"/>
  <c r="EF20" i="31"/>
  <c r="EL18" i="31"/>
  <c r="EI18" i="31"/>
  <c r="EF18" i="31"/>
  <c r="EL17" i="31"/>
  <c r="EK17" i="31"/>
  <c r="EI17" i="31"/>
  <c r="EH17" i="31"/>
  <c r="EF17" i="31"/>
  <c r="EL15" i="31"/>
  <c r="EI15" i="31"/>
  <c r="EF15" i="31"/>
  <c r="EL14" i="31"/>
  <c r="EK14" i="31"/>
  <c r="EI14" i="31"/>
  <c r="EH14" i="31"/>
  <c r="EF14" i="31"/>
  <c r="EH3" i="31"/>
  <c r="EC3" i="31"/>
  <c r="DY27" i="31"/>
  <c r="DV27" i="31"/>
  <c r="DS27" i="31"/>
  <c r="DY26" i="31"/>
  <c r="DX26" i="31"/>
  <c r="DV26" i="31"/>
  <c r="DU26" i="31"/>
  <c r="DS26" i="31"/>
  <c r="DY24" i="31"/>
  <c r="DV24" i="31"/>
  <c r="DS24" i="31"/>
  <c r="DY23" i="31"/>
  <c r="DX23" i="31"/>
  <c r="DV23" i="31"/>
  <c r="DU23" i="31"/>
  <c r="DS23" i="31"/>
  <c r="DY21" i="31"/>
  <c r="DV21" i="31"/>
  <c r="DS21" i="31"/>
  <c r="DY20" i="31"/>
  <c r="DX20" i="31"/>
  <c r="DV20" i="31"/>
  <c r="DU20" i="31"/>
  <c r="DS20" i="31"/>
  <c r="DU3" i="31"/>
  <c r="DP3" i="31"/>
  <c r="DL33" i="31"/>
  <c r="DI33" i="31"/>
  <c r="DF33" i="31"/>
  <c r="DL32" i="31"/>
  <c r="DK32" i="31"/>
  <c r="DI32" i="31"/>
  <c r="DH32" i="31"/>
  <c r="DF32" i="31"/>
  <c r="DL30" i="31"/>
  <c r="DI30" i="31"/>
  <c r="DF30" i="31"/>
  <c r="DL29" i="31"/>
  <c r="DK29" i="31"/>
  <c r="DI29" i="31"/>
  <c r="DH29" i="31"/>
  <c r="DF29" i="31"/>
  <c r="DL27" i="31"/>
  <c r="DI27" i="31"/>
  <c r="DF27" i="31"/>
  <c r="DL26" i="31"/>
  <c r="DK26" i="31"/>
  <c r="DI26" i="31"/>
  <c r="DH26" i="31"/>
  <c r="DF26" i="31"/>
  <c r="DH3" i="31"/>
  <c r="DC3" i="31"/>
  <c r="CY24" i="31"/>
  <c r="CV24" i="31"/>
  <c r="CS24" i="31"/>
  <c r="CY23" i="31"/>
  <c r="CV23" i="31"/>
  <c r="CS23" i="31"/>
  <c r="CY21" i="31"/>
  <c r="CV21" i="31"/>
  <c r="CS21" i="31"/>
  <c r="CY20" i="31"/>
  <c r="CV20" i="31"/>
  <c r="CS20" i="31"/>
  <c r="CY18" i="31"/>
  <c r="CV18" i="31"/>
  <c r="CS18" i="31"/>
  <c r="CY17" i="31"/>
  <c r="CV17" i="31"/>
  <c r="CS17" i="31"/>
  <c r="CY15" i="31"/>
  <c r="CV15" i="31"/>
  <c r="CS15" i="31"/>
  <c r="CY14" i="31"/>
  <c r="CV14" i="31"/>
  <c r="CS14" i="31"/>
  <c r="CY12" i="31"/>
  <c r="CV12" i="31"/>
  <c r="CS12" i="31"/>
  <c r="CY11" i="31"/>
  <c r="CV11" i="31"/>
  <c r="CS11" i="31"/>
  <c r="CY9" i="31"/>
  <c r="CV9" i="31"/>
  <c r="CS9" i="31"/>
  <c r="CY8" i="31"/>
  <c r="CV8" i="31"/>
  <c r="CS8" i="31"/>
  <c r="CY39" i="31"/>
  <c r="CV39" i="31"/>
  <c r="CS39" i="31"/>
  <c r="CY38" i="31"/>
  <c r="CX38" i="31"/>
  <c r="CV38" i="31"/>
  <c r="CU38" i="31"/>
  <c r="CS38" i="31"/>
  <c r="CY36" i="31"/>
  <c r="CV36" i="31"/>
  <c r="CS36" i="31"/>
  <c r="CY35" i="31"/>
  <c r="CX35" i="31"/>
  <c r="CV35" i="31"/>
  <c r="CU35" i="31"/>
  <c r="CS35" i="31"/>
  <c r="CY33" i="31"/>
  <c r="CV33" i="31"/>
  <c r="CS33" i="31"/>
  <c r="CY32" i="31"/>
  <c r="CX32" i="31"/>
  <c r="CV32" i="31"/>
  <c r="CU32" i="31"/>
  <c r="CS32" i="31"/>
  <c r="CY30" i="31"/>
  <c r="CV30" i="31"/>
  <c r="CS30" i="31"/>
  <c r="CY29" i="31"/>
  <c r="CV29" i="31"/>
  <c r="CS29" i="31"/>
  <c r="CY27" i="31"/>
  <c r="CV27" i="31"/>
  <c r="CS27" i="31"/>
  <c r="CY26" i="31"/>
  <c r="CV26" i="31"/>
  <c r="CS26" i="31"/>
  <c r="CU3" i="31"/>
  <c r="CP3" i="31"/>
  <c r="CL24" i="31"/>
  <c r="CI24" i="31"/>
  <c r="CF24" i="31"/>
  <c r="CL23" i="31"/>
  <c r="CI23" i="31"/>
  <c r="CF23" i="31"/>
  <c r="CL21" i="31"/>
  <c r="CI21" i="31"/>
  <c r="CF21" i="31"/>
  <c r="CL20" i="31"/>
  <c r="CI20" i="31"/>
  <c r="CF20" i="31"/>
  <c r="CL18" i="31"/>
  <c r="CI18" i="31"/>
  <c r="CF18" i="31"/>
  <c r="CL17" i="31"/>
  <c r="CI17" i="31"/>
  <c r="CF17" i="31"/>
  <c r="CL15" i="31"/>
  <c r="CI15" i="31"/>
  <c r="CF15" i="31"/>
  <c r="CL14" i="31"/>
  <c r="CI14" i="31"/>
  <c r="CF14" i="31"/>
  <c r="CL12" i="31"/>
  <c r="CI12" i="31"/>
  <c r="CF12" i="31"/>
  <c r="CL11" i="31"/>
  <c r="CI11" i="31"/>
  <c r="CF11" i="31"/>
  <c r="CL9" i="31"/>
  <c r="CI9" i="31"/>
  <c r="CF9" i="31"/>
  <c r="CL8" i="31"/>
  <c r="CI8" i="31"/>
  <c r="CF8" i="31"/>
  <c r="CL45" i="31"/>
  <c r="CI45" i="31"/>
  <c r="CF45" i="31"/>
  <c r="CL44" i="31"/>
  <c r="CK44" i="31"/>
  <c r="CI44" i="31"/>
  <c r="CH44" i="31"/>
  <c r="CF44" i="31"/>
  <c r="CL42" i="31"/>
  <c r="CI42" i="31"/>
  <c r="CF42" i="31"/>
  <c r="CL41" i="31"/>
  <c r="CK41" i="31"/>
  <c r="CI41" i="31"/>
  <c r="CH41" i="31"/>
  <c r="CF41" i="31"/>
  <c r="CL39" i="31"/>
  <c r="CI39" i="31"/>
  <c r="CF39" i="31"/>
  <c r="CL38" i="31"/>
  <c r="CK38" i="31"/>
  <c r="CI38" i="31"/>
  <c r="CH38" i="31"/>
  <c r="CF38" i="31"/>
  <c r="CL36" i="31"/>
  <c r="CI36" i="31"/>
  <c r="CF36" i="31"/>
  <c r="CL35" i="31"/>
  <c r="CI35" i="31"/>
  <c r="CF35" i="31"/>
  <c r="CL33" i="31"/>
  <c r="CI33" i="31"/>
  <c r="CF33" i="31"/>
  <c r="CL32" i="31"/>
  <c r="CI32" i="31"/>
  <c r="CF32" i="31"/>
  <c r="CL30" i="31"/>
  <c r="CI30" i="31"/>
  <c r="CF30" i="31"/>
  <c r="CL29" i="31"/>
  <c r="CI29" i="31"/>
  <c r="CF29" i="31"/>
  <c r="CL27" i="31"/>
  <c r="CI27" i="31"/>
  <c r="CF27" i="31"/>
  <c r="CL26" i="31"/>
  <c r="CI26" i="31"/>
  <c r="CF26" i="31"/>
  <c r="CH3" i="31"/>
  <c r="CC3" i="31"/>
  <c r="BY27" i="31"/>
  <c r="BV27" i="31"/>
  <c r="BS27" i="31"/>
  <c r="BY26" i="31"/>
  <c r="BV26" i="31"/>
  <c r="BS26" i="31"/>
  <c r="BY24" i="31"/>
  <c r="BV24" i="31"/>
  <c r="BS24" i="31"/>
  <c r="BY23" i="31"/>
  <c r="BV23" i="31"/>
  <c r="BS23" i="31"/>
  <c r="BY21" i="31"/>
  <c r="BV21" i="31"/>
  <c r="BS21" i="31"/>
  <c r="BY20" i="31"/>
  <c r="BV20" i="31"/>
  <c r="BS20" i="31"/>
  <c r="BY18" i="31"/>
  <c r="BV18" i="31"/>
  <c r="BS18" i="31"/>
  <c r="BY17" i="31"/>
  <c r="BV17" i="31"/>
  <c r="BS17" i="31"/>
  <c r="BY15" i="31"/>
  <c r="BV15" i="31"/>
  <c r="BS15" i="31"/>
  <c r="BY14" i="31"/>
  <c r="BV14" i="31"/>
  <c r="BS14" i="31"/>
  <c r="BY12" i="31"/>
  <c r="BV12" i="31"/>
  <c r="BS12" i="31"/>
  <c r="BY11" i="31"/>
  <c r="BV11" i="31"/>
  <c r="BS11" i="31"/>
  <c r="BY9" i="31"/>
  <c r="BV9" i="31"/>
  <c r="BS9" i="31"/>
  <c r="BY8" i="31"/>
  <c r="BV8" i="31"/>
  <c r="BS8" i="31"/>
  <c r="BY51" i="31"/>
  <c r="BV51" i="31"/>
  <c r="BS51" i="31"/>
  <c r="BY50" i="31"/>
  <c r="BX50" i="31"/>
  <c r="BV50" i="31"/>
  <c r="BU50" i="31"/>
  <c r="BS50" i="31"/>
  <c r="BY48" i="31"/>
  <c r="BV48" i="31"/>
  <c r="BS48" i="31"/>
  <c r="BY47" i="31"/>
  <c r="BX47" i="31"/>
  <c r="BV47" i="31"/>
  <c r="BU47" i="31"/>
  <c r="BS47" i="31"/>
  <c r="BY45" i="31"/>
  <c r="BV45" i="31"/>
  <c r="BS45" i="31"/>
  <c r="BY44" i="31"/>
  <c r="BX44" i="31"/>
  <c r="BV44" i="31"/>
  <c r="BU44" i="31"/>
  <c r="BS44" i="31"/>
  <c r="BY42" i="31"/>
  <c r="BV42" i="31"/>
  <c r="BS42" i="31"/>
  <c r="BY41" i="31"/>
  <c r="BV41" i="31"/>
  <c r="BS41" i="31"/>
  <c r="BY39" i="31"/>
  <c r="BV39" i="31"/>
  <c r="BS39" i="31"/>
  <c r="BY38" i="31"/>
  <c r="BV38" i="31"/>
  <c r="BS38" i="31"/>
  <c r="BY36" i="31"/>
  <c r="BV36" i="31"/>
  <c r="BS36" i="31"/>
  <c r="BY35" i="31"/>
  <c r="BV35" i="31"/>
  <c r="BS35" i="31"/>
  <c r="BY33" i="31"/>
  <c r="BV33" i="31"/>
  <c r="BS33" i="31"/>
  <c r="BY32" i="31"/>
  <c r="BV32" i="31"/>
  <c r="BS32" i="31"/>
  <c r="BY30" i="31"/>
  <c r="BV30" i="31"/>
  <c r="BS30" i="31"/>
  <c r="BY29" i="31"/>
  <c r="BV29" i="31"/>
  <c r="BS29" i="31"/>
  <c r="BU3" i="31"/>
  <c r="BP3" i="31"/>
  <c r="BL24" i="31"/>
  <c r="BI24" i="31"/>
  <c r="BF24" i="31"/>
  <c r="BL23" i="31"/>
  <c r="BI23" i="31"/>
  <c r="BF23" i="31"/>
  <c r="BL21" i="31"/>
  <c r="BI21" i="31"/>
  <c r="BF21" i="31"/>
  <c r="BL20" i="31"/>
  <c r="BI20" i="31"/>
  <c r="BF20" i="31"/>
  <c r="BL18" i="31"/>
  <c r="BI18" i="31"/>
  <c r="BF18" i="31"/>
  <c r="BL17" i="31"/>
  <c r="BI17" i="31"/>
  <c r="BF17" i="31"/>
  <c r="BL15" i="31"/>
  <c r="BI15" i="31"/>
  <c r="BF15" i="31"/>
  <c r="BL14" i="31"/>
  <c r="BI14" i="31"/>
  <c r="BF14" i="31"/>
  <c r="BL12" i="31"/>
  <c r="BI12" i="31"/>
  <c r="BF12" i="31"/>
  <c r="BL11" i="31"/>
  <c r="BI11" i="31"/>
  <c r="BF11" i="31"/>
  <c r="BL9" i="31"/>
  <c r="BI9" i="31"/>
  <c r="BF9" i="31"/>
  <c r="BL8" i="31"/>
  <c r="BI8" i="31"/>
  <c r="BF8" i="31"/>
  <c r="BL57" i="31"/>
  <c r="BI57" i="31"/>
  <c r="BF57" i="31"/>
  <c r="BL56" i="31"/>
  <c r="BK56" i="31"/>
  <c r="BI56" i="31"/>
  <c r="BH56" i="31"/>
  <c r="BF56" i="31"/>
  <c r="BL54" i="31"/>
  <c r="BI54" i="31"/>
  <c r="BF54" i="31"/>
  <c r="BL53" i="31"/>
  <c r="BK53" i="31"/>
  <c r="BI53" i="31"/>
  <c r="BH53" i="31"/>
  <c r="BF53" i="31"/>
  <c r="BL51" i="31"/>
  <c r="BI51" i="31"/>
  <c r="BF51" i="31"/>
  <c r="BL50" i="31"/>
  <c r="BK50" i="31"/>
  <c r="BI50" i="31"/>
  <c r="BH50" i="31"/>
  <c r="BF50" i="31"/>
  <c r="BL48" i="31"/>
  <c r="BI48" i="31"/>
  <c r="BF48" i="31"/>
  <c r="BL47" i="31"/>
  <c r="BI47" i="31"/>
  <c r="BF47" i="31"/>
  <c r="BL45" i="31"/>
  <c r="BI45" i="31"/>
  <c r="BF45" i="31"/>
  <c r="BL44" i="31"/>
  <c r="BI44" i="31"/>
  <c r="BF44" i="31"/>
  <c r="BL42" i="31"/>
  <c r="BI42" i="31"/>
  <c r="BF42" i="31"/>
  <c r="BL41" i="31"/>
  <c r="BI41" i="31"/>
  <c r="BF41" i="31"/>
  <c r="BL39" i="31"/>
  <c r="BI39" i="31"/>
  <c r="BF39" i="31"/>
  <c r="BL38" i="31"/>
  <c r="BI38" i="31"/>
  <c r="BF38" i="31"/>
  <c r="BL36" i="31"/>
  <c r="BI36" i="31"/>
  <c r="BF36" i="31"/>
  <c r="BL35" i="31"/>
  <c r="BI35" i="31"/>
  <c r="BF35" i="31"/>
  <c r="BL33" i="31"/>
  <c r="BI33" i="31"/>
  <c r="BF33" i="31"/>
  <c r="BL32" i="31"/>
  <c r="BI32" i="31"/>
  <c r="BF32" i="31"/>
  <c r="BL30" i="31"/>
  <c r="BI30" i="31"/>
  <c r="BF30" i="31"/>
  <c r="BL29" i="31"/>
  <c r="BI29" i="31"/>
  <c r="BF29" i="31"/>
  <c r="BL27" i="31"/>
  <c r="BI27" i="31"/>
  <c r="BF27" i="31"/>
  <c r="BL26" i="31"/>
  <c r="BI26" i="31"/>
  <c r="BF26" i="31"/>
  <c r="BH3" i="31"/>
  <c r="BC3" i="31"/>
  <c r="AY24" i="31"/>
  <c r="AV24" i="31"/>
  <c r="AS24" i="31"/>
  <c r="AY23" i="31"/>
  <c r="AV23" i="31"/>
  <c r="AS23" i="31"/>
  <c r="AY21" i="31"/>
  <c r="AV21" i="31"/>
  <c r="AS21" i="31"/>
  <c r="AY20" i="31"/>
  <c r="AV20" i="31"/>
  <c r="AS20" i="31"/>
  <c r="AY18" i="31"/>
  <c r="AV18" i="31"/>
  <c r="AS18" i="31"/>
  <c r="AY17" i="31"/>
  <c r="AV17" i="31"/>
  <c r="AS17" i="31"/>
  <c r="AY15" i="31"/>
  <c r="AV15" i="31"/>
  <c r="AS15" i="31"/>
  <c r="AY14" i="31"/>
  <c r="AV14" i="31"/>
  <c r="AS14" i="31"/>
  <c r="AY12" i="31"/>
  <c r="AV12" i="31"/>
  <c r="AS12" i="31"/>
  <c r="AY11" i="31"/>
  <c r="AV11" i="31"/>
  <c r="AS11" i="31"/>
  <c r="AY9" i="31"/>
  <c r="AV9" i="31"/>
  <c r="AS9" i="31"/>
  <c r="AY8" i="31"/>
  <c r="AV8" i="31"/>
  <c r="AS8" i="31"/>
  <c r="AY63" i="31"/>
  <c r="AV63" i="31"/>
  <c r="AS63" i="31"/>
  <c r="AY62" i="31"/>
  <c r="AX62" i="31"/>
  <c r="AV62" i="31"/>
  <c r="AU62" i="31"/>
  <c r="AS62" i="31"/>
  <c r="AY60" i="31"/>
  <c r="AV60" i="31"/>
  <c r="AS60" i="31"/>
  <c r="AY59" i="31"/>
  <c r="AX59" i="31"/>
  <c r="AV59" i="31"/>
  <c r="AU59" i="31"/>
  <c r="AS59" i="31"/>
  <c r="AY57" i="31"/>
  <c r="AV57" i="31"/>
  <c r="AS57" i="31"/>
  <c r="AY56" i="31"/>
  <c r="AX56" i="31"/>
  <c r="AV56" i="31"/>
  <c r="AU56" i="31"/>
  <c r="AS56" i="31"/>
  <c r="AY54" i="31"/>
  <c r="AV54" i="31"/>
  <c r="AS54" i="31"/>
  <c r="AY53" i="31"/>
  <c r="AV53" i="31"/>
  <c r="AS53" i="31"/>
  <c r="AY51" i="31"/>
  <c r="AV51" i="31"/>
  <c r="AS51" i="31"/>
  <c r="AY50" i="31"/>
  <c r="AV50" i="31"/>
  <c r="AS50" i="31"/>
  <c r="AY48" i="31"/>
  <c r="AV48" i="31"/>
  <c r="AS48" i="31"/>
  <c r="AY47" i="31"/>
  <c r="AV47" i="31"/>
  <c r="AS47" i="31"/>
  <c r="AY45" i="31"/>
  <c r="AV45" i="31"/>
  <c r="AS45" i="31"/>
  <c r="AY44" i="31"/>
  <c r="AV44" i="31"/>
  <c r="AS44" i="31"/>
  <c r="AY42" i="31"/>
  <c r="AV42" i="31"/>
  <c r="AS42" i="31"/>
  <c r="AY41" i="31"/>
  <c r="AV41" i="31"/>
  <c r="AS41" i="31"/>
  <c r="AY39" i="31"/>
  <c r="AV39" i="31"/>
  <c r="AS39" i="31"/>
  <c r="AY38" i="31"/>
  <c r="AV38" i="31"/>
  <c r="AS38" i="31"/>
  <c r="AY36" i="31"/>
  <c r="AV36" i="31"/>
  <c r="AS36" i="31"/>
  <c r="AY35" i="31"/>
  <c r="AV35" i="31"/>
  <c r="AS35" i="31"/>
  <c r="AY33" i="31"/>
  <c r="AV33" i="31"/>
  <c r="AS33" i="31"/>
  <c r="AY32" i="31"/>
  <c r="AV32" i="31"/>
  <c r="AS32" i="31"/>
  <c r="AY30" i="31"/>
  <c r="AV30" i="31"/>
  <c r="AS30" i="31"/>
  <c r="AY29" i="31"/>
  <c r="AV29" i="31"/>
  <c r="AS29" i="31"/>
  <c r="AY27" i="31"/>
  <c r="AV27" i="31"/>
  <c r="AS27" i="31"/>
  <c r="AY26" i="31"/>
  <c r="AV26" i="31"/>
  <c r="AS26" i="31"/>
  <c r="AU3" i="31"/>
  <c r="AP3" i="31"/>
  <c r="AL69" i="31"/>
  <c r="AI69" i="31"/>
  <c r="AF69" i="31"/>
  <c r="AL68" i="31"/>
  <c r="AK68" i="31"/>
  <c r="AI68" i="31"/>
  <c r="AH68" i="31"/>
  <c r="AF68" i="31"/>
  <c r="AE68" i="31"/>
  <c r="AL66" i="31"/>
  <c r="AI66" i="31"/>
  <c r="AF66" i="31"/>
  <c r="AL65" i="31"/>
  <c r="AK65" i="31"/>
  <c r="AI65" i="31"/>
  <c r="AH65" i="31"/>
  <c r="AF65" i="31"/>
  <c r="AE65" i="31"/>
  <c r="AL63" i="31"/>
  <c r="AI63" i="31"/>
  <c r="AF63" i="31"/>
  <c r="AL62" i="31"/>
  <c r="AK62" i="31"/>
  <c r="AI62" i="31"/>
  <c r="AH62" i="31"/>
  <c r="AF62" i="31"/>
  <c r="AE62" i="31"/>
  <c r="AL60" i="31"/>
  <c r="AI60" i="31"/>
  <c r="AF60" i="31"/>
  <c r="AL59" i="31"/>
  <c r="AI59" i="31"/>
  <c r="AF59" i="31"/>
  <c r="AL57" i="31"/>
  <c r="AI57" i="31"/>
  <c r="AF57" i="31"/>
  <c r="AL56" i="31"/>
  <c r="AI56" i="31"/>
  <c r="AF56" i="31"/>
  <c r="AL54" i="31"/>
  <c r="AI54" i="31"/>
  <c r="AF54" i="31"/>
  <c r="AL53" i="31"/>
  <c r="AI53" i="31"/>
  <c r="AF53" i="31"/>
  <c r="AL51" i="31"/>
  <c r="AI51" i="31"/>
  <c r="AF51" i="31"/>
  <c r="AL50" i="31"/>
  <c r="AI50" i="31"/>
  <c r="AF50" i="31"/>
  <c r="AL48" i="31"/>
  <c r="AI48" i="31"/>
  <c r="AF48" i="31"/>
  <c r="AL47" i="31"/>
  <c r="AI47" i="31"/>
  <c r="AF47" i="31"/>
  <c r="AL45" i="31"/>
  <c r="AI45" i="31"/>
  <c r="AF45" i="31"/>
  <c r="AL44" i="31"/>
  <c r="AI44" i="31"/>
  <c r="AF44" i="31"/>
  <c r="AL42" i="31"/>
  <c r="AI42" i="31"/>
  <c r="AF42" i="31"/>
  <c r="AL41" i="31"/>
  <c r="AI41" i="31"/>
  <c r="AF41" i="31"/>
  <c r="AL39" i="31"/>
  <c r="AI39" i="31"/>
  <c r="AF39" i="31"/>
  <c r="AL38" i="31"/>
  <c r="AI38" i="31"/>
  <c r="AF38" i="31"/>
  <c r="AL36" i="31"/>
  <c r="AI36" i="31"/>
  <c r="AF36" i="31"/>
  <c r="AL35" i="31"/>
  <c r="AI35" i="31"/>
  <c r="AF35" i="31"/>
  <c r="AL33" i="31"/>
  <c r="AI33" i="31"/>
  <c r="AF33" i="31"/>
  <c r="AL32" i="31"/>
  <c r="AI32" i="31"/>
  <c r="AF32" i="31"/>
  <c r="AL30" i="31"/>
  <c r="AI30" i="31"/>
  <c r="AF30" i="31"/>
  <c r="AL29" i="31"/>
  <c r="AI29" i="31"/>
  <c r="AF29" i="31"/>
  <c r="AL27" i="31"/>
  <c r="AI27" i="31"/>
  <c r="AF27" i="31"/>
  <c r="AL26" i="31"/>
  <c r="AI26" i="31"/>
  <c r="AF26" i="31"/>
  <c r="AL24" i="31"/>
  <c r="AI24" i="31"/>
  <c r="AF24" i="31"/>
  <c r="AL23" i="31"/>
  <c r="AI23" i="31"/>
  <c r="AF23" i="31"/>
  <c r="AL21" i="31"/>
  <c r="AI21" i="31"/>
  <c r="AF21" i="31"/>
  <c r="AL20" i="31"/>
  <c r="AI20" i="31"/>
  <c r="AF20" i="31"/>
  <c r="AL18" i="31"/>
  <c r="AI18" i="31"/>
  <c r="AF18" i="31"/>
  <c r="AL17" i="31"/>
  <c r="AI17" i="31"/>
  <c r="AF17" i="31"/>
  <c r="AL15" i="31"/>
  <c r="AI15" i="31"/>
  <c r="AF15" i="31"/>
  <c r="AL14" i="31"/>
  <c r="AI14" i="31"/>
  <c r="AF14" i="31"/>
  <c r="AL12" i="31"/>
  <c r="AI12" i="31"/>
  <c r="AF12" i="31"/>
  <c r="AL11" i="31"/>
  <c r="AI11" i="31"/>
  <c r="AF11" i="31"/>
  <c r="AL9" i="31"/>
  <c r="AI9" i="31"/>
  <c r="AF9" i="31"/>
  <c r="AL8" i="31"/>
  <c r="AI8" i="31"/>
  <c r="AF8" i="31"/>
  <c r="AH3" i="31"/>
  <c r="AC3" i="31"/>
  <c r="DZ21" i="12"/>
  <c r="DW21" i="12"/>
  <c r="DT21" i="12"/>
  <c r="DZ20" i="12"/>
  <c r="DW20" i="12"/>
  <c r="DT20" i="12"/>
  <c r="DZ18" i="12"/>
  <c r="DW18" i="12"/>
  <c r="DT18" i="12"/>
  <c r="DZ17" i="12"/>
  <c r="DW17" i="12"/>
  <c r="DT17" i="12"/>
  <c r="DZ15" i="12"/>
  <c r="DW15" i="12"/>
  <c r="DT15" i="12"/>
  <c r="DZ14" i="12"/>
  <c r="DW14" i="12"/>
  <c r="DT14" i="12"/>
  <c r="DZ12" i="12"/>
  <c r="DW12" i="12"/>
  <c r="DT12" i="12"/>
  <c r="DZ11" i="12"/>
  <c r="DW11" i="12"/>
  <c r="DT11" i="12"/>
  <c r="DZ9" i="12"/>
  <c r="DW9" i="12"/>
  <c r="DT9" i="12"/>
  <c r="DZ8" i="12"/>
  <c r="DW8" i="12"/>
  <c r="DT8" i="12"/>
  <c r="DZ30" i="12"/>
  <c r="DW30" i="12"/>
  <c r="DT30" i="12"/>
  <c r="DZ29" i="12"/>
  <c r="DW29" i="12"/>
  <c r="DT29" i="12"/>
  <c r="DZ27" i="12"/>
  <c r="DW27" i="12"/>
  <c r="DT27" i="12"/>
  <c r="DZ26" i="12"/>
  <c r="DW26" i="12"/>
  <c r="DT26" i="12"/>
  <c r="DZ24" i="12"/>
  <c r="DW24" i="12"/>
  <c r="DT24" i="12"/>
  <c r="DZ23" i="12"/>
  <c r="DW23" i="12"/>
  <c r="DT23" i="12"/>
  <c r="DV3" i="12"/>
  <c r="DQ3" i="12"/>
  <c r="DM24" i="12"/>
  <c r="DJ24" i="12"/>
  <c r="DG24" i="12"/>
  <c r="DM23" i="12"/>
  <c r="DJ23" i="12"/>
  <c r="DG23" i="12"/>
  <c r="DM21" i="12"/>
  <c r="DJ21" i="12"/>
  <c r="DG21" i="12"/>
  <c r="DM20" i="12"/>
  <c r="DJ20" i="12"/>
  <c r="DG20" i="12"/>
  <c r="DM18" i="12"/>
  <c r="DJ18" i="12"/>
  <c r="DG18" i="12"/>
  <c r="DM17" i="12"/>
  <c r="DJ17" i="12"/>
  <c r="DG17" i="12"/>
  <c r="DM15" i="12"/>
  <c r="DJ15" i="12"/>
  <c r="DG15" i="12"/>
  <c r="DM14" i="12"/>
  <c r="DJ14" i="12"/>
  <c r="DG14" i="12"/>
  <c r="DM12" i="12"/>
  <c r="DJ12" i="12"/>
  <c r="DG12" i="12"/>
  <c r="DM11" i="12"/>
  <c r="DJ11" i="12"/>
  <c r="DG11" i="12"/>
  <c r="DM9" i="12"/>
  <c r="DJ9" i="12"/>
  <c r="DG9" i="12"/>
  <c r="DM8" i="12"/>
  <c r="DJ8" i="12"/>
  <c r="DG8" i="12"/>
  <c r="DM36" i="12"/>
  <c r="DJ36" i="12"/>
  <c r="DG36" i="12"/>
  <c r="DM35" i="12"/>
  <c r="DJ35" i="12"/>
  <c r="DG35" i="12"/>
  <c r="DM33" i="12"/>
  <c r="DJ33" i="12"/>
  <c r="DG33" i="12"/>
  <c r="DM32" i="12"/>
  <c r="DJ32" i="12"/>
  <c r="DG32" i="12"/>
  <c r="DM30" i="12"/>
  <c r="DJ30" i="12"/>
  <c r="DG30" i="12"/>
  <c r="DM29" i="12"/>
  <c r="DJ29" i="12"/>
  <c r="DG29" i="12"/>
  <c r="DM27" i="12"/>
  <c r="DJ27" i="12"/>
  <c r="DG27" i="12"/>
  <c r="DM26" i="12"/>
  <c r="DJ26" i="12"/>
  <c r="DG26" i="12"/>
  <c r="DI3" i="12"/>
  <c r="DD3" i="12"/>
  <c r="CZ24" i="12"/>
  <c r="CW24" i="12"/>
  <c r="CT24" i="12"/>
  <c r="CZ23" i="12"/>
  <c r="CW23" i="12"/>
  <c r="CT23" i="12"/>
  <c r="CZ21" i="12"/>
  <c r="CW21" i="12"/>
  <c r="CT21" i="12"/>
  <c r="CZ20" i="12"/>
  <c r="CW20" i="12"/>
  <c r="CT20" i="12"/>
  <c r="CZ18" i="12"/>
  <c r="CW18" i="12"/>
  <c r="CT18" i="12"/>
  <c r="CZ17" i="12"/>
  <c r="CW17" i="12"/>
  <c r="CT17" i="12"/>
  <c r="CZ15" i="12"/>
  <c r="CW15" i="12"/>
  <c r="CT15" i="12"/>
  <c r="CZ14" i="12"/>
  <c r="CW14" i="12"/>
  <c r="CT14" i="12"/>
  <c r="CZ12" i="12"/>
  <c r="CW12" i="12"/>
  <c r="CT12" i="12"/>
  <c r="CZ11" i="12"/>
  <c r="CW11" i="12"/>
  <c r="CT11" i="12"/>
  <c r="CZ9" i="12"/>
  <c r="CW9" i="12"/>
  <c r="CT9" i="12"/>
  <c r="CZ8" i="12"/>
  <c r="CW8" i="12"/>
  <c r="CT8" i="12"/>
  <c r="CZ42" i="12"/>
  <c r="CW42" i="12"/>
  <c r="CT42" i="12"/>
  <c r="CZ41" i="12"/>
  <c r="CW41" i="12"/>
  <c r="CT41" i="12"/>
  <c r="CZ39" i="12"/>
  <c r="CW39" i="12"/>
  <c r="CT39" i="12"/>
  <c r="CZ38" i="12"/>
  <c r="CW38" i="12"/>
  <c r="CT38" i="12"/>
  <c r="CZ36" i="12"/>
  <c r="CW36" i="12"/>
  <c r="CT36" i="12"/>
  <c r="CZ35" i="12"/>
  <c r="CW35" i="12"/>
  <c r="CT35" i="12"/>
  <c r="CZ33" i="12"/>
  <c r="CW33" i="12"/>
  <c r="CT33" i="12"/>
  <c r="CZ32" i="12"/>
  <c r="CW32" i="12"/>
  <c r="CT32" i="12"/>
  <c r="CZ30" i="12"/>
  <c r="CW30" i="12"/>
  <c r="CT30" i="12"/>
  <c r="CZ29" i="12"/>
  <c r="CW29" i="12"/>
  <c r="CT29" i="12"/>
  <c r="CZ27" i="12"/>
  <c r="CW27" i="12"/>
  <c r="CT27" i="12"/>
  <c r="CZ26" i="12"/>
  <c r="CW26" i="12"/>
  <c r="CT26" i="12"/>
  <c r="CV3" i="12"/>
  <c r="CQ3" i="12"/>
  <c r="CM24" i="12"/>
  <c r="CJ24" i="12"/>
  <c r="CG24" i="12"/>
  <c r="CM23" i="12"/>
  <c r="CJ23" i="12"/>
  <c r="CG23" i="12"/>
  <c r="CM21" i="12"/>
  <c r="CJ21" i="12"/>
  <c r="CG21" i="12"/>
  <c r="CM20" i="12"/>
  <c r="CJ20" i="12"/>
  <c r="CG20" i="12"/>
  <c r="CM18" i="12"/>
  <c r="CJ18" i="12"/>
  <c r="CG18" i="12"/>
  <c r="CM17" i="12"/>
  <c r="CJ17" i="12"/>
  <c r="CG17" i="12"/>
  <c r="CM15" i="12"/>
  <c r="CJ15" i="12"/>
  <c r="CG15" i="12"/>
  <c r="CM14" i="12"/>
  <c r="CJ14" i="12"/>
  <c r="CG14" i="12"/>
  <c r="CM12" i="12"/>
  <c r="CJ12" i="12"/>
  <c r="CG12" i="12"/>
  <c r="CM11" i="12"/>
  <c r="CJ11" i="12"/>
  <c r="CG11" i="12"/>
  <c r="CM9" i="12"/>
  <c r="CJ9" i="12"/>
  <c r="CG9" i="12"/>
  <c r="CM8" i="12"/>
  <c r="CJ8" i="12"/>
  <c r="CG8" i="12"/>
  <c r="CM48" i="12"/>
  <c r="CJ48" i="12"/>
  <c r="CG48" i="12"/>
  <c r="CM47" i="12"/>
  <c r="CJ47" i="12"/>
  <c r="CG47" i="12"/>
  <c r="CM45" i="12"/>
  <c r="CJ45" i="12"/>
  <c r="CG45" i="12"/>
  <c r="CM44" i="12"/>
  <c r="CJ44" i="12"/>
  <c r="CG44" i="12"/>
  <c r="CM42" i="12"/>
  <c r="CJ42" i="12"/>
  <c r="CG42" i="12"/>
  <c r="CM41" i="12"/>
  <c r="CJ41" i="12"/>
  <c r="CG41" i="12"/>
  <c r="CM39" i="12"/>
  <c r="CJ39" i="12"/>
  <c r="CG39" i="12"/>
  <c r="CM38" i="12"/>
  <c r="CJ38" i="12"/>
  <c r="CG38" i="12"/>
  <c r="CM36" i="12"/>
  <c r="CJ36" i="12"/>
  <c r="CG36" i="12"/>
  <c r="CM35" i="12"/>
  <c r="CJ35" i="12"/>
  <c r="CG35" i="12"/>
  <c r="CM33" i="12"/>
  <c r="CJ33" i="12"/>
  <c r="CG33" i="12"/>
  <c r="CM32" i="12"/>
  <c r="CJ32" i="12"/>
  <c r="CG32" i="12"/>
  <c r="CM30" i="12"/>
  <c r="CJ30" i="12"/>
  <c r="CG30" i="12"/>
  <c r="CM29" i="12"/>
  <c r="CJ29" i="12"/>
  <c r="CG29" i="12"/>
  <c r="CM27" i="12"/>
  <c r="CJ27" i="12"/>
  <c r="CG27" i="12"/>
  <c r="CM26" i="12"/>
  <c r="CJ26" i="12"/>
  <c r="CG26" i="12"/>
  <c r="CI3" i="12"/>
  <c r="CD3" i="12"/>
  <c r="BZ24" i="12"/>
  <c r="BW24" i="12"/>
  <c r="BT24" i="12"/>
  <c r="BZ23" i="12"/>
  <c r="BW23" i="12"/>
  <c r="BT23" i="12"/>
  <c r="BZ21" i="12"/>
  <c r="BW21" i="12"/>
  <c r="BT21" i="12"/>
  <c r="BZ20" i="12"/>
  <c r="BW20" i="12"/>
  <c r="BT20" i="12"/>
  <c r="BZ18" i="12"/>
  <c r="BW18" i="12"/>
  <c r="BT18" i="12"/>
  <c r="BZ17" i="12"/>
  <c r="BW17" i="12"/>
  <c r="BT17" i="12"/>
  <c r="BZ15" i="12"/>
  <c r="BW15" i="12"/>
  <c r="BT15" i="12"/>
  <c r="BZ14" i="12"/>
  <c r="BW14" i="12"/>
  <c r="BT14" i="12"/>
  <c r="BZ12" i="12"/>
  <c r="BW12" i="12"/>
  <c r="BT12" i="12"/>
  <c r="BZ11" i="12"/>
  <c r="BW11" i="12"/>
  <c r="BT11" i="12"/>
  <c r="BZ54" i="12"/>
  <c r="BW54" i="12"/>
  <c r="BT54" i="12"/>
  <c r="BZ53" i="12"/>
  <c r="BW53" i="12"/>
  <c r="BT53" i="12"/>
  <c r="BZ51" i="12"/>
  <c r="BW51" i="12"/>
  <c r="BT51" i="12"/>
  <c r="BZ50" i="12"/>
  <c r="BW50" i="12"/>
  <c r="BT50" i="12"/>
  <c r="BZ48" i="12"/>
  <c r="BW48" i="12"/>
  <c r="BT48" i="12"/>
  <c r="BZ47" i="12"/>
  <c r="BW47" i="12"/>
  <c r="BT47" i="12"/>
  <c r="BZ45" i="12"/>
  <c r="BW45" i="12"/>
  <c r="BT45" i="12"/>
  <c r="BZ44" i="12"/>
  <c r="BW44" i="12"/>
  <c r="BT44" i="12"/>
  <c r="BZ42" i="12"/>
  <c r="BW42" i="12"/>
  <c r="BT42" i="12"/>
  <c r="BZ41" i="12"/>
  <c r="BW41" i="12"/>
  <c r="BT41" i="12"/>
  <c r="BZ39" i="12"/>
  <c r="BW39" i="12"/>
  <c r="BT39" i="12"/>
  <c r="BZ38" i="12"/>
  <c r="BW38" i="12"/>
  <c r="BT38" i="12"/>
  <c r="BZ36" i="12"/>
  <c r="BW36" i="12"/>
  <c r="BT36" i="12"/>
  <c r="BZ35" i="12"/>
  <c r="BW35" i="12"/>
  <c r="BT35" i="12"/>
  <c r="BZ33" i="12"/>
  <c r="BW33" i="12"/>
  <c r="BT33" i="12"/>
  <c r="BZ32" i="12"/>
  <c r="BW32" i="12"/>
  <c r="BT32" i="12"/>
  <c r="BZ30" i="12"/>
  <c r="BW30" i="12"/>
  <c r="BT30" i="12"/>
  <c r="BZ29" i="12"/>
  <c r="BW29" i="12"/>
  <c r="BT29" i="12"/>
  <c r="BZ27" i="12"/>
  <c r="BW27" i="12"/>
  <c r="BT27" i="12"/>
  <c r="BZ26" i="12"/>
  <c r="BW26" i="12"/>
  <c r="BT26" i="12"/>
  <c r="BZ9" i="12"/>
  <c r="BW9" i="12"/>
  <c r="BT9" i="12"/>
  <c r="BZ8" i="12"/>
  <c r="BW8" i="12"/>
  <c r="BT8" i="12"/>
  <c r="BV3" i="12"/>
  <c r="BQ3" i="12"/>
  <c r="BM24" i="12"/>
  <c r="BJ24" i="12"/>
  <c r="BG24" i="12"/>
  <c r="BM23" i="12"/>
  <c r="BJ23" i="12"/>
  <c r="BG23" i="12"/>
  <c r="BM21" i="12"/>
  <c r="BJ21" i="12"/>
  <c r="BG21" i="12"/>
  <c r="BM20" i="12"/>
  <c r="BJ20" i="12"/>
  <c r="BG20" i="12"/>
  <c r="BM18" i="12"/>
  <c r="BJ18" i="12"/>
  <c r="BG18" i="12"/>
  <c r="BM17" i="12"/>
  <c r="BJ17" i="12"/>
  <c r="BG17" i="12"/>
  <c r="BM15" i="12"/>
  <c r="BJ15" i="12"/>
  <c r="BG15" i="12"/>
  <c r="BM14" i="12"/>
  <c r="BJ14" i="12"/>
  <c r="BG14" i="12"/>
  <c r="BM12" i="12"/>
  <c r="BJ12" i="12"/>
  <c r="BG12" i="12"/>
  <c r="BM11" i="12"/>
  <c r="BJ11" i="12"/>
  <c r="BG11" i="12"/>
  <c r="BM60" i="12"/>
  <c r="BJ60" i="12"/>
  <c r="BG60" i="12"/>
  <c r="BM59" i="12"/>
  <c r="BJ59" i="12"/>
  <c r="BG59" i="12"/>
  <c r="BM57" i="12"/>
  <c r="BJ57" i="12"/>
  <c r="BG57" i="12"/>
  <c r="BM56" i="12"/>
  <c r="BJ56" i="12"/>
  <c r="BG56" i="12"/>
  <c r="BM54" i="12"/>
  <c r="BJ54" i="12"/>
  <c r="BG54" i="12"/>
  <c r="BM53" i="12"/>
  <c r="BJ53" i="12"/>
  <c r="BG53" i="12"/>
  <c r="BM51" i="12"/>
  <c r="BJ51" i="12"/>
  <c r="BG51" i="12"/>
  <c r="BM50" i="12"/>
  <c r="BJ50" i="12"/>
  <c r="BG50" i="12"/>
  <c r="BM48" i="12"/>
  <c r="BJ48" i="12"/>
  <c r="BG48" i="12"/>
  <c r="BM47" i="12"/>
  <c r="BJ47" i="12"/>
  <c r="BG47" i="12"/>
  <c r="BM45" i="12"/>
  <c r="BJ45" i="12"/>
  <c r="BG45" i="12"/>
  <c r="BM44" i="12"/>
  <c r="BJ44" i="12"/>
  <c r="BG44" i="12"/>
  <c r="BM42" i="12"/>
  <c r="BJ42" i="12"/>
  <c r="BG42" i="12"/>
  <c r="BM41" i="12"/>
  <c r="BJ41" i="12"/>
  <c r="BG41" i="12"/>
  <c r="BM39" i="12"/>
  <c r="BJ39" i="12"/>
  <c r="BG39" i="12"/>
  <c r="BM38" i="12"/>
  <c r="BJ38" i="12"/>
  <c r="BG38" i="12"/>
  <c r="BM36" i="12"/>
  <c r="BJ36" i="12"/>
  <c r="BG36" i="12"/>
  <c r="BM35" i="12"/>
  <c r="BJ35" i="12"/>
  <c r="BG35" i="12"/>
  <c r="BM33" i="12"/>
  <c r="BJ33" i="12"/>
  <c r="BG33" i="12"/>
  <c r="BM32" i="12"/>
  <c r="BJ32" i="12"/>
  <c r="BG32" i="12"/>
  <c r="BM30" i="12"/>
  <c r="BJ30" i="12"/>
  <c r="BG30" i="12"/>
  <c r="BM29" i="12"/>
  <c r="BJ29" i="12"/>
  <c r="BG29" i="12"/>
  <c r="BM27" i="12"/>
  <c r="BJ27" i="12"/>
  <c r="BG27" i="12"/>
  <c r="BM26" i="12"/>
  <c r="BJ26" i="12"/>
  <c r="BG26" i="12"/>
  <c r="BM9" i="12"/>
  <c r="BJ9" i="12"/>
  <c r="BG9" i="12"/>
  <c r="BM8" i="12"/>
  <c r="BJ8" i="12"/>
  <c r="BG8" i="12"/>
  <c r="BI3" i="12"/>
  <c r="BD3" i="12"/>
  <c r="AZ24" i="12"/>
  <c r="AW24" i="12"/>
  <c r="AT24" i="12"/>
  <c r="AZ23" i="12"/>
  <c r="AW23" i="12"/>
  <c r="AT23" i="12"/>
  <c r="AZ21" i="12"/>
  <c r="AW21" i="12"/>
  <c r="AT21" i="12"/>
  <c r="AZ20" i="12"/>
  <c r="AW20" i="12"/>
  <c r="AT20" i="12"/>
  <c r="AZ18" i="12"/>
  <c r="AW18" i="12"/>
  <c r="AT18" i="12"/>
  <c r="AZ17" i="12"/>
  <c r="AW17" i="12"/>
  <c r="AT17" i="12"/>
  <c r="AZ15" i="12"/>
  <c r="AW15" i="12"/>
  <c r="AT15" i="12"/>
  <c r="AZ14" i="12"/>
  <c r="AW14" i="12"/>
  <c r="AT14" i="12"/>
  <c r="AZ12" i="12"/>
  <c r="AW12" i="12"/>
  <c r="AT12" i="12"/>
  <c r="AZ11" i="12"/>
  <c r="AW11" i="12"/>
  <c r="AT11" i="12"/>
  <c r="AZ9" i="12"/>
  <c r="AW9" i="12"/>
  <c r="AT9" i="12"/>
  <c r="AZ8" i="12"/>
  <c r="AW8" i="12"/>
  <c r="AT8" i="12"/>
  <c r="AZ66" i="12"/>
  <c r="AW66" i="12"/>
  <c r="AT66" i="12"/>
  <c r="AZ65" i="12"/>
  <c r="AW65" i="12"/>
  <c r="AT65" i="12"/>
  <c r="AZ63" i="12"/>
  <c r="AW63" i="12"/>
  <c r="AT63" i="12"/>
  <c r="AZ62" i="12"/>
  <c r="AW62" i="12"/>
  <c r="AT62" i="12"/>
  <c r="AZ60" i="12"/>
  <c r="AW60" i="12"/>
  <c r="AT60" i="12"/>
  <c r="AZ59" i="12"/>
  <c r="AW59" i="12"/>
  <c r="AT59" i="12"/>
  <c r="AZ57" i="12"/>
  <c r="AW57" i="12"/>
  <c r="AT57" i="12"/>
  <c r="AZ56" i="12"/>
  <c r="AW56" i="12"/>
  <c r="AT56" i="12"/>
  <c r="AZ54" i="12"/>
  <c r="AW54" i="12"/>
  <c r="AT54" i="12"/>
  <c r="AZ53" i="12"/>
  <c r="AW53" i="12"/>
  <c r="AT53" i="12"/>
  <c r="AZ51" i="12"/>
  <c r="AW51" i="12"/>
  <c r="AT51" i="12"/>
  <c r="AZ50" i="12"/>
  <c r="AW50" i="12"/>
  <c r="AT50" i="12"/>
  <c r="AZ48" i="12"/>
  <c r="AW48" i="12"/>
  <c r="AT48" i="12"/>
  <c r="AZ47" i="12"/>
  <c r="AW47" i="12"/>
  <c r="AT47" i="12"/>
  <c r="AZ45" i="12"/>
  <c r="AW45" i="12"/>
  <c r="AT45" i="12"/>
  <c r="AZ44" i="12"/>
  <c r="AW44" i="12"/>
  <c r="AT44" i="12"/>
  <c r="AZ42" i="12"/>
  <c r="AW42" i="12"/>
  <c r="AT42" i="12"/>
  <c r="AZ41" i="12"/>
  <c r="AW41" i="12"/>
  <c r="AT41" i="12"/>
  <c r="AZ39" i="12"/>
  <c r="AW39" i="12"/>
  <c r="AT39" i="12"/>
  <c r="AZ38" i="12"/>
  <c r="AW38" i="12"/>
  <c r="AT38" i="12"/>
  <c r="AZ36" i="12"/>
  <c r="AW36" i="12"/>
  <c r="AT36" i="12"/>
  <c r="AZ35" i="12"/>
  <c r="AW35" i="12"/>
  <c r="AT35" i="12"/>
  <c r="AZ33" i="12"/>
  <c r="AW33" i="12"/>
  <c r="AT33" i="12"/>
  <c r="AZ32" i="12"/>
  <c r="AW32" i="12"/>
  <c r="AT32" i="12"/>
  <c r="AZ30" i="12"/>
  <c r="AW30" i="12"/>
  <c r="AT30" i="12"/>
  <c r="AZ29" i="12"/>
  <c r="AW29" i="12"/>
  <c r="AT29" i="12"/>
  <c r="AZ27" i="12"/>
  <c r="AW27" i="12"/>
  <c r="AT27" i="12"/>
  <c r="AZ26" i="12"/>
  <c r="AW26" i="12"/>
  <c r="AT26" i="12"/>
  <c r="AV3" i="12"/>
  <c r="AQ3" i="12"/>
  <c r="AI3" i="12"/>
  <c r="AD3" i="12"/>
  <c r="Y69" i="12"/>
  <c r="Y66" i="12"/>
  <c r="Y68" i="12"/>
  <c r="Y65" i="12"/>
  <c r="I3" i="31"/>
  <c r="D3" i="31"/>
  <c r="J4" i="13"/>
  <c r="K4" i="13"/>
  <c r="J5" i="13"/>
  <c r="K5" i="13"/>
  <c r="J6" i="13"/>
  <c r="K6" i="13"/>
  <c r="J7" i="13"/>
  <c r="K7" i="13"/>
  <c r="J8" i="13"/>
  <c r="K8" i="13"/>
  <c r="J9" i="13"/>
  <c r="K9" i="13"/>
  <c r="J10" i="13"/>
  <c r="K10" i="13"/>
  <c r="J11" i="13"/>
  <c r="K11" i="13"/>
  <c r="J12" i="13"/>
  <c r="K12" i="13"/>
  <c r="J13" i="13"/>
  <c r="K13" i="13"/>
  <c r="J14" i="13"/>
  <c r="K14" i="13"/>
  <c r="J15" i="13"/>
  <c r="K15" i="13"/>
  <c r="J16" i="13"/>
  <c r="K16" i="13"/>
  <c r="J17" i="13"/>
  <c r="K17" i="13"/>
  <c r="J18" i="13"/>
  <c r="K18" i="13"/>
  <c r="J19" i="13"/>
  <c r="K19" i="13"/>
  <c r="J20" i="13"/>
  <c r="K20" i="13"/>
  <c r="J21" i="13"/>
  <c r="K21" i="13"/>
  <c r="J22" i="13"/>
  <c r="K22" i="13"/>
  <c r="J23" i="13"/>
  <c r="K23" i="13"/>
  <c r="J24" i="13"/>
  <c r="K24" i="13"/>
  <c r="J3" i="13"/>
  <c r="K3" i="13"/>
  <c r="BP32" i="22"/>
  <c r="AJ123" i="23"/>
  <c r="K2" i="27"/>
  <c r="K2" i="26"/>
  <c r="K2" i="23"/>
  <c r="B3" i="6"/>
  <c r="O7" i="4"/>
  <c r="O6" i="4"/>
  <c r="Q5" i="4"/>
  <c r="I3" i="12"/>
  <c r="D3" i="12"/>
  <c r="F2" i="6"/>
  <c r="F3" i="6"/>
  <c r="X2" i="22"/>
  <c r="A2" i="22"/>
  <c r="B11" i="29"/>
  <c r="H3" i="10"/>
  <c r="F3" i="10"/>
  <c r="F2" i="10"/>
  <c r="AB143" i="27"/>
  <c r="AE143" i="27"/>
  <c r="AC143" i="27"/>
  <c r="AF143" i="27"/>
  <c r="AB144" i="27"/>
  <c r="AE144" i="27"/>
  <c r="AC144" i="27"/>
  <c r="AF144" i="27"/>
  <c r="AB143" i="26"/>
  <c r="AE143" i="26"/>
  <c r="AC143" i="26"/>
  <c r="AF143" i="26"/>
  <c r="AB144" i="26"/>
  <c r="AE144" i="26"/>
  <c r="AC144" i="26"/>
  <c r="AF144" i="26"/>
  <c r="AB144" i="23"/>
  <c r="AE144" i="23"/>
  <c r="AC144" i="23"/>
  <c r="AF144" i="23"/>
  <c r="AB145" i="23"/>
  <c r="AE145" i="23"/>
  <c r="AC145" i="23"/>
  <c r="AF145" i="23"/>
  <c r="AV113" i="22"/>
  <c r="BL113" i="22"/>
  <c r="AR110" i="27"/>
  <c r="AV114" i="22"/>
  <c r="BJ114" i="22"/>
  <c r="AV115" i="22"/>
  <c r="BB115" i="22"/>
  <c r="AH112" i="27"/>
  <c r="AV116" i="22"/>
  <c r="AZ116" i="22"/>
  <c r="AF113" i="27"/>
  <c r="AV117" i="22"/>
  <c r="AX117" i="22"/>
  <c r="AV118" i="22"/>
  <c r="AV119" i="22"/>
  <c r="AB116" i="27"/>
  <c r="AV120" i="22"/>
  <c r="BD120" i="22"/>
  <c r="AJ117" i="27"/>
  <c r="Q33" i="4"/>
  <c r="Q32" i="4"/>
  <c r="A31" i="4"/>
  <c r="A29" i="16"/>
  <c r="A30" i="4"/>
  <c r="A28" i="16"/>
  <c r="J40" i="4"/>
  <c r="M42" i="4"/>
  <c r="E31" i="4"/>
  <c r="E29" i="16"/>
  <c r="D31" i="4"/>
  <c r="D29" i="16"/>
  <c r="C31" i="4"/>
  <c r="C29" i="16"/>
  <c r="B31" i="4"/>
  <c r="B29" i="16"/>
  <c r="E30" i="4"/>
  <c r="E28" i="16"/>
  <c r="D30" i="4"/>
  <c r="D28" i="16"/>
  <c r="C30" i="4"/>
  <c r="C28" i="16"/>
  <c r="B30" i="4"/>
  <c r="B28" i="16"/>
  <c r="Q42" i="4"/>
  <c r="Q43" i="4"/>
  <c r="X30" i="6"/>
  <c r="Y30" i="6"/>
  <c r="X29" i="6"/>
  <c r="Y29" i="6"/>
  <c r="B29" i="21"/>
  <c r="B28" i="21"/>
  <c r="C29" i="21"/>
  <c r="G29" i="21"/>
  <c r="C28" i="21"/>
  <c r="G28" i="21"/>
  <c r="B14" i="4"/>
  <c r="B12" i="16"/>
  <c r="A10" i="4"/>
  <c r="A8" i="16"/>
  <c r="J12" i="4"/>
  <c r="M12" i="4"/>
  <c r="Q13" i="4"/>
  <c r="B10" i="4"/>
  <c r="B8" i="16"/>
  <c r="C10" i="4"/>
  <c r="C8" i="16"/>
  <c r="D10" i="4"/>
  <c r="D8" i="16"/>
  <c r="E10" i="4"/>
  <c r="E8" i="16"/>
  <c r="A11" i="4"/>
  <c r="A9" i="16"/>
  <c r="B11" i="4"/>
  <c r="B9" i="16"/>
  <c r="C11" i="4"/>
  <c r="C9" i="16"/>
  <c r="D11" i="4"/>
  <c r="D9" i="16"/>
  <c r="E11" i="4"/>
  <c r="E9" i="16"/>
  <c r="A12" i="4"/>
  <c r="G15" i="4"/>
  <c r="B12" i="4"/>
  <c r="B10" i="16"/>
  <c r="C12" i="4"/>
  <c r="C10" i="16"/>
  <c r="D12" i="4"/>
  <c r="D10" i="16"/>
  <c r="E12" i="4"/>
  <c r="E10" i="16"/>
  <c r="A13" i="4"/>
  <c r="A11" i="16"/>
  <c r="B13" i="4"/>
  <c r="B11" i="16"/>
  <c r="C13" i="4"/>
  <c r="C11" i="16"/>
  <c r="D13" i="4"/>
  <c r="D11" i="16"/>
  <c r="E13" i="4"/>
  <c r="E11" i="16"/>
  <c r="A14" i="4"/>
  <c r="A12" i="16"/>
  <c r="C14" i="4"/>
  <c r="C12" i="16"/>
  <c r="D14" i="4"/>
  <c r="D12" i="16"/>
  <c r="E14" i="4"/>
  <c r="E12" i="16"/>
  <c r="A15" i="4"/>
  <c r="A13" i="16"/>
  <c r="J16" i="4"/>
  <c r="M18" i="4"/>
  <c r="B15" i="4"/>
  <c r="B13" i="16"/>
  <c r="C15" i="4"/>
  <c r="C13" i="16"/>
  <c r="D15" i="4"/>
  <c r="D13" i="16"/>
  <c r="E15" i="4"/>
  <c r="E13" i="16"/>
  <c r="A16" i="4"/>
  <c r="A14" i="16"/>
  <c r="J19" i="4"/>
  <c r="M21" i="4"/>
  <c r="Q19" i="4"/>
  <c r="B16" i="4"/>
  <c r="B14" i="16"/>
  <c r="C16" i="4"/>
  <c r="C14" i="16"/>
  <c r="D16" i="4"/>
  <c r="D14" i="16"/>
  <c r="E16" i="4"/>
  <c r="E14" i="16"/>
  <c r="Q16" i="4"/>
  <c r="A17" i="4"/>
  <c r="A15" i="16"/>
  <c r="B17" i="4"/>
  <c r="B15" i="16"/>
  <c r="C17" i="4"/>
  <c r="C15" i="16"/>
  <c r="D17" i="4"/>
  <c r="D15" i="16"/>
  <c r="E17" i="4"/>
  <c r="E15" i="16"/>
  <c r="Q17" i="4"/>
  <c r="A18" i="4"/>
  <c r="J27" i="4"/>
  <c r="M25" i="4"/>
  <c r="B18" i="4"/>
  <c r="B16" i="16"/>
  <c r="C18" i="4"/>
  <c r="C16" i="16"/>
  <c r="D18" i="4"/>
  <c r="D16" i="16"/>
  <c r="E18" i="4"/>
  <c r="E16" i="16"/>
  <c r="A19" i="4"/>
  <c r="G25" i="4"/>
  <c r="B19" i="4"/>
  <c r="B17" i="16"/>
  <c r="C19" i="4"/>
  <c r="C17" i="16"/>
  <c r="D19" i="4"/>
  <c r="D17" i="16"/>
  <c r="E19" i="4"/>
  <c r="E17" i="16"/>
  <c r="A20" i="4"/>
  <c r="J25" i="4"/>
  <c r="M22" i="4"/>
  <c r="Q18" i="4"/>
  <c r="B20" i="4"/>
  <c r="B18" i="16"/>
  <c r="C20" i="4"/>
  <c r="C18" i="16"/>
  <c r="D20" i="4"/>
  <c r="D18" i="16"/>
  <c r="E20" i="4"/>
  <c r="E18" i="16"/>
  <c r="Q20" i="4"/>
  <c r="A21" i="4"/>
  <c r="G28" i="4"/>
  <c r="J30" i="4"/>
  <c r="M28" i="4"/>
  <c r="B21" i="4"/>
  <c r="B19" i="16"/>
  <c r="C21" i="4"/>
  <c r="C19" i="16"/>
  <c r="D21" i="4"/>
  <c r="D19" i="16"/>
  <c r="E21" i="4"/>
  <c r="E19" i="16"/>
  <c r="Q21" i="4"/>
  <c r="A22" i="4"/>
  <c r="A20" i="16"/>
  <c r="B22" i="4"/>
  <c r="B20" i="16"/>
  <c r="C22" i="4"/>
  <c r="C20" i="16"/>
  <c r="D22" i="4"/>
  <c r="D20" i="16"/>
  <c r="E22" i="4"/>
  <c r="E20" i="16"/>
  <c r="Q22" i="4"/>
  <c r="A23" i="4"/>
  <c r="A21" i="16"/>
  <c r="B23" i="4"/>
  <c r="B21" i="16"/>
  <c r="C23" i="4"/>
  <c r="C21" i="16"/>
  <c r="D23" i="4"/>
  <c r="D21" i="16"/>
  <c r="E23" i="4"/>
  <c r="E21" i="16"/>
  <c r="Q23" i="4"/>
  <c r="A24" i="4"/>
  <c r="A22" i="16"/>
  <c r="B24" i="4"/>
  <c r="B22" i="16"/>
  <c r="C24" i="4"/>
  <c r="C22" i="16"/>
  <c r="D24" i="4"/>
  <c r="D22" i="16"/>
  <c r="E24" i="4"/>
  <c r="E22" i="16"/>
  <c r="Q24" i="4"/>
  <c r="A25" i="4"/>
  <c r="G34" i="4"/>
  <c r="B25" i="4"/>
  <c r="B23" i="16"/>
  <c r="C25" i="4"/>
  <c r="C23" i="16"/>
  <c r="D25" i="4"/>
  <c r="D23" i="16"/>
  <c r="E25" i="4"/>
  <c r="E23" i="16"/>
  <c r="Q25" i="4"/>
  <c r="A26" i="4"/>
  <c r="A24" i="16"/>
  <c r="B26" i="4"/>
  <c r="B24" i="16"/>
  <c r="C26" i="4"/>
  <c r="C24" i="16"/>
  <c r="D26" i="4"/>
  <c r="D24" i="16"/>
  <c r="E26" i="4"/>
  <c r="E24" i="16"/>
  <c r="Q26" i="4"/>
  <c r="A27" i="4"/>
  <c r="A25" i="16"/>
  <c r="B27" i="4"/>
  <c r="B25" i="16"/>
  <c r="C27" i="4"/>
  <c r="C25" i="16"/>
  <c r="D27" i="4"/>
  <c r="D25" i="16"/>
  <c r="E27" i="4"/>
  <c r="E25" i="16"/>
  <c r="Q27" i="4"/>
  <c r="A28" i="4"/>
  <c r="A26" i="16"/>
  <c r="B28" i="4"/>
  <c r="B26" i="16"/>
  <c r="C28" i="4"/>
  <c r="C26" i="16"/>
  <c r="D28" i="4"/>
  <c r="D26" i="16"/>
  <c r="E28" i="4"/>
  <c r="E26" i="16"/>
  <c r="Q28" i="4"/>
  <c r="A29" i="4"/>
  <c r="G40" i="4"/>
  <c r="B29" i="4"/>
  <c r="B27" i="16"/>
  <c r="C29" i="4"/>
  <c r="C27" i="16"/>
  <c r="D29" i="4"/>
  <c r="D27" i="16"/>
  <c r="E29" i="4"/>
  <c r="E27" i="16"/>
  <c r="Q29" i="4"/>
  <c r="Q30" i="4"/>
  <c r="Q31" i="4"/>
  <c r="A32" i="4"/>
  <c r="B32" i="4"/>
  <c r="C32" i="4"/>
  <c r="D32" i="4"/>
  <c r="E32" i="4"/>
  <c r="A33" i="4"/>
  <c r="B33" i="4"/>
  <c r="C33" i="4"/>
  <c r="D33" i="4"/>
  <c r="E33" i="4"/>
  <c r="A34" i="4"/>
  <c r="B34" i="4"/>
  <c r="C34" i="4"/>
  <c r="D34" i="4"/>
  <c r="E34" i="4"/>
  <c r="X29" i="23"/>
  <c r="Y29" i="23"/>
  <c r="AB29" i="23"/>
  <c r="AC29" i="23"/>
  <c r="AD29" i="23"/>
  <c r="AE29" i="23"/>
  <c r="AF29" i="23"/>
  <c r="AG29" i="23"/>
  <c r="AH29" i="23"/>
  <c r="AI29" i="23"/>
  <c r="AJ29" i="23"/>
  <c r="AK29" i="23"/>
  <c r="AL29" i="23"/>
  <c r="AM29" i="23"/>
  <c r="AN29" i="23"/>
  <c r="AO29" i="23"/>
  <c r="AP29" i="23"/>
  <c r="AQ29" i="23"/>
  <c r="AR29" i="23"/>
  <c r="AS29" i="23"/>
  <c r="X30" i="23"/>
  <c r="Y30" i="23"/>
  <c r="X31" i="23"/>
  <c r="Y31" i="23"/>
  <c r="X32" i="23"/>
  <c r="Y32" i="23"/>
  <c r="X33" i="23"/>
  <c r="Y33" i="23"/>
  <c r="X34" i="23"/>
  <c r="Y34" i="23"/>
  <c r="X35" i="23"/>
  <c r="Y35" i="23"/>
  <c r="X36" i="23"/>
  <c r="Y36" i="23"/>
  <c r="X37" i="23"/>
  <c r="Y37" i="23"/>
  <c r="X38" i="23"/>
  <c r="Y38" i="23"/>
  <c r="X39" i="23"/>
  <c r="Y39" i="23"/>
  <c r="X40" i="23"/>
  <c r="Y40" i="23"/>
  <c r="AV61" i="22"/>
  <c r="BF61" i="22"/>
  <c r="AV64" i="22"/>
  <c r="BL64" i="22"/>
  <c r="AR61" i="26"/>
  <c r="AV69" i="22"/>
  <c r="BH69" i="22"/>
  <c r="AN66" i="26"/>
  <c r="AV93" i="22"/>
  <c r="BJ93" i="22"/>
  <c r="AV95" i="22"/>
  <c r="BB95" i="22"/>
  <c r="AH92" i="27"/>
  <c r="AV97" i="22"/>
  <c r="BD97" i="22"/>
  <c r="AJ94" i="23"/>
  <c r="AB124" i="23"/>
  <c r="AE124" i="23"/>
  <c r="AC124" i="23"/>
  <c r="AF124" i="23"/>
  <c r="AB125" i="23"/>
  <c r="AE125" i="23"/>
  <c r="AC125" i="23"/>
  <c r="AF125" i="23"/>
  <c r="AB126" i="23"/>
  <c r="AE126" i="23"/>
  <c r="AC126" i="23"/>
  <c r="AF126" i="23"/>
  <c r="AB127" i="23"/>
  <c r="AE127" i="23"/>
  <c r="AC127" i="23"/>
  <c r="AF127" i="23"/>
  <c r="AB128" i="23"/>
  <c r="AE128" i="23"/>
  <c r="AC128" i="23"/>
  <c r="AF128" i="23"/>
  <c r="AB129" i="23"/>
  <c r="AE129" i="23"/>
  <c r="AC129" i="23"/>
  <c r="AF129" i="23"/>
  <c r="AB130" i="23"/>
  <c r="AE130" i="23"/>
  <c r="AC130" i="23"/>
  <c r="AF130" i="23"/>
  <c r="AB131" i="23"/>
  <c r="AE131" i="23"/>
  <c r="AC131" i="23"/>
  <c r="AF131" i="23"/>
  <c r="AB132" i="23"/>
  <c r="AE132" i="23"/>
  <c r="AC132" i="23"/>
  <c r="AF132" i="23"/>
  <c r="AB133" i="23"/>
  <c r="AE133" i="23"/>
  <c r="AC133" i="23"/>
  <c r="AF133" i="23"/>
  <c r="AB134" i="23"/>
  <c r="AE134" i="23"/>
  <c r="AC134" i="23"/>
  <c r="AF134" i="23"/>
  <c r="AB135" i="23"/>
  <c r="AE135" i="23"/>
  <c r="AC135" i="23"/>
  <c r="AF135" i="23"/>
  <c r="AB136" i="23"/>
  <c r="AE136" i="23"/>
  <c r="AC136" i="23"/>
  <c r="AF136" i="23"/>
  <c r="AB137" i="23"/>
  <c r="AE137" i="23"/>
  <c r="AC137" i="23"/>
  <c r="AF137" i="23"/>
  <c r="AB138" i="23"/>
  <c r="AE138" i="23"/>
  <c r="AC138" i="23"/>
  <c r="AF138" i="23"/>
  <c r="AB139" i="23"/>
  <c r="AE139" i="23"/>
  <c r="AC139" i="23"/>
  <c r="AF139" i="23"/>
  <c r="AB140" i="23"/>
  <c r="AE140" i="23"/>
  <c r="AC140" i="23"/>
  <c r="AF140" i="23"/>
  <c r="AB141" i="23"/>
  <c r="AE141" i="23"/>
  <c r="AC141" i="23"/>
  <c r="AF141" i="23"/>
  <c r="AB142" i="23"/>
  <c r="AE142" i="23"/>
  <c r="AC142" i="23"/>
  <c r="AF142" i="23"/>
  <c r="AB143" i="23"/>
  <c r="AE143" i="23"/>
  <c r="AC143" i="23"/>
  <c r="AF143" i="23"/>
  <c r="X29" i="26"/>
  <c r="Y29" i="26"/>
  <c r="AB29" i="26"/>
  <c r="AC29" i="26"/>
  <c r="AD29" i="26"/>
  <c r="AE29" i="26"/>
  <c r="AF29" i="26"/>
  <c r="AG29" i="26"/>
  <c r="AH29" i="26"/>
  <c r="AI29" i="26"/>
  <c r="AJ29" i="26"/>
  <c r="AK29" i="26"/>
  <c r="AL29" i="26"/>
  <c r="AM29" i="26"/>
  <c r="AN29" i="26"/>
  <c r="AO29" i="26"/>
  <c r="AP29" i="26"/>
  <c r="AQ29" i="26"/>
  <c r="AR29" i="26"/>
  <c r="AS29" i="26"/>
  <c r="X30" i="26"/>
  <c r="Y30" i="26"/>
  <c r="X31" i="26"/>
  <c r="Y31" i="26"/>
  <c r="X32" i="26"/>
  <c r="Y32" i="26"/>
  <c r="X33" i="26"/>
  <c r="Y33" i="26"/>
  <c r="X34" i="26"/>
  <c r="Y34" i="26"/>
  <c r="X35" i="26"/>
  <c r="Y35" i="26"/>
  <c r="X36" i="26"/>
  <c r="Y36" i="26"/>
  <c r="X37" i="26"/>
  <c r="Y37" i="26"/>
  <c r="X38" i="26"/>
  <c r="Y38" i="26"/>
  <c r="X39" i="26"/>
  <c r="Y39" i="26"/>
  <c r="X40" i="26"/>
  <c r="Y40" i="26"/>
  <c r="AV52" i="22"/>
  <c r="AZ52" i="22"/>
  <c r="AF49" i="26"/>
  <c r="AV60" i="22"/>
  <c r="BD60" i="22"/>
  <c r="AJ57" i="26"/>
  <c r="AV94" i="22"/>
  <c r="AV107" i="22"/>
  <c r="BB107" i="22"/>
  <c r="AV109" i="22"/>
  <c r="AB106" i="27"/>
  <c r="AV111" i="22"/>
  <c r="BH111" i="22"/>
  <c r="AN108" i="26"/>
  <c r="AB123" i="26"/>
  <c r="AE123" i="26"/>
  <c r="AC123" i="26"/>
  <c r="AF123" i="26"/>
  <c r="AB124" i="26"/>
  <c r="AE124" i="26"/>
  <c r="AC124" i="26"/>
  <c r="AF124" i="26"/>
  <c r="AB125" i="26"/>
  <c r="AE125" i="26"/>
  <c r="AC125" i="26"/>
  <c r="AF125" i="26"/>
  <c r="AB126" i="26"/>
  <c r="AE126" i="26"/>
  <c r="AC126" i="26"/>
  <c r="AF126" i="26"/>
  <c r="AB127" i="26"/>
  <c r="AE127" i="26"/>
  <c r="AC127" i="26"/>
  <c r="AF127" i="26"/>
  <c r="AB128" i="26"/>
  <c r="AE128" i="26"/>
  <c r="AC128" i="26"/>
  <c r="AF128" i="26"/>
  <c r="AB129" i="26"/>
  <c r="AE129" i="26"/>
  <c r="AC129" i="26"/>
  <c r="AF129" i="26"/>
  <c r="AB130" i="26"/>
  <c r="AE130" i="26"/>
  <c r="AC130" i="26"/>
  <c r="AF130" i="26"/>
  <c r="AB131" i="26"/>
  <c r="AE131" i="26"/>
  <c r="AC131" i="26"/>
  <c r="AF131" i="26"/>
  <c r="AB132" i="26"/>
  <c r="AE132" i="26"/>
  <c r="AC132" i="26"/>
  <c r="AF132" i="26"/>
  <c r="AB133" i="26"/>
  <c r="AE133" i="26"/>
  <c r="AC133" i="26"/>
  <c r="AF133" i="26"/>
  <c r="AB134" i="26"/>
  <c r="AE134" i="26"/>
  <c r="AC134" i="26"/>
  <c r="AF134" i="26"/>
  <c r="AB135" i="26"/>
  <c r="AE135" i="26"/>
  <c r="AC135" i="26"/>
  <c r="AF135" i="26"/>
  <c r="AB136" i="26"/>
  <c r="AE136" i="26"/>
  <c r="AC136" i="26"/>
  <c r="AF136" i="26"/>
  <c r="AB137" i="26"/>
  <c r="AE137" i="26"/>
  <c r="AC137" i="26"/>
  <c r="AF137" i="26"/>
  <c r="AB138" i="26"/>
  <c r="AE138" i="26"/>
  <c r="AC138" i="26"/>
  <c r="AF138" i="26"/>
  <c r="AB139" i="26"/>
  <c r="AE139" i="26"/>
  <c r="AC139" i="26"/>
  <c r="AF139" i="26"/>
  <c r="AB140" i="26"/>
  <c r="AE140" i="26"/>
  <c r="AC140" i="26"/>
  <c r="AF140" i="26"/>
  <c r="AB141" i="26"/>
  <c r="AE141" i="26"/>
  <c r="AC141" i="26"/>
  <c r="AF141" i="26"/>
  <c r="AB142" i="26"/>
  <c r="AE142" i="26"/>
  <c r="AC142" i="26"/>
  <c r="AF142" i="26"/>
  <c r="X29" i="27"/>
  <c r="Y29" i="27"/>
  <c r="AB29" i="27"/>
  <c r="AC29" i="27"/>
  <c r="AD29" i="27"/>
  <c r="AE29" i="27"/>
  <c r="AF29" i="27"/>
  <c r="AG29" i="27"/>
  <c r="AH29" i="27"/>
  <c r="AI29" i="27"/>
  <c r="AJ29" i="27"/>
  <c r="AK29" i="27"/>
  <c r="AL29" i="27"/>
  <c r="AM29" i="27"/>
  <c r="AN29" i="27"/>
  <c r="AO29" i="27"/>
  <c r="AP29" i="27"/>
  <c r="AQ29" i="27"/>
  <c r="AR29" i="27"/>
  <c r="AS29" i="27"/>
  <c r="X30" i="27"/>
  <c r="Y30" i="27"/>
  <c r="AV33" i="22"/>
  <c r="BB33" i="22"/>
  <c r="X31" i="27"/>
  <c r="Y31" i="27"/>
  <c r="X32" i="27"/>
  <c r="Y32" i="27"/>
  <c r="X33" i="27"/>
  <c r="Y33" i="27"/>
  <c r="AV36" i="22"/>
  <c r="AZ36" i="22"/>
  <c r="X34" i="27"/>
  <c r="Y34" i="27"/>
  <c r="AV37" i="22"/>
  <c r="AX37" i="22"/>
  <c r="AD34" i="26"/>
  <c r="X35" i="27"/>
  <c r="Y35" i="27"/>
  <c r="X36" i="27"/>
  <c r="Y36" i="27"/>
  <c r="X37" i="27"/>
  <c r="Y37" i="27"/>
  <c r="AV40" i="22"/>
  <c r="AB37" i="26"/>
  <c r="X38" i="27"/>
  <c r="Y38" i="27"/>
  <c r="AV41" i="22"/>
  <c r="BJ41" i="22"/>
  <c r="X39" i="27"/>
  <c r="Y39" i="27"/>
  <c r="X40" i="27"/>
  <c r="Y40" i="27"/>
  <c r="AV44" i="22"/>
  <c r="AB41" i="26"/>
  <c r="AV47" i="22"/>
  <c r="AB44" i="27"/>
  <c r="AV48" i="22"/>
  <c r="AX48" i="22"/>
  <c r="AV49" i="22"/>
  <c r="BJ49" i="22"/>
  <c r="AV51" i="22"/>
  <c r="AB48" i="27"/>
  <c r="AV53" i="22"/>
  <c r="BL53" i="22"/>
  <c r="AV56" i="22"/>
  <c r="BD56" i="22"/>
  <c r="AJ53" i="23"/>
  <c r="AV68" i="22"/>
  <c r="AZ68" i="22"/>
  <c r="AV72" i="22"/>
  <c r="BF72" i="22"/>
  <c r="AV75" i="22"/>
  <c r="BL75" i="22"/>
  <c r="AR72" i="26"/>
  <c r="AV76" i="22"/>
  <c r="BJ76" i="22"/>
  <c r="AP73" i="23"/>
  <c r="AV77" i="22"/>
  <c r="AB74" i="27"/>
  <c r="AV78" i="22"/>
  <c r="BB78" i="22"/>
  <c r="AH75" i="27"/>
  <c r="AV84" i="22"/>
  <c r="BH84" i="22"/>
  <c r="AV85" i="22"/>
  <c r="AB82" i="26"/>
  <c r="AV87" i="22"/>
  <c r="BF87" i="22"/>
  <c r="AV89" i="22"/>
  <c r="BJ89" i="22"/>
  <c r="AV91" i="22"/>
  <c r="AB88" i="26"/>
  <c r="AV99" i="22"/>
  <c r="AB96" i="26"/>
  <c r="AV101" i="22"/>
  <c r="AB98" i="26"/>
  <c r="AV103" i="22"/>
  <c r="AX103" i="22"/>
  <c r="AV105" i="22"/>
  <c r="AB123" i="27"/>
  <c r="AE123" i="27"/>
  <c r="AC123" i="27"/>
  <c r="AF123" i="27"/>
  <c r="AB124" i="27"/>
  <c r="AE124" i="27"/>
  <c r="AC124" i="27"/>
  <c r="AF124" i="27"/>
  <c r="AB125" i="27"/>
  <c r="AE125" i="27"/>
  <c r="AC125" i="27"/>
  <c r="AF125" i="27"/>
  <c r="AB126" i="27"/>
  <c r="AE126" i="27"/>
  <c r="AC126" i="27"/>
  <c r="AF126" i="27"/>
  <c r="AB127" i="27"/>
  <c r="AE127" i="27"/>
  <c r="AC127" i="27"/>
  <c r="AF127" i="27"/>
  <c r="AB128" i="27"/>
  <c r="AE128" i="27"/>
  <c r="AC128" i="27"/>
  <c r="AF128" i="27"/>
  <c r="AB129" i="27"/>
  <c r="AE129" i="27"/>
  <c r="AC129" i="27"/>
  <c r="AF129" i="27"/>
  <c r="AB130" i="27"/>
  <c r="AE130" i="27"/>
  <c r="AC130" i="27"/>
  <c r="AF130" i="27"/>
  <c r="AB131" i="27"/>
  <c r="AE131" i="27"/>
  <c r="AC131" i="27"/>
  <c r="AF131" i="27"/>
  <c r="AB132" i="27"/>
  <c r="AE132" i="27"/>
  <c r="AC132" i="27"/>
  <c r="AF132" i="27"/>
  <c r="AB133" i="27"/>
  <c r="AE133" i="27"/>
  <c r="AC133" i="27"/>
  <c r="AF133" i="27"/>
  <c r="AB134" i="27"/>
  <c r="AE134" i="27"/>
  <c r="AC134" i="27"/>
  <c r="AF134" i="27"/>
  <c r="AB135" i="27"/>
  <c r="AE135" i="27"/>
  <c r="AC135" i="27"/>
  <c r="AF135" i="27"/>
  <c r="AB136" i="27"/>
  <c r="AE136" i="27"/>
  <c r="AC136" i="27"/>
  <c r="AF136" i="27"/>
  <c r="AB137" i="27"/>
  <c r="AE137" i="27"/>
  <c r="AC137" i="27"/>
  <c r="AF137" i="27"/>
  <c r="AB138" i="27"/>
  <c r="AE138" i="27"/>
  <c r="AC138" i="27"/>
  <c r="AF138" i="27"/>
  <c r="AB139" i="27"/>
  <c r="AE139" i="27"/>
  <c r="AC139" i="27"/>
  <c r="AF139" i="27"/>
  <c r="AB140" i="27"/>
  <c r="AE140" i="27"/>
  <c r="AC140" i="27"/>
  <c r="AF140" i="27"/>
  <c r="AB141" i="27"/>
  <c r="AE141" i="27"/>
  <c r="AC141" i="27"/>
  <c r="AF141" i="27"/>
  <c r="AB142" i="27"/>
  <c r="AE142" i="27"/>
  <c r="AC142" i="27"/>
  <c r="AF142" i="27"/>
  <c r="AX1" i="22"/>
  <c r="AX5" i="22"/>
  <c r="P14" i="22"/>
  <c r="T14" i="22"/>
  <c r="AN14" i="22"/>
  <c r="AR14" i="22"/>
  <c r="AV34" i="22"/>
  <c r="AI35" i="22"/>
  <c r="AI36" i="22"/>
  <c r="AI37" i="22"/>
  <c r="AI38" i="22"/>
  <c r="AI39" i="22"/>
  <c r="AI40" i="22"/>
  <c r="AI41" i="22"/>
  <c r="AI42" i="22"/>
  <c r="AI43" i="22"/>
  <c r="AI44" i="22"/>
  <c r="AI45" i="22"/>
  <c r="AI46" i="22"/>
  <c r="AI47" i="22"/>
  <c r="AI48" i="22"/>
  <c r="AI49" i="22"/>
  <c r="AI50" i="22"/>
  <c r="AI51" i="22"/>
  <c r="AI52" i="22"/>
  <c r="AI53" i="22"/>
  <c r="AI54" i="22"/>
  <c r="AI55" i="22"/>
  <c r="AI56" i="22"/>
  <c r="AI57" i="22"/>
  <c r="AI58" i="22"/>
  <c r="AI59" i="22"/>
  <c r="AI60" i="22"/>
  <c r="AI61" i="22"/>
  <c r="AI62" i="22"/>
  <c r="AI63" i="22"/>
  <c r="AI64" i="22"/>
  <c r="AI65" i="22"/>
  <c r="AI66" i="22"/>
  <c r="AI67" i="22"/>
  <c r="AI68" i="22"/>
  <c r="AI69" i="22"/>
  <c r="AI70" i="22"/>
  <c r="AI71" i="22"/>
  <c r="AI72" i="22"/>
  <c r="AI73" i="22"/>
  <c r="AI74" i="22"/>
  <c r="AI75" i="22"/>
  <c r="AI76" i="22"/>
  <c r="AI77" i="22"/>
  <c r="AI78" i="22"/>
  <c r="AI79" i="22"/>
  <c r="AI80" i="22"/>
  <c r="AI81" i="22"/>
  <c r="AI82" i="22"/>
  <c r="AI83" i="22"/>
  <c r="AI84" i="22"/>
  <c r="AI85" i="22"/>
  <c r="AI86" i="22"/>
  <c r="AI87" i="22"/>
  <c r="AI88" i="22"/>
  <c r="AI89" i="22"/>
  <c r="AI90" i="22"/>
  <c r="AI91" i="22"/>
  <c r="AI92" i="22"/>
  <c r="AI93" i="22"/>
  <c r="AI94" i="22"/>
  <c r="AI95" i="22"/>
  <c r="AI96" i="22"/>
  <c r="AI97" i="22"/>
  <c r="AI98" i="22"/>
  <c r="AI99" i="22"/>
  <c r="AI100" i="22"/>
  <c r="AI101" i="22"/>
  <c r="AI102" i="22"/>
  <c r="AI103" i="22"/>
  <c r="AI104" i="22"/>
  <c r="AI105" i="22"/>
  <c r="AI106" i="22"/>
  <c r="AI107" i="22"/>
  <c r="AI108" i="22"/>
  <c r="AI109" i="22"/>
  <c r="AI110" i="22"/>
  <c r="AI111" i="22"/>
  <c r="AI112" i="22"/>
  <c r="AI113" i="22"/>
  <c r="AI114" i="22"/>
  <c r="AI115" i="22"/>
  <c r="AI116" i="22"/>
  <c r="AI117" i="22"/>
  <c r="AI118" i="22"/>
  <c r="AI119" i="22"/>
  <c r="AI120" i="22"/>
  <c r="AV35" i="22"/>
  <c r="BB35" i="22"/>
  <c r="AH32" i="27"/>
  <c r="AV38" i="22"/>
  <c r="BL38" i="22"/>
  <c r="AV39" i="22"/>
  <c r="BD39" i="22"/>
  <c r="AJ36" i="26"/>
  <c r="AV42" i="22"/>
  <c r="AZ42" i="22"/>
  <c r="AV43" i="22"/>
  <c r="BF43" i="22"/>
  <c r="AV45" i="22"/>
  <c r="BL45" i="22"/>
  <c r="AR42" i="26"/>
  <c r="AV46" i="22"/>
  <c r="BD46" i="22"/>
  <c r="AV50" i="22"/>
  <c r="BH50" i="22"/>
  <c r="AV54" i="22"/>
  <c r="BF54" i="22"/>
  <c r="AV55" i="22"/>
  <c r="AX55" i="22"/>
  <c r="AV57" i="22"/>
  <c r="AX57" i="22"/>
  <c r="AD54" i="26"/>
  <c r="AV58" i="22"/>
  <c r="AZ58" i="22"/>
  <c r="AF55" i="23"/>
  <c r="AV59" i="22"/>
  <c r="BB59" i="22"/>
  <c r="AV62" i="22"/>
  <c r="AZ62" i="22"/>
  <c r="AF59" i="27"/>
  <c r="AV63" i="22"/>
  <c r="BD63" i="22"/>
  <c r="AV65" i="22"/>
  <c r="BH65" i="22"/>
  <c r="AV66" i="22"/>
  <c r="BJ66" i="22"/>
  <c r="AP63" i="26"/>
  <c r="AV67" i="22"/>
  <c r="AZ67" i="22"/>
  <c r="AV70" i="22"/>
  <c r="AV71" i="22"/>
  <c r="AB68" i="26"/>
  <c r="AV73" i="22"/>
  <c r="AV74" i="22"/>
  <c r="AB71" i="23"/>
  <c r="AV79" i="22"/>
  <c r="AX79" i="22"/>
  <c r="AD76" i="27"/>
  <c r="AV80" i="22"/>
  <c r="AB77" i="27"/>
  <c r="AV81" i="22"/>
  <c r="AB78" i="27"/>
  <c r="AV82" i="22"/>
  <c r="BJ82" i="22"/>
  <c r="AV83" i="22"/>
  <c r="AB80" i="27"/>
  <c r="AV86" i="22"/>
  <c r="AZ86" i="22"/>
  <c r="AV88" i="22"/>
  <c r="BH88" i="22"/>
  <c r="AV90" i="22"/>
  <c r="AZ90" i="22"/>
  <c r="AF87" i="26"/>
  <c r="AV92" i="22"/>
  <c r="BB92" i="22"/>
  <c r="AH89" i="23"/>
  <c r="AV96" i="22"/>
  <c r="AB93" i="27"/>
  <c r="AV98" i="22"/>
  <c r="BH98" i="22"/>
  <c r="AV100" i="22"/>
  <c r="BB100" i="22"/>
  <c r="AV102" i="22"/>
  <c r="BF102" i="22"/>
  <c r="AL99" i="23"/>
  <c r="AV104" i="22"/>
  <c r="BF104" i="22"/>
  <c r="AL101" i="23"/>
  <c r="AV106" i="22"/>
  <c r="BJ106" i="22"/>
  <c r="AP103" i="26"/>
  <c r="AV108" i="22"/>
  <c r="BH108" i="22"/>
  <c r="AV110" i="22"/>
  <c r="AB107" i="26"/>
  <c r="AV112" i="22"/>
  <c r="AB109" i="27"/>
  <c r="B8" i="21"/>
  <c r="C8" i="21"/>
  <c r="G8" i="21"/>
  <c r="B9" i="21"/>
  <c r="C9" i="21"/>
  <c r="G9" i="21"/>
  <c r="B10" i="21"/>
  <c r="C10" i="21"/>
  <c r="G10" i="21"/>
  <c r="B11" i="21"/>
  <c r="C11" i="21"/>
  <c r="G11" i="21"/>
  <c r="B12" i="21"/>
  <c r="C12" i="21"/>
  <c r="G12" i="21"/>
  <c r="B13" i="21"/>
  <c r="C13" i="21"/>
  <c r="G13" i="21"/>
  <c r="B14" i="21"/>
  <c r="C14" i="21"/>
  <c r="G14" i="21"/>
  <c r="B15" i="21"/>
  <c r="C15" i="21"/>
  <c r="G15" i="21"/>
  <c r="B16" i="21"/>
  <c r="C16" i="21"/>
  <c r="G16" i="21"/>
  <c r="B17" i="21"/>
  <c r="B18" i="21"/>
  <c r="C18" i="21"/>
  <c r="G18" i="21"/>
  <c r="B19" i="21"/>
  <c r="C19" i="21"/>
  <c r="G19" i="21"/>
  <c r="B20" i="21"/>
  <c r="C20" i="21"/>
  <c r="G20" i="21"/>
  <c r="B21" i="21"/>
  <c r="C21" i="21"/>
  <c r="G21" i="21"/>
  <c r="B22" i="21"/>
  <c r="C22" i="21"/>
  <c r="G22" i="21"/>
  <c r="B23" i="21"/>
  <c r="C23" i="21"/>
  <c r="G23" i="21"/>
  <c r="B24" i="21"/>
  <c r="C24" i="21"/>
  <c r="G24" i="21"/>
  <c r="B25" i="21"/>
  <c r="C25" i="21"/>
  <c r="G25" i="21"/>
  <c r="B26" i="21"/>
  <c r="C26" i="21"/>
  <c r="G26" i="21"/>
  <c r="B27" i="21"/>
  <c r="C27" i="21"/>
  <c r="G27" i="21"/>
  <c r="X9" i="6"/>
  <c r="Y9" i="6"/>
  <c r="X26" i="6"/>
  <c r="Y26" i="6"/>
  <c r="X27" i="6"/>
  <c r="Y27" i="6"/>
  <c r="X28" i="6"/>
  <c r="Y28" i="6"/>
  <c r="AG8" i="12"/>
  <c r="AJ8" i="12"/>
  <c r="AM8" i="12"/>
  <c r="AG9" i="12"/>
  <c r="AJ9" i="12"/>
  <c r="AM9" i="12"/>
  <c r="AG14" i="12"/>
  <c r="AJ11" i="12"/>
  <c r="AM11" i="12"/>
  <c r="AG15" i="12"/>
  <c r="AJ12" i="12"/>
  <c r="AM12" i="12"/>
  <c r="AG11" i="12"/>
  <c r="AJ14" i="12"/>
  <c r="AM14" i="12"/>
  <c r="AG12" i="12"/>
  <c r="AJ15" i="12"/>
  <c r="AM15" i="12"/>
  <c r="AG20" i="12"/>
  <c r="AJ17" i="12"/>
  <c r="AM17" i="12"/>
  <c r="AG21" i="12"/>
  <c r="AJ18" i="12"/>
  <c r="AM18" i="12"/>
  <c r="AG26" i="12"/>
  <c r="AJ23" i="12"/>
  <c r="AM20" i="12"/>
  <c r="AG27" i="12"/>
  <c r="AJ24" i="12"/>
  <c r="AM21" i="12"/>
  <c r="AG17" i="12"/>
  <c r="AJ20" i="12"/>
  <c r="AM23" i="12"/>
  <c r="AG18" i="12"/>
  <c r="AJ21" i="12"/>
  <c r="AM24" i="12"/>
  <c r="AG23" i="12"/>
  <c r="AJ26" i="12"/>
  <c r="AM26" i="12"/>
  <c r="AG24" i="12"/>
  <c r="AJ27" i="12"/>
  <c r="AM27" i="12"/>
  <c r="AG32" i="12"/>
  <c r="AJ29" i="12"/>
  <c r="AM29" i="12"/>
  <c r="AG33" i="12"/>
  <c r="AJ30" i="12"/>
  <c r="AM30" i="12"/>
  <c r="AG38" i="12"/>
  <c r="AJ35" i="12"/>
  <c r="AM32" i="12"/>
  <c r="AG39" i="12"/>
  <c r="AJ36" i="12"/>
  <c r="AM33" i="12"/>
  <c r="AG29" i="12"/>
  <c r="AJ32" i="12"/>
  <c r="AM35" i="12"/>
  <c r="AG30" i="12"/>
  <c r="AJ33" i="12"/>
  <c r="AM36" i="12"/>
  <c r="AG44" i="12"/>
  <c r="AJ41" i="12"/>
  <c r="AM38" i="12"/>
  <c r="AG45" i="12"/>
  <c r="AJ42" i="12"/>
  <c r="AM39" i="12"/>
  <c r="AG35" i="12"/>
  <c r="AJ38" i="12"/>
  <c r="AM41" i="12"/>
  <c r="AG36" i="12"/>
  <c r="AJ39" i="12"/>
  <c r="AM42" i="12"/>
  <c r="AG50" i="12"/>
  <c r="AJ47" i="12"/>
  <c r="AM44" i="12"/>
  <c r="AG51" i="12"/>
  <c r="AJ48" i="12"/>
  <c r="AM45" i="12"/>
  <c r="AG41" i="12"/>
  <c r="AJ44" i="12"/>
  <c r="AM47" i="12"/>
  <c r="AG42" i="12"/>
  <c r="AJ45" i="12"/>
  <c r="AM48" i="12"/>
  <c r="AG56" i="12"/>
  <c r="AJ53" i="12"/>
  <c r="AM53" i="12"/>
  <c r="AG57" i="12"/>
  <c r="AJ54" i="12"/>
  <c r="AM54" i="12"/>
  <c r="AG47" i="12"/>
  <c r="AJ50" i="12"/>
  <c r="AM50" i="12"/>
  <c r="AG48" i="12"/>
  <c r="AJ51" i="12"/>
  <c r="AM51" i="12"/>
  <c r="AG53" i="12"/>
  <c r="AJ56" i="12"/>
  <c r="AM56" i="12"/>
  <c r="AG54" i="12"/>
  <c r="AJ57" i="12"/>
  <c r="AM57" i="12"/>
  <c r="AG62" i="12"/>
  <c r="AJ59" i="12"/>
  <c r="AM59" i="12"/>
  <c r="AG63" i="12"/>
  <c r="AJ60" i="12"/>
  <c r="AM60" i="12"/>
  <c r="AG59" i="12"/>
  <c r="AJ62" i="12"/>
  <c r="AM65" i="12"/>
  <c r="AG60" i="12"/>
  <c r="AJ63" i="12"/>
  <c r="AM66" i="12"/>
  <c r="AG68" i="12"/>
  <c r="AJ65" i="12"/>
  <c r="AM62" i="12"/>
  <c r="AG69" i="12"/>
  <c r="AJ66" i="12"/>
  <c r="AM63" i="12"/>
  <c r="AG65" i="12"/>
  <c r="AJ68" i="12"/>
  <c r="AM68" i="12"/>
  <c r="AG66" i="12"/>
  <c r="AJ69" i="12"/>
  <c r="AM69" i="12"/>
  <c r="AG71" i="12"/>
  <c r="AJ71" i="12"/>
  <c r="AM71" i="12"/>
  <c r="AG72" i="12"/>
  <c r="AJ72" i="12"/>
  <c r="AM72" i="12"/>
  <c r="Y72" i="12"/>
  <c r="Y71" i="12"/>
  <c r="J43" i="4"/>
  <c r="M43" i="4"/>
  <c r="J21" i="4"/>
  <c r="M19" i="4"/>
  <c r="J42" i="4"/>
  <c r="M40" i="4"/>
  <c r="J31" i="4"/>
  <c r="M33" i="4"/>
  <c r="J28" i="4"/>
  <c r="M30" i="4"/>
  <c r="J18" i="4"/>
  <c r="M16" i="4"/>
  <c r="Q14" i="4"/>
  <c r="J39" i="4"/>
  <c r="M37" i="4"/>
  <c r="J15" i="4"/>
  <c r="M13" i="4"/>
  <c r="Q12" i="4"/>
  <c r="J13" i="4"/>
  <c r="M15" i="4"/>
  <c r="Q15" i="4"/>
  <c r="J22" i="4"/>
  <c r="M24" i="4"/>
  <c r="J33" i="4"/>
  <c r="M31" i="4"/>
  <c r="J36" i="4"/>
  <c r="M34" i="4"/>
  <c r="J34" i="4"/>
  <c r="M36" i="4"/>
  <c r="J37" i="4"/>
  <c r="M39" i="4"/>
  <c r="J24" i="4"/>
  <c r="M27" i="4"/>
  <c r="B24" i="14"/>
  <c r="B21" i="14"/>
  <c r="C15" i="14"/>
  <c r="C17" i="19"/>
  <c r="F17" i="19"/>
  <c r="C14" i="14"/>
  <c r="F14" i="14"/>
  <c r="C29" i="14"/>
  <c r="B30" i="14"/>
  <c r="B14" i="14"/>
  <c r="B17" i="19"/>
  <c r="B26" i="14"/>
  <c r="C26" i="14"/>
  <c r="G26" i="14"/>
  <c r="C17" i="14"/>
  <c r="F17" i="14"/>
  <c r="C32" i="14"/>
  <c r="C35" i="14"/>
  <c r="F35" i="14"/>
  <c r="C20" i="14"/>
  <c r="G20" i="14"/>
  <c r="C21" i="14"/>
  <c r="G21" i="14"/>
  <c r="C11" i="14"/>
  <c r="G11" i="14"/>
  <c r="C27" i="14"/>
  <c r="F27" i="14"/>
  <c r="C23" i="14"/>
  <c r="B20" i="14"/>
  <c r="B18" i="14"/>
  <c r="B11" i="14"/>
  <c r="B29" i="14"/>
  <c r="B35" i="14"/>
  <c r="C30" i="14"/>
  <c r="G30" i="14"/>
  <c r="C18" i="14"/>
  <c r="B23" i="14"/>
  <c r="B8" i="14"/>
  <c r="C9" i="14"/>
  <c r="G9" i="14"/>
  <c r="C24" i="14"/>
  <c r="G24" i="14"/>
  <c r="B32" i="14"/>
  <c r="C8" i="14"/>
  <c r="F8" i="14"/>
  <c r="B15" i="14"/>
  <c r="B17" i="14"/>
  <c r="B12" i="14"/>
  <c r="B27" i="14"/>
  <c r="C12" i="14"/>
  <c r="F12" i="14"/>
  <c r="B9" i="14"/>
  <c r="B33" i="14"/>
  <c r="C33" i="14"/>
  <c r="G33" i="14"/>
  <c r="B14" i="20"/>
  <c r="B11" i="19"/>
  <c r="C8" i="19"/>
  <c r="F8" i="19"/>
  <c r="C9" i="19"/>
  <c r="G9" i="19"/>
  <c r="B9" i="19"/>
  <c r="B12" i="19"/>
  <c r="B14" i="19"/>
  <c r="C12" i="19"/>
  <c r="G12" i="19"/>
  <c r="B8" i="19"/>
  <c r="C11" i="19"/>
  <c r="F11" i="19"/>
  <c r="C14" i="20"/>
  <c r="F14" i="20"/>
  <c r="C14" i="19"/>
  <c r="C12" i="20"/>
  <c r="F12" i="20"/>
  <c r="B12" i="20"/>
  <c r="B9" i="20"/>
  <c r="B11" i="20"/>
  <c r="C9" i="20"/>
  <c r="F9" i="20"/>
  <c r="C8" i="20"/>
  <c r="F8" i="20"/>
  <c r="C11" i="20"/>
  <c r="G11" i="20"/>
  <c r="B8" i="20"/>
  <c r="E8" i="39"/>
  <c r="G19" i="39"/>
  <c r="BK33" i="22"/>
  <c r="BI78" i="22"/>
  <c r="AO75" i="23"/>
  <c r="BC46" i="22"/>
  <c r="AI43" i="27"/>
  <c r="I5" i="39"/>
  <c r="D44" i="6"/>
  <c r="BK63" i="22"/>
  <c r="AQ60" i="26"/>
  <c r="BC81" i="22"/>
  <c r="AI78" i="27"/>
  <c r="B1198" i="33"/>
  <c r="B568" i="33"/>
  <c r="AF1" i="85"/>
  <c r="AF1" i="75"/>
  <c r="B1388" i="33"/>
  <c r="E2" i="154"/>
  <c r="E35" i="154"/>
  <c r="A226" i="182"/>
  <c r="A610" i="182"/>
  <c r="T354" i="182"/>
  <c r="P5" i="146"/>
  <c r="AB6" i="146"/>
  <c r="AM6" i="146"/>
  <c r="E332" i="196"/>
  <c r="E632" i="196"/>
  <c r="E92" i="196"/>
  <c r="E602" i="196"/>
  <c r="E422" i="196"/>
  <c r="E242" i="196"/>
  <c r="E62" i="196"/>
  <c r="E512" i="196"/>
  <c r="E152" i="196"/>
  <c r="E452" i="196"/>
  <c r="E572" i="196"/>
  <c r="E392" i="196"/>
  <c r="E212" i="196"/>
  <c r="E662" i="196"/>
  <c r="E302" i="196"/>
  <c r="E272" i="196"/>
  <c r="E542" i="196"/>
  <c r="E362" i="196"/>
  <c r="E182" i="196"/>
  <c r="E482" i="196"/>
  <c r="E122" i="196"/>
  <c r="E692" i="196"/>
  <c r="F33" i="197"/>
  <c r="F653" i="197"/>
  <c r="F467" i="197"/>
  <c r="F281" i="197"/>
  <c r="F95" i="197"/>
  <c r="F622" i="197"/>
  <c r="F436" i="197"/>
  <c r="F250" i="197"/>
  <c r="F64" i="197"/>
  <c r="F591" i="197"/>
  <c r="F405" i="197"/>
  <c r="F219" i="197"/>
  <c r="F498" i="197"/>
  <c r="F560" i="197"/>
  <c r="F374" i="197"/>
  <c r="F188" i="197"/>
  <c r="F684" i="197"/>
  <c r="F715" i="197"/>
  <c r="F529" i="197"/>
  <c r="F343" i="197"/>
  <c r="F157" i="197"/>
  <c r="F312" i="197"/>
  <c r="F126" i="197"/>
  <c r="A2" i="182"/>
  <c r="A66" i="182"/>
  <c r="A450" i="182"/>
  <c r="Q7" i="6"/>
  <c r="Q11" i="6"/>
  <c r="Q15" i="6"/>
  <c r="Q19" i="6"/>
  <c r="Q23" i="6"/>
  <c r="Q27" i="6"/>
  <c r="Q31" i="6"/>
  <c r="Q35" i="6"/>
  <c r="Q39" i="6"/>
  <c r="Q43" i="6"/>
  <c r="Q47" i="6"/>
  <c r="Q51" i="6"/>
  <c r="Q55" i="6"/>
  <c r="Q59" i="6"/>
  <c r="Q63" i="6"/>
  <c r="Q67" i="6"/>
  <c r="Q71" i="6"/>
  <c r="Q75" i="6"/>
  <c r="Q79" i="6"/>
  <c r="Q83" i="6"/>
  <c r="Q87" i="6"/>
  <c r="Q91" i="6"/>
  <c r="Q95" i="6"/>
  <c r="Q99" i="6"/>
  <c r="T194" i="182"/>
  <c r="T578" i="182"/>
  <c r="T34" i="182"/>
  <c r="T418" i="182"/>
  <c r="E233" i="154"/>
  <c r="A130" i="182"/>
  <c r="A514" i="182"/>
  <c r="T258" i="182"/>
  <c r="T642" i="182"/>
  <c r="A354" i="182"/>
  <c r="A738" i="182"/>
  <c r="T98" i="182"/>
  <c r="T482" i="182"/>
  <c r="F2" i="197"/>
  <c r="B1009" i="33"/>
  <c r="K1" i="72"/>
  <c r="AF1" i="82"/>
  <c r="E398" i="154"/>
  <c r="E431" i="154"/>
  <c r="A34" i="182"/>
  <c r="A418" i="182"/>
  <c r="T162" i="182"/>
  <c r="T546" i="182"/>
  <c r="B631" i="33"/>
  <c r="AF1" i="74"/>
  <c r="K1" i="71"/>
  <c r="AF1" i="72"/>
  <c r="K1" i="86"/>
  <c r="Q35" i="34"/>
  <c r="Q64" i="34"/>
  <c r="Q93" i="34"/>
  <c r="Q122" i="34"/>
  <c r="Q151" i="34"/>
  <c r="Q180" i="34"/>
  <c r="Q209" i="34"/>
  <c r="Q238" i="34"/>
  <c r="Q267" i="34"/>
  <c r="Q296" i="34"/>
  <c r="Q325" i="34"/>
  <c r="Q354" i="34"/>
  <c r="Q383" i="34"/>
  <c r="Q412" i="34"/>
  <c r="Q441" i="34"/>
  <c r="Q470" i="34"/>
  <c r="Q499" i="34"/>
  <c r="Q528" i="34"/>
  <c r="Q557" i="34"/>
  <c r="Q586" i="34"/>
  <c r="Q615" i="34"/>
  <c r="Q644" i="34"/>
  <c r="Q673" i="34"/>
  <c r="E464" i="154"/>
  <c r="E497" i="154"/>
  <c r="A258" i="182"/>
  <c r="A642" i="182"/>
  <c r="T2" i="182"/>
  <c r="T386" i="182"/>
  <c r="E32" i="196"/>
  <c r="B316" i="33"/>
  <c r="AF1" i="76"/>
  <c r="K1" i="76"/>
  <c r="B379" i="33"/>
  <c r="B127" i="33"/>
  <c r="E530" i="154"/>
  <c r="E563" i="154"/>
  <c r="A98" i="182"/>
  <c r="A482" i="182"/>
  <c r="T226" i="182"/>
  <c r="T610" i="182"/>
  <c r="B1" i="33"/>
  <c r="K1" i="78"/>
  <c r="K1" i="75"/>
  <c r="AF1" i="80"/>
  <c r="AF1" i="71"/>
  <c r="E596" i="154"/>
  <c r="E629" i="154"/>
  <c r="A322" i="182"/>
  <c r="A706" i="182"/>
  <c r="T66" i="182"/>
  <c r="T450" i="182"/>
  <c r="B1261" i="33"/>
  <c r="K1" i="80"/>
  <c r="K1" i="77"/>
  <c r="AF1" i="86"/>
  <c r="AF1" i="79"/>
  <c r="AF1" i="84"/>
  <c r="E662" i="154"/>
  <c r="E695" i="154"/>
  <c r="A162" i="182"/>
  <c r="A546" i="182"/>
  <c r="T290" i="182"/>
  <c r="T674" i="182"/>
  <c r="C61" i="6"/>
  <c r="AY87" i="22"/>
  <c r="AE84" i="26"/>
  <c r="B21" i="39"/>
  <c r="B19" i="32"/>
  <c r="I3" i="32"/>
  <c r="K64" i="39"/>
  <c r="J357" i="36"/>
  <c r="K50" i="39"/>
  <c r="BE75" i="22"/>
  <c r="AK72" i="23"/>
  <c r="K47" i="39"/>
  <c r="H29" i="32"/>
  <c r="K29" i="39"/>
  <c r="E22" i="32"/>
  <c r="D24" i="39"/>
  <c r="H21" i="39"/>
  <c r="D17" i="39"/>
  <c r="BC36" i="22"/>
  <c r="AI33" i="26"/>
  <c r="D8" i="39"/>
  <c r="E100" i="6"/>
  <c r="D18" i="39"/>
  <c r="BE119" i="22"/>
  <c r="AK116" i="26"/>
  <c r="BE112" i="22"/>
  <c r="AK109" i="27"/>
  <c r="H74" i="39"/>
  <c r="H64" i="39"/>
  <c r="K62" i="39"/>
  <c r="F60" i="39"/>
  <c r="K60" i="39"/>
  <c r="D49" i="39"/>
  <c r="E45" i="39"/>
  <c r="D45" i="39"/>
  <c r="A241" i="36"/>
  <c r="A248" i="36"/>
  <c r="D38" i="39"/>
  <c r="F36" i="39"/>
  <c r="K36" i="39"/>
  <c r="F15" i="39"/>
  <c r="K15" i="39"/>
  <c r="E69" i="6"/>
  <c r="G329" i="36"/>
  <c r="AY44" i="22"/>
  <c r="AE41" i="26"/>
  <c r="E24" i="39"/>
  <c r="F49" i="6"/>
  <c r="D37" i="6"/>
  <c r="E26" i="6"/>
  <c r="F29" i="39"/>
  <c r="BI59" i="22"/>
  <c r="AO56" i="23"/>
  <c r="H68" i="39"/>
  <c r="BC52" i="22"/>
  <c r="AI49" i="23"/>
  <c r="F66" i="6"/>
  <c r="E17" i="39"/>
  <c r="H31" i="39"/>
  <c r="G17" i="32"/>
  <c r="B66" i="39"/>
  <c r="L8" i="39"/>
  <c r="D29" i="6"/>
  <c r="BA110" i="22"/>
  <c r="AG107" i="23"/>
  <c r="BE92" i="22"/>
  <c r="AK89" i="23"/>
  <c r="BC95" i="22"/>
  <c r="AI92" i="27"/>
  <c r="C2" i="196"/>
  <c r="C32" i="196"/>
  <c r="AR3" i="33"/>
  <c r="AS45" i="33"/>
  <c r="D8" i="14"/>
  <c r="D9" i="14"/>
  <c r="D11" i="14"/>
  <c r="D12" i="14"/>
  <c r="D14" i="14"/>
  <c r="D15" i="14"/>
  <c r="D17" i="14"/>
  <c r="D18" i="14"/>
  <c r="D20" i="14"/>
  <c r="D21" i="14"/>
  <c r="D23" i="14"/>
  <c r="D24" i="14"/>
  <c r="D26" i="14"/>
  <c r="D27" i="14"/>
  <c r="D29" i="14"/>
  <c r="D30" i="14"/>
  <c r="D32" i="14"/>
  <c r="D33" i="14"/>
  <c r="D35" i="14"/>
  <c r="D36" i="14"/>
  <c r="D38" i="14"/>
  <c r="D39" i="14"/>
  <c r="AN6" i="84"/>
  <c r="K14" i="86"/>
  <c r="AI6" i="182"/>
  <c r="AI38" i="182"/>
  <c r="AI70" i="182"/>
  <c r="AI102" i="182"/>
  <c r="AC110" i="182"/>
  <c r="A3" i="37"/>
  <c r="D3" i="37"/>
  <c r="D8" i="19"/>
  <c r="D9" i="19"/>
  <c r="D11" i="19"/>
  <c r="D12" i="19"/>
  <c r="D14" i="19"/>
  <c r="D15" i="19"/>
  <c r="D17" i="19"/>
  <c r="D18" i="19"/>
  <c r="D20" i="19"/>
  <c r="D21" i="19"/>
  <c r="D23" i="19"/>
  <c r="D24" i="19"/>
  <c r="D26" i="19"/>
  <c r="D27" i="19"/>
  <c r="D29" i="19"/>
  <c r="D30" i="19"/>
  <c r="D32" i="19"/>
  <c r="D33" i="19"/>
  <c r="D35" i="19"/>
  <c r="D36" i="19"/>
  <c r="D38" i="19"/>
  <c r="D39" i="19"/>
  <c r="K7" i="85"/>
  <c r="B2" i="153"/>
  <c r="Q9" i="153"/>
  <c r="I14" i="39"/>
  <c r="BI106" i="22"/>
  <c r="AO103" i="23"/>
  <c r="B93" i="39"/>
  <c r="B83" i="32"/>
  <c r="I24" i="32"/>
  <c r="I26" i="39"/>
  <c r="H20" i="32"/>
  <c r="D11" i="32"/>
  <c r="D15" i="6"/>
  <c r="BG38" i="22"/>
  <c r="AM35" i="23"/>
  <c r="C5" i="39"/>
  <c r="G8" i="32"/>
  <c r="B74" i="32"/>
  <c r="C73" i="32"/>
  <c r="BC66" i="22"/>
  <c r="AI63" i="26"/>
  <c r="H50" i="39"/>
  <c r="AW80" i="22"/>
  <c r="AC77" i="26"/>
  <c r="E67" i="39"/>
  <c r="B68" i="6"/>
  <c r="BA70" i="22"/>
  <c r="AG67" i="26"/>
  <c r="BA55" i="22"/>
  <c r="AG52" i="27"/>
  <c r="AW94" i="22"/>
  <c r="AC91" i="23"/>
  <c r="C59" i="39"/>
  <c r="D68" i="6"/>
  <c r="I49" i="32"/>
  <c r="BK79" i="22"/>
  <c r="AQ76" i="23"/>
  <c r="I46" i="32"/>
  <c r="I48" i="39"/>
  <c r="K37" i="32"/>
  <c r="A37" i="32"/>
  <c r="L39" i="39"/>
  <c r="AG109" i="23"/>
  <c r="BE78" i="22"/>
  <c r="AK75" i="23"/>
  <c r="B62" i="39"/>
  <c r="BA88" i="22"/>
  <c r="AG85" i="26"/>
  <c r="F45" i="32"/>
  <c r="F47" i="39"/>
  <c r="C44" i="32"/>
  <c r="C46" i="39"/>
  <c r="C48" i="6"/>
  <c r="AG109" i="26"/>
  <c r="F52" i="6"/>
  <c r="F93" i="32"/>
  <c r="B33" i="32"/>
  <c r="AW63" i="22"/>
  <c r="AC60" i="27"/>
  <c r="C45" i="39"/>
  <c r="H42" i="39"/>
  <c r="BI70" i="22"/>
  <c r="AO67" i="23"/>
  <c r="G38" i="39"/>
  <c r="BG66" i="22"/>
  <c r="AM63" i="27"/>
  <c r="G213" i="35"/>
  <c r="I33" i="32"/>
  <c r="G33" i="39"/>
  <c r="G31" i="32"/>
  <c r="BG61" i="22"/>
  <c r="L100" i="10"/>
  <c r="H66" i="32"/>
  <c r="L69" i="10"/>
  <c r="H48" i="32"/>
  <c r="L51" i="10"/>
  <c r="L48" i="10"/>
  <c r="L33" i="10"/>
  <c r="L17" i="10"/>
  <c r="L8" i="10"/>
  <c r="L86" i="10"/>
  <c r="H76" i="32"/>
  <c r="L79" i="10"/>
  <c r="H93" i="32"/>
  <c r="L96" i="10"/>
  <c r="L65" i="10"/>
  <c r="L55" i="10"/>
  <c r="L43" i="10"/>
  <c r="L32" i="10"/>
  <c r="L22" i="10"/>
  <c r="B54" i="6"/>
  <c r="B52" i="39"/>
  <c r="AE100" i="26"/>
  <c r="F89" i="32"/>
  <c r="F93" i="6"/>
  <c r="C619" i="35"/>
  <c r="C626" i="35"/>
  <c r="D82" i="32"/>
  <c r="AQ86" i="23"/>
  <c r="AQ86" i="27"/>
  <c r="A530" i="35"/>
  <c r="A537" i="35"/>
  <c r="E36" i="32"/>
  <c r="E79" i="6"/>
  <c r="B89" i="39"/>
  <c r="B91" i="6"/>
  <c r="G31" i="39"/>
  <c r="AM92" i="26"/>
  <c r="AM92" i="27"/>
  <c r="H62" i="32"/>
  <c r="BI92" i="22"/>
  <c r="AO89" i="26"/>
  <c r="E63" i="39"/>
  <c r="F62" i="39"/>
  <c r="B60" i="32"/>
  <c r="B64" i="6"/>
  <c r="D58" i="32"/>
  <c r="D62" i="6"/>
  <c r="K57" i="32"/>
  <c r="A57" i="32"/>
  <c r="L59" i="39"/>
  <c r="G55" i="32"/>
  <c r="G57" i="39"/>
  <c r="BG85" i="22"/>
  <c r="AM82" i="26"/>
  <c r="B54" i="32"/>
  <c r="B58" i="6"/>
  <c r="B56" i="39"/>
  <c r="AW84" i="22"/>
  <c r="H52" i="32"/>
  <c r="BI82" i="22"/>
  <c r="AO79" i="26"/>
  <c r="H54" i="39"/>
  <c r="E51" i="32"/>
  <c r="E53" i="39"/>
  <c r="E55" i="6"/>
  <c r="A356" i="36"/>
  <c r="A363" i="36"/>
  <c r="B85" i="32"/>
  <c r="B87" i="39"/>
  <c r="B89" i="6"/>
  <c r="AY111" i="22"/>
  <c r="AE108" i="27"/>
  <c r="C85" i="6"/>
  <c r="B76" i="32"/>
  <c r="AG45" i="27"/>
  <c r="AG45" i="26"/>
  <c r="E47" i="32"/>
  <c r="BC77" i="22"/>
  <c r="AI74" i="23"/>
  <c r="D18" i="32"/>
  <c r="D22" i="6"/>
  <c r="K12" i="32"/>
  <c r="A12" i="32"/>
  <c r="L14" i="39"/>
  <c r="K4" i="32"/>
  <c r="A4" i="32"/>
  <c r="L6" i="39"/>
  <c r="BK61" i="22"/>
  <c r="AQ58" i="23"/>
  <c r="I33" i="39"/>
  <c r="E46" i="39"/>
  <c r="A299" i="36"/>
  <c r="A306" i="36"/>
  <c r="A260" i="182"/>
  <c r="K611" i="35"/>
  <c r="L24" i="39"/>
  <c r="L32" i="39"/>
  <c r="L83" i="39"/>
  <c r="L15" i="39"/>
  <c r="C63" i="32"/>
  <c r="C67" i="6"/>
  <c r="AY93" i="22"/>
  <c r="AE90" i="26"/>
  <c r="C65" i="39"/>
  <c r="C31" i="32"/>
  <c r="F30" i="32"/>
  <c r="BC38" i="22"/>
  <c r="AI35" i="27"/>
  <c r="C11" i="6"/>
  <c r="G125" i="36"/>
  <c r="C89" i="39"/>
  <c r="C37" i="32"/>
  <c r="AY67" i="22"/>
  <c r="C41" i="6"/>
  <c r="B18" i="32"/>
  <c r="AW48" i="22"/>
  <c r="AC45" i="26"/>
  <c r="B20" i="39"/>
  <c r="K15" i="32"/>
  <c r="A15" i="32"/>
  <c r="L17" i="39"/>
  <c r="B47" i="6"/>
  <c r="BG40" i="22"/>
  <c r="AM37" i="26"/>
  <c r="G12" i="39"/>
  <c r="H45" i="32"/>
  <c r="I44" i="32"/>
  <c r="B87" i="32"/>
  <c r="AW117" i="22"/>
  <c r="AC114" i="26"/>
  <c r="B79" i="32"/>
  <c r="B83" i="6"/>
  <c r="B81" i="39"/>
  <c r="AW109" i="22"/>
  <c r="AC106" i="27"/>
  <c r="B55" i="32"/>
  <c r="B57" i="39"/>
  <c r="AW85" i="22"/>
  <c r="AC82" i="26"/>
  <c r="A298" i="36"/>
  <c r="A305" i="36"/>
  <c r="E47" i="6"/>
  <c r="E43" i="32"/>
  <c r="BC73" i="22"/>
  <c r="AI70" i="23"/>
  <c r="A271" i="36"/>
  <c r="A278" i="36"/>
  <c r="E41" i="32"/>
  <c r="BC71" i="22"/>
  <c r="AI68" i="26"/>
  <c r="E43" i="39"/>
  <c r="E45" i="6"/>
  <c r="G41" i="39"/>
  <c r="D39" i="32"/>
  <c r="D43" i="6"/>
  <c r="BA69" i="22"/>
  <c r="AG66" i="27"/>
  <c r="G38" i="32"/>
  <c r="BG68" i="22"/>
  <c r="AM65" i="26"/>
  <c r="G40" i="39"/>
  <c r="BE64" i="22"/>
  <c r="AK61" i="26"/>
  <c r="F38" i="6"/>
  <c r="B33" i="39"/>
  <c r="B31" i="32"/>
  <c r="AW61" i="22"/>
  <c r="AC58" i="27"/>
  <c r="B35" i="6"/>
  <c r="J185" i="36"/>
  <c r="H30" i="32"/>
  <c r="H32" i="39"/>
  <c r="G22" i="32"/>
  <c r="BG52" i="22"/>
  <c r="AM49" i="27"/>
  <c r="E20" i="32"/>
  <c r="BC50" i="22"/>
  <c r="AI47" i="27"/>
  <c r="E22" i="39"/>
  <c r="E24" i="6"/>
  <c r="BG45" i="22"/>
  <c r="AM42" i="23"/>
  <c r="G17" i="39"/>
  <c r="F13" i="32"/>
  <c r="F17" i="6"/>
  <c r="BE43" i="22"/>
  <c r="J69" i="36"/>
  <c r="BI44" i="22"/>
  <c r="AO41" i="26"/>
  <c r="H16" i="39"/>
  <c r="H14" i="32"/>
  <c r="H7" i="39"/>
  <c r="BI35" i="22"/>
  <c r="AO32" i="23"/>
  <c r="AW45" i="22"/>
  <c r="AC42" i="23"/>
  <c r="B19" i="6"/>
  <c r="G26" i="39"/>
  <c r="B17" i="39"/>
  <c r="H47" i="39"/>
  <c r="E40" i="6"/>
  <c r="E38" i="39"/>
  <c r="AW71" i="22"/>
  <c r="AC68" i="27"/>
  <c r="B43" i="39"/>
  <c r="C22" i="32"/>
  <c r="C26" i="6"/>
  <c r="AY52" i="22"/>
  <c r="AE49" i="26"/>
  <c r="G90" i="32"/>
  <c r="G92" i="39"/>
  <c r="BG120" i="22"/>
  <c r="AM117" i="27"/>
  <c r="C88" i="32"/>
  <c r="C90" i="39"/>
  <c r="AY118" i="22"/>
  <c r="AE115" i="23"/>
  <c r="C92" i="6"/>
  <c r="E86" i="32"/>
  <c r="BC116" i="22"/>
  <c r="AI113" i="23"/>
  <c r="E88" i="39"/>
  <c r="G79" i="32"/>
  <c r="BG109" i="22"/>
  <c r="AM106" i="27"/>
  <c r="I55" i="32"/>
  <c r="BK85" i="22"/>
  <c r="AQ82" i="23"/>
  <c r="D54" i="32"/>
  <c r="BA84" i="22"/>
  <c r="AG81" i="23"/>
  <c r="E55" i="39"/>
  <c r="G51" i="32"/>
  <c r="BG81" i="22"/>
  <c r="AM78" i="27"/>
  <c r="D89" i="32"/>
  <c r="D93" i="6"/>
  <c r="F90" i="39"/>
  <c r="F62" i="32"/>
  <c r="F64" i="39"/>
  <c r="H85" i="32"/>
  <c r="H83" i="32"/>
  <c r="BI113" i="22"/>
  <c r="AO110" i="23"/>
  <c r="H85" i="39"/>
  <c r="J588" i="36"/>
  <c r="B80" i="32"/>
  <c r="BG105" i="22"/>
  <c r="AM102" i="27"/>
  <c r="I73" i="32"/>
  <c r="G503" i="35"/>
  <c r="F72" i="32"/>
  <c r="F74" i="39"/>
  <c r="F76" i="6"/>
  <c r="BE102" i="22"/>
  <c r="AK99" i="26"/>
  <c r="D68" i="32"/>
  <c r="D72" i="6"/>
  <c r="BA98" i="22"/>
  <c r="AG95" i="27"/>
  <c r="G65" i="32"/>
  <c r="G67" i="39"/>
  <c r="D64" i="32"/>
  <c r="BA94" i="22"/>
  <c r="AG91" i="26"/>
  <c r="C38" i="32"/>
  <c r="O82" i="6"/>
  <c r="O57" i="6"/>
  <c r="O74" i="6"/>
  <c r="O61" i="6"/>
  <c r="O59" i="6"/>
  <c r="O31" i="6"/>
  <c r="O56" i="6"/>
  <c r="O40" i="6"/>
  <c r="O86" i="6"/>
  <c r="O55" i="6"/>
  <c r="O79" i="6"/>
  <c r="O81" i="6"/>
  <c r="O85" i="6"/>
  <c r="O11" i="6"/>
  <c r="O84" i="6"/>
  <c r="O45" i="6"/>
  <c r="O8" i="6"/>
  <c r="O7" i="6"/>
  <c r="O54" i="6"/>
  <c r="O19" i="6"/>
  <c r="O16" i="6"/>
  <c r="AF2" i="71"/>
  <c r="L2" i="5"/>
  <c r="U2" i="5"/>
  <c r="O67" i="6"/>
  <c r="O64" i="6"/>
  <c r="O12" i="6"/>
  <c r="O68" i="6"/>
  <c r="O14" i="6"/>
  <c r="O60" i="6"/>
  <c r="O20" i="6"/>
  <c r="O49" i="6"/>
  <c r="O34" i="6"/>
  <c r="O77" i="6"/>
  <c r="O69" i="6"/>
  <c r="O26" i="6"/>
  <c r="O46" i="6"/>
  <c r="O71" i="6"/>
  <c r="O35" i="6"/>
  <c r="O25" i="6"/>
  <c r="O29" i="6"/>
  <c r="O62" i="6"/>
  <c r="O22" i="6"/>
  <c r="O47" i="6"/>
  <c r="O72" i="6"/>
  <c r="O18" i="6"/>
  <c r="O36" i="6"/>
  <c r="O41" i="6"/>
  <c r="O24" i="6"/>
  <c r="O13" i="6"/>
  <c r="O27" i="6"/>
  <c r="O53" i="6"/>
  <c r="O65" i="6"/>
  <c r="O78" i="6"/>
  <c r="O15" i="6"/>
  <c r="O39" i="6"/>
  <c r="O83" i="6"/>
  <c r="O58" i="6"/>
  <c r="O38" i="6"/>
  <c r="O43" i="6"/>
  <c r="O10" i="6"/>
  <c r="O21" i="6"/>
  <c r="O23" i="6"/>
  <c r="O80" i="6"/>
  <c r="O63" i="6"/>
  <c r="O28" i="6"/>
  <c r="O50" i="6"/>
  <c r="O75" i="6"/>
  <c r="O9" i="6"/>
  <c r="O48" i="6"/>
  <c r="O33" i="6"/>
  <c r="O70" i="6"/>
  <c r="O32" i="6"/>
  <c r="O51" i="6"/>
  <c r="O76" i="6"/>
  <c r="O44" i="6"/>
  <c r="O42" i="6"/>
  <c r="O66" i="6"/>
  <c r="O52" i="6"/>
  <c r="O30" i="6"/>
  <c r="O17" i="6"/>
  <c r="O37" i="6"/>
  <c r="O73" i="6"/>
  <c r="AQ51" i="23"/>
  <c r="BG54" i="22"/>
  <c r="AM51" i="27"/>
  <c r="B30" i="6"/>
  <c r="L9" i="39"/>
  <c r="AY37" i="22"/>
  <c r="AE34" i="27"/>
  <c r="C9" i="39"/>
  <c r="B11" i="6"/>
  <c r="E8" i="32"/>
  <c r="F31" i="6"/>
  <c r="BI49" i="22"/>
  <c r="AO46" i="23"/>
  <c r="AQ51" i="27"/>
  <c r="BE57" i="22"/>
  <c r="AK54" i="26"/>
  <c r="BC45" i="22"/>
  <c r="AI42" i="26"/>
  <c r="E12" i="6"/>
  <c r="BG47" i="22"/>
  <c r="AM44" i="23"/>
  <c r="E19" i="6"/>
  <c r="F27" i="32"/>
  <c r="H19" i="32"/>
  <c r="E15" i="32"/>
  <c r="E10" i="39"/>
  <c r="G24" i="32"/>
  <c r="C7" i="32"/>
  <c r="A282" i="197"/>
  <c r="C41" i="39"/>
  <c r="C43" i="6"/>
  <c r="F29" i="32"/>
  <c r="F31" i="39"/>
  <c r="F33" i="6"/>
  <c r="J270" i="36"/>
  <c r="H40" i="32"/>
  <c r="B41" i="39"/>
  <c r="AW69" i="22"/>
  <c r="AC66" i="26"/>
  <c r="B39" i="32"/>
  <c r="B43" i="6"/>
  <c r="B35" i="39"/>
  <c r="AY69" i="22"/>
  <c r="AE66" i="23"/>
  <c r="BE59" i="22"/>
  <c r="AK56" i="26"/>
  <c r="B28" i="39"/>
  <c r="C39" i="32"/>
  <c r="C29" i="32"/>
  <c r="C31" i="39"/>
  <c r="AY59" i="22"/>
  <c r="AE56" i="27"/>
  <c r="B15" i="39"/>
  <c r="D10" i="32"/>
  <c r="C9" i="32"/>
  <c r="B8" i="32"/>
  <c r="B12" i="6"/>
  <c r="AW38" i="22"/>
  <c r="AC35" i="26"/>
  <c r="B10" i="39"/>
  <c r="BI60" i="22"/>
  <c r="AO57" i="23"/>
  <c r="AW37" i="22"/>
  <c r="AC34" i="26"/>
  <c r="F62" i="6"/>
  <c r="L90" i="39"/>
  <c r="G385" i="35"/>
  <c r="F58" i="32"/>
  <c r="L55" i="39"/>
  <c r="AW108" i="22"/>
  <c r="AC105" i="26"/>
  <c r="H97" i="39"/>
  <c r="I57" i="39"/>
  <c r="G71" i="39"/>
  <c r="G69" i="39"/>
  <c r="AQ100" i="26"/>
  <c r="G81" i="39"/>
  <c r="E90" i="6"/>
  <c r="BA119" i="22"/>
  <c r="AG116" i="26"/>
  <c r="AQ100" i="27"/>
  <c r="A125" i="35"/>
  <c r="A132" i="35"/>
  <c r="A127" i="35"/>
  <c r="A134" i="35"/>
  <c r="G8" i="35"/>
  <c r="G8" i="36"/>
  <c r="H95" i="39"/>
  <c r="B15" i="32"/>
  <c r="B7" i="32"/>
  <c r="BA40" i="22"/>
  <c r="AG37" i="23"/>
  <c r="BK60" i="22"/>
  <c r="AQ57" i="27"/>
  <c r="A11" i="36"/>
  <c r="A18" i="36"/>
  <c r="E6" i="32"/>
  <c r="AW56" i="22"/>
  <c r="AC53" i="27"/>
  <c r="D14" i="6"/>
  <c r="G67" i="35"/>
  <c r="BK42" i="22"/>
  <c r="AQ39" i="26"/>
  <c r="E9" i="32"/>
  <c r="C14" i="32"/>
  <c r="C18" i="6"/>
  <c r="C214" i="35"/>
  <c r="C221" i="35"/>
  <c r="F34" i="32"/>
  <c r="H97" i="32"/>
  <c r="H99" i="39"/>
  <c r="L100" i="39"/>
  <c r="K98" i="32"/>
  <c r="A98" i="32"/>
  <c r="D95" i="32"/>
  <c r="G97" i="35"/>
  <c r="I17" i="32"/>
  <c r="BK47" i="22"/>
  <c r="AQ44" i="23"/>
  <c r="B11" i="32"/>
  <c r="AW41" i="22"/>
  <c r="AC38" i="26"/>
  <c r="AE71" i="23"/>
  <c r="AE71" i="26"/>
  <c r="AE71" i="27"/>
  <c r="I94" i="32"/>
  <c r="I96" i="39"/>
  <c r="E92" i="32"/>
  <c r="E96" i="6"/>
  <c r="E94" i="39"/>
  <c r="G3" i="32"/>
  <c r="G5" i="39"/>
  <c r="BG33" i="22"/>
  <c r="AM30" i="23"/>
  <c r="I19" i="39"/>
  <c r="AC112" i="23"/>
  <c r="AC112" i="27"/>
  <c r="C15" i="32"/>
  <c r="C17" i="39"/>
  <c r="AY45" i="22"/>
  <c r="AE42" i="23"/>
  <c r="C19" i="6"/>
  <c r="AC112" i="26"/>
  <c r="AC87" i="23"/>
  <c r="AC87" i="26"/>
  <c r="AI87" i="26"/>
  <c r="C96" i="6"/>
  <c r="C94" i="39"/>
  <c r="C92" i="32"/>
  <c r="I90" i="32"/>
  <c r="BK120" i="22"/>
  <c r="AQ117" i="27"/>
  <c r="I92" i="39"/>
  <c r="G86" i="32"/>
  <c r="G88" i="39"/>
  <c r="BG116" i="22"/>
  <c r="AM113" i="27"/>
  <c r="C61" i="32"/>
  <c r="C65" i="6"/>
  <c r="C63" i="39"/>
  <c r="AY91" i="22"/>
  <c r="AE88" i="23"/>
  <c r="E98" i="39"/>
  <c r="E96" i="32"/>
  <c r="E61" i="32"/>
  <c r="E65" i="6"/>
  <c r="I59" i="32"/>
  <c r="I61" i="39"/>
  <c r="F48" i="32"/>
  <c r="F50" i="39"/>
  <c r="E44" i="32"/>
  <c r="E48" i="6"/>
  <c r="BC74" i="22"/>
  <c r="AI71" i="26"/>
  <c r="G43" i="32"/>
  <c r="F28" i="32"/>
  <c r="G98" i="39"/>
  <c r="G96" i="32"/>
  <c r="D85" i="32"/>
  <c r="BA115" i="22"/>
  <c r="AG112" i="23"/>
  <c r="D89" i="6"/>
  <c r="K84" i="32"/>
  <c r="A84" i="32"/>
  <c r="L86" i="39"/>
  <c r="B41" i="32"/>
  <c r="B45" i="6"/>
  <c r="C87" i="32"/>
  <c r="AY117" i="22"/>
  <c r="AE114" i="26"/>
  <c r="C91" i="6"/>
  <c r="B63" i="32"/>
  <c r="B67" i="6"/>
  <c r="AW93" i="22"/>
  <c r="AC90" i="23"/>
  <c r="E100" i="39"/>
  <c r="G15" i="32"/>
  <c r="I31" i="32"/>
  <c r="A153" i="36"/>
  <c r="A160" i="36"/>
  <c r="E23" i="32"/>
  <c r="G36" i="32"/>
  <c r="J10" i="36"/>
  <c r="H5" i="32"/>
  <c r="G10" i="32"/>
  <c r="I62" i="35"/>
  <c r="I62" i="36"/>
  <c r="B207" i="35"/>
  <c r="B207" i="36"/>
  <c r="B613" i="36"/>
  <c r="B613" i="35"/>
  <c r="B381" i="35"/>
  <c r="B381" i="36"/>
  <c r="B555" i="36"/>
  <c r="B555" i="35"/>
  <c r="B236" i="36"/>
  <c r="B236" i="35"/>
  <c r="B265" i="35"/>
  <c r="B265" i="36"/>
  <c r="B584" i="35"/>
  <c r="B584" i="36"/>
  <c r="B91" i="35"/>
  <c r="B91" i="36"/>
  <c r="B33" i="35"/>
  <c r="B33" i="36"/>
  <c r="B439" i="35"/>
  <c r="B439" i="36"/>
  <c r="B62" i="36"/>
  <c r="B62" i="35"/>
  <c r="AD35" i="146"/>
  <c r="AE35" i="146"/>
  <c r="AF29" i="146"/>
  <c r="AC29" i="146"/>
  <c r="AD29" i="146"/>
  <c r="AE29" i="146"/>
  <c r="AG29" i="146"/>
  <c r="AH29" i="146"/>
  <c r="AI29" i="146"/>
  <c r="AJ29" i="146"/>
  <c r="A17" i="146"/>
  <c r="B17" i="146"/>
  <c r="C17" i="146"/>
  <c r="A18" i="146"/>
  <c r="G18" i="146"/>
  <c r="E4" i="146"/>
  <c r="J98" i="32"/>
  <c r="J97" i="39"/>
  <c r="J88" i="32"/>
  <c r="BM111" i="22"/>
  <c r="AS108" i="23"/>
  <c r="J96" i="39"/>
  <c r="J94" i="39"/>
  <c r="J85" i="32"/>
  <c r="BM117" i="22"/>
  <c r="AS114" i="26"/>
  <c r="L532" i="36"/>
  <c r="L533" i="36"/>
  <c r="BM101" i="22"/>
  <c r="AS98" i="27"/>
  <c r="BM110" i="22"/>
  <c r="AS107" i="27"/>
  <c r="J86" i="39"/>
  <c r="AO22" i="71"/>
  <c r="AF23" i="146"/>
  <c r="AD17" i="146"/>
  <c r="AG17" i="146"/>
  <c r="AH17" i="146"/>
  <c r="AI17" i="146"/>
  <c r="AJ17" i="146"/>
  <c r="AC17" i="146"/>
  <c r="AE17" i="146"/>
  <c r="AF17" i="146"/>
  <c r="AF15" i="146"/>
  <c r="AE15" i="146"/>
  <c r="AC15" i="146"/>
  <c r="AD15" i="146"/>
  <c r="AG15" i="146"/>
  <c r="AH15" i="146"/>
  <c r="AI15" i="146"/>
  <c r="AJ15" i="146"/>
  <c r="AF13" i="146"/>
  <c r="AE12" i="146"/>
  <c r="AD12" i="146"/>
  <c r="AG12" i="146"/>
  <c r="AH12" i="146"/>
  <c r="AI12" i="146"/>
  <c r="AJ12" i="146"/>
  <c r="AC12" i="146"/>
  <c r="AF12" i="146"/>
  <c r="AE24" i="146"/>
  <c r="AF24" i="146"/>
  <c r="AD24" i="146"/>
  <c r="AG24" i="146"/>
  <c r="AH24" i="146"/>
  <c r="AI24" i="146"/>
  <c r="AJ24" i="146"/>
  <c r="AC24" i="146"/>
  <c r="AD25" i="146"/>
  <c r="AD22" i="146"/>
  <c r="AE22" i="146"/>
  <c r="AF27" i="146"/>
  <c r="AG27" i="146"/>
  <c r="AH27" i="146"/>
  <c r="AI27" i="146"/>
  <c r="AJ27" i="146"/>
  <c r="AE27" i="146"/>
  <c r="AD27" i="146"/>
  <c r="AC27" i="146"/>
  <c r="AD18" i="146"/>
  <c r="O43" i="76"/>
  <c r="O57" i="76"/>
  <c r="O50" i="76"/>
  <c r="I32" i="323"/>
  <c r="I61" i="323"/>
  <c r="A501" i="35"/>
  <c r="A508" i="35"/>
  <c r="G75" i="32"/>
  <c r="C81" i="32"/>
  <c r="D82" i="6"/>
  <c r="F84" i="39"/>
  <c r="D78" i="32"/>
  <c r="F86" i="6"/>
  <c r="L75" i="10"/>
  <c r="F72" i="6"/>
  <c r="F82" i="32"/>
  <c r="H72" i="32"/>
  <c r="F68" i="32"/>
  <c r="C562" i="36"/>
  <c r="C569" i="36"/>
  <c r="B76" i="39"/>
  <c r="E73" i="39"/>
  <c r="F70" i="39"/>
  <c r="BE98" i="22"/>
  <c r="E71" i="32"/>
  <c r="I71" i="39"/>
  <c r="L69" i="39"/>
  <c r="BK109" i="22"/>
  <c r="AQ106" i="27"/>
  <c r="BI102" i="22"/>
  <c r="AO99" i="27"/>
  <c r="C473" i="35"/>
  <c r="C480" i="35"/>
  <c r="L79" i="39"/>
  <c r="I81" i="39"/>
  <c r="B78" i="6"/>
  <c r="BK99" i="22"/>
  <c r="AQ96" i="27"/>
  <c r="I79" i="32"/>
  <c r="BA63" i="22"/>
  <c r="AG60" i="26"/>
  <c r="G53" i="39"/>
  <c r="BC91" i="22"/>
  <c r="AI88" i="27"/>
  <c r="E51" i="6"/>
  <c r="C15" i="6"/>
  <c r="C61" i="39"/>
  <c r="I22" i="32"/>
  <c r="A66" i="35"/>
  <c r="A73" i="35"/>
  <c r="E18" i="32"/>
  <c r="E29" i="6"/>
  <c r="BK52" i="22"/>
  <c r="AQ49" i="26"/>
  <c r="F24" i="6"/>
  <c r="BE50" i="22"/>
  <c r="AK47" i="26"/>
  <c r="BI38" i="22"/>
  <c r="AO35" i="23"/>
  <c r="E22" i="6"/>
  <c r="F22" i="39"/>
  <c r="E13" i="39"/>
  <c r="E20" i="39"/>
  <c r="F20" i="32"/>
  <c r="BC41" i="22"/>
  <c r="AI38" i="26"/>
  <c r="BC48" i="22"/>
  <c r="AI45" i="27"/>
  <c r="C85" i="39"/>
  <c r="F10" i="6"/>
  <c r="AY65" i="22"/>
  <c r="AE62" i="26"/>
  <c r="I24" i="39"/>
  <c r="BG43" i="22"/>
  <c r="AM40" i="27"/>
  <c r="F45" i="6"/>
  <c r="A98" i="36"/>
  <c r="A105" i="36"/>
  <c r="F8" i="39"/>
  <c r="BG57" i="22"/>
  <c r="AM54" i="23"/>
  <c r="BE36" i="22"/>
  <c r="AK33" i="23"/>
  <c r="C35" i="32"/>
  <c r="C13" i="39"/>
  <c r="E36" i="6"/>
  <c r="G127" i="36"/>
  <c r="L18" i="10"/>
  <c r="F6" i="32"/>
  <c r="G27" i="32"/>
  <c r="K8" i="39"/>
  <c r="C11" i="32"/>
  <c r="H15" i="32"/>
  <c r="G127" i="35"/>
  <c r="E25" i="32"/>
  <c r="C39" i="6"/>
  <c r="H17" i="39"/>
  <c r="C63" i="6"/>
  <c r="J95" i="36"/>
  <c r="E27" i="39"/>
  <c r="C37" i="39"/>
  <c r="L11" i="10"/>
  <c r="I31" i="39"/>
  <c r="AY89" i="22"/>
  <c r="AE86" i="26"/>
  <c r="H10" i="39"/>
  <c r="G15" i="39"/>
  <c r="BC55" i="22"/>
  <c r="AI52" i="27"/>
  <c r="AY113" i="22"/>
  <c r="AE110" i="26"/>
  <c r="E11" i="32"/>
  <c r="E15" i="6"/>
  <c r="BK59" i="22"/>
  <c r="AQ56" i="26"/>
  <c r="C83" i="32"/>
  <c r="BI63" i="22"/>
  <c r="AO60" i="23"/>
  <c r="F28" i="6"/>
  <c r="F17" i="32"/>
  <c r="G85" i="39"/>
  <c r="H18" i="32"/>
  <c r="BK51" i="22"/>
  <c r="AQ48" i="23"/>
  <c r="F33" i="39"/>
  <c r="AF18" i="146"/>
  <c r="BE54" i="22"/>
  <c r="AK51" i="27"/>
  <c r="I7" i="32"/>
  <c r="F12" i="39"/>
  <c r="A406" i="197"/>
  <c r="Q31" i="196"/>
  <c r="K495" i="35"/>
  <c r="H20" i="39"/>
  <c r="K176" i="36"/>
  <c r="J2" i="34"/>
  <c r="A356" i="182"/>
  <c r="F7" i="6"/>
  <c r="F42" i="6"/>
  <c r="K33" i="39"/>
  <c r="C29" i="39"/>
  <c r="F26" i="39"/>
  <c r="A654" i="197"/>
  <c r="Q1" i="196"/>
  <c r="BG70" i="22"/>
  <c r="AM67" i="23"/>
  <c r="BG49" i="22"/>
  <c r="AM46" i="23"/>
  <c r="A4" i="182"/>
  <c r="K582" i="36"/>
  <c r="K89" i="36"/>
  <c r="BE33" i="22"/>
  <c r="AK30" i="27"/>
  <c r="F40" i="39"/>
  <c r="BE61" i="22"/>
  <c r="AK58" i="23"/>
  <c r="AF2" i="266"/>
  <c r="AG30" i="146"/>
  <c r="AH30" i="146"/>
  <c r="AI30" i="146"/>
  <c r="AJ30" i="146"/>
  <c r="F24" i="32"/>
  <c r="A127" i="197"/>
  <c r="A420" i="182"/>
  <c r="J582" i="34"/>
  <c r="BG113" i="22"/>
  <c r="AM110" i="23"/>
  <c r="H14" i="39"/>
  <c r="F19" i="39"/>
  <c r="T233" i="154"/>
  <c r="T35" i="154"/>
  <c r="F5" i="39"/>
  <c r="F38" i="32"/>
  <c r="C53" i="39"/>
  <c r="E45" i="32"/>
  <c r="I37" i="39"/>
  <c r="AC18" i="146"/>
  <c r="AG18" i="146"/>
  <c r="AH18" i="146"/>
  <c r="AI18" i="146"/>
  <c r="AJ18" i="146"/>
  <c r="AC30" i="146"/>
  <c r="C154" i="36"/>
  <c r="C161" i="36"/>
  <c r="A375" i="197"/>
  <c r="A676" i="182"/>
  <c r="J147" i="34"/>
  <c r="F92" i="39"/>
  <c r="BI42" i="22"/>
  <c r="AO39" i="26"/>
  <c r="AF2" i="82"/>
  <c r="B822" i="33"/>
  <c r="C8" i="35"/>
  <c r="C15" i="35"/>
  <c r="C243" i="35"/>
  <c r="C250" i="35"/>
  <c r="D74" i="39"/>
  <c r="G99" i="39"/>
  <c r="A96" i="197"/>
  <c r="T167" i="154"/>
  <c r="H1" i="11"/>
  <c r="J1" i="11"/>
  <c r="BK56" i="22"/>
  <c r="AQ53" i="23"/>
  <c r="J67" i="36"/>
  <c r="K2" i="74"/>
  <c r="K379" i="35"/>
  <c r="L15" i="10"/>
  <c r="K12" i="39"/>
  <c r="AE30" i="146"/>
  <c r="A468" i="197"/>
  <c r="T365" i="154"/>
  <c r="K466" i="36"/>
  <c r="J176" i="34"/>
  <c r="L21" i="10"/>
  <c r="Q181" i="196"/>
  <c r="F14" i="6"/>
  <c r="F3" i="32"/>
  <c r="C62" i="6"/>
  <c r="AD30" i="146"/>
  <c r="BA73" i="22"/>
  <c r="AG70" i="26"/>
  <c r="G5" i="32"/>
  <c r="A592" i="197"/>
  <c r="T299" i="154"/>
  <c r="K118" i="35"/>
  <c r="K31" i="36"/>
  <c r="Q631" i="196"/>
  <c r="K379" i="36"/>
  <c r="D47" i="6"/>
  <c r="AY33" i="22"/>
  <c r="AE30" i="27"/>
  <c r="I294" i="36"/>
  <c r="F31" i="32"/>
  <c r="A3" i="197"/>
  <c r="G21" i="39"/>
  <c r="B444" i="33"/>
  <c r="K350" i="36"/>
  <c r="D55" i="6"/>
  <c r="BE47" i="22"/>
  <c r="AK44" i="27"/>
  <c r="H35" i="39"/>
  <c r="T134" i="154"/>
  <c r="T740" i="182"/>
  <c r="D75" i="32"/>
  <c r="AY98" i="22"/>
  <c r="AE95" i="23"/>
  <c r="Q601" i="196"/>
  <c r="E93" i="32"/>
  <c r="C7" i="6"/>
  <c r="F10" i="32"/>
  <c r="B1326" i="33"/>
  <c r="F21" i="6"/>
  <c r="H33" i="32"/>
  <c r="C55" i="6"/>
  <c r="C211" i="35"/>
  <c r="C218" i="35"/>
  <c r="G126" i="36"/>
  <c r="B3" i="10"/>
  <c r="T452" i="182"/>
  <c r="K234" i="36"/>
  <c r="Q691" i="196"/>
  <c r="AY81" i="22"/>
  <c r="AE78" i="26"/>
  <c r="C3" i="32"/>
  <c r="BE40" i="22"/>
  <c r="AK37" i="26"/>
  <c r="I28" i="39"/>
  <c r="A189" i="197"/>
  <c r="K2" i="79"/>
  <c r="G66" i="32"/>
  <c r="BK37" i="22"/>
  <c r="AQ34" i="23"/>
  <c r="C97" i="35"/>
  <c r="C104" i="35"/>
  <c r="J213" i="36"/>
  <c r="AF2" i="72"/>
  <c r="T356" i="182"/>
  <c r="B1390" i="33"/>
  <c r="AB7" i="146"/>
  <c r="AM7" i="146"/>
  <c r="BG35" i="22"/>
  <c r="AM32" i="23"/>
  <c r="A34" i="197"/>
  <c r="I23" i="39"/>
  <c r="T2" i="154"/>
  <c r="F79" i="32"/>
  <c r="G40" i="32"/>
  <c r="AY57" i="22"/>
  <c r="AE54" i="26"/>
  <c r="C27" i="32"/>
  <c r="B29" i="32"/>
  <c r="A561" i="197"/>
  <c r="K2" i="77"/>
  <c r="K350" i="35"/>
  <c r="L49" i="10"/>
  <c r="BK65" i="22"/>
  <c r="AQ62" i="27"/>
  <c r="C72" i="6"/>
  <c r="BE68" i="22"/>
  <c r="AK65" i="26"/>
  <c r="AF22" i="146"/>
  <c r="C3" i="146"/>
  <c r="G9" i="32"/>
  <c r="F32" i="6"/>
  <c r="AY73" i="22"/>
  <c r="AE70" i="26"/>
  <c r="AC22" i="146"/>
  <c r="AG34" i="146"/>
  <c r="AH34" i="146"/>
  <c r="AI34" i="146"/>
  <c r="AJ34" i="146"/>
  <c r="F3" i="146"/>
  <c r="C183" i="36"/>
  <c r="C190" i="36"/>
  <c r="H41" i="39"/>
  <c r="C91" i="32"/>
  <c r="L7" i="10"/>
  <c r="C47" i="6"/>
  <c r="AY54" i="22"/>
  <c r="AE51" i="23"/>
  <c r="BG39" i="22"/>
  <c r="AM36" i="27"/>
  <c r="AE34" i="146"/>
  <c r="F63" i="32"/>
  <c r="C589" i="35"/>
  <c r="C596" i="35"/>
  <c r="BI34" i="22"/>
  <c r="AO31" i="23"/>
  <c r="AD34" i="146"/>
  <c r="AC34" i="146"/>
  <c r="G37" i="32"/>
  <c r="H4" i="32"/>
  <c r="I30" i="32"/>
  <c r="E11" i="6"/>
  <c r="C21" i="39"/>
  <c r="BI69" i="22"/>
  <c r="AO66" i="23"/>
  <c r="H6" i="39"/>
  <c r="H39" i="32"/>
  <c r="C43" i="32"/>
  <c r="L50" i="39"/>
  <c r="C69" i="39"/>
  <c r="AY49" i="22"/>
  <c r="AE46" i="26"/>
  <c r="A16" i="146"/>
  <c r="I16" i="146"/>
  <c r="G60" i="32"/>
  <c r="E3" i="146"/>
  <c r="BC37" i="22"/>
  <c r="AI34" i="23"/>
  <c r="C71" i="6"/>
  <c r="BA68" i="22"/>
  <c r="AG65" i="27"/>
  <c r="C23" i="6"/>
  <c r="E9" i="39"/>
  <c r="C19" i="32"/>
  <c r="A15" i="146"/>
  <c r="B15" i="146"/>
  <c r="C15" i="146"/>
  <c r="E7" i="32"/>
  <c r="AY97" i="22"/>
  <c r="AE94" i="23"/>
  <c r="H59" i="39"/>
  <c r="D42" i="6"/>
  <c r="C67" i="32"/>
  <c r="G12" i="4"/>
  <c r="BC101" i="22"/>
  <c r="AI98" i="27"/>
  <c r="F24" i="19"/>
  <c r="F91" i="39"/>
  <c r="F37" i="6"/>
  <c r="AD32" i="146"/>
  <c r="F65" i="39"/>
  <c r="L95" i="39"/>
  <c r="C68" i="39"/>
  <c r="F98" i="32"/>
  <c r="BE93" i="22"/>
  <c r="AK90" i="23"/>
  <c r="H83" i="39"/>
  <c r="BK44" i="22"/>
  <c r="AQ41" i="27"/>
  <c r="E40" i="32"/>
  <c r="L84" i="39"/>
  <c r="BC106" i="22"/>
  <c r="AI103" i="26"/>
  <c r="BC70" i="22"/>
  <c r="AI67" i="27"/>
  <c r="E44" i="6"/>
  <c r="I25" i="39"/>
  <c r="I16" i="39"/>
  <c r="H36" i="39"/>
  <c r="E23" i="6"/>
  <c r="C67" i="36"/>
  <c r="C74" i="36"/>
  <c r="G35" i="32"/>
  <c r="A270" i="35"/>
  <c r="A277" i="35"/>
  <c r="F26" i="32"/>
  <c r="BG65" i="22"/>
  <c r="AM62" i="27"/>
  <c r="BI58" i="22"/>
  <c r="AO55" i="26"/>
  <c r="C47" i="39"/>
  <c r="I18" i="39"/>
  <c r="BE63" i="22"/>
  <c r="AK60" i="27"/>
  <c r="F33" i="32"/>
  <c r="I93" i="39"/>
  <c r="AG82" i="27"/>
  <c r="BI83" i="22"/>
  <c r="AO80" i="26"/>
  <c r="I16" i="32"/>
  <c r="F35" i="39"/>
  <c r="BK46" i="22"/>
  <c r="AQ43" i="27"/>
  <c r="F84" i="32"/>
  <c r="I39" i="39"/>
  <c r="F48" i="39"/>
  <c r="L31" i="10"/>
  <c r="G153" i="35"/>
  <c r="C64" i="39"/>
  <c r="E42" i="39"/>
  <c r="H28" i="32"/>
  <c r="H34" i="32"/>
  <c r="L64" i="39"/>
  <c r="L37" i="10"/>
  <c r="L42" i="10"/>
  <c r="E21" i="39"/>
  <c r="BE58" i="22"/>
  <c r="AK55" i="27"/>
  <c r="G39" i="39"/>
  <c r="G42" i="32"/>
  <c r="BI64" i="22"/>
  <c r="AO61" i="26"/>
  <c r="E19" i="32"/>
  <c r="BK53" i="22"/>
  <c r="AQ50" i="23"/>
  <c r="AW51" i="22"/>
  <c r="AC48" i="26"/>
  <c r="BC49" i="22"/>
  <c r="AI46" i="27"/>
  <c r="I14" i="32"/>
  <c r="J183" i="36"/>
  <c r="BG72" i="22"/>
  <c r="AM69" i="27"/>
  <c r="K17" i="32"/>
  <c r="A17" i="32"/>
  <c r="L47" i="39"/>
  <c r="AY102" i="22"/>
  <c r="AE99" i="27"/>
  <c r="A124" i="35"/>
  <c r="A131" i="35"/>
  <c r="F30" i="39"/>
  <c r="D9" i="39"/>
  <c r="K14" i="39"/>
  <c r="K28" i="39"/>
  <c r="F30" i="6"/>
  <c r="E89" i="39"/>
  <c r="I37" i="32"/>
  <c r="B25" i="6"/>
  <c r="F14" i="39"/>
  <c r="E60" i="6"/>
  <c r="BE42" i="22"/>
  <c r="AK39" i="27"/>
  <c r="C156" i="36"/>
  <c r="C163" i="36"/>
  <c r="G153" i="36"/>
  <c r="F12" i="32"/>
  <c r="F28" i="39"/>
  <c r="AF20" i="146"/>
  <c r="BK67" i="22"/>
  <c r="AQ64" i="27"/>
  <c r="BG51" i="22"/>
  <c r="AM48" i="27"/>
  <c r="L34" i="39"/>
  <c r="G21" i="32"/>
  <c r="I23" i="32"/>
  <c r="D78" i="39"/>
  <c r="B48" i="32"/>
  <c r="AF1" i="272"/>
  <c r="C93" i="6"/>
  <c r="B67" i="39"/>
  <c r="E75" i="6"/>
  <c r="E53" i="6"/>
  <c r="L41" i="39"/>
  <c r="F74" i="6"/>
  <c r="L53" i="10"/>
  <c r="I90" i="39"/>
  <c r="D97" i="32"/>
  <c r="B66" i="6"/>
  <c r="C30" i="39"/>
  <c r="F84" i="6"/>
  <c r="G86" i="39"/>
  <c r="D96" i="39"/>
  <c r="P38" i="182"/>
  <c r="J49" i="182"/>
  <c r="F87" i="39"/>
  <c r="BG77" i="22"/>
  <c r="AM74" i="26"/>
  <c r="AK38" i="27"/>
  <c r="AE25" i="146"/>
  <c r="C53" i="32"/>
  <c r="L22" i="39"/>
  <c r="B84" i="6"/>
  <c r="AY60" i="22"/>
  <c r="AE57" i="23"/>
  <c r="L71" i="10"/>
  <c r="C86" i="39"/>
  <c r="H84" i="39"/>
  <c r="G95" i="36"/>
  <c r="AW46" i="22"/>
  <c r="AC43" i="23"/>
  <c r="C30" i="32"/>
  <c r="I10" i="39"/>
  <c r="K97" i="39"/>
  <c r="H15" i="39"/>
  <c r="K73" i="32"/>
  <c r="A73" i="32"/>
  <c r="G92" i="32"/>
  <c r="D97" i="6"/>
  <c r="E63" i="6"/>
  <c r="AC89" i="23"/>
  <c r="AE40" i="23"/>
  <c r="B50" i="39"/>
  <c r="G33" i="4"/>
  <c r="H50" i="32"/>
  <c r="B21" i="6"/>
  <c r="C71" i="39"/>
  <c r="G77" i="32"/>
  <c r="H60" i="32"/>
  <c r="G387" i="36"/>
  <c r="G79" i="39"/>
  <c r="BC89" i="22"/>
  <c r="AI86" i="27"/>
  <c r="BC79" i="22"/>
  <c r="AI76" i="26"/>
  <c r="D75" i="39"/>
  <c r="E59" i="32"/>
  <c r="AE40" i="26"/>
  <c r="D70" i="6"/>
  <c r="G39" i="4"/>
  <c r="AW47" i="22"/>
  <c r="AC44" i="27"/>
  <c r="B17" i="32"/>
  <c r="C69" i="32"/>
  <c r="AW78" i="22"/>
  <c r="AC75" i="27"/>
  <c r="I57" i="32"/>
  <c r="E61" i="39"/>
  <c r="BG107" i="22"/>
  <c r="AM104" i="23"/>
  <c r="BG114" i="22"/>
  <c r="AM111" i="27"/>
  <c r="F72" i="39"/>
  <c r="L88" i="39"/>
  <c r="H52" i="39"/>
  <c r="E75" i="39"/>
  <c r="L94" i="10"/>
  <c r="AW62" i="22"/>
  <c r="AC59" i="27"/>
  <c r="K89" i="39"/>
  <c r="BE117" i="22"/>
  <c r="AK114" i="23"/>
  <c r="H93" i="39"/>
  <c r="AY99" i="22"/>
  <c r="AE96" i="23"/>
  <c r="BA35" i="22"/>
  <c r="AG32" i="26"/>
  <c r="A503" i="36"/>
  <c r="A510" i="36"/>
  <c r="D83" i="32"/>
  <c r="D5" i="32"/>
  <c r="B32" i="32"/>
  <c r="F70" i="32"/>
  <c r="AQ84" i="26"/>
  <c r="G55" i="39"/>
  <c r="H91" i="32"/>
  <c r="L77" i="10"/>
  <c r="B47" i="39"/>
  <c r="B45" i="32"/>
  <c r="C560" i="36"/>
  <c r="C567" i="36"/>
  <c r="G618" i="35"/>
  <c r="C32" i="6"/>
  <c r="BI90" i="22"/>
  <c r="AO87" i="27"/>
  <c r="BE86" i="22"/>
  <c r="AK83" i="27"/>
  <c r="F89" i="39"/>
  <c r="J14" i="182"/>
  <c r="AW75" i="22"/>
  <c r="AC72" i="27"/>
  <c r="BE110" i="22"/>
  <c r="AK107" i="27"/>
  <c r="AM80" i="27"/>
  <c r="E77" i="6"/>
  <c r="BC103" i="22"/>
  <c r="AI100" i="27"/>
  <c r="E98" i="6"/>
  <c r="F91" i="6"/>
  <c r="F58" i="39"/>
  <c r="BA39" i="22"/>
  <c r="AG36" i="26"/>
  <c r="B74" i="39"/>
  <c r="G53" i="32"/>
  <c r="AG103" i="26"/>
  <c r="BC76" i="22"/>
  <c r="AI73" i="27"/>
  <c r="F82" i="39"/>
  <c r="I88" i="32"/>
  <c r="AY58" i="22"/>
  <c r="AE55" i="27"/>
  <c r="C15" i="39"/>
  <c r="D61" i="39"/>
  <c r="B97" i="6"/>
  <c r="C475" i="36"/>
  <c r="C482" i="36"/>
  <c r="E94" i="32"/>
  <c r="F87" i="32"/>
  <c r="BA96" i="22"/>
  <c r="AG93" i="23"/>
  <c r="F60" i="6"/>
  <c r="D13" i="6"/>
  <c r="AW102" i="22"/>
  <c r="AC99" i="26"/>
  <c r="AQ84" i="27"/>
  <c r="AG103" i="27"/>
  <c r="E50" i="6"/>
  <c r="B34" i="39"/>
  <c r="BA72" i="22"/>
  <c r="AG69" i="27"/>
  <c r="B95" i="39"/>
  <c r="I83" i="39"/>
  <c r="F80" i="32"/>
  <c r="G65" i="39"/>
  <c r="K58" i="39"/>
  <c r="J15" i="182"/>
  <c r="A329" i="36"/>
  <c r="A336" i="36"/>
  <c r="B76" i="6"/>
  <c r="C17" i="6"/>
  <c r="E46" i="32"/>
  <c r="I81" i="32"/>
  <c r="D46" i="6"/>
  <c r="D48" i="39"/>
  <c r="BK97" i="22"/>
  <c r="AQ94" i="27"/>
  <c r="AY120" i="22"/>
  <c r="AE117" i="23"/>
  <c r="AG51" i="23"/>
  <c r="E51" i="39"/>
  <c r="B64" i="39"/>
  <c r="L38" i="39"/>
  <c r="C13" i="32"/>
  <c r="A301" i="35"/>
  <c r="A308" i="35"/>
  <c r="BA113" i="22"/>
  <c r="AG110" i="23"/>
  <c r="J16" i="182"/>
  <c r="I67" i="32"/>
  <c r="C92" i="39"/>
  <c r="D28" i="6"/>
  <c r="AG51" i="27"/>
  <c r="E49" i="32"/>
  <c r="B62" i="32"/>
  <c r="L81" i="39"/>
  <c r="BI104" i="22"/>
  <c r="AO101" i="23"/>
  <c r="BA82" i="22"/>
  <c r="AG79" i="26"/>
  <c r="D80" i="6"/>
  <c r="D87" i="6"/>
  <c r="L67" i="39"/>
  <c r="L23" i="39"/>
  <c r="G98" i="32"/>
  <c r="AC89" i="26"/>
  <c r="C90" i="32"/>
  <c r="AM80" i="23"/>
  <c r="D24" i="32"/>
  <c r="I69" i="39"/>
  <c r="H76" i="39"/>
  <c r="D56" i="6"/>
  <c r="L57" i="39"/>
  <c r="I59" i="39"/>
  <c r="D76" i="32"/>
  <c r="BG93" i="22"/>
  <c r="AM90" i="23"/>
  <c r="K72" i="39"/>
  <c r="L98" i="39"/>
  <c r="L63" i="10"/>
  <c r="D36" i="39"/>
  <c r="AC28" i="146"/>
  <c r="D11" i="6"/>
  <c r="C81" i="39"/>
  <c r="AW119" i="22"/>
  <c r="AC116" i="23"/>
  <c r="E24" i="32"/>
  <c r="B89" i="32"/>
  <c r="L53" i="39"/>
  <c r="B62" i="6"/>
  <c r="F87" i="6"/>
  <c r="G96" i="39"/>
  <c r="AC31" i="146"/>
  <c r="H89" i="39"/>
  <c r="F56" i="6"/>
  <c r="I86" i="39"/>
  <c r="AY66" i="22"/>
  <c r="AE63" i="23"/>
  <c r="C96" i="32"/>
  <c r="K92" i="32"/>
  <c r="A92" i="32"/>
  <c r="C98" i="39"/>
  <c r="L46" i="39"/>
  <c r="I63" i="32"/>
  <c r="G94" i="32"/>
  <c r="D49" i="6"/>
  <c r="BG76" i="22"/>
  <c r="AM73" i="27"/>
  <c r="D45" i="32"/>
  <c r="B91" i="39"/>
  <c r="F65" i="32"/>
  <c r="BK70" i="22"/>
  <c r="AQ67" i="26"/>
  <c r="I40" i="39"/>
  <c r="C59" i="6"/>
  <c r="L34" i="10"/>
  <c r="AC16" i="146"/>
  <c r="AG16" i="146"/>
  <c r="AH16" i="146"/>
  <c r="AI16" i="146"/>
  <c r="AJ16" i="146"/>
  <c r="AF16" i="146"/>
  <c r="C83" i="6"/>
  <c r="F47" i="6"/>
  <c r="C57" i="39"/>
  <c r="J211" i="36"/>
  <c r="F38" i="39"/>
  <c r="AY85" i="22"/>
  <c r="AE82" i="23"/>
  <c r="C22" i="6"/>
  <c r="AY61" i="22"/>
  <c r="AE58" i="23"/>
  <c r="AM56" i="27"/>
  <c r="F36" i="32"/>
  <c r="BA74" i="22"/>
  <c r="AG71" i="26"/>
  <c r="L28" i="39"/>
  <c r="E36" i="39"/>
  <c r="BE66" i="22"/>
  <c r="AK63" i="26"/>
  <c r="AM56" i="23"/>
  <c r="F40" i="6"/>
  <c r="G72" i="32"/>
  <c r="AG28" i="146"/>
  <c r="AH28" i="146"/>
  <c r="AI28" i="146"/>
  <c r="AJ28" i="146"/>
  <c r="C55" i="32"/>
  <c r="BC57" i="22"/>
  <c r="AI54" i="23"/>
  <c r="E34" i="32"/>
  <c r="G446" i="36"/>
  <c r="I38" i="32"/>
  <c r="I42" i="39"/>
  <c r="AD28" i="146"/>
  <c r="E29" i="39"/>
  <c r="A214" i="36"/>
  <c r="A221" i="36"/>
  <c r="G270" i="36"/>
  <c r="BE73" i="22"/>
  <c r="AK70" i="27"/>
  <c r="E31" i="6"/>
  <c r="H31" i="32"/>
  <c r="AQ65" i="27"/>
  <c r="AD16" i="146"/>
  <c r="AE28" i="146"/>
  <c r="G29" i="32"/>
  <c r="BA37" i="22"/>
  <c r="AG34" i="27"/>
  <c r="E27" i="32"/>
  <c r="BI47" i="22"/>
  <c r="AO44" i="26"/>
  <c r="AQ65" i="23"/>
  <c r="C33" i="39"/>
  <c r="C79" i="32"/>
  <c r="BI61" i="22"/>
  <c r="AO58" i="27"/>
  <c r="D7" i="32"/>
  <c r="BC64" i="22"/>
  <c r="AI61" i="27"/>
  <c r="F45" i="39"/>
  <c r="AY109" i="22"/>
  <c r="AE106" i="26"/>
  <c r="F43" i="32"/>
  <c r="AC107" i="27"/>
  <c r="AC107" i="23"/>
  <c r="AE13" i="146"/>
  <c r="K94" i="32"/>
  <c r="A94" i="32"/>
  <c r="F25" i="32"/>
  <c r="A269" i="35"/>
  <c r="A276" i="35"/>
  <c r="I149" i="35"/>
  <c r="BI43" i="22"/>
  <c r="AO40" i="23"/>
  <c r="L51" i="39"/>
  <c r="G71" i="32"/>
  <c r="AW64" i="22"/>
  <c r="AC61" i="27"/>
  <c r="BA56" i="22"/>
  <c r="AG53" i="27"/>
  <c r="G38" i="35"/>
  <c r="H26" i="32"/>
  <c r="BI98" i="22"/>
  <c r="AO95" i="23"/>
  <c r="BA104" i="22"/>
  <c r="AG101" i="27"/>
  <c r="F78" i="32"/>
  <c r="L29" i="10"/>
  <c r="AC83" i="27"/>
  <c r="BA90" i="22"/>
  <c r="AG87" i="27"/>
  <c r="C590" i="36"/>
  <c r="C597" i="36"/>
  <c r="E69" i="39"/>
  <c r="BE48" i="22"/>
  <c r="AK45" i="27"/>
  <c r="F15" i="6"/>
  <c r="F58" i="6"/>
  <c r="BI112" i="22"/>
  <c r="AO109" i="23"/>
  <c r="C6" i="39"/>
  <c r="F18" i="32"/>
  <c r="BK38" i="22"/>
  <c r="AQ35" i="26"/>
  <c r="B34" i="32"/>
  <c r="E8" i="6"/>
  <c r="D26" i="32"/>
  <c r="J473" i="35"/>
  <c r="D78" i="6"/>
  <c r="G356" i="35"/>
  <c r="F56" i="39"/>
  <c r="H60" i="39"/>
  <c r="AG77" i="27"/>
  <c r="L92" i="10"/>
  <c r="H28" i="39"/>
  <c r="F89" i="6"/>
  <c r="I15" i="32"/>
  <c r="D64" i="6"/>
  <c r="BK95" i="22"/>
  <c r="AQ92" i="23"/>
  <c r="BK45" i="22"/>
  <c r="AQ42" i="23"/>
  <c r="BI119" i="22"/>
  <c r="AO116" i="26"/>
  <c r="BC118" i="22"/>
  <c r="AI115" i="26"/>
  <c r="C81" i="6"/>
  <c r="L65" i="39"/>
  <c r="B60" i="6"/>
  <c r="E6" i="39"/>
  <c r="H68" i="32"/>
  <c r="C359" i="36"/>
  <c r="C366" i="36"/>
  <c r="AF25" i="146"/>
  <c r="A561" i="35"/>
  <c r="A568" i="35"/>
  <c r="C12" i="32"/>
  <c r="E4" i="32"/>
  <c r="BC60" i="22"/>
  <c r="AI57" i="27"/>
  <c r="C4" i="32"/>
  <c r="BC97" i="22"/>
  <c r="AI94" i="27"/>
  <c r="B58" i="39"/>
  <c r="F54" i="32"/>
  <c r="BI88" i="22"/>
  <c r="AO85" i="26"/>
  <c r="AY107" i="22"/>
  <c r="AE104" i="23"/>
  <c r="E88" i="32"/>
  <c r="G445" i="35"/>
  <c r="K20" i="39"/>
  <c r="AY42" i="22"/>
  <c r="AE39" i="23"/>
  <c r="AC25" i="146"/>
  <c r="E85" i="6"/>
  <c r="F11" i="32"/>
  <c r="AM71" i="26"/>
  <c r="AE31" i="27"/>
  <c r="A185" i="36"/>
  <c r="A192" i="36"/>
  <c r="E67" i="32"/>
  <c r="B56" i="32"/>
  <c r="BE55" i="22"/>
  <c r="AK52" i="27"/>
  <c r="L48" i="39"/>
  <c r="AY83" i="22"/>
  <c r="AE80" i="26"/>
  <c r="H58" i="32"/>
  <c r="AG77" i="26"/>
  <c r="AM71" i="27"/>
  <c r="AK38" i="23"/>
  <c r="K80" i="39"/>
  <c r="F24" i="20"/>
  <c r="D50" i="32"/>
  <c r="C8" i="6"/>
  <c r="I77" i="39"/>
  <c r="C57" i="6"/>
  <c r="G94" i="39"/>
  <c r="E81" i="32"/>
  <c r="D23" i="32"/>
  <c r="B20" i="6"/>
  <c r="C32" i="39"/>
  <c r="I8" i="32"/>
  <c r="D12" i="6"/>
  <c r="B82" i="39"/>
  <c r="G8" i="39"/>
  <c r="F29" i="6"/>
  <c r="F95" i="32"/>
  <c r="AM33" i="23"/>
  <c r="AY114" i="22"/>
  <c r="AE111" i="27"/>
  <c r="A472" i="36"/>
  <c r="A479" i="36"/>
  <c r="F20" i="39"/>
  <c r="F80" i="39"/>
  <c r="G33" i="20"/>
  <c r="AC13" i="146"/>
  <c r="BE115" i="22"/>
  <c r="AK112" i="27"/>
  <c r="D95" i="6"/>
  <c r="E59" i="39"/>
  <c r="E61" i="6"/>
  <c r="D45" i="6"/>
  <c r="B16" i="32"/>
  <c r="AE31" i="23"/>
  <c r="H13" i="32"/>
  <c r="BK81" i="22"/>
  <c r="AQ78" i="27"/>
  <c r="G356" i="36"/>
  <c r="G49" i="39"/>
  <c r="BE94" i="22"/>
  <c r="AK91" i="23"/>
  <c r="C84" i="32"/>
  <c r="L40" i="39"/>
  <c r="D6" i="39"/>
  <c r="F97" i="39"/>
  <c r="I17" i="39"/>
  <c r="AG13" i="146"/>
  <c r="AH13" i="146"/>
  <c r="AI13" i="146"/>
  <c r="AJ13" i="146"/>
  <c r="C102" i="6"/>
  <c r="F85" i="32"/>
  <c r="BG50" i="22"/>
  <c r="AM47" i="26"/>
  <c r="F27" i="39"/>
  <c r="B72" i="39"/>
  <c r="BC87" i="22"/>
  <c r="AI84" i="23"/>
  <c r="I88" i="39"/>
  <c r="I53" i="39"/>
  <c r="L30" i="10"/>
  <c r="D54" i="6"/>
  <c r="F68" i="6"/>
  <c r="BE84" i="22"/>
  <c r="AK81" i="26"/>
  <c r="A618" i="35"/>
  <c r="A625" i="35"/>
  <c r="K66" i="39"/>
  <c r="G63" i="39"/>
  <c r="C100" i="39"/>
  <c r="D27" i="6"/>
  <c r="B74" i="6"/>
  <c r="E57" i="32"/>
  <c r="I86" i="32"/>
  <c r="I51" i="32"/>
  <c r="G530" i="35"/>
  <c r="F66" i="39"/>
  <c r="C14" i="39"/>
  <c r="G22" i="39"/>
  <c r="D90" i="39"/>
  <c r="G95" i="35"/>
  <c r="I96" i="32"/>
  <c r="H91" i="39"/>
  <c r="G6" i="32"/>
  <c r="BI57" i="22"/>
  <c r="AO54" i="26"/>
  <c r="I149" i="36"/>
  <c r="B70" i="32"/>
  <c r="BK116" i="22"/>
  <c r="AQ113" i="23"/>
  <c r="F82" i="6"/>
  <c r="L85" i="10"/>
  <c r="G46" i="39"/>
  <c r="BK105" i="22"/>
  <c r="AQ102" i="26"/>
  <c r="E83" i="39"/>
  <c r="C79" i="39"/>
  <c r="D69" i="39"/>
  <c r="E90" i="39"/>
  <c r="A95" i="35"/>
  <c r="A102" i="35"/>
  <c r="BG91" i="22"/>
  <c r="AM88" i="26"/>
  <c r="C328" i="36"/>
  <c r="C335" i="36"/>
  <c r="BA71" i="22"/>
  <c r="AG68" i="27"/>
  <c r="G61" i="32"/>
  <c r="BE108" i="22"/>
  <c r="AK105" i="27"/>
  <c r="AM33" i="26"/>
  <c r="BA53" i="22"/>
  <c r="AG50" i="23"/>
  <c r="F13" i="39"/>
  <c r="BA38" i="22"/>
  <c r="AG35" i="23"/>
  <c r="BG101" i="22"/>
  <c r="AM98" i="27"/>
  <c r="B38" i="6"/>
  <c r="L25" i="39"/>
  <c r="G44" i="32"/>
  <c r="AC83" i="26"/>
  <c r="BC111" i="22"/>
  <c r="AI108" i="23"/>
  <c r="I67" i="39"/>
  <c r="K13" i="39"/>
  <c r="AQ87" i="27"/>
  <c r="C34" i="39"/>
  <c r="F19" i="32"/>
  <c r="L42" i="39"/>
  <c r="B21" i="32"/>
  <c r="D17" i="6"/>
  <c r="C72" i="32"/>
  <c r="G620" i="35"/>
  <c r="L101" i="10"/>
  <c r="C329" i="35"/>
  <c r="C336" i="35"/>
  <c r="C45" i="32"/>
  <c r="H55" i="39"/>
  <c r="BC47" i="22"/>
  <c r="AI44" i="26"/>
  <c r="E76" i="32"/>
  <c r="B3" i="32"/>
  <c r="AW95" i="22"/>
  <c r="AC92" i="27"/>
  <c r="BI93" i="22"/>
  <c r="AO90" i="27"/>
  <c r="B5" i="39"/>
  <c r="AQ101" i="26"/>
  <c r="AQ87" i="23"/>
  <c r="F98" i="6"/>
  <c r="G89" i="39"/>
  <c r="AC63" i="27"/>
  <c r="L60" i="39"/>
  <c r="D13" i="32"/>
  <c r="AY75" i="22"/>
  <c r="AE72" i="23"/>
  <c r="BC113" i="22"/>
  <c r="AI110" i="27"/>
  <c r="F50" i="6"/>
  <c r="B10" i="6"/>
  <c r="AC63" i="23"/>
  <c r="C52" i="6"/>
  <c r="D85" i="39"/>
  <c r="B69" i="6"/>
  <c r="BC96" i="22"/>
  <c r="AI93" i="23"/>
  <c r="H65" i="39"/>
  <c r="I4" i="35"/>
  <c r="D59" i="6"/>
  <c r="AQ101" i="23"/>
  <c r="D3" i="32"/>
  <c r="H100" i="39"/>
  <c r="F77" i="6"/>
  <c r="AW116" i="22"/>
  <c r="AC113" i="26"/>
  <c r="G82" i="39"/>
  <c r="E85" i="39"/>
  <c r="C48" i="32"/>
  <c r="C50" i="39"/>
  <c r="A588" i="35"/>
  <c r="A595" i="35"/>
  <c r="AW105" i="22"/>
  <c r="AC102" i="27"/>
  <c r="BA120" i="22"/>
  <c r="AG117" i="27"/>
  <c r="L80" i="10"/>
  <c r="L70" i="39"/>
  <c r="B31" i="6"/>
  <c r="L12" i="39"/>
  <c r="L56" i="10"/>
  <c r="I30" i="39"/>
  <c r="F53" i="6"/>
  <c r="BI114" i="22"/>
  <c r="AO111" i="23"/>
  <c r="B55" i="6"/>
  <c r="D55" i="32"/>
  <c r="AG106" i="27"/>
  <c r="AE75" i="23"/>
  <c r="B98" i="39"/>
  <c r="F21" i="39"/>
  <c r="B29" i="39"/>
  <c r="L27" i="39"/>
  <c r="BA99" i="22"/>
  <c r="AG96" i="23"/>
  <c r="BE103" i="22"/>
  <c r="AK100" i="27"/>
  <c r="H53" i="32"/>
  <c r="H77" i="32"/>
  <c r="BK58" i="22"/>
  <c r="AQ55" i="23"/>
  <c r="BG117" i="22"/>
  <c r="AM114" i="23"/>
  <c r="B8" i="39"/>
  <c r="F51" i="39"/>
  <c r="B88" i="39"/>
  <c r="E70" i="6"/>
  <c r="BA58" i="22"/>
  <c r="AG55" i="26"/>
  <c r="B53" i="39"/>
  <c r="F75" i="39"/>
  <c r="B86" i="32"/>
  <c r="E83" i="32"/>
  <c r="F61" i="39"/>
  <c r="AD19" i="146"/>
  <c r="H63" i="32"/>
  <c r="B96" i="32"/>
  <c r="B27" i="32"/>
  <c r="F96" i="39"/>
  <c r="D83" i="6"/>
  <c r="C503" i="35"/>
  <c r="C510" i="35"/>
  <c r="L91" i="39"/>
  <c r="D7" i="6"/>
  <c r="E54" i="39"/>
  <c r="D73" i="6"/>
  <c r="I76" i="39"/>
  <c r="L87" i="10"/>
  <c r="G183" i="36"/>
  <c r="G87" i="32"/>
  <c r="F49" i="32"/>
  <c r="AW81" i="22"/>
  <c r="AC78" i="26"/>
  <c r="C19" i="39"/>
  <c r="AE75" i="26"/>
  <c r="I62" i="39"/>
  <c r="BE79" i="22"/>
  <c r="AK76" i="26"/>
  <c r="F73" i="32"/>
  <c r="I4" i="36"/>
  <c r="E52" i="32"/>
  <c r="J589" i="36"/>
  <c r="G504" i="36"/>
  <c r="BK80" i="22"/>
  <c r="AQ77" i="26"/>
  <c r="K48" i="39"/>
  <c r="B7" i="6"/>
  <c r="AY92" i="22"/>
  <c r="B51" i="32"/>
  <c r="AE19" i="146"/>
  <c r="AG31" i="146"/>
  <c r="AH31" i="146"/>
  <c r="AI31" i="146"/>
  <c r="AJ31" i="146"/>
  <c r="B178" i="36"/>
  <c r="G33" i="32"/>
  <c r="G415" i="36"/>
  <c r="C97" i="6"/>
  <c r="I555" i="36"/>
  <c r="BA33" i="22"/>
  <c r="AG30" i="23"/>
  <c r="BE89" i="22"/>
  <c r="AK86" i="26"/>
  <c r="H84" i="32"/>
  <c r="BG100" i="22"/>
  <c r="AM97" i="27"/>
  <c r="I74" i="32"/>
  <c r="BE76" i="22"/>
  <c r="AK73" i="27"/>
  <c r="I50" i="32"/>
  <c r="K96" i="39"/>
  <c r="F46" i="32"/>
  <c r="H79" i="39"/>
  <c r="G12" i="32"/>
  <c r="AD31" i="146"/>
  <c r="B178" i="35"/>
  <c r="B526" i="36"/>
  <c r="I60" i="32"/>
  <c r="E101" i="6"/>
  <c r="B38" i="39"/>
  <c r="C95" i="39"/>
  <c r="BG42" i="22"/>
  <c r="AM39" i="23"/>
  <c r="D79" i="32"/>
  <c r="AY47" i="22"/>
  <c r="AE44" i="23"/>
  <c r="F63" i="6"/>
  <c r="C66" i="6"/>
  <c r="AW36" i="22"/>
  <c r="AC33" i="27"/>
  <c r="E78" i="39"/>
  <c r="AG106" i="26"/>
  <c r="AC19" i="146"/>
  <c r="AG19" i="146"/>
  <c r="AH19" i="146"/>
  <c r="AI19" i="146"/>
  <c r="AJ19" i="146"/>
  <c r="AF31" i="146"/>
  <c r="E99" i="39"/>
  <c r="I91" i="32"/>
  <c r="B40" i="6"/>
  <c r="I91" i="36"/>
  <c r="G70" i="32"/>
  <c r="D32" i="6"/>
  <c r="L45" i="39"/>
  <c r="BC82" i="22"/>
  <c r="AI79" i="27"/>
  <c r="B79" i="6"/>
  <c r="BG110" i="22"/>
  <c r="AM107" i="23"/>
  <c r="D99" i="39"/>
  <c r="D68" i="39"/>
  <c r="A446" i="36"/>
  <c r="A453" i="36"/>
  <c r="G58" i="39"/>
  <c r="C21" i="6"/>
  <c r="C36" i="6"/>
  <c r="E97" i="32"/>
  <c r="B36" i="32"/>
  <c r="AG82" i="26"/>
  <c r="BG86" i="22"/>
  <c r="AM83" i="26"/>
  <c r="AY62" i="22"/>
  <c r="AE59" i="27"/>
  <c r="F59" i="32"/>
  <c r="C76" i="6"/>
  <c r="D90" i="32"/>
  <c r="E56" i="6"/>
  <c r="B75" i="32"/>
  <c r="E66" i="32"/>
  <c r="AW33" i="22"/>
  <c r="AC30" i="23"/>
  <c r="G32" i="19"/>
  <c r="AW101" i="22"/>
  <c r="AC98" i="27"/>
  <c r="J502" i="35"/>
  <c r="G23" i="19"/>
  <c r="F38" i="14"/>
  <c r="C502" i="36"/>
  <c r="C509" i="36"/>
  <c r="C502" i="35"/>
  <c r="C509" i="35"/>
  <c r="Q11" i="153"/>
  <c r="K95" i="39"/>
  <c r="F97" i="6"/>
  <c r="L73" i="39"/>
  <c r="I75" i="39"/>
  <c r="A445" i="36"/>
  <c r="A452" i="36"/>
  <c r="K74" i="39"/>
  <c r="H78" i="39"/>
  <c r="AO103" i="26"/>
  <c r="D77" i="39"/>
  <c r="D67" i="39"/>
  <c r="E77" i="39"/>
  <c r="Q10" i="153"/>
  <c r="BC105" i="22"/>
  <c r="AI102" i="27"/>
  <c r="B82" i="6"/>
  <c r="B78" i="32"/>
  <c r="BG99" i="22"/>
  <c r="AM96" i="27"/>
  <c r="D86" i="6"/>
  <c r="A98" i="35"/>
  <c r="A105" i="35"/>
  <c r="N27" i="7"/>
  <c r="AM63" i="23"/>
  <c r="AR66" i="33"/>
  <c r="AR129" i="33"/>
  <c r="U171" i="33"/>
  <c r="C68" i="35"/>
  <c r="C75" i="35"/>
  <c r="AE108" i="23"/>
  <c r="AI92" i="23"/>
  <c r="AO93" i="27"/>
  <c r="G35" i="20"/>
  <c r="AI92" i="26"/>
  <c r="AI70" i="27"/>
  <c r="G33" i="19"/>
  <c r="G39" i="14"/>
  <c r="G26" i="20"/>
  <c r="AO103" i="27"/>
  <c r="G620" i="36"/>
  <c r="B946" i="33"/>
  <c r="B757" i="33"/>
  <c r="E266" i="154"/>
  <c r="A386" i="182"/>
  <c r="T322" i="182"/>
  <c r="C59" i="32"/>
  <c r="F15" i="20"/>
  <c r="B883" i="33"/>
  <c r="K1" i="84"/>
  <c r="K1" i="70"/>
  <c r="E299" i="154"/>
  <c r="A290" i="182"/>
  <c r="C87" i="6"/>
  <c r="A20" i="146"/>
  <c r="I20" i="146"/>
  <c r="L76" i="39"/>
  <c r="B41" i="6"/>
  <c r="F41" i="6"/>
  <c r="B67" i="32"/>
  <c r="BI55" i="22"/>
  <c r="AO52" i="23"/>
  <c r="I43" i="39"/>
  <c r="F4" i="146"/>
  <c r="BK106" i="22"/>
  <c r="AQ103" i="23"/>
  <c r="H34" i="39"/>
  <c r="L14" i="10"/>
  <c r="BE39" i="22"/>
  <c r="AK36" i="26"/>
  <c r="K98" i="39"/>
  <c r="H10" i="32"/>
  <c r="A19" i="146"/>
  <c r="E19" i="146"/>
  <c r="I584" i="35"/>
  <c r="C20" i="39"/>
  <c r="F53" i="39"/>
  <c r="G125" i="35"/>
  <c r="I20" i="39"/>
  <c r="BG69" i="22"/>
  <c r="AM66" i="27"/>
  <c r="G48" i="32"/>
  <c r="C35" i="39"/>
  <c r="D16" i="39"/>
  <c r="J474" i="36"/>
  <c r="L35" i="10"/>
  <c r="F55" i="6"/>
  <c r="L41" i="10"/>
  <c r="L28" i="10"/>
  <c r="G98" i="35"/>
  <c r="AE45" i="26"/>
  <c r="B88" i="32"/>
  <c r="AG56" i="23"/>
  <c r="AC35" i="146"/>
  <c r="AW52" i="22"/>
  <c r="AC49" i="23"/>
  <c r="I22" i="39"/>
  <c r="A388" i="36"/>
  <c r="A395" i="36"/>
  <c r="H25" i="32"/>
  <c r="C66" i="39"/>
  <c r="BK96" i="22"/>
  <c r="AQ93" i="27"/>
  <c r="AE45" i="27"/>
  <c r="B81" i="32"/>
  <c r="AD23" i="146"/>
  <c r="B26" i="6"/>
  <c r="AI98" i="26"/>
  <c r="H11" i="32"/>
  <c r="BI99" i="22"/>
  <c r="AO96" i="23"/>
  <c r="G45" i="32"/>
  <c r="I584" i="36"/>
  <c r="B22" i="32"/>
  <c r="F27" i="6"/>
  <c r="BC98" i="22"/>
  <c r="AI95" i="26"/>
  <c r="D29" i="32"/>
  <c r="D33" i="6"/>
  <c r="AW49" i="22"/>
  <c r="AC46" i="27"/>
  <c r="AE23" i="146"/>
  <c r="AC23" i="146"/>
  <c r="G93" i="32"/>
  <c r="B43" i="32"/>
  <c r="B71" i="6"/>
  <c r="L7" i="39"/>
  <c r="G47" i="39"/>
  <c r="BI40" i="22"/>
  <c r="AO37" i="26"/>
  <c r="C4" i="146"/>
  <c r="B57" i="32"/>
  <c r="E14" i="32"/>
  <c r="F98" i="39"/>
  <c r="BE67" i="22"/>
  <c r="AK64" i="23"/>
  <c r="B85" i="6"/>
  <c r="BG92" i="22"/>
  <c r="AM89" i="26"/>
  <c r="AX67" i="22"/>
  <c r="AD64" i="26"/>
  <c r="AC78" i="182"/>
  <c r="B49" i="39"/>
  <c r="BF108" i="22"/>
  <c r="AL105" i="23"/>
  <c r="AO59" i="27"/>
  <c r="AO59" i="26"/>
  <c r="B90" i="39"/>
  <c r="F90" i="6"/>
  <c r="AO39" i="27"/>
  <c r="C617" i="36"/>
  <c r="C624" i="36"/>
  <c r="E60" i="39"/>
  <c r="AG35" i="146"/>
  <c r="AH35" i="146"/>
  <c r="AI35" i="146"/>
  <c r="AJ35" i="146"/>
  <c r="Q8" i="153"/>
  <c r="AQ76" i="26"/>
  <c r="AO104" i="27"/>
  <c r="G95" i="39"/>
  <c r="C617" i="35"/>
  <c r="C624" i="35"/>
  <c r="C356" i="36"/>
  <c r="C363" i="36"/>
  <c r="G21" i="4"/>
  <c r="F96" i="32"/>
  <c r="B92" i="6"/>
  <c r="BK48" i="22"/>
  <c r="AQ45" i="26"/>
  <c r="J212" i="36"/>
  <c r="BE81" i="22"/>
  <c r="AK78" i="27"/>
  <c r="I97" i="32"/>
  <c r="L82" i="10"/>
  <c r="BE116" i="22"/>
  <c r="AK113" i="23"/>
  <c r="BK82" i="22"/>
  <c r="AQ79" i="26"/>
  <c r="I54" i="39"/>
  <c r="AG56" i="26"/>
  <c r="BG78" i="22"/>
  <c r="AM75" i="27"/>
  <c r="H27" i="39"/>
  <c r="L13" i="39"/>
  <c r="BK50" i="22"/>
  <c r="AQ47" i="27"/>
  <c r="G4" i="32"/>
  <c r="AB105" i="23"/>
  <c r="L93" i="10"/>
  <c r="AI70" i="26"/>
  <c r="H40" i="39"/>
  <c r="C18" i="32"/>
  <c r="L52" i="39"/>
  <c r="AQ76" i="27"/>
  <c r="F77" i="39"/>
  <c r="F16" i="32"/>
  <c r="AY115" i="22"/>
  <c r="AE112" i="26"/>
  <c r="G39" i="32"/>
  <c r="BC88" i="22"/>
  <c r="AI85" i="26"/>
  <c r="I497" i="36"/>
  <c r="C242" i="36"/>
  <c r="C249" i="36"/>
  <c r="B83" i="39"/>
  <c r="L43" i="39"/>
  <c r="D44" i="32"/>
  <c r="H12" i="39"/>
  <c r="B95" i="6"/>
  <c r="F39" i="39"/>
  <c r="E16" i="39"/>
  <c r="H92" i="39"/>
  <c r="K39" i="39"/>
  <c r="B23" i="6"/>
  <c r="AY108" i="22"/>
  <c r="AE105" i="27"/>
  <c r="I68" i="39"/>
  <c r="G64" i="39"/>
  <c r="BE95" i="22"/>
  <c r="AK92" i="26"/>
  <c r="J385" i="35"/>
  <c r="G30" i="32"/>
  <c r="C82" i="6"/>
  <c r="BA91" i="22"/>
  <c r="AG88" i="26"/>
  <c r="H38" i="32"/>
  <c r="L62" i="39"/>
  <c r="C89" i="6"/>
  <c r="E62" i="6"/>
  <c r="BA101" i="22"/>
  <c r="AG98" i="27"/>
  <c r="BI120" i="22"/>
  <c r="AO117" i="27"/>
  <c r="E93" i="6"/>
  <c r="A22" i="146"/>
  <c r="H22" i="146"/>
  <c r="AM63" i="26"/>
  <c r="E86" i="6"/>
  <c r="BI68" i="22"/>
  <c r="AO65" i="27"/>
  <c r="L97" i="39"/>
  <c r="B61" i="6"/>
  <c r="AC108" i="26"/>
  <c r="I20" i="32"/>
  <c r="G269" i="35"/>
  <c r="H57" i="39"/>
  <c r="C87" i="39"/>
  <c r="B45" i="39"/>
  <c r="E58" i="32"/>
  <c r="E70" i="39"/>
  <c r="D71" i="32"/>
  <c r="H90" i="32"/>
  <c r="L72" i="10"/>
  <c r="A619" i="36"/>
  <c r="A626" i="36"/>
  <c r="D18" i="6"/>
  <c r="AW67" i="22"/>
  <c r="AC64" i="26"/>
  <c r="F25" i="39"/>
  <c r="J620" i="36"/>
  <c r="K77" i="39"/>
  <c r="C530" i="35"/>
  <c r="C537" i="35"/>
  <c r="E84" i="39"/>
  <c r="AC108" i="27"/>
  <c r="D4" i="146"/>
  <c r="E82" i="32"/>
  <c r="B59" i="39"/>
  <c r="E18" i="6"/>
  <c r="H32" i="32"/>
  <c r="I78" i="39"/>
  <c r="BE105" i="22"/>
  <c r="AK102" i="26"/>
  <c r="F20" i="6"/>
  <c r="H55" i="32"/>
  <c r="L10" i="39"/>
  <c r="E68" i="32"/>
  <c r="BC44" i="22"/>
  <c r="AI41" i="26"/>
  <c r="J559" i="35"/>
  <c r="F11" i="39"/>
  <c r="BE53" i="22"/>
  <c r="AY63" i="22"/>
  <c r="AE60" i="26"/>
  <c r="F75" i="32"/>
  <c r="AY94" i="22"/>
  <c r="AE91" i="23"/>
  <c r="J328" i="36"/>
  <c r="AC84" i="23"/>
  <c r="C58" i="6"/>
  <c r="E72" i="6"/>
  <c r="BE46" i="22"/>
  <c r="AK43" i="23"/>
  <c r="H69" i="32"/>
  <c r="BC119" i="22"/>
  <c r="AI116" i="26"/>
  <c r="F18" i="39"/>
  <c r="AQ68" i="23"/>
  <c r="L58" i="10"/>
  <c r="L49" i="39"/>
  <c r="F51" i="32"/>
  <c r="F13" i="6"/>
  <c r="C33" i="32"/>
  <c r="BC112" i="22"/>
  <c r="AI109" i="23"/>
  <c r="C68" i="6"/>
  <c r="D65" i="6"/>
  <c r="BA44" i="22"/>
  <c r="AG41" i="27"/>
  <c r="F67" i="39"/>
  <c r="AC84" i="26"/>
  <c r="F23" i="32"/>
  <c r="AY84" i="22"/>
  <c r="AE81" i="27"/>
  <c r="C56" i="39"/>
  <c r="H13" i="39"/>
  <c r="H81" i="39"/>
  <c r="F88" i="39"/>
  <c r="E91" i="39"/>
  <c r="C96" i="35"/>
  <c r="C103" i="35"/>
  <c r="I41" i="32"/>
  <c r="AQ68" i="26"/>
  <c r="BG102" i="22"/>
  <c r="AM99" i="26"/>
  <c r="BK113" i="22"/>
  <c r="AQ110" i="26"/>
  <c r="F9" i="32"/>
  <c r="AW97" i="22"/>
  <c r="AC94" i="26"/>
  <c r="BI109" i="22"/>
  <c r="AO106" i="27"/>
  <c r="F69" i="6"/>
  <c r="G6" i="39"/>
  <c r="C80" i="39"/>
  <c r="A473" i="35"/>
  <c r="A480" i="35"/>
  <c r="H79" i="32"/>
  <c r="F86" i="32"/>
  <c r="E89" i="32"/>
  <c r="G271" i="35"/>
  <c r="G74" i="39"/>
  <c r="G357" i="35"/>
  <c r="B39" i="39"/>
  <c r="D96" i="6"/>
  <c r="I83" i="32"/>
  <c r="B120" i="36"/>
  <c r="AM42" i="26"/>
  <c r="W7" i="82"/>
  <c r="AV6" i="82"/>
  <c r="AE49" i="27"/>
  <c r="BL108" i="22"/>
  <c r="AR105" i="26"/>
  <c r="AK61" i="27"/>
  <c r="AE93" i="26"/>
  <c r="A19" i="16"/>
  <c r="AG37" i="26"/>
  <c r="B323" i="35"/>
  <c r="AX11" i="22"/>
  <c r="AI60" i="26"/>
  <c r="D31" i="32"/>
  <c r="Q9" i="82"/>
  <c r="AR7" i="82"/>
  <c r="AM42" i="27"/>
  <c r="A530" i="36"/>
  <c r="A537" i="36"/>
  <c r="AG91" i="23"/>
  <c r="AD21" i="146"/>
  <c r="AG91" i="27"/>
  <c r="AM82" i="27"/>
  <c r="H37" i="32"/>
  <c r="AO79" i="27"/>
  <c r="J213" i="35"/>
  <c r="F2" i="146"/>
  <c r="B27" i="6"/>
  <c r="A13" i="146"/>
  <c r="F13" i="146"/>
  <c r="AO59" i="23"/>
  <c r="AM82" i="23"/>
  <c r="AI33" i="27"/>
  <c r="B23" i="32"/>
  <c r="I207" i="36"/>
  <c r="E37" i="6"/>
  <c r="BL90" i="22"/>
  <c r="AR87" i="27"/>
  <c r="BD62" i="22"/>
  <c r="AJ59" i="27"/>
  <c r="C2" i="146"/>
  <c r="B71" i="32"/>
  <c r="B97" i="39"/>
  <c r="A11" i="146"/>
  <c r="I11" i="146"/>
  <c r="I39" i="32"/>
  <c r="BG58" i="22"/>
  <c r="AM55" i="23"/>
  <c r="C43" i="39"/>
  <c r="B99" i="6"/>
  <c r="F46" i="6"/>
  <c r="D35" i="39"/>
  <c r="AW53" i="22"/>
  <c r="AC50" i="23"/>
  <c r="B95" i="32"/>
  <c r="BE72" i="22"/>
  <c r="E12" i="32"/>
  <c r="E35" i="39"/>
  <c r="A12" i="146"/>
  <c r="I12" i="146"/>
  <c r="G385" i="36"/>
  <c r="F35" i="32"/>
  <c r="I41" i="39"/>
  <c r="B75" i="6"/>
  <c r="C272" i="35"/>
  <c r="C279" i="35"/>
  <c r="AG33" i="146"/>
  <c r="AH33" i="146"/>
  <c r="AI33" i="146"/>
  <c r="AJ33" i="146"/>
  <c r="J243" i="36"/>
  <c r="AM106" i="26"/>
  <c r="C240" i="36"/>
  <c r="C247" i="36"/>
  <c r="AI33" i="23"/>
  <c r="B73" i="39"/>
  <c r="F44" i="39"/>
  <c r="D2" i="146"/>
  <c r="E33" i="32"/>
  <c r="AD33" i="146"/>
  <c r="J243" i="35"/>
  <c r="C243" i="36"/>
  <c r="C250" i="36"/>
  <c r="B497" i="36"/>
  <c r="K44" i="39"/>
  <c r="AI60" i="27"/>
  <c r="AE21" i="146"/>
  <c r="AF33" i="146"/>
  <c r="AC33" i="146"/>
  <c r="AC60" i="26"/>
  <c r="H39" i="39"/>
  <c r="F37" i="39"/>
  <c r="L40" i="10"/>
  <c r="AF21" i="146"/>
  <c r="AC21" i="146"/>
  <c r="E2" i="146"/>
  <c r="AI74" i="27"/>
  <c r="AC60" i="23"/>
  <c r="BI67" i="22"/>
  <c r="AO64" i="26"/>
  <c r="H23" i="32"/>
  <c r="BE65" i="22"/>
  <c r="AK62" i="27"/>
  <c r="B51" i="6"/>
  <c r="BK69" i="22"/>
  <c r="AQ66" i="23"/>
  <c r="B25" i="39"/>
  <c r="BA61" i="22"/>
  <c r="AG58" i="23"/>
  <c r="F39" i="6"/>
  <c r="AW77" i="22"/>
  <c r="AC74" i="23"/>
  <c r="BG34" i="22"/>
  <c r="AM31" i="26"/>
  <c r="G38" i="20"/>
  <c r="C35" i="6"/>
  <c r="A299" i="35"/>
  <c r="A306" i="35"/>
  <c r="AG85" i="23"/>
  <c r="AB46" i="23"/>
  <c r="AG85" i="27"/>
  <c r="L77" i="39"/>
  <c r="AW73" i="22"/>
  <c r="C388" i="35"/>
  <c r="C395" i="35"/>
  <c r="F29" i="20"/>
  <c r="B65" i="39"/>
  <c r="AQ60" i="27"/>
  <c r="AO46" i="27"/>
  <c r="AE33" i="27"/>
  <c r="AI78" i="26"/>
  <c r="AE56" i="23"/>
  <c r="AC16" i="182"/>
  <c r="BL71" i="22"/>
  <c r="AR68" i="26"/>
  <c r="AZ96" i="22"/>
  <c r="AX111" i="22"/>
  <c r="AZ44" i="22"/>
  <c r="AF41" i="23"/>
  <c r="BJ90" i="22"/>
  <c r="AP87" i="26"/>
  <c r="BF50" i="22"/>
  <c r="AL47" i="27"/>
  <c r="AO89" i="23"/>
  <c r="AB41" i="23"/>
  <c r="BD119" i="22"/>
  <c r="BB50" i="22"/>
  <c r="AH47" i="27"/>
  <c r="AC81" i="182"/>
  <c r="AO114" i="23"/>
  <c r="G36" i="4"/>
  <c r="AG70" i="23"/>
  <c r="G503" i="36"/>
  <c r="G16" i="4"/>
  <c r="B91" i="32"/>
  <c r="J300" i="35"/>
  <c r="AK54" i="23"/>
  <c r="AQ112" i="27"/>
  <c r="AG37" i="27"/>
  <c r="AO46" i="26"/>
  <c r="AC91" i="26"/>
  <c r="J124" i="35"/>
  <c r="B69" i="39"/>
  <c r="J124" i="36"/>
  <c r="J95" i="35"/>
  <c r="AO47" i="26"/>
  <c r="AO47" i="23"/>
  <c r="AO47" i="27"/>
  <c r="AQ40" i="27"/>
  <c r="AQ40" i="23"/>
  <c r="AQ40" i="26"/>
  <c r="BI66" i="22"/>
  <c r="AO63" i="26"/>
  <c r="F6" i="39"/>
  <c r="AO72" i="23"/>
  <c r="BC53" i="22"/>
  <c r="AI50" i="27"/>
  <c r="BG48" i="22"/>
  <c r="AM65" i="23"/>
  <c r="AO67" i="26"/>
  <c r="AO108" i="26"/>
  <c r="AC46" i="182"/>
  <c r="E62" i="39"/>
  <c r="G18" i="32"/>
  <c r="E32" i="32"/>
  <c r="F8" i="6"/>
  <c r="H29" i="39"/>
  <c r="I8" i="39"/>
  <c r="BC62" i="22"/>
  <c r="H44" i="39"/>
  <c r="G11" i="32"/>
  <c r="BF45" i="22"/>
  <c r="AF87" i="27"/>
  <c r="BG73" i="22"/>
  <c r="AM70" i="26"/>
  <c r="J241" i="35"/>
  <c r="L45" i="10"/>
  <c r="G213" i="36"/>
  <c r="AG67" i="23"/>
  <c r="H27" i="32"/>
  <c r="B38" i="32"/>
  <c r="BK36" i="22"/>
  <c r="H42" i="32"/>
  <c r="AF87" i="23"/>
  <c r="C31" i="6"/>
  <c r="AC79" i="182"/>
  <c r="BE71" i="22"/>
  <c r="AK68" i="26"/>
  <c r="G68" i="35"/>
  <c r="AQ111" i="27"/>
  <c r="A416" i="35"/>
  <c r="A423" i="35"/>
  <c r="B73" i="32"/>
  <c r="BE97" i="22"/>
  <c r="AK94" i="26"/>
  <c r="D32" i="39"/>
  <c r="C443" i="36"/>
  <c r="C450" i="36"/>
  <c r="AO110" i="26"/>
  <c r="AE93" i="23"/>
  <c r="AI49" i="27"/>
  <c r="E32" i="39"/>
  <c r="BG64" i="22"/>
  <c r="F43" i="39"/>
  <c r="J125" i="35"/>
  <c r="G25" i="32"/>
  <c r="E11" i="39"/>
  <c r="E34" i="6"/>
  <c r="D25" i="39"/>
  <c r="AX7" i="22"/>
  <c r="AM102" i="26"/>
  <c r="H38" i="39"/>
  <c r="I6" i="32"/>
  <c r="D34" i="6"/>
  <c r="G36" i="39"/>
  <c r="L89" i="39"/>
  <c r="B50" i="6"/>
  <c r="I15" i="39"/>
  <c r="D11" i="39"/>
  <c r="E27" i="6"/>
  <c r="AX93" i="22"/>
  <c r="AD90" i="26"/>
  <c r="AX8" i="22"/>
  <c r="C51" i="32"/>
  <c r="G34" i="32"/>
  <c r="AC14" i="182"/>
  <c r="H36" i="32"/>
  <c r="BI72" i="22"/>
  <c r="AO69" i="23"/>
  <c r="E54" i="6"/>
  <c r="H94" i="39"/>
  <c r="BE111" i="22"/>
  <c r="AK108" i="23"/>
  <c r="I13" i="32"/>
  <c r="H22" i="39"/>
  <c r="G27" i="39"/>
  <c r="BC39" i="22"/>
  <c r="AX4" i="22"/>
  <c r="AX10" i="22"/>
  <c r="L23" i="10"/>
  <c r="AC80" i="182"/>
  <c r="AO38" i="23"/>
  <c r="AO39" i="23"/>
  <c r="AQ96" i="23"/>
  <c r="AG81" i="27"/>
  <c r="AK89" i="26"/>
  <c r="AC15" i="182"/>
  <c r="I89" i="32"/>
  <c r="E34" i="39"/>
  <c r="AX106" i="22"/>
  <c r="AD103" i="27"/>
  <c r="AI45" i="26"/>
  <c r="J300" i="36"/>
  <c r="G591" i="36"/>
  <c r="G68" i="36"/>
  <c r="AQ60" i="23"/>
  <c r="C9" i="36"/>
  <c r="C16" i="36"/>
  <c r="A39" i="36"/>
  <c r="A46" i="36"/>
  <c r="E16" i="32"/>
  <c r="BE34" i="22"/>
  <c r="AK31" i="27"/>
  <c r="BG55" i="22"/>
  <c r="AM52" i="23"/>
  <c r="E18" i="39"/>
  <c r="BB90" i="22"/>
  <c r="AE115" i="27"/>
  <c r="AM65" i="27"/>
  <c r="AG81" i="26"/>
  <c r="AI86" i="23"/>
  <c r="F41" i="32"/>
  <c r="F4" i="32"/>
  <c r="BK119" i="22"/>
  <c r="AQ116" i="26"/>
  <c r="L47" i="10"/>
  <c r="BG41" i="22"/>
  <c r="AM38" i="23"/>
  <c r="C561" i="35"/>
  <c r="C568" i="35"/>
  <c r="AX90" i="22"/>
  <c r="AQ71" i="27"/>
  <c r="AQ71" i="23"/>
  <c r="I61" i="32"/>
  <c r="E77" i="32"/>
  <c r="AC103" i="27"/>
  <c r="G67" i="36"/>
  <c r="AQ111" i="26"/>
  <c r="AI82" i="27"/>
  <c r="T8" i="154"/>
  <c r="I92" i="32"/>
  <c r="AO56" i="26"/>
  <c r="H8" i="154"/>
  <c r="AG20" i="146"/>
  <c r="AH20" i="146"/>
  <c r="AI20" i="146"/>
  <c r="AJ20" i="146"/>
  <c r="AF32" i="146"/>
  <c r="AC91" i="27"/>
  <c r="H9" i="154"/>
  <c r="I94" i="39"/>
  <c r="E81" i="6"/>
  <c r="B42" i="32"/>
  <c r="D20" i="6"/>
  <c r="C40" i="39"/>
  <c r="BI115" i="22"/>
  <c r="AO112" i="23"/>
  <c r="B78" i="39"/>
  <c r="E63" i="32"/>
  <c r="AE100" i="27"/>
  <c r="L67" i="10"/>
  <c r="BG97" i="22"/>
  <c r="AM94" i="23"/>
  <c r="B56" i="6"/>
  <c r="C75" i="39"/>
  <c r="BA46" i="22"/>
  <c r="AY79" i="22"/>
  <c r="AE76" i="23"/>
  <c r="L61" i="39"/>
  <c r="AO48" i="26"/>
  <c r="AO32" i="27"/>
  <c r="E98" i="32"/>
  <c r="C330" i="36"/>
  <c r="C337" i="36"/>
  <c r="AW82" i="22"/>
  <c r="AC79" i="27"/>
  <c r="AW54" i="22"/>
  <c r="AC51" i="23"/>
  <c r="E53" i="32"/>
  <c r="F64" i="6"/>
  <c r="J444" i="36"/>
  <c r="F76" i="39"/>
  <c r="H56" i="39"/>
  <c r="BE90" i="22"/>
  <c r="AK87" i="23"/>
  <c r="F18" i="19"/>
  <c r="K1" i="272"/>
  <c r="AE32" i="146"/>
  <c r="AO32" i="26"/>
  <c r="G240" i="36"/>
  <c r="C300" i="35"/>
  <c r="C307" i="35"/>
  <c r="BE80" i="22"/>
  <c r="AK77" i="27"/>
  <c r="L92" i="39"/>
  <c r="B26" i="39"/>
  <c r="AE65" i="27"/>
  <c r="BI108" i="22"/>
  <c r="AO105" i="26"/>
  <c r="C415" i="35"/>
  <c r="C422" i="35"/>
  <c r="H66" i="39"/>
  <c r="E86" i="39"/>
  <c r="C77" i="6"/>
  <c r="L81" i="10"/>
  <c r="I49" i="39"/>
  <c r="BJ115" i="22"/>
  <c r="AP112" i="27"/>
  <c r="H23" i="21"/>
  <c r="H22" i="21"/>
  <c r="AG32" i="146"/>
  <c r="AH32" i="146"/>
  <c r="AI32" i="146"/>
  <c r="AJ32" i="146"/>
  <c r="G240" i="35"/>
  <c r="F52" i="39"/>
  <c r="B11" i="39"/>
  <c r="AM115" i="27"/>
  <c r="L71" i="39"/>
  <c r="BC93" i="22"/>
  <c r="AI90" i="26"/>
  <c r="AW35" i="22"/>
  <c r="AC32" i="27"/>
  <c r="B24" i="32"/>
  <c r="AY76" i="22"/>
  <c r="AE73" i="26"/>
  <c r="AE65" i="23"/>
  <c r="BI94" i="22"/>
  <c r="AO91" i="26"/>
  <c r="C504" i="35"/>
  <c r="C511" i="35"/>
  <c r="H80" i="39"/>
  <c r="BA77" i="22"/>
  <c r="AG74" i="23"/>
  <c r="G27" i="19"/>
  <c r="A38" i="35"/>
  <c r="A45" i="35"/>
  <c r="AO77" i="26"/>
  <c r="AK75" i="26"/>
  <c r="F50" i="32"/>
  <c r="BG111" i="22"/>
  <c r="AM108" i="26"/>
  <c r="C96" i="39"/>
  <c r="AW39" i="22"/>
  <c r="AC36" i="27"/>
  <c r="AM115" i="26"/>
  <c r="B5" i="32"/>
  <c r="BI84" i="22"/>
  <c r="C48" i="39"/>
  <c r="C53" i="6"/>
  <c r="BC114" i="22"/>
  <c r="AI111" i="27"/>
  <c r="L98" i="10"/>
  <c r="L88" i="10"/>
  <c r="D51" i="6"/>
  <c r="K93" i="39"/>
  <c r="G20" i="20"/>
  <c r="D74" i="6"/>
  <c r="C42" i="6"/>
  <c r="B77" i="39"/>
  <c r="AD20" i="146"/>
  <c r="AO77" i="27"/>
  <c r="AK75" i="27"/>
  <c r="AK89" i="27"/>
  <c r="G81" i="32"/>
  <c r="C94" i="32"/>
  <c r="B13" i="6"/>
  <c r="B9" i="6"/>
  <c r="BA64" i="22"/>
  <c r="AG61" i="26"/>
  <c r="H54" i="32"/>
  <c r="C50" i="6"/>
  <c r="C49" i="32"/>
  <c r="B99" i="39"/>
  <c r="F74" i="32"/>
  <c r="F95" i="6"/>
  <c r="E79" i="39"/>
  <c r="G36" i="19"/>
  <c r="AC34" i="23"/>
  <c r="AE51" i="26"/>
  <c r="D34" i="32"/>
  <c r="F21" i="32"/>
  <c r="B68" i="39"/>
  <c r="BK91" i="22"/>
  <c r="AQ88" i="23"/>
  <c r="D84" i="6"/>
  <c r="AO75" i="26"/>
  <c r="G43" i="4"/>
  <c r="A358" i="35"/>
  <c r="A365" i="35"/>
  <c r="AE20" i="146"/>
  <c r="AQ57" i="23"/>
  <c r="AG116" i="27"/>
  <c r="AI47" i="23"/>
  <c r="C388" i="36"/>
  <c r="C395" i="36"/>
  <c r="I63" i="39"/>
  <c r="I613" i="36"/>
  <c r="E67" i="6"/>
  <c r="B66" i="32"/>
  <c r="BC107" i="22"/>
  <c r="AI104" i="27"/>
  <c r="C22" i="39"/>
  <c r="I73" i="39"/>
  <c r="G90" i="39"/>
  <c r="AC103" i="26"/>
  <c r="G19" i="4"/>
  <c r="K52" i="39"/>
  <c r="AQ57" i="26"/>
  <c r="AI117" i="23"/>
  <c r="BA117" i="22"/>
  <c r="AG114" i="27"/>
  <c r="L33" i="39"/>
  <c r="F91" i="32"/>
  <c r="G59" i="39"/>
  <c r="AW57" i="22"/>
  <c r="AY50" i="22"/>
  <c r="AE47" i="26"/>
  <c r="D87" i="32"/>
  <c r="I46" i="39"/>
  <c r="C20" i="32"/>
  <c r="L57" i="10"/>
  <c r="B101" i="6"/>
  <c r="BK101" i="22"/>
  <c r="AQ98" i="27"/>
  <c r="AX115" i="22"/>
  <c r="AD112" i="23"/>
  <c r="B44" i="39"/>
  <c r="G88" i="32"/>
  <c r="J242" i="35"/>
  <c r="AG107" i="27"/>
  <c r="B80" i="6"/>
  <c r="B46" i="6"/>
  <c r="AK47" i="27"/>
  <c r="A38" i="36"/>
  <c r="A45" i="36"/>
  <c r="AC55" i="27"/>
  <c r="E9" i="196"/>
  <c r="T9" i="154"/>
  <c r="AW96" i="22"/>
  <c r="AC93" i="26"/>
  <c r="E84" i="32"/>
  <c r="A242" i="35"/>
  <c r="A249" i="35"/>
  <c r="E65" i="39"/>
  <c r="AI78" i="23"/>
  <c r="BA86" i="22"/>
  <c r="AG83" i="26"/>
  <c r="BK77" i="22"/>
  <c r="I71" i="32"/>
  <c r="L30" i="39"/>
  <c r="AQ39" i="27"/>
  <c r="AQ39" i="23"/>
  <c r="J242" i="36"/>
  <c r="AR6" i="84"/>
  <c r="G37" i="4"/>
  <c r="AO35" i="27"/>
  <c r="AM46" i="27"/>
  <c r="A23" i="16"/>
  <c r="A27" i="16"/>
  <c r="G472" i="35"/>
  <c r="G31" i="4"/>
  <c r="AC35" i="27"/>
  <c r="AQ96" i="26"/>
  <c r="AG65" i="26"/>
  <c r="AQ108" i="23"/>
  <c r="AG65" i="23"/>
  <c r="U45" i="33"/>
  <c r="AC45" i="23"/>
  <c r="G154" i="36"/>
  <c r="AC45" i="27"/>
  <c r="A155" i="35"/>
  <c r="A162" i="35"/>
  <c r="G154" i="35"/>
  <c r="AM72" i="23"/>
  <c r="A155" i="36"/>
  <c r="A162" i="36"/>
  <c r="U15" i="33"/>
  <c r="AG67" i="27"/>
  <c r="AQ44" i="27"/>
  <c r="AS15" i="33"/>
  <c r="AC52" i="26"/>
  <c r="AM113" i="26"/>
  <c r="AM72" i="26"/>
  <c r="AO93" i="26"/>
  <c r="AC14" i="26"/>
  <c r="AC38" i="23"/>
  <c r="A69" i="35"/>
  <c r="A76" i="35"/>
  <c r="AC34" i="27"/>
  <c r="AQ58" i="26"/>
  <c r="AB42" i="26"/>
  <c r="AE33" i="26"/>
  <c r="AC53" i="23"/>
  <c r="AX3" i="22"/>
  <c r="AB87" i="23"/>
  <c r="H27" i="21"/>
  <c r="H26" i="21"/>
  <c r="H21" i="21"/>
  <c r="H20" i="21"/>
  <c r="AM113" i="23"/>
  <c r="J270" i="35"/>
  <c r="AX107" i="22"/>
  <c r="AD104" i="27"/>
  <c r="AB87" i="27"/>
  <c r="BF90" i="22"/>
  <c r="AB73" i="23"/>
  <c r="G501" i="35"/>
  <c r="AE42" i="27"/>
  <c r="C562" i="35"/>
  <c r="C569" i="35"/>
  <c r="G13" i="4"/>
  <c r="G26" i="19"/>
  <c r="AE42" i="26"/>
  <c r="AE90" i="27"/>
  <c r="C473" i="36"/>
  <c r="C480" i="36"/>
  <c r="AC101" i="23"/>
  <c r="AI74" i="26"/>
  <c r="N8" i="196"/>
  <c r="AG100" i="23"/>
  <c r="G36" i="20"/>
  <c r="D60" i="6"/>
  <c r="F35" i="19"/>
  <c r="BA100" i="22"/>
  <c r="AG97" i="23"/>
  <c r="BE104" i="22"/>
  <c r="J272" i="36"/>
  <c r="AE90" i="23"/>
  <c r="AC68" i="23"/>
  <c r="AC101" i="26"/>
  <c r="E8" i="196"/>
  <c r="C417" i="35"/>
  <c r="C424" i="35"/>
  <c r="A17" i="16"/>
  <c r="N9" i="196"/>
  <c r="A501" i="36"/>
  <c r="A508" i="36"/>
  <c r="G39" i="19"/>
  <c r="AC106" i="23"/>
  <c r="AK30" i="26"/>
  <c r="AK85" i="27"/>
  <c r="L85" i="39"/>
  <c r="AG112" i="27"/>
  <c r="AQ104" i="27"/>
  <c r="AC68" i="26"/>
  <c r="AC17" i="182"/>
  <c r="C417" i="36"/>
  <c r="C424" i="36"/>
  <c r="AK116" i="23"/>
  <c r="AK85" i="23"/>
  <c r="C328" i="35"/>
  <c r="C335" i="35"/>
  <c r="F78" i="6"/>
  <c r="AX50" i="22"/>
  <c r="E57" i="6"/>
  <c r="B54" i="39"/>
  <c r="AK30" i="23"/>
  <c r="G21" i="19"/>
  <c r="AG116" i="23"/>
  <c r="J214" i="35"/>
  <c r="C11" i="36"/>
  <c r="C18" i="36"/>
  <c r="BC83" i="22"/>
  <c r="E88" i="6"/>
  <c r="BG87" i="22"/>
  <c r="AQ58" i="27"/>
  <c r="C68" i="36"/>
  <c r="C75" i="36"/>
  <c r="AE66" i="26"/>
  <c r="A272" i="36"/>
  <c r="A279" i="36"/>
  <c r="J272" i="35"/>
  <c r="AO57" i="27"/>
  <c r="AI45" i="23"/>
  <c r="AM102" i="23"/>
  <c r="AO79" i="23"/>
  <c r="AK61" i="23"/>
  <c r="E102" i="6"/>
  <c r="BB44" i="22"/>
  <c r="BD71" i="22"/>
  <c r="AJ68" i="27"/>
  <c r="J10" i="35"/>
  <c r="AI35" i="23"/>
  <c r="AE56" i="26"/>
  <c r="C357" i="36"/>
  <c r="C364" i="36"/>
  <c r="AO72" i="26"/>
  <c r="AO75" i="27"/>
  <c r="BL111" i="22"/>
  <c r="AC52" i="23"/>
  <c r="J328" i="35"/>
  <c r="AG40" i="26"/>
  <c r="BH59" i="22"/>
  <c r="AO35" i="26"/>
  <c r="BJ65" i="22"/>
  <c r="AO104" i="23"/>
  <c r="AQ44" i="26"/>
  <c r="J588" i="35"/>
  <c r="H13" i="21"/>
  <c r="H12" i="21"/>
  <c r="AK106" i="26"/>
  <c r="AK106" i="27"/>
  <c r="AK106" i="23"/>
  <c r="AG63" i="27"/>
  <c r="AG63" i="26"/>
  <c r="AG63" i="23"/>
  <c r="J97" i="35"/>
  <c r="J97" i="36"/>
  <c r="AO30" i="27"/>
  <c r="AO30" i="26"/>
  <c r="AO30" i="23"/>
  <c r="AO53" i="23"/>
  <c r="AO110" i="27"/>
  <c r="C89" i="32"/>
  <c r="B13" i="39"/>
  <c r="H96" i="39"/>
  <c r="B94" i="39"/>
  <c r="BE120" i="22"/>
  <c r="AK117" i="26"/>
  <c r="E52" i="6"/>
  <c r="G83" i="32"/>
  <c r="G78" i="39"/>
  <c r="A328" i="35"/>
  <c r="A335" i="35"/>
  <c r="H46" i="32"/>
  <c r="D100" i="6"/>
  <c r="F73" i="6"/>
  <c r="BC102" i="22"/>
  <c r="D50" i="39"/>
  <c r="E72" i="32"/>
  <c r="AO53" i="27"/>
  <c r="AG33" i="27"/>
  <c r="H94" i="32"/>
  <c r="BG82" i="22"/>
  <c r="B48" i="6"/>
  <c r="D51" i="32"/>
  <c r="AW91" i="22"/>
  <c r="AC88" i="26"/>
  <c r="F90" i="32"/>
  <c r="E48" i="32"/>
  <c r="G617" i="36"/>
  <c r="A328" i="36"/>
  <c r="A335" i="36"/>
  <c r="L52" i="10"/>
  <c r="L35" i="39"/>
  <c r="BC78" i="22"/>
  <c r="AI75" i="23"/>
  <c r="H75" i="39"/>
  <c r="B15" i="6"/>
  <c r="AG33" i="23"/>
  <c r="E47" i="39"/>
  <c r="A502" i="35"/>
  <c r="A509" i="35"/>
  <c r="B44" i="32"/>
  <c r="B63" i="39"/>
  <c r="L20" i="39"/>
  <c r="I89" i="39"/>
  <c r="L56" i="39"/>
  <c r="BG106" i="22"/>
  <c r="AM103" i="26"/>
  <c r="AG78" i="27"/>
  <c r="L76" i="10"/>
  <c r="H49" i="32"/>
  <c r="I58" i="39"/>
  <c r="E76" i="6"/>
  <c r="H51" i="39"/>
  <c r="K81" i="39"/>
  <c r="B39" i="6"/>
  <c r="C27" i="39"/>
  <c r="BA116" i="22"/>
  <c r="AG113" i="23"/>
  <c r="K3" i="32"/>
  <c r="A3" i="32"/>
  <c r="AQ56" i="23"/>
  <c r="I72" i="39"/>
  <c r="B61" i="32"/>
  <c r="BK117" i="22"/>
  <c r="H61" i="39"/>
  <c r="AI72" i="23"/>
  <c r="H73" i="32"/>
  <c r="B59" i="32"/>
  <c r="F57" i="39"/>
  <c r="BI79" i="22"/>
  <c r="K57" i="39"/>
  <c r="F83" i="6"/>
  <c r="AW65" i="22"/>
  <c r="AC62" i="26"/>
  <c r="G54" i="39"/>
  <c r="H31" i="21"/>
  <c r="H30" i="21"/>
  <c r="E31" i="32"/>
  <c r="D90" i="6"/>
  <c r="B18" i="6"/>
  <c r="B37" i="39"/>
  <c r="D40" i="6"/>
  <c r="L66" i="39"/>
  <c r="BI89" i="22"/>
  <c r="AO86" i="26"/>
  <c r="BC92" i="22"/>
  <c r="C86" i="6"/>
  <c r="B61" i="39"/>
  <c r="F71" i="39"/>
  <c r="BK100" i="22"/>
  <c r="AY55" i="22"/>
  <c r="AE52" i="27"/>
  <c r="B63" i="6"/>
  <c r="J417" i="36"/>
  <c r="AE110" i="23"/>
  <c r="AM35" i="26"/>
  <c r="A211" i="35"/>
  <c r="A218" i="35"/>
  <c r="B14" i="32"/>
  <c r="AY70" i="22"/>
  <c r="AE67" i="26"/>
  <c r="B35" i="32"/>
  <c r="D36" i="32"/>
  <c r="H59" i="32"/>
  <c r="L80" i="39"/>
  <c r="BA95" i="22"/>
  <c r="F59" i="6"/>
  <c r="AW89" i="22"/>
  <c r="BI76" i="22"/>
  <c r="H17" i="21"/>
  <c r="H16" i="21"/>
  <c r="H11" i="21"/>
  <c r="H10" i="21"/>
  <c r="AC38" i="27"/>
  <c r="J417" i="35"/>
  <c r="AE110" i="27"/>
  <c r="AC107" i="26"/>
  <c r="F40" i="32"/>
  <c r="AW44" i="22"/>
  <c r="BA51" i="22"/>
  <c r="AG48" i="23"/>
  <c r="C44" i="6"/>
  <c r="C14" i="6"/>
  <c r="D69" i="6"/>
  <c r="H3" i="32"/>
  <c r="D10" i="6"/>
  <c r="AW74" i="22"/>
  <c r="AM93" i="27"/>
  <c r="AM93" i="26"/>
  <c r="A300" i="35"/>
  <c r="A307" i="35"/>
  <c r="E50" i="39"/>
  <c r="D64" i="39"/>
  <c r="B87" i="6"/>
  <c r="BK86" i="22"/>
  <c r="AQ83" i="27"/>
  <c r="AM30" i="26"/>
  <c r="C270" i="36"/>
  <c r="C277" i="36"/>
  <c r="AO56" i="27"/>
  <c r="I82" i="39"/>
  <c r="D21" i="32"/>
  <c r="C40" i="32"/>
  <c r="AY40" i="22"/>
  <c r="AE37" i="23"/>
  <c r="BK110" i="22"/>
  <c r="E49" i="6"/>
  <c r="E62" i="32"/>
  <c r="BD110" i="22"/>
  <c r="AJ107" i="27"/>
  <c r="B85" i="39"/>
  <c r="C60" i="39"/>
  <c r="C70" i="39"/>
  <c r="AM30" i="27"/>
  <c r="BE85" i="22"/>
  <c r="E97" i="6"/>
  <c r="AQ56" i="27"/>
  <c r="E64" i="39"/>
  <c r="D6" i="32"/>
  <c r="C10" i="32"/>
  <c r="B33" i="6"/>
  <c r="G560" i="35"/>
  <c r="F94" i="6"/>
  <c r="D79" i="6"/>
  <c r="F81" i="39"/>
  <c r="AI72" i="26"/>
  <c r="AQ104" i="26"/>
  <c r="AY112" i="22"/>
  <c r="AE109" i="26"/>
  <c r="E95" i="39"/>
  <c r="BE38" i="22"/>
  <c r="AK35" i="27"/>
  <c r="B96" i="6"/>
  <c r="AW59" i="22"/>
  <c r="AC56" i="23"/>
  <c r="I526" i="36"/>
  <c r="BE99" i="22"/>
  <c r="K71" i="39"/>
  <c r="C125" i="36"/>
  <c r="C132" i="36"/>
  <c r="C82" i="32"/>
  <c r="AY119" i="22"/>
  <c r="AE116" i="23"/>
  <c r="AG78" i="23"/>
  <c r="G68" i="39"/>
  <c r="C29" i="6"/>
  <c r="L87" i="39"/>
  <c r="AW113" i="22"/>
  <c r="AC110" i="23"/>
  <c r="AY88" i="22"/>
  <c r="D47" i="39"/>
  <c r="AK32" i="26"/>
  <c r="AK32" i="23"/>
  <c r="AK32" i="27"/>
  <c r="AI114" i="26"/>
  <c r="AI114" i="23"/>
  <c r="AI114" i="27"/>
  <c r="AI97" i="27"/>
  <c r="AI97" i="23"/>
  <c r="AI97" i="26"/>
  <c r="AN81" i="27"/>
  <c r="AN81" i="26"/>
  <c r="AN81" i="23"/>
  <c r="A69" i="36"/>
  <c r="A76" i="36"/>
  <c r="G416" i="36"/>
  <c r="G416" i="35"/>
  <c r="AE41" i="23"/>
  <c r="E5" i="39"/>
  <c r="AQ108" i="26"/>
  <c r="AE34" i="23"/>
  <c r="AM117" i="23"/>
  <c r="AC53" i="26"/>
  <c r="AQ112" i="23"/>
  <c r="G97" i="36"/>
  <c r="AQ115" i="26"/>
  <c r="AK56" i="27"/>
  <c r="AM51" i="23"/>
  <c r="AG100" i="27"/>
  <c r="AQ91" i="26"/>
  <c r="BB84" i="22"/>
  <c r="AQ115" i="27"/>
  <c r="AG105" i="26"/>
  <c r="C619" i="36"/>
  <c r="C626" i="36"/>
  <c r="I42" i="32"/>
  <c r="I44" i="39"/>
  <c r="BK72" i="22"/>
  <c r="AQ69" i="27"/>
  <c r="K42" i="39"/>
  <c r="F44" i="6"/>
  <c r="BE70" i="22"/>
  <c r="D40" i="39"/>
  <c r="BC68" i="22"/>
  <c r="E38" i="32"/>
  <c r="E40" i="39"/>
  <c r="E42" i="6"/>
  <c r="H35" i="32"/>
  <c r="H37" i="39"/>
  <c r="BI65" i="22"/>
  <c r="AO62" i="26"/>
  <c r="L38" i="10"/>
  <c r="G35" i="39"/>
  <c r="BG63" i="22"/>
  <c r="AM60" i="26"/>
  <c r="E33" i="39"/>
  <c r="E35" i="6"/>
  <c r="BC61" i="22"/>
  <c r="E33" i="6"/>
  <c r="D31" i="39"/>
  <c r="E29" i="32"/>
  <c r="BC59" i="22"/>
  <c r="AI56" i="27"/>
  <c r="E31" i="39"/>
  <c r="H26" i="39"/>
  <c r="H24" i="32"/>
  <c r="BI54" i="22"/>
  <c r="F26" i="6"/>
  <c r="F22" i="32"/>
  <c r="K24" i="39"/>
  <c r="F24" i="39"/>
  <c r="BE52" i="22"/>
  <c r="BK49" i="22"/>
  <c r="I21" i="39"/>
  <c r="I19" i="32"/>
  <c r="H19" i="39"/>
  <c r="H17" i="32"/>
  <c r="L20" i="10"/>
  <c r="K17" i="39"/>
  <c r="F15" i="32"/>
  <c r="F19" i="6"/>
  <c r="F17" i="39"/>
  <c r="D15" i="39"/>
  <c r="E13" i="32"/>
  <c r="E17" i="6"/>
  <c r="BC43" i="22"/>
  <c r="BK40" i="22"/>
  <c r="AQ37" i="27"/>
  <c r="I12" i="39"/>
  <c r="K10" i="39"/>
  <c r="F8" i="32"/>
  <c r="F12" i="6"/>
  <c r="BK35" i="22"/>
  <c r="I7" i="39"/>
  <c r="I5" i="32"/>
  <c r="H5" i="39"/>
  <c r="L6" i="10"/>
  <c r="AI52" i="23"/>
  <c r="AG105" i="23"/>
  <c r="AE41" i="27"/>
  <c r="I98" i="32"/>
  <c r="F101" i="6"/>
  <c r="K99" i="39"/>
  <c r="F97" i="32"/>
  <c r="E90" i="32"/>
  <c r="D92" i="39"/>
  <c r="A620" i="35"/>
  <c r="A627" i="35"/>
  <c r="E94" i="6"/>
  <c r="E92" i="39"/>
  <c r="J617" i="35"/>
  <c r="L90" i="10"/>
  <c r="H87" i="32"/>
  <c r="C86" i="32"/>
  <c r="C90" i="6"/>
  <c r="AY116" i="22"/>
  <c r="I84" i="32"/>
  <c r="F85" i="39"/>
  <c r="F83" i="32"/>
  <c r="BE113" i="22"/>
  <c r="B86" i="6"/>
  <c r="B82" i="32"/>
  <c r="B84" i="39"/>
  <c r="AW112" i="22"/>
  <c r="BI110" i="22"/>
  <c r="H82" i="39"/>
  <c r="L83" i="10"/>
  <c r="D81" i="39"/>
  <c r="E79" i="32"/>
  <c r="E83" i="6"/>
  <c r="E81" i="39"/>
  <c r="BC109" i="22"/>
  <c r="I79" i="39"/>
  <c r="I77" i="32"/>
  <c r="F78" i="39"/>
  <c r="BE106" i="22"/>
  <c r="K78" i="39"/>
  <c r="F80" i="6"/>
  <c r="F76" i="32"/>
  <c r="G73" i="32"/>
  <c r="BG103" i="22"/>
  <c r="AM100" i="23"/>
  <c r="D72" i="32"/>
  <c r="D76" i="6"/>
  <c r="BA102" i="22"/>
  <c r="AG99" i="23"/>
  <c r="H70" i="32"/>
  <c r="L73" i="10"/>
  <c r="BI100" i="22"/>
  <c r="AO97" i="27"/>
  <c r="H72" i="39"/>
  <c r="D71" i="39"/>
  <c r="E71" i="39"/>
  <c r="BC99" i="22"/>
  <c r="E73" i="6"/>
  <c r="E69" i="32"/>
  <c r="B70" i="39"/>
  <c r="AW98" i="22"/>
  <c r="B68" i="32"/>
  <c r="B72" i="6"/>
  <c r="F70" i="6"/>
  <c r="F66" i="32"/>
  <c r="BE96" i="22"/>
  <c r="F68" i="39"/>
  <c r="K68" i="39"/>
  <c r="C69" i="6"/>
  <c r="C65" i="32"/>
  <c r="AY95" i="22"/>
  <c r="AE92" i="23"/>
  <c r="I65" i="39"/>
  <c r="BK93" i="22"/>
  <c r="D62" i="32"/>
  <c r="BA92" i="22"/>
  <c r="AG89" i="27"/>
  <c r="D66" i="6"/>
  <c r="L63" i="39"/>
  <c r="K61" i="32"/>
  <c r="A61" i="32"/>
  <c r="BG89" i="22"/>
  <c r="G61" i="39"/>
  <c r="B60" i="39"/>
  <c r="AW88" i="22"/>
  <c r="AC85" i="27"/>
  <c r="L59" i="10"/>
  <c r="BI86" i="22"/>
  <c r="AO83" i="26"/>
  <c r="J386" i="36"/>
  <c r="H58" i="39"/>
  <c r="H56" i="32"/>
  <c r="E59" i="6"/>
  <c r="E55" i="32"/>
  <c r="D57" i="39"/>
  <c r="E57" i="39"/>
  <c r="BK83" i="22"/>
  <c r="AQ80" i="26"/>
  <c r="I55" i="39"/>
  <c r="F54" i="39"/>
  <c r="K54" i="39"/>
  <c r="F52" i="32"/>
  <c r="BE82" i="22"/>
  <c r="AK79" i="26"/>
  <c r="BG79" i="22"/>
  <c r="G51" i="39"/>
  <c r="D52" i="6"/>
  <c r="D48" i="32"/>
  <c r="G46" i="32"/>
  <c r="AG72" i="26"/>
  <c r="AG72" i="27"/>
  <c r="AG72" i="23"/>
  <c r="AW70" i="22"/>
  <c r="B42" i="39"/>
  <c r="B44" i="6"/>
  <c r="C38" i="39"/>
  <c r="C40" i="6"/>
  <c r="BA62" i="22"/>
  <c r="D36" i="6"/>
  <c r="K29" i="32"/>
  <c r="A29" i="32"/>
  <c r="L31" i="39"/>
  <c r="B25" i="32"/>
  <c r="B29" i="6"/>
  <c r="B27" i="39"/>
  <c r="C25" i="6"/>
  <c r="C21" i="32"/>
  <c r="AY51" i="22"/>
  <c r="C23" i="39"/>
  <c r="BA47" i="22"/>
  <c r="D21" i="6"/>
  <c r="D17" i="32"/>
  <c r="K14" i="32"/>
  <c r="A14" i="32"/>
  <c r="L16" i="39"/>
  <c r="B10" i="32"/>
  <c r="AW40" i="22"/>
  <c r="B14" i="6"/>
  <c r="B12" i="39"/>
  <c r="C6" i="32"/>
  <c r="C10" i="6"/>
  <c r="C8" i="39"/>
  <c r="AI52" i="26"/>
  <c r="AK54" i="27"/>
  <c r="AO100" i="23"/>
  <c r="AC55" i="26"/>
  <c r="AQ91" i="23"/>
  <c r="A327" i="36"/>
  <c r="A334" i="36"/>
  <c r="G20" i="19"/>
  <c r="F20" i="19"/>
  <c r="E42" i="32"/>
  <c r="D44" i="39"/>
  <c r="BC72" i="22"/>
  <c r="AI69" i="23"/>
  <c r="E46" i="6"/>
  <c r="E44" i="39"/>
  <c r="D37" i="39"/>
  <c r="BC65" i="22"/>
  <c r="AI62" i="27"/>
  <c r="E37" i="39"/>
  <c r="E39" i="6"/>
  <c r="I32" i="32"/>
  <c r="BK62" i="22"/>
  <c r="AQ59" i="26"/>
  <c r="I34" i="39"/>
  <c r="G30" i="39"/>
  <c r="BG56" i="22"/>
  <c r="G28" i="39"/>
  <c r="D26" i="39"/>
  <c r="E26" i="39"/>
  <c r="BC54" i="22"/>
  <c r="J126" i="36"/>
  <c r="H23" i="39"/>
  <c r="L24" i="10"/>
  <c r="H21" i="32"/>
  <c r="K21" i="39"/>
  <c r="F23" i="6"/>
  <c r="BE49" i="22"/>
  <c r="A97" i="35"/>
  <c r="A104" i="35"/>
  <c r="E19" i="39"/>
  <c r="E21" i="6"/>
  <c r="D19" i="39"/>
  <c r="BA45" i="22"/>
  <c r="D19" i="6"/>
  <c r="D12" i="39"/>
  <c r="E12" i="39"/>
  <c r="E10" i="32"/>
  <c r="E14" i="6"/>
  <c r="BC40" i="22"/>
  <c r="H9" i="39"/>
  <c r="H7" i="32"/>
  <c r="BI37" i="22"/>
  <c r="AO34" i="23"/>
  <c r="F9" i="6"/>
  <c r="K7" i="39"/>
  <c r="F5" i="32"/>
  <c r="F7" i="39"/>
  <c r="BC33" i="22"/>
  <c r="E3" i="32"/>
  <c r="D5" i="39"/>
  <c r="K2" i="82"/>
  <c r="Q541" i="196"/>
  <c r="Q391" i="196"/>
  <c r="J234" i="34"/>
  <c r="A228" i="182"/>
  <c r="J611" i="34"/>
  <c r="K89" i="35"/>
  <c r="T728" i="154"/>
  <c r="AF2" i="74"/>
  <c r="T132" i="182"/>
  <c r="T516" i="182"/>
  <c r="K611" i="36"/>
  <c r="J669" i="34"/>
  <c r="B66" i="33"/>
  <c r="A324" i="182"/>
  <c r="J495" i="34"/>
  <c r="AF2" i="78"/>
  <c r="A132" i="182"/>
  <c r="K147" i="36"/>
  <c r="J350" i="34"/>
  <c r="AF2" i="84"/>
  <c r="T68" i="154"/>
  <c r="A344" i="197"/>
  <c r="A158" i="197"/>
  <c r="AF2" i="76"/>
  <c r="Q511" i="196"/>
  <c r="Q331" i="196"/>
  <c r="K2" i="71"/>
  <c r="G2" i="31"/>
  <c r="K437" i="35"/>
  <c r="J524" i="34"/>
  <c r="A708" i="182"/>
  <c r="AF2" i="79"/>
  <c r="T164" i="182"/>
  <c r="T548" i="182"/>
  <c r="G2" i="12"/>
  <c r="J408" i="34"/>
  <c r="B129" i="33"/>
  <c r="A388" i="182"/>
  <c r="J321" i="34"/>
  <c r="AF2" i="80"/>
  <c r="A612" i="182"/>
  <c r="K437" i="36"/>
  <c r="J89" i="34"/>
  <c r="AF2" i="86"/>
  <c r="T596" i="154"/>
  <c r="A220" i="197"/>
  <c r="A685" i="197"/>
  <c r="K2" i="273"/>
  <c r="AF2" i="221"/>
  <c r="Q481" i="196"/>
  <c r="Q271" i="196"/>
  <c r="T530" i="154"/>
  <c r="K553" i="36"/>
  <c r="K2" i="70"/>
  <c r="J379" i="34"/>
  <c r="A164" i="182"/>
  <c r="AF2" i="85"/>
  <c r="T196" i="182"/>
  <c r="T580" i="182"/>
  <c r="K495" i="36"/>
  <c r="B2" i="21"/>
  <c r="B759" i="33"/>
  <c r="A516" i="182"/>
  <c r="J205" i="34"/>
  <c r="K2" i="84"/>
  <c r="A580" i="182"/>
  <c r="K2" i="35"/>
  <c r="J263" i="34"/>
  <c r="C2" i="105"/>
  <c r="A36" i="182"/>
  <c r="T200" i="154"/>
  <c r="M3" i="4"/>
  <c r="AF2" i="273"/>
  <c r="K2" i="221"/>
  <c r="Q361" i="196"/>
  <c r="Q241" i="196"/>
  <c r="J553" i="34"/>
  <c r="B633" i="33"/>
  <c r="K234" i="35"/>
  <c r="B1074" i="33"/>
  <c r="T228" i="182"/>
  <c r="T612" i="182"/>
  <c r="K524" i="36"/>
  <c r="P1" i="32"/>
  <c r="B1200" i="33"/>
  <c r="B3" i="33"/>
  <c r="B255" i="33"/>
  <c r="A740" i="182"/>
  <c r="K31" i="35"/>
  <c r="B507" i="33"/>
  <c r="A452" i="182"/>
  <c r="A623" i="197"/>
  <c r="A437" i="197"/>
  <c r="B1011" i="33"/>
  <c r="J118" i="34"/>
  <c r="AF2" i="272"/>
  <c r="Q151" i="196"/>
  <c r="Q211" i="196"/>
  <c r="C1" i="13"/>
  <c r="T101" i="154"/>
  <c r="K466" i="35"/>
  <c r="K321" i="35"/>
  <c r="B948" i="33"/>
  <c r="T260" i="182"/>
  <c r="T644" i="182"/>
  <c r="K292" i="35"/>
  <c r="K60" i="35"/>
  <c r="C7" i="146"/>
  <c r="K60" i="36"/>
  <c r="J437" i="34"/>
  <c r="B570" i="33"/>
  <c r="A644" i="182"/>
  <c r="K524" i="35"/>
  <c r="B2" i="19"/>
  <c r="B2" i="20"/>
  <c r="B318" i="33"/>
  <c r="A68" i="182"/>
  <c r="A499" i="197"/>
  <c r="A313" i="197"/>
  <c r="J2" i="36"/>
  <c r="K2" i="272"/>
  <c r="Q91" i="196"/>
  <c r="Q61" i="196"/>
  <c r="K2" i="76"/>
  <c r="K2" i="78"/>
  <c r="K292" i="36"/>
  <c r="T431" i="154"/>
  <c r="T292" i="182"/>
  <c r="T676" i="182"/>
  <c r="K205" i="36"/>
  <c r="Z2" i="153"/>
  <c r="K176" i="35"/>
  <c r="D3" i="7"/>
  <c r="B381" i="33"/>
  <c r="A2" i="16"/>
  <c r="K2" i="266"/>
  <c r="P6" i="146"/>
  <c r="Q301" i="196"/>
  <c r="Q451" i="196"/>
  <c r="A100" i="182"/>
  <c r="B1263" i="33"/>
  <c r="K2" i="85"/>
  <c r="K321" i="36"/>
  <c r="T761" i="154"/>
  <c r="T324" i="182"/>
  <c r="T708" i="182"/>
  <c r="K263" i="35"/>
  <c r="K2" i="72"/>
  <c r="T563" i="154"/>
  <c r="K408" i="36"/>
  <c r="B192" i="33"/>
  <c r="K582" i="35"/>
  <c r="K147" i="35"/>
  <c r="B885" i="33"/>
  <c r="A548" i="182"/>
  <c r="A251" i="197"/>
  <c r="A65" i="197"/>
  <c r="Q421" i="196"/>
  <c r="J60" i="34"/>
  <c r="T662" i="154"/>
  <c r="B696" i="33"/>
  <c r="J31" i="34"/>
  <c r="A292" i="182"/>
  <c r="T388" i="182"/>
  <c r="B2" i="39"/>
  <c r="AF2" i="77"/>
  <c r="T695" i="154"/>
  <c r="C3" i="7"/>
  <c r="K118" i="36"/>
  <c r="T266" i="154"/>
  <c r="Q121" i="196"/>
  <c r="B1137" i="33"/>
  <c r="A196" i="182"/>
  <c r="K263" i="36"/>
  <c r="B1454" i="33"/>
  <c r="J640" i="34"/>
  <c r="T36" i="182"/>
  <c r="T420" i="182"/>
  <c r="J292" i="34"/>
  <c r="K2" i="80"/>
  <c r="T332" i="154"/>
  <c r="C1" i="38"/>
  <c r="AF2" i="70"/>
  <c r="T497" i="154"/>
  <c r="K408" i="35"/>
  <c r="J466" i="34"/>
  <c r="K2" i="75"/>
  <c r="T398" i="154"/>
  <c r="T4" i="182"/>
  <c r="A716" i="197"/>
  <c r="A530" i="197"/>
  <c r="Q661" i="196"/>
  <c r="Q571" i="196"/>
  <c r="S6" i="6"/>
  <c r="K553" i="35"/>
  <c r="K205" i="35"/>
  <c r="T629" i="154"/>
  <c r="B3" i="7"/>
  <c r="T100" i="182"/>
  <c r="T484" i="182"/>
  <c r="K2" i="86"/>
  <c r="A484" i="182"/>
  <c r="B2" i="14"/>
  <c r="AF2" i="75"/>
  <c r="T464" i="154"/>
  <c r="AI68" i="27"/>
  <c r="C127" i="36"/>
  <c r="C134" i="36"/>
  <c r="A95" i="36"/>
  <c r="A102" i="36"/>
  <c r="K100" i="39"/>
  <c r="F102" i="6"/>
  <c r="C101" i="6"/>
  <c r="C99" i="39"/>
  <c r="I95" i="32"/>
  <c r="D94" i="32"/>
  <c r="D98" i="6"/>
  <c r="G93" i="39"/>
  <c r="G91" i="32"/>
  <c r="B92" i="39"/>
  <c r="AW120" i="22"/>
  <c r="B90" i="32"/>
  <c r="B94" i="6"/>
  <c r="H88" i="32"/>
  <c r="H90" i="39"/>
  <c r="BI118" i="22"/>
  <c r="L91" i="10"/>
  <c r="D89" i="39"/>
  <c r="E87" i="32"/>
  <c r="E91" i="6"/>
  <c r="I85" i="32"/>
  <c r="I87" i="39"/>
  <c r="F86" i="39"/>
  <c r="BE114" i="22"/>
  <c r="AK111" i="27"/>
  <c r="F88" i="6"/>
  <c r="L84" i="10"/>
  <c r="H81" i="32"/>
  <c r="D82" i="39"/>
  <c r="E80" i="32"/>
  <c r="BC110" i="22"/>
  <c r="E84" i="6"/>
  <c r="G533" i="35"/>
  <c r="I78" i="32"/>
  <c r="I80" i="39"/>
  <c r="BK108" i="22"/>
  <c r="AQ105" i="27"/>
  <c r="K79" i="39"/>
  <c r="F77" i="32"/>
  <c r="F81" i="6"/>
  <c r="BE107" i="22"/>
  <c r="C76" i="32"/>
  <c r="C80" i="6"/>
  <c r="C78" i="39"/>
  <c r="AY106" i="22"/>
  <c r="G74" i="32"/>
  <c r="BG104" i="22"/>
  <c r="AM101" i="23"/>
  <c r="G76" i="39"/>
  <c r="D73" i="32"/>
  <c r="D77" i="6"/>
  <c r="K72" i="32"/>
  <c r="A72" i="32"/>
  <c r="L74" i="39"/>
  <c r="E72" i="39"/>
  <c r="A475" i="36"/>
  <c r="A482" i="36"/>
  <c r="E70" i="32"/>
  <c r="D72" i="39"/>
  <c r="E74" i="6"/>
  <c r="B69" i="32"/>
  <c r="B73" i="6"/>
  <c r="AW99" i="22"/>
  <c r="BI97" i="22"/>
  <c r="H69" i="39"/>
  <c r="H67" i="32"/>
  <c r="J472" i="36"/>
  <c r="L70" i="10"/>
  <c r="C70" i="6"/>
  <c r="C66" i="32"/>
  <c r="I64" i="32"/>
  <c r="I66" i="39"/>
  <c r="K65" i="39"/>
  <c r="F67" i="6"/>
  <c r="BG90" i="22"/>
  <c r="G62" i="39"/>
  <c r="BA89" i="22"/>
  <c r="D63" i="6"/>
  <c r="J387" i="36"/>
  <c r="BI87" i="22"/>
  <c r="AO84" i="27"/>
  <c r="L60" i="10"/>
  <c r="E58" i="39"/>
  <c r="E56" i="32"/>
  <c r="D58" i="39"/>
  <c r="BC86" i="22"/>
  <c r="I54" i="32"/>
  <c r="BK84" i="22"/>
  <c r="I56" i="39"/>
  <c r="BE83" i="22"/>
  <c r="F55" i="39"/>
  <c r="K55" i="39"/>
  <c r="F53" i="32"/>
  <c r="C52" i="32"/>
  <c r="C54" i="39"/>
  <c r="AY82" i="22"/>
  <c r="C56" i="6"/>
  <c r="G50" i="32"/>
  <c r="BG80" i="22"/>
  <c r="G52" i="39"/>
  <c r="BA79" i="22"/>
  <c r="D49" i="32"/>
  <c r="D53" i="6"/>
  <c r="D50" i="6"/>
  <c r="D46" i="32"/>
  <c r="BA76" i="22"/>
  <c r="C42" i="32"/>
  <c r="C46" i="6"/>
  <c r="C44" i="39"/>
  <c r="AY72" i="22"/>
  <c r="AE69" i="23"/>
  <c r="K35" i="32"/>
  <c r="A35" i="32"/>
  <c r="L37" i="39"/>
  <c r="B28" i="32"/>
  <c r="B30" i="39"/>
  <c r="B32" i="6"/>
  <c r="C28" i="6"/>
  <c r="C24" i="32"/>
  <c r="D20" i="32"/>
  <c r="BA50" i="22"/>
  <c r="AG47" i="27"/>
  <c r="B17" i="6"/>
  <c r="AW43" i="22"/>
  <c r="B13" i="32"/>
  <c r="AY39" i="22"/>
  <c r="C13" i="6"/>
  <c r="C9" i="6"/>
  <c r="C5" i="32"/>
  <c r="AY35" i="22"/>
  <c r="AG70" i="27"/>
  <c r="G443" i="36"/>
  <c r="AI117" i="26"/>
  <c r="A356" i="35"/>
  <c r="A363" i="35"/>
  <c r="A10" i="16"/>
  <c r="AK72" i="27"/>
  <c r="AK72" i="26"/>
  <c r="J329" i="35"/>
  <c r="BH73" i="22"/>
  <c r="AN70" i="23"/>
  <c r="AZ73" i="22"/>
  <c r="BL73" i="22"/>
  <c r="AB81" i="27"/>
  <c r="AZ84" i="22"/>
  <c r="AB81" i="23"/>
  <c r="BL84" i="22"/>
  <c r="AX84" i="22"/>
  <c r="BD84" i="22"/>
  <c r="A18" i="16"/>
  <c r="G27" i="4"/>
  <c r="G24" i="4"/>
  <c r="A16" i="16"/>
  <c r="M87" i="7"/>
  <c r="AY105" i="22"/>
  <c r="AB32" i="27"/>
  <c r="C75" i="32"/>
  <c r="C77" i="39"/>
  <c r="C79" i="6"/>
  <c r="AB59" i="23"/>
  <c r="BA41" i="22"/>
  <c r="K1" i="266"/>
  <c r="AX96" i="22"/>
  <c r="AD93" i="27"/>
  <c r="BB71" i="22"/>
  <c r="BL115" i="22"/>
  <c r="AY41" i="22"/>
  <c r="AE38" i="23"/>
  <c r="AF1" i="266"/>
  <c r="BH71" i="22"/>
  <c r="BF97" i="22"/>
  <c r="AL94" i="26"/>
  <c r="BL62" i="22"/>
  <c r="AR59" i="27"/>
  <c r="BJ111" i="22"/>
  <c r="AB93" i="23"/>
  <c r="AX44" i="22"/>
  <c r="AB112" i="27"/>
  <c r="BF115" i="22"/>
  <c r="BJ44" i="22"/>
  <c r="BH97" i="22"/>
  <c r="AB68" i="23"/>
  <c r="AN108" i="27"/>
  <c r="BF96" i="22"/>
  <c r="AB41" i="27"/>
  <c r="AZ71" i="22"/>
  <c r="BF62" i="22"/>
  <c r="AH112" i="26"/>
  <c r="H19" i="21"/>
  <c r="H18" i="21"/>
  <c r="AC15" i="23"/>
  <c r="AC15" i="26"/>
  <c r="AF1" i="221"/>
  <c r="J358" i="35"/>
  <c r="G38" i="19"/>
  <c r="G29" i="19"/>
  <c r="AE88" i="26"/>
  <c r="AC14" i="27"/>
  <c r="AF55" i="27"/>
  <c r="AO45" i="23"/>
  <c r="AC82" i="27"/>
  <c r="AC77" i="27"/>
  <c r="J359" i="36"/>
  <c r="AQ49" i="23"/>
  <c r="AC82" i="23"/>
  <c r="AC35" i="23"/>
  <c r="AC77" i="23"/>
  <c r="AM51" i="26"/>
  <c r="AO67" i="27"/>
  <c r="AL101" i="27"/>
  <c r="G21" i="20"/>
  <c r="AB101" i="26"/>
  <c r="G30" i="20"/>
  <c r="A127" i="36"/>
  <c r="A134" i="36"/>
  <c r="AO45" i="26"/>
  <c r="AC14" i="23"/>
  <c r="F39" i="20"/>
  <c r="G619" i="35"/>
  <c r="AE97" i="26"/>
  <c r="AE97" i="23"/>
  <c r="AE97" i="27"/>
  <c r="C387" i="36"/>
  <c r="C394" i="36"/>
  <c r="C387" i="35"/>
  <c r="C394" i="35"/>
  <c r="AI77" i="27"/>
  <c r="AI77" i="23"/>
  <c r="AI77" i="26"/>
  <c r="AO71" i="23"/>
  <c r="AO71" i="27"/>
  <c r="AO71" i="26"/>
  <c r="AC65" i="26"/>
  <c r="AC65" i="23"/>
  <c r="AC65" i="27"/>
  <c r="AG39" i="23"/>
  <c r="AG39" i="27"/>
  <c r="AG39" i="26"/>
  <c r="I236" i="36"/>
  <c r="I236" i="35"/>
  <c r="AM57" i="27"/>
  <c r="AM57" i="26"/>
  <c r="AM57" i="23"/>
  <c r="A183" i="35"/>
  <c r="A190" i="35"/>
  <c r="A183" i="36"/>
  <c r="A190" i="36"/>
  <c r="J153" i="35"/>
  <c r="J153" i="36"/>
  <c r="A416" i="36"/>
  <c r="A423" i="36"/>
  <c r="AO42" i="23"/>
  <c r="AG52" i="26"/>
  <c r="J531" i="36"/>
  <c r="E60" i="32"/>
  <c r="E91" i="32"/>
  <c r="AI87" i="23"/>
  <c r="B96" i="39"/>
  <c r="AG60" i="23"/>
  <c r="BI53" i="22"/>
  <c r="B51" i="39"/>
  <c r="BA60" i="22"/>
  <c r="AG57" i="27"/>
  <c r="BI71" i="22"/>
  <c r="AO68" i="27"/>
  <c r="BE51" i="22"/>
  <c r="AK48" i="26"/>
  <c r="BE118" i="22"/>
  <c r="AK115" i="23"/>
  <c r="E50" i="32"/>
  <c r="F67" i="32"/>
  <c r="I91" i="39"/>
  <c r="H44" i="32"/>
  <c r="L95" i="10"/>
  <c r="G32" i="39"/>
  <c r="F81" i="32"/>
  <c r="AY64" i="22"/>
  <c r="BG108" i="22"/>
  <c r="K41" i="39"/>
  <c r="D14" i="39"/>
  <c r="I45" i="39"/>
  <c r="AK99" i="23"/>
  <c r="AO100" i="27"/>
  <c r="G184" i="36"/>
  <c r="AG52" i="23"/>
  <c r="AE84" i="23"/>
  <c r="H41" i="32"/>
  <c r="AM41" i="26"/>
  <c r="H25" i="39"/>
  <c r="H43" i="39"/>
  <c r="E26" i="32"/>
  <c r="F88" i="32"/>
  <c r="L11" i="39"/>
  <c r="D102" i="6"/>
  <c r="L50" i="10"/>
  <c r="L26" i="10"/>
  <c r="L64" i="10"/>
  <c r="H92" i="32"/>
  <c r="D16" i="6"/>
  <c r="L29" i="39"/>
  <c r="C36" i="39"/>
  <c r="A330" i="35"/>
  <c r="A337" i="35"/>
  <c r="F41" i="39"/>
  <c r="AY110" i="22"/>
  <c r="AE107" i="23"/>
  <c r="G66" i="39"/>
  <c r="AK99" i="27"/>
  <c r="G184" i="35"/>
  <c r="BA114" i="22"/>
  <c r="AG111" i="23"/>
  <c r="E95" i="6"/>
  <c r="AM41" i="27"/>
  <c r="L44" i="39"/>
  <c r="B77" i="6"/>
  <c r="L19" i="10"/>
  <c r="H61" i="32"/>
  <c r="D12" i="32"/>
  <c r="BK88" i="22"/>
  <c r="AQ85" i="27"/>
  <c r="F23" i="39"/>
  <c r="K69" i="39"/>
  <c r="G39" i="36"/>
  <c r="I439" i="35"/>
  <c r="BI52" i="22"/>
  <c r="H29" i="21"/>
  <c r="H28" i="21"/>
  <c r="AM110" i="26"/>
  <c r="D88" i="6"/>
  <c r="BG84" i="22"/>
  <c r="E93" i="39"/>
  <c r="BC42" i="22"/>
  <c r="E30" i="39"/>
  <c r="AM34" i="26"/>
  <c r="H49" i="39"/>
  <c r="D53" i="32"/>
  <c r="AW103" i="22"/>
  <c r="AC100" i="26"/>
  <c r="BE87" i="22"/>
  <c r="E28" i="32"/>
  <c r="AM34" i="23"/>
  <c r="D76" i="39"/>
  <c r="AC90" i="27"/>
  <c r="AM110" i="27"/>
  <c r="AG95" i="23"/>
  <c r="G54" i="32"/>
  <c r="G562" i="35"/>
  <c r="AM64" i="23"/>
  <c r="H22" i="32"/>
  <c r="AY86" i="22"/>
  <c r="B22" i="39"/>
  <c r="C38" i="6"/>
  <c r="E16" i="6"/>
  <c r="BI36" i="22"/>
  <c r="C60" i="6"/>
  <c r="BI101" i="22"/>
  <c r="AO98" i="23"/>
  <c r="L25" i="10"/>
  <c r="L9" i="10"/>
  <c r="AW76" i="22"/>
  <c r="AC73" i="23"/>
  <c r="BG62" i="22"/>
  <c r="G16" i="39"/>
  <c r="BI77" i="22"/>
  <c r="BI46" i="22"/>
  <c r="AO43" i="26"/>
  <c r="AC90" i="26"/>
  <c r="AO57" i="26"/>
  <c r="AG95" i="26"/>
  <c r="J184" i="35"/>
  <c r="G501" i="36"/>
  <c r="AI31" i="23"/>
  <c r="I84" i="39"/>
  <c r="AM64" i="27"/>
  <c r="B20" i="32"/>
  <c r="F43" i="6"/>
  <c r="BC56" i="22"/>
  <c r="H6" i="32"/>
  <c r="C56" i="32"/>
  <c r="G34" i="39"/>
  <c r="G80" i="39"/>
  <c r="E32" i="6"/>
  <c r="D52" i="39"/>
  <c r="I9" i="32"/>
  <c r="C84" i="6"/>
  <c r="BA107" i="22"/>
  <c r="AF14" i="146"/>
  <c r="AC66" i="23"/>
  <c r="AI42" i="27"/>
  <c r="F39" i="32"/>
  <c r="BK112" i="22"/>
  <c r="A414" i="36"/>
  <c r="A421" i="36"/>
  <c r="AQ95" i="26"/>
  <c r="BE69" i="22"/>
  <c r="AK66" i="26"/>
  <c r="BK73" i="22"/>
  <c r="J11" i="36"/>
  <c r="E28" i="39"/>
  <c r="H73" i="39"/>
  <c r="H46" i="39"/>
  <c r="F61" i="6"/>
  <c r="BC58" i="22"/>
  <c r="G39" i="35"/>
  <c r="E52" i="39"/>
  <c r="AC66" i="27"/>
  <c r="AM40" i="26"/>
  <c r="A386" i="36"/>
  <c r="A393" i="36"/>
  <c r="I70" i="39"/>
  <c r="AQ95" i="27"/>
  <c r="E9" i="6"/>
  <c r="AK109" i="26"/>
  <c r="AK109" i="23"/>
  <c r="BG94" i="22"/>
  <c r="I43" i="32"/>
  <c r="BC67" i="22"/>
  <c r="AI64" i="26"/>
  <c r="E30" i="6"/>
  <c r="H71" i="32"/>
  <c r="E78" i="6"/>
  <c r="F59" i="39"/>
  <c r="F57" i="32"/>
  <c r="C20" i="6"/>
  <c r="I11" i="39"/>
  <c r="AC114" i="27"/>
  <c r="J184" i="36"/>
  <c r="AI31" i="27"/>
  <c r="BG115" i="22"/>
  <c r="I68" i="32"/>
  <c r="G95" i="32"/>
  <c r="BC35" i="22"/>
  <c r="AI32" i="26"/>
  <c r="K97" i="32"/>
  <c r="A97" i="32"/>
  <c r="AG60" i="27"/>
  <c r="L78" i="39"/>
  <c r="D81" i="6"/>
  <c r="C18" i="39"/>
  <c r="B40" i="39"/>
  <c r="C74" i="6"/>
  <c r="E39" i="39"/>
  <c r="D39" i="6"/>
  <c r="B53" i="6"/>
  <c r="C72" i="39"/>
  <c r="BC104" i="22"/>
  <c r="G388" i="35"/>
  <c r="AY46" i="22"/>
  <c r="K59" i="39"/>
  <c r="D30" i="39"/>
  <c r="D67" i="6"/>
  <c r="E64" i="6"/>
  <c r="AC114" i="23"/>
  <c r="A4" i="37"/>
  <c r="D4" i="37"/>
  <c r="G85" i="32"/>
  <c r="E7" i="39"/>
  <c r="D35" i="32"/>
  <c r="BA83" i="22"/>
  <c r="AG80" i="27"/>
  <c r="B42" i="6"/>
  <c r="H16" i="32"/>
  <c r="C70" i="32"/>
  <c r="F92" i="6"/>
  <c r="E41" i="6"/>
  <c r="BA65" i="22"/>
  <c r="AW79" i="22"/>
  <c r="F69" i="39"/>
  <c r="E76" i="39"/>
  <c r="I58" i="32"/>
  <c r="K23" i="39"/>
  <c r="C82" i="39"/>
  <c r="AO42" i="27"/>
  <c r="AM40" i="23"/>
  <c r="G7" i="32"/>
  <c r="G14" i="32"/>
  <c r="E5" i="32"/>
  <c r="B98" i="6"/>
  <c r="L54" i="39"/>
  <c r="BA34" i="22"/>
  <c r="D8" i="6"/>
  <c r="C618" i="36"/>
  <c r="C625" i="36"/>
  <c r="E37" i="32"/>
  <c r="B48" i="39"/>
  <c r="F85" i="6"/>
  <c r="D62" i="39"/>
  <c r="K83" i="39"/>
  <c r="G9" i="39"/>
  <c r="BK39" i="22"/>
  <c r="BD53" i="22"/>
  <c r="AX35" i="22"/>
  <c r="BJ35" i="22"/>
  <c r="C125" i="35"/>
  <c r="C132" i="35"/>
  <c r="AB32" i="23"/>
  <c r="AI113" i="27"/>
  <c r="BD35" i="22"/>
  <c r="AJ32" i="27"/>
  <c r="BF106" i="22"/>
  <c r="AE108" i="26"/>
  <c r="AO108" i="27"/>
  <c r="BL59" i="22"/>
  <c r="AZ35" i="22"/>
  <c r="AZ106" i="22"/>
  <c r="AQ49" i="27"/>
  <c r="BF35" i="22"/>
  <c r="BH35" i="22"/>
  <c r="G11" i="19"/>
  <c r="AX59" i="22"/>
  <c r="BB106" i="22"/>
  <c r="AH32" i="23"/>
  <c r="AB56" i="26"/>
  <c r="AM106" i="23"/>
  <c r="AM117" i="26"/>
  <c r="AH32" i="26"/>
  <c r="BJ59" i="22"/>
  <c r="AP56" i="23"/>
  <c r="BJ61" i="22"/>
  <c r="AP58" i="23"/>
  <c r="A184" i="36"/>
  <c r="A191" i="36"/>
  <c r="C357" i="35"/>
  <c r="C364" i="35"/>
  <c r="AZ60" i="22"/>
  <c r="AF57" i="23"/>
  <c r="G32" i="20"/>
  <c r="AG112" i="26"/>
  <c r="G15" i="19"/>
  <c r="AB39" i="23"/>
  <c r="BJ100" i="22"/>
  <c r="AO88" i="23"/>
  <c r="AO88" i="27"/>
  <c r="AO88" i="26"/>
  <c r="AC106" i="26"/>
  <c r="AG107" i="26"/>
  <c r="H63" i="39"/>
  <c r="AC105" i="23"/>
  <c r="J69" i="35"/>
  <c r="AK53" i="26"/>
  <c r="AM44" i="26"/>
  <c r="G96" i="35"/>
  <c r="AI63" i="23"/>
  <c r="G414" i="36"/>
  <c r="BD49" i="22"/>
  <c r="BF79" i="22"/>
  <c r="AC105" i="27"/>
  <c r="A271" i="35"/>
  <c r="A278" i="35"/>
  <c r="G96" i="36"/>
  <c r="G414" i="35"/>
  <c r="AX77" i="22"/>
  <c r="L68" i="39"/>
  <c r="AQ106" i="26"/>
  <c r="C301" i="36"/>
  <c r="C308" i="36"/>
  <c r="A37" i="35"/>
  <c r="A44" i="35"/>
  <c r="L26" i="39"/>
  <c r="J9" i="35"/>
  <c r="AI47" i="26"/>
  <c r="AC115" i="23"/>
  <c r="AI49" i="26"/>
  <c r="AH89" i="26"/>
  <c r="Y60" i="34"/>
  <c r="AW50" i="22"/>
  <c r="BA93" i="22"/>
  <c r="H25" i="21"/>
  <c r="H24" i="21"/>
  <c r="AM78" i="23"/>
  <c r="AK53" i="27"/>
  <c r="AC42" i="26"/>
  <c r="AM78" i="26"/>
  <c r="AM37" i="23"/>
  <c r="AO82" i="23"/>
  <c r="AQ82" i="26"/>
  <c r="AC42" i="27"/>
  <c r="AM37" i="27"/>
  <c r="AO82" i="27"/>
  <c r="AQ106" i="23"/>
  <c r="AM35" i="27"/>
  <c r="AI88" i="23"/>
  <c r="AQ82" i="27"/>
  <c r="AC115" i="26"/>
  <c r="A270" i="36"/>
  <c r="A277" i="36"/>
  <c r="AM44" i="27"/>
  <c r="BD92" i="22"/>
  <c r="AJ89" i="26"/>
  <c r="AQ117" i="23"/>
  <c r="J185" i="35"/>
  <c r="AO89" i="27"/>
  <c r="AI63" i="27"/>
  <c r="A37" i="36"/>
  <c r="A44" i="36"/>
  <c r="AI88" i="26"/>
  <c r="AQ117" i="26"/>
  <c r="G329" i="35"/>
  <c r="G559" i="35"/>
  <c r="G559" i="36"/>
  <c r="AL101" i="26"/>
  <c r="BL49" i="22"/>
  <c r="AB76" i="23"/>
  <c r="G17" i="19"/>
  <c r="AB46" i="26"/>
  <c r="AB76" i="27"/>
  <c r="BH92" i="22"/>
  <c r="BJ112" i="22"/>
  <c r="AP109" i="23"/>
  <c r="J182" i="35"/>
  <c r="J214" i="36"/>
  <c r="AK56" i="23"/>
  <c r="G18" i="4"/>
  <c r="AZ93" i="22"/>
  <c r="BL119" i="22"/>
  <c r="AF55" i="26"/>
  <c r="F20" i="14"/>
  <c r="AX49" i="22"/>
  <c r="BB42" i="22"/>
  <c r="BD79" i="22"/>
  <c r="BF67" i="22"/>
  <c r="BL67" i="22"/>
  <c r="F18" i="20"/>
  <c r="G17" i="20"/>
  <c r="AB89" i="27"/>
  <c r="G27" i="20"/>
  <c r="AI71" i="27"/>
  <c r="G211" i="36"/>
  <c r="AI71" i="23"/>
  <c r="AG40" i="27"/>
  <c r="AJ57" i="23"/>
  <c r="BF65" i="22"/>
  <c r="G42" i="4"/>
  <c r="AH112" i="23"/>
  <c r="G211" i="35"/>
  <c r="AJ57" i="27"/>
  <c r="BL92" i="22"/>
  <c r="AI42" i="23"/>
  <c r="AE49" i="23"/>
  <c r="AO38" i="26"/>
  <c r="A241" i="35"/>
  <c r="A248" i="35"/>
  <c r="G30" i="4"/>
  <c r="BH72" i="22"/>
  <c r="AX45" i="22"/>
  <c r="BF84" i="22"/>
  <c r="AB87" i="26"/>
  <c r="AR110" i="26"/>
  <c r="BD112" i="22"/>
  <c r="AF59" i="26"/>
  <c r="AB45" i="27"/>
  <c r="BH85" i="22"/>
  <c r="AX64" i="22"/>
  <c r="AD61" i="23"/>
  <c r="BD74" i="22"/>
  <c r="BB74" i="22"/>
  <c r="AH71" i="27"/>
  <c r="AB61" i="23"/>
  <c r="AZ74" i="22"/>
  <c r="AX42" i="22"/>
  <c r="AZ77" i="22"/>
  <c r="BD33" i="22"/>
  <c r="AJ30" i="27"/>
  <c r="BJ92" i="22"/>
  <c r="AP89" i="23"/>
  <c r="BJ74" i="22"/>
  <c r="BJ33" i="22"/>
  <c r="AB89" i="23"/>
  <c r="AH56" i="27"/>
  <c r="AH56" i="26"/>
  <c r="AH56" i="23"/>
  <c r="AB71" i="27"/>
  <c r="AB82" i="23"/>
  <c r="AB56" i="23"/>
  <c r="BL65" i="22"/>
  <c r="BD59" i="22"/>
  <c r="AZ92" i="22"/>
  <c r="F11" i="20"/>
  <c r="AB103" i="27"/>
  <c r="AB109" i="23"/>
  <c r="BF51" i="22"/>
  <c r="AL48" i="27"/>
  <c r="BD42" i="22"/>
  <c r="BL74" i="22"/>
  <c r="BD48" i="22"/>
  <c r="AB69" i="27"/>
  <c r="BJ42" i="22"/>
  <c r="AZ112" i="22"/>
  <c r="AF109" i="26"/>
  <c r="AZ64" i="22"/>
  <c r="G27" i="14"/>
  <c r="C184" i="35"/>
  <c r="C191" i="35"/>
  <c r="G242" i="35"/>
  <c r="AM49" i="23"/>
  <c r="AC58" i="26"/>
  <c r="AM36" i="26"/>
  <c r="AC58" i="23"/>
  <c r="AE88" i="27"/>
  <c r="C184" i="36"/>
  <c r="C191" i="36"/>
  <c r="AO48" i="23"/>
  <c r="G242" i="36"/>
  <c r="F24" i="14"/>
  <c r="G619" i="36"/>
  <c r="G17" i="14"/>
  <c r="BH62" i="22"/>
  <c r="AN59" i="27"/>
  <c r="AQ71" i="26"/>
  <c r="I265" i="35"/>
  <c r="A591" i="36"/>
  <c r="A598" i="36"/>
  <c r="AC4" i="27"/>
  <c r="I265" i="36"/>
  <c r="A591" i="35"/>
  <c r="A598" i="35"/>
  <c r="AC4" i="23"/>
  <c r="AE114" i="27"/>
  <c r="AC4" i="26"/>
  <c r="G298" i="35"/>
  <c r="AI82" i="26"/>
  <c r="AM36" i="23"/>
  <c r="AM49" i="26"/>
  <c r="AN62" i="23"/>
  <c r="AN62" i="26"/>
  <c r="AN62" i="27"/>
  <c r="AF39" i="27"/>
  <c r="AF39" i="26"/>
  <c r="AF39" i="23"/>
  <c r="M57" i="10"/>
  <c r="BF42" i="22"/>
  <c r="BJ60" i="22"/>
  <c r="BL42" i="22"/>
  <c r="BB112" i="22"/>
  <c r="AR61" i="23"/>
  <c r="H15" i="21"/>
  <c r="H14" i="21"/>
  <c r="H9" i="21"/>
  <c r="H8" i="21"/>
  <c r="BH74" i="22"/>
  <c r="BD72" i="22"/>
  <c r="BH42" i="22"/>
  <c r="BF64" i="22"/>
  <c r="AB39" i="27"/>
  <c r="BB64" i="22"/>
  <c r="BF74" i="22"/>
  <c r="AL71" i="23"/>
  <c r="F12" i="19"/>
  <c r="BB60" i="22"/>
  <c r="BH64" i="22"/>
  <c r="BF46" i="22"/>
  <c r="AL43" i="23"/>
  <c r="AB62" i="26"/>
  <c r="AB62" i="27"/>
  <c r="AX74" i="22"/>
  <c r="AB39" i="26"/>
  <c r="AX65" i="22"/>
  <c r="AB45" i="23"/>
  <c r="BJ64" i="22"/>
  <c r="AB57" i="26"/>
  <c r="C269" i="35"/>
  <c r="C276" i="35"/>
  <c r="J38" i="35"/>
  <c r="J38" i="36"/>
  <c r="AI66" i="27"/>
  <c r="AI66" i="26"/>
  <c r="AI48" i="23"/>
  <c r="AI48" i="27"/>
  <c r="AI48" i="26"/>
  <c r="AI105" i="27"/>
  <c r="AI105" i="26"/>
  <c r="AI105" i="23"/>
  <c r="H45" i="39"/>
  <c r="H43" i="32"/>
  <c r="L46" i="10"/>
  <c r="BI73" i="22"/>
  <c r="BG71" i="22"/>
  <c r="G43" i="39"/>
  <c r="G41" i="32"/>
  <c r="D41" i="39"/>
  <c r="E41" i="39"/>
  <c r="E43" i="6"/>
  <c r="E39" i="32"/>
  <c r="I36" i="32"/>
  <c r="BK66" i="22"/>
  <c r="I38" i="39"/>
  <c r="I34" i="32"/>
  <c r="BK64" i="22"/>
  <c r="I36" i="39"/>
  <c r="F32" i="32"/>
  <c r="F36" i="6"/>
  <c r="K34" i="39"/>
  <c r="BE62" i="22"/>
  <c r="F34" i="39"/>
  <c r="K32" i="39"/>
  <c r="F34" i="6"/>
  <c r="BE60" i="22"/>
  <c r="F32" i="39"/>
  <c r="BK57" i="22"/>
  <c r="I27" i="32"/>
  <c r="I29" i="39"/>
  <c r="I27" i="39"/>
  <c r="BK55" i="22"/>
  <c r="G25" i="39"/>
  <c r="D23" i="39"/>
  <c r="E25" i="6"/>
  <c r="E23" i="39"/>
  <c r="E21" i="32"/>
  <c r="D19" i="32"/>
  <c r="D23" i="6"/>
  <c r="BA49" i="22"/>
  <c r="BG46" i="22"/>
  <c r="G16" i="32"/>
  <c r="G18" i="39"/>
  <c r="F18" i="6"/>
  <c r="BE44" i="22"/>
  <c r="F16" i="39"/>
  <c r="K16" i="39"/>
  <c r="I13" i="39"/>
  <c r="G66" i="35"/>
  <c r="I11" i="32"/>
  <c r="BK41" i="22"/>
  <c r="L12" i="10"/>
  <c r="H9" i="32"/>
  <c r="H11" i="39"/>
  <c r="BI39" i="22"/>
  <c r="K9" i="39"/>
  <c r="F11" i="6"/>
  <c r="F9" i="39"/>
  <c r="I6" i="39"/>
  <c r="BK34" i="22"/>
  <c r="I4" i="32"/>
  <c r="M63" i="10"/>
  <c r="M22" i="10"/>
  <c r="M60" i="10"/>
  <c r="M52" i="10"/>
  <c r="M50" i="10"/>
  <c r="M20" i="10"/>
  <c r="M65" i="10"/>
  <c r="M85" i="10"/>
  <c r="M38" i="10"/>
  <c r="M25" i="10"/>
  <c r="M91" i="10"/>
  <c r="M70" i="10"/>
  <c r="M6" i="10"/>
  <c r="M69" i="10"/>
  <c r="M27" i="10"/>
  <c r="M76" i="10"/>
  <c r="M82" i="10"/>
  <c r="M75" i="10"/>
  <c r="M51" i="10"/>
  <c r="M19" i="10"/>
  <c r="M93" i="10"/>
  <c r="M101" i="10"/>
  <c r="M88" i="10"/>
  <c r="M73" i="10"/>
  <c r="M59" i="10"/>
  <c r="M55" i="10"/>
  <c r="M32" i="10"/>
  <c r="M87" i="10"/>
  <c r="M56" i="10"/>
  <c r="M34" i="10"/>
  <c r="M53" i="10"/>
  <c r="M84" i="10"/>
  <c r="M62" i="10"/>
  <c r="AM58" i="23"/>
  <c r="AM58" i="26"/>
  <c r="AM58" i="27"/>
  <c r="F23" i="14"/>
  <c r="G23" i="14"/>
  <c r="AN85" i="23"/>
  <c r="AN85" i="27"/>
  <c r="AX118" i="22"/>
  <c r="AZ118" i="22"/>
  <c r="AF115" i="27"/>
  <c r="BB118" i="22"/>
  <c r="BF118" i="22"/>
  <c r="AL115" i="23"/>
  <c r="BH118" i="22"/>
  <c r="AB115" i="27"/>
  <c r="BD118" i="22"/>
  <c r="BL118" i="22"/>
  <c r="M7" i="7"/>
  <c r="M8" i="7"/>
  <c r="B100" i="39"/>
  <c r="B102" i="6"/>
  <c r="H96" i="32"/>
  <c r="L99" i="10"/>
  <c r="H98" i="39"/>
  <c r="D97" i="39"/>
  <c r="E95" i="32"/>
  <c r="E99" i="6"/>
  <c r="E97" i="39"/>
  <c r="I95" i="39"/>
  <c r="F92" i="32"/>
  <c r="K94" i="39"/>
  <c r="F96" i="6"/>
  <c r="K91" i="32"/>
  <c r="A91" i="32"/>
  <c r="L93" i="39"/>
  <c r="G91" i="39"/>
  <c r="BG119" i="22"/>
  <c r="G89" i="32"/>
  <c r="D92" i="6"/>
  <c r="D88" i="32"/>
  <c r="BA118" i="22"/>
  <c r="L89" i="10"/>
  <c r="H86" i="32"/>
  <c r="M89" i="10"/>
  <c r="H88" i="39"/>
  <c r="BI116" i="22"/>
  <c r="E89" i="6"/>
  <c r="D87" i="39"/>
  <c r="E85" i="32"/>
  <c r="BC115" i="22"/>
  <c r="B88" i="6"/>
  <c r="B84" i="32"/>
  <c r="AW114" i="22"/>
  <c r="B86" i="39"/>
  <c r="G82" i="32"/>
  <c r="BG112" i="22"/>
  <c r="G84" i="39"/>
  <c r="D85" i="6"/>
  <c r="BA111" i="22"/>
  <c r="AG108" i="26"/>
  <c r="D81" i="32"/>
  <c r="K80" i="32"/>
  <c r="A80" i="32"/>
  <c r="L82" i="39"/>
  <c r="E82" i="6"/>
  <c r="D80" i="39"/>
  <c r="E80" i="39"/>
  <c r="E78" i="32"/>
  <c r="B77" i="32"/>
  <c r="AW107" i="22"/>
  <c r="B79" i="39"/>
  <c r="B81" i="6"/>
  <c r="M78" i="10"/>
  <c r="L78" i="10"/>
  <c r="H75" i="32"/>
  <c r="BI105" i="22"/>
  <c r="H77" i="39"/>
  <c r="C74" i="32"/>
  <c r="C78" i="6"/>
  <c r="AY104" i="22"/>
  <c r="I72" i="32"/>
  <c r="BK102" i="22"/>
  <c r="I74" i="39"/>
  <c r="F73" i="39"/>
  <c r="BE101" i="22"/>
  <c r="F71" i="32"/>
  <c r="F75" i="6"/>
  <c r="K73" i="39"/>
  <c r="K70" i="32"/>
  <c r="A70" i="32"/>
  <c r="L72" i="39"/>
  <c r="G68" i="32"/>
  <c r="BG98" i="22"/>
  <c r="G70" i="39"/>
  <c r="BA97" i="22"/>
  <c r="D67" i="32"/>
  <c r="D71" i="6"/>
  <c r="H65" i="32"/>
  <c r="BI95" i="22"/>
  <c r="L68" i="10"/>
  <c r="H67" i="39"/>
  <c r="D66" i="39"/>
  <c r="E68" i="6"/>
  <c r="E64" i="32"/>
  <c r="BC94" i="22"/>
  <c r="I62" i="32"/>
  <c r="I64" i="39"/>
  <c r="BK92" i="22"/>
  <c r="BE91" i="22"/>
  <c r="F65" i="6"/>
  <c r="F61" i="32"/>
  <c r="K63" i="39"/>
  <c r="F63" i="39"/>
  <c r="C62" i="39"/>
  <c r="C60" i="32"/>
  <c r="AY90" i="22"/>
  <c r="G58" i="32"/>
  <c r="G60" i="39"/>
  <c r="BG88" i="22"/>
  <c r="D61" i="6"/>
  <c r="BA87" i="22"/>
  <c r="K56" i="32"/>
  <c r="A56" i="32"/>
  <c r="L58" i="39"/>
  <c r="BC84" i="22"/>
  <c r="AI81" i="27"/>
  <c r="E54" i="32"/>
  <c r="D56" i="39"/>
  <c r="E56" i="39"/>
  <c r="E58" i="6"/>
  <c r="B53" i="32"/>
  <c r="B55" i="39"/>
  <c r="AW83" i="22"/>
  <c r="H51" i="32"/>
  <c r="BI81" i="22"/>
  <c r="H53" i="39"/>
  <c r="L54" i="10"/>
  <c r="M54" i="10"/>
  <c r="C50" i="32"/>
  <c r="C52" i="39"/>
  <c r="C54" i="6"/>
  <c r="AY80" i="22"/>
  <c r="I48" i="32"/>
  <c r="BK78" i="22"/>
  <c r="I50" i="39"/>
  <c r="F51" i="6"/>
  <c r="F49" i="39"/>
  <c r="BE77" i="22"/>
  <c r="K49" i="39"/>
  <c r="I45" i="32"/>
  <c r="BK75" i="22"/>
  <c r="F46" i="39"/>
  <c r="F44" i="32"/>
  <c r="F48" i="6"/>
  <c r="K46" i="39"/>
  <c r="BE74" i="22"/>
  <c r="AY71" i="22"/>
  <c r="AE68" i="23"/>
  <c r="C45" i="6"/>
  <c r="D41" i="6"/>
  <c r="BA67" i="22"/>
  <c r="K34" i="32"/>
  <c r="A34" i="32"/>
  <c r="L36" i="39"/>
  <c r="B34" i="6"/>
  <c r="B30" i="32"/>
  <c r="B32" i="39"/>
  <c r="AW60" i="22"/>
  <c r="C30" i="6"/>
  <c r="C26" i="32"/>
  <c r="C28" i="39"/>
  <c r="AY56" i="22"/>
  <c r="D22" i="32"/>
  <c r="D26" i="6"/>
  <c r="BA52" i="22"/>
  <c r="K19" i="32"/>
  <c r="A19" i="32"/>
  <c r="L21" i="39"/>
  <c r="K16" i="32"/>
  <c r="A16" i="32"/>
  <c r="L18" i="39"/>
  <c r="B14" i="39"/>
  <c r="B12" i="32"/>
  <c r="AW42" i="22"/>
  <c r="AC39" i="23"/>
  <c r="B16" i="6"/>
  <c r="C8" i="32"/>
  <c r="C10" i="39"/>
  <c r="AY38" i="22"/>
  <c r="AW34" i="22"/>
  <c r="AC31" i="27"/>
  <c r="B8" i="6"/>
  <c r="B6" i="39"/>
  <c r="AC14" i="146"/>
  <c r="AG75" i="23"/>
  <c r="C214" i="36"/>
  <c r="C221" i="36"/>
  <c r="AE54" i="27"/>
  <c r="AC69" i="23"/>
  <c r="AC69" i="26"/>
  <c r="AE64" i="27"/>
  <c r="AE64" i="26"/>
  <c r="AE64" i="23"/>
  <c r="C47" i="32"/>
  <c r="C51" i="6"/>
  <c r="AY77" i="22"/>
  <c r="C49" i="39"/>
  <c r="AE26" i="146"/>
  <c r="AG75" i="26"/>
  <c r="J269" i="35"/>
  <c r="J269" i="36"/>
  <c r="G69" i="36"/>
  <c r="G69" i="35"/>
  <c r="C124" i="35"/>
  <c r="C131" i="35"/>
  <c r="C124" i="36"/>
  <c r="C131" i="36"/>
  <c r="A125" i="36"/>
  <c r="A132" i="36"/>
  <c r="AQ67" i="27"/>
  <c r="F14" i="32"/>
  <c r="G301" i="36"/>
  <c r="G301" i="35"/>
  <c r="AQ30" i="26"/>
  <c r="AQ30" i="23"/>
  <c r="AQ30" i="27"/>
  <c r="A153" i="35"/>
  <c r="A160" i="35"/>
  <c r="AC26" i="146"/>
  <c r="AI66" i="23"/>
  <c r="A126" i="36"/>
  <c r="A133" i="36"/>
  <c r="J155" i="35"/>
  <c r="I25" i="32"/>
  <c r="BG53" i="22"/>
  <c r="AK40" i="23"/>
  <c r="AK40" i="26"/>
  <c r="AK40" i="27"/>
  <c r="AK95" i="27"/>
  <c r="AK95" i="26"/>
  <c r="AK95" i="23"/>
  <c r="C182" i="35"/>
  <c r="C189" i="35"/>
  <c r="AG14" i="146"/>
  <c r="AH14" i="146"/>
  <c r="AI14" i="146"/>
  <c r="AJ14" i="146"/>
  <c r="AC81" i="26"/>
  <c r="AC81" i="23"/>
  <c r="AC81" i="27"/>
  <c r="AG102" i="26"/>
  <c r="AG102" i="27"/>
  <c r="AM54" i="27"/>
  <c r="AM54" i="26"/>
  <c r="AN6" i="85"/>
  <c r="K14" i="85"/>
  <c r="Q7" i="85"/>
  <c r="AY53" i="22"/>
  <c r="C27" i="6"/>
  <c r="C25" i="39"/>
  <c r="C23" i="32"/>
  <c r="G23" i="32"/>
  <c r="AI43" i="23"/>
  <c r="AI43" i="26"/>
  <c r="D27" i="32"/>
  <c r="D31" i="6"/>
  <c r="BA57" i="22"/>
  <c r="C97" i="39"/>
  <c r="C99" i="6"/>
  <c r="AD26" i="146"/>
  <c r="AE14" i="146"/>
  <c r="C40" i="36"/>
  <c r="C47" i="36"/>
  <c r="BE37" i="22"/>
  <c r="C71" i="32"/>
  <c r="C73" i="39"/>
  <c r="AY101" i="22"/>
  <c r="C75" i="6"/>
  <c r="AF26" i="146"/>
  <c r="C40" i="35"/>
  <c r="C47" i="35"/>
  <c r="F7" i="32"/>
  <c r="A11" i="35"/>
  <c r="A18" i="35"/>
  <c r="AK42" i="27"/>
  <c r="AK42" i="26"/>
  <c r="AK42" i="23"/>
  <c r="AK97" i="23"/>
  <c r="AK97" i="26"/>
  <c r="A298" i="35"/>
  <c r="A305" i="35"/>
  <c r="BH110" i="22"/>
  <c r="G14" i="14"/>
  <c r="AZ83" i="22"/>
  <c r="BH52" i="22"/>
  <c r="AN49" i="23"/>
  <c r="M48" i="10"/>
  <c r="M100" i="10"/>
  <c r="AO114" i="27"/>
  <c r="AQ48" i="26"/>
  <c r="AI68" i="23"/>
  <c r="AQ48" i="27"/>
  <c r="G22" i="4"/>
  <c r="AF49" i="23"/>
  <c r="AF59" i="23"/>
  <c r="BB97" i="22"/>
  <c r="BF116" i="22"/>
  <c r="AL113" i="23"/>
  <c r="AB113" i="26"/>
  <c r="A559" i="35"/>
  <c r="A566" i="35"/>
  <c r="BL44" i="22"/>
  <c r="AR41" i="27"/>
  <c r="A559" i="36"/>
  <c r="A566" i="36"/>
  <c r="AG66" i="26"/>
  <c r="J358" i="36"/>
  <c r="F33" i="14"/>
  <c r="AX41" i="22"/>
  <c r="AB38" i="23"/>
  <c r="AF49" i="27"/>
  <c r="BF41" i="22"/>
  <c r="AG66" i="23"/>
  <c r="AI35" i="26"/>
  <c r="AB38" i="27"/>
  <c r="BD41" i="22"/>
  <c r="T42" i="154"/>
  <c r="H42" i="154"/>
  <c r="H41" i="154"/>
  <c r="B68" i="154"/>
  <c r="T74" i="154"/>
  <c r="T41" i="154"/>
  <c r="BJ46" i="22"/>
  <c r="AP43" i="27"/>
  <c r="AZ46" i="22"/>
  <c r="AF43" i="27"/>
  <c r="AB36" i="26"/>
  <c r="AQ73" i="27"/>
  <c r="AQ73" i="23"/>
  <c r="AQ73" i="26"/>
  <c r="AP90" i="27"/>
  <c r="AP90" i="26"/>
  <c r="AP90" i="23"/>
  <c r="BB45" i="22"/>
  <c r="BD90" i="22"/>
  <c r="BB46" i="22"/>
  <c r="AH43" i="26"/>
  <c r="AB30" i="23"/>
  <c r="BH116" i="22"/>
  <c r="AN113" i="23"/>
  <c r="BH51" i="22"/>
  <c r="AN48" i="27"/>
  <c r="AB104" i="27"/>
  <c r="C300" i="36"/>
  <c r="C307" i="36"/>
  <c r="BD45" i="22"/>
  <c r="AX2" i="22"/>
  <c r="AY2" i="22"/>
  <c r="BF119" i="22"/>
  <c r="AL116" i="26"/>
  <c r="AZ107" i="22"/>
  <c r="AF104" i="27"/>
  <c r="AZ40" i="22"/>
  <c r="AF37" i="23"/>
  <c r="BD107" i="22"/>
  <c r="AJ104" i="23"/>
  <c r="BB119" i="22"/>
  <c r="AH116" i="23"/>
  <c r="J93" i="39"/>
  <c r="BJ52" i="22"/>
  <c r="AP49" i="27"/>
  <c r="AB50" i="26"/>
  <c r="AF83" i="26"/>
  <c r="AF83" i="27"/>
  <c r="AF83" i="23"/>
  <c r="B410" i="35"/>
  <c r="B410" i="36"/>
  <c r="AC112" i="182"/>
  <c r="AB43" i="23"/>
  <c r="AC15" i="27"/>
  <c r="AC111" i="182"/>
  <c r="G14" i="20"/>
  <c r="AX116" i="22"/>
  <c r="AD113" i="26"/>
  <c r="AB115" i="23"/>
  <c r="AI134" i="182"/>
  <c r="AC144" i="182"/>
  <c r="M90" i="10"/>
  <c r="AB71" i="26"/>
  <c r="BL46" i="22"/>
  <c r="AR43" i="23"/>
  <c r="AB43" i="26"/>
  <c r="AX51" i="22"/>
  <c r="AD48" i="23"/>
  <c r="AX46" i="22"/>
  <c r="AD43" i="27"/>
  <c r="BH46" i="22"/>
  <c r="AN43" i="26"/>
  <c r="BJ118" i="22"/>
  <c r="BD52" i="22"/>
  <c r="AJ49" i="23"/>
  <c r="AB43" i="27"/>
  <c r="I33" i="35"/>
  <c r="I33" i="36"/>
  <c r="AN47" i="23"/>
  <c r="AN47" i="27"/>
  <c r="AN47" i="26"/>
  <c r="AR35" i="27"/>
  <c r="AR35" i="23"/>
  <c r="B4" i="36"/>
  <c r="B4" i="35"/>
  <c r="J9" i="36"/>
  <c r="AE114" i="23"/>
  <c r="J155" i="36"/>
  <c r="AE34" i="26"/>
  <c r="AE115" i="26"/>
  <c r="C533" i="36"/>
  <c r="C540" i="36"/>
  <c r="AC47" i="182"/>
  <c r="BD96" i="22"/>
  <c r="AN85" i="26"/>
  <c r="AB81" i="26"/>
  <c r="AX71" i="22"/>
  <c r="AD68" i="23"/>
  <c r="BD50" i="22"/>
  <c r="BH47" i="22"/>
  <c r="AN44" i="27"/>
  <c r="AB92" i="27"/>
  <c r="BH113" i="22"/>
  <c r="AN110" i="26"/>
  <c r="M97" i="10"/>
  <c r="C95" i="6"/>
  <c r="BD76" i="22"/>
  <c r="BF47" i="22"/>
  <c r="AL44" i="23"/>
  <c r="BL66" i="22"/>
  <c r="AR63" i="27"/>
  <c r="M72" i="10"/>
  <c r="AE66" i="27"/>
  <c r="F30" i="19"/>
  <c r="AB44" i="23"/>
  <c r="AZ88" i="22"/>
  <c r="AF85" i="23"/>
  <c r="BL47" i="22"/>
  <c r="AR44" i="26"/>
  <c r="M86" i="10"/>
  <c r="M79" i="10"/>
  <c r="B47" i="32"/>
  <c r="AO41" i="27"/>
  <c r="BF88" i="22"/>
  <c r="AL85" i="23"/>
  <c r="AZ47" i="22"/>
  <c r="M94" i="10"/>
  <c r="BM105" i="22"/>
  <c r="AS102" i="26"/>
  <c r="AE78" i="27"/>
  <c r="AO41" i="23"/>
  <c r="AC49" i="182"/>
  <c r="AB93" i="26"/>
  <c r="BJ84" i="22"/>
  <c r="AP73" i="26"/>
  <c r="BJ71" i="22"/>
  <c r="AB53" i="23"/>
  <c r="AB44" i="26"/>
  <c r="BH41" i="22"/>
  <c r="AN38" i="23"/>
  <c r="G36" i="14"/>
  <c r="BB51" i="22"/>
  <c r="AH48" i="27"/>
  <c r="M83" i="10"/>
  <c r="R75" i="70"/>
  <c r="Q75" i="70"/>
  <c r="AE78" i="23"/>
  <c r="G11" i="35"/>
  <c r="G23" i="20"/>
  <c r="AP73" i="27"/>
  <c r="AZ113" i="22"/>
  <c r="AF110" i="27"/>
  <c r="M98" i="10"/>
  <c r="M80" i="10"/>
  <c r="L618" i="35"/>
  <c r="AR110" i="23"/>
  <c r="M95" i="10"/>
  <c r="M77" i="10"/>
  <c r="BF95" i="22"/>
  <c r="AL92" i="27"/>
  <c r="AX113" i="22"/>
  <c r="AD110" i="23"/>
  <c r="M92" i="10"/>
  <c r="BH76" i="22"/>
  <c r="BL76" i="22"/>
  <c r="AB73" i="26"/>
  <c r="M99" i="10"/>
  <c r="M81" i="10"/>
  <c r="AK47" i="23"/>
  <c r="AI113" i="26"/>
  <c r="AB73" i="27"/>
  <c r="BB76" i="22"/>
  <c r="AZ76" i="22"/>
  <c r="AB63" i="26"/>
  <c r="M96" i="10"/>
  <c r="M64" i="10"/>
  <c r="AC48" i="182"/>
  <c r="BF71" i="22"/>
  <c r="BL35" i="22"/>
  <c r="AR32" i="23"/>
  <c r="BH61" i="22"/>
  <c r="BL116" i="22"/>
  <c r="AR113" i="26"/>
  <c r="M71" i="10"/>
  <c r="B468" i="35"/>
  <c r="B468" i="36"/>
  <c r="AP38" i="23"/>
  <c r="AP38" i="26"/>
  <c r="AP38" i="27"/>
  <c r="AD52" i="23"/>
  <c r="AD52" i="26"/>
  <c r="BL48" i="22"/>
  <c r="BD85" i="22"/>
  <c r="BB40" i="22"/>
  <c r="AZ33" i="22"/>
  <c r="AF30" i="23"/>
  <c r="AB30" i="26"/>
  <c r="BF44" i="22"/>
  <c r="AL41" i="27"/>
  <c r="AB34" i="27"/>
  <c r="BB69" i="22"/>
  <c r="AH66" i="23"/>
  <c r="G9" i="20"/>
  <c r="BJ110" i="22"/>
  <c r="BD69" i="22"/>
  <c r="BB111" i="22"/>
  <c r="AH108" i="26"/>
  <c r="AX33" i="22"/>
  <c r="BF111" i="22"/>
  <c r="AL108" i="23"/>
  <c r="AB30" i="27"/>
  <c r="AZ97" i="22"/>
  <c r="BH44" i="22"/>
  <c r="AN41" i="26"/>
  <c r="BH103" i="22"/>
  <c r="AN100" i="27"/>
  <c r="BF103" i="22"/>
  <c r="AL100" i="23"/>
  <c r="BL87" i="22"/>
  <c r="AR84" i="27"/>
  <c r="BH33" i="22"/>
  <c r="AN30" i="26"/>
  <c r="AB94" i="26"/>
  <c r="AB108" i="26"/>
  <c r="BD40" i="22"/>
  <c r="AJ37" i="23"/>
  <c r="BD44" i="22"/>
  <c r="AJ41" i="27"/>
  <c r="BD73" i="22"/>
  <c r="AJ70" i="27"/>
  <c r="BF33" i="22"/>
  <c r="AL30" i="27"/>
  <c r="BL41" i="22"/>
  <c r="AR38" i="27"/>
  <c r="G8" i="19"/>
  <c r="AB108" i="27"/>
  <c r="AB101" i="23"/>
  <c r="BB63" i="22"/>
  <c r="AH60" i="27"/>
  <c r="AB38" i="26"/>
  <c r="BJ40" i="22"/>
  <c r="AP37" i="26"/>
  <c r="BB53" i="22"/>
  <c r="AH50" i="26"/>
  <c r="AB50" i="23"/>
  <c r="AZ41" i="22"/>
  <c r="BB48" i="22"/>
  <c r="AH45" i="26"/>
  <c r="BL63" i="22"/>
  <c r="AR60" i="27"/>
  <c r="N78" i="7"/>
  <c r="N79" i="7"/>
  <c r="J87" i="39"/>
  <c r="AC113" i="182"/>
  <c r="BL72" i="22"/>
  <c r="F30" i="14"/>
  <c r="BL97" i="22"/>
  <c r="AB94" i="23"/>
  <c r="AX53" i="22"/>
  <c r="AD50" i="23"/>
  <c r="BB58" i="22"/>
  <c r="AH55" i="23"/>
  <c r="AB69" i="26"/>
  <c r="G12" i="14"/>
  <c r="AN108" i="23"/>
  <c r="AB50" i="27"/>
  <c r="AB106" i="23"/>
  <c r="AS108" i="26"/>
  <c r="BJ97" i="22"/>
  <c r="BL33" i="22"/>
  <c r="AB101" i="27"/>
  <c r="BH53" i="22"/>
  <c r="AN50" i="26"/>
  <c r="BB120" i="22"/>
  <c r="AH117" i="27"/>
  <c r="BJ48" i="22"/>
  <c r="AX85" i="22"/>
  <c r="BB73" i="22"/>
  <c r="AB108" i="23"/>
  <c r="BB41" i="22"/>
  <c r="AB36" i="23"/>
  <c r="AB92" i="26"/>
  <c r="AB110" i="27"/>
  <c r="AB117" i="26"/>
  <c r="AB37" i="23"/>
  <c r="AC97" i="26"/>
  <c r="AC97" i="23"/>
  <c r="AC97" i="27"/>
  <c r="AH30" i="26"/>
  <c r="AH30" i="27"/>
  <c r="AH30" i="23"/>
  <c r="B294" i="36"/>
  <c r="AN105" i="26"/>
  <c r="AN105" i="27"/>
  <c r="AN105" i="23"/>
  <c r="AS98" i="23"/>
  <c r="AS98" i="26"/>
  <c r="J71" i="32"/>
  <c r="AP46" i="23"/>
  <c r="AP46" i="26"/>
  <c r="AP46" i="27"/>
  <c r="AL58" i="27"/>
  <c r="AL58" i="26"/>
  <c r="AL58" i="23"/>
  <c r="I14" i="146"/>
  <c r="AJ43" i="23"/>
  <c r="AJ43" i="26"/>
  <c r="AJ43" i="27"/>
  <c r="B352" i="36"/>
  <c r="B14" i="146"/>
  <c r="C14" i="146"/>
  <c r="AD114" i="26"/>
  <c r="AD114" i="27"/>
  <c r="AD114" i="23"/>
  <c r="AE84" i="27"/>
  <c r="A327" i="35"/>
  <c r="A334" i="35"/>
  <c r="BF77" i="22"/>
  <c r="BB108" i="22"/>
  <c r="BB96" i="22"/>
  <c r="AZ49" i="22"/>
  <c r="AB57" i="23"/>
  <c r="BL79" i="22"/>
  <c r="BF73" i="22"/>
  <c r="AB49" i="26"/>
  <c r="AB72" i="27"/>
  <c r="AB89" i="26"/>
  <c r="AB63" i="23"/>
  <c r="AX61" i="22"/>
  <c r="AD58" i="27"/>
  <c r="BD88" i="22"/>
  <c r="BD113" i="22"/>
  <c r="BF76" i="22"/>
  <c r="AL73" i="23"/>
  <c r="AX69" i="22"/>
  <c r="AD66" i="26"/>
  <c r="M66" i="10"/>
  <c r="K1" i="221"/>
  <c r="BB85" i="22"/>
  <c r="AB82" i="27"/>
  <c r="BH96" i="22"/>
  <c r="BB79" i="22"/>
  <c r="AB36" i="27"/>
  <c r="BD66" i="22"/>
  <c r="BL61" i="22"/>
  <c r="AR58" i="23"/>
  <c r="AB110" i="23"/>
  <c r="BH114" i="22"/>
  <c r="BL85" i="22"/>
  <c r="AR82" i="27"/>
  <c r="AX120" i="22"/>
  <c r="AD117" i="27"/>
  <c r="AB66" i="26"/>
  <c r="BF85" i="22"/>
  <c r="AL82" i="23"/>
  <c r="BH95" i="22"/>
  <c r="P32" i="7"/>
  <c r="P14" i="7"/>
  <c r="P73" i="7"/>
  <c r="N11" i="7"/>
  <c r="P87" i="7"/>
  <c r="P98" i="7"/>
  <c r="J357" i="35"/>
  <c r="BH79" i="22"/>
  <c r="AB70" i="26"/>
  <c r="BH102" i="22"/>
  <c r="BF101" i="22"/>
  <c r="AL98" i="27"/>
  <c r="BB66" i="22"/>
  <c r="AH63" i="23"/>
  <c r="BJ95" i="22"/>
  <c r="AP92" i="27"/>
  <c r="AZ111" i="22"/>
  <c r="AF108" i="23"/>
  <c r="BJ108" i="22"/>
  <c r="AP105" i="23"/>
  <c r="BL120" i="22"/>
  <c r="AR117" i="27"/>
  <c r="M71" i="7"/>
  <c r="M83" i="7"/>
  <c r="AD52" i="27"/>
  <c r="BL60" i="22"/>
  <c r="AB70" i="23"/>
  <c r="BF39" i="22"/>
  <c r="AL36" i="26"/>
  <c r="BL39" i="22"/>
  <c r="AP63" i="27"/>
  <c r="BD95" i="22"/>
  <c r="AJ92" i="26"/>
  <c r="BD111" i="22"/>
  <c r="AJ108" i="27"/>
  <c r="AD76" i="23"/>
  <c r="AB79" i="26"/>
  <c r="AB117" i="23"/>
  <c r="AZ63" i="22"/>
  <c r="BL69" i="22"/>
  <c r="Q41" i="79"/>
  <c r="P41" i="79"/>
  <c r="AB42" i="23"/>
  <c r="BJ85" i="22"/>
  <c r="AZ85" i="22"/>
  <c r="G8" i="20"/>
  <c r="G12" i="20"/>
  <c r="AB57" i="27"/>
  <c r="AX73" i="22"/>
  <c r="BH60" i="22"/>
  <c r="BJ73" i="22"/>
  <c r="AZ114" i="22"/>
  <c r="AF111" i="27"/>
  <c r="BL95" i="22"/>
  <c r="AR92" i="26"/>
  <c r="BJ120" i="22"/>
  <c r="AP117" i="27"/>
  <c r="BH37" i="22"/>
  <c r="AN34" i="23"/>
  <c r="AZ39" i="22"/>
  <c r="BH63" i="22"/>
  <c r="AN60" i="26"/>
  <c r="AZ61" i="22"/>
  <c r="AZ95" i="22"/>
  <c r="AF92" i="26"/>
  <c r="AB48" i="26"/>
  <c r="AB99" i="26"/>
  <c r="AX76" i="22"/>
  <c r="BD64" i="22"/>
  <c r="AJ61" i="27"/>
  <c r="AX22" i="221"/>
  <c r="BH45" i="22"/>
  <c r="AZ79" i="22"/>
  <c r="BF114" i="22"/>
  <c r="AL111" i="23"/>
  <c r="AX95" i="22"/>
  <c r="AB60" i="27"/>
  <c r="BD61" i="22"/>
  <c r="AJ58" i="27"/>
  <c r="AZ57" i="22"/>
  <c r="AF54" i="26"/>
  <c r="AB70" i="27"/>
  <c r="BH101" i="22"/>
  <c r="AN98" i="26"/>
  <c r="BJ77" i="22"/>
  <c r="AD76" i="26"/>
  <c r="AB92" i="23"/>
  <c r="AB98" i="23"/>
  <c r="BJ69" i="22"/>
  <c r="AX63" i="22"/>
  <c r="AB58" i="23"/>
  <c r="AN66" i="27"/>
  <c r="AB55" i="23"/>
  <c r="AJ36" i="23"/>
  <c r="AB58" i="26"/>
  <c r="BB101" i="22"/>
  <c r="AH98" i="23"/>
  <c r="BD77" i="22"/>
  <c r="AJ74" i="27"/>
  <c r="AB60" i="26"/>
  <c r="BB61" i="22"/>
  <c r="AN66" i="23"/>
  <c r="AH92" i="26"/>
  <c r="F26" i="14"/>
  <c r="AJ117" i="26"/>
  <c r="BF120" i="22"/>
  <c r="M46" i="10"/>
  <c r="R79" i="70"/>
  <c r="Q79" i="70"/>
  <c r="AJ36" i="27"/>
  <c r="AB58" i="27"/>
  <c r="BL101" i="22"/>
  <c r="AR98" i="26"/>
  <c r="BF63" i="22"/>
  <c r="AL60" i="27"/>
  <c r="AJ117" i="23"/>
  <c r="AZ69" i="22"/>
  <c r="AF66" i="23"/>
  <c r="AF64" i="27"/>
  <c r="AF64" i="26"/>
  <c r="AF64" i="23"/>
  <c r="AL69" i="27"/>
  <c r="AL69" i="23"/>
  <c r="AL69" i="26"/>
  <c r="AF65" i="27"/>
  <c r="AF65" i="26"/>
  <c r="AL51" i="26"/>
  <c r="AL51" i="23"/>
  <c r="AL51" i="27"/>
  <c r="BF110" i="22"/>
  <c r="AB107" i="23"/>
  <c r="BB110" i="22"/>
  <c r="AX110" i="22"/>
  <c r="AX83" i="22"/>
  <c r="AB80" i="23"/>
  <c r="BH83" i="22"/>
  <c r="BB94" i="22"/>
  <c r="AH91" i="23"/>
  <c r="BH94" i="22"/>
  <c r="AN91" i="23"/>
  <c r="AS108" i="27"/>
  <c r="AB107" i="27"/>
  <c r="BD67" i="22"/>
  <c r="AJ64" i="26"/>
  <c r="BL83" i="22"/>
  <c r="BJ45" i="22"/>
  <c r="AP42" i="26"/>
  <c r="AZ45" i="22"/>
  <c r="AF42" i="26"/>
  <c r="BB49" i="22"/>
  <c r="BH49" i="22"/>
  <c r="AB46" i="27"/>
  <c r="BF49" i="22"/>
  <c r="AP103" i="27"/>
  <c r="AP103" i="23"/>
  <c r="AB103" i="23"/>
  <c r="BH106" i="22"/>
  <c r="BD106" i="22"/>
  <c r="AJ103" i="23"/>
  <c r="BL106" i="22"/>
  <c r="AR103" i="26"/>
  <c r="AB103" i="26"/>
  <c r="BL81" i="22"/>
  <c r="AR78" i="27"/>
  <c r="BB81" i="22"/>
  <c r="AH78" i="26"/>
  <c r="AX81" i="22"/>
  <c r="AD78" i="26"/>
  <c r="BB65" i="22"/>
  <c r="BD65" i="22"/>
  <c r="AB75" i="26"/>
  <c r="BD78" i="22"/>
  <c r="AJ75" i="23"/>
  <c r="AB75" i="23"/>
  <c r="BL78" i="22"/>
  <c r="AR75" i="23"/>
  <c r="AZ110" i="22"/>
  <c r="BJ94" i="22"/>
  <c r="BB68" i="22"/>
  <c r="BD37" i="22"/>
  <c r="AB102" i="26"/>
  <c r="AB102" i="27"/>
  <c r="BB105" i="22"/>
  <c r="AH102" i="23"/>
  <c r="J80" i="32"/>
  <c r="AH89" i="27"/>
  <c r="BL110" i="22"/>
  <c r="AB91" i="27"/>
  <c r="AR42" i="27"/>
  <c r="AR42" i="23"/>
  <c r="BF78" i="22"/>
  <c r="BF38" i="22"/>
  <c r="AL35" i="26"/>
  <c r="BH38" i="22"/>
  <c r="AB114" i="23"/>
  <c r="BD117" i="22"/>
  <c r="AJ114" i="27"/>
  <c r="L501" i="36"/>
  <c r="J81" i="32"/>
  <c r="G15" i="146"/>
  <c r="AB64" i="23"/>
  <c r="AB64" i="26"/>
  <c r="BL98" i="22"/>
  <c r="AR95" i="26"/>
  <c r="AZ98" i="22"/>
  <c r="AF95" i="23"/>
  <c r="AB95" i="23"/>
  <c r="AB95" i="27"/>
  <c r="BB98" i="22"/>
  <c r="AH95" i="27"/>
  <c r="AB56" i="27"/>
  <c r="BF59" i="22"/>
  <c r="AZ59" i="22"/>
  <c r="BB67" i="22"/>
  <c r="J96" i="32"/>
  <c r="F21" i="146"/>
  <c r="AZ72" i="22"/>
  <c r="AB69" i="23"/>
  <c r="AX72" i="22"/>
  <c r="J98" i="39"/>
  <c r="BF83" i="22"/>
  <c r="F14" i="19"/>
  <c r="G14" i="19"/>
  <c r="AB91" i="23"/>
  <c r="AZ91" i="22"/>
  <c r="BD91" i="22"/>
  <c r="AJ88" i="23"/>
  <c r="AB88" i="23"/>
  <c r="BD68" i="22"/>
  <c r="BH68" i="22"/>
  <c r="AN65" i="26"/>
  <c r="AB34" i="23"/>
  <c r="BB37" i="22"/>
  <c r="AH34" i="27"/>
  <c r="BF37" i="22"/>
  <c r="BL37" i="22"/>
  <c r="AZ37" i="22"/>
  <c r="AB34" i="26"/>
  <c r="BL94" i="22"/>
  <c r="AZ54" i="22"/>
  <c r="AF51" i="23"/>
  <c r="BH54" i="22"/>
  <c r="BL54" i="22"/>
  <c r="AX54" i="22"/>
  <c r="AD51" i="26"/>
  <c r="AB51" i="26"/>
  <c r="AX89" i="22"/>
  <c r="AZ89" i="22"/>
  <c r="BB89" i="22"/>
  <c r="AB86" i="23"/>
  <c r="AB86" i="27"/>
  <c r="BF89" i="22"/>
  <c r="BF56" i="22"/>
  <c r="AL53" i="27"/>
  <c r="BJ56" i="22"/>
  <c r="AX56" i="22"/>
  <c r="AD53" i="27"/>
  <c r="BL56" i="22"/>
  <c r="AR53" i="26"/>
  <c r="AZ56" i="22"/>
  <c r="BH56" i="22"/>
  <c r="AN53" i="23"/>
  <c r="AB53" i="27"/>
  <c r="AB80" i="26"/>
  <c r="G18" i="14"/>
  <c r="F18" i="14"/>
  <c r="G35" i="14"/>
  <c r="AZ94" i="22"/>
  <c r="AB109" i="26"/>
  <c r="BF112" i="22"/>
  <c r="BH112" i="22"/>
  <c r="AB83" i="23"/>
  <c r="AB83" i="27"/>
  <c r="BB86" i="22"/>
  <c r="AH83" i="26"/>
  <c r="AZ50" i="22"/>
  <c r="BJ50" i="22"/>
  <c r="AB47" i="26"/>
  <c r="N101" i="7"/>
  <c r="P61" i="7"/>
  <c r="M30" i="10"/>
  <c r="N68" i="7"/>
  <c r="Q41" i="82"/>
  <c r="AX18" i="221"/>
  <c r="AB37" i="27"/>
  <c r="AB48" i="23"/>
  <c r="AZ101" i="22"/>
  <c r="AF98" i="27"/>
  <c r="AF113" i="23"/>
  <c r="BD101" i="22"/>
  <c r="AJ98" i="26"/>
  <c r="AB55" i="27"/>
  <c r="AB68" i="27"/>
  <c r="BL51" i="22"/>
  <c r="AF113" i="26"/>
  <c r="BH57" i="22"/>
  <c r="AN54" i="26"/>
  <c r="N89" i="7"/>
  <c r="M16" i="7"/>
  <c r="M28" i="7"/>
  <c r="M40" i="7"/>
  <c r="M52" i="7"/>
  <c r="BD114" i="22"/>
  <c r="AJ111" i="26"/>
  <c r="BL40" i="22"/>
  <c r="AR37" i="23"/>
  <c r="BF40" i="22"/>
  <c r="BJ39" i="22"/>
  <c r="BF107" i="22"/>
  <c r="AL104" i="23"/>
  <c r="BD116" i="22"/>
  <c r="AX114" i="22"/>
  <c r="AD111" i="27"/>
  <c r="X36" i="82"/>
  <c r="W36" i="82"/>
  <c r="M63" i="7"/>
  <c r="M99" i="7"/>
  <c r="BB114" i="22"/>
  <c r="AH111" i="27"/>
  <c r="AX101" i="22"/>
  <c r="AD98" i="27"/>
  <c r="AX97" i="22"/>
  <c r="AD94" i="26"/>
  <c r="AX40" i="22"/>
  <c r="AD37" i="23"/>
  <c r="BB39" i="22"/>
  <c r="AH36" i="26"/>
  <c r="BH107" i="22"/>
  <c r="AN104" i="26"/>
  <c r="BH39" i="22"/>
  <c r="AN36" i="26"/>
  <c r="AB54" i="26"/>
  <c r="BD58" i="22"/>
  <c r="BB57" i="22"/>
  <c r="AH54" i="26"/>
  <c r="AB113" i="23"/>
  <c r="AB32" i="26"/>
  <c r="BB116" i="22"/>
  <c r="BD51" i="22"/>
  <c r="BD47" i="22"/>
  <c r="AJ44" i="27"/>
  <c r="BJ57" i="22"/>
  <c r="BF58" i="22"/>
  <c r="AL55" i="27"/>
  <c r="BF57" i="22"/>
  <c r="BJ116" i="22"/>
  <c r="M16" i="10"/>
  <c r="P51" i="7"/>
  <c r="P50" i="7"/>
  <c r="N28" i="7"/>
  <c r="N37" i="7"/>
  <c r="N36" i="7"/>
  <c r="P39" i="7"/>
  <c r="N84" i="7"/>
  <c r="N14" i="7"/>
  <c r="P85" i="7"/>
  <c r="P26" i="7"/>
  <c r="N63" i="7"/>
  <c r="N77" i="7"/>
  <c r="P20" i="7"/>
  <c r="P74" i="7"/>
  <c r="P94" i="7"/>
  <c r="AX6" i="221"/>
  <c r="AB94" i="27"/>
  <c r="M61" i="10"/>
  <c r="M35" i="10"/>
  <c r="M17" i="10"/>
  <c r="M79" i="7"/>
  <c r="M91" i="7"/>
  <c r="M84" i="7"/>
  <c r="BL52" i="22"/>
  <c r="AR49" i="23"/>
  <c r="AB45" i="26"/>
  <c r="BJ101" i="22"/>
  <c r="AP98" i="23"/>
  <c r="BJ47" i="22"/>
  <c r="BB47" i="22"/>
  <c r="AH44" i="26"/>
  <c r="M26" i="10"/>
  <c r="M96" i="7"/>
  <c r="J73" i="32"/>
  <c r="J74" i="39"/>
  <c r="BM102" i="22"/>
  <c r="AS99" i="23"/>
  <c r="L502" i="36"/>
  <c r="J84" i="39"/>
  <c r="J100" i="39"/>
  <c r="H14" i="146"/>
  <c r="E14" i="146"/>
  <c r="E21" i="146"/>
  <c r="L533" i="35"/>
  <c r="J95" i="32"/>
  <c r="AF33" i="23"/>
  <c r="AF33" i="27"/>
  <c r="AF33" i="26"/>
  <c r="S80" i="71"/>
  <c r="BM114" i="22"/>
  <c r="AS111" i="26"/>
  <c r="AS114" i="23"/>
  <c r="AS114" i="27"/>
  <c r="J84" i="32"/>
  <c r="H18" i="146"/>
  <c r="J85" i="39"/>
  <c r="L588" i="36"/>
  <c r="J97" i="32"/>
  <c r="J99" i="39"/>
  <c r="E18" i="146"/>
  <c r="B18" i="146"/>
  <c r="C18" i="146"/>
  <c r="J82" i="32"/>
  <c r="BM112" i="22"/>
  <c r="AS109" i="27"/>
  <c r="AB90" i="27"/>
  <c r="AB90" i="26"/>
  <c r="BB93" i="22"/>
  <c r="BD93" i="22"/>
  <c r="BH93" i="22"/>
  <c r="AN90" i="27"/>
  <c r="BL93" i="22"/>
  <c r="BD83" i="22"/>
  <c r="BJ83" i="22"/>
  <c r="AB64" i="27"/>
  <c r="BH67" i="22"/>
  <c r="BJ67" i="22"/>
  <c r="AN95" i="27"/>
  <c r="AN95" i="26"/>
  <c r="AB105" i="26"/>
  <c r="BD108" i="22"/>
  <c r="AJ105" i="26"/>
  <c r="AZ108" i="22"/>
  <c r="AB105" i="27"/>
  <c r="AX108" i="22"/>
  <c r="AN95" i="23"/>
  <c r="BH90" i="22"/>
  <c r="AX109" i="22"/>
  <c r="BB109" i="22"/>
  <c r="BF109" i="22"/>
  <c r="AL106" i="27"/>
  <c r="BL109" i="22"/>
  <c r="AR106" i="26"/>
  <c r="BH119" i="22"/>
  <c r="AB116" i="26"/>
  <c r="BJ119" i="22"/>
  <c r="AX119" i="22"/>
  <c r="AZ119" i="22"/>
  <c r="AB116" i="23"/>
  <c r="AP86" i="27"/>
  <c r="AP86" i="23"/>
  <c r="AP86" i="26"/>
  <c r="AB33" i="23"/>
  <c r="AB33" i="26"/>
  <c r="BD36" i="22"/>
  <c r="AJ33" i="26"/>
  <c r="AX36" i="22"/>
  <c r="AD33" i="27"/>
  <c r="BL36" i="22"/>
  <c r="AR33" i="23"/>
  <c r="AR72" i="27"/>
  <c r="AR72" i="23"/>
  <c r="AB114" i="27"/>
  <c r="BB117" i="22"/>
  <c r="BF117" i="22"/>
  <c r="AZ117" i="22"/>
  <c r="AB114" i="26"/>
  <c r="BJ117" i="22"/>
  <c r="BH117" i="22"/>
  <c r="AN114" i="23"/>
  <c r="BL117" i="22"/>
  <c r="BF93" i="22"/>
  <c r="AL90" i="26"/>
  <c r="BD103" i="22"/>
  <c r="BL103" i="22"/>
  <c r="AB100" i="26"/>
  <c r="AB100" i="27"/>
  <c r="AZ103" i="22"/>
  <c r="BJ103" i="22"/>
  <c r="AB90" i="23"/>
  <c r="BL70" i="22"/>
  <c r="AR67" i="26"/>
  <c r="BD70" i="22"/>
  <c r="AJ67" i="23"/>
  <c r="BB70" i="22"/>
  <c r="AH67" i="27"/>
  <c r="BF70" i="22"/>
  <c r="AL67" i="26"/>
  <c r="AX99" i="22"/>
  <c r="AD96" i="23"/>
  <c r="BL99" i="22"/>
  <c r="AZ99" i="22"/>
  <c r="AF96" i="26"/>
  <c r="BJ99" i="22"/>
  <c r="AP96" i="26"/>
  <c r="AB72" i="23"/>
  <c r="AZ75" i="22"/>
  <c r="BF75" i="22"/>
  <c r="AL72" i="27"/>
  <c r="BD75" i="22"/>
  <c r="AJ72" i="23"/>
  <c r="AZ102" i="22"/>
  <c r="AF99" i="27"/>
  <c r="BD98" i="22"/>
  <c r="BH78" i="22"/>
  <c r="M49" i="10"/>
  <c r="N30" i="7"/>
  <c r="N43" i="7"/>
  <c r="N50" i="7"/>
  <c r="P80" i="7"/>
  <c r="P49" i="7"/>
  <c r="M68" i="7"/>
  <c r="M88" i="7"/>
  <c r="Q77" i="71"/>
  <c r="M7" i="10"/>
  <c r="N86" i="7"/>
  <c r="P68" i="7"/>
  <c r="AX19" i="221"/>
  <c r="M100" i="7"/>
  <c r="N8" i="7"/>
  <c r="P91" i="7"/>
  <c r="F11" i="14"/>
  <c r="BF98" i="22"/>
  <c r="AL95" i="26"/>
  <c r="AZ78" i="22"/>
  <c r="AF75" i="26"/>
  <c r="AB113" i="27"/>
  <c r="M18" i="10"/>
  <c r="M13" i="10"/>
  <c r="N23" i="7"/>
  <c r="N33" i="7"/>
  <c r="P56" i="7"/>
  <c r="P25" i="7"/>
  <c r="M80" i="7"/>
  <c r="BD102" i="22"/>
  <c r="AJ99" i="26"/>
  <c r="AZ43" i="22"/>
  <c r="AF40" i="26"/>
  <c r="AB84" i="26"/>
  <c r="M68" i="10"/>
  <c r="M24" i="10"/>
  <c r="N91" i="7"/>
  <c r="N17" i="7"/>
  <c r="P99" i="7"/>
  <c r="P44" i="7"/>
  <c r="P13" i="7"/>
  <c r="AV6" i="221"/>
  <c r="M12" i="7"/>
  <c r="M24" i="7"/>
  <c r="M36" i="7"/>
  <c r="M48" i="7"/>
  <c r="M60" i="7"/>
  <c r="Q81" i="71"/>
  <c r="P81" i="71"/>
  <c r="N40" i="7"/>
  <c r="P89" i="7"/>
  <c r="P82" i="7"/>
  <c r="BB102" i="22"/>
  <c r="M74" i="10"/>
  <c r="M42" i="10"/>
  <c r="M28" i="10"/>
  <c r="P75" i="7"/>
  <c r="Q40" i="79"/>
  <c r="P40" i="79"/>
  <c r="M72" i="7"/>
  <c r="M92" i="7"/>
  <c r="AZ87" i="22"/>
  <c r="AX98" i="22"/>
  <c r="M44" i="10"/>
  <c r="M21" i="10"/>
  <c r="N51" i="7"/>
  <c r="N61" i="7"/>
  <c r="P63" i="7"/>
  <c r="P8" i="7"/>
  <c r="P62" i="7"/>
  <c r="AX25" i="221"/>
  <c r="AB84" i="27"/>
  <c r="N38" i="7"/>
  <c r="N49" i="7"/>
  <c r="P92" i="7"/>
  <c r="P41" i="7"/>
  <c r="N98" i="7"/>
  <c r="AB35" i="26"/>
  <c r="BJ98" i="22"/>
  <c r="AP95" i="27"/>
  <c r="M47" i="10"/>
  <c r="M41" i="10"/>
  <c r="M29" i="10"/>
  <c r="M8" i="10"/>
  <c r="N24" i="7"/>
  <c r="P97" i="7"/>
  <c r="P38" i="7"/>
  <c r="R77" i="70"/>
  <c r="Q77" i="70"/>
  <c r="M64" i="7"/>
  <c r="M95" i="7"/>
  <c r="BD43" i="22"/>
  <c r="AJ40" i="23"/>
  <c r="AB95" i="26"/>
  <c r="M58" i="10"/>
  <c r="M45" i="10"/>
  <c r="M33" i="10"/>
  <c r="M23" i="10"/>
  <c r="P27" i="7"/>
  <c r="L79" i="70"/>
  <c r="K79" i="70"/>
  <c r="M76" i="7"/>
  <c r="N32" i="7"/>
  <c r="N48" i="7"/>
  <c r="N93" i="7"/>
  <c r="N54" i="7"/>
  <c r="P88" i="7"/>
  <c r="P36" i="7"/>
  <c r="P53" i="7"/>
  <c r="N99" i="7"/>
  <c r="N87" i="7"/>
  <c r="P42" i="7"/>
  <c r="N34" i="7"/>
  <c r="N52" i="7"/>
  <c r="N97" i="7"/>
  <c r="N45" i="7"/>
  <c r="N58" i="7"/>
  <c r="N76" i="7"/>
  <c r="P47" i="7"/>
  <c r="P96" i="7"/>
  <c r="P84" i="7"/>
  <c r="P57" i="7"/>
  <c r="P19" i="7"/>
  <c r="P9" i="7"/>
  <c r="P46" i="7"/>
  <c r="P66" i="7"/>
  <c r="P23" i="7"/>
  <c r="M12" i="10"/>
  <c r="P16" i="7"/>
  <c r="P81" i="7"/>
  <c r="P33" i="7"/>
  <c r="P70" i="7"/>
  <c r="P22" i="7"/>
  <c r="N13" i="7"/>
  <c r="N75" i="7"/>
  <c r="N39" i="7"/>
  <c r="N85" i="7"/>
  <c r="P83" i="7"/>
  <c r="P28" i="7"/>
  <c r="P93" i="7"/>
  <c r="P90" i="7"/>
  <c r="P34" i="7"/>
  <c r="M43" i="10"/>
  <c r="N10" i="7"/>
  <c r="N56" i="7"/>
  <c r="N62" i="7"/>
  <c r="L77" i="70"/>
  <c r="K77" i="70"/>
  <c r="M20" i="7"/>
  <c r="M32" i="7"/>
  <c r="M44" i="7"/>
  <c r="M56" i="7"/>
  <c r="BM104" i="22"/>
  <c r="J76" i="39"/>
  <c r="L532" i="35"/>
  <c r="L562" i="35"/>
  <c r="L562" i="36"/>
  <c r="AS107" i="23"/>
  <c r="AS107" i="26"/>
  <c r="J78" i="32"/>
  <c r="BM108" i="22"/>
  <c r="BM106" i="22"/>
  <c r="J78" i="39"/>
  <c r="J76" i="32"/>
  <c r="J89" i="39"/>
  <c r="J87" i="32"/>
  <c r="J90" i="32"/>
  <c r="J92" i="39"/>
  <c r="J88" i="39"/>
  <c r="J86" i="32"/>
  <c r="J77" i="32"/>
  <c r="BM107" i="22"/>
  <c r="AS104" i="26"/>
  <c r="J92" i="32"/>
  <c r="J73" i="39"/>
  <c r="F17" i="146"/>
  <c r="F14" i="146"/>
  <c r="K21" i="86"/>
  <c r="AN8" i="86"/>
  <c r="AN7" i="86"/>
  <c r="J91" i="32"/>
  <c r="N39" i="196"/>
  <c r="E39" i="196"/>
  <c r="N38" i="196"/>
  <c r="C62" i="196"/>
  <c r="E38" i="196"/>
  <c r="AD100" i="23"/>
  <c r="AD100" i="27"/>
  <c r="AD100" i="26"/>
  <c r="AH97" i="26"/>
  <c r="AH97" i="27"/>
  <c r="AH97" i="23"/>
  <c r="AP79" i="26"/>
  <c r="AP79" i="23"/>
  <c r="AP79" i="27"/>
  <c r="AL99" i="26"/>
  <c r="AL99" i="27"/>
  <c r="BB80" i="22"/>
  <c r="AX80" i="22"/>
  <c r="AZ80" i="22"/>
  <c r="AF77" i="23"/>
  <c r="BF80" i="22"/>
  <c r="BL80" i="22"/>
  <c r="BD80" i="22"/>
  <c r="AB77" i="23"/>
  <c r="BJ80" i="22"/>
  <c r="BH80" i="22"/>
  <c r="AN77" i="27"/>
  <c r="AL84" i="23"/>
  <c r="AL84" i="27"/>
  <c r="AL84" i="26"/>
  <c r="BL100" i="22"/>
  <c r="AB97" i="23"/>
  <c r="AB97" i="27"/>
  <c r="AZ100" i="22"/>
  <c r="BH100" i="22"/>
  <c r="AN97" i="27"/>
  <c r="AB97" i="26"/>
  <c r="AJ60" i="27"/>
  <c r="AJ60" i="26"/>
  <c r="AJ60" i="23"/>
  <c r="AP111" i="26"/>
  <c r="AP111" i="27"/>
  <c r="AP111" i="23"/>
  <c r="AJ94" i="26"/>
  <c r="AJ94" i="27"/>
  <c r="AH75" i="23"/>
  <c r="AH75" i="26"/>
  <c r="BH34" i="22"/>
  <c r="BL34" i="22"/>
  <c r="AB31" i="27"/>
  <c r="BD34" i="22"/>
  <c r="BB34" i="22"/>
  <c r="AH31" i="26"/>
  <c r="BF34" i="22"/>
  <c r="AZ34" i="22"/>
  <c r="AB31" i="23"/>
  <c r="AX34" i="22"/>
  <c r="BJ34" i="22"/>
  <c r="AB31" i="26"/>
  <c r="BH55" i="22"/>
  <c r="BD55" i="22"/>
  <c r="BJ55" i="22"/>
  <c r="BF55" i="22"/>
  <c r="BB55" i="22"/>
  <c r="AH52" i="27"/>
  <c r="AB52" i="23"/>
  <c r="AZ55" i="22"/>
  <c r="AF52" i="27"/>
  <c r="BL55" i="22"/>
  <c r="AR52" i="23"/>
  <c r="AB52" i="26"/>
  <c r="AB52" i="27"/>
  <c r="AD45" i="27"/>
  <c r="AD45" i="26"/>
  <c r="AD45" i="23"/>
  <c r="BH115" i="22"/>
  <c r="BJ62" i="22"/>
  <c r="AR35" i="26"/>
  <c r="AJ53" i="27"/>
  <c r="BJ72" i="22"/>
  <c r="AX62" i="22"/>
  <c r="BF52" i="22"/>
  <c r="BH40" i="22"/>
  <c r="AB35" i="23"/>
  <c r="BJ102" i="22"/>
  <c r="BB56" i="22"/>
  <c r="AB98" i="27"/>
  <c r="AB51" i="27"/>
  <c r="AB61" i="26"/>
  <c r="BH104" i="22"/>
  <c r="BB75" i="22"/>
  <c r="AB53" i="26"/>
  <c r="AX66" i="22"/>
  <c r="AB72" i="26"/>
  <c r="BJ88" i="22"/>
  <c r="BD109" i="22"/>
  <c r="AB110" i="26"/>
  <c r="BL114" i="22"/>
  <c r="AB59" i="27"/>
  <c r="AX112" i="22"/>
  <c r="BD99" i="22"/>
  <c r="BH87" i="22"/>
  <c r="AB62" i="23"/>
  <c r="AB47" i="27"/>
  <c r="AB75" i="27"/>
  <c r="AX78" i="22"/>
  <c r="AD75" i="27"/>
  <c r="BJ78" i="22"/>
  <c r="AP75" i="27"/>
  <c r="BF113" i="22"/>
  <c r="BB52" i="22"/>
  <c r="BF81" i="22"/>
  <c r="BD104" i="22"/>
  <c r="AX75" i="22"/>
  <c r="BL88" i="22"/>
  <c r="AR85" i="27"/>
  <c r="AB106" i="26"/>
  <c r="BJ96" i="22"/>
  <c r="BL96" i="22"/>
  <c r="BL77" i="22"/>
  <c r="BH77" i="22"/>
  <c r="BB77" i="22"/>
  <c r="AX52" i="22"/>
  <c r="AD49" i="23"/>
  <c r="AX43" i="22"/>
  <c r="AB78" i="23"/>
  <c r="BL104" i="22"/>
  <c r="BJ75" i="22"/>
  <c r="AB67" i="27"/>
  <c r="AB63" i="27"/>
  <c r="BF82" i="22"/>
  <c r="BD87" i="22"/>
  <c r="BB38" i="22"/>
  <c r="AB85" i="27"/>
  <c r="AB66" i="27"/>
  <c r="BH36" i="22"/>
  <c r="BJ36" i="22"/>
  <c r="AB49" i="27"/>
  <c r="AB40" i="23"/>
  <c r="AZ81" i="22"/>
  <c r="BF91" i="22"/>
  <c r="BH70" i="22"/>
  <c r="AN67" i="27"/>
  <c r="BF66" i="22"/>
  <c r="AP63" i="23"/>
  <c r="BH109" i="22"/>
  <c r="AB111" i="27"/>
  <c r="BH105" i="22"/>
  <c r="BL57" i="22"/>
  <c r="AB66" i="23"/>
  <c r="BL112" i="22"/>
  <c r="AB115" i="26"/>
  <c r="AX104" i="22"/>
  <c r="BH43" i="22"/>
  <c r="BJ91" i="22"/>
  <c r="AB59" i="26"/>
  <c r="AB88" i="27"/>
  <c r="AB67" i="23"/>
  <c r="AB54" i="27"/>
  <c r="BH91" i="22"/>
  <c r="AB49" i="23"/>
  <c r="AB61" i="27"/>
  <c r="BL50" i="22"/>
  <c r="AZ65" i="22"/>
  <c r="F9" i="14"/>
  <c r="BJ113" i="22"/>
  <c r="AX38" i="22"/>
  <c r="AB54" i="23"/>
  <c r="AB84" i="23"/>
  <c r="BD86" i="22"/>
  <c r="BH86" i="22"/>
  <c r="AN83" i="27"/>
  <c r="BL86" i="22"/>
  <c r="BB62" i="22"/>
  <c r="AB112" i="23"/>
  <c r="AZ115" i="22"/>
  <c r="BJ104" i="22"/>
  <c r="AX91" i="22"/>
  <c r="AB76" i="26"/>
  <c r="BH75" i="22"/>
  <c r="BL91" i="22"/>
  <c r="AR88" i="23"/>
  <c r="BB88" i="22"/>
  <c r="AX60" i="22"/>
  <c r="AB47" i="23"/>
  <c r="BH66" i="22"/>
  <c r="AN63" i="27"/>
  <c r="BB113" i="22"/>
  <c r="BB72" i="22"/>
  <c r="BD115" i="22"/>
  <c r="AB33" i="27"/>
  <c r="BF69" i="22"/>
  <c r="BL89" i="22"/>
  <c r="BD89" i="22"/>
  <c r="BH89" i="22"/>
  <c r="AB86" i="26"/>
  <c r="BF94" i="22"/>
  <c r="BD94" i="22"/>
  <c r="AJ91" i="23"/>
  <c r="BJ43" i="22"/>
  <c r="AX88" i="22"/>
  <c r="BJ109" i="22"/>
  <c r="BB91" i="22"/>
  <c r="F21" i="14"/>
  <c r="AB112" i="26"/>
  <c r="BH82" i="22"/>
  <c r="AN79" i="26"/>
  <c r="AB79" i="27"/>
  <c r="BD57" i="22"/>
  <c r="BJ38" i="22"/>
  <c r="AB35" i="27"/>
  <c r="BD38" i="22"/>
  <c r="AJ35" i="23"/>
  <c r="AX87" i="22"/>
  <c r="AD84" i="23"/>
  <c r="BB87" i="22"/>
  <c r="AH84" i="27"/>
  <c r="AB40" i="26"/>
  <c r="G8" i="14"/>
  <c r="AZ104" i="22"/>
  <c r="AB85" i="23"/>
  <c r="AZ109" i="22"/>
  <c r="BB82" i="22"/>
  <c r="AZ66" i="22"/>
  <c r="BJ87" i="22"/>
  <c r="BL102" i="22"/>
  <c r="AX102" i="22"/>
  <c r="BJ105" i="22"/>
  <c r="AP102" i="23"/>
  <c r="BF105" i="22"/>
  <c r="AL102" i="26"/>
  <c r="BD105" i="22"/>
  <c r="AB111" i="23"/>
  <c r="AB111" i="26"/>
  <c r="Q38" i="82"/>
  <c r="U15" i="84"/>
  <c r="U10" i="84"/>
  <c r="B149" i="35"/>
  <c r="M67" i="10"/>
  <c r="N94" i="7"/>
  <c r="N67" i="7"/>
  <c r="N88" i="7"/>
  <c r="N35" i="7"/>
  <c r="N81" i="7"/>
  <c r="N26" i="7"/>
  <c r="N41" i="7"/>
  <c r="P79" i="7"/>
  <c r="P31" i="7"/>
  <c r="P72" i="7"/>
  <c r="P30" i="7"/>
  <c r="R78" i="70"/>
  <c r="Q78" i="70"/>
  <c r="N70" i="7"/>
  <c r="M15" i="7"/>
  <c r="M23" i="7"/>
  <c r="M31" i="7"/>
  <c r="M39" i="7"/>
  <c r="M47" i="7"/>
  <c r="M55" i="7"/>
  <c r="N31" i="7"/>
  <c r="N59" i="7"/>
  <c r="N80" i="7"/>
  <c r="N16" i="7"/>
  <c r="N69" i="7"/>
  <c r="N90" i="7"/>
  <c r="N19" i="7"/>
  <c r="P71" i="7"/>
  <c r="P64" i="7"/>
  <c r="L78" i="70"/>
  <c r="K78" i="70"/>
  <c r="AX14" i="221"/>
  <c r="AV7" i="221"/>
  <c r="M31" i="10"/>
  <c r="N55" i="7"/>
  <c r="N92" i="7"/>
  <c r="N65" i="7"/>
  <c r="N82" i="7"/>
  <c r="P6" i="7"/>
  <c r="P67" i="7"/>
  <c r="P60" i="7"/>
  <c r="P12" i="7"/>
  <c r="P77" i="7"/>
  <c r="P29" i="7"/>
  <c r="P18" i="7"/>
  <c r="X37" i="82"/>
  <c r="W37" i="82"/>
  <c r="M14" i="10"/>
  <c r="N15" i="7"/>
  <c r="N47" i="7"/>
  <c r="N64" i="7"/>
  <c r="N29" i="7"/>
  <c r="N57" i="7"/>
  <c r="N74" i="7"/>
  <c r="P86" i="7"/>
  <c r="P59" i="7"/>
  <c r="P52" i="7"/>
  <c r="N100" i="7"/>
  <c r="P69" i="7"/>
  <c r="P21" i="7"/>
  <c r="P58" i="7"/>
  <c r="P10" i="7"/>
  <c r="X38" i="82"/>
  <c r="W38" i="82"/>
  <c r="M40" i="10"/>
  <c r="M36" i="10"/>
  <c r="M10" i="10"/>
  <c r="N12" i="7"/>
  <c r="N95" i="7"/>
  <c r="N42" i="7"/>
  <c r="N60" i="7"/>
  <c r="N25" i="7"/>
  <c r="N53" i="7"/>
  <c r="N66" i="7"/>
  <c r="P78" i="7"/>
  <c r="P55" i="7"/>
  <c r="P7" i="7"/>
  <c r="P48" i="7"/>
  <c r="P100" i="7"/>
  <c r="P65" i="7"/>
  <c r="P17" i="7"/>
  <c r="M11" i="7"/>
  <c r="M19" i="7"/>
  <c r="M27" i="7"/>
  <c r="M35" i="7"/>
  <c r="M43" i="7"/>
  <c r="M51" i="7"/>
  <c r="M59" i="7"/>
  <c r="M67" i="7"/>
  <c r="M75" i="7"/>
  <c r="N9" i="7"/>
  <c r="P95" i="7"/>
  <c r="Q39" i="79"/>
  <c r="P39" i="79"/>
  <c r="M9" i="10"/>
  <c r="N83" i="7"/>
  <c r="P101" i="7"/>
  <c r="Q79" i="71"/>
  <c r="P79" i="71"/>
  <c r="Q80" i="71"/>
  <c r="P80" i="71"/>
  <c r="M39" i="10"/>
  <c r="M37" i="10"/>
  <c r="M15" i="10"/>
  <c r="M11" i="10"/>
  <c r="N22" i="7"/>
  <c r="N96" i="7"/>
  <c r="N20" i="7"/>
  <c r="N46" i="7"/>
  <c r="P35" i="7"/>
  <c r="P76" i="7"/>
  <c r="X41" i="82"/>
  <c r="W41" i="82"/>
  <c r="AJ21" i="146"/>
  <c r="T77" i="70"/>
  <c r="J89" i="32"/>
  <c r="J91" i="39"/>
  <c r="BM119" i="22"/>
  <c r="J95" i="39"/>
  <c r="J93" i="32"/>
  <c r="J81" i="39"/>
  <c r="J79" i="32"/>
  <c r="BM109" i="22"/>
  <c r="L530" i="35"/>
  <c r="L530" i="36"/>
  <c r="BM103" i="22"/>
  <c r="BM120" i="22"/>
  <c r="J74" i="32"/>
  <c r="BM113" i="22"/>
  <c r="J83" i="32"/>
  <c r="BM115" i="22"/>
  <c r="J80" i="39"/>
  <c r="J72" i="32"/>
  <c r="J79" i="39"/>
  <c r="J75" i="39"/>
  <c r="J83" i="39"/>
  <c r="J82" i="39"/>
  <c r="J77" i="39"/>
  <c r="J75" i="32"/>
  <c r="BM116" i="22"/>
  <c r="BM118" i="22"/>
  <c r="J90" i="39"/>
  <c r="J94" i="32"/>
  <c r="F18" i="146"/>
  <c r="I18" i="146"/>
  <c r="G17" i="146"/>
  <c r="H17" i="146"/>
  <c r="E17" i="146"/>
  <c r="I17" i="146"/>
  <c r="I21" i="146"/>
  <c r="H21" i="146"/>
  <c r="B21" i="146"/>
  <c r="C21" i="146"/>
  <c r="AH104" i="23"/>
  <c r="AH104" i="26"/>
  <c r="AH104" i="27"/>
  <c r="AR50" i="23"/>
  <c r="AR50" i="26"/>
  <c r="AR50" i="27"/>
  <c r="AL40" i="27"/>
  <c r="AL40" i="23"/>
  <c r="AL40" i="26"/>
  <c r="AH92" i="23"/>
  <c r="AX82" i="22"/>
  <c r="F9" i="19"/>
  <c r="AD54" i="23"/>
  <c r="AD54" i="27"/>
  <c r="AZ48" i="22"/>
  <c r="BH48" i="22"/>
  <c r="BF48" i="22"/>
  <c r="G32" i="14"/>
  <c r="F32" i="14"/>
  <c r="G15" i="14"/>
  <c r="F15" i="14"/>
  <c r="AD34" i="23"/>
  <c r="AD34" i="27"/>
  <c r="AX92" i="22"/>
  <c r="BF92" i="22"/>
  <c r="AB65" i="23"/>
  <c r="AB65" i="26"/>
  <c r="BJ68" i="22"/>
  <c r="BL68" i="22"/>
  <c r="BF68" i="22"/>
  <c r="AX68" i="22"/>
  <c r="BJ107" i="22"/>
  <c r="AB104" i="26"/>
  <c r="AB104" i="23"/>
  <c r="BB54" i="22"/>
  <c r="BD54" i="22"/>
  <c r="BJ54" i="22"/>
  <c r="C182" i="36"/>
  <c r="C189" i="36"/>
  <c r="AJ53" i="26"/>
  <c r="AB51" i="23"/>
  <c r="BL107" i="22"/>
  <c r="AB65" i="27"/>
  <c r="AF65" i="23"/>
  <c r="AX70" i="22"/>
  <c r="AB67" i="26"/>
  <c r="BJ70" i="22"/>
  <c r="AZ70" i="22"/>
  <c r="AB60" i="23"/>
  <c r="BJ63" i="22"/>
  <c r="BF53" i="22"/>
  <c r="BJ53" i="22"/>
  <c r="AZ53" i="22"/>
  <c r="AB79" i="23"/>
  <c r="AZ82" i="22"/>
  <c r="BL82" i="22"/>
  <c r="BD82" i="22"/>
  <c r="BH81" i="22"/>
  <c r="BD81" i="22"/>
  <c r="BJ81" i="22"/>
  <c r="AB78" i="26"/>
  <c r="BL43" i="22"/>
  <c r="AB40" i="27"/>
  <c r="BB43" i="22"/>
  <c r="F29" i="14"/>
  <c r="G29" i="14"/>
  <c r="BF99" i="22"/>
  <c r="BB99" i="22"/>
  <c r="AB96" i="23"/>
  <c r="BH99" i="22"/>
  <c r="AB96" i="27"/>
  <c r="BB104" i="22"/>
  <c r="BF100" i="22"/>
  <c r="AR61" i="27"/>
  <c r="AX39" i="22"/>
  <c r="AX47" i="22"/>
  <c r="BL58" i="22"/>
  <c r="AB85" i="26"/>
  <c r="BH58" i="22"/>
  <c r="BB103" i="22"/>
  <c r="BJ37" i="22"/>
  <c r="AX94" i="22"/>
  <c r="AB77" i="26"/>
  <c r="BJ86" i="22"/>
  <c r="AX86" i="22"/>
  <c r="BJ51" i="22"/>
  <c r="BJ79" i="22"/>
  <c r="AB42" i="27"/>
  <c r="AZ105" i="22"/>
  <c r="BL105" i="22"/>
  <c r="AX105" i="22"/>
  <c r="AX58" i="22"/>
  <c r="AZ51" i="22"/>
  <c r="AB91" i="26"/>
  <c r="BF36" i="22"/>
  <c r="AB99" i="23"/>
  <c r="AB99" i="27"/>
  <c r="AX100" i="22"/>
  <c r="BF60" i="22"/>
  <c r="AB100" i="23"/>
  <c r="BJ58" i="22"/>
  <c r="AB102" i="23"/>
  <c r="BF86" i="22"/>
  <c r="AB83" i="26"/>
  <c r="BB36" i="22"/>
  <c r="AZ38" i="22"/>
  <c r="BD100" i="22"/>
  <c r="BB83" i="22"/>
  <c r="AB74" i="26"/>
  <c r="AB74" i="23"/>
  <c r="BH120" i="22"/>
  <c r="AB117" i="27"/>
  <c r="AZ120" i="22"/>
  <c r="AB55" i="26"/>
  <c r="P95" i="197"/>
  <c r="O63" i="197"/>
  <c r="Q39" i="82"/>
  <c r="O32" i="197"/>
  <c r="Q36" i="82"/>
  <c r="L75" i="70"/>
  <c r="K75" i="70"/>
  <c r="AX15" i="221"/>
  <c r="AX17" i="221"/>
  <c r="N6" i="7"/>
  <c r="N72" i="7"/>
  <c r="X40" i="82"/>
  <c r="W40" i="82"/>
  <c r="Q40" i="82"/>
  <c r="Q37" i="82"/>
  <c r="X39" i="82"/>
  <c r="W39" i="82"/>
  <c r="AX16" i="221"/>
  <c r="N73" i="7"/>
  <c r="N7" i="7"/>
  <c r="N71" i="7"/>
  <c r="Q75" i="71"/>
  <c r="AF1" i="273"/>
  <c r="Q76" i="71"/>
  <c r="P76" i="71"/>
  <c r="O36" i="76"/>
  <c r="B7" i="3"/>
  <c r="B6" i="3"/>
  <c r="AO66" i="27"/>
  <c r="AE54" i="23"/>
  <c r="AI34" i="27"/>
  <c r="AO99" i="23"/>
  <c r="AE95" i="27"/>
  <c r="AM46" i="26"/>
  <c r="AK33" i="26"/>
  <c r="AO99" i="26"/>
  <c r="AE86" i="23"/>
  <c r="AK33" i="27"/>
  <c r="AE95" i="26"/>
  <c r="AI34" i="26"/>
  <c r="AI38" i="23"/>
  <c r="AI38" i="27"/>
  <c r="C97" i="36"/>
  <c r="C104" i="36"/>
  <c r="AG93" i="26"/>
  <c r="A66" i="36"/>
  <c r="A73" i="36"/>
  <c r="AE86" i="27"/>
  <c r="AO66" i="26"/>
  <c r="AE51" i="27"/>
  <c r="AK65" i="27"/>
  <c r="AK65" i="23"/>
  <c r="C211" i="36"/>
  <c r="C218" i="36"/>
  <c r="AE62" i="23"/>
  <c r="AQ53" i="26"/>
  <c r="AI115" i="27"/>
  <c r="AK58" i="26"/>
  <c r="AO60" i="26"/>
  <c r="AK58" i="27"/>
  <c r="J98" i="36"/>
  <c r="AQ53" i="27"/>
  <c r="AM32" i="27"/>
  <c r="AM32" i="26"/>
  <c r="AK37" i="27"/>
  <c r="AE62" i="27"/>
  <c r="J98" i="35"/>
  <c r="A329" i="35"/>
  <c r="A336" i="35"/>
  <c r="J330" i="36"/>
  <c r="AK37" i="23"/>
  <c r="AO60" i="27"/>
  <c r="AE30" i="23"/>
  <c r="G126" i="35"/>
  <c r="AE30" i="26"/>
  <c r="AD112" i="27"/>
  <c r="AK51" i="23"/>
  <c r="AQ50" i="26"/>
  <c r="AE70" i="23"/>
  <c r="AQ103" i="27"/>
  <c r="AQ103" i="26"/>
  <c r="C213" i="35"/>
  <c r="C220" i="35"/>
  <c r="AM48" i="23"/>
  <c r="G156" i="35"/>
  <c r="AK60" i="23"/>
  <c r="AG101" i="26"/>
  <c r="AK51" i="26"/>
  <c r="G156" i="36"/>
  <c r="AG32" i="23"/>
  <c r="C589" i="36"/>
  <c r="C596" i="36"/>
  <c r="A531" i="36"/>
  <c r="A538" i="36"/>
  <c r="AQ113" i="27"/>
  <c r="C154" i="35"/>
  <c r="C161" i="35"/>
  <c r="AI98" i="23"/>
  <c r="AG101" i="23"/>
  <c r="AO116" i="23"/>
  <c r="AQ113" i="26"/>
  <c r="AE70" i="27"/>
  <c r="AG55" i="23"/>
  <c r="AO116" i="27"/>
  <c r="J183" i="35"/>
  <c r="C183" i="35"/>
  <c r="C190" i="35"/>
  <c r="AK44" i="23"/>
  <c r="AK44" i="26"/>
  <c r="AM48" i="26"/>
  <c r="AI67" i="23"/>
  <c r="AO55" i="27"/>
  <c r="J67" i="35"/>
  <c r="G37" i="35"/>
  <c r="AO55" i="23"/>
  <c r="AI67" i="26"/>
  <c r="AQ62" i="23"/>
  <c r="AQ62" i="26"/>
  <c r="C213" i="36"/>
  <c r="C220" i="36"/>
  <c r="G37" i="36"/>
  <c r="AQ34" i="26"/>
  <c r="AM67" i="26"/>
  <c r="C8" i="36"/>
  <c r="C15" i="36"/>
  <c r="AM67" i="27"/>
  <c r="I294" i="35"/>
  <c r="AQ34" i="27"/>
  <c r="AK55" i="23"/>
  <c r="AK55" i="26"/>
  <c r="G185" i="36"/>
  <c r="G185" i="35"/>
  <c r="AM111" i="23"/>
  <c r="A503" i="35"/>
  <c r="A510" i="35"/>
  <c r="A182" i="36"/>
  <c r="A189" i="36"/>
  <c r="C560" i="35"/>
  <c r="C567" i="35"/>
  <c r="AM62" i="26"/>
  <c r="AQ43" i="26"/>
  <c r="AK70" i="23"/>
  <c r="AQ64" i="26"/>
  <c r="AQ64" i="23"/>
  <c r="AQ43" i="23"/>
  <c r="AO31" i="26"/>
  <c r="AO31" i="27"/>
  <c r="AM62" i="23"/>
  <c r="AI103" i="23"/>
  <c r="J330" i="35"/>
  <c r="AK70" i="26"/>
  <c r="AM111" i="26"/>
  <c r="AI103" i="27"/>
  <c r="AM69" i="23"/>
  <c r="AE46" i="27"/>
  <c r="F16" i="146"/>
  <c r="AM69" i="26"/>
  <c r="H15" i="146"/>
  <c r="E16" i="146"/>
  <c r="AE94" i="26"/>
  <c r="I15" i="146"/>
  <c r="AE46" i="23"/>
  <c r="AE94" i="27"/>
  <c r="B16" i="146"/>
  <c r="C16" i="146"/>
  <c r="E15" i="146"/>
  <c r="F15" i="146"/>
  <c r="H16" i="146"/>
  <c r="AK60" i="26"/>
  <c r="G16" i="146"/>
  <c r="AM74" i="23"/>
  <c r="AM74" i="27"/>
  <c r="J415" i="36"/>
  <c r="J415" i="35"/>
  <c r="AK63" i="23"/>
  <c r="C67" i="35"/>
  <c r="C74" i="35"/>
  <c r="AM90" i="27"/>
  <c r="AM90" i="26"/>
  <c r="AK90" i="27"/>
  <c r="AO61" i="23"/>
  <c r="AK90" i="26"/>
  <c r="G387" i="35"/>
  <c r="AO61" i="27"/>
  <c r="AE99" i="26"/>
  <c r="AK39" i="26"/>
  <c r="AE99" i="23"/>
  <c r="AK39" i="23"/>
  <c r="AQ41" i="26"/>
  <c r="AQ50" i="27"/>
  <c r="AO80" i="27"/>
  <c r="J211" i="35"/>
  <c r="AO80" i="23"/>
  <c r="AQ41" i="23"/>
  <c r="G19" i="146"/>
  <c r="A124" i="36"/>
  <c r="A131" i="36"/>
  <c r="C156" i="35"/>
  <c r="C163" i="35"/>
  <c r="H19" i="146"/>
  <c r="I19" i="146"/>
  <c r="AG93" i="27"/>
  <c r="AQ94" i="23"/>
  <c r="AQ94" i="26"/>
  <c r="AC75" i="23"/>
  <c r="AK114" i="27"/>
  <c r="AI73" i="23"/>
  <c r="AI73" i="26"/>
  <c r="AK107" i="26"/>
  <c r="AK114" i="26"/>
  <c r="AI100" i="26"/>
  <c r="AQ42" i="27"/>
  <c r="AQ42" i="26"/>
  <c r="AC43" i="27"/>
  <c r="AC99" i="27"/>
  <c r="A214" i="35"/>
  <c r="A221" i="35"/>
  <c r="AE96" i="26"/>
  <c r="AE96" i="27"/>
  <c r="AM88" i="27"/>
  <c r="AM88" i="23"/>
  <c r="AC43" i="26"/>
  <c r="AC99" i="23"/>
  <c r="AI76" i="27"/>
  <c r="AO95" i="26"/>
  <c r="AO44" i="27"/>
  <c r="AG32" i="27"/>
  <c r="AE55" i="26"/>
  <c r="AI76" i="23"/>
  <c r="AO95" i="27"/>
  <c r="AI100" i="23"/>
  <c r="AM104" i="27"/>
  <c r="G504" i="35"/>
  <c r="AE82" i="26"/>
  <c r="G270" i="35"/>
  <c r="AI46" i="23"/>
  <c r="AE82" i="27"/>
  <c r="A10" i="35"/>
  <c r="A17" i="35"/>
  <c r="AM104" i="26"/>
  <c r="A531" i="35"/>
  <c r="A538" i="35"/>
  <c r="A10" i="36"/>
  <c r="A17" i="36"/>
  <c r="AO44" i="23"/>
  <c r="AE55" i="23"/>
  <c r="AI46" i="26"/>
  <c r="AQ67" i="23"/>
  <c r="A561" i="36"/>
  <c r="A568" i="36"/>
  <c r="AC48" i="27"/>
  <c r="AC48" i="23"/>
  <c r="AI86" i="26"/>
  <c r="J46" i="182"/>
  <c r="A39" i="182"/>
  <c r="J48" i="182"/>
  <c r="B48" i="182"/>
  <c r="J47" i="182"/>
  <c r="K47" i="182"/>
  <c r="P70" i="182"/>
  <c r="P102" i="182"/>
  <c r="J110" i="182"/>
  <c r="B110" i="182"/>
  <c r="B19" i="146"/>
  <c r="C19" i="146"/>
  <c r="F19" i="146"/>
  <c r="AO101" i="26"/>
  <c r="AE58" i="27"/>
  <c r="AO101" i="27"/>
  <c r="I22" i="146"/>
  <c r="E13" i="146"/>
  <c r="C356" i="35"/>
  <c r="C363" i="35"/>
  <c r="J619" i="36"/>
  <c r="AD112" i="26"/>
  <c r="AK63" i="27"/>
  <c r="AG79" i="27"/>
  <c r="AK107" i="23"/>
  <c r="AE117" i="27"/>
  <c r="AE117" i="26"/>
  <c r="AQ105" i="23"/>
  <c r="C386" i="36"/>
  <c r="C393" i="36"/>
  <c r="AG79" i="23"/>
  <c r="A269" i="36"/>
  <c r="A276" i="36"/>
  <c r="C155" i="35"/>
  <c r="C162" i="35"/>
  <c r="C155" i="36"/>
  <c r="C162" i="36"/>
  <c r="C386" i="35"/>
  <c r="C393" i="35"/>
  <c r="AE111" i="26"/>
  <c r="AI102" i="26"/>
  <c r="A618" i="36"/>
  <c r="A625" i="36"/>
  <c r="AI57" i="23"/>
  <c r="G561" i="35"/>
  <c r="E20" i="146"/>
  <c r="C475" i="35"/>
  <c r="C482" i="35"/>
  <c r="AE57" i="27"/>
  <c r="G561" i="36"/>
  <c r="AG30" i="26"/>
  <c r="AG110" i="26"/>
  <c r="AC49" i="26"/>
  <c r="AK83" i="26"/>
  <c r="AE57" i="26"/>
  <c r="AG110" i="27"/>
  <c r="AK86" i="23"/>
  <c r="A9" i="35"/>
  <c r="A16" i="35"/>
  <c r="A387" i="36"/>
  <c r="A394" i="36"/>
  <c r="C298" i="36"/>
  <c r="C305" i="36"/>
  <c r="AC73" i="27"/>
  <c r="I555" i="35"/>
  <c r="C298" i="35"/>
  <c r="C305" i="35"/>
  <c r="AE39" i="27"/>
  <c r="AI115" i="23"/>
  <c r="I381" i="36"/>
  <c r="AE111" i="23"/>
  <c r="AE58" i="26"/>
  <c r="AM96" i="26"/>
  <c r="A387" i="35"/>
  <c r="A394" i="35"/>
  <c r="AC113" i="23"/>
  <c r="AI54" i="27"/>
  <c r="AI57" i="26"/>
  <c r="AI54" i="26"/>
  <c r="I91" i="35"/>
  <c r="AO87" i="23"/>
  <c r="A301" i="36"/>
  <c r="A308" i="36"/>
  <c r="AI94" i="23"/>
  <c r="AO87" i="26"/>
  <c r="AG36" i="27"/>
  <c r="AC44" i="26"/>
  <c r="AO105" i="27"/>
  <c r="AI41" i="23"/>
  <c r="J68" i="36"/>
  <c r="AG69" i="26"/>
  <c r="AC44" i="23"/>
  <c r="B20" i="146"/>
  <c r="C20" i="146"/>
  <c r="H20" i="146"/>
  <c r="F20" i="146"/>
  <c r="Q14" i="82"/>
  <c r="Q16" i="82"/>
  <c r="Q21" i="82"/>
  <c r="AR10" i="82"/>
  <c r="G20" i="146"/>
  <c r="A445" i="35"/>
  <c r="A452" i="35"/>
  <c r="AK83" i="23"/>
  <c r="AM60" i="23"/>
  <c r="G530" i="36"/>
  <c r="AK81" i="27"/>
  <c r="AK81" i="23"/>
  <c r="A446" i="35"/>
  <c r="A453" i="35"/>
  <c r="AG68" i="23"/>
  <c r="AM96" i="23"/>
  <c r="AG68" i="26"/>
  <c r="G618" i="36"/>
  <c r="AG69" i="23"/>
  <c r="AC116" i="27"/>
  <c r="AC59" i="23"/>
  <c r="C444" i="36"/>
  <c r="C451" i="36"/>
  <c r="AM73" i="23"/>
  <c r="AC116" i="26"/>
  <c r="A185" i="35"/>
  <c r="A192" i="35"/>
  <c r="J504" i="36"/>
  <c r="J443" i="35"/>
  <c r="J443" i="36"/>
  <c r="AC59" i="26"/>
  <c r="AM73" i="26"/>
  <c r="C98" i="35"/>
  <c r="C105" i="35"/>
  <c r="C98" i="36"/>
  <c r="C105" i="36"/>
  <c r="C444" i="35"/>
  <c r="C451" i="35"/>
  <c r="AI111" i="26"/>
  <c r="AM97" i="23"/>
  <c r="AK86" i="27"/>
  <c r="C503" i="36"/>
  <c r="C510" i="36"/>
  <c r="J504" i="35"/>
  <c r="C329" i="36"/>
  <c r="C336" i="36"/>
  <c r="AG36" i="23"/>
  <c r="AC72" i="23"/>
  <c r="AC75" i="26"/>
  <c r="AG35" i="27"/>
  <c r="C588" i="36"/>
  <c r="C595" i="36"/>
  <c r="AC72" i="26"/>
  <c r="C588" i="35"/>
  <c r="C595" i="35"/>
  <c r="AE106" i="27"/>
  <c r="G415" i="35"/>
  <c r="C153" i="36"/>
  <c r="C160" i="36"/>
  <c r="AL105" i="26"/>
  <c r="AO54" i="23"/>
  <c r="AQ92" i="27"/>
  <c r="AO97" i="23"/>
  <c r="I381" i="35"/>
  <c r="AO109" i="27"/>
  <c r="AE44" i="27"/>
  <c r="AC78" i="27"/>
  <c r="AK36" i="27"/>
  <c r="AC78" i="23"/>
  <c r="AL105" i="27"/>
  <c r="AK36" i="23"/>
  <c r="AC113" i="27"/>
  <c r="J532" i="35"/>
  <c r="G445" i="36"/>
  <c r="AK78" i="23"/>
  <c r="AE80" i="23"/>
  <c r="AO54" i="27"/>
  <c r="G243" i="35"/>
  <c r="AO97" i="26"/>
  <c r="AI111" i="23"/>
  <c r="AQ92" i="26"/>
  <c r="AK78" i="26"/>
  <c r="AE39" i="26"/>
  <c r="AM107" i="26"/>
  <c r="H11" i="146"/>
  <c r="AO109" i="26"/>
  <c r="AM107" i="27"/>
  <c r="J68" i="35"/>
  <c r="A182" i="35"/>
  <c r="A189" i="35"/>
  <c r="G243" i="36"/>
  <c r="AQ45" i="27"/>
  <c r="AE44" i="26"/>
  <c r="A9" i="36"/>
  <c r="A16" i="36"/>
  <c r="AE80" i="27"/>
  <c r="AO58" i="26"/>
  <c r="AK105" i="23"/>
  <c r="AK105" i="26"/>
  <c r="AQ35" i="27"/>
  <c r="AG96" i="26"/>
  <c r="C66" i="35"/>
  <c r="C73" i="35"/>
  <c r="AO58" i="23"/>
  <c r="C66" i="36"/>
  <c r="C73" i="36"/>
  <c r="AR44" i="27"/>
  <c r="AR32" i="27"/>
  <c r="AC79" i="23"/>
  <c r="AQ35" i="23"/>
  <c r="J589" i="35"/>
  <c r="A472" i="35"/>
  <c r="A479" i="35"/>
  <c r="J444" i="35"/>
  <c r="A8" i="36"/>
  <c r="A15" i="36"/>
  <c r="AK73" i="26"/>
  <c r="AK73" i="23"/>
  <c r="AG47" i="26"/>
  <c r="AM47" i="23"/>
  <c r="AM97" i="26"/>
  <c r="AG47" i="23"/>
  <c r="AM47" i="27"/>
  <c r="AG55" i="27"/>
  <c r="A8" i="35"/>
  <c r="A15" i="35"/>
  <c r="C153" i="35"/>
  <c r="C160" i="35"/>
  <c r="C241" i="35"/>
  <c r="C248" i="35"/>
  <c r="AQ78" i="23"/>
  <c r="G531" i="36"/>
  <c r="AK66" i="27"/>
  <c r="AC49" i="27"/>
  <c r="AI93" i="27"/>
  <c r="AK76" i="27"/>
  <c r="AI94" i="26"/>
  <c r="AQ105" i="26"/>
  <c r="AI93" i="26"/>
  <c r="AC33" i="23"/>
  <c r="AK76" i="23"/>
  <c r="AG30" i="27"/>
  <c r="AC33" i="26"/>
  <c r="C241" i="36"/>
  <c r="C248" i="36"/>
  <c r="AO40" i="27"/>
  <c r="AI61" i="26"/>
  <c r="AO40" i="26"/>
  <c r="AF104" i="26"/>
  <c r="AQ102" i="23"/>
  <c r="AG50" i="26"/>
  <c r="AG71" i="23"/>
  <c r="G446" i="35"/>
  <c r="AQ102" i="27"/>
  <c r="AG50" i="27"/>
  <c r="J562" i="36"/>
  <c r="AI44" i="27"/>
  <c r="AI44" i="23"/>
  <c r="AG71" i="27"/>
  <c r="AI61" i="23"/>
  <c r="J562" i="35"/>
  <c r="AK68" i="23"/>
  <c r="AK68" i="27"/>
  <c r="A562" i="35"/>
  <c r="A569" i="35"/>
  <c r="AO106" i="23"/>
  <c r="AO106" i="26"/>
  <c r="AE63" i="26"/>
  <c r="AP87" i="23"/>
  <c r="J388" i="35"/>
  <c r="AE63" i="27"/>
  <c r="AI108" i="27"/>
  <c r="AG34" i="26"/>
  <c r="AS78" i="33"/>
  <c r="AE69" i="33"/>
  <c r="AD90" i="23"/>
  <c r="AO69" i="27"/>
  <c r="AE91" i="26"/>
  <c r="AD90" i="27"/>
  <c r="U108" i="33"/>
  <c r="H99" i="33"/>
  <c r="AS108" i="33"/>
  <c r="AN102" i="33"/>
  <c r="U141" i="33"/>
  <c r="H132" i="33"/>
  <c r="U78" i="33"/>
  <c r="H78" i="33"/>
  <c r="AC79" i="26"/>
  <c r="AO90" i="26"/>
  <c r="AS171" i="33"/>
  <c r="Z165" i="33"/>
  <c r="AK45" i="23"/>
  <c r="AR192" i="33"/>
  <c r="AS204" i="33"/>
  <c r="AE195" i="33"/>
  <c r="H13" i="146"/>
  <c r="C10" i="35"/>
  <c r="C17" i="35"/>
  <c r="AI109" i="26"/>
  <c r="I13" i="146"/>
  <c r="AI109" i="27"/>
  <c r="G13" i="146"/>
  <c r="B13" i="146"/>
  <c r="C13" i="146"/>
  <c r="C10" i="36"/>
  <c r="C17" i="36"/>
  <c r="AE60" i="27"/>
  <c r="AJ107" i="26"/>
  <c r="AJ107" i="23"/>
  <c r="G531" i="35"/>
  <c r="AI84" i="26"/>
  <c r="AQ77" i="23"/>
  <c r="E11" i="146"/>
  <c r="AK91" i="27"/>
  <c r="AK45" i="26"/>
  <c r="AE106" i="23"/>
  <c r="A619" i="35"/>
  <c r="A626" i="35"/>
  <c r="AM99" i="23"/>
  <c r="C590" i="35"/>
  <c r="C597" i="35"/>
  <c r="AG34" i="23"/>
  <c r="AG35" i="26"/>
  <c r="AO52" i="27"/>
  <c r="AM99" i="27"/>
  <c r="AG53" i="26"/>
  <c r="AI84" i="27"/>
  <c r="AK52" i="23"/>
  <c r="AK52" i="26"/>
  <c r="AC102" i="23"/>
  <c r="H12" i="146"/>
  <c r="E12" i="146"/>
  <c r="J619" i="35"/>
  <c r="AQ69" i="23"/>
  <c r="AI110" i="23"/>
  <c r="AQ55" i="26"/>
  <c r="G12" i="146"/>
  <c r="B12" i="146"/>
  <c r="C12" i="146"/>
  <c r="AO52" i="26"/>
  <c r="C591" i="36"/>
  <c r="C598" i="36"/>
  <c r="B11" i="146"/>
  <c r="C11" i="146"/>
  <c r="AE59" i="26"/>
  <c r="AE72" i="26"/>
  <c r="AO85" i="27"/>
  <c r="AO85" i="23"/>
  <c r="AO90" i="23"/>
  <c r="AI110" i="26"/>
  <c r="J388" i="36"/>
  <c r="F11" i="146"/>
  <c r="G11" i="146"/>
  <c r="F12" i="146"/>
  <c r="AE59" i="23"/>
  <c r="J473" i="36"/>
  <c r="AG53" i="23"/>
  <c r="AK91" i="26"/>
  <c r="AG87" i="23"/>
  <c r="W9" i="82"/>
  <c r="AV7" i="82"/>
  <c r="AC61" i="23"/>
  <c r="AL73" i="27"/>
  <c r="AH55" i="27"/>
  <c r="AK108" i="27"/>
  <c r="AM98" i="26"/>
  <c r="AK108" i="26"/>
  <c r="AN100" i="26"/>
  <c r="AI75" i="26"/>
  <c r="AC30" i="26"/>
  <c r="AD64" i="27"/>
  <c r="AS141" i="33"/>
  <c r="AJ138" i="33"/>
  <c r="AG117" i="26"/>
  <c r="AE72" i="27"/>
  <c r="C414" i="36"/>
  <c r="C421" i="36"/>
  <c r="AQ78" i="26"/>
  <c r="AG87" i="26"/>
  <c r="AK100" i="26"/>
  <c r="AE60" i="23"/>
  <c r="AG117" i="23"/>
  <c r="G183" i="35"/>
  <c r="AJ59" i="23"/>
  <c r="AC92" i="23"/>
  <c r="AM98" i="23"/>
  <c r="AM83" i="23"/>
  <c r="AM39" i="27"/>
  <c r="J156" i="35"/>
  <c r="AC92" i="26"/>
  <c r="AO65" i="23"/>
  <c r="AM39" i="26"/>
  <c r="C359" i="35"/>
  <c r="C366" i="35"/>
  <c r="AE104" i="27"/>
  <c r="AO65" i="26"/>
  <c r="AK112" i="26"/>
  <c r="AM114" i="27"/>
  <c r="AE104" i="26"/>
  <c r="C39" i="36"/>
  <c r="C46" i="36"/>
  <c r="AK112" i="23"/>
  <c r="AI79" i="23"/>
  <c r="AI79" i="26"/>
  <c r="AI108" i="26"/>
  <c r="AJ59" i="26"/>
  <c r="AC61" i="26"/>
  <c r="J156" i="36"/>
  <c r="AM83" i="27"/>
  <c r="J446" i="36"/>
  <c r="C532" i="35"/>
  <c r="C539" i="35"/>
  <c r="AQ55" i="27"/>
  <c r="AC98" i="23"/>
  <c r="AC30" i="27"/>
  <c r="G330" i="35"/>
  <c r="G10" i="36"/>
  <c r="AC102" i="26"/>
  <c r="AC98" i="26"/>
  <c r="C414" i="35"/>
  <c r="C421" i="35"/>
  <c r="A588" i="36"/>
  <c r="A595" i="36"/>
  <c r="AQ47" i="26"/>
  <c r="AM114" i="26"/>
  <c r="J532" i="36"/>
  <c r="AK100" i="23"/>
  <c r="G330" i="36"/>
  <c r="A620" i="36"/>
  <c r="A627" i="36"/>
  <c r="AQ77" i="27"/>
  <c r="AI95" i="23"/>
  <c r="AO111" i="27"/>
  <c r="AG41" i="23"/>
  <c r="AO111" i="26"/>
  <c r="A357" i="35"/>
  <c r="A364" i="35"/>
  <c r="AE89" i="27"/>
  <c r="AE89" i="26"/>
  <c r="A473" i="36"/>
  <c r="A480" i="36"/>
  <c r="A357" i="36"/>
  <c r="A364" i="36"/>
  <c r="AI95" i="27"/>
  <c r="C445" i="35"/>
  <c r="C452" i="35"/>
  <c r="C445" i="36"/>
  <c r="C452" i="36"/>
  <c r="AK77" i="26"/>
  <c r="AK77" i="23"/>
  <c r="AC32" i="26"/>
  <c r="AM66" i="26"/>
  <c r="AG96" i="27"/>
  <c r="AE89" i="23"/>
  <c r="AM55" i="26"/>
  <c r="AR84" i="23"/>
  <c r="AK116" i="27"/>
  <c r="G98" i="36"/>
  <c r="C532" i="36"/>
  <c r="C539" i="36"/>
  <c r="AH36" i="27"/>
  <c r="G10" i="35"/>
  <c r="AR84" i="26"/>
  <c r="AM55" i="27"/>
  <c r="J446" i="35"/>
  <c r="AC46" i="26"/>
  <c r="AK43" i="26"/>
  <c r="AI102" i="23"/>
  <c r="AK66" i="23"/>
  <c r="AQ79" i="27"/>
  <c r="AQ79" i="23"/>
  <c r="C272" i="36"/>
  <c r="C279" i="36"/>
  <c r="AC110" i="26"/>
  <c r="G617" i="35"/>
  <c r="AO91" i="27"/>
  <c r="AD64" i="23"/>
  <c r="AH47" i="23"/>
  <c r="AH47" i="26"/>
  <c r="J40" i="35"/>
  <c r="J40" i="36"/>
  <c r="AC32" i="23"/>
  <c r="AO112" i="27"/>
  <c r="J474" i="35"/>
  <c r="AM66" i="23"/>
  <c r="AM75" i="26"/>
  <c r="AI41" i="27"/>
  <c r="C591" i="35"/>
  <c r="C598" i="35"/>
  <c r="AI85" i="23"/>
  <c r="C271" i="35"/>
  <c r="C278" i="35"/>
  <c r="I497" i="35"/>
  <c r="AK64" i="26"/>
  <c r="I207" i="35"/>
  <c r="AO96" i="27"/>
  <c r="AK64" i="27"/>
  <c r="AK43" i="27"/>
  <c r="AG41" i="26"/>
  <c r="AC46" i="23"/>
  <c r="AE105" i="26"/>
  <c r="C96" i="36"/>
  <c r="C103" i="36"/>
  <c r="AE76" i="26"/>
  <c r="AE105" i="23"/>
  <c r="AC73" i="26"/>
  <c r="AN70" i="27"/>
  <c r="AC64" i="27"/>
  <c r="AN70" i="26"/>
  <c r="AC64" i="23"/>
  <c r="AO96" i="26"/>
  <c r="AM52" i="27"/>
  <c r="AG98" i="26"/>
  <c r="AI116" i="27"/>
  <c r="AI116" i="23"/>
  <c r="AG98" i="23"/>
  <c r="A562" i="36"/>
  <c r="A569" i="36"/>
  <c r="J126" i="35"/>
  <c r="J385" i="36"/>
  <c r="C39" i="35"/>
  <c r="C46" i="35"/>
  <c r="AO37" i="27"/>
  <c r="AP58" i="27"/>
  <c r="AK113" i="27"/>
  <c r="AL35" i="23"/>
  <c r="AO37" i="23"/>
  <c r="C242" i="35"/>
  <c r="C249" i="35"/>
  <c r="AK113" i="26"/>
  <c r="AL95" i="27"/>
  <c r="AL95" i="23"/>
  <c r="AM89" i="27"/>
  <c r="AQ93" i="23"/>
  <c r="AQ93" i="26"/>
  <c r="J212" i="35"/>
  <c r="A388" i="35"/>
  <c r="A395" i="35"/>
  <c r="AJ89" i="27"/>
  <c r="AR106" i="27"/>
  <c r="AM89" i="23"/>
  <c r="AL53" i="26"/>
  <c r="AE109" i="23"/>
  <c r="AC94" i="23"/>
  <c r="F22" i="146"/>
  <c r="AK62" i="23"/>
  <c r="AE112" i="27"/>
  <c r="AE91" i="27"/>
  <c r="AG88" i="27"/>
  <c r="AH116" i="26"/>
  <c r="AI166" i="182"/>
  <c r="AC177" i="182"/>
  <c r="AE112" i="23"/>
  <c r="A443" i="36"/>
  <c r="A450" i="36"/>
  <c r="A443" i="35"/>
  <c r="A450" i="35"/>
  <c r="AR105" i="27"/>
  <c r="AL43" i="27"/>
  <c r="AK102" i="23"/>
  <c r="AR78" i="23"/>
  <c r="AL43" i="26"/>
  <c r="G357" i="36"/>
  <c r="AM31" i="23"/>
  <c r="A474" i="35"/>
  <c r="A481" i="35"/>
  <c r="AM31" i="27"/>
  <c r="AO63" i="27"/>
  <c r="AQ80" i="23"/>
  <c r="AE81" i="26"/>
  <c r="AQ47" i="23"/>
  <c r="AG88" i="23"/>
  <c r="B22" i="146"/>
  <c r="C22" i="146"/>
  <c r="G22" i="146"/>
  <c r="AQ80" i="27"/>
  <c r="AM100" i="26"/>
  <c r="A474" i="36"/>
  <c r="A481" i="36"/>
  <c r="AE81" i="23"/>
  <c r="AM52" i="26"/>
  <c r="C530" i="36"/>
  <c r="C537" i="36"/>
  <c r="AI90" i="23"/>
  <c r="AE109" i="27"/>
  <c r="AM100" i="27"/>
  <c r="AI90" i="27"/>
  <c r="AQ116" i="27"/>
  <c r="AR105" i="23"/>
  <c r="AK102" i="27"/>
  <c r="AI85" i="27"/>
  <c r="AJ58" i="23"/>
  <c r="AJ58" i="26"/>
  <c r="AN48" i="23"/>
  <c r="AQ45" i="23"/>
  <c r="AK62" i="26"/>
  <c r="AO63" i="23"/>
  <c r="E22" i="146"/>
  <c r="J617" i="36"/>
  <c r="AG57" i="23"/>
  <c r="AQ116" i="23"/>
  <c r="J301" i="35"/>
  <c r="AC93" i="27"/>
  <c r="C9" i="35"/>
  <c r="C16" i="35"/>
  <c r="AL48" i="23"/>
  <c r="AC74" i="27"/>
  <c r="AO69" i="26"/>
  <c r="AR87" i="26"/>
  <c r="AP87" i="27"/>
  <c r="AL48" i="26"/>
  <c r="AK94" i="27"/>
  <c r="AK35" i="26"/>
  <c r="J66" i="35"/>
  <c r="J66" i="36"/>
  <c r="AM75" i="23"/>
  <c r="AK92" i="27"/>
  <c r="AK92" i="23"/>
  <c r="C240" i="35"/>
  <c r="C247" i="35"/>
  <c r="AK50" i="23"/>
  <c r="AK50" i="26"/>
  <c r="AF85" i="26"/>
  <c r="N19" i="146"/>
  <c r="AL19" i="146"/>
  <c r="AO117" i="23"/>
  <c r="AR87" i="23"/>
  <c r="AQ110" i="27"/>
  <c r="AK50" i="27"/>
  <c r="AC94" i="27"/>
  <c r="AO117" i="26"/>
  <c r="AD103" i="23"/>
  <c r="AQ110" i="23"/>
  <c r="AD103" i="26"/>
  <c r="G271" i="36"/>
  <c r="AD66" i="23"/>
  <c r="A242" i="36"/>
  <c r="A249" i="36"/>
  <c r="J301" i="36"/>
  <c r="AK35" i="23"/>
  <c r="AD66" i="27"/>
  <c r="AK94" i="23"/>
  <c r="G588" i="36"/>
  <c r="G588" i="35"/>
  <c r="AH54" i="23"/>
  <c r="AC143" i="182"/>
  <c r="U143" i="182"/>
  <c r="J561" i="36"/>
  <c r="J561" i="35"/>
  <c r="AE76" i="27"/>
  <c r="AL35" i="27"/>
  <c r="AH116" i="27"/>
  <c r="AH71" i="26"/>
  <c r="AK79" i="27"/>
  <c r="AK79" i="23"/>
  <c r="AO112" i="26"/>
  <c r="AE69" i="26"/>
  <c r="AC74" i="26"/>
  <c r="AR117" i="26"/>
  <c r="AP37" i="27"/>
  <c r="AL41" i="23"/>
  <c r="C330" i="35"/>
  <c r="C337" i="35"/>
  <c r="AG113" i="27"/>
  <c r="A213" i="35"/>
  <c r="A220" i="35"/>
  <c r="C561" i="36"/>
  <c r="C568" i="36"/>
  <c r="AG113" i="26"/>
  <c r="A96" i="36"/>
  <c r="A103" i="36"/>
  <c r="G475" i="35"/>
  <c r="AO105" i="23"/>
  <c r="A213" i="36"/>
  <c r="A220" i="36"/>
  <c r="A385" i="36"/>
  <c r="A392" i="36"/>
  <c r="AO84" i="23"/>
  <c r="G299" i="36"/>
  <c r="AE73" i="27"/>
  <c r="AG58" i="26"/>
  <c r="AG58" i="27"/>
  <c r="AO64" i="27"/>
  <c r="AC50" i="27"/>
  <c r="AR92" i="23"/>
  <c r="AC50" i="26"/>
  <c r="AQ66" i="27"/>
  <c r="AQ66" i="26"/>
  <c r="AE73" i="23"/>
  <c r="AK69" i="23"/>
  <c r="AK69" i="27"/>
  <c r="AK69" i="26"/>
  <c r="AO64" i="23"/>
  <c r="AL47" i="23"/>
  <c r="N28" i="146"/>
  <c r="AI69" i="26"/>
  <c r="AE92" i="26"/>
  <c r="A40" i="146"/>
  <c r="A41" i="146"/>
  <c r="N22" i="146"/>
  <c r="AL22" i="146"/>
  <c r="AC110" i="27"/>
  <c r="AR68" i="27"/>
  <c r="AC70" i="23"/>
  <c r="AC70" i="26"/>
  <c r="AC70" i="27"/>
  <c r="N24" i="146"/>
  <c r="AL24" i="146"/>
  <c r="J125" i="36"/>
  <c r="N26" i="146"/>
  <c r="N25" i="146"/>
  <c r="N23" i="146"/>
  <c r="AL23" i="146"/>
  <c r="N12" i="146"/>
  <c r="AL12" i="146"/>
  <c r="AI104" i="23"/>
  <c r="N33" i="146"/>
  <c r="AL33" i="146"/>
  <c r="AI104" i="26"/>
  <c r="AP56" i="27"/>
  <c r="N21" i="146"/>
  <c r="AL21" i="146"/>
  <c r="AP56" i="26"/>
  <c r="AG83" i="23"/>
  <c r="AE38" i="26"/>
  <c r="AE92" i="27"/>
  <c r="N18" i="146"/>
  <c r="AL18" i="146"/>
  <c r="AE38" i="27"/>
  <c r="AK111" i="23"/>
  <c r="AG99" i="27"/>
  <c r="N20" i="146"/>
  <c r="AG99" i="26"/>
  <c r="AK87" i="26"/>
  <c r="AL47" i="26"/>
  <c r="AG83" i="27"/>
  <c r="AR68" i="23"/>
  <c r="AF41" i="26"/>
  <c r="AF41" i="27"/>
  <c r="AK87" i="27"/>
  <c r="J533" i="36"/>
  <c r="AJ116" i="26"/>
  <c r="AJ116" i="23"/>
  <c r="AJ116" i="27"/>
  <c r="AD108" i="26"/>
  <c r="AD108" i="27"/>
  <c r="AD108" i="23"/>
  <c r="AF93" i="27"/>
  <c r="AF93" i="26"/>
  <c r="AF93" i="23"/>
  <c r="AC93" i="23"/>
  <c r="G299" i="35"/>
  <c r="AJ30" i="26"/>
  <c r="AO91" i="23"/>
  <c r="C271" i="36"/>
  <c r="C278" i="36"/>
  <c r="AD93" i="23"/>
  <c r="I613" i="35"/>
  <c r="AE37" i="26"/>
  <c r="A300" i="36"/>
  <c r="A307" i="36"/>
  <c r="AE116" i="26"/>
  <c r="A96" i="35"/>
  <c r="A103" i="35"/>
  <c r="A589" i="36"/>
  <c r="A596" i="36"/>
  <c r="A39" i="35"/>
  <c r="A46" i="35"/>
  <c r="A589" i="35"/>
  <c r="A596" i="35"/>
  <c r="AH87" i="23"/>
  <c r="AH87" i="26"/>
  <c r="AH87" i="27"/>
  <c r="AM45" i="26"/>
  <c r="AM45" i="23"/>
  <c r="AM45" i="27"/>
  <c r="N17" i="146"/>
  <c r="AL17" i="146"/>
  <c r="N27" i="146"/>
  <c r="AL27" i="146"/>
  <c r="AH108" i="27"/>
  <c r="AG114" i="23"/>
  <c r="G475" i="36"/>
  <c r="AQ83" i="23"/>
  <c r="AI36" i="27"/>
  <c r="AI36" i="23"/>
  <c r="AI36" i="26"/>
  <c r="AM61" i="23"/>
  <c r="AM61" i="27"/>
  <c r="AM61" i="26"/>
  <c r="AI50" i="26"/>
  <c r="AI50" i="23"/>
  <c r="A36" i="146"/>
  <c r="A37" i="146"/>
  <c r="N13" i="146"/>
  <c r="AJ74" i="23"/>
  <c r="AR43" i="26"/>
  <c r="AL42" i="23"/>
  <c r="AL42" i="26"/>
  <c r="AL42" i="27"/>
  <c r="C446" i="35"/>
  <c r="C453" i="35"/>
  <c r="C504" i="36"/>
  <c r="C511" i="36"/>
  <c r="AP112" i="23"/>
  <c r="AK31" i="23"/>
  <c r="AK31" i="26"/>
  <c r="A32" i="146"/>
  <c r="N14" i="146"/>
  <c r="AL14" i="146"/>
  <c r="N16" i="146"/>
  <c r="AJ74" i="26"/>
  <c r="A385" i="35"/>
  <c r="A392" i="35"/>
  <c r="AM103" i="23"/>
  <c r="AG114" i="26"/>
  <c r="AO62" i="27"/>
  <c r="AP112" i="26"/>
  <c r="AM38" i="27"/>
  <c r="J533" i="35"/>
  <c r="AM103" i="27"/>
  <c r="AE67" i="23"/>
  <c r="AM94" i="26"/>
  <c r="AM94" i="27"/>
  <c r="AI59" i="27"/>
  <c r="AI59" i="23"/>
  <c r="AI59" i="26"/>
  <c r="AI75" i="27"/>
  <c r="A212" i="35"/>
  <c r="A219" i="35"/>
  <c r="A212" i="36"/>
  <c r="A219" i="36"/>
  <c r="AD113" i="23"/>
  <c r="AJ89" i="23"/>
  <c r="AE67" i="27"/>
  <c r="AE37" i="27"/>
  <c r="AQ83" i="26"/>
  <c r="AQ33" i="26"/>
  <c r="AQ33" i="27"/>
  <c r="AQ33" i="23"/>
  <c r="N15" i="146"/>
  <c r="AL15" i="146"/>
  <c r="AF96" i="23"/>
  <c r="N29" i="146"/>
  <c r="AL29" i="146"/>
  <c r="N32" i="146"/>
  <c r="AL32" i="146"/>
  <c r="J387" i="35"/>
  <c r="AD61" i="27"/>
  <c r="AM108" i="23"/>
  <c r="W9" i="86"/>
  <c r="W14" i="86"/>
  <c r="AV8" i="86"/>
  <c r="AF96" i="27"/>
  <c r="N35" i="146"/>
  <c r="AL35" i="146"/>
  <c r="N30" i="146"/>
  <c r="AL30" i="146"/>
  <c r="AO84" i="26"/>
  <c r="AM38" i="26"/>
  <c r="AD87" i="27"/>
  <c r="AD87" i="26"/>
  <c r="AD87" i="23"/>
  <c r="J241" i="36"/>
  <c r="N31" i="146"/>
  <c r="AL31" i="146"/>
  <c r="N34" i="146"/>
  <c r="AL34" i="146"/>
  <c r="AR92" i="27"/>
  <c r="AM108" i="27"/>
  <c r="AO62" i="23"/>
  <c r="AR6" i="86"/>
  <c r="AM70" i="23"/>
  <c r="AM70" i="27"/>
  <c r="AL67" i="23"/>
  <c r="AQ74" i="27"/>
  <c r="AQ74" i="23"/>
  <c r="AQ74" i="26"/>
  <c r="AG43" i="23"/>
  <c r="AG43" i="26"/>
  <c r="AG43" i="27"/>
  <c r="I439" i="36"/>
  <c r="AJ68" i="26"/>
  <c r="AJ68" i="23"/>
  <c r="AQ98" i="26"/>
  <c r="AQ98" i="23"/>
  <c r="AC36" i="26"/>
  <c r="AC36" i="23"/>
  <c r="AG74" i="26"/>
  <c r="AG74" i="27"/>
  <c r="AL67" i="27"/>
  <c r="AF57" i="27"/>
  <c r="A502" i="36"/>
  <c r="A509" i="36"/>
  <c r="A358" i="36"/>
  <c r="A365" i="36"/>
  <c r="AF57" i="26"/>
  <c r="AE47" i="27"/>
  <c r="AD61" i="26"/>
  <c r="AG61" i="27"/>
  <c r="AG61" i="23"/>
  <c r="J590" i="36"/>
  <c r="J590" i="35"/>
  <c r="AM60" i="27"/>
  <c r="AE47" i="23"/>
  <c r="AC51" i="26"/>
  <c r="AC51" i="27"/>
  <c r="AQ88" i="27"/>
  <c r="AQ88" i="26"/>
  <c r="AQ37" i="23"/>
  <c r="I323" i="35"/>
  <c r="I323" i="36"/>
  <c r="C415" i="36"/>
  <c r="C422" i="36"/>
  <c r="AC54" i="26"/>
  <c r="AC54" i="27"/>
  <c r="AC54" i="23"/>
  <c r="AQ37" i="26"/>
  <c r="G327" i="36"/>
  <c r="G327" i="35"/>
  <c r="AO81" i="27"/>
  <c r="AO81" i="23"/>
  <c r="AO81" i="26"/>
  <c r="A532" i="36"/>
  <c r="A539" i="36"/>
  <c r="A532" i="35"/>
  <c r="A539" i="35"/>
  <c r="C446" i="36"/>
  <c r="C453" i="36"/>
  <c r="AI69" i="27"/>
  <c r="G533" i="36"/>
  <c r="AC62" i="27"/>
  <c r="AD93" i="26"/>
  <c r="AL87" i="23"/>
  <c r="AL87" i="27"/>
  <c r="AL87" i="26"/>
  <c r="AD104" i="23"/>
  <c r="AD104" i="26"/>
  <c r="AE116" i="27"/>
  <c r="AC31" i="23"/>
  <c r="J503" i="36"/>
  <c r="AD47" i="23"/>
  <c r="AD47" i="26"/>
  <c r="AD47" i="27"/>
  <c r="AK101" i="27"/>
  <c r="AK101" i="26"/>
  <c r="AK101" i="23"/>
  <c r="AG97" i="27"/>
  <c r="AG97" i="26"/>
  <c r="AN100" i="23"/>
  <c r="AG57" i="26"/>
  <c r="AK111" i="26"/>
  <c r="AH41" i="23"/>
  <c r="AH41" i="27"/>
  <c r="AH41" i="26"/>
  <c r="AM84" i="26"/>
  <c r="AM84" i="23"/>
  <c r="AM84" i="27"/>
  <c r="AI80" i="26"/>
  <c r="AI80" i="27"/>
  <c r="AI80" i="23"/>
  <c r="AD96" i="26"/>
  <c r="AN56" i="26"/>
  <c r="AN56" i="27"/>
  <c r="AN56" i="23"/>
  <c r="A97" i="36"/>
  <c r="A104" i="36"/>
  <c r="AP89" i="27"/>
  <c r="AP89" i="26"/>
  <c r="AN83" i="26"/>
  <c r="AL116" i="23"/>
  <c r="AH71" i="23"/>
  <c r="AN83" i="23"/>
  <c r="AD53" i="23"/>
  <c r="AE69" i="27"/>
  <c r="AC62" i="23"/>
  <c r="AR108" i="23"/>
  <c r="AR108" i="26"/>
  <c r="AR108" i="27"/>
  <c r="AD96" i="27"/>
  <c r="AQ69" i="26"/>
  <c r="J503" i="35"/>
  <c r="AP62" i="26"/>
  <c r="AP62" i="27"/>
  <c r="AP62" i="23"/>
  <c r="C559" i="35"/>
  <c r="C566" i="35"/>
  <c r="C559" i="36"/>
  <c r="C566" i="36"/>
  <c r="AQ107" i="27"/>
  <c r="AQ107" i="26"/>
  <c r="AQ107" i="23"/>
  <c r="AE52" i="26"/>
  <c r="AE52" i="23"/>
  <c r="AI99" i="27"/>
  <c r="AI99" i="26"/>
  <c r="AI99" i="23"/>
  <c r="I526" i="35"/>
  <c r="C385" i="35"/>
  <c r="C392" i="35"/>
  <c r="C385" i="36"/>
  <c r="C392" i="36"/>
  <c r="AC56" i="26"/>
  <c r="AC56" i="27"/>
  <c r="AQ97" i="26"/>
  <c r="AQ97" i="23"/>
  <c r="AQ97" i="27"/>
  <c r="AM79" i="27"/>
  <c r="AM79" i="26"/>
  <c r="AM79" i="23"/>
  <c r="G386" i="35"/>
  <c r="G386" i="36"/>
  <c r="AG48" i="26"/>
  <c r="AG48" i="27"/>
  <c r="G560" i="36"/>
  <c r="A417" i="35"/>
  <c r="A424" i="35"/>
  <c r="A417" i="36"/>
  <c r="A424" i="36"/>
  <c r="A211" i="36"/>
  <c r="A218" i="36"/>
  <c r="C474" i="35"/>
  <c r="C481" i="35"/>
  <c r="C474" i="36"/>
  <c r="C481" i="36"/>
  <c r="AO76" i="26"/>
  <c r="AO76" i="27"/>
  <c r="AO76" i="23"/>
  <c r="AC41" i="26"/>
  <c r="AC41" i="23"/>
  <c r="AC41" i="27"/>
  <c r="AO73" i="23"/>
  <c r="AO73" i="27"/>
  <c r="AO73" i="26"/>
  <c r="AC86" i="26"/>
  <c r="AC86" i="27"/>
  <c r="AC86" i="23"/>
  <c r="C270" i="35"/>
  <c r="C277" i="35"/>
  <c r="J414" i="36"/>
  <c r="J414" i="35"/>
  <c r="AI89" i="23"/>
  <c r="AI89" i="26"/>
  <c r="AI89" i="27"/>
  <c r="AC71" i="26"/>
  <c r="AC71" i="23"/>
  <c r="AC71" i="27"/>
  <c r="AG92" i="26"/>
  <c r="AG92" i="27"/>
  <c r="AG92" i="23"/>
  <c r="AO86" i="23"/>
  <c r="AO86" i="27"/>
  <c r="AE85" i="27"/>
  <c r="AE85" i="23"/>
  <c r="AE85" i="26"/>
  <c r="AQ114" i="27"/>
  <c r="AQ114" i="26"/>
  <c r="AQ114" i="23"/>
  <c r="AK117" i="27"/>
  <c r="AK117" i="23"/>
  <c r="AK96" i="26"/>
  <c r="AK96" i="27"/>
  <c r="AK96" i="23"/>
  <c r="AK82" i="23"/>
  <c r="AK82" i="26"/>
  <c r="AK82" i="27"/>
  <c r="C620" i="36"/>
  <c r="C627" i="36"/>
  <c r="C620" i="35"/>
  <c r="C627" i="35"/>
  <c r="AC88" i="23"/>
  <c r="AC88" i="27"/>
  <c r="I352" i="36"/>
  <c r="I352" i="35"/>
  <c r="AK80" i="27"/>
  <c r="AK80" i="26"/>
  <c r="AK80" i="23"/>
  <c r="AK104" i="23"/>
  <c r="AK104" i="26"/>
  <c r="AK104" i="27"/>
  <c r="A617" i="36"/>
  <c r="A624" i="36"/>
  <c r="A617" i="35"/>
  <c r="A624" i="35"/>
  <c r="AO34" i="26"/>
  <c r="AO34" i="27"/>
  <c r="A240" i="35"/>
  <c r="A247" i="35"/>
  <c r="A240" i="36"/>
  <c r="A247" i="36"/>
  <c r="AM76" i="26"/>
  <c r="AM76" i="27"/>
  <c r="AM76" i="23"/>
  <c r="AK93" i="27"/>
  <c r="AK93" i="26"/>
  <c r="AK93" i="23"/>
  <c r="J8" i="35"/>
  <c r="J8" i="36"/>
  <c r="AI40" i="23"/>
  <c r="AI40" i="27"/>
  <c r="AI40" i="26"/>
  <c r="J154" i="35"/>
  <c r="J154" i="36"/>
  <c r="AL98" i="23"/>
  <c r="A475" i="35"/>
  <c r="A482" i="35"/>
  <c r="AE36" i="23"/>
  <c r="AE36" i="27"/>
  <c r="AE36" i="26"/>
  <c r="AM77" i="26"/>
  <c r="AM77" i="27"/>
  <c r="AM77" i="23"/>
  <c r="I410" i="35"/>
  <c r="I410" i="36"/>
  <c r="J472" i="35"/>
  <c r="AE48" i="23"/>
  <c r="AE48" i="26"/>
  <c r="AE48" i="27"/>
  <c r="C531" i="35"/>
  <c r="C538" i="35"/>
  <c r="C531" i="36"/>
  <c r="C538" i="36"/>
  <c r="G589" i="35"/>
  <c r="G589" i="36"/>
  <c r="AL41" i="26"/>
  <c r="AJ30" i="23"/>
  <c r="G359" i="36"/>
  <c r="G359" i="35"/>
  <c r="AG86" i="26"/>
  <c r="AG86" i="23"/>
  <c r="AG86" i="27"/>
  <c r="AI62" i="23"/>
  <c r="AI62" i="26"/>
  <c r="AG89" i="23"/>
  <c r="AG89" i="26"/>
  <c r="J560" i="36"/>
  <c r="J560" i="35"/>
  <c r="J240" i="36"/>
  <c r="J240" i="35"/>
  <c r="G272" i="36"/>
  <c r="G272" i="35"/>
  <c r="AR117" i="23"/>
  <c r="AC40" i="26"/>
  <c r="AC40" i="27"/>
  <c r="AC40" i="23"/>
  <c r="AQ81" i="26"/>
  <c r="AQ81" i="27"/>
  <c r="AQ81" i="23"/>
  <c r="AI37" i="23"/>
  <c r="AI37" i="27"/>
  <c r="AI37" i="26"/>
  <c r="AK46" i="27"/>
  <c r="AK46" i="26"/>
  <c r="AK46" i="23"/>
  <c r="AC67" i="23"/>
  <c r="AC67" i="27"/>
  <c r="AC67" i="26"/>
  <c r="AE113" i="27"/>
  <c r="AE113" i="23"/>
  <c r="AE113" i="26"/>
  <c r="AQ32" i="27"/>
  <c r="AQ32" i="23"/>
  <c r="AQ32" i="26"/>
  <c r="A68" i="36"/>
  <c r="A75" i="36"/>
  <c r="A68" i="35"/>
  <c r="A75" i="35"/>
  <c r="G124" i="36"/>
  <c r="G124" i="35"/>
  <c r="AI56" i="23"/>
  <c r="AI56" i="26"/>
  <c r="AH81" i="27"/>
  <c r="AH81" i="23"/>
  <c r="AH81" i="26"/>
  <c r="AR59" i="23"/>
  <c r="AJ81" i="27"/>
  <c r="AJ81" i="23"/>
  <c r="AJ81" i="26"/>
  <c r="AM87" i="27"/>
  <c r="AM87" i="23"/>
  <c r="AM87" i="26"/>
  <c r="AO94" i="27"/>
  <c r="AO94" i="23"/>
  <c r="AO94" i="26"/>
  <c r="J618" i="35"/>
  <c r="J618" i="36"/>
  <c r="AM53" i="23"/>
  <c r="AM53" i="27"/>
  <c r="AM53" i="26"/>
  <c r="J386" i="35"/>
  <c r="AQ90" i="27"/>
  <c r="AQ90" i="23"/>
  <c r="AQ90" i="26"/>
  <c r="J475" i="36"/>
  <c r="J475" i="35"/>
  <c r="AK103" i="27"/>
  <c r="AK103" i="26"/>
  <c r="AK103" i="23"/>
  <c r="AQ46" i="27"/>
  <c r="AQ46" i="26"/>
  <c r="AQ46" i="23"/>
  <c r="AP37" i="23"/>
  <c r="AD81" i="26"/>
  <c r="AD81" i="23"/>
  <c r="AD81" i="27"/>
  <c r="AE79" i="27"/>
  <c r="AE79" i="26"/>
  <c r="AE79" i="23"/>
  <c r="AI83" i="26"/>
  <c r="AI83" i="27"/>
  <c r="AI83" i="23"/>
  <c r="AC96" i="26"/>
  <c r="AC96" i="27"/>
  <c r="AC96" i="23"/>
  <c r="AO115" i="23"/>
  <c r="AO115" i="26"/>
  <c r="AO115" i="27"/>
  <c r="AI30" i="26"/>
  <c r="AI30" i="27"/>
  <c r="AI30" i="23"/>
  <c r="AC37" i="27"/>
  <c r="AC37" i="23"/>
  <c r="AC37" i="26"/>
  <c r="AO83" i="27"/>
  <c r="AO83" i="23"/>
  <c r="AC95" i="26"/>
  <c r="AC95" i="27"/>
  <c r="AC95" i="23"/>
  <c r="AO107" i="26"/>
  <c r="AO107" i="23"/>
  <c r="AO107" i="27"/>
  <c r="C38" i="36"/>
  <c r="C45" i="36"/>
  <c r="C38" i="35"/>
  <c r="C45" i="35"/>
  <c r="AK49" i="23"/>
  <c r="AK49" i="27"/>
  <c r="AK49" i="26"/>
  <c r="AR81" i="23"/>
  <c r="AR81" i="27"/>
  <c r="AR81" i="26"/>
  <c r="AG73" i="23"/>
  <c r="AG73" i="27"/>
  <c r="AG73" i="26"/>
  <c r="AM101" i="27"/>
  <c r="AM101" i="26"/>
  <c r="G358" i="36"/>
  <c r="G358" i="35"/>
  <c r="AC109" i="26"/>
  <c r="AC109" i="23"/>
  <c r="AC109" i="27"/>
  <c r="A40" i="35"/>
  <c r="A47" i="35"/>
  <c r="A40" i="36"/>
  <c r="A47" i="36"/>
  <c r="AC85" i="23"/>
  <c r="AC85" i="26"/>
  <c r="G532" i="36"/>
  <c r="G532" i="35"/>
  <c r="C95" i="36"/>
  <c r="C102" i="36"/>
  <c r="C95" i="35"/>
  <c r="C102" i="35"/>
  <c r="AI58" i="23"/>
  <c r="AI58" i="26"/>
  <c r="AI58" i="27"/>
  <c r="AE102" i="27"/>
  <c r="AE102" i="23"/>
  <c r="AE102" i="26"/>
  <c r="AF81" i="27"/>
  <c r="AF81" i="26"/>
  <c r="AF81" i="23"/>
  <c r="G444" i="36"/>
  <c r="G444" i="35"/>
  <c r="AE103" i="26"/>
  <c r="AE103" i="23"/>
  <c r="AE103" i="27"/>
  <c r="AQ59" i="27"/>
  <c r="AQ59" i="23"/>
  <c r="AI65" i="23"/>
  <c r="AI65" i="26"/>
  <c r="AI65" i="27"/>
  <c r="AE32" i="23"/>
  <c r="AE32" i="26"/>
  <c r="AE32" i="27"/>
  <c r="AI106" i="26"/>
  <c r="AI106" i="27"/>
  <c r="AI106" i="23"/>
  <c r="A243" i="36"/>
  <c r="A250" i="36"/>
  <c r="A243" i="35"/>
  <c r="A250" i="35"/>
  <c r="AR70" i="23"/>
  <c r="AR70" i="26"/>
  <c r="AR70" i="27"/>
  <c r="C358" i="36"/>
  <c r="C365" i="36"/>
  <c r="C358" i="35"/>
  <c r="C365" i="35"/>
  <c r="A560" i="35"/>
  <c r="A567" i="35"/>
  <c r="A560" i="36"/>
  <c r="A567" i="36"/>
  <c r="G590" i="35"/>
  <c r="G590" i="36"/>
  <c r="AC117" i="26"/>
  <c r="AC117" i="23"/>
  <c r="AC117" i="27"/>
  <c r="AG42" i="27"/>
  <c r="AG42" i="23"/>
  <c r="AG42" i="26"/>
  <c r="AI51" i="23"/>
  <c r="AI51" i="26"/>
  <c r="AI51" i="27"/>
  <c r="G212" i="36"/>
  <c r="G212" i="35"/>
  <c r="AG59" i="27"/>
  <c r="AG59" i="23"/>
  <c r="AG59" i="26"/>
  <c r="AM86" i="26"/>
  <c r="AM86" i="27"/>
  <c r="AM86" i="23"/>
  <c r="AI96" i="26"/>
  <c r="AI96" i="27"/>
  <c r="AI96" i="23"/>
  <c r="AK110" i="27"/>
  <c r="AK110" i="26"/>
  <c r="AK110" i="23"/>
  <c r="AO51" i="23"/>
  <c r="AO51" i="27"/>
  <c r="AO51" i="26"/>
  <c r="AF70" i="23"/>
  <c r="AF70" i="26"/>
  <c r="AF70" i="27"/>
  <c r="AG76" i="23"/>
  <c r="AG76" i="26"/>
  <c r="AG76" i="27"/>
  <c r="AI107" i="23"/>
  <c r="AI107" i="27"/>
  <c r="AI107" i="26"/>
  <c r="J37" i="35"/>
  <c r="J37" i="36"/>
  <c r="A154" i="36"/>
  <c r="A161" i="36"/>
  <c r="A154" i="35"/>
  <c r="A161" i="35"/>
  <c r="AG44" i="23"/>
  <c r="AG44" i="26"/>
  <c r="AG44" i="27"/>
  <c r="G40" i="36"/>
  <c r="G40" i="35"/>
  <c r="AK67" i="26"/>
  <c r="AK67" i="27"/>
  <c r="AK67" i="23"/>
  <c r="G388" i="36"/>
  <c r="AR43" i="27"/>
  <c r="AL94" i="27"/>
  <c r="AL94" i="23"/>
  <c r="AN68" i="23"/>
  <c r="AN68" i="27"/>
  <c r="AN68" i="26"/>
  <c r="AP98" i="26"/>
  <c r="L561" i="35"/>
  <c r="L588" i="35"/>
  <c r="AR112" i="23"/>
  <c r="AR112" i="27"/>
  <c r="AR112" i="26"/>
  <c r="AH43" i="23"/>
  <c r="AG111" i="26"/>
  <c r="AH68" i="26"/>
  <c r="AH68" i="23"/>
  <c r="AH68" i="27"/>
  <c r="AG111" i="27"/>
  <c r="AR59" i="26"/>
  <c r="L561" i="36"/>
  <c r="AL116" i="27"/>
  <c r="AG38" i="23"/>
  <c r="AG38" i="26"/>
  <c r="AG38" i="27"/>
  <c r="AH43" i="27"/>
  <c r="AP108" i="26"/>
  <c r="AP108" i="27"/>
  <c r="AP108" i="23"/>
  <c r="AP58" i="26"/>
  <c r="AL93" i="23"/>
  <c r="AL93" i="26"/>
  <c r="AL93" i="27"/>
  <c r="AC145" i="182"/>
  <c r="AD145" i="182"/>
  <c r="AP41" i="23"/>
  <c r="AP41" i="26"/>
  <c r="AP41" i="27"/>
  <c r="AR106" i="23"/>
  <c r="AP109" i="27"/>
  <c r="AN94" i="27"/>
  <c r="AN94" i="23"/>
  <c r="AN94" i="26"/>
  <c r="AL112" i="27"/>
  <c r="AL112" i="23"/>
  <c r="AL112" i="26"/>
  <c r="AP109" i="26"/>
  <c r="AL59" i="23"/>
  <c r="AL59" i="27"/>
  <c r="AL59" i="26"/>
  <c r="AD41" i="23"/>
  <c r="AD41" i="27"/>
  <c r="AD41" i="26"/>
  <c r="AN48" i="26"/>
  <c r="AC142" i="182"/>
  <c r="U142" i="182"/>
  <c r="AF68" i="27"/>
  <c r="AF68" i="26"/>
  <c r="AF68" i="23"/>
  <c r="AL98" i="26"/>
  <c r="J271" i="35"/>
  <c r="J271" i="36"/>
  <c r="AN113" i="27"/>
  <c r="C618" i="35"/>
  <c r="C625" i="35"/>
  <c r="AR58" i="27"/>
  <c r="AR58" i="26"/>
  <c r="AH95" i="23"/>
  <c r="A330" i="36"/>
  <c r="A337" i="36"/>
  <c r="AL71" i="27"/>
  <c r="AJ32" i="26"/>
  <c r="AJ32" i="23"/>
  <c r="AH95" i="26"/>
  <c r="AO98" i="26"/>
  <c r="AO98" i="27"/>
  <c r="AL53" i="23"/>
  <c r="T7" i="182"/>
  <c r="AI64" i="27"/>
  <c r="AF40" i="23"/>
  <c r="AN67" i="26"/>
  <c r="G562" i="36"/>
  <c r="AL104" i="26"/>
  <c r="AH54" i="27"/>
  <c r="L502" i="35"/>
  <c r="AH55" i="26"/>
  <c r="J127" i="35"/>
  <c r="AN53" i="27"/>
  <c r="AF51" i="26"/>
  <c r="AN53" i="26"/>
  <c r="AL115" i="26"/>
  <c r="G9" i="196"/>
  <c r="AH102" i="27"/>
  <c r="AL115" i="27"/>
  <c r="AF85" i="27"/>
  <c r="AS102" i="23"/>
  <c r="AN38" i="26"/>
  <c r="AS102" i="27"/>
  <c r="AN38" i="27"/>
  <c r="AE80" i="182"/>
  <c r="AK80" i="182"/>
  <c r="AH63" i="26"/>
  <c r="J501" i="35"/>
  <c r="AE68" i="27"/>
  <c r="AE68" i="26"/>
  <c r="J501" i="36"/>
  <c r="AI64" i="23"/>
  <c r="J127" i="36"/>
  <c r="C126" i="35"/>
  <c r="C133" i="35"/>
  <c r="C126" i="36"/>
  <c r="C133" i="36"/>
  <c r="AE43" i="26"/>
  <c r="AE43" i="23"/>
  <c r="AE43" i="27"/>
  <c r="AG104" i="27"/>
  <c r="AG104" i="26"/>
  <c r="AO74" i="26"/>
  <c r="AO74" i="27"/>
  <c r="AO74" i="23"/>
  <c r="AI39" i="27"/>
  <c r="AI39" i="23"/>
  <c r="B42" i="33"/>
  <c r="N42" i="154"/>
  <c r="A49" i="154"/>
  <c r="A57" i="154"/>
  <c r="AC76" i="27"/>
  <c r="AC76" i="26"/>
  <c r="AC76" i="23"/>
  <c r="AE83" i="26"/>
  <c r="AE83" i="23"/>
  <c r="AE83" i="27"/>
  <c r="J416" i="36"/>
  <c r="J416" i="35"/>
  <c r="AN36" i="27"/>
  <c r="U17" i="182"/>
  <c r="AG62" i="23"/>
  <c r="AG62" i="26"/>
  <c r="AG62" i="27"/>
  <c r="AI101" i="27"/>
  <c r="AI101" i="23"/>
  <c r="AI101" i="26"/>
  <c r="AM59" i="26"/>
  <c r="AM59" i="27"/>
  <c r="AM59" i="23"/>
  <c r="AM81" i="26"/>
  <c r="AM81" i="27"/>
  <c r="AM81" i="23"/>
  <c r="AQ85" i="23"/>
  <c r="AQ85" i="26"/>
  <c r="AE107" i="26"/>
  <c r="AE107" i="27"/>
  <c r="AK115" i="27"/>
  <c r="AK115" i="26"/>
  <c r="E35" i="196"/>
  <c r="M9" i="153"/>
  <c r="AD33" i="23"/>
  <c r="AS99" i="26"/>
  <c r="AN60" i="23"/>
  <c r="AL92" i="26"/>
  <c r="AI39" i="26"/>
  <c r="J11" i="35"/>
  <c r="A67" i="35"/>
  <c r="A74" i="35"/>
  <c r="A67" i="36"/>
  <c r="A74" i="36"/>
  <c r="AK48" i="23"/>
  <c r="AK48" i="27"/>
  <c r="A7" i="182"/>
  <c r="N8" i="154"/>
  <c r="A15" i="154"/>
  <c r="A23" i="154"/>
  <c r="A9" i="196"/>
  <c r="AP95" i="26"/>
  <c r="AN60" i="27"/>
  <c r="AI32" i="27"/>
  <c r="AI32" i="23"/>
  <c r="AQ70" i="23"/>
  <c r="AQ70" i="26"/>
  <c r="AQ70" i="27"/>
  <c r="AO68" i="23"/>
  <c r="AO68" i="26"/>
  <c r="AP42" i="27"/>
  <c r="AN39" i="33"/>
  <c r="AD33" i="26"/>
  <c r="AL100" i="26"/>
  <c r="AL100" i="27"/>
  <c r="C472" i="36"/>
  <c r="C479" i="36"/>
  <c r="C472" i="35"/>
  <c r="C479" i="35"/>
  <c r="AK84" i="26"/>
  <c r="AK84" i="27"/>
  <c r="AK84" i="23"/>
  <c r="AM105" i="26"/>
  <c r="AM105" i="23"/>
  <c r="AM105" i="27"/>
  <c r="AG80" i="182"/>
  <c r="I4" i="153"/>
  <c r="AG104" i="23"/>
  <c r="A5" i="37"/>
  <c r="A156" i="35"/>
  <c r="A163" i="35"/>
  <c r="A156" i="36"/>
  <c r="A163" i="36"/>
  <c r="J96" i="36"/>
  <c r="J96" i="35"/>
  <c r="AE61" i="26"/>
  <c r="AE61" i="27"/>
  <c r="AE61" i="23"/>
  <c r="AN67" i="23"/>
  <c r="K8" i="196"/>
  <c r="AM112" i="26"/>
  <c r="AM112" i="23"/>
  <c r="AM112" i="27"/>
  <c r="AC100" i="23"/>
  <c r="AC100" i="27"/>
  <c r="AO50" i="26"/>
  <c r="AO50" i="27"/>
  <c r="AO50" i="23"/>
  <c r="AP42" i="23"/>
  <c r="U49" i="182"/>
  <c r="AP98" i="27"/>
  <c r="AG80" i="23"/>
  <c r="AG80" i="26"/>
  <c r="AQ109" i="23"/>
  <c r="AQ109" i="26"/>
  <c r="AQ109" i="27"/>
  <c r="J327" i="35"/>
  <c r="J327" i="36"/>
  <c r="J299" i="36"/>
  <c r="J299" i="35"/>
  <c r="AG31" i="27"/>
  <c r="AG31" i="26"/>
  <c r="AG31" i="23"/>
  <c r="G473" i="35"/>
  <c r="G473" i="36"/>
  <c r="AO33" i="27"/>
  <c r="AO33" i="23"/>
  <c r="AO33" i="26"/>
  <c r="AO49" i="26"/>
  <c r="AO49" i="27"/>
  <c r="AO49" i="23"/>
  <c r="AM91" i="23"/>
  <c r="AM91" i="27"/>
  <c r="AM91" i="26"/>
  <c r="AQ36" i="23"/>
  <c r="AQ36" i="27"/>
  <c r="AQ36" i="26"/>
  <c r="AI55" i="26"/>
  <c r="AI55" i="23"/>
  <c r="AI55" i="27"/>
  <c r="AO43" i="27"/>
  <c r="AO43" i="23"/>
  <c r="T10" i="182"/>
  <c r="AG16" i="182"/>
  <c r="A415" i="35"/>
  <c r="A422" i="35"/>
  <c r="A415" i="36"/>
  <c r="A422" i="36"/>
  <c r="AI53" i="26"/>
  <c r="AI53" i="27"/>
  <c r="AI53" i="23"/>
  <c r="A504" i="35"/>
  <c r="A511" i="35"/>
  <c r="A504" i="36"/>
  <c r="A511" i="36"/>
  <c r="AF42" i="27"/>
  <c r="U47" i="182"/>
  <c r="AG81" i="182"/>
  <c r="AD17" i="182"/>
  <c r="L15" i="182"/>
  <c r="R15" i="182"/>
  <c r="AN34" i="26"/>
  <c r="AE46" i="182"/>
  <c r="AJ46" i="182"/>
  <c r="AE10" i="182"/>
  <c r="AE74" i="182"/>
  <c r="AD81" i="182"/>
  <c r="H75" i="154"/>
  <c r="J75" i="154"/>
  <c r="U78" i="182"/>
  <c r="AF15" i="33"/>
  <c r="U48" i="182"/>
  <c r="AG14" i="182"/>
  <c r="AJ42" i="33"/>
  <c r="AD47" i="182"/>
  <c r="AG46" i="182"/>
  <c r="B14" i="182"/>
  <c r="AD49" i="182"/>
  <c r="T71" i="182"/>
  <c r="U9" i="154"/>
  <c r="AG78" i="182"/>
  <c r="M10" i="153"/>
  <c r="P39" i="33"/>
  <c r="AN34" i="27"/>
  <c r="K9" i="196"/>
  <c r="AG110" i="182"/>
  <c r="AF42" i="23"/>
  <c r="F39" i="196"/>
  <c r="U80" i="182"/>
  <c r="U81" i="182"/>
  <c r="U15" i="182"/>
  <c r="A38" i="196"/>
  <c r="AJ91" i="27"/>
  <c r="AJ75" i="27"/>
  <c r="R8" i="196"/>
  <c r="J8" i="154"/>
  <c r="I8" i="196"/>
  <c r="AD46" i="182"/>
  <c r="N8" i="153"/>
  <c r="AH98" i="27"/>
  <c r="R39" i="196"/>
  <c r="AG47" i="182"/>
  <c r="AH98" i="26"/>
  <c r="AE16" i="182"/>
  <c r="AJ16" i="182"/>
  <c r="N49" i="182"/>
  <c r="AL55" i="23"/>
  <c r="D11" i="153"/>
  <c r="A18" i="153"/>
  <c r="A27" i="153"/>
  <c r="A42" i="154"/>
  <c r="A47" i="154"/>
  <c r="A55" i="154"/>
  <c r="AE15" i="182"/>
  <c r="AK15" i="182"/>
  <c r="O10" i="7"/>
  <c r="BT4" i="32"/>
  <c r="Z15" i="33"/>
  <c r="G8" i="196"/>
  <c r="K17" i="182"/>
  <c r="AJ91" i="26"/>
  <c r="D10" i="153"/>
  <c r="A17" i="153"/>
  <c r="A26" i="153"/>
  <c r="D8" i="153"/>
  <c r="A15" i="153"/>
  <c r="A24" i="153"/>
  <c r="Z42" i="33"/>
  <c r="L10" i="182"/>
  <c r="AL55" i="26"/>
  <c r="AE81" i="182"/>
  <c r="AJ81" i="182"/>
  <c r="S12" i="33"/>
  <c r="AH52" i="23"/>
  <c r="M11" i="153"/>
  <c r="R9" i="196"/>
  <c r="AQ42" i="33"/>
  <c r="A8" i="154"/>
  <c r="A13" i="154"/>
  <c r="A21" i="154"/>
  <c r="I8" i="154"/>
  <c r="N10" i="153"/>
  <c r="AE17" i="182"/>
  <c r="AK17" i="182"/>
  <c r="M8" i="153"/>
  <c r="L16" i="182"/>
  <c r="R16" i="182"/>
  <c r="U16" i="182"/>
  <c r="B9" i="33"/>
  <c r="AD110" i="26"/>
  <c r="AE48" i="182"/>
  <c r="AK48" i="182"/>
  <c r="AJ35" i="26"/>
  <c r="AH44" i="23"/>
  <c r="AH103" i="27"/>
  <c r="AH103" i="23"/>
  <c r="AH103" i="26"/>
  <c r="AR56" i="23"/>
  <c r="AR56" i="26"/>
  <c r="AR56" i="27"/>
  <c r="AD56" i="23"/>
  <c r="AD56" i="27"/>
  <c r="AD56" i="26"/>
  <c r="AN32" i="23"/>
  <c r="AN32" i="26"/>
  <c r="AN32" i="27"/>
  <c r="AL32" i="26"/>
  <c r="AL32" i="23"/>
  <c r="AL32" i="27"/>
  <c r="AR95" i="23"/>
  <c r="AL103" i="27"/>
  <c r="AL103" i="26"/>
  <c r="AL103" i="23"/>
  <c r="AP32" i="23"/>
  <c r="AP32" i="26"/>
  <c r="AP32" i="27"/>
  <c r="AF103" i="27"/>
  <c r="AF103" i="26"/>
  <c r="AF103" i="23"/>
  <c r="AD32" i="23"/>
  <c r="AD32" i="26"/>
  <c r="AD32" i="27"/>
  <c r="AF32" i="27"/>
  <c r="AF32" i="26"/>
  <c r="AF32" i="23"/>
  <c r="AJ50" i="23"/>
  <c r="AJ50" i="27"/>
  <c r="AJ50" i="26"/>
  <c r="AP97" i="23"/>
  <c r="AP97" i="27"/>
  <c r="AP97" i="26"/>
  <c r="AG90" i="27"/>
  <c r="AG90" i="23"/>
  <c r="AG90" i="26"/>
  <c r="AC47" i="27"/>
  <c r="AC47" i="26"/>
  <c r="AC47" i="23"/>
  <c r="Y89" i="34"/>
  <c r="V60" i="34"/>
  <c r="K15" i="84"/>
  <c r="AN7" i="84"/>
  <c r="AD74" i="27"/>
  <c r="AD74" i="23"/>
  <c r="AD74" i="26"/>
  <c r="AL76" i="26"/>
  <c r="AL76" i="27"/>
  <c r="AL76" i="23"/>
  <c r="AJ46" i="27"/>
  <c r="AJ46" i="23"/>
  <c r="AJ46" i="26"/>
  <c r="S41" i="154"/>
  <c r="G474" i="36"/>
  <c r="G474" i="35"/>
  <c r="AN89" i="27"/>
  <c r="AN89" i="26"/>
  <c r="AN89" i="23"/>
  <c r="AJ75" i="26"/>
  <c r="AJ109" i="26"/>
  <c r="AJ109" i="23"/>
  <c r="AJ109" i="27"/>
  <c r="AR64" i="27"/>
  <c r="AR64" i="26"/>
  <c r="AR64" i="23"/>
  <c r="AR89" i="26"/>
  <c r="AR89" i="27"/>
  <c r="AR89" i="23"/>
  <c r="AL64" i="26"/>
  <c r="AL64" i="27"/>
  <c r="AL64" i="23"/>
  <c r="AL81" i="27"/>
  <c r="AL81" i="23"/>
  <c r="AL81" i="26"/>
  <c r="AJ76" i="26"/>
  <c r="AJ76" i="23"/>
  <c r="AJ76" i="27"/>
  <c r="AR46" i="23"/>
  <c r="AR46" i="26"/>
  <c r="AR46" i="27"/>
  <c r="AD42" i="26"/>
  <c r="AD42" i="27"/>
  <c r="AD42" i="23"/>
  <c r="AH39" i="23"/>
  <c r="AH39" i="26"/>
  <c r="AH39" i="27"/>
  <c r="AN69" i="23"/>
  <c r="AN69" i="27"/>
  <c r="AN69" i="26"/>
  <c r="AD46" i="23"/>
  <c r="AD46" i="26"/>
  <c r="AD46" i="27"/>
  <c r="AL62" i="23"/>
  <c r="AL62" i="26"/>
  <c r="AL62" i="27"/>
  <c r="AR116" i="23"/>
  <c r="AR116" i="26"/>
  <c r="AR116" i="27"/>
  <c r="AF90" i="26"/>
  <c r="AF90" i="23"/>
  <c r="AF90" i="27"/>
  <c r="AL85" i="26"/>
  <c r="AF66" i="27"/>
  <c r="AJ40" i="26"/>
  <c r="AD98" i="23"/>
  <c r="AD110" i="27"/>
  <c r="AF37" i="27"/>
  <c r="AP117" i="26"/>
  <c r="N62" i="10"/>
  <c r="AP96" i="23"/>
  <c r="AN41" i="27"/>
  <c r="AR60" i="26"/>
  <c r="AR63" i="23"/>
  <c r="AR63" i="26"/>
  <c r="AL85" i="27"/>
  <c r="AP96" i="27"/>
  <c r="N41" i="154"/>
  <c r="A48" i="154"/>
  <c r="A56" i="154"/>
  <c r="AD39" i="26"/>
  <c r="AD39" i="23"/>
  <c r="AD39" i="27"/>
  <c r="AJ71" i="27"/>
  <c r="AJ71" i="26"/>
  <c r="AJ71" i="23"/>
  <c r="AN77" i="26"/>
  <c r="AF71" i="26"/>
  <c r="AF71" i="27"/>
  <c r="AF71" i="23"/>
  <c r="AH44" i="27"/>
  <c r="AR37" i="27"/>
  <c r="AR37" i="26"/>
  <c r="AN82" i="27"/>
  <c r="AN82" i="23"/>
  <c r="AN82" i="26"/>
  <c r="AF37" i="26"/>
  <c r="U113" i="182"/>
  <c r="AP30" i="23"/>
  <c r="AP30" i="26"/>
  <c r="AP30" i="27"/>
  <c r="AP71" i="26"/>
  <c r="AP71" i="27"/>
  <c r="AP71" i="23"/>
  <c r="AF74" i="26"/>
  <c r="AF74" i="23"/>
  <c r="AF74" i="27"/>
  <c r="AJ40" i="27"/>
  <c r="AL113" i="27"/>
  <c r="AD98" i="26"/>
  <c r="AJ88" i="26"/>
  <c r="AS99" i="27"/>
  <c r="AF104" i="23"/>
  <c r="AF109" i="23"/>
  <c r="AF109" i="27"/>
  <c r="AP39" i="23"/>
  <c r="AP39" i="26"/>
  <c r="AP39" i="27"/>
  <c r="L168" i="33"/>
  <c r="AF89" i="26"/>
  <c r="AF89" i="27"/>
  <c r="AF89" i="23"/>
  <c r="AJ45" i="26"/>
  <c r="AJ45" i="23"/>
  <c r="AJ45" i="27"/>
  <c r="AJ56" i="23"/>
  <c r="AJ56" i="26"/>
  <c r="AJ56" i="27"/>
  <c r="AR71" i="27"/>
  <c r="AR71" i="23"/>
  <c r="AR71" i="26"/>
  <c r="AR62" i="26"/>
  <c r="AR62" i="27"/>
  <c r="AR62" i="23"/>
  <c r="AJ39" i="23"/>
  <c r="AJ39" i="26"/>
  <c r="AJ39" i="27"/>
  <c r="T75" i="154"/>
  <c r="AD51" i="23"/>
  <c r="AF61" i="26"/>
  <c r="AF61" i="23"/>
  <c r="AF61" i="27"/>
  <c r="L42" i="33"/>
  <c r="AF95" i="26"/>
  <c r="O8" i="196"/>
  <c r="P9" i="196"/>
  <c r="A8" i="196"/>
  <c r="AQ12" i="33"/>
  <c r="AD113" i="182"/>
  <c r="A4" i="153"/>
  <c r="AD110" i="182"/>
  <c r="K16" i="182"/>
  <c r="I9" i="154"/>
  <c r="AD80" i="182"/>
  <c r="AD78" i="182"/>
  <c r="H15" i="33"/>
  <c r="AE106" i="182"/>
  <c r="Z9" i="33"/>
  <c r="P38" i="196"/>
  <c r="S42" i="33"/>
  <c r="AG79" i="182"/>
  <c r="AD79" i="182"/>
  <c r="S5" i="196"/>
  <c r="B12" i="33"/>
  <c r="AE14" i="182"/>
  <c r="AJ14" i="182"/>
  <c r="AE79" i="182"/>
  <c r="AJ79" i="182"/>
  <c r="B171" i="33"/>
  <c r="N9" i="153"/>
  <c r="B45" i="33"/>
  <c r="AJ12" i="33"/>
  <c r="T74" i="182"/>
  <c r="H162" i="33"/>
  <c r="H45" i="33"/>
  <c r="AD84" i="27"/>
  <c r="AN113" i="26"/>
  <c r="U46" i="182"/>
  <c r="P9" i="33"/>
  <c r="N14" i="182"/>
  <c r="U110" i="182"/>
  <c r="L14" i="182"/>
  <c r="B168" i="33"/>
  <c r="B39" i="33"/>
  <c r="N17" i="182"/>
  <c r="L17" i="182"/>
  <c r="Q17" i="182"/>
  <c r="AL36" i="23"/>
  <c r="AL92" i="23"/>
  <c r="B165" i="33"/>
  <c r="H36" i="33"/>
  <c r="U41" i="154"/>
  <c r="AG15" i="182"/>
  <c r="B49" i="182"/>
  <c r="J9" i="154"/>
  <c r="N16" i="182"/>
  <c r="P165" i="33"/>
  <c r="S9" i="154"/>
  <c r="T106" i="182"/>
  <c r="Z45" i="33"/>
  <c r="B17" i="182"/>
  <c r="U144" i="182"/>
  <c r="AE112" i="182"/>
  <c r="AK112" i="182"/>
  <c r="AE111" i="182"/>
  <c r="AJ111" i="182"/>
  <c r="K14" i="182"/>
  <c r="I4" i="154"/>
  <c r="S8" i="154"/>
  <c r="A9" i="154"/>
  <c r="A14" i="154"/>
  <c r="A22" i="154"/>
  <c r="O9" i="196"/>
  <c r="I41" i="154"/>
  <c r="V41" i="154"/>
  <c r="AR41" i="23"/>
  <c r="AR41" i="26"/>
  <c r="AD144" i="182"/>
  <c r="N15" i="182"/>
  <c r="A10" i="182"/>
  <c r="L9" i="153"/>
  <c r="AE6" i="33"/>
  <c r="AE113" i="182"/>
  <c r="AJ113" i="182"/>
  <c r="AG113" i="182"/>
  <c r="N11" i="153"/>
  <c r="L9" i="154"/>
  <c r="T103" i="182"/>
  <c r="AF45" i="33"/>
  <c r="L8" i="153"/>
  <c r="P8" i="196"/>
  <c r="U42" i="154"/>
  <c r="J42" i="154"/>
  <c r="S168" i="33"/>
  <c r="L49" i="182"/>
  <c r="Q49" i="182"/>
  <c r="Z12" i="33"/>
  <c r="T42" i="182"/>
  <c r="AE144" i="182"/>
  <c r="F9" i="196"/>
  <c r="L10" i="153"/>
  <c r="E5" i="196"/>
  <c r="N9" i="154"/>
  <c r="A16" i="154"/>
  <c r="A24" i="154"/>
  <c r="AE47" i="182"/>
  <c r="AJ47" i="182"/>
  <c r="AE78" i="182"/>
  <c r="AK78" i="182"/>
  <c r="AE42" i="182"/>
  <c r="A4" i="154"/>
  <c r="AD111" i="182"/>
  <c r="K49" i="182"/>
  <c r="AE36" i="33"/>
  <c r="B16" i="182"/>
  <c r="AD15" i="182"/>
  <c r="U14" i="182"/>
  <c r="AG144" i="182"/>
  <c r="AG48" i="182"/>
  <c r="L11" i="153"/>
  <c r="B15" i="33"/>
  <c r="S42" i="154"/>
  <c r="I5" i="153"/>
  <c r="N86" i="10"/>
  <c r="AF108" i="26"/>
  <c r="AD113" i="27"/>
  <c r="M5" i="196"/>
  <c r="B15" i="182"/>
  <c r="U8" i="154"/>
  <c r="AG111" i="182"/>
  <c r="I38" i="154"/>
  <c r="I5" i="154"/>
  <c r="V42" i="154"/>
  <c r="H6" i="33"/>
  <c r="D9" i="153"/>
  <c r="A16" i="153"/>
  <c r="A25" i="153"/>
  <c r="AD14" i="182"/>
  <c r="AG17" i="182"/>
  <c r="AN9" i="33"/>
  <c r="AF95" i="27"/>
  <c r="F8" i="196"/>
  <c r="I42" i="154"/>
  <c r="T39" i="182"/>
  <c r="V8" i="154"/>
  <c r="U111" i="182"/>
  <c r="L8" i="154"/>
  <c r="L42" i="154"/>
  <c r="K15" i="182"/>
  <c r="AD16" i="182"/>
  <c r="AD48" i="182"/>
  <c r="AE49" i="182"/>
  <c r="H171" i="33"/>
  <c r="AL71" i="26"/>
  <c r="AJ44" i="26"/>
  <c r="AN59" i="26"/>
  <c r="AP43" i="23"/>
  <c r="AH102" i="26"/>
  <c r="AJ114" i="23"/>
  <c r="AP43" i="26"/>
  <c r="AD78" i="23"/>
  <c r="AD111" i="26"/>
  <c r="AJ114" i="26"/>
  <c r="AF52" i="23"/>
  <c r="O30" i="7"/>
  <c r="BT9" i="32"/>
  <c r="AF111" i="26"/>
  <c r="AN41" i="23"/>
  <c r="AN49" i="26"/>
  <c r="AN59" i="23"/>
  <c r="AD78" i="27"/>
  <c r="AD111" i="23"/>
  <c r="N70" i="10"/>
  <c r="N74" i="154"/>
  <c r="A81" i="154"/>
  <c r="A89" i="154"/>
  <c r="S74" i="154"/>
  <c r="AJ103" i="27"/>
  <c r="AE110" i="182"/>
  <c r="AG49" i="182"/>
  <c r="U112" i="182"/>
  <c r="AH109" i="23"/>
  <c r="AH109" i="27"/>
  <c r="AH109" i="26"/>
  <c r="U79" i="182"/>
  <c r="N82" i="10"/>
  <c r="N54" i="10"/>
  <c r="AD62" i="23"/>
  <c r="AD62" i="27"/>
  <c r="AD62" i="26"/>
  <c r="AH61" i="26"/>
  <c r="AH61" i="27"/>
  <c r="AH61" i="23"/>
  <c r="AR39" i="23"/>
  <c r="AR39" i="26"/>
  <c r="AR39" i="27"/>
  <c r="AP57" i="23"/>
  <c r="AP57" i="26"/>
  <c r="AP57" i="27"/>
  <c r="AL61" i="26"/>
  <c r="AL61" i="27"/>
  <c r="AL61" i="23"/>
  <c r="AL39" i="23"/>
  <c r="AL39" i="26"/>
  <c r="AL39" i="27"/>
  <c r="O50" i="7"/>
  <c r="BT14" i="32"/>
  <c r="AJ72" i="27"/>
  <c r="AJ99" i="23"/>
  <c r="I9" i="196"/>
  <c r="Z39" i="33"/>
  <c r="AD71" i="26"/>
  <c r="AD71" i="23"/>
  <c r="AD71" i="27"/>
  <c r="AN39" i="26"/>
  <c r="AN39" i="27"/>
  <c r="AN39" i="23"/>
  <c r="AJ69" i="27"/>
  <c r="AJ69" i="23"/>
  <c r="AJ69" i="26"/>
  <c r="AJ35" i="27"/>
  <c r="L12" i="33"/>
  <c r="AN71" i="27"/>
  <c r="AN71" i="23"/>
  <c r="AN71" i="26"/>
  <c r="AJ70" i="26"/>
  <c r="V9" i="154"/>
  <c r="A37" i="154"/>
  <c r="AN77" i="23"/>
  <c r="AJ70" i="23"/>
  <c r="AC31" i="26"/>
  <c r="AN61" i="23"/>
  <c r="AN61" i="27"/>
  <c r="AN61" i="26"/>
  <c r="AH57" i="26"/>
  <c r="AH57" i="27"/>
  <c r="AH57" i="23"/>
  <c r="AN110" i="27"/>
  <c r="AN110" i="23"/>
  <c r="AP61" i="27"/>
  <c r="AP61" i="23"/>
  <c r="AP61" i="26"/>
  <c r="AR85" i="23"/>
  <c r="AL104" i="27"/>
  <c r="AG112" i="182"/>
  <c r="AJ88" i="27"/>
  <c r="AL108" i="26"/>
  <c r="L41" i="154"/>
  <c r="J41" i="154"/>
  <c r="AH108" i="23"/>
  <c r="AN43" i="27"/>
  <c r="AH94" i="26"/>
  <c r="AH94" i="23"/>
  <c r="AH94" i="27"/>
  <c r="I178" i="35"/>
  <c r="I178" i="36"/>
  <c r="AG49" i="27"/>
  <c r="AG49" i="23"/>
  <c r="AG49" i="26"/>
  <c r="AQ72" i="27"/>
  <c r="AQ72" i="23"/>
  <c r="AQ72" i="26"/>
  <c r="AR115" i="27"/>
  <c r="AR115" i="23"/>
  <c r="AR115" i="26"/>
  <c r="N50" i="10"/>
  <c r="AQ31" i="27"/>
  <c r="AQ31" i="26"/>
  <c r="AQ31" i="23"/>
  <c r="AQ38" i="27"/>
  <c r="AQ38" i="23"/>
  <c r="AQ38" i="26"/>
  <c r="AK59" i="23"/>
  <c r="AK59" i="27"/>
  <c r="AK59" i="26"/>
  <c r="AF110" i="26"/>
  <c r="AR78" i="26"/>
  <c r="AR98" i="27"/>
  <c r="AD112" i="182"/>
  <c r="U74" i="154"/>
  <c r="AJ38" i="27"/>
  <c r="AJ38" i="23"/>
  <c r="AJ38" i="26"/>
  <c r="AR6" i="85"/>
  <c r="W7" i="85"/>
  <c r="Q9" i="85"/>
  <c r="AE35" i="23"/>
  <c r="AE35" i="26"/>
  <c r="AE35" i="27"/>
  <c r="AG64" i="23"/>
  <c r="AG64" i="27"/>
  <c r="AG64" i="26"/>
  <c r="G417" i="35"/>
  <c r="G417" i="36"/>
  <c r="J530" i="36"/>
  <c r="J530" i="35"/>
  <c r="AC111" i="26"/>
  <c r="AC111" i="23"/>
  <c r="AC111" i="27"/>
  <c r="J591" i="36"/>
  <c r="J591" i="35"/>
  <c r="AJ115" i="26"/>
  <c r="AJ115" i="27"/>
  <c r="AJ115" i="23"/>
  <c r="I120" i="35"/>
  <c r="I120" i="36"/>
  <c r="G155" i="35"/>
  <c r="G155" i="36"/>
  <c r="AN7" i="85"/>
  <c r="K21" i="85"/>
  <c r="AE87" i="27"/>
  <c r="AE87" i="26"/>
  <c r="AE87" i="23"/>
  <c r="I468" i="35"/>
  <c r="I468" i="36"/>
  <c r="AO102" i="26"/>
  <c r="AO102" i="23"/>
  <c r="AO102" i="27"/>
  <c r="A533" i="36"/>
  <c r="A540" i="36"/>
  <c r="A533" i="35"/>
  <c r="A540" i="35"/>
  <c r="G9" i="35"/>
  <c r="G9" i="36"/>
  <c r="G66" i="36"/>
  <c r="AG46" i="27"/>
  <c r="AG46" i="23"/>
  <c r="AG46" i="26"/>
  <c r="AR85" i="26"/>
  <c r="N66" i="10"/>
  <c r="AF54" i="23"/>
  <c r="I37" i="154"/>
  <c r="AF80" i="27"/>
  <c r="AF80" i="23"/>
  <c r="AF80" i="26"/>
  <c r="AE53" i="23"/>
  <c r="AE53" i="27"/>
  <c r="AE53" i="26"/>
  <c r="AK74" i="23"/>
  <c r="AK74" i="26"/>
  <c r="AK74" i="27"/>
  <c r="AI91" i="23"/>
  <c r="AI91" i="26"/>
  <c r="AI91" i="27"/>
  <c r="AK98" i="26"/>
  <c r="AK98" i="27"/>
  <c r="AK98" i="23"/>
  <c r="AG115" i="27"/>
  <c r="AG115" i="26"/>
  <c r="AG115" i="23"/>
  <c r="AN115" i="23"/>
  <c r="AN115" i="26"/>
  <c r="AN115" i="27"/>
  <c r="A41" i="154"/>
  <c r="A46" i="154"/>
  <c r="A54" i="154"/>
  <c r="AF108" i="27"/>
  <c r="AF54" i="27"/>
  <c r="C327" i="36"/>
  <c r="C334" i="36"/>
  <c r="C327" i="35"/>
  <c r="C334" i="35"/>
  <c r="J356" i="35"/>
  <c r="J356" i="36"/>
  <c r="A359" i="35"/>
  <c r="A366" i="35"/>
  <c r="A359" i="36"/>
  <c r="A366" i="36"/>
  <c r="AG94" i="27"/>
  <c r="AG94" i="23"/>
  <c r="AG94" i="26"/>
  <c r="AI112" i="27"/>
  <c r="AI112" i="23"/>
  <c r="AI112" i="26"/>
  <c r="C37" i="36"/>
  <c r="C44" i="36"/>
  <c r="C37" i="35"/>
  <c r="C44" i="35"/>
  <c r="C69" i="36"/>
  <c r="C76" i="36"/>
  <c r="C69" i="35"/>
  <c r="C76" i="35"/>
  <c r="G182" i="36"/>
  <c r="G182" i="35"/>
  <c r="AL72" i="23"/>
  <c r="AN49" i="27"/>
  <c r="AL38" i="26"/>
  <c r="AL38" i="27"/>
  <c r="AL38" i="23"/>
  <c r="AN107" i="27"/>
  <c r="AN107" i="23"/>
  <c r="AN107" i="26"/>
  <c r="AE50" i="26"/>
  <c r="AE50" i="27"/>
  <c r="AE50" i="23"/>
  <c r="A126" i="35"/>
  <c r="A133" i="35"/>
  <c r="AC39" i="26"/>
  <c r="AC39" i="27"/>
  <c r="AK71" i="26"/>
  <c r="AK71" i="27"/>
  <c r="AK71" i="23"/>
  <c r="AI81" i="26"/>
  <c r="AI81" i="23"/>
  <c r="AH115" i="23"/>
  <c r="AH115" i="27"/>
  <c r="AH115" i="26"/>
  <c r="AQ54" i="23"/>
  <c r="AQ54" i="27"/>
  <c r="AQ54" i="26"/>
  <c r="G214" i="36"/>
  <c r="G214" i="35"/>
  <c r="AN43" i="23"/>
  <c r="AL113" i="26"/>
  <c r="C212" i="36"/>
  <c r="C219" i="36"/>
  <c r="C212" i="35"/>
  <c r="C219" i="35"/>
  <c r="A444" i="36"/>
  <c r="A451" i="36"/>
  <c r="A444" i="35"/>
  <c r="A451" i="35"/>
  <c r="G502" i="35"/>
  <c r="G502" i="36"/>
  <c r="AG108" i="27"/>
  <c r="AG108" i="23"/>
  <c r="AF115" i="23"/>
  <c r="AF115" i="26"/>
  <c r="AQ61" i="27"/>
  <c r="AQ61" i="26"/>
  <c r="AQ61" i="23"/>
  <c r="AF51" i="27"/>
  <c r="AP95" i="23"/>
  <c r="AF110" i="23"/>
  <c r="AN44" i="26"/>
  <c r="AC57" i="23"/>
  <c r="AC57" i="26"/>
  <c r="AC57" i="27"/>
  <c r="AO78" i="27"/>
  <c r="AO78" i="23"/>
  <c r="AO78" i="26"/>
  <c r="AM95" i="27"/>
  <c r="AM95" i="26"/>
  <c r="AM95" i="23"/>
  <c r="AQ99" i="27"/>
  <c r="AQ99" i="23"/>
  <c r="AQ99" i="26"/>
  <c r="AD115" i="26"/>
  <c r="AD115" i="27"/>
  <c r="AD115" i="23"/>
  <c r="AO36" i="23"/>
  <c r="AO36" i="27"/>
  <c r="AO36" i="26"/>
  <c r="AK41" i="27"/>
  <c r="AK41" i="23"/>
  <c r="AK41" i="26"/>
  <c r="AK57" i="23"/>
  <c r="AK57" i="26"/>
  <c r="AK57" i="27"/>
  <c r="AM68" i="23"/>
  <c r="AM68" i="27"/>
  <c r="AM68" i="26"/>
  <c r="V74" i="154"/>
  <c r="AP117" i="23"/>
  <c r="AH48" i="26"/>
  <c r="AD37" i="26"/>
  <c r="N74" i="10"/>
  <c r="AD38" i="23"/>
  <c r="AD38" i="27"/>
  <c r="AD38" i="26"/>
  <c r="AQ75" i="23"/>
  <c r="AQ75" i="26"/>
  <c r="AQ75" i="27"/>
  <c r="AG84" i="26"/>
  <c r="AG84" i="23"/>
  <c r="AG84" i="27"/>
  <c r="C416" i="35"/>
  <c r="C423" i="35"/>
  <c r="C416" i="36"/>
  <c r="C423" i="36"/>
  <c r="AC104" i="26"/>
  <c r="AC104" i="27"/>
  <c r="AC104" i="23"/>
  <c r="A590" i="35"/>
  <c r="A597" i="35"/>
  <c r="A590" i="36"/>
  <c r="A597" i="36"/>
  <c r="AM116" i="27"/>
  <c r="AM116" i="23"/>
  <c r="AM116" i="26"/>
  <c r="C185" i="35"/>
  <c r="C192" i="35"/>
  <c r="C185" i="36"/>
  <c r="C192" i="36"/>
  <c r="AO70" i="27"/>
  <c r="AO70" i="26"/>
  <c r="AO70" i="23"/>
  <c r="AG54" i="23"/>
  <c r="AG54" i="27"/>
  <c r="AG54" i="26"/>
  <c r="AE74" i="27"/>
  <c r="AE74" i="26"/>
  <c r="AE74" i="23"/>
  <c r="AC80" i="26"/>
  <c r="AC80" i="27"/>
  <c r="AC80" i="23"/>
  <c r="AE101" i="26"/>
  <c r="AE101" i="27"/>
  <c r="AE101" i="23"/>
  <c r="AO113" i="23"/>
  <c r="AO113" i="26"/>
  <c r="AO113" i="27"/>
  <c r="AQ63" i="27"/>
  <c r="AQ63" i="26"/>
  <c r="AQ63" i="23"/>
  <c r="J298" i="36"/>
  <c r="J298" i="35"/>
  <c r="AL72" i="26"/>
  <c r="AR113" i="27"/>
  <c r="AE98" i="23"/>
  <c r="AE98" i="26"/>
  <c r="AE98" i="27"/>
  <c r="C299" i="36"/>
  <c r="C306" i="36"/>
  <c r="C299" i="35"/>
  <c r="C306" i="35"/>
  <c r="G328" i="35"/>
  <c r="G328" i="36"/>
  <c r="AM85" i="27"/>
  <c r="AM85" i="23"/>
  <c r="AM85" i="26"/>
  <c r="AK88" i="26"/>
  <c r="AK88" i="23"/>
  <c r="AK88" i="27"/>
  <c r="AO92" i="26"/>
  <c r="AO92" i="23"/>
  <c r="AO92" i="27"/>
  <c r="AM109" i="27"/>
  <c r="AM109" i="26"/>
  <c r="AM109" i="23"/>
  <c r="J39" i="36"/>
  <c r="J39" i="35"/>
  <c r="AD37" i="27"/>
  <c r="AL106" i="26"/>
  <c r="AR113" i="23"/>
  <c r="AK34" i="23"/>
  <c r="AK34" i="27"/>
  <c r="AK34" i="26"/>
  <c r="AM50" i="26"/>
  <c r="AM50" i="23"/>
  <c r="AM50" i="27"/>
  <c r="G300" i="35"/>
  <c r="G300" i="36"/>
  <c r="AE77" i="27"/>
  <c r="AE77" i="23"/>
  <c r="AE77" i="26"/>
  <c r="AQ89" i="23"/>
  <c r="AQ89" i="27"/>
  <c r="AQ89" i="26"/>
  <c r="J445" i="36"/>
  <c r="J445" i="35"/>
  <c r="C501" i="36"/>
  <c r="C508" i="36"/>
  <c r="C501" i="35"/>
  <c r="C508" i="35"/>
  <c r="AM43" i="27"/>
  <c r="AM43" i="26"/>
  <c r="AM43" i="23"/>
  <c r="AQ52" i="27"/>
  <c r="AQ52" i="23"/>
  <c r="AQ52" i="26"/>
  <c r="G241" i="36"/>
  <c r="G241" i="35"/>
  <c r="AF77" i="27"/>
  <c r="AN44" i="23"/>
  <c r="AF77" i="26"/>
  <c r="O98" i="7"/>
  <c r="BT26" i="32"/>
  <c r="AF43" i="26"/>
  <c r="AF43" i="23"/>
  <c r="AF52" i="26"/>
  <c r="AL44" i="26"/>
  <c r="AH50" i="27"/>
  <c r="AJ49" i="27"/>
  <c r="AL44" i="27"/>
  <c r="AJ49" i="26"/>
  <c r="B101" i="154"/>
  <c r="H74" i="154"/>
  <c r="AR52" i="26"/>
  <c r="AL108" i="27"/>
  <c r="N90" i="10"/>
  <c r="AR52" i="27"/>
  <c r="N30" i="10"/>
  <c r="AH48" i="23"/>
  <c r="AD49" i="26"/>
  <c r="AN79" i="23"/>
  <c r="O38" i="7"/>
  <c r="BT11" i="32"/>
  <c r="AS111" i="27"/>
  <c r="AD51" i="27"/>
  <c r="AL82" i="26"/>
  <c r="AR98" i="23"/>
  <c r="AJ92" i="23"/>
  <c r="AJ87" i="26"/>
  <c r="AJ87" i="23"/>
  <c r="AJ87" i="27"/>
  <c r="AH42" i="23"/>
  <c r="AH42" i="27"/>
  <c r="AH42" i="26"/>
  <c r="AD84" i="26"/>
  <c r="L617" i="35"/>
  <c r="O46" i="7"/>
  <c r="BT13" i="32"/>
  <c r="AH36" i="23"/>
  <c r="L617" i="36"/>
  <c r="AS109" i="26"/>
  <c r="AJ44" i="23"/>
  <c r="AP49" i="26"/>
  <c r="AP49" i="23"/>
  <c r="AJ42" i="27"/>
  <c r="AJ42" i="26"/>
  <c r="AJ42" i="23"/>
  <c r="AL106" i="23"/>
  <c r="AR95" i="27"/>
  <c r="AL73" i="26"/>
  <c r="AD49" i="27"/>
  <c r="AF111" i="23"/>
  <c r="AJ92" i="27"/>
  <c r="AR60" i="23"/>
  <c r="AN79" i="27"/>
  <c r="O42" i="7"/>
  <c r="BT12" i="32"/>
  <c r="AF40" i="27"/>
  <c r="AJ72" i="26"/>
  <c r="AS111" i="23"/>
  <c r="AJ111" i="27"/>
  <c r="AN36" i="23"/>
  <c r="AJ104" i="27"/>
  <c r="AJ104" i="26"/>
  <c r="AJ111" i="23"/>
  <c r="O34" i="7"/>
  <c r="BT10" i="32"/>
  <c r="O86" i="7"/>
  <c r="BT23" i="32"/>
  <c r="N46" i="10"/>
  <c r="AD48" i="27"/>
  <c r="AD48" i="26"/>
  <c r="L618" i="36"/>
  <c r="N98" i="10"/>
  <c r="N6" i="10"/>
  <c r="AJ103" i="26"/>
  <c r="AR32" i="26"/>
  <c r="AD43" i="23"/>
  <c r="AP115" i="26"/>
  <c r="AP115" i="27"/>
  <c r="AP115" i="23"/>
  <c r="AJ37" i="27"/>
  <c r="AL82" i="27"/>
  <c r="AN90" i="26"/>
  <c r="AJ37" i="26"/>
  <c r="AN90" i="23"/>
  <c r="N58" i="10"/>
  <c r="AF92" i="23"/>
  <c r="AF92" i="27"/>
  <c r="AD43" i="26"/>
  <c r="O74" i="7"/>
  <c r="BT20" i="32"/>
  <c r="AR53" i="27"/>
  <c r="AD75" i="26"/>
  <c r="AR53" i="23"/>
  <c r="AH66" i="26"/>
  <c r="AJ41" i="23"/>
  <c r="AH50" i="23"/>
  <c r="AF73" i="26"/>
  <c r="AF73" i="23"/>
  <c r="AF73" i="27"/>
  <c r="AJ73" i="27"/>
  <c r="AJ73" i="26"/>
  <c r="AJ73" i="23"/>
  <c r="AD75" i="23"/>
  <c r="AH73" i="23"/>
  <c r="AH73" i="26"/>
  <c r="AH73" i="27"/>
  <c r="N78" i="10"/>
  <c r="AR73" i="26"/>
  <c r="AR73" i="27"/>
  <c r="AR73" i="23"/>
  <c r="AJ47" i="23"/>
  <c r="AJ47" i="26"/>
  <c r="AJ47" i="27"/>
  <c r="AH63" i="27"/>
  <c r="AL36" i="27"/>
  <c r="AJ41" i="26"/>
  <c r="AL30" i="26"/>
  <c r="AL30" i="23"/>
  <c r="AN73" i="27"/>
  <c r="AN73" i="23"/>
  <c r="AN73" i="26"/>
  <c r="AD68" i="27"/>
  <c r="AD68" i="26"/>
  <c r="AR44" i="23"/>
  <c r="AN58" i="23"/>
  <c r="AN58" i="26"/>
  <c r="O38" i="196"/>
  <c r="AR33" i="26"/>
  <c r="AS109" i="23"/>
  <c r="AN58" i="27"/>
  <c r="AP68" i="26"/>
  <c r="AP68" i="27"/>
  <c r="AP68" i="23"/>
  <c r="AF44" i="26"/>
  <c r="AF44" i="23"/>
  <c r="AF44" i="27"/>
  <c r="AR33" i="27"/>
  <c r="N94" i="10"/>
  <c r="AP81" i="27"/>
  <c r="AP81" i="23"/>
  <c r="AP81" i="26"/>
  <c r="O90" i="7"/>
  <c r="BT24" i="32"/>
  <c r="AJ99" i="27"/>
  <c r="AJ93" i="23"/>
  <c r="AJ93" i="26"/>
  <c r="AJ93" i="27"/>
  <c r="AL68" i="26"/>
  <c r="AL68" i="23"/>
  <c r="AL68" i="27"/>
  <c r="AR38" i="23"/>
  <c r="AR38" i="26"/>
  <c r="AH38" i="23"/>
  <c r="AH38" i="27"/>
  <c r="AH38" i="26"/>
  <c r="AJ82" i="23"/>
  <c r="AJ82" i="26"/>
  <c r="AJ82" i="27"/>
  <c r="AH117" i="26"/>
  <c r="AH117" i="23"/>
  <c r="AD50" i="26"/>
  <c r="AD50" i="27"/>
  <c r="AR45" i="27"/>
  <c r="AR45" i="26"/>
  <c r="AR45" i="23"/>
  <c r="AH70" i="23"/>
  <c r="AH70" i="26"/>
  <c r="AH70" i="27"/>
  <c r="AN50" i="23"/>
  <c r="AN50" i="27"/>
  <c r="AF38" i="23"/>
  <c r="AF38" i="26"/>
  <c r="AF38" i="27"/>
  <c r="AD82" i="27"/>
  <c r="AD82" i="23"/>
  <c r="AD82" i="26"/>
  <c r="AR94" i="26"/>
  <c r="AR94" i="27"/>
  <c r="AR94" i="23"/>
  <c r="AF94" i="23"/>
  <c r="AF94" i="27"/>
  <c r="AF94" i="26"/>
  <c r="AP45" i="27"/>
  <c r="AP45" i="23"/>
  <c r="AP45" i="26"/>
  <c r="AR30" i="27"/>
  <c r="AR30" i="23"/>
  <c r="AR30" i="26"/>
  <c r="AR69" i="26"/>
  <c r="AR69" i="23"/>
  <c r="AR69" i="27"/>
  <c r="AP94" i="23"/>
  <c r="AP94" i="27"/>
  <c r="AP94" i="26"/>
  <c r="AH60" i="26"/>
  <c r="AH60" i="23"/>
  <c r="AD30" i="27"/>
  <c r="AD30" i="23"/>
  <c r="AD30" i="26"/>
  <c r="AH45" i="23"/>
  <c r="AH45" i="27"/>
  <c r="AN30" i="23"/>
  <c r="AN30" i="27"/>
  <c r="AF30" i="26"/>
  <c r="AF30" i="27"/>
  <c r="O62" i="7"/>
  <c r="BT17" i="32"/>
  <c r="O54" i="7"/>
  <c r="BT15" i="32"/>
  <c r="AH66" i="27"/>
  <c r="AJ66" i="26"/>
  <c r="AJ66" i="23"/>
  <c r="AJ66" i="27"/>
  <c r="AH37" i="23"/>
  <c r="AH37" i="26"/>
  <c r="AH37" i="27"/>
  <c r="AP107" i="26"/>
  <c r="AP107" i="23"/>
  <c r="AP107" i="27"/>
  <c r="AL111" i="26"/>
  <c r="AL111" i="27"/>
  <c r="AP70" i="27"/>
  <c r="AP70" i="23"/>
  <c r="AP70" i="26"/>
  <c r="AR57" i="26"/>
  <c r="AR57" i="27"/>
  <c r="AR57" i="23"/>
  <c r="AN99" i="27"/>
  <c r="AN99" i="26"/>
  <c r="AN99" i="23"/>
  <c r="AR82" i="26"/>
  <c r="AR82" i="23"/>
  <c r="AD60" i="27"/>
  <c r="AD60" i="23"/>
  <c r="AD60" i="26"/>
  <c r="AP74" i="27"/>
  <c r="AP74" i="23"/>
  <c r="AP74" i="26"/>
  <c r="AJ61" i="23"/>
  <c r="AJ61" i="26"/>
  <c r="AN57" i="23"/>
  <c r="AN57" i="27"/>
  <c r="AN57" i="26"/>
  <c r="AN111" i="23"/>
  <c r="AN111" i="27"/>
  <c r="AN111" i="26"/>
  <c r="AJ110" i="27"/>
  <c r="AJ110" i="23"/>
  <c r="AJ110" i="26"/>
  <c r="N38" i="10"/>
  <c r="AP66" i="26"/>
  <c r="AP66" i="23"/>
  <c r="AP66" i="27"/>
  <c r="AD73" i="23"/>
  <c r="AD73" i="27"/>
  <c r="AD73" i="26"/>
  <c r="AD70" i="23"/>
  <c r="AD70" i="26"/>
  <c r="AD70" i="27"/>
  <c r="AR36" i="23"/>
  <c r="AR36" i="26"/>
  <c r="AR36" i="27"/>
  <c r="AH76" i="23"/>
  <c r="AH76" i="26"/>
  <c r="AH76" i="27"/>
  <c r="AJ85" i="27"/>
  <c r="AJ85" i="23"/>
  <c r="AJ85" i="26"/>
  <c r="AD58" i="26"/>
  <c r="AD58" i="23"/>
  <c r="AL70" i="23"/>
  <c r="AL70" i="26"/>
  <c r="AL70" i="27"/>
  <c r="AL60" i="26"/>
  <c r="AL60" i="23"/>
  <c r="AR76" i="23"/>
  <c r="AR76" i="26"/>
  <c r="AR76" i="27"/>
  <c r="AF66" i="26"/>
  <c r="AL117" i="26"/>
  <c r="AL117" i="23"/>
  <c r="AL117" i="27"/>
  <c r="AR66" i="27"/>
  <c r="AR66" i="23"/>
  <c r="AR66" i="26"/>
  <c r="AJ63" i="26"/>
  <c r="AJ63" i="23"/>
  <c r="AJ63" i="27"/>
  <c r="AN93" i="26"/>
  <c r="AN93" i="23"/>
  <c r="AN93" i="27"/>
  <c r="AN98" i="23"/>
  <c r="AN98" i="27"/>
  <c r="AF76" i="26"/>
  <c r="AF76" i="27"/>
  <c r="AF76" i="23"/>
  <c r="AF58" i="23"/>
  <c r="AF58" i="27"/>
  <c r="AF58" i="26"/>
  <c r="AF60" i="27"/>
  <c r="AF60" i="26"/>
  <c r="AF60" i="23"/>
  <c r="AP105" i="26"/>
  <c r="AP105" i="27"/>
  <c r="AN76" i="27"/>
  <c r="AN76" i="26"/>
  <c r="AN76" i="23"/>
  <c r="AH82" i="26"/>
  <c r="AH82" i="27"/>
  <c r="AH82" i="23"/>
  <c r="AF46" i="27"/>
  <c r="AF46" i="26"/>
  <c r="AF46" i="23"/>
  <c r="AF36" i="27"/>
  <c r="AF36" i="26"/>
  <c r="AF36" i="23"/>
  <c r="AF82" i="23"/>
  <c r="AF82" i="27"/>
  <c r="AF82" i="26"/>
  <c r="AN92" i="23"/>
  <c r="AN92" i="26"/>
  <c r="AN92" i="27"/>
  <c r="AH93" i="26"/>
  <c r="AH93" i="27"/>
  <c r="AH93" i="23"/>
  <c r="AN42" i="26"/>
  <c r="AN42" i="27"/>
  <c r="AN42" i="23"/>
  <c r="AP82" i="23"/>
  <c r="AP82" i="27"/>
  <c r="AP82" i="26"/>
  <c r="AP92" i="23"/>
  <c r="AP92" i="26"/>
  <c r="AH58" i="23"/>
  <c r="AH58" i="27"/>
  <c r="AH58" i="26"/>
  <c r="AJ108" i="26"/>
  <c r="AJ108" i="23"/>
  <c r="AH105" i="23"/>
  <c r="AH105" i="27"/>
  <c r="AH105" i="26"/>
  <c r="AD92" i="27"/>
  <c r="AD92" i="23"/>
  <c r="AD92" i="26"/>
  <c r="AD117" i="26"/>
  <c r="AD117" i="23"/>
  <c r="AL74" i="23"/>
  <c r="AL74" i="27"/>
  <c r="AL74" i="26"/>
  <c r="AN104" i="23"/>
  <c r="AN104" i="27"/>
  <c r="AN109" i="27"/>
  <c r="AN109" i="23"/>
  <c r="AN109" i="26"/>
  <c r="AR91" i="27"/>
  <c r="AR91" i="23"/>
  <c r="AR91" i="26"/>
  <c r="AH34" i="23"/>
  <c r="AH34" i="26"/>
  <c r="AL56" i="27"/>
  <c r="AL56" i="26"/>
  <c r="AL56" i="23"/>
  <c r="AH62" i="27"/>
  <c r="AH62" i="26"/>
  <c r="AH62" i="23"/>
  <c r="AD107" i="23"/>
  <c r="AD107" i="26"/>
  <c r="AD107" i="27"/>
  <c r="AJ98" i="27"/>
  <c r="AJ98" i="23"/>
  <c r="AL109" i="26"/>
  <c r="AL109" i="23"/>
  <c r="AL109" i="27"/>
  <c r="AL86" i="27"/>
  <c r="AL86" i="26"/>
  <c r="AL86" i="23"/>
  <c r="AN46" i="23"/>
  <c r="AN46" i="26"/>
  <c r="AN46" i="27"/>
  <c r="AH107" i="23"/>
  <c r="AH107" i="27"/>
  <c r="AH107" i="26"/>
  <c r="N26" i="10"/>
  <c r="AJ113" i="23"/>
  <c r="AJ113" i="27"/>
  <c r="AJ113" i="26"/>
  <c r="AN65" i="27"/>
  <c r="AN65" i="23"/>
  <c r="AP91" i="23"/>
  <c r="AP91" i="26"/>
  <c r="AP91" i="27"/>
  <c r="AH78" i="27"/>
  <c r="AH78" i="23"/>
  <c r="AH46" i="23"/>
  <c r="AH46" i="27"/>
  <c r="AH46" i="26"/>
  <c r="AR80" i="26"/>
  <c r="AR80" i="27"/>
  <c r="AR80" i="23"/>
  <c r="N18" i="10"/>
  <c r="AJ48" i="23"/>
  <c r="AJ48" i="27"/>
  <c r="AJ48" i="26"/>
  <c r="AD94" i="27"/>
  <c r="AD94" i="23"/>
  <c r="AF98" i="23"/>
  <c r="AF98" i="26"/>
  <c r="AF91" i="27"/>
  <c r="AF91" i="26"/>
  <c r="AF91" i="23"/>
  <c r="AJ65" i="23"/>
  <c r="AJ65" i="26"/>
  <c r="AJ65" i="27"/>
  <c r="AD69" i="26"/>
  <c r="AD69" i="27"/>
  <c r="AD69" i="23"/>
  <c r="L501" i="35"/>
  <c r="AJ64" i="23"/>
  <c r="AJ64" i="27"/>
  <c r="AL107" i="27"/>
  <c r="AL107" i="26"/>
  <c r="AL107" i="23"/>
  <c r="AP44" i="23"/>
  <c r="AP44" i="27"/>
  <c r="AP44" i="26"/>
  <c r="AH113" i="27"/>
  <c r="AH113" i="26"/>
  <c r="AH113" i="23"/>
  <c r="AH86" i="26"/>
  <c r="AH86" i="23"/>
  <c r="AH86" i="27"/>
  <c r="AH111" i="23"/>
  <c r="AH111" i="26"/>
  <c r="AP36" i="26"/>
  <c r="AP36" i="23"/>
  <c r="AP36" i="27"/>
  <c r="AF86" i="23"/>
  <c r="AF86" i="27"/>
  <c r="AF86" i="26"/>
  <c r="AF69" i="27"/>
  <c r="AF69" i="23"/>
  <c r="AF69" i="26"/>
  <c r="AR75" i="27"/>
  <c r="AR75" i="26"/>
  <c r="AR103" i="27"/>
  <c r="AR103" i="23"/>
  <c r="AN91" i="27"/>
  <c r="AN91" i="26"/>
  <c r="AL37" i="23"/>
  <c r="AL37" i="26"/>
  <c r="AL37" i="27"/>
  <c r="AD86" i="23"/>
  <c r="AD86" i="27"/>
  <c r="AD86" i="26"/>
  <c r="AF88" i="23"/>
  <c r="AF88" i="27"/>
  <c r="AF88" i="26"/>
  <c r="AH64" i="23"/>
  <c r="AH64" i="27"/>
  <c r="AH64" i="26"/>
  <c r="AH91" i="27"/>
  <c r="AH91" i="26"/>
  <c r="N34" i="10"/>
  <c r="O78" i="7"/>
  <c r="BT21" i="32"/>
  <c r="AR49" i="26"/>
  <c r="AR49" i="27"/>
  <c r="AP113" i="23"/>
  <c r="AP113" i="27"/>
  <c r="AP113" i="26"/>
  <c r="AP47" i="23"/>
  <c r="AP47" i="26"/>
  <c r="AP47" i="27"/>
  <c r="AN103" i="27"/>
  <c r="AN103" i="26"/>
  <c r="AN103" i="23"/>
  <c r="AL54" i="23"/>
  <c r="AL54" i="26"/>
  <c r="AL54" i="27"/>
  <c r="AJ55" i="26"/>
  <c r="AJ55" i="27"/>
  <c r="AJ55" i="23"/>
  <c r="AN54" i="23"/>
  <c r="AN54" i="27"/>
  <c r="AF47" i="23"/>
  <c r="AF47" i="27"/>
  <c r="AF47" i="26"/>
  <c r="AF53" i="27"/>
  <c r="AF53" i="23"/>
  <c r="AF53" i="26"/>
  <c r="AL80" i="23"/>
  <c r="AL80" i="27"/>
  <c r="AL80" i="26"/>
  <c r="AN35" i="26"/>
  <c r="AN35" i="27"/>
  <c r="AN35" i="23"/>
  <c r="AR107" i="26"/>
  <c r="AR107" i="23"/>
  <c r="AR107" i="27"/>
  <c r="AF107" i="26"/>
  <c r="AF107" i="23"/>
  <c r="AF107" i="27"/>
  <c r="AH83" i="23"/>
  <c r="AH83" i="27"/>
  <c r="AR51" i="27"/>
  <c r="AR51" i="26"/>
  <c r="AR51" i="23"/>
  <c r="AF34" i="26"/>
  <c r="AF34" i="23"/>
  <c r="AF34" i="27"/>
  <c r="AN80" i="27"/>
  <c r="AN80" i="23"/>
  <c r="AN80" i="26"/>
  <c r="AP54" i="23"/>
  <c r="AP54" i="26"/>
  <c r="AP54" i="27"/>
  <c r="AR48" i="27"/>
  <c r="AR48" i="26"/>
  <c r="AR48" i="23"/>
  <c r="AD53" i="26"/>
  <c r="AY3" i="22"/>
  <c r="AN51" i="26"/>
  <c r="AN51" i="23"/>
  <c r="AN51" i="27"/>
  <c r="AR34" i="27"/>
  <c r="AR34" i="26"/>
  <c r="AR34" i="23"/>
  <c r="AL75" i="23"/>
  <c r="AL75" i="26"/>
  <c r="AL75" i="27"/>
  <c r="AJ34" i="27"/>
  <c r="AJ34" i="23"/>
  <c r="AJ34" i="26"/>
  <c r="AP53" i="26"/>
  <c r="AP53" i="27"/>
  <c r="AP53" i="23"/>
  <c r="AL34" i="27"/>
  <c r="AL34" i="26"/>
  <c r="AL34" i="23"/>
  <c r="AF56" i="26"/>
  <c r="AF56" i="23"/>
  <c r="AF56" i="27"/>
  <c r="AH65" i="23"/>
  <c r="AH65" i="27"/>
  <c r="AH65" i="26"/>
  <c r="AJ62" i="27"/>
  <c r="AJ62" i="23"/>
  <c r="AJ62" i="26"/>
  <c r="AL46" i="26"/>
  <c r="AL46" i="27"/>
  <c r="AL46" i="23"/>
  <c r="AD80" i="23"/>
  <c r="AD80" i="27"/>
  <c r="AD80" i="26"/>
  <c r="O22" i="7"/>
  <c r="BT7" i="32"/>
  <c r="O18" i="7"/>
  <c r="BT6" i="32"/>
  <c r="AD105" i="23"/>
  <c r="AD105" i="27"/>
  <c r="AD105" i="26"/>
  <c r="AJ90" i="23"/>
  <c r="AJ90" i="27"/>
  <c r="AJ90" i="26"/>
  <c r="AF72" i="27"/>
  <c r="AF72" i="23"/>
  <c r="AF72" i="26"/>
  <c r="AR100" i="23"/>
  <c r="AR100" i="27"/>
  <c r="AR100" i="26"/>
  <c r="AH106" i="23"/>
  <c r="AH106" i="26"/>
  <c r="AH106" i="27"/>
  <c r="AH90" i="23"/>
  <c r="AH90" i="27"/>
  <c r="AH90" i="26"/>
  <c r="AD95" i="26"/>
  <c r="AD95" i="23"/>
  <c r="AD95" i="27"/>
  <c r="N42" i="10"/>
  <c r="AJ100" i="23"/>
  <c r="AJ100" i="27"/>
  <c r="AJ100" i="26"/>
  <c r="AR114" i="27"/>
  <c r="AR114" i="26"/>
  <c r="AR114" i="23"/>
  <c r="AD106" i="27"/>
  <c r="AD106" i="23"/>
  <c r="AD106" i="26"/>
  <c r="AF105" i="27"/>
  <c r="AF105" i="23"/>
  <c r="AF105" i="26"/>
  <c r="O14" i="7"/>
  <c r="BT5" i="32"/>
  <c r="AF84" i="23"/>
  <c r="AF84" i="27"/>
  <c r="AF84" i="26"/>
  <c r="AN114" i="26"/>
  <c r="AN114" i="27"/>
  <c r="AJ105" i="27"/>
  <c r="AJ105" i="23"/>
  <c r="AP64" i="26"/>
  <c r="AP64" i="23"/>
  <c r="AP64" i="27"/>
  <c r="AH99" i="27"/>
  <c r="AH99" i="23"/>
  <c r="AH99" i="26"/>
  <c r="AF75" i="27"/>
  <c r="AF75" i="23"/>
  <c r="AP114" i="27"/>
  <c r="AP114" i="26"/>
  <c r="AP114" i="23"/>
  <c r="AN64" i="23"/>
  <c r="AN64" i="26"/>
  <c r="AN64" i="27"/>
  <c r="O82" i="7"/>
  <c r="BT22" i="32"/>
  <c r="O58" i="7"/>
  <c r="BT16" i="32"/>
  <c r="AR96" i="27"/>
  <c r="AR96" i="23"/>
  <c r="AR96" i="26"/>
  <c r="AH67" i="26"/>
  <c r="AH67" i="23"/>
  <c r="AL90" i="27"/>
  <c r="AL90" i="23"/>
  <c r="L503" i="36"/>
  <c r="L503" i="35"/>
  <c r="N22" i="10"/>
  <c r="P77" i="71"/>
  <c r="AJ67" i="26"/>
  <c r="AJ67" i="27"/>
  <c r="AF114" i="26"/>
  <c r="AF114" i="27"/>
  <c r="AF114" i="23"/>
  <c r="AF116" i="27"/>
  <c r="AF116" i="26"/>
  <c r="AF116" i="23"/>
  <c r="AP80" i="23"/>
  <c r="AP80" i="26"/>
  <c r="AP80" i="27"/>
  <c r="L589" i="35"/>
  <c r="L589" i="36"/>
  <c r="AN75" i="26"/>
  <c r="AN75" i="23"/>
  <c r="AN75" i="27"/>
  <c r="AR67" i="23"/>
  <c r="AR67" i="27"/>
  <c r="AL114" i="27"/>
  <c r="AL114" i="23"/>
  <c r="AL114" i="26"/>
  <c r="AD116" i="23"/>
  <c r="AD116" i="27"/>
  <c r="AD116" i="26"/>
  <c r="AJ80" i="23"/>
  <c r="AJ80" i="27"/>
  <c r="AJ80" i="26"/>
  <c r="AJ95" i="23"/>
  <c r="AJ95" i="26"/>
  <c r="AJ95" i="27"/>
  <c r="AH114" i="23"/>
  <c r="AH114" i="27"/>
  <c r="AH114" i="26"/>
  <c r="AP116" i="23"/>
  <c r="AP116" i="27"/>
  <c r="AP116" i="26"/>
  <c r="AF99" i="26"/>
  <c r="AF99" i="23"/>
  <c r="AP100" i="27"/>
  <c r="AP100" i="23"/>
  <c r="AP100" i="26"/>
  <c r="AN87" i="27"/>
  <c r="AN87" i="23"/>
  <c r="AN87" i="26"/>
  <c r="AF100" i="26"/>
  <c r="AF100" i="27"/>
  <c r="AF100" i="23"/>
  <c r="AN116" i="27"/>
  <c r="AN116" i="23"/>
  <c r="AN116" i="26"/>
  <c r="AR90" i="27"/>
  <c r="AR90" i="23"/>
  <c r="AR90" i="26"/>
  <c r="O66" i="7"/>
  <c r="BT18" i="32"/>
  <c r="AJ33" i="23"/>
  <c r="AJ33" i="27"/>
  <c r="AL102" i="23"/>
  <c r="AL102" i="27"/>
  <c r="AD57" i="26"/>
  <c r="AD57" i="27"/>
  <c r="AD57" i="23"/>
  <c r="AF112" i="27"/>
  <c r="AF112" i="26"/>
  <c r="AF112" i="23"/>
  <c r="AP72" i="23"/>
  <c r="AP72" i="27"/>
  <c r="AP72" i="26"/>
  <c r="AR74" i="26"/>
  <c r="AR74" i="27"/>
  <c r="AR74" i="23"/>
  <c r="AL78" i="27"/>
  <c r="AL78" i="26"/>
  <c r="AL78" i="23"/>
  <c r="AD59" i="23"/>
  <c r="AD59" i="27"/>
  <c r="AD59" i="26"/>
  <c r="AN52" i="23"/>
  <c r="AE8" i="27"/>
  <c r="AE9" i="23"/>
  <c r="AE7" i="26"/>
  <c r="AE7" i="23"/>
  <c r="AE10" i="26"/>
  <c r="AE10" i="23"/>
  <c r="AE7" i="27"/>
  <c r="AE8" i="23"/>
  <c r="AE8" i="26"/>
  <c r="AE9" i="27"/>
  <c r="AN52" i="27"/>
  <c r="AE9" i="26"/>
  <c r="AN52" i="26"/>
  <c r="AY7" i="22"/>
  <c r="AE10" i="27"/>
  <c r="AR31" i="27"/>
  <c r="AR31" i="23"/>
  <c r="AR31" i="26"/>
  <c r="AL77" i="27"/>
  <c r="AL77" i="26"/>
  <c r="AL77" i="23"/>
  <c r="E68" i="196"/>
  <c r="C92" i="196"/>
  <c r="E69" i="196"/>
  <c r="N69" i="196"/>
  <c r="N68" i="196"/>
  <c r="AS101" i="23"/>
  <c r="AS101" i="26"/>
  <c r="AS101" i="27"/>
  <c r="AP102" i="26"/>
  <c r="AP102" i="27"/>
  <c r="AN86" i="26"/>
  <c r="AN86" i="23"/>
  <c r="AN86" i="27"/>
  <c r="AH85" i="23"/>
  <c r="AH85" i="26"/>
  <c r="AH85" i="27"/>
  <c r="AF62" i="26"/>
  <c r="AF62" i="27"/>
  <c r="AF62" i="23"/>
  <c r="AP33" i="26"/>
  <c r="AP33" i="27"/>
  <c r="AP33" i="23"/>
  <c r="AR101" i="27"/>
  <c r="AR101" i="23"/>
  <c r="AR101" i="26"/>
  <c r="AR93" i="26"/>
  <c r="AR93" i="23"/>
  <c r="AR93" i="27"/>
  <c r="AH49" i="27"/>
  <c r="AH49" i="26"/>
  <c r="AH49" i="23"/>
  <c r="AN84" i="23"/>
  <c r="AN84" i="26"/>
  <c r="AN84" i="27"/>
  <c r="AP69" i="23"/>
  <c r="AP69" i="26"/>
  <c r="AP69" i="27"/>
  <c r="AN31" i="26"/>
  <c r="AN31" i="27"/>
  <c r="AN31" i="23"/>
  <c r="R38" i="196"/>
  <c r="K38" i="196"/>
  <c r="N10" i="10"/>
  <c r="O26" i="7"/>
  <c r="BT8" i="32"/>
  <c r="AD99" i="26"/>
  <c r="AD99" i="27"/>
  <c r="AD99" i="23"/>
  <c r="AJ86" i="27"/>
  <c r="AJ86" i="26"/>
  <c r="AJ86" i="23"/>
  <c r="AR47" i="26"/>
  <c r="AR47" i="27"/>
  <c r="AR47" i="23"/>
  <c r="AP88" i="27"/>
  <c r="AP88" i="23"/>
  <c r="AP88" i="26"/>
  <c r="AN106" i="27"/>
  <c r="AN106" i="23"/>
  <c r="AN106" i="26"/>
  <c r="AN33" i="23"/>
  <c r="AN33" i="27"/>
  <c r="AN33" i="26"/>
  <c r="AP93" i="27"/>
  <c r="AP93" i="23"/>
  <c r="AP93" i="26"/>
  <c r="AJ96" i="23"/>
  <c r="AJ96" i="27"/>
  <c r="AJ96" i="26"/>
  <c r="AH72" i="27"/>
  <c r="AH72" i="23"/>
  <c r="AH72" i="26"/>
  <c r="AR97" i="23"/>
  <c r="AR97" i="27"/>
  <c r="AR97" i="26"/>
  <c r="AD77" i="23"/>
  <c r="AD77" i="27"/>
  <c r="AD77" i="26"/>
  <c r="A39" i="196"/>
  <c r="G39" i="196"/>
  <c r="I39" i="196"/>
  <c r="AS103" i="23"/>
  <c r="AS103" i="27"/>
  <c r="AS103" i="26"/>
  <c r="AR99" i="26"/>
  <c r="AR99" i="27"/>
  <c r="AR99" i="23"/>
  <c r="AH88" i="23"/>
  <c r="AH88" i="27"/>
  <c r="AH88" i="26"/>
  <c r="AR86" i="26"/>
  <c r="AR86" i="27"/>
  <c r="AR86" i="23"/>
  <c r="AH59" i="23"/>
  <c r="AH59" i="27"/>
  <c r="AH59" i="26"/>
  <c r="AD109" i="26"/>
  <c r="AD109" i="27"/>
  <c r="AD109" i="23"/>
  <c r="AN101" i="23"/>
  <c r="AN101" i="27"/>
  <c r="AN101" i="26"/>
  <c r="AH77" i="23"/>
  <c r="AH77" i="26"/>
  <c r="AH77" i="27"/>
  <c r="O39" i="196"/>
  <c r="P39" i="196"/>
  <c r="K39" i="196"/>
  <c r="AP84" i="27"/>
  <c r="AP84" i="26"/>
  <c r="AP84" i="23"/>
  <c r="AH84" i="26"/>
  <c r="AH84" i="23"/>
  <c r="AP106" i="27"/>
  <c r="AP106" i="23"/>
  <c r="AP106" i="26"/>
  <c r="AL66" i="23"/>
  <c r="AL66" i="26"/>
  <c r="AL66" i="27"/>
  <c r="AR88" i="26"/>
  <c r="AR88" i="27"/>
  <c r="AP31" i="26"/>
  <c r="AP31" i="23"/>
  <c r="AP31" i="27"/>
  <c r="AF63" i="23"/>
  <c r="AF63" i="26"/>
  <c r="AF63" i="27"/>
  <c r="AD85" i="26"/>
  <c r="AD85" i="23"/>
  <c r="AD85" i="27"/>
  <c r="AN72" i="27"/>
  <c r="AN72" i="26"/>
  <c r="AN72" i="23"/>
  <c r="AR83" i="23"/>
  <c r="AR83" i="27"/>
  <c r="AR83" i="26"/>
  <c r="AN40" i="26"/>
  <c r="AN40" i="23"/>
  <c r="AN40" i="27"/>
  <c r="AL63" i="23"/>
  <c r="AL63" i="27"/>
  <c r="AL63" i="26"/>
  <c r="AH35" i="23"/>
  <c r="AH35" i="26"/>
  <c r="AH35" i="27"/>
  <c r="AD40" i="23"/>
  <c r="AD40" i="26"/>
  <c r="AD40" i="27"/>
  <c r="AR111" i="23"/>
  <c r="AR111" i="27"/>
  <c r="AR111" i="26"/>
  <c r="AD31" i="26"/>
  <c r="AD31" i="23"/>
  <c r="AD31" i="27"/>
  <c r="AV9" i="221"/>
  <c r="AH79" i="23"/>
  <c r="AH79" i="27"/>
  <c r="AH79" i="26"/>
  <c r="AP40" i="26"/>
  <c r="AP40" i="27"/>
  <c r="AP40" i="23"/>
  <c r="AJ112" i="23"/>
  <c r="AJ112" i="26"/>
  <c r="AJ112" i="27"/>
  <c r="AN88" i="26"/>
  <c r="AN88" i="27"/>
  <c r="AN88" i="23"/>
  <c r="AD101" i="26"/>
  <c r="AD101" i="23"/>
  <c r="AD101" i="27"/>
  <c r="AJ84" i="27"/>
  <c r="AJ84" i="26"/>
  <c r="AJ84" i="23"/>
  <c r="AS104" i="27"/>
  <c r="AS104" i="23"/>
  <c r="N14" i="10"/>
  <c r="O94" i="7"/>
  <c r="BT25" i="32"/>
  <c r="AF106" i="27"/>
  <c r="AF106" i="26"/>
  <c r="AF106" i="23"/>
  <c r="AH69" i="23"/>
  <c r="AH69" i="27"/>
  <c r="AH69" i="26"/>
  <c r="AD88" i="26"/>
  <c r="AD88" i="23"/>
  <c r="AD88" i="27"/>
  <c r="AJ83" i="27"/>
  <c r="AJ83" i="26"/>
  <c r="AJ83" i="23"/>
  <c r="AR109" i="26"/>
  <c r="AR109" i="23"/>
  <c r="AR109" i="27"/>
  <c r="AL110" i="26"/>
  <c r="AL110" i="27"/>
  <c r="AL110" i="23"/>
  <c r="AJ106" i="23"/>
  <c r="AJ106" i="26"/>
  <c r="AJ106" i="27"/>
  <c r="AH53" i="27"/>
  <c r="AH53" i="23"/>
  <c r="AH53" i="26"/>
  <c r="AP59" i="27"/>
  <c r="AP59" i="26"/>
  <c r="AP59" i="23"/>
  <c r="AF31" i="27"/>
  <c r="AF31" i="26"/>
  <c r="AF31" i="23"/>
  <c r="U8" i="84"/>
  <c r="AP35" i="23"/>
  <c r="AP35" i="27"/>
  <c r="AP35" i="26"/>
  <c r="AH110" i="23"/>
  <c r="AH110" i="26"/>
  <c r="AH110" i="27"/>
  <c r="AL88" i="23"/>
  <c r="AL88" i="26"/>
  <c r="AL88" i="27"/>
  <c r="AL79" i="26"/>
  <c r="AL79" i="23"/>
  <c r="AL79" i="27"/>
  <c r="AD72" i="27"/>
  <c r="AD72" i="23"/>
  <c r="AD72" i="26"/>
  <c r="AP75" i="23"/>
  <c r="AP75" i="26"/>
  <c r="AP99" i="27"/>
  <c r="AP99" i="26"/>
  <c r="AP99" i="23"/>
  <c r="AH52" i="26"/>
  <c r="AB7" i="23"/>
  <c r="AB7" i="27"/>
  <c r="AB8" i="23"/>
  <c r="AB10" i="23"/>
  <c r="AB9" i="27"/>
  <c r="AB9" i="26"/>
  <c r="AB10" i="27"/>
  <c r="AB7" i="26"/>
  <c r="AB8" i="26"/>
  <c r="AB8" i="27"/>
  <c r="AB10" i="26"/>
  <c r="AY4" i="22"/>
  <c r="AB9" i="23"/>
  <c r="AL31" i="27"/>
  <c r="AL31" i="26"/>
  <c r="AL31" i="23"/>
  <c r="AP77" i="27"/>
  <c r="AP77" i="26"/>
  <c r="AP77" i="23"/>
  <c r="AS105" i="27"/>
  <c r="AS105" i="23"/>
  <c r="AS105" i="26"/>
  <c r="AF101" i="23"/>
  <c r="AF101" i="26"/>
  <c r="AF101" i="27"/>
  <c r="AJ54" i="23"/>
  <c r="AJ54" i="26"/>
  <c r="AJ54" i="27"/>
  <c r="AP101" i="26"/>
  <c r="AP101" i="27"/>
  <c r="AP101" i="23"/>
  <c r="AR54" i="23"/>
  <c r="AR54" i="26"/>
  <c r="AR54" i="27"/>
  <c r="AP85" i="27"/>
  <c r="AP85" i="26"/>
  <c r="AP85" i="23"/>
  <c r="AN112" i="27"/>
  <c r="AN112" i="26"/>
  <c r="AN112" i="23"/>
  <c r="AL52" i="23"/>
  <c r="AL52" i="26"/>
  <c r="AL52" i="27"/>
  <c r="AH31" i="27"/>
  <c r="AH31" i="23"/>
  <c r="AN63" i="26"/>
  <c r="AN63" i="23"/>
  <c r="AD35" i="27"/>
  <c r="AD35" i="23"/>
  <c r="AD35" i="26"/>
  <c r="AF78" i="23"/>
  <c r="AF78" i="27"/>
  <c r="AF78" i="26"/>
  <c r="AH74" i="27"/>
  <c r="AH74" i="23"/>
  <c r="AH74" i="26"/>
  <c r="AN37" i="27"/>
  <c r="AN37" i="23"/>
  <c r="AN37" i="26"/>
  <c r="AP52" i="26"/>
  <c r="AP52" i="27"/>
  <c r="AP52" i="23"/>
  <c r="AJ31" i="23"/>
  <c r="AJ31" i="27"/>
  <c r="AJ31" i="26"/>
  <c r="AN97" i="23"/>
  <c r="AN97" i="26"/>
  <c r="AJ77" i="26"/>
  <c r="AJ77" i="23"/>
  <c r="AJ77" i="27"/>
  <c r="AJ102" i="27"/>
  <c r="AJ102" i="26"/>
  <c r="AJ102" i="23"/>
  <c r="AL91" i="27"/>
  <c r="AL91" i="23"/>
  <c r="AL91" i="26"/>
  <c r="AP110" i="26"/>
  <c r="AP110" i="27"/>
  <c r="AP110" i="23"/>
  <c r="AN102" i="26"/>
  <c r="AN102" i="27"/>
  <c r="AN102" i="23"/>
  <c r="AN74" i="26"/>
  <c r="AN74" i="27"/>
  <c r="AN74" i="23"/>
  <c r="AJ101" i="27"/>
  <c r="AJ101" i="26"/>
  <c r="AJ101" i="23"/>
  <c r="AD63" i="26"/>
  <c r="AD63" i="23"/>
  <c r="AD63" i="27"/>
  <c r="AL49" i="23"/>
  <c r="AL49" i="26"/>
  <c r="AL49" i="27"/>
  <c r="AJ52" i="27"/>
  <c r="AC9" i="27"/>
  <c r="AC9" i="26"/>
  <c r="AC8" i="27"/>
  <c r="AC10" i="27"/>
  <c r="AC9" i="23"/>
  <c r="AC10" i="26"/>
  <c r="AJ52" i="26"/>
  <c r="AC7" i="27"/>
  <c r="AC8" i="26"/>
  <c r="AC7" i="23"/>
  <c r="AC7" i="26"/>
  <c r="AJ52" i="23"/>
  <c r="AC8" i="23"/>
  <c r="AY5" i="22"/>
  <c r="AC10" i="23"/>
  <c r="AF97" i="23"/>
  <c r="AF97" i="26"/>
  <c r="AF97" i="27"/>
  <c r="AR77" i="26"/>
  <c r="AR77" i="27"/>
  <c r="AR77" i="23"/>
  <c r="S35" i="196"/>
  <c r="I38" i="196"/>
  <c r="M35" i="196"/>
  <c r="G38" i="196"/>
  <c r="F38" i="196"/>
  <c r="L504" i="36"/>
  <c r="L504" i="35"/>
  <c r="O6" i="7"/>
  <c r="AR102" i="27"/>
  <c r="AR102" i="23"/>
  <c r="AR102" i="26"/>
  <c r="AP78" i="23"/>
  <c r="AP78" i="27"/>
  <c r="AP78" i="26"/>
  <c r="AF79" i="27"/>
  <c r="AF79" i="23"/>
  <c r="AF79" i="26"/>
  <c r="AD67" i="27"/>
  <c r="AD67" i="23"/>
  <c r="AD67" i="26"/>
  <c r="AS113" i="26"/>
  <c r="AS113" i="27"/>
  <c r="AS113" i="23"/>
  <c r="L620" i="35"/>
  <c r="L620" i="36"/>
  <c r="AF117" i="26"/>
  <c r="AF117" i="23"/>
  <c r="AF117" i="27"/>
  <c r="AP55" i="26"/>
  <c r="AP55" i="23"/>
  <c r="AP55" i="27"/>
  <c r="AF102" i="27"/>
  <c r="AF102" i="23"/>
  <c r="AF102" i="26"/>
  <c r="AR55" i="23"/>
  <c r="AR55" i="27"/>
  <c r="AR55" i="26"/>
  <c r="AN96" i="26"/>
  <c r="AN96" i="23"/>
  <c r="AN96" i="27"/>
  <c r="AJ78" i="23"/>
  <c r="AJ78" i="27"/>
  <c r="AJ78" i="26"/>
  <c r="AP104" i="27"/>
  <c r="AP104" i="26"/>
  <c r="AP104" i="23"/>
  <c r="AS110" i="27"/>
  <c r="AS110" i="26"/>
  <c r="AS110" i="23"/>
  <c r="P75" i="71"/>
  <c r="AD44" i="26"/>
  <c r="AD44" i="23"/>
  <c r="AD44" i="27"/>
  <c r="AN78" i="23"/>
  <c r="AN78" i="26"/>
  <c r="AN78" i="27"/>
  <c r="AR104" i="23"/>
  <c r="AR104" i="27"/>
  <c r="AR104" i="26"/>
  <c r="AD65" i="27"/>
  <c r="AD65" i="26"/>
  <c r="AD65" i="23"/>
  <c r="AS117" i="27"/>
  <c r="AS117" i="23"/>
  <c r="AS117" i="26"/>
  <c r="O70" i="7"/>
  <c r="BT19" i="32"/>
  <c r="AN117" i="27"/>
  <c r="AN117" i="26"/>
  <c r="AN117" i="23"/>
  <c r="AL57" i="26"/>
  <c r="AL57" i="23"/>
  <c r="AL57" i="27"/>
  <c r="AP76" i="23"/>
  <c r="AP76" i="27"/>
  <c r="AP76" i="26"/>
  <c r="AD36" i="26"/>
  <c r="AD36" i="27"/>
  <c r="AD36" i="23"/>
  <c r="AH96" i="23"/>
  <c r="AH96" i="27"/>
  <c r="AH96" i="26"/>
  <c r="AF50" i="27"/>
  <c r="AF50" i="26"/>
  <c r="AF50" i="23"/>
  <c r="AC5" i="26"/>
  <c r="AY1" i="22"/>
  <c r="AC5" i="27"/>
  <c r="AC5" i="23"/>
  <c r="AP51" i="26"/>
  <c r="AP51" i="27"/>
  <c r="AP51" i="23"/>
  <c r="AL65" i="26"/>
  <c r="AL65" i="23"/>
  <c r="AL65" i="27"/>
  <c r="L560" i="36"/>
  <c r="L560" i="35"/>
  <c r="AD97" i="23"/>
  <c r="AD97" i="27"/>
  <c r="AD97" i="26"/>
  <c r="AP48" i="27"/>
  <c r="AP48" i="23"/>
  <c r="AP48" i="26"/>
  <c r="AL96" i="26"/>
  <c r="AL96" i="23"/>
  <c r="AL96" i="27"/>
  <c r="AP50" i="23"/>
  <c r="AP50" i="26"/>
  <c r="AP50" i="27"/>
  <c r="AG9" i="27"/>
  <c r="AD9" i="27"/>
  <c r="AG9" i="23"/>
  <c r="AD9" i="23"/>
  <c r="AY10" i="22"/>
  <c r="AZ10" i="22"/>
  <c r="AG10" i="23"/>
  <c r="AD10" i="23"/>
  <c r="AG10" i="27"/>
  <c r="AD10" i="27"/>
  <c r="AG8" i="26"/>
  <c r="AD8" i="26"/>
  <c r="AG10" i="26"/>
  <c r="AD10" i="26"/>
  <c r="AG8" i="27"/>
  <c r="AD8" i="27"/>
  <c r="AG7" i="23"/>
  <c r="AD7" i="23"/>
  <c r="AG9" i="26"/>
  <c r="AD9" i="26"/>
  <c r="AG8" i="23"/>
  <c r="AD8" i="23"/>
  <c r="AG7" i="27"/>
  <c r="AD7" i="27"/>
  <c r="AG7" i="26"/>
  <c r="AD7" i="26"/>
  <c r="AJ51" i="23"/>
  <c r="AJ51" i="27"/>
  <c r="AJ51" i="26"/>
  <c r="AR65" i="26"/>
  <c r="AR65" i="27"/>
  <c r="AR65" i="23"/>
  <c r="P126" i="197"/>
  <c r="O94" i="197"/>
  <c r="AD83" i="26"/>
  <c r="AD83" i="27"/>
  <c r="AD83" i="23"/>
  <c r="AL97" i="26"/>
  <c r="AL97" i="23"/>
  <c r="AL97" i="27"/>
  <c r="AL50" i="26"/>
  <c r="AL50" i="27"/>
  <c r="AL50" i="23"/>
  <c r="AY8" i="22"/>
  <c r="AH51" i="26"/>
  <c r="AH51" i="27"/>
  <c r="AH51" i="23"/>
  <c r="AP65" i="23"/>
  <c r="AP65" i="27"/>
  <c r="AP65" i="26"/>
  <c r="L619" i="35"/>
  <c r="L619" i="36"/>
  <c r="AH80" i="26"/>
  <c r="AH80" i="27"/>
  <c r="AH80" i="23"/>
  <c r="AP83" i="27"/>
  <c r="AP83" i="26"/>
  <c r="AP83" i="23"/>
  <c r="AH101" i="23"/>
  <c r="AH101" i="26"/>
  <c r="AH101" i="27"/>
  <c r="AS115" i="26"/>
  <c r="AS115" i="23"/>
  <c r="AS115" i="27"/>
  <c r="AS100" i="26"/>
  <c r="AS100" i="23"/>
  <c r="AS100" i="27"/>
  <c r="AS116" i="26"/>
  <c r="AS116" i="23"/>
  <c r="AS116" i="27"/>
  <c r="AJ97" i="23"/>
  <c r="AJ97" i="27"/>
  <c r="AJ97" i="26"/>
  <c r="AL33" i="27"/>
  <c r="AL33" i="26"/>
  <c r="AL33" i="23"/>
  <c r="AP60" i="23"/>
  <c r="AP60" i="26"/>
  <c r="AP60" i="27"/>
  <c r="AF35" i="27"/>
  <c r="AF35" i="26"/>
  <c r="AF35" i="23"/>
  <c r="AD91" i="27"/>
  <c r="AD91" i="23"/>
  <c r="AD91" i="26"/>
  <c r="AH40" i="27"/>
  <c r="AH40" i="23"/>
  <c r="AH40" i="26"/>
  <c r="AL89" i="23"/>
  <c r="AL89" i="26"/>
  <c r="AL89" i="27"/>
  <c r="AL45" i="27"/>
  <c r="AL45" i="26"/>
  <c r="AL45" i="23"/>
  <c r="AS112" i="27"/>
  <c r="AS112" i="23"/>
  <c r="AS112" i="26"/>
  <c r="AH33" i="23"/>
  <c r="AH33" i="27"/>
  <c r="AH33" i="26"/>
  <c r="AF48" i="23"/>
  <c r="AF48" i="27"/>
  <c r="AF48" i="26"/>
  <c r="AP34" i="27"/>
  <c r="AP34" i="23"/>
  <c r="AP34" i="26"/>
  <c r="AF67" i="27"/>
  <c r="AF67" i="26"/>
  <c r="AF67" i="23"/>
  <c r="AD89" i="27"/>
  <c r="AD89" i="26"/>
  <c r="AD89" i="23"/>
  <c r="AN45" i="27"/>
  <c r="AN45" i="23"/>
  <c r="AN45" i="26"/>
  <c r="L591" i="36"/>
  <c r="L591" i="35"/>
  <c r="L590" i="36"/>
  <c r="L590" i="35"/>
  <c r="L559" i="36"/>
  <c r="L559" i="35"/>
  <c r="AD55" i="26"/>
  <c r="AD55" i="27"/>
  <c r="AD55" i="23"/>
  <c r="AH100" i="26"/>
  <c r="AH100" i="27"/>
  <c r="AH100" i="23"/>
  <c r="AR40" i="26"/>
  <c r="AR40" i="23"/>
  <c r="AR40" i="27"/>
  <c r="AJ79" i="26"/>
  <c r="AJ79" i="27"/>
  <c r="AJ79" i="23"/>
  <c r="AP67" i="23"/>
  <c r="AP67" i="27"/>
  <c r="AP67" i="26"/>
  <c r="AF45" i="27"/>
  <c r="AF45" i="23"/>
  <c r="AF45" i="26"/>
  <c r="AD79" i="23"/>
  <c r="AD79" i="26"/>
  <c r="AD79" i="27"/>
  <c r="L531" i="36"/>
  <c r="L531" i="35"/>
  <c r="AS106" i="26"/>
  <c r="AS106" i="27"/>
  <c r="AS106" i="23"/>
  <c r="AL83" i="27"/>
  <c r="AL83" i="26"/>
  <c r="AL83" i="23"/>
  <c r="AD102" i="26"/>
  <c r="AD102" i="27"/>
  <c r="AD102" i="23"/>
  <c r="AN55" i="26"/>
  <c r="AN55" i="23"/>
  <c r="AN55" i="27"/>
  <c r="AR79" i="23"/>
  <c r="AR79" i="26"/>
  <c r="AR79" i="27"/>
  <c r="M49" i="7"/>
  <c r="AC174" i="182"/>
  <c r="L106" i="182"/>
  <c r="A106" i="182"/>
  <c r="N110" i="182"/>
  <c r="K110" i="182"/>
  <c r="L110" i="182"/>
  <c r="R110" i="182"/>
  <c r="A103" i="182"/>
  <c r="AK81" i="182"/>
  <c r="K48" i="182"/>
  <c r="N48" i="182"/>
  <c r="L48" i="182"/>
  <c r="R48" i="182"/>
  <c r="Q15" i="182"/>
  <c r="N46" i="182"/>
  <c r="K46" i="182"/>
  <c r="AC175" i="182"/>
  <c r="AD175" i="182"/>
  <c r="AQ168" i="33"/>
  <c r="AC176" i="182"/>
  <c r="AE176" i="182"/>
  <c r="Q23" i="82"/>
  <c r="AR11" i="82"/>
  <c r="B46" i="182"/>
  <c r="AI198" i="182"/>
  <c r="AC209" i="182"/>
  <c r="L42" i="182"/>
  <c r="AR9" i="82"/>
  <c r="L46" i="182"/>
  <c r="Q46" i="182"/>
  <c r="A42" i="182"/>
  <c r="AR8" i="82"/>
  <c r="J80" i="182"/>
  <c r="P134" i="182"/>
  <c r="J144" i="182"/>
  <c r="L144" i="182"/>
  <c r="R144" i="182"/>
  <c r="J113" i="182"/>
  <c r="K113" i="182"/>
  <c r="L47" i="182"/>
  <c r="R47" i="182"/>
  <c r="AQ138" i="33"/>
  <c r="Z141" i="33"/>
  <c r="AE132" i="33"/>
  <c r="B47" i="182"/>
  <c r="AN135" i="33"/>
  <c r="AF141" i="33"/>
  <c r="N47" i="182"/>
  <c r="Z138" i="33"/>
  <c r="Z135" i="33"/>
  <c r="J79" i="182"/>
  <c r="J81" i="182"/>
  <c r="N81" i="182"/>
  <c r="J111" i="182"/>
  <c r="J78" i="182"/>
  <c r="K78" i="182"/>
  <c r="J112" i="182"/>
  <c r="K112" i="182"/>
  <c r="P102" i="33"/>
  <c r="H108" i="33"/>
  <c r="S105" i="33"/>
  <c r="AJ15" i="182"/>
  <c r="U234" i="33"/>
  <c r="B234" i="33"/>
  <c r="B108" i="33"/>
  <c r="B105" i="33"/>
  <c r="B102" i="33"/>
  <c r="L105" i="33"/>
  <c r="Z72" i="33"/>
  <c r="Z168" i="33"/>
  <c r="AF78" i="33"/>
  <c r="AJ75" i="33"/>
  <c r="AE162" i="33"/>
  <c r="Z171" i="33"/>
  <c r="AJ168" i="33"/>
  <c r="Z75" i="33"/>
  <c r="AQ75" i="33"/>
  <c r="AF171" i="33"/>
  <c r="AN72" i="33"/>
  <c r="Z78" i="33"/>
  <c r="AN165" i="33"/>
  <c r="H69" i="33"/>
  <c r="S75" i="33"/>
  <c r="B75" i="33"/>
  <c r="B72" i="33"/>
  <c r="L75" i="33"/>
  <c r="B78" i="33"/>
  <c r="P72" i="33"/>
  <c r="AN21" i="146"/>
  <c r="AS234" i="33"/>
  <c r="AN228" i="33"/>
  <c r="P23" i="146"/>
  <c r="AO23" i="146"/>
  <c r="H141" i="33"/>
  <c r="Q23" i="146"/>
  <c r="AP23" i="146"/>
  <c r="P135" i="33"/>
  <c r="B135" i="33"/>
  <c r="R12" i="146"/>
  <c r="AQ12" i="146"/>
  <c r="L138" i="33"/>
  <c r="B141" i="33"/>
  <c r="AN27" i="146"/>
  <c r="Q19" i="146"/>
  <c r="AP19" i="146"/>
  <c r="R22" i="146"/>
  <c r="AQ22" i="146"/>
  <c r="P21" i="146"/>
  <c r="AO21" i="146"/>
  <c r="P12" i="146"/>
  <c r="AO12" i="146"/>
  <c r="B138" i="33"/>
  <c r="R18" i="146"/>
  <c r="AQ18" i="146"/>
  <c r="S138" i="33"/>
  <c r="P19" i="146"/>
  <c r="AO19" i="146"/>
  <c r="Q35" i="146"/>
  <c r="AP35" i="146"/>
  <c r="P25" i="146"/>
  <c r="AO25" i="146"/>
  <c r="Q30" i="146"/>
  <c r="AP30" i="146"/>
  <c r="AN30" i="146"/>
  <c r="P18" i="146"/>
  <c r="AO18" i="146"/>
  <c r="R34" i="146"/>
  <c r="AQ34" i="146"/>
  <c r="R17" i="146"/>
  <c r="AQ17" i="146"/>
  <c r="AN34" i="146"/>
  <c r="P35" i="146"/>
  <c r="AO35" i="146"/>
  <c r="AN17" i="146"/>
  <c r="W14" i="82"/>
  <c r="AV8" i="82"/>
  <c r="I40" i="146"/>
  <c r="P15" i="146"/>
  <c r="AO15" i="146"/>
  <c r="R15" i="146"/>
  <c r="AQ15" i="146"/>
  <c r="AK46" i="182"/>
  <c r="AN32" i="146"/>
  <c r="H32" i="146"/>
  <c r="AJ105" i="33"/>
  <c r="AD143" i="182"/>
  <c r="AQ105" i="33"/>
  <c r="AF108" i="33"/>
  <c r="AG143" i="182"/>
  <c r="AE99" i="33"/>
  <c r="U204" i="33"/>
  <c r="AR255" i="33"/>
  <c r="AE143" i="182"/>
  <c r="AJ143" i="182"/>
  <c r="Z108" i="33"/>
  <c r="Z102" i="33"/>
  <c r="Z105" i="33"/>
  <c r="R30" i="146"/>
  <c r="AQ30" i="146"/>
  <c r="Q17" i="146"/>
  <c r="AP17" i="146"/>
  <c r="AN19" i="146"/>
  <c r="Q34" i="146"/>
  <c r="AP34" i="146"/>
  <c r="P30" i="146"/>
  <c r="AO30" i="146"/>
  <c r="Q15" i="146"/>
  <c r="AP15" i="146"/>
  <c r="R19" i="146"/>
  <c r="AQ19" i="146"/>
  <c r="AN15" i="146"/>
  <c r="Q21" i="146"/>
  <c r="AP21" i="146"/>
  <c r="Q18" i="146"/>
  <c r="AP18" i="146"/>
  <c r="R35" i="146"/>
  <c r="AQ35" i="146"/>
  <c r="P17" i="146"/>
  <c r="AO17" i="146"/>
  <c r="R21" i="146"/>
  <c r="AQ21" i="146"/>
  <c r="R23" i="146"/>
  <c r="AQ23" i="146"/>
  <c r="Q12" i="146"/>
  <c r="AP12" i="146"/>
  <c r="AN18" i="146"/>
  <c r="AN35" i="146"/>
  <c r="AN23" i="146"/>
  <c r="AN12" i="146"/>
  <c r="P27" i="146"/>
  <c r="AO27" i="146"/>
  <c r="P22" i="146"/>
  <c r="AO22" i="146"/>
  <c r="Q27" i="146"/>
  <c r="AP27" i="146"/>
  <c r="Q22" i="146"/>
  <c r="AP22" i="146"/>
  <c r="AE142" i="182"/>
  <c r="AK142" i="182"/>
  <c r="P14" i="146"/>
  <c r="AO14" i="146"/>
  <c r="R27" i="146"/>
  <c r="AQ27" i="146"/>
  <c r="Q25" i="146"/>
  <c r="AP25" i="146"/>
  <c r="P34" i="146"/>
  <c r="AO34" i="146"/>
  <c r="AN22" i="146"/>
  <c r="R16" i="146"/>
  <c r="AQ16" i="146"/>
  <c r="H40" i="146"/>
  <c r="AG142" i="182"/>
  <c r="T135" i="182"/>
  <c r="AN14" i="146"/>
  <c r="AN24" i="146"/>
  <c r="R28" i="146"/>
  <c r="AQ28" i="146"/>
  <c r="Q14" i="146"/>
  <c r="AP14" i="146"/>
  <c r="R14" i="146"/>
  <c r="AQ14" i="146"/>
  <c r="P24" i="146"/>
  <c r="AO24" i="146"/>
  <c r="Q24" i="146"/>
  <c r="AP24" i="146"/>
  <c r="R24" i="146"/>
  <c r="AQ24" i="146"/>
  <c r="Q28" i="146"/>
  <c r="AP28" i="146"/>
  <c r="P28" i="146"/>
  <c r="AO28" i="146"/>
  <c r="AL28" i="146"/>
  <c r="AN28" i="146"/>
  <c r="AN31" i="146"/>
  <c r="Q31" i="146"/>
  <c r="AP31" i="146"/>
  <c r="P31" i="146"/>
  <c r="AO31" i="146"/>
  <c r="R31" i="146"/>
  <c r="AQ31" i="146"/>
  <c r="R25" i="146"/>
  <c r="AQ25" i="146"/>
  <c r="E40" i="146"/>
  <c r="AJ48" i="182"/>
  <c r="AG145" i="182"/>
  <c r="U145" i="182"/>
  <c r="AE145" i="182"/>
  <c r="AK145" i="182"/>
  <c r="AL25" i="146"/>
  <c r="AN25" i="146"/>
  <c r="G40" i="146"/>
  <c r="P16" i="146"/>
  <c r="AO16" i="146"/>
  <c r="Q26" i="146"/>
  <c r="AP26" i="146"/>
  <c r="B40" i="146"/>
  <c r="C40" i="146"/>
  <c r="Q16" i="146"/>
  <c r="AP16" i="146"/>
  <c r="AL16" i="146"/>
  <c r="AN16" i="146"/>
  <c r="P26" i="146"/>
  <c r="AO26" i="146"/>
  <c r="R26" i="146"/>
  <c r="AQ26" i="146"/>
  <c r="AL26" i="146"/>
  <c r="AN26" i="146"/>
  <c r="F40" i="146"/>
  <c r="Z198" i="33"/>
  <c r="B36" i="146"/>
  <c r="C36" i="146"/>
  <c r="AQ201" i="33"/>
  <c r="Z201" i="33"/>
  <c r="Z204" i="33"/>
  <c r="AF204" i="33"/>
  <c r="AJ201" i="33"/>
  <c r="AN198" i="33"/>
  <c r="AD142" i="182"/>
  <c r="R32" i="146"/>
  <c r="AQ32" i="146"/>
  <c r="F32" i="146"/>
  <c r="S75" i="154"/>
  <c r="Q20" i="146"/>
  <c r="AP20" i="146"/>
  <c r="R13" i="146"/>
  <c r="AQ13" i="146"/>
  <c r="AN29" i="146"/>
  <c r="AN33" i="146"/>
  <c r="AL20" i="146"/>
  <c r="AN20" i="146"/>
  <c r="R20" i="146"/>
  <c r="AQ20" i="146"/>
  <c r="F36" i="146"/>
  <c r="I36" i="146"/>
  <c r="G36" i="146"/>
  <c r="E36" i="146"/>
  <c r="H36" i="146"/>
  <c r="P33" i="146"/>
  <c r="AO33" i="146"/>
  <c r="Q33" i="146"/>
  <c r="AP33" i="146"/>
  <c r="R33" i="146"/>
  <c r="AQ33" i="146"/>
  <c r="P20" i="146"/>
  <c r="AO20" i="146"/>
  <c r="Q14" i="84"/>
  <c r="AR7" i="84"/>
  <c r="Q29" i="146"/>
  <c r="AP29" i="146"/>
  <c r="AV7" i="86"/>
  <c r="B32" i="146"/>
  <c r="C32" i="146"/>
  <c r="P29" i="146"/>
  <c r="AO29" i="146"/>
  <c r="G32" i="146"/>
  <c r="R29" i="146"/>
  <c r="AQ29" i="146"/>
  <c r="Q18" i="86"/>
  <c r="AR8" i="86"/>
  <c r="AK16" i="182"/>
  <c r="A33" i="146"/>
  <c r="B33" i="146"/>
  <c r="C33" i="146"/>
  <c r="Q13" i="146"/>
  <c r="AP13" i="146"/>
  <c r="P13" i="146"/>
  <c r="AO13" i="146"/>
  <c r="E32" i="146"/>
  <c r="Q32" i="146"/>
  <c r="AP32" i="146"/>
  <c r="AL13" i="146"/>
  <c r="AN13" i="146"/>
  <c r="P32" i="146"/>
  <c r="AO32" i="146"/>
  <c r="I32" i="146"/>
  <c r="AJ17" i="182"/>
  <c r="AK14" i="182"/>
  <c r="I75" i="154"/>
  <c r="L75" i="154"/>
  <c r="AK113" i="182"/>
  <c r="A75" i="154"/>
  <c r="A80" i="154"/>
  <c r="A88" i="154"/>
  <c r="T138" i="182"/>
  <c r="N75" i="154"/>
  <c r="A82" i="154"/>
  <c r="A90" i="154"/>
  <c r="AE138" i="182"/>
  <c r="AJ78" i="182"/>
  <c r="AK79" i="182"/>
  <c r="AJ112" i="182"/>
  <c r="R17" i="182"/>
  <c r="AK111" i="182"/>
  <c r="U75" i="154"/>
  <c r="V75" i="154"/>
  <c r="AK47" i="182"/>
  <c r="AJ80" i="182"/>
  <c r="Q16" i="182"/>
  <c r="D5" i="37"/>
  <c r="A6" i="37"/>
  <c r="K20" i="84"/>
  <c r="AN8" i="84"/>
  <c r="V89" i="34"/>
  <c r="Y118" i="34"/>
  <c r="Q14" i="182"/>
  <c r="R14" i="182"/>
  <c r="R49" i="182"/>
  <c r="AJ49" i="182"/>
  <c r="AK49" i="182"/>
  <c r="AJ144" i="182"/>
  <c r="AK144" i="182"/>
  <c r="AK110" i="182"/>
  <c r="AJ110" i="182"/>
  <c r="AN8" i="85"/>
  <c r="K28" i="85"/>
  <c r="AN9" i="85"/>
  <c r="AR7" i="85"/>
  <c r="Q14" i="85"/>
  <c r="AV6" i="85"/>
  <c r="W9" i="85"/>
  <c r="L74" i="154"/>
  <c r="I74" i="154"/>
  <c r="J74" i="154"/>
  <c r="A74" i="154"/>
  <c r="A79" i="154"/>
  <c r="A87" i="154"/>
  <c r="A70" i="154"/>
  <c r="I71" i="154"/>
  <c r="I70" i="154"/>
  <c r="T107" i="154"/>
  <c r="H107" i="154"/>
  <c r="H108" i="154"/>
  <c r="T108" i="154"/>
  <c r="B134" i="154"/>
  <c r="M65" i="196"/>
  <c r="G68" i="196"/>
  <c r="I68" i="196"/>
  <c r="E65" i="196"/>
  <c r="A68" i="196"/>
  <c r="F68" i="196"/>
  <c r="S65" i="196"/>
  <c r="AV10" i="221"/>
  <c r="AE175" i="182"/>
  <c r="AE170" i="182"/>
  <c r="AD174" i="182"/>
  <c r="T170" i="182"/>
  <c r="AG174" i="182"/>
  <c r="AE174" i="182"/>
  <c r="U174" i="182"/>
  <c r="T167" i="182"/>
  <c r="AD177" i="182"/>
  <c r="AE177" i="182"/>
  <c r="U177" i="182"/>
  <c r="AG177" i="182"/>
  <c r="P68" i="196"/>
  <c r="R68" i="196"/>
  <c r="K68" i="196"/>
  <c r="O68" i="196"/>
  <c r="O69" i="196"/>
  <c r="P69" i="196"/>
  <c r="R69" i="196"/>
  <c r="K69" i="196"/>
  <c r="G69" i="196"/>
  <c r="I69" i="196"/>
  <c r="F69" i="196"/>
  <c r="A69" i="196"/>
  <c r="E99" i="196"/>
  <c r="C122" i="196"/>
  <c r="N98" i="196"/>
  <c r="N99" i="196"/>
  <c r="E98" i="196"/>
  <c r="T78" i="70"/>
  <c r="T79" i="70"/>
  <c r="P157" i="197"/>
  <c r="O125" i="197"/>
  <c r="S41" i="79"/>
  <c r="L3" i="32"/>
  <c r="BT3" i="32"/>
  <c r="C20" i="105"/>
  <c r="C38" i="105"/>
  <c r="C39" i="105"/>
  <c r="C18" i="105"/>
  <c r="D12" i="105"/>
  <c r="D14" i="105"/>
  <c r="F13" i="105"/>
  <c r="C29" i="105"/>
  <c r="D41" i="105"/>
  <c r="F40" i="105"/>
  <c r="D38" i="105"/>
  <c r="AH29" i="70"/>
  <c r="D8" i="105"/>
  <c r="AI25" i="70"/>
  <c r="AI27" i="70"/>
  <c r="C32" i="105"/>
  <c r="C12" i="105"/>
  <c r="D29" i="105"/>
  <c r="D11" i="105"/>
  <c r="F19" i="105"/>
  <c r="C11" i="105"/>
  <c r="C14" i="105"/>
  <c r="AI29" i="70"/>
  <c r="AH25" i="70"/>
  <c r="AJ25" i="70"/>
  <c r="D23" i="105"/>
  <c r="F16" i="105"/>
  <c r="D39" i="105"/>
  <c r="AI30" i="70"/>
  <c r="C30" i="105"/>
  <c r="D26" i="105"/>
  <c r="D36" i="105"/>
  <c r="D32" i="105"/>
  <c r="F10" i="105"/>
  <c r="AJ30" i="70"/>
  <c r="C35" i="105"/>
  <c r="D30" i="105"/>
  <c r="AI28" i="70"/>
  <c r="F37" i="105"/>
  <c r="C8" i="105"/>
  <c r="D42" i="105"/>
  <c r="D20" i="105"/>
  <c r="D35" i="105"/>
  <c r="F34" i="105"/>
  <c r="AJ26" i="70"/>
  <c r="AJ29" i="70"/>
  <c r="C26" i="105"/>
  <c r="D24" i="105"/>
  <c r="C15" i="105"/>
  <c r="C17" i="105"/>
  <c r="D9" i="105"/>
  <c r="D15" i="105"/>
  <c r="F22" i="105"/>
  <c r="C41" i="105"/>
  <c r="D33" i="105"/>
  <c r="C42" i="105"/>
  <c r="C33" i="105"/>
  <c r="AI26" i="70"/>
  <c r="D27" i="105"/>
  <c r="AH27" i="70"/>
  <c r="D17" i="105"/>
  <c r="C9" i="105"/>
  <c r="C36" i="105"/>
  <c r="AH30" i="70"/>
  <c r="F31" i="105"/>
  <c r="D21" i="105"/>
  <c r="C24" i="105"/>
  <c r="AJ28" i="70"/>
  <c r="C27" i="105"/>
  <c r="F25" i="105"/>
  <c r="C23" i="105"/>
  <c r="AH26" i="70"/>
  <c r="F28" i="105"/>
  <c r="C21" i="105"/>
  <c r="AH28" i="70"/>
  <c r="AJ27" i="70"/>
  <c r="D18" i="105"/>
  <c r="F33" i="105"/>
  <c r="F42" i="105"/>
  <c r="F36" i="105"/>
  <c r="F38" i="105"/>
  <c r="F30" i="105"/>
  <c r="F39" i="105"/>
  <c r="F29" i="105"/>
  <c r="F27" i="105"/>
  <c r="F35" i="105"/>
  <c r="F41" i="105"/>
  <c r="F32" i="105"/>
  <c r="A38" i="146"/>
  <c r="I37" i="146"/>
  <c r="G37" i="146"/>
  <c r="E37" i="146"/>
  <c r="H37" i="146"/>
  <c r="F37" i="146"/>
  <c r="B37" i="146"/>
  <c r="C37" i="146"/>
  <c r="T75" i="70"/>
  <c r="A42" i="146"/>
  <c r="G41" i="146"/>
  <c r="I41" i="146"/>
  <c r="E41" i="146"/>
  <c r="H41" i="146"/>
  <c r="F41" i="146"/>
  <c r="B41" i="146"/>
  <c r="C41" i="146"/>
  <c r="B144" i="182"/>
  <c r="AG175" i="182"/>
  <c r="U175" i="182"/>
  <c r="M21" i="7"/>
  <c r="M37" i="7"/>
  <c r="M97" i="7"/>
  <c r="M101" i="7"/>
  <c r="M13" i="7"/>
  <c r="M45" i="7"/>
  <c r="M61" i="7"/>
  <c r="M25" i="7"/>
  <c r="M41" i="7"/>
  <c r="H5" i="3"/>
  <c r="M17" i="7"/>
  <c r="M57" i="7"/>
  <c r="M69" i="7"/>
  <c r="M65" i="7"/>
  <c r="M93" i="7"/>
  <c r="M77" i="7"/>
  <c r="M9" i="7"/>
  <c r="M53" i="7"/>
  <c r="M33" i="7"/>
  <c r="M81" i="7"/>
  <c r="M29" i="7"/>
  <c r="M73" i="7"/>
  <c r="M89" i="7"/>
  <c r="M85" i="7"/>
  <c r="Q110" i="182"/>
  <c r="Q48" i="182"/>
  <c r="AI75" i="182"/>
  <c r="Q47" i="182"/>
  <c r="J142" i="182"/>
  <c r="B142" i="182"/>
  <c r="Q144" i="182"/>
  <c r="J145" i="182"/>
  <c r="N145" i="182"/>
  <c r="U176" i="182"/>
  <c r="AG176" i="182"/>
  <c r="K144" i="182"/>
  <c r="AD176" i="182"/>
  <c r="J143" i="182"/>
  <c r="N143" i="182"/>
  <c r="N144" i="182"/>
  <c r="P166" i="182"/>
  <c r="P198" i="182"/>
  <c r="J206" i="182"/>
  <c r="B206" i="182"/>
  <c r="AC206" i="182"/>
  <c r="AE206" i="182"/>
  <c r="AI230" i="182"/>
  <c r="AC240" i="182"/>
  <c r="AC207" i="182"/>
  <c r="AD207" i="182"/>
  <c r="AC208" i="182"/>
  <c r="AD208" i="182"/>
  <c r="B112" i="182"/>
  <c r="L112" i="182"/>
  <c r="R46" i="182"/>
  <c r="P43" i="182"/>
  <c r="B113" i="182"/>
  <c r="L113" i="182"/>
  <c r="N112" i="182"/>
  <c r="N113" i="182"/>
  <c r="N80" i="182"/>
  <c r="K80" i="182"/>
  <c r="L80" i="182"/>
  <c r="B80" i="182"/>
  <c r="B78" i="182"/>
  <c r="L74" i="182"/>
  <c r="A74" i="182"/>
  <c r="L81" i="182"/>
  <c r="Q81" i="182"/>
  <c r="W16" i="82"/>
  <c r="AV9" i="82"/>
  <c r="B81" i="182"/>
  <c r="K81" i="182"/>
  <c r="L78" i="182"/>
  <c r="N78" i="182"/>
  <c r="A71" i="182"/>
  <c r="N111" i="182"/>
  <c r="L111" i="182"/>
  <c r="B111" i="182"/>
  <c r="K111" i="182"/>
  <c r="B79" i="182"/>
  <c r="L79" i="182"/>
  <c r="N79" i="182"/>
  <c r="K79" i="182"/>
  <c r="P228" i="33"/>
  <c r="H225" i="33"/>
  <c r="B231" i="33"/>
  <c r="H234" i="33"/>
  <c r="S231" i="33"/>
  <c r="L231" i="33"/>
  <c r="B228" i="33"/>
  <c r="AJ145" i="182"/>
  <c r="AF234" i="33"/>
  <c r="Z228" i="33"/>
  <c r="AE225" i="33"/>
  <c r="AK143" i="182"/>
  <c r="AI139" i="182"/>
  <c r="Z234" i="33"/>
  <c r="Z231" i="33"/>
  <c r="AJ231" i="33"/>
  <c r="AQ231" i="33"/>
  <c r="AI11" i="182"/>
  <c r="AR318" i="33"/>
  <c r="U297" i="33"/>
  <c r="U267" i="33"/>
  <c r="AS267" i="33"/>
  <c r="AS297" i="33"/>
  <c r="P198" i="33"/>
  <c r="H204" i="33"/>
  <c r="B198" i="33"/>
  <c r="H195" i="33"/>
  <c r="S201" i="33"/>
  <c r="B201" i="33"/>
  <c r="L201" i="33"/>
  <c r="B204" i="33"/>
  <c r="AJ142" i="182"/>
  <c r="F33" i="146"/>
  <c r="H33" i="146"/>
  <c r="A34" i="146"/>
  <c r="B34" i="146"/>
  <c r="C34" i="146"/>
  <c r="I33" i="146"/>
  <c r="G33" i="146"/>
  <c r="E33" i="146"/>
  <c r="AR8" i="84"/>
  <c r="Q16" i="84"/>
  <c r="P11" i="182"/>
  <c r="AI107" i="182"/>
  <c r="AI43" i="182"/>
  <c r="A7" i="37"/>
  <c r="D6" i="37"/>
  <c r="V118" i="34"/>
  <c r="Y147" i="34"/>
  <c r="AN9" i="84"/>
  <c r="K22" i="84"/>
  <c r="AN10" i="84"/>
  <c r="AR8" i="85"/>
  <c r="Q16" i="85"/>
  <c r="AR9" i="85"/>
  <c r="AV7" i="85"/>
  <c r="W14" i="85"/>
  <c r="V108" i="154"/>
  <c r="U108" i="154"/>
  <c r="N108" i="154"/>
  <c r="A115" i="154"/>
  <c r="A123" i="154"/>
  <c r="S108" i="154"/>
  <c r="J108" i="154"/>
  <c r="A108" i="154"/>
  <c r="A113" i="154"/>
  <c r="A121" i="154"/>
  <c r="I108" i="154"/>
  <c r="L108" i="154"/>
  <c r="I107" i="154"/>
  <c r="I103" i="154"/>
  <c r="A107" i="154"/>
  <c r="A112" i="154"/>
  <c r="A120" i="154"/>
  <c r="L107" i="154"/>
  <c r="J107" i="154"/>
  <c r="I104" i="154"/>
  <c r="A103" i="154"/>
  <c r="N107" i="154"/>
  <c r="A114" i="154"/>
  <c r="A122" i="154"/>
  <c r="U107" i="154"/>
  <c r="S107" i="154"/>
  <c r="V107" i="154"/>
  <c r="B167" i="154"/>
  <c r="T140" i="154"/>
  <c r="H141" i="154"/>
  <c r="H140" i="154"/>
  <c r="T141" i="154"/>
  <c r="M95" i="196"/>
  <c r="I98" i="196"/>
  <c r="E95" i="196"/>
  <c r="G98" i="196"/>
  <c r="S95" i="196"/>
  <c r="F98" i="196"/>
  <c r="A98" i="196"/>
  <c r="K99" i="196"/>
  <c r="R99" i="196"/>
  <c r="P99" i="196"/>
  <c r="O99" i="196"/>
  <c r="AC239" i="182"/>
  <c r="R98" i="196"/>
  <c r="O98" i="196"/>
  <c r="K98" i="196"/>
  <c r="P98" i="196"/>
  <c r="E128" i="196"/>
  <c r="C152" i="196"/>
  <c r="N128" i="196"/>
  <c r="N129" i="196"/>
  <c r="E129" i="196"/>
  <c r="I99" i="196"/>
  <c r="A99" i="196"/>
  <c r="F99" i="196"/>
  <c r="G99" i="196"/>
  <c r="AJ174" i="182"/>
  <c r="AK174" i="182"/>
  <c r="U209" i="182"/>
  <c r="AE209" i="182"/>
  <c r="AD209" i="182"/>
  <c r="AG209" i="182"/>
  <c r="AJ176" i="182"/>
  <c r="AK176" i="182"/>
  <c r="AV11" i="221"/>
  <c r="AK175" i="182"/>
  <c r="AJ175" i="182"/>
  <c r="AK177" i="182"/>
  <c r="AJ177" i="182"/>
  <c r="A43" i="146"/>
  <c r="H42" i="146"/>
  <c r="I42" i="146"/>
  <c r="F42" i="146"/>
  <c r="G42" i="146"/>
  <c r="E42" i="146"/>
  <c r="B42" i="146"/>
  <c r="C42" i="146"/>
  <c r="S79" i="71"/>
  <c r="AW12" i="266"/>
  <c r="P188" i="197"/>
  <c r="O156" i="197"/>
  <c r="A39" i="146"/>
  <c r="G38" i="146"/>
  <c r="B38" i="146"/>
  <c r="C38" i="146"/>
  <c r="I38" i="146"/>
  <c r="F38" i="146"/>
  <c r="H38" i="146"/>
  <c r="E38" i="146"/>
  <c r="S81" i="71"/>
  <c r="AW20" i="272"/>
  <c r="A199" i="182"/>
  <c r="L202" i="182"/>
  <c r="AG208" i="182"/>
  <c r="U208" i="182"/>
  <c r="AC238" i="182"/>
  <c r="AI262" i="182"/>
  <c r="AI294" i="182"/>
  <c r="N206" i="182"/>
  <c r="A202" i="182"/>
  <c r="K206" i="182"/>
  <c r="L206" i="182"/>
  <c r="T199" i="182"/>
  <c r="P230" i="182"/>
  <c r="P262" i="182"/>
  <c r="AE207" i="182"/>
  <c r="AK207" i="182"/>
  <c r="AE208" i="182"/>
  <c r="AK208" i="182"/>
  <c r="AG207" i="182"/>
  <c r="AE202" i="182"/>
  <c r="AG206" i="182"/>
  <c r="T202" i="182"/>
  <c r="K143" i="182"/>
  <c r="U207" i="182"/>
  <c r="AC241" i="182"/>
  <c r="J177" i="182"/>
  <c r="N177" i="182"/>
  <c r="B145" i="182"/>
  <c r="J176" i="182"/>
  <c r="L176" i="182"/>
  <c r="Q176" i="182"/>
  <c r="L142" i="182"/>
  <c r="R142" i="182"/>
  <c r="L143" i="182"/>
  <c r="R143" i="182"/>
  <c r="U206" i="182"/>
  <c r="AD206" i="182"/>
  <c r="N142" i="182"/>
  <c r="K142" i="182"/>
  <c r="A138" i="182"/>
  <c r="J208" i="182"/>
  <c r="L208" i="182"/>
  <c r="A135" i="182"/>
  <c r="B143" i="182"/>
  <c r="J175" i="182"/>
  <c r="L175" i="182"/>
  <c r="R175" i="182"/>
  <c r="L138" i="182"/>
  <c r="J207" i="182"/>
  <c r="K207" i="182"/>
  <c r="K145" i="182"/>
  <c r="L145" i="182"/>
  <c r="J174" i="182"/>
  <c r="L174" i="182"/>
  <c r="Q174" i="182"/>
  <c r="J209" i="182"/>
  <c r="N209" i="182"/>
  <c r="Q112" i="182"/>
  <c r="R112" i="182"/>
  <c r="W21" i="82"/>
  <c r="AV10" i="82"/>
  <c r="R113" i="182"/>
  <c r="Q113" i="182"/>
  <c r="Q80" i="182"/>
  <c r="R80" i="182"/>
  <c r="R81" i="182"/>
  <c r="R79" i="182"/>
  <c r="Q79" i="182"/>
  <c r="Q111" i="182"/>
  <c r="R111" i="182"/>
  <c r="Q78" i="182"/>
  <c r="R78" i="182"/>
  <c r="Q175" i="182"/>
  <c r="B175" i="182"/>
  <c r="N175" i="182"/>
  <c r="K175" i="182"/>
  <c r="B176" i="182"/>
  <c r="I34" i="146"/>
  <c r="E34" i="146"/>
  <c r="F34" i="146"/>
  <c r="K176" i="182"/>
  <c r="N176" i="182"/>
  <c r="G34" i="146"/>
  <c r="H34" i="146"/>
  <c r="A35" i="146"/>
  <c r="I35" i="146"/>
  <c r="AE288" i="33"/>
  <c r="Z297" i="33"/>
  <c r="Z294" i="33"/>
  <c r="AN291" i="33"/>
  <c r="AJ294" i="33"/>
  <c r="Z291" i="33"/>
  <c r="AQ294" i="33"/>
  <c r="AF297" i="33"/>
  <c r="Z267" i="33"/>
  <c r="AN261" i="33"/>
  <c r="AQ264" i="33"/>
  <c r="Z261" i="33"/>
  <c r="Z264" i="33"/>
  <c r="AE258" i="33"/>
  <c r="AJ264" i="33"/>
  <c r="AF267" i="33"/>
  <c r="H258" i="33"/>
  <c r="B261" i="33"/>
  <c r="B264" i="33"/>
  <c r="H267" i="33"/>
  <c r="L264" i="33"/>
  <c r="B267" i="33"/>
  <c r="P261" i="33"/>
  <c r="S264" i="33"/>
  <c r="H297" i="33"/>
  <c r="B294" i="33"/>
  <c r="B297" i="33"/>
  <c r="H288" i="33"/>
  <c r="B291" i="33"/>
  <c r="S294" i="33"/>
  <c r="P291" i="33"/>
  <c r="L294" i="33"/>
  <c r="AS330" i="33"/>
  <c r="U330" i="33"/>
  <c r="AR381" i="33"/>
  <c r="U360" i="33"/>
  <c r="AS360" i="33"/>
  <c r="W18" i="84"/>
  <c r="AV9" i="84"/>
  <c r="Q22" i="84"/>
  <c r="AR10" i="84"/>
  <c r="AR9" i="84"/>
  <c r="A8" i="37"/>
  <c r="D7" i="37"/>
  <c r="V147" i="34"/>
  <c r="Y176" i="34"/>
  <c r="W16" i="85"/>
  <c r="AV9" i="85"/>
  <c r="AV8" i="85"/>
  <c r="T173" i="154"/>
  <c r="B200" i="154"/>
  <c r="H174" i="154"/>
  <c r="H173" i="154"/>
  <c r="T174" i="154"/>
  <c r="V141" i="154"/>
  <c r="U141" i="154"/>
  <c r="S141" i="154"/>
  <c r="N141" i="154"/>
  <c r="A148" i="154"/>
  <c r="A156" i="154"/>
  <c r="L140" i="154"/>
  <c r="I140" i="154"/>
  <c r="I136" i="154"/>
  <c r="A140" i="154"/>
  <c r="A145" i="154"/>
  <c r="A153" i="154"/>
  <c r="J140" i="154"/>
  <c r="A136" i="154"/>
  <c r="I137" i="154"/>
  <c r="L141" i="154"/>
  <c r="A141" i="154"/>
  <c r="A146" i="154"/>
  <c r="A154" i="154"/>
  <c r="J141" i="154"/>
  <c r="I141" i="154"/>
  <c r="U140" i="154"/>
  <c r="V140" i="154"/>
  <c r="S140" i="154"/>
  <c r="N140" i="154"/>
  <c r="A147" i="154"/>
  <c r="A155" i="154"/>
  <c r="AC273" i="182"/>
  <c r="AC271" i="182"/>
  <c r="AC272" i="182"/>
  <c r="AG238" i="182"/>
  <c r="AE238" i="182"/>
  <c r="AE234" i="182"/>
  <c r="T234" i="182"/>
  <c r="T231" i="182"/>
  <c r="U238" i="182"/>
  <c r="AD238" i="182"/>
  <c r="AJ207" i="182"/>
  <c r="AG239" i="182"/>
  <c r="U239" i="182"/>
  <c r="AD239" i="182"/>
  <c r="AE239" i="182"/>
  <c r="AV12" i="221"/>
  <c r="F129" i="196"/>
  <c r="G129" i="196"/>
  <c r="I129" i="196"/>
  <c r="A129" i="196"/>
  <c r="AI171" i="182"/>
  <c r="P129" i="196"/>
  <c r="R129" i="196"/>
  <c r="O129" i="196"/>
  <c r="K129" i="196"/>
  <c r="O128" i="196"/>
  <c r="R128" i="196"/>
  <c r="P128" i="196"/>
  <c r="K128" i="196"/>
  <c r="E159" i="196"/>
  <c r="N159" i="196"/>
  <c r="C182" i="196"/>
  <c r="E158" i="196"/>
  <c r="N158" i="196"/>
  <c r="G128" i="196"/>
  <c r="A128" i="196"/>
  <c r="S125" i="196"/>
  <c r="I128" i="196"/>
  <c r="E125" i="196"/>
  <c r="F128" i="196"/>
  <c r="M125" i="196"/>
  <c r="AJ206" i="182"/>
  <c r="AK206" i="182"/>
  <c r="AJ209" i="182"/>
  <c r="AK209" i="182"/>
  <c r="U241" i="182"/>
  <c r="AD241" i="182"/>
  <c r="AG241" i="182"/>
  <c r="AE241" i="182"/>
  <c r="U240" i="182"/>
  <c r="AG240" i="182"/>
  <c r="AE240" i="182"/>
  <c r="AD240" i="182"/>
  <c r="E39" i="146"/>
  <c r="F39" i="146"/>
  <c r="B39" i="146"/>
  <c r="C39" i="146"/>
  <c r="I39" i="146"/>
  <c r="H39" i="146"/>
  <c r="G39" i="146"/>
  <c r="Q206" i="182"/>
  <c r="R206" i="182"/>
  <c r="P219" i="197"/>
  <c r="O187" i="197"/>
  <c r="H43" i="146"/>
  <c r="E43" i="146"/>
  <c r="I43" i="146"/>
  <c r="G43" i="146"/>
  <c r="F43" i="146"/>
  <c r="B43" i="146"/>
  <c r="C43" i="146"/>
  <c r="W23" i="82"/>
  <c r="AV11" i="82"/>
  <c r="Q143" i="182"/>
  <c r="AC270" i="182"/>
  <c r="J241" i="182"/>
  <c r="H35" i="146"/>
  <c r="B35" i="146"/>
  <c r="C35" i="146"/>
  <c r="Q142" i="182"/>
  <c r="AJ208" i="182"/>
  <c r="A167" i="182"/>
  <c r="J239" i="182"/>
  <c r="J272" i="182"/>
  <c r="K272" i="182"/>
  <c r="J271" i="182"/>
  <c r="P294" i="182"/>
  <c r="J305" i="182"/>
  <c r="J273" i="182"/>
  <c r="N273" i="182"/>
  <c r="J270" i="182"/>
  <c r="B270" i="182"/>
  <c r="B177" i="182"/>
  <c r="J240" i="182"/>
  <c r="J238" i="182"/>
  <c r="B174" i="182"/>
  <c r="K177" i="182"/>
  <c r="L177" i="182"/>
  <c r="R177" i="182"/>
  <c r="L170" i="182"/>
  <c r="K174" i="182"/>
  <c r="R176" i="182"/>
  <c r="B207" i="182"/>
  <c r="N207" i="182"/>
  <c r="L207" i="182"/>
  <c r="Q208" i="182"/>
  <c r="R208" i="182"/>
  <c r="A170" i="182"/>
  <c r="N174" i="182"/>
  <c r="Q145" i="182"/>
  <c r="R145" i="182"/>
  <c r="P139" i="182"/>
  <c r="N208" i="182"/>
  <c r="B208" i="182"/>
  <c r="K208" i="182"/>
  <c r="K209" i="182"/>
  <c r="R174" i="182"/>
  <c r="B209" i="182"/>
  <c r="L209" i="182"/>
  <c r="P107" i="182"/>
  <c r="P75" i="182"/>
  <c r="F35" i="146"/>
  <c r="G35" i="146"/>
  <c r="E35" i="146"/>
  <c r="H351" i="33"/>
  <c r="B354" i="33"/>
  <c r="H360" i="33"/>
  <c r="B357" i="33"/>
  <c r="S357" i="33"/>
  <c r="P354" i="33"/>
  <c r="L357" i="33"/>
  <c r="B360" i="33"/>
  <c r="AS423" i="33"/>
  <c r="AR444" i="33"/>
  <c r="U393" i="33"/>
  <c r="AS393" i="33"/>
  <c r="U423" i="33"/>
  <c r="S327" i="33"/>
  <c r="L327" i="33"/>
  <c r="B327" i="33"/>
  <c r="B330" i="33"/>
  <c r="B324" i="33"/>
  <c r="P324" i="33"/>
  <c r="H330" i="33"/>
  <c r="H321" i="33"/>
  <c r="AQ327" i="33"/>
  <c r="AJ327" i="33"/>
  <c r="AE321" i="33"/>
  <c r="AN324" i="33"/>
  <c r="Z330" i="33"/>
  <c r="Z327" i="33"/>
  <c r="AF330" i="33"/>
  <c r="Z324" i="33"/>
  <c r="AE351" i="33"/>
  <c r="AN354" i="33"/>
  <c r="AF360" i="33"/>
  <c r="Z360" i="33"/>
  <c r="Z354" i="33"/>
  <c r="AQ357" i="33"/>
  <c r="Z357" i="33"/>
  <c r="AJ357" i="33"/>
  <c r="AV10" i="84"/>
  <c r="D8" i="37"/>
  <c r="A9" i="37"/>
  <c r="Y205" i="34"/>
  <c r="V176" i="34"/>
  <c r="N174" i="154"/>
  <c r="A181" i="154"/>
  <c r="A189" i="154"/>
  <c r="U174" i="154"/>
  <c r="V174" i="154"/>
  <c r="S174" i="154"/>
  <c r="A169" i="154"/>
  <c r="L173" i="154"/>
  <c r="I170" i="154"/>
  <c r="A173" i="154"/>
  <c r="A178" i="154"/>
  <c r="A186" i="154"/>
  <c r="I173" i="154"/>
  <c r="I169" i="154"/>
  <c r="J173" i="154"/>
  <c r="I174" i="154"/>
  <c r="L174" i="154"/>
  <c r="A174" i="154"/>
  <c r="A179" i="154"/>
  <c r="A187" i="154"/>
  <c r="J174" i="154"/>
  <c r="B233" i="154"/>
  <c r="H207" i="154"/>
  <c r="H206" i="154"/>
  <c r="T207" i="154"/>
  <c r="T206" i="154"/>
  <c r="V173" i="154"/>
  <c r="U173" i="154"/>
  <c r="S173" i="154"/>
  <c r="N173" i="154"/>
  <c r="A180" i="154"/>
  <c r="A188" i="154"/>
  <c r="AV13" i="221"/>
  <c r="AD273" i="182"/>
  <c r="U273" i="182"/>
  <c r="AE273" i="182"/>
  <c r="AG273" i="182"/>
  <c r="AK239" i="182"/>
  <c r="AJ239" i="182"/>
  <c r="AJ238" i="182"/>
  <c r="AK238" i="182"/>
  <c r="AK240" i="182"/>
  <c r="AJ240" i="182"/>
  <c r="AI203" i="182"/>
  <c r="R158" i="196"/>
  <c r="O158" i="196"/>
  <c r="K158" i="196"/>
  <c r="P158" i="196"/>
  <c r="S155" i="196"/>
  <c r="G158" i="196"/>
  <c r="I158" i="196"/>
  <c r="A158" i="196"/>
  <c r="F158" i="196"/>
  <c r="M155" i="196"/>
  <c r="E155" i="196"/>
  <c r="C212" i="196"/>
  <c r="N189" i="196"/>
  <c r="E189" i="196"/>
  <c r="N188" i="196"/>
  <c r="E188" i="196"/>
  <c r="AG272" i="182"/>
  <c r="U272" i="182"/>
  <c r="AE272" i="182"/>
  <c r="AD272" i="182"/>
  <c r="P159" i="196"/>
  <c r="R159" i="196"/>
  <c r="K159" i="196"/>
  <c r="O159" i="196"/>
  <c r="U271" i="182"/>
  <c r="AD271" i="182"/>
  <c r="AE271" i="182"/>
  <c r="AG271" i="182"/>
  <c r="T263" i="182"/>
  <c r="T266" i="182"/>
  <c r="AG270" i="182"/>
  <c r="AE266" i="182"/>
  <c r="AD270" i="182"/>
  <c r="U270" i="182"/>
  <c r="AE270" i="182"/>
  <c r="G159" i="196"/>
  <c r="F159" i="196"/>
  <c r="I159" i="196"/>
  <c r="A159" i="196"/>
  <c r="AK241" i="182"/>
  <c r="AJ241" i="182"/>
  <c r="AI326" i="182"/>
  <c r="AC303" i="182"/>
  <c r="AC305" i="182"/>
  <c r="AC302" i="182"/>
  <c r="AC304" i="182"/>
  <c r="P250" i="197"/>
  <c r="O218" i="197"/>
  <c r="B273" i="182"/>
  <c r="K273" i="182"/>
  <c r="J303" i="182"/>
  <c r="P326" i="182"/>
  <c r="J304" i="182"/>
  <c r="A266" i="182"/>
  <c r="A263" i="182"/>
  <c r="N271" i="182"/>
  <c r="L271" i="182"/>
  <c r="B241" i="182"/>
  <c r="N241" i="182"/>
  <c r="K241" i="182"/>
  <c r="L241" i="182"/>
  <c r="B272" i="182"/>
  <c r="Q177" i="182"/>
  <c r="N272" i="182"/>
  <c r="L272" i="182"/>
  <c r="J302" i="182"/>
  <c r="B302" i="182"/>
  <c r="K271" i="182"/>
  <c r="B271" i="182"/>
  <c r="L273" i="182"/>
  <c r="R273" i="182"/>
  <c r="L266" i="182"/>
  <c r="N270" i="182"/>
  <c r="K270" i="182"/>
  <c r="L270" i="182"/>
  <c r="P171" i="182"/>
  <c r="L239" i="182"/>
  <c r="K239" i="182"/>
  <c r="B239" i="182"/>
  <c r="N239" i="182"/>
  <c r="A234" i="182"/>
  <c r="K238" i="182"/>
  <c r="L238" i="182"/>
  <c r="B238" i="182"/>
  <c r="A231" i="182"/>
  <c r="L234" i="182"/>
  <c r="N238" i="182"/>
  <c r="B240" i="182"/>
  <c r="L240" i="182"/>
  <c r="N240" i="182"/>
  <c r="K240" i="182"/>
  <c r="R207" i="182"/>
  <c r="Q207" i="182"/>
  <c r="Q209" i="182"/>
  <c r="R209" i="182"/>
  <c r="Z393" i="33"/>
  <c r="AE384" i="33"/>
  <c r="AQ390" i="33"/>
  <c r="AN387" i="33"/>
  <c r="AJ390" i="33"/>
  <c r="Z390" i="33"/>
  <c r="AF393" i="33"/>
  <c r="Z387" i="33"/>
  <c r="S390" i="33"/>
  <c r="H384" i="33"/>
  <c r="B393" i="33"/>
  <c r="H393" i="33"/>
  <c r="B387" i="33"/>
  <c r="L390" i="33"/>
  <c r="P387" i="33"/>
  <c r="B390" i="33"/>
  <c r="AR507" i="33"/>
  <c r="U486" i="33"/>
  <c r="AS486" i="33"/>
  <c r="U456" i="33"/>
  <c r="AS456" i="33"/>
  <c r="AE414" i="33"/>
  <c r="AQ420" i="33"/>
  <c r="Z417" i="33"/>
  <c r="AF423" i="33"/>
  <c r="AJ420" i="33"/>
  <c r="Z423" i="33"/>
  <c r="AN417" i="33"/>
  <c r="Z420" i="33"/>
  <c r="B420" i="33"/>
  <c r="L420" i="33"/>
  <c r="S420" i="33"/>
  <c r="B417" i="33"/>
  <c r="H423" i="33"/>
  <c r="H414" i="33"/>
  <c r="B423" i="33"/>
  <c r="P417" i="33"/>
  <c r="A10" i="37"/>
  <c r="D9" i="37"/>
  <c r="V205" i="34"/>
  <c r="Y234" i="34"/>
  <c r="S206" i="154"/>
  <c r="V206" i="154"/>
  <c r="N206" i="154"/>
  <c r="A213" i="154"/>
  <c r="A221" i="154"/>
  <c r="U206" i="154"/>
  <c r="N207" i="154"/>
  <c r="A214" i="154"/>
  <c r="A222" i="154"/>
  <c r="V207" i="154"/>
  <c r="U207" i="154"/>
  <c r="S207" i="154"/>
  <c r="J206" i="154"/>
  <c r="I203" i="154"/>
  <c r="I202" i="154"/>
  <c r="I206" i="154"/>
  <c r="A206" i="154"/>
  <c r="A211" i="154"/>
  <c r="A219" i="154"/>
  <c r="A202" i="154"/>
  <c r="L206" i="154"/>
  <c r="L207" i="154"/>
  <c r="A207" i="154"/>
  <c r="A212" i="154"/>
  <c r="A220" i="154"/>
  <c r="J207" i="154"/>
  <c r="I207" i="154"/>
  <c r="H239" i="154"/>
  <c r="T239" i="154"/>
  <c r="T240" i="154"/>
  <c r="H240" i="154"/>
  <c r="B266" i="154"/>
  <c r="AI235" i="182"/>
  <c r="AK270" i="182"/>
  <c r="AJ270" i="182"/>
  <c r="AI358" i="182"/>
  <c r="AC334" i="182"/>
  <c r="AC336" i="182"/>
  <c r="AC335" i="182"/>
  <c r="AC337" i="182"/>
  <c r="AK271" i="182"/>
  <c r="AJ271" i="182"/>
  <c r="A188" i="196"/>
  <c r="I188" i="196"/>
  <c r="S185" i="196"/>
  <c r="M185" i="196"/>
  <c r="F188" i="196"/>
  <c r="G188" i="196"/>
  <c r="E185" i="196"/>
  <c r="K188" i="196"/>
  <c r="R188" i="196"/>
  <c r="P188" i="196"/>
  <c r="O188" i="196"/>
  <c r="AK273" i="182"/>
  <c r="AJ273" i="182"/>
  <c r="AJ272" i="182"/>
  <c r="AK272" i="182"/>
  <c r="R189" i="196"/>
  <c r="K189" i="196"/>
  <c r="P189" i="196"/>
  <c r="O189" i="196"/>
  <c r="F189" i="196"/>
  <c r="G189" i="196"/>
  <c r="A189" i="196"/>
  <c r="I189" i="196"/>
  <c r="C242" i="196"/>
  <c r="N218" i="196"/>
  <c r="N219" i="196"/>
  <c r="E219" i="196"/>
  <c r="E218" i="196"/>
  <c r="AV14" i="221"/>
  <c r="AG304" i="182"/>
  <c r="AD304" i="182"/>
  <c r="U304" i="182"/>
  <c r="AE304" i="182"/>
  <c r="AG302" i="182"/>
  <c r="AE302" i="182"/>
  <c r="T295" i="182"/>
  <c r="AD302" i="182"/>
  <c r="T298" i="182"/>
  <c r="AE298" i="182"/>
  <c r="U302" i="182"/>
  <c r="AG305" i="182"/>
  <c r="AE305" i="182"/>
  <c r="U305" i="182"/>
  <c r="AD305" i="182"/>
  <c r="AD303" i="182"/>
  <c r="U303" i="182"/>
  <c r="AE303" i="182"/>
  <c r="AG303" i="182"/>
  <c r="L298" i="182"/>
  <c r="N302" i="182"/>
  <c r="K302" i="182"/>
  <c r="A298" i="182"/>
  <c r="L302" i="182"/>
  <c r="A295" i="182"/>
  <c r="P281" i="197"/>
  <c r="O249" i="197"/>
  <c r="B305" i="182"/>
  <c r="L305" i="182"/>
  <c r="K305" i="182"/>
  <c r="N305" i="182"/>
  <c r="R271" i="182"/>
  <c r="Q271" i="182"/>
  <c r="L304" i="182"/>
  <c r="K304" i="182"/>
  <c r="B304" i="182"/>
  <c r="N304" i="182"/>
  <c r="J335" i="182"/>
  <c r="J337" i="182"/>
  <c r="J334" i="182"/>
  <c r="P358" i="182"/>
  <c r="J336" i="182"/>
  <c r="R272" i="182"/>
  <c r="Q272" i="182"/>
  <c r="B303" i="182"/>
  <c r="L303" i="182"/>
  <c r="K303" i="182"/>
  <c r="N303" i="182"/>
  <c r="R270" i="182"/>
  <c r="Q270" i="182"/>
  <c r="Q273" i="182"/>
  <c r="AG331" i="323"/>
  <c r="N5" i="197"/>
  <c r="J5" i="197"/>
  <c r="N6" i="197"/>
  <c r="R241" i="182"/>
  <c r="Q241" i="182"/>
  <c r="P203" i="182"/>
  <c r="Q239" i="182"/>
  <c r="R239" i="182"/>
  <c r="R240" i="182"/>
  <c r="Q240" i="182"/>
  <c r="R238" i="182"/>
  <c r="Q238" i="182"/>
  <c r="Z453" i="33"/>
  <c r="AE447" i="33"/>
  <c r="Z456" i="33"/>
  <c r="AQ453" i="33"/>
  <c r="AN450" i="33"/>
  <c r="AF456" i="33"/>
  <c r="AJ453" i="33"/>
  <c r="Z450" i="33"/>
  <c r="P450" i="33"/>
  <c r="B453" i="33"/>
  <c r="B456" i="33"/>
  <c r="H456" i="33"/>
  <c r="L453" i="33"/>
  <c r="H447" i="33"/>
  <c r="S453" i="33"/>
  <c r="B450" i="33"/>
  <c r="AF486" i="33"/>
  <c r="AN480" i="33"/>
  <c r="Z480" i="33"/>
  <c r="Z483" i="33"/>
  <c r="AE477" i="33"/>
  <c r="AJ483" i="33"/>
  <c r="Z486" i="33"/>
  <c r="AQ483" i="33"/>
  <c r="P480" i="33"/>
  <c r="B483" i="33"/>
  <c r="H486" i="33"/>
  <c r="B486" i="33"/>
  <c r="S483" i="33"/>
  <c r="L483" i="33"/>
  <c r="H477" i="33"/>
  <c r="B480" i="33"/>
  <c r="U549" i="33"/>
  <c r="AS549" i="33"/>
  <c r="AR570" i="33"/>
  <c r="U519" i="33"/>
  <c r="AS519" i="33"/>
  <c r="A11" i="37"/>
  <c r="D10" i="37"/>
  <c r="V234" i="34"/>
  <c r="Y263" i="34"/>
  <c r="I239" i="154"/>
  <c r="A239" i="154"/>
  <c r="A244" i="154"/>
  <c r="A252" i="154"/>
  <c r="I236" i="154"/>
  <c r="A235" i="154"/>
  <c r="J239" i="154"/>
  <c r="L239" i="154"/>
  <c r="I235" i="154"/>
  <c r="H272" i="154"/>
  <c r="T272" i="154"/>
  <c r="H273" i="154"/>
  <c r="T273" i="154"/>
  <c r="B299" i="154"/>
  <c r="L240" i="154"/>
  <c r="J240" i="154"/>
  <c r="A240" i="154"/>
  <c r="A245" i="154"/>
  <c r="A253" i="154"/>
  <c r="I240" i="154"/>
  <c r="V240" i="154"/>
  <c r="U240" i="154"/>
  <c r="N240" i="154"/>
  <c r="A247" i="154"/>
  <c r="A255" i="154"/>
  <c r="S240" i="154"/>
  <c r="N239" i="154"/>
  <c r="A246" i="154"/>
  <c r="A254" i="154"/>
  <c r="U239" i="154"/>
  <c r="S239" i="154"/>
  <c r="V239" i="154"/>
  <c r="AK305" i="182"/>
  <c r="AJ305" i="182"/>
  <c r="AJ302" i="182"/>
  <c r="AK302" i="182"/>
  <c r="I218" i="196"/>
  <c r="M215" i="196"/>
  <c r="E215" i="196"/>
  <c r="F218" i="196"/>
  <c r="G218" i="196"/>
  <c r="S215" i="196"/>
  <c r="A218" i="196"/>
  <c r="G219" i="196"/>
  <c r="A219" i="196"/>
  <c r="F219" i="196"/>
  <c r="I219" i="196"/>
  <c r="AK304" i="182"/>
  <c r="AJ304" i="182"/>
  <c r="R219" i="196"/>
  <c r="K219" i="196"/>
  <c r="P219" i="196"/>
  <c r="O219" i="196"/>
  <c r="AE337" i="182"/>
  <c r="AG337" i="182"/>
  <c r="AD337" i="182"/>
  <c r="U337" i="182"/>
  <c r="P218" i="196"/>
  <c r="O218" i="196"/>
  <c r="R218" i="196"/>
  <c r="K218" i="196"/>
  <c r="AD335" i="182"/>
  <c r="AE335" i="182"/>
  <c r="AG335" i="182"/>
  <c r="U335" i="182"/>
  <c r="N249" i="196"/>
  <c r="E248" i="196"/>
  <c r="C272" i="196"/>
  <c r="E249" i="196"/>
  <c r="N248" i="196"/>
  <c r="AG336" i="182"/>
  <c r="AD336" i="182"/>
  <c r="AE336" i="182"/>
  <c r="U336" i="182"/>
  <c r="T330" i="182"/>
  <c r="AE334" i="182"/>
  <c r="AE330" i="182"/>
  <c r="AD334" i="182"/>
  <c r="T327" i="182"/>
  <c r="U334" i="182"/>
  <c r="AG334" i="182"/>
  <c r="AK303" i="182"/>
  <c r="AJ303" i="182"/>
  <c r="AI390" i="182"/>
  <c r="AC367" i="182"/>
  <c r="AC368" i="182"/>
  <c r="AC366" i="182"/>
  <c r="AC369" i="182"/>
  <c r="AV15" i="221"/>
  <c r="AI267" i="182"/>
  <c r="L334" i="182"/>
  <c r="A330" i="182"/>
  <c r="L330" i="182"/>
  <c r="N334" i="182"/>
  <c r="A327" i="182"/>
  <c r="B334" i="182"/>
  <c r="K334" i="182"/>
  <c r="K337" i="182"/>
  <c r="N337" i="182"/>
  <c r="L337" i="182"/>
  <c r="B337" i="182"/>
  <c r="L335" i="182"/>
  <c r="N335" i="182"/>
  <c r="K335" i="182"/>
  <c r="B335" i="182"/>
  <c r="R302" i="182"/>
  <c r="Q302" i="182"/>
  <c r="P267" i="182"/>
  <c r="Q305" i="182"/>
  <c r="R305" i="182"/>
  <c r="P312" i="197"/>
  <c r="O280" i="197"/>
  <c r="R303" i="182"/>
  <c r="Q303" i="182"/>
  <c r="N336" i="182"/>
  <c r="B336" i="182"/>
  <c r="K336" i="182"/>
  <c r="L336" i="182"/>
  <c r="J366" i="182"/>
  <c r="J368" i="182"/>
  <c r="J369" i="182"/>
  <c r="J367" i="182"/>
  <c r="P390" i="182"/>
  <c r="Q304" i="182"/>
  <c r="R304" i="182"/>
  <c r="T20" i="6"/>
  <c r="DD35" i="12"/>
  <c r="E10" i="78"/>
  <c r="E9" i="82"/>
  <c r="DC23" i="31"/>
  <c r="AQ56" i="12"/>
  <c r="D12" i="12"/>
  <c r="T15" i="6"/>
  <c r="AD29" i="12"/>
  <c r="DC15" i="31"/>
  <c r="BD23" i="12"/>
  <c r="D63" i="12"/>
  <c r="E21" i="70"/>
  <c r="BC41" i="31"/>
  <c r="BQ9" i="12"/>
  <c r="AP45" i="31"/>
  <c r="AD8" i="12"/>
  <c r="E6" i="266"/>
  <c r="CC27" i="31"/>
  <c r="DD24" i="12"/>
  <c r="BP36" i="31"/>
  <c r="D12" i="31"/>
  <c r="AP12" i="31"/>
  <c r="E15" i="221"/>
  <c r="V31" i="6"/>
  <c r="E21" i="221"/>
  <c r="T24" i="6"/>
  <c r="T9" i="6"/>
  <c r="E5" i="272"/>
  <c r="AD30" i="12"/>
  <c r="AD50" i="12"/>
  <c r="AD65" i="12"/>
  <c r="AP11" i="31"/>
  <c r="AD12" i="12"/>
  <c r="DC29" i="31"/>
  <c r="E2" i="197"/>
  <c r="AP59" i="31"/>
  <c r="BD21" i="12"/>
  <c r="E8" i="71"/>
  <c r="S27" i="6"/>
  <c r="CC29" i="31"/>
  <c r="E11" i="71"/>
  <c r="N125" i="197"/>
  <c r="T16" i="6"/>
  <c r="BQ50" i="12"/>
  <c r="AC23" i="31"/>
  <c r="E15" i="75"/>
  <c r="E5" i="79"/>
  <c r="AP50" i="31"/>
  <c r="E10" i="273"/>
  <c r="D51" i="12"/>
  <c r="D23" i="12"/>
  <c r="T11" i="6"/>
  <c r="AD41" i="12"/>
  <c r="BC20" i="31"/>
  <c r="BP33" i="31"/>
  <c r="CD27" i="12"/>
  <c r="DC30" i="31"/>
  <c r="CQ42" i="12"/>
  <c r="S26" i="6"/>
  <c r="AC45" i="31"/>
  <c r="AD47" i="12"/>
  <c r="CP23" i="31"/>
  <c r="AD56" i="12"/>
  <c r="D18" i="12"/>
  <c r="BC21" i="31"/>
  <c r="DD21" i="12"/>
  <c r="BC27" i="31"/>
  <c r="BQ11" i="12"/>
  <c r="E18" i="272"/>
  <c r="BP9" i="31"/>
  <c r="D14" i="31"/>
  <c r="E10" i="74"/>
  <c r="W31" i="34"/>
  <c r="E7" i="86"/>
  <c r="V9" i="6"/>
  <c r="BD57" i="12"/>
  <c r="AD15" i="12"/>
  <c r="BQ35" i="12"/>
  <c r="E9" i="71"/>
  <c r="E14" i="75"/>
  <c r="AC32" i="31"/>
  <c r="BC14" i="31"/>
  <c r="E22" i="221"/>
  <c r="CD44" i="12"/>
  <c r="CC9" i="31"/>
  <c r="N63" i="197"/>
  <c r="AC39" i="31"/>
  <c r="E7" i="77"/>
  <c r="U31" i="34"/>
  <c r="E9" i="77"/>
  <c r="E10" i="272"/>
  <c r="V21" i="6"/>
  <c r="D17" i="31"/>
  <c r="BC48" i="31"/>
  <c r="E9" i="266"/>
  <c r="BC30" i="31"/>
  <c r="S18" i="6"/>
  <c r="E9" i="75"/>
  <c r="DP23" i="31"/>
  <c r="AC65" i="31"/>
  <c r="S13" i="6"/>
  <c r="E12" i="272"/>
  <c r="E8" i="82"/>
  <c r="BP20" i="31"/>
  <c r="BD12" i="12"/>
  <c r="AC24" i="31"/>
  <c r="S11" i="6"/>
  <c r="V22" i="6"/>
  <c r="E8" i="273"/>
  <c r="AQ59" i="12"/>
  <c r="ED11" i="12"/>
  <c r="AQ15" i="12"/>
  <c r="AD53" i="12"/>
  <c r="S71" i="12"/>
  <c r="U26" i="6"/>
  <c r="E12" i="221"/>
  <c r="E11" i="78"/>
  <c r="AQ63" i="12"/>
  <c r="E219" i="197"/>
  <c r="U14" i="6"/>
  <c r="AQ50" i="12"/>
  <c r="S12" i="6"/>
  <c r="CD26" i="12"/>
  <c r="BC29" i="31"/>
  <c r="V15" i="6"/>
  <c r="E10" i="76"/>
  <c r="AQ41" i="12"/>
  <c r="N1" i="197"/>
  <c r="CQ30" i="12"/>
  <c r="BD51" i="12"/>
  <c r="AP17" i="31"/>
  <c r="CQ21" i="12"/>
  <c r="CP32" i="31"/>
  <c r="E13" i="71"/>
  <c r="BP21" i="31"/>
  <c r="E5" i="77"/>
  <c r="T27" i="6"/>
  <c r="BP11" i="31"/>
  <c r="E14" i="77"/>
  <c r="E9" i="221"/>
  <c r="CQ12" i="12"/>
  <c r="D9" i="31"/>
  <c r="E11" i="80"/>
  <c r="E13" i="76"/>
  <c r="CQ23" i="12"/>
  <c r="E7" i="76"/>
  <c r="E5" i="70"/>
  <c r="EC8" i="31"/>
  <c r="AC15" i="31"/>
  <c r="BD8" i="12"/>
  <c r="EC15" i="31"/>
  <c r="E15" i="272"/>
  <c r="BD56" i="12"/>
  <c r="T22" i="6"/>
  <c r="DD11" i="12"/>
  <c r="CQ32" i="12"/>
  <c r="BP39" i="31"/>
  <c r="D36" i="31"/>
  <c r="AQ9" i="12"/>
  <c r="E14" i="70"/>
  <c r="T14" i="6"/>
  <c r="D21" i="31"/>
  <c r="AP27" i="31"/>
  <c r="DD36" i="12"/>
  <c r="AC33" i="31"/>
  <c r="AC20" i="31"/>
  <c r="CC38" i="31"/>
  <c r="E16" i="273"/>
  <c r="E6" i="86"/>
  <c r="BD18" i="12"/>
  <c r="E7" i="79"/>
  <c r="CC23" i="31"/>
  <c r="U19" i="6"/>
  <c r="DQ15" i="12"/>
  <c r="E24" i="221"/>
  <c r="U147" i="34"/>
  <c r="CC14" i="31"/>
  <c r="E6" i="80"/>
  <c r="CD45" i="12"/>
  <c r="DQ26" i="12"/>
  <c r="BD11" i="12"/>
  <c r="DQ24" i="12"/>
  <c r="AC62" i="31"/>
  <c r="AP53" i="31"/>
  <c r="AQ20" i="12"/>
  <c r="CC11" i="31"/>
  <c r="AP51" i="31"/>
  <c r="U13" i="6"/>
  <c r="AQ17" i="12"/>
  <c r="D8" i="31"/>
  <c r="BQ27" i="12"/>
  <c r="CQ38" i="12"/>
  <c r="E7" i="80"/>
  <c r="EC12" i="31"/>
  <c r="E12" i="74"/>
  <c r="E13" i="77"/>
  <c r="CD39" i="12"/>
  <c r="CC32" i="31"/>
  <c r="AC42" i="31"/>
  <c r="D48" i="12"/>
  <c r="DD20" i="12"/>
  <c r="DQ14" i="12"/>
  <c r="DD26" i="12"/>
  <c r="E8" i="84"/>
  <c r="BC24" i="31"/>
  <c r="E11" i="266"/>
  <c r="CP38" i="31"/>
  <c r="BQ20" i="12"/>
  <c r="CP30" i="31"/>
  <c r="AD23" i="12"/>
  <c r="D14" i="12"/>
  <c r="D15" i="12"/>
  <c r="E14" i="76"/>
  <c r="D21" i="12"/>
  <c r="AP56" i="31"/>
  <c r="EC14" i="31"/>
  <c r="AP36" i="31"/>
  <c r="AC27" i="31"/>
  <c r="BC50" i="31"/>
  <c r="BC8" i="31"/>
  <c r="BP32" i="31"/>
  <c r="CP17" i="31"/>
  <c r="AP54" i="31"/>
  <c r="CD35" i="12"/>
  <c r="E6" i="71"/>
  <c r="U17" i="6"/>
  <c r="D39" i="12"/>
  <c r="D41" i="31"/>
  <c r="E10" i="70"/>
  <c r="AD11" i="12"/>
  <c r="E5" i="82"/>
  <c r="S16" i="6"/>
  <c r="S15" i="6"/>
  <c r="BQ48" i="12"/>
  <c r="CP21" i="31"/>
  <c r="AP23" i="31"/>
  <c r="E7" i="71"/>
  <c r="CC45" i="31"/>
  <c r="D30" i="12"/>
  <c r="E16" i="272"/>
  <c r="D9" i="12"/>
  <c r="BD59" i="12"/>
  <c r="D33" i="12"/>
  <c r="BD54" i="12"/>
  <c r="BC54" i="31"/>
  <c r="E7" i="75"/>
  <c r="BD53" i="12"/>
  <c r="G118" i="34"/>
  <c r="E8" i="80"/>
  <c r="D45" i="31"/>
  <c r="E5" i="78"/>
  <c r="BP27" i="31"/>
  <c r="S23" i="6"/>
  <c r="BQ42" i="12"/>
  <c r="BC15" i="31"/>
  <c r="DD29" i="12"/>
  <c r="D45" i="12"/>
  <c r="E157" i="197"/>
  <c r="U10" i="6"/>
  <c r="E6" i="221"/>
  <c r="ED14" i="12"/>
  <c r="EC11" i="31"/>
  <c r="BP14" i="31"/>
  <c r="V32" i="6"/>
  <c r="CD14" i="12"/>
  <c r="BQ38" i="12"/>
  <c r="E15" i="70"/>
  <c r="DP20" i="31"/>
  <c r="E11" i="75"/>
  <c r="D26" i="12"/>
  <c r="S29" i="6"/>
  <c r="BP51" i="31"/>
  <c r="AP39" i="31"/>
  <c r="AC47" i="31"/>
  <c r="BD24" i="12"/>
  <c r="BD33" i="12"/>
  <c r="E8" i="266"/>
  <c r="D32" i="12"/>
  <c r="AD38" i="12"/>
  <c r="T10" i="6"/>
  <c r="AD26" i="12"/>
  <c r="E21" i="71"/>
  <c r="E14" i="71"/>
  <c r="DD12" i="12"/>
  <c r="AD9" i="12"/>
  <c r="D57" i="31"/>
  <c r="E12" i="75"/>
  <c r="BP42" i="31"/>
  <c r="T31" i="6"/>
  <c r="AD59" i="12"/>
  <c r="BP18" i="31"/>
  <c r="P63" i="197"/>
  <c r="AC54" i="31"/>
  <c r="E18" i="221"/>
  <c r="D39" i="31"/>
  <c r="CC36" i="31"/>
  <c r="AQ62" i="12"/>
  <c r="AP60" i="31"/>
  <c r="U23" i="6"/>
  <c r="CD47" i="12"/>
  <c r="E9" i="76"/>
  <c r="D53" i="31"/>
  <c r="T19" i="6"/>
  <c r="D35" i="31"/>
  <c r="E19" i="71"/>
  <c r="BQ47" i="12"/>
  <c r="CD42" i="12"/>
  <c r="E5" i="221"/>
  <c r="BC17" i="31"/>
  <c r="AD45" i="12"/>
  <c r="BP26" i="31"/>
  <c r="AQ66" i="12"/>
  <c r="E15" i="76"/>
  <c r="AC21" i="31"/>
  <c r="BD41" i="12"/>
  <c r="E12" i="71"/>
  <c r="E12" i="77"/>
  <c r="AC63" i="31"/>
  <c r="BD45" i="12"/>
  <c r="CQ8" i="12"/>
  <c r="CC21" i="31"/>
  <c r="D63" i="31"/>
  <c r="DP21" i="31"/>
  <c r="AP62" i="31"/>
  <c r="E17" i="74"/>
  <c r="AQ32" i="12"/>
  <c r="W89" i="34"/>
  <c r="BC56" i="31"/>
  <c r="S68" i="12"/>
  <c r="BP29" i="31"/>
  <c r="CD18" i="12"/>
  <c r="CQ9" i="12"/>
  <c r="CD38" i="12"/>
  <c r="AC18" i="31"/>
  <c r="E7" i="273"/>
  <c r="AP33" i="31"/>
  <c r="DC11" i="31"/>
  <c r="DC8" i="31"/>
  <c r="E11" i="70"/>
  <c r="CQ41" i="12"/>
  <c r="E126" i="197"/>
  <c r="CC33" i="31"/>
  <c r="E11" i="79"/>
  <c r="AP38" i="31"/>
  <c r="AQ51" i="12"/>
  <c r="D44" i="12"/>
  <c r="E13" i="273"/>
  <c r="BC42" i="31"/>
  <c r="E13" i="221"/>
  <c r="E9" i="74"/>
  <c r="U30" i="6"/>
  <c r="D24" i="31"/>
  <c r="CQ29" i="12"/>
  <c r="CQ24" i="12"/>
  <c r="BC12" i="31"/>
  <c r="T18" i="6"/>
  <c r="G176" i="34"/>
  <c r="E19" i="273"/>
  <c r="U9" i="6"/>
  <c r="AQ42" i="12"/>
  <c r="E6" i="70"/>
  <c r="U15" i="6"/>
  <c r="CC35" i="31"/>
  <c r="AQ38" i="12"/>
  <c r="P94" i="197"/>
  <c r="AC51" i="31"/>
  <c r="AC30" i="31"/>
  <c r="D50" i="31"/>
  <c r="E11" i="76"/>
  <c r="AD33" i="12"/>
  <c r="CQ14" i="12"/>
  <c r="AP35" i="31"/>
  <c r="E64" i="197"/>
  <c r="D29" i="12"/>
  <c r="E95" i="197"/>
  <c r="T32" i="6"/>
  <c r="CQ35" i="12"/>
  <c r="E7" i="70"/>
  <c r="CD17" i="12"/>
  <c r="E7" i="272"/>
  <c r="E9" i="70"/>
  <c r="AQ30" i="12"/>
  <c r="N187" i="197"/>
  <c r="AD63" i="12"/>
  <c r="G2" i="34"/>
  <c r="S32" i="6"/>
  <c r="W147" i="34"/>
  <c r="T13" i="6"/>
  <c r="BP17" i="31"/>
  <c r="CD33" i="12"/>
  <c r="U89" i="34"/>
  <c r="E6" i="79"/>
  <c r="DC14" i="31"/>
  <c r="CC39" i="31"/>
  <c r="CD9" i="12"/>
  <c r="AC68" i="31"/>
  <c r="AQ45" i="12"/>
  <c r="E5" i="86"/>
  <c r="CP29" i="31"/>
  <c r="E22" i="273"/>
  <c r="E6" i="76"/>
  <c r="U2" i="34"/>
  <c r="BD9" i="12"/>
  <c r="DP26" i="31"/>
  <c r="E9" i="79"/>
  <c r="EC18" i="31"/>
  <c r="D23" i="31"/>
  <c r="E19" i="221"/>
  <c r="EC21" i="31"/>
  <c r="E15" i="77"/>
  <c r="BD42" i="12"/>
  <c r="DC24" i="31"/>
  <c r="DC12" i="31"/>
  <c r="BQ53" i="12"/>
  <c r="BQ26" i="12"/>
  <c r="V29" i="6"/>
  <c r="E17" i="221"/>
  <c r="BD30" i="12"/>
  <c r="D60" i="31"/>
  <c r="CQ17" i="12"/>
  <c r="D56" i="31"/>
  <c r="V28" i="6"/>
  <c r="E17" i="75"/>
  <c r="E8" i="78"/>
  <c r="AD42" i="12"/>
  <c r="CD20" i="12"/>
  <c r="E17" i="272"/>
  <c r="E6" i="77"/>
  <c r="E20" i="71"/>
  <c r="AP47" i="31"/>
  <c r="AP24" i="31"/>
  <c r="AD14" i="12"/>
  <c r="BD39" i="12"/>
  <c r="AC12" i="31"/>
  <c r="CP33" i="31"/>
  <c r="S14" i="6"/>
  <c r="BQ8" i="12"/>
  <c r="AD54" i="12"/>
  <c r="CD21" i="12"/>
  <c r="DD33" i="12"/>
  <c r="DP12" i="31"/>
  <c r="BD17" i="12"/>
  <c r="BC18" i="31"/>
  <c r="BC35" i="31"/>
  <c r="ED21" i="12"/>
  <c r="S65" i="12"/>
  <c r="CD8" i="12"/>
  <c r="DD14" i="12"/>
  <c r="BP45" i="31"/>
  <c r="AP20" i="31"/>
  <c r="U27" i="6"/>
  <c r="AC44" i="31"/>
  <c r="S66" i="12"/>
  <c r="CQ27" i="12"/>
  <c r="ED18" i="12"/>
  <c r="D42" i="12"/>
  <c r="S25" i="6"/>
  <c r="E6" i="84"/>
  <c r="D66" i="12"/>
  <c r="DQ23" i="12"/>
  <c r="P32" i="197"/>
  <c r="V23" i="6"/>
  <c r="E21" i="273"/>
  <c r="E13" i="75"/>
  <c r="D50" i="12"/>
  <c r="E8" i="221"/>
  <c r="DD32" i="12"/>
  <c r="E6" i="78"/>
  <c r="AQ65" i="12"/>
  <c r="DD27" i="12"/>
  <c r="AC50" i="31"/>
  <c r="AQ47" i="12"/>
  <c r="AD35" i="12"/>
  <c r="BP8" i="31"/>
  <c r="AP29" i="31"/>
  <c r="CD29" i="12"/>
  <c r="E16" i="76"/>
  <c r="AD27" i="12"/>
  <c r="BD60" i="12"/>
  <c r="CD36" i="12"/>
  <c r="P156" i="197"/>
  <c r="D47" i="31"/>
  <c r="AP48" i="31"/>
  <c r="AD66" i="12"/>
  <c r="E33" i="197"/>
  <c r="U31" i="6"/>
  <c r="E5" i="266"/>
  <c r="E8" i="85"/>
  <c r="CP20" i="31"/>
  <c r="E12" i="80"/>
  <c r="CQ33" i="12"/>
  <c r="D11" i="31"/>
  <c r="E20" i="221"/>
  <c r="E18" i="273"/>
  <c r="AQ18" i="12"/>
  <c r="BD44" i="12"/>
  <c r="DQ9" i="12"/>
  <c r="E8" i="76"/>
  <c r="CC18" i="31"/>
  <c r="E9" i="84"/>
  <c r="D20" i="12"/>
  <c r="P218" i="197"/>
  <c r="ED24" i="12"/>
  <c r="E16" i="74"/>
  <c r="E16" i="75"/>
  <c r="BD15" i="12"/>
  <c r="CP24" i="31"/>
  <c r="BC57" i="31"/>
  <c r="D11" i="12"/>
  <c r="BC53" i="31"/>
  <c r="E15" i="74"/>
  <c r="P125" i="197"/>
  <c r="AP15" i="31"/>
  <c r="V10" i="6"/>
  <c r="CP39" i="31"/>
  <c r="CD24" i="12"/>
  <c r="S24" i="6"/>
  <c r="D33" i="31"/>
  <c r="DQ21" i="12"/>
  <c r="BP30" i="31"/>
  <c r="AQ60" i="12"/>
  <c r="AQ29" i="12"/>
  <c r="E6" i="272"/>
  <c r="AQ33" i="12"/>
  <c r="CQ18" i="12"/>
  <c r="AD48" i="12"/>
  <c r="E10" i="75"/>
  <c r="E10" i="266"/>
  <c r="V14" i="6"/>
  <c r="S22" i="6"/>
  <c r="CP11" i="31"/>
  <c r="AQ23" i="12"/>
  <c r="W176" i="34"/>
  <c r="DD30" i="12"/>
  <c r="ED17" i="12"/>
  <c r="AC26" i="31"/>
  <c r="BP41" i="31"/>
  <c r="AD51" i="12"/>
  <c r="BD50" i="12"/>
  <c r="E5" i="75"/>
  <c r="CD32" i="12"/>
  <c r="BQ36" i="12"/>
  <c r="CD41" i="12"/>
  <c r="BQ32" i="12"/>
  <c r="CC17" i="31"/>
  <c r="DP9" i="31"/>
  <c r="DP11" i="31"/>
  <c r="AQ48" i="12"/>
  <c r="D48" i="31"/>
  <c r="E9" i="273"/>
  <c r="E12" i="79"/>
  <c r="U12" i="6"/>
  <c r="V27" i="6"/>
  <c r="E14" i="273"/>
  <c r="BQ23" i="12"/>
  <c r="DP15" i="31"/>
  <c r="E7" i="266"/>
  <c r="U22" i="6"/>
  <c r="E20" i="273"/>
  <c r="CD15" i="12"/>
  <c r="DQ30" i="12"/>
  <c r="E11" i="272"/>
  <c r="U24" i="6"/>
  <c r="E13" i="70"/>
  <c r="DC20" i="31"/>
  <c r="E7" i="74"/>
  <c r="D8" i="12"/>
  <c r="BP15" i="31"/>
  <c r="E14" i="74"/>
  <c r="E5" i="84"/>
  <c r="CD12" i="12"/>
  <c r="T29" i="6"/>
  <c r="E12" i="70"/>
  <c r="D29" i="31"/>
  <c r="V18" i="6"/>
  <c r="DQ12" i="12"/>
  <c r="E7" i="82"/>
  <c r="BC23" i="31"/>
  <c r="CP9" i="31"/>
  <c r="E7" i="78"/>
  <c r="N156" i="197"/>
  <c r="AC60" i="31"/>
  <c r="W60" i="34"/>
  <c r="ED20" i="12"/>
  <c r="CP8" i="31"/>
  <c r="AC36" i="31"/>
  <c r="BD48" i="12"/>
  <c r="AC41" i="31"/>
  <c r="AP57" i="31"/>
  <c r="E8" i="79"/>
  <c r="D30" i="31"/>
  <c r="BC36" i="31"/>
  <c r="CQ36" i="12"/>
  <c r="BQ54" i="12"/>
  <c r="AP30" i="31"/>
  <c r="ED15" i="12"/>
  <c r="E18" i="74"/>
  <c r="AQ14" i="12"/>
  <c r="AP18" i="31"/>
  <c r="E9" i="78"/>
  <c r="T12" i="6"/>
  <c r="DQ29" i="12"/>
  <c r="AP63" i="31"/>
  <c r="E6" i="74"/>
  <c r="E11" i="221"/>
  <c r="S31" i="6"/>
  <c r="AQ12" i="12"/>
  <c r="AC59" i="31"/>
  <c r="S69" i="12"/>
  <c r="E6" i="273"/>
  <c r="S19" i="6"/>
  <c r="D56" i="12"/>
  <c r="N94" i="197"/>
  <c r="E5" i="85"/>
  <c r="U20" i="6"/>
  <c r="E188" i="197"/>
  <c r="AC14" i="31"/>
  <c r="EC20" i="31"/>
  <c r="D24" i="12"/>
  <c r="E5" i="80"/>
  <c r="W118" i="34"/>
  <c r="D41" i="12"/>
  <c r="BQ18" i="12"/>
  <c r="AP9" i="31"/>
  <c r="E8" i="272"/>
  <c r="D35" i="12"/>
  <c r="E19" i="70"/>
  <c r="CC30" i="31"/>
  <c r="AD71" i="12"/>
  <c r="DC9" i="31"/>
  <c r="T25" i="6"/>
  <c r="D42" i="31"/>
  <c r="CP27" i="31"/>
  <c r="AD17" i="12"/>
  <c r="AC35" i="31"/>
  <c r="AD36" i="12"/>
  <c r="E14" i="221"/>
  <c r="ED23" i="12"/>
  <c r="AP41" i="31"/>
  <c r="D62" i="31"/>
  <c r="CQ26" i="12"/>
  <c r="E15" i="273"/>
  <c r="U28" i="6"/>
  <c r="AQ35" i="12"/>
  <c r="CP26" i="31"/>
  <c r="ED12" i="12"/>
  <c r="CC44" i="31"/>
  <c r="BP12" i="31"/>
  <c r="E13" i="74"/>
  <c r="AQ36" i="12"/>
  <c r="BD20" i="12"/>
  <c r="E14" i="78"/>
  <c r="CD23" i="12"/>
  <c r="EC9" i="31"/>
  <c r="V26" i="6"/>
  <c r="U29" i="6"/>
  <c r="CP15" i="31"/>
  <c r="DD8" i="12"/>
  <c r="N32" i="197"/>
  <c r="BQ44" i="12"/>
  <c r="CC8" i="31"/>
  <c r="E10" i="79"/>
  <c r="ED9" i="12"/>
  <c r="BD27" i="12"/>
  <c r="D27" i="12"/>
  <c r="E17" i="273"/>
  <c r="G147" i="34"/>
  <c r="E13" i="78"/>
  <c r="AP21" i="31"/>
  <c r="E17" i="70"/>
  <c r="D47" i="12"/>
  <c r="E23" i="273"/>
  <c r="U16" i="6"/>
  <c r="E20" i="70"/>
  <c r="DP27" i="31"/>
  <c r="E8" i="74"/>
  <c r="CD11" i="12"/>
  <c r="BD32" i="12"/>
  <c r="AC66" i="31"/>
  <c r="V11" i="6"/>
  <c r="AD18" i="12"/>
  <c r="E18" i="71"/>
  <c r="S72" i="12"/>
  <c r="V17" i="6"/>
  <c r="V19" i="6"/>
  <c r="BP44" i="31"/>
  <c r="N218" i="197"/>
  <c r="E22" i="70"/>
  <c r="E11" i="77"/>
  <c r="AP8" i="31"/>
  <c r="AP44" i="31"/>
  <c r="AP14" i="31"/>
  <c r="BQ21" i="12"/>
  <c r="E12" i="76"/>
  <c r="AQ21" i="12"/>
  <c r="BC32" i="31"/>
  <c r="AQ57" i="12"/>
  <c r="T21" i="6"/>
  <c r="DC18" i="31"/>
  <c r="D38" i="31"/>
  <c r="AQ53" i="12"/>
  <c r="DD23" i="12"/>
  <c r="D17" i="12"/>
  <c r="CP18" i="31"/>
  <c r="D44" i="31"/>
  <c r="E11" i="273"/>
  <c r="T26" i="6"/>
  <c r="G89" i="34"/>
  <c r="BD35" i="12"/>
  <c r="CC41" i="31"/>
  <c r="D18" i="31"/>
  <c r="U32" i="6"/>
  <c r="BQ14" i="12"/>
  <c r="AD69" i="12"/>
  <c r="BP35" i="31"/>
  <c r="BQ41" i="12"/>
  <c r="V20" i="6"/>
  <c r="AQ8" i="12"/>
  <c r="CD48" i="12"/>
  <c r="DD9" i="12"/>
  <c r="E10" i="71"/>
  <c r="BC39" i="31"/>
  <c r="AC53" i="31"/>
  <c r="AC57" i="31"/>
  <c r="BQ15" i="12"/>
  <c r="E6" i="85"/>
  <c r="CC24" i="31"/>
  <c r="V16" i="6"/>
  <c r="BD29" i="12"/>
  <c r="U118" i="34"/>
  <c r="DP18" i="31"/>
  <c r="AD72" i="12"/>
  <c r="BD38" i="12"/>
  <c r="E8" i="75"/>
  <c r="E10" i="82"/>
  <c r="BQ29" i="12"/>
  <c r="AC8" i="31"/>
  <c r="DQ8" i="12"/>
  <c r="CP35" i="31"/>
  <c r="AC38" i="31"/>
  <c r="E12" i="273"/>
  <c r="DC27" i="31"/>
  <c r="E17" i="71"/>
  <c r="AD68" i="12"/>
  <c r="D32" i="31"/>
  <c r="U21" i="6"/>
  <c r="CP36" i="31"/>
  <c r="E7" i="84"/>
  <c r="S30" i="6"/>
  <c r="BQ30" i="12"/>
  <c r="E13" i="272"/>
  <c r="AD21" i="12"/>
  <c r="E16" i="221"/>
  <c r="G31" i="34"/>
  <c r="BQ17" i="12"/>
  <c r="U176" i="34"/>
  <c r="BP24" i="31"/>
  <c r="BC44" i="31"/>
  <c r="V25" i="6"/>
  <c r="AP26" i="31"/>
  <c r="T17" i="6"/>
  <c r="CQ15" i="12"/>
  <c r="BD26" i="12"/>
  <c r="D57" i="12"/>
  <c r="S28" i="6"/>
  <c r="G205" i="34"/>
  <c r="AC17" i="31"/>
  <c r="AD20" i="12"/>
  <c r="E12" i="78"/>
  <c r="CP14" i="31"/>
  <c r="DC33" i="31"/>
  <c r="BC33" i="31"/>
  <c r="E5" i="71"/>
  <c r="AD44" i="12"/>
  <c r="CC26" i="31"/>
  <c r="DQ18" i="12"/>
  <c r="BC38" i="31"/>
  <c r="D59" i="12"/>
  <c r="V24" i="6"/>
  <c r="S10" i="6"/>
  <c r="AQ26" i="12"/>
  <c r="AC29" i="31"/>
  <c r="W2" i="34"/>
  <c r="BQ12" i="12"/>
  <c r="BQ39" i="12"/>
  <c r="AD32" i="12"/>
  <c r="BC45" i="31"/>
  <c r="DQ11" i="12"/>
  <c r="CC15" i="31"/>
  <c r="BQ45" i="12"/>
  <c r="T30" i="6"/>
  <c r="CQ39" i="12"/>
  <c r="BP23" i="31"/>
  <c r="DC21" i="31"/>
  <c r="E18" i="70"/>
  <c r="AD57" i="12"/>
  <c r="D54" i="31"/>
  <c r="G60" i="34"/>
  <c r="DQ27" i="12"/>
  <c r="E11" i="74"/>
  <c r="E5" i="273"/>
  <c r="BP48" i="31"/>
  <c r="S20" i="6"/>
  <c r="AC48" i="31"/>
  <c r="E8" i="70"/>
  <c r="D60" i="12"/>
  <c r="DC26" i="31"/>
  <c r="DP8" i="31"/>
  <c r="D20" i="31"/>
  <c r="CC20" i="31"/>
  <c r="BC9" i="31"/>
  <c r="D36" i="12"/>
  <c r="E9" i="80"/>
  <c r="E5" i="76"/>
  <c r="DC32" i="31"/>
  <c r="E15" i="71"/>
  <c r="DP17" i="31"/>
  <c r="E23" i="221"/>
  <c r="AQ54" i="12"/>
  <c r="AD60" i="12"/>
  <c r="AD39" i="12"/>
  <c r="ED8" i="12"/>
  <c r="AP32" i="31"/>
  <c r="BD14" i="12"/>
  <c r="DQ17" i="12"/>
  <c r="CC42" i="31"/>
  <c r="DP14" i="31"/>
  <c r="S17" i="6"/>
  <c r="P187" i="197"/>
  <c r="E9" i="272"/>
  <c r="S9" i="6"/>
  <c r="E6" i="75"/>
  <c r="D38" i="12"/>
  <c r="E14" i="272"/>
  <c r="AD62" i="12"/>
  <c r="AC69" i="31"/>
  <c r="E19" i="272"/>
  <c r="CQ11" i="12"/>
  <c r="E16" i="70"/>
  <c r="BQ33" i="12"/>
  <c r="E5" i="74"/>
  <c r="E7" i="221"/>
  <c r="D54" i="12"/>
  <c r="T28" i="6"/>
  <c r="D62" i="12"/>
  <c r="EC17" i="31"/>
  <c r="D26" i="31"/>
  <c r="AQ39" i="12"/>
  <c r="BP47" i="31"/>
  <c r="AQ27" i="12"/>
  <c r="D53" i="12"/>
  <c r="V30" i="6"/>
  <c r="D65" i="12"/>
  <c r="CD30" i="12"/>
  <c r="CC12" i="31"/>
  <c r="DD17" i="12"/>
  <c r="E8" i="77"/>
  <c r="E10" i="80"/>
  <c r="AP42" i="31"/>
  <c r="E16" i="71"/>
  <c r="BD47" i="12"/>
  <c r="CQ20" i="12"/>
  <c r="S21" i="6"/>
  <c r="BC47" i="31"/>
  <c r="D59" i="31"/>
  <c r="U25" i="6"/>
  <c r="AD24" i="12"/>
  <c r="DQ20" i="12"/>
  <c r="D51" i="31"/>
  <c r="BQ51" i="12"/>
  <c r="E10" i="221"/>
  <c r="BP50" i="31"/>
  <c r="BP38" i="31"/>
  <c r="AQ11" i="12"/>
  <c r="BQ24" i="12"/>
  <c r="E6" i="82"/>
  <c r="DD18" i="12"/>
  <c r="DP24" i="31"/>
  <c r="E7" i="85"/>
  <c r="D15" i="31"/>
  <c r="T23" i="6"/>
  <c r="CP12" i="31"/>
  <c r="AQ44" i="12"/>
  <c r="BC51" i="31"/>
  <c r="V12" i="6"/>
  <c r="D27" i="31"/>
  <c r="AQ24" i="12"/>
  <c r="BC11" i="31"/>
  <c r="DD15" i="12"/>
  <c r="U11" i="6"/>
  <c r="U18" i="6"/>
  <c r="E10" i="77"/>
  <c r="V13" i="6"/>
  <c r="AC11" i="31"/>
  <c r="E13" i="79"/>
  <c r="AC9" i="31"/>
  <c r="BD36" i="12"/>
  <c r="AC56" i="31"/>
  <c r="BC26" i="31"/>
  <c r="DC17" i="31"/>
  <c r="U60" i="34"/>
  <c r="W205" i="34"/>
  <c r="U205" i="34"/>
  <c r="N249" i="197"/>
  <c r="P249" i="197"/>
  <c r="E250" i="197"/>
  <c r="G234" i="34"/>
  <c r="W234" i="34"/>
  <c r="U234" i="34"/>
  <c r="A66" i="34"/>
  <c r="A73" i="34"/>
  <c r="A68" i="34"/>
  <c r="A75" i="34"/>
  <c r="H62" i="34"/>
  <c r="J68" i="34"/>
  <c r="C66" i="34"/>
  <c r="C73" i="34"/>
  <c r="G66" i="34"/>
  <c r="A67" i="34"/>
  <c r="A74" i="34"/>
  <c r="C67" i="34"/>
  <c r="C74" i="34"/>
  <c r="C69" i="34"/>
  <c r="C76" i="34"/>
  <c r="G69" i="34"/>
  <c r="J69" i="34"/>
  <c r="A63" i="34"/>
  <c r="J66" i="34"/>
  <c r="G67" i="34"/>
  <c r="C68" i="34"/>
  <c r="C75" i="34"/>
  <c r="A62" i="34"/>
  <c r="A69" i="34"/>
  <c r="A76" i="34"/>
  <c r="J67" i="34"/>
  <c r="G68" i="34"/>
  <c r="W13" i="6"/>
  <c r="W12" i="6"/>
  <c r="W30" i="6"/>
  <c r="N191" i="197"/>
  <c r="J191" i="197"/>
  <c r="N192" i="197"/>
  <c r="M69" i="34"/>
  <c r="M67" i="34"/>
  <c r="M66" i="34"/>
  <c r="M68" i="34"/>
  <c r="O4" i="34"/>
  <c r="V4" i="34"/>
  <c r="W24" i="6"/>
  <c r="M214" i="34"/>
  <c r="M211" i="34"/>
  <c r="M213" i="34"/>
  <c r="M212" i="34"/>
  <c r="W25" i="6"/>
  <c r="A178" i="34"/>
  <c r="J183" i="34"/>
  <c r="G182" i="34"/>
  <c r="J185" i="34"/>
  <c r="G185" i="34"/>
  <c r="J184" i="34"/>
  <c r="C182" i="34"/>
  <c r="C189" i="34"/>
  <c r="G184" i="34"/>
  <c r="A183" i="34"/>
  <c r="A190" i="34"/>
  <c r="C184" i="34"/>
  <c r="C191" i="34"/>
  <c r="C183" i="34"/>
  <c r="C190" i="34"/>
  <c r="A182" i="34"/>
  <c r="A189" i="34"/>
  <c r="C185" i="34"/>
  <c r="C192" i="34"/>
  <c r="A185" i="34"/>
  <c r="A192" i="34"/>
  <c r="J182" i="34"/>
  <c r="A179" i="34"/>
  <c r="A184" i="34"/>
  <c r="A191" i="34"/>
  <c r="G183" i="34"/>
  <c r="H178" i="34"/>
  <c r="M38" i="34"/>
  <c r="M40" i="34"/>
  <c r="M37" i="34"/>
  <c r="M39" i="34"/>
  <c r="C124" i="34"/>
  <c r="C131" i="34"/>
  <c r="A126" i="34"/>
  <c r="A133" i="34"/>
  <c r="J127" i="34"/>
  <c r="C126" i="34"/>
  <c r="C133" i="34"/>
  <c r="A120" i="34"/>
  <c r="A125" i="34"/>
  <c r="A132" i="34"/>
  <c r="A121" i="34"/>
  <c r="H120" i="34"/>
  <c r="C127" i="34"/>
  <c r="C134" i="34"/>
  <c r="A124" i="34"/>
  <c r="A131" i="34"/>
  <c r="A127" i="34"/>
  <c r="A134" i="34"/>
  <c r="G127" i="34"/>
  <c r="G125" i="34"/>
  <c r="G126" i="34"/>
  <c r="J125" i="34"/>
  <c r="J126" i="34"/>
  <c r="G124" i="34"/>
  <c r="C125" i="34"/>
  <c r="C132" i="34"/>
  <c r="J124" i="34"/>
  <c r="W16" i="6"/>
  <c r="W20" i="6"/>
  <c r="M96" i="34"/>
  <c r="M98" i="34"/>
  <c r="M95" i="34"/>
  <c r="M97" i="34"/>
  <c r="J227" i="197"/>
  <c r="C227" i="197"/>
  <c r="O226" i="197"/>
  <c r="F222" i="197"/>
  <c r="F226" i="197"/>
  <c r="F223" i="197"/>
  <c r="J226" i="197"/>
  <c r="N226" i="197"/>
  <c r="A222" i="197"/>
  <c r="E227" i="197"/>
  <c r="O227" i="197"/>
  <c r="L226" i="197"/>
  <c r="L227" i="197"/>
  <c r="C226" i="197"/>
  <c r="N227" i="197"/>
  <c r="A226" i="197"/>
  <c r="F227" i="197"/>
  <c r="E226" i="197"/>
  <c r="A227" i="197"/>
  <c r="W19" i="6"/>
  <c r="W17" i="6"/>
  <c r="W11" i="6"/>
  <c r="M153" i="34"/>
  <c r="M154" i="34"/>
  <c r="M155" i="34"/>
  <c r="M156" i="34"/>
  <c r="F37" i="197"/>
  <c r="F41" i="197"/>
  <c r="N40" i="197"/>
  <c r="J41" i="197"/>
  <c r="L41" i="197"/>
  <c r="F40" i="197"/>
  <c r="F36" i="197"/>
  <c r="E40" i="197"/>
  <c r="C41" i="197"/>
  <c r="A41" i="197"/>
  <c r="O40" i="197"/>
  <c r="J40" i="197"/>
  <c r="L40" i="197"/>
  <c r="C40" i="197"/>
  <c r="O41" i="197"/>
  <c r="E41" i="197"/>
  <c r="N41" i="197"/>
  <c r="A36" i="197"/>
  <c r="A40" i="197"/>
  <c r="W26" i="6"/>
  <c r="V120" i="34"/>
  <c r="O120" i="34"/>
  <c r="H196" i="197"/>
  <c r="H195" i="197"/>
  <c r="Q195" i="197"/>
  <c r="Q196" i="197"/>
  <c r="J102" i="197"/>
  <c r="C103" i="197"/>
  <c r="N103" i="197"/>
  <c r="F98" i="197"/>
  <c r="A103" i="197"/>
  <c r="E102" i="197"/>
  <c r="A98" i="197"/>
  <c r="F99" i="197"/>
  <c r="O102" i="197"/>
  <c r="F103" i="197"/>
  <c r="A102" i="197"/>
  <c r="J103" i="197"/>
  <c r="L102" i="197"/>
  <c r="C102" i="197"/>
  <c r="O103" i="197"/>
  <c r="L103" i="197"/>
  <c r="N102" i="197"/>
  <c r="E103" i="197"/>
  <c r="F102" i="197"/>
  <c r="N77" i="70"/>
  <c r="O62" i="34"/>
  <c r="V62" i="34"/>
  <c r="J164" i="197"/>
  <c r="F160" i="197"/>
  <c r="A160" i="197"/>
  <c r="L164" i="197"/>
  <c r="C164" i="197"/>
  <c r="F164" i="197"/>
  <c r="E164" i="197"/>
  <c r="J165" i="197"/>
  <c r="A165" i="197"/>
  <c r="N164" i="197"/>
  <c r="N165" i="197"/>
  <c r="L165" i="197"/>
  <c r="O164" i="197"/>
  <c r="F165" i="197"/>
  <c r="O165" i="197"/>
  <c r="C165" i="197"/>
  <c r="A164" i="197"/>
  <c r="F161" i="197"/>
  <c r="E165" i="197"/>
  <c r="W18" i="6"/>
  <c r="W27" i="6"/>
  <c r="V178" i="34"/>
  <c r="O178" i="34"/>
  <c r="W14" i="6"/>
  <c r="W10" i="6"/>
  <c r="N130" i="197"/>
  <c r="N129" i="197"/>
  <c r="J129" i="197"/>
  <c r="N223" i="197"/>
  <c r="N222" i="197"/>
  <c r="J222" i="197"/>
  <c r="Q40" i="197"/>
  <c r="H41" i="197"/>
  <c r="H40" i="197"/>
  <c r="Q41" i="197"/>
  <c r="J160" i="197"/>
  <c r="N161" i="197"/>
  <c r="N160" i="197"/>
  <c r="W23" i="6"/>
  <c r="N37" i="197"/>
  <c r="J36" i="197"/>
  <c r="N36" i="197"/>
  <c r="W28" i="6"/>
  <c r="W29" i="6"/>
  <c r="G8" i="34"/>
  <c r="C9" i="34"/>
  <c r="C16" i="34"/>
  <c r="J10" i="34"/>
  <c r="C10" i="34"/>
  <c r="C17" i="34"/>
  <c r="H4" i="34"/>
  <c r="J9" i="34"/>
  <c r="A9" i="34"/>
  <c r="A16" i="34"/>
  <c r="C8" i="34"/>
  <c r="C15" i="34"/>
  <c r="A11" i="34"/>
  <c r="A18" i="34"/>
  <c r="G11" i="34"/>
  <c r="A10" i="34"/>
  <c r="A17" i="34"/>
  <c r="A5" i="34"/>
  <c r="J8" i="34"/>
  <c r="J11" i="34"/>
  <c r="C11" i="34"/>
  <c r="C18" i="34"/>
  <c r="A8" i="34"/>
  <c r="A15" i="34"/>
  <c r="A4" i="34"/>
  <c r="G10" i="34"/>
  <c r="G9" i="34"/>
  <c r="A92" i="34"/>
  <c r="C98" i="34"/>
  <c r="C105" i="34"/>
  <c r="A97" i="34"/>
  <c r="A104" i="34"/>
  <c r="G98" i="34"/>
  <c r="C96" i="34"/>
  <c r="C103" i="34"/>
  <c r="G97" i="34"/>
  <c r="J95" i="34"/>
  <c r="H91" i="34"/>
  <c r="J96" i="34"/>
  <c r="G96" i="34"/>
  <c r="A95" i="34"/>
  <c r="A102" i="34"/>
  <c r="C97" i="34"/>
  <c r="C104" i="34"/>
  <c r="A96" i="34"/>
  <c r="A103" i="34"/>
  <c r="J98" i="34"/>
  <c r="J97" i="34"/>
  <c r="G95" i="34"/>
  <c r="C95" i="34"/>
  <c r="C102" i="34"/>
  <c r="A98" i="34"/>
  <c r="A105" i="34"/>
  <c r="A91" i="34"/>
  <c r="V149" i="34"/>
  <c r="O149" i="34"/>
  <c r="M11" i="34"/>
  <c r="M8" i="34"/>
  <c r="M9" i="34"/>
  <c r="M10" i="34"/>
  <c r="F192" i="197"/>
  <c r="F195" i="197"/>
  <c r="O195" i="197"/>
  <c r="J196" i="197"/>
  <c r="C195" i="197"/>
  <c r="O196" i="197"/>
  <c r="C196" i="197"/>
  <c r="A195" i="197"/>
  <c r="J195" i="197"/>
  <c r="L195" i="197"/>
  <c r="N196" i="197"/>
  <c r="E196" i="197"/>
  <c r="E195" i="197"/>
  <c r="A191" i="197"/>
  <c r="F196" i="197"/>
  <c r="N195" i="197"/>
  <c r="F191" i="197"/>
  <c r="L196" i="197"/>
  <c r="A196" i="197"/>
  <c r="H103" i="197"/>
  <c r="H102" i="197"/>
  <c r="Q102" i="197"/>
  <c r="Q103" i="197"/>
  <c r="Q72" i="197"/>
  <c r="H72" i="197"/>
  <c r="H71" i="197"/>
  <c r="Q71" i="197"/>
  <c r="N99" i="197"/>
  <c r="N98" i="197"/>
  <c r="J98" i="197"/>
  <c r="M185" i="34"/>
  <c r="M184" i="34"/>
  <c r="M183" i="34"/>
  <c r="M182" i="34"/>
  <c r="H133" i="197"/>
  <c r="H134" i="197"/>
  <c r="Q133" i="197"/>
  <c r="Q134" i="197"/>
  <c r="O91" i="34"/>
  <c r="V91" i="34"/>
  <c r="J67" i="197"/>
  <c r="N67" i="197"/>
  <c r="N68" i="197"/>
  <c r="W32" i="6"/>
  <c r="H165" i="197"/>
  <c r="H164" i="197"/>
  <c r="Q165" i="197"/>
  <c r="Q164" i="197"/>
  <c r="M124" i="34"/>
  <c r="M127" i="34"/>
  <c r="M125" i="34"/>
  <c r="M126" i="34"/>
  <c r="A150" i="34"/>
  <c r="C153" i="34"/>
  <c r="C160" i="34"/>
  <c r="C154" i="34"/>
  <c r="C161" i="34"/>
  <c r="A149" i="34"/>
  <c r="G155" i="34"/>
  <c r="G156" i="34"/>
  <c r="A156" i="34"/>
  <c r="A163" i="34"/>
  <c r="A154" i="34"/>
  <c r="A161" i="34"/>
  <c r="A155" i="34"/>
  <c r="A162" i="34"/>
  <c r="H149" i="34"/>
  <c r="J156" i="34"/>
  <c r="C155" i="34"/>
  <c r="C162" i="34"/>
  <c r="J155" i="34"/>
  <c r="G154" i="34"/>
  <c r="J154" i="34"/>
  <c r="G153" i="34"/>
  <c r="J153" i="34"/>
  <c r="C156" i="34"/>
  <c r="C163" i="34"/>
  <c r="A153" i="34"/>
  <c r="A160" i="34"/>
  <c r="A5" i="197"/>
  <c r="N10" i="197"/>
  <c r="A10" i="197"/>
  <c r="E9" i="197"/>
  <c r="L10" i="197"/>
  <c r="O9" i="197"/>
  <c r="F9" i="197"/>
  <c r="F6" i="197"/>
  <c r="J9" i="197"/>
  <c r="J10" i="197"/>
  <c r="C9" i="197"/>
  <c r="F5" i="197"/>
  <c r="C10" i="197"/>
  <c r="A9" i="197"/>
  <c r="E10" i="197"/>
  <c r="O10" i="197"/>
  <c r="F10" i="197"/>
  <c r="N9" i="197"/>
  <c r="L9" i="197"/>
  <c r="W15" i="6"/>
  <c r="H227" i="197"/>
  <c r="Q226" i="197"/>
  <c r="H226" i="197"/>
  <c r="Q227" i="197"/>
  <c r="W22" i="6"/>
  <c r="W21" i="6"/>
  <c r="G38" i="34"/>
  <c r="A37" i="34"/>
  <c r="A44" i="34"/>
  <c r="C40" i="34"/>
  <c r="C47" i="34"/>
  <c r="G39" i="34"/>
  <c r="C39" i="34"/>
  <c r="C46" i="34"/>
  <c r="A38" i="34"/>
  <c r="A45" i="34"/>
  <c r="G40" i="34"/>
  <c r="H33" i="34"/>
  <c r="G37" i="34"/>
  <c r="A34" i="34"/>
  <c r="J40" i="34"/>
  <c r="A33" i="34"/>
  <c r="J37" i="34"/>
  <c r="A39" i="34"/>
  <c r="A46" i="34"/>
  <c r="A40" i="34"/>
  <c r="A47" i="34"/>
  <c r="C37" i="34"/>
  <c r="C44" i="34"/>
  <c r="J38" i="34"/>
  <c r="C38" i="34"/>
  <c r="C45" i="34"/>
  <c r="J39" i="34"/>
  <c r="S77" i="71"/>
  <c r="O72" i="197"/>
  <c r="L72" i="197"/>
  <c r="A72" i="197"/>
  <c r="E71" i="197"/>
  <c r="C71" i="197"/>
  <c r="N72" i="197"/>
  <c r="N71" i="197"/>
  <c r="F67" i="197"/>
  <c r="L71" i="197"/>
  <c r="E72" i="197"/>
  <c r="J71" i="197"/>
  <c r="F72" i="197"/>
  <c r="J72" i="197"/>
  <c r="A67" i="197"/>
  <c r="O71" i="197"/>
  <c r="F68" i="197"/>
  <c r="A71" i="197"/>
  <c r="F71" i="197"/>
  <c r="C72" i="197"/>
  <c r="W9" i="6"/>
  <c r="V33" i="34"/>
  <c r="O33" i="34"/>
  <c r="N133" i="197"/>
  <c r="O134" i="197"/>
  <c r="E133" i="197"/>
  <c r="A134" i="197"/>
  <c r="O133" i="197"/>
  <c r="J133" i="197"/>
  <c r="F130" i="197"/>
  <c r="F134" i="197"/>
  <c r="F133" i="197"/>
  <c r="F129" i="197"/>
  <c r="C134" i="197"/>
  <c r="L134" i="197"/>
  <c r="N134" i="197"/>
  <c r="A133" i="197"/>
  <c r="E134" i="197"/>
  <c r="J134" i="197"/>
  <c r="A129" i="197"/>
  <c r="L133" i="197"/>
  <c r="C133" i="197"/>
  <c r="Q9" i="197"/>
  <c r="Q10" i="197"/>
  <c r="H9" i="197"/>
  <c r="H10" i="197"/>
  <c r="W31" i="6"/>
  <c r="N78" i="70"/>
  <c r="C58" i="197"/>
  <c r="S75" i="71"/>
  <c r="N75" i="70"/>
  <c r="P235" i="182"/>
  <c r="J213" i="34"/>
  <c r="A208" i="34"/>
  <c r="G211" i="34"/>
  <c r="A211" i="34"/>
  <c r="A218" i="34"/>
  <c r="C214" i="34"/>
  <c r="C221" i="34"/>
  <c r="C213" i="34"/>
  <c r="C220" i="34"/>
  <c r="J211" i="34"/>
  <c r="A214" i="34"/>
  <c r="A221" i="34"/>
  <c r="H207" i="34"/>
  <c r="C212" i="34"/>
  <c r="C219" i="34"/>
  <c r="G214" i="34"/>
  <c r="J212" i="34"/>
  <c r="G212" i="34"/>
  <c r="J214" i="34"/>
  <c r="A207" i="34"/>
  <c r="C211" i="34"/>
  <c r="C218" i="34"/>
  <c r="A212" i="34"/>
  <c r="A219" i="34"/>
  <c r="G213" i="34"/>
  <c r="A213" i="34"/>
  <c r="A220" i="34"/>
  <c r="V207" i="34"/>
  <c r="O207" i="34"/>
  <c r="H519" i="33"/>
  <c r="B519" i="33"/>
  <c r="H510" i="33"/>
  <c r="L516" i="33"/>
  <c r="B513" i="33"/>
  <c r="B516" i="33"/>
  <c r="P513" i="33"/>
  <c r="S516" i="33"/>
  <c r="AS582" i="33"/>
  <c r="AR633" i="33"/>
  <c r="U582" i="33"/>
  <c r="AS612" i="33"/>
  <c r="U612" i="33"/>
  <c r="AF549" i="33"/>
  <c r="AQ546" i="33"/>
  <c r="Z549" i="33"/>
  <c r="Z543" i="33"/>
  <c r="AJ546" i="33"/>
  <c r="AE540" i="33"/>
  <c r="AN543" i="33"/>
  <c r="Z546" i="33"/>
  <c r="L546" i="33"/>
  <c r="H549" i="33"/>
  <c r="S546" i="33"/>
  <c r="P543" i="33"/>
  <c r="B543" i="33"/>
  <c r="B549" i="33"/>
  <c r="H540" i="33"/>
  <c r="B546" i="33"/>
  <c r="AJ516" i="33"/>
  <c r="AQ516" i="33"/>
  <c r="Z519" i="33"/>
  <c r="Z513" i="33"/>
  <c r="AN513" i="33"/>
  <c r="AE510" i="33"/>
  <c r="AF519" i="33"/>
  <c r="Z516" i="33"/>
  <c r="A12" i="37"/>
  <c r="D11" i="37"/>
  <c r="A241" i="34"/>
  <c r="A248" i="34"/>
  <c r="J240" i="34"/>
  <c r="C242" i="34"/>
  <c r="C249" i="34"/>
  <c r="A242" i="34"/>
  <c r="A249" i="34"/>
  <c r="J242" i="34"/>
  <c r="H236" i="34"/>
  <c r="J241" i="34"/>
  <c r="J243" i="34"/>
  <c r="G242" i="34"/>
  <c r="A243" i="34"/>
  <c r="A250" i="34"/>
  <c r="G243" i="34"/>
  <c r="C243" i="34"/>
  <c r="C250" i="34"/>
  <c r="A236" i="34"/>
  <c r="A237" i="34"/>
  <c r="A240" i="34"/>
  <c r="A247" i="34"/>
  <c r="C240" i="34"/>
  <c r="C247" i="34"/>
  <c r="G241" i="34"/>
  <c r="G240" i="34"/>
  <c r="C241" i="34"/>
  <c r="C248" i="34"/>
  <c r="M243" i="34"/>
  <c r="M241" i="34"/>
  <c r="M240" i="34"/>
  <c r="M242" i="34"/>
  <c r="V236" i="34"/>
  <c r="O236" i="34"/>
  <c r="V263" i="34"/>
  <c r="Y292" i="34"/>
  <c r="V273" i="154"/>
  <c r="U273" i="154"/>
  <c r="S273" i="154"/>
  <c r="N273" i="154"/>
  <c r="A280" i="154"/>
  <c r="A288" i="154"/>
  <c r="L273" i="154"/>
  <c r="I273" i="154"/>
  <c r="A273" i="154"/>
  <c r="A278" i="154"/>
  <c r="A286" i="154"/>
  <c r="J273" i="154"/>
  <c r="S272" i="154"/>
  <c r="V272" i="154"/>
  <c r="N272" i="154"/>
  <c r="A279" i="154"/>
  <c r="A287" i="154"/>
  <c r="U272" i="154"/>
  <c r="A272" i="154"/>
  <c r="A277" i="154"/>
  <c r="A285" i="154"/>
  <c r="L272" i="154"/>
  <c r="J272" i="154"/>
  <c r="I269" i="154"/>
  <c r="A268" i="154"/>
  <c r="I268" i="154"/>
  <c r="I272" i="154"/>
  <c r="H305" i="154"/>
  <c r="H306" i="154"/>
  <c r="T306" i="154"/>
  <c r="T305" i="154"/>
  <c r="B332" i="154"/>
  <c r="AI299" i="182"/>
  <c r="U366" i="182"/>
  <c r="T362" i="182"/>
  <c r="T359" i="182"/>
  <c r="AE366" i="182"/>
  <c r="AD366" i="182"/>
  <c r="AE362" i="182"/>
  <c r="AG366" i="182"/>
  <c r="G249" i="196"/>
  <c r="A249" i="196"/>
  <c r="F249" i="196"/>
  <c r="I249" i="196"/>
  <c r="AJ335" i="182"/>
  <c r="AK335" i="182"/>
  <c r="AV16" i="221"/>
  <c r="AG368" i="182"/>
  <c r="AE368" i="182"/>
  <c r="AD368" i="182"/>
  <c r="U368" i="182"/>
  <c r="AK334" i="182"/>
  <c r="AJ334" i="182"/>
  <c r="C302" i="196"/>
  <c r="E279" i="196"/>
  <c r="E278" i="196"/>
  <c r="N278" i="196"/>
  <c r="N279" i="196"/>
  <c r="AD367" i="182"/>
  <c r="U367" i="182"/>
  <c r="AE367" i="182"/>
  <c r="AG367" i="182"/>
  <c r="A248" i="196"/>
  <c r="E245" i="196"/>
  <c r="I248" i="196"/>
  <c r="M245" i="196"/>
  <c r="S245" i="196"/>
  <c r="G248" i="196"/>
  <c r="F248" i="196"/>
  <c r="AC398" i="182"/>
  <c r="AC401" i="182"/>
  <c r="AC400" i="182"/>
  <c r="AI422" i="182"/>
  <c r="AC399" i="182"/>
  <c r="O249" i="196"/>
  <c r="R249" i="196"/>
  <c r="P249" i="196"/>
  <c r="K249" i="196"/>
  <c r="AK337" i="182"/>
  <c r="AJ337" i="182"/>
  <c r="AD369" i="182"/>
  <c r="U369" i="182"/>
  <c r="AE369" i="182"/>
  <c r="AG369" i="182"/>
  <c r="AK336" i="182"/>
  <c r="AJ336" i="182"/>
  <c r="O248" i="196"/>
  <c r="K248" i="196"/>
  <c r="R248" i="196"/>
  <c r="P248" i="196"/>
  <c r="E258" i="197"/>
  <c r="A253" i="197"/>
  <c r="F253" i="197"/>
  <c r="J257" i="197"/>
  <c r="L258" i="197"/>
  <c r="C258" i="197"/>
  <c r="O258" i="197"/>
  <c r="O257" i="197"/>
  <c r="F257" i="197"/>
  <c r="A257" i="197"/>
  <c r="F254" i="197"/>
  <c r="F258" i="197"/>
  <c r="A258" i="197"/>
  <c r="N258" i="197"/>
  <c r="N257" i="197"/>
  <c r="C257" i="197"/>
  <c r="L257" i="197"/>
  <c r="E257" i="197"/>
  <c r="J258" i="197"/>
  <c r="H257" i="197"/>
  <c r="Q257" i="197"/>
  <c r="H258" i="197"/>
  <c r="Q258" i="197"/>
  <c r="N254" i="197"/>
  <c r="J253" i="197"/>
  <c r="N253" i="197"/>
  <c r="R336" i="182"/>
  <c r="Q336" i="182"/>
  <c r="J399" i="182"/>
  <c r="J398" i="182"/>
  <c r="J401" i="182"/>
  <c r="J400" i="182"/>
  <c r="P422" i="182"/>
  <c r="N367" i="182"/>
  <c r="B367" i="182"/>
  <c r="L367" i="182"/>
  <c r="K367" i="182"/>
  <c r="K368" i="182"/>
  <c r="B368" i="182"/>
  <c r="L368" i="182"/>
  <c r="N368" i="182"/>
  <c r="R335" i="182"/>
  <c r="Q335" i="182"/>
  <c r="R334" i="182"/>
  <c r="Q334" i="182"/>
  <c r="K369" i="182"/>
  <c r="B369" i="182"/>
  <c r="L369" i="182"/>
  <c r="N369" i="182"/>
  <c r="L366" i="182"/>
  <c r="A359" i="182"/>
  <c r="A362" i="182"/>
  <c r="N366" i="182"/>
  <c r="K366" i="182"/>
  <c r="L362" i="182"/>
  <c r="B366" i="182"/>
  <c r="O311" i="197"/>
  <c r="P343" i="197"/>
  <c r="P299" i="182"/>
  <c r="R337" i="182"/>
  <c r="Q337" i="182"/>
  <c r="P280" i="197"/>
  <c r="N280" i="197"/>
  <c r="E281" i="197"/>
  <c r="W263" i="34"/>
  <c r="U263" i="34"/>
  <c r="Z38" i="82"/>
  <c r="Z36" i="82"/>
  <c r="S41" i="82"/>
  <c r="S39" i="82"/>
  <c r="AO8" i="85"/>
  <c r="AO6" i="85"/>
  <c r="S76" i="71"/>
  <c r="C244" i="197"/>
  <c r="S61" i="76"/>
  <c r="D194" i="34"/>
  <c r="D20" i="34"/>
  <c r="N79" i="70"/>
  <c r="AO6" i="86"/>
  <c r="AO8" i="86"/>
  <c r="C120" i="197"/>
  <c r="D136" i="34"/>
  <c r="S36" i="82"/>
  <c r="S39" i="79"/>
  <c r="C27" i="197"/>
  <c r="C182" i="197"/>
  <c r="D107" i="34"/>
  <c r="C151" i="197"/>
  <c r="D78" i="34"/>
  <c r="C89" i="197"/>
  <c r="D49" i="34"/>
  <c r="D165" i="34"/>
  <c r="AO7" i="86"/>
  <c r="S40" i="82"/>
  <c r="C213" i="197"/>
  <c r="AO9" i="85"/>
  <c r="D223" i="34"/>
  <c r="Z606" i="33"/>
  <c r="AQ609" i="33"/>
  <c r="Z612" i="33"/>
  <c r="AJ609" i="33"/>
  <c r="AF612" i="33"/>
  <c r="AE603" i="33"/>
  <c r="Z609" i="33"/>
  <c r="AN606" i="33"/>
  <c r="B579" i="33"/>
  <c r="B576" i="33"/>
  <c r="S579" i="33"/>
  <c r="H573" i="33"/>
  <c r="P576" i="33"/>
  <c r="H582" i="33"/>
  <c r="B582" i="33"/>
  <c r="L579" i="33"/>
  <c r="AS645" i="33"/>
  <c r="AR696" i="33"/>
  <c r="AS675" i="33"/>
  <c r="U645" i="33"/>
  <c r="U675" i="33"/>
  <c r="AQ579" i="33"/>
  <c r="AN576" i="33"/>
  <c r="Z582" i="33"/>
  <c r="AF582" i="33"/>
  <c r="AE573" i="33"/>
  <c r="Z579" i="33"/>
  <c r="Z576" i="33"/>
  <c r="AJ579" i="33"/>
  <c r="L609" i="33"/>
  <c r="B609" i="33"/>
  <c r="H612" i="33"/>
  <c r="P606" i="33"/>
  <c r="H603" i="33"/>
  <c r="B612" i="33"/>
  <c r="S609" i="33"/>
  <c r="B606" i="33"/>
  <c r="BM88" i="22"/>
  <c r="J60" i="39"/>
  <c r="J58" i="32"/>
  <c r="BM94" i="22"/>
  <c r="J66" i="39"/>
  <c r="J64" i="32"/>
  <c r="J61" i="32"/>
  <c r="J63" i="39"/>
  <c r="BM91" i="22"/>
  <c r="BM93" i="22"/>
  <c r="J65" i="39"/>
  <c r="J63" i="32"/>
  <c r="J64" i="39"/>
  <c r="BM92" i="22"/>
  <c r="J62" i="32"/>
  <c r="J62" i="39"/>
  <c r="BM90" i="22"/>
  <c r="J60" i="32"/>
  <c r="J55" i="32"/>
  <c r="BM85" i="22"/>
  <c r="J57" i="39"/>
  <c r="J68" i="32"/>
  <c r="J70" i="39"/>
  <c r="BM98" i="22"/>
  <c r="J61" i="39"/>
  <c r="J59" i="32"/>
  <c r="BM89" i="22"/>
  <c r="J58" i="39"/>
  <c r="J56" i="32"/>
  <c r="BM86" i="22"/>
  <c r="J69" i="32"/>
  <c r="J71" i="39"/>
  <c r="BM99" i="22"/>
  <c r="J66" i="32"/>
  <c r="BM96" i="22"/>
  <c r="J68" i="39"/>
  <c r="D12" i="37"/>
  <c r="A13" i="37"/>
  <c r="G270" i="34"/>
  <c r="C271" i="34"/>
  <c r="C278" i="34"/>
  <c r="A271" i="34"/>
  <c r="A278" i="34"/>
  <c r="A269" i="34"/>
  <c r="A276" i="34"/>
  <c r="J269" i="34"/>
  <c r="A265" i="34"/>
  <c r="J270" i="34"/>
  <c r="G272" i="34"/>
  <c r="C272" i="34"/>
  <c r="C279" i="34"/>
  <c r="J271" i="34"/>
  <c r="H265" i="34"/>
  <c r="A272" i="34"/>
  <c r="A279" i="34"/>
  <c r="A270" i="34"/>
  <c r="A277" i="34"/>
  <c r="G269" i="34"/>
  <c r="A266" i="34"/>
  <c r="C269" i="34"/>
  <c r="C276" i="34"/>
  <c r="J272" i="34"/>
  <c r="G271" i="34"/>
  <c r="C270" i="34"/>
  <c r="C277" i="34"/>
  <c r="O265" i="34"/>
  <c r="V265" i="34"/>
  <c r="Y321" i="34"/>
  <c r="V292" i="34"/>
  <c r="D252" i="34"/>
  <c r="T338" i="154"/>
  <c r="H339" i="154"/>
  <c r="T339" i="154"/>
  <c r="H338" i="154"/>
  <c r="B365" i="154"/>
  <c r="V305" i="154"/>
  <c r="N305" i="154"/>
  <c r="A312" i="154"/>
  <c r="A320" i="154"/>
  <c r="U305" i="154"/>
  <c r="S305" i="154"/>
  <c r="U306" i="154"/>
  <c r="N306" i="154"/>
  <c r="A313" i="154"/>
  <c r="A321" i="154"/>
  <c r="S306" i="154"/>
  <c r="V306" i="154"/>
  <c r="L306" i="154"/>
  <c r="J306" i="154"/>
  <c r="A306" i="154"/>
  <c r="A311" i="154"/>
  <c r="A319" i="154"/>
  <c r="I306" i="154"/>
  <c r="A301" i="154"/>
  <c r="J305" i="154"/>
  <c r="I302" i="154"/>
  <c r="I305" i="154"/>
  <c r="L305" i="154"/>
  <c r="A305" i="154"/>
  <c r="A310" i="154"/>
  <c r="A318" i="154"/>
  <c r="I301" i="154"/>
  <c r="P331" i="182"/>
  <c r="AI331" i="182"/>
  <c r="AJ367" i="182"/>
  <c r="AK367" i="182"/>
  <c r="AK369" i="182"/>
  <c r="AJ369" i="182"/>
  <c r="AJ368" i="182"/>
  <c r="AK368" i="182"/>
  <c r="AK366" i="182"/>
  <c r="AJ366" i="182"/>
  <c r="U399" i="182"/>
  <c r="AD399" i="182"/>
  <c r="AG399" i="182"/>
  <c r="AE399" i="182"/>
  <c r="R279" i="196"/>
  <c r="P279" i="196"/>
  <c r="O279" i="196"/>
  <c r="K279" i="196"/>
  <c r="AI454" i="182"/>
  <c r="AC430" i="182"/>
  <c r="AC432" i="182"/>
  <c r="AC431" i="182"/>
  <c r="AC433" i="182"/>
  <c r="R278" i="196"/>
  <c r="O278" i="196"/>
  <c r="P278" i="196"/>
  <c r="K278" i="196"/>
  <c r="AV17" i="221"/>
  <c r="AD400" i="182"/>
  <c r="AG400" i="182"/>
  <c r="AE400" i="182"/>
  <c r="U400" i="182"/>
  <c r="E275" i="196"/>
  <c r="S275" i="196"/>
  <c r="F278" i="196"/>
  <c r="I278" i="196"/>
  <c r="A278" i="196"/>
  <c r="M275" i="196"/>
  <c r="G278" i="196"/>
  <c r="AD401" i="182"/>
  <c r="AG401" i="182"/>
  <c r="U401" i="182"/>
  <c r="AE401" i="182"/>
  <c r="G279" i="196"/>
  <c r="A279" i="196"/>
  <c r="F279" i="196"/>
  <c r="I279" i="196"/>
  <c r="AE394" i="182"/>
  <c r="AD398" i="182"/>
  <c r="T391" i="182"/>
  <c r="AE398" i="182"/>
  <c r="AG398" i="182"/>
  <c r="T394" i="182"/>
  <c r="U398" i="182"/>
  <c r="E309" i="196"/>
  <c r="N308" i="196"/>
  <c r="E308" i="196"/>
  <c r="C332" i="196"/>
  <c r="N309" i="196"/>
  <c r="Q288" i="197"/>
  <c r="H289" i="197"/>
  <c r="Q289" i="197"/>
  <c r="H288" i="197"/>
  <c r="N284" i="197"/>
  <c r="J284" i="197"/>
  <c r="N285" i="197"/>
  <c r="C289" i="197"/>
  <c r="J288" i="197"/>
  <c r="L288" i="197"/>
  <c r="O288" i="197"/>
  <c r="F285" i="197"/>
  <c r="J289" i="197"/>
  <c r="A288" i="197"/>
  <c r="E289" i="197"/>
  <c r="N288" i="197"/>
  <c r="F289" i="197"/>
  <c r="A284" i="197"/>
  <c r="C288" i="197"/>
  <c r="E288" i="197"/>
  <c r="O289" i="197"/>
  <c r="N289" i="197"/>
  <c r="F284" i="197"/>
  <c r="L289" i="197"/>
  <c r="F288" i="197"/>
  <c r="A289" i="197"/>
  <c r="R369" i="182"/>
  <c r="Q369" i="182"/>
  <c r="Q368" i="182"/>
  <c r="R368" i="182"/>
  <c r="B401" i="182"/>
  <c r="K401" i="182"/>
  <c r="N401" i="182"/>
  <c r="L401" i="182"/>
  <c r="P374" i="197"/>
  <c r="O342" i="197"/>
  <c r="A391" i="182"/>
  <c r="L394" i="182"/>
  <c r="K398" i="182"/>
  <c r="B398" i="182"/>
  <c r="L398" i="182"/>
  <c r="A394" i="182"/>
  <c r="N398" i="182"/>
  <c r="L399" i="182"/>
  <c r="K399" i="182"/>
  <c r="N399" i="182"/>
  <c r="B399" i="182"/>
  <c r="Q366" i="182"/>
  <c r="R366" i="182"/>
  <c r="Q367" i="182"/>
  <c r="R367" i="182"/>
  <c r="P454" i="182"/>
  <c r="J430" i="182"/>
  <c r="J432" i="182"/>
  <c r="J433" i="182"/>
  <c r="J431" i="182"/>
  <c r="B400" i="182"/>
  <c r="N400" i="182"/>
  <c r="K400" i="182"/>
  <c r="L400" i="182"/>
  <c r="C275" i="197"/>
  <c r="G263" i="34"/>
  <c r="U292" i="34"/>
  <c r="E312" i="197"/>
  <c r="P311" i="197"/>
  <c r="G292" i="34"/>
  <c r="W292" i="34"/>
  <c r="N311" i="197"/>
  <c r="AX10" i="82"/>
  <c r="Z41" i="82"/>
  <c r="S38" i="82"/>
  <c r="Z39" i="82"/>
  <c r="S37" i="82"/>
  <c r="AX6" i="84"/>
  <c r="AW7" i="84"/>
  <c r="AX9" i="85"/>
  <c r="AW8" i="85"/>
  <c r="AT6" i="85"/>
  <c r="AS7" i="85"/>
  <c r="AT7" i="85"/>
  <c r="AS6" i="85"/>
  <c r="S60" i="76"/>
  <c r="S62" i="76"/>
  <c r="S59" i="76"/>
  <c r="S40" i="79"/>
  <c r="AS6" i="86"/>
  <c r="AO7" i="85"/>
  <c r="M269" i="34"/>
  <c r="M270" i="34"/>
  <c r="M271" i="34"/>
  <c r="M272" i="34"/>
  <c r="B672" i="33"/>
  <c r="B669" i="33"/>
  <c r="L672" i="33"/>
  <c r="H675" i="33"/>
  <c r="P669" i="33"/>
  <c r="H666" i="33"/>
  <c r="S672" i="33"/>
  <c r="B675" i="33"/>
  <c r="B645" i="33"/>
  <c r="B642" i="33"/>
  <c r="S642" i="33"/>
  <c r="H645" i="33"/>
  <c r="H636" i="33"/>
  <c r="P639" i="33"/>
  <c r="B639" i="33"/>
  <c r="L642" i="33"/>
  <c r="Z672" i="33"/>
  <c r="AQ672" i="33"/>
  <c r="AJ672" i="33"/>
  <c r="AN669" i="33"/>
  <c r="AE666" i="33"/>
  <c r="Z669" i="33"/>
  <c r="AF675" i="33"/>
  <c r="Z675" i="33"/>
  <c r="U708" i="33"/>
  <c r="AR759" i="33"/>
  <c r="AS738" i="33"/>
  <c r="AS708" i="33"/>
  <c r="U738" i="33"/>
  <c r="Z645" i="33"/>
  <c r="Z642" i="33"/>
  <c r="AF645" i="33"/>
  <c r="AN639" i="33"/>
  <c r="Z639" i="33"/>
  <c r="AJ642" i="33"/>
  <c r="AE636" i="33"/>
  <c r="AQ642" i="33"/>
  <c r="AS96" i="23"/>
  <c r="AS96" i="27"/>
  <c r="AS96" i="26"/>
  <c r="AS82" i="23"/>
  <c r="AS82" i="27"/>
  <c r="AS82" i="26"/>
  <c r="L385" i="35"/>
  <c r="L385" i="36"/>
  <c r="L474" i="35"/>
  <c r="L474" i="36"/>
  <c r="AS86" i="26"/>
  <c r="AS86" i="23"/>
  <c r="AS86" i="27"/>
  <c r="AS95" i="27"/>
  <c r="AS95" i="26"/>
  <c r="AS95" i="23"/>
  <c r="AS93" i="27"/>
  <c r="AS93" i="26"/>
  <c r="AS93" i="23"/>
  <c r="L417" i="35"/>
  <c r="L417" i="36"/>
  <c r="L446" i="35"/>
  <c r="L446" i="36"/>
  <c r="L414" i="36"/>
  <c r="L414" i="35"/>
  <c r="AS89" i="27"/>
  <c r="AS89" i="26"/>
  <c r="AS89" i="23"/>
  <c r="L444" i="35"/>
  <c r="L444" i="36"/>
  <c r="L388" i="36"/>
  <c r="L388" i="35"/>
  <c r="L473" i="35"/>
  <c r="L473" i="36"/>
  <c r="AS91" i="26"/>
  <c r="AS91" i="27"/>
  <c r="AS91" i="23"/>
  <c r="AS85" i="23"/>
  <c r="AS85" i="27"/>
  <c r="AS85" i="26"/>
  <c r="AS83" i="27"/>
  <c r="AS83" i="23"/>
  <c r="AS83" i="26"/>
  <c r="AS88" i="23"/>
  <c r="AS88" i="27"/>
  <c r="AS88" i="26"/>
  <c r="L415" i="36"/>
  <c r="L415" i="35"/>
  <c r="L443" i="35"/>
  <c r="L443" i="36"/>
  <c r="AS87" i="26"/>
  <c r="AS87" i="23"/>
  <c r="AS87" i="27"/>
  <c r="L416" i="35"/>
  <c r="L416" i="36"/>
  <c r="L386" i="35"/>
  <c r="L386" i="36"/>
  <c r="AS90" i="26"/>
  <c r="AS90" i="23"/>
  <c r="AS90" i="27"/>
  <c r="A14" i="37"/>
  <c r="D13" i="37"/>
  <c r="M300" i="34"/>
  <c r="M298" i="34"/>
  <c r="M299" i="34"/>
  <c r="M301" i="34"/>
  <c r="G300" i="34"/>
  <c r="J301" i="34"/>
  <c r="H294" i="34"/>
  <c r="C300" i="34"/>
  <c r="C307" i="34"/>
  <c r="A298" i="34"/>
  <c r="A305" i="34"/>
  <c r="C298" i="34"/>
  <c r="C305" i="34"/>
  <c r="A301" i="34"/>
  <c r="A308" i="34"/>
  <c r="J299" i="34"/>
  <c r="G301" i="34"/>
  <c r="G298" i="34"/>
  <c r="A295" i="34"/>
  <c r="A299" i="34"/>
  <c r="A306" i="34"/>
  <c r="G299" i="34"/>
  <c r="J300" i="34"/>
  <c r="J298" i="34"/>
  <c r="A294" i="34"/>
  <c r="A300" i="34"/>
  <c r="A307" i="34"/>
  <c r="C299" i="34"/>
  <c r="C306" i="34"/>
  <c r="C301" i="34"/>
  <c r="C308" i="34"/>
  <c r="O294" i="34"/>
  <c r="V294" i="34"/>
  <c r="D281" i="34"/>
  <c r="V321" i="34"/>
  <c r="Y350" i="34"/>
  <c r="H371" i="154"/>
  <c r="H372" i="154"/>
  <c r="T372" i="154"/>
  <c r="B398" i="154"/>
  <c r="T371" i="154"/>
  <c r="I335" i="154"/>
  <c r="A334" i="154"/>
  <c r="I334" i="154"/>
  <c r="A338" i="154"/>
  <c r="A343" i="154"/>
  <c r="A351" i="154"/>
  <c r="J338" i="154"/>
  <c r="I338" i="154"/>
  <c r="L338" i="154"/>
  <c r="V339" i="154"/>
  <c r="N339" i="154"/>
  <c r="A346" i="154"/>
  <c r="A354" i="154"/>
  <c r="S339" i="154"/>
  <c r="U339" i="154"/>
  <c r="A339" i="154"/>
  <c r="A344" i="154"/>
  <c r="A352" i="154"/>
  <c r="I339" i="154"/>
  <c r="J339" i="154"/>
  <c r="L339" i="154"/>
  <c r="N338" i="154"/>
  <c r="A345" i="154"/>
  <c r="A353" i="154"/>
  <c r="S338" i="154"/>
  <c r="V338" i="154"/>
  <c r="U338" i="154"/>
  <c r="AC464" i="182"/>
  <c r="AC465" i="182"/>
  <c r="AC463" i="182"/>
  <c r="AC462" i="182"/>
  <c r="AI486" i="182"/>
  <c r="AK398" i="182"/>
  <c r="AJ398" i="182"/>
  <c r="AV18" i="221"/>
  <c r="AI363" i="182"/>
  <c r="O309" i="196"/>
  <c r="P309" i="196"/>
  <c r="R309" i="196"/>
  <c r="K309" i="196"/>
  <c r="AK399" i="182"/>
  <c r="AJ399" i="182"/>
  <c r="N339" i="196"/>
  <c r="C362" i="196"/>
  <c r="N338" i="196"/>
  <c r="E339" i="196"/>
  <c r="E338" i="196"/>
  <c r="G308" i="196"/>
  <c r="E305" i="196"/>
  <c r="M305" i="196"/>
  <c r="S305" i="196"/>
  <c r="A308" i="196"/>
  <c r="F308" i="196"/>
  <c r="I308" i="196"/>
  <c r="AJ400" i="182"/>
  <c r="AK400" i="182"/>
  <c r="K308" i="196"/>
  <c r="R308" i="196"/>
  <c r="P308" i="196"/>
  <c r="O308" i="196"/>
  <c r="G309" i="196"/>
  <c r="F309" i="196"/>
  <c r="I309" i="196"/>
  <c r="A309" i="196"/>
  <c r="AE433" i="182"/>
  <c r="AD433" i="182"/>
  <c r="U433" i="182"/>
  <c r="AG433" i="182"/>
  <c r="AK401" i="182"/>
  <c r="AJ401" i="182"/>
  <c r="AE431" i="182"/>
  <c r="AD431" i="182"/>
  <c r="U431" i="182"/>
  <c r="AG431" i="182"/>
  <c r="AG432" i="182"/>
  <c r="U432" i="182"/>
  <c r="AE432" i="182"/>
  <c r="AD432" i="182"/>
  <c r="AE430" i="182"/>
  <c r="T426" i="182"/>
  <c r="T423" i="182"/>
  <c r="AE426" i="182"/>
  <c r="AD430" i="182"/>
  <c r="AG430" i="182"/>
  <c r="U430" i="182"/>
  <c r="Q319" i="197"/>
  <c r="Q320" i="197"/>
  <c r="H319" i="197"/>
  <c r="H320" i="197"/>
  <c r="A315" i="197"/>
  <c r="N320" i="197"/>
  <c r="F319" i="197"/>
  <c r="C319" i="197"/>
  <c r="L319" i="197"/>
  <c r="L320" i="197"/>
  <c r="J320" i="197"/>
  <c r="A320" i="197"/>
  <c r="O320" i="197"/>
  <c r="O319" i="197"/>
  <c r="E320" i="197"/>
  <c r="A319" i="197"/>
  <c r="E319" i="197"/>
  <c r="F315" i="197"/>
  <c r="J319" i="197"/>
  <c r="N319" i="197"/>
  <c r="F320" i="197"/>
  <c r="F316" i="197"/>
  <c r="C320" i="197"/>
  <c r="J315" i="197"/>
  <c r="N315" i="197"/>
  <c r="N316" i="197"/>
  <c r="A423" i="182"/>
  <c r="N430" i="182"/>
  <c r="K430" i="182"/>
  <c r="B430" i="182"/>
  <c r="L426" i="182"/>
  <c r="A426" i="182"/>
  <c r="L430" i="182"/>
  <c r="Q398" i="182"/>
  <c r="R398" i="182"/>
  <c r="O373" i="197"/>
  <c r="P405" i="197"/>
  <c r="P363" i="182"/>
  <c r="J463" i="182"/>
  <c r="J464" i="182"/>
  <c r="P486" i="182"/>
  <c r="J462" i="182"/>
  <c r="J465" i="182"/>
  <c r="Q401" i="182"/>
  <c r="R401" i="182"/>
  <c r="C306" i="197"/>
  <c r="R400" i="182"/>
  <c r="Q400" i="182"/>
  <c r="L431" i="182"/>
  <c r="B431" i="182"/>
  <c r="K431" i="182"/>
  <c r="N431" i="182"/>
  <c r="N433" i="182"/>
  <c r="K433" i="182"/>
  <c r="B433" i="182"/>
  <c r="L433" i="182"/>
  <c r="L432" i="182"/>
  <c r="B432" i="182"/>
  <c r="K432" i="182"/>
  <c r="N432" i="182"/>
  <c r="R399" i="182"/>
  <c r="Q399" i="182"/>
  <c r="U321" i="34"/>
  <c r="W321" i="34"/>
  <c r="N342" i="197"/>
  <c r="G321" i="34"/>
  <c r="E343" i="197"/>
  <c r="P342" i="197"/>
  <c r="AX6" i="82"/>
  <c r="AX11" i="82"/>
  <c r="Z40" i="82"/>
  <c r="Z37" i="82"/>
  <c r="AW6" i="85"/>
  <c r="AX7" i="85"/>
  <c r="AS8" i="85"/>
  <c r="AT9" i="85"/>
  <c r="AT8" i="85"/>
  <c r="AS9" i="85"/>
  <c r="B732" i="33"/>
  <c r="H729" i="33"/>
  <c r="L735" i="33"/>
  <c r="H738" i="33"/>
  <c r="S735" i="33"/>
  <c r="B735" i="33"/>
  <c r="B738" i="33"/>
  <c r="P732" i="33"/>
  <c r="Z708" i="33"/>
  <c r="AN702" i="33"/>
  <c r="AE699" i="33"/>
  <c r="AJ705" i="33"/>
  <c r="AQ705" i="33"/>
  <c r="Z705" i="33"/>
  <c r="Z702" i="33"/>
  <c r="AF708" i="33"/>
  <c r="AN732" i="33"/>
  <c r="Z735" i="33"/>
  <c r="AF738" i="33"/>
  <c r="Z738" i="33"/>
  <c r="AE729" i="33"/>
  <c r="AQ735" i="33"/>
  <c r="AJ735" i="33"/>
  <c r="Z732" i="33"/>
  <c r="U771" i="33"/>
  <c r="U801" i="33"/>
  <c r="AS801" i="33"/>
  <c r="AS771" i="33"/>
  <c r="AR822" i="33"/>
  <c r="H699" i="33"/>
  <c r="B708" i="33"/>
  <c r="B702" i="33"/>
  <c r="S705" i="33"/>
  <c r="B705" i="33"/>
  <c r="H708" i="33"/>
  <c r="P702" i="33"/>
  <c r="L705" i="33"/>
  <c r="D14" i="37"/>
  <c r="A15" i="37"/>
  <c r="M328" i="34"/>
  <c r="M327" i="34"/>
  <c r="M329" i="34"/>
  <c r="M330" i="34"/>
  <c r="V323" i="34"/>
  <c r="O323" i="34"/>
  <c r="J330" i="34"/>
  <c r="A327" i="34"/>
  <c r="A334" i="34"/>
  <c r="A329" i="34"/>
  <c r="A336" i="34"/>
  <c r="J327" i="34"/>
  <c r="A324" i="34"/>
  <c r="C329" i="34"/>
  <c r="C336" i="34"/>
  <c r="G329" i="34"/>
  <c r="A330" i="34"/>
  <c r="A337" i="34"/>
  <c r="G330" i="34"/>
  <c r="J329" i="34"/>
  <c r="C330" i="34"/>
  <c r="C337" i="34"/>
  <c r="C327" i="34"/>
  <c r="C334" i="34"/>
  <c r="G327" i="34"/>
  <c r="C328" i="34"/>
  <c r="C335" i="34"/>
  <c r="H323" i="34"/>
  <c r="J328" i="34"/>
  <c r="G328" i="34"/>
  <c r="A328" i="34"/>
  <c r="A335" i="34"/>
  <c r="A323" i="34"/>
  <c r="D310" i="34"/>
  <c r="V350" i="34"/>
  <c r="Y379" i="34"/>
  <c r="V371" i="154"/>
  <c r="U371" i="154"/>
  <c r="N371" i="154"/>
  <c r="A378" i="154"/>
  <c r="A386" i="154"/>
  <c r="S371" i="154"/>
  <c r="B431" i="154"/>
  <c r="H405" i="154"/>
  <c r="T404" i="154"/>
  <c r="T405" i="154"/>
  <c r="H404" i="154"/>
  <c r="S372" i="154"/>
  <c r="N372" i="154"/>
  <c r="A379" i="154"/>
  <c r="A387" i="154"/>
  <c r="U372" i="154"/>
  <c r="V372" i="154"/>
  <c r="A372" i="154"/>
  <c r="A377" i="154"/>
  <c r="A385" i="154"/>
  <c r="J372" i="154"/>
  <c r="I372" i="154"/>
  <c r="L372" i="154"/>
  <c r="I371" i="154"/>
  <c r="I368" i="154"/>
  <c r="L371" i="154"/>
  <c r="A371" i="154"/>
  <c r="A376" i="154"/>
  <c r="A384" i="154"/>
  <c r="I367" i="154"/>
  <c r="A367" i="154"/>
  <c r="J371" i="154"/>
  <c r="AK432" i="182"/>
  <c r="AJ432" i="182"/>
  <c r="A338" i="196"/>
  <c r="G338" i="196"/>
  <c r="S335" i="196"/>
  <c r="F338" i="196"/>
  <c r="M335" i="196"/>
  <c r="E335" i="196"/>
  <c r="I338" i="196"/>
  <c r="G339" i="196"/>
  <c r="F339" i="196"/>
  <c r="I339" i="196"/>
  <c r="A339" i="196"/>
  <c r="AI518" i="182"/>
  <c r="AC494" i="182"/>
  <c r="AC497" i="182"/>
  <c r="AC496" i="182"/>
  <c r="AC495" i="182"/>
  <c r="AJ430" i="182"/>
  <c r="AK430" i="182"/>
  <c r="P338" i="196"/>
  <c r="R338" i="196"/>
  <c r="K338" i="196"/>
  <c r="O338" i="196"/>
  <c r="T455" i="182"/>
  <c r="U462" i="182"/>
  <c r="AG462" i="182"/>
  <c r="AD462" i="182"/>
  <c r="AE458" i="182"/>
  <c r="AE462" i="182"/>
  <c r="T458" i="182"/>
  <c r="AK431" i="182"/>
  <c r="AJ431" i="182"/>
  <c r="E369" i="196"/>
  <c r="N369" i="196"/>
  <c r="E368" i="196"/>
  <c r="N368" i="196"/>
  <c r="C392" i="196"/>
  <c r="AD463" i="182"/>
  <c r="AE463" i="182"/>
  <c r="AG463" i="182"/>
  <c r="U463" i="182"/>
  <c r="K339" i="196"/>
  <c r="O339" i="196"/>
  <c r="R339" i="196"/>
  <c r="P339" i="196"/>
  <c r="AG465" i="182"/>
  <c r="U465" i="182"/>
  <c r="AE465" i="182"/>
  <c r="AD465" i="182"/>
  <c r="AK433" i="182"/>
  <c r="AJ433" i="182"/>
  <c r="AG464" i="182"/>
  <c r="AE464" i="182"/>
  <c r="U464" i="182"/>
  <c r="AD464" i="182"/>
  <c r="AV19" i="221"/>
  <c r="AI395" i="182"/>
  <c r="J350" i="197"/>
  <c r="L350" i="197"/>
  <c r="C350" i="197"/>
  <c r="N351" i="197"/>
  <c r="F350" i="197"/>
  <c r="A346" i="197"/>
  <c r="O351" i="197"/>
  <c r="F347" i="197"/>
  <c r="O350" i="197"/>
  <c r="J351" i="197"/>
  <c r="A351" i="197"/>
  <c r="F346" i="197"/>
  <c r="A350" i="197"/>
  <c r="E350" i="197"/>
  <c r="C351" i="197"/>
  <c r="N350" i="197"/>
  <c r="L351" i="197"/>
  <c r="F351" i="197"/>
  <c r="E351" i="197"/>
  <c r="Q350" i="197"/>
  <c r="Q351" i="197"/>
  <c r="H351" i="197"/>
  <c r="H350" i="197"/>
  <c r="N346" i="197"/>
  <c r="N347" i="197"/>
  <c r="J346" i="197"/>
  <c r="P436" i="197"/>
  <c r="O404" i="197"/>
  <c r="P395" i="182"/>
  <c r="Q433" i="182"/>
  <c r="R433" i="182"/>
  <c r="R432" i="182"/>
  <c r="Q432" i="182"/>
  <c r="K465" i="182"/>
  <c r="L465" i="182"/>
  <c r="B465" i="182"/>
  <c r="N465" i="182"/>
  <c r="A458" i="182"/>
  <c r="A455" i="182"/>
  <c r="K462" i="182"/>
  <c r="N462" i="182"/>
  <c r="L462" i="182"/>
  <c r="L458" i="182"/>
  <c r="B462" i="182"/>
  <c r="C337" i="197"/>
  <c r="P518" i="182"/>
  <c r="J495" i="182"/>
  <c r="J496" i="182"/>
  <c r="J497" i="182"/>
  <c r="J494" i="182"/>
  <c r="L464" i="182"/>
  <c r="N464" i="182"/>
  <c r="B464" i="182"/>
  <c r="K464" i="182"/>
  <c r="L463" i="182"/>
  <c r="K463" i="182"/>
  <c r="B463" i="182"/>
  <c r="N463" i="182"/>
  <c r="R430" i="182"/>
  <c r="Q430" i="182"/>
  <c r="R431" i="182"/>
  <c r="Q431" i="182"/>
  <c r="N373" i="197"/>
  <c r="U350" i="34"/>
  <c r="W350" i="34"/>
  <c r="P373" i="197"/>
  <c r="E374" i="197"/>
  <c r="G350" i="34"/>
  <c r="AX8" i="82"/>
  <c r="AX7" i="82"/>
  <c r="AX9" i="82"/>
  <c r="AW9" i="85"/>
  <c r="AX8" i="85"/>
  <c r="AW7" i="85"/>
  <c r="AX6" i="85"/>
  <c r="AW8" i="86"/>
  <c r="J26" i="32"/>
  <c r="J35" i="32"/>
  <c r="AS864" i="33"/>
  <c r="AS834" i="33"/>
  <c r="U834" i="33"/>
  <c r="U864" i="33"/>
  <c r="AR885" i="33"/>
  <c r="AJ768" i="33"/>
  <c r="Z765" i="33"/>
  <c r="AE762" i="33"/>
  <c r="AQ768" i="33"/>
  <c r="Z768" i="33"/>
  <c r="AF771" i="33"/>
  <c r="Z771" i="33"/>
  <c r="AN765" i="33"/>
  <c r="AN795" i="33"/>
  <c r="AF801" i="33"/>
  <c r="Z801" i="33"/>
  <c r="Z795" i="33"/>
  <c r="AE792" i="33"/>
  <c r="AJ798" i="33"/>
  <c r="Z798" i="33"/>
  <c r="AQ798" i="33"/>
  <c r="L798" i="33"/>
  <c r="H792" i="33"/>
  <c r="S798" i="33"/>
  <c r="P795" i="33"/>
  <c r="B801" i="33"/>
  <c r="H801" i="33"/>
  <c r="B795" i="33"/>
  <c r="B798" i="33"/>
  <c r="P765" i="33"/>
  <c r="B765" i="33"/>
  <c r="L768" i="33"/>
  <c r="B771" i="33"/>
  <c r="H762" i="33"/>
  <c r="H771" i="33"/>
  <c r="S768" i="33"/>
  <c r="B768" i="33"/>
  <c r="BM35" i="22"/>
  <c r="D339" i="34"/>
  <c r="D15" i="37"/>
  <c r="A16" i="37"/>
  <c r="G357" i="34"/>
  <c r="C358" i="34"/>
  <c r="C365" i="34"/>
  <c r="G356" i="34"/>
  <c r="C356" i="34"/>
  <c r="C363" i="34"/>
  <c r="J357" i="34"/>
  <c r="J358" i="34"/>
  <c r="A358" i="34"/>
  <c r="A365" i="34"/>
  <c r="G359" i="34"/>
  <c r="A357" i="34"/>
  <c r="A364" i="34"/>
  <c r="A356" i="34"/>
  <c r="A363" i="34"/>
  <c r="A353" i="34"/>
  <c r="A352" i="34"/>
  <c r="C359" i="34"/>
  <c r="C366" i="34"/>
  <c r="C357" i="34"/>
  <c r="C364" i="34"/>
  <c r="J356" i="34"/>
  <c r="G358" i="34"/>
  <c r="H352" i="34"/>
  <c r="A359" i="34"/>
  <c r="A366" i="34"/>
  <c r="J359" i="34"/>
  <c r="M357" i="34"/>
  <c r="M359" i="34"/>
  <c r="M358" i="34"/>
  <c r="M356" i="34"/>
  <c r="O352" i="34"/>
  <c r="V352" i="34"/>
  <c r="Y408" i="34"/>
  <c r="V379" i="34"/>
  <c r="I401" i="154"/>
  <c r="A404" i="154"/>
  <c r="A409" i="154"/>
  <c r="A417" i="154"/>
  <c r="A400" i="154"/>
  <c r="I400" i="154"/>
  <c r="I404" i="154"/>
  <c r="J404" i="154"/>
  <c r="L404" i="154"/>
  <c r="N405" i="154"/>
  <c r="A412" i="154"/>
  <c r="A420" i="154"/>
  <c r="V405" i="154"/>
  <c r="U405" i="154"/>
  <c r="S405" i="154"/>
  <c r="V404" i="154"/>
  <c r="N404" i="154"/>
  <c r="A411" i="154"/>
  <c r="A419" i="154"/>
  <c r="S404" i="154"/>
  <c r="U404" i="154"/>
  <c r="L405" i="154"/>
  <c r="I405" i="154"/>
  <c r="J405" i="154"/>
  <c r="A405" i="154"/>
  <c r="A410" i="154"/>
  <c r="A418" i="154"/>
  <c r="T438" i="154"/>
  <c r="B464" i="154"/>
  <c r="H437" i="154"/>
  <c r="T437" i="154"/>
  <c r="H438" i="154"/>
  <c r="C368" i="197"/>
  <c r="AI427" i="182"/>
  <c r="AK463" i="182"/>
  <c r="AJ463" i="182"/>
  <c r="E399" i="196"/>
  <c r="N399" i="196"/>
  <c r="C422" i="196"/>
  <c r="N398" i="196"/>
  <c r="E398" i="196"/>
  <c r="AJ464" i="182"/>
  <c r="AK464" i="182"/>
  <c r="K368" i="196"/>
  <c r="R368" i="196"/>
  <c r="P368" i="196"/>
  <c r="O368" i="196"/>
  <c r="AV20" i="221"/>
  <c r="S365" i="196"/>
  <c r="M365" i="196"/>
  <c r="G368" i="196"/>
  <c r="E365" i="196"/>
  <c r="A368" i="196"/>
  <c r="I368" i="196"/>
  <c r="F368" i="196"/>
  <c r="R369" i="196"/>
  <c r="K369" i="196"/>
  <c r="P369" i="196"/>
  <c r="O369" i="196"/>
  <c r="G369" i="196"/>
  <c r="F369" i="196"/>
  <c r="I369" i="196"/>
  <c r="A369" i="196"/>
  <c r="AG495" i="182"/>
  <c r="AD495" i="182"/>
  <c r="AI495" i="182"/>
  <c r="AE495" i="182"/>
  <c r="U495" i="182"/>
  <c r="AD496" i="182"/>
  <c r="AE496" i="182"/>
  <c r="U496" i="182"/>
  <c r="AG496" i="182"/>
  <c r="U497" i="182"/>
  <c r="AE497" i="182"/>
  <c r="AG497" i="182"/>
  <c r="AI497" i="182"/>
  <c r="AD497" i="182"/>
  <c r="AE494" i="182"/>
  <c r="AD494" i="182"/>
  <c r="T487" i="182"/>
  <c r="AG494" i="182"/>
  <c r="AE490" i="182"/>
  <c r="T490" i="182"/>
  <c r="AI494" i="182"/>
  <c r="U494" i="182"/>
  <c r="AC527" i="182"/>
  <c r="AC529" i="182"/>
  <c r="AI550" i="182"/>
  <c r="AC526" i="182"/>
  <c r="AC528" i="182"/>
  <c r="AJ465" i="182"/>
  <c r="AK465" i="182"/>
  <c r="AJ462" i="182"/>
  <c r="AK462" i="182"/>
  <c r="Q381" i="197"/>
  <c r="H382" i="197"/>
  <c r="H381" i="197"/>
  <c r="Q382" i="197"/>
  <c r="N378" i="197"/>
  <c r="N377" i="197"/>
  <c r="J377" i="197"/>
  <c r="O382" i="197"/>
  <c r="J382" i="197"/>
  <c r="A382" i="197"/>
  <c r="L382" i="197"/>
  <c r="F381" i="197"/>
  <c r="N382" i="197"/>
  <c r="E382" i="197"/>
  <c r="A381" i="197"/>
  <c r="C382" i="197"/>
  <c r="L381" i="197"/>
  <c r="A377" i="197"/>
  <c r="J381" i="197"/>
  <c r="O381" i="197"/>
  <c r="F378" i="197"/>
  <c r="N381" i="197"/>
  <c r="F377" i="197"/>
  <c r="F382" i="197"/>
  <c r="C381" i="197"/>
  <c r="E381" i="197"/>
  <c r="J526" i="182"/>
  <c r="J529" i="182"/>
  <c r="J527" i="182"/>
  <c r="P550" i="182"/>
  <c r="J528" i="182"/>
  <c r="P467" i="197"/>
  <c r="O435" i="197"/>
  <c r="R464" i="182"/>
  <c r="Q464" i="182"/>
  <c r="R463" i="182"/>
  <c r="Q463" i="182"/>
  <c r="B494" i="182"/>
  <c r="L490" i="182"/>
  <c r="K494" i="182"/>
  <c r="A490" i="182"/>
  <c r="A487" i="182"/>
  <c r="N494" i="182"/>
  <c r="P494" i="182"/>
  <c r="L494" i="182"/>
  <c r="P497" i="182"/>
  <c r="B497" i="182"/>
  <c r="L497" i="182"/>
  <c r="K497" i="182"/>
  <c r="N497" i="182"/>
  <c r="R465" i="182"/>
  <c r="Q465" i="182"/>
  <c r="K496" i="182"/>
  <c r="B496" i="182"/>
  <c r="N496" i="182"/>
  <c r="L496" i="182"/>
  <c r="P427" i="182"/>
  <c r="P495" i="182"/>
  <c r="K495" i="182"/>
  <c r="B495" i="182"/>
  <c r="N495" i="182"/>
  <c r="L495" i="182"/>
  <c r="Q462" i="182"/>
  <c r="R462" i="182"/>
  <c r="U379" i="34"/>
  <c r="P404" i="197"/>
  <c r="E405" i="197"/>
  <c r="N404" i="197"/>
  <c r="W379" i="34"/>
  <c r="G379" i="34"/>
  <c r="AW6" i="84"/>
  <c r="AX7" i="84"/>
  <c r="BM56" i="22"/>
  <c r="AS53" i="23"/>
  <c r="BM65" i="22"/>
  <c r="AS62" i="23"/>
  <c r="L156" i="36"/>
  <c r="J37" i="39"/>
  <c r="J28" i="39"/>
  <c r="J10" i="32"/>
  <c r="J30" i="32"/>
  <c r="BM50" i="22"/>
  <c r="J27" i="32"/>
  <c r="BM57" i="22"/>
  <c r="J29" i="39"/>
  <c r="J23" i="32"/>
  <c r="BM53" i="22"/>
  <c r="J25" i="39"/>
  <c r="BM36" i="22"/>
  <c r="J6" i="32"/>
  <c r="J8" i="39"/>
  <c r="BM81" i="22"/>
  <c r="J53" i="39"/>
  <c r="J51" i="32"/>
  <c r="BM33" i="22"/>
  <c r="J5" i="39"/>
  <c r="J3" i="32"/>
  <c r="J8" i="32"/>
  <c r="BM38" i="22"/>
  <c r="J10" i="39"/>
  <c r="J40" i="39"/>
  <c r="BM68" i="22"/>
  <c r="J38" i="32"/>
  <c r="J39" i="39"/>
  <c r="J37" i="32"/>
  <c r="BM67" i="22"/>
  <c r="BM70" i="22"/>
  <c r="J40" i="32"/>
  <c r="J42" i="39"/>
  <c r="BM34" i="22"/>
  <c r="J4" i="32"/>
  <c r="J6" i="39"/>
  <c r="BM74" i="22"/>
  <c r="J46" i="39"/>
  <c r="J44" i="32"/>
  <c r="J41" i="39"/>
  <c r="J39" i="32"/>
  <c r="BM69" i="22"/>
  <c r="J9" i="32"/>
  <c r="J11" i="39"/>
  <c r="BM39" i="22"/>
  <c r="J32" i="32"/>
  <c r="BM62" i="22"/>
  <c r="J34" i="39"/>
  <c r="BM54" i="22"/>
  <c r="J26" i="39"/>
  <c r="J24" i="32"/>
  <c r="J33" i="32"/>
  <c r="BM63" i="22"/>
  <c r="J35" i="39"/>
  <c r="J48" i="39"/>
  <c r="J46" i="32"/>
  <c r="BM76" i="22"/>
  <c r="J34" i="32"/>
  <c r="BM64" i="22"/>
  <c r="J36" i="39"/>
  <c r="BM49" i="22"/>
  <c r="J21" i="39"/>
  <c r="J19" i="32"/>
  <c r="BM75" i="22"/>
  <c r="J45" i="32"/>
  <c r="J47" i="39"/>
  <c r="J7" i="32"/>
  <c r="BM37" i="22"/>
  <c r="J9" i="39"/>
  <c r="J54" i="39"/>
  <c r="J52" i="32"/>
  <c r="BM82" i="22"/>
  <c r="J44" i="39"/>
  <c r="BM72" i="22"/>
  <c r="J42" i="32"/>
  <c r="J52" i="39"/>
  <c r="J50" i="32"/>
  <c r="AK864" i="33"/>
  <c r="BM80" i="22"/>
  <c r="J5" i="32"/>
  <c r="AS897" i="33"/>
  <c r="AR948" i="33"/>
  <c r="AS927" i="33"/>
  <c r="U927" i="33"/>
  <c r="U897" i="33"/>
  <c r="B864" i="33"/>
  <c r="L861" i="33"/>
  <c r="P858" i="33"/>
  <c r="H864" i="33"/>
  <c r="B861" i="33"/>
  <c r="B858" i="33"/>
  <c r="H855" i="33"/>
  <c r="S861" i="33"/>
  <c r="H834" i="33"/>
  <c r="P828" i="33"/>
  <c r="L831" i="33"/>
  <c r="S831" i="33"/>
  <c r="H825" i="33"/>
  <c r="B828" i="33"/>
  <c r="B831" i="33"/>
  <c r="B834" i="33"/>
  <c r="Z834" i="33"/>
  <c r="AQ831" i="33"/>
  <c r="AN828" i="33"/>
  <c r="AJ831" i="33"/>
  <c r="Z831" i="33"/>
  <c r="Z828" i="33"/>
  <c r="AE825" i="33"/>
  <c r="AF834" i="33"/>
  <c r="AF864" i="33"/>
  <c r="AE855" i="33"/>
  <c r="AN858" i="33"/>
  <c r="AQ861" i="33"/>
  <c r="AJ861" i="33"/>
  <c r="Z864" i="33"/>
  <c r="Z858" i="33"/>
  <c r="Z861" i="33"/>
  <c r="J7" i="39"/>
  <c r="L10" i="35"/>
  <c r="J47" i="32"/>
  <c r="J398" i="196"/>
  <c r="BM77" i="22"/>
  <c r="J49" i="39"/>
  <c r="BM95" i="22"/>
  <c r="J67" i="39"/>
  <c r="J65" i="32"/>
  <c r="J45" i="39"/>
  <c r="J43" i="32"/>
  <c r="BM73" i="22"/>
  <c r="J30" i="39"/>
  <c r="J28" i="32"/>
  <c r="BM58" i="22"/>
  <c r="BM45" i="22"/>
  <c r="J15" i="32"/>
  <c r="J17" i="39"/>
  <c r="J59" i="39"/>
  <c r="BM87" i="22"/>
  <c r="J57" i="32"/>
  <c r="J43" i="39"/>
  <c r="BM71" i="22"/>
  <c r="J41" i="32"/>
  <c r="J70" i="32"/>
  <c r="BM100" i="22"/>
  <c r="J72" i="39"/>
  <c r="BM66" i="22"/>
  <c r="J36" i="32"/>
  <c r="J38" i="39"/>
  <c r="J48" i="32"/>
  <c r="J399" i="196"/>
  <c r="J50" i="39"/>
  <c r="BM78" i="22"/>
  <c r="BM97" i="22"/>
  <c r="J69" i="39"/>
  <c r="J67" i="32"/>
  <c r="BM52" i="22"/>
  <c r="J24" i="39"/>
  <c r="J22" i="32"/>
  <c r="J18" i="32"/>
  <c r="BM48" i="22"/>
  <c r="J20" i="39"/>
  <c r="BM43" i="22"/>
  <c r="J13" i="32"/>
  <c r="J15" i="39"/>
  <c r="J11" i="32"/>
  <c r="BM41" i="22"/>
  <c r="J13" i="39"/>
  <c r="J14" i="39"/>
  <c r="J12" i="32"/>
  <c r="BM42" i="22"/>
  <c r="J31" i="32"/>
  <c r="J33" i="39"/>
  <c r="BM61" i="22"/>
  <c r="BM55" i="22"/>
  <c r="J27" i="39"/>
  <c r="J25" i="32"/>
  <c r="AS32" i="23"/>
  <c r="AS32" i="26"/>
  <c r="AS32" i="27"/>
  <c r="D16" i="37"/>
  <c r="A17" i="37"/>
  <c r="D368" i="34"/>
  <c r="L388" i="34"/>
  <c r="G386" i="34"/>
  <c r="L387" i="34"/>
  <c r="A382" i="34"/>
  <c r="J385" i="34"/>
  <c r="G387" i="34"/>
  <c r="G388" i="34"/>
  <c r="J386" i="34"/>
  <c r="H381" i="34"/>
  <c r="C387" i="34"/>
  <c r="C394" i="34"/>
  <c r="A385" i="34"/>
  <c r="A392" i="34"/>
  <c r="C386" i="34"/>
  <c r="C393" i="34"/>
  <c r="G385" i="34"/>
  <c r="A387" i="34"/>
  <c r="A394" i="34"/>
  <c r="L386" i="34"/>
  <c r="A388" i="34"/>
  <c r="A395" i="34"/>
  <c r="C385" i="34"/>
  <c r="C392" i="34"/>
  <c r="A386" i="34"/>
  <c r="A393" i="34"/>
  <c r="C388" i="34"/>
  <c r="C395" i="34"/>
  <c r="J387" i="34"/>
  <c r="L385" i="34"/>
  <c r="J388" i="34"/>
  <c r="A381" i="34"/>
  <c r="M387" i="34"/>
  <c r="M388" i="34"/>
  <c r="M386" i="34"/>
  <c r="M385" i="34"/>
  <c r="O381" i="34"/>
  <c r="V381" i="34"/>
  <c r="V408" i="34"/>
  <c r="Y437" i="34"/>
  <c r="N438" i="154"/>
  <c r="A445" i="154"/>
  <c r="A453" i="154"/>
  <c r="V438" i="154"/>
  <c r="U438" i="154"/>
  <c r="S438" i="154"/>
  <c r="L438" i="154"/>
  <c r="J438" i="154"/>
  <c r="A438" i="154"/>
  <c r="A443" i="154"/>
  <c r="A451" i="154"/>
  <c r="I438" i="154"/>
  <c r="N437" i="154"/>
  <c r="A444" i="154"/>
  <c r="A452" i="154"/>
  <c r="S437" i="154"/>
  <c r="U437" i="154"/>
  <c r="V437" i="154"/>
  <c r="A437" i="154"/>
  <c r="A442" i="154"/>
  <c r="A450" i="154"/>
  <c r="J437" i="154"/>
  <c r="A433" i="154"/>
  <c r="I434" i="154"/>
  <c r="L437" i="154"/>
  <c r="I437" i="154"/>
  <c r="I433" i="154"/>
  <c r="B497" i="154"/>
  <c r="H471" i="154"/>
  <c r="T471" i="154"/>
  <c r="T470" i="154"/>
  <c r="H470" i="154"/>
  <c r="AI459" i="182"/>
  <c r="AK496" i="182"/>
  <c r="AJ496" i="182"/>
  <c r="AE528" i="182"/>
  <c r="AI528" i="182"/>
  <c r="AD528" i="182"/>
  <c r="U528" i="182"/>
  <c r="AG528" i="182"/>
  <c r="AJ497" i="182"/>
  <c r="AK497" i="182"/>
  <c r="AK495" i="182"/>
  <c r="AJ495" i="182"/>
  <c r="AD526" i="182"/>
  <c r="AE526" i="182"/>
  <c r="U526" i="182"/>
  <c r="AG526" i="182"/>
  <c r="AE522" i="182"/>
  <c r="T519" i="182"/>
  <c r="T522" i="182"/>
  <c r="AI582" i="182"/>
  <c r="AC558" i="182"/>
  <c r="AC560" i="182"/>
  <c r="AC561" i="182"/>
  <c r="AC559" i="182"/>
  <c r="F398" i="196"/>
  <c r="G398" i="196"/>
  <c r="E395" i="196"/>
  <c r="I398" i="196"/>
  <c r="S395" i="196"/>
  <c r="A398" i="196"/>
  <c r="M395" i="196"/>
  <c r="AD529" i="182"/>
  <c r="AG529" i="182"/>
  <c r="U529" i="182"/>
  <c r="AE529" i="182"/>
  <c r="O398" i="196"/>
  <c r="P398" i="196"/>
  <c r="R398" i="196"/>
  <c r="K398" i="196"/>
  <c r="AI527" i="182"/>
  <c r="U527" i="182"/>
  <c r="AG527" i="182"/>
  <c r="AD527" i="182"/>
  <c r="AE527" i="182"/>
  <c r="E428" i="196"/>
  <c r="N429" i="196"/>
  <c r="N428" i="196"/>
  <c r="E429" i="196"/>
  <c r="C452" i="196"/>
  <c r="K399" i="196"/>
  <c r="R399" i="196"/>
  <c r="O399" i="196"/>
  <c r="P399" i="196"/>
  <c r="F399" i="196"/>
  <c r="G399" i="196"/>
  <c r="A399" i="196"/>
  <c r="I399" i="196"/>
  <c r="P459" i="182"/>
  <c r="AV21" i="221"/>
  <c r="AK494" i="182"/>
  <c r="AJ494" i="182"/>
  <c r="C413" i="197"/>
  <c r="G412" i="197"/>
  <c r="F408" i="197"/>
  <c r="C412" i="197"/>
  <c r="F412" i="197"/>
  <c r="F413" i="197"/>
  <c r="P412" i="197"/>
  <c r="F409" i="197"/>
  <c r="O412" i="197"/>
  <c r="E413" i="197"/>
  <c r="J413" i="197"/>
  <c r="N413" i="197"/>
  <c r="E412" i="197"/>
  <c r="L413" i="197"/>
  <c r="O413" i="197"/>
  <c r="P413" i="197"/>
  <c r="A412" i="197"/>
  <c r="A413" i="197"/>
  <c r="G413" i="197"/>
  <c r="N412" i="197"/>
  <c r="J412" i="197"/>
  <c r="A408" i="197"/>
  <c r="L412" i="197"/>
  <c r="N409" i="197"/>
  <c r="N408" i="197"/>
  <c r="J408" i="197"/>
  <c r="H412" i="197"/>
  <c r="Q412" i="197"/>
  <c r="H413" i="197"/>
  <c r="Q413" i="197"/>
  <c r="Q495" i="182"/>
  <c r="R495" i="182"/>
  <c r="O466" i="197"/>
  <c r="P498" i="197"/>
  <c r="N528" i="182"/>
  <c r="B528" i="182"/>
  <c r="K528" i="182"/>
  <c r="P528" i="182"/>
  <c r="L528" i="182"/>
  <c r="R497" i="182"/>
  <c r="Q497" i="182"/>
  <c r="J559" i="182"/>
  <c r="J561" i="182"/>
  <c r="J558" i="182"/>
  <c r="J560" i="182"/>
  <c r="P582" i="182"/>
  <c r="K527" i="182"/>
  <c r="P527" i="182"/>
  <c r="N527" i="182"/>
  <c r="B527" i="182"/>
  <c r="L527" i="182"/>
  <c r="L529" i="182"/>
  <c r="B529" i="182"/>
  <c r="K529" i="182"/>
  <c r="N529" i="182"/>
  <c r="A519" i="182"/>
  <c r="K526" i="182"/>
  <c r="L526" i="182"/>
  <c r="N526" i="182"/>
  <c r="L522" i="182"/>
  <c r="A522" i="182"/>
  <c r="B526" i="182"/>
  <c r="R496" i="182"/>
  <c r="Q496" i="182"/>
  <c r="C399" i="197"/>
  <c r="Q494" i="182"/>
  <c r="R494" i="182"/>
  <c r="G408" i="34"/>
  <c r="E436" i="197"/>
  <c r="N435" i="197"/>
  <c r="U408" i="34"/>
  <c r="W408" i="34"/>
  <c r="P435" i="197"/>
  <c r="P270" i="182"/>
  <c r="S399" i="196"/>
  <c r="M437" i="154"/>
  <c r="X438" i="154"/>
  <c r="M438" i="154"/>
  <c r="AK360" i="33"/>
  <c r="AI463" i="182"/>
  <c r="P463" i="182"/>
  <c r="P430" i="182"/>
  <c r="AI430" i="182"/>
  <c r="AI431" i="182"/>
  <c r="P431" i="182"/>
  <c r="P433" i="182"/>
  <c r="AI433" i="182"/>
  <c r="M834" i="33"/>
  <c r="AK834" i="33"/>
  <c r="AI177" i="182"/>
  <c r="J248" i="196"/>
  <c r="M272" i="154"/>
  <c r="M519" i="33"/>
  <c r="AI526" i="182"/>
  <c r="AI462" i="182"/>
  <c r="P462" i="182"/>
  <c r="AI270" i="182"/>
  <c r="M45" i="33"/>
  <c r="P529" i="182"/>
  <c r="S159" i="196"/>
  <c r="X174" i="154"/>
  <c r="P177" i="182"/>
  <c r="BM44" i="22"/>
  <c r="AY11" i="22"/>
  <c r="J14" i="32"/>
  <c r="S69" i="196"/>
  <c r="AS62" i="26"/>
  <c r="AS53" i="26"/>
  <c r="AS53" i="27"/>
  <c r="BM79" i="22"/>
  <c r="AS76" i="23"/>
  <c r="J51" i="39"/>
  <c r="J49" i="32"/>
  <c r="P368" i="182"/>
  <c r="BM51" i="22"/>
  <c r="AS48" i="23"/>
  <c r="AS41" i="23"/>
  <c r="J16" i="39"/>
  <c r="J21" i="32"/>
  <c r="AI144" i="182"/>
  <c r="L156" i="35"/>
  <c r="AS62" i="27"/>
  <c r="J53" i="32"/>
  <c r="S428" i="196"/>
  <c r="J23" i="39"/>
  <c r="L240" i="36"/>
  <c r="L240" i="35"/>
  <c r="M8" i="154"/>
  <c r="P8" i="153"/>
  <c r="J8" i="196"/>
  <c r="AI14" i="182"/>
  <c r="M15" i="33"/>
  <c r="P14" i="182"/>
  <c r="P369" i="182"/>
  <c r="AI369" i="182"/>
  <c r="S339" i="196"/>
  <c r="AK738" i="33"/>
  <c r="X372" i="154"/>
  <c r="M9" i="154"/>
  <c r="AK15" i="33"/>
  <c r="AI15" i="182"/>
  <c r="P15" i="182"/>
  <c r="P9" i="153"/>
  <c r="J9" i="196"/>
  <c r="J22" i="39"/>
  <c r="AI174" i="182"/>
  <c r="P174" i="182"/>
  <c r="M330" i="33"/>
  <c r="M173" i="154"/>
  <c r="J158" i="196"/>
  <c r="S279" i="196"/>
  <c r="AI305" i="182"/>
  <c r="AK612" i="33"/>
  <c r="X306" i="154"/>
  <c r="P305" i="182"/>
  <c r="P273" i="182"/>
  <c r="AI273" i="182"/>
  <c r="AK549" i="33"/>
  <c r="S249" i="196"/>
  <c r="X273" i="154"/>
  <c r="P398" i="182"/>
  <c r="AI398" i="182"/>
  <c r="J368" i="196"/>
  <c r="M771" i="33"/>
  <c r="M404" i="154"/>
  <c r="AI239" i="182"/>
  <c r="P239" i="182"/>
  <c r="AK456" i="33"/>
  <c r="J219" i="196"/>
  <c r="M240" i="154"/>
  <c r="M305" i="154"/>
  <c r="P302" i="182"/>
  <c r="AI302" i="182"/>
  <c r="M582" i="33"/>
  <c r="J278" i="196"/>
  <c r="P241" i="182"/>
  <c r="AI241" i="182"/>
  <c r="AK486" i="33"/>
  <c r="X240" i="154"/>
  <c r="S219" i="196"/>
  <c r="AI240" i="182"/>
  <c r="P240" i="182"/>
  <c r="M486" i="33"/>
  <c r="S218" i="196"/>
  <c r="X239" i="154"/>
  <c r="BM40" i="22"/>
  <c r="AS37" i="27"/>
  <c r="AI46" i="182"/>
  <c r="J38" i="196"/>
  <c r="M78" i="33"/>
  <c r="M41" i="154"/>
  <c r="P46" i="182"/>
  <c r="L40" i="35"/>
  <c r="J309" i="196"/>
  <c r="AI335" i="182"/>
  <c r="P335" i="182"/>
  <c r="AK645" i="33"/>
  <c r="M339" i="154"/>
  <c r="M306" i="154"/>
  <c r="J279" i="196"/>
  <c r="P303" i="182"/>
  <c r="AI303" i="182"/>
  <c r="AK582" i="33"/>
  <c r="P206" i="182"/>
  <c r="AI206" i="182"/>
  <c r="M393" i="33"/>
  <c r="J188" i="196"/>
  <c r="M206" i="154"/>
  <c r="X338" i="154"/>
  <c r="S308" i="196"/>
  <c r="AI336" i="182"/>
  <c r="P336" i="182"/>
  <c r="M675" i="33"/>
  <c r="S9" i="196"/>
  <c r="P17" i="182"/>
  <c r="AI17" i="182"/>
  <c r="AK45" i="33"/>
  <c r="X9" i="154"/>
  <c r="P11" i="153"/>
  <c r="AI399" i="182"/>
  <c r="P399" i="182"/>
  <c r="AK771" i="33"/>
  <c r="J369" i="196"/>
  <c r="M405" i="154"/>
  <c r="S38" i="196"/>
  <c r="AK108" i="33"/>
  <c r="P49" i="182"/>
  <c r="S39" i="196"/>
  <c r="X42" i="154"/>
  <c r="AI49" i="182"/>
  <c r="P142" i="182"/>
  <c r="AI142" i="182"/>
  <c r="M267" i="33"/>
  <c r="J128" i="196"/>
  <c r="M140" i="154"/>
  <c r="J12" i="39"/>
  <c r="J32" i="39"/>
  <c r="BM60" i="22"/>
  <c r="AS57" i="23"/>
  <c r="BM47" i="22"/>
  <c r="AS44" i="26"/>
  <c r="J19" i="39"/>
  <c r="J17" i="32"/>
  <c r="P112" i="182"/>
  <c r="J20" i="32"/>
  <c r="P207" i="182"/>
  <c r="J55" i="39"/>
  <c r="BM83" i="22"/>
  <c r="AS80" i="23"/>
  <c r="L9" i="35"/>
  <c r="L9" i="36"/>
  <c r="AS46" i="27"/>
  <c r="AS46" i="23"/>
  <c r="AS46" i="26"/>
  <c r="L213" i="36"/>
  <c r="L213" i="35"/>
  <c r="L212" i="35"/>
  <c r="L212" i="36"/>
  <c r="AS35" i="23"/>
  <c r="AS35" i="26"/>
  <c r="AS35" i="27"/>
  <c r="AS33" i="27"/>
  <c r="AS33" i="23"/>
  <c r="AS33" i="26"/>
  <c r="AS59" i="27"/>
  <c r="AS59" i="26"/>
  <c r="AS59" i="23"/>
  <c r="AF8" i="27"/>
  <c r="AF8" i="23"/>
  <c r="AF8" i="26"/>
  <c r="L11" i="35"/>
  <c r="L11" i="36"/>
  <c r="AS69" i="27"/>
  <c r="AS69" i="23"/>
  <c r="AS69" i="26"/>
  <c r="AS34" i="27"/>
  <c r="AS34" i="26"/>
  <c r="AS34" i="23"/>
  <c r="AS61" i="23"/>
  <c r="AF10" i="27"/>
  <c r="AS61" i="27"/>
  <c r="AF10" i="23"/>
  <c r="AS61" i="26"/>
  <c r="AF10" i="26"/>
  <c r="AF9" i="27"/>
  <c r="AF9" i="23"/>
  <c r="AF9" i="26"/>
  <c r="AS60" i="23"/>
  <c r="AS60" i="27"/>
  <c r="AS60" i="26"/>
  <c r="AS66" i="27"/>
  <c r="AS66" i="23"/>
  <c r="AS66" i="26"/>
  <c r="AS31" i="26"/>
  <c r="AS31" i="23"/>
  <c r="AS31" i="27"/>
  <c r="L8" i="35"/>
  <c r="L8" i="36"/>
  <c r="L37" i="35"/>
  <c r="L37" i="36"/>
  <c r="L269" i="35"/>
  <c r="L269" i="36"/>
  <c r="AS50" i="23"/>
  <c r="AS50" i="27"/>
  <c r="AS50" i="26"/>
  <c r="L272" i="36"/>
  <c r="L272" i="35"/>
  <c r="L214" i="36"/>
  <c r="L214" i="35"/>
  <c r="L270" i="35"/>
  <c r="L270" i="36"/>
  <c r="AS47" i="27"/>
  <c r="AS47" i="23"/>
  <c r="AS47" i="26"/>
  <c r="L153" i="35"/>
  <c r="L153" i="36"/>
  <c r="AS79" i="23"/>
  <c r="AS79" i="26"/>
  <c r="AS79" i="27"/>
  <c r="J18" i="39"/>
  <c r="J16" i="32"/>
  <c r="AK78" i="33"/>
  <c r="BM46" i="22"/>
  <c r="AS30" i="23"/>
  <c r="AS30" i="26"/>
  <c r="AS30" i="27"/>
  <c r="L357" i="36"/>
  <c r="L357" i="35"/>
  <c r="L300" i="36"/>
  <c r="L300" i="35"/>
  <c r="L154" i="35"/>
  <c r="L154" i="36"/>
  <c r="AS36" i="23"/>
  <c r="AS36" i="27"/>
  <c r="AS36" i="26"/>
  <c r="AS67" i="23"/>
  <c r="AS67" i="26"/>
  <c r="AS67" i="27"/>
  <c r="AS65" i="27"/>
  <c r="AS65" i="26"/>
  <c r="AS65" i="23"/>
  <c r="L356" i="35"/>
  <c r="L356" i="36"/>
  <c r="L182" i="35"/>
  <c r="L182" i="36"/>
  <c r="AS72" i="26"/>
  <c r="AS72" i="23"/>
  <c r="AS72" i="27"/>
  <c r="AS73" i="26"/>
  <c r="AS73" i="23"/>
  <c r="AS73" i="27"/>
  <c r="L39" i="35"/>
  <c r="L39" i="36"/>
  <c r="L299" i="35"/>
  <c r="L299" i="36"/>
  <c r="J54" i="32"/>
  <c r="AI337" i="182"/>
  <c r="J56" i="39"/>
  <c r="BM84" i="22"/>
  <c r="AS54" i="23"/>
  <c r="AS54" i="26"/>
  <c r="AS54" i="27"/>
  <c r="L330" i="36"/>
  <c r="L330" i="35"/>
  <c r="AS71" i="26"/>
  <c r="AS71" i="23"/>
  <c r="AS71" i="27"/>
  <c r="L242" i="36"/>
  <c r="L242" i="35"/>
  <c r="L243" i="36"/>
  <c r="L243" i="35"/>
  <c r="AS78" i="23"/>
  <c r="AS78" i="27"/>
  <c r="AS78" i="26"/>
  <c r="AS77" i="26"/>
  <c r="AS77" i="27"/>
  <c r="AS77" i="23"/>
  <c r="L124" i="35"/>
  <c r="L124" i="36"/>
  <c r="L301" i="36"/>
  <c r="L301" i="35"/>
  <c r="AS51" i="23"/>
  <c r="AS51" i="26"/>
  <c r="AS51" i="27"/>
  <c r="J29" i="32"/>
  <c r="P272" i="182"/>
  <c r="BM59" i="22"/>
  <c r="J31" i="39"/>
  <c r="AS64" i="27"/>
  <c r="AS64" i="26"/>
  <c r="AS64" i="23"/>
  <c r="L38" i="36"/>
  <c r="L38" i="35"/>
  <c r="AI529" i="182"/>
  <c r="S8" i="196"/>
  <c r="P526" i="182"/>
  <c r="AI16" i="182"/>
  <c r="P16" i="182"/>
  <c r="P10" i="153"/>
  <c r="X8" i="154"/>
  <c r="M897" i="33"/>
  <c r="L894" i="33"/>
  <c r="H897" i="33"/>
  <c r="B891" i="33"/>
  <c r="S894" i="33"/>
  <c r="B897" i="33"/>
  <c r="B894" i="33"/>
  <c r="P891" i="33"/>
  <c r="H888" i="33"/>
  <c r="L924" i="33"/>
  <c r="P921" i="33"/>
  <c r="B921" i="33"/>
  <c r="S924" i="33"/>
  <c r="H918" i="33"/>
  <c r="B927" i="33"/>
  <c r="H927" i="33"/>
  <c r="B924" i="33"/>
  <c r="Z927" i="33"/>
  <c r="Z924" i="33"/>
  <c r="AN921" i="33"/>
  <c r="AF927" i="33"/>
  <c r="AQ924" i="33"/>
  <c r="Z921" i="33"/>
  <c r="AJ924" i="33"/>
  <c r="AE918" i="33"/>
  <c r="U990" i="33"/>
  <c r="AS990" i="33"/>
  <c r="AS960" i="33"/>
  <c r="U960" i="33"/>
  <c r="AR1011" i="33"/>
  <c r="AE888" i="33"/>
  <c r="AK897" i="33"/>
  <c r="AN891" i="33"/>
  <c r="AQ894" i="33"/>
  <c r="Z897" i="33"/>
  <c r="AF897" i="33"/>
  <c r="AJ894" i="33"/>
  <c r="Z891" i="33"/>
  <c r="Z894" i="33"/>
  <c r="L10" i="36"/>
  <c r="AI78" i="182"/>
  <c r="P78" i="182"/>
  <c r="M141" i="33"/>
  <c r="M74" i="154"/>
  <c r="J68" i="196"/>
  <c r="AK234" i="33"/>
  <c r="P113" i="182"/>
  <c r="AI113" i="182"/>
  <c r="X108" i="154"/>
  <c r="S99" i="196"/>
  <c r="AI80" i="182"/>
  <c r="M171" i="33"/>
  <c r="P80" i="182"/>
  <c r="X74" i="154"/>
  <c r="S68" i="196"/>
  <c r="P110" i="182"/>
  <c r="AI110" i="182"/>
  <c r="M204" i="33"/>
  <c r="M107" i="154"/>
  <c r="J98" i="196"/>
  <c r="P366" i="182"/>
  <c r="AI366" i="182"/>
  <c r="M708" i="33"/>
  <c r="J338" i="196"/>
  <c r="M371" i="154"/>
  <c r="AI238" i="182"/>
  <c r="P238" i="182"/>
  <c r="M456" i="33"/>
  <c r="M239" i="154"/>
  <c r="J218" i="196"/>
  <c r="P304" i="182"/>
  <c r="AI304" i="182"/>
  <c r="M612" i="33"/>
  <c r="X305" i="154"/>
  <c r="S278" i="196"/>
  <c r="AK141" i="33"/>
  <c r="P79" i="182"/>
  <c r="AI79" i="182"/>
  <c r="M75" i="154"/>
  <c r="J69" i="196"/>
  <c r="P334" i="182"/>
  <c r="AI334" i="182"/>
  <c r="M645" i="33"/>
  <c r="J308" i="196"/>
  <c r="M338" i="154"/>
  <c r="AK171" i="33"/>
  <c r="AI209" i="182"/>
  <c r="P209" i="182"/>
  <c r="AK423" i="33"/>
  <c r="X207" i="154"/>
  <c r="S189" i="196"/>
  <c r="AI367" i="182"/>
  <c r="P367" i="182"/>
  <c r="AK708" i="33"/>
  <c r="M372" i="154"/>
  <c r="J339" i="196"/>
  <c r="AI496" i="182"/>
  <c r="P496" i="182"/>
  <c r="P271" i="182"/>
  <c r="AI271" i="182"/>
  <c r="AK519" i="33"/>
  <c r="M273" i="154"/>
  <c r="J249" i="196"/>
  <c r="AS55" i="26"/>
  <c r="AS55" i="23"/>
  <c r="AS55" i="27"/>
  <c r="AS70" i="27"/>
  <c r="AS70" i="23"/>
  <c r="AS70" i="26"/>
  <c r="L183" i="35"/>
  <c r="L183" i="36"/>
  <c r="L298" i="36"/>
  <c r="L298" i="35"/>
  <c r="L329" i="36"/>
  <c r="L329" i="35"/>
  <c r="L445" i="35"/>
  <c r="L445" i="36"/>
  <c r="AS92" i="26"/>
  <c r="AS92" i="27"/>
  <c r="AS92" i="23"/>
  <c r="L95" i="35"/>
  <c r="L95" i="36"/>
  <c r="AS74" i="26"/>
  <c r="AS74" i="23"/>
  <c r="AS74" i="27"/>
  <c r="AS42" i="26"/>
  <c r="AS42" i="27"/>
  <c r="AS42" i="23"/>
  <c r="L358" i="36"/>
  <c r="L358" i="35"/>
  <c r="L327" i="36"/>
  <c r="L327" i="35"/>
  <c r="L475" i="36"/>
  <c r="L475" i="35"/>
  <c r="L472" i="36"/>
  <c r="L472" i="35"/>
  <c r="AS97" i="26"/>
  <c r="AS97" i="23"/>
  <c r="AS97" i="27"/>
  <c r="AS94" i="27"/>
  <c r="AS94" i="23"/>
  <c r="AS94" i="26"/>
  <c r="AS75" i="23"/>
  <c r="AS75" i="27"/>
  <c r="AS75" i="26"/>
  <c r="L328" i="35"/>
  <c r="L328" i="36"/>
  <c r="L271" i="35"/>
  <c r="L271" i="36"/>
  <c r="AS68" i="23"/>
  <c r="AS68" i="27"/>
  <c r="AS68" i="26"/>
  <c r="L387" i="36"/>
  <c r="L387" i="35"/>
  <c r="AS63" i="23"/>
  <c r="AS63" i="27"/>
  <c r="AS63" i="26"/>
  <c r="AS84" i="26"/>
  <c r="AS84" i="23"/>
  <c r="AS84" i="27"/>
  <c r="L241" i="35"/>
  <c r="L241" i="36"/>
  <c r="L98" i="35"/>
  <c r="L98" i="36"/>
  <c r="AS45" i="27"/>
  <c r="AS45" i="26"/>
  <c r="AS45" i="23"/>
  <c r="L127" i="35"/>
  <c r="L127" i="36"/>
  <c r="AS49" i="27"/>
  <c r="AS49" i="23"/>
  <c r="AS49" i="26"/>
  <c r="L69" i="36"/>
  <c r="L69" i="35"/>
  <c r="L126" i="35"/>
  <c r="L126" i="36"/>
  <c r="AS39" i="23"/>
  <c r="AS39" i="26"/>
  <c r="AS39" i="27"/>
  <c r="L67" i="35"/>
  <c r="L67" i="36"/>
  <c r="L97" i="36"/>
  <c r="L97" i="35"/>
  <c r="AS38" i="27"/>
  <c r="AS38" i="23"/>
  <c r="AS38" i="26"/>
  <c r="L66" i="36"/>
  <c r="L66" i="35"/>
  <c r="L155" i="35"/>
  <c r="L155" i="36"/>
  <c r="AS58" i="26"/>
  <c r="AS58" i="27"/>
  <c r="AF7" i="23"/>
  <c r="AF7" i="26"/>
  <c r="AF7" i="27"/>
  <c r="AS58" i="23"/>
  <c r="L211" i="35"/>
  <c r="L211" i="36"/>
  <c r="AS40" i="23"/>
  <c r="AS40" i="27"/>
  <c r="AS40" i="26"/>
  <c r="AS52" i="27"/>
  <c r="AS52" i="23"/>
  <c r="AS52" i="26"/>
  <c r="L68" i="36"/>
  <c r="L68" i="35"/>
  <c r="A18" i="37"/>
  <c r="D17" i="37"/>
  <c r="D397" i="34"/>
  <c r="M415" i="34"/>
  <c r="M414" i="34"/>
  <c r="M416" i="34"/>
  <c r="M417" i="34"/>
  <c r="O410" i="34"/>
  <c r="V410" i="34"/>
  <c r="C416" i="34"/>
  <c r="C423" i="34"/>
  <c r="G417" i="34"/>
  <c r="A410" i="34"/>
  <c r="J415" i="34"/>
  <c r="A414" i="34"/>
  <c r="A421" i="34"/>
  <c r="G415" i="34"/>
  <c r="J417" i="34"/>
  <c r="A411" i="34"/>
  <c r="H410" i="34"/>
  <c r="C415" i="34"/>
  <c r="C422" i="34"/>
  <c r="A416" i="34"/>
  <c r="A423" i="34"/>
  <c r="J414" i="34"/>
  <c r="L416" i="34"/>
  <c r="C414" i="34"/>
  <c r="C421" i="34"/>
  <c r="G414" i="34"/>
  <c r="G416" i="34"/>
  <c r="L415" i="34"/>
  <c r="C417" i="34"/>
  <c r="C424" i="34"/>
  <c r="L417" i="34"/>
  <c r="J416" i="34"/>
  <c r="L414" i="34"/>
  <c r="A415" i="34"/>
  <c r="A422" i="34"/>
  <c r="A417" i="34"/>
  <c r="A424" i="34"/>
  <c r="Y466" i="34"/>
  <c r="V437" i="34"/>
  <c r="T503" i="154"/>
  <c r="H504" i="154"/>
  <c r="B530" i="154"/>
  <c r="T504" i="154"/>
  <c r="H503" i="154"/>
  <c r="A466" i="154"/>
  <c r="I467" i="154"/>
  <c r="A470" i="154"/>
  <c r="A475" i="154"/>
  <c r="A483" i="154"/>
  <c r="I470" i="154"/>
  <c r="L470" i="154"/>
  <c r="M470" i="154"/>
  <c r="J470" i="154"/>
  <c r="I466" i="154"/>
  <c r="S470" i="154"/>
  <c r="N470" i="154"/>
  <c r="A477" i="154"/>
  <c r="A485" i="154"/>
  <c r="U470" i="154"/>
  <c r="V470" i="154"/>
  <c r="U471" i="154"/>
  <c r="V471" i="154"/>
  <c r="S471" i="154"/>
  <c r="N471" i="154"/>
  <c r="A478" i="154"/>
  <c r="A486" i="154"/>
  <c r="M471" i="154"/>
  <c r="I471" i="154"/>
  <c r="A471" i="154"/>
  <c r="A476" i="154"/>
  <c r="A484" i="154"/>
  <c r="J471" i="154"/>
  <c r="L471" i="154"/>
  <c r="AK528" i="182"/>
  <c r="AJ528" i="182"/>
  <c r="AJ527" i="182"/>
  <c r="AK527" i="182"/>
  <c r="AI559" i="182"/>
  <c r="AE559" i="182"/>
  <c r="AD559" i="182"/>
  <c r="U559" i="182"/>
  <c r="AG559" i="182"/>
  <c r="U561" i="182"/>
  <c r="AE561" i="182"/>
  <c r="AG561" i="182"/>
  <c r="AI561" i="182"/>
  <c r="AD561" i="182"/>
  <c r="AI491" i="182"/>
  <c r="AG560" i="182"/>
  <c r="AD560" i="182"/>
  <c r="AE560" i="182"/>
  <c r="AI560" i="182"/>
  <c r="U560" i="182"/>
  <c r="T551" i="182"/>
  <c r="T554" i="182"/>
  <c r="AE554" i="182"/>
  <c r="AE558" i="182"/>
  <c r="U558" i="182"/>
  <c r="AG558" i="182"/>
  <c r="AI558" i="182"/>
  <c r="AD558" i="182"/>
  <c r="AK526" i="182"/>
  <c r="AJ526" i="182"/>
  <c r="E458" i="196"/>
  <c r="N459" i="196"/>
  <c r="E459" i="196"/>
  <c r="C482" i="196"/>
  <c r="N458" i="196"/>
  <c r="AC591" i="182"/>
  <c r="AC592" i="182"/>
  <c r="AC590" i="182"/>
  <c r="AI614" i="182"/>
  <c r="AC593" i="182"/>
  <c r="AV22" i="221"/>
  <c r="I429" i="196"/>
  <c r="J429" i="196"/>
  <c r="A429" i="196"/>
  <c r="F429" i="196"/>
  <c r="G429" i="196"/>
  <c r="P428" i="196"/>
  <c r="K428" i="196"/>
  <c r="R428" i="196"/>
  <c r="O428" i="196"/>
  <c r="P429" i="196"/>
  <c r="R429" i="196"/>
  <c r="K429" i="196"/>
  <c r="O429" i="196"/>
  <c r="J428" i="196"/>
  <c r="I428" i="196"/>
  <c r="A428" i="196"/>
  <c r="S425" i="196"/>
  <c r="M425" i="196"/>
  <c r="F428" i="196"/>
  <c r="E425" i="196"/>
  <c r="G428" i="196"/>
  <c r="AK529" i="182"/>
  <c r="AJ529" i="182"/>
  <c r="Q443" i="197"/>
  <c r="Q444" i="197"/>
  <c r="H443" i="197"/>
  <c r="H444" i="197"/>
  <c r="A439" i="197"/>
  <c r="A444" i="197"/>
  <c r="G444" i="197"/>
  <c r="E444" i="197"/>
  <c r="P443" i="197"/>
  <c r="J443" i="197"/>
  <c r="N444" i="197"/>
  <c r="O443" i="197"/>
  <c r="J444" i="197"/>
  <c r="L444" i="197"/>
  <c r="L443" i="197"/>
  <c r="G443" i="197"/>
  <c r="O444" i="197"/>
  <c r="A443" i="197"/>
  <c r="F444" i="197"/>
  <c r="E443" i="197"/>
  <c r="F439" i="197"/>
  <c r="C444" i="197"/>
  <c r="N443" i="197"/>
  <c r="F440" i="197"/>
  <c r="C443" i="197"/>
  <c r="F443" i="197"/>
  <c r="P444" i="197"/>
  <c r="N440" i="197"/>
  <c r="N439" i="197"/>
  <c r="J439" i="197"/>
  <c r="P614" i="182"/>
  <c r="J593" i="182"/>
  <c r="J592" i="182"/>
  <c r="J591" i="182"/>
  <c r="J590" i="182"/>
  <c r="L560" i="182"/>
  <c r="K560" i="182"/>
  <c r="P560" i="182"/>
  <c r="N560" i="182"/>
  <c r="B560" i="182"/>
  <c r="K558" i="182"/>
  <c r="A551" i="182"/>
  <c r="A554" i="182"/>
  <c r="P558" i="182"/>
  <c r="N558" i="182"/>
  <c r="L558" i="182"/>
  <c r="L554" i="182"/>
  <c r="B558" i="182"/>
  <c r="P561" i="182"/>
  <c r="L561" i="182"/>
  <c r="B561" i="182"/>
  <c r="N561" i="182"/>
  <c r="K561" i="182"/>
  <c r="B559" i="182"/>
  <c r="P559" i="182"/>
  <c r="L559" i="182"/>
  <c r="N559" i="182"/>
  <c r="K559" i="182"/>
  <c r="R529" i="182"/>
  <c r="Q529" i="182"/>
  <c r="R528" i="182"/>
  <c r="Q528" i="182"/>
  <c r="R527" i="182"/>
  <c r="Q527" i="182"/>
  <c r="C430" i="197"/>
  <c r="P491" i="182"/>
  <c r="Q526" i="182"/>
  <c r="R526" i="182"/>
  <c r="P529" i="197"/>
  <c r="O497" i="197"/>
  <c r="N466" i="197"/>
  <c r="U437" i="34"/>
  <c r="W437" i="34"/>
  <c r="E467" i="197"/>
  <c r="G437" i="34"/>
  <c r="P466" i="197"/>
  <c r="M864" i="33"/>
  <c r="P432" i="182"/>
  <c r="S429" i="196"/>
  <c r="X471" i="154"/>
  <c r="AK927" i="33"/>
  <c r="AI432" i="182"/>
  <c r="S398" i="196"/>
  <c r="X173" i="154"/>
  <c r="S129" i="196"/>
  <c r="X141" i="154"/>
  <c r="P145" i="182"/>
  <c r="AK297" i="33"/>
  <c r="AI145" i="182"/>
  <c r="S158" i="196"/>
  <c r="M360" i="33"/>
  <c r="P176" i="182"/>
  <c r="AI176" i="182"/>
  <c r="J189" i="196"/>
  <c r="M207" i="154"/>
  <c r="AK393" i="33"/>
  <c r="X272" i="154"/>
  <c r="AK330" i="33"/>
  <c r="AI207" i="182"/>
  <c r="AI175" i="182"/>
  <c r="S248" i="196"/>
  <c r="M549" i="33"/>
  <c r="AI272" i="182"/>
  <c r="X404" i="154"/>
  <c r="P464" i="182"/>
  <c r="AI464" i="182"/>
  <c r="M927" i="33"/>
  <c r="M174" i="154"/>
  <c r="P175" i="182"/>
  <c r="X437" i="154"/>
  <c r="P465" i="182"/>
  <c r="J159" i="196"/>
  <c r="AI465" i="182"/>
  <c r="X470" i="154"/>
  <c r="AS48" i="26"/>
  <c r="L153" i="34"/>
  <c r="P81" i="182"/>
  <c r="G164" i="197"/>
  <c r="X75" i="154"/>
  <c r="X140" i="154"/>
  <c r="L327" i="34"/>
  <c r="G350" i="197"/>
  <c r="L269" i="34"/>
  <c r="G288" i="197"/>
  <c r="L357" i="34"/>
  <c r="G382" i="197"/>
  <c r="L68" i="34"/>
  <c r="P71" i="197"/>
  <c r="L184" i="34"/>
  <c r="P195" i="197"/>
  <c r="L183" i="34"/>
  <c r="G196" i="197"/>
  <c r="L125" i="34"/>
  <c r="G134" i="197"/>
  <c r="L156" i="34"/>
  <c r="P165" i="197"/>
  <c r="L242" i="34"/>
  <c r="P257" i="197"/>
  <c r="L298" i="34"/>
  <c r="G319" i="197"/>
  <c r="L241" i="34"/>
  <c r="G258" i="197"/>
  <c r="L40" i="34"/>
  <c r="P41" i="197"/>
  <c r="L39" i="34"/>
  <c r="P40" i="197"/>
  <c r="L182" i="34"/>
  <c r="G195" i="197"/>
  <c r="L10" i="34"/>
  <c r="P9" i="197"/>
  <c r="L270" i="34"/>
  <c r="G289" i="197"/>
  <c r="L127" i="34"/>
  <c r="P134" i="197"/>
  <c r="L240" i="34"/>
  <c r="G257" i="197"/>
  <c r="L67" i="34"/>
  <c r="G72" i="197"/>
  <c r="L11" i="34"/>
  <c r="P10" i="197"/>
  <c r="L300" i="34"/>
  <c r="P319" i="197"/>
  <c r="L358" i="34"/>
  <c r="P381" i="197"/>
  <c r="L96" i="34"/>
  <c r="G103" i="197"/>
  <c r="L328" i="34"/>
  <c r="G351" i="197"/>
  <c r="L66" i="34"/>
  <c r="G71" i="197"/>
  <c r="L299" i="34"/>
  <c r="G320" i="197"/>
  <c r="L356" i="34"/>
  <c r="G381" i="197"/>
  <c r="L211" i="34"/>
  <c r="G226" i="197"/>
  <c r="L69" i="34"/>
  <c r="P72" i="197"/>
  <c r="L271" i="34"/>
  <c r="P288" i="197"/>
  <c r="L38" i="34"/>
  <c r="G41" i="197"/>
  <c r="L95" i="34"/>
  <c r="G102" i="197"/>
  <c r="L185" i="34"/>
  <c r="P196" i="197"/>
  <c r="L124" i="34"/>
  <c r="G133" i="197"/>
  <c r="L329" i="34"/>
  <c r="P350" i="197"/>
  <c r="L154" i="34"/>
  <c r="G165" i="197"/>
  <c r="L8" i="34"/>
  <c r="G9" i="197"/>
  <c r="L37" i="34"/>
  <c r="G40" i="197"/>
  <c r="L213" i="34"/>
  <c r="P226" i="197"/>
  <c r="L214" i="34"/>
  <c r="P227" i="197"/>
  <c r="L212" i="34"/>
  <c r="G227" i="197"/>
  <c r="L98" i="34"/>
  <c r="P103" i="197"/>
  <c r="P400" i="182"/>
  <c r="AI81" i="182"/>
  <c r="AS48" i="27"/>
  <c r="S368" i="196"/>
  <c r="AI400" i="182"/>
  <c r="L185" i="36"/>
  <c r="M801" i="33"/>
  <c r="AS76" i="27"/>
  <c r="AS76" i="26"/>
  <c r="S338" i="196"/>
  <c r="M738" i="33"/>
  <c r="AI368" i="182"/>
  <c r="P47" i="182"/>
  <c r="J39" i="196"/>
  <c r="AI47" i="182"/>
  <c r="X41" i="154"/>
  <c r="M108" i="33"/>
  <c r="P48" i="182"/>
  <c r="P337" i="182"/>
  <c r="AI48" i="182"/>
  <c r="P144" i="182"/>
  <c r="S309" i="196"/>
  <c r="X339" i="154"/>
  <c r="AK675" i="33"/>
  <c r="M42" i="154"/>
  <c r="S98" i="196"/>
  <c r="AS41" i="27"/>
  <c r="AS44" i="27"/>
  <c r="AS41" i="26"/>
  <c r="AS57" i="27"/>
  <c r="AI112" i="182"/>
  <c r="S128" i="196"/>
  <c r="M297" i="33"/>
  <c r="X107" i="154"/>
  <c r="AS57" i="26"/>
  <c r="AS44" i="23"/>
  <c r="X371" i="154"/>
  <c r="L185" i="35"/>
  <c r="AS37" i="26"/>
  <c r="M234" i="33"/>
  <c r="AS80" i="26"/>
  <c r="L40" i="36"/>
  <c r="AS37" i="23"/>
  <c r="AI111" i="182"/>
  <c r="P111" i="182"/>
  <c r="AK204" i="33"/>
  <c r="M108" i="154"/>
  <c r="J99" i="196"/>
  <c r="AI401" i="182"/>
  <c r="P401" i="182"/>
  <c r="S369" i="196"/>
  <c r="AK801" i="33"/>
  <c r="X405" i="154"/>
  <c r="AI208" i="182"/>
  <c r="P208" i="182"/>
  <c r="M423" i="33"/>
  <c r="S188" i="196"/>
  <c r="X206" i="154"/>
  <c r="AI143" i="182"/>
  <c r="AK267" i="33"/>
  <c r="P143" i="182"/>
  <c r="M141" i="154"/>
  <c r="J129" i="196"/>
  <c r="L125" i="35"/>
  <c r="L125" i="36"/>
  <c r="AS80" i="27"/>
  <c r="L184" i="35"/>
  <c r="L184" i="36"/>
  <c r="AS43" i="27"/>
  <c r="AS43" i="23"/>
  <c r="AS43" i="26"/>
  <c r="L96" i="36"/>
  <c r="L96" i="35"/>
  <c r="AS81" i="27"/>
  <c r="AS81" i="26"/>
  <c r="AS81" i="23"/>
  <c r="L359" i="36"/>
  <c r="L359" i="35"/>
  <c r="AS56" i="27"/>
  <c r="AS56" i="23"/>
  <c r="AS56" i="26"/>
  <c r="AS1023" i="33"/>
  <c r="U1023" i="33"/>
  <c r="AR1074" i="33"/>
  <c r="U1053" i="33"/>
  <c r="AS1053" i="33"/>
  <c r="S957" i="33"/>
  <c r="M960" i="33"/>
  <c r="H951" i="33"/>
  <c r="B957" i="33"/>
  <c r="P954" i="33"/>
  <c r="H960" i="33"/>
  <c r="B960" i="33"/>
  <c r="L957" i="33"/>
  <c r="B954" i="33"/>
  <c r="AK960" i="33"/>
  <c r="AE951" i="33"/>
  <c r="Z960" i="33"/>
  <c r="AN954" i="33"/>
  <c r="AJ957" i="33"/>
  <c r="AQ957" i="33"/>
  <c r="Z957" i="33"/>
  <c r="Z954" i="33"/>
  <c r="AF960" i="33"/>
  <c r="AQ987" i="33"/>
  <c r="AF990" i="33"/>
  <c r="AK990" i="33"/>
  <c r="Z990" i="33"/>
  <c r="AJ987" i="33"/>
  <c r="Z987" i="33"/>
  <c r="Z984" i="33"/>
  <c r="AN984" i="33"/>
  <c r="AE981" i="33"/>
  <c r="L987" i="33"/>
  <c r="M990" i="33"/>
  <c r="B987" i="33"/>
  <c r="B990" i="33"/>
  <c r="P984" i="33"/>
  <c r="H990" i="33"/>
  <c r="B984" i="33"/>
  <c r="S987" i="33"/>
  <c r="H981" i="33"/>
  <c r="D426" i="34"/>
  <c r="A19" i="37"/>
  <c r="D18" i="37"/>
  <c r="M446" i="34"/>
  <c r="M445" i="34"/>
  <c r="M443" i="34"/>
  <c r="M444" i="34"/>
  <c r="V439" i="34"/>
  <c r="O439" i="34"/>
  <c r="C443" i="34"/>
  <c r="C450" i="34"/>
  <c r="A445" i="34"/>
  <c r="A452" i="34"/>
  <c r="G446" i="34"/>
  <c r="J446" i="34"/>
  <c r="A446" i="34"/>
  <c r="A453" i="34"/>
  <c r="A443" i="34"/>
  <c r="A450" i="34"/>
  <c r="J444" i="34"/>
  <c r="H439" i="34"/>
  <c r="A440" i="34"/>
  <c r="L443" i="34"/>
  <c r="C445" i="34"/>
  <c r="C452" i="34"/>
  <c r="G444" i="34"/>
  <c r="C446" i="34"/>
  <c r="C453" i="34"/>
  <c r="J445" i="34"/>
  <c r="L446" i="34"/>
  <c r="C444" i="34"/>
  <c r="C451" i="34"/>
  <c r="G443" i="34"/>
  <c r="G445" i="34"/>
  <c r="J443" i="34"/>
  <c r="L444" i="34"/>
  <c r="A444" i="34"/>
  <c r="A451" i="34"/>
  <c r="A439" i="34"/>
  <c r="L445" i="34"/>
  <c r="V466" i="34"/>
  <c r="Y495" i="34"/>
  <c r="I500" i="154"/>
  <c r="A499" i="154"/>
  <c r="I499" i="154"/>
  <c r="A503" i="154"/>
  <c r="A508" i="154"/>
  <c r="A516" i="154"/>
  <c r="I503" i="154"/>
  <c r="M503" i="154"/>
  <c r="L503" i="154"/>
  <c r="J503" i="154"/>
  <c r="S504" i="154"/>
  <c r="N504" i="154"/>
  <c r="A511" i="154"/>
  <c r="A519" i="154"/>
  <c r="U504" i="154"/>
  <c r="X504" i="154"/>
  <c r="V504" i="154"/>
  <c r="H537" i="154"/>
  <c r="H536" i="154"/>
  <c r="T537" i="154"/>
  <c r="B563" i="154"/>
  <c r="T536" i="154"/>
  <c r="I504" i="154"/>
  <c r="L504" i="154"/>
  <c r="A504" i="154"/>
  <c r="A509" i="154"/>
  <c r="A517" i="154"/>
  <c r="J504" i="154"/>
  <c r="M504" i="154"/>
  <c r="S503" i="154"/>
  <c r="U503" i="154"/>
  <c r="V503" i="154"/>
  <c r="N503" i="154"/>
  <c r="A510" i="154"/>
  <c r="A518" i="154"/>
  <c r="X503" i="154"/>
  <c r="AE590" i="182"/>
  <c r="AG590" i="182"/>
  <c r="AE586" i="182"/>
  <c r="T586" i="182"/>
  <c r="AD590" i="182"/>
  <c r="T583" i="182"/>
  <c r="AI590" i="182"/>
  <c r="U590" i="182"/>
  <c r="AD592" i="182"/>
  <c r="U592" i="182"/>
  <c r="AI592" i="182"/>
  <c r="AG592" i="182"/>
  <c r="AE592" i="182"/>
  <c r="AI591" i="182"/>
  <c r="AE591" i="182"/>
  <c r="AG591" i="182"/>
  <c r="AD591" i="182"/>
  <c r="U591" i="182"/>
  <c r="AK559" i="182"/>
  <c r="AJ559" i="182"/>
  <c r="R458" i="196"/>
  <c r="P458" i="196"/>
  <c r="O458" i="196"/>
  <c r="S458" i="196"/>
  <c r="K458" i="196"/>
  <c r="AK561" i="182"/>
  <c r="AJ561" i="182"/>
  <c r="N488" i="196"/>
  <c r="E488" i="196"/>
  <c r="E489" i="196"/>
  <c r="N489" i="196"/>
  <c r="C512" i="196"/>
  <c r="P523" i="182"/>
  <c r="G459" i="196"/>
  <c r="A459" i="196"/>
  <c r="F459" i="196"/>
  <c r="I459" i="196"/>
  <c r="J459" i="196"/>
  <c r="K459" i="196"/>
  <c r="O459" i="196"/>
  <c r="R459" i="196"/>
  <c r="P459" i="196"/>
  <c r="S459" i="196"/>
  <c r="AV23" i="221"/>
  <c r="G458" i="196"/>
  <c r="E455" i="196"/>
  <c r="I458" i="196"/>
  <c r="M455" i="196"/>
  <c r="J458" i="196"/>
  <c r="A458" i="196"/>
  <c r="F458" i="196"/>
  <c r="S455" i="196"/>
  <c r="AK560" i="182"/>
  <c r="AJ560" i="182"/>
  <c r="AI523" i="182"/>
  <c r="AE593" i="182"/>
  <c r="AG593" i="182"/>
  <c r="AD593" i="182"/>
  <c r="U593" i="182"/>
  <c r="AI593" i="182"/>
  <c r="AC622" i="182"/>
  <c r="AI646" i="182"/>
  <c r="AC623" i="182"/>
  <c r="AC625" i="182"/>
  <c r="AC624" i="182"/>
  <c r="AJ558" i="182"/>
  <c r="AK558" i="182"/>
  <c r="J475" i="197"/>
  <c r="O474" i="197"/>
  <c r="G474" i="197"/>
  <c r="P475" i="197"/>
  <c r="A475" i="197"/>
  <c r="L475" i="197"/>
  <c r="C475" i="197"/>
  <c r="A470" i="197"/>
  <c r="F471" i="197"/>
  <c r="J474" i="197"/>
  <c r="F474" i="197"/>
  <c r="F470" i="197"/>
  <c r="N474" i="197"/>
  <c r="C474" i="197"/>
  <c r="N475" i="197"/>
  <c r="L474" i="197"/>
  <c r="P474" i="197"/>
  <c r="O475" i="197"/>
  <c r="G475" i="197"/>
  <c r="F475" i="197"/>
  <c r="E474" i="197"/>
  <c r="A474" i="197"/>
  <c r="E475" i="197"/>
  <c r="H474" i="197"/>
  <c r="Q474" i="197"/>
  <c r="Q475" i="197"/>
  <c r="H475" i="197"/>
  <c r="N470" i="197"/>
  <c r="N471" i="197"/>
  <c r="J470" i="197"/>
  <c r="J625" i="182"/>
  <c r="J623" i="182"/>
  <c r="J624" i="182"/>
  <c r="J622" i="182"/>
  <c r="P646" i="182"/>
  <c r="O528" i="197"/>
  <c r="P560" i="197"/>
  <c r="Q561" i="182"/>
  <c r="R561" i="182"/>
  <c r="C461" i="197"/>
  <c r="Q559" i="182"/>
  <c r="R559" i="182"/>
  <c r="Q560" i="182"/>
  <c r="R560" i="182"/>
  <c r="L590" i="182"/>
  <c r="L586" i="182"/>
  <c r="A583" i="182"/>
  <c r="K590" i="182"/>
  <c r="P590" i="182"/>
  <c r="A586" i="182"/>
  <c r="N590" i="182"/>
  <c r="B590" i="182"/>
  <c r="N591" i="182"/>
  <c r="P591" i="182"/>
  <c r="B591" i="182"/>
  <c r="K591" i="182"/>
  <c r="L591" i="182"/>
  <c r="R558" i="182"/>
  <c r="Q558" i="182"/>
  <c r="L592" i="182"/>
  <c r="P592" i="182"/>
  <c r="K592" i="182"/>
  <c r="N592" i="182"/>
  <c r="B592" i="182"/>
  <c r="P593" i="182"/>
  <c r="B593" i="182"/>
  <c r="K593" i="182"/>
  <c r="L593" i="182"/>
  <c r="N593" i="182"/>
  <c r="E498" i="197"/>
  <c r="G466" i="34"/>
  <c r="N497" i="197"/>
  <c r="U466" i="34"/>
  <c r="P497" i="197"/>
  <c r="W466" i="34"/>
  <c r="P102" i="197"/>
  <c r="P320" i="197"/>
  <c r="P258" i="197"/>
  <c r="G10" i="197"/>
  <c r="P133" i="197"/>
  <c r="P351" i="197"/>
  <c r="F18" i="105"/>
  <c r="L330" i="34"/>
  <c r="L126" i="34"/>
  <c r="F17" i="105"/>
  <c r="F11" i="105"/>
  <c r="P289" i="197"/>
  <c r="P382" i="197"/>
  <c r="L359" i="34"/>
  <c r="P164" i="197"/>
  <c r="L272" i="34"/>
  <c r="F9" i="105"/>
  <c r="L155" i="34"/>
  <c r="F8" i="105"/>
  <c r="L9" i="34"/>
  <c r="F12" i="105"/>
  <c r="L97" i="34"/>
  <c r="F20" i="105"/>
  <c r="L243" i="34"/>
  <c r="F23" i="105"/>
  <c r="L301" i="34"/>
  <c r="AE1044" i="33"/>
  <c r="Z1053" i="33"/>
  <c r="AQ1050" i="33"/>
  <c r="AK1053" i="33"/>
  <c r="Z1047" i="33"/>
  <c r="Z1050" i="33"/>
  <c r="AN1047" i="33"/>
  <c r="AF1053" i="33"/>
  <c r="AJ1050" i="33"/>
  <c r="H1053" i="33"/>
  <c r="L1050" i="33"/>
  <c r="S1050" i="33"/>
  <c r="B1050" i="33"/>
  <c r="B1053" i="33"/>
  <c r="H1044" i="33"/>
  <c r="P1047" i="33"/>
  <c r="B1047" i="33"/>
  <c r="M1053" i="33"/>
  <c r="AR1137" i="33"/>
  <c r="U1116" i="33"/>
  <c r="AS1086" i="33"/>
  <c r="AS1116" i="33"/>
  <c r="U1086" i="33"/>
  <c r="L1020" i="33"/>
  <c r="H1014" i="33"/>
  <c r="B1023" i="33"/>
  <c r="H1023" i="33"/>
  <c r="B1017" i="33"/>
  <c r="S1020" i="33"/>
  <c r="B1020" i="33"/>
  <c r="P1017" i="33"/>
  <c r="M1023" i="33"/>
  <c r="AN1017" i="33"/>
  <c r="AE1014" i="33"/>
  <c r="AK1023" i="33"/>
  <c r="Z1020" i="33"/>
  <c r="AQ1020" i="33"/>
  <c r="Z1017" i="33"/>
  <c r="AJ1020" i="33"/>
  <c r="Z1023" i="33"/>
  <c r="AF1023" i="33"/>
  <c r="D19" i="37"/>
  <c r="A20" i="37"/>
  <c r="D455" i="34"/>
  <c r="V468" i="34"/>
  <c r="O468" i="34"/>
  <c r="M473" i="34"/>
  <c r="M472" i="34"/>
  <c r="M474" i="34"/>
  <c r="M475" i="34"/>
  <c r="J472" i="34"/>
  <c r="C475" i="34"/>
  <c r="C482" i="34"/>
  <c r="J475" i="34"/>
  <c r="G474" i="34"/>
  <c r="G473" i="34"/>
  <c r="A475" i="34"/>
  <c r="A482" i="34"/>
  <c r="G472" i="34"/>
  <c r="C474" i="34"/>
  <c r="C481" i="34"/>
  <c r="J473" i="34"/>
  <c r="L473" i="34"/>
  <c r="C472" i="34"/>
  <c r="C479" i="34"/>
  <c r="L472" i="34"/>
  <c r="H468" i="34"/>
  <c r="A468" i="34"/>
  <c r="L475" i="34"/>
  <c r="A473" i="34"/>
  <c r="A480" i="34"/>
  <c r="A469" i="34"/>
  <c r="A474" i="34"/>
  <c r="A481" i="34"/>
  <c r="G475" i="34"/>
  <c r="L474" i="34"/>
  <c r="J474" i="34"/>
  <c r="A472" i="34"/>
  <c r="A479" i="34"/>
  <c r="C473" i="34"/>
  <c r="C480" i="34"/>
  <c r="V495" i="34"/>
  <c r="Y524" i="34"/>
  <c r="V536" i="154"/>
  <c r="U536" i="154"/>
  <c r="N536" i="154"/>
  <c r="A543" i="154"/>
  <c r="A551" i="154"/>
  <c r="X536" i="154"/>
  <c r="S536" i="154"/>
  <c r="T569" i="154"/>
  <c r="H570" i="154"/>
  <c r="B596" i="154"/>
  <c r="H569" i="154"/>
  <c r="T570" i="154"/>
  <c r="X537" i="154"/>
  <c r="U537" i="154"/>
  <c r="S537" i="154"/>
  <c r="V537" i="154"/>
  <c r="N537" i="154"/>
  <c r="A544" i="154"/>
  <c r="A552" i="154"/>
  <c r="J536" i="154"/>
  <c r="A532" i="154"/>
  <c r="I532" i="154"/>
  <c r="I536" i="154"/>
  <c r="A536" i="154"/>
  <c r="A541" i="154"/>
  <c r="A549" i="154"/>
  <c r="I533" i="154"/>
  <c r="M536" i="154"/>
  <c r="L536" i="154"/>
  <c r="M537" i="154"/>
  <c r="A537" i="154"/>
  <c r="A542" i="154"/>
  <c r="A550" i="154"/>
  <c r="L537" i="154"/>
  <c r="I537" i="154"/>
  <c r="J537" i="154"/>
  <c r="AI678" i="182"/>
  <c r="AC655" i="182"/>
  <c r="AC654" i="182"/>
  <c r="AC656" i="182"/>
  <c r="AC657" i="182"/>
  <c r="AK592" i="182"/>
  <c r="AJ592" i="182"/>
  <c r="U622" i="182"/>
  <c r="T615" i="182"/>
  <c r="AE618" i="182"/>
  <c r="AD622" i="182"/>
  <c r="T618" i="182"/>
  <c r="AI622" i="182"/>
  <c r="AG622" i="182"/>
  <c r="AE622" i="182"/>
  <c r="E518" i="196"/>
  <c r="N519" i="196"/>
  <c r="E519" i="196"/>
  <c r="N518" i="196"/>
  <c r="C542" i="196"/>
  <c r="AI555" i="182"/>
  <c r="S489" i="196"/>
  <c r="O489" i="196"/>
  <c r="P489" i="196"/>
  <c r="K489" i="196"/>
  <c r="R489" i="196"/>
  <c r="A489" i="196"/>
  <c r="I489" i="196"/>
  <c r="J489" i="196"/>
  <c r="G489" i="196"/>
  <c r="F489" i="196"/>
  <c r="A488" i="196"/>
  <c r="S485" i="196"/>
  <c r="E485" i="196"/>
  <c r="J488" i="196"/>
  <c r="G488" i="196"/>
  <c r="M485" i="196"/>
  <c r="F488" i="196"/>
  <c r="I488" i="196"/>
  <c r="P488" i="196"/>
  <c r="R488" i="196"/>
  <c r="O488" i="196"/>
  <c r="K488" i="196"/>
  <c r="S488" i="196"/>
  <c r="AJ591" i="182"/>
  <c r="AK591" i="182"/>
  <c r="AJ593" i="182"/>
  <c r="AK593" i="182"/>
  <c r="AI624" i="182"/>
  <c r="AE624" i="182"/>
  <c r="U624" i="182"/>
  <c r="AG624" i="182"/>
  <c r="AD624" i="182"/>
  <c r="AV24" i="221"/>
  <c r="AV25" i="221"/>
  <c r="AK590" i="182"/>
  <c r="AJ590" i="182"/>
  <c r="AI625" i="182"/>
  <c r="AE625" i="182"/>
  <c r="AD625" i="182"/>
  <c r="AG625" i="182"/>
  <c r="U625" i="182"/>
  <c r="AI623" i="182"/>
  <c r="U623" i="182"/>
  <c r="AD623" i="182"/>
  <c r="AG623" i="182"/>
  <c r="AE623" i="182"/>
  <c r="N502" i="197"/>
  <c r="J501" i="197"/>
  <c r="N501" i="197"/>
  <c r="H505" i="197"/>
  <c r="Q505" i="197"/>
  <c r="Q506" i="197"/>
  <c r="H506" i="197"/>
  <c r="L506" i="197"/>
  <c r="E505" i="197"/>
  <c r="C505" i="197"/>
  <c r="F501" i="197"/>
  <c r="E506" i="197"/>
  <c r="A506" i="197"/>
  <c r="F505" i="197"/>
  <c r="C506" i="197"/>
  <c r="J506" i="197"/>
  <c r="O505" i="197"/>
  <c r="P506" i="197"/>
  <c r="A501" i="197"/>
  <c r="P505" i="197"/>
  <c r="N506" i="197"/>
  <c r="G506" i="197"/>
  <c r="L505" i="197"/>
  <c r="F506" i="197"/>
  <c r="A505" i="197"/>
  <c r="O506" i="197"/>
  <c r="N505" i="197"/>
  <c r="F502" i="197"/>
  <c r="G505" i="197"/>
  <c r="J505" i="197"/>
  <c r="P555" i="182"/>
  <c r="J656" i="182"/>
  <c r="P678" i="182"/>
  <c r="J657" i="182"/>
  <c r="J654" i="182"/>
  <c r="J655" i="182"/>
  <c r="K622" i="182"/>
  <c r="A615" i="182"/>
  <c r="A618" i="182"/>
  <c r="B622" i="182"/>
  <c r="N622" i="182"/>
  <c r="P622" i="182"/>
  <c r="L618" i="182"/>
  <c r="L622" i="182"/>
  <c r="C492" i="197"/>
  <c r="R593" i="182"/>
  <c r="Q593" i="182"/>
  <c r="O559" i="197"/>
  <c r="P591" i="197"/>
  <c r="P624" i="182"/>
  <c r="B624" i="182"/>
  <c r="L624" i="182"/>
  <c r="K624" i="182"/>
  <c r="N624" i="182"/>
  <c r="L623" i="182"/>
  <c r="P623" i="182"/>
  <c r="N623" i="182"/>
  <c r="B623" i="182"/>
  <c r="K623" i="182"/>
  <c r="B625" i="182"/>
  <c r="L625" i="182"/>
  <c r="K625" i="182"/>
  <c r="N625" i="182"/>
  <c r="P625" i="182"/>
  <c r="R591" i="182"/>
  <c r="Q591" i="182"/>
  <c r="R592" i="182"/>
  <c r="Q592" i="182"/>
  <c r="R590" i="182"/>
  <c r="Q590" i="182"/>
  <c r="G495" i="34"/>
  <c r="P528" i="197"/>
  <c r="N528" i="197"/>
  <c r="U495" i="34"/>
  <c r="W495" i="34"/>
  <c r="E529" i="197"/>
  <c r="F24" i="105"/>
  <c r="F14" i="105"/>
  <c r="F21" i="105"/>
  <c r="F26" i="105"/>
  <c r="F15" i="105"/>
  <c r="M1086" i="33"/>
  <c r="P1080" i="33"/>
  <c r="H1077" i="33"/>
  <c r="L1083" i="33"/>
  <c r="B1086" i="33"/>
  <c r="H1086" i="33"/>
  <c r="S1083" i="33"/>
  <c r="B1083" i="33"/>
  <c r="B1080" i="33"/>
  <c r="AN1110" i="33"/>
  <c r="AK1116" i="33"/>
  <c r="Z1110" i="33"/>
  <c r="AJ1113" i="33"/>
  <c r="Z1113" i="33"/>
  <c r="AE1107" i="33"/>
  <c r="AF1116" i="33"/>
  <c r="Z1116" i="33"/>
  <c r="AQ1113" i="33"/>
  <c r="AF1086" i="33"/>
  <c r="Z1083" i="33"/>
  <c r="AN1080" i="33"/>
  <c r="AE1077" i="33"/>
  <c r="AK1086" i="33"/>
  <c r="Z1080" i="33"/>
  <c r="AQ1083" i="33"/>
  <c r="AJ1083" i="33"/>
  <c r="Z1086" i="33"/>
  <c r="L1113" i="33"/>
  <c r="S1113" i="33"/>
  <c r="P1110" i="33"/>
  <c r="H1116" i="33"/>
  <c r="B1110" i="33"/>
  <c r="B1116" i="33"/>
  <c r="H1107" i="33"/>
  <c r="B1113" i="33"/>
  <c r="M1116" i="33"/>
  <c r="U1179" i="33"/>
  <c r="U1149" i="33"/>
  <c r="AR1200" i="33"/>
  <c r="AS1179" i="33"/>
  <c r="AS1149" i="33"/>
  <c r="D20" i="37"/>
  <c r="A21" i="37"/>
  <c r="A503" i="34"/>
  <c r="A510" i="34"/>
  <c r="G502" i="34"/>
  <c r="J501" i="34"/>
  <c r="L502" i="34"/>
  <c r="G501" i="34"/>
  <c r="C501" i="34"/>
  <c r="C508" i="34"/>
  <c r="L503" i="34"/>
  <c r="C503" i="34"/>
  <c r="C510" i="34"/>
  <c r="A497" i="34"/>
  <c r="G504" i="34"/>
  <c r="G503" i="34"/>
  <c r="L501" i="34"/>
  <c r="L504" i="34"/>
  <c r="A498" i="34"/>
  <c r="A502" i="34"/>
  <c r="A509" i="34"/>
  <c r="A501" i="34"/>
  <c r="A508" i="34"/>
  <c r="C504" i="34"/>
  <c r="C511" i="34"/>
  <c r="H497" i="34"/>
  <c r="J504" i="34"/>
  <c r="J503" i="34"/>
  <c r="A504" i="34"/>
  <c r="A511" i="34"/>
  <c r="J502" i="34"/>
  <c r="C502" i="34"/>
  <c r="C509" i="34"/>
  <c r="M504" i="34"/>
  <c r="M501" i="34"/>
  <c r="M503" i="34"/>
  <c r="M502" i="34"/>
  <c r="O497" i="34"/>
  <c r="V497" i="34"/>
  <c r="D484" i="34"/>
  <c r="V524" i="34"/>
  <c r="Y553" i="34"/>
  <c r="V570" i="154"/>
  <c r="U570" i="154"/>
  <c r="N570" i="154"/>
  <c r="A577" i="154"/>
  <c r="A585" i="154"/>
  <c r="S570" i="154"/>
  <c r="X570" i="154"/>
  <c r="I565" i="154"/>
  <c r="M569" i="154"/>
  <c r="I566" i="154"/>
  <c r="I569" i="154"/>
  <c r="J569" i="154"/>
  <c r="A565" i="154"/>
  <c r="L569" i="154"/>
  <c r="A569" i="154"/>
  <c r="A574" i="154"/>
  <c r="A582" i="154"/>
  <c r="H602" i="154"/>
  <c r="T602" i="154"/>
  <c r="B629" i="154"/>
  <c r="H603" i="154"/>
  <c r="T603" i="154"/>
  <c r="I570" i="154"/>
  <c r="L570" i="154"/>
  <c r="A570" i="154"/>
  <c r="A575" i="154"/>
  <c r="A583" i="154"/>
  <c r="M570" i="154"/>
  <c r="J570" i="154"/>
  <c r="X569" i="154"/>
  <c r="N569" i="154"/>
  <c r="A576" i="154"/>
  <c r="A584" i="154"/>
  <c r="S569" i="154"/>
  <c r="V569" i="154"/>
  <c r="U569" i="154"/>
  <c r="C523" i="197"/>
  <c r="E549" i="196"/>
  <c r="N549" i="196"/>
  <c r="C572" i="196"/>
  <c r="E548" i="196"/>
  <c r="N548" i="196"/>
  <c r="P518" i="196"/>
  <c r="R518" i="196"/>
  <c r="S518" i="196"/>
  <c r="K518" i="196"/>
  <c r="O518" i="196"/>
  <c r="I519" i="196"/>
  <c r="A519" i="196"/>
  <c r="F519" i="196"/>
  <c r="G519" i="196"/>
  <c r="J519" i="196"/>
  <c r="P519" i="196"/>
  <c r="R519" i="196"/>
  <c r="K519" i="196"/>
  <c r="S519" i="196"/>
  <c r="O519" i="196"/>
  <c r="AJ625" i="182"/>
  <c r="AK625" i="182"/>
  <c r="F518" i="196"/>
  <c r="E515" i="196"/>
  <c r="M515" i="196"/>
  <c r="G518" i="196"/>
  <c r="I518" i="196"/>
  <c r="S515" i="196"/>
  <c r="J518" i="196"/>
  <c r="A518" i="196"/>
  <c r="AI587" i="182"/>
  <c r="AK624" i="182"/>
  <c r="AJ624" i="182"/>
  <c r="AJ623" i="182"/>
  <c r="AK623" i="182"/>
  <c r="AK622" i="182"/>
  <c r="AJ622" i="182"/>
  <c r="AI657" i="182"/>
  <c r="U657" i="182"/>
  <c r="AG657" i="182"/>
  <c r="AD657" i="182"/>
  <c r="AE657" i="182"/>
  <c r="AD656" i="182"/>
  <c r="AI656" i="182"/>
  <c r="U656" i="182"/>
  <c r="AE656" i="182"/>
  <c r="AG656" i="182"/>
  <c r="AG654" i="182"/>
  <c r="AD654" i="182"/>
  <c r="AE654" i="182"/>
  <c r="AE650" i="182"/>
  <c r="AI654" i="182"/>
  <c r="T650" i="182"/>
  <c r="U654" i="182"/>
  <c r="T647" i="182"/>
  <c r="U655" i="182"/>
  <c r="AE655" i="182"/>
  <c r="AG655" i="182"/>
  <c r="AI655" i="182"/>
  <c r="AD655" i="182"/>
  <c r="AC689" i="182"/>
  <c r="AC688" i="182"/>
  <c r="AC687" i="182"/>
  <c r="AC686" i="182"/>
  <c r="AI710" i="182"/>
  <c r="H536" i="197"/>
  <c r="H537" i="197"/>
  <c r="Q536" i="197"/>
  <c r="Q537" i="197"/>
  <c r="G536" i="197"/>
  <c r="O536" i="197"/>
  <c r="A532" i="197"/>
  <c r="P536" i="197"/>
  <c r="E537" i="197"/>
  <c r="F533" i="197"/>
  <c r="L537" i="197"/>
  <c r="E536" i="197"/>
  <c r="O537" i="197"/>
  <c r="N537" i="197"/>
  <c r="N536" i="197"/>
  <c r="F537" i="197"/>
  <c r="C537" i="197"/>
  <c r="C536" i="197"/>
  <c r="F536" i="197"/>
  <c r="J536" i="197"/>
  <c r="L536" i="197"/>
  <c r="G537" i="197"/>
  <c r="P537" i="197"/>
  <c r="A537" i="197"/>
  <c r="A536" i="197"/>
  <c r="F532" i="197"/>
  <c r="J537" i="197"/>
  <c r="N533" i="197"/>
  <c r="J532" i="197"/>
  <c r="N532" i="197"/>
  <c r="P587" i="182"/>
  <c r="P654" i="182"/>
  <c r="A647" i="182"/>
  <c r="L650" i="182"/>
  <c r="N654" i="182"/>
  <c r="A650" i="182"/>
  <c r="L654" i="182"/>
  <c r="B654" i="182"/>
  <c r="K654" i="182"/>
  <c r="Q622" i="182"/>
  <c r="R622" i="182"/>
  <c r="B657" i="182"/>
  <c r="P657" i="182"/>
  <c r="K657" i="182"/>
  <c r="L657" i="182"/>
  <c r="N657" i="182"/>
  <c r="J688" i="182"/>
  <c r="J689" i="182"/>
  <c r="J687" i="182"/>
  <c r="P710" i="182"/>
  <c r="J686" i="182"/>
  <c r="R625" i="182"/>
  <c r="Q625" i="182"/>
  <c r="L656" i="182"/>
  <c r="B656" i="182"/>
  <c r="P656" i="182"/>
  <c r="N656" i="182"/>
  <c r="K656" i="182"/>
  <c r="R624" i="182"/>
  <c r="Q624" i="182"/>
  <c r="R623" i="182"/>
  <c r="Q623" i="182"/>
  <c r="O590" i="197"/>
  <c r="P622" i="197"/>
  <c r="P655" i="182"/>
  <c r="L655" i="182"/>
  <c r="K655" i="182"/>
  <c r="B655" i="182"/>
  <c r="N655" i="182"/>
  <c r="W524" i="34"/>
  <c r="G524" i="34"/>
  <c r="N559" i="197"/>
  <c r="E560" i="197"/>
  <c r="P559" i="197"/>
  <c r="AQ1146" i="33"/>
  <c r="AJ1146" i="33"/>
  <c r="AE1140" i="33"/>
  <c r="Z1143" i="33"/>
  <c r="Z1149" i="33"/>
  <c r="AK1149" i="33"/>
  <c r="AN1143" i="33"/>
  <c r="AF1149" i="33"/>
  <c r="Z1146" i="33"/>
  <c r="Z1173" i="33"/>
  <c r="AN1173" i="33"/>
  <c r="AE1170" i="33"/>
  <c r="AK1179" i="33"/>
  <c r="AJ1176" i="33"/>
  <c r="Z1179" i="33"/>
  <c r="AF1179" i="33"/>
  <c r="Z1176" i="33"/>
  <c r="AQ1176" i="33"/>
  <c r="AR1263" i="33"/>
  <c r="AS1242" i="33"/>
  <c r="U1242" i="33"/>
  <c r="AS1212" i="33"/>
  <c r="U1212" i="33"/>
  <c r="M1149" i="33"/>
  <c r="B1146" i="33"/>
  <c r="H1140" i="33"/>
  <c r="S1146" i="33"/>
  <c r="H1149" i="33"/>
  <c r="B1143" i="33"/>
  <c r="L1146" i="33"/>
  <c r="B1149" i="33"/>
  <c r="P1143" i="33"/>
  <c r="S1176" i="33"/>
  <c r="L1176" i="33"/>
  <c r="B1173" i="33"/>
  <c r="H1170" i="33"/>
  <c r="M1179" i="33"/>
  <c r="B1179" i="33"/>
  <c r="H1179" i="33"/>
  <c r="B1176" i="33"/>
  <c r="P1173" i="33"/>
  <c r="D21" i="37"/>
  <c r="A22" i="37"/>
  <c r="D513" i="34"/>
  <c r="V526" i="34"/>
  <c r="O526" i="34"/>
  <c r="M531" i="34"/>
  <c r="M530" i="34"/>
  <c r="M532" i="34"/>
  <c r="M533" i="34"/>
  <c r="V553" i="34"/>
  <c r="Y582" i="34"/>
  <c r="V603" i="154"/>
  <c r="N603" i="154"/>
  <c r="A610" i="154"/>
  <c r="A618" i="154"/>
  <c r="S603" i="154"/>
  <c r="X603" i="154"/>
  <c r="U603" i="154"/>
  <c r="M603" i="154"/>
  <c r="I603" i="154"/>
  <c r="L603" i="154"/>
  <c r="J603" i="154"/>
  <c r="A603" i="154"/>
  <c r="A608" i="154"/>
  <c r="A616" i="154"/>
  <c r="T636" i="154"/>
  <c r="T635" i="154"/>
  <c r="H636" i="154"/>
  <c r="H635" i="154"/>
  <c r="B662" i="154"/>
  <c r="X602" i="154"/>
  <c r="S602" i="154"/>
  <c r="V602" i="154"/>
  <c r="U602" i="154"/>
  <c r="N602" i="154"/>
  <c r="A609" i="154"/>
  <c r="A617" i="154"/>
  <c r="M602" i="154"/>
  <c r="I602" i="154"/>
  <c r="I599" i="154"/>
  <c r="I598" i="154"/>
  <c r="A598" i="154"/>
  <c r="L602" i="154"/>
  <c r="J602" i="154"/>
  <c r="A602" i="154"/>
  <c r="A607" i="154"/>
  <c r="A615" i="154"/>
  <c r="C554" i="197"/>
  <c r="AI619" i="182"/>
  <c r="AD689" i="182"/>
  <c r="AG689" i="182"/>
  <c r="AE689" i="182"/>
  <c r="AI689" i="182"/>
  <c r="U689" i="182"/>
  <c r="AJ656" i="182"/>
  <c r="AK656" i="182"/>
  <c r="I549" i="196"/>
  <c r="A549" i="196"/>
  <c r="G549" i="196"/>
  <c r="J549" i="196"/>
  <c r="F549" i="196"/>
  <c r="AK655" i="182"/>
  <c r="AJ655" i="182"/>
  <c r="AK654" i="182"/>
  <c r="AJ654" i="182"/>
  <c r="AJ657" i="182"/>
  <c r="AK657" i="182"/>
  <c r="AC719" i="182"/>
  <c r="AC718" i="182"/>
  <c r="AC721" i="182"/>
  <c r="AC720" i="182"/>
  <c r="AI742" i="182"/>
  <c r="P548" i="196"/>
  <c r="R548" i="196"/>
  <c r="K548" i="196"/>
  <c r="O548" i="196"/>
  <c r="S548" i="196"/>
  <c r="AI686" i="182"/>
  <c r="AE686" i="182"/>
  <c r="AD686" i="182"/>
  <c r="U686" i="182"/>
  <c r="T679" i="182"/>
  <c r="AG686" i="182"/>
  <c r="AE682" i="182"/>
  <c r="T682" i="182"/>
  <c r="S545" i="196"/>
  <c r="A548" i="196"/>
  <c r="I548" i="196"/>
  <c r="M545" i="196"/>
  <c r="J548" i="196"/>
  <c r="F548" i="196"/>
  <c r="G548" i="196"/>
  <c r="E545" i="196"/>
  <c r="AG687" i="182"/>
  <c r="AE687" i="182"/>
  <c r="AD687" i="182"/>
  <c r="AI687" i="182"/>
  <c r="U687" i="182"/>
  <c r="N579" i="196"/>
  <c r="N578" i="196"/>
  <c r="E578" i="196"/>
  <c r="C602" i="196"/>
  <c r="E579" i="196"/>
  <c r="AI688" i="182"/>
  <c r="AG688" i="182"/>
  <c r="AE688" i="182"/>
  <c r="AD688" i="182"/>
  <c r="U688" i="182"/>
  <c r="O549" i="196"/>
  <c r="K549" i="196"/>
  <c r="S549" i="196"/>
  <c r="R549" i="196"/>
  <c r="P549" i="196"/>
  <c r="N564" i="197"/>
  <c r="N563" i="197"/>
  <c r="J563" i="197"/>
  <c r="O567" i="197"/>
  <c r="F568" i="197"/>
  <c r="E567" i="197"/>
  <c r="P568" i="197"/>
  <c r="N567" i="197"/>
  <c r="C568" i="197"/>
  <c r="F567" i="197"/>
  <c r="J567" i="197"/>
  <c r="A563" i="197"/>
  <c r="C567" i="197"/>
  <c r="G567" i="197"/>
  <c r="F563" i="197"/>
  <c r="F564" i="197"/>
  <c r="L567" i="197"/>
  <c r="N568" i="197"/>
  <c r="J568" i="197"/>
  <c r="A568" i="197"/>
  <c r="G568" i="197"/>
  <c r="P567" i="197"/>
  <c r="O568" i="197"/>
  <c r="A567" i="197"/>
  <c r="E568" i="197"/>
  <c r="L568" i="197"/>
  <c r="H568" i="197"/>
  <c r="H567" i="197"/>
  <c r="Q568" i="197"/>
  <c r="Q567" i="197"/>
  <c r="P619" i="182"/>
  <c r="Q654" i="182"/>
  <c r="R654" i="182"/>
  <c r="Q656" i="182"/>
  <c r="R656" i="182"/>
  <c r="P686" i="182"/>
  <c r="A679" i="182"/>
  <c r="L686" i="182"/>
  <c r="A682" i="182"/>
  <c r="N686" i="182"/>
  <c r="L682" i="182"/>
  <c r="K686" i="182"/>
  <c r="B686" i="182"/>
  <c r="J720" i="182"/>
  <c r="J718" i="182"/>
  <c r="J719" i="182"/>
  <c r="P742" i="182"/>
  <c r="J721" i="182"/>
  <c r="L687" i="182"/>
  <c r="B687" i="182"/>
  <c r="N687" i="182"/>
  <c r="P687" i="182"/>
  <c r="K687" i="182"/>
  <c r="L689" i="182"/>
  <c r="P689" i="182"/>
  <c r="K689" i="182"/>
  <c r="B689" i="182"/>
  <c r="N689" i="182"/>
  <c r="Q657" i="182"/>
  <c r="R657" i="182"/>
  <c r="L688" i="182"/>
  <c r="P688" i="182"/>
  <c r="K688" i="182"/>
  <c r="N688" i="182"/>
  <c r="B688" i="182"/>
  <c r="P653" i="197"/>
  <c r="O621" i="197"/>
  <c r="R655" i="182"/>
  <c r="Q655" i="182"/>
  <c r="P590" i="197"/>
  <c r="G553" i="34"/>
  <c r="U553" i="34"/>
  <c r="W553" i="34"/>
  <c r="N590" i="197"/>
  <c r="U524" i="34"/>
  <c r="E591" i="197"/>
  <c r="C531" i="34"/>
  <c r="C538" i="34"/>
  <c r="J531" i="34"/>
  <c r="G532" i="34"/>
  <c r="C533" i="34"/>
  <c r="C540" i="34"/>
  <c r="A532" i="34"/>
  <c r="A539" i="34"/>
  <c r="J532" i="34"/>
  <c r="A531" i="34"/>
  <c r="A538" i="34"/>
  <c r="C530" i="34"/>
  <c r="C537" i="34"/>
  <c r="L530" i="34"/>
  <c r="A533" i="34"/>
  <c r="A540" i="34"/>
  <c r="A530" i="34"/>
  <c r="A537" i="34"/>
  <c r="L532" i="34"/>
  <c r="G531" i="34"/>
  <c r="A527" i="34"/>
  <c r="G530" i="34"/>
  <c r="C532" i="34"/>
  <c r="C539" i="34"/>
  <c r="G533" i="34"/>
  <c r="A526" i="34"/>
  <c r="J530" i="34"/>
  <c r="L533" i="34"/>
  <c r="H526" i="34"/>
  <c r="J533" i="34"/>
  <c r="L531" i="34"/>
  <c r="B1206" i="33"/>
  <c r="B1212" i="33"/>
  <c r="H1212" i="33"/>
  <c r="H1203" i="33"/>
  <c r="P1206" i="33"/>
  <c r="B1209" i="33"/>
  <c r="M1212" i="33"/>
  <c r="L1209" i="33"/>
  <c r="S1209" i="33"/>
  <c r="Z1212" i="33"/>
  <c r="AK1212" i="33"/>
  <c r="AE1203" i="33"/>
  <c r="Z1206" i="33"/>
  <c r="AN1206" i="33"/>
  <c r="AF1212" i="33"/>
  <c r="AQ1209" i="33"/>
  <c r="Z1209" i="33"/>
  <c r="AJ1209" i="33"/>
  <c r="H1242" i="33"/>
  <c r="B1236" i="33"/>
  <c r="S1239" i="33"/>
  <c r="L1239" i="33"/>
  <c r="B1242" i="33"/>
  <c r="B1239" i="33"/>
  <c r="H1233" i="33"/>
  <c r="M1242" i="33"/>
  <c r="P1236" i="33"/>
  <c r="AE1233" i="33"/>
  <c r="AQ1239" i="33"/>
  <c r="Z1236" i="33"/>
  <c r="Z1242" i="33"/>
  <c r="Z1239" i="33"/>
  <c r="AN1236" i="33"/>
  <c r="AF1242" i="33"/>
  <c r="AJ1239" i="33"/>
  <c r="AK1242" i="33"/>
  <c r="AS1305" i="33"/>
  <c r="AS1275" i="33"/>
  <c r="U1305" i="33"/>
  <c r="AR1326" i="33"/>
  <c r="U1275" i="33"/>
  <c r="A23" i="37"/>
  <c r="D22" i="37"/>
  <c r="M562" i="34"/>
  <c r="M559" i="34"/>
  <c r="M561" i="34"/>
  <c r="M560" i="34"/>
  <c r="A559" i="34"/>
  <c r="A566" i="34"/>
  <c r="G561" i="34"/>
  <c r="L559" i="34"/>
  <c r="J562" i="34"/>
  <c r="L560" i="34"/>
  <c r="A561" i="34"/>
  <c r="A568" i="34"/>
  <c r="A556" i="34"/>
  <c r="J560" i="34"/>
  <c r="L562" i="34"/>
  <c r="A560" i="34"/>
  <c r="A567" i="34"/>
  <c r="J561" i="34"/>
  <c r="A562" i="34"/>
  <c r="A569" i="34"/>
  <c r="H555" i="34"/>
  <c r="C560" i="34"/>
  <c r="C567" i="34"/>
  <c r="A555" i="34"/>
  <c r="J559" i="34"/>
  <c r="C562" i="34"/>
  <c r="C569" i="34"/>
  <c r="G562" i="34"/>
  <c r="G560" i="34"/>
  <c r="G559" i="34"/>
  <c r="L561" i="34"/>
  <c r="C559" i="34"/>
  <c r="C566" i="34"/>
  <c r="C561" i="34"/>
  <c r="C568" i="34"/>
  <c r="O555" i="34"/>
  <c r="V555" i="34"/>
  <c r="Y611" i="34"/>
  <c r="V582" i="34"/>
  <c r="U635" i="154"/>
  <c r="S635" i="154"/>
  <c r="X635" i="154"/>
  <c r="N635" i="154"/>
  <c r="A642" i="154"/>
  <c r="A650" i="154"/>
  <c r="V635" i="154"/>
  <c r="S636" i="154"/>
  <c r="U636" i="154"/>
  <c r="N636" i="154"/>
  <c r="A643" i="154"/>
  <c r="A651" i="154"/>
  <c r="X636" i="154"/>
  <c r="V636" i="154"/>
  <c r="H668" i="154"/>
  <c r="T668" i="154"/>
  <c r="B695" i="154"/>
  <c r="H669" i="154"/>
  <c r="T669" i="154"/>
  <c r="L635" i="154"/>
  <c r="I632" i="154"/>
  <c r="A635" i="154"/>
  <c r="A640" i="154"/>
  <c r="A648" i="154"/>
  <c r="I631" i="154"/>
  <c r="J635" i="154"/>
  <c r="M635" i="154"/>
  <c r="I635" i="154"/>
  <c r="A631" i="154"/>
  <c r="I636" i="154"/>
  <c r="L636" i="154"/>
  <c r="M636" i="154"/>
  <c r="J636" i="154"/>
  <c r="A636" i="154"/>
  <c r="A641" i="154"/>
  <c r="A649" i="154"/>
  <c r="AJ688" i="182"/>
  <c r="AK688" i="182"/>
  <c r="F579" i="196"/>
  <c r="G579" i="196"/>
  <c r="I579" i="196"/>
  <c r="A579" i="196"/>
  <c r="J579" i="196"/>
  <c r="AC750" i="182"/>
  <c r="AC753" i="182"/>
  <c r="AC752" i="182"/>
  <c r="AC751" i="182"/>
  <c r="C632" i="196"/>
  <c r="N609" i="196"/>
  <c r="E608" i="196"/>
  <c r="N608" i="196"/>
  <c r="E609" i="196"/>
  <c r="AE720" i="182"/>
  <c r="U720" i="182"/>
  <c r="AD720" i="182"/>
  <c r="AI720" i="182"/>
  <c r="AG720" i="182"/>
  <c r="I578" i="196"/>
  <c r="G578" i="196"/>
  <c r="F578" i="196"/>
  <c r="M575" i="196"/>
  <c r="J578" i="196"/>
  <c r="S575" i="196"/>
  <c r="A578" i="196"/>
  <c r="E575" i="196"/>
  <c r="AE721" i="182"/>
  <c r="AI721" i="182"/>
  <c r="AG721" i="182"/>
  <c r="AD721" i="182"/>
  <c r="U721" i="182"/>
  <c r="S578" i="196"/>
  <c r="R578" i="196"/>
  <c r="P578" i="196"/>
  <c r="K578" i="196"/>
  <c r="O578" i="196"/>
  <c r="U718" i="182"/>
  <c r="AD718" i="182"/>
  <c r="AE714" i="182"/>
  <c r="AG718" i="182"/>
  <c r="AI718" i="182"/>
  <c r="AE718" i="182"/>
  <c r="T711" i="182"/>
  <c r="T714" i="182"/>
  <c r="P579" i="196"/>
  <c r="K579" i="196"/>
  <c r="O579" i="196"/>
  <c r="R579" i="196"/>
  <c r="S579" i="196"/>
  <c r="AD719" i="182"/>
  <c r="AE719" i="182"/>
  <c r="AI719" i="182"/>
  <c r="AG719" i="182"/>
  <c r="U719" i="182"/>
  <c r="AJ687" i="182"/>
  <c r="AK687" i="182"/>
  <c r="AK689" i="182"/>
  <c r="AJ689" i="182"/>
  <c r="AJ686" i="182"/>
  <c r="AK686" i="182"/>
  <c r="AI651" i="182"/>
  <c r="N595" i="197"/>
  <c r="N594" i="197"/>
  <c r="J594" i="197"/>
  <c r="L598" i="197"/>
  <c r="O598" i="197"/>
  <c r="G598" i="197"/>
  <c r="C598" i="197"/>
  <c r="P598" i="197"/>
  <c r="A594" i="197"/>
  <c r="F598" i="197"/>
  <c r="O599" i="197"/>
  <c r="E598" i="197"/>
  <c r="F595" i="197"/>
  <c r="E599" i="197"/>
  <c r="J598" i="197"/>
  <c r="N598" i="197"/>
  <c r="N599" i="197"/>
  <c r="P599" i="197"/>
  <c r="A598" i="197"/>
  <c r="C599" i="197"/>
  <c r="A599" i="197"/>
  <c r="F599" i="197"/>
  <c r="F594" i="197"/>
  <c r="L599" i="197"/>
  <c r="J599" i="197"/>
  <c r="G599" i="197"/>
  <c r="Q599" i="197"/>
  <c r="H598" i="197"/>
  <c r="Q598" i="197"/>
  <c r="H599" i="197"/>
  <c r="Q686" i="182"/>
  <c r="R686" i="182"/>
  <c r="R687" i="182"/>
  <c r="Q687" i="182"/>
  <c r="P721" i="182"/>
  <c r="B721" i="182"/>
  <c r="N721" i="182"/>
  <c r="L721" i="182"/>
  <c r="K721" i="182"/>
  <c r="J750" i="182"/>
  <c r="J752" i="182"/>
  <c r="J753" i="182"/>
  <c r="J751" i="182"/>
  <c r="R688" i="182"/>
  <c r="Q688" i="182"/>
  <c r="L719" i="182"/>
  <c r="K719" i="182"/>
  <c r="P719" i="182"/>
  <c r="B719" i="182"/>
  <c r="N719" i="182"/>
  <c r="N718" i="182"/>
  <c r="K718" i="182"/>
  <c r="B718" i="182"/>
  <c r="A711" i="182"/>
  <c r="A714" i="182"/>
  <c r="L718" i="182"/>
  <c r="L714" i="182"/>
  <c r="P718" i="182"/>
  <c r="P651" i="182"/>
  <c r="C585" i="197"/>
  <c r="L720" i="182"/>
  <c r="N720" i="182"/>
  <c r="B720" i="182"/>
  <c r="K720" i="182"/>
  <c r="P720" i="182"/>
  <c r="O652" i="197"/>
  <c r="P684" i="197"/>
  <c r="R689" i="182"/>
  <c r="Q689" i="182"/>
  <c r="N621" i="197"/>
  <c r="P621" i="197"/>
  <c r="G582" i="34"/>
  <c r="U582" i="34"/>
  <c r="E622" i="197"/>
  <c r="W582" i="34"/>
  <c r="D542" i="34"/>
  <c r="B1269" i="33"/>
  <c r="H1266" i="33"/>
  <c r="H1275" i="33"/>
  <c r="B1272" i="33"/>
  <c r="M1275" i="33"/>
  <c r="L1272" i="33"/>
  <c r="S1272" i="33"/>
  <c r="B1275" i="33"/>
  <c r="P1269" i="33"/>
  <c r="U1338" i="33"/>
  <c r="AS1338" i="33"/>
  <c r="AR1390" i="33"/>
  <c r="U1368" i="33"/>
  <c r="AS1368" i="33"/>
  <c r="H1296" i="33"/>
  <c r="B1305" i="33"/>
  <c r="L1302" i="33"/>
  <c r="P1299" i="33"/>
  <c r="B1299" i="33"/>
  <c r="B1302" i="33"/>
  <c r="H1305" i="33"/>
  <c r="S1302" i="33"/>
  <c r="M1305" i="33"/>
  <c r="AE1266" i="33"/>
  <c r="Z1275" i="33"/>
  <c r="Z1269" i="33"/>
  <c r="AK1275" i="33"/>
  <c r="AJ1272" i="33"/>
  <c r="AN1269" i="33"/>
  <c r="AQ1272" i="33"/>
  <c r="AF1275" i="33"/>
  <c r="Z1272" i="33"/>
  <c r="AK1305" i="33"/>
  <c r="Z1305" i="33"/>
  <c r="AF1305" i="33"/>
  <c r="Z1302" i="33"/>
  <c r="AQ1302" i="33"/>
  <c r="AE1296" i="33"/>
  <c r="AJ1302" i="33"/>
  <c r="Z1299" i="33"/>
  <c r="AN1299" i="33"/>
  <c r="A24" i="37"/>
  <c r="D23" i="37"/>
  <c r="A588" i="34"/>
  <c r="A595" i="34"/>
  <c r="G590" i="34"/>
  <c r="G589" i="34"/>
  <c r="G591" i="34"/>
  <c r="L591" i="34"/>
  <c r="H584" i="34"/>
  <c r="J591" i="34"/>
  <c r="C590" i="34"/>
  <c r="C597" i="34"/>
  <c r="L590" i="34"/>
  <c r="J588" i="34"/>
  <c r="A591" i="34"/>
  <c r="A598" i="34"/>
  <c r="G588" i="34"/>
  <c r="J589" i="34"/>
  <c r="J590" i="34"/>
  <c r="A585" i="34"/>
  <c r="A584" i="34"/>
  <c r="C591" i="34"/>
  <c r="C598" i="34"/>
  <c r="A590" i="34"/>
  <c r="A597" i="34"/>
  <c r="L588" i="34"/>
  <c r="C589" i="34"/>
  <c r="C596" i="34"/>
  <c r="C588" i="34"/>
  <c r="C595" i="34"/>
  <c r="A589" i="34"/>
  <c r="A596" i="34"/>
  <c r="L589" i="34"/>
  <c r="V584" i="34"/>
  <c r="O584" i="34"/>
  <c r="M588" i="34"/>
  <c r="M591" i="34"/>
  <c r="M590" i="34"/>
  <c r="M589" i="34"/>
  <c r="D571" i="34"/>
  <c r="Y640" i="34"/>
  <c r="V611" i="34"/>
  <c r="U668" i="154"/>
  <c r="V668" i="154"/>
  <c r="S668" i="154"/>
  <c r="N668" i="154"/>
  <c r="A675" i="154"/>
  <c r="A683" i="154"/>
  <c r="X668" i="154"/>
  <c r="A664" i="154"/>
  <c r="M668" i="154"/>
  <c r="I668" i="154"/>
  <c r="I665" i="154"/>
  <c r="A668" i="154"/>
  <c r="A673" i="154"/>
  <c r="A681" i="154"/>
  <c r="L668" i="154"/>
  <c r="J668" i="154"/>
  <c r="I664" i="154"/>
  <c r="S669" i="154"/>
  <c r="N669" i="154"/>
  <c r="A676" i="154"/>
  <c r="A684" i="154"/>
  <c r="V669" i="154"/>
  <c r="U669" i="154"/>
  <c r="X669" i="154"/>
  <c r="J669" i="154"/>
  <c r="A669" i="154"/>
  <c r="A674" i="154"/>
  <c r="A682" i="154"/>
  <c r="I669" i="154"/>
  <c r="M669" i="154"/>
  <c r="L669" i="154"/>
  <c r="T702" i="154"/>
  <c r="T701" i="154"/>
  <c r="H702" i="154"/>
  <c r="H701" i="154"/>
  <c r="B728" i="154"/>
  <c r="AK719" i="182"/>
  <c r="AJ719" i="182"/>
  <c r="AJ720" i="182"/>
  <c r="AK720" i="182"/>
  <c r="I609" i="196"/>
  <c r="A609" i="196"/>
  <c r="F609" i="196"/>
  <c r="G609" i="196"/>
  <c r="J609" i="196"/>
  <c r="AK718" i="182"/>
  <c r="AJ718" i="182"/>
  <c r="AJ721" i="182"/>
  <c r="AK721" i="182"/>
  <c r="S608" i="196"/>
  <c r="K608" i="196"/>
  <c r="P608" i="196"/>
  <c r="O608" i="196"/>
  <c r="R608" i="196"/>
  <c r="S605" i="196"/>
  <c r="F608" i="196"/>
  <c r="A608" i="196"/>
  <c r="M605" i="196"/>
  <c r="I608" i="196"/>
  <c r="E605" i="196"/>
  <c r="G608" i="196"/>
  <c r="J608" i="196"/>
  <c r="O609" i="196"/>
  <c r="R609" i="196"/>
  <c r="S609" i="196"/>
  <c r="P609" i="196"/>
  <c r="K609" i="196"/>
  <c r="E638" i="196"/>
  <c r="C662" i="196"/>
  <c r="N638" i="196"/>
  <c r="N639" i="196"/>
  <c r="E639" i="196"/>
  <c r="U751" i="182"/>
  <c r="AE751" i="182"/>
  <c r="AI751" i="182"/>
  <c r="AD751" i="182"/>
  <c r="AG751" i="182"/>
  <c r="AI752" i="182"/>
  <c r="AG752" i="182"/>
  <c r="U752" i="182"/>
  <c r="AD752" i="182"/>
  <c r="AE752" i="182"/>
  <c r="AE753" i="182"/>
  <c r="AI753" i="182"/>
  <c r="AD753" i="182"/>
  <c r="U753" i="182"/>
  <c r="AG753" i="182"/>
  <c r="AI683" i="182"/>
  <c r="T743" i="182"/>
  <c r="AI750" i="182"/>
  <c r="T746" i="182"/>
  <c r="AE750" i="182"/>
  <c r="AD750" i="182"/>
  <c r="AE746" i="182"/>
  <c r="AG750" i="182"/>
  <c r="U750" i="182"/>
  <c r="N625" i="197"/>
  <c r="N626" i="197"/>
  <c r="J625" i="197"/>
  <c r="F629" i="197"/>
  <c r="P630" i="197"/>
  <c r="J629" i="197"/>
  <c r="P629" i="197"/>
  <c r="E629" i="197"/>
  <c r="L629" i="197"/>
  <c r="J630" i="197"/>
  <c r="F626" i="197"/>
  <c r="N630" i="197"/>
  <c r="A625" i="197"/>
  <c r="A629" i="197"/>
  <c r="O629" i="197"/>
  <c r="N629" i="197"/>
  <c r="O630" i="197"/>
  <c r="G629" i="197"/>
  <c r="G630" i="197"/>
  <c r="E630" i="197"/>
  <c r="C630" i="197"/>
  <c r="F625" i="197"/>
  <c r="C629" i="197"/>
  <c r="L630" i="197"/>
  <c r="F630" i="197"/>
  <c r="A630" i="197"/>
  <c r="Q629" i="197"/>
  <c r="H629" i="197"/>
  <c r="Q630" i="197"/>
  <c r="H630" i="197"/>
  <c r="Q718" i="182"/>
  <c r="R718" i="182"/>
  <c r="B751" i="182"/>
  <c r="P751" i="182"/>
  <c r="N751" i="182"/>
  <c r="K751" i="182"/>
  <c r="L751" i="182"/>
  <c r="K753" i="182"/>
  <c r="L753" i="182"/>
  <c r="N753" i="182"/>
  <c r="B753" i="182"/>
  <c r="P753" i="182"/>
  <c r="C616" i="197"/>
  <c r="L752" i="182"/>
  <c r="P752" i="182"/>
  <c r="N752" i="182"/>
  <c r="B752" i="182"/>
  <c r="K752" i="182"/>
  <c r="P683" i="182"/>
  <c r="P750" i="182"/>
  <c r="A746" i="182"/>
  <c r="L750" i="182"/>
  <c r="L746" i="182"/>
  <c r="N750" i="182"/>
  <c r="A743" i="182"/>
  <c r="B750" i="182"/>
  <c r="K750" i="182"/>
  <c r="Q720" i="182"/>
  <c r="R720" i="182"/>
  <c r="R721" i="182"/>
  <c r="Q721" i="182"/>
  <c r="P715" i="197"/>
  <c r="O714" i="197"/>
  <c r="O683" i="197"/>
  <c r="Q719" i="182"/>
  <c r="R719" i="182"/>
  <c r="N652" i="197"/>
  <c r="E653" i="197"/>
  <c r="G611" i="34"/>
  <c r="U611" i="34"/>
  <c r="P652" i="197"/>
  <c r="W611" i="34"/>
  <c r="AR1454" i="33"/>
  <c r="AS1432" i="33"/>
  <c r="AS1402" i="33"/>
  <c r="U1402" i="33"/>
  <c r="U1432" i="33"/>
  <c r="Z1338" i="33"/>
  <c r="AF1338" i="33"/>
  <c r="Z1332" i="33"/>
  <c r="AQ1335" i="33"/>
  <c r="AE1329" i="33"/>
  <c r="AN1332" i="33"/>
  <c r="AJ1335" i="33"/>
  <c r="Z1335" i="33"/>
  <c r="AK1338" i="33"/>
  <c r="L1335" i="33"/>
  <c r="B1335" i="33"/>
  <c r="M1338" i="33"/>
  <c r="P1332" i="33"/>
  <c r="H1338" i="33"/>
  <c r="B1332" i="33"/>
  <c r="S1335" i="33"/>
  <c r="H1329" i="33"/>
  <c r="B1338" i="33"/>
  <c r="AF1368" i="33"/>
  <c r="Z1368" i="33"/>
  <c r="AQ1365" i="33"/>
  <c r="Z1365" i="33"/>
  <c r="Z1362" i="33"/>
  <c r="AN1362" i="33"/>
  <c r="AK1368" i="33"/>
  <c r="AJ1365" i="33"/>
  <c r="AE1359" i="33"/>
  <c r="H1368" i="33"/>
  <c r="B1362" i="33"/>
  <c r="M1368" i="33"/>
  <c r="B1368" i="33"/>
  <c r="B1365" i="33"/>
  <c r="S1365" i="33"/>
  <c r="P1362" i="33"/>
  <c r="L1365" i="33"/>
  <c r="H1359" i="33"/>
  <c r="D600" i="34"/>
  <c r="A25" i="37"/>
  <c r="D24" i="37"/>
  <c r="J618" i="34"/>
  <c r="A613" i="34"/>
  <c r="A617" i="34"/>
  <c r="A624" i="34"/>
  <c r="C617" i="34"/>
  <c r="C624" i="34"/>
  <c r="H613" i="34"/>
  <c r="A618" i="34"/>
  <c r="A625" i="34"/>
  <c r="G620" i="34"/>
  <c r="G617" i="34"/>
  <c r="G618" i="34"/>
  <c r="C619" i="34"/>
  <c r="C626" i="34"/>
  <c r="L619" i="34"/>
  <c r="A614" i="34"/>
  <c r="J619" i="34"/>
  <c r="G619" i="34"/>
  <c r="L618" i="34"/>
  <c r="J620" i="34"/>
  <c r="J617" i="34"/>
  <c r="A619" i="34"/>
  <c r="A626" i="34"/>
  <c r="L620" i="34"/>
  <c r="C618" i="34"/>
  <c r="C625" i="34"/>
  <c r="A620" i="34"/>
  <c r="A627" i="34"/>
  <c r="L617" i="34"/>
  <c r="C620" i="34"/>
  <c r="C627" i="34"/>
  <c r="M620" i="34"/>
  <c r="M619" i="34"/>
  <c r="M618" i="34"/>
  <c r="M617" i="34"/>
  <c r="V613" i="34"/>
  <c r="O613" i="34"/>
  <c r="V640" i="34"/>
  <c r="Y669" i="34"/>
  <c r="V669" i="34"/>
  <c r="S702" i="154"/>
  <c r="N702" i="154"/>
  <c r="A709" i="154"/>
  <c r="A717" i="154"/>
  <c r="V702" i="154"/>
  <c r="U702" i="154"/>
  <c r="X702" i="154"/>
  <c r="T734" i="154"/>
  <c r="B761" i="154"/>
  <c r="H734" i="154"/>
  <c r="H735" i="154"/>
  <c r="T735" i="154"/>
  <c r="J701" i="154"/>
  <c r="L701" i="154"/>
  <c r="I697" i="154"/>
  <c r="M701" i="154"/>
  <c r="I701" i="154"/>
  <c r="I698" i="154"/>
  <c r="A697" i="154"/>
  <c r="A701" i="154"/>
  <c r="A706" i="154"/>
  <c r="A714" i="154"/>
  <c r="I702" i="154"/>
  <c r="A702" i="154"/>
  <c r="A707" i="154"/>
  <c r="A715" i="154"/>
  <c r="M702" i="154"/>
  <c r="L702" i="154"/>
  <c r="J702" i="154"/>
  <c r="U701" i="154"/>
  <c r="V701" i="154"/>
  <c r="S701" i="154"/>
  <c r="N701" i="154"/>
  <c r="A708" i="154"/>
  <c r="A716" i="154"/>
  <c r="X701" i="154"/>
  <c r="AI715" i="182"/>
  <c r="O639" i="196"/>
  <c r="R639" i="196"/>
  <c r="S639" i="196"/>
  <c r="P639" i="196"/>
  <c r="K639" i="196"/>
  <c r="P638" i="196"/>
  <c r="O638" i="196"/>
  <c r="K638" i="196"/>
  <c r="R638" i="196"/>
  <c r="S638" i="196"/>
  <c r="N668" i="196"/>
  <c r="E669" i="196"/>
  <c r="N669" i="196"/>
  <c r="C692" i="196"/>
  <c r="E668" i="196"/>
  <c r="AK750" i="182"/>
  <c r="AJ750" i="182"/>
  <c r="S635" i="196"/>
  <c r="E635" i="196"/>
  <c r="F638" i="196"/>
  <c r="J638" i="196"/>
  <c r="G638" i="196"/>
  <c r="A638" i="196"/>
  <c r="M635" i="196"/>
  <c r="I638" i="196"/>
  <c r="AK753" i="182"/>
  <c r="AJ753" i="182"/>
  <c r="AJ752" i="182"/>
  <c r="AK752" i="182"/>
  <c r="AJ751" i="182"/>
  <c r="AK751" i="182"/>
  <c r="G639" i="196"/>
  <c r="A639" i="196"/>
  <c r="J639" i="196"/>
  <c r="F639" i="196"/>
  <c r="I639" i="196"/>
  <c r="L661" i="197"/>
  <c r="P660" i="197"/>
  <c r="A661" i="197"/>
  <c r="E660" i="197"/>
  <c r="F656" i="197"/>
  <c r="C660" i="197"/>
  <c r="P661" i="197"/>
  <c r="N661" i="197"/>
  <c r="O661" i="197"/>
  <c r="A656" i="197"/>
  <c r="L660" i="197"/>
  <c r="J660" i="197"/>
  <c r="N660" i="197"/>
  <c r="C661" i="197"/>
  <c r="O660" i="197"/>
  <c r="F660" i="197"/>
  <c r="F657" i="197"/>
  <c r="A660" i="197"/>
  <c r="J661" i="197"/>
  <c r="G660" i="197"/>
  <c r="G661" i="197"/>
  <c r="F661" i="197"/>
  <c r="E661" i="197"/>
  <c r="H661" i="197"/>
  <c r="Q661" i="197"/>
  <c r="H660" i="197"/>
  <c r="Q660" i="197"/>
  <c r="N657" i="197"/>
  <c r="J656" i="197"/>
  <c r="N656" i="197"/>
  <c r="Q752" i="182"/>
  <c r="R752" i="182"/>
  <c r="P715" i="182"/>
  <c r="Q750" i="182"/>
  <c r="R750" i="182"/>
  <c r="R753" i="182"/>
  <c r="Q753" i="182"/>
  <c r="R751" i="182"/>
  <c r="Q751" i="182"/>
  <c r="C647" i="197"/>
  <c r="E684" i="197"/>
  <c r="W669" i="34"/>
  <c r="U640" i="34"/>
  <c r="N714" i="197"/>
  <c r="U669" i="34"/>
  <c r="G669" i="34"/>
  <c r="E715" i="197"/>
  <c r="P683" i="197"/>
  <c r="W640" i="34"/>
  <c r="P714" i="197"/>
  <c r="N683" i="197"/>
  <c r="B1429" i="33"/>
  <c r="H1423" i="33"/>
  <c r="S1429" i="33"/>
  <c r="B1426" i="33"/>
  <c r="M1432" i="33"/>
  <c r="L1429" i="33"/>
  <c r="B1432" i="33"/>
  <c r="P1426" i="33"/>
  <c r="H1432" i="33"/>
  <c r="M1402" i="33"/>
  <c r="B1396" i="33"/>
  <c r="H1393" i="33"/>
  <c r="B1402" i="33"/>
  <c r="P1396" i="33"/>
  <c r="L1399" i="33"/>
  <c r="S1399" i="33"/>
  <c r="H1402" i="33"/>
  <c r="B1399" i="33"/>
  <c r="Z1396" i="33"/>
  <c r="AK1402" i="33"/>
  <c r="AE1393" i="33"/>
  <c r="Z1399" i="33"/>
  <c r="AF1402" i="33"/>
  <c r="AN1396" i="33"/>
  <c r="AJ1399" i="33"/>
  <c r="AQ1399" i="33"/>
  <c r="Z1402" i="33"/>
  <c r="Z1426" i="33"/>
  <c r="AN1426" i="33"/>
  <c r="AE1423" i="33"/>
  <c r="Z1432" i="33"/>
  <c r="AF1432" i="33"/>
  <c r="AK1432" i="33"/>
  <c r="Z1429" i="33"/>
  <c r="AQ1429" i="33"/>
  <c r="AJ1429" i="33"/>
  <c r="AS1496" i="33"/>
  <c r="U1496" i="33"/>
  <c r="AS1466" i="33"/>
  <c r="U1466" i="33"/>
  <c r="D25" i="37"/>
  <c r="A26" i="37"/>
  <c r="V671" i="34"/>
  <c r="O671" i="34"/>
  <c r="M675" i="34"/>
  <c r="M676" i="34"/>
  <c r="M677" i="34"/>
  <c r="M678" i="34"/>
  <c r="L675" i="34"/>
  <c r="C675" i="34"/>
  <c r="C682" i="34"/>
  <c r="L678" i="34"/>
  <c r="H671" i="34"/>
  <c r="A676" i="34"/>
  <c r="A683" i="34"/>
  <c r="G678" i="34"/>
  <c r="C678" i="34"/>
  <c r="C685" i="34"/>
  <c r="J678" i="34"/>
  <c r="A671" i="34"/>
  <c r="L677" i="34"/>
  <c r="A672" i="34"/>
  <c r="A675" i="34"/>
  <c r="A682" i="34"/>
  <c r="G676" i="34"/>
  <c r="C677" i="34"/>
  <c r="C684" i="34"/>
  <c r="A678" i="34"/>
  <c r="A685" i="34"/>
  <c r="G675" i="34"/>
  <c r="A677" i="34"/>
  <c r="A684" i="34"/>
  <c r="G677" i="34"/>
  <c r="C676" i="34"/>
  <c r="C683" i="34"/>
  <c r="J677" i="34"/>
  <c r="J675" i="34"/>
  <c r="J676" i="34"/>
  <c r="L676" i="34"/>
  <c r="O642" i="34"/>
  <c r="V642" i="34"/>
  <c r="J646" i="34"/>
  <c r="J648" i="34"/>
  <c r="A643" i="34"/>
  <c r="A647" i="34"/>
  <c r="A654" i="34"/>
  <c r="G646" i="34"/>
  <c r="G649" i="34"/>
  <c r="C647" i="34"/>
  <c r="C654" i="34"/>
  <c r="A649" i="34"/>
  <c r="A656" i="34"/>
  <c r="H642" i="34"/>
  <c r="J649" i="34"/>
  <c r="A648" i="34"/>
  <c r="A655" i="34"/>
  <c r="C648" i="34"/>
  <c r="C655" i="34"/>
  <c r="L646" i="34"/>
  <c r="A646" i="34"/>
  <c r="A653" i="34"/>
  <c r="C646" i="34"/>
  <c r="C653" i="34"/>
  <c r="G648" i="34"/>
  <c r="L647" i="34"/>
  <c r="G647" i="34"/>
  <c r="L648" i="34"/>
  <c r="A642" i="34"/>
  <c r="J647" i="34"/>
  <c r="L649" i="34"/>
  <c r="C649" i="34"/>
  <c r="C656" i="34"/>
  <c r="D629" i="34"/>
  <c r="N735" i="154"/>
  <c r="A742" i="154"/>
  <c r="A750" i="154"/>
  <c r="V735" i="154"/>
  <c r="X735" i="154"/>
  <c r="U735" i="154"/>
  <c r="S735" i="154"/>
  <c r="I735" i="154"/>
  <c r="A735" i="154"/>
  <c r="A740" i="154"/>
  <c r="A748" i="154"/>
  <c r="J735" i="154"/>
  <c r="M735" i="154"/>
  <c r="L735" i="154"/>
  <c r="M734" i="154"/>
  <c r="A734" i="154"/>
  <c r="A739" i="154"/>
  <c r="A747" i="154"/>
  <c r="I730" i="154"/>
  <c r="J734" i="154"/>
  <c r="I734" i="154"/>
  <c r="I731" i="154"/>
  <c r="L734" i="154"/>
  <c r="A730" i="154"/>
  <c r="H767" i="154"/>
  <c r="T768" i="154"/>
  <c r="T767" i="154"/>
  <c r="H768" i="154"/>
  <c r="X734" i="154"/>
  <c r="V734" i="154"/>
  <c r="N734" i="154"/>
  <c r="A741" i="154"/>
  <c r="A749" i="154"/>
  <c r="S734" i="154"/>
  <c r="U734" i="154"/>
  <c r="C678" i="197"/>
  <c r="AI747" i="182"/>
  <c r="A668" i="196"/>
  <c r="F668" i="196"/>
  <c r="S665" i="196"/>
  <c r="J668" i="196"/>
  <c r="I668" i="196"/>
  <c r="G668" i="196"/>
  <c r="E665" i="196"/>
  <c r="M665" i="196"/>
  <c r="N698" i="196"/>
  <c r="N699" i="196"/>
  <c r="E699" i="196"/>
  <c r="E698" i="196"/>
  <c r="S669" i="196"/>
  <c r="R669" i="196"/>
  <c r="K669" i="196"/>
  <c r="P669" i="196"/>
  <c r="O669" i="196"/>
  <c r="J669" i="196"/>
  <c r="A669" i="196"/>
  <c r="F669" i="196"/>
  <c r="I669" i="196"/>
  <c r="G669" i="196"/>
  <c r="P668" i="196"/>
  <c r="S668" i="196"/>
  <c r="K668" i="196"/>
  <c r="O668" i="196"/>
  <c r="R668" i="196"/>
  <c r="N719" i="197"/>
  <c r="J718" i="197"/>
  <c r="N718" i="197"/>
  <c r="H691" i="197"/>
  <c r="Q692" i="197"/>
  <c r="Q691" i="197"/>
  <c r="H692" i="197"/>
  <c r="N687" i="197"/>
  <c r="N688" i="197"/>
  <c r="J687" i="197"/>
  <c r="F687" i="197"/>
  <c r="A687" i="197"/>
  <c r="A692" i="197"/>
  <c r="C691" i="197"/>
  <c r="O692" i="197"/>
  <c r="F692" i="197"/>
  <c r="G691" i="197"/>
  <c r="L692" i="197"/>
  <c r="C692" i="197"/>
  <c r="N691" i="197"/>
  <c r="J692" i="197"/>
  <c r="G692" i="197"/>
  <c r="F691" i="197"/>
  <c r="P692" i="197"/>
  <c r="A691" i="197"/>
  <c r="O691" i="197"/>
  <c r="E691" i="197"/>
  <c r="N692" i="197"/>
  <c r="L691" i="197"/>
  <c r="F688" i="197"/>
  <c r="J691" i="197"/>
  <c r="E692" i="197"/>
  <c r="P691" i="197"/>
  <c r="Q723" i="197"/>
  <c r="H722" i="197"/>
  <c r="H723" i="197"/>
  <c r="Q722" i="197"/>
  <c r="O722" i="197"/>
  <c r="E722" i="197"/>
  <c r="F722" i="197"/>
  <c r="P722" i="197"/>
  <c r="A718" i="197"/>
  <c r="P723" i="197"/>
  <c r="A722" i="197"/>
  <c r="A723" i="197"/>
  <c r="N723" i="197"/>
  <c r="F718" i="197"/>
  <c r="L722" i="197"/>
  <c r="O723" i="197"/>
  <c r="G722" i="197"/>
  <c r="E723" i="197"/>
  <c r="N722" i="197"/>
  <c r="G723" i="197"/>
  <c r="F719" i="197"/>
  <c r="L723" i="197"/>
  <c r="J722" i="197"/>
  <c r="C723" i="197"/>
  <c r="F723" i="197"/>
  <c r="J723" i="197"/>
  <c r="C722" i="197"/>
  <c r="P747" i="182"/>
  <c r="G640" i="34"/>
  <c r="M648" i="34"/>
  <c r="M649" i="34"/>
  <c r="M647" i="34"/>
  <c r="M646" i="34"/>
  <c r="L1463" i="33"/>
  <c r="M1466" i="33"/>
  <c r="S1463" i="33"/>
  <c r="B1463" i="33"/>
  <c r="P1460" i="33"/>
  <c r="B1460" i="33"/>
  <c r="B1466" i="33"/>
  <c r="H1466" i="33"/>
  <c r="H1457" i="33"/>
  <c r="AN1460" i="33"/>
  <c r="AF1466" i="33"/>
  <c r="Z1466" i="33"/>
  <c r="AK1466" i="33"/>
  <c r="Z1460" i="33"/>
  <c r="Z1463" i="33"/>
  <c r="AJ1463" i="33"/>
  <c r="AQ1463" i="33"/>
  <c r="AE1457" i="33"/>
  <c r="H1496" i="33"/>
  <c r="H1487" i="33"/>
  <c r="B1490" i="33"/>
  <c r="S1493" i="33"/>
  <c r="M1496" i="33"/>
  <c r="P1490" i="33"/>
  <c r="B1493" i="33"/>
  <c r="L1493" i="33"/>
  <c r="B1496" i="33"/>
  <c r="AN1490" i="33"/>
  <c r="AJ1493" i="33"/>
  <c r="Z1496" i="33"/>
  <c r="Z1490" i="33"/>
  <c r="AK1496" i="33"/>
  <c r="AF1496" i="33"/>
  <c r="Z1493" i="33"/>
  <c r="AE1487" i="33"/>
  <c r="AQ1493" i="33"/>
  <c r="D26" i="37"/>
  <c r="A27" i="37"/>
  <c r="D658" i="34"/>
  <c r="D687" i="34"/>
  <c r="J768" i="154"/>
  <c r="L768" i="154"/>
  <c r="M768" i="154"/>
  <c r="I768" i="154"/>
  <c r="A768" i="154"/>
  <c r="A773" i="154"/>
  <c r="A781" i="154"/>
  <c r="X767" i="154"/>
  <c r="U767" i="154"/>
  <c r="S767" i="154"/>
  <c r="N767" i="154"/>
  <c r="A774" i="154"/>
  <c r="A782" i="154"/>
  <c r="V767" i="154"/>
  <c r="N768" i="154"/>
  <c r="A775" i="154"/>
  <c r="A783" i="154"/>
  <c r="S768" i="154"/>
  <c r="V768" i="154"/>
  <c r="X768" i="154"/>
  <c r="U768" i="154"/>
  <c r="I767" i="154"/>
  <c r="I763" i="154"/>
  <c r="A763" i="154"/>
  <c r="J767" i="154"/>
  <c r="L767" i="154"/>
  <c r="I764" i="154"/>
  <c r="A767" i="154"/>
  <c r="A772" i="154"/>
  <c r="A780" i="154"/>
  <c r="M767" i="154"/>
  <c r="C709" i="197"/>
  <c r="P698" i="196"/>
  <c r="O698" i="196"/>
  <c r="K698" i="196"/>
  <c r="R698" i="196"/>
  <c r="S698" i="196"/>
  <c r="F698" i="196"/>
  <c r="J698" i="196"/>
  <c r="G698" i="196"/>
  <c r="I698" i="196"/>
  <c r="E695" i="196"/>
  <c r="M695" i="196"/>
  <c r="S695" i="196"/>
  <c r="A698" i="196"/>
  <c r="J699" i="196"/>
  <c r="G699" i="196"/>
  <c r="I699" i="196"/>
  <c r="A699" i="196"/>
  <c r="F699" i="196"/>
  <c r="P699" i="196"/>
  <c r="K699" i="196"/>
  <c r="R699" i="196"/>
  <c r="O699" i="196"/>
  <c r="S699" i="196"/>
  <c r="C740" i="197"/>
  <c r="A28" i="37"/>
  <c r="D27" i="37"/>
  <c r="A29" i="37"/>
  <c r="D28" i="37"/>
  <c r="A30" i="37"/>
  <c r="D29" i="37"/>
  <c r="D30" i="37"/>
  <c r="A31" i="37"/>
  <c r="D31" i="37"/>
  <c r="A32" i="37"/>
  <c r="D32" i="37"/>
  <c r="A33" i="37"/>
  <c r="D33" i="37"/>
  <c r="A34" i="37"/>
  <c r="A35" i="37"/>
  <c r="D34" i="37"/>
  <c r="D35" i="37"/>
  <c r="A36" i="37"/>
  <c r="A37" i="37"/>
  <c r="D36" i="37"/>
  <c r="A38" i="37"/>
  <c r="D37" i="37"/>
  <c r="A39" i="37"/>
  <c r="D38" i="37"/>
  <c r="A40" i="37"/>
  <c r="D39" i="37"/>
  <c r="D40" i="37"/>
  <c r="A41" i="37"/>
  <c r="A42" i="37"/>
  <c r="D41" i="37"/>
  <c r="D42" i="37"/>
  <c r="A43" i="37"/>
  <c r="D43" i="37"/>
  <c r="A44" i="37"/>
  <c r="D44" i="37"/>
  <c r="A45" i="37"/>
  <c r="A46" i="37"/>
  <c r="D45" i="37"/>
  <c r="A47" i="37"/>
  <c r="D46" i="37"/>
  <c r="D47" i="37"/>
  <c r="A48" i="37"/>
  <c r="D48" i="37"/>
  <c r="A49" i="37"/>
  <c r="A50" i="37"/>
  <c r="D49" i="37"/>
  <c r="A51" i="37"/>
  <c r="D50" i="37"/>
  <c r="D51" i="37"/>
  <c r="A52" i="37"/>
  <c r="D52" i="37"/>
  <c r="A53" i="37"/>
  <c r="A54" i="37"/>
  <c r="D53" i="37"/>
  <c r="D54" i="37"/>
  <c r="A55" i="37"/>
  <c r="A56" i="37"/>
  <c r="D55" i="37"/>
  <c r="A57" i="37"/>
  <c r="D56" i="37"/>
  <c r="A58" i="37"/>
  <c r="D57" i="37"/>
  <c r="D58" i="37"/>
  <c r="A59" i="37"/>
  <c r="D59" i="37"/>
  <c r="A60" i="37"/>
  <c r="A61" i="37"/>
  <c r="D60" i="37"/>
  <c r="D61" i="37"/>
  <c r="A62" i="37"/>
  <c r="A63" i="37"/>
  <c r="D62" i="37"/>
  <c r="A64" i="37"/>
  <c r="D63" i="37"/>
  <c r="A65" i="37"/>
  <c r="D64" i="37"/>
  <c r="D65" i="37"/>
  <c r="A66" i="37"/>
  <c r="A67" i="37"/>
  <c r="D66" i="37"/>
  <c r="D67" i="37"/>
  <c r="A68" i="37"/>
  <c r="D68" i="37"/>
  <c r="A69" i="37"/>
  <c r="A70" i="37"/>
  <c r="D69" i="37"/>
  <c r="D70" i="37"/>
  <c r="A71" i="37"/>
  <c r="A72" i="37"/>
  <c r="D71" i="37"/>
  <c r="D72" i="37"/>
  <c r="A73" i="37"/>
  <c r="D73" i="37"/>
  <c r="A74" i="37"/>
  <c r="D74" i="37"/>
  <c r="A75" i="37"/>
  <c r="A76" i="37"/>
  <c r="D75" i="37"/>
  <c r="A77" i="37"/>
  <c r="D76" i="37"/>
  <c r="D77" i="37"/>
  <c r="A78" i="37"/>
  <c r="A79" i="37"/>
  <c r="D78" i="37"/>
  <c r="D79" i="37"/>
  <c r="A80" i="37"/>
  <c r="D80" i="37"/>
  <c r="A81" i="37"/>
  <c r="A82" i="37"/>
  <c r="D81" i="37"/>
  <c r="D82" i="37"/>
  <c r="A83" i="37"/>
  <c r="A84" i="37"/>
  <c r="D83" i="37"/>
  <c r="A85" i="37"/>
  <c r="D84" i="37"/>
  <c r="D85" i="37"/>
  <c r="A86" i="37"/>
  <c r="A87" i="37"/>
  <c r="D86" i="37"/>
  <c r="D87" i="37"/>
  <c r="A88" i="37"/>
  <c r="D88" i="37"/>
  <c r="A89" i="37"/>
  <c r="A90" i="37"/>
  <c r="D89" i="37"/>
  <c r="D90" i="37"/>
  <c r="A91" i="37"/>
  <c r="D91" i="37"/>
  <c r="A92" i="37"/>
  <c r="A93" i="37"/>
  <c r="D92" i="37"/>
  <c r="A94" i="37"/>
  <c r="D93" i="37"/>
  <c r="D94" i="37"/>
  <c r="A95" i="37"/>
  <c r="D95" i="37"/>
  <c r="A96" i="37"/>
  <c r="D96" i="37"/>
  <c r="A97" i="37"/>
  <c r="A98" i="37"/>
  <c r="D98" i="37"/>
  <c r="D97"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PC_JOEL</author>
  </authors>
  <commentList>
    <comment ref="B7" authorId="0" shapeId="0" xr:uid="{00000000-0006-0000-0100-000001000000}">
      <text>
        <r>
          <rPr>
            <b/>
            <sz val="9"/>
            <color indexed="81"/>
            <rFont val="Tahoma"/>
            <family val="2"/>
          </rPr>
          <t>Déroulez la liste</t>
        </r>
        <r>
          <rPr>
            <sz val="9"/>
            <color indexed="81"/>
            <rFont val="Tahoma"/>
            <family val="2"/>
          </rPr>
          <t xml:space="preserve">
</t>
        </r>
      </text>
    </comment>
    <comment ref="B9" authorId="0" shapeId="0" xr:uid="{00000000-0006-0000-0100-000002000000}">
      <text>
        <r>
          <rPr>
            <b/>
            <sz val="9"/>
            <color indexed="81"/>
            <rFont val="Tahoma"/>
            <family val="2"/>
          </rPr>
          <t>Déroulez la liste</t>
        </r>
        <r>
          <rPr>
            <sz val="9"/>
            <color indexed="81"/>
            <rFont val="Tahoma"/>
            <family val="2"/>
          </rPr>
          <t xml:space="preserve">
</t>
        </r>
      </text>
    </comment>
    <comment ref="B11" authorId="0" shapeId="0" xr:uid="{00000000-0006-0000-0100-000003000000}">
      <text>
        <r>
          <rPr>
            <b/>
            <sz val="9"/>
            <color indexed="81"/>
            <rFont val="Tahoma"/>
            <family val="2"/>
          </rPr>
          <t>Calculé automatiquement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JMK</author>
  </authors>
  <commentList>
    <comment ref="I5" authorId="0" shapeId="0" xr:uid="{00000000-0006-0000-0300-000001000000}">
      <text>
        <r>
          <rPr>
            <sz val="10"/>
            <color indexed="81"/>
            <rFont val="Tahoma"/>
            <family val="2"/>
          </rPr>
          <t xml:space="preserve">L'organisateur note dans cette cellule le </t>
        </r>
        <r>
          <rPr>
            <b/>
            <sz val="10"/>
            <color indexed="81"/>
            <rFont val="Tahoma"/>
            <family val="2"/>
          </rPr>
          <t>n° de la cible</t>
        </r>
        <r>
          <rPr>
            <sz val="10"/>
            <color indexed="81"/>
            <rFont val="Tahoma"/>
            <family val="2"/>
          </rPr>
          <t xml:space="preserve"> attribuée pour les </t>
        </r>
        <r>
          <rPr>
            <b/>
            <sz val="10"/>
            <color indexed="81"/>
            <rFont val="Tahoma"/>
            <family val="2"/>
          </rPr>
          <t>tirs de qualification</t>
        </r>
        <r>
          <rPr>
            <sz val="10"/>
            <color indexed="81"/>
            <rFont val="Tahoma"/>
            <family val="2"/>
          </rPr>
          <t>, ainsi que la lettre affectée (A,B, C, D…).
Exemple : 2C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J2" authorId="0" shapeId="0" xr:uid="{00000000-0006-0000-0400-000001000000}">
      <text>
        <r>
          <rPr>
            <b/>
            <sz val="8"/>
            <color indexed="81"/>
            <rFont val="Tahoma"/>
            <family val="2"/>
          </rPr>
          <t>****:</t>
        </r>
        <r>
          <rPr>
            <sz val="8"/>
            <color indexed="81"/>
            <rFont val="Tahoma"/>
            <family val="2"/>
          </rPr>
          <t xml:space="preserve">
</t>
        </r>
        <r>
          <rPr>
            <sz val="14"/>
            <color indexed="81"/>
            <rFont val="Tahoma"/>
            <family val="2"/>
          </rPr>
          <t xml:space="preserve">L'organisateur note dans cette cellule le </t>
        </r>
        <r>
          <rPr>
            <b/>
            <sz val="14"/>
            <color indexed="81"/>
            <rFont val="Tahoma"/>
            <family val="2"/>
          </rPr>
          <t>n° de la cible</t>
        </r>
        <r>
          <rPr>
            <sz val="14"/>
            <color indexed="81"/>
            <rFont val="Tahoma"/>
            <family val="2"/>
          </rPr>
          <t xml:space="preserve"> attribuée pour les </t>
        </r>
        <r>
          <rPr>
            <b/>
            <sz val="14"/>
            <color indexed="81"/>
            <rFont val="Tahoma"/>
            <family val="2"/>
          </rPr>
          <t xml:space="preserve">tirs de qualification, </t>
        </r>
        <r>
          <rPr>
            <sz val="14"/>
            <color indexed="81"/>
            <rFont val="Tahoma"/>
            <family val="2"/>
          </rPr>
          <t xml:space="preserve">ainsi que la lettre affectée (A,B, C, D…).
</t>
        </r>
        <r>
          <rPr>
            <u/>
            <sz val="14"/>
            <color indexed="81"/>
            <rFont val="Tahoma"/>
            <family val="2"/>
          </rPr>
          <t>Exemple</t>
        </r>
        <r>
          <rPr>
            <sz val="14"/>
            <color indexed="81"/>
            <rFont val="Tahoma"/>
            <family val="2"/>
          </rPr>
          <t xml:space="preserve"> : 2C</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EPS1</author>
  </authors>
  <commentList>
    <comment ref="F1" authorId="0" shapeId="0" xr:uid="{00000000-0006-0000-0A00-000001000000}">
      <text>
        <r>
          <rPr>
            <b/>
            <sz val="8"/>
            <color indexed="81"/>
            <rFont val="Tahoma"/>
            <family val="2"/>
          </rPr>
          <t>1) copier les "villes"
2) renseigner "BLASON" et "REPERE"
3) trier l'ensemble</t>
        </r>
        <r>
          <rPr>
            <sz val="8"/>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MOREL Alain</author>
  </authors>
  <commentList>
    <comment ref="U8" authorId="0" shapeId="0" xr:uid="{00000000-0006-0000-0F00-000001000000}">
      <text>
        <r>
          <rPr>
            <b/>
            <sz val="10"/>
            <color indexed="81"/>
            <rFont val="Tahoma"/>
            <family val="2"/>
          </rPr>
          <t>MOREL Alain:</t>
        </r>
        <r>
          <rPr>
            <sz val="10"/>
            <color indexed="81"/>
            <rFont val="Tahoma"/>
            <family val="2"/>
          </rPr>
          <t xml:space="preserve">
Données pour les poules de classement </t>
        </r>
      </text>
    </comment>
  </commentList>
</comments>
</file>

<file path=xl/sharedStrings.xml><?xml version="1.0" encoding="utf-8"?>
<sst xmlns="http://schemas.openxmlformats.org/spreadsheetml/2006/main" count="24035" uniqueCount="1353">
  <si>
    <t>Etablissement</t>
  </si>
  <si>
    <t>NOM</t>
  </si>
  <si>
    <t>Prénom</t>
  </si>
  <si>
    <t>Points</t>
  </si>
  <si>
    <t>Benjamin</t>
  </si>
  <si>
    <t>Minime</t>
  </si>
  <si>
    <t>Cadet</t>
  </si>
  <si>
    <t>Total</t>
  </si>
  <si>
    <t>points</t>
  </si>
  <si>
    <t>Résultats par équipes</t>
  </si>
  <si>
    <t>Classt</t>
  </si>
  <si>
    <t/>
  </si>
  <si>
    <t>taille</t>
  </si>
  <si>
    <t>cible</t>
  </si>
  <si>
    <t>n°</t>
  </si>
  <si>
    <t>Classement par</t>
  </si>
  <si>
    <t>place</t>
  </si>
  <si>
    <t>équipes après les</t>
  </si>
  <si>
    <t>Barème catégorie</t>
  </si>
  <si>
    <t>Junior</t>
  </si>
  <si>
    <t>Barème cible</t>
  </si>
  <si>
    <t>Senior</t>
  </si>
  <si>
    <t>1er  DUEL</t>
  </si>
  <si>
    <t>2ème  DUEL</t>
  </si>
  <si>
    <t>Place</t>
  </si>
  <si>
    <t>Barèmecatégorie</t>
  </si>
  <si>
    <t>barèmecible</t>
  </si>
  <si>
    <t>TIR à l'ARC</t>
  </si>
  <si>
    <t xml:space="preserve">Championnat : </t>
  </si>
  <si>
    <t>lieu :</t>
  </si>
  <si>
    <t>catég.</t>
  </si>
  <si>
    <t>licence</t>
  </si>
  <si>
    <t>U.N.S.S.</t>
  </si>
  <si>
    <t>né(e)</t>
  </si>
  <si>
    <t>Résultats par équipe</t>
  </si>
  <si>
    <t>après les</t>
  </si>
  <si>
    <t>Résultats après les</t>
  </si>
  <si>
    <t>CLASSEMENT FINAL</t>
  </si>
  <si>
    <t>Classement des équipes</t>
  </si>
  <si>
    <t>blason</t>
  </si>
  <si>
    <t>après les tirs de qualification</t>
  </si>
  <si>
    <t>Tirs de qualification</t>
  </si>
  <si>
    <t>tirs de qualification</t>
  </si>
  <si>
    <t>TIRS de QUALIFICATION</t>
  </si>
  <si>
    <t xml:space="preserve">lieu :  </t>
  </si>
  <si>
    <t>NOYON</t>
  </si>
  <si>
    <t xml:space="preserve">Mise à jour le : </t>
  </si>
  <si>
    <t>Poussin</t>
  </si>
  <si>
    <t>Remise à blanc du</t>
  </si>
  <si>
    <t>Classement provisoire</t>
  </si>
  <si>
    <t>classement provisoire</t>
  </si>
  <si>
    <t>FINALE</t>
  </si>
  <si>
    <t>Code: UNSS</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</si>
  <si>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</si>
  <si>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</si>
  <si>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</si>
  <si>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</si>
  <si>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</si>
  <si>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</si>
  <si>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</si>
  <si>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</si>
  <si>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</si>
  <si>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</si>
  <si>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</si>
  <si>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</si>
  <si>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</si>
  <si>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</si>
  <si>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</si>
  <si>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</si>
  <si>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</si>
  <si>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</si>
  <si>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</si>
  <si>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</si>
  <si>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</si>
  <si>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</si>
  <si>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</si>
  <si>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</si>
  <si>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</si>
  <si>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</si>
  <si>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</si>
  <si>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</si>
  <si>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</si>
  <si>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</si>
  <si>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</si>
  <si>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</si>
  <si>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</si>
  <si>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</si>
  <si>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</si>
  <si>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</si>
  <si>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</si>
  <si>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</si>
  <si>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</si>
  <si>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</si>
  <si>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</si>
  <si>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</si>
  <si>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</si>
  <si>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</si>
  <si>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</si>
  <si>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</si>
  <si>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</si>
  <si>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</si>
  <si>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</si>
  <si>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</si>
  <si>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</si>
  <si>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</si>
  <si>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</si>
  <si>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</si>
  <si>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</si>
  <si>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</si>
  <si>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</si>
  <si>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</si>
  <si>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</si>
  <si>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</si>
  <si>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</si>
  <si>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</si>
  <si>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</si>
  <si>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</si>
  <si>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</si>
  <si>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</si>
  <si>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</si>
  <si>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</si>
  <si>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</si>
  <si>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</si>
  <si>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</si>
  <si>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</si>
  <si>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</si>
  <si>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</si>
  <si>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</si>
  <si>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</si>
  <si>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</si>
  <si>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</si>
  <si>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</si>
  <si>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</si>
  <si>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</si>
  <si>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</si>
  <si>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</si>
  <si>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</si>
  <si>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</si>
  <si>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</si>
  <si>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</si>
  <si>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</si>
  <si>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</si>
  <si>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</si>
  <si>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</si>
  <si>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</si>
  <si>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</si>
  <si>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</si>
  <si>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</si>
  <si>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</si>
  <si>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</si>
  <si>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</si>
  <si>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</si>
  <si>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</si>
  <si>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</si>
  <si>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</si>
  <si>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</si>
  <si>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</si>
  <si>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</si>
  <si>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</si>
  <si>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</si>
  <si>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</si>
  <si>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</si>
  <si>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</si>
  <si>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</si>
  <si>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</si>
  <si>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</si>
  <si>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</si>
  <si>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</si>
  <si>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</si>
  <si>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</si>
  <si>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</si>
  <si>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</si>
  <si>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</si>
  <si>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</si>
  <si>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</si>
  <si>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</si>
  <si>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</si>
  <si>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</si>
  <si>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</si>
  <si>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</si>
  <si>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</si>
  <si>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</si>
  <si>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</si>
  <si>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</si>
  <si>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</si>
  <si>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</si>
  <si>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</si>
  <si>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</si>
  <si>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</si>
  <si>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</si>
  <si>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</si>
  <si>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</si>
  <si>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</si>
  <si>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</si>
  <si>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</si>
  <si>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</si>
  <si>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</si>
  <si>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</si>
  <si>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</si>
  <si>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</si>
  <si>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</si>
  <si>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</si>
  <si>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</si>
  <si>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</si>
  <si>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</si>
  <si>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</si>
  <si>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</si>
  <si>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</si>
  <si>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</si>
  <si>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</si>
  <si>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</si>
  <si>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</si>
  <si>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</si>
  <si>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</si>
  <si>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</si>
  <si>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</si>
  <si>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</si>
  <si>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</si>
  <si>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</si>
  <si>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</si>
  <si>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</si>
  <si>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</si>
  <si>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</si>
  <si>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</si>
  <si>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</si>
  <si>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</si>
  <si>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</si>
  <si>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</si>
  <si>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</si>
  <si>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</si>
  <si>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</si>
  <si>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</si>
  <si>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</si>
  <si>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</si>
  <si>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</si>
  <si>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</si>
  <si>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</si>
  <si>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</si>
  <si>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</si>
  <si>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</si>
  <si>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</si>
  <si>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</si>
  <si>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</si>
  <si>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</si>
  <si>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</si>
  <si>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</si>
  <si>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</si>
  <si>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</si>
  <si>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</si>
  <si>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</si>
  <si>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</si>
  <si>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</si>
  <si>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</si>
  <si>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</si>
  <si>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</si>
  <si>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</si>
  <si>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</si>
  <si>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</si>
  <si>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</si>
  <si>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</si>
  <si>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</si>
  <si>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</si>
  <si>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</si>
  <si>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</si>
  <si>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</si>
  <si>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</si>
  <si>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</si>
  <si>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</si>
  <si>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</si>
  <si>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</si>
  <si>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</si>
  <si>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</si>
  <si>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</si>
  <si>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</si>
  <si>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</si>
  <si>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</si>
  <si>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</si>
  <si>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</si>
  <si>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</si>
  <si>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</si>
  <si>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</si>
  <si>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</si>
  <si>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</si>
  <si>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</si>
  <si>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</si>
  <si>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</si>
  <si>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</si>
  <si>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</si>
  <si>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</si>
  <si>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</si>
  <si>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</si>
  <si>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</si>
  <si>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</si>
  <si>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</si>
  <si>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</si>
  <si>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</si>
  <si>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</si>
  <si>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</si>
  <si>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</si>
  <si>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</si>
  <si>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</si>
  <si>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</si>
  <si>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</si>
  <si>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</si>
  <si>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</si>
  <si>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</si>
  <si>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</si>
  <si>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</si>
  <si>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</si>
  <si>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</si>
  <si>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</si>
  <si>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</si>
  <si>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</si>
  <si>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</si>
  <si>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</si>
  <si>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</si>
  <si>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</si>
  <si>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</si>
  <si>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</si>
  <si>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</si>
  <si>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</si>
  <si>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</si>
  <si>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</si>
  <si>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</si>
  <si>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</si>
  <si>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</si>
  <si>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</si>
  <si>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</si>
  <si>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</si>
  <si>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</si>
  <si>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</si>
  <si>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</si>
  <si>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</si>
  <si>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</si>
  <si>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</si>
  <si>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</si>
  <si>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</si>
  <si>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</si>
  <si>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</si>
  <si>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</si>
  <si>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</si>
  <si>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</si>
  <si>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</si>
  <si>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</si>
  <si>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</si>
  <si>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</si>
  <si>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</si>
  <si>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</si>
  <si>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</si>
  <si>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</si>
  <si>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</si>
  <si>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</si>
  <si>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</si>
  <si>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</si>
  <si>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</si>
  <si>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</si>
  <si>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</si>
  <si>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</si>
  <si>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</si>
  <si>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</si>
  <si>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</si>
  <si>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</si>
  <si>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</si>
  <si>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</si>
  <si>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</si>
  <si>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</si>
  <si>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</si>
  <si>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</si>
  <si>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</si>
  <si>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</si>
  <si>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</si>
  <si>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</si>
  <si>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</si>
  <si>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Catégorie à importer:</t>
  </si>
  <si>
    <t>Académie</t>
  </si>
  <si>
    <t>Ville</t>
  </si>
  <si>
    <t>Catégorie:</t>
  </si>
  <si>
    <t>CS</t>
  </si>
  <si>
    <t>1er duel</t>
  </si>
  <si>
    <t>2ème duel</t>
  </si>
  <si>
    <t>3ème duel</t>
  </si>
  <si>
    <t>classement</t>
  </si>
  <si>
    <t>1/4 FINALE</t>
  </si>
  <si>
    <t>1/2 FINALE</t>
  </si>
  <si>
    <t>final</t>
  </si>
  <si>
    <t>Base des établissements</t>
  </si>
  <si>
    <t xml:space="preserve">Dans les cellules: </t>
  </si>
  <si>
    <t>saisir les scores</t>
  </si>
  <si>
    <t>N°</t>
  </si>
  <si>
    <t>Ligne A:</t>
  </si>
  <si>
    <t>Ligne B:</t>
  </si>
  <si>
    <t>Amiens</t>
  </si>
  <si>
    <t>WASSIGNY</t>
  </si>
  <si>
    <t>Paul Eluard 2</t>
  </si>
  <si>
    <t>Paul Eluard 1</t>
  </si>
  <si>
    <t>Paul Eluard 3</t>
  </si>
  <si>
    <t>Paul Eluard 4</t>
  </si>
  <si>
    <t>Paul Eluard 5</t>
  </si>
  <si>
    <t>Wassigny 1</t>
  </si>
  <si>
    <t>Wassigny 2</t>
  </si>
  <si>
    <t>La Chesnoye</t>
  </si>
  <si>
    <t>ST GOBAIN</t>
  </si>
  <si>
    <t>DE RE</t>
  </si>
  <si>
    <t>Nicolas</t>
  </si>
  <si>
    <t>BEAURAIN</t>
  </si>
  <si>
    <t>Teddy</t>
  </si>
  <si>
    <t>LAURENT</t>
  </si>
  <si>
    <t>Marion</t>
  </si>
  <si>
    <t>FERREIRA</t>
  </si>
  <si>
    <t>Jonathan</t>
  </si>
  <si>
    <t>THIBAULT</t>
  </si>
  <si>
    <t>Maxime</t>
  </si>
  <si>
    <t>LEMAIRE</t>
  </si>
  <si>
    <t>Déborah</t>
  </si>
  <si>
    <t>PARFAIT</t>
  </si>
  <si>
    <t>Romain</t>
  </si>
  <si>
    <t>ROGER</t>
  </si>
  <si>
    <t>Quentin</t>
  </si>
  <si>
    <t>CARDON</t>
  </si>
  <si>
    <t>Gwendoline</t>
  </si>
  <si>
    <t>MOITY</t>
  </si>
  <si>
    <t>Océane</t>
  </si>
  <si>
    <t>COLOMBIER</t>
  </si>
  <si>
    <t>Samuel</t>
  </si>
  <si>
    <t>LENOIR</t>
  </si>
  <si>
    <t>Thomas</t>
  </si>
  <si>
    <t>VIL. St GERMAIN</t>
  </si>
  <si>
    <t>SOUDAIS</t>
  </si>
  <si>
    <t>Lucille</t>
  </si>
  <si>
    <t>DUCHESNE</t>
  </si>
  <si>
    <t>BAEHL</t>
  </si>
  <si>
    <t>COURSON</t>
  </si>
  <si>
    <t>Vincent</t>
  </si>
  <si>
    <t>Louise Michel 1</t>
  </si>
  <si>
    <t>Louise Michel 2</t>
  </si>
  <si>
    <t>MERTZIG</t>
  </si>
  <si>
    <t>Kévin</t>
  </si>
  <si>
    <t>Laétitia</t>
  </si>
  <si>
    <t>Jérémy</t>
  </si>
  <si>
    <t>POUPLIN</t>
  </si>
  <si>
    <t>Maxence</t>
  </si>
  <si>
    <t>VANSYNGEL</t>
  </si>
  <si>
    <t>MARIAGE</t>
  </si>
  <si>
    <t>Caroline</t>
  </si>
  <si>
    <t>BOULANGER</t>
  </si>
  <si>
    <t>Julien</t>
  </si>
  <si>
    <t>DUBOIS</t>
  </si>
  <si>
    <t>Noémie</t>
  </si>
  <si>
    <t>STARKO</t>
  </si>
  <si>
    <t>Youri</t>
  </si>
  <si>
    <t>MELLINAS</t>
  </si>
  <si>
    <t>Ugo</t>
  </si>
  <si>
    <t>PALISSE</t>
  </si>
  <si>
    <t>Thibaut</t>
  </si>
  <si>
    <t>LEFEVRE</t>
  </si>
  <si>
    <t>Gaylord</t>
  </si>
  <si>
    <t>VERCOUTERE</t>
  </si>
  <si>
    <t>Matthew</t>
  </si>
  <si>
    <t>HOARAU</t>
  </si>
  <si>
    <t>Mickael</t>
  </si>
  <si>
    <t>RUYTERS</t>
  </si>
  <si>
    <t>MARTIN</t>
  </si>
  <si>
    <t>Martial</t>
  </si>
  <si>
    <t>BROCHET</t>
  </si>
  <si>
    <t>Anne Laure</t>
  </si>
  <si>
    <t>HOUBART</t>
  </si>
  <si>
    <t>DEHAN</t>
  </si>
  <si>
    <t>Brandon</t>
  </si>
  <si>
    <t>HAVY</t>
  </si>
  <si>
    <t>Mégane</t>
  </si>
  <si>
    <t>CLAUS</t>
  </si>
  <si>
    <t>Gabriel</t>
  </si>
  <si>
    <t>HELBICK</t>
  </si>
  <si>
    <t>Stéphan</t>
  </si>
  <si>
    <t>VISSE</t>
  </si>
  <si>
    <t>Stanislas</t>
  </si>
  <si>
    <t>HENRY</t>
  </si>
  <si>
    <t>Floriane</t>
  </si>
  <si>
    <t>MG</t>
  </si>
  <si>
    <t>CG</t>
  </si>
  <si>
    <t>Catégorie</t>
  </si>
  <si>
    <t>Nom</t>
  </si>
  <si>
    <t>B</t>
  </si>
  <si>
    <t>C</t>
  </si>
  <si>
    <t>1er DUEL</t>
  </si>
  <si>
    <t>ATTRIBUTION DES CIBLES</t>
  </si>
  <si>
    <t>N° CIBLES</t>
  </si>
  <si>
    <t>2e DUEL</t>
  </si>
  <si>
    <t>3e DUEL  -  FINALE</t>
  </si>
  <si>
    <t>Collèges</t>
  </si>
  <si>
    <t>Résultats par équipe après les</t>
  </si>
  <si>
    <t>du</t>
  </si>
  <si>
    <t>Championnat de France UNSS de TIR A L'ARC</t>
  </si>
  <si>
    <t>Saisir la valeur qui départage en cas d'égalité</t>
  </si>
  <si>
    <t>Championnat de</t>
  </si>
  <si>
    <t>à</t>
  </si>
  <si>
    <t>MF</t>
  </si>
  <si>
    <t>BF</t>
  </si>
  <si>
    <t>taille_cibles</t>
  </si>
  <si>
    <t>TIRS DE QUALIFICATION</t>
  </si>
  <si>
    <t>établissement de</t>
  </si>
  <si>
    <t>BLASONS</t>
  </si>
  <si>
    <t>CONTRÔLE</t>
  </si>
  <si>
    <t>Résultats des tirs de qualification</t>
  </si>
  <si>
    <t>catégorie</t>
  </si>
  <si>
    <t>PRENOM</t>
  </si>
  <si>
    <t>N° licence</t>
  </si>
  <si>
    <t>n° cible</t>
  </si>
  <si>
    <t>série</t>
  </si>
  <si>
    <t>Volées</t>
  </si>
  <si>
    <t>Points par flèches</t>
  </si>
  <si>
    <t>total</t>
  </si>
  <si>
    <t>cumul</t>
  </si>
  <si>
    <t>N1</t>
  </si>
  <si>
    <t>N2</t>
  </si>
  <si>
    <t>N3</t>
  </si>
  <si>
    <t>N4</t>
  </si>
  <si>
    <t>N5</t>
  </si>
  <si>
    <t>N6</t>
  </si>
  <si>
    <t>Score final</t>
  </si>
  <si>
    <t>signature</t>
  </si>
  <si>
    <t>Marque</t>
  </si>
  <si>
    <t>Contre marque</t>
  </si>
  <si>
    <t>établissement</t>
  </si>
  <si>
    <t>ville</t>
  </si>
  <si>
    <t>académie</t>
  </si>
  <si>
    <t>nom</t>
  </si>
  <si>
    <t>prénom</t>
  </si>
  <si>
    <t>date_de_naissance</t>
  </si>
  <si>
    <t>n°_licence</t>
  </si>
  <si>
    <t>né(e) le:</t>
  </si>
  <si>
    <t>n_licence</t>
  </si>
  <si>
    <t>PB</t>
  </si>
  <si>
    <t>PF</t>
  </si>
  <si>
    <t>BP</t>
  </si>
  <si>
    <t>CF</t>
  </si>
  <si>
    <t>JG</t>
  </si>
  <si>
    <t>JF</t>
  </si>
  <si>
    <t>SG</t>
  </si>
  <si>
    <t>SF</t>
  </si>
  <si>
    <t>poussin</t>
  </si>
  <si>
    <t>benjamin</t>
  </si>
  <si>
    <t>minime</t>
  </si>
  <si>
    <t>cadet</t>
  </si>
  <si>
    <t>junior</t>
  </si>
  <si>
    <t>senior</t>
  </si>
  <si>
    <t>DUEL N°</t>
  </si>
  <si>
    <t>contre</t>
  </si>
  <si>
    <t>Composition de l'équipe</t>
  </si>
  <si>
    <t>NOM   -   PRENOM</t>
  </si>
  <si>
    <t>N° Licence</t>
  </si>
  <si>
    <t>Blason</t>
  </si>
  <si>
    <t>N° Cible</t>
  </si>
  <si>
    <t>A</t>
  </si>
  <si>
    <t>D</t>
  </si>
  <si>
    <t>1ère Volée</t>
  </si>
  <si>
    <t>2è Volée</t>
  </si>
  <si>
    <t>3è Volée</t>
  </si>
  <si>
    <t>4è Volée</t>
  </si>
  <si>
    <t>NOM - PRENOM</t>
  </si>
  <si>
    <t>Points par flèche</t>
  </si>
  <si>
    <t>=</t>
  </si>
  <si>
    <t>Total (volée 1)</t>
  </si>
  <si>
    <t>Total (volée 2)</t>
  </si>
  <si>
    <t>Total (volée 3)</t>
  </si>
  <si>
    <t>Total (volée 4)</t>
  </si>
  <si>
    <t>Total cumulé</t>
  </si>
  <si>
    <t>Volées 1+ 2</t>
  </si>
  <si>
    <t>Volées 1+ 2+ 3</t>
  </si>
  <si>
    <t>Volées 1+ 2+ 3+ 4</t>
  </si>
  <si>
    <t>score final</t>
  </si>
  <si>
    <t>score</t>
  </si>
  <si>
    <t>N° DUEL</t>
  </si>
  <si>
    <t>Etab_duel</t>
  </si>
  <si>
    <t>Acad_duel</t>
  </si>
  <si>
    <t>1/4 de FINALE</t>
  </si>
  <si>
    <t>1/2 de FINALE</t>
  </si>
  <si>
    <t>N° à importer</t>
  </si>
  <si>
    <t>fiche de gauche</t>
  </si>
  <si>
    <t>fiche de droite</t>
  </si>
  <si>
    <t>N° de cible</t>
  </si>
  <si>
    <t>BLASONNAGE</t>
  </si>
  <si>
    <t>Repère</t>
  </si>
  <si>
    <t>REPERE</t>
  </si>
  <si>
    <t>Vainqueur</t>
  </si>
  <si>
    <t>VILLENEUVE-ST-GERMAIN</t>
  </si>
  <si>
    <t>PARMENTIER</t>
  </si>
  <si>
    <t>ALEXIS</t>
  </si>
  <si>
    <t>DROUET</t>
  </si>
  <si>
    <t>GABRIEL</t>
  </si>
  <si>
    <t>LEYSSENNE</t>
  </si>
  <si>
    <t>MICKAEL</t>
  </si>
  <si>
    <t>JOBIC</t>
  </si>
  <si>
    <t>ANTOINE</t>
  </si>
  <si>
    <t>MEUNIER</t>
  </si>
  <si>
    <t>QUENTIN</t>
  </si>
  <si>
    <t>COL LOUISE MICHEL</t>
  </si>
  <si>
    <t>AMIENS</t>
  </si>
  <si>
    <t>02055 3817</t>
  </si>
  <si>
    <t>AUT ITEP LE PETIT PRINCE</t>
  </si>
  <si>
    <t>LIMOGES</t>
  </si>
  <si>
    <t>12232 1949</t>
  </si>
  <si>
    <t>12232 8858</t>
  </si>
  <si>
    <t>12232 3169</t>
  </si>
  <si>
    <t>12232 7633</t>
  </si>
  <si>
    <t>COL MAUROIS (ANDRE)</t>
  </si>
  <si>
    <t>NICE</t>
  </si>
  <si>
    <t>COL DE LORBELLIERE</t>
  </si>
  <si>
    <t>ORLÉANS - TOURS</t>
  </si>
  <si>
    <t xml:space="preserve">du : </t>
  </si>
  <si>
    <t xml:space="preserve">Catégorie : </t>
  </si>
  <si>
    <t xml:space="preserve">Nombre d'équipes : </t>
  </si>
  <si>
    <t>LISTE_CATEGORIE :</t>
  </si>
  <si>
    <t>NOMBRE_EQUIPES</t>
  </si>
  <si>
    <t>Lieu :</t>
  </si>
  <si>
    <t xml:space="preserve">Nombre de participants : </t>
  </si>
  <si>
    <t>Paramètres généraux de la compétition :</t>
  </si>
  <si>
    <t xml:space="preserve">Nb équipiers par équipe : </t>
  </si>
  <si>
    <t xml:space="preserve">problème pour importer </t>
  </si>
  <si>
    <t>les fichiers internet</t>
  </si>
  <si>
    <r>
      <rPr>
        <b/>
        <sz val="10"/>
        <rFont val="Arial"/>
        <family val="2"/>
      </rPr>
      <t>NB</t>
    </r>
    <r>
      <rPr>
        <sz val="10"/>
        <rFont val="Arial"/>
        <family val="2"/>
      </rPr>
      <t xml:space="preserve"> : Ne pas modifier, si non,</t>
    </r>
  </si>
  <si>
    <t>Modèle :</t>
  </si>
  <si>
    <t>qui alimentent les listes déroulantes de</t>
  </si>
  <si>
    <t>la colonnes B</t>
  </si>
  <si>
    <t>concurents</t>
  </si>
  <si>
    <t>équipes</t>
  </si>
  <si>
    <t>Table pour feuilles d'équipes</t>
  </si>
  <si>
    <t>Equipe</t>
  </si>
  <si>
    <t>Cible N°</t>
  </si>
  <si>
    <t>1/2  FINALE</t>
  </si>
  <si>
    <t>Données à copier pour l'attribution des cibles</t>
  </si>
  <si>
    <t>à copier</t>
  </si>
  <si>
    <t>Numéros d'équipes pour l'édition des DUELS</t>
  </si>
  <si>
    <t>xxx'Phase_Finale Pair'!D8</t>
  </si>
  <si>
    <t>xxx'Phase_Finale Pair'!D9</t>
  </si>
  <si>
    <t>xxx'Phase_Finale Pair'!D11</t>
  </si>
  <si>
    <t>xxx'Phase_Finale Pair'!D12</t>
  </si>
  <si>
    <t>xxx'Phase_Finale Pair'!D14</t>
  </si>
  <si>
    <t>xxx'Phase_Finale Pair'!D15</t>
  </si>
  <si>
    <t>xxx'Phase_Finale Pair'!D17</t>
  </si>
  <si>
    <t>xxx'Phase_Finale Pair'!D18</t>
  </si>
  <si>
    <t>xxx'Phase_Finale Pair'!D20</t>
  </si>
  <si>
    <t>xxx'Phase_Finale Pair'!D21</t>
  </si>
  <si>
    <t>xxx'Phase_Finale Pair'!D23</t>
  </si>
  <si>
    <t>xxx'Phase_Finale Pair'!D24</t>
  </si>
  <si>
    <t>xxx'Phase_Finale Pair'!D26</t>
  </si>
  <si>
    <t>xxx'Phase_Finale Pair'!D27</t>
  </si>
  <si>
    <t>xxx'Phase_Finale Pair'!D29</t>
  </si>
  <si>
    <t>xxx'Phase_Finale Pair'!D30</t>
  </si>
  <si>
    <t>xxx'Phase_Finale Pair'!D32</t>
  </si>
  <si>
    <t>xxx'Phase_Finale Pair'!D33</t>
  </si>
  <si>
    <t>xxx'Phase_Finale Pair'!D35</t>
  </si>
  <si>
    <t>xxx'Phase_Finale Pair'!D36</t>
  </si>
  <si>
    <t>xxx'Phase_Finale Pair'!D38</t>
  </si>
  <si>
    <t>xxx'Phase_Finale Pair'!D39</t>
  </si>
  <si>
    <t>xxx'Phase_Finale Pair'!D41</t>
  </si>
  <si>
    <t>xxx'Phase_Finale Pair'!D42</t>
  </si>
  <si>
    <t>xxx'Phase_Finale Pair'!D44</t>
  </si>
  <si>
    <t>xxx'Phase_Finale Pair'!D45</t>
  </si>
  <si>
    <t>xxx'Phase_Finale Pair'!D47</t>
  </si>
  <si>
    <t>xxx'Phase_Finale Pair'!D48</t>
  </si>
  <si>
    <t>xxx'Phase_Finale Pair'!D50</t>
  </si>
  <si>
    <t>xxx'Phase_Finale Pair'!D51</t>
  </si>
  <si>
    <t>xxx'Phase_Finale Pair'!D53</t>
  </si>
  <si>
    <t>xxx'Phase_Finale Pair'!D54</t>
  </si>
  <si>
    <t>xxx'Phase_Finale Pair'!D56</t>
  </si>
  <si>
    <t>xxx'Phase_Finale Pair'!D57</t>
  </si>
  <si>
    <t>xxx'Phase_Finale Pair'!D59</t>
  </si>
  <si>
    <t>xxx'Phase_Finale Pair'!D60</t>
  </si>
  <si>
    <t>xxx'Phase_Finale Pair'!D62</t>
  </si>
  <si>
    <t>xxx'Phase_Finale Pair'!D63</t>
  </si>
  <si>
    <t>xxx'Phase_Finale Pair'!D65</t>
  </si>
  <si>
    <t>xxx'Phase_Finale Pair'!D66</t>
  </si>
  <si>
    <t>xxx'Phase_Finale Pair'!D68</t>
  </si>
  <si>
    <t>xxx'Phase_Finale Pair'!D69</t>
  </si>
  <si>
    <t>xxx'Phase_Finale Pair'!D71</t>
  </si>
  <si>
    <t>xxx'Phase_Finale Pair'!D72</t>
  </si>
  <si>
    <t>xxx'Phase_Finale Pair'!G8</t>
  </si>
  <si>
    <t>xxx'Phase_Finale Pair'!G9</t>
  </si>
  <si>
    <t>xxx'Phase_Finale Pair'!G11</t>
  </si>
  <si>
    <t>xxx'Phase_Finale Pair'!G12</t>
  </si>
  <si>
    <t>xxx'Phase_Finale Pair'!G14</t>
  </si>
  <si>
    <t>xxx'Phase_Finale Pair'!G15</t>
  </si>
  <si>
    <t>xxx'Phase_Finale Pair'!G17</t>
  </si>
  <si>
    <t>xxx'Phase_Finale Pair'!G18</t>
  </si>
  <si>
    <t>xxx'Phase_Finale Pair'!G20</t>
  </si>
  <si>
    <t>xxx'Phase_Finale Pair'!G21</t>
  </si>
  <si>
    <t>xxx'Phase_Finale Pair'!G23</t>
  </si>
  <si>
    <t>xxx'Phase_Finale Pair'!G24</t>
  </si>
  <si>
    <t>xxx'Phase_Finale Pair'!G26</t>
  </si>
  <si>
    <t>xxx'Phase_Finale Pair'!G27</t>
  </si>
  <si>
    <t>xxx'Phase_Finale Pair'!G29</t>
  </si>
  <si>
    <t>xxx'Phase_Finale Pair'!G30</t>
  </si>
  <si>
    <t>xxx'Phase_Finale Pair'!G32</t>
  </si>
  <si>
    <t>xxx'Phase_Finale Pair'!G33</t>
  </si>
  <si>
    <t>xxx'Phase_Finale Pair'!G35</t>
  </si>
  <si>
    <t>xxx'Phase_Finale Pair'!G36</t>
  </si>
  <si>
    <t>xxx'Phase_Finale Pair'!G38</t>
  </si>
  <si>
    <t>xxx'Phase_Finale Pair'!G39</t>
  </si>
  <si>
    <t>xxx'Phase_Finale Pair'!G41</t>
  </si>
  <si>
    <t>xxx'Phase_Finale Pair'!G42</t>
  </si>
  <si>
    <t>xxx'Phase_Finale Pair'!G44</t>
  </si>
  <si>
    <t>xxx'Phase_Finale Pair'!G45</t>
  </si>
  <si>
    <t>xxx'Phase_Finale Pair'!G47</t>
  </si>
  <si>
    <t>xxx'Phase_Finale Pair'!G48</t>
  </si>
  <si>
    <t>xxx'Phase_Finale Pair'!G50</t>
  </si>
  <si>
    <t>xxx'Phase_Finale Pair'!G51</t>
  </si>
  <si>
    <t>xxx'Phase_Finale Pair'!G53</t>
  </si>
  <si>
    <t>xxx'Phase_Finale Pair'!G54</t>
  </si>
  <si>
    <t>xxx'Phase_Finale Pair'!G56</t>
  </si>
  <si>
    <t>xxx'Phase_Finale Pair'!G57</t>
  </si>
  <si>
    <t>xxx'Phase_Finale Pair'!G59</t>
  </si>
  <si>
    <t>xxx'Phase_Finale Pair'!G60</t>
  </si>
  <si>
    <t>xxx'Phase_Finale Pair'!G62</t>
  </si>
  <si>
    <t>xxx'Phase_Finale Pair'!G63</t>
  </si>
  <si>
    <t>xxx'Phase_Finale Pair'!G65</t>
  </si>
  <si>
    <t>xxx'Phase_Finale Pair'!G66</t>
  </si>
  <si>
    <t>xxx'Phase_Finale Pair'!G68</t>
  </si>
  <si>
    <t>xxx'Phase_Finale Pair'!G69</t>
  </si>
  <si>
    <t>xxx'Phase_Finale Pair'!G71</t>
  </si>
  <si>
    <t>xxx'Phase_Finale Pair'!G72</t>
  </si>
  <si>
    <t>xxx'Phase_Finale Pair'!J8</t>
  </si>
  <si>
    <t>xxx'Phase_Finale Pair'!J9</t>
  </si>
  <si>
    <t>xxx'Phase_Finale Pair'!J11</t>
  </si>
  <si>
    <t>xxx'Phase_Finale Pair'!J12</t>
  </si>
  <si>
    <t>xxx'Phase_Finale Pair'!J14</t>
  </si>
  <si>
    <t>xxx'Phase_Finale Pair'!J15</t>
  </si>
  <si>
    <t>xxx'Phase_Finale Pair'!J17</t>
  </si>
  <si>
    <t>xxx'Phase_Finale Pair'!J18</t>
  </si>
  <si>
    <t>xxx'Phase_Finale Pair'!J20</t>
  </si>
  <si>
    <t>xxx'Phase_Finale Pair'!J21</t>
  </si>
  <si>
    <t>xxx'Phase_Finale Pair'!J23</t>
  </si>
  <si>
    <t>xxx'Phase_Finale Pair'!J24</t>
  </si>
  <si>
    <t>xxx'Phase_Finale Pair'!J26</t>
  </si>
  <si>
    <t>xxx'Phase_Finale Pair'!J27</t>
  </si>
  <si>
    <t>xxx'Phase_Finale Pair'!J29</t>
  </si>
  <si>
    <t>xxx'Phase_Finale Pair'!J30</t>
  </si>
  <si>
    <t>xxx'Phase_Finale Pair'!J32</t>
  </si>
  <si>
    <t>xxx'Phase_Finale Pair'!J33</t>
  </si>
  <si>
    <t>xxx'Phase_Finale Pair'!J35</t>
  </si>
  <si>
    <t>xxx'Phase_Finale Pair'!J36</t>
  </si>
  <si>
    <t>xxx'Phase_Finale Pair'!J38</t>
  </si>
  <si>
    <t>xxx'Phase_Finale Pair'!J39</t>
  </si>
  <si>
    <t>xxx'Phase_Finale Pair'!J41</t>
  </si>
  <si>
    <t>xxx'Phase_Finale Pair'!J42</t>
  </si>
  <si>
    <t>xxx'Phase_Finale Pair'!J44</t>
  </si>
  <si>
    <t>xxx'Phase_Finale Pair'!J45</t>
  </si>
  <si>
    <t>xxx'Phase_Finale Pair'!J47</t>
  </si>
  <si>
    <t>xxx'Phase_Finale Pair'!J48</t>
  </si>
  <si>
    <t>xxx'Phase_Finale Pair'!J50</t>
  </si>
  <si>
    <t>xxx'Phase_Finale Pair'!J51</t>
  </si>
  <si>
    <t>xxx'Phase_Finale Pair'!J53</t>
  </si>
  <si>
    <t>xxx'Phase_Finale Pair'!J54</t>
  </si>
  <si>
    <t>xxx'Phase_Finale Pair'!J56</t>
  </si>
  <si>
    <t>xxx'Phase_Finale Pair'!J57</t>
  </si>
  <si>
    <t>xxx'Phase_Finale Pair'!J59</t>
  </si>
  <si>
    <t>xxx'Phase_Finale Pair'!J60</t>
  </si>
  <si>
    <t>xxx'Phase_Finale Pair'!J62</t>
  </si>
  <si>
    <t>xxx'Phase_Finale Pair'!J63</t>
  </si>
  <si>
    <t>xxx'Phase_Finale Pair'!J65</t>
  </si>
  <si>
    <t>xxx'Phase_Finale Pair'!J66</t>
  </si>
  <si>
    <t>xxx'Phase_Finale Pair'!J68</t>
  </si>
  <si>
    <t>xxx'Phase_Finale Pair'!J69</t>
  </si>
  <si>
    <t>xxx'Phase_Finale Pair'!J71</t>
  </si>
  <si>
    <t>xxx'Phase_Finale Pair'!J72</t>
  </si>
  <si>
    <t>Duel 1</t>
  </si>
  <si>
    <t>Duel 2</t>
  </si>
  <si>
    <t>Duel 3</t>
  </si>
  <si>
    <t>PHASES IMPAIRES</t>
  </si>
  <si>
    <t>Numéro de la première cible :   ==&gt;</t>
  </si>
  <si>
    <t>Ordre</t>
  </si>
  <si>
    <t>PARIS</t>
  </si>
  <si>
    <t>REIMS</t>
  </si>
  <si>
    <t>STRASBOURG</t>
  </si>
  <si>
    <t>Classement qualifications</t>
  </si>
  <si>
    <t xml:space="preserve">Etablissement </t>
  </si>
  <si>
    <t>Score</t>
    <phoneticPr fontId="12" type="noConversion"/>
  </si>
  <si>
    <t>Finale Or</t>
  </si>
  <si>
    <t>CLASSEMENT FINAL</t>
    <phoneticPr fontId="10" type="noConversion"/>
  </si>
  <si>
    <t>Cible</t>
  </si>
  <si>
    <t>Score</t>
  </si>
  <si>
    <t>Bar.</t>
  </si>
  <si>
    <t>ETABLISSEMENT</t>
  </si>
  <si>
    <t>ACADEMIE</t>
  </si>
  <si>
    <t>1er</t>
    <phoneticPr fontId="12" type="noConversion"/>
  </si>
  <si>
    <t>2ème</t>
    <phoneticPr fontId="12" type="noConversion"/>
  </si>
  <si>
    <t>3ème</t>
    <phoneticPr fontId="12" type="noConversion"/>
  </si>
  <si>
    <t>Finale Bronze</t>
  </si>
  <si>
    <t>4ème</t>
    <phoneticPr fontId="12" type="noConversion"/>
  </si>
  <si>
    <t>5ème</t>
    <phoneticPr fontId="12" type="noConversion"/>
  </si>
  <si>
    <t>6ème</t>
  </si>
  <si>
    <t>7ème</t>
  </si>
  <si>
    <t>8ème</t>
  </si>
  <si>
    <t xml:space="preserve"> </t>
  </si>
  <si>
    <t>9ème</t>
  </si>
  <si>
    <t>10ème</t>
  </si>
  <si>
    <t>11ème</t>
  </si>
  <si>
    <t>12ème</t>
  </si>
  <si>
    <t>13ème</t>
  </si>
  <si>
    <t>14ème</t>
  </si>
  <si>
    <t>15ème</t>
  </si>
  <si>
    <t>16ème</t>
  </si>
  <si>
    <t>17ème</t>
  </si>
  <si>
    <t>18ème</t>
  </si>
  <si>
    <t>19ème</t>
  </si>
  <si>
    <t>20ème</t>
  </si>
  <si>
    <t>21ème</t>
  </si>
  <si>
    <t>22ème</t>
  </si>
  <si>
    <t>23ème</t>
  </si>
  <si>
    <t>24ème</t>
  </si>
  <si>
    <t>Table_acad</t>
  </si>
  <si>
    <t>Libellé</t>
  </si>
  <si>
    <t>Tab-etab-ville</t>
  </si>
  <si>
    <t>Etab</t>
  </si>
  <si>
    <t>Acad</t>
  </si>
  <si>
    <t>1er Duel</t>
  </si>
  <si>
    <t>2ème Duel</t>
  </si>
  <si>
    <t>3ème Duel</t>
  </si>
  <si>
    <t>Duel de la place 1 à 4</t>
  </si>
  <si>
    <t>Duel de la place 5 à 8</t>
  </si>
  <si>
    <t>Duel pour la 5ème place</t>
  </si>
  <si>
    <t>Duel pour la 7ème place</t>
  </si>
  <si>
    <t>Duel de la place 9 à 16</t>
  </si>
  <si>
    <t>Duel de la place 9 à 12</t>
  </si>
  <si>
    <t>Duel pour la 9ème place</t>
  </si>
  <si>
    <t>Duel pour la 11ème place</t>
  </si>
  <si>
    <t>Duel de la place 13 à 16</t>
  </si>
  <si>
    <t>Duel pour la 13ème place</t>
  </si>
  <si>
    <t>Duel pour la 15ème place</t>
  </si>
  <si>
    <t>Duel de la place 17 à 24</t>
  </si>
  <si>
    <t>Duel de la place 17 à 20</t>
  </si>
  <si>
    <t>Duel pour la 17ème place</t>
  </si>
  <si>
    <t>Duel pour la 19ème place</t>
  </si>
  <si>
    <t>Duel de la place 21 à 24</t>
  </si>
  <si>
    <t>Duel pour la 21ème place</t>
  </si>
  <si>
    <t>Duel pour la 23ème place</t>
  </si>
  <si>
    <t>Duels de la place 1 à 8</t>
  </si>
  <si>
    <t>index</t>
  </si>
  <si>
    <t>code indirect</t>
  </si>
  <si>
    <t>D1 Cible</t>
  </si>
  <si>
    <t xml:space="preserve"> D1 Etab</t>
  </si>
  <si>
    <t>D1 Adv</t>
  </si>
  <si>
    <t>D2 Cible</t>
  </si>
  <si>
    <t xml:space="preserve"> D2 Etab</t>
  </si>
  <si>
    <t>D2 Adv</t>
  </si>
  <si>
    <t>D3 Cible</t>
  </si>
  <si>
    <t xml:space="preserve"> D3 Etab</t>
  </si>
  <si>
    <t>D3 Adv</t>
  </si>
  <si>
    <t>Tableau indirect IMPRESSION</t>
  </si>
  <si>
    <t>F</t>
  </si>
  <si>
    <t>N° AS</t>
  </si>
  <si>
    <t>Marqueur</t>
  </si>
  <si>
    <t>Entrainement</t>
  </si>
  <si>
    <t>Médaille de Bronze</t>
  </si>
  <si>
    <t>ATTENTION, faire un collage Spécial en VALEURS dans la feuille LISTINGS</t>
  </si>
  <si>
    <t>AIX-MARSEILLE</t>
  </si>
  <si>
    <t>BESANCON</t>
  </si>
  <si>
    <t>BORDEAUX</t>
  </si>
  <si>
    <t>CAEN</t>
  </si>
  <si>
    <t>CLERMONT-FERRAND</t>
  </si>
  <si>
    <t>CORSE</t>
  </si>
  <si>
    <t>CRETEIL</t>
  </si>
  <si>
    <t>DIJON</t>
  </si>
  <si>
    <t>GRENOBLE</t>
  </si>
  <si>
    <t>LILLE</t>
  </si>
  <si>
    <t>LYON</t>
  </si>
  <si>
    <t>MONTPELLIER</t>
  </si>
  <si>
    <t>NANCY-METZ</t>
  </si>
  <si>
    <t>NANTES</t>
  </si>
  <si>
    <t>ORLEANS-TOURS</t>
  </si>
  <si>
    <t>POITIERS</t>
  </si>
  <si>
    <t>RENNES</t>
  </si>
  <si>
    <t>ROUEN</t>
  </si>
  <si>
    <t>TOULOUSE</t>
  </si>
  <si>
    <t>VERSAILLES</t>
  </si>
  <si>
    <t>GUADELOUPE</t>
  </si>
  <si>
    <t>GUYANNE</t>
  </si>
  <si>
    <t>MARTINIQUE</t>
  </si>
  <si>
    <t>REUNION</t>
  </si>
  <si>
    <t>NLLE CALEDONIE</t>
  </si>
  <si>
    <t>MAYOTTE</t>
  </si>
  <si>
    <t>Blasons</t>
  </si>
  <si>
    <t>CME</t>
  </si>
  <si>
    <t>LME</t>
  </si>
  <si>
    <t>SP</t>
  </si>
  <si>
    <t>CMX</t>
  </si>
  <si>
    <t>LMX</t>
  </si>
  <si>
    <t>QUALIFICATIONS
Affectation sur les cibles</t>
  </si>
  <si>
    <r>
      <rPr>
        <b/>
        <sz val="10"/>
        <color indexed="10"/>
        <rFont val="Arial"/>
        <family val="2"/>
      </rPr>
      <t xml:space="preserve">NB </t>
    </r>
    <r>
      <rPr>
        <sz val="10"/>
        <rFont val="Arial"/>
        <family val="2"/>
      </rPr>
      <t>: Ne pas modifier le contenu de ces deux listes</t>
    </r>
  </si>
  <si>
    <t>N°Licence</t>
  </si>
  <si>
    <t>Clé etab-ville</t>
  </si>
  <si>
    <t>Num AS</t>
  </si>
  <si>
    <t>N°Lic form</t>
  </si>
  <si>
    <t>Cat</t>
  </si>
  <si>
    <t xml:space="preserve">Volée 1  </t>
  </si>
  <si>
    <t>CUMUL</t>
  </si>
  <si>
    <t>SCORES à afficher</t>
  </si>
  <si>
    <t xml:space="preserve">Volée 2  </t>
  </si>
  <si>
    <t xml:space="preserve">Volée 3  </t>
  </si>
  <si>
    <t xml:space="preserve">Volée 4  </t>
  </si>
  <si>
    <t xml:space="preserve">Volée 5  </t>
  </si>
  <si>
    <t xml:space="preserve">Volée 6  </t>
  </si>
  <si>
    <t>5è Volée</t>
  </si>
  <si>
    <t>Total (volée 5)</t>
  </si>
  <si>
    <t>Total (volée 6)</t>
  </si>
  <si>
    <t>Naissance</t>
  </si>
  <si>
    <t>NOM  -  PRENOM</t>
  </si>
  <si>
    <t>6è Volée</t>
  </si>
  <si>
    <t>TOTAL de l' EQUIPE</t>
  </si>
  <si>
    <t>Volée 1</t>
  </si>
  <si>
    <t>Volée 2</t>
  </si>
  <si>
    <t>Volée 3</t>
  </si>
  <si>
    <t>Volée 4</t>
  </si>
  <si>
    <t>Volée 5</t>
  </si>
  <si>
    <t>Cumul =&gt;</t>
  </si>
  <si>
    <t>TOTAL de l'équipe à afficher sur le scoreur à CHAQUE VOLEE</t>
  </si>
  <si>
    <t>Volée 6</t>
  </si>
  <si>
    <t>Modifications</t>
  </si>
  <si>
    <t>Version</t>
  </si>
  <si>
    <t>nouvelle feuille de cible par équipe (tt équipe sur même) cible</t>
  </si>
  <si>
    <t>Modification du menu</t>
  </si>
  <si>
    <t>Indiv</t>
  </si>
  <si>
    <t>Saisie par EQUIPE</t>
  </si>
  <si>
    <t>Contrôle Tot Ind.</t>
  </si>
  <si>
    <t>Résultats Individuels des tirs de qualification</t>
  </si>
  <si>
    <t>V5-2</t>
  </si>
  <si>
    <t>mise en place de la feuille de résultats indiv des qualifs</t>
  </si>
  <si>
    <t>corrections bug impression sur version de mise en page</t>
  </si>
  <si>
    <t>ajout de boutons pour retour au menu</t>
  </si>
  <si>
    <t>création du fichier pour le bac (podiums)</t>
  </si>
  <si>
    <t>V5-3</t>
  </si>
  <si>
    <t>V5-4</t>
  </si>
  <si>
    <t>Correction des bugs de l'impression sous excel 2007 (duels)</t>
  </si>
  <si>
    <t>V5-5</t>
  </si>
  <si>
    <t>Correction Bug feuille de marque des qualifs decalage des noms des archers en V4-V5 et V6</t>
  </si>
  <si>
    <t>V5-6</t>
  </si>
  <si>
    <t>Modification feuille des qualifs , ajout tableau récapitulatif des scores indiv.</t>
  </si>
  <si>
    <t>V5-7</t>
  </si>
  <si>
    <t>correction bug fiches de marques pour 23 équipes</t>
  </si>
  <si>
    <t>V5-8</t>
  </si>
  <si>
    <t>Modification des champs d'importation pour conformité avec les LP dans Opuss en cours</t>
  </si>
  <si>
    <t>Non</t>
  </si>
  <si>
    <t>Yoann</t>
  </si>
  <si>
    <t>Eva</t>
  </si>
  <si>
    <t>321</t>
  </si>
  <si>
    <t>322</t>
  </si>
  <si>
    <t>323</t>
  </si>
  <si>
    <t>324</t>
  </si>
  <si>
    <t>325</t>
  </si>
  <si>
    <t>326</t>
  </si>
  <si>
    <t>327</t>
  </si>
  <si>
    <t>328</t>
  </si>
  <si>
    <t>329</t>
  </si>
  <si>
    <t>330</t>
  </si>
  <si>
    <t>331</t>
  </si>
  <si>
    <t>332</t>
  </si>
  <si>
    <t>333</t>
  </si>
  <si>
    <t>334</t>
  </si>
  <si>
    <t>335</t>
  </si>
  <si>
    <t>336</t>
  </si>
  <si>
    <t>337</t>
  </si>
  <si>
    <t>338</t>
  </si>
  <si>
    <t>339</t>
  </si>
  <si>
    <t>340</t>
  </si>
  <si>
    <t>Accompagnateur</t>
  </si>
  <si>
    <t>Portable</t>
  </si>
  <si>
    <t>Signature</t>
  </si>
  <si>
    <t>V5-9</t>
  </si>
  <si>
    <t>Ajout de l'édition d'une feuille d'engagement</t>
  </si>
  <si>
    <t>Tir de Qualification :</t>
  </si>
  <si>
    <t>Date et Horaire</t>
  </si>
  <si>
    <t>2éme Duel</t>
  </si>
  <si>
    <t>2ème DUEL</t>
  </si>
  <si>
    <t>3ème DUEL</t>
  </si>
  <si>
    <t>QUALIFICATION</t>
  </si>
  <si>
    <t>Horaire prévisionnel des tirs</t>
  </si>
  <si>
    <t>Informations:</t>
  </si>
  <si>
    <t>Informations</t>
  </si>
  <si>
    <t>ATTENTION, il vous appartient de vérifier qu'il n'y ait pas eu de changements annoncés sur les panneaux d'affichage</t>
  </si>
  <si>
    <t>LYCEES PRO ETABLISSEMENT</t>
  </si>
  <si>
    <t>Valeur flèches</t>
  </si>
  <si>
    <t>Nbre de flèches</t>
  </si>
  <si>
    <t>M</t>
  </si>
  <si>
    <t>Score volée</t>
  </si>
  <si>
    <t>&lt;&lt; = à 20</t>
  </si>
  <si>
    <t>+</t>
  </si>
  <si>
    <t>Total intermédiaire</t>
  </si>
  <si>
    <t>Total final</t>
  </si>
  <si>
    <t>Score de qualification</t>
  </si>
  <si>
    <t>V2018-1</t>
  </si>
  <si>
    <t>Ajout nouvelle feuille de marque globale</t>
  </si>
  <si>
    <t>a faire</t>
  </si>
  <si>
    <t>export résultats d'equipes format TXT</t>
  </si>
  <si>
    <t>CHATEAUROUX</t>
  </si>
  <si>
    <t>I</t>
  </si>
  <si>
    <t>"</t>
  </si>
  <si>
    <t>= à 12</t>
  </si>
  <si>
    <t>Score Match</t>
  </si>
  <si>
    <t>Score Adversaire</t>
  </si>
  <si>
    <t>Gagné</t>
  </si>
  <si>
    <t>Perdu</t>
  </si>
  <si>
    <t>Compensation 
Sport PARTAGE</t>
  </si>
  <si>
    <r>
      <t xml:space="preserve">Signature du </t>
    </r>
    <r>
      <rPr>
        <b/>
        <sz val="14"/>
        <color theme="1"/>
        <rFont val="Calibri"/>
        <family val="2"/>
        <scheme val="minor"/>
      </rPr>
      <t>Jeune Coach</t>
    </r>
    <r>
      <rPr>
        <sz val="12"/>
        <color theme="1"/>
        <rFont val="Calibri"/>
        <family val="2"/>
        <scheme val="minor"/>
      </rPr>
      <t xml:space="preserve"> :</t>
    </r>
  </si>
  <si>
    <r>
      <t>Signature contre marque</t>
    </r>
    <r>
      <rPr>
        <b/>
        <sz val="12"/>
        <color theme="1"/>
        <rFont val="Calibri"/>
        <family val="2"/>
        <scheme val="minor"/>
      </rPr>
      <t xml:space="preserve"> </t>
    </r>
    <r>
      <rPr>
        <b/>
        <sz val="14"/>
        <color theme="1"/>
        <rFont val="Calibri"/>
        <family val="2"/>
        <scheme val="minor"/>
      </rPr>
      <t>équipe adverse</t>
    </r>
    <r>
      <rPr>
        <b/>
        <sz val="12"/>
        <color theme="1"/>
        <rFont val="Calibri"/>
        <family val="2"/>
        <scheme val="minor"/>
      </rPr>
      <t xml:space="preserve"> :</t>
    </r>
  </si>
  <si>
    <t xml:space="preserve">Match : </t>
  </si>
  <si>
    <t>Ville / Académie</t>
  </si>
  <si>
    <r>
      <t xml:space="preserve">Ville / </t>
    </r>
    <r>
      <rPr>
        <i/>
        <sz val="10"/>
        <rFont val="Arial"/>
        <family val="2"/>
      </rPr>
      <t>Académie</t>
    </r>
  </si>
  <si>
    <r>
      <t>Signature du</t>
    </r>
    <r>
      <rPr>
        <b/>
        <sz val="14"/>
        <rFont val="Arial"/>
        <family val="2"/>
      </rPr>
      <t xml:space="preserve"> Jeune Coach</t>
    </r>
    <r>
      <rPr>
        <sz val="12"/>
        <rFont val="Arial"/>
        <family val="2"/>
      </rPr>
      <t xml:space="preserve"> :</t>
    </r>
  </si>
  <si>
    <r>
      <t>Signature contre marque</t>
    </r>
    <r>
      <rPr>
        <b/>
        <sz val="14"/>
        <color theme="1"/>
        <rFont val="Calibri"/>
        <family val="2"/>
        <scheme val="minor"/>
      </rPr>
      <t xml:space="preserve"> équipe adverse </t>
    </r>
    <r>
      <rPr>
        <b/>
        <sz val="12"/>
        <color theme="1"/>
        <rFont val="Calibri"/>
        <family val="2"/>
        <scheme val="minor"/>
      </rPr>
      <t>:</t>
    </r>
  </si>
  <si>
    <t>conv Naiss</t>
  </si>
  <si>
    <t>Compensation Spt PARTAGE</t>
  </si>
  <si>
    <t>PTS_SP</t>
  </si>
  <si>
    <t>Laura</t>
  </si>
  <si>
    <t>Compensation SP</t>
  </si>
  <si>
    <t>Total SP+V1</t>
  </si>
  <si>
    <t>Total + V2</t>
  </si>
  <si>
    <t>Total + V3</t>
  </si>
  <si>
    <t>Total + V4</t>
  </si>
  <si>
    <t>V2018-6</t>
  </si>
  <si>
    <t>Nouvelles feuilles de marques Duel et Qualif  - Ajout des Pts de Compensation pour SP</t>
  </si>
  <si>
    <t>THIAIS</t>
  </si>
  <si>
    <t>SAINT JEAN DE LUZ</t>
  </si>
  <si>
    <t xml:space="preserve">SAINT AFFRIQUE </t>
  </si>
  <si>
    <t xml:space="preserve">LYC GUILLAUME APOLLINAIRE </t>
  </si>
  <si>
    <t xml:space="preserve">LP RAMIRO ARRUE </t>
  </si>
  <si>
    <t xml:space="preserve">LYC LGT SAINT GABRIEL </t>
  </si>
  <si>
    <t>Lic_N°</t>
  </si>
  <si>
    <t>PRO</t>
  </si>
  <si>
    <t>N°Lic</t>
  </si>
  <si>
    <t>Pro</t>
  </si>
  <si>
    <t>V2018-7</t>
  </si>
  <si>
    <t>Ajout de la filière PRO dans la feuille d'engagement</t>
  </si>
  <si>
    <t>T40</t>
  </si>
  <si>
    <t>Equi PRO</t>
  </si>
  <si>
    <t>PRO EQUI</t>
  </si>
  <si>
    <t>V2018-8</t>
  </si>
  <si>
    <t>Ajout de la filière PRO dans table podium</t>
  </si>
  <si>
    <t xml:space="preserve">DOLE </t>
  </si>
  <si>
    <t>FLAVIGNY SUR MOSELLE</t>
  </si>
  <si>
    <t>Axel</t>
  </si>
  <si>
    <t>Mathieu</t>
  </si>
  <si>
    <t xml:space="preserve">NANTES </t>
  </si>
  <si>
    <t>Valentin</t>
  </si>
  <si>
    <t>Auguste</t>
  </si>
  <si>
    <t>Rozenn</t>
  </si>
  <si>
    <t>GRANDE-SYNTHE</t>
  </si>
  <si>
    <t>Adryan</t>
  </si>
  <si>
    <t>Tiphaine</t>
  </si>
  <si>
    <t>LA ROCHE SUR YON</t>
  </si>
  <si>
    <t>Davia</t>
  </si>
  <si>
    <t>Roman</t>
  </si>
  <si>
    <t xml:space="preserve">ST CYR L'ECOLE </t>
  </si>
  <si>
    <t>Oceane</t>
  </si>
  <si>
    <t>Loris</t>
  </si>
  <si>
    <t>MENTON</t>
  </si>
  <si>
    <t>Antoine</t>
  </si>
  <si>
    <t>LAMBALLE</t>
  </si>
  <si>
    <t>Soa</t>
  </si>
  <si>
    <t xml:space="preserve">CHANTILLY </t>
  </si>
  <si>
    <t>Mathys</t>
  </si>
  <si>
    <t>Marianne</t>
  </si>
  <si>
    <t>Audrey</t>
  </si>
  <si>
    <t>Vanessa</t>
  </si>
  <si>
    <t>Nina</t>
  </si>
  <si>
    <t>Dorian</t>
  </si>
  <si>
    <t>Manon</t>
  </si>
  <si>
    <t xml:space="preserve">EEA EREA </t>
  </si>
  <si>
    <t xml:space="preserve">LP MICHELET </t>
  </si>
  <si>
    <t xml:space="preserve">LYC DU NOORDOVER </t>
  </si>
  <si>
    <t xml:space="preserve">LA NATURE </t>
  </si>
  <si>
    <t xml:space="preserve">LA NATURAPOLIS CHATEAUROUX </t>
  </si>
  <si>
    <t>Adrien</t>
  </si>
  <si>
    <t>Filière PRO</t>
  </si>
  <si>
    <t>Place_Pro</t>
  </si>
  <si>
    <t>Code_EtabPRO</t>
  </si>
  <si>
    <t>PRO_Rang</t>
  </si>
  <si>
    <t>FILIERE PROFESSIONNELLE</t>
  </si>
  <si>
    <t>4ème</t>
  </si>
  <si>
    <t>Coach</t>
  </si>
  <si>
    <t>COACH</t>
  </si>
  <si>
    <t>Tour de Classement 1</t>
  </si>
  <si>
    <t>Tour de Classement 2</t>
  </si>
  <si>
    <t>Cla</t>
  </si>
  <si>
    <t>Pla</t>
  </si>
  <si>
    <t>1er TOUR</t>
  </si>
  <si>
    <t>2ème TOUR</t>
  </si>
  <si>
    <t>Duels de la place 9 à 12</t>
  </si>
  <si>
    <t>x</t>
  </si>
  <si>
    <t>Reclassement de la place 1 à 7</t>
  </si>
  <si>
    <t>Reclassement de la place 1 à 11</t>
  </si>
  <si>
    <t>cla</t>
  </si>
  <si>
    <t>Duel de la place 9 à 14</t>
  </si>
  <si>
    <t>WISSEMBOURG</t>
  </si>
  <si>
    <t>Lucas</t>
  </si>
  <si>
    <t>Arthur</t>
  </si>
  <si>
    <t>Théo</t>
  </si>
  <si>
    <t>Jade</t>
  </si>
  <si>
    <t>Lou</t>
  </si>
  <si>
    <t>Alexandre</t>
  </si>
  <si>
    <t>Sylvain</t>
  </si>
  <si>
    <t>Noah</t>
  </si>
  <si>
    <t>Mathilde</t>
  </si>
  <si>
    <t>Mathias</t>
  </si>
  <si>
    <t>Duel pour la place 1 à 7</t>
  </si>
  <si>
    <t>4ème</t>
    <phoneticPr fontId="12" type="noConversion"/>
  </si>
  <si>
    <t>Duel de la place 5 à 7</t>
  </si>
  <si>
    <t>Reclassement de la place 9 à 15</t>
  </si>
  <si>
    <t xml:space="preserve">SENS </t>
  </si>
  <si>
    <t>YZEURE</t>
  </si>
  <si>
    <t>Alexis</t>
  </si>
  <si>
    <t>Ryad</t>
  </si>
  <si>
    <t>Martin</t>
  </si>
  <si>
    <t>Maina</t>
  </si>
  <si>
    <t>Eléa</t>
  </si>
  <si>
    <t>Amin</t>
  </si>
  <si>
    <t xml:space="preserve">THOUARS </t>
  </si>
  <si>
    <t>Erin</t>
  </si>
  <si>
    <t>Elyza</t>
  </si>
  <si>
    <t>Oriana</t>
  </si>
  <si>
    <t>Remi</t>
  </si>
  <si>
    <t>Mathis</t>
  </si>
  <si>
    <t>Lyna</t>
  </si>
  <si>
    <t>William</t>
  </si>
  <si>
    <t>Anne-lyse</t>
  </si>
  <si>
    <t>Valentine</t>
  </si>
  <si>
    <t>Laure</t>
  </si>
  <si>
    <t>DINARD</t>
  </si>
  <si>
    <t>Anthonin</t>
  </si>
  <si>
    <t>Leeloo</t>
  </si>
  <si>
    <t>MIRECOURT</t>
  </si>
  <si>
    <t>Gauthier</t>
  </si>
  <si>
    <t>Leylou</t>
  </si>
  <si>
    <t>Elif</t>
  </si>
  <si>
    <t>Clementine</t>
  </si>
  <si>
    <t>Elie</t>
  </si>
  <si>
    <t>Justin</t>
  </si>
  <si>
    <t>Lara</t>
  </si>
  <si>
    <t>Johanne</t>
  </si>
  <si>
    <t>Romeo stephane michel</t>
  </si>
  <si>
    <t>Dorine</t>
  </si>
  <si>
    <t>Paul</t>
  </si>
  <si>
    <t>Ange</t>
  </si>
  <si>
    <t>Roxan</t>
  </si>
  <si>
    <t>Asseta</t>
  </si>
  <si>
    <t>Guillaume</t>
  </si>
  <si>
    <t xml:space="preserve">LYC MILITAIRE DE SAINT CYR </t>
  </si>
  <si>
    <t xml:space="preserve">LYC PIERRE ET MARIE CURIE </t>
  </si>
  <si>
    <t xml:space="preserve">LPO PASTEUR MONT ROLAND </t>
  </si>
  <si>
    <t xml:space="preserve">LYC JEAN MOULIN </t>
  </si>
  <si>
    <t xml:space="preserve">LYC CATHERINE ET RAYMOND JANOT </t>
  </si>
  <si>
    <t xml:space="preserve">LPO HENRI AVRIL </t>
  </si>
  <si>
    <t xml:space="preserve">LYC CLAUDE MONET </t>
  </si>
  <si>
    <t xml:space="preserve">LPO YVON BOURGES </t>
  </si>
  <si>
    <t xml:space="preserve">LYC JEAN ROSTAND </t>
  </si>
  <si>
    <t xml:space="preserve">LYC JEAN BAPTISE VUILLAUME </t>
  </si>
  <si>
    <t xml:space="preserve">LPO JEAN MONNET </t>
  </si>
  <si>
    <t xml:space="preserve">LPO STANISLAS </t>
  </si>
  <si>
    <t xml:space="preserve">LYC MAURICE RAVEL </t>
  </si>
  <si>
    <t>NOM65</t>
  </si>
  <si>
    <t>NOM66</t>
  </si>
  <si>
    <t>NOM67</t>
  </si>
  <si>
    <t>NOM68</t>
  </si>
  <si>
    <t>NOM69</t>
  </si>
  <si>
    <t>NOM70</t>
  </si>
  <si>
    <t>NOM71</t>
  </si>
  <si>
    <t>NOM72</t>
  </si>
  <si>
    <t>NOM74</t>
  </si>
  <si>
    <t>NOM75</t>
  </si>
  <si>
    <t>NOM76</t>
  </si>
  <si>
    <t>NOM77</t>
  </si>
  <si>
    <t>NOM79</t>
  </si>
  <si>
    <t>NOM80</t>
  </si>
  <si>
    <t>NOM81</t>
  </si>
  <si>
    <t>NOM82</t>
  </si>
  <si>
    <t>NOM83</t>
  </si>
  <si>
    <t>NOM84</t>
  </si>
  <si>
    <t>NOM85</t>
  </si>
  <si>
    <t>NOM86</t>
  </si>
  <si>
    <t>NOM87</t>
  </si>
  <si>
    <t>NOM88</t>
  </si>
  <si>
    <t>NOM89</t>
  </si>
  <si>
    <t>NOM90</t>
  </si>
  <si>
    <t>NOM91</t>
  </si>
  <si>
    <t>NOM92</t>
  </si>
  <si>
    <t>NOM93</t>
  </si>
  <si>
    <t>NOM94</t>
  </si>
  <si>
    <t>NOM95</t>
  </si>
  <si>
    <t>NOM96</t>
  </si>
  <si>
    <t>NOM97</t>
  </si>
  <si>
    <t>NOM98</t>
  </si>
  <si>
    <t>NOM99</t>
  </si>
  <si>
    <t>NOM100</t>
  </si>
  <si>
    <t>NOM101</t>
  </si>
  <si>
    <t>NOM102</t>
  </si>
  <si>
    <t>NOM103</t>
  </si>
  <si>
    <t>NOM104</t>
  </si>
  <si>
    <t>NOM105</t>
  </si>
  <si>
    <t>NOM106</t>
  </si>
  <si>
    <t>NOM107</t>
  </si>
  <si>
    <t>NOM108</t>
  </si>
  <si>
    <t>NOM109</t>
  </si>
  <si>
    <t>NOM110</t>
  </si>
  <si>
    <t>NOM111</t>
  </si>
  <si>
    <t>NOM112</t>
  </si>
  <si>
    <t>NOM113</t>
  </si>
  <si>
    <t>NOM114</t>
  </si>
  <si>
    <t>NOM115</t>
  </si>
  <si>
    <t>NOM116</t>
  </si>
  <si>
    <t>NOM117</t>
  </si>
  <si>
    <t>NOM118</t>
  </si>
  <si>
    <t>NOM119</t>
  </si>
  <si>
    <t>NOM120</t>
  </si>
  <si>
    <t>NOM121</t>
  </si>
  <si>
    <t>NOM122</t>
  </si>
  <si>
    <t>NOM123</t>
  </si>
  <si>
    <t>NOM124</t>
  </si>
  <si>
    <t>NOM125</t>
  </si>
  <si>
    <t>NOM126</t>
  </si>
  <si>
    <t>NOM127</t>
  </si>
  <si>
    <t>NOM128</t>
  </si>
  <si>
    <t>NOM129</t>
  </si>
  <si>
    <t>NOM130</t>
  </si>
  <si>
    <t>NOM131</t>
  </si>
  <si>
    <t>NOM132</t>
  </si>
  <si>
    <t>NOM133</t>
  </si>
  <si>
    <t>NOM134</t>
  </si>
  <si>
    <t>NOM135</t>
  </si>
  <si>
    <t>NOM136</t>
  </si>
  <si>
    <t>NOM137</t>
  </si>
  <si>
    <t>NOM138</t>
  </si>
  <si>
    <t>NOM139</t>
  </si>
  <si>
    <t>NOM140</t>
  </si>
  <si>
    <t>NOM141</t>
  </si>
  <si>
    <t>NOM142</t>
  </si>
  <si>
    <t>NOM143</t>
  </si>
  <si>
    <t>NOM144</t>
  </si>
  <si>
    <t>NOM145</t>
  </si>
  <si>
    <t>NOM146</t>
  </si>
  <si>
    <t>Cd colonne</t>
  </si>
  <si>
    <t>Categ</t>
  </si>
  <si>
    <t>Ref SENIOR 1</t>
  </si>
  <si>
    <t>Interdit</t>
  </si>
  <si>
    <t>INT</t>
  </si>
  <si>
    <t>Limite Senior 1</t>
  </si>
  <si>
    <t>Sc Final</t>
  </si>
  <si>
    <t>Duels de la place 1 à 9</t>
  </si>
  <si>
    <t>Duels de la place 1 à 10</t>
  </si>
  <si>
    <t>Collèges Mixtes Etablissement</t>
  </si>
  <si>
    <t>Collèges Mixtes Excellence</t>
  </si>
  <si>
    <t>Collèges Mixtes Sport partagé</t>
  </si>
  <si>
    <t>Lycées Mixtes Etablissement</t>
  </si>
  <si>
    <t>Lycées Mixtes Excellence</t>
  </si>
  <si>
    <t>Lycées Mixtes Sport partagé</t>
  </si>
  <si>
    <r>
      <rPr>
        <b/>
        <sz val="11"/>
        <rFont val="Arial"/>
        <family val="2"/>
      </rPr>
      <t>J2</t>
    </r>
    <r>
      <rPr>
        <sz val="10"/>
        <rFont val="Arial"/>
        <family val="2"/>
      </rPr>
      <t xml:space="preserve"> 13:30-14:20  1</t>
    </r>
    <r>
      <rPr>
        <vertAlign val="superscript"/>
        <sz val="10"/>
        <rFont val="Arial"/>
        <family val="2"/>
      </rPr>
      <t>er</t>
    </r>
    <r>
      <rPr>
        <sz val="10"/>
        <rFont val="Arial"/>
        <family val="2"/>
      </rPr>
      <t xml:space="preserve"> DUEL</t>
    </r>
  </si>
  <si>
    <r>
      <rPr>
        <b/>
        <sz val="11"/>
        <rFont val="Arial"/>
        <family val="2"/>
      </rPr>
      <t>J2</t>
    </r>
    <r>
      <rPr>
        <sz val="10"/>
        <rFont val="Arial"/>
        <family val="2"/>
      </rPr>
      <t xml:space="preserve"> 8:30-9:00 Ent. 9:00-10:30 Tirs Qual.</t>
    </r>
  </si>
  <si>
    <t>Trélissac</t>
  </si>
  <si>
    <t>Sens</t>
  </si>
  <si>
    <t>Château-du-Loir</t>
  </si>
  <si>
    <t>Quimperlé</t>
  </si>
  <si>
    <t>EEA Etablissement régional d'enseignement adapté Joël Jeannot 1</t>
  </si>
  <si>
    <t>LPO Lycée Catherine et Raymond Janot 1</t>
  </si>
  <si>
    <t>LP Lycée professionnel Maréchal Leclerc de Hauteclocque 1</t>
  </si>
  <si>
    <t>LP Lycée professionnel Roz Glas 1</t>
  </si>
  <si>
    <r>
      <rPr>
        <b/>
        <sz val="11"/>
        <rFont val="Arial"/>
        <family val="2"/>
      </rPr>
      <t>J2</t>
    </r>
    <r>
      <rPr>
        <sz val="10"/>
        <rFont val="Arial"/>
        <family val="2"/>
      </rPr>
      <t xml:space="preserve"> 14:30-15:20 2</t>
    </r>
    <r>
      <rPr>
        <vertAlign val="superscript"/>
        <sz val="10"/>
        <rFont val="Arial"/>
        <family val="2"/>
      </rPr>
      <t>ème</t>
    </r>
    <r>
      <rPr>
        <sz val="10"/>
        <rFont val="Arial"/>
        <family val="2"/>
      </rPr>
      <t xml:space="preserve"> DUEL</t>
    </r>
  </si>
  <si>
    <t>Aurec-sur-Loire</t>
  </si>
  <si>
    <t>COL Collège des Gorges de la Loire 1</t>
  </si>
  <si>
    <t>J3 10-10:50 Match pl. 5 à +  ETAB - EX</t>
  </si>
  <si>
    <r>
      <t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t>
    </r>
    <r>
      <rPr>
        <u/>
        <sz val="10"/>
        <rFont val="Arial"/>
        <family val="2"/>
      </rPr>
      <t xml:space="preserve">ENTRAINEMENT LIBRE   en salle annexe </t>
    </r>
    <r>
      <rPr>
        <sz val="10"/>
        <rFont val="Arial"/>
        <family val="2"/>
      </rPr>
      <t xml:space="preserve">: Jour 2 de 8:30 à 17:45 Jour 3 de 9:30 à 10:30
</t>
    </r>
  </si>
  <si>
    <t>oui</t>
  </si>
  <si>
    <t>Collège Henri MartineauCoulonges-sur-l'Autize</t>
  </si>
  <si>
    <t>Collège Pierre Mendès FranceVic-en-Bigorre</t>
  </si>
  <si>
    <t>Collège Jacques DecourParis 9e</t>
  </si>
  <si>
    <t>Collège le RéflessoirBléré</t>
  </si>
  <si>
    <t>Collège les MûriersLe Mans</t>
  </si>
  <si>
    <t>Collège Louis BlancSaint-Maur-des-Fossés</t>
  </si>
  <si>
    <t>Collège Philippe CousteauBrienon-sur-Armançon</t>
  </si>
  <si>
    <t>Collège Charles DelaunayLusigny-sur-Barse</t>
  </si>
  <si>
    <t>Collège Croix de MetzToul</t>
  </si>
  <si>
    <t>Collège Simone VeilWassigny</t>
  </si>
  <si>
    <t>Collège Wenceslas CobergherBergues</t>
  </si>
  <si>
    <t>Collège des Gorges de la LoireAurec-sur-Loire</t>
  </si>
  <si>
    <t>Collège Jean ZayChambon-sur-Voueize</t>
  </si>
  <si>
    <t>V1</t>
  </si>
  <si>
    <t>V2</t>
  </si>
  <si>
    <t>V3</t>
  </si>
  <si>
    <t>V4</t>
  </si>
  <si>
    <t>Total PTS</t>
  </si>
  <si>
    <t>Pts SET</t>
  </si>
  <si>
    <t>Cumul Pts SET</t>
  </si>
  <si>
    <t>Flèches de Barrage</t>
  </si>
  <si>
    <t>GAGNANT</t>
  </si>
  <si>
    <t>PERDANT</t>
  </si>
  <si>
    <t>Plus proche du centre</t>
  </si>
  <si>
    <t>Visa Jeune Arbitre</t>
  </si>
  <si>
    <t xml:space="preserve">Total :   </t>
  </si>
  <si>
    <t>Equipe A</t>
  </si>
  <si>
    <r>
      <t xml:space="preserve">Equipe </t>
    </r>
    <r>
      <rPr>
        <b/>
        <sz val="16"/>
        <color theme="1"/>
        <rFont val="Calibri"/>
        <family val="2"/>
        <scheme val="minor"/>
      </rPr>
      <t xml:space="preserve">B  </t>
    </r>
    <r>
      <rPr>
        <sz val="16"/>
        <color theme="1"/>
        <rFont val="Calibri"/>
        <family val="2"/>
        <scheme val="minor"/>
      </rPr>
      <t xml:space="preserve">  </t>
    </r>
  </si>
  <si>
    <r>
      <t xml:space="preserve">Equipe </t>
    </r>
    <r>
      <rPr>
        <b/>
        <sz val="16"/>
        <color theme="1"/>
        <rFont val="Calibri"/>
        <family val="2"/>
        <scheme val="minor"/>
      </rPr>
      <t>A </t>
    </r>
    <r>
      <rPr>
        <sz val="16"/>
        <color theme="1"/>
        <rFont val="Calibri"/>
        <family val="2"/>
        <scheme val="minor"/>
      </rPr>
      <t xml:space="preserve"> </t>
    </r>
  </si>
  <si>
    <t>B =&gt;</t>
  </si>
  <si>
    <t>&lt;= A</t>
  </si>
  <si>
    <t xml:space="preserve">Feuille de marque - Tir de classement </t>
  </si>
  <si>
    <r>
      <rPr>
        <b/>
        <sz val="14"/>
        <rFont val="Arial"/>
        <family val="2"/>
      </rPr>
      <t xml:space="preserve">Composition de l'Equipe </t>
    </r>
    <r>
      <rPr>
        <b/>
        <sz val="18"/>
        <rFont val="Arial"/>
        <family val="2"/>
      </rPr>
      <t>A</t>
    </r>
  </si>
  <si>
    <t>Equipe B</t>
  </si>
  <si>
    <t>Détail pour le déroulé des matchs par set :  Annexe 6 de la fiche sport, page 20  ==&gt;   https://opuss.unss.org/article/74054</t>
  </si>
  <si>
    <r>
      <rPr>
        <b/>
        <sz val="14"/>
        <rFont val="Arial"/>
        <family val="2"/>
      </rPr>
      <t xml:space="preserve">Composition de l'Equipe </t>
    </r>
    <r>
      <rPr>
        <b/>
        <sz val="18"/>
        <rFont val="Arial"/>
        <family val="2"/>
      </rPr>
      <t>B</t>
    </r>
  </si>
  <si>
    <t>CLASSEMENT</t>
  </si>
  <si>
    <t>Matchs de CLASSEMENT</t>
  </si>
  <si>
    <t>5ème Place</t>
  </si>
  <si>
    <t>5 ème place</t>
  </si>
  <si>
    <t>9ème Place</t>
  </si>
  <si>
    <t>Classement pour la 9ème place en 2 DUELS GAGNANTS</t>
  </si>
  <si>
    <t>13 ème place</t>
  </si>
  <si>
    <t>Duel de la place 9 à 13</t>
  </si>
  <si>
    <t>11ème place</t>
  </si>
  <si>
    <t>DUELS Gagnés =&gt;</t>
  </si>
  <si>
    <t>calcul duels</t>
  </si>
  <si>
    <t>15ème place</t>
  </si>
  <si>
    <t>Etablissement / NOM</t>
  </si>
  <si>
    <t>Ville / PRENOM</t>
  </si>
  <si>
    <t>Académie / Licence</t>
  </si>
  <si>
    <t>Saisir dans la feuille Imp. Qualif</t>
  </si>
  <si>
    <t>19ème place</t>
  </si>
  <si>
    <t>Classement pour la 17ème place en 2 DUELS GAGNANTS</t>
  </si>
  <si>
    <t>17ème place</t>
  </si>
  <si>
    <t>Duel de la place 1 à 8</t>
  </si>
  <si>
    <t>Classement pour la 1ére place en 2 DUELS GAGNANTS</t>
  </si>
  <si>
    <t>VIDE</t>
  </si>
  <si>
    <t>Duel de la place 17 à 21</t>
  </si>
  <si>
    <t>Duel de la place 17 à20</t>
  </si>
  <si>
    <t>Comp SP</t>
  </si>
  <si>
    <t>SP : Compensation par volée :</t>
  </si>
  <si>
    <t>AF2</t>
  </si>
  <si>
    <t>Comp.SP par VOLEE</t>
  </si>
  <si>
    <t>C1-Coll1Ville1</t>
  </si>
  <si>
    <t>C8-Coll8Ville8</t>
  </si>
  <si>
    <t>C4-Coll4Ville4</t>
  </si>
  <si>
    <t>C5-Coll5Ville5</t>
  </si>
  <si>
    <t>C3-Coll3Ville3</t>
  </si>
  <si>
    <t>C6-Coll6Ville6</t>
  </si>
  <si>
    <t>C2-Coll2Ville2</t>
  </si>
  <si>
    <t>C7-Coll7Ville7</t>
  </si>
  <si>
    <t>C9-Coll9Ville9</t>
  </si>
  <si>
    <t>C12-Coll12Ville12</t>
  </si>
  <si>
    <t>C13-Coll13Ville13</t>
  </si>
  <si>
    <t>C11-Coll11Ville11</t>
  </si>
  <si>
    <t>C10-Coll10Ville10</t>
  </si>
  <si>
    <t>Vide</t>
  </si>
  <si>
    <t>Duel de la place 21 à 23</t>
  </si>
  <si>
    <t>23ème place</t>
  </si>
  <si>
    <t>20ème place</t>
  </si>
  <si>
    <t>L’Isle sur la Sorgue</t>
  </si>
  <si>
    <t>27 au 31 mars 2023</t>
  </si>
  <si>
    <t>de France de Tir à l'ARC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</si>
</sst>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quot; &quot;##&quot; &quot;##&quot; &quot;##&quot; &quot;##"/>
    <numFmt numFmtId="165" formatCode="_-* #,##0.00\ [$€]_-;\-* #,##0.00\ [$€]_-;_-* &quot;-&quot;??\ [$€]_-;_-@_-"/>
    <numFmt numFmtId="166" formatCode="d/m/yy;@"/>
    <numFmt numFmtId="167" formatCode="d\ mmmm\ yyyy"/>
    <numFmt numFmtId="168" formatCode="&quot; Fille : &quot;0"/>
    <numFmt numFmtId="169" formatCode="&quot; Garçon : &quot;0"/>
    <numFmt numFmtId="170" formatCode="00000"/>
    <numFmt numFmtId="171" formatCode="dd/mm/yy;@"/>
    <numFmt numFmtId="172" formatCode="&quot;Senior 2 : &quot;0"/>
  </numFmts>
  <fonts count="134" x14ac:knownFonts="1">
    <font>
      <sz val="10"/>
      <name val="Arial"/>
    </font>
    <font>
      <sz val="10"/>
      <name val="Arial"/>
      <family val="2"/>
    </font>
    <font>
      <b/>
      <sz val="10"/>
      <name val="Arial"/>
      <family val="2"/>
    </font>
    <font>
      <sz val="10"/>
      <color indexed="81"/>
      <name val="Tahoma"/>
      <family val="2"/>
    </font>
    <font>
      <b/>
      <sz val="10"/>
      <color indexed="81"/>
      <name val="Tahoma"/>
      <family val="2"/>
    </font>
    <font>
      <b/>
      <i/>
      <sz val="10"/>
      <name val="Arial"/>
      <family val="2"/>
    </font>
    <font>
      <b/>
      <sz val="11"/>
      <name val="Arial"/>
      <family val="2"/>
    </font>
    <font>
      <b/>
      <sz val="10"/>
      <name val="Times New Roman"/>
      <family val="1"/>
    </font>
    <font>
      <sz val="9"/>
      <name val="Arial"/>
      <family val="2"/>
    </font>
    <font>
      <b/>
      <sz val="12"/>
      <name val="Arial"/>
      <family val="2"/>
    </font>
    <font>
      <sz val="12"/>
      <name val="Arial"/>
      <family val="2"/>
    </font>
    <font>
      <b/>
      <sz val="14"/>
      <name val="Arial"/>
      <family val="2"/>
    </font>
    <font>
      <sz val="14"/>
      <name val="Arial"/>
      <family val="2"/>
    </font>
    <font>
      <b/>
      <sz val="16"/>
      <name val="Arial"/>
      <family val="2"/>
    </font>
    <font>
      <b/>
      <sz val="18"/>
      <name val="Arial"/>
      <family val="2"/>
    </font>
    <font>
      <sz val="10"/>
      <name val="Arial"/>
      <family val="2"/>
    </font>
    <font>
      <b/>
      <sz val="8"/>
      <name val="Times New Roman"/>
      <family val="1"/>
    </font>
    <font>
      <sz val="18"/>
      <name val="Arial"/>
      <family val="2"/>
    </font>
    <font>
      <sz val="8"/>
      <color indexed="81"/>
      <name val="Tahoma"/>
      <family val="2"/>
    </font>
    <font>
      <b/>
      <sz val="8"/>
      <color indexed="81"/>
      <name val="Tahoma"/>
      <family val="2"/>
    </font>
    <font>
      <sz val="14"/>
      <color indexed="81"/>
      <name val="Tahoma"/>
      <family val="2"/>
    </font>
    <font>
      <b/>
      <sz val="14"/>
      <color indexed="81"/>
      <name val="Tahoma"/>
      <family val="2"/>
    </font>
    <font>
      <u/>
      <sz val="14"/>
      <color indexed="81"/>
      <name val="Tahoma"/>
      <family val="2"/>
    </font>
    <font>
      <sz val="14"/>
      <name val="Arial"/>
      <family val="2"/>
    </font>
    <font>
      <b/>
      <sz val="8"/>
      <name val="Arial"/>
      <family val="2"/>
    </font>
    <font>
      <b/>
      <i/>
      <sz val="8"/>
      <name val="Arial"/>
      <family val="2"/>
    </font>
    <font>
      <b/>
      <i/>
      <sz val="12"/>
      <name val="Arial"/>
      <family val="2"/>
    </font>
    <font>
      <sz val="8"/>
      <name val="Arial"/>
      <family val="2"/>
    </font>
    <font>
      <b/>
      <sz val="9"/>
      <name val="Arial"/>
      <family val="2"/>
    </font>
    <font>
      <sz val="7"/>
      <name val="Arial"/>
      <family val="2"/>
    </font>
    <font>
      <sz val="12"/>
      <color indexed="10"/>
      <name val="Arial"/>
      <family val="2"/>
    </font>
    <font>
      <b/>
      <i/>
      <sz val="11"/>
      <name val="Arial"/>
      <family val="2"/>
    </font>
    <font>
      <b/>
      <sz val="20"/>
      <name val="Arial"/>
      <family val="2"/>
    </font>
    <font>
      <sz val="9"/>
      <name val="Arial"/>
      <family val="2"/>
    </font>
    <font>
      <sz val="8"/>
      <name val="Arial"/>
      <family val="2"/>
    </font>
    <font>
      <sz val="20"/>
      <name val="Arial"/>
      <family val="2"/>
    </font>
    <font>
      <i/>
      <sz val="16"/>
      <name val="Arial"/>
      <family val="2"/>
    </font>
    <font>
      <sz val="12"/>
      <name val="Arial"/>
      <family val="2"/>
    </font>
    <font>
      <b/>
      <i/>
      <sz val="8"/>
      <name val="Arial"/>
      <family val="2"/>
    </font>
    <font>
      <b/>
      <sz val="8"/>
      <name val="Arial"/>
      <family val="2"/>
    </font>
    <font>
      <sz val="10"/>
      <color indexed="10"/>
      <name val="Arial"/>
      <family val="2"/>
    </font>
    <font>
      <b/>
      <sz val="24"/>
      <color indexed="10"/>
      <name val="Arial"/>
      <family val="2"/>
    </font>
    <font>
      <b/>
      <sz val="12"/>
      <color indexed="12"/>
      <name val="Arial"/>
      <family val="2"/>
    </font>
    <font>
      <b/>
      <sz val="13"/>
      <color indexed="12"/>
      <name val="Arial"/>
      <family val="2"/>
    </font>
    <font>
      <b/>
      <sz val="22"/>
      <color indexed="10"/>
      <name val="Comic Sans MS"/>
      <family val="4"/>
    </font>
    <font>
      <b/>
      <sz val="20"/>
      <color indexed="10"/>
      <name val="Arial"/>
      <family val="2"/>
    </font>
    <font>
      <b/>
      <sz val="16"/>
      <color indexed="10"/>
      <name val="Arial"/>
      <family val="2"/>
    </font>
    <font>
      <b/>
      <sz val="12"/>
      <color indexed="10"/>
      <name val="Arial"/>
      <family val="2"/>
    </font>
    <font>
      <b/>
      <sz val="14"/>
      <color indexed="10"/>
      <name val="Arial"/>
      <family val="2"/>
    </font>
    <font>
      <i/>
      <sz val="9"/>
      <name val="Arial"/>
      <family val="2"/>
    </font>
    <font>
      <i/>
      <sz val="12"/>
      <name val="Arial"/>
      <family val="2"/>
    </font>
    <font>
      <i/>
      <sz val="14"/>
      <name val="Arial"/>
      <family val="2"/>
    </font>
    <font>
      <sz val="12"/>
      <color indexed="12"/>
      <name val="Arial"/>
      <family val="2"/>
    </font>
    <font>
      <b/>
      <sz val="10"/>
      <color indexed="10"/>
      <name val="Arial"/>
      <family val="2"/>
    </font>
    <font>
      <sz val="11"/>
      <name val="Arial"/>
      <family val="2"/>
    </font>
    <font>
      <sz val="10"/>
      <name val="Arial Narrow"/>
      <family val="2"/>
    </font>
    <font>
      <b/>
      <sz val="28"/>
      <color indexed="23"/>
      <name val="Arial"/>
      <family val="2"/>
    </font>
    <font>
      <b/>
      <sz val="28"/>
      <name val="Arial"/>
      <family val="2"/>
    </font>
    <font>
      <sz val="10"/>
      <color indexed="12"/>
      <name val="Times New Roman"/>
      <family val="1"/>
    </font>
    <font>
      <sz val="10"/>
      <color indexed="12"/>
      <name val="Arial"/>
      <family val="2"/>
    </font>
    <font>
      <sz val="13"/>
      <name val="Arial"/>
      <family val="2"/>
    </font>
    <font>
      <sz val="13"/>
      <color indexed="12"/>
      <name val="Arial"/>
      <family val="2"/>
    </font>
    <font>
      <b/>
      <sz val="11"/>
      <color indexed="10"/>
      <name val="Arial"/>
      <family val="2"/>
    </font>
    <font>
      <b/>
      <sz val="10"/>
      <color indexed="10"/>
      <name val="Arial Narrow"/>
      <family val="2"/>
    </font>
    <font>
      <sz val="9"/>
      <color indexed="81"/>
      <name val="Tahoma"/>
      <family val="2"/>
    </font>
    <font>
      <b/>
      <sz val="9"/>
      <color indexed="81"/>
      <name val="Tahoma"/>
      <family val="2"/>
    </font>
    <font>
      <sz val="36"/>
      <name val="Arial"/>
      <family val="2"/>
    </font>
    <font>
      <b/>
      <sz val="22"/>
      <name val="Arial"/>
      <family val="2"/>
    </font>
    <font>
      <sz val="16"/>
      <name val="Arial"/>
      <family val="2"/>
    </font>
    <font>
      <b/>
      <sz val="12"/>
      <color rgb="FFFF0000"/>
      <name val="Arial"/>
      <family val="2"/>
    </font>
    <font>
      <sz val="12"/>
      <color rgb="FF3AE911"/>
      <name val="Arial"/>
      <family val="2"/>
    </font>
    <font>
      <b/>
      <sz val="12"/>
      <color rgb="FF3AE911"/>
      <name val="Arial"/>
      <family val="2"/>
    </font>
    <font>
      <b/>
      <sz val="16"/>
      <color rgb="FFFF0000"/>
      <name val="Arial"/>
      <family val="2"/>
    </font>
    <font>
      <b/>
      <sz val="18"/>
      <color rgb="FFFF0000"/>
      <name val="Arial"/>
      <family val="2"/>
    </font>
    <font>
      <b/>
      <sz val="20"/>
      <color rgb="FFFF0000"/>
      <name val="Arial"/>
      <family val="2"/>
    </font>
    <font>
      <sz val="10"/>
      <name val="Arial"/>
      <family val="2"/>
    </font>
    <font>
      <b/>
      <sz val="22"/>
      <name val="Arial"/>
      <family val="2"/>
    </font>
    <font>
      <sz val="28"/>
      <name val="Arial"/>
      <family val="2"/>
    </font>
    <font>
      <b/>
      <sz val="14"/>
      <name val="Arial"/>
      <family val="2"/>
    </font>
    <font>
      <b/>
      <sz val="15"/>
      <name val="Arial"/>
      <family val="2"/>
    </font>
    <font>
      <sz val="15"/>
      <name val="Arial"/>
      <family val="2"/>
    </font>
    <font>
      <sz val="10"/>
      <name val="Verdana"/>
      <family val="2"/>
    </font>
    <font>
      <b/>
      <sz val="10"/>
      <color indexed="14"/>
      <name val="Arial"/>
      <family val="2"/>
    </font>
    <font>
      <sz val="12"/>
      <name val="Arial"/>
      <family val="2"/>
    </font>
    <font>
      <b/>
      <sz val="12"/>
      <name val="Arial"/>
      <family val="2"/>
    </font>
    <font>
      <b/>
      <sz val="11"/>
      <name val="Arial"/>
      <family val="2"/>
    </font>
    <font>
      <b/>
      <sz val="11"/>
      <color rgb="FFFF0000"/>
      <name val="Arial"/>
      <family val="2"/>
    </font>
    <font>
      <sz val="8"/>
      <color theme="0"/>
      <name val="Arial"/>
      <family val="2"/>
    </font>
    <font>
      <b/>
      <sz val="26"/>
      <name val="Arial"/>
      <family val="2"/>
    </font>
    <font>
      <b/>
      <sz val="36"/>
      <color rgb="FFFF0000"/>
      <name val="Arial"/>
      <family val="2"/>
    </font>
    <font>
      <sz val="22"/>
      <name val="Arial"/>
      <family val="2"/>
    </font>
    <font>
      <b/>
      <sz val="24"/>
      <color rgb="FFFF0000"/>
      <name val="Arial"/>
      <family val="2"/>
    </font>
    <font>
      <sz val="10"/>
      <color theme="0"/>
      <name val="Arial"/>
      <family val="2"/>
    </font>
    <font>
      <b/>
      <sz val="8"/>
      <color theme="0"/>
      <name val="Arial"/>
      <family val="2"/>
    </font>
    <font>
      <sz val="15"/>
      <color theme="0"/>
      <name val="Arial"/>
      <family val="2"/>
    </font>
    <font>
      <i/>
      <sz val="10"/>
      <name val="Arial"/>
      <family val="2"/>
    </font>
    <font>
      <sz val="18"/>
      <color rgb="FFFF0000"/>
      <name val="Calibri"/>
      <family val="2"/>
      <scheme val="minor"/>
    </font>
    <font>
      <b/>
      <i/>
      <sz val="12"/>
      <color rgb="FFFF0000"/>
      <name val="Arial"/>
      <family val="2"/>
    </font>
    <font>
      <sz val="10"/>
      <color rgb="FFFF0000"/>
      <name val="Arial"/>
      <family val="2"/>
    </font>
    <font>
      <sz val="24"/>
      <name val="Arial"/>
      <family val="2"/>
    </font>
    <font>
      <i/>
      <sz val="24"/>
      <name val="Calibri"/>
      <family val="2"/>
      <scheme val="minor"/>
    </font>
    <font>
      <b/>
      <sz val="24"/>
      <name val="Arial"/>
      <family val="2"/>
    </font>
    <font>
      <b/>
      <sz val="12"/>
      <color theme="0"/>
      <name val="Arial"/>
      <family val="2"/>
    </font>
    <font>
      <sz val="12"/>
      <color theme="1"/>
      <name val="Calibri"/>
      <family val="2"/>
      <scheme val="minor"/>
    </font>
    <font>
      <sz val="36"/>
      <color theme="1"/>
      <name val="Calibri"/>
      <family val="2"/>
      <scheme val="minor"/>
    </font>
    <font>
      <sz val="18"/>
      <color theme="1"/>
      <name val="Calibri"/>
      <family val="2"/>
      <scheme val="minor"/>
    </font>
    <font>
      <b/>
      <sz val="16"/>
      <color theme="1"/>
      <name val="Calibri"/>
      <family val="2"/>
      <scheme val="minor"/>
    </font>
    <font>
      <b/>
      <sz val="18"/>
      <color theme="1"/>
      <name val="Calibri"/>
      <family val="2"/>
      <scheme val="minor"/>
    </font>
    <font>
      <b/>
      <sz val="10"/>
      <name val="Wingdings"/>
      <charset val="2"/>
    </font>
    <font>
      <b/>
      <sz val="12"/>
      <color theme="1"/>
      <name val="Calibri"/>
      <family val="2"/>
      <scheme val="minor"/>
    </font>
    <font>
      <b/>
      <sz val="20"/>
      <color theme="1"/>
      <name val="Calibri"/>
      <family val="2"/>
      <scheme val="minor"/>
    </font>
    <font>
      <b/>
      <sz val="14"/>
      <color theme="1"/>
      <name val="Calibri"/>
      <family val="2"/>
      <scheme val="minor"/>
    </font>
    <font>
      <i/>
      <sz val="11"/>
      <name val="Arial"/>
      <family val="2"/>
    </font>
    <font>
      <b/>
      <sz val="28"/>
      <color rgb="FFFF0000"/>
      <name val="Arial"/>
      <family val="2"/>
    </font>
    <font>
      <sz val="22"/>
      <color theme="1"/>
      <name val="Calibri"/>
      <family val="2"/>
      <scheme val="minor"/>
    </font>
    <font>
      <i/>
      <sz val="8"/>
      <name val="Arial"/>
      <family val="2"/>
    </font>
    <font>
      <sz val="10"/>
      <color theme="3" tint="0.39997558519241921"/>
      <name val="Arial"/>
      <family val="2"/>
    </font>
    <font>
      <b/>
      <sz val="16"/>
      <color theme="0"/>
      <name val="Arial"/>
      <family val="2"/>
    </font>
    <font>
      <b/>
      <sz val="22"/>
      <color rgb="FFFF0000"/>
      <name val="Arial"/>
      <family val="2"/>
    </font>
    <font>
      <b/>
      <i/>
      <sz val="24"/>
      <name val="Arial"/>
      <family val="2"/>
    </font>
    <font>
      <b/>
      <sz val="10"/>
      <color rgb="FFE923EE"/>
      <name val="Arial"/>
      <family val="2"/>
    </font>
    <font>
      <b/>
      <sz val="15"/>
      <color theme="0"/>
      <name val="Arial"/>
      <family val="2"/>
    </font>
    <font>
      <sz val="12"/>
      <color theme="0"/>
      <name val="Arial"/>
      <family val="2"/>
    </font>
    <font>
      <b/>
      <sz val="10"/>
      <color theme="0"/>
      <name val="Arial"/>
      <family val="2"/>
    </font>
    <font>
      <b/>
      <i/>
      <sz val="10"/>
      <color rgb="FFFF0000"/>
      <name val="Arial"/>
      <family val="2"/>
    </font>
    <font>
      <sz val="11"/>
      <color rgb="FF000000"/>
      <name val="Calibri"/>
      <family val="2"/>
    </font>
    <font>
      <vertAlign val="superscript"/>
      <sz val="10"/>
      <name val="Arial"/>
      <family val="2"/>
    </font>
    <font>
      <u/>
      <sz val="10"/>
      <name val="Arial"/>
      <family val="2"/>
    </font>
    <font>
      <sz val="16"/>
      <color theme="1"/>
      <name val="Calibri"/>
      <family val="2"/>
      <scheme val="minor"/>
    </font>
    <font>
      <b/>
      <sz val="24"/>
      <name val="Times New Roman"/>
      <family val="1"/>
    </font>
    <font>
      <i/>
      <sz val="11"/>
      <name val="Calibri"/>
      <family val="2"/>
    </font>
    <font>
      <sz val="16"/>
      <color rgb="FFFF0000"/>
      <name val="Arial"/>
      <family val="2"/>
    </font>
    <font>
      <sz val="10"/>
      <color theme="1"/>
      <name val="Calibri"/>
      <family val="2"/>
      <scheme val="minor"/>
    </font>
    <font>
      <b/>
      <i/>
      <sz val="18"/>
      <name val="Arial"/>
      <family val="2"/>
    </font>
  </fonts>
  <fills count="40">
    <fill>
      <patternFill patternType="none"/>
    </fill>
    <fill>
      <patternFill patternType="gray125"/>
    </fill>
    <fill>
      <patternFill patternType="solid">
        <fgColor indexed="11"/>
        <bgColor indexed="64"/>
      </patternFill>
    </fill>
    <fill>
      <patternFill patternType="solid">
        <fgColor indexed="65"/>
        <bgColor indexed="64"/>
      </patternFill>
    </fill>
    <fill>
      <patternFill patternType="solid">
        <fgColor indexed="22"/>
        <bgColor indexed="64"/>
      </patternFill>
    </fill>
    <fill>
      <patternFill patternType="solid">
        <fgColor indexed="41"/>
        <bgColor indexed="64"/>
      </patternFill>
    </fill>
    <fill>
      <patternFill patternType="solid">
        <fgColor indexed="43"/>
        <bgColor indexed="64"/>
      </patternFill>
    </fill>
    <fill>
      <patternFill patternType="solid">
        <fgColor indexed="44"/>
        <bgColor indexed="64"/>
      </patternFill>
    </fill>
    <fill>
      <patternFill patternType="solid">
        <fgColor indexed="15"/>
        <bgColor indexed="64"/>
      </patternFill>
    </fill>
    <fill>
      <patternFill patternType="solid">
        <fgColor indexed="42"/>
        <bgColor indexed="64"/>
      </patternFill>
    </fill>
    <fill>
      <patternFill patternType="solid">
        <fgColor indexed="13"/>
        <bgColor indexed="64"/>
      </patternFill>
    </fill>
    <fill>
      <patternFill patternType="solid">
        <fgColor indexed="10"/>
        <bgColor indexed="64"/>
      </patternFill>
    </fill>
    <fill>
      <patternFill patternType="solid">
        <fgColor indexed="42"/>
        <bgColor indexed="42"/>
      </patternFill>
    </fill>
    <fill>
      <patternFill patternType="solid">
        <fgColor theme="4" tint="0.79998168889431442"/>
        <bgColor indexed="64"/>
      </patternFill>
    </fill>
    <fill>
      <patternFill patternType="solid">
        <fgColor theme="3" tint="0.79998168889431442"/>
        <bgColor indexed="64"/>
      </patternFill>
    </fill>
    <fill>
      <patternFill patternType="solid">
        <fgColor rgb="FF92D050"/>
        <bgColor indexed="64"/>
      </patternFill>
    </fill>
    <fill>
      <patternFill patternType="solid">
        <fgColor theme="8" tint="0.79998168889431442"/>
        <bgColor indexed="64"/>
      </patternFill>
    </fill>
    <fill>
      <patternFill patternType="solid">
        <fgColor rgb="FF9AEE96"/>
        <bgColor indexed="64"/>
      </patternFill>
    </fill>
    <fill>
      <patternFill patternType="solid">
        <fgColor rgb="FFFF0000"/>
        <bgColor indexed="64"/>
      </patternFill>
    </fill>
    <fill>
      <patternFill patternType="solid">
        <fgColor rgb="FFCCFFCC"/>
        <bgColor indexed="64"/>
      </patternFill>
    </fill>
    <fill>
      <patternFill patternType="solid">
        <fgColor indexed="51"/>
        <bgColor indexed="64"/>
      </patternFill>
    </fill>
    <fill>
      <patternFill patternType="solid">
        <fgColor indexed="47"/>
        <bgColor indexed="64"/>
      </patternFill>
    </fill>
    <fill>
      <patternFill patternType="solid">
        <fgColor theme="3" tint="0.39997558519241921"/>
        <bgColor indexed="64"/>
      </patternFill>
    </fill>
    <fill>
      <patternFill patternType="solid">
        <fgColor rgb="FFFFFF00"/>
        <bgColor indexed="64"/>
      </patternFill>
    </fill>
    <fill>
      <patternFill patternType="solid">
        <fgColor theme="3" tint="0.59999389629810485"/>
        <bgColor indexed="64"/>
      </patternFill>
    </fill>
    <fill>
      <patternFill patternType="solid">
        <fgColor theme="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rgb="FF00FF0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indexed="42"/>
        <bgColor theme="6" tint="0.79998168889431442"/>
      </patternFill>
    </fill>
    <fill>
      <patternFill patternType="solid">
        <fgColor rgb="FFFFFF00"/>
        <bgColor theme="6" tint="0.79998168889431442"/>
      </patternFill>
    </fill>
    <fill>
      <patternFill patternType="solid">
        <fgColor theme="2"/>
        <bgColor indexed="64"/>
      </patternFill>
    </fill>
    <fill>
      <patternFill patternType="solid">
        <fgColor theme="0" tint="-0.14999847407452621"/>
        <bgColor indexed="64"/>
      </patternFill>
    </fill>
    <fill>
      <patternFill patternType="solid">
        <fgColor rgb="FFE923EE"/>
        <bgColor indexed="64"/>
      </patternFill>
    </fill>
    <fill>
      <patternFill patternType="solid">
        <fgColor rgb="FFFFC000"/>
        <bgColor indexed="64"/>
      </patternFill>
    </fill>
    <fill>
      <patternFill patternType="solid">
        <fgColor theme="1"/>
        <bgColor indexed="64"/>
      </patternFill>
    </fill>
    <fill>
      <patternFill patternType="solid">
        <fgColor theme="6" tint="0.59999389629810485"/>
        <bgColor indexed="64"/>
      </patternFill>
    </fill>
    <fill>
      <patternFill patternType="solid">
        <fgColor rgb="FF66FFFF"/>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right style="thick">
        <color indexed="64"/>
      </right>
      <top style="medium">
        <color indexed="64"/>
      </top>
      <bottom/>
      <diagonal/>
    </border>
    <border>
      <left/>
      <right style="thick">
        <color indexed="64"/>
      </right>
      <top/>
      <bottom style="medium">
        <color indexed="64"/>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medium">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medium">
        <color indexed="64"/>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bottom/>
      <diagonal/>
    </border>
    <border>
      <left/>
      <right style="dotted">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8"/>
      </left>
      <right style="thin">
        <color indexed="8"/>
      </right>
      <top/>
      <bottom style="thin">
        <color indexed="8"/>
      </bottom>
      <diagonal/>
    </border>
    <border>
      <left style="thin">
        <color indexed="8"/>
      </left>
      <right/>
      <top/>
      <bottom style="medium">
        <color indexed="8"/>
      </bottom>
      <diagonal/>
    </border>
    <border>
      <left style="thin">
        <color indexed="8"/>
      </left>
      <right style="thin">
        <color indexed="8"/>
      </right>
      <top style="thin">
        <color indexed="8"/>
      </top>
      <bottom style="medium">
        <color indexed="8"/>
      </bottom>
      <diagonal/>
    </border>
    <border>
      <left style="thin">
        <color indexed="64"/>
      </left>
      <right style="thin">
        <color indexed="64"/>
      </right>
      <top style="thin">
        <color indexed="64"/>
      </top>
      <bottom style="medium">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8"/>
      </left>
      <right style="thin">
        <color indexed="8"/>
      </right>
      <top style="thin">
        <color indexed="8"/>
      </top>
      <bottom style="medium">
        <color indexed="64"/>
      </bottom>
      <diagonal/>
    </border>
    <border>
      <left style="thin">
        <color indexed="64"/>
      </left>
      <right/>
      <top style="thin">
        <color indexed="64"/>
      </top>
      <bottom style="medium">
        <color indexed="8"/>
      </bottom>
      <diagonal/>
    </border>
    <border>
      <left style="dotted">
        <color indexed="64"/>
      </left>
      <right/>
      <top/>
      <bottom/>
      <diagonal/>
    </border>
    <border>
      <left/>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bottom style="thin">
        <color indexed="64"/>
      </bottom>
      <diagonal/>
    </border>
    <border>
      <left style="hair">
        <color auto="1"/>
      </left>
      <right style="hair">
        <color auto="1"/>
      </right>
      <top style="hair">
        <color auto="1"/>
      </top>
      <bottom style="hair">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medium">
        <color auto="1"/>
      </bottom>
      <diagonal/>
    </border>
    <border>
      <left style="thin">
        <color auto="1"/>
      </left>
      <right style="thin">
        <color auto="1"/>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hair">
        <color auto="1"/>
      </left>
      <right/>
      <top style="hair">
        <color auto="1"/>
      </top>
      <bottom style="hair">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ck">
        <color rgb="FFFF0000"/>
      </left>
      <right/>
      <top/>
      <bottom style="thin">
        <color indexed="64"/>
      </bottom>
      <diagonal/>
    </border>
    <border>
      <left style="thick">
        <color rgb="FFFF0000"/>
      </left>
      <right/>
      <top style="thick">
        <color rgb="FFFF0000"/>
      </top>
      <bottom style="medium">
        <color indexed="64"/>
      </bottom>
      <diagonal/>
    </border>
    <border>
      <left/>
      <right/>
      <top style="thick">
        <color rgb="FFFF0000"/>
      </top>
      <bottom style="medium">
        <color indexed="64"/>
      </bottom>
      <diagonal/>
    </border>
    <border>
      <left/>
      <right style="thin">
        <color auto="1"/>
      </right>
      <top style="thick">
        <color rgb="FFFF0000"/>
      </top>
      <bottom style="medium">
        <color auto="1"/>
      </bottom>
      <diagonal/>
    </border>
    <border>
      <left style="thin">
        <color auto="1"/>
      </left>
      <right style="thin">
        <color auto="1"/>
      </right>
      <top style="thick">
        <color rgb="FFFF0000"/>
      </top>
      <bottom style="medium">
        <color auto="1"/>
      </bottom>
      <diagonal/>
    </border>
    <border>
      <left style="thin">
        <color auto="1"/>
      </left>
      <right style="thick">
        <color rgb="FFFF0000"/>
      </right>
      <top style="thick">
        <color rgb="FFFF0000"/>
      </top>
      <bottom style="medium">
        <color auto="1"/>
      </bottom>
      <diagonal/>
    </border>
    <border>
      <left style="thin">
        <color indexed="64"/>
      </left>
      <right style="thick">
        <color rgb="FFFF0000"/>
      </right>
      <top/>
      <bottom style="thin">
        <color indexed="64"/>
      </bottom>
      <diagonal/>
    </border>
    <border>
      <left style="thick">
        <color rgb="FFFF0000"/>
      </left>
      <right/>
      <top style="thin">
        <color indexed="64"/>
      </top>
      <bottom style="thick">
        <color rgb="FFFF0000"/>
      </bottom>
      <diagonal/>
    </border>
    <border>
      <left/>
      <right/>
      <top style="thin">
        <color indexed="64"/>
      </top>
      <bottom style="thick">
        <color rgb="FFFF0000"/>
      </bottom>
      <diagonal/>
    </border>
    <border>
      <left/>
      <right style="thin">
        <color auto="1"/>
      </right>
      <top style="thin">
        <color auto="1"/>
      </top>
      <bottom style="thick">
        <color rgb="FFFF0000"/>
      </bottom>
      <diagonal/>
    </border>
    <border>
      <left style="thin">
        <color indexed="64"/>
      </left>
      <right style="thin">
        <color indexed="64"/>
      </right>
      <top style="thin">
        <color indexed="64"/>
      </top>
      <bottom style="thick">
        <color rgb="FFFF0000"/>
      </bottom>
      <diagonal/>
    </border>
    <border>
      <left style="thin">
        <color auto="1"/>
      </left>
      <right/>
      <top style="thin">
        <color auto="1"/>
      </top>
      <bottom style="thick">
        <color rgb="FFFF0000"/>
      </bottom>
      <diagonal/>
    </border>
    <border>
      <left style="thin">
        <color indexed="64"/>
      </left>
      <right style="thick">
        <color rgb="FFFF0000"/>
      </right>
      <top style="thin">
        <color indexed="64"/>
      </top>
      <bottom style="thick">
        <color rgb="FFFF0000"/>
      </bottom>
      <diagonal/>
    </border>
    <border>
      <left/>
      <right/>
      <top style="thick">
        <color rgb="FFFF0000"/>
      </top>
      <bottom style="thin">
        <color auto="1"/>
      </bottom>
      <diagonal/>
    </border>
    <border>
      <left/>
      <right/>
      <top/>
      <bottom style="thick">
        <color rgb="FFFF0000"/>
      </bottom>
      <diagonal/>
    </border>
    <border>
      <left style="thick">
        <color rgb="FFFF0000"/>
      </left>
      <right/>
      <top style="thick">
        <color rgb="FFFF0000"/>
      </top>
      <bottom style="thin">
        <color auto="1"/>
      </bottom>
      <diagonal/>
    </border>
    <border>
      <left/>
      <right style="thin">
        <color auto="1"/>
      </right>
      <top style="thick">
        <color rgb="FFFF0000"/>
      </top>
      <bottom style="thin">
        <color auto="1"/>
      </bottom>
      <diagonal/>
    </border>
    <border>
      <left style="thin">
        <color indexed="64"/>
      </left>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s>
  <cellStyleXfs count="6">
    <xf numFmtId="0" fontId="0" fillId="0" borderId="0"/>
    <xf numFmtId="0" fontId="75" fillId="0" borderId="0"/>
    <xf numFmtId="165" fontId="1" fillId="0" borderId="0" applyFont="0" applyFill="0" applyBorder="0" applyAlignment="0" applyProtection="0"/>
    <xf numFmtId="0" fontId="15" fillId="0" borderId="0"/>
    <xf numFmtId="0" fontId="103" fillId="0" borderId="0"/>
    <xf numFmtId="0" fontId="125" fillId="0" borderId="0"/>
  </cellStyleXfs>
  <cellXfs count="1284">
    <xf numFmtId="0" fontId="0" fillId="0" borderId="0" xfId="0"/>
    <xf numFmtId="0" fontId="13" fillId="0" borderId="4" xfId="0" applyFont="1" applyBorder="1" applyAlignment="1">
      <alignment horizontal="center" vertical="center"/>
    </xf>
    <xf numFmtId="0" fontId="2" fillId="0" borderId="0" xfId="0" applyFont="1"/>
    <xf numFmtId="0" fontId="0" fillId="0" borderId="0" xfId="0" applyAlignment="1">
      <alignment horizontal="center"/>
    </xf>
    <xf numFmtId="0" fontId="5" fillId="0" borderId="0" xfId="0" applyFont="1" applyAlignment="1">
      <alignment horizontal="center"/>
    </xf>
    <xf numFmtId="0" fontId="2" fillId="0" borderId="0" xfId="0" applyFont="1" applyAlignment="1">
      <alignment horizontal="center"/>
    </xf>
    <xf numFmtId="0" fontId="6" fillId="0" borderId="1" xfId="0" applyFont="1" applyBorder="1" applyAlignment="1">
      <alignment horizontal="center"/>
    </xf>
    <xf numFmtId="0" fontId="0" fillId="2" borderId="0" xfId="0" applyFill="1"/>
    <xf numFmtId="0" fontId="2" fillId="2" borderId="0" xfId="0" applyFont="1" applyFill="1"/>
    <xf numFmtId="2" fontId="9" fillId="0" borderId="0" xfId="0" applyNumberFormat="1" applyFont="1" applyAlignment="1">
      <alignment horizontal="center"/>
    </xf>
    <xf numFmtId="0" fontId="8" fillId="0" borderId="0" xfId="0" applyFont="1"/>
    <xf numFmtId="0" fontId="0" fillId="0" borderId="2" xfId="0" applyBorder="1"/>
    <xf numFmtId="0" fontId="0" fillId="0" borderId="3" xfId="0" applyBorder="1"/>
    <xf numFmtId="0" fontId="9" fillId="0" borderId="0" xfId="0" applyFont="1" applyAlignment="1">
      <alignment horizontal="center"/>
    </xf>
    <xf numFmtId="0" fontId="11" fillId="0" borderId="0" xfId="0" applyFont="1" applyAlignment="1">
      <alignment horizontal="center"/>
    </xf>
    <xf numFmtId="0" fontId="12" fillId="0" borderId="0" xfId="0" applyFont="1" applyAlignment="1">
      <alignment horizontal="center"/>
    </xf>
    <xf numFmtId="0" fontId="8" fillId="0" borderId="1" xfId="0" applyFont="1" applyBorder="1"/>
    <xf numFmtId="0" fontId="8" fillId="0" borderId="1" xfId="0" applyFont="1" applyBorder="1" applyAlignment="1">
      <alignment horizontal="center"/>
    </xf>
    <xf numFmtId="0" fontId="6" fillId="3" borderId="0" xfId="0" applyFont="1" applyFill="1" applyAlignment="1">
      <alignment horizontal="center"/>
    </xf>
    <xf numFmtId="0" fontId="8" fillId="0" borderId="0" xfId="0" applyFont="1" applyAlignment="1">
      <alignment horizontal="center"/>
    </xf>
    <xf numFmtId="14" fontId="9" fillId="4" borderId="0" xfId="0" applyNumberFormat="1" applyFont="1" applyFill="1"/>
    <xf numFmtId="0" fontId="0" fillId="0" borderId="4" xfId="0" applyBorder="1"/>
    <xf numFmtId="0" fontId="0" fillId="0" borderId="6" xfId="0" applyBorder="1"/>
    <xf numFmtId="0" fontId="0" fillId="0" borderId="6" xfId="0" applyBorder="1" applyAlignment="1">
      <alignment horizontal="center"/>
    </xf>
    <xf numFmtId="0" fontId="0" fillId="0" borderId="7" xfId="0" applyBorder="1" applyAlignment="1">
      <alignment horizontal="center"/>
    </xf>
    <xf numFmtId="0" fontId="2" fillId="0" borderId="8" xfId="0" applyFont="1" applyBorder="1"/>
    <xf numFmtId="0" fontId="2" fillId="0" borderId="9" xfId="0" applyFont="1" applyBorder="1"/>
    <xf numFmtId="0" fontId="2" fillId="0" borderId="10" xfId="0" applyFont="1" applyBorder="1"/>
    <xf numFmtId="0" fontId="2" fillId="0" borderId="11" xfId="0" applyFont="1" applyBorder="1"/>
    <xf numFmtId="0" fontId="2" fillId="0" borderId="12" xfId="0" applyFont="1" applyBorder="1"/>
    <xf numFmtId="0" fontId="2" fillId="0" borderId="5" xfId="0" applyFont="1" applyBorder="1"/>
    <xf numFmtId="49" fontId="0" fillId="0" borderId="0" xfId="0" applyNumberFormat="1" applyAlignment="1">
      <alignment horizontal="center"/>
    </xf>
    <xf numFmtId="49" fontId="0" fillId="5" borderId="1" xfId="0" applyNumberFormat="1" applyFill="1" applyBorder="1" applyProtection="1">
      <protection locked="0"/>
    </xf>
    <xf numFmtId="49" fontId="0" fillId="0" borderId="0" xfId="0" applyNumberFormat="1"/>
    <xf numFmtId="49" fontId="0" fillId="0" borderId="1" xfId="0" applyNumberFormat="1" applyBorder="1" applyAlignment="1">
      <alignment horizontal="center"/>
    </xf>
    <xf numFmtId="49" fontId="0" fillId="6" borderId="1" xfId="0" applyNumberFormat="1" applyFill="1" applyBorder="1" applyProtection="1">
      <protection locked="0"/>
    </xf>
    <xf numFmtId="49" fontId="0" fillId="5" borderId="1" xfId="0" applyNumberFormat="1" applyFill="1" applyBorder="1" applyAlignment="1">
      <alignment horizontal="center"/>
    </xf>
    <xf numFmtId="0" fontId="0" fillId="7" borderId="0" xfId="0" applyFill="1" applyAlignment="1">
      <alignment horizontal="center"/>
    </xf>
    <xf numFmtId="0" fontId="0" fillId="7" borderId="0" xfId="0" applyFill="1"/>
    <xf numFmtId="0" fontId="2" fillId="7" borderId="0" xfId="0" applyFont="1" applyFill="1" applyAlignment="1">
      <alignment horizontal="right" vertical="center"/>
    </xf>
    <xf numFmtId="0" fontId="0" fillId="0" borderId="0" xfId="0" applyAlignment="1">
      <alignment vertical="center"/>
    </xf>
    <xf numFmtId="0" fontId="11" fillId="0" borderId="0" xfId="0" applyFont="1" applyAlignment="1">
      <alignment horizontal="center" vertical="center"/>
    </xf>
    <xf numFmtId="0" fontId="14" fillId="0" borderId="0" xfId="0" applyFont="1" applyAlignment="1">
      <alignment horizontal="center" vertical="center"/>
    </xf>
    <xf numFmtId="0" fontId="15" fillId="0" borderId="0" xfId="0" applyFont="1" applyAlignment="1">
      <alignment horizontal="right" vertical="center"/>
    </xf>
    <xf numFmtId="0" fontId="0" fillId="0" borderId="0" xfId="0" applyAlignment="1">
      <alignment horizontal="center" vertical="center"/>
    </xf>
    <xf numFmtId="0" fontId="12" fillId="0" borderId="0" xfId="0" applyFont="1" applyAlignment="1">
      <alignment horizontal="center" vertical="center"/>
    </xf>
    <xf numFmtId="0" fontId="6" fillId="3" borderId="0" xfId="0" applyFont="1" applyFill="1" applyAlignment="1">
      <alignment horizontal="center" vertical="center"/>
    </xf>
    <xf numFmtId="0" fontId="2" fillId="0" borderId="0" xfId="0" applyFont="1" applyAlignment="1">
      <alignment horizontal="center" vertical="center"/>
    </xf>
    <xf numFmtId="0" fontId="10" fillId="0" borderId="0" xfId="0" applyFont="1" applyAlignment="1">
      <alignment horizontal="right" vertical="center"/>
    </xf>
    <xf numFmtId="0" fontId="0" fillId="8" borderId="0" xfId="0" applyFill="1" applyAlignment="1">
      <alignment horizontal="center" vertical="center"/>
    </xf>
    <xf numFmtId="0" fontId="2" fillId="8" borderId="0" xfId="0" applyFont="1" applyFill="1" applyAlignment="1">
      <alignment horizontal="center" vertical="center"/>
    </xf>
    <xf numFmtId="0" fontId="2" fillId="8" borderId="0" xfId="0" applyFont="1" applyFill="1" applyAlignment="1">
      <alignment vertical="center"/>
    </xf>
    <xf numFmtId="0" fontId="7" fillId="8" borderId="0" xfId="0" applyFont="1" applyFill="1" applyAlignment="1">
      <alignment horizontal="center" vertical="center"/>
    </xf>
    <xf numFmtId="0" fontId="16" fillId="8" borderId="0" xfId="0" applyFont="1" applyFill="1" applyAlignment="1">
      <alignment horizontal="center" vertical="center"/>
    </xf>
    <xf numFmtId="0" fontId="0" fillId="0" borderId="1" xfId="0" applyBorder="1" applyAlignment="1" applyProtection="1">
      <alignment vertical="center"/>
      <protection locked="0"/>
    </xf>
    <xf numFmtId="0" fontId="0" fillId="0" borderId="1" xfId="0" applyBorder="1" applyAlignment="1" applyProtection="1">
      <alignment horizontal="center" vertical="center"/>
      <protection locked="0"/>
    </xf>
    <xf numFmtId="164" fontId="0" fillId="0" borderId="1" xfId="0" applyNumberForma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9" fillId="6" borderId="0" xfId="0" applyFont="1" applyFill="1" applyAlignment="1" applyProtection="1">
      <alignment vertical="center"/>
      <protection locked="0"/>
    </xf>
    <xf numFmtId="0" fontId="9" fillId="0" borderId="0" xfId="0" applyFont="1" applyAlignment="1">
      <alignment vertical="center"/>
    </xf>
    <xf numFmtId="0" fontId="5" fillId="0" borderId="0" xfId="0" applyFont="1" applyAlignment="1">
      <alignment horizontal="center" vertical="center"/>
    </xf>
    <xf numFmtId="0" fontId="5"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center" vertical="center"/>
    </xf>
    <xf numFmtId="0" fontId="0" fillId="0" borderId="1" xfId="0" applyBorder="1" applyAlignment="1">
      <alignment horizontal="center" vertical="center"/>
    </xf>
    <xf numFmtId="0" fontId="6" fillId="0" borderId="1" xfId="0" applyFont="1" applyBorder="1" applyAlignment="1">
      <alignment horizontal="center" vertical="center"/>
    </xf>
    <xf numFmtId="0" fontId="0" fillId="0" borderId="0" xfId="0" applyAlignment="1">
      <alignment horizontal="right" vertical="center"/>
    </xf>
    <xf numFmtId="0" fontId="2" fillId="8" borderId="0" xfId="0" applyFont="1" applyFill="1" applyAlignment="1">
      <alignment horizontal="center"/>
    </xf>
    <xf numFmtId="0" fontId="2" fillId="8" borderId="13" xfId="0" applyFont="1" applyFill="1" applyBorder="1" applyAlignment="1">
      <alignment horizontal="center"/>
    </xf>
    <xf numFmtId="0" fontId="0" fillId="0" borderId="1" xfId="0" applyBorder="1" applyAlignment="1">
      <alignment vertical="center"/>
    </xf>
    <xf numFmtId="164" fontId="0" fillId="0" borderId="1" xfId="0" applyNumberFormat="1" applyBorder="1" applyAlignment="1">
      <alignment horizontal="center" vertical="center"/>
    </xf>
    <xf numFmtId="14" fontId="0" fillId="0" borderId="1" xfId="0" applyNumberFormat="1" applyBorder="1" applyAlignment="1">
      <alignment horizontal="center" vertical="center"/>
    </xf>
    <xf numFmtId="0" fontId="5" fillId="0" borderId="0" xfId="0" applyFont="1"/>
    <xf numFmtId="0" fontId="24" fillId="0" borderId="0" xfId="0" applyFont="1"/>
    <xf numFmtId="0" fontId="28" fillId="9" borderId="14" xfId="0" applyFont="1" applyFill="1" applyBorder="1" applyAlignment="1" applyProtection="1">
      <alignment horizontal="center" vertical="center"/>
      <protection locked="0"/>
    </xf>
    <xf numFmtId="0" fontId="0" fillId="0" borderId="0" xfId="0" applyProtection="1">
      <protection hidden="1"/>
    </xf>
    <xf numFmtId="0" fontId="28" fillId="9" borderId="14" xfId="0" applyFont="1" applyFill="1" applyBorder="1" applyAlignment="1" applyProtection="1">
      <alignment horizontal="center" vertical="center"/>
      <protection hidden="1"/>
    </xf>
    <xf numFmtId="0" fontId="0" fillId="0" borderId="1" xfId="0" applyBorder="1" applyAlignment="1" applyProtection="1">
      <alignment horizontal="center"/>
      <protection locked="0"/>
    </xf>
    <xf numFmtId="0" fontId="0" fillId="0" borderId="1" xfId="0" applyBorder="1" applyProtection="1">
      <protection locked="0"/>
    </xf>
    <xf numFmtId="0" fontId="2" fillId="8" borderId="1" xfId="0" applyFont="1" applyFill="1" applyBorder="1" applyAlignment="1">
      <alignment horizontal="center"/>
    </xf>
    <xf numFmtId="0" fontId="2" fillId="8" borderId="1" xfId="0" applyFont="1" applyFill="1" applyBorder="1"/>
    <xf numFmtId="0" fontId="2" fillId="3" borderId="1" xfId="0" applyFont="1" applyFill="1" applyBorder="1" applyAlignment="1" applyProtection="1">
      <alignment horizontal="center"/>
      <protection locked="0"/>
    </xf>
    <xf numFmtId="0" fontId="5" fillId="0" borderId="15" xfId="0" applyFont="1" applyBorder="1" applyAlignment="1" applyProtection="1">
      <alignment horizontal="center"/>
      <protection locked="0"/>
    </xf>
    <xf numFmtId="0" fontId="5" fillId="0" borderId="1" xfId="0" applyFont="1" applyBorder="1" applyAlignment="1" applyProtection="1">
      <alignment horizontal="center"/>
      <protection locked="0"/>
    </xf>
    <xf numFmtId="22" fontId="0" fillId="0" borderId="0" xfId="0" applyNumberFormat="1"/>
    <xf numFmtId="0" fontId="24" fillId="0" borderId="0" xfId="0" applyFont="1" applyAlignment="1">
      <alignment vertical="center"/>
    </xf>
    <xf numFmtId="0" fontId="25" fillId="0" borderId="0" xfId="0" applyFont="1" applyAlignment="1">
      <alignment horizontal="center" vertical="center"/>
    </xf>
    <xf numFmtId="0" fontId="26" fillId="0" borderId="0" xfId="0" applyFont="1" applyAlignment="1">
      <alignment vertical="center"/>
    </xf>
    <xf numFmtId="0" fontId="25" fillId="0" borderId="0" xfId="0" applyFont="1" applyAlignment="1">
      <alignment vertical="center"/>
    </xf>
    <xf numFmtId="0" fontId="31" fillId="0" borderId="0" xfId="0" applyFont="1" applyAlignment="1">
      <alignment horizontal="center" vertical="center"/>
    </xf>
    <xf numFmtId="16" fontId="25" fillId="0" borderId="0" xfId="0" applyNumberFormat="1" applyFont="1" applyAlignment="1">
      <alignment horizontal="center" vertical="center"/>
    </xf>
    <xf numFmtId="16" fontId="26" fillId="0" borderId="0" xfId="0" applyNumberFormat="1" applyFont="1" applyAlignment="1">
      <alignment vertical="center"/>
    </xf>
    <xf numFmtId="0" fontId="27" fillId="0" borderId="4" xfId="0" applyFont="1" applyBorder="1" applyAlignment="1">
      <alignment horizontal="center" vertical="center"/>
    </xf>
    <xf numFmtId="0" fontId="27" fillId="0" borderId="7" xfId="0" applyFont="1" applyBorder="1" applyAlignment="1">
      <alignment horizontal="center" vertical="center"/>
    </xf>
    <xf numFmtId="0" fontId="10" fillId="0" borderId="0" xfId="0" applyFont="1" applyAlignment="1">
      <alignment vertical="center"/>
    </xf>
    <xf numFmtId="0" fontId="24" fillId="0" borderId="0" xfId="0" applyFont="1" applyAlignment="1">
      <alignment horizontal="left" vertical="center"/>
    </xf>
    <xf numFmtId="0" fontId="29" fillId="0" borderId="7" xfId="0" applyFont="1" applyBorder="1" applyAlignment="1">
      <alignment horizontal="center" vertical="center"/>
    </xf>
    <xf numFmtId="0" fontId="30" fillId="0" borderId="0" xfId="0" applyFont="1" applyAlignment="1">
      <alignment vertical="center"/>
    </xf>
    <xf numFmtId="0" fontId="33" fillId="0" borderId="1" xfId="0" applyFont="1" applyBorder="1" applyAlignment="1">
      <alignment vertical="center"/>
    </xf>
    <xf numFmtId="0" fontId="1" fillId="0" borderId="2" xfId="0" applyFont="1" applyBorder="1"/>
    <xf numFmtId="0" fontId="15" fillId="0" borderId="2" xfId="0" applyFont="1" applyBorder="1"/>
    <xf numFmtId="0" fontId="35" fillId="0" borderId="0" xfId="0" applyFont="1"/>
    <xf numFmtId="0" fontId="36" fillId="0" borderId="1" xfId="0" applyFont="1" applyBorder="1"/>
    <xf numFmtId="0" fontId="27" fillId="0" borderId="0" xfId="0" applyFont="1" applyAlignment="1">
      <alignment horizontal="center" vertical="center"/>
    </xf>
    <xf numFmtId="0" fontId="2" fillId="6" borderId="0" xfId="0" applyFont="1" applyFill="1" applyAlignment="1" applyProtection="1">
      <alignment vertical="center"/>
      <protection locked="0"/>
    </xf>
    <xf numFmtId="0" fontId="0" fillId="0" borderId="16" xfId="0" applyBorder="1"/>
    <xf numFmtId="0" fontId="0" fillId="0" borderId="9" xfId="0" applyBorder="1"/>
    <xf numFmtId="0" fontId="0" fillId="0" borderId="5" xfId="0" applyBorder="1"/>
    <xf numFmtId="0" fontId="6" fillId="0" borderId="15" xfId="0" applyFont="1" applyBorder="1" applyAlignment="1">
      <alignment horizontal="center"/>
    </xf>
    <xf numFmtId="0" fontId="28" fillId="0" borderId="0" xfId="0" applyFont="1" applyAlignment="1" applyProtection="1">
      <alignment horizontal="center" vertical="center"/>
      <protection locked="0"/>
    </xf>
    <xf numFmtId="0" fontId="34" fillId="0" borderId="0" xfId="0" applyFont="1" applyAlignment="1">
      <alignment horizontal="center"/>
    </xf>
    <xf numFmtId="0" fontId="34" fillId="0" borderId="0" xfId="0" applyFont="1" applyAlignment="1">
      <alignment horizontal="center" vertical="center"/>
    </xf>
    <xf numFmtId="0" fontId="38" fillId="0" borderId="0" xfId="0" applyFont="1" applyAlignment="1">
      <alignment horizontal="center" vertical="center"/>
    </xf>
    <xf numFmtId="0" fontId="39" fillId="0" borderId="17" xfId="0" applyFont="1" applyBorder="1" applyAlignment="1">
      <alignment horizontal="center" vertical="center"/>
    </xf>
    <xf numFmtId="0" fontId="39" fillId="0" borderId="18" xfId="0" applyFont="1" applyBorder="1" applyAlignment="1">
      <alignment horizontal="center" vertical="center"/>
    </xf>
    <xf numFmtId="0" fontId="39" fillId="0" borderId="19" xfId="0" applyFont="1" applyBorder="1" applyAlignment="1">
      <alignment horizontal="center" vertical="center"/>
    </xf>
    <xf numFmtId="0" fontId="39" fillId="0" borderId="14" xfId="0" applyFont="1" applyBorder="1" applyAlignment="1">
      <alignment horizontal="center" vertical="center"/>
    </xf>
    <xf numFmtId="0" fontId="34" fillId="0" borderId="4" xfId="0" applyFont="1" applyBorder="1" applyAlignment="1">
      <alignment horizontal="center" vertical="center"/>
    </xf>
    <xf numFmtId="0" fontId="34" fillId="0" borderId="7" xfId="0" applyFont="1" applyBorder="1" applyAlignment="1">
      <alignment horizontal="center" vertical="center"/>
    </xf>
    <xf numFmtId="0" fontId="29" fillId="0" borderId="0" xfId="0" applyFont="1" applyAlignment="1">
      <alignment horizontal="center" vertical="center"/>
    </xf>
    <xf numFmtId="0" fontId="6" fillId="10" borderId="20" xfId="0" applyFont="1" applyFill="1" applyBorder="1" applyAlignment="1" applyProtection="1">
      <alignment horizontal="center" vertical="center"/>
      <protection hidden="1"/>
    </xf>
    <xf numFmtId="0" fontId="28" fillId="0" borderId="21" xfId="0" applyFont="1" applyBorder="1" applyAlignment="1" applyProtection="1">
      <alignment horizontal="center" vertical="center"/>
      <protection locked="0"/>
    </xf>
    <xf numFmtId="0" fontId="27" fillId="10" borderId="4" xfId="0" applyFont="1" applyFill="1" applyBorder="1" applyAlignment="1">
      <alignment horizontal="center" vertical="center"/>
    </xf>
    <xf numFmtId="0" fontId="5" fillId="8" borderId="0" xfId="0" applyFont="1" applyFill="1" applyAlignment="1">
      <alignment vertical="center"/>
    </xf>
    <xf numFmtId="0" fontId="5" fillId="8" borderId="0" xfId="0" applyFont="1" applyFill="1" applyAlignment="1">
      <alignment horizontal="center" vertical="center"/>
    </xf>
    <xf numFmtId="0" fontId="40" fillId="11" borderId="0" xfId="0" applyFont="1" applyFill="1"/>
    <xf numFmtId="0" fontId="0" fillId="11" borderId="0" xfId="0" applyFill="1"/>
    <xf numFmtId="0" fontId="13" fillId="0" borderId="0" xfId="0" applyFont="1" applyAlignment="1">
      <alignment horizontal="center" vertical="center"/>
    </xf>
    <xf numFmtId="0" fontId="37" fillId="0" borderId="4" xfId="0" applyFont="1" applyBorder="1" applyAlignment="1">
      <alignment vertical="center"/>
    </xf>
    <xf numFmtId="0" fontId="0" fillId="0" borderId="0" xfId="0" applyAlignment="1">
      <alignment horizontal="left" vertical="center"/>
    </xf>
    <xf numFmtId="0" fontId="35" fillId="0" borderId="0" xfId="0" applyFont="1" applyAlignment="1">
      <alignment horizontal="left" vertical="center"/>
    </xf>
    <xf numFmtId="0" fontId="35" fillId="0" borderId="0" xfId="0" applyFont="1" applyAlignment="1">
      <alignment vertical="center"/>
    </xf>
    <xf numFmtId="0" fontId="36" fillId="0" borderId="1" xfId="0" applyFont="1" applyBorder="1" applyAlignment="1">
      <alignment vertical="center"/>
    </xf>
    <xf numFmtId="0" fontId="37" fillId="0" borderId="7" xfId="0" applyFont="1" applyBorder="1" applyAlignment="1">
      <alignment vertical="center"/>
    </xf>
    <xf numFmtId="0" fontId="37" fillId="0" borderId="0" xfId="0" applyFont="1" applyAlignment="1">
      <alignment vertical="center"/>
    </xf>
    <xf numFmtId="0" fontId="41" fillId="0" borderId="0" xfId="0" applyFont="1" applyAlignment="1">
      <alignment horizontal="left" vertical="center"/>
    </xf>
    <xf numFmtId="0" fontId="42" fillId="0" borderId="1" xfId="0" applyFont="1" applyBorder="1" applyAlignment="1">
      <alignment horizontal="center" vertical="center"/>
    </xf>
    <xf numFmtId="0" fontId="42" fillId="4" borderId="1" xfId="0" applyFont="1" applyFill="1" applyBorder="1" applyAlignment="1">
      <alignment horizontal="center" vertical="center"/>
    </xf>
    <xf numFmtId="0" fontId="42" fillId="4" borderId="4" xfId="0" applyFont="1" applyFill="1" applyBorder="1" applyAlignment="1">
      <alignment horizontal="center" vertical="center"/>
    </xf>
    <xf numFmtId="0" fontId="42" fillId="0" borderId="4" xfId="0" applyFont="1" applyBorder="1" applyAlignment="1">
      <alignment horizontal="center" vertical="center"/>
    </xf>
    <xf numFmtId="0" fontId="32" fillId="0" borderId="0" xfId="0" applyFont="1" applyAlignment="1">
      <alignment horizontal="left" vertical="center"/>
    </xf>
    <xf numFmtId="0" fontId="43" fillId="0" borderId="1" xfId="0" applyFont="1" applyBorder="1" applyAlignment="1">
      <alignment horizontal="center"/>
    </xf>
    <xf numFmtId="0" fontId="41" fillId="0" borderId="0" xfId="0" applyFont="1"/>
    <xf numFmtId="0" fontId="2" fillId="9" borderId="0" xfId="0" applyFont="1" applyFill="1" applyAlignment="1" applyProtection="1">
      <alignment horizontal="center"/>
      <protection locked="0"/>
    </xf>
    <xf numFmtId="0" fontId="2" fillId="0" borderId="0" xfId="0" applyFont="1" applyAlignment="1" applyProtection="1">
      <alignment horizontal="center"/>
      <protection locked="0"/>
    </xf>
    <xf numFmtId="0" fontId="9" fillId="0" borderId="0" xfId="0" applyFont="1"/>
    <xf numFmtId="0" fontId="12" fillId="0" borderId="0" xfId="0" applyFont="1"/>
    <xf numFmtId="14" fontId="13" fillId="0" borderId="0" xfId="0" applyNumberFormat="1" applyFont="1"/>
    <xf numFmtId="0" fontId="13" fillId="0" borderId="0" xfId="0" applyFont="1"/>
    <xf numFmtId="0" fontId="9" fillId="4" borderId="0" xfId="0" applyFont="1" applyFill="1"/>
    <xf numFmtId="0" fontId="0" fillId="0" borderId="1" xfId="0" applyBorder="1"/>
    <xf numFmtId="0" fontId="0" fillId="0" borderId="0" xfId="0" applyAlignment="1" applyProtection="1">
      <alignment horizontal="center"/>
      <protection locked="0"/>
    </xf>
    <xf numFmtId="0" fontId="0" fillId="0" borderId="0" xfId="0" applyProtection="1">
      <protection locked="0"/>
    </xf>
    <xf numFmtId="0" fontId="8" fillId="0" borderId="0" xfId="0" applyFont="1" applyAlignment="1">
      <alignment vertical="center"/>
    </xf>
    <xf numFmtId="0" fontId="8" fillId="0" borderId="0" xfId="0" applyFont="1" applyAlignment="1">
      <alignment horizontal="center" vertical="center"/>
    </xf>
    <xf numFmtId="0" fontId="8" fillId="9" borderId="1" xfId="0" applyFont="1" applyFill="1" applyBorder="1" applyAlignment="1" applyProtection="1">
      <alignment horizontal="center" vertical="center"/>
      <protection locked="0"/>
    </xf>
    <xf numFmtId="0" fontId="28" fillId="9" borderId="1" xfId="0" applyFont="1" applyFill="1" applyBorder="1" applyAlignment="1">
      <alignment horizontal="center" vertical="center"/>
    </xf>
    <xf numFmtId="0" fontId="28" fillId="0" borderId="0" xfId="0" applyFont="1" applyAlignment="1">
      <alignment horizontal="center" vertical="center"/>
    </xf>
    <xf numFmtId="164" fontId="8" fillId="0" borderId="0" xfId="0" applyNumberFormat="1" applyFont="1" applyAlignment="1">
      <alignment horizontal="center" vertical="center"/>
    </xf>
    <xf numFmtId="0" fontId="28" fillId="3" borderId="0" xfId="0" applyFont="1" applyFill="1" applyAlignment="1">
      <alignment vertical="center"/>
    </xf>
    <xf numFmtId="0" fontId="28" fillId="0" borderId="0" xfId="0" applyFont="1" applyAlignment="1">
      <alignment vertical="center"/>
    </xf>
    <xf numFmtId="0" fontId="28" fillId="0" borderId="22" xfId="0" applyFont="1" applyBorder="1" applyAlignment="1">
      <alignment horizontal="center" vertical="center"/>
    </xf>
    <xf numFmtId="0" fontId="8" fillId="9" borderId="23" xfId="0" applyFont="1" applyFill="1" applyBorder="1" applyAlignment="1" applyProtection="1">
      <alignment horizontal="left" vertical="center" wrapText="1"/>
      <protection locked="0"/>
    </xf>
    <xf numFmtId="0" fontId="49" fillId="9" borderId="23" xfId="0" applyFont="1" applyFill="1" applyBorder="1" applyAlignment="1" applyProtection="1">
      <alignment horizontal="left" vertical="center" wrapText="1"/>
      <protection locked="0"/>
    </xf>
    <xf numFmtId="14" fontId="8" fillId="9" borderId="23" xfId="0" applyNumberFormat="1" applyFont="1" applyFill="1" applyBorder="1" applyAlignment="1" applyProtection="1">
      <alignment horizontal="center" vertical="center" wrapText="1"/>
      <protection locked="0"/>
    </xf>
    <xf numFmtId="49" fontId="8" fillId="9" borderId="23" xfId="0" applyNumberFormat="1" applyFont="1" applyFill="1" applyBorder="1" applyAlignment="1" applyProtection="1">
      <alignment horizontal="center" vertical="center" wrapText="1"/>
      <protection locked="0"/>
    </xf>
    <xf numFmtId="0" fontId="28" fillId="9" borderId="23" xfId="0" applyFont="1" applyFill="1" applyBorder="1" applyAlignment="1" applyProtection="1">
      <alignment horizontal="center" vertical="center" wrapText="1"/>
      <protection locked="0"/>
    </xf>
    <xf numFmtId="0" fontId="28" fillId="0" borderId="24" xfId="0" applyFont="1" applyBorder="1" applyAlignment="1">
      <alignment horizontal="center" vertical="center"/>
    </xf>
    <xf numFmtId="0" fontId="28" fillId="9" borderId="1" xfId="0" applyFont="1" applyFill="1" applyBorder="1" applyAlignment="1" applyProtection="1">
      <alignment horizontal="center" vertical="center"/>
      <protection locked="0"/>
    </xf>
    <xf numFmtId="0" fontId="28" fillId="0" borderId="0" xfId="0" applyFont="1" applyAlignment="1">
      <alignment horizontal="center"/>
    </xf>
    <xf numFmtId="164" fontId="8" fillId="0" borderId="0" xfId="0" applyNumberFormat="1" applyFont="1" applyAlignment="1">
      <alignment horizontal="center"/>
    </xf>
    <xf numFmtId="0" fontId="28" fillId="3" borderId="0" xfId="0" applyFont="1" applyFill="1"/>
    <xf numFmtId="0" fontId="2" fillId="0" borderId="1" xfId="0" applyFont="1" applyBorder="1"/>
    <xf numFmtId="0" fontId="10" fillId="0" borderId="0" xfId="0" applyFont="1" applyAlignment="1">
      <alignment horizontal="center"/>
    </xf>
    <xf numFmtId="0" fontId="36" fillId="0" borderId="1" xfId="0" applyFont="1" applyBorder="1" applyAlignment="1">
      <alignment horizontal="center" vertical="center"/>
    </xf>
    <xf numFmtId="0" fontId="32" fillId="0" borderId="0" xfId="0" applyFont="1" applyAlignment="1">
      <alignment vertical="center"/>
    </xf>
    <xf numFmtId="0" fontId="15" fillId="0" borderId="0" xfId="0" applyFont="1" applyAlignment="1">
      <alignment horizontal="center" vertical="center"/>
    </xf>
    <xf numFmtId="0" fontId="50" fillId="0" borderId="0" xfId="0" applyFont="1" applyAlignment="1">
      <alignment horizontal="center" vertical="center"/>
    </xf>
    <xf numFmtId="0" fontId="51" fillId="0" borderId="1" xfId="0" applyFont="1" applyBorder="1" applyAlignment="1">
      <alignment horizontal="center" vertical="center"/>
    </xf>
    <xf numFmtId="0" fontId="52" fillId="0" borderId="1" xfId="0" applyFont="1" applyBorder="1" applyAlignment="1">
      <alignment horizontal="center" vertical="center"/>
    </xf>
    <xf numFmtId="0" fontId="52" fillId="4" borderId="1" xfId="0" applyFont="1" applyFill="1" applyBorder="1" applyAlignment="1">
      <alignment horizontal="center" vertical="center"/>
    </xf>
    <xf numFmtId="0" fontId="42" fillId="0" borderId="0" xfId="0" applyFont="1" applyAlignment="1">
      <alignment horizontal="center" vertical="center"/>
    </xf>
    <xf numFmtId="0" fontId="12" fillId="3" borderId="0" xfId="0" applyFont="1" applyFill="1" applyAlignment="1">
      <alignment horizontal="center" vertical="center"/>
    </xf>
    <xf numFmtId="0" fontId="12" fillId="3" borderId="25" xfId="0" applyFont="1" applyFill="1" applyBorder="1" applyAlignment="1">
      <alignment horizontal="center" vertical="center"/>
    </xf>
    <xf numFmtId="0" fontId="12" fillId="3" borderId="0" xfId="0" applyFont="1" applyFill="1" applyAlignment="1">
      <alignment vertical="center"/>
    </xf>
    <xf numFmtId="0" fontId="10" fillId="3" borderId="0" xfId="0" applyFont="1" applyFill="1" applyAlignment="1">
      <alignment vertical="center"/>
    </xf>
    <xf numFmtId="0" fontId="10" fillId="3" borderId="25" xfId="0" applyFont="1" applyFill="1" applyBorder="1" applyAlignment="1">
      <alignment vertical="center"/>
    </xf>
    <xf numFmtId="0" fontId="10" fillId="3" borderId="0" xfId="0" applyFont="1" applyFill="1" applyAlignment="1">
      <alignment horizontal="center" vertical="center"/>
    </xf>
    <xf numFmtId="0" fontId="10" fillId="3" borderId="25" xfId="0" applyFont="1" applyFill="1" applyBorder="1" applyAlignment="1">
      <alignment horizontal="center" vertical="center"/>
    </xf>
    <xf numFmtId="0" fontId="10" fillId="3" borderId="15" xfId="0" applyFont="1" applyFill="1" applyBorder="1" applyAlignment="1">
      <alignment vertical="center"/>
    </xf>
    <xf numFmtId="0" fontId="10" fillId="3" borderId="26" xfId="0" applyFont="1" applyFill="1" applyBorder="1" applyAlignment="1">
      <alignment vertical="center"/>
    </xf>
    <xf numFmtId="0" fontId="10" fillId="3" borderId="27" xfId="0" applyFont="1" applyFill="1" applyBorder="1" applyAlignment="1">
      <alignment vertical="center"/>
    </xf>
    <xf numFmtId="0" fontId="10" fillId="3" borderId="28" xfId="0" applyFont="1" applyFill="1" applyBorder="1" applyAlignment="1">
      <alignment vertical="center"/>
    </xf>
    <xf numFmtId="0" fontId="10" fillId="3" borderId="29" xfId="0" applyFont="1" applyFill="1" applyBorder="1" applyAlignment="1">
      <alignment vertical="center"/>
    </xf>
    <xf numFmtId="0" fontId="10" fillId="3" borderId="30" xfId="0" applyFont="1" applyFill="1" applyBorder="1" applyAlignment="1">
      <alignment vertical="center"/>
    </xf>
    <xf numFmtId="0" fontId="54" fillId="3" borderId="0" xfId="0" applyFont="1" applyFill="1" applyAlignment="1">
      <alignment vertical="center"/>
    </xf>
    <xf numFmtId="0" fontId="54" fillId="3" borderId="0" xfId="0" applyFont="1" applyFill="1" applyAlignment="1">
      <alignment horizontal="center" vertical="center"/>
    </xf>
    <xf numFmtId="0" fontId="9" fillId="3" borderId="0" xfId="0" applyFont="1" applyFill="1" applyAlignment="1">
      <alignment vertical="center"/>
    </xf>
    <xf numFmtId="0" fontId="54" fillId="3" borderId="25" xfId="0" applyFont="1" applyFill="1" applyBorder="1" applyAlignment="1">
      <alignment vertical="center"/>
    </xf>
    <xf numFmtId="0" fontId="10" fillId="3" borderId="31" xfId="0" applyFont="1" applyFill="1" applyBorder="1" applyAlignment="1">
      <alignment vertical="center"/>
    </xf>
    <xf numFmtId="0" fontId="10" fillId="3" borderId="13" xfId="0" applyFont="1" applyFill="1" applyBorder="1" applyAlignment="1">
      <alignment vertical="center"/>
    </xf>
    <xf numFmtId="0" fontId="10" fillId="3" borderId="32" xfId="0" applyFont="1" applyFill="1" applyBorder="1" applyAlignment="1">
      <alignment vertical="center"/>
    </xf>
    <xf numFmtId="0" fontId="10" fillId="3" borderId="1" xfId="0" applyFont="1" applyFill="1" applyBorder="1" applyAlignment="1">
      <alignment horizontal="center" vertical="center"/>
    </xf>
    <xf numFmtId="14" fontId="12" fillId="3" borderId="0" xfId="0" applyNumberFormat="1" applyFont="1" applyFill="1" applyAlignment="1">
      <alignment horizontal="center" vertical="center"/>
    </xf>
    <xf numFmtId="14" fontId="10" fillId="3" borderId="0" xfId="0" applyNumberFormat="1" applyFont="1" applyFill="1" applyAlignment="1">
      <alignment horizontal="center" vertical="center"/>
    </xf>
    <xf numFmtId="14" fontId="54" fillId="3" borderId="0" xfId="0" applyNumberFormat="1" applyFont="1" applyFill="1" applyAlignment="1">
      <alignment horizontal="center" vertical="center"/>
    </xf>
    <xf numFmtId="0" fontId="10" fillId="3" borderId="1" xfId="0" applyFont="1" applyFill="1" applyBorder="1" applyAlignment="1">
      <alignment vertical="center"/>
    </xf>
    <xf numFmtId="14" fontId="10" fillId="3" borderId="1" xfId="0" applyNumberFormat="1" applyFont="1" applyFill="1" applyBorder="1" applyAlignment="1">
      <alignment horizontal="center" vertical="center"/>
    </xf>
    <xf numFmtId="0" fontId="10" fillId="3" borderId="0" xfId="0" applyFont="1" applyFill="1" applyAlignment="1">
      <alignment horizontal="left" vertical="center"/>
    </xf>
    <xf numFmtId="0" fontId="12" fillId="3" borderId="33" xfId="0" applyFont="1" applyFill="1" applyBorder="1" applyAlignment="1">
      <alignment vertical="center"/>
    </xf>
    <xf numFmtId="0" fontId="12" fillId="3" borderId="34" xfId="0" applyFont="1" applyFill="1" applyBorder="1" applyAlignment="1">
      <alignment vertical="center"/>
    </xf>
    <xf numFmtId="0" fontId="10" fillId="3" borderId="34" xfId="0" applyFont="1" applyFill="1" applyBorder="1" applyAlignment="1">
      <alignment vertical="center"/>
    </xf>
    <xf numFmtId="0" fontId="10" fillId="3" borderId="1" xfId="0" applyFont="1" applyFill="1" applyBorder="1" applyAlignment="1">
      <alignment horizontal="left" vertical="center"/>
    </xf>
    <xf numFmtId="164" fontId="10" fillId="3" borderId="1" xfId="0" applyNumberFormat="1" applyFont="1" applyFill="1" applyBorder="1" applyAlignment="1">
      <alignment horizontal="center" vertical="center"/>
    </xf>
    <xf numFmtId="49" fontId="10" fillId="3" borderId="1" xfId="0" applyNumberFormat="1" applyFont="1" applyFill="1" applyBorder="1" applyAlignment="1">
      <alignment horizontal="center" vertical="center"/>
    </xf>
    <xf numFmtId="0" fontId="9" fillId="0" borderId="0" xfId="0" applyFont="1" applyAlignment="1">
      <alignment horizontal="center" vertical="center"/>
    </xf>
    <xf numFmtId="0" fontId="9" fillId="3" borderId="0" xfId="0" applyFont="1" applyFill="1" applyAlignment="1">
      <alignment horizontal="center" vertical="center"/>
    </xf>
    <xf numFmtId="0" fontId="0" fillId="3" borderId="0" xfId="0" applyFill="1" applyAlignment="1">
      <alignment vertical="center"/>
    </xf>
    <xf numFmtId="0" fontId="13" fillId="3" borderId="0" xfId="0" applyFont="1" applyFill="1" applyAlignment="1">
      <alignment vertical="center"/>
    </xf>
    <xf numFmtId="0" fontId="2" fillId="3" borderId="0" xfId="0" applyFont="1" applyFill="1" applyAlignment="1">
      <alignment horizontal="center" vertical="center"/>
    </xf>
    <xf numFmtId="0" fontId="0" fillId="3" borderId="29" xfId="0" applyFill="1" applyBorder="1" applyAlignment="1">
      <alignment horizontal="center" vertical="center"/>
    </xf>
    <xf numFmtId="0" fontId="0" fillId="3" borderId="30" xfId="0" applyFill="1" applyBorder="1" applyAlignment="1">
      <alignment horizontal="center" vertical="center"/>
    </xf>
    <xf numFmtId="0" fontId="0" fillId="3" borderId="15" xfId="0" applyFill="1" applyBorder="1" applyAlignment="1">
      <alignment horizontal="center" vertical="center"/>
    </xf>
    <xf numFmtId="0" fontId="0" fillId="3" borderId="26" xfId="0" applyFill="1" applyBorder="1" applyAlignment="1">
      <alignment horizontal="center" vertical="center"/>
    </xf>
    <xf numFmtId="0" fontId="0" fillId="3" borderId="27" xfId="0" applyFill="1" applyBorder="1" applyAlignment="1">
      <alignment horizontal="center" vertical="center"/>
    </xf>
    <xf numFmtId="0" fontId="0" fillId="3" borderId="11" xfId="0" applyFill="1" applyBorder="1" applyAlignment="1">
      <alignment horizontal="center" vertical="center"/>
    </xf>
    <xf numFmtId="0" fontId="0" fillId="3" borderId="15" xfId="0" applyFill="1" applyBorder="1" applyAlignment="1">
      <alignment vertical="center"/>
    </xf>
    <xf numFmtId="0" fontId="0" fillId="3" borderId="26" xfId="0" applyFill="1" applyBorder="1" applyAlignment="1">
      <alignment vertical="center"/>
    </xf>
    <xf numFmtId="0" fontId="0" fillId="3" borderId="35" xfId="0" applyFill="1" applyBorder="1" applyAlignment="1">
      <alignment vertical="center"/>
    </xf>
    <xf numFmtId="0" fontId="0" fillId="3" borderId="1" xfId="0" applyFill="1" applyBorder="1" applyAlignment="1">
      <alignment vertical="center"/>
    </xf>
    <xf numFmtId="0" fontId="0" fillId="3" borderId="0" xfId="0" quotePrefix="1" applyFill="1" applyAlignment="1">
      <alignment horizontal="center" vertical="center"/>
    </xf>
    <xf numFmtId="0" fontId="0" fillId="3" borderId="36" xfId="0" applyFill="1" applyBorder="1" applyAlignment="1">
      <alignment vertical="center"/>
    </xf>
    <xf numFmtId="0" fontId="0" fillId="3" borderId="37" xfId="0" applyFill="1" applyBorder="1" applyAlignment="1">
      <alignment vertical="center"/>
    </xf>
    <xf numFmtId="0" fontId="0" fillId="3" borderId="12" xfId="0" applyFill="1" applyBorder="1" applyAlignment="1">
      <alignment vertical="center"/>
    </xf>
    <xf numFmtId="0" fontId="0" fillId="3" borderId="21" xfId="0" applyFill="1" applyBorder="1" applyAlignment="1">
      <alignment vertical="center"/>
    </xf>
    <xf numFmtId="0" fontId="0" fillId="3" borderId="21" xfId="0" applyFill="1" applyBorder="1" applyAlignment="1">
      <alignment horizontal="center" vertical="center"/>
    </xf>
    <xf numFmtId="0" fontId="0" fillId="3" borderId="5" xfId="0" applyFill="1" applyBorder="1" applyAlignment="1">
      <alignment horizontal="center" vertical="center"/>
    </xf>
    <xf numFmtId="0" fontId="0" fillId="3" borderId="21" xfId="0" quotePrefix="1" applyFill="1" applyBorder="1" applyAlignment="1">
      <alignment horizontal="center" vertical="center"/>
    </xf>
    <xf numFmtId="0" fontId="0" fillId="3" borderId="38" xfId="0" applyFill="1" applyBorder="1" applyAlignment="1">
      <alignment vertical="center"/>
    </xf>
    <xf numFmtId="0" fontId="0" fillId="6" borderId="38" xfId="0" applyFill="1" applyBorder="1" applyAlignment="1">
      <alignment vertical="center"/>
    </xf>
    <xf numFmtId="0" fontId="55" fillId="3" borderId="0" xfId="0" applyFont="1" applyFill="1" applyAlignment="1">
      <alignment horizontal="center" vertical="top"/>
    </xf>
    <xf numFmtId="0" fontId="0" fillId="3" borderId="0" xfId="0" applyFill="1" applyAlignment="1">
      <alignment horizontal="right" vertical="center"/>
    </xf>
    <xf numFmtId="0" fontId="0" fillId="3" borderId="31" xfId="0" applyFill="1" applyBorder="1" applyAlignment="1">
      <alignment vertical="center"/>
    </xf>
    <xf numFmtId="0" fontId="0" fillId="3" borderId="13" xfId="0" applyFill="1" applyBorder="1" applyAlignment="1">
      <alignment vertical="center"/>
    </xf>
    <xf numFmtId="0" fontId="0" fillId="3" borderId="32" xfId="0" applyFill="1" applyBorder="1" applyAlignment="1">
      <alignment vertical="center"/>
    </xf>
    <xf numFmtId="0" fontId="0" fillId="3" borderId="0" xfId="0" applyFill="1" applyAlignment="1">
      <alignment horizontal="left" vertical="center"/>
    </xf>
    <xf numFmtId="0" fontId="54" fillId="3" borderId="26" xfId="0" applyFont="1" applyFill="1" applyBorder="1" applyAlignment="1" applyProtection="1">
      <alignment horizontal="center" vertical="center"/>
      <protection locked="0"/>
    </xf>
    <xf numFmtId="0" fontId="0" fillId="3" borderId="27" xfId="0" applyFill="1" applyBorder="1" applyAlignment="1">
      <alignment vertical="center"/>
    </xf>
    <xf numFmtId="0" fontId="0" fillId="3" borderId="1" xfId="0" applyFill="1" applyBorder="1" applyAlignment="1">
      <alignment horizontal="center" vertical="center"/>
    </xf>
    <xf numFmtId="0" fontId="0" fillId="3" borderId="0" xfId="0" applyFill="1" applyAlignment="1">
      <alignment horizontal="center" vertical="center"/>
    </xf>
    <xf numFmtId="0" fontId="11" fillId="3" borderId="0" xfId="0" applyFont="1" applyFill="1" applyAlignment="1">
      <alignment horizontal="center" vertical="center"/>
    </xf>
    <xf numFmtId="0" fontId="15" fillId="3" borderId="0" xfId="0" applyFont="1" applyFill="1" applyAlignment="1">
      <alignment horizontal="center" vertical="center"/>
    </xf>
    <xf numFmtId="0" fontId="55" fillId="3" borderId="13" xfId="0" applyFont="1" applyFill="1" applyBorder="1" applyAlignment="1">
      <alignment horizontal="center" vertical="center"/>
    </xf>
    <xf numFmtId="0" fontId="6" fillId="3" borderId="0" xfId="0" applyFont="1" applyFill="1" applyAlignment="1">
      <alignment vertical="center"/>
    </xf>
    <xf numFmtId="0" fontId="56" fillId="3" borderId="0" xfId="0" applyFont="1" applyFill="1" applyAlignment="1">
      <alignment horizontal="center" vertical="center"/>
    </xf>
    <xf numFmtId="0" fontId="11" fillId="10" borderId="1" xfId="0" applyFont="1" applyFill="1" applyBorder="1" applyAlignment="1" applyProtection="1">
      <alignment horizontal="center" vertical="center"/>
      <protection locked="0"/>
    </xf>
    <xf numFmtId="0" fontId="2" fillId="10" borderId="1" xfId="0" applyFont="1" applyFill="1" applyBorder="1" applyAlignment="1" applyProtection="1">
      <alignment horizontal="center" vertical="center"/>
      <protection locked="0"/>
    </xf>
    <xf numFmtId="0" fontId="54" fillId="3" borderId="28" xfId="0" applyFont="1" applyFill="1" applyBorder="1" applyAlignment="1" applyProtection="1">
      <alignment horizontal="left" vertical="center" indent="1"/>
      <protection locked="0"/>
    </xf>
    <xf numFmtId="0" fontId="54" fillId="3" borderId="15" xfId="0" applyFont="1" applyFill="1" applyBorder="1" applyAlignment="1" applyProtection="1">
      <alignment horizontal="left" vertical="center"/>
      <protection locked="0"/>
    </xf>
    <xf numFmtId="0" fontId="54" fillId="3" borderId="26" xfId="0" applyFont="1" applyFill="1" applyBorder="1" applyAlignment="1" applyProtection="1">
      <alignment horizontal="left" vertical="center"/>
      <protection locked="0"/>
    </xf>
    <xf numFmtId="0" fontId="0" fillId="3" borderId="15" xfId="0" applyFill="1" applyBorder="1" applyAlignment="1" applyProtection="1">
      <alignment horizontal="center" vertical="center"/>
      <protection locked="0"/>
    </xf>
    <xf numFmtId="0" fontId="54" fillId="3" borderId="15" xfId="0" applyFont="1" applyFill="1" applyBorder="1" applyAlignment="1" applyProtection="1">
      <alignment vertical="center"/>
      <protection locked="0"/>
    </xf>
    <xf numFmtId="0" fontId="54" fillId="3" borderId="26" xfId="0" applyFont="1" applyFill="1" applyBorder="1" applyAlignment="1" applyProtection="1">
      <alignment vertical="center"/>
      <protection locked="0"/>
    </xf>
    <xf numFmtId="0" fontId="13" fillId="3" borderId="1" xfId="0" applyFont="1" applyFill="1" applyBorder="1" applyAlignment="1" applyProtection="1">
      <alignment horizontal="center" vertical="center"/>
      <protection locked="0"/>
    </xf>
    <xf numFmtId="0" fontId="0" fillId="3" borderId="15" xfId="0" applyFill="1" applyBorder="1" applyAlignment="1" applyProtection="1">
      <alignment vertical="center"/>
      <protection locked="0"/>
    </xf>
    <xf numFmtId="0" fontId="58" fillId="12" borderId="1" xfId="0" applyFont="1" applyFill="1" applyBorder="1" applyAlignment="1" applyProtection="1">
      <alignment horizontal="center" vertical="center"/>
      <protection locked="0"/>
    </xf>
    <xf numFmtId="0" fontId="59" fillId="12" borderId="1" xfId="0" applyFont="1" applyFill="1" applyBorder="1" applyAlignment="1" applyProtection="1">
      <alignment horizontal="center" vertical="center"/>
      <protection locked="0"/>
    </xf>
    <xf numFmtId="0" fontId="10" fillId="0" borderId="1" xfId="0" applyFont="1" applyBorder="1" applyAlignment="1">
      <alignment vertical="center"/>
    </xf>
    <xf numFmtId="0" fontId="60" fillId="0" borderId="1" xfId="0" applyFont="1" applyBorder="1"/>
    <xf numFmtId="0" fontId="61" fillId="0" borderId="1" xfId="0" applyFont="1" applyBorder="1" applyAlignment="1">
      <alignment horizontal="center"/>
    </xf>
    <xf numFmtId="0" fontId="14" fillId="0" borderId="0" xfId="0" applyFont="1" applyAlignment="1">
      <alignment horizontal="center"/>
    </xf>
    <xf numFmtId="0" fontId="10" fillId="4" borderId="1" xfId="0" applyFont="1" applyFill="1" applyBorder="1" applyAlignment="1">
      <alignment vertical="center"/>
    </xf>
    <xf numFmtId="0" fontId="10" fillId="4" borderId="39" xfId="0" applyFont="1" applyFill="1" applyBorder="1" applyAlignment="1">
      <alignment vertical="center"/>
    </xf>
    <xf numFmtId="0" fontId="10" fillId="4" borderId="4" xfId="0" applyFont="1" applyFill="1" applyBorder="1" applyAlignment="1">
      <alignment vertical="center"/>
    </xf>
    <xf numFmtId="0" fontId="10" fillId="0" borderId="4" xfId="0" applyFont="1" applyBorder="1" applyAlignment="1">
      <alignment vertical="center"/>
    </xf>
    <xf numFmtId="0" fontId="15" fillId="3" borderId="40" xfId="0" applyFont="1" applyFill="1" applyBorder="1" applyAlignment="1">
      <alignment horizontal="left" vertical="center"/>
    </xf>
    <xf numFmtId="0" fontId="15" fillId="3" borderId="39" xfId="0" applyFont="1" applyFill="1" applyBorder="1" applyAlignment="1">
      <alignment horizontal="left" vertical="center"/>
    </xf>
    <xf numFmtId="0" fontId="15" fillId="3" borderId="31" xfId="0" applyFont="1" applyFill="1" applyBorder="1" applyAlignment="1">
      <alignment horizontal="left" vertical="center"/>
    </xf>
    <xf numFmtId="0" fontId="15" fillId="0" borderId="4" xfId="0" applyFont="1" applyBorder="1" applyAlignment="1" applyProtection="1">
      <alignment horizontal="center" vertical="center"/>
      <protection locked="0"/>
    </xf>
    <xf numFmtId="0" fontId="15" fillId="3" borderId="6" xfId="0" applyFont="1" applyFill="1" applyBorder="1" applyAlignment="1">
      <alignment horizontal="center" vertical="center"/>
    </xf>
    <xf numFmtId="0" fontId="15" fillId="3" borderId="7" xfId="0" applyFont="1" applyFill="1" applyBorder="1" applyAlignment="1">
      <alignment horizontal="center" vertical="center"/>
    </xf>
    <xf numFmtId="164" fontId="15" fillId="3" borderId="39" xfId="0" applyNumberFormat="1" applyFont="1" applyFill="1" applyBorder="1" applyAlignment="1">
      <alignment horizontal="left" vertical="center"/>
    </xf>
    <xf numFmtId="14" fontId="15" fillId="3" borderId="39" xfId="0" applyNumberFormat="1" applyFont="1" applyFill="1" applyBorder="1" applyAlignment="1">
      <alignment horizontal="left" vertical="center"/>
    </xf>
    <xf numFmtId="0" fontId="62" fillId="3" borderId="0" xfId="0" applyFont="1" applyFill="1" applyAlignment="1">
      <alignment horizontal="center"/>
    </xf>
    <xf numFmtId="0" fontId="13" fillId="6" borderId="1" xfId="0" applyFont="1" applyFill="1" applyBorder="1" applyAlignment="1">
      <alignment horizontal="center" vertical="center"/>
    </xf>
    <xf numFmtId="0" fontId="2" fillId="3" borderId="0" xfId="0" applyFont="1" applyFill="1" applyAlignment="1">
      <alignment horizontal="left" vertical="center" indent="4"/>
    </xf>
    <xf numFmtId="0" fontId="11" fillId="10" borderId="1" xfId="0" applyFont="1" applyFill="1" applyBorder="1" applyAlignment="1">
      <alignment horizontal="center" vertical="center"/>
    </xf>
    <xf numFmtId="0" fontId="2" fillId="3" borderId="40" xfId="0" applyFont="1" applyFill="1" applyBorder="1" applyAlignment="1">
      <alignment horizontal="right" vertical="center"/>
    </xf>
    <xf numFmtId="0" fontId="2" fillId="3" borderId="33" xfId="0" applyFont="1" applyFill="1" applyBorder="1" applyAlignment="1">
      <alignment horizontal="center" vertical="center"/>
    </xf>
    <xf numFmtId="0" fontId="2" fillId="3" borderId="15" xfId="0" applyFont="1" applyFill="1" applyBorder="1" applyAlignment="1">
      <alignment horizontal="right" vertical="center"/>
    </xf>
    <xf numFmtId="0" fontId="2" fillId="3" borderId="27" xfId="0" applyFont="1" applyFill="1" applyBorder="1" applyAlignment="1">
      <alignment horizontal="center" vertical="center"/>
    </xf>
    <xf numFmtId="0" fontId="2" fillId="3" borderId="31" xfId="0" applyFont="1" applyFill="1" applyBorder="1" applyAlignment="1">
      <alignment horizontal="right" vertical="center"/>
    </xf>
    <xf numFmtId="0" fontId="2" fillId="3" borderId="32" xfId="0" applyFont="1" applyFill="1" applyBorder="1" applyAlignment="1">
      <alignment horizontal="center" vertical="center"/>
    </xf>
    <xf numFmtId="0" fontId="9" fillId="3" borderId="1" xfId="0" applyFont="1" applyFill="1" applyBorder="1" applyAlignment="1">
      <alignment horizontal="center" vertical="center"/>
    </xf>
    <xf numFmtId="0" fontId="40" fillId="0" borderId="0" xfId="0" applyFont="1" applyAlignment="1">
      <alignment horizontal="center" vertical="center"/>
    </xf>
    <xf numFmtId="0" fontId="63" fillId="0" borderId="0" xfId="0" applyFont="1" applyAlignment="1">
      <alignment horizontal="center" vertical="center"/>
    </xf>
    <xf numFmtId="0" fontId="47" fillId="0" borderId="1" xfId="0" applyFont="1" applyBorder="1" applyAlignment="1">
      <alignment vertical="center"/>
    </xf>
    <xf numFmtId="0" fontId="47" fillId="0" borderId="1" xfId="0" applyFont="1" applyBorder="1" applyAlignment="1">
      <alignment horizontal="center" vertical="center"/>
    </xf>
    <xf numFmtId="0" fontId="47" fillId="4" borderId="1" xfId="0" applyFont="1" applyFill="1" applyBorder="1" applyAlignment="1">
      <alignment horizontal="center" vertical="center"/>
    </xf>
    <xf numFmtId="0" fontId="10" fillId="0" borderId="0" xfId="0" applyFont="1" applyAlignment="1">
      <alignment horizontal="center" vertical="center"/>
    </xf>
    <xf numFmtId="0" fontId="11" fillId="0" borderId="0" xfId="0" applyFont="1" applyAlignment="1">
      <alignment horizontal="left" vertical="center" indent="1"/>
    </xf>
    <xf numFmtId="0" fontId="53" fillId="0" borderId="0" xfId="0" applyFont="1" applyAlignment="1">
      <alignment horizontal="center"/>
    </xf>
    <xf numFmtId="0" fontId="53" fillId="0" borderId="1" xfId="0" applyFont="1" applyBorder="1" applyAlignment="1">
      <alignment horizontal="center"/>
    </xf>
    <xf numFmtId="0" fontId="0" fillId="3" borderId="12" xfId="0" applyFill="1" applyBorder="1" applyAlignment="1">
      <alignment horizontal="center" vertical="center"/>
    </xf>
    <xf numFmtId="0" fontId="2" fillId="3" borderId="16" xfId="0" applyFont="1" applyFill="1" applyBorder="1" applyAlignment="1">
      <alignment horizontal="center" vertical="center"/>
    </xf>
    <xf numFmtId="0" fontId="0" fillId="3" borderId="0" xfId="0" applyFill="1" applyAlignment="1">
      <alignment horizontal="center"/>
    </xf>
    <xf numFmtId="0" fontId="0" fillId="3" borderId="16" xfId="0" applyFill="1" applyBorder="1" applyAlignment="1">
      <alignment horizontal="center" vertical="center"/>
    </xf>
    <xf numFmtId="0" fontId="0" fillId="3" borderId="16" xfId="0" applyFill="1" applyBorder="1" applyAlignment="1">
      <alignment vertical="center"/>
    </xf>
    <xf numFmtId="0" fontId="0" fillId="3" borderId="9" xfId="0" applyFill="1" applyBorder="1" applyAlignment="1">
      <alignment vertical="center"/>
    </xf>
    <xf numFmtId="0" fontId="0" fillId="3" borderId="5" xfId="0" applyFill="1" applyBorder="1" applyAlignment="1">
      <alignment vertical="center"/>
    </xf>
    <xf numFmtId="0" fontId="0" fillId="3" borderId="41" xfId="0" applyFill="1" applyBorder="1" applyAlignment="1">
      <alignment vertical="center"/>
    </xf>
    <xf numFmtId="0" fontId="0" fillId="3" borderId="42" xfId="0" applyFill="1" applyBorder="1" applyAlignment="1">
      <alignment vertical="center"/>
    </xf>
    <xf numFmtId="0" fontId="0" fillId="3" borderId="41" xfId="0" applyFill="1" applyBorder="1" applyAlignment="1">
      <alignment horizontal="center" vertical="center"/>
    </xf>
    <xf numFmtId="0" fontId="0" fillId="3" borderId="43" xfId="0" applyFill="1" applyBorder="1" applyAlignment="1">
      <alignment vertical="center"/>
    </xf>
    <xf numFmtId="0" fontId="0" fillId="3" borderId="42" xfId="0" applyFill="1" applyBorder="1" applyAlignment="1">
      <alignment horizontal="center" vertical="center"/>
    </xf>
    <xf numFmtId="0" fontId="0" fillId="3" borderId="44" xfId="0" applyFill="1" applyBorder="1" applyAlignment="1">
      <alignment vertical="center"/>
    </xf>
    <xf numFmtId="0" fontId="0" fillId="3" borderId="8" xfId="0" applyFill="1" applyBorder="1" applyAlignment="1">
      <alignment horizontal="center" vertical="center"/>
    </xf>
    <xf numFmtId="0" fontId="8" fillId="9" borderId="45" xfId="0" applyFont="1" applyFill="1" applyBorder="1" applyAlignment="1" applyProtection="1">
      <alignment horizontal="left" vertical="center" wrapText="1"/>
      <protection locked="0"/>
    </xf>
    <xf numFmtId="0" fontId="49" fillId="9" borderId="45" xfId="0" applyFont="1" applyFill="1" applyBorder="1" applyAlignment="1" applyProtection="1">
      <alignment horizontal="left" vertical="center" wrapText="1"/>
      <protection locked="0"/>
    </xf>
    <xf numFmtId="14" fontId="8" fillId="9" borderId="45" xfId="0" applyNumberFormat="1" applyFont="1" applyFill="1" applyBorder="1" applyAlignment="1" applyProtection="1">
      <alignment horizontal="left" vertical="center" wrapText="1"/>
      <protection locked="0"/>
    </xf>
    <xf numFmtId="14" fontId="8" fillId="9" borderId="45" xfId="0" applyNumberFormat="1" applyFont="1" applyFill="1" applyBorder="1" applyAlignment="1" applyProtection="1">
      <alignment horizontal="center" vertical="center" wrapText="1"/>
      <protection locked="0"/>
    </xf>
    <xf numFmtId="49" fontId="8" fillId="9" borderId="45" xfId="0" applyNumberFormat="1" applyFont="1" applyFill="1" applyBorder="1" applyAlignment="1" applyProtection="1">
      <alignment horizontal="center" vertical="center" wrapText="1"/>
      <protection locked="0"/>
    </xf>
    <xf numFmtId="0" fontId="28" fillId="9" borderId="7" xfId="0" applyFont="1" applyFill="1" applyBorder="1" applyAlignment="1" applyProtection="1">
      <alignment horizontal="center" vertical="center"/>
      <protection locked="0"/>
    </xf>
    <xf numFmtId="0" fontId="8" fillId="9" borderId="7" xfId="0" applyFont="1" applyFill="1" applyBorder="1" applyAlignment="1" applyProtection="1">
      <alignment horizontal="center" vertical="center"/>
      <protection locked="0"/>
    </xf>
    <xf numFmtId="0" fontId="28" fillId="9" borderId="7" xfId="0" applyFont="1" applyFill="1" applyBorder="1" applyAlignment="1">
      <alignment horizontal="center" vertical="center"/>
    </xf>
    <xf numFmtId="0" fontId="8" fillId="9" borderId="47" xfId="0" applyFont="1" applyFill="1" applyBorder="1" applyAlignment="1" applyProtection="1">
      <alignment horizontal="left" vertical="center" wrapText="1"/>
      <protection locked="0"/>
    </xf>
    <xf numFmtId="0" fontId="49" fillId="9" borderId="47" xfId="0" applyFont="1" applyFill="1" applyBorder="1" applyAlignment="1" applyProtection="1">
      <alignment horizontal="left" vertical="center" wrapText="1"/>
      <protection locked="0"/>
    </xf>
    <xf numFmtId="14" fontId="8" fillId="9" borderId="47" xfId="0" applyNumberFormat="1" applyFont="1" applyFill="1" applyBorder="1" applyAlignment="1" applyProtection="1">
      <alignment horizontal="center" vertical="center" wrapText="1"/>
      <protection locked="0"/>
    </xf>
    <xf numFmtId="49" fontId="8" fillId="9" borderId="47" xfId="0" applyNumberFormat="1" applyFont="1" applyFill="1" applyBorder="1" applyAlignment="1" applyProtection="1">
      <alignment horizontal="center" vertical="center" wrapText="1"/>
      <protection locked="0"/>
    </xf>
    <xf numFmtId="0" fontId="8" fillId="9" borderId="48" xfId="0" applyFont="1" applyFill="1" applyBorder="1" applyAlignment="1" applyProtection="1">
      <alignment horizontal="center" vertical="center"/>
      <protection locked="0"/>
    </xf>
    <xf numFmtId="0" fontId="28" fillId="9" borderId="48" xfId="0" applyFont="1" applyFill="1" applyBorder="1" applyAlignment="1" applyProtection="1">
      <alignment horizontal="center" vertical="center"/>
      <protection locked="0"/>
    </xf>
    <xf numFmtId="0" fontId="28" fillId="8" borderId="1" xfId="0" applyFont="1" applyFill="1" applyBorder="1" applyAlignment="1">
      <alignment vertical="center"/>
    </xf>
    <xf numFmtId="0" fontId="8" fillId="8" borderId="1" xfId="0" applyFont="1" applyFill="1" applyBorder="1" applyAlignment="1">
      <alignment vertical="center"/>
    </xf>
    <xf numFmtId="0" fontId="28" fillId="8" borderId="1" xfId="0" applyFont="1" applyFill="1" applyBorder="1" applyAlignment="1">
      <alignment horizontal="center" vertical="center"/>
    </xf>
    <xf numFmtId="0" fontId="28" fillId="8" borderId="15" xfId="0" applyFont="1" applyFill="1" applyBorder="1" applyAlignment="1">
      <alignment horizontal="center" vertical="center"/>
    </xf>
    <xf numFmtId="164" fontId="28" fillId="8" borderId="49" xfId="0" applyNumberFormat="1" applyFont="1" applyFill="1" applyBorder="1" applyAlignment="1">
      <alignment horizontal="center" vertical="center"/>
    </xf>
    <xf numFmtId="164" fontId="28" fillId="8" borderId="45" xfId="0" applyNumberFormat="1" applyFont="1" applyFill="1" applyBorder="1" applyAlignment="1">
      <alignment horizontal="center" vertical="center"/>
    </xf>
    <xf numFmtId="0" fontId="28" fillId="8" borderId="49" xfId="0" applyFont="1" applyFill="1" applyBorder="1" applyAlignment="1">
      <alignment horizontal="center" vertical="center"/>
    </xf>
    <xf numFmtId="0" fontId="28" fillId="8" borderId="45" xfId="0" applyFont="1" applyFill="1" applyBorder="1" applyAlignment="1">
      <alignment horizontal="center" vertical="center"/>
    </xf>
    <xf numFmtId="0" fontId="28" fillId="8" borderId="50" xfId="0" applyFont="1" applyFill="1" applyBorder="1" applyAlignment="1">
      <alignment horizontal="center" vertical="center"/>
    </xf>
    <xf numFmtId="0" fontId="28" fillId="8" borderId="4" xfId="0" applyFont="1" applyFill="1" applyBorder="1" applyAlignment="1">
      <alignment horizontal="center" vertical="center"/>
    </xf>
    <xf numFmtId="0" fontId="28" fillId="8" borderId="7" xfId="0" applyFont="1" applyFill="1" applyBorder="1" applyAlignment="1">
      <alignment horizontal="center" vertical="center"/>
    </xf>
    <xf numFmtId="14" fontId="0" fillId="0" borderId="1" xfId="0" applyNumberFormat="1" applyBorder="1" applyAlignment="1" applyProtection="1">
      <alignment horizontal="center" vertical="center"/>
      <protection locked="0"/>
    </xf>
    <xf numFmtId="0" fontId="8" fillId="0" borderId="1" xfId="0" applyFont="1" applyBorder="1" applyAlignment="1">
      <alignment horizontal="right" vertical="center"/>
    </xf>
    <xf numFmtId="0" fontId="28" fillId="9" borderId="1" xfId="0" applyFont="1" applyFill="1" applyBorder="1" applyAlignment="1" applyProtection="1">
      <alignment vertical="center"/>
      <protection locked="0"/>
    </xf>
    <xf numFmtId="166" fontId="28" fillId="9" borderId="1" xfId="0" applyNumberFormat="1" applyFont="1" applyFill="1" applyBorder="1" applyAlignment="1" applyProtection="1">
      <alignment vertical="center"/>
      <protection locked="0"/>
    </xf>
    <xf numFmtId="0" fontId="8" fillId="0" borderId="0" xfId="0" applyFont="1" applyAlignment="1">
      <alignment horizontal="right" vertical="center"/>
    </xf>
    <xf numFmtId="0" fontId="0" fillId="13" borderId="1" xfId="0" applyFill="1" applyBorder="1"/>
    <xf numFmtId="0" fontId="2" fillId="7" borderId="0" xfId="0" applyFont="1" applyFill="1" applyAlignment="1">
      <alignment horizontal="center" vertical="center"/>
    </xf>
    <xf numFmtId="0" fontId="2" fillId="0" borderId="1" xfId="0" applyFont="1" applyBorder="1" applyAlignment="1">
      <alignment horizontal="center"/>
    </xf>
    <xf numFmtId="0" fontId="15" fillId="0" borderId="0" xfId="0" applyFont="1"/>
    <xf numFmtId="0" fontId="15" fillId="0" borderId="0" xfId="3"/>
    <xf numFmtId="0" fontId="5" fillId="0" borderId="0" xfId="3" applyFont="1"/>
    <xf numFmtId="0" fontId="27" fillId="0" borderId="0" xfId="3" applyFont="1" applyAlignment="1">
      <alignment horizontal="center"/>
    </xf>
    <xf numFmtId="0" fontId="24" fillId="0" borderId="0" xfId="3" applyFont="1"/>
    <xf numFmtId="0" fontId="15" fillId="0" borderId="0" xfId="3" applyAlignment="1">
      <alignment vertical="center"/>
    </xf>
    <xf numFmtId="0" fontId="5" fillId="0" borderId="0" xfId="3" applyFont="1" applyAlignment="1">
      <alignment vertical="center"/>
    </xf>
    <xf numFmtId="0" fontId="14" fillId="0" borderId="0" xfId="3" applyFont="1" applyAlignment="1">
      <alignment horizontal="center"/>
    </xf>
    <xf numFmtId="0" fontId="27" fillId="0" borderId="0" xfId="3" applyFont="1" applyAlignment="1">
      <alignment horizontal="center" vertical="center"/>
    </xf>
    <xf numFmtId="0" fontId="24" fillId="0" borderId="0" xfId="3" applyFont="1" applyAlignment="1">
      <alignment vertical="center"/>
    </xf>
    <xf numFmtId="0" fontId="9" fillId="0" borderId="0" xfId="3" applyFont="1" applyAlignment="1">
      <alignment horizontal="center"/>
    </xf>
    <xf numFmtId="0" fontId="5" fillId="0" borderId="0" xfId="3" applyFont="1" applyAlignment="1">
      <alignment horizontal="center" vertical="center"/>
    </xf>
    <xf numFmtId="0" fontId="25" fillId="0" borderId="0" xfId="3" applyFont="1" applyAlignment="1">
      <alignment horizontal="center" vertical="center"/>
    </xf>
    <xf numFmtId="0" fontId="26" fillId="0" borderId="0" xfId="3" applyFont="1" applyAlignment="1">
      <alignment vertical="center"/>
    </xf>
    <xf numFmtId="0" fontId="25" fillId="0" borderId="0" xfId="3" applyFont="1" applyAlignment="1">
      <alignment vertical="center"/>
    </xf>
    <xf numFmtId="0" fontId="31" fillId="0" borderId="0" xfId="3" applyFont="1" applyAlignment="1">
      <alignment horizontal="center" vertical="center"/>
    </xf>
    <xf numFmtId="16" fontId="25" fillId="0" borderId="0" xfId="3" applyNumberFormat="1" applyFont="1" applyAlignment="1">
      <alignment horizontal="center" vertical="center"/>
    </xf>
    <xf numFmtId="16" fontId="26" fillId="0" borderId="0" xfId="3" applyNumberFormat="1" applyFont="1" applyAlignment="1">
      <alignment vertical="center"/>
    </xf>
    <xf numFmtId="0" fontId="15" fillId="0" borderId="0" xfId="3" applyAlignment="1">
      <alignment horizontal="center" vertical="center"/>
    </xf>
    <xf numFmtId="0" fontId="27" fillId="0" borderId="4" xfId="3" applyFont="1" applyBorder="1" applyAlignment="1">
      <alignment horizontal="center" vertical="center"/>
    </xf>
    <xf numFmtId="0" fontId="27" fillId="10" borderId="4" xfId="3" applyFont="1" applyFill="1" applyBorder="1" applyAlignment="1">
      <alignment horizontal="center" vertical="center"/>
    </xf>
    <xf numFmtId="0" fontId="24" fillId="0" borderId="17" xfId="3" applyFont="1" applyBorder="1" applyAlignment="1">
      <alignment horizontal="center" vertical="center"/>
    </xf>
    <xf numFmtId="0" fontId="27" fillId="0" borderId="7" xfId="3" applyFont="1" applyBorder="1" applyAlignment="1">
      <alignment horizontal="center" vertical="center"/>
    </xf>
    <xf numFmtId="0" fontId="28" fillId="9" borderId="14" xfId="3" applyFont="1" applyFill="1" applyBorder="1" applyAlignment="1" applyProtection="1">
      <alignment horizontal="center" vertical="center"/>
      <protection locked="0"/>
    </xf>
    <xf numFmtId="0" fontId="24" fillId="0" borderId="18" xfId="3" applyFont="1" applyBorder="1" applyAlignment="1">
      <alignment horizontal="center" vertical="center"/>
    </xf>
    <xf numFmtId="0" fontId="10" fillId="0" borderId="0" xfId="3" applyFont="1" applyAlignment="1">
      <alignment vertical="center"/>
    </xf>
    <xf numFmtId="0" fontId="2" fillId="0" borderId="0" xfId="3" applyFont="1" applyAlignment="1">
      <alignment horizontal="center" vertical="center"/>
    </xf>
    <xf numFmtId="0" fontId="24" fillId="0" borderId="19" xfId="3" applyFont="1" applyBorder="1" applyAlignment="1">
      <alignment horizontal="center" vertical="center"/>
    </xf>
    <xf numFmtId="0" fontId="24" fillId="0" borderId="14" xfId="3" applyFont="1" applyBorder="1" applyAlignment="1">
      <alignment horizontal="center" vertical="center"/>
    </xf>
    <xf numFmtId="0" fontId="24" fillId="0" borderId="0" xfId="3" applyFont="1" applyAlignment="1">
      <alignment horizontal="left" vertical="center"/>
    </xf>
    <xf numFmtId="0" fontId="29" fillId="0" borderId="7" xfId="3" applyFont="1" applyBorder="1" applyAlignment="1">
      <alignment horizontal="center" vertical="center"/>
    </xf>
    <xf numFmtId="0" fontId="30" fillId="0" borderId="0" xfId="3" applyFont="1" applyAlignment="1">
      <alignment vertical="center"/>
    </xf>
    <xf numFmtId="0" fontId="28" fillId="0" borderId="0" xfId="3" applyFont="1" applyAlignment="1" applyProtection="1">
      <alignment horizontal="center" vertical="center"/>
      <protection locked="0"/>
    </xf>
    <xf numFmtId="0" fontId="40" fillId="0" borderId="0" xfId="3" applyFont="1" applyAlignment="1">
      <alignment horizontal="center" vertical="center"/>
    </xf>
    <xf numFmtId="0" fontId="28" fillId="0" borderId="21" xfId="3" applyFont="1" applyBorder="1" applyAlignment="1" applyProtection="1">
      <alignment horizontal="center" vertical="center"/>
      <protection locked="0"/>
    </xf>
    <xf numFmtId="0" fontId="15" fillId="0" borderId="0" xfId="3" applyProtection="1">
      <protection hidden="1"/>
    </xf>
    <xf numFmtId="0" fontId="6" fillId="10" borderId="20" xfId="3" applyFont="1" applyFill="1" applyBorder="1" applyAlignment="1" applyProtection="1">
      <alignment horizontal="center" vertical="center"/>
      <protection hidden="1"/>
    </xf>
    <xf numFmtId="0" fontId="28" fillId="9" borderId="14" xfId="3" applyFont="1" applyFill="1" applyBorder="1" applyAlignment="1" applyProtection="1">
      <alignment horizontal="center" vertical="center"/>
      <protection hidden="1"/>
    </xf>
    <xf numFmtId="0" fontId="53" fillId="14" borderId="0" xfId="3" applyFont="1" applyFill="1" applyAlignment="1">
      <alignment horizontal="center" vertical="center"/>
    </xf>
    <xf numFmtId="0" fontId="40" fillId="14" borderId="0" xfId="3" applyFont="1" applyFill="1" applyAlignment="1">
      <alignment horizontal="center" vertical="center"/>
    </xf>
    <xf numFmtId="0" fontId="15" fillId="14" borderId="0" xfId="3" applyFill="1" applyAlignment="1">
      <alignment vertical="center"/>
    </xf>
    <xf numFmtId="0" fontId="9" fillId="0" borderId="0" xfId="0" quotePrefix="1" applyFont="1"/>
    <xf numFmtId="0" fontId="12" fillId="3" borderId="51" xfId="0" applyFont="1" applyFill="1" applyBorder="1" applyAlignment="1">
      <alignment horizontal="center" vertical="center"/>
    </xf>
    <xf numFmtId="0" fontId="12" fillId="3" borderId="52" xfId="0" applyFont="1" applyFill="1" applyBorder="1" applyAlignment="1">
      <alignment horizontal="center" vertical="center"/>
    </xf>
    <xf numFmtId="0" fontId="12" fillId="3" borderId="51" xfId="0" applyFont="1" applyFill="1" applyBorder="1" applyAlignment="1">
      <alignment vertical="center"/>
    </xf>
    <xf numFmtId="0" fontId="68" fillId="3" borderId="0" xfId="0" applyFont="1" applyFill="1" applyAlignment="1">
      <alignment vertical="center"/>
    </xf>
    <xf numFmtId="0" fontId="27" fillId="3" borderId="0" xfId="0" applyFont="1" applyFill="1" applyAlignment="1">
      <alignment vertical="center"/>
    </xf>
    <xf numFmtId="0" fontId="15" fillId="3" borderId="0" xfId="0" applyFont="1" applyFill="1" applyAlignment="1">
      <alignment vertical="center"/>
    </xf>
    <xf numFmtId="0" fontId="54" fillId="3" borderId="28" xfId="0" applyFont="1" applyFill="1" applyBorder="1" applyAlignment="1" applyProtection="1">
      <alignment vertical="center"/>
      <protection locked="0"/>
    </xf>
    <xf numFmtId="0" fontId="54" fillId="3" borderId="29" xfId="0" applyFont="1" applyFill="1" applyBorder="1" applyAlignment="1" applyProtection="1">
      <alignment vertical="center"/>
      <protection locked="0"/>
    </xf>
    <xf numFmtId="0" fontId="54" fillId="3" borderId="30" xfId="0" applyFont="1" applyFill="1" applyBorder="1" applyAlignment="1" applyProtection="1">
      <alignment vertical="center"/>
      <protection locked="0"/>
    </xf>
    <xf numFmtId="0" fontId="68" fillId="15" borderId="1" xfId="0" applyFont="1" applyFill="1" applyBorder="1" applyAlignment="1">
      <alignment horizontal="center" vertical="center"/>
    </xf>
    <xf numFmtId="0" fontId="13" fillId="15" borderId="1" xfId="0" applyFont="1" applyFill="1" applyBorder="1" applyAlignment="1" applyProtection="1">
      <alignment horizontal="center" vertical="center"/>
      <protection locked="0"/>
    </xf>
    <xf numFmtId="0" fontId="54" fillId="3" borderId="15" xfId="0" applyFont="1" applyFill="1" applyBorder="1" applyAlignment="1" applyProtection="1">
      <alignment horizontal="right" vertical="center"/>
      <protection locked="0"/>
    </xf>
    <xf numFmtId="0" fontId="0" fillId="16" borderId="1" xfId="0" applyFill="1" applyBorder="1"/>
    <xf numFmtId="14" fontId="0" fillId="16" borderId="1" xfId="0" applyNumberFormat="1" applyFill="1" applyBorder="1"/>
    <xf numFmtId="0" fontId="0" fillId="0" borderId="8" xfId="0" applyBorder="1"/>
    <xf numFmtId="0" fontId="0" fillId="0" borderId="10" xfId="0" applyBorder="1"/>
    <xf numFmtId="0" fontId="0" fillId="0" borderId="11" xfId="0" applyBorder="1"/>
    <xf numFmtId="0" fontId="0" fillId="17" borderId="8" xfId="0" applyFill="1" applyBorder="1"/>
    <xf numFmtId="0" fontId="0" fillId="17" borderId="1" xfId="0" applyFill="1" applyBorder="1" applyAlignment="1">
      <alignment horizontal="center"/>
    </xf>
    <xf numFmtId="0" fontId="0" fillId="0" borderId="53" xfId="0" applyBorder="1" applyAlignment="1">
      <alignment vertical="center"/>
    </xf>
    <xf numFmtId="0" fontId="0" fillId="0" borderId="54" xfId="0" applyBorder="1" applyAlignment="1">
      <alignment vertical="center"/>
    </xf>
    <xf numFmtId="0" fontId="0" fillId="0" borderId="35" xfId="0" applyBorder="1" applyAlignment="1">
      <alignment vertical="center"/>
    </xf>
    <xf numFmtId="0" fontId="0" fillId="0" borderId="55" xfId="0" applyBorder="1" applyAlignment="1">
      <alignment vertical="center"/>
    </xf>
    <xf numFmtId="0" fontId="0" fillId="0" borderId="56" xfId="0" applyBorder="1" applyAlignment="1">
      <alignment vertical="center"/>
    </xf>
    <xf numFmtId="14" fontId="0" fillId="0" borderId="54" xfId="0" applyNumberFormat="1" applyBorder="1" applyAlignment="1">
      <alignment horizontal="center" vertical="center"/>
    </xf>
    <xf numFmtId="0" fontId="0" fillId="0" borderId="54" xfId="0" applyBorder="1" applyAlignment="1">
      <alignment horizontal="center" vertical="center"/>
    </xf>
    <xf numFmtId="0" fontId="0" fillId="0" borderId="56" xfId="0" applyBorder="1" applyAlignment="1">
      <alignment horizontal="center" vertical="center"/>
    </xf>
    <xf numFmtId="14" fontId="0" fillId="0" borderId="56" xfId="0" applyNumberFormat="1" applyBorder="1" applyAlignment="1">
      <alignment horizontal="center" vertical="center"/>
    </xf>
    <xf numFmtId="0" fontId="17" fillId="0" borderId="0" xfId="0" applyFont="1"/>
    <xf numFmtId="0" fontId="69" fillId="0" borderId="0" xfId="0" applyFont="1" applyAlignment="1">
      <alignment vertical="center"/>
    </xf>
    <xf numFmtId="0" fontId="70" fillId="0" borderId="0" xfId="0" applyFont="1" applyAlignment="1">
      <alignment vertical="center"/>
    </xf>
    <xf numFmtId="0" fontId="71" fillId="0" borderId="0" xfId="0" applyFont="1" applyAlignment="1">
      <alignment vertical="center"/>
    </xf>
    <xf numFmtId="0" fontId="37" fillId="18" borderId="0" xfId="0" applyFont="1" applyFill="1" applyAlignment="1">
      <alignment vertical="center"/>
    </xf>
    <xf numFmtId="0" fontId="72" fillId="0" borderId="0" xfId="0" applyFont="1" applyAlignment="1">
      <alignment horizontal="right"/>
    </xf>
    <xf numFmtId="0" fontId="2" fillId="7" borderId="0" xfId="0" applyFont="1" applyFill="1" applyAlignment="1">
      <alignment horizontal="left" vertical="center"/>
    </xf>
    <xf numFmtId="0" fontId="28" fillId="8" borderId="56" xfId="0" applyFont="1" applyFill="1" applyBorder="1" applyAlignment="1">
      <alignment vertical="center"/>
    </xf>
    <xf numFmtId="0" fontId="8" fillId="9" borderId="59" xfId="0" applyFont="1" applyFill="1" applyBorder="1" applyAlignment="1" applyProtection="1">
      <alignment horizontal="left" vertical="center" wrapText="1"/>
      <protection locked="0"/>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168" fontId="8" fillId="0" borderId="11" xfId="0" applyNumberFormat="1" applyFont="1" applyBorder="1" applyAlignment="1">
      <alignment horizontal="center" vertical="center"/>
    </xf>
    <xf numFmtId="169" fontId="8" fillId="0" borderId="11" xfId="0" applyNumberFormat="1" applyFont="1" applyBorder="1" applyAlignment="1">
      <alignment horizontal="center" vertical="center"/>
    </xf>
    <xf numFmtId="0" fontId="8" fillId="0" borderId="12" xfId="0" applyFont="1" applyBorder="1" applyAlignment="1">
      <alignment horizontal="center" vertical="center"/>
    </xf>
    <xf numFmtId="0" fontId="0" fillId="0" borderId="0" xfId="1" applyFont="1" applyAlignment="1">
      <alignment vertical="center"/>
    </xf>
    <xf numFmtId="0" fontId="53" fillId="0" borderId="0" xfId="1" applyFont="1" applyAlignment="1">
      <alignment vertical="center"/>
    </xf>
    <xf numFmtId="0" fontId="24" fillId="0" borderId="0" xfId="1" applyFont="1" applyAlignment="1">
      <alignment horizontal="right" vertical="center"/>
    </xf>
    <xf numFmtId="0" fontId="76" fillId="0" borderId="0" xfId="0" applyFont="1" applyAlignment="1">
      <alignment vertical="center"/>
    </xf>
    <xf numFmtId="0" fontId="77" fillId="0" borderId="0" xfId="0" applyFont="1" applyAlignment="1">
      <alignment vertical="center"/>
    </xf>
    <xf numFmtId="0" fontId="78" fillId="0" borderId="0" xfId="1" applyFont="1" applyAlignment="1">
      <alignment horizontal="center" vertical="center"/>
    </xf>
    <xf numFmtId="0" fontId="0" fillId="0" borderId="0" xfId="1" applyFont="1" applyAlignment="1">
      <alignment horizontal="center" vertical="center"/>
    </xf>
    <xf numFmtId="1" fontId="0" fillId="0" borderId="0" xfId="1" applyNumberFormat="1" applyFont="1" applyAlignment="1">
      <alignment horizontal="center" vertical="center"/>
    </xf>
    <xf numFmtId="0" fontId="80" fillId="0" borderId="0" xfId="0" applyFont="1" applyAlignment="1">
      <alignment horizontal="center" vertical="center"/>
    </xf>
    <xf numFmtId="0" fontId="81" fillId="19" borderId="66" xfId="1" applyFont="1" applyFill="1" applyBorder="1" applyAlignment="1">
      <alignment vertical="center"/>
    </xf>
    <xf numFmtId="0" fontId="2" fillId="0" borderId="0" xfId="1" applyFont="1" applyAlignment="1">
      <alignment horizontal="center" vertical="center"/>
    </xf>
    <xf numFmtId="0" fontId="2" fillId="0" borderId="10" xfId="1" applyFont="1" applyBorder="1" applyAlignment="1">
      <alignment horizontal="center" vertical="center"/>
    </xf>
    <xf numFmtId="0" fontId="84" fillId="0" borderId="0" xfId="1" applyFont="1" applyAlignment="1">
      <alignment horizontal="center" vertical="center"/>
    </xf>
    <xf numFmtId="0" fontId="85" fillId="20" borderId="0" xfId="1" applyFont="1" applyFill="1" applyAlignment="1">
      <alignment horizontal="right" vertical="center"/>
    </xf>
    <xf numFmtId="0" fontId="85" fillId="4" borderId="0" xfId="1" applyFont="1" applyFill="1" applyAlignment="1">
      <alignment horizontal="right" vertical="center"/>
    </xf>
    <xf numFmtId="0" fontId="24" fillId="0" borderId="0" xfId="1" applyFont="1" applyAlignment="1">
      <alignment horizontal="center" vertical="center"/>
    </xf>
    <xf numFmtId="1" fontId="24" fillId="0" borderId="0" xfId="1" applyNumberFormat="1" applyFont="1" applyAlignment="1">
      <alignment horizontal="center" vertical="center"/>
    </xf>
    <xf numFmtId="0" fontId="85" fillId="21" borderId="0" xfId="1" applyFont="1" applyFill="1" applyAlignment="1">
      <alignment horizontal="right" vertical="center"/>
    </xf>
    <xf numFmtId="0" fontId="85" fillId="0" borderId="0" xfId="1" applyFont="1" applyAlignment="1">
      <alignment horizontal="right" vertical="center"/>
    </xf>
    <xf numFmtId="0" fontId="24" fillId="0" borderId="70" xfId="1" applyFont="1" applyBorder="1" applyAlignment="1">
      <alignment horizontal="right" vertical="center"/>
    </xf>
    <xf numFmtId="1" fontId="24" fillId="0" borderId="70" xfId="1" applyNumberFormat="1" applyFont="1" applyBorder="1" applyAlignment="1">
      <alignment horizontal="center" vertical="center"/>
    </xf>
    <xf numFmtId="0" fontId="0" fillId="0" borderId="71" xfId="1" applyFont="1" applyBorder="1" applyAlignment="1">
      <alignment vertical="center"/>
    </xf>
    <xf numFmtId="0" fontId="80" fillId="0" borderId="0" xfId="0" applyFont="1" applyAlignment="1">
      <alignment vertical="center"/>
    </xf>
    <xf numFmtId="1" fontId="0" fillId="0" borderId="0" xfId="0" applyNumberFormat="1"/>
    <xf numFmtId="49" fontId="0" fillId="0" borderId="1" xfId="0" applyNumberFormat="1" applyBorder="1"/>
    <xf numFmtId="0" fontId="0" fillId="22" borderId="1" xfId="0" applyFill="1" applyBorder="1" applyAlignment="1">
      <alignment horizontal="center"/>
    </xf>
    <xf numFmtId="49" fontId="0" fillId="22" borderId="1" xfId="0" applyNumberFormat="1" applyFill="1" applyBorder="1"/>
    <xf numFmtId="0" fontId="11" fillId="0" borderId="0" xfId="1" applyFont="1" applyAlignment="1">
      <alignment horizontal="center" vertical="center"/>
    </xf>
    <xf numFmtId="1" fontId="82" fillId="0" borderId="72" xfId="1" applyNumberFormat="1" applyFont="1" applyBorder="1" applyAlignment="1">
      <alignment vertical="center"/>
    </xf>
    <xf numFmtId="1" fontId="0" fillId="0" borderId="73" xfId="1" applyNumberFormat="1" applyFont="1" applyBorder="1" applyAlignment="1">
      <alignment horizontal="center" vertical="center"/>
    </xf>
    <xf numFmtId="0" fontId="0" fillId="0" borderId="16" xfId="1" applyFont="1" applyBorder="1" applyAlignment="1">
      <alignment vertical="center"/>
    </xf>
    <xf numFmtId="0" fontId="0" fillId="0" borderId="70" xfId="1" applyFont="1" applyBorder="1" applyAlignment="1">
      <alignment horizontal="center" vertical="center"/>
    </xf>
    <xf numFmtId="0" fontId="0" fillId="0" borderId="9" xfId="1" applyFont="1" applyBorder="1" applyAlignment="1">
      <alignment vertical="center"/>
    </xf>
    <xf numFmtId="0" fontId="0" fillId="0" borderId="75" xfId="1" applyFont="1" applyBorder="1" applyAlignment="1">
      <alignment horizontal="center" vertical="center"/>
    </xf>
    <xf numFmtId="0" fontId="0" fillId="23" borderId="1" xfId="0" applyFill="1" applyBorder="1" applyAlignment="1">
      <alignment horizontal="center" vertical="center"/>
    </xf>
    <xf numFmtId="0" fontId="0" fillId="23" borderId="1" xfId="0" applyFill="1" applyBorder="1"/>
    <xf numFmtId="0" fontId="1" fillId="0" borderId="0" xfId="0" applyFont="1"/>
    <xf numFmtId="0" fontId="0" fillId="0" borderId="8" xfId="1" applyFont="1" applyBorder="1" applyAlignment="1">
      <alignment horizontal="center" vertical="center"/>
    </xf>
    <xf numFmtId="170" fontId="87" fillId="0" borderId="74" xfId="1" applyNumberFormat="1" applyFont="1" applyBorder="1" applyAlignment="1">
      <alignment horizontal="left" vertical="center"/>
    </xf>
    <xf numFmtId="0" fontId="0" fillId="0" borderId="1" xfId="1" applyFont="1" applyBorder="1" applyAlignment="1">
      <alignment horizontal="center" vertical="center"/>
    </xf>
    <xf numFmtId="0" fontId="0" fillId="0" borderId="53" xfId="1" applyFont="1" applyBorder="1" applyAlignment="1">
      <alignment horizontal="center" vertical="center"/>
    </xf>
    <xf numFmtId="0" fontId="0" fillId="0" borderId="54" xfId="1" applyFont="1" applyBorder="1" applyAlignment="1">
      <alignment horizontal="center" vertical="center"/>
    </xf>
    <xf numFmtId="0" fontId="83" fillId="0" borderId="57" xfId="1" applyFont="1" applyBorder="1" applyAlignment="1">
      <alignment vertical="center"/>
    </xf>
    <xf numFmtId="0" fontId="0" fillId="0" borderId="35" xfId="1" applyFont="1" applyBorder="1" applyAlignment="1">
      <alignment horizontal="center" vertical="center"/>
    </xf>
    <xf numFmtId="0" fontId="83" fillId="0" borderId="36" xfId="1" applyFont="1" applyBorder="1" applyAlignment="1">
      <alignment vertical="center"/>
    </xf>
    <xf numFmtId="0" fontId="0" fillId="0" borderId="55" xfId="1" applyFont="1" applyBorder="1" applyAlignment="1">
      <alignment horizontal="center" vertical="center"/>
    </xf>
    <xf numFmtId="0" fontId="0" fillId="0" borderId="56" xfId="1" applyFont="1" applyBorder="1" applyAlignment="1">
      <alignment horizontal="center" vertical="center"/>
    </xf>
    <xf numFmtId="0" fontId="83" fillId="0" borderId="58" xfId="1" applyFont="1" applyBorder="1" applyAlignment="1">
      <alignment vertical="center"/>
    </xf>
    <xf numFmtId="0" fontId="83" fillId="14" borderId="67" xfId="1" applyFont="1" applyFill="1" applyBorder="1" applyAlignment="1">
      <alignment horizontal="center" vertical="center"/>
    </xf>
    <xf numFmtId="0" fontId="10" fillId="14" borderId="68" xfId="1" applyFont="1" applyFill="1" applyBorder="1" applyAlignment="1">
      <alignment horizontal="center" vertical="center"/>
    </xf>
    <xf numFmtId="0" fontId="83" fillId="14" borderId="69" xfId="1" applyFont="1" applyFill="1" applyBorder="1" applyAlignment="1">
      <alignment horizontal="center" vertical="center"/>
    </xf>
    <xf numFmtId="0" fontId="53" fillId="19" borderId="76" xfId="1" applyFont="1" applyFill="1" applyBorder="1" applyAlignment="1">
      <alignment horizontal="center" vertical="center"/>
    </xf>
    <xf numFmtId="0" fontId="12" fillId="0" borderId="1" xfId="1" applyFont="1" applyBorder="1" applyAlignment="1">
      <alignment horizontal="left" vertical="center"/>
    </xf>
    <xf numFmtId="0" fontId="1" fillId="0" borderId="1" xfId="1" applyFont="1" applyBorder="1" applyAlignment="1">
      <alignment horizontal="left" vertical="center"/>
    </xf>
    <xf numFmtId="0" fontId="27" fillId="0" borderId="1" xfId="1" applyFont="1" applyBorder="1" applyAlignment="1">
      <alignment horizontal="left" vertical="center"/>
    </xf>
    <xf numFmtId="0" fontId="11" fillId="3" borderId="0" xfId="0" applyFont="1" applyFill="1" applyAlignment="1">
      <alignment vertical="center"/>
    </xf>
    <xf numFmtId="0" fontId="88" fillId="0" borderId="0" xfId="0" applyFont="1" applyAlignment="1">
      <alignment vertical="center"/>
    </xf>
    <xf numFmtId="0" fontId="89" fillId="0" borderId="0" xfId="0" applyFont="1" applyAlignment="1">
      <alignment vertical="center"/>
    </xf>
    <xf numFmtId="1" fontId="90" fillId="0" borderId="0" xfId="1" applyNumberFormat="1" applyFont="1" applyAlignment="1">
      <alignment vertical="top"/>
    </xf>
    <xf numFmtId="0" fontId="0" fillId="0" borderId="1" xfId="1" applyFont="1" applyBorder="1" applyAlignment="1">
      <alignment vertical="center"/>
    </xf>
    <xf numFmtId="170" fontId="0" fillId="0" borderId="1" xfId="1" applyNumberFormat="1" applyFont="1" applyBorder="1" applyAlignment="1">
      <alignment vertical="center"/>
    </xf>
    <xf numFmtId="0" fontId="0" fillId="24" borderId="1" xfId="1" applyFont="1" applyFill="1" applyBorder="1" applyAlignment="1">
      <alignment vertical="center"/>
    </xf>
    <xf numFmtId="0" fontId="6" fillId="0" borderId="0" xfId="1" applyFont="1" applyAlignment="1">
      <alignment vertical="center"/>
    </xf>
    <xf numFmtId="0" fontId="0" fillId="26" borderId="0" xfId="0" applyFill="1"/>
    <xf numFmtId="0" fontId="13" fillId="15" borderId="1" xfId="0" applyFont="1" applyFill="1" applyBorder="1" applyAlignment="1">
      <alignment horizontal="center" vertical="center"/>
    </xf>
    <xf numFmtId="0" fontId="92" fillId="25" borderId="0" xfId="0" applyFont="1" applyFill="1" applyAlignment="1">
      <alignment vertical="center"/>
    </xf>
    <xf numFmtId="0" fontId="92" fillId="25" borderId="0" xfId="0" applyFont="1" applyFill="1" applyAlignment="1">
      <alignment horizontal="center" vertical="center"/>
    </xf>
    <xf numFmtId="0" fontId="68" fillId="3" borderId="0" xfId="0" applyFont="1" applyFill="1" applyAlignment="1">
      <alignment horizontal="right" vertical="center"/>
    </xf>
    <xf numFmtId="0" fontId="13" fillId="3" borderId="0" xfId="0" applyFont="1" applyFill="1" applyAlignment="1">
      <alignment horizontal="left" vertical="center"/>
    </xf>
    <xf numFmtId="0" fontId="54" fillId="3" borderId="28" xfId="0" applyFont="1" applyFill="1" applyBorder="1" applyAlignment="1">
      <alignment vertical="center"/>
    </xf>
    <xf numFmtId="0" fontId="54" fillId="3" borderId="29" xfId="0" applyFont="1" applyFill="1" applyBorder="1" applyAlignment="1">
      <alignment vertical="center"/>
    </xf>
    <xf numFmtId="0" fontId="54" fillId="3" borderId="30" xfId="0" applyFont="1" applyFill="1" applyBorder="1" applyAlignment="1">
      <alignment vertical="center"/>
    </xf>
    <xf numFmtId="0" fontId="54" fillId="3" borderId="28" xfId="0" applyFont="1" applyFill="1" applyBorder="1" applyAlignment="1">
      <alignment horizontal="left" vertical="center" indent="1"/>
    </xf>
    <xf numFmtId="0" fontId="1" fillId="3" borderId="0" xfId="0" applyFont="1" applyFill="1" applyAlignment="1">
      <alignment vertical="center"/>
    </xf>
    <xf numFmtId="0" fontId="54" fillId="3" borderId="15" xfId="0" applyFont="1" applyFill="1" applyBorder="1" applyAlignment="1">
      <alignment horizontal="left" vertical="center"/>
    </xf>
    <xf numFmtId="0" fontId="54" fillId="3" borderId="26" xfId="0" applyFont="1" applyFill="1" applyBorder="1" applyAlignment="1">
      <alignment horizontal="left" vertical="center"/>
    </xf>
    <xf numFmtId="0" fontId="54" fillId="3" borderId="15" xfId="0" applyFont="1" applyFill="1" applyBorder="1" applyAlignment="1">
      <alignment horizontal="right" vertical="center"/>
    </xf>
    <xf numFmtId="0" fontId="54" fillId="3" borderId="26" xfId="0" applyFont="1" applyFill="1" applyBorder="1" applyAlignment="1">
      <alignment horizontal="center" vertical="center"/>
    </xf>
    <xf numFmtId="0" fontId="54" fillId="3" borderId="15" xfId="0" applyFont="1" applyFill="1" applyBorder="1" applyAlignment="1">
      <alignment vertical="center"/>
    </xf>
    <xf numFmtId="0" fontId="54" fillId="3" borderId="26" xfId="0" applyFont="1" applyFill="1" applyBorder="1" applyAlignment="1">
      <alignment vertical="center"/>
    </xf>
    <xf numFmtId="0" fontId="0" fillId="0" borderId="73" xfId="1" applyFont="1" applyBorder="1" applyAlignment="1">
      <alignment vertical="center"/>
    </xf>
    <xf numFmtId="0" fontId="79" fillId="0" borderId="0" xfId="1" applyFont="1" applyAlignment="1">
      <alignment vertical="center"/>
    </xf>
    <xf numFmtId="1" fontId="92" fillId="0" borderId="0" xfId="1" applyNumberFormat="1" applyFont="1" applyAlignment="1">
      <alignment horizontal="center" vertical="center"/>
    </xf>
    <xf numFmtId="0" fontId="0" fillId="0" borderId="0" xfId="1" applyFont="1" applyAlignment="1" applyProtection="1">
      <alignment horizontal="center" vertical="center"/>
      <protection locked="0"/>
    </xf>
    <xf numFmtId="0" fontId="0" fillId="0" borderId="10" xfId="1" applyFont="1" applyBorder="1" applyAlignment="1" applyProtection="1">
      <alignment horizontal="center" vertical="center"/>
      <protection locked="0"/>
    </xf>
    <xf numFmtId="0" fontId="92" fillId="25" borderId="0" xfId="0" applyFont="1" applyFill="1" applyAlignment="1">
      <alignment horizontal="left" vertical="center"/>
    </xf>
    <xf numFmtId="1" fontId="0" fillId="0" borderId="0" xfId="1" applyNumberFormat="1" applyFont="1" applyAlignment="1">
      <alignment vertical="center"/>
    </xf>
    <xf numFmtId="0" fontId="92" fillId="25" borderId="30" xfId="0" applyFont="1" applyFill="1" applyBorder="1" applyAlignment="1">
      <alignment horizontal="left" vertical="center"/>
    </xf>
    <xf numFmtId="0" fontId="2" fillId="0" borderId="0" xfId="1" applyFont="1" applyAlignment="1">
      <alignment vertical="center"/>
    </xf>
    <xf numFmtId="170" fontId="87" fillId="0" borderId="0" xfId="1" applyNumberFormat="1" applyFont="1" applyAlignment="1">
      <alignment horizontal="left" vertical="center"/>
    </xf>
    <xf numFmtId="0" fontId="94" fillId="0" borderId="0" xfId="0" applyFont="1" applyAlignment="1">
      <alignment vertical="center"/>
    </xf>
    <xf numFmtId="49" fontId="1" fillId="22" borderId="1" xfId="0" applyNumberFormat="1" applyFont="1" applyFill="1" applyBorder="1"/>
    <xf numFmtId="170" fontId="37" fillId="0" borderId="0" xfId="0" applyNumberFormat="1" applyFont="1" applyAlignment="1">
      <alignment vertical="center"/>
    </xf>
    <xf numFmtId="0" fontId="10" fillId="0" borderId="1" xfId="0" applyFont="1" applyBorder="1" applyAlignment="1">
      <alignment horizontal="left" vertical="center"/>
    </xf>
    <xf numFmtId="0" fontId="36" fillId="0" borderId="15" xfId="0" applyFont="1" applyBorder="1" applyAlignment="1">
      <alignment vertical="center"/>
    </xf>
    <xf numFmtId="0" fontId="10" fillId="27" borderId="1" xfId="0" applyFont="1" applyFill="1" applyBorder="1" applyAlignment="1">
      <alignment horizontal="left" vertical="center"/>
    </xf>
    <xf numFmtId="0" fontId="42" fillId="27" borderId="1" xfId="0" applyFont="1" applyFill="1" applyBorder="1" applyAlignment="1">
      <alignment horizontal="center" vertical="center"/>
    </xf>
    <xf numFmtId="0" fontId="27" fillId="0" borderId="1" xfId="0" applyFont="1" applyBorder="1" applyAlignment="1">
      <alignment horizontal="center" vertical="center"/>
    </xf>
    <xf numFmtId="0" fontId="27" fillId="27" borderId="1" xfId="0" applyFont="1" applyFill="1" applyBorder="1" applyAlignment="1">
      <alignment horizontal="center" vertical="center"/>
    </xf>
    <xf numFmtId="49" fontId="1" fillId="5" borderId="1" xfId="0" applyNumberFormat="1" applyFont="1" applyFill="1" applyBorder="1" applyProtection="1">
      <protection locked="0"/>
    </xf>
    <xf numFmtId="0" fontId="1" fillId="0" borderId="1" xfId="0" applyFont="1" applyBorder="1"/>
    <xf numFmtId="0" fontId="0" fillId="0" borderId="1" xfId="0" applyBorder="1" applyAlignment="1">
      <alignment horizontal="center"/>
    </xf>
    <xf numFmtId="0" fontId="2" fillId="0" borderId="9" xfId="0" applyFont="1" applyBorder="1" applyAlignment="1">
      <alignment horizontal="center"/>
    </xf>
    <xf numFmtId="0" fontId="2" fillId="0" borderId="11" xfId="0" applyFont="1" applyBorder="1" applyAlignment="1">
      <alignment horizontal="center"/>
    </xf>
    <xf numFmtId="0" fontId="2" fillId="0" borderId="5" xfId="0" applyFont="1" applyBorder="1" applyAlignment="1">
      <alignment horizontal="center"/>
    </xf>
    <xf numFmtId="0" fontId="1" fillId="0" borderId="1" xfId="0" applyFont="1" applyBorder="1" applyAlignment="1">
      <alignment horizontal="center"/>
    </xf>
    <xf numFmtId="0" fontId="28" fillId="23" borderId="15" xfId="0" applyFont="1" applyFill="1" applyBorder="1" applyAlignment="1">
      <alignment horizontal="center" vertical="center"/>
    </xf>
    <xf numFmtId="0" fontId="28" fillId="23" borderId="60" xfId="0" applyFont="1" applyFill="1" applyBorder="1" applyAlignment="1">
      <alignment horizontal="center" vertical="center"/>
    </xf>
    <xf numFmtId="0" fontId="28" fillId="23" borderId="7" xfId="0" applyFont="1" applyFill="1" applyBorder="1" applyAlignment="1">
      <alignment horizontal="center" vertical="center"/>
    </xf>
    <xf numFmtId="0" fontId="28" fillId="23" borderId="1" xfId="0" applyFont="1" applyFill="1" applyBorder="1" applyAlignment="1">
      <alignment horizontal="center" vertical="center"/>
    </xf>
    <xf numFmtId="0" fontId="28" fillId="23" borderId="48" xfId="0" applyFont="1" applyFill="1" applyBorder="1" applyAlignment="1">
      <alignment horizontal="center" vertical="center"/>
    </xf>
    <xf numFmtId="0" fontId="28" fillId="29" borderId="22" xfId="0" applyFont="1" applyFill="1" applyBorder="1" applyAlignment="1">
      <alignment horizontal="center" vertical="center"/>
    </xf>
    <xf numFmtId="0" fontId="28" fillId="29" borderId="24" xfId="0" applyFont="1" applyFill="1" applyBorder="1" applyAlignment="1">
      <alignment horizontal="center" vertical="center"/>
    </xf>
    <xf numFmtId="0" fontId="28" fillId="29" borderId="46" xfId="0" applyFont="1" applyFill="1" applyBorder="1" applyAlignment="1">
      <alignment horizontal="center" vertical="center"/>
    </xf>
    <xf numFmtId="0" fontId="14" fillId="0" borderId="0" xfId="0" applyFont="1" applyAlignment="1">
      <alignment vertical="center"/>
    </xf>
    <xf numFmtId="0" fontId="11" fillId="0" borderId="0" xfId="0" applyFont="1" applyAlignment="1">
      <alignment vertical="center" wrapText="1"/>
    </xf>
    <xf numFmtId="0" fontId="11" fillId="9" borderId="1" xfId="0" applyFont="1" applyFill="1" applyBorder="1" applyAlignment="1" applyProtection="1">
      <alignment horizontal="center" vertical="center"/>
      <protection locked="0"/>
    </xf>
    <xf numFmtId="0" fontId="11" fillId="28" borderId="1" xfId="0" applyFont="1" applyFill="1" applyBorder="1" applyAlignment="1">
      <alignment horizontal="center" vertical="center"/>
    </xf>
    <xf numFmtId="0" fontId="0" fillId="23" borderId="1" xfId="1" applyFont="1" applyFill="1" applyBorder="1" applyAlignment="1" applyProtection="1">
      <alignment vertical="center"/>
      <protection locked="0"/>
    </xf>
    <xf numFmtId="170" fontId="0" fillId="23" borderId="1" xfId="1" applyNumberFormat="1" applyFont="1" applyFill="1" applyBorder="1" applyAlignment="1" applyProtection="1">
      <alignment vertical="center"/>
      <protection locked="0"/>
    </xf>
    <xf numFmtId="0" fontId="0" fillId="18" borderId="1" xfId="1" applyFont="1" applyFill="1" applyBorder="1" applyAlignment="1" applyProtection="1">
      <alignment vertical="center"/>
      <protection locked="0"/>
    </xf>
    <xf numFmtId="0" fontId="15" fillId="0" borderId="0" xfId="0" quotePrefix="1" applyFont="1"/>
    <xf numFmtId="170" fontId="0" fillId="0" borderId="0" xfId="0" applyNumberFormat="1"/>
    <xf numFmtId="0" fontId="0" fillId="0" borderId="74" xfId="0" applyBorder="1"/>
    <xf numFmtId="0" fontId="0" fillId="0" borderId="21" xfId="0" applyBorder="1"/>
    <xf numFmtId="0" fontId="0" fillId="0" borderId="75" xfId="0" applyBorder="1"/>
    <xf numFmtId="0" fontId="54" fillId="0" borderId="0" xfId="0" applyFont="1"/>
    <xf numFmtId="0" fontId="68" fillId="0" borderId="0" xfId="0" applyFont="1"/>
    <xf numFmtId="1" fontId="0" fillId="0" borderId="1" xfId="0" applyNumberFormat="1" applyBorder="1" applyAlignment="1">
      <alignment horizontal="center" vertical="center"/>
    </xf>
    <xf numFmtId="0" fontId="28" fillId="9" borderId="1" xfId="0" applyFont="1" applyFill="1" applyBorder="1" applyAlignment="1" applyProtection="1">
      <alignment horizontal="center" vertical="center" wrapText="1"/>
      <protection locked="0"/>
    </xf>
    <xf numFmtId="0" fontId="0" fillId="0" borderId="0" xfId="1" applyFont="1" applyAlignment="1" applyProtection="1">
      <alignment vertical="center"/>
      <protection locked="0"/>
    </xf>
    <xf numFmtId="0" fontId="2" fillId="3" borderId="13" xfId="0" applyFont="1" applyFill="1" applyBorder="1" applyAlignment="1">
      <alignment horizontal="center" vertical="center"/>
    </xf>
    <xf numFmtId="0" fontId="0" fillId="3" borderId="62" xfId="0" applyFill="1" applyBorder="1" applyAlignment="1">
      <alignment horizontal="center" vertical="top"/>
    </xf>
    <xf numFmtId="0" fontId="0" fillId="3" borderId="33" xfId="0" applyFill="1" applyBorder="1" applyAlignment="1">
      <alignment horizontal="center" vertical="top"/>
    </xf>
    <xf numFmtId="0" fontId="13" fillId="3" borderId="39" xfId="0" applyFont="1" applyFill="1" applyBorder="1" applyAlignment="1">
      <alignment vertical="center"/>
    </xf>
    <xf numFmtId="0" fontId="11" fillId="25" borderId="0" xfId="0" applyFont="1" applyFill="1" applyAlignment="1">
      <alignment horizontal="right" vertical="center"/>
    </xf>
    <xf numFmtId="0" fontId="1" fillId="3" borderId="0" xfId="0" applyFont="1" applyFill="1" applyAlignment="1">
      <alignment horizontal="center" vertical="center"/>
    </xf>
    <xf numFmtId="0" fontId="0" fillId="3" borderId="9" xfId="0" applyFill="1" applyBorder="1" applyAlignment="1">
      <alignment horizontal="center" vertical="center"/>
    </xf>
    <xf numFmtId="0" fontId="1" fillId="3" borderId="13" xfId="0" applyFont="1" applyFill="1" applyBorder="1" applyAlignment="1">
      <alignment horizontal="center" vertical="center"/>
    </xf>
    <xf numFmtId="0" fontId="2" fillId="3" borderId="1" xfId="0" applyFont="1" applyFill="1" applyBorder="1" applyAlignment="1">
      <alignment horizontal="center" vertical="center"/>
    </xf>
    <xf numFmtId="0" fontId="54" fillId="3" borderId="26" xfId="0" applyFont="1" applyFill="1" applyBorder="1" applyAlignment="1">
      <alignment horizontal="right" vertical="center"/>
    </xf>
    <xf numFmtId="0" fontId="9" fillId="3" borderId="0" xfId="0" applyFont="1" applyFill="1" applyAlignment="1">
      <alignment horizontal="right" vertical="center"/>
    </xf>
    <xf numFmtId="0" fontId="0" fillId="3" borderId="40" xfId="0" applyFill="1" applyBorder="1" applyAlignment="1">
      <alignment horizontal="left" vertical="top"/>
    </xf>
    <xf numFmtId="0" fontId="2" fillId="3" borderId="13" xfId="0" applyFont="1" applyFill="1" applyBorder="1" applyAlignment="1">
      <alignment horizontal="left" vertical="center"/>
    </xf>
    <xf numFmtId="14" fontId="1" fillId="3" borderId="1" xfId="0" applyNumberFormat="1" applyFont="1" applyFill="1" applyBorder="1" applyAlignment="1">
      <alignment horizontal="center" vertical="center"/>
    </xf>
    <xf numFmtId="0" fontId="9" fillId="3" borderId="15" xfId="0" applyFont="1" applyFill="1" applyBorder="1" applyAlignment="1">
      <alignment horizontal="left" vertical="center"/>
    </xf>
    <xf numFmtId="0" fontId="9" fillId="3" borderId="26" xfId="0" applyFont="1" applyFill="1" applyBorder="1" applyAlignment="1">
      <alignment horizontal="center" vertical="center"/>
    </xf>
    <xf numFmtId="0" fontId="9" fillId="3" borderId="26" xfId="0" applyFont="1" applyFill="1" applyBorder="1" applyAlignment="1">
      <alignment horizontal="left" vertical="center"/>
    </xf>
    <xf numFmtId="0" fontId="9" fillId="3" borderId="0" xfId="0" applyFont="1" applyFill="1" applyAlignment="1">
      <alignment horizontal="left" vertical="center"/>
    </xf>
    <xf numFmtId="0" fontId="2" fillId="3" borderId="0" xfId="0" applyFont="1" applyFill="1" applyAlignment="1">
      <alignment vertical="center"/>
    </xf>
    <xf numFmtId="0" fontId="0" fillId="3" borderId="40" xfId="0" applyFill="1" applyBorder="1" applyAlignment="1">
      <alignment vertical="top"/>
    </xf>
    <xf numFmtId="0" fontId="0" fillId="3" borderId="62" xfId="0" applyFill="1" applyBorder="1" applyAlignment="1">
      <alignment vertical="top"/>
    </xf>
    <xf numFmtId="0" fontId="0" fillId="3" borderId="33" xfId="0" applyFill="1" applyBorder="1" applyAlignment="1">
      <alignment vertical="top"/>
    </xf>
    <xf numFmtId="0" fontId="0" fillId="3" borderId="13" xfId="0" applyFill="1" applyBorder="1" applyAlignment="1">
      <alignment horizontal="center" vertical="center"/>
    </xf>
    <xf numFmtId="0" fontId="2" fillId="3" borderId="15" xfId="0" applyFont="1" applyFill="1" applyBorder="1" applyAlignment="1">
      <alignment horizontal="center" vertical="center"/>
    </xf>
    <xf numFmtId="0" fontId="0" fillId="30" borderId="15" xfId="0" applyFill="1" applyBorder="1" applyAlignment="1">
      <alignment vertical="center"/>
    </xf>
    <xf numFmtId="0" fontId="0" fillId="30" borderId="27" xfId="0" applyFill="1" applyBorder="1" applyAlignment="1">
      <alignment vertical="center"/>
    </xf>
    <xf numFmtId="0" fontId="95" fillId="3" borderId="0" xfId="0" applyFont="1" applyFill="1" applyAlignment="1">
      <alignment horizontal="left" vertical="center"/>
    </xf>
    <xf numFmtId="0" fontId="1" fillId="3" borderId="13" xfId="0" applyFont="1" applyFill="1" applyBorder="1" applyAlignment="1">
      <alignment horizontal="left" vertical="center"/>
    </xf>
    <xf numFmtId="0" fontId="1" fillId="3" borderId="13" xfId="0" applyFont="1" applyFill="1" applyBorder="1" applyAlignment="1">
      <alignment vertical="center"/>
    </xf>
    <xf numFmtId="0" fontId="0" fillId="3" borderId="0" xfId="0" applyFill="1"/>
    <xf numFmtId="0" fontId="0" fillId="3" borderId="10" xfId="0" applyFill="1" applyBorder="1"/>
    <xf numFmtId="0" fontId="9" fillId="3" borderId="82" xfId="0" applyFont="1" applyFill="1" applyBorder="1" applyAlignment="1">
      <alignment horizontal="left" vertical="center"/>
    </xf>
    <xf numFmtId="0" fontId="58" fillId="31" borderId="1" xfId="0" applyFont="1" applyFill="1" applyBorder="1" applyAlignment="1" applyProtection="1">
      <alignment horizontal="center" vertical="center"/>
      <protection locked="0"/>
    </xf>
    <xf numFmtId="0" fontId="59" fillId="31" borderId="1" xfId="0" applyFont="1" applyFill="1" applyBorder="1" applyAlignment="1" applyProtection="1">
      <alignment horizontal="center" vertical="center"/>
      <protection locked="0"/>
    </xf>
    <xf numFmtId="0" fontId="5" fillId="23" borderId="0" xfId="0" applyFont="1" applyFill="1" applyAlignment="1">
      <alignment horizontal="center" vertical="center"/>
    </xf>
    <xf numFmtId="0" fontId="59" fillId="32" borderId="1" xfId="0" applyFont="1" applyFill="1" applyBorder="1" applyAlignment="1">
      <alignment horizontal="center" vertical="center"/>
    </xf>
    <xf numFmtId="0" fontId="28" fillId="9" borderId="23" xfId="0" applyFont="1" applyFill="1" applyBorder="1" applyAlignment="1" applyProtection="1">
      <alignment horizontal="center" vertical="center"/>
      <protection locked="0"/>
    </xf>
    <xf numFmtId="0" fontId="33" fillId="0" borderId="1" xfId="0" applyFont="1" applyBorder="1" applyAlignment="1" applyProtection="1">
      <alignment vertical="center"/>
      <protection locked="0"/>
    </xf>
    <xf numFmtId="0" fontId="59" fillId="32" borderId="1" xfId="0" applyFont="1" applyFill="1" applyBorder="1" applyAlignment="1" applyProtection="1">
      <alignment horizontal="center" vertical="center"/>
      <protection locked="0"/>
    </xf>
    <xf numFmtId="0" fontId="95" fillId="3" borderId="15" xfId="0" applyFont="1" applyFill="1" applyBorder="1" applyAlignment="1">
      <alignment horizontal="left" vertical="center"/>
    </xf>
    <xf numFmtId="0" fontId="95" fillId="3" borderId="26" xfId="0" applyFont="1" applyFill="1" applyBorder="1" applyAlignment="1">
      <alignment horizontal="left" vertical="center"/>
    </xf>
    <xf numFmtId="0" fontId="95" fillId="3" borderId="81" xfId="0" applyFont="1" applyFill="1" applyBorder="1" applyAlignment="1">
      <alignment horizontal="left" vertical="center"/>
    </xf>
    <xf numFmtId="0" fontId="10" fillId="25" borderId="0" xfId="0" applyFont="1" applyFill="1" applyAlignment="1">
      <alignment horizontal="center" vertical="center"/>
    </xf>
    <xf numFmtId="0" fontId="11" fillId="25" borderId="0" xfId="0" applyFont="1" applyFill="1" applyAlignment="1">
      <alignment horizontal="center" vertical="center"/>
    </xf>
    <xf numFmtId="171" fontId="1" fillId="3" borderId="1" xfId="0" applyNumberFormat="1" applyFont="1" applyFill="1" applyBorder="1" applyAlignment="1">
      <alignment horizontal="center" vertical="center"/>
    </xf>
    <xf numFmtId="0" fontId="0" fillId="25" borderId="0" xfId="0" applyFill="1" applyAlignment="1">
      <alignment vertical="center"/>
    </xf>
    <xf numFmtId="0" fontId="1" fillId="25" borderId="0" xfId="0" applyFont="1" applyFill="1" applyAlignment="1">
      <alignment horizontal="center" vertical="center"/>
    </xf>
    <xf numFmtId="0" fontId="2" fillId="25" borderId="0" xfId="0" applyFont="1" applyFill="1" applyAlignment="1">
      <alignment horizontal="center" vertical="center"/>
    </xf>
    <xf numFmtId="0" fontId="0" fillId="25" borderId="0" xfId="0" applyFill="1" applyAlignment="1">
      <alignment horizontal="center" vertical="center"/>
    </xf>
    <xf numFmtId="0" fontId="0" fillId="25" borderId="10" xfId="0" applyFill="1" applyBorder="1" applyAlignment="1">
      <alignment vertical="center"/>
    </xf>
    <xf numFmtId="0" fontId="6" fillId="25" borderId="0" xfId="0" applyFont="1" applyFill="1" applyAlignment="1">
      <alignment horizontal="center" vertical="center"/>
    </xf>
    <xf numFmtId="0" fontId="98" fillId="0" borderId="0" xfId="0" applyFont="1"/>
    <xf numFmtId="0" fontId="95" fillId="3" borderId="0" xfId="0" applyFont="1" applyFill="1" applyAlignment="1">
      <alignment horizontal="center" vertical="top"/>
    </xf>
    <xf numFmtId="0" fontId="13" fillId="3" borderId="0" xfId="0" applyFont="1" applyFill="1" applyAlignment="1">
      <alignment vertical="center" wrapText="1"/>
    </xf>
    <xf numFmtId="0" fontId="0" fillId="3" borderId="13" xfId="0" applyFill="1" applyBorder="1"/>
    <xf numFmtId="0" fontId="95" fillId="3" borderId="62" xfId="0" applyFont="1" applyFill="1" applyBorder="1" applyAlignment="1">
      <alignment vertical="top"/>
    </xf>
    <xf numFmtId="0" fontId="1" fillId="3" borderId="15" xfId="0" applyFont="1" applyFill="1" applyBorder="1" applyAlignment="1">
      <alignment horizontal="center" vertical="center"/>
    </xf>
    <xf numFmtId="0" fontId="1" fillId="3" borderId="1" xfId="0" applyFont="1" applyFill="1" applyBorder="1" applyAlignment="1">
      <alignment horizontal="center" vertical="center"/>
    </xf>
    <xf numFmtId="0" fontId="11" fillId="3" borderId="15" xfId="0" applyFont="1" applyFill="1" applyBorder="1" applyAlignment="1">
      <alignment horizontal="center" vertical="center"/>
    </xf>
    <xf numFmtId="0" fontId="69" fillId="25" borderId="0" xfId="0" applyFont="1" applyFill="1" applyAlignment="1">
      <alignment horizontal="center" vertical="center"/>
    </xf>
    <xf numFmtId="0" fontId="1" fillId="3" borderId="0" xfId="0" applyFont="1" applyFill="1" applyAlignment="1">
      <alignment horizontal="left"/>
    </xf>
    <xf numFmtId="0" fontId="102" fillId="27" borderId="1" xfId="0" applyFont="1" applyFill="1" applyBorder="1" applyAlignment="1">
      <alignment horizontal="center" vertical="center"/>
    </xf>
    <xf numFmtId="0" fontId="104" fillId="0" borderId="83" xfId="4" applyFont="1" applyBorder="1" applyAlignment="1">
      <alignment horizontal="center" vertical="center"/>
    </xf>
    <xf numFmtId="0" fontId="103" fillId="0" borderId="83" xfId="4" applyBorder="1" applyAlignment="1">
      <alignment horizontal="center" vertical="center" wrapText="1"/>
    </xf>
    <xf numFmtId="0" fontId="103" fillId="0" borderId="83" xfId="4" applyBorder="1" applyAlignment="1">
      <alignment vertical="center" wrapText="1"/>
    </xf>
    <xf numFmtId="0" fontId="106" fillId="27" borderId="84" xfId="4" applyFont="1" applyFill="1" applyBorder="1" applyAlignment="1">
      <alignment vertical="center"/>
    </xf>
    <xf numFmtId="0" fontId="103" fillId="0" borderId="84" xfId="4" applyBorder="1" applyAlignment="1">
      <alignment horizontal="center" vertical="center" wrapText="1"/>
    </xf>
    <xf numFmtId="0" fontId="103" fillId="0" borderId="83" xfId="4" applyBorder="1"/>
    <xf numFmtId="0" fontId="103" fillId="0" borderId="0" xfId="4" applyAlignment="1">
      <alignment vertical="center" wrapText="1"/>
    </xf>
    <xf numFmtId="0" fontId="0" fillId="3" borderId="83" xfId="0" applyFill="1" applyBorder="1" applyAlignment="1">
      <alignment vertical="center"/>
    </xf>
    <xf numFmtId="0" fontId="103" fillId="0" borderId="83" xfId="4" applyBorder="1" applyAlignment="1">
      <alignment horizontal="center" vertical="center"/>
    </xf>
    <xf numFmtId="0" fontId="104" fillId="0" borderId="0" xfId="4" quotePrefix="1" applyFont="1" applyAlignment="1">
      <alignment horizontal="center" vertical="center"/>
    </xf>
    <xf numFmtId="0" fontId="1" fillId="3" borderId="0" xfId="0" applyFont="1" applyFill="1" applyAlignment="1">
      <alignment horizontal="left" vertical="center"/>
    </xf>
    <xf numFmtId="0" fontId="0" fillId="3" borderId="86" xfId="0" applyFill="1" applyBorder="1" applyAlignment="1">
      <alignment vertical="center"/>
    </xf>
    <xf numFmtId="0" fontId="0" fillId="3" borderId="85" xfId="0" applyFill="1" applyBorder="1" applyAlignment="1">
      <alignment vertical="center"/>
    </xf>
    <xf numFmtId="0" fontId="1" fillId="3" borderId="0" xfId="0" applyFont="1" applyFill="1"/>
    <xf numFmtId="0" fontId="103" fillId="0" borderId="7" xfId="4" applyBorder="1" applyAlignment="1">
      <alignment horizontal="center" vertical="center" wrapText="1"/>
    </xf>
    <xf numFmtId="0" fontId="103" fillId="0" borderId="31" xfId="4" applyBorder="1" applyAlignment="1">
      <alignment horizontal="center" vertical="center" wrapText="1"/>
    </xf>
    <xf numFmtId="0" fontId="103" fillId="0" borderId="7" xfId="4" applyBorder="1" applyAlignment="1">
      <alignment horizontal="center" vertical="center"/>
    </xf>
    <xf numFmtId="0" fontId="101" fillId="15" borderId="83" xfId="0" applyFont="1" applyFill="1" applyBorder="1" applyAlignment="1">
      <alignment horizontal="center" vertical="center"/>
    </xf>
    <xf numFmtId="0" fontId="108" fillId="3" borderId="0" xfId="0" applyFont="1" applyFill="1" applyAlignment="1">
      <alignment horizontal="center" vertical="center" textRotation="90" wrapText="1"/>
    </xf>
    <xf numFmtId="0" fontId="0" fillId="3" borderId="32" xfId="0" applyFill="1" applyBorder="1" applyAlignment="1">
      <alignment horizontal="center" vertical="center"/>
    </xf>
    <xf numFmtId="0" fontId="0" fillId="3" borderId="21" xfId="0" applyFill="1" applyBorder="1"/>
    <xf numFmtId="0" fontId="103" fillId="0" borderId="0" xfId="4"/>
    <xf numFmtId="0" fontId="103" fillId="0" borderId="87" xfId="4" applyBorder="1" applyAlignment="1">
      <alignment horizontal="center" vertical="center"/>
    </xf>
    <xf numFmtId="0" fontId="109" fillId="0" borderId="0" xfId="4" quotePrefix="1" applyFont="1" applyAlignment="1">
      <alignment horizontal="left" vertical="center"/>
    </xf>
    <xf numFmtId="0" fontId="54" fillId="3" borderId="32" xfId="0" applyFont="1" applyFill="1" applyBorder="1" applyAlignment="1">
      <alignment horizontal="left" vertical="center"/>
    </xf>
    <xf numFmtId="0" fontId="54" fillId="3" borderId="13" xfId="0" applyFont="1" applyFill="1" applyBorder="1" applyAlignment="1">
      <alignment horizontal="left" vertical="center"/>
    </xf>
    <xf numFmtId="0" fontId="54" fillId="3" borderId="7" xfId="0" applyFont="1" applyFill="1" applyBorder="1" applyAlignment="1">
      <alignment horizontal="center" vertical="center"/>
    </xf>
    <xf numFmtId="0" fontId="0" fillId="3" borderId="7" xfId="0" applyFill="1" applyBorder="1" applyAlignment="1">
      <alignment horizontal="center" vertical="center"/>
    </xf>
    <xf numFmtId="0" fontId="54" fillId="3" borderId="31" xfId="0" applyFont="1" applyFill="1" applyBorder="1" applyAlignment="1">
      <alignment horizontal="center" vertical="center"/>
    </xf>
    <xf numFmtId="0" fontId="12" fillId="3" borderId="28" xfId="0" applyFont="1" applyFill="1" applyBorder="1" applyAlignment="1">
      <alignment vertical="center"/>
    </xf>
    <xf numFmtId="0" fontId="12" fillId="3" borderId="29" xfId="0" applyFont="1" applyFill="1" applyBorder="1" applyAlignment="1">
      <alignment vertical="center"/>
    </xf>
    <xf numFmtId="0" fontId="54" fillId="3" borderId="88" xfId="0" applyFont="1" applyFill="1" applyBorder="1" applyAlignment="1">
      <alignment horizontal="left" vertical="center"/>
    </xf>
    <xf numFmtId="0" fontId="13" fillId="15" borderId="38" xfId="0" applyFont="1" applyFill="1" applyBorder="1" applyAlignment="1">
      <alignment horizontal="center" vertical="center"/>
    </xf>
    <xf numFmtId="0" fontId="13" fillId="3" borderId="39" xfId="0" applyFont="1" applyFill="1" applyBorder="1" applyAlignment="1">
      <alignment horizontal="right" vertical="center"/>
    </xf>
    <xf numFmtId="0" fontId="72" fillId="3" borderId="0" xfId="0" applyFont="1" applyFill="1" applyAlignment="1">
      <alignment vertical="center"/>
    </xf>
    <xf numFmtId="0" fontId="103" fillId="23" borderId="0" xfId="4" applyFill="1" applyAlignment="1">
      <alignment horizontal="center" vertical="center" wrapText="1"/>
    </xf>
    <xf numFmtId="0" fontId="12" fillId="23" borderId="29" xfId="0" applyFont="1" applyFill="1" applyBorder="1" applyAlignment="1">
      <alignment vertical="center"/>
    </xf>
    <xf numFmtId="0" fontId="103" fillId="0" borderId="4" xfId="4" applyBorder="1" applyAlignment="1">
      <alignment horizontal="center" vertical="center"/>
    </xf>
    <xf numFmtId="0" fontId="110" fillId="0" borderId="83" xfId="4" applyFont="1" applyBorder="1" applyAlignment="1">
      <alignment horizontal="center" vertical="center"/>
    </xf>
    <xf numFmtId="0" fontId="103" fillId="0" borderId="16" xfId="4" applyBorder="1"/>
    <xf numFmtId="0" fontId="103" fillId="0" borderId="9" xfId="4" applyBorder="1"/>
    <xf numFmtId="0" fontId="0" fillId="3" borderId="74" xfId="0" applyFill="1" applyBorder="1" applyAlignment="1">
      <alignment vertical="center"/>
    </xf>
    <xf numFmtId="0" fontId="0" fillId="3" borderId="70" xfId="0" applyFill="1" applyBorder="1" applyAlignment="1">
      <alignment vertical="center"/>
    </xf>
    <xf numFmtId="0" fontId="0" fillId="3" borderId="75" xfId="0" applyFill="1" applyBorder="1" applyAlignment="1">
      <alignment vertical="center"/>
    </xf>
    <xf numFmtId="0" fontId="103" fillId="0" borderId="8" xfId="4" applyBorder="1" applyAlignment="1">
      <alignment horizontal="left" vertical="top"/>
    </xf>
    <xf numFmtId="0" fontId="103" fillId="0" borderId="19" xfId="4" applyBorder="1" applyAlignment="1">
      <alignment horizontal="center" vertical="center"/>
    </xf>
    <xf numFmtId="0" fontId="103" fillId="23" borderId="19" xfId="4" applyFill="1" applyBorder="1" applyAlignment="1">
      <alignment horizontal="center" vertical="center"/>
    </xf>
    <xf numFmtId="0" fontId="103" fillId="0" borderId="28" xfId="4" applyBorder="1" applyAlignment="1">
      <alignment horizontal="center" vertical="center"/>
    </xf>
    <xf numFmtId="0" fontId="109" fillId="0" borderId="29" xfId="4" applyFont="1" applyBorder="1" applyAlignment="1">
      <alignment horizontal="center" vertical="center"/>
    </xf>
    <xf numFmtId="0" fontId="109" fillId="0" borderId="30" xfId="4" applyFont="1" applyBorder="1" applyAlignment="1">
      <alignment horizontal="center" vertical="center"/>
    </xf>
    <xf numFmtId="0" fontId="112" fillId="23" borderId="28" xfId="0" applyFont="1" applyFill="1" applyBorder="1" applyAlignment="1">
      <alignment vertical="center"/>
    </xf>
    <xf numFmtId="0" fontId="98" fillId="3" borderId="0" xfId="0" applyFont="1" applyFill="1" applyAlignment="1">
      <alignment vertical="center"/>
    </xf>
    <xf numFmtId="0" fontId="98" fillId="25" borderId="0" xfId="0" applyFont="1" applyFill="1" applyAlignment="1">
      <alignment horizontal="left" vertical="center"/>
    </xf>
    <xf numFmtId="0" fontId="113" fillId="3" borderId="0" xfId="0" applyFont="1" applyFill="1" applyAlignment="1">
      <alignment horizontal="center" vertical="center"/>
    </xf>
    <xf numFmtId="0" fontId="0" fillId="3" borderId="31" xfId="0" applyFill="1" applyBorder="1" applyAlignment="1">
      <alignment horizontal="center" vertical="center"/>
    </xf>
    <xf numFmtId="0" fontId="1" fillId="18" borderId="1" xfId="1" applyFont="1" applyFill="1" applyBorder="1" applyAlignment="1" applyProtection="1">
      <alignment vertical="center"/>
      <protection locked="0"/>
    </xf>
    <xf numFmtId="0" fontId="92" fillId="3" borderId="0" xfId="0" applyFont="1" applyFill="1" applyAlignment="1">
      <alignment vertical="center"/>
    </xf>
    <xf numFmtId="0" fontId="0" fillId="34" borderId="92" xfId="0" applyFill="1" applyBorder="1" applyAlignment="1">
      <alignment horizontal="center" vertical="center"/>
    </xf>
    <xf numFmtId="0" fontId="55" fillId="34" borderId="92" xfId="0" applyFont="1" applyFill="1" applyBorder="1" applyAlignment="1">
      <alignment horizontal="center" vertical="center"/>
    </xf>
    <xf numFmtId="0" fontId="1" fillId="34" borderId="93" xfId="0" applyFont="1" applyFill="1" applyBorder="1" applyAlignment="1">
      <alignment horizontal="center" vertical="center"/>
    </xf>
    <xf numFmtId="0" fontId="2" fillId="3" borderId="94" xfId="0" applyFont="1" applyFill="1" applyBorder="1" applyAlignment="1">
      <alignment horizontal="center" vertical="center"/>
    </xf>
    <xf numFmtId="0" fontId="54" fillId="3" borderId="95" xfId="0" applyFont="1" applyFill="1" applyBorder="1" applyAlignment="1">
      <alignment horizontal="left" vertical="center"/>
    </xf>
    <xf numFmtId="0" fontId="0" fillId="3" borderId="96" xfId="0" applyFill="1" applyBorder="1" applyAlignment="1">
      <alignment horizontal="center" vertical="center"/>
    </xf>
    <xf numFmtId="0" fontId="54" fillId="3" borderId="96" xfId="0" applyFont="1" applyFill="1" applyBorder="1" applyAlignment="1">
      <alignment horizontal="left" vertical="center"/>
    </xf>
    <xf numFmtId="0" fontId="54" fillId="3" borderId="97" xfId="0" applyFont="1" applyFill="1" applyBorder="1" applyAlignment="1">
      <alignment horizontal="left" vertical="center"/>
    </xf>
    <xf numFmtId="0" fontId="54" fillId="3" borderId="97" xfId="0" applyFont="1" applyFill="1" applyBorder="1" applyAlignment="1">
      <alignment horizontal="center" vertical="center"/>
    </xf>
    <xf numFmtId="0" fontId="54" fillId="3" borderId="98" xfId="0" applyFont="1" applyFill="1" applyBorder="1" applyAlignment="1">
      <alignment horizontal="center" vertical="center"/>
    </xf>
    <xf numFmtId="0" fontId="0" fillId="3" borderId="98" xfId="0" applyFill="1" applyBorder="1" applyAlignment="1">
      <alignment horizontal="center" vertical="center"/>
    </xf>
    <xf numFmtId="0" fontId="2" fillId="3" borderId="99" xfId="0" applyFont="1" applyFill="1" applyBorder="1" applyAlignment="1">
      <alignment horizontal="center" vertical="center"/>
    </xf>
    <xf numFmtId="0" fontId="0" fillId="3" borderId="97" xfId="0" applyFill="1" applyBorder="1" applyAlignment="1">
      <alignment horizontal="center" vertical="center"/>
    </xf>
    <xf numFmtId="0" fontId="54" fillId="3" borderId="99" xfId="0" applyFont="1" applyFill="1" applyBorder="1" applyAlignment="1">
      <alignment horizontal="center" vertical="center"/>
    </xf>
    <xf numFmtId="0" fontId="0" fillId="3" borderId="99" xfId="0" applyFill="1" applyBorder="1" applyAlignment="1">
      <alignment horizontal="center" vertical="center"/>
    </xf>
    <xf numFmtId="0" fontId="2" fillId="3" borderId="100" xfId="0" applyFont="1" applyFill="1" applyBorder="1" applyAlignment="1">
      <alignment horizontal="center" vertical="center"/>
    </xf>
    <xf numFmtId="0" fontId="54" fillId="3" borderId="0" xfId="0" applyFont="1" applyFill="1" applyAlignment="1">
      <alignment horizontal="left" vertical="center"/>
    </xf>
    <xf numFmtId="0" fontId="0" fillId="34" borderId="89" xfId="0" applyFill="1" applyBorder="1" applyAlignment="1">
      <alignment vertical="center"/>
    </xf>
    <xf numFmtId="0" fontId="0" fillId="34" borderId="90" xfId="0" applyFill="1" applyBorder="1" applyAlignment="1">
      <alignment vertical="center"/>
    </xf>
    <xf numFmtId="0" fontId="0" fillId="34" borderId="91" xfId="0" applyFill="1" applyBorder="1" applyAlignment="1">
      <alignment vertical="center"/>
    </xf>
    <xf numFmtId="0" fontId="101" fillId="3" borderId="0" xfId="0" applyFont="1" applyFill="1" applyAlignment="1">
      <alignment vertical="center"/>
    </xf>
    <xf numFmtId="0" fontId="74" fillId="3" borderId="0" xfId="0" applyFont="1" applyFill="1" applyAlignment="1">
      <alignment vertical="center"/>
    </xf>
    <xf numFmtId="0" fontId="10" fillId="3" borderId="84" xfId="0" applyFont="1" applyFill="1" applyBorder="1" applyAlignment="1">
      <alignment vertical="top"/>
    </xf>
    <xf numFmtId="0" fontId="103" fillId="0" borderId="84" xfId="4" applyBorder="1" applyAlignment="1">
      <alignment horizontal="left" vertical="top"/>
    </xf>
    <xf numFmtId="0" fontId="55" fillId="3" borderId="0" xfId="0" applyFont="1" applyFill="1" applyAlignment="1">
      <alignment horizontal="center" vertical="center"/>
    </xf>
    <xf numFmtId="0" fontId="9" fillId="3" borderId="103" xfId="0" applyFont="1" applyFill="1" applyBorder="1" applyAlignment="1">
      <alignment horizontal="left" vertical="center"/>
    </xf>
    <xf numFmtId="0" fontId="0" fillId="3" borderId="101" xfId="0" applyFill="1" applyBorder="1" applyAlignment="1">
      <alignment vertical="center"/>
    </xf>
    <xf numFmtId="0" fontId="0" fillId="3" borderId="104" xfId="0" applyFill="1" applyBorder="1" applyAlignment="1">
      <alignment vertical="center"/>
    </xf>
    <xf numFmtId="0" fontId="2" fillId="3" borderId="105" xfId="0" applyFont="1" applyFill="1" applyBorder="1" applyAlignment="1">
      <alignment horizontal="center" vertical="center"/>
    </xf>
    <xf numFmtId="0" fontId="2" fillId="3" borderId="106" xfId="0" applyFont="1" applyFill="1" applyBorder="1" applyAlignment="1">
      <alignment horizontal="center" vertical="center"/>
    </xf>
    <xf numFmtId="171" fontId="1" fillId="3" borderId="106" xfId="0" applyNumberFormat="1" applyFont="1" applyFill="1" applyBorder="1" applyAlignment="1">
      <alignment horizontal="center" vertical="center"/>
    </xf>
    <xf numFmtId="0" fontId="2" fillId="3" borderId="107" xfId="0" applyFont="1" applyFill="1" applyBorder="1" applyAlignment="1">
      <alignment horizontal="center" vertical="center"/>
    </xf>
    <xf numFmtId="0" fontId="9" fillId="3" borderId="95" xfId="0" applyFont="1" applyFill="1" applyBorder="1" applyAlignment="1">
      <alignment horizontal="left" vertical="center"/>
    </xf>
    <xf numFmtId="0" fontId="0" fillId="3" borderId="96" xfId="0" applyFill="1" applyBorder="1" applyAlignment="1">
      <alignment vertical="center"/>
    </xf>
    <xf numFmtId="0" fontId="0" fillId="3" borderId="97" xfId="0" applyFill="1" applyBorder="1" applyAlignment="1">
      <alignment vertical="center"/>
    </xf>
    <xf numFmtId="0" fontId="2" fillId="3" borderId="98" xfId="0" applyFont="1" applyFill="1" applyBorder="1" applyAlignment="1">
      <alignment horizontal="center" vertical="center"/>
    </xf>
    <xf numFmtId="171" fontId="1" fillId="3" borderId="98" xfId="0" applyNumberFormat="1" applyFont="1" applyFill="1" applyBorder="1" applyAlignment="1">
      <alignment horizontal="center" vertical="center"/>
    </xf>
    <xf numFmtId="0" fontId="9" fillId="3" borderId="101" xfId="0" applyFont="1" applyFill="1" applyBorder="1" applyAlignment="1">
      <alignment horizontal="center" vertical="center"/>
    </xf>
    <xf numFmtId="0" fontId="9" fillId="3" borderId="101" xfId="0" applyFont="1" applyFill="1" applyBorder="1" applyAlignment="1">
      <alignment horizontal="left" vertical="center"/>
    </xf>
    <xf numFmtId="14" fontId="1" fillId="3" borderId="106" xfId="0" applyNumberFormat="1" applyFont="1" applyFill="1" applyBorder="1" applyAlignment="1">
      <alignment horizontal="center" vertical="center"/>
    </xf>
    <xf numFmtId="0" fontId="9" fillId="3" borderId="96" xfId="0" applyFont="1" applyFill="1" applyBorder="1" applyAlignment="1">
      <alignment horizontal="center" vertical="center"/>
    </xf>
    <xf numFmtId="0" fontId="9" fillId="3" borderId="96" xfId="0" applyFont="1" applyFill="1" applyBorder="1" applyAlignment="1">
      <alignment horizontal="left" vertical="center"/>
    </xf>
    <xf numFmtId="14" fontId="1" fillId="3" borderId="98" xfId="0" applyNumberFormat="1" applyFont="1" applyFill="1" applyBorder="1" applyAlignment="1">
      <alignment horizontal="center" vertical="center"/>
    </xf>
    <xf numFmtId="14" fontId="0" fillId="6" borderId="1" xfId="0" applyNumberFormat="1" applyFill="1" applyBorder="1" applyProtection="1">
      <protection locked="0"/>
    </xf>
    <xf numFmtId="49" fontId="1" fillId="6" borderId="1" xfId="0" applyNumberFormat="1" applyFont="1" applyFill="1" applyBorder="1" applyProtection="1">
      <protection locked="0"/>
    </xf>
    <xf numFmtId="49" fontId="1" fillId="0" borderId="0" xfId="0" applyNumberFormat="1" applyFont="1"/>
    <xf numFmtId="14" fontId="1" fillId="0" borderId="0" xfId="0" applyNumberFormat="1" applyFont="1"/>
    <xf numFmtId="0" fontId="0" fillId="0" borderId="83" xfId="0" applyBorder="1"/>
    <xf numFmtId="0" fontId="2" fillId="8" borderId="83" xfId="0" applyFont="1" applyFill="1" applyBorder="1" applyAlignment="1">
      <alignment horizontal="center" vertical="center"/>
    </xf>
    <xf numFmtId="0" fontId="114" fillId="34" borderId="38" xfId="4" applyFont="1" applyFill="1" applyBorder="1" applyAlignment="1">
      <alignment horizontal="center" vertical="center"/>
    </xf>
    <xf numFmtId="0" fontId="2" fillId="23" borderId="83" xfId="0" applyFont="1" applyFill="1" applyBorder="1" applyAlignment="1">
      <alignment horizontal="center" vertical="center" wrapText="1"/>
    </xf>
    <xf numFmtId="0" fontId="115" fillId="3" borderId="16" xfId="0" applyFont="1" applyFill="1" applyBorder="1" applyAlignment="1">
      <alignment vertical="center"/>
    </xf>
    <xf numFmtId="0" fontId="115" fillId="3" borderId="0" xfId="0" applyFont="1" applyFill="1" applyAlignment="1">
      <alignment vertical="center"/>
    </xf>
    <xf numFmtId="0" fontId="0" fillId="3" borderId="30" xfId="0" applyFill="1" applyBorder="1" applyAlignment="1">
      <alignment vertical="center"/>
    </xf>
    <xf numFmtId="0" fontId="1" fillId="3" borderId="28" xfId="0" applyFont="1" applyFill="1" applyBorder="1" applyAlignment="1">
      <alignment horizontal="left" vertical="center" indent="1"/>
    </xf>
    <xf numFmtId="0" fontId="1" fillId="3" borderId="28" xfId="0" applyFont="1" applyFill="1" applyBorder="1" applyAlignment="1">
      <alignment vertical="center"/>
    </xf>
    <xf numFmtId="0" fontId="0" fillId="3" borderId="109" xfId="0" applyFill="1" applyBorder="1" applyAlignment="1">
      <alignment vertical="center"/>
    </xf>
    <xf numFmtId="0" fontId="0" fillId="3" borderId="108" xfId="0" applyFill="1" applyBorder="1" applyAlignment="1">
      <alignment vertical="center"/>
    </xf>
    <xf numFmtId="0" fontId="0" fillId="3" borderId="110" xfId="0" applyFill="1" applyBorder="1" applyAlignment="1">
      <alignment vertical="center"/>
    </xf>
    <xf numFmtId="0" fontId="1" fillId="3" borderId="70" xfId="0" applyFont="1" applyFill="1" applyBorder="1" applyAlignment="1">
      <alignment horizontal="center" vertical="center"/>
    </xf>
    <xf numFmtId="0" fontId="1" fillId="3" borderId="74" xfId="0" applyFont="1" applyFill="1" applyBorder="1" applyAlignment="1">
      <alignment vertical="center"/>
    </xf>
    <xf numFmtId="14" fontId="8" fillId="0" borderId="0" xfId="0" applyNumberFormat="1" applyFont="1"/>
    <xf numFmtId="0" fontId="116" fillId="0" borderId="0" xfId="0" applyFont="1" applyAlignment="1">
      <alignment vertical="center"/>
    </xf>
    <xf numFmtId="0" fontId="1" fillId="0" borderId="0" xfId="0" applyFont="1" applyAlignment="1">
      <alignment vertical="center"/>
    </xf>
    <xf numFmtId="0" fontId="8" fillId="0" borderId="19" xfId="0" applyFont="1" applyBorder="1" applyAlignment="1">
      <alignment horizontal="center"/>
    </xf>
    <xf numFmtId="0" fontId="8" fillId="0" borderId="20" xfId="0" applyFont="1" applyBorder="1" applyAlignment="1">
      <alignment horizontal="center"/>
    </xf>
    <xf numFmtId="0" fontId="8" fillId="0" borderId="14" xfId="0" applyFont="1" applyBorder="1" applyAlignment="1">
      <alignment horizontal="center"/>
    </xf>
    <xf numFmtId="0" fontId="1" fillId="3" borderId="108" xfId="0" applyFont="1" applyFill="1" applyBorder="1" applyAlignment="1">
      <alignment vertical="center"/>
    </xf>
    <xf numFmtId="0" fontId="117" fillId="3" borderId="0" xfId="0" applyFont="1" applyFill="1" applyAlignment="1">
      <alignment vertical="center" wrapText="1"/>
    </xf>
    <xf numFmtId="0" fontId="1" fillId="0" borderId="0" xfId="0" quotePrefix="1" applyFont="1"/>
    <xf numFmtId="0" fontId="1" fillId="0" borderId="35" xfId="1" applyFont="1" applyBorder="1" applyAlignment="1">
      <alignment horizontal="center" vertical="center"/>
    </xf>
    <xf numFmtId="0" fontId="1" fillId="0" borderId="1" xfId="1" applyFont="1" applyBorder="1" applyAlignment="1">
      <alignment horizontal="center" vertical="center"/>
    </xf>
    <xf numFmtId="0" fontId="10" fillId="0" borderId="36" xfId="1" applyFont="1" applyBorder="1" applyAlignment="1">
      <alignment vertical="center"/>
    </xf>
    <xf numFmtId="0" fontId="1" fillId="34" borderId="87" xfId="0" applyFont="1" applyFill="1" applyBorder="1" applyAlignment="1">
      <alignment horizontal="center" vertical="center"/>
    </xf>
    <xf numFmtId="0" fontId="0" fillId="0" borderId="108" xfId="0" applyBorder="1"/>
    <xf numFmtId="0" fontId="0" fillId="0" borderId="108" xfId="0" applyBorder="1" applyAlignment="1">
      <alignment horizontal="center"/>
    </xf>
    <xf numFmtId="0" fontId="54" fillId="20" borderId="108" xfId="1" applyFont="1" applyFill="1" applyBorder="1" applyAlignment="1">
      <alignment horizontal="right" vertical="center"/>
    </xf>
    <xf numFmtId="0" fontId="54" fillId="4" borderId="108" xfId="1" applyFont="1" applyFill="1" applyBorder="1" applyAlignment="1">
      <alignment horizontal="right" vertical="center"/>
    </xf>
    <xf numFmtId="0" fontId="54" fillId="21" borderId="108" xfId="1" applyFont="1" applyFill="1" applyBorder="1" applyAlignment="1">
      <alignment horizontal="right" vertical="center"/>
    </xf>
    <xf numFmtId="0" fontId="54" fillId="0" borderId="108" xfId="1" applyFont="1" applyBorder="1" applyAlignment="1">
      <alignment horizontal="right" vertical="center"/>
    </xf>
    <xf numFmtId="0" fontId="112" fillId="0" borderId="57" xfId="0" applyFont="1" applyBorder="1" applyAlignment="1">
      <alignment horizontal="center" vertical="center"/>
    </xf>
    <xf numFmtId="0" fontId="112" fillId="0" borderId="36" xfId="0" applyFont="1" applyBorder="1" applyAlignment="1">
      <alignment horizontal="center" vertical="center"/>
    </xf>
    <xf numFmtId="0" fontId="112" fillId="0" borderId="58" xfId="0" applyFont="1" applyBorder="1" applyAlignment="1">
      <alignment horizontal="center" vertical="center"/>
    </xf>
    <xf numFmtId="0" fontId="112" fillId="0" borderId="54" xfId="0" applyFont="1" applyBorder="1" applyAlignment="1">
      <alignment vertical="center"/>
    </xf>
    <xf numFmtId="0" fontId="112" fillId="0" borderId="1" xfId="0" applyFont="1" applyBorder="1" applyAlignment="1">
      <alignment vertical="center"/>
    </xf>
    <xf numFmtId="0" fontId="112" fillId="0" borderId="56" xfId="0" applyFont="1" applyBorder="1" applyAlignment="1">
      <alignment vertical="center"/>
    </xf>
    <xf numFmtId="0" fontId="0" fillId="0" borderId="113" xfId="0" applyBorder="1" applyAlignment="1">
      <alignment horizontal="center" vertical="center"/>
    </xf>
    <xf numFmtId="0" fontId="0" fillId="0" borderId="114" xfId="0" applyBorder="1" applyAlignment="1">
      <alignment horizontal="center" vertical="center"/>
    </xf>
    <xf numFmtId="0" fontId="0" fillId="0" borderId="115" xfId="0" applyBorder="1" applyAlignment="1">
      <alignment horizontal="center" vertical="center"/>
    </xf>
    <xf numFmtId="0" fontId="0" fillId="0" borderId="83" xfId="0" applyBorder="1" applyAlignment="1" applyProtection="1">
      <alignment horizontal="center" vertical="center"/>
      <protection locked="0"/>
    </xf>
    <xf numFmtId="14" fontId="8" fillId="9" borderId="1" xfId="0" applyNumberFormat="1" applyFont="1" applyFill="1" applyBorder="1" applyAlignment="1" applyProtection="1">
      <alignment horizontal="center" vertical="center"/>
      <protection locked="0"/>
    </xf>
    <xf numFmtId="0" fontId="0" fillId="23" borderId="0" xfId="1" applyFont="1" applyFill="1" applyAlignment="1">
      <alignment vertical="center"/>
    </xf>
    <xf numFmtId="0" fontId="24" fillId="23" borderId="0" xfId="1" applyFont="1" applyFill="1" applyAlignment="1">
      <alignment horizontal="right" vertical="center"/>
    </xf>
    <xf numFmtId="0" fontId="1" fillId="0" borderId="0" xfId="1" applyFont="1" applyAlignment="1">
      <alignment horizontal="center" vertical="center"/>
    </xf>
    <xf numFmtId="1" fontId="82" fillId="0" borderId="72" xfId="1" applyNumberFormat="1" applyFont="1" applyBorder="1" applyAlignment="1">
      <alignment horizontal="center" vertical="center"/>
    </xf>
    <xf numFmtId="0" fontId="0" fillId="0" borderId="38" xfId="1" applyFont="1" applyBorder="1" applyAlignment="1" applyProtection="1">
      <alignment horizontal="center" vertical="center"/>
      <protection locked="0"/>
    </xf>
    <xf numFmtId="0" fontId="120" fillId="0" borderId="0" xfId="1" applyFont="1" applyAlignment="1">
      <alignment horizontal="center" vertical="center"/>
    </xf>
    <xf numFmtId="1" fontId="82" fillId="0" borderId="0" xfId="1" applyNumberFormat="1" applyFont="1" applyAlignment="1">
      <alignment horizontal="center" vertical="center"/>
    </xf>
    <xf numFmtId="1" fontId="82" fillId="0" borderId="8" xfId="1" applyNumberFormat="1" applyFont="1" applyBorder="1" applyAlignment="1">
      <alignment horizontal="center" vertical="center"/>
    </xf>
    <xf numFmtId="170" fontId="1" fillId="0" borderId="1" xfId="1" applyNumberFormat="1" applyFont="1" applyBorder="1" applyAlignment="1">
      <alignment vertical="center"/>
    </xf>
    <xf numFmtId="0" fontId="1" fillId="36" borderId="0" xfId="0" applyFont="1" applyFill="1"/>
    <xf numFmtId="0" fontId="24" fillId="0" borderId="0" xfId="1" applyFont="1" applyAlignment="1">
      <alignment vertical="center"/>
    </xf>
    <xf numFmtId="0" fontId="92" fillId="0" borderId="0" xfId="1" applyFont="1" applyAlignment="1">
      <alignment horizontal="center" vertical="center"/>
    </xf>
    <xf numFmtId="0" fontId="92" fillId="0" borderId="0" xfId="1" applyFont="1" applyAlignment="1">
      <alignment vertical="center"/>
    </xf>
    <xf numFmtId="0" fontId="93" fillId="0" borderId="0" xfId="1" applyFont="1" applyAlignment="1">
      <alignment horizontal="center" vertical="center"/>
    </xf>
    <xf numFmtId="0" fontId="121" fillId="0" borderId="0" xfId="1" applyFont="1" applyAlignment="1">
      <alignment vertical="center"/>
    </xf>
    <xf numFmtId="170" fontId="121" fillId="0" borderId="0" xfId="1" applyNumberFormat="1" applyFont="1" applyAlignment="1">
      <alignment vertical="center"/>
    </xf>
    <xf numFmtId="0" fontId="93" fillId="0" borderId="0" xfId="1" applyFont="1" applyAlignment="1">
      <alignment vertical="center"/>
    </xf>
    <xf numFmtId="1" fontId="93" fillId="0" borderId="0" xfId="1" applyNumberFormat="1" applyFont="1" applyAlignment="1">
      <alignment horizontal="center" vertical="center"/>
    </xf>
    <xf numFmtId="0" fontId="102" fillId="0" borderId="0" xfId="1" applyFont="1" applyAlignment="1">
      <alignment horizontal="center" vertical="center"/>
    </xf>
    <xf numFmtId="2" fontId="102" fillId="0" borderId="0" xfId="1" applyNumberFormat="1" applyFont="1" applyAlignment="1">
      <alignment vertical="center"/>
    </xf>
    <xf numFmtId="2" fontId="122" fillId="0" borderId="0" xfId="1" applyNumberFormat="1" applyFont="1" applyAlignment="1">
      <alignment horizontal="center" vertical="center"/>
    </xf>
    <xf numFmtId="0" fontId="123" fillId="0" borderId="0" xfId="1" applyFont="1" applyAlignment="1">
      <alignment vertical="center"/>
    </xf>
    <xf numFmtId="0" fontId="93" fillId="0" borderId="0" xfId="1" applyFont="1" applyAlignment="1">
      <alignment horizontal="right" vertical="center"/>
    </xf>
    <xf numFmtId="0" fontId="67" fillId="0" borderId="0" xfId="0" applyFont="1" applyAlignment="1">
      <alignment vertical="center"/>
    </xf>
    <xf numFmtId="0" fontId="12" fillId="0" borderId="108" xfId="1" applyFont="1" applyBorder="1" applyAlignment="1">
      <alignment horizontal="left" vertical="center"/>
    </xf>
    <xf numFmtId="0" fontId="1" fillId="0" borderId="108" xfId="1" applyFont="1" applyBorder="1" applyAlignment="1">
      <alignment horizontal="left" vertical="center"/>
    </xf>
    <xf numFmtId="0" fontId="27" fillId="0" borderId="108" xfId="1" applyFont="1" applyBorder="1" applyAlignment="1">
      <alignment horizontal="left" vertical="center"/>
    </xf>
    <xf numFmtId="0" fontId="0" fillId="0" borderId="108" xfId="1" applyFont="1" applyBorder="1" applyAlignment="1">
      <alignment vertical="center"/>
    </xf>
    <xf numFmtId="0" fontId="0" fillId="24" borderId="108" xfId="1" applyFont="1" applyFill="1" applyBorder="1" applyAlignment="1">
      <alignment vertical="center"/>
    </xf>
    <xf numFmtId="0" fontId="10" fillId="14" borderId="67" xfId="1" applyFont="1" applyFill="1" applyBorder="1" applyAlignment="1">
      <alignment horizontal="center" vertical="center"/>
    </xf>
    <xf numFmtId="0" fontId="10" fillId="14" borderId="69" xfId="1" applyFont="1" applyFill="1" applyBorder="1" applyAlignment="1">
      <alignment horizontal="center" vertical="center"/>
    </xf>
    <xf numFmtId="170" fontId="0" fillId="0" borderId="108" xfId="1" applyNumberFormat="1" applyFont="1" applyBorder="1" applyAlignment="1">
      <alignment vertical="center"/>
    </xf>
    <xf numFmtId="170" fontId="1" fillId="0" borderId="108" xfId="1" applyNumberFormat="1" applyFont="1" applyBorder="1" applyAlignment="1">
      <alignment vertical="center"/>
    </xf>
    <xf numFmtId="0" fontId="9" fillId="0" borderId="0" xfId="1" applyFont="1" applyAlignment="1">
      <alignment horizontal="center" vertical="center"/>
    </xf>
    <xf numFmtId="0" fontId="6" fillId="20" borderId="0" xfId="1" applyFont="1" applyFill="1" applyAlignment="1">
      <alignment horizontal="right" vertical="center"/>
    </xf>
    <xf numFmtId="0" fontId="6" fillId="4" borderId="0" xfId="1" applyFont="1" applyFill="1" applyAlignment="1">
      <alignment horizontal="right" vertical="center"/>
    </xf>
    <xf numFmtId="0" fontId="0" fillId="0" borderId="108" xfId="1" applyFont="1" applyBorder="1" applyAlignment="1">
      <alignment horizontal="center" vertical="center"/>
    </xf>
    <xf numFmtId="0" fontId="6" fillId="21" borderId="0" xfId="1" applyFont="1" applyFill="1" applyAlignment="1">
      <alignment horizontal="right" vertical="center"/>
    </xf>
    <xf numFmtId="0" fontId="6" fillId="0" borderId="0" xfId="1" applyFont="1" applyAlignment="1">
      <alignment horizontal="right" vertical="center"/>
    </xf>
    <xf numFmtId="1" fontId="1" fillId="0" borderId="0" xfId="1" applyNumberFormat="1" applyFont="1" applyAlignment="1">
      <alignment horizontal="center" vertical="center"/>
    </xf>
    <xf numFmtId="0" fontId="1" fillId="0" borderId="0" xfId="1" applyFont="1" applyAlignment="1">
      <alignment vertical="center"/>
    </xf>
    <xf numFmtId="0" fontId="2" fillId="0" borderId="74" xfId="1" applyFont="1" applyBorder="1" applyAlignment="1">
      <alignment horizontal="center" vertical="center"/>
    </xf>
    <xf numFmtId="0" fontId="1" fillId="0" borderId="0" xfId="1" quotePrefix="1" applyFont="1" applyAlignment="1">
      <alignment vertical="center"/>
    </xf>
    <xf numFmtId="1" fontId="92" fillId="0" borderId="0" xfId="1" applyNumberFormat="1" applyFont="1" applyAlignment="1">
      <alignment vertical="center"/>
    </xf>
    <xf numFmtId="0" fontId="0" fillId="23" borderId="0" xfId="0" applyFill="1"/>
    <xf numFmtId="0" fontId="1" fillId="23" borderId="108" xfId="0" applyFont="1" applyFill="1" applyBorder="1"/>
    <xf numFmtId="0" fontId="0" fillId="23" borderId="0" xfId="0" applyFill="1" applyAlignment="1">
      <alignment horizontal="center"/>
    </xf>
    <xf numFmtId="0" fontId="2" fillId="0" borderId="8" xfId="0" applyFont="1" applyBorder="1" applyAlignment="1">
      <alignment horizontal="center"/>
    </xf>
    <xf numFmtId="0" fontId="2" fillId="0" borderId="10" xfId="0" applyFont="1" applyBorder="1" applyAlignment="1">
      <alignment horizontal="center"/>
    </xf>
    <xf numFmtId="0" fontId="2" fillId="0" borderId="12" xfId="0" applyFont="1" applyBorder="1" applyAlignment="1">
      <alignment horizontal="center"/>
    </xf>
    <xf numFmtId="172" fontId="8" fillId="0" borderId="5" xfId="0" applyNumberFormat="1" applyFont="1" applyBorder="1" applyAlignment="1">
      <alignment horizontal="center" vertical="center"/>
    </xf>
    <xf numFmtId="0" fontId="2" fillId="28" borderId="38" xfId="0" applyFont="1" applyFill="1" applyBorder="1"/>
    <xf numFmtId="0" fontId="2" fillId="3" borderId="84" xfId="0" applyFont="1" applyFill="1" applyBorder="1" applyAlignment="1">
      <alignment vertical="center"/>
    </xf>
    <xf numFmtId="0" fontId="2" fillId="3" borderId="85" xfId="0" applyFont="1" applyFill="1" applyBorder="1" applyAlignment="1">
      <alignment horizontal="center" vertical="center" textRotation="90"/>
    </xf>
    <xf numFmtId="0" fontId="98" fillId="0" borderId="14" xfId="0" applyFont="1" applyBorder="1" applyAlignment="1">
      <alignment horizontal="center"/>
    </xf>
    <xf numFmtId="14" fontId="98" fillId="0" borderId="19" xfId="0" applyNumberFormat="1" applyFont="1" applyBorder="1" applyAlignment="1">
      <alignment horizontal="center"/>
    </xf>
    <xf numFmtId="1" fontId="1" fillId="0" borderId="73" xfId="1" applyNumberFormat="1" applyFont="1" applyBorder="1" applyAlignment="1">
      <alignment horizontal="center" vertical="center"/>
    </xf>
    <xf numFmtId="0" fontId="1" fillId="35" borderId="1" xfId="0" applyFont="1" applyFill="1" applyBorder="1" applyProtection="1">
      <protection locked="0"/>
    </xf>
    <xf numFmtId="0" fontId="9" fillId="23" borderId="38" xfId="0" applyFont="1" applyFill="1" applyBorder="1" applyAlignment="1" applyProtection="1">
      <alignment horizontal="center" vertical="center"/>
      <protection locked="0"/>
    </xf>
    <xf numFmtId="0" fontId="125" fillId="0" borderId="0" xfId="5"/>
    <xf numFmtId="0" fontId="1" fillId="0" borderId="108" xfId="0" applyFont="1" applyBorder="1" applyAlignment="1">
      <alignment horizontal="center"/>
    </xf>
    <xf numFmtId="0" fontId="1" fillId="35" borderId="1" xfId="0" applyFont="1" applyFill="1" applyBorder="1" applyAlignment="1" applyProtection="1">
      <alignment wrapText="1"/>
      <protection locked="0"/>
    </xf>
    <xf numFmtId="49" fontId="0" fillId="7" borderId="0" xfId="0" applyNumberFormat="1" applyFill="1"/>
    <xf numFmtId="0" fontId="28" fillId="9" borderId="47" xfId="0" applyFont="1" applyFill="1" applyBorder="1" applyAlignment="1" applyProtection="1">
      <alignment horizontal="center" vertical="center"/>
      <protection locked="0"/>
    </xf>
    <xf numFmtId="0" fontId="28" fillId="9" borderId="108" xfId="0" applyFont="1" applyFill="1" applyBorder="1" applyAlignment="1" applyProtection="1">
      <alignment horizontal="center" vertical="center"/>
      <protection locked="0"/>
    </xf>
    <xf numFmtId="0" fontId="8" fillId="9" borderId="108" xfId="0" applyFont="1" applyFill="1" applyBorder="1" applyAlignment="1" applyProtection="1">
      <alignment horizontal="center" vertical="center"/>
      <protection locked="0"/>
    </xf>
    <xf numFmtId="0" fontId="103" fillId="0" borderId="0" xfId="4" applyAlignment="1">
      <alignment horizontal="center" vertical="center"/>
    </xf>
    <xf numFmtId="0" fontId="103" fillId="0" borderId="116" xfId="4" applyBorder="1" applyAlignment="1">
      <alignment horizontal="center" vertical="center"/>
    </xf>
    <xf numFmtId="0" fontId="110" fillId="0" borderId="0" xfId="4" applyFont="1" applyAlignment="1">
      <alignment horizontal="center" vertical="center" wrapText="1"/>
    </xf>
    <xf numFmtId="0" fontId="110" fillId="0" borderId="0" xfId="4" applyFont="1" applyAlignment="1">
      <alignment horizontal="center" vertical="center"/>
    </xf>
    <xf numFmtId="0" fontId="110" fillId="0" borderId="116" xfId="4" applyFont="1" applyBorder="1" applyAlignment="1">
      <alignment horizontal="center" vertical="center"/>
    </xf>
    <xf numFmtId="0" fontId="103" fillId="0" borderId="116" xfId="4" applyBorder="1"/>
    <xf numFmtId="0" fontId="0" fillId="3" borderId="116" xfId="0" applyFill="1" applyBorder="1" applyAlignment="1">
      <alignment vertical="center"/>
    </xf>
    <xf numFmtId="0" fontId="107" fillId="0" borderId="116" xfId="4" applyFont="1" applyBorder="1" applyAlignment="1">
      <alignment horizontal="center" vertical="center"/>
    </xf>
    <xf numFmtId="0" fontId="54" fillId="3" borderId="116" xfId="0" applyFont="1" applyFill="1" applyBorder="1" applyAlignment="1">
      <alignment horizontal="left" vertical="center"/>
    </xf>
    <xf numFmtId="0" fontId="0" fillId="3" borderId="116" xfId="0" applyFill="1" applyBorder="1" applyAlignment="1">
      <alignment horizontal="center" vertical="center"/>
    </xf>
    <xf numFmtId="0" fontId="54" fillId="3" borderId="116" xfId="0" applyFont="1" applyFill="1" applyBorder="1" applyAlignment="1">
      <alignment horizontal="center" vertical="center"/>
    </xf>
    <xf numFmtId="0" fontId="0" fillId="34" borderId="0" xfId="0" applyFill="1" applyAlignment="1">
      <alignment horizontal="center" vertical="center"/>
    </xf>
    <xf numFmtId="0" fontId="54" fillId="34" borderId="0" xfId="0" applyFont="1" applyFill="1" applyAlignment="1">
      <alignment horizontal="left" vertical="center"/>
    </xf>
    <xf numFmtId="0" fontId="54" fillId="34" borderId="0" xfId="0" applyFont="1" applyFill="1" applyAlignment="1">
      <alignment horizontal="center" vertical="center"/>
    </xf>
    <xf numFmtId="0" fontId="103" fillId="34" borderId="116" xfId="4" applyFill="1" applyBorder="1" applyAlignment="1">
      <alignment horizontal="center" vertical="center" wrapText="1"/>
    </xf>
    <xf numFmtId="0" fontId="110" fillId="34" borderId="116" xfId="4" applyFont="1" applyFill="1" applyBorder="1" applyAlignment="1">
      <alignment horizontal="center" vertical="center" wrapText="1"/>
    </xf>
    <xf numFmtId="0" fontId="111" fillId="34" borderId="116" xfId="4" applyFont="1" applyFill="1" applyBorder="1" applyAlignment="1">
      <alignment horizontal="center" vertical="center" wrapText="1"/>
    </xf>
    <xf numFmtId="0" fontId="10" fillId="34" borderId="0" xfId="0" applyFont="1" applyFill="1" applyAlignment="1">
      <alignment horizontal="center" vertical="center"/>
    </xf>
    <xf numFmtId="0" fontId="54" fillId="34" borderId="0" xfId="0" applyFont="1" applyFill="1" applyAlignment="1">
      <alignment horizontal="right" vertical="center"/>
    </xf>
    <xf numFmtId="0" fontId="10" fillId="34" borderId="0" xfId="0" applyFont="1" applyFill="1" applyAlignment="1">
      <alignment horizontal="left" vertical="center"/>
    </xf>
    <xf numFmtId="0" fontId="2" fillId="34" borderId="116" xfId="0" applyFont="1" applyFill="1" applyBorder="1" applyAlignment="1">
      <alignment vertical="center"/>
    </xf>
    <xf numFmtId="0" fontId="88" fillId="3" borderId="0" xfId="0" applyFont="1" applyFill="1" applyAlignment="1">
      <alignment vertical="center"/>
    </xf>
    <xf numFmtId="0" fontId="50" fillId="3" borderId="0" xfId="0" applyFont="1" applyFill="1" applyAlignment="1">
      <alignment horizontal="left" vertical="center"/>
    </xf>
    <xf numFmtId="0" fontId="13" fillId="15" borderId="113" xfId="0" applyFont="1" applyFill="1" applyBorder="1" applyAlignment="1" applyProtection="1">
      <alignment horizontal="center" vertical="center"/>
      <protection locked="0"/>
    </xf>
    <xf numFmtId="0" fontId="92" fillId="25" borderId="116" xfId="0" applyFont="1" applyFill="1" applyBorder="1" applyAlignment="1">
      <alignment horizontal="left" vertical="center"/>
    </xf>
    <xf numFmtId="0" fontId="11" fillId="3" borderId="0" xfId="0" applyFont="1" applyFill="1" applyAlignment="1">
      <alignment horizontal="right" vertical="center"/>
    </xf>
    <xf numFmtId="0" fontId="128" fillId="0" borderId="9" xfId="4" applyFont="1" applyBorder="1" applyAlignment="1">
      <alignment horizontal="right" vertical="top"/>
    </xf>
    <xf numFmtId="0" fontId="99" fillId="3" borderId="0" xfId="0" applyFont="1" applyFill="1" applyAlignment="1">
      <alignment horizontal="right" vertical="center"/>
    </xf>
    <xf numFmtId="0" fontId="99" fillId="3" borderId="0" xfId="0" applyFont="1" applyFill="1" applyAlignment="1">
      <alignment horizontal="left" vertical="center"/>
    </xf>
    <xf numFmtId="0" fontId="32" fillId="3" borderId="0" xfId="0" applyFont="1" applyFill="1" applyAlignment="1">
      <alignment vertical="top"/>
    </xf>
    <xf numFmtId="0" fontId="57" fillId="34" borderId="0" xfId="0" applyFont="1" applyFill="1" applyAlignment="1">
      <alignment horizontal="center" vertical="center"/>
    </xf>
    <xf numFmtId="0" fontId="98" fillId="25" borderId="0" xfId="0" applyFont="1" applyFill="1" applyAlignment="1">
      <alignment vertical="center"/>
    </xf>
    <xf numFmtId="0" fontId="98" fillId="25" borderId="0" xfId="0" applyFont="1" applyFill="1" applyAlignment="1">
      <alignment horizontal="center" vertical="center"/>
    </xf>
    <xf numFmtId="0" fontId="103" fillId="25" borderId="8" xfId="4" applyFill="1" applyBorder="1" applyAlignment="1">
      <alignment horizontal="left" vertical="top"/>
    </xf>
    <xf numFmtId="0" fontId="103" fillId="25" borderId="16" xfId="4" applyFill="1" applyBorder="1"/>
    <xf numFmtId="0" fontId="128" fillId="25" borderId="9" xfId="4" applyFont="1" applyFill="1" applyBorder="1" applyAlignment="1">
      <alignment horizontal="right" vertical="top"/>
    </xf>
    <xf numFmtId="0" fontId="0" fillId="25" borderId="74" xfId="0" applyFill="1" applyBorder="1" applyAlignment="1">
      <alignment vertical="center"/>
    </xf>
    <xf numFmtId="0" fontId="0" fillId="25" borderId="70" xfId="0" applyFill="1" applyBorder="1" applyAlignment="1">
      <alignment vertical="center"/>
    </xf>
    <xf numFmtId="0" fontId="0" fillId="25" borderId="75" xfId="0" applyFill="1" applyBorder="1" applyAlignment="1">
      <alignment vertical="center"/>
    </xf>
    <xf numFmtId="1" fontId="9" fillId="9" borderId="9" xfId="1" applyNumberFormat="1" applyFont="1" applyFill="1" applyBorder="1" applyAlignment="1" applyProtection="1">
      <alignment horizontal="center" vertical="center"/>
      <protection locked="0"/>
    </xf>
    <xf numFmtId="1" fontId="9" fillId="9" borderId="75" xfId="1" applyNumberFormat="1" applyFont="1" applyFill="1" applyBorder="1" applyAlignment="1" applyProtection="1">
      <alignment horizontal="center" vertical="center"/>
      <protection locked="0"/>
    </xf>
    <xf numFmtId="170" fontId="79" fillId="0" borderId="0" xfId="1" applyNumberFormat="1" applyFont="1" applyAlignment="1">
      <alignment vertical="center"/>
    </xf>
    <xf numFmtId="170" fontId="1" fillId="0" borderId="0" xfId="1" applyNumberFormat="1" applyFont="1" applyAlignment="1">
      <alignment horizontal="left" vertical="center"/>
    </xf>
    <xf numFmtId="1" fontId="1" fillId="0" borderId="0" xfId="1" applyNumberFormat="1" applyFont="1" applyAlignment="1">
      <alignment vertical="center"/>
    </xf>
    <xf numFmtId="1" fontId="9" fillId="30" borderId="9" xfId="1" applyNumberFormat="1" applyFont="1" applyFill="1" applyBorder="1" applyAlignment="1">
      <alignment vertical="center"/>
    </xf>
    <xf numFmtId="1" fontId="9" fillId="30" borderId="75" xfId="1" applyNumberFormat="1" applyFont="1" applyFill="1" applyBorder="1" applyAlignment="1">
      <alignment vertical="center"/>
    </xf>
    <xf numFmtId="0" fontId="27" fillId="0" borderId="0" xfId="1" applyFont="1" applyAlignment="1">
      <alignment vertical="center"/>
    </xf>
    <xf numFmtId="0" fontId="27" fillId="0" borderId="0" xfId="1" applyFont="1" applyAlignment="1">
      <alignment horizontal="center" vertical="center"/>
    </xf>
    <xf numFmtId="0" fontId="80" fillId="0" borderId="0" xfId="1" applyFont="1" applyAlignment="1">
      <alignment vertical="center"/>
    </xf>
    <xf numFmtId="0" fontId="54" fillId="0" borderId="0" xfId="1" applyFont="1" applyAlignment="1">
      <alignment vertical="center"/>
    </xf>
    <xf numFmtId="0" fontId="14" fillId="0" borderId="0" xfId="1" applyFont="1" applyAlignment="1">
      <alignment horizontal="center" vertical="center"/>
    </xf>
    <xf numFmtId="2" fontId="9" fillId="0" borderId="0" xfId="1" applyNumberFormat="1" applyFont="1" applyAlignment="1">
      <alignment vertical="center"/>
    </xf>
    <xf numFmtId="0" fontId="1" fillId="0" borderId="8" xfId="1" applyFont="1" applyBorder="1" applyAlignment="1">
      <alignment horizontal="center" vertical="center"/>
    </xf>
    <xf numFmtId="2" fontId="24" fillId="0" borderId="0" xfId="1" applyNumberFormat="1" applyFont="1" applyAlignment="1">
      <alignment horizontal="center" vertical="center"/>
    </xf>
    <xf numFmtId="170" fontId="0" fillId="0" borderId="0" xfId="1" applyNumberFormat="1" applyFont="1" applyAlignment="1">
      <alignment vertical="center"/>
    </xf>
    <xf numFmtId="0" fontId="0" fillId="0" borderId="116" xfId="1" applyFont="1" applyBorder="1" applyAlignment="1">
      <alignment horizontal="center" vertical="center"/>
    </xf>
    <xf numFmtId="0" fontId="1" fillId="0" borderId="0" xfId="1" applyFont="1" applyAlignment="1">
      <alignment horizontal="left" vertical="center"/>
    </xf>
    <xf numFmtId="170" fontId="87" fillId="37" borderId="74" xfId="1" applyNumberFormat="1" applyFont="1" applyFill="1" applyBorder="1" applyAlignment="1">
      <alignment horizontal="left" vertical="center"/>
    </xf>
    <xf numFmtId="0" fontId="93" fillId="0" borderId="8" xfId="1" applyFont="1" applyBorder="1" applyAlignment="1">
      <alignment horizontal="center" vertical="center"/>
    </xf>
    <xf numFmtId="2" fontId="102" fillId="0" borderId="16" xfId="1" applyNumberFormat="1" applyFont="1" applyBorder="1" applyAlignment="1">
      <alignment vertical="center"/>
    </xf>
    <xf numFmtId="170" fontId="121" fillId="0" borderId="16" xfId="1" applyNumberFormat="1" applyFont="1" applyBorder="1" applyAlignment="1">
      <alignment vertical="center"/>
    </xf>
    <xf numFmtId="1" fontId="92" fillId="0" borderId="16" xfId="1" applyNumberFormat="1" applyFont="1" applyBorder="1" applyAlignment="1">
      <alignment horizontal="center" vertical="center"/>
    </xf>
    <xf numFmtId="0" fontId="92" fillId="0" borderId="16" xfId="1" applyFont="1" applyBorder="1" applyAlignment="1">
      <alignment horizontal="center" vertical="center"/>
    </xf>
    <xf numFmtId="0" fontId="93" fillId="0" borderId="16" xfId="1" applyFont="1" applyBorder="1" applyAlignment="1">
      <alignment horizontal="center" vertical="center"/>
    </xf>
    <xf numFmtId="1" fontId="24" fillId="0" borderId="16" xfId="1" applyNumberFormat="1" applyFont="1" applyBorder="1" applyAlignment="1">
      <alignment horizontal="center" vertical="center"/>
    </xf>
    <xf numFmtId="0" fontId="24" fillId="0" borderId="9" xfId="1" applyFont="1" applyBorder="1" applyAlignment="1">
      <alignment horizontal="center" vertical="center"/>
    </xf>
    <xf numFmtId="0" fontId="14" fillId="0" borderId="10" xfId="1" applyFont="1" applyBorder="1" applyAlignment="1">
      <alignment horizontal="center" vertical="center"/>
    </xf>
    <xf numFmtId="0" fontId="24" fillId="0" borderId="11" xfId="1" applyFont="1" applyBorder="1" applyAlignment="1">
      <alignment horizontal="center" vertical="center"/>
    </xf>
    <xf numFmtId="0" fontId="24" fillId="0" borderId="74" xfId="1" applyFont="1" applyBorder="1" applyAlignment="1">
      <alignment horizontal="center" vertical="center"/>
    </xf>
    <xf numFmtId="0" fontId="24" fillId="0" borderId="70" xfId="1" applyFont="1" applyBorder="1" applyAlignment="1">
      <alignment horizontal="center" vertical="center"/>
    </xf>
    <xf numFmtId="1" fontId="0" fillId="0" borderId="70" xfId="1" applyNumberFormat="1" applyFont="1" applyBorder="1" applyAlignment="1">
      <alignment horizontal="center" vertical="center"/>
    </xf>
    <xf numFmtId="0" fontId="24" fillId="0" borderId="75" xfId="1" applyFont="1" applyBorder="1" applyAlignment="1">
      <alignment horizontal="center" vertical="center"/>
    </xf>
    <xf numFmtId="1" fontId="82" fillId="0" borderId="0" xfId="1" applyNumberFormat="1" applyFont="1" applyAlignment="1">
      <alignment vertical="center"/>
    </xf>
    <xf numFmtId="0" fontId="83" fillId="0" borderId="36" xfId="1" applyFont="1" applyBorder="1" applyAlignment="1">
      <alignment horizontal="center" vertical="center"/>
    </xf>
    <xf numFmtId="0" fontId="83" fillId="0" borderId="58" xfId="1" applyFont="1" applyBorder="1" applyAlignment="1">
      <alignment horizontal="center" vertical="center"/>
    </xf>
    <xf numFmtId="0" fontId="10" fillId="0" borderId="36" xfId="1" applyFont="1" applyBorder="1" applyAlignment="1">
      <alignment horizontal="center" vertical="center"/>
    </xf>
    <xf numFmtId="0" fontId="10" fillId="0" borderId="58" xfId="1" applyFont="1" applyBorder="1" applyAlignment="1">
      <alignment horizontal="center" vertical="center"/>
    </xf>
    <xf numFmtId="0" fontId="131" fillId="0" borderId="0" xfId="0" applyFont="1"/>
    <xf numFmtId="0" fontId="1" fillId="38" borderId="1" xfId="0" applyFont="1" applyFill="1" applyBorder="1" applyAlignment="1">
      <alignment vertical="center"/>
    </xf>
    <xf numFmtId="0" fontId="14" fillId="39" borderId="39" xfId="0" applyFont="1" applyFill="1" applyBorder="1" applyAlignment="1">
      <alignment horizontal="left" vertical="center"/>
    </xf>
    <xf numFmtId="0" fontId="17" fillId="39" borderId="0" xfId="0" applyFont="1" applyFill="1"/>
    <xf numFmtId="0" fontId="1" fillId="0" borderId="16" xfId="1" applyFont="1" applyBorder="1" applyAlignment="1">
      <alignment vertical="center"/>
    </xf>
    <xf numFmtId="0" fontId="24" fillId="0" borderId="16" xfId="1" applyFont="1" applyBorder="1" applyAlignment="1">
      <alignment horizontal="center"/>
    </xf>
    <xf numFmtId="0" fontId="24" fillId="0" borderId="9" xfId="1" applyFont="1" applyBorder="1" applyAlignment="1">
      <alignment horizontal="center"/>
    </xf>
    <xf numFmtId="0" fontId="24" fillId="0" borderId="10" xfId="1" applyFont="1" applyBorder="1" applyAlignment="1">
      <alignment horizontal="center"/>
    </xf>
    <xf numFmtId="0" fontId="24" fillId="0" borderId="0" xfId="1" applyFont="1" applyAlignment="1">
      <alignment horizontal="center"/>
    </xf>
    <xf numFmtId="0" fontId="24" fillId="0" borderId="11" xfId="1" applyFont="1" applyBorder="1" applyAlignment="1">
      <alignment horizontal="center"/>
    </xf>
    <xf numFmtId="0" fontId="24" fillId="0" borderId="74" xfId="1" applyFont="1" applyBorder="1" applyAlignment="1">
      <alignment horizontal="center"/>
    </xf>
    <xf numFmtId="0" fontId="24" fillId="0" borderId="70" xfId="1" applyFont="1" applyBorder="1" applyAlignment="1">
      <alignment horizontal="center"/>
    </xf>
    <xf numFmtId="0" fontId="24" fillId="0" borderId="75" xfId="1" applyFont="1" applyBorder="1" applyAlignment="1">
      <alignment horizontal="center"/>
    </xf>
    <xf numFmtId="0" fontId="24" fillId="0" borderId="8" xfId="1" applyFont="1" applyBorder="1" applyAlignment="1">
      <alignment horizontal="left"/>
    </xf>
    <xf numFmtId="0" fontId="83" fillId="0" borderId="57" xfId="1" applyFont="1" applyBorder="1" applyAlignment="1">
      <alignment horizontal="center" vertical="center"/>
    </xf>
    <xf numFmtId="0" fontId="10" fillId="0" borderId="57" xfId="1" applyFont="1" applyBorder="1" applyAlignment="1">
      <alignment horizontal="center" vertical="center"/>
    </xf>
    <xf numFmtId="0" fontId="10" fillId="14" borderId="72" xfId="1" applyFont="1" applyFill="1" applyBorder="1" applyAlignment="1">
      <alignment horizontal="center" vertical="center"/>
    </xf>
    <xf numFmtId="0" fontId="10" fillId="14" borderId="71" xfId="1" applyFont="1" applyFill="1" applyBorder="1" applyAlignment="1">
      <alignment horizontal="center" vertical="center"/>
    </xf>
    <xf numFmtId="0" fontId="10" fillId="14" borderId="73" xfId="1" applyFont="1" applyFill="1" applyBorder="1" applyAlignment="1">
      <alignment horizontal="center" vertical="center"/>
    </xf>
    <xf numFmtId="0" fontId="83" fillId="0" borderId="0" xfId="1" applyFont="1" applyAlignment="1">
      <alignment horizontal="center" vertical="center"/>
    </xf>
    <xf numFmtId="0" fontId="1" fillId="0" borderId="53" xfId="1" applyFont="1" applyBorder="1" applyAlignment="1">
      <alignment horizontal="center" vertical="center"/>
    </xf>
    <xf numFmtId="0" fontId="1" fillId="0" borderId="1" xfId="1" applyFont="1" applyBorder="1" applyAlignment="1">
      <alignment vertical="center"/>
    </xf>
    <xf numFmtId="0" fontId="2" fillId="3" borderId="0" xfId="0" applyFont="1" applyFill="1" applyAlignment="1">
      <alignment horizontal="center" vertical="top"/>
    </xf>
    <xf numFmtId="0" fontId="132" fillId="34" borderId="116" xfId="4" applyFont="1" applyFill="1" applyBorder="1" applyAlignment="1">
      <alignment horizontal="center" vertical="center" wrapText="1"/>
    </xf>
    <xf numFmtId="0" fontId="1" fillId="18" borderId="116" xfId="1" applyFont="1" applyFill="1" applyBorder="1" applyAlignment="1" applyProtection="1">
      <alignment vertical="center"/>
      <protection locked="0"/>
    </xf>
    <xf numFmtId="0" fontId="0" fillId="23" borderId="116" xfId="1" applyFont="1" applyFill="1" applyBorder="1" applyAlignment="1" applyProtection="1">
      <alignment vertical="center"/>
      <protection locked="0"/>
    </xf>
    <xf numFmtId="0" fontId="0" fillId="3" borderId="116" xfId="0" applyFill="1" applyBorder="1" applyAlignment="1" applyProtection="1">
      <alignment vertical="center"/>
      <protection locked="0"/>
    </xf>
    <xf numFmtId="0" fontId="1" fillId="3" borderId="116" xfId="0" applyFont="1" applyFill="1" applyBorder="1" applyAlignment="1" applyProtection="1">
      <alignment vertical="center"/>
      <protection locked="0"/>
    </xf>
    <xf numFmtId="0" fontId="133" fillId="3" borderId="38" xfId="0" applyFont="1" applyFill="1" applyBorder="1" applyAlignment="1">
      <alignment horizontal="center" vertical="center"/>
    </xf>
    <xf numFmtId="0" fontId="128" fillId="34" borderId="116" xfId="4" applyFont="1" applyFill="1" applyBorder="1" applyAlignment="1">
      <alignment horizontal="center" vertical="center"/>
    </xf>
    <xf numFmtId="0" fontId="0" fillId="13" borderId="6" xfId="0" applyFill="1" applyBorder="1"/>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1" fillId="0" borderId="0" xfId="0" applyFont="1" applyAlignment="1">
      <alignment horizontal="center" vertical="center"/>
    </xf>
    <xf numFmtId="0" fontId="73" fillId="0" borderId="0" xfId="0" applyFont="1" applyAlignment="1">
      <alignment horizontal="center" vertical="center"/>
    </xf>
    <xf numFmtId="0" fontId="17" fillId="23" borderId="15" xfId="0" applyFont="1" applyFill="1" applyBorder="1" applyAlignment="1">
      <alignment horizontal="center"/>
    </xf>
    <xf numFmtId="0" fontId="17" fillId="23" borderId="26" xfId="0" applyFont="1" applyFill="1" applyBorder="1" applyAlignment="1">
      <alignment horizontal="center"/>
    </xf>
    <xf numFmtId="0" fontId="17" fillId="23" borderId="27" xfId="0" applyFont="1" applyFill="1" applyBorder="1" applyAlignment="1">
      <alignment horizontal="center"/>
    </xf>
    <xf numFmtId="0" fontId="8" fillId="0" borderId="0" xfId="0" applyFont="1" applyAlignment="1">
      <alignment horizontal="center" vertical="center" wrapText="1"/>
    </xf>
    <xf numFmtId="0" fontId="1" fillId="35" borderId="0" xfId="0" applyFont="1" applyFill="1" applyAlignment="1" applyProtection="1">
      <alignment horizontal="left" wrapText="1"/>
      <protection locked="0"/>
    </xf>
    <xf numFmtId="0" fontId="0" fillId="35" borderId="0" xfId="0" applyFill="1" applyAlignment="1" applyProtection="1">
      <alignment horizontal="left"/>
      <protection locked="0"/>
    </xf>
    <xf numFmtId="0" fontId="8" fillId="0" borderId="19" xfId="0" applyFont="1" applyBorder="1" applyAlignment="1">
      <alignment horizontal="center" vertical="center"/>
    </xf>
    <xf numFmtId="0" fontId="8" fillId="0" borderId="20" xfId="0" applyFont="1" applyBorder="1" applyAlignment="1">
      <alignment horizontal="center" vertical="center"/>
    </xf>
    <xf numFmtId="0" fontId="8" fillId="0" borderId="14" xfId="0" applyFont="1" applyBorder="1" applyAlignment="1">
      <alignment horizontal="center" vertical="center"/>
    </xf>
    <xf numFmtId="0" fontId="48" fillId="0" borderId="0" xfId="0" applyFont="1" applyAlignment="1">
      <alignment horizontal="left" vertical="center"/>
    </xf>
    <xf numFmtId="0" fontId="46" fillId="6" borderId="0" xfId="0" applyFont="1" applyFill="1" applyAlignment="1">
      <alignment horizontal="left" vertical="center"/>
    </xf>
    <xf numFmtId="14" fontId="6" fillId="6" borderId="0" xfId="0" applyNumberFormat="1" applyFont="1" applyFill="1" applyAlignment="1" applyProtection="1">
      <alignment horizontal="center" vertical="center"/>
      <protection locked="0"/>
    </xf>
    <xf numFmtId="1" fontId="9" fillId="9" borderId="9" xfId="1" applyNumberFormat="1" applyFont="1" applyFill="1" applyBorder="1" applyAlignment="1" applyProtection="1">
      <alignment horizontal="center" vertical="center"/>
      <protection locked="0"/>
    </xf>
    <xf numFmtId="1" fontId="9" fillId="9" borderId="75" xfId="1" applyNumberFormat="1" applyFont="1" applyFill="1" applyBorder="1" applyAlignment="1" applyProtection="1">
      <alignment horizontal="center" vertical="center"/>
      <protection locked="0"/>
    </xf>
    <xf numFmtId="0" fontId="77" fillId="0" borderId="8" xfId="1" applyFont="1" applyBorder="1" applyAlignment="1">
      <alignment horizontal="center" vertical="center"/>
    </xf>
    <xf numFmtId="0" fontId="77" fillId="0" borderId="16" xfId="1" applyFont="1" applyBorder="1" applyAlignment="1">
      <alignment horizontal="center" vertical="center"/>
    </xf>
    <xf numFmtId="0" fontId="77" fillId="0" borderId="9" xfId="1" applyFont="1" applyBorder="1" applyAlignment="1">
      <alignment horizontal="center" vertical="center"/>
    </xf>
    <xf numFmtId="0" fontId="77" fillId="0" borderId="10" xfId="1" applyFont="1" applyBorder="1" applyAlignment="1">
      <alignment horizontal="center" vertical="center"/>
    </xf>
    <xf numFmtId="0" fontId="77" fillId="0" borderId="0" xfId="1" applyFont="1" applyAlignment="1">
      <alignment horizontal="center" vertical="center"/>
    </xf>
    <xf numFmtId="0" fontId="77" fillId="0" borderId="11" xfId="1" applyFont="1" applyBorder="1" applyAlignment="1">
      <alignment horizontal="center" vertical="center"/>
    </xf>
    <xf numFmtId="0" fontId="77" fillId="0" borderId="74" xfId="1" applyFont="1" applyBorder="1" applyAlignment="1">
      <alignment horizontal="center" vertical="center"/>
    </xf>
    <xf numFmtId="0" fontId="77" fillId="0" borderId="70" xfId="1" applyFont="1" applyBorder="1" applyAlignment="1">
      <alignment horizontal="center" vertical="center"/>
    </xf>
    <xf numFmtId="0" fontId="77" fillId="0" borderId="75" xfId="1" applyFont="1" applyBorder="1" applyAlignment="1">
      <alignment horizontal="center" vertical="center"/>
    </xf>
    <xf numFmtId="1" fontId="9" fillId="26" borderId="9" xfId="1" applyNumberFormat="1" applyFont="1" applyFill="1" applyBorder="1" applyAlignment="1">
      <alignment horizontal="center" vertical="center"/>
    </xf>
    <xf numFmtId="1" fontId="9" fillId="26" borderId="75" xfId="1" applyNumberFormat="1" applyFont="1" applyFill="1" applyBorder="1" applyAlignment="1">
      <alignment horizontal="center" vertical="center"/>
    </xf>
    <xf numFmtId="0" fontId="79" fillId="0" borderId="0" xfId="1" applyFont="1" applyAlignment="1">
      <alignment horizontal="center" vertical="center"/>
    </xf>
    <xf numFmtId="0" fontId="14" fillId="0" borderId="0" xfId="1" applyFont="1" applyAlignment="1">
      <alignment horizontal="center" vertical="top"/>
    </xf>
    <xf numFmtId="0" fontId="14" fillId="0" borderId="70" xfId="1" applyFont="1" applyBorder="1" applyAlignment="1">
      <alignment horizontal="center" vertical="top"/>
    </xf>
    <xf numFmtId="0" fontId="14" fillId="0" borderId="8" xfId="1" applyFont="1" applyBorder="1" applyAlignment="1">
      <alignment horizontal="center" vertical="center"/>
    </xf>
    <xf numFmtId="0" fontId="14" fillId="0" borderId="16" xfId="1" applyFont="1" applyBorder="1" applyAlignment="1">
      <alignment horizontal="center" vertical="center"/>
    </xf>
    <xf numFmtId="0" fontId="14" fillId="0" borderId="9" xfId="1" applyFont="1" applyBorder="1" applyAlignment="1">
      <alignment horizontal="center" vertical="center"/>
    </xf>
    <xf numFmtId="0" fontId="14" fillId="0" borderId="74" xfId="1" applyFont="1" applyBorder="1" applyAlignment="1">
      <alignment horizontal="center" vertical="center"/>
    </xf>
    <xf numFmtId="0" fontId="14" fillId="0" borderId="70" xfId="1" applyFont="1" applyBorder="1" applyAlignment="1">
      <alignment horizontal="center" vertical="center"/>
    </xf>
    <xf numFmtId="0" fontId="14" fillId="0" borderId="75" xfId="1" applyFont="1" applyBorder="1" applyAlignment="1">
      <alignment horizontal="center" vertical="center"/>
    </xf>
    <xf numFmtId="0" fontId="88" fillId="0" borderId="0" xfId="0" applyFont="1" applyAlignment="1">
      <alignment horizontal="center" vertical="center"/>
    </xf>
    <xf numFmtId="0" fontId="89" fillId="0" borderId="0" xfId="0" applyFont="1" applyAlignment="1">
      <alignment horizontal="center" vertical="center"/>
    </xf>
    <xf numFmtId="0" fontId="91" fillId="0" borderId="0" xfId="0" applyFont="1" applyAlignment="1">
      <alignment horizontal="center" vertical="center"/>
    </xf>
    <xf numFmtId="1" fontId="90" fillId="0" borderId="0" xfId="1" applyNumberFormat="1" applyFont="1" applyAlignment="1">
      <alignment horizontal="center" vertical="top"/>
    </xf>
    <xf numFmtId="0" fontId="10" fillId="3" borderId="13" xfId="0" applyFont="1" applyFill="1" applyBorder="1" applyAlignment="1">
      <alignment horizontal="center" vertical="center"/>
    </xf>
    <xf numFmtId="0" fontId="54" fillId="3" borderId="15" xfId="0" applyFont="1" applyFill="1" applyBorder="1" applyAlignment="1" applyProtection="1">
      <alignment horizontal="center" vertical="center"/>
      <protection locked="0"/>
    </xf>
    <xf numFmtId="0" fontId="54" fillId="3" borderId="26" xfId="0" applyFont="1" applyFill="1" applyBorder="1" applyAlignment="1" applyProtection="1">
      <alignment horizontal="center" vertical="center"/>
      <protection locked="0"/>
    </xf>
    <xf numFmtId="0" fontId="54" fillId="3" borderId="27" xfId="0" applyFont="1" applyFill="1" applyBorder="1" applyAlignment="1" applyProtection="1">
      <alignment horizontal="center" vertical="center"/>
      <protection locked="0"/>
    </xf>
    <xf numFmtId="0" fontId="9" fillId="3" borderId="15" xfId="0" applyFont="1" applyFill="1" applyBorder="1" applyAlignment="1">
      <alignment horizontal="center" vertical="center"/>
    </xf>
    <xf numFmtId="0" fontId="9" fillId="3" borderId="26" xfId="0" applyFont="1" applyFill="1" applyBorder="1" applyAlignment="1">
      <alignment horizontal="center" vertical="center"/>
    </xf>
    <xf numFmtId="0" fontId="9" fillId="3" borderId="27" xfId="0" applyFont="1" applyFill="1" applyBorder="1" applyAlignment="1">
      <alignment horizontal="center" vertical="center"/>
    </xf>
    <xf numFmtId="0" fontId="10" fillId="3" borderId="15" xfId="0" applyFont="1" applyFill="1" applyBorder="1" applyAlignment="1" applyProtection="1">
      <alignment horizontal="center" vertical="center"/>
      <protection locked="0"/>
    </xf>
    <xf numFmtId="0" fontId="10" fillId="3" borderId="26" xfId="0" applyFont="1" applyFill="1" applyBorder="1" applyAlignment="1" applyProtection="1">
      <alignment horizontal="center" vertical="center"/>
      <protection locked="0"/>
    </xf>
    <xf numFmtId="0" fontId="10" fillId="3" borderId="27" xfId="0" applyFont="1" applyFill="1" applyBorder="1" applyAlignment="1" applyProtection="1">
      <alignment horizontal="center" vertical="center"/>
      <protection locked="0"/>
    </xf>
    <xf numFmtId="0" fontId="57" fillId="10" borderId="19" xfId="0" applyFont="1" applyFill="1" applyBorder="1" applyAlignment="1">
      <alignment horizontal="center" vertical="center"/>
    </xf>
    <xf numFmtId="0" fontId="57" fillId="10" borderId="14" xfId="0" applyFont="1" applyFill="1" applyBorder="1" applyAlignment="1">
      <alignment horizontal="center" vertical="center"/>
    </xf>
    <xf numFmtId="0" fontId="6" fillId="3" borderId="0" xfId="0" applyFont="1" applyFill="1" applyAlignment="1">
      <alignment horizontal="center" vertical="center"/>
    </xf>
    <xf numFmtId="0" fontId="54" fillId="3" borderId="40" xfId="0" applyFont="1" applyFill="1" applyBorder="1" applyAlignment="1">
      <alignment horizontal="center" vertical="center"/>
    </xf>
    <xf numFmtId="0" fontId="54" fillId="3" borderId="62" xfId="0" applyFont="1" applyFill="1" applyBorder="1" applyAlignment="1">
      <alignment horizontal="center" vertical="center"/>
    </xf>
    <xf numFmtId="0" fontId="54" fillId="3" borderId="33" xfId="0" applyFont="1" applyFill="1" applyBorder="1" applyAlignment="1">
      <alignment horizontal="center" vertical="center"/>
    </xf>
    <xf numFmtId="14" fontId="10" fillId="3" borderId="13" xfId="0" applyNumberFormat="1" applyFont="1" applyFill="1" applyBorder="1" applyAlignment="1">
      <alignment horizontal="center" vertical="center"/>
    </xf>
    <xf numFmtId="0" fontId="10" fillId="3" borderId="1" xfId="0" applyFont="1" applyFill="1" applyBorder="1" applyAlignment="1">
      <alignment horizontal="center" vertical="center"/>
    </xf>
    <xf numFmtId="0" fontId="6" fillId="3" borderId="13" xfId="0" applyFont="1" applyFill="1" applyBorder="1" applyAlignment="1">
      <alignment horizontal="center" vertical="center"/>
    </xf>
    <xf numFmtId="14" fontId="10" fillId="3" borderId="15" xfId="0" applyNumberFormat="1" applyFont="1" applyFill="1" applyBorder="1" applyAlignment="1" applyProtection="1">
      <alignment horizontal="center" vertical="center"/>
      <protection locked="0"/>
    </xf>
    <xf numFmtId="14" fontId="10" fillId="3" borderId="26" xfId="0" applyNumberFormat="1" applyFont="1" applyFill="1" applyBorder="1" applyAlignment="1" applyProtection="1">
      <alignment horizontal="center" vertical="center"/>
      <protection locked="0"/>
    </xf>
    <xf numFmtId="14" fontId="10" fillId="3" borderId="27" xfId="0" applyNumberFormat="1" applyFont="1" applyFill="1" applyBorder="1" applyAlignment="1" applyProtection="1">
      <alignment horizontal="center" vertical="center"/>
      <protection locked="0"/>
    </xf>
    <xf numFmtId="0" fontId="9" fillId="3" borderId="28" xfId="0" applyFont="1" applyFill="1" applyBorder="1" applyAlignment="1" applyProtection="1">
      <alignment horizontal="center" vertical="center"/>
      <protection locked="0"/>
    </xf>
    <xf numFmtId="0" fontId="9" fillId="3" borderId="29" xfId="0" applyFont="1" applyFill="1" applyBorder="1" applyAlignment="1" applyProtection="1">
      <alignment horizontal="center" vertical="center"/>
      <protection locked="0"/>
    </xf>
    <xf numFmtId="0" fontId="9" fillId="3" borderId="30" xfId="0" applyFont="1" applyFill="1" applyBorder="1" applyAlignment="1" applyProtection="1">
      <alignment horizontal="center" vertical="center"/>
      <protection locked="0"/>
    </xf>
    <xf numFmtId="0" fontId="9" fillId="3" borderId="0" xfId="0" applyFont="1" applyFill="1" applyAlignment="1">
      <alignment horizontal="center" vertical="center"/>
    </xf>
    <xf numFmtId="0" fontId="12" fillId="3" borderId="0" xfId="0" applyFont="1" applyFill="1" applyAlignment="1">
      <alignment horizontal="center" vertical="center"/>
    </xf>
    <xf numFmtId="0" fontId="12" fillId="3" borderId="61" xfId="0" applyFont="1" applyFill="1" applyBorder="1" applyAlignment="1">
      <alignment horizontal="center" vertical="center"/>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2" fillId="3" borderId="15" xfId="0" applyFont="1" applyFill="1" applyBorder="1" applyAlignment="1" applyProtection="1">
      <alignment horizontal="center" vertical="center"/>
      <protection locked="0"/>
    </xf>
    <xf numFmtId="0" fontId="12" fillId="3" borderId="26" xfId="0" applyFont="1" applyFill="1" applyBorder="1" applyAlignment="1" applyProtection="1">
      <alignment horizontal="center" vertical="center"/>
      <protection locked="0"/>
    </xf>
    <xf numFmtId="0" fontId="12" fillId="3" borderId="27" xfId="0" applyFont="1" applyFill="1" applyBorder="1" applyAlignment="1" applyProtection="1">
      <alignment horizontal="center" vertical="center"/>
      <protection locked="0"/>
    </xf>
    <xf numFmtId="0" fontId="46" fillId="0" borderId="0" xfId="0" applyFont="1" applyAlignment="1">
      <alignment horizontal="left" vertical="center"/>
    </xf>
    <xf numFmtId="0" fontId="48" fillId="0" borderId="0" xfId="0" applyFont="1" applyAlignment="1">
      <alignment horizontal="center" vertical="top"/>
    </xf>
    <xf numFmtId="0" fontId="48" fillId="0" borderId="13" xfId="0" applyFont="1" applyBorder="1" applyAlignment="1">
      <alignment horizontal="center" vertical="top"/>
    </xf>
    <xf numFmtId="0" fontId="17" fillId="0" borderId="0" xfId="0" applyFont="1" applyAlignment="1">
      <alignment horizontal="center" vertical="center"/>
    </xf>
    <xf numFmtId="0" fontId="14" fillId="0" borderId="0" xfId="0" applyFont="1" applyAlignment="1">
      <alignment horizontal="center" vertical="center"/>
    </xf>
    <xf numFmtId="0" fontId="2" fillId="0" borderId="0" xfId="0" applyFont="1" applyAlignment="1">
      <alignment horizontal="center" vertical="center"/>
    </xf>
    <xf numFmtId="0" fontId="13" fillId="0" borderId="0" xfId="0" applyFont="1" applyAlignment="1">
      <alignment horizontal="left" vertical="center"/>
    </xf>
    <xf numFmtId="0" fontId="1" fillId="0" borderId="0" xfId="0" applyFont="1" applyAlignment="1">
      <alignment horizontal="center" vertical="center" wrapText="1"/>
    </xf>
    <xf numFmtId="0" fontId="59" fillId="12" borderId="4" xfId="0" applyFont="1" applyFill="1" applyBorder="1" applyAlignment="1" applyProtection="1">
      <alignment horizontal="center" vertical="center"/>
      <protection locked="0"/>
    </xf>
    <xf numFmtId="0" fontId="59" fillId="12" borderId="6" xfId="0" applyFont="1" applyFill="1" applyBorder="1" applyAlignment="1" applyProtection="1">
      <alignment horizontal="center" vertical="center"/>
      <protection locked="0"/>
    </xf>
    <xf numFmtId="0" fontId="59" fillId="12" borderId="7" xfId="0" applyFont="1" applyFill="1" applyBorder="1" applyAlignment="1" applyProtection="1">
      <alignment horizontal="center" vertical="center"/>
      <protection locked="0"/>
    </xf>
    <xf numFmtId="0" fontId="8" fillId="23" borderId="0" xfId="0" applyFont="1" applyFill="1" applyAlignment="1">
      <alignment horizontal="center" vertical="center" wrapText="1"/>
    </xf>
    <xf numFmtId="0" fontId="8" fillId="23" borderId="13" xfId="0" applyFont="1" applyFill="1" applyBorder="1" applyAlignment="1">
      <alignment horizontal="center" vertical="center" wrapText="1"/>
    </xf>
    <xf numFmtId="0" fontId="0" fillId="0" borderId="1" xfId="0" applyBorder="1" applyAlignment="1">
      <alignment horizontal="center" vertical="center"/>
    </xf>
    <xf numFmtId="0" fontId="124" fillId="0" borderId="1" xfId="0" applyFont="1" applyBorder="1" applyAlignment="1">
      <alignment horizontal="center" vertical="center"/>
    </xf>
    <xf numFmtId="0" fontId="5" fillId="0" borderId="1" xfId="0" applyFont="1" applyBorder="1" applyAlignment="1">
      <alignment horizontal="center" vertical="center"/>
    </xf>
    <xf numFmtId="0" fontId="0" fillId="23" borderId="1" xfId="0" applyFill="1" applyBorder="1" applyAlignment="1">
      <alignment horizontal="center" vertical="center" textRotation="90"/>
    </xf>
    <xf numFmtId="0" fontId="35" fillId="0" borderId="0" xfId="0" applyFont="1" applyAlignment="1">
      <alignment horizontal="left" vertical="center"/>
    </xf>
    <xf numFmtId="0" fontId="36" fillId="0" borderId="1" xfId="0" applyFont="1" applyBorder="1" applyAlignment="1">
      <alignment horizontal="center" vertical="center"/>
    </xf>
    <xf numFmtId="0" fontId="35" fillId="0" borderId="0" xfId="0" applyFont="1"/>
    <xf numFmtId="0" fontId="0" fillId="0" borderId="0" xfId="0"/>
    <xf numFmtId="0" fontId="32" fillId="0" borderId="0" xfId="0" applyFont="1"/>
    <xf numFmtId="0" fontId="2" fillId="0" borderId="10" xfId="0" applyFont="1" applyBorder="1" applyAlignment="1">
      <alignment horizontal="center" vertical="center"/>
    </xf>
    <xf numFmtId="0" fontId="13" fillId="0" borderId="0" xfId="0" applyFont="1" applyAlignment="1">
      <alignment horizontal="left" vertical="top"/>
    </xf>
    <xf numFmtId="0" fontId="9" fillId="0" borderId="0" xfId="0" applyFont="1" applyAlignment="1">
      <alignment horizontal="right"/>
    </xf>
    <xf numFmtId="167" fontId="9" fillId="0" borderId="0" xfId="0" applyNumberFormat="1" applyFont="1" applyAlignment="1">
      <alignment horizontal="left"/>
    </xf>
    <xf numFmtId="0" fontId="44" fillId="0" borderId="0" xfId="0" applyFont="1" applyAlignment="1">
      <alignment horizontal="center"/>
    </xf>
    <xf numFmtId="0" fontId="13" fillId="0" borderId="0" xfId="3" applyFont="1" applyAlignment="1">
      <alignment horizontal="left" vertical="top"/>
    </xf>
    <xf numFmtId="0" fontId="2" fillId="0" borderId="10" xfId="3" applyFont="1" applyBorder="1" applyAlignment="1">
      <alignment horizontal="center" vertical="center"/>
    </xf>
    <xf numFmtId="0" fontId="2" fillId="0" borderId="0" xfId="3" applyFont="1" applyAlignment="1">
      <alignment horizontal="center" vertical="center"/>
    </xf>
    <xf numFmtId="0" fontId="10" fillId="0" borderId="0" xfId="0" applyFont="1"/>
    <xf numFmtId="14" fontId="9" fillId="0" borderId="0" xfId="0" applyNumberFormat="1" applyFont="1"/>
    <xf numFmtId="0" fontId="45" fillId="0" borderId="0" xfId="0" applyFont="1" applyAlignment="1">
      <alignment horizontal="center"/>
    </xf>
    <xf numFmtId="0" fontId="67" fillId="3" borderId="0" xfId="0" applyFont="1" applyFill="1" applyAlignment="1">
      <alignment horizontal="center" vertical="center"/>
    </xf>
    <xf numFmtId="0" fontId="74" fillId="3" borderId="0" xfId="0" applyFont="1" applyFill="1" applyAlignment="1">
      <alignment horizontal="center" vertical="center"/>
    </xf>
    <xf numFmtId="0" fontId="66" fillId="3" borderId="53" xfId="0" applyFont="1" applyFill="1" applyBorder="1" applyAlignment="1">
      <alignment horizontal="center" vertical="center"/>
    </xf>
    <xf numFmtId="0" fontId="66" fillId="3" borderId="54" xfId="0" applyFont="1" applyFill="1" applyBorder="1" applyAlignment="1">
      <alignment horizontal="center" vertical="center"/>
    </xf>
    <xf numFmtId="0" fontId="66" fillId="3" borderId="57" xfId="0" applyFont="1" applyFill="1" applyBorder="1" applyAlignment="1">
      <alignment horizontal="center" vertical="center"/>
    </xf>
    <xf numFmtId="0" fontId="66" fillId="3" borderId="35" xfId="0" applyFont="1" applyFill="1" applyBorder="1" applyAlignment="1">
      <alignment horizontal="center" vertical="center"/>
    </xf>
    <xf numFmtId="0" fontId="66" fillId="3" borderId="1" xfId="0" applyFont="1" applyFill="1" applyBorder="1" applyAlignment="1">
      <alignment horizontal="center" vertical="center"/>
    </xf>
    <xf numFmtId="0" fontId="66" fillId="3" borderId="36" xfId="0" applyFont="1" applyFill="1" applyBorder="1" applyAlignment="1">
      <alignment horizontal="center" vertical="center"/>
    </xf>
    <xf numFmtId="0" fontId="66" fillId="3" borderId="55" xfId="0" applyFont="1" applyFill="1" applyBorder="1" applyAlignment="1">
      <alignment horizontal="center" vertical="center"/>
    </xf>
    <xf numFmtId="0" fontId="66" fillId="3" borderId="56" xfId="0" applyFont="1" applyFill="1" applyBorder="1" applyAlignment="1">
      <alignment horizontal="center" vertical="center"/>
    </xf>
    <xf numFmtId="0" fontId="66" fillId="3" borderId="58" xfId="0" applyFont="1" applyFill="1" applyBorder="1" applyAlignment="1">
      <alignment horizontal="center" vertical="center"/>
    </xf>
    <xf numFmtId="0" fontId="0" fillId="3" borderId="21" xfId="0" applyFill="1" applyBorder="1" applyAlignment="1">
      <alignment horizontal="center"/>
    </xf>
    <xf numFmtId="0" fontId="2" fillId="3" borderId="10" xfId="0" applyFont="1" applyFill="1" applyBorder="1" applyAlignment="1">
      <alignment horizontal="center" vertical="center"/>
    </xf>
    <xf numFmtId="0" fontId="2" fillId="3" borderId="11" xfId="0" applyFont="1" applyFill="1" applyBorder="1" applyAlignment="1">
      <alignment horizontal="center" vertical="center"/>
    </xf>
    <xf numFmtId="0" fontId="13" fillId="3" borderId="0" xfId="0" applyFont="1" applyFill="1" applyAlignment="1">
      <alignment horizontal="center" vertical="center"/>
    </xf>
    <xf numFmtId="0" fontId="13" fillId="3" borderId="34" xfId="0" applyFont="1" applyFill="1" applyBorder="1" applyAlignment="1">
      <alignment horizontal="center" vertical="center"/>
    </xf>
    <xf numFmtId="0" fontId="2" fillId="3" borderId="0" xfId="0" applyFont="1" applyFill="1" applyAlignment="1">
      <alignment horizontal="center" vertical="center"/>
    </xf>
    <xf numFmtId="0" fontId="0" fillId="3" borderId="13" xfId="0" applyFill="1" applyBorder="1" applyAlignment="1">
      <alignment horizontal="center" vertical="center"/>
    </xf>
    <xf numFmtId="0" fontId="0" fillId="3" borderId="13" xfId="0" applyFill="1" applyBorder="1" applyAlignment="1">
      <alignment horizontal="left" vertical="center"/>
    </xf>
    <xf numFmtId="0" fontId="0" fillId="3" borderId="13" xfId="0" applyFill="1" applyBorder="1" applyAlignment="1">
      <alignment horizontal="left" vertical="center" indent="1"/>
    </xf>
    <xf numFmtId="0" fontId="15" fillId="3" borderId="13" xfId="0" applyFont="1" applyFill="1" applyBorder="1" applyAlignment="1">
      <alignment horizontal="center" vertical="center"/>
    </xf>
    <xf numFmtId="0" fontId="0" fillId="3" borderId="64" xfId="0" applyFill="1" applyBorder="1" applyAlignment="1">
      <alignment horizontal="center" vertical="center"/>
    </xf>
    <xf numFmtId="0" fontId="0" fillId="3" borderId="62" xfId="0" applyFill="1" applyBorder="1" applyAlignment="1">
      <alignment horizontal="center" vertical="center"/>
    </xf>
    <xf numFmtId="0" fontId="2" fillId="3" borderId="8" xfId="0" applyFont="1" applyFill="1" applyBorder="1" applyAlignment="1">
      <alignment horizontal="center" vertical="center"/>
    </xf>
    <xf numFmtId="0" fontId="2" fillId="3" borderId="16" xfId="0" applyFont="1" applyFill="1" applyBorder="1" applyAlignment="1">
      <alignment horizontal="center" vertical="center"/>
    </xf>
    <xf numFmtId="0" fontId="2" fillId="3" borderId="9" xfId="0" applyFont="1" applyFill="1" applyBorder="1" applyAlignment="1">
      <alignment horizontal="center" vertical="center"/>
    </xf>
    <xf numFmtId="0" fontId="0" fillId="3" borderId="16" xfId="0" applyFill="1" applyBorder="1" applyAlignment="1">
      <alignment horizontal="center" vertical="center"/>
    </xf>
    <xf numFmtId="0" fontId="0" fillId="3" borderId="21" xfId="0" applyFill="1" applyBorder="1" applyAlignment="1">
      <alignment horizontal="center" vertical="center"/>
    </xf>
    <xf numFmtId="0" fontId="0" fillId="3" borderId="40" xfId="0" applyFill="1" applyBorder="1" applyAlignment="1">
      <alignment horizontal="center" vertical="top"/>
    </xf>
    <xf numFmtId="0" fontId="0" fillId="3" borderId="62" xfId="0" applyFill="1" applyBorder="1" applyAlignment="1">
      <alignment horizontal="center" vertical="top"/>
    </xf>
    <xf numFmtId="0" fontId="0" fillId="3" borderId="33" xfId="0" applyFill="1" applyBorder="1" applyAlignment="1">
      <alignment horizontal="center" vertical="top"/>
    </xf>
    <xf numFmtId="0" fontId="0" fillId="3" borderId="65" xfId="0" applyFill="1" applyBorder="1" applyAlignment="1">
      <alignment horizontal="center" vertical="center"/>
    </xf>
    <xf numFmtId="0" fontId="0" fillId="3" borderId="63" xfId="0" applyFill="1" applyBorder="1" applyAlignment="1">
      <alignment horizontal="center" vertical="center"/>
    </xf>
    <xf numFmtId="0" fontId="2" fillId="3" borderId="13" xfId="0" applyFont="1" applyFill="1" applyBorder="1" applyAlignment="1">
      <alignment horizontal="center" vertical="center"/>
    </xf>
    <xf numFmtId="0" fontId="0" fillId="3" borderId="12" xfId="0" applyFill="1" applyBorder="1" applyAlignment="1">
      <alignment horizontal="center" vertical="center"/>
    </xf>
    <xf numFmtId="0" fontId="0" fillId="3" borderId="70" xfId="0" applyFill="1" applyBorder="1" applyAlignment="1">
      <alignment horizontal="center"/>
    </xf>
    <xf numFmtId="0" fontId="11" fillId="3" borderId="28" xfId="0" applyFont="1" applyFill="1" applyBorder="1" applyAlignment="1">
      <alignment horizontal="center" vertical="center"/>
    </xf>
    <xf numFmtId="0" fontId="11" fillId="3" borderId="30" xfId="0" applyFont="1" applyFill="1" applyBorder="1" applyAlignment="1">
      <alignment horizontal="center" vertical="center"/>
    </xf>
    <xf numFmtId="0" fontId="0" fillId="6" borderId="28" xfId="0" applyFill="1" applyBorder="1" applyAlignment="1">
      <alignment horizontal="center" vertical="center"/>
    </xf>
    <xf numFmtId="0" fontId="0" fillId="6" borderId="30" xfId="0" applyFill="1" applyBorder="1" applyAlignment="1">
      <alignment horizontal="center" vertical="center"/>
    </xf>
    <xf numFmtId="0" fontId="13" fillId="3" borderId="39" xfId="0" applyFont="1" applyFill="1" applyBorder="1" applyAlignment="1">
      <alignment horizontal="center" vertical="center"/>
    </xf>
    <xf numFmtId="0" fontId="1" fillId="3" borderId="64" xfId="0" applyFont="1" applyFill="1" applyBorder="1" applyAlignment="1">
      <alignment horizontal="center" vertical="center"/>
    </xf>
    <xf numFmtId="0" fontId="1" fillId="3" borderId="74" xfId="0" applyFont="1" applyFill="1" applyBorder="1" applyAlignment="1">
      <alignment horizontal="left" vertical="center"/>
    </xf>
    <xf numFmtId="0" fontId="0" fillId="3" borderId="70" xfId="0" applyFill="1" applyBorder="1" applyAlignment="1">
      <alignment horizontal="left" vertical="center"/>
    </xf>
    <xf numFmtId="0" fontId="0" fillId="3" borderId="75" xfId="0" applyFill="1" applyBorder="1" applyAlignment="1">
      <alignment horizontal="left" vertical="center"/>
    </xf>
    <xf numFmtId="0" fontId="13" fillId="15" borderId="15" xfId="0" applyFont="1" applyFill="1" applyBorder="1" applyAlignment="1">
      <alignment horizontal="center" vertical="center"/>
    </xf>
    <xf numFmtId="0" fontId="13" fillId="15" borderId="27" xfId="0" applyFont="1" applyFill="1" applyBorder="1" applyAlignment="1">
      <alignment horizontal="center" vertical="center"/>
    </xf>
    <xf numFmtId="0" fontId="1" fillId="3" borderId="111" xfId="0" applyFont="1" applyFill="1" applyBorder="1" applyAlignment="1">
      <alignment horizontal="center" vertical="center"/>
    </xf>
    <xf numFmtId="0" fontId="0" fillId="3" borderId="112" xfId="0" applyFill="1" applyBorder="1" applyAlignment="1">
      <alignment horizontal="center" vertical="center"/>
    </xf>
    <xf numFmtId="0" fontId="112" fillId="34" borderId="55" xfId="0" applyFont="1" applyFill="1" applyBorder="1" applyAlignment="1">
      <alignment horizontal="center" vertical="center"/>
    </xf>
    <xf numFmtId="0" fontId="112" fillId="34" borderId="56" xfId="0" applyFont="1" applyFill="1" applyBorder="1" applyAlignment="1">
      <alignment horizontal="center" vertical="center"/>
    </xf>
    <xf numFmtId="0" fontId="112" fillId="34" borderId="58" xfId="0" applyFont="1" applyFill="1" applyBorder="1" applyAlignment="1">
      <alignment horizontal="center" vertical="center"/>
    </xf>
    <xf numFmtId="0" fontId="95" fillId="34" borderId="28" xfId="0" applyFont="1" applyFill="1" applyBorder="1" applyAlignment="1">
      <alignment horizontal="center" vertical="center"/>
    </xf>
    <xf numFmtId="0" fontId="95" fillId="34" borderId="29" xfId="0" applyFont="1" applyFill="1" applyBorder="1" applyAlignment="1">
      <alignment horizontal="center" vertical="center"/>
    </xf>
    <xf numFmtId="0" fontId="95" fillId="34" borderId="30" xfId="0" applyFont="1" applyFill="1" applyBorder="1" applyAlignment="1">
      <alignment horizontal="center" vertical="center"/>
    </xf>
    <xf numFmtId="0" fontId="12" fillId="34" borderId="83" xfId="0" applyFont="1" applyFill="1" applyBorder="1" applyAlignment="1">
      <alignment horizontal="center" vertical="center"/>
    </xf>
    <xf numFmtId="0" fontId="103" fillId="34" borderId="0" xfId="4" applyFill="1" applyAlignment="1">
      <alignment horizontal="center" vertical="center" wrapText="1"/>
    </xf>
    <xf numFmtId="0" fontId="103" fillId="0" borderId="0" xfId="4" applyAlignment="1">
      <alignment horizontal="center" vertical="center" wrapText="1"/>
    </xf>
    <xf numFmtId="0" fontId="103" fillId="0" borderId="34" xfId="4" applyBorder="1" applyAlignment="1">
      <alignment horizontal="center" vertical="center" wrapText="1"/>
    </xf>
    <xf numFmtId="0" fontId="12" fillId="3" borderId="53" xfId="0" applyFont="1" applyFill="1" applyBorder="1" applyAlignment="1">
      <alignment horizontal="center" vertical="center"/>
    </xf>
    <xf numFmtId="0" fontId="12" fillId="3" borderId="54" xfId="0" applyFont="1" applyFill="1" applyBorder="1" applyAlignment="1">
      <alignment horizontal="center" vertical="center"/>
    </xf>
    <xf numFmtId="0" fontId="12" fillId="3" borderId="57" xfId="0" applyFont="1" applyFill="1" applyBorder="1" applyAlignment="1">
      <alignment horizontal="center" vertical="center"/>
    </xf>
    <xf numFmtId="0" fontId="50" fillId="23" borderId="28" xfId="0" applyFont="1" applyFill="1" applyBorder="1" applyAlignment="1">
      <alignment horizontal="center" vertical="center"/>
    </xf>
    <xf numFmtId="0" fontId="50" fillId="23" borderId="29" xfId="0" applyFont="1" applyFill="1" applyBorder="1" applyAlignment="1">
      <alignment horizontal="center" vertical="center"/>
    </xf>
    <xf numFmtId="0" fontId="50" fillId="23" borderId="30" xfId="0" applyFont="1" applyFill="1" applyBorder="1" applyAlignment="1">
      <alignment horizontal="center" vertical="center"/>
    </xf>
    <xf numFmtId="0" fontId="2" fillId="3" borderId="102" xfId="0" applyFont="1" applyFill="1" applyBorder="1" applyAlignment="1">
      <alignment horizontal="center" vertical="center"/>
    </xf>
    <xf numFmtId="0" fontId="1" fillId="3" borderId="0" xfId="0" applyFont="1" applyFill="1" applyAlignment="1">
      <alignment horizontal="center"/>
    </xf>
    <xf numFmtId="0" fontId="0" fillId="3" borderId="0" xfId="0" applyFill="1" applyAlignment="1">
      <alignment horizontal="center"/>
    </xf>
    <xf numFmtId="0" fontId="0" fillId="34" borderId="89" xfId="0" applyFill="1" applyBorder="1" applyAlignment="1">
      <alignment horizontal="center" vertical="center"/>
    </xf>
    <xf numFmtId="0" fontId="0" fillId="34" borderId="90" xfId="0" applyFill="1" applyBorder="1" applyAlignment="1">
      <alignment horizontal="center" vertical="center"/>
    </xf>
    <xf numFmtId="0" fontId="0" fillId="34" borderId="91" xfId="0" applyFill="1" applyBorder="1" applyAlignment="1">
      <alignment horizontal="center" vertical="center"/>
    </xf>
    <xf numFmtId="0" fontId="54" fillId="3" borderId="119" xfId="0" applyFont="1" applyFill="1" applyBorder="1" applyAlignment="1">
      <alignment horizontal="center" vertical="center"/>
    </xf>
    <xf numFmtId="0" fontId="54" fillId="3" borderId="120" xfId="0" applyFont="1" applyFill="1" applyBorder="1" applyAlignment="1">
      <alignment horizontal="center" vertical="center"/>
    </xf>
    <xf numFmtId="0" fontId="54" fillId="3" borderId="121" xfId="0" applyFont="1" applyFill="1" applyBorder="1" applyAlignment="1">
      <alignment horizontal="center" vertical="center"/>
    </xf>
    <xf numFmtId="0" fontId="2" fillId="3" borderId="122" xfId="0" applyFont="1" applyFill="1" applyBorder="1" applyAlignment="1">
      <alignment horizontal="center" vertical="top"/>
    </xf>
    <xf numFmtId="0" fontId="2" fillId="3" borderId="123" xfId="0" applyFont="1" applyFill="1" applyBorder="1" applyAlignment="1">
      <alignment horizontal="center" vertical="top"/>
    </xf>
    <xf numFmtId="0" fontId="2" fillId="3" borderId="124" xfId="0" applyFont="1" applyFill="1" applyBorder="1" applyAlignment="1">
      <alignment horizontal="center" vertical="top"/>
    </xf>
    <xf numFmtId="0" fontId="2" fillId="3" borderId="31" xfId="0" applyFont="1" applyFill="1" applyBorder="1" applyAlignment="1">
      <alignment horizontal="center" vertical="top"/>
    </xf>
    <xf numFmtId="0" fontId="2" fillId="3" borderId="13" xfId="0" applyFont="1" applyFill="1" applyBorder="1" applyAlignment="1">
      <alignment horizontal="center" vertical="top"/>
    </xf>
    <xf numFmtId="0" fontId="2" fillId="3" borderId="32" xfId="0" applyFont="1" applyFill="1" applyBorder="1" applyAlignment="1">
      <alignment horizontal="center" vertical="top"/>
    </xf>
    <xf numFmtId="0" fontId="129" fillId="0" borderId="116" xfId="0" applyFont="1" applyBorder="1" applyAlignment="1">
      <alignment horizontal="center" vertical="center"/>
    </xf>
    <xf numFmtId="0" fontId="130" fillId="0" borderId="116" xfId="0" applyFont="1" applyBorder="1" applyAlignment="1">
      <alignment horizontal="center" vertical="center"/>
    </xf>
    <xf numFmtId="0" fontId="0" fillId="3" borderId="116" xfId="0" applyFill="1" applyBorder="1" applyAlignment="1">
      <alignment horizontal="center" vertical="center"/>
    </xf>
    <xf numFmtId="0" fontId="2" fillId="34" borderId="119" xfId="0" applyFont="1" applyFill="1" applyBorder="1" applyAlignment="1">
      <alignment horizontal="center" vertical="center"/>
    </xf>
    <xf numFmtId="0" fontId="2" fillId="34" borderId="120" xfId="0" applyFont="1" applyFill="1" applyBorder="1" applyAlignment="1">
      <alignment horizontal="center" vertical="center"/>
    </xf>
    <xf numFmtId="0" fontId="2" fillId="34" borderId="121" xfId="0" applyFont="1" applyFill="1" applyBorder="1" applyAlignment="1">
      <alignment horizontal="center" vertical="center"/>
    </xf>
    <xf numFmtId="0" fontId="12" fillId="3" borderId="116" xfId="0" applyFont="1" applyFill="1" applyBorder="1" applyAlignment="1">
      <alignment horizontal="center" vertical="center"/>
    </xf>
    <xf numFmtId="0" fontId="32" fillId="3" borderId="0" xfId="0" applyFont="1" applyFill="1" applyAlignment="1">
      <alignment horizontal="center" vertical="center"/>
    </xf>
    <xf numFmtId="0" fontId="0" fillId="34" borderId="119" xfId="0" applyFill="1" applyBorder="1" applyAlignment="1">
      <alignment horizontal="center" vertical="center"/>
    </xf>
    <xf numFmtId="0" fontId="0" fillId="34" borderId="120" xfId="0" applyFill="1" applyBorder="1" applyAlignment="1">
      <alignment horizontal="center" vertical="center"/>
    </xf>
    <xf numFmtId="0" fontId="0" fillId="34" borderId="121" xfId="0" applyFill="1" applyBorder="1" applyAlignment="1">
      <alignment horizontal="center" vertical="center"/>
    </xf>
    <xf numFmtId="0" fontId="0" fillId="34" borderId="116" xfId="0" applyFill="1" applyBorder="1" applyAlignment="1">
      <alignment horizontal="center" vertical="center"/>
    </xf>
    <xf numFmtId="0" fontId="12" fillId="3" borderId="125" xfId="0" applyFont="1" applyFill="1" applyBorder="1" applyAlignment="1">
      <alignment horizontal="center" vertical="center"/>
    </xf>
    <xf numFmtId="0" fontId="12" fillId="3" borderId="117" xfId="0" applyFont="1" applyFill="1" applyBorder="1" applyAlignment="1">
      <alignment horizontal="center" vertical="center"/>
    </xf>
    <xf numFmtId="0" fontId="112" fillId="34" borderId="126" xfId="0" applyFont="1" applyFill="1" applyBorder="1" applyAlignment="1">
      <alignment horizontal="center" vertical="center"/>
    </xf>
    <xf numFmtId="0" fontId="112" fillId="34" borderId="118" xfId="0" applyFont="1" applyFill="1" applyBorder="1" applyAlignment="1">
      <alignment horizontal="center" vertical="center"/>
    </xf>
    <xf numFmtId="0" fontId="110" fillId="34" borderId="116" xfId="4" applyFont="1" applyFill="1" applyBorder="1" applyAlignment="1">
      <alignment horizontal="center" vertical="center" wrapText="1"/>
    </xf>
    <xf numFmtId="0" fontId="2" fillId="3" borderId="116" xfId="0" applyFont="1" applyFill="1" applyBorder="1" applyAlignment="1">
      <alignment horizontal="center" vertical="center"/>
    </xf>
    <xf numFmtId="0" fontId="112" fillId="3" borderId="28" xfId="0" applyFont="1" applyFill="1" applyBorder="1" applyAlignment="1">
      <alignment horizontal="center" vertical="center"/>
    </xf>
    <xf numFmtId="0" fontId="112" fillId="3" borderId="29" xfId="0" applyFont="1" applyFill="1" applyBorder="1" applyAlignment="1">
      <alignment horizontal="center" vertical="center"/>
    </xf>
    <xf numFmtId="0" fontId="112" fillId="3" borderId="30" xfId="0" applyFont="1" applyFill="1" applyBorder="1" applyAlignment="1">
      <alignment horizontal="center" vertical="center"/>
    </xf>
    <xf numFmtId="0" fontId="6" fillId="3" borderId="15" xfId="0" applyFont="1" applyFill="1" applyBorder="1" applyAlignment="1">
      <alignment horizontal="center" vertical="center"/>
    </xf>
    <xf numFmtId="0" fontId="6" fillId="3" borderId="26" xfId="0" applyFont="1" applyFill="1" applyBorder="1" applyAlignment="1">
      <alignment horizontal="center" vertical="center"/>
    </xf>
    <xf numFmtId="0" fontId="6" fillId="3" borderId="27" xfId="0" applyFont="1" applyFill="1" applyBorder="1" applyAlignment="1">
      <alignment horizontal="center" vertical="center"/>
    </xf>
    <xf numFmtId="0" fontId="0" fillId="30" borderId="8" xfId="0" applyFill="1" applyBorder="1" applyAlignment="1">
      <alignment horizontal="center" vertical="center"/>
    </xf>
    <xf numFmtId="0" fontId="0" fillId="30" borderId="16" xfId="0" applyFill="1" applyBorder="1" applyAlignment="1">
      <alignment horizontal="center" vertical="center"/>
    </xf>
    <xf numFmtId="0" fontId="0" fillId="30" borderId="9" xfId="0" applyFill="1" applyBorder="1" applyAlignment="1">
      <alignment horizontal="center" vertical="center"/>
    </xf>
    <xf numFmtId="0" fontId="0" fillId="30" borderId="74" xfId="0" applyFill="1" applyBorder="1" applyAlignment="1">
      <alignment horizontal="center" vertical="center"/>
    </xf>
    <xf numFmtId="0" fontId="0" fillId="30" borderId="21" xfId="0" applyFill="1" applyBorder="1" applyAlignment="1">
      <alignment horizontal="center" vertical="center"/>
    </xf>
    <xf numFmtId="0" fontId="0" fillId="30" borderId="75" xfId="0" applyFill="1" applyBorder="1" applyAlignment="1">
      <alignment horizontal="center" vertical="center"/>
    </xf>
    <xf numFmtId="0" fontId="95" fillId="3" borderId="15" xfId="0" applyFont="1" applyFill="1" applyBorder="1" applyAlignment="1">
      <alignment horizontal="left" vertical="center"/>
    </xf>
    <xf numFmtId="0" fontId="95" fillId="3" borderId="26" xfId="0" applyFont="1" applyFill="1" applyBorder="1" applyAlignment="1">
      <alignment horizontal="left" vertical="center"/>
    </xf>
    <xf numFmtId="0" fontId="95" fillId="3" borderId="81" xfId="0" applyFont="1" applyFill="1" applyBorder="1" applyAlignment="1">
      <alignment horizontal="left" vertical="center"/>
    </xf>
    <xf numFmtId="0" fontId="1" fillId="3" borderId="13" xfId="0" applyFont="1" applyFill="1" applyBorder="1" applyAlignment="1">
      <alignment horizontal="center" vertical="center"/>
    </xf>
    <xf numFmtId="0" fontId="0" fillId="3" borderId="15" xfId="0" applyFill="1" applyBorder="1" applyAlignment="1">
      <alignment horizontal="center" vertical="center"/>
    </xf>
    <xf numFmtId="0" fontId="0" fillId="3" borderId="27" xfId="0" applyFill="1" applyBorder="1" applyAlignment="1">
      <alignment horizontal="center" vertical="center"/>
    </xf>
    <xf numFmtId="0" fontId="2" fillId="3" borderId="28" xfId="0" applyFont="1" applyFill="1" applyBorder="1" applyAlignment="1">
      <alignment horizontal="center" vertical="center"/>
    </xf>
    <xf numFmtId="0" fontId="2" fillId="3" borderId="29" xfId="0" applyFont="1" applyFill="1" applyBorder="1" applyAlignment="1">
      <alignment horizontal="center" vertical="center"/>
    </xf>
    <xf numFmtId="0" fontId="2" fillId="3" borderId="30" xfId="0" applyFont="1" applyFill="1" applyBorder="1" applyAlignment="1">
      <alignment horizontal="center" vertical="center"/>
    </xf>
    <xf numFmtId="0" fontId="0" fillId="3" borderId="79" xfId="0" applyFill="1" applyBorder="1" applyAlignment="1">
      <alignment horizontal="center" vertical="center"/>
    </xf>
    <xf numFmtId="0" fontId="0" fillId="3" borderId="80" xfId="0" applyFill="1" applyBorder="1" applyAlignment="1">
      <alignment horizontal="center" vertical="center"/>
    </xf>
    <xf numFmtId="0" fontId="0" fillId="3" borderId="77" xfId="0" applyFill="1" applyBorder="1" applyAlignment="1">
      <alignment horizontal="center" vertical="center"/>
    </xf>
    <xf numFmtId="0" fontId="0" fillId="3" borderId="78" xfId="0" applyFill="1" applyBorder="1" applyAlignment="1">
      <alignment horizontal="center" vertical="center"/>
    </xf>
    <xf numFmtId="0" fontId="1" fillId="3" borderId="65" xfId="0" applyFont="1" applyFill="1" applyBorder="1" applyAlignment="1">
      <alignment horizontal="center" vertical="center"/>
    </xf>
    <xf numFmtId="0" fontId="0" fillId="3" borderId="31" xfId="0" applyFill="1" applyBorder="1" applyAlignment="1">
      <alignment horizontal="center" vertical="center"/>
    </xf>
    <xf numFmtId="0" fontId="96" fillId="3" borderId="0" xfId="0" applyFont="1" applyFill="1" applyAlignment="1">
      <alignment horizontal="center" vertical="center" textRotation="180" wrapText="1"/>
    </xf>
    <xf numFmtId="0" fontId="10" fillId="25" borderId="0" xfId="0" applyFont="1" applyFill="1" applyAlignment="1">
      <alignment horizontal="center" vertical="center"/>
    </xf>
    <xf numFmtId="0" fontId="12" fillId="3" borderId="28" xfId="0" applyFont="1" applyFill="1" applyBorder="1" applyAlignment="1">
      <alignment horizontal="center" vertical="center"/>
    </xf>
    <xf numFmtId="0" fontId="12" fillId="3" borderId="29" xfId="0" applyFont="1" applyFill="1" applyBorder="1" applyAlignment="1">
      <alignment horizontal="center" vertical="center"/>
    </xf>
    <xf numFmtId="0" fontId="12" fillId="3" borderId="30" xfId="0" applyFont="1" applyFill="1" applyBorder="1" applyAlignment="1">
      <alignment horizontal="center" vertical="center"/>
    </xf>
    <xf numFmtId="0" fontId="95" fillId="3" borderId="16" xfId="0" applyFont="1" applyFill="1" applyBorder="1" applyAlignment="1">
      <alignment horizontal="center" vertical="top"/>
    </xf>
    <xf numFmtId="0" fontId="95" fillId="3" borderId="0" xfId="0" applyFont="1" applyFill="1" applyAlignment="1">
      <alignment horizontal="center" vertical="top"/>
    </xf>
    <xf numFmtId="0" fontId="2" fillId="3" borderId="15" xfId="0" applyFont="1" applyFill="1" applyBorder="1" applyAlignment="1">
      <alignment horizontal="center" vertical="center"/>
    </xf>
    <xf numFmtId="0" fontId="2" fillId="3" borderId="27" xfId="0" applyFont="1" applyFill="1" applyBorder="1" applyAlignment="1">
      <alignment horizontal="center" vertical="center"/>
    </xf>
    <xf numFmtId="0" fontId="13" fillId="3" borderId="0" xfId="0" applyFont="1" applyFill="1" applyAlignment="1">
      <alignment horizontal="center" vertical="center" wrapText="1"/>
    </xf>
    <xf numFmtId="0" fontId="11" fillId="25" borderId="0" xfId="0" applyFont="1" applyFill="1" applyAlignment="1">
      <alignment horizontal="center" vertical="center"/>
    </xf>
    <xf numFmtId="0" fontId="6" fillId="3" borderId="28" xfId="0" applyFont="1" applyFill="1" applyBorder="1" applyAlignment="1">
      <alignment horizontal="center" vertical="center"/>
    </xf>
    <xf numFmtId="0" fontId="6" fillId="3" borderId="29" xfId="0" applyFont="1" applyFill="1" applyBorder="1" applyAlignment="1">
      <alignment horizontal="center" vertical="center"/>
    </xf>
    <xf numFmtId="0" fontId="6" fillId="3" borderId="30" xfId="0" applyFont="1" applyFill="1" applyBorder="1" applyAlignment="1">
      <alignment horizontal="center" vertical="center"/>
    </xf>
    <xf numFmtId="0" fontId="0" fillId="30" borderId="1" xfId="0" applyFill="1" applyBorder="1" applyAlignment="1">
      <alignment horizontal="center" vertical="center"/>
    </xf>
    <xf numFmtId="0" fontId="1" fillId="3" borderId="1" xfId="0" applyFont="1" applyFill="1" applyBorder="1" applyAlignment="1">
      <alignment horizontal="center" vertical="center"/>
    </xf>
    <xf numFmtId="0" fontId="0" fillId="3" borderId="1" xfId="0" applyFill="1" applyBorder="1" applyAlignment="1">
      <alignment horizontal="center" vertical="center"/>
    </xf>
    <xf numFmtId="0" fontId="97" fillId="3" borderId="0" xfId="0" applyFont="1" applyFill="1" applyAlignment="1">
      <alignment horizontal="center" vertical="center" wrapText="1"/>
    </xf>
    <xf numFmtId="0" fontId="14" fillId="3" borderId="1" xfId="0" applyFont="1" applyFill="1" applyBorder="1" applyAlignment="1">
      <alignment horizontal="center" vertical="center"/>
    </xf>
    <xf numFmtId="0" fontId="0" fillId="3" borderId="0" xfId="0" applyFill="1" applyAlignment="1">
      <alignment horizontal="center" vertical="center"/>
    </xf>
    <xf numFmtId="0" fontId="0" fillId="3" borderId="105" xfId="0" applyFill="1" applyBorder="1" applyAlignment="1">
      <alignment horizontal="center" vertical="center"/>
    </xf>
    <xf numFmtId="0" fontId="0" fillId="3" borderId="104" xfId="0" applyFill="1" applyBorder="1" applyAlignment="1">
      <alignment horizontal="center" vertical="center"/>
    </xf>
    <xf numFmtId="0" fontId="0" fillId="3" borderId="99" xfId="0" applyFill="1" applyBorder="1" applyAlignment="1">
      <alignment horizontal="center" vertical="center"/>
    </xf>
    <xf numFmtId="0" fontId="0" fillId="3" borderId="97" xfId="0" applyFill="1" applyBorder="1" applyAlignment="1">
      <alignment horizontal="center" vertical="center"/>
    </xf>
    <xf numFmtId="0" fontId="11" fillId="3" borderId="83" xfId="0" applyFont="1" applyFill="1" applyBorder="1" applyAlignment="1">
      <alignment horizontal="center" vertical="center"/>
    </xf>
    <xf numFmtId="0" fontId="88" fillId="3" borderId="0" xfId="0" applyFont="1" applyFill="1" applyAlignment="1">
      <alignment horizontal="center" vertical="center"/>
    </xf>
    <xf numFmtId="0" fontId="0" fillId="3" borderId="101" xfId="0" applyFill="1" applyBorder="1" applyAlignment="1">
      <alignment horizontal="center" vertical="center"/>
    </xf>
    <xf numFmtId="0" fontId="0" fillId="3" borderId="102" xfId="0" applyFill="1" applyBorder="1" applyAlignment="1">
      <alignment horizontal="center" vertical="center"/>
    </xf>
    <xf numFmtId="0" fontId="50" fillId="25" borderId="0" xfId="0" applyFont="1" applyFill="1" applyAlignment="1">
      <alignment horizontal="center" vertical="center"/>
    </xf>
    <xf numFmtId="0" fontId="10" fillId="3" borderId="0" xfId="0" applyFont="1" applyFill="1" applyAlignment="1">
      <alignment horizontal="center"/>
    </xf>
    <xf numFmtId="0" fontId="13" fillId="3" borderId="28" xfId="0" applyFont="1" applyFill="1" applyBorder="1" applyAlignment="1">
      <alignment horizontal="center" vertical="center"/>
    </xf>
    <xf numFmtId="0" fontId="13" fillId="3" borderId="29" xfId="0" applyFont="1" applyFill="1" applyBorder="1" applyAlignment="1">
      <alignment horizontal="center" vertical="center"/>
    </xf>
    <xf numFmtId="0" fontId="13" fillId="3" borderId="30" xfId="0" applyFont="1" applyFill="1" applyBorder="1" applyAlignment="1">
      <alignment horizontal="center" vertical="center"/>
    </xf>
    <xf numFmtId="0" fontId="51" fillId="3" borderId="28" xfId="0" applyFont="1" applyFill="1" applyBorder="1" applyAlignment="1">
      <alignment horizontal="center" vertical="center"/>
    </xf>
    <xf numFmtId="0" fontId="51" fillId="3" borderId="29" xfId="0" applyFont="1" applyFill="1" applyBorder="1" applyAlignment="1">
      <alignment horizontal="center" vertical="center"/>
    </xf>
    <xf numFmtId="0" fontId="51" fillId="3" borderId="30" xfId="0" applyFont="1" applyFill="1" applyBorder="1" applyAlignment="1">
      <alignment horizontal="center" vertical="center"/>
    </xf>
    <xf numFmtId="0" fontId="107" fillId="0" borderId="0" xfId="4" applyFont="1" applyAlignment="1">
      <alignment horizontal="center" vertical="center" wrapText="1"/>
    </xf>
    <xf numFmtId="0" fontId="107" fillId="0" borderId="28" xfId="4" applyFont="1" applyBorder="1" applyAlignment="1">
      <alignment horizontal="center" vertical="center" wrapText="1"/>
    </xf>
    <xf numFmtId="0" fontId="107" fillId="0" borderId="30" xfId="4" applyFont="1" applyBorder="1" applyAlignment="1">
      <alignment horizontal="center" vertical="center" wrapText="1"/>
    </xf>
    <xf numFmtId="0" fontId="105" fillId="0" borderId="67" xfId="4" applyFont="1" applyBorder="1" applyAlignment="1">
      <alignment horizontal="center" vertical="center"/>
    </xf>
    <xf numFmtId="0" fontId="105" fillId="0" borderId="68" xfId="4" applyFont="1" applyBorder="1" applyAlignment="1">
      <alignment horizontal="center" vertical="center"/>
    </xf>
    <xf numFmtId="0" fontId="105" fillId="0" borderId="69" xfId="4" applyFont="1" applyBorder="1" applyAlignment="1">
      <alignment horizontal="center" vertical="center"/>
    </xf>
    <xf numFmtId="0" fontId="105" fillId="0" borderId="28" xfId="4" applyFont="1" applyBorder="1" applyAlignment="1">
      <alignment horizontal="center" vertical="center"/>
    </xf>
    <xf numFmtId="0" fontId="105" fillId="0" borderId="29" xfId="4" applyFont="1" applyBorder="1" applyAlignment="1">
      <alignment horizontal="center" vertical="center"/>
    </xf>
    <xf numFmtId="0" fontId="105" fillId="0" borderId="30" xfId="4" applyFont="1" applyBorder="1" applyAlignment="1">
      <alignment horizontal="center" vertical="center"/>
    </xf>
    <xf numFmtId="0" fontId="103" fillId="0" borderId="0" xfId="4" applyAlignment="1">
      <alignment horizontal="right" vertical="center" wrapText="1"/>
    </xf>
    <xf numFmtId="0" fontId="103" fillId="0" borderId="34" xfId="4" applyBorder="1" applyAlignment="1">
      <alignment horizontal="right" vertical="center" wrapText="1"/>
    </xf>
    <xf numFmtId="0" fontId="72" fillId="25" borderId="0" xfId="0" applyFont="1" applyFill="1" applyAlignment="1">
      <alignment horizontal="center" vertical="center"/>
    </xf>
    <xf numFmtId="0" fontId="9" fillId="0" borderId="0" xfId="0" applyFont="1" applyAlignment="1">
      <alignment horizontal="center"/>
    </xf>
    <xf numFmtId="0" fontId="53" fillId="0" borderId="4" xfId="0" applyFont="1" applyBorder="1" applyAlignment="1">
      <alignment horizontal="center" vertical="center" shrinkToFit="1"/>
    </xf>
    <xf numFmtId="0" fontId="53" fillId="0" borderId="7" xfId="0" applyFont="1" applyBorder="1" applyAlignment="1">
      <alignment horizontal="center" vertical="center" shrinkToFit="1"/>
    </xf>
    <xf numFmtId="0" fontId="17" fillId="0" borderId="8" xfId="0" applyFont="1" applyBorder="1" applyAlignment="1">
      <alignment horizontal="center"/>
    </xf>
    <xf numFmtId="0" fontId="17" fillId="0" borderId="16" xfId="0" applyFont="1" applyBorder="1" applyAlignment="1">
      <alignment horizontal="center"/>
    </xf>
    <xf numFmtId="0" fontId="17" fillId="0" borderId="9" xfId="0" applyFont="1" applyBorder="1" applyAlignment="1">
      <alignment horizontal="center"/>
    </xf>
    <xf numFmtId="0" fontId="17" fillId="0" borderId="12" xfId="0" applyFont="1" applyBorder="1" applyAlignment="1">
      <alignment horizontal="center"/>
    </xf>
    <xf numFmtId="0" fontId="17" fillId="0" borderId="21" xfId="0" applyFont="1" applyBorder="1" applyAlignment="1">
      <alignment horizontal="center"/>
    </xf>
    <xf numFmtId="0" fontId="17" fillId="0" borderId="5" xfId="0" applyFont="1" applyBorder="1" applyAlignment="1">
      <alignment horizontal="center"/>
    </xf>
    <xf numFmtId="0" fontId="10" fillId="0" borderId="0" xfId="0" applyFont="1" applyAlignment="1">
      <alignment horizontal="center" vertical="center"/>
    </xf>
    <xf numFmtId="0" fontId="14" fillId="0" borderId="0" xfId="0" applyFont="1" applyAlignment="1">
      <alignment horizontal="center" vertical="center" wrapText="1"/>
    </xf>
    <xf numFmtId="0" fontId="35" fillId="0" borderId="0" xfId="0" applyFont="1" applyAlignment="1">
      <alignment horizontal="center"/>
    </xf>
    <xf numFmtId="0" fontId="14" fillId="0" borderId="0" xfId="0" applyFont="1" applyAlignment="1">
      <alignment horizontal="center"/>
    </xf>
    <xf numFmtId="0" fontId="46" fillId="0" borderId="0" xfId="0" applyFont="1" applyAlignment="1">
      <alignment horizontal="center"/>
    </xf>
    <xf numFmtId="0" fontId="12" fillId="0" borderId="0" xfId="0" applyFont="1" applyAlignment="1">
      <alignment horizontal="center"/>
    </xf>
    <xf numFmtId="0" fontId="23" fillId="0" borderId="0" xfId="0" applyFont="1" applyAlignment="1">
      <alignment horizontal="center"/>
    </xf>
    <xf numFmtId="0" fontId="80" fillId="0" borderId="0" xfId="0" applyFont="1" applyAlignment="1">
      <alignment horizontal="center" vertical="center"/>
    </xf>
    <xf numFmtId="0" fontId="1" fillId="0" borderId="16" xfId="1" applyFont="1" applyBorder="1" applyAlignment="1">
      <alignment horizontal="center" vertical="center"/>
    </xf>
    <xf numFmtId="0" fontId="1" fillId="0" borderId="0" xfId="1" applyFont="1" applyAlignment="1">
      <alignment horizontal="center" vertical="center"/>
    </xf>
    <xf numFmtId="0" fontId="79" fillId="0" borderId="70" xfId="1" applyFont="1" applyBorder="1" applyAlignment="1">
      <alignment horizontal="center" vertical="center"/>
    </xf>
    <xf numFmtId="0" fontId="101" fillId="0" borderId="0" xfId="0" applyFont="1" applyAlignment="1">
      <alignment horizontal="center" vertical="center"/>
    </xf>
    <xf numFmtId="0" fontId="118" fillId="0" borderId="0" xfId="0" applyFont="1" applyAlignment="1">
      <alignment horizontal="center" vertical="center"/>
    </xf>
    <xf numFmtId="0" fontId="119" fillId="0" borderId="0" xfId="0" applyFont="1" applyAlignment="1">
      <alignment horizontal="center" vertical="center"/>
    </xf>
    <xf numFmtId="0" fontId="1" fillId="33" borderId="1" xfId="0" applyFont="1" applyFill="1" applyBorder="1" applyAlignment="1">
      <alignment horizontal="center" vertical="center"/>
    </xf>
    <xf numFmtId="0" fontId="9" fillId="3" borderId="1" xfId="0" applyFont="1" applyFill="1" applyBorder="1" applyAlignment="1">
      <alignment horizontal="left" vertical="center"/>
    </xf>
    <xf numFmtId="0" fontId="12" fillId="3" borderId="15" xfId="0" applyFont="1" applyFill="1" applyBorder="1" applyAlignment="1">
      <alignment horizontal="center" vertical="center"/>
    </xf>
    <xf numFmtId="0" fontId="12" fillId="3" borderId="27" xfId="0" applyFont="1" applyFill="1" applyBorder="1" applyAlignment="1">
      <alignment horizontal="center" vertical="center"/>
    </xf>
    <xf numFmtId="0" fontId="98" fillId="3" borderId="0" xfId="0" applyFont="1" applyFill="1" applyAlignment="1">
      <alignment horizontal="center" vertical="center" wrapText="1"/>
    </xf>
    <xf numFmtId="0" fontId="1" fillId="34" borderId="1" xfId="0" applyFont="1" applyFill="1" applyBorder="1" applyAlignment="1">
      <alignment horizontal="center" vertical="center"/>
    </xf>
    <xf numFmtId="171" fontId="1" fillId="3" borderId="84" xfId="0" applyNumberFormat="1" applyFont="1" applyFill="1" applyBorder="1" applyAlignment="1">
      <alignment horizontal="center" vertical="center"/>
    </xf>
    <xf numFmtId="171" fontId="1" fillId="3" borderId="85" xfId="0" applyNumberFormat="1" applyFont="1" applyFill="1" applyBorder="1" applyAlignment="1">
      <alignment horizontal="center" vertical="center"/>
    </xf>
    <xf numFmtId="0" fontId="101" fillId="3" borderId="1" xfId="0" applyFont="1" applyFill="1" applyBorder="1" applyAlignment="1">
      <alignment horizontal="center" vertical="center"/>
    </xf>
    <xf numFmtId="0" fontId="0" fillId="3" borderId="15" xfId="0" applyFill="1" applyBorder="1" applyAlignment="1">
      <alignment horizontal="left" vertical="center" wrapText="1"/>
    </xf>
    <xf numFmtId="0" fontId="0" fillId="3" borderId="26" xfId="0" applyFill="1" applyBorder="1" applyAlignment="1">
      <alignment horizontal="left" vertical="center" wrapText="1"/>
    </xf>
    <xf numFmtId="0" fontId="0" fillId="3" borderId="27" xfId="0" applyFill="1" applyBorder="1" applyAlignment="1">
      <alignment horizontal="left" vertical="center" wrapText="1"/>
    </xf>
    <xf numFmtId="0" fontId="32" fillId="3" borderId="112" xfId="0" applyFont="1" applyFill="1" applyBorder="1" applyAlignment="1">
      <alignment horizontal="center" vertical="center"/>
    </xf>
    <xf numFmtId="0" fontId="32" fillId="3" borderId="13" xfId="0" applyFont="1" applyFill="1" applyBorder="1" applyAlignment="1">
      <alignment horizontal="center" vertical="center"/>
    </xf>
    <xf numFmtId="0" fontId="69" fillId="25" borderId="0" xfId="0" applyFont="1" applyFill="1" applyAlignment="1">
      <alignment horizontal="center" vertical="center"/>
    </xf>
    <xf numFmtId="0" fontId="100" fillId="3" borderId="1" xfId="0" applyFont="1" applyFill="1" applyBorder="1" applyAlignment="1">
      <alignment horizontal="center" vertical="center"/>
    </xf>
    <xf numFmtId="0" fontId="36" fillId="3" borderId="1" xfId="0" applyFont="1" applyFill="1" applyBorder="1" applyAlignment="1">
      <alignment horizontal="center" vertical="center"/>
    </xf>
    <xf numFmtId="0" fontId="13" fillId="15" borderId="1" xfId="0" applyFont="1" applyFill="1" applyBorder="1" applyAlignment="1">
      <alignment horizontal="center" vertical="center"/>
    </xf>
    <xf numFmtId="0" fontId="99" fillId="33" borderId="1" xfId="0" applyFont="1" applyFill="1" applyBorder="1" applyAlignment="1">
      <alignment horizontal="center" vertical="center"/>
    </xf>
    <xf numFmtId="0" fontId="1" fillId="3" borderId="1" xfId="0" applyFont="1" applyFill="1" applyBorder="1" applyAlignment="1">
      <alignment horizontal="left" vertical="center"/>
    </xf>
    <xf numFmtId="171" fontId="1" fillId="3" borderId="1" xfId="0" applyNumberFormat="1" applyFont="1" applyFill="1" applyBorder="1" applyAlignment="1">
      <alignment horizontal="center" vertical="center"/>
    </xf>
    <xf numFmtId="0" fontId="1" fillId="3" borderId="15" xfId="0" applyFont="1" applyFill="1" applyBorder="1" applyAlignment="1">
      <alignment horizontal="center" vertical="center"/>
    </xf>
    <xf numFmtId="0" fontId="1" fillId="3" borderId="27" xfId="0" applyFont="1" applyFill="1" applyBorder="1" applyAlignment="1">
      <alignment horizontal="center" vertical="center"/>
    </xf>
    <xf numFmtId="0" fontId="93" fillId="25" borderId="0" xfId="1" applyFont="1" applyFill="1" applyBorder="1" applyAlignment="1">
      <alignment horizontal="center" vertical="center"/>
    </xf>
    <xf numFmtId="1" fontId="92" fillId="25" borderId="0" xfId="1" applyNumberFormat="1" applyFont="1" applyFill="1" applyBorder="1" applyAlignment="1">
      <alignment vertical="center"/>
    </xf>
    <xf numFmtId="0" fontId="87" fillId="25" borderId="0" xfId="1" applyFont="1" applyFill="1" applyBorder="1" applyAlignment="1">
      <alignment horizontal="center" vertical="center"/>
    </xf>
    <xf numFmtId="170" fontId="87" fillId="25" borderId="0" xfId="1" applyNumberFormat="1" applyFont="1" applyFill="1" applyBorder="1" applyAlignment="1">
      <alignment horizontal="left" vertical="center"/>
    </xf>
    <xf numFmtId="0" fontId="92" fillId="25" borderId="0" xfId="1" applyFont="1" applyFill="1" applyBorder="1" applyAlignment="1">
      <alignment horizontal="center" vertical="center"/>
    </xf>
    <xf numFmtId="0" fontId="92" fillId="25" borderId="0" xfId="1" applyFont="1" applyFill="1" applyBorder="1" applyAlignment="1">
      <alignment vertical="center"/>
    </xf>
    <xf numFmtId="170" fontId="87" fillId="25" borderId="0" xfId="1" applyNumberFormat="1" applyFont="1" applyFill="1" applyBorder="1" applyAlignment="1">
      <alignment horizontal="center" vertical="center"/>
    </xf>
  </cellXfs>
  <cellStyles count="6">
    <cellStyle name="Euro" xfId="2" xr:uid="{00000000-0005-0000-0000-000000000000}"/>
    <cellStyle name="NiveauLigne_1" xfId="1" builtinId="1" iLevel="0"/>
    <cellStyle name="Normal" xfId="0" builtinId="0"/>
    <cellStyle name="Normal 2" xfId="3" xr:uid="{00000000-0005-0000-0000-000003000000}"/>
    <cellStyle name="Normal 3" xfId="4" xr:uid="{00000000-0005-0000-0000-000004000000}"/>
    <cellStyle name="Normal 4" xfId="5" xr:uid="{00000000-0005-0000-0000-000005000000}"/>
  </cellStyles>
  <dxfs count="223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theme="0"/>
      </font>
      <fill>
        <patternFill>
          <bgColor theme="0"/>
        </patternFill>
      </fill>
      <border>
        <left style="thin">
          <color theme="0"/>
        </left>
        <right style="thin">
          <color theme="0"/>
        </right>
        <bottom style="thin">
          <color theme="0"/>
        </bottom>
      </border>
    </dxf>
    <dxf>
      <font>
        <color theme="0"/>
      </font>
      <fill>
        <patternFill>
          <bgColor theme="0"/>
        </patternFill>
      </fill>
      <border>
        <left style="thin">
          <color theme="0"/>
        </left>
        <right style="thin">
          <color theme="0"/>
        </right>
        <bottom style="thin">
          <color theme="0"/>
        </bottom>
      </border>
    </dxf>
    <dxf>
      <font>
        <strike val="0"/>
        <u val="none"/>
        <color theme="0"/>
      </font>
      <fill>
        <patternFill>
          <bgColor theme="0"/>
        </patternFill>
      </fill>
      <border>
        <left style="thin">
          <color theme="0"/>
        </left>
        <right style="thin">
          <color theme="0"/>
        </right>
        <bottom style="thin">
          <color theme="0"/>
        </bottom>
        <vertical/>
        <horizontal/>
      </border>
    </dxf>
    <dxf>
      <font>
        <color theme="0"/>
      </font>
      <border>
        <left style="thin">
          <color theme="0"/>
        </left>
        <right style="thin">
          <color theme="0"/>
        </right>
        <bottom style="thin">
          <color theme="0"/>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indexed="52"/>
        </patternFill>
      </fill>
    </dxf>
    <dxf>
      <fill>
        <patternFill>
          <bgColor indexed="10"/>
        </patternFill>
      </fill>
    </dxf>
    <dxf>
      <font>
        <b/>
        <i val="0"/>
        <strike val="0"/>
      </font>
      <fill>
        <patternFill>
          <bgColor rgb="FFFFC000"/>
        </patternFill>
      </fill>
    </dxf>
    <dxf>
      <font>
        <b/>
        <i val="0"/>
        <strike val="0"/>
      </font>
      <fill>
        <patternFill>
          <bgColor rgb="FFFFC000"/>
        </patternFill>
      </fill>
    </dxf>
    <dxf>
      <font>
        <b/>
        <i val="0"/>
        <strike val="0"/>
      </font>
      <fill>
        <patternFill>
          <bgColor rgb="FFFFC000"/>
        </patternFill>
      </fill>
    </dxf>
    <dxf>
      <font>
        <b/>
        <i val="0"/>
        <strike val="0"/>
      </font>
      <fill>
        <patternFill>
          <bgColor rgb="FFFFC000"/>
        </patternFill>
      </fill>
    </dxf>
    <dxf>
      <font>
        <b/>
        <i val="0"/>
        <strike val="0"/>
      </font>
      <fill>
        <patternFill>
          <bgColor rgb="FFFFC000"/>
        </patternFill>
      </fill>
    </dxf>
    <dxf>
      <font>
        <b/>
        <i val="0"/>
        <strike val="0"/>
      </font>
      <fill>
        <patternFill>
          <bgColor rgb="FFFFC000"/>
        </patternFill>
      </fill>
    </dxf>
    <dxf>
      <font>
        <b/>
        <i val="0"/>
        <strike val="0"/>
      </font>
      <fill>
        <patternFill>
          <bgColor rgb="FFFFC000"/>
        </patternFill>
      </fill>
    </dxf>
    <dxf>
      <font>
        <b/>
        <i val="0"/>
        <strike val="0"/>
      </font>
      <fill>
        <patternFill>
          <bgColor rgb="FFFFC000"/>
        </patternFill>
      </fill>
    </dxf>
    <dxf>
      <font>
        <b/>
        <i val="0"/>
        <strike val="0"/>
      </font>
      <fill>
        <patternFill>
          <bgColor rgb="FFFFC000"/>
        </patternFill>
      </fill>
    </dxf>
    <dxf>
      <font>
        <b/>
        <i val="0"/>
        <strike val="0"/>
      </font>
      <fill>
        <patternFill>
          <bgColor rgb="FFFFC000"/>
        </patternFill>
      </fill>
    </dxf>
    <dxf>
      <font>
        <b/>
        <i val="0"/>
        <strike val="0"/>
      </font>
      <fill>
        <patternFill>
          <bgColor rgb="FFFFC000"/>
        </patternFill>
      </fill>
    </dxf>
    <dxf>
      <font>
        <b/>
        <i val="0"/>
        <strike val="0"/>
      </font>
      <fill>
        <patternFill>
          <bgColor rgb="FFFFC000"/>
        </patternFill>
      </fill>
    </dxf>
    <dxf>
      <font>
        <b/>
        <i val="0"/>
        <strike val="0"/>
      </font>
      <fill>
        <patternFill>
          <bgColor rgb="FFFFC000"/>
        </patternFill>
      </fill>
    </dxf>
    <dxf>
      <font>
        <b/>
        <i val="0"/>
        <strike val="0"/>
      </font>
      <fill>
        <patternFill>
          <bgColor rgb="FFFFC000"/>
        </patternFill>
      </fill>
    </dxf>
    <dxf>
      <font>
        <b/>
        <i val="0"/>
        <strike val="0"/>
      </font>
      <fill>
        <patternFill>
          <bgColor rgb="FFFFC000"/>
        </patternFill>
      </fill>
    </dxf>
    <dxf>
      <font>
        <b/>
        <i val="0"/>
        <strike val="0"/>
      </font>
      <fill>
        <patternFill>
          <bgColor rgb="FFFFC000"/>
        </patternFill>
      </fill>
    </dxf>
    <dxf>
      <font>
        <b/>
        <i val="0"/>
        <strike val="0"/>
      </font>
      <fill>
        <patternFill>
          <bgColor rgb="FFFFC000"/>
        </patternFill>
      </fill>
    </dxf>
    <dxf>
      <font>
        <b/>
        <i val="0"/>
        <strike val="0"/>
      </font>
      <fill>
        <patternFill>
          <bgColor rgb="FFFFC000"/>
        </patternFill>
      </fill>
    </dxf>
    <dxf>
      <font>
        <b/>
        <i val="0"/>
        <strike val="0"/>
      </font>
      <fill>
        <patternFill>
          <bgColor rgb="FFFFC000"/>
        </patternFill>
      </fill>
    </dxf>
    <dxf>
      <font>
        <b/>
        <i val="0"/>
        <strike val="0"/>
      </font>
      <fill>
        <patternFill>
          <bgColor rgb="FFFFC000"/>
        </patternFill>
      </fill>
    </dxf>
    <dxf>
      <font>
        <b/>
        <i val="0"/>
        <strike val="0"/>
      </font>
      <fill>
        <patternFill>
          <bgColor rgb="FFFFC000"/>
        </patternFill>
      </fill>
    </dxf>
    <dxf>
      <font>
        <b/>
        <i val="0"/>
        <strike val="0"/>
      </font>
      <fill>
        <patternFill>
          <bgColor rgb="FFFFC000"/>
        </patternFill>
      </fill>
    </dxf>
    <dxf>
      <font>
        <b/>
        <i val="0"/>
        <strike val="0"/>
      </font>
      <fill>
        <patternFill>
          <bgColor rgb="FFFFC000"/>
        </patternFill>
      </fill>
    </dxf>
    <dxf>
      <font>
        <b/>
        <i val="0"/>
        <strike val="0"/>
      </font>
      <fill>
        <patternFill>
          <bgColor rgb="FFFFC000"/>
        </patternFill>
      </fill>
    </dxf>
    <dxf>
      <font>
        <color theme="0"/>
      </font>
    </dxf>
    <dxf>
      <font>
        <b/>
        <i val="0"/>
        <condense val="0"/>
        <extend val="0"/>
      </font>
      <fill>
        <patternFill>
          <bgColor indexed="10"/>
        </patternFill>
      </fill>
    </dxf>
    <dxf>
      <font>
        <b/>
        <i val="0"/>
        <condense val="0"/>
        <extend val="0"/>
      </font>
      <fill>
        <patternFill>
          <bgColor indexed="10"/>
        </patternFill>
      </fill>
    </dxf>
    <dxf>
      <fill>
        <patternFill>
          <bgColor rgb="FF6BE62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FF00"/>
        </patternFill>
      </fill>
    </dxf>
    <dxf>
      <fill>
        <patternFill>
          <bgColor rgb="FF00FF00"/>
        </patternFill>
      </fill>
    </dxf>
    <dxf>
      <fill>
        <patternFill>
          <bgColor rgb="FF6BE62E"/>
        </patternFill>
      </fill>
    </dxf>
    <dxf>
      <fill>
        <patternFill>
          <bgColor rgb="FF00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6BE62E"/>
      <color rgb="FF66FFFF"/>
      <color rgb="FF00FF00"/>
      <color rgb="FFE923EE"/>
      <color rgb="FFEFA43F"/>
      <color rgb="FFCC99FF"/>
      <color rgb="FF00FF99"/>
      <color rgb="FF23E51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69" Type="http://schemas.microsoft.com/office/2006/relationships/vbaProject" Target="vbaProject.bin"/><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5.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6.jpeg"/><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4.jpeg"/><Relationship Id="rId1" Type="http://schemas.openxmlformats.org/officeDocument/2006/relationships/image" Target="../media/image7.jpeg"/><Relationship Id="rId6" Type="http://schemas.openxmlformats.org/officeDocument/2006/relationships/image" Target="../media/image11.jpeg"/><Relationship Id="rId5" Type="http://schemas.openxmlformats.org/officeDocument/2006/relationships/image" Target="../media/image10.jpeg"/><Relationship Id="rId4" Type="http://schemas.openxmlformats.org/officeDocument/2006/relationships/image" Target="../media/image9.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4.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4.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61.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2</xdr:col>
      <xdr:colOff>493575</xdr:colOff>
      <xdr:row>1</xdr:row>
      <xdr:rowOff>95250</xdr:rowOff>
    </xdr:from>
    <xdr:to>
      <xdr:col>6</xdr:col>
      <xdr:colOff>180975</xdr:colOff>
      <xdr:row>5</xdr:row>
      <xdr:rowOff>0</xdr:rowOff>
    </xdr:to>
    <xdr:sp macro="[0]!jmk_acc_parametres" textlink="">
      <xdr:nvSpPr>
        <xdr:cNvPr id="2" name="Rectangle à coins arrondis 1">
          <a:extLst>
            <a:ext uri="{FF2B5EF4-FFF2-40B4-BE49-F238E27FC236}">
              <a16:creationId xmlns:a16="http://schemas.microsoft.com/office/drawing/2014/main" id="{00000000-0008-0000-0000-000002000000}"/>
            </a:ext>
          </a:extLst>
        </xdr:cNvPr>
        <xdr:cNvSpPr/>
      </xdr:nvSpPr>
      <xdr:spPr bwMode="auto">
        <a:xfrm>
          <a:off x="1188900" y="400050"/>
          <a:ext cx="2735400" cy="552450"/>
        </a:xfrm>
        <a:prstGeom prst="roundRect">
          <a:avLst/>
        </a:prstGeom>
        <a:solidFill>
          <a:srgbClr val="0DE8F3"/>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Accès aux Paramètrages</a:t>
          </a:r>
        </a:p>
      </xdr:txBody>
    </xdr:sp>
    <xdr:clientData/>
  </xdr:twoCellAnchor>
  <xdr:twoCellAnchor>
    <xdr:from>
      <xdr:col>2</xdr:col>
      <xdr:colOff>242888</xdr:colOff>
      <xdr:row>8</xdr:row>
      <xdr:rowOff>142875</xdr:rowOff>
    </xdr:from>
    <xdr:to>
      <xdr:col>3</xdr:col>
      <xdr:colOff>561975</xdr:colOff>
      <xdr:row>11</xdr:row>
      <xdr:rowOff>161100</xdr:rowOff>
    </xdr:to>
    <xdr:sp macro="[0]!jmk_acc_listing" textlink="">
      <xdr:nvSpPr>
        <xdr:cNvPr id="3" name="Rectangle à coins arrondis 2">
          <a:extLst>
            <a:ext uri="{FF2B5EF4-FFF2-40B4-BE49-F238E27FC236}">
              <a16:creationId xmlns:a16="http://schemas.microsoft.com/office/drawing/2014/main" id="{00000000-0008-0000-0000-000003000000}"/>
            </a:ext>
          </a:extLst>
        </xdr:cNvPr>
        <xdr:cNvSpPr/>
      </xdr:nvSpPr>
      <xdr:spPr bwMode="auto">
        <a:xfrm>
          <a:off x="938213" y="1581150"/>
          <a:ext cx="1081087" cy="504000"/>
        </a:xfrm>
        <a:prstGeom prst="roundRect">
          <a:avLst/>
        </a:prstGeom>
        <a:solidFill>
          <a:srgbClr val="92D05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Accès au LISTING</a:t>
          </a:r>
        </a:p>
      </xdr:txBody>
    </xdr:sp>
    <xdr:clientData/>
  </xdr:twoCellAnchor>
  <xdr:twoCellAnchor>
    <xdr:from>
      <xdr:col>4</xdr:col>
      <xdr:colOff>442913</xdr:colOff>
      <xdr:row>13</xdr:row>
      <xdr:rowOff>109536</xdr:rowOff>
    </xdr:from>
    <xdr:to>
      <xdr:col>6</xdr:col>
      <xdr:colOff>502913</xdr:colOff>
      <xdr:row>16</xdr:row>
      <xdr:rowOff>127761</xdr:rowOff>
    </xdr:to>
    <xdr:sp macro="[0]!jmk_saisie_qualif" textlink="">
      <xdr:nvSpPr>
        <xdr:cNvPr id="4" name="Rectangle à coins arrondis 3">
          <a:extLst>
            <a:ext uri="{FF2B5EF4-FFF2-40B4-BE49-F238E27FC236}">
              <a16:creationId xmlns:a16="http://schemas.microsoft.com/office/drawing/2014/main" id="{00000000-0008-0000-0000-000004000000}"/>
            </a:ext>
          </a:extLst>
        </xdr:cNvPr>
        <xdr:cNvSpPr/>
      </xdr:nvSpPr>
      <xdr:spPr bwMode="auto">
        <a:xfrm>
          <a:off x="2662238" y="2357436"/>
          <a:ext cx="1584000" cy="504000"/>
        </a:xfrm>
        <a:prstGeom prst="roundRect">
          <a:avLst/>
        </a:prstGeom>
        <a:solidFill>
          <a:srgbClr val="CC99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Saisie</a:t>
          </a:r>
          <a:r>
            <a:rPr lang="fr-FR" sz="1100" baseline="0"/>
            <a:t> des  résultats TIRS de </a:t>
          </a:r>
          <a:r>
            <a:rPr lang="fr-FR" sz="1600" baseline="0"/>
            <a:t>Qualification</a:t>
          </a:r>
        </a:p>
      </xdr:txBody>
    </xdr:sp>
    <xdr:clientData/>
  </xdr:twoCellAnchor>
  <xdr:twoCellAnchor>
    <xdr:from>
      <xdr:col>2</xdr:col>
      <xdr:colOff>242888</xdr:colOff>
      <xdr:row>17</xdr:row>
      <xdr:rowOff>76198</xdr:rowOff>
    </xdr:from>
    <xdr:to>
      <xdr:col>4</xdr:col>
      <xdr:colOff>302888</xdr:colOff>
      <xdr:row>20</xdr:row>
      <xdr:rowOff>94423</xdr:rowOff>
    </xdr:to>
    <xdr:sp macro="[0]!jmk_saisie_DUELS" textlink="">
      <xdr:nvSpPr>
        <xdr:cNvPr id="21" name="Rectangle à coins arrondis 20">
          <a:extLst>
            <a:ext uri="{FF2B5EF4-FFF2-40B4-BE49-F238E27FC236}">
              <a16:creationId xmlns:a16="http://schemas.microsoft.com/office/drawing/2014/main" id="{00000000-0008-0000-0000-000015000000}"/>
            </a:ext>
          </a:extLst>
        </xdr:cNvPr>
        <xdr:cNvSpPr/>
      </xdr:nvSpPr>
      <xdr:spPr bwMode="auto">
        <a:xfrm>
          <a:off x="938213" y="2971798"/>
          <a:ext cx="1584000" cy="504000"/>
        </a:xfrm>
        <a:prstGeom prst="roundRect">
          <a:avLst/>
        </a:prstGeom>
        <a:solidFill>
          <a:srgbClr val="CC99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Accès à la feuille</a:t>
          </a:r>
          <a:br>
            <a:rPr lang="fr-FR" sz="1100" baseline="0"/>
          </a:br>
          <a:r>
            <a:rPr lang="fr-FR" sz="1100" baseline="0"/>
            <a:t>des </a:t>
          </a:r>
          <a:r>
            <a:rPr lang="fr-FR" sz="1600" baseline="0"/>
            <a:t>DUELS</a:t>
          </a:r>
          <a:r>
            <a:rPr lang="fr-FR" sz="1100" baseline="0"/>
            <a:t> </a:t>
          </a:r>
        </a:p>
      </xdr:txBody>
    </xdr:sp>
    <xdr:clientData/>
  </xdr:twoCellAnchor>
  <xdr:twoCellAnchor>
    <xdr:from>
      <xdr:col>4</xdr:col>
      <xdr:colOff>485775</xdr:colOff>
      <xdr:row>18</xdr:row>
      <xdr:rowOff>4762</xdr:rowOff>
    </xdr:from>
    <xdr:to>
      <xdr:col>6</xdr:col>
      <xdr:colOff>401775</xdr:colOff>
      <xdr:row>20</xdr:row>
      <xdr:rowOff>100012</xdr:rowOff>
    </xdr:to>
    <xdr:sp macro="[0]!jmk_acc_res_qualif" textlink="">
      <xdr:nvSpPr>
        <xdr:cNvPr id="26" name="Rectangle à coins arrondis 25">
          <a:extLst>
            <a:ext uri="{FF2B5EF4-FFF2-40B4-BE49-F238E27FC236}">
              <a16:creationId xmlns:a16="http://schemas.microsoft.com/office/drawing/2014/main" id="{00000000-0008-0000-0000-00001A000000}"/>
            </a:ext>
          </a:extLst>
        </xdr:cNvPr>
        <xdr:cNvSpPr/>
      </xdr:nvSpPr>
      <xdr:spPr bwMode="auto">
        <a:xfrm>
          <a:off x="2705100" y="3062287"/>
          <a:ext cx="1440000" cy="419100"/>
        </a:xfrm>
        <a:prstGeom prst="roundRect">
          <a:avLst/>
        </a:prstGeom>
        <a:solidFill>
          <a:srgbClr val="FFFF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baseline="0"/>
            <a:t>Résultats  </a:t>
          </a:r>
          <a:br>
            <a:rPr lang="fr-FR" sz="1100" baseline="0"/>
          </a:br>
          <a:r>
            <a:rPr lang="fr-FR" sz="1100" baseline="0"/>
            <a:t>TIRS de QUALIF</a:t>
          </a:r>
        </a:p>
      </xdr:txBody>
    </xdr:sp>
    <xdr:clientData/>
  </xdr:twoCellAnchor>
  <xdr:twoCellAnchor>
    <xdr:from>
      <xdr:col>2</xdr:col>
      <xdr:colOff>242888</xdr:colOff>
      <xdr:row>6</xdr:row>
      <xdr:rowOff>9525</xdr:rowOff>
    </xdr:from>
    <xdr:to>
      <xdr:col>6</xdr:col>
      <xdr:colOff>485775</xdr:colOff>
      <xdr:row>8</xdr:row>
      <xdr:rowOff>19050</xdr:rowOff>
    </xdr:to>
    <xdr:sp macro="[0]!jmk_acc_import_internet" textlink="">
      <xdr:nvSpPr>
        <xdr:cNvPr id="8" name="Rectangle à coins arrondis 7">
          <a:extLst>
            <a:ext uri="{FF2B5EF4-FFF2-40B4-BE49-F238E27FC236}">
              <a16:creationId xmlns:a16="http://schemas.microsoft.com/office/drawing/2014/main" id="{00000000-0008-0000-0000-000008000000}"/>
            </a:ext>
          </a:extLst>
        </xdr:cNvPr>
        <xdr:cNvSpPr/>
      </xdr:nvSpPr>
      <xdr:spPr bwMode="auto">
        <a:xfrm>
          <a:off x="938213" y="1123950"/>
          <a:ext cx="3290887" cy="333375"/>
        </a:xfrm>
        <a:prstGeom prst="roundRect">
          <a:avLst/>
        </a:prstGeom>
        <a:solidFill>
          <a:schemeClr val="tx2">
            <a:lumMod val="60000"/>
            <a:lumOff val="40000"/>
          </a:schemeClr>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400"/>
            <a:t>Import fichier internet</a:t>
          </a:r>
        </a:p>
      </xdr:txBody>
    </xdr:sp>
    <xdr:clientData/>
  </xdr:twoCellAnchor>
  <xdr:twoCellAnchor>
    <xdr:from>
      <xdr:col>5</xdr:col>
      <xdr:colOff>180975</xdr:colOff>
      <xdr:row>8</xdr:row>
      <xdr:rowOff>142875</xdr:rowOff>
    </xdr:from>
    <xdr:to>
      <xdr:col>6</xdr:col>
      <xdr:colOff>514351</xdr:colOff>
      <xdr:row>13</xdr:row>
      <xdr:rowOff>28575</xdr:rowOff>
    </xdr:to>
    <xdr:sp macro="[0]!jmk_bil_inscr_qualif" textlink="">
      <xdr:nvSpPr>
        <xdr:cNvPr id="15" name="Rectangle à coins arrondis 14">
          <a:extLst>
            <a:ext uri="{FF2B5EF4-FFF2-40B4-BE49-F238E27FC236}">
              <a16:creationId xmlns:a16="http://schemas.microsoft.com/office/drawing/2014/main" id="{00000000-0008-0000-0000-00000F000000}"/>
            </a:ext>
          </a:extLst>
        </xdr:cNvPr>
        <xdr:cNvSpPr/>
      </xdr:nvSpPr>
      <xdr:spPr bwMode="auto">
        <a:xfrm>
          <a:off x="3162300" y="1581150"/>
          <a:ext cx="1095376" cy="695325"/>
        </a:xfrm>
        <a:prstGeom prst="roundRect">
          <a:avLst/>
        </a:prstGeom>
        <a:solidFill>
          <a:schemeClr val="accent6">
            <a:lumMod val="60000"/>
            <a:lumOff val="40000"/>
          </a:schemeClr>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Liste</a:t>
          </a:r>
          <a:r>
            <a:rPr lang="fr-FR" sz="1100" baseline="0"/>
            <a:t> Attribition</a:t>
          </a:r>
          <a:br>
            <a:rPr lang="fr-FR" sz="1100" baseline="0"/>
          </a:br>
          <a:r>
            <a:rPr lang="fr-FR" sz="1100" baseline="0"/>
            <a:t>des cibles</a:t>
          </a:r>
          <a:br>
            <a:rPr lang="fr-FR" sz="1100" baseline="0"/>
          </a:br>
          <a:r>
            <a:rPr lang="fr-FR" sz="1100" baseline="0"/>
            <a:t>QUALIF</a:t>
          </a:r>
          <a:endParaRPr lang="fr-FR" sz="1100"/>
        </a:p>
      </xdr:txBody>
    </xdr:sp>
    <xdr:clientData/>
  </xdr:twoCellAnchor>
  <xdr:twoCellAnchor>
    <xdr:from>
      <xdr:col>8</xdr:col>
      <xdr:colOff>323850</xdr:colOff>
      <xdr:row>0</xdr:row>
      <xdr:rowOff>285750</xdr:rowOff>
    </xdr:from>
    <xdr:to>
      <xdr:col>19</xdr:col>
      <xdr:colOff>276225</xdr:colOff>
      <xdr:row>48</xdr:row>
      <xdr:rowOff>66674</xdr:rowOff>
    </xdr:to>
    <xdr:sp macro="" textlink="">
      <xdr:nvSpPr>
        <xdr:cNvPr id="6" name="Rectangle 5">
          <a:extLst>
            <a:ext uri="{FF2B5EF4-FFF2-40B4-BE49-F238E27FC236}">
              <a16:creationId xmlns:a16="http://schemas.microsoft.com/office/drawing/2014/main" id="{00000000-0008-0000-0000-000006000000}"/>
            </a:ext>
          </a:extLst>
        </xdr:cNvPr>
        <xdr:cNvSpPr/>
      </xdr:nvSpPr>
      <xdr:spPr bwMode="auto">
        <a:xfrm>
          <a:off x="5591175" y="285750"/>
          <a:ext cx="8334375" cy="7696199"/>
        </a:xfrm>
        <a:prstGeom prst="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fr-FR" sz="1400" b="1"/>
            <a:t>Prise en main du logiciel....</a:t>
          </a:r>
        </a:p>
        <a:p>
          <a:pPr algn="l"/>
          <a:r>
            <a:rPr lang="fr-FR" sz="1100"/>
            <a:t>Il est important de </a:t>
          </a:r>
          <a:r>
            <a:rPr lang="fr-FR" sz="1100" b="1"/>
            <a:t>respecter la chronologie </a:t>
          </a:r>
          <a:r>
            <a:rPr lang="fr-FR" sz="1100"/>
            <a:t>du menu pour que tout se déroule correctement.</a:t>
          </a:r>
        </a:p>
        <a:p>
          <a:pPr algn="l"/>
          <a:endParaRPr lang="fr-FR" sz="1100"/>
        </a:p>
        <a:p>
          <a:pPr algn="l"/>
          <a:r>
            <a:rPr lang="fr-FR" sz="1100" b="1">
              <a:solidFill>
                <a:srgbClr val="FF0000"/>
              </a:solidFill>
            </a:rPr>
            <a:t>La navigation dans le classeur doit se faire à l'aide des  BOUTONS et non pas des onglets des classeurs</a:t>
          </a:r>
          <a:r>
            <a:rPr lang="fr-FR" sz="1100"/>
            <a:t>. (les</a:t>
          </a:r>
          <a:r>
            <a:rPr lang="fr-FR" sz="1100" baseline="0"/>
            <a:t> boutons commandent des macros en plus de la navigation...)</a:t>
          </a:r>
          <a:endParaRPr lang="fr-FR" sz="1100"/>
        </a:p>
        <a:p>
          <a:pPr algn="l"/>
          <a:r>
            <a:rPr lang="fr-FR" sz="1100"/>
            <a:t>Dans un premier temps, il faut procéder au calibrage de la compétition </a:t>
          </a:r>
          <a:r>
            <a:rPr lang="fr-FR" sz="1600" b="1"/>
            <a:t>(1)</a:t>
          </a:r>
          <a:r>
            <a:rPr lang="fr-FR" sz="1100"/>
            <a:t> : catégorie concernée, nombre d'équipes présentes, numéro de la première cible, intitulé de la compétition</a:t>
          </a:r>
          <a:r>
            <a:rPr lang="fr-FR" sz="1100" baseline="0"/>
            <a:t> </a:t>
          </a:r>
          <a:r>
            <a:rPr lang="fr-FR" sz="1100"/>
            <a:t>... (case de couleur vertes dans la feuille "Paramètres") et valider  la compétition pour que les tableaux se mettent en place.  </a:t>
          </a:r>
        </a:p>
        <a:p>
          <a:pPr algn="l"/>
          <a:endParaRPr lang="fr-FR" sz="1100"/>
        </a:p>
        <a:p>
          <a:pPr algn="l"/>
          <a:r>
            <a:rPr lang="fr-FR" sz="1100"/>
            <a:t>La feuille des Duels est créée en mode protégé, c'est à dire que seules les zones de saisie des résultats sont accessibles.</a:t>
          </a:r>
          <a:r>
            <a:rPr lang="fr-FR" sz="1100" baseline="0"/>
            <a:t> Ceci évite les fausses manipulations qui risqueraient de "casser" les formules. C'est une protection simple sans mot de passe.</a:t>
          </a:r>
          <a:endParaRPr lang="fr-FR" sz="1100"/>
        </a:p>
        <a:p>
          <a:pPr algn="l"/>
          <a:endParaRPr lang="fr-FR" sz="1100"/>
        </a:p>
        <a:p>
          <a:pPr algn="l"/>
          <a:r>
            <a:rPr lang="fr-FR" sz="1100"/>
            <a:t>On procède ensuite à l'importation du</a:t>
          </a:r>
          <a:r>
            <a:rPr lang="fr-FR" sz="1100" baseline="0"/>
            <a:t> fichier des inscrits </a:t>
          </a:r>
          <a:r>
            <a:rPr lang="fr-FR" sz="1600" b="1" baseline="0"/>
            <a:t>(2)</a:t>
          </a:r>
          <a:r>
            <a:rPr lang="fr-FR" sz="1100" baseline="0"/>
            <a:t>. Attention, ce fichier a un calibrage bien précis qu'il est important de respecter, faute de quoi, l'importation ne pourra se faire correctement. Se reporter aux consignes de  création de la compétition dans OPUSS. Le fichier de récupération est de format CSV ou TXT. </a:t>
          </a:r>
        </a:p>
        <a:p>
          <a:pPr algn="l"/>
          <a:r>
            <a:rPr lang="fr-FR" sz="1600" b="1" baseline="0"/>
            <a:t>Le fichier récupéré d'OPUSS est à transformer à l'aide du fichier " Convertisseur Opuss.xlsm" avant d'être intégré. </a:t>
          </a:r>
          <a:endParaRPr lang="fr-FR" sz="1100" baseline="0"/>
        </a:p>
        <a:p>
          <a:pPr algn="l"/>
          <a:r>
            <a:rPr lang="fr-FR" sz="1100" baseline="0"/>
            <a:t>L'accès au listing  </a:t>
          </a:r>
          <a:r>
            <a:rPr lang="fr-FR" sz="1600" b="1" baseline="0"/>
            <a:t>(3)</a:t>
          </a:r>
          <a:r>
            <a:rPr lang="fr-FR" sz="1100" baseline="0"/>
            <a:t> permet de vérifier que l'importation s'est bien déroulée et c'est dans cette feuille qu'on procèdera aux diverses modifications de dernière minute... Robert est remplacé par Marcel, erreur sur un prénom, date de naissance... et tout ce qu'on peut imaginer ! </a:t>
          </a:r>
        </a:p>
        <a:p>
          <a:pPr algn="l"/>
          <a:r>
            <a:rPr lang="fr-FR" sz="1100" baseline="0"/>
            <a:t>Dans cette feuille on procèdra aussi à l'affectation des archers sur les cibles soit de manière automatique , soit de manière manuelle.</a:t>
          </a:r>
          <a:br>
            <a:rPr lang="fr-FR" sz="1100" baseline="0"/>
          </a:br>
          <a:br>
            <a:rPr lang="fr-FR" sz="1100" baseline="0"/>
          </a:br>
          <a:r>
            <a:rPr lang="fr-FR" sz="1400" b="1" baseline="0">
              <a:solidFill>
                <a:srgbClr val="FF0000"/>
              </a:solidFill>
            </a:rPr>
            <a:t>ATTENTION : il est IMPERATIF de ne jamais supprimer une cellule ou des lignes dans les différentes feuilles du classeur, cela "casserait" les formules du classeur. Au besoin, effacez son contenu et corrigez avec la bonne valeur  ou utilisez des copier - coller avec collage spécial des valeurs seules</a:t>
          </a:r>
          <a:r>
            <a:rPr lang="fr-FR" sz="1100" baseline="0"/>
            <a:t>.</a:t>
          </a:r>
        </a:p>
        <a:p>
          <a:pPr algn="l"/>
          <a:endParaRPr lang="fr-FR" sz="1100" baseline="0"/>
        </a:p>
        <a:p>
          <a:pPr algn="l"/>
          <a:r>
            <a:rPr lang="fr-FR" sz="1100" baseline="0"/>
            <a:t>Servez vous des boutons (violets) de tri pour reclasser vos équipes.  Au besoin, vous pouvez modifier le numéro d'ordre de toute l'équipe (de  1 à 24) pour la déplacer dans le tableau.</a:t>
          </a:r>
        </a:p>
        <a:p>
          <a:pPr algn="l"/>
          <a:r>
            <a:rPr lang="fr-FR" sz="1100" baseline="0"/>
            <a:t>La partie droite du tableau teste la conformité de l'équipe (</a:t>
          </a:r>
          <a:r>
            <a:rPr lang="fr-FR" sz="1100" b="1" baseline="0"/>
            <a:t>MIXITE</a:t>
          </a:r>
          <a:r>
            <a:rPr lang="fr-FR" sz="1100" baseline="0"/>
            <a:t>) . Ce n'est pas bloquant pour la suite de la compétition.  </a:t>
          </a:r>
          <a:r>
            <a:rPr lang="fr-FR" sz="1100" b="1" baseline="0"/>
            <a:t>La décision de déclasser l'équipe revient à l'organisateur, ce n'est pas géré par le logiciel. </a:t>
          </a:r>
        </a:p>
        <a:p>
          <a:pPr algn="l"/>
          <a:br>
            <a:rPr lang="fr-FR" sz="1100" baseline="0"/>
          </a:br>
          <a:r>
            <a:rPr lang="fr-FR" sz="1100" baseline="0"/>
            <a:t>Les zones suivantes sont suffisamment explicites dans leur noms....</a:t>
          </a:r>
        </a:p>
        <a:p>
          <a:pPr algn="l"/>
          <a:endParaRPr lang="fr-FR" sz="1100" baseline="0"/>
        </a:p>
        <a:p>
          <a:pPr algn="l"/>
          <a:r>
            <a:rPr lang="fr-FR" sz="1100" baseline="0"/>
            <a:t>Les impressions des DUELS et des affectations de cibles pour les duels se font à partir des boutons orange dans la feuille DUELS. </a:t>
          </a:r>
        </a:p>
        <a:p>
          <a:pPr algn="l"/>
          <a:r>
            <a:rPr lang="fr-FR" sz="1100" baseline="0"/>
            <a:t>La navigation entre les feuilles doit se faire à l'aide des boutons de commande</a:t>
          </a:r>
        </a:p>
        <a:p>
          <a:pPr algn="l"/>
          <a:endParaRPr lang="fr-FR" sz="1100" baseline="0"/>
        </a:p>
        <a:p>
          <a:pPr algn="l"/>
          <a:endParaRPr lang="fr-FR" sz="1100" baseline="0"/>
        </a:p>
        <a:p>
          <a:pPr algn="l"/>
          <a:r>
            <a:rPr lang="fr-FR" sz="1100" baseline="0"/>
            <a:t>Pour le reste, c'est de la saisie et de l'impression. Trouvez un endroit au calme et un JO pour vous dicter ou saisir les données , voir pour faire les deux , ce n'est pas compliqué... </a:t>
          </a:r>
        </a:p>
        <a:p>
          <a:pPr algn="ctr"/>
          <a:endParaRPr lang="fr-FR" sz="1100" baseline="0"/>
        </a:p>
        <a:p>
          <a:pPr algn="ctr"/>
          <a:endParaRPr lang="fr-FR" sz="1100" baseline="0"/>
        </a:p>
        <a:p>
          <a:pPr algn="ctr"/>
          <a:r>
            <a:rPr lang="fr-FR" sz="1100" baseline="0"/>
            <a:t>Bon courage et bonne compétition    </a:t>
          </a:r>
        </a:p>
        <a:p>
          <a:pPr algn="l"/>
          <a:endParaRPr lang="fr-FR" sz="1100"/>
        </a:p>
      </xdr:txBody>
    </xdr:sp>
    <xdr:clientData/>
  </xdr:twoCellAnchor>
  <xdr:twoCellAnchor>
    <xdr:from>
      <xdr:col>2</xdr:col>
      <xdr:colOff>190500</xdr:colOff>
      <xdr:row>27</xdr:row>
      <xdr:rowOff>95249</xdr:rowOff>
    </xdr:from>
    <xdr:to>
      <xdr:col>4</xdr:col>
      <xdr:colOff>323850</xdr:colOff>
      <xdr:row>30</xdr:row>
      <xdr:rowOff>82549</xdr:rowOff>
    </xdr:to>
    <xdr:sp macro="[0]!JMK_ZI_17à24" textlink="">
      <xdr:nvSpPr>
        <xdr:cNvPr id="20" name="Rectangle à coins arrondis 19">
          <a:extLst>
            <a:ext uri="{FF2B5EF4-FFF2-40B4-BE49-F238E27FC236}">
              <a16:creationId xmlns:a16="http://schemas.microsoft.com/office/drawing/2014/main" id="{00000000-0008-0000-0000-000014000000}"/>
            </a:ext>
          </a:extLst>
        </xdr:cNvPr>
        <xdr:cNvSpPr/>
      </xdr:nvSpPr>
      <xdr:spPr bwMode="auto">
        <a:xfrm>
          <a:off x="885825" y="4610099"/>
          <a:ext cx="1657350" cy="473075"/>
        </a:xfrm>
        <a:prstGeom prst="roundRect">
          <a:avLst/>
        </a:prstGeom>
        <a:solidFill>
          <a:srgbClr val="00FF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200"/>
            <a:t>Impression des DUELS</a:t>
          </a:r>
        </a:p>
        <a:p>
          <a:pPr algn="ctr"/>
          <a:r>
            <a:rPr lang="fr-FR" sz="1200"/>
            <a:t>3</a:t>
          </a:r>
          <a:r>
            <a:rPr lang="fr-FR" sz="1200" baseline="0"/>
            <a:t> Pages  (17-24 éq)</a:t>
          </a:r>
          <a:endParaRPr lang="fr-FR" sz="1200"/>
        </a:p>
      </xdr:txBody>
    </xdr:sp>
    <xdr:clientData/>
  </xdr:twoCellAnchor>
  <xdr:twoCellAnchor>
    <xdr:from>
      <xdr:col>2</xdr:col>
      <xdr:colOff>190500</xdr:colOff>
      <xdr:row>24</xdr:row>
      <xdr:rowOff>58737</xdr:rowOff>
    </xdr:from>
    <xdr:to>
      <xdr:col>4</xdr:col>
      <xdr:colOff>323850</xdr:colOff>
      <xdr:row>27</xdr:row>
      <xdr:rowOff>46037</xdr:rowOff>
    </xdr:to>
    <xdr:sp macro="[0]!JMK_ZI_9à16" textlink="">
      <xdr:nvSpPr>
        <xdr:cNvPr id="23" name="Rectangle à coins arrondis 22">
          <a:extLst>
            <a:ext uri="{FF2B5EF4-FFF2-40B4-BE49-F238E27FC236}">
              <a16:creationId xmlns:a16="http://schemas.microsoft.com/office/drawing/2014/main" id="{00000000-0008-0000-0000-000017000000}"/>
            </a:ext>
          </a:extLst>
        </xdr:cNvPr>
        <xdr:cNvSpPr/>
      </xdr:nvSpPr>
      <xdr:spPr bwMode="auto">
        <a:xfrm>
          <a:off x="885825" y="4087812"/>
          <a:ext cx="1657350" cy="473075"/>
        </a:xfrm>
        <a:prstGeom prst="roundRect">
          <a:avLst/>
        </a:prstGeom>
        <a:solidFill>
          <a:srgbClr val="00FF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200"/>
            <a:t>Impression des DUELS</a:t>
          </a:r>
        </a:p>
        <a:p>
          <a:pPr algn="ctr"/>
          <a:r>
            <a:rPr lang="fr-FR" sz="1200" baseline="0"/>
            <a:t>2 Pages  (9-16 éq)</a:t>
          </a:r>
          <a:endParaRPr lang="fr-FR" sz="1200"/>
        </a:p>
      </xdr:txBody>
    </xdr:sp>
    <xdr:clientData/>
  </xdr:twoCellAnchor>
  <xdr:twoCellAnchor>
    <xdr:from>
      <xdr:col>2</xdr:col>
      <xdr:colOff>190500</xdr:colOff>
      <xdr:row>21</xdr:row>
      <xdr:rowOff>22224</xdr:rowOff>
    </xdr:from>
    <xdr:to>
      <xdr:col>4</xdr:col>
      <xdr:colOff>323850</xdr:colOff>
      <xdr:row>24</xdr:row>
      <xdr:rowOff>9524</xdr:rowOff>
    </xdr:to>
    <xdr:sp macro="[0]!JMK_ZI_1à8" textlink="">
      <xdr:nvSpPr>
        <xdr:cNvPr id="27" name="Rectangle à coins arrondis 26">
          <a:extLst>
            <a:ext uri="{FF2B5EF4-FFF2-40B4-BE49-F238E27FC236}">
              <a16:creationId xmlns:a16="http://schemas.microsoft.com/office/drawing/2014/main" id="{00000000-0008-0000-0000-00001B000000}"/>
            </a:ext>
          </a:extLst>
        </xdr:cNvPr>
        <xdr:cNvSpPr/>
      </xdr:nvSpPr>
      <xdr:spPr bwMode="auto">
        <a:xfrm>
          <a:off x="885825" y="3565524"/>
          <a:ext cx="1657350" cy="473075"/>
        </a:xfrm>
        <a:prstGeom prst="roundRect">
          <a:avLst/>
        </a:prstGeom>
        <a:solidFill>
          <a:srgbClr val="00FF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200"/>
            <a:t>Impression des DUELS</a:t>
          </a:r>
        </a:p>
        <a:p>
          <a:pPr algn="ctr"/>
          <a:r>
            <a:rPr lang="fr-FR" sz="1200" baseline="0"/>
            <a:t>1Pages  (2-8 éq)</a:t>
          </a:r>
          <a:endParaRPr lang="fr-FR" sz="1200"/>
        </a:p>
      </xdr:txBody>
    </xdr:sp>
    <xdr:clientData/>
  </xdr:twoCellAnchor>
  <xdr:twoCellAnchor>
    <xdr:from>
      <xdr:col>4</xdr:col>
      <xdr:colOff>412749</xdr:colOff>
      <xdr:row>22</xdr:row>
      <xdr:rowOff>152400</xdr:rowOff>
    </xdr:from>
    <xdr:to>
      <xdr:col>6</xdr:col>
      <xdr:colOff>390525</xdr:colOff>
      <xdr:row>29</xdr:row>
      <xdr:rowOff>9525</xdr:rowOff>
    </xdr:to>
    <xdr:sp macro="[0]!JMK_ZI_Résultat_Final" textlink="">
      <xdr:nvSpPr>
        <xdr:cNvPr id="28" name="Rectangle à coins arrondis 27">
          <a:extLst>
            <a:ext uri="{FF2B5EF4-FFF2-40B4-BE49-F238E27FC236}">
              <a16:creationId xmlns:a16="http://schemas.microsoft.com/office/drawing/2014/main" id="{00000000-0008-0000-0000-00001C000000}"/>
            </a:ext>
          </a:extLst>
        </xdr:cNvPr>
        <xdr:cNvSpPr/>
      </xdr:nvSpPr>
      <xdr:spPr bwMode="auto">
        <a:xfrm>
          <a:off x="2632074" y="3857625"/>
          <a:ext cx="1501776" cy="990600"/>
        </a:xfrm>
        <a:prstGeom prst="roundRect">
          <a:avLst/>
        </a:prstGeom>
        <a:solidFill>
          <a:srgbClr val="00FF99"/>
        </a:solidFill>
        <a:ln w="9525" cap="flat" cmpd="sng" algn="ctr">
          <a:solidFill>
            <a:srgbClr val="400000"/>
          </a:solidFill>
          <a:prstDash val="solid"/>
          <a:round/>
          <a:headEnd type="none" w="med" len="med"/>
          <a:tailEnd type="none" w="med" len="med"/>
        </a:ln>
        <a:effectLst/>
      </xdr:spPr>
      <xdr:txBody>
        <a:bodyPr rot="0" spcFirstLastPara="0" vertOverflow="clip" horzOverflow="clip" vert="horz" wrap="square" lIns="18288" tIns="0" rIns="0" bIns="0" numCol="1" spcCol="0" rtlCol="0" fromWordArt="0" anchor="ctr" anchorCtr="0" forceAA="0" upright="1" compatLnSpc="1">
          <a:prstTxWarp prst="textNoShape">
            <a:avLst/>
          </a:prstTxWarp>
          <a:noAutofit/>
        </a:bodyPr>
        <a:lstStyle/>
        <a:p>
          <a:pPr algn="ctr"/>
          <a:r>
            <a:rPr lang="fr-FR" sz="1200"/>
            <a:t>Impression</a:t>
          </a:r>
          <a:r>
            <a:rPr lang="fr-FR" sz="1200" baseline="0"/>
            <a:t> du CLASSEMENT FINAL</a:t>
          </a:r>
          <a:endParaRPr lang="fr-FR" sz="1200"/>
        </a:p>
      </xdr:txBody>
    </xdr:sp>
    <xdr:clientData/>
  </xdr:twoCellAnchor>
  <xdr:twoCellAnchor>
    <xdr:from>
      <xdr:col>2</xdr:col>
      <xdr:colOff>238125</xdr:colOff>
      <xdr:row>31</xdr:row>
      <xdr:rowOff>19050</xdr:rowOff>
    </xdr:from>
    <xdr:to>
      <xdr:col>4</xdr:col>
      <xdr:colOff>295275</xdr:colOff>
      <xdr:row>33</xdr:row>
      <xdr:rowOff>76200</xdr:rowOff>
    </xdr:to>
    <xdr:sp macro="[0]!acc_PODIUM" textlink="">
      <xdr:nvSpPr>
        <xdr:cNvPr id="5" name="Rectangle à coins arrondis 4">
          <a:extLst>
            <a:ext uri="{FF2B5EF4-FFF2-40B4-BE49-F238E27FC236}">
              <a16:creationId xmlns:a16="http://schemas.microsoft.com/office/drawing/2014/main" id="{00000000-0008-0000-0000-000005000000}"/>
            </a:ext>
          </a:extLst>
        </xdr:cNvPr>
        <xdr:cNvSpPr/>
      </xdr:nvSpPr>
      <xdr:spPr bwMode="auto">
        <a:xfrm>
          <a:off x="933450" y="5181600"/>
          <a:ext cx="1581150" cy="381000"/>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Création</a:t>
          </a:r>
          <a:r>
            <a:rPr lang="fr-FR" sz="1100" baseline="0"/>
            <a:t> fichier PODIUMS</a:t>
          </a:r>
        </a:p>
        <a:p>
          <a:pPr algn="ctr"/>
          <a:r>
            <a:rPr lang="fr-FR" sz="1100" baseline="0"/>
            <a:t>FILIERE PRO et BAC</a:t>
          </a:r>
          <a:endParaRPr lang="fr-FR" sz="1100"/>
        </a:p>
      </xdr:txBody>
    </xdr:sp>
    <xdr:clientData/>
  </xdr:twoCellAnchor>
  <xdr:twoCellAnchor>
    <xdr:from>
      <xdr:col>2</xdr:col>
      <xdr:colOff>266699</xdr:colOff>
      <xdr:row>13</xdr:row>
      <xdr:rowOff>85725</xdr:rowOff>
    </xdr:from>
    <xdr:to>
      <xdr:col>4</xdr:col>
      <xdr:colOff>333375</xdr:colOff>
      <xdr:row>17</xdr:row>
      <xdr:rowOff>9525</xdr:rowOff>
    </xdr:to>
    <xdr:sp macro="[0]!jmk_acc_impress_Fiches_QUALIF" textlink="">
      <xdr:nvSpPr>
        <xdr:cNvPr id="7" name="Rectangle à coins arrondis 6">
          <a:extLst>
            <a:ext uri="{FF2B5EF4-FFF2-40B4-BE49-F238E27FC236}">
              <a16:creationId xmlns:a16="http://schemas.microsoft.com/office/drawing/2014/main" id="{00000000-0008-0000-0000-000007000000}"/>
            </a:ext>
          </a:extLst>
        </xdr:cNvPr>
        <xdr:cNvSpPr/>
      </xdr:nvSpPr>
      <xdr:spPr bwMode="auto">
        <a:xfrm>
          <a:off x="962024" y="2333625"/>
          <a:ext cx="1590676" cy="571500"/>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fr-FR" sz="1100"/>
            <a:t>Impression </a:t>
          </a:r>
          <a:br>
            <a:rPr lang="fr-FR" sz="1100"/>
          </a:br>
          <a:r>
            <a:rPr lang="fr-FR" sz="1100"/>
            <a:t>Feuilles de cibles indiv. QUALIFICATIONS</a:t>
          </a:r>
        </a:p>
      </xdr:txBody>
    </xdr:sp>
    <xdr:clientData/>
  </xdr:twoCellAnchor>
  <xdr:twoCellAnchor>
    <xdr:from>
      <xdr:col>3</xdr:col>
      <xdr:colOff>676275</xdr:colOff>
      <xdr:row>9</xdr:row>
      <xdr:rowOff>0</xdr:rowOff>
    </xdr:from>
    <xdr:to>
      <xdr:col>5</xdr:col>
      <xdr:colOff>76200</xdr:colOff>
      <xdr:row>12</xdr:row>
      <xdr:rowOff>0</xdr:rowOff>
    </xdr:to>
    <xdr:sp macro="[0]!jmk_acc_F_Engagement" textlink="">
      <xdr:nvSpPr>
        <xdr:cNvPr id="9" name="Rectangle à coins arrondis 8">
          <a:extLst>
            <a:ext uri="{FF2B5EF4-FFF2-40B4-BE49-F238E27FC236}">
              <a16:creationId xmlns:a16="http://schemas.microsoft.com/office/drawing/2014/main" id="{00000000-0008-0000-0000-000009000000}"/>
            </a:ext>
          </a:extLst>
        </xdr:cNvPr>
        <xdr:cNvSpPr/>
      </xdr:nvSpPr>
      <xdr:spPr bwMode="auto">
        <a:xfrm>
          <a:off x="2133600" y="1600200"/>
          <a:ext cx="923925" cy="485775"/>
        </a:xfrm>
        <a:prstGeom prst="roundRect">
          <a:avLst/>
        </a:prstGeom>
        <a:solidFill>
          <a:srgbClr val="92D05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Feuille  d'engagement</a:t>
          </a:r>
        </a:p>
      </xdr:txBody>
    </xdr:sp>
    <xdr:clientData/>
  </xdr:twoCellAnchor>
  <xdr:twoCellAnchor>
    <xdr:from>
      <xdr:col>6</xdr:col>
      <xdr:colOff>600074</xdr:colOff>
      <xdr:row>13</xdr:row>
      <xdr:rowOff>114299</xdr:rowOff>
    </xdr:from>
    <xdr:to>
      <xdr:col>8</xdr:col>
      <xdr:colOff>209550</xdr:colOff>
      <xdr:row>16</xdr:row>
      <xdr:rowOff>152399</xdr:rowOff>
    </xdr:to>
    <xdr:sp macro="[0]!jmk_acc_impress_Fi_QUALIF_2018" textlink="">
      <xdr:nvSpPr>
        <xdr:cNvPr id="17" name="Rectangle à coins arrondis 16">
          <a:extLst>
            <a:ext uri="{FF2B5EF4-FFF2-40B4-BE49-F238E27FC236}">
              <a16:creationId xmlns:a16="http://schemas.microsoft.com/office/drawing/2014/main" id="{00000000-0008-0000-0000-000011000000}"/>
            </a:ext>
          </a:extLst>
        </xdr:cNvPr>
        <xdr:cNvSpPr/>
      </xdr:nvSpPr>
      <xdr:spPr bwMode="auto">
        <a:xfrm>
          <a:off x="4343399" y="2362199"/>
          <a:ext cx="1133476" cy="52387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200" b="0" i="1"/>
            <a:t>F. Qual EQUIPE 2023</a:t>
          </a:r>
          <a:endParaRPr lang="fr-FR" sz="1050" b="0" i="1"/>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1533525</xdr:colOff>
      <xdr:row>1</xdr:row>
      <xdr:rowOff>19050</xdr:rowOff>
    </xdr:from>
    <xdr:to>
      <xdr:col>3</xdr:col>
      <xdr:colOff>190500</xdr:colOff>
      <xdr:row>5</xdr:row>
      <xdr:rowOff>104775</xdr:rowOff>
    </xdr:to>
    <xdr:pic>
      <xdr:nvPicPr>
        <xdr:cNvPr id="990278" name="Picture 1" descr="Logo UNSS monochrome copie">
          <a:extLst>
            <a:ext uri="{FF2B5EF4-FFF2-40B4-BE49-F238E27FC236}">
              <a16:creationId xmlns:a16="http://schemas.microsoft.com/office/drawing/2014/main" id="{00000000-0008-0000-0900-0000461C0F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00" y="47625"/>
          <a:ext cx="80962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xdr:row>
      <xdr:rowOff>314325</xdr:rowOff>
    </xdr:from>
    <xdr:to>
      <xdr:col>9</xdr:col>
      <xdr:colOff>38100</xdr:colOff>
      <xdr:row>3</xdr:row>
      <xdr:rowOff>0</xdr:rowOff>
    </xdr:to>
    <xdr:sp macro="[0]!jmk_RETOUR_MENU" textlink="">
      <xdr:nvSpPr>
        <xdr:cNvPr id="4" name="Rectangle à coins arrondis 3">
          <a:extLst>
            <a:ext uri="{FF2B5EF4-FFF2-40B4-BE49-F238E27FC236}">
              <a16:creationId xmlns:a16="http://schemas.microsoft.com/office/drawing/2014/main" id="{00000000-0008-0000-0900-000004000000}"/>
            </a:ext>
          </a:extLst>
        </xdr:cNvPr>
        <xdr:cNvSpPr/>
      </xdr:nvSpPr>
      <xdr:spPr bwMode="auto">
        <a:xfrm>
          <a:off x="10734675" y="342900"/>
          <a:ext cx="800100" cy="43815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 MENUS</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1343025</xdr:colOff>
      <xdr:row>0</xdr:row>
      <xdr:rowOff>19050</xdr:rowOff>
    </xdr:from>
    <xdr:to>
      <xdr:col>2</xdr:col>
      <xdr:colOff>1247775</xdr:colOff>
      <xdr:row>0</xdr:row>
      <xdr:rowOff>409575</xdr:rowOff>
    </xdr:to>
    <xdr:sp macro="" textlink="">
      <xdr:nvSpPr>
        <xdr:cNvPr id="12289" name="Text Box 1">
          <a:extLst>
            <a:ext uri="{FF2B5EF4-FFF2-40B4-BE49-F238E27FC236}">
              <a16:creationId xmlns:a16="http://schemas.microsoft.com/office/drawing/2014/main" id="{00000000-0008-0000-0A00-000001300000}"/>
            </a:ext>
          </a:extLst>
        </xdr:cNvPr>
        <xdr:cNvSpPr txBox="1">
          <a:spLocks noChangeArrowheads="1"/>
        </xdr:cNvSpPr>
      </xdr:nvSpPr>
      <xdr:spPr bwMode="auto">
        <a:xfrm>
          <a:off x="1724025" y="19050"/>
          <a:ext cx="2209800" cy="3905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Cette feuille est remplie directement lors de l'importation du fichier Internet</a:t>
          </a:r>
          <a:endParaRPr lang="fr-FR"/>
        </a:p>
      </xdr:txBody>
    </xdr:sp>
    <xdr:clientData fPrintsWithSheet="0"/>
  </xdr:twoCellAnchor>
  <xdr:twoCellAnchor>
    <xdr:from>
      <xdr:col>3</xdr:col>
      <xdr:colOff>57150</xdr:colOff>
      <xdr:row>0</xdr:row>
      <xdr:rowOff>76200</xdr:rowOff>
    </xdr:from>
    <xdr:to>
      <xdr:col>3</xdr:col>
      <xdr:colOff>857250</xdr:colOff>
      <xdr:row>0</xdr:row>
      <xdr:rowOff>514350</xdr:rowOff>
    </xdr:to>
    <xdr:sp macro="[0]!jmk_RETOUR_MENU" textlink="">
      <xdr:nvSpPr>
        <xdr:cNvPr id="3" name="Rectangle à coins arrondis 2">
          <a:extLst>
            <a:ext uri="{FF2B5EF4-FFF2-40B4-BE49-F238E27FC236}">
              <a16:creationId xmlns:a16="http://schemas.microsoft.com/office/drawing/2014/main" id="{00000000-0008-0000-0A00-000003000000}"/>
            </a:ext>
          </a:extLst>
        </xdr:cNvPr>
        <xdr:cNvSpPr/>
      </xdr:nvSpPr>
      <xdr:spPr bwMode="auto">
        <a:xfrm>
          <a:off x="4476750" y="76200"/>
          <a:ext cx="800100" cy="43815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 MENUS</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1657350</xdr:colOff>
      <xdr:row>1</xdr:row>
      <xdr:rowOff>57150</xdr:rowOff>
    </xdr:from>
    <xdr:to>
      <xdr:col>4</xdr:col>
      <xdr:colOff>123825</xdr:colOff>
      <xdr:row>4</xdr:row>
      <xdr:rowOff>190500</xdr:rowOff>
    </xdr:to>
    <xdr:pic>
      <xdr:nvPicPr>
        <xdr:cNvPr id="991302" name="Picture 1" descr="Logo UNSS monochrome copie">
          <a:extLst>
            <a:ext uri="{FF2B5EF4-FFF2-40B4-BE49-F238E27FC236}">
              <a16:creationId xmlns:a16="http://schemas.microsoft.com/office/drawing/2014/main" id="{00000000-0008-0000-0B00-000046200F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7475" y="95250"/>
          <a:ext cx="7715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2</xdr:row>
      <xdr:rowOff>0</xdr:rowOff>
    </xdr:from>
    <xdr:to>
      <xdr:col>8</xdr:col>
      <xdr:colOff>38100</xdr:colOff>
      <xdr:row>3</xdr:row>
      <xdr:rowOff>114300</xdr:rowOff>
    </xdr:to>
    <xdr:sp macro="[0]!jmk_RETOUR_MENU" textlink="">
      <xdr:nvSpPr>
        <xdr:cNvPr id="4" name="Rectangle à coins arrondis 3">
          <a:extLst>
            <a:ext uri="{FF2B5EF4-FFF2-40B4-BE49-F238E27FC236}">
              <a16:creationId xmlns:a16="http://schemas.microsoft.com/office/drawing/2014/main" id="{00000000-0008-0000-0B00-000004000000}"/>
            </a:ext>
          </a:extLst>
        </xdr:cNvPr>
        <xdr:cNvSpPr/>
      </xdr:nvSpPr>
      <xdr:spPr bwMode="auto">
        <a:xfrm>
          <a:off x="7991475" y="419100"/>
          <a:ext cx="800100" cy="43815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 MENUS</a:t>
          </a:r>
        </a:p>
      </xdr:txBody>
    </xdr:sp>
    <xdr:clientData fPrintsWithSheet="0"/>
  </xdr:twoCellAnchor>
  <xdr:twoCellAnchor>
    <xdr:from>
      <xdr:col>7</xdr:col>
      <xdr:colOff>19050</xdr:colOff>
      <xdr:row>3</xdr:row>
      <xdr:rowOff>238125</xdr:rowOff>
    </xdr:from>
    <xdr:to>
      <xdr:col>8</xdr:col>
      <xdr:colOff>285749</xdr:colOff>
      <xdr:row>5</xdr:row>
      <xdr:rowOff>0</xdr:rowOff>
    </xdr:to>
    <xdr:sp macro="[0]!jmk_imp_feuille" textlink="">
      <xdr:nvSpPr>
        <xdr:cNvPr id="5" name="Rectangle à coins arrondis 4">
          <a:extLst>
            <a:ext uri="{FF2B5EF4-FFF2-40B4-BE49-F238E27FC236}">
              <a16:creationId xmlns:a16="http://schemas.microsoft.com/office/drawing/2014/main" id="{00000000-0008-0000-0B00-000005000000}"/>
            </a:ext>
          </a:extLst>
        </xdr:cNvPr>
        <xdr:cNvSpPr/>
      </xdr:nvSpPr>
      <xdr:spPr bwMode="auto">
        <a:xfrm>
          <a:off x="8010525" y="981075"/>
          <a:ext cx="1028699" cy="419100"/>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200"/>
            <a:t>IMPRESSION</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editAs="oneCell">
    <xdr:from>
      <xdr:col>3</xdr:col>
      <xdr:colOff>142875</xdr:colOff>
      <xdr:row>0</xdr:row>
      <xdr:rowOff>95250</xdr:rowOff>
    </xdr:from>
    <xdr:to>
      <xdr:col>3</xdr:col>
      <xdr:colOff>809625</xdr:colOff>
      <xdr:row>2</xdr:row>
      <xdr:rowOff>190500</xdr:rowOff>
    </xdr:to>
    <xdr:pic>
      <xdr:nvPicPr>
        <xdr:cNvPr id="1066033" name="Picture 200" descr="Logo UNSS monochrome copie">
          <a:extLst>
            <a:ext uri="{FF2B5EF4-FFF2-40B4-BE49-F238E27FC236}">
              <a16:creationId xmlns:a16="http://schemas.microsoft.com/office/drawing/2014/main" id="{00000000-0008-0000-0C00-00003144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95250"/>
          <a:ext cx="6667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666750</xdr:colOff>
      <xdr:row>125</xdr:row>
      <xdr:rowOff>47625</xdr:rowOff>
    </xdr:from>
    <xdr:to>
      <xdr:col>19</xdr:col>
      <xdr:colOff>742950</xdr:colOff>
      <xdr:row>125</xdr:row>
      <xdr:rowOff>47625</xdr:rowOff>
    </xdr:to>
    <xdr:sp macro="" textlink="">
      <xdr:nvSpPr>
        <xdr:cNvPr id="1066034" name="Line 238">
          <a:extLst>
            <a:ext uri="{FF2B5EF4-FFF2-40B4-BE49-F238E27FC236}">
              <a16:creationId xmlns:a16="http://schemas.microsoft.com/office/drawing/2014/main" id="{00000000-0008-0000-0C00-000032441000}"/>
            </a:ext>
          </a:extLst>
        </xdr:cNvPr>
        <xdr:cNvSpPr>
          <a:spLocks noChangeShapeType="1"/>
        </xdr:cNvSpPr>
      </xdr:nvSpPr>
      <xdr:spPr bwMode="auto">
        <a:xfrm>
          <a:off x="13373100" y="22193250"/>
          <a:ext cx="76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8</xdr:row>
      <xdr:rowOff>0</xdr:rowOff>
    </xdr:from>
    <xdr:to>
      <xdr:col>34</xdr:col>
      <xdr:colOff>76200</xdr:colOff>
      <xdr:row>8</xdr:row>
      <xdr:rowOff>9525</xdr:rowOff>
    </xdr:to>
    <xdr:sp macro="" textlink="">
      <xdr:nvSpPr>
        <xdr:cNvPr id="1066035" name="Line 1">
          <a:extLst>
            <a:ext uri="{FF2B5EF4-FFF2-40B4-BE49-F238E27FC236}">
              <a16:creationId xmlns:a16="http://schemas.microsoft.com/office/drawing/2014/main" id="{00000000-0008-0000-0C00-000033441000}"/>
            </a:ext>
          </a:extLst>
        </xdr:cNvPr>
        <xdr:cNvSpPr>
          <a:spLocks noChangeShapeType="1"/>
        </xdr:cNvSpPr>
      </xdr:nvSpPr>
      <xdr:spPr bwMode="auto">
        <a:xfrm>
          <a:off x="2269807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66675</xdr:colOff>
      <xdr:row>8</xdr:row>
      <xdr:rowOff>9525</xdr:rowOff>
    </xdr:from>
    <xdr:to>
      <xdr:col>34</xdr:col>
      <xdr:colOff>66675</xdr:colOff>
      <xdr:row>11</xdr:row>
      <xdr:rowOff>19050</xdr:rowOff>
    </xdr:to>
    <xdr:sp macro="" textlink="">
      <xdr:nvSpPr>
        <xdr:cNvPr id="1066036" name="Line 2">
          <a:extLst>
            <a:ext uri="{FF2B5EF4-FFF2-40B4-BE49-F238E27FC236}">
              <a16:creationId xmlns:a16="http://schemas.microsoft.com/office/drawing/2014/main" id="{00000000-0008-0000-0C00-000034441000}"/>
            </a:ext>
          </a:extLst>
        </xdr:cNvPr>
        <xdr:cNvSpPr>
          <a:spLocks noChangeShapeType="1"/>
        </xdr:cNvSpPr>
      </xdr:nvSpPr>
      <xdr:spPr bwMode="auto">
        <a:xfrm>
          <a:off x="2276475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11</xdr:row>
      <xdr:rowOff>0</xdr:rowOff>
    </xdr:from>
    <xdr:to>
      <xdr:col>34</xdr:col>
      <xdr:colOff>66675</xdr:colOff>
      <xdr:row>11</xdr:row>
      <xdr:rowOff>9525</xdr:rowOff>
    </xdr:to>
    <xdr:sp macro="" textlink="">
      <xdr:nvSpPr>
        <xdr:cNvPr id="1066037" name="Line 3">
          <a:extLst>
            <a:ext uri="{FF2B5EF4-FFF2-40B4-BE49-F238E27FC236}">
              <a16:creationId xmlns:a16="http://schemas.microsoft.com/office/drawing/2014/main" id="{00000000-0008-0000-0C00-000035441000}"/>
            </a:ext>
          </a:extLst>
        </xdr:cNvPr>
        <xdr:cNvSpPr>
          <a:spLocks noChangeShapeType="1"/>
        </xdr:cNvSpPr>
      </xdr:nvSpPr>
      <xdr:spPr bwMode="auto">
        <a:xfrm flipV="1">
          <a:off x="2270760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8</xdr:row>
      <xdr:rowOff>0</xdr:rowOff>
    </xdr:from>
    <xdr:to>
      <xdr:col>31</xdr:col>
      <xdr:colOff>76200</xdr:colOff>
      <xdr:row>8</xdr:row>
      <xdr:rowOff>9525</xdr:rowOff>
    </xdr:to>
    <xdr:sp macro="" textlink="">
      <xdr:nvSpPr>
        <xdr:cNvPr id="1066038" name="Line 4">
          <a:extLst>
            <a:ext uri="{FF2B5EF4-FFF2-40B4-BE49-F238E27FC236}">
              <a16:creationId xmlns:a16="http://schemas.microsoft.com/office/drawing/2014/main" id="{00000000-0008-0000-0C00-000036441000}"/>
            </a:ext>
          </a:extLst>
        </xdr:cNvPr>
        <xdr:cNvSpPr>
          <a:spLocks noChangeShapeType="1"/>
        </xdr:cNvSpPr>
      </xdr:nvSpPr>
      <xdr:spPr bwMode="auto">
        <a:xfrm>
          <a:off x="205359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66675</xdr:colOff>
      <xdr:row>8</xdr:row>
      <xdr:rowOff>9525</xdr:rowOff>
    </xdr:from>
    <xdr:to>
      <xdr:col>31</xdr:col>
      <xdr:colOff>66675</xdr:colOff>
      <xdr:row>11</xdr:row>
      <xdr:rowOff>19050</xdr:rowOff>
    </xdr:to>
    <xdr:sp macro="" textlink="">
      <xdr:nvSpPr>
        <xdr:cNvPr id="1066039" name="Line 5">
          <a:extLst>
            <a:ext uri="{FF2B5EF4-FFF2-40B4-BE49-F238E27FC236}">
              <a16:creationId xmlns:a16="http://schemas.microsoft.com/office/drawing/2014/main" id="{00000000-0008-0000-0C00-000037441000}"/>
            </a:ext>
          </a:extLst>
        </xdr:cNvPr>
        <xdr:cNvSpPr>
          <a:spLocks noChangeShapeType="1"/>
        </xdr:cNvSpPr>
      </xdr:nvSpPr>
      <xdr:spPr bwMode="auto">
        <a:xfrm>
          <a:off x="206025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9525</xdr:colOff>
      <xdr:row>11</xdr:row>
      <xdr:rowOff>0</xdr:rowOff>
    </xdr:from>
    <xdr:to>
      <xdr:col>31</xdr:col>
      <xdr:colOff>66675</xdr:colOff>
      <xdr:row>11</xdr:row>
      <xdr:rowOff>9525</xdr:rowOff>
    </xdr:to>
    <xdr:sp macro="" textlink="">
      <xdr:nvSpPr>
        <xdr:cNvPr id="1066040" name="Line 6">
          <a:extLst>
            <a:ext uri="{FF2B5EF4-FFF2-40B4-BE49-F238E27FC236}">
              <a16:creationId xmlns:a16="http://schemas.microsoft.com/office/drawing/2014/main" id="{00000000-0008-0000-0C00-000038441000}"/>
            </a:ext>
          </a:extLst>
        </xdr:cNvPr>
        <xdr:cNvSpPr>
          <a:spLocks noChangeShapeType="1"/>
        </xdr:cNvSpPr>
      </xdr:nvSpPr>
      <xdr:spPr bwMode="auto">
        <a:xfrm flipV="1">
          <a:off x="205454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14</xdr:row>
      <xdr:rowOff>0</xdr:rowOff>
    </xdr:from>
    <xdr:to>
      <xdr:col>31</xdr:col>
      <xdr:colOff>76200</xdr:colOff>
      <xdr:row>14</xdr:row>
      <xdr:rowOff>9525</xdr:rowOff>
    </xdr:to>
    <xdr:sp macro="" textlink="">
      <xdr:nvSpPr>
        <xdr:cNvPr id="1066041" name="Line 7">
          <a:extLst>
            <a:ext uri="{FF2B5EF4-FFF2-40B4-BE49-F238E27FC236}">
              <a16:creationId xmlns:a16="http://schemas.microsoft.com/office/drawing/2014/main" id="{00000000-0008-0000-0C00-000039441000}"/>
            </a:ext>
          </a:extLst>
        </xdr:cNvPr>
        <xdr:cNvSpPr>
          <a:spLocks noChangeShapeType="1"/>
        </xdr:cNvSpPr>
      </xdr:nvSpPr>
      <xdr:spPr bwMode="auto">
        <a:xfrm>
          <a:off x="205359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66675</xdr:colOff>
      <xdr:row>14</xdr:row>
      <xdr:rowOff>9525</xdr:rowOff>
    </xdr:from>
    <xdr:to>
      <xdr:col>31</xdr:col>
      <xdr:colOff>66675</xdr:colOff>
      <xdr:row>17</xdr:row>
      <xdr:rowOff>19050</xdr:rowOff>
    </xdr:to>
    <xdr:sp macro="" textlink="">
      <xdr:nvSpPr>
        <xdr:cNvPr id="1066042" name="Line 8">
          <a:extLst>
            <a:ext uri="{FF2B5EF4-FFF2-40B4-BE49-F238E27FC236}">
              <a16:creationId xmlns:a16="http://schemas.microsoft.com/office/drawing/2014/main" id="{00000000-0008-0000-0C00-00003A441000}"/>
            </a:ext>
          </a:extLst>
        </xdr:cNvPr>
        <xdr:cNvSpPr>
          <a:spLocks noChangeShapeType="1"/>
        </xdr:cNvSpPr>
      </xdr:nvSpPr>
      <xdr:spPr bwMode="auto">
        <a:xfrm>
          <a:off x="206025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9525</xdr:colOff>
      <xdr:row>17</xdr:row>
      <xdr:rowOff>0</xdr:rowOff>
    </xdr:from>
    <xdr:to>
      <xdr:col>31</xdr:col>
      <xdr:colOff>66675</xdr:colOff>
      <xdr:row>17</xdr:row>
      <xdr:rowOff>9525</xdr:rowOff>
    </xdr:to>
    <xdr:sp macro="" textlink="">
      <xdr:nvSpPr>
        <xdr:cNvPr id="1066043" name="Line 9">
          <a:extLst>
            <a:ext uri="{FF2B5EF4-FFF2-40B4-BE49-F238E27FC236}">
              <a16:creationId xmlns:a16="http://schemas.microsoft.com/office/drawing/2014/main" id="{00000000-0008-0000-0C00-00003B441000}"/>
            </a:ext>
          </a:extLst>
        </xdr:cNvPr>
        <xdr:cNvSpPr>
          <a:spLocks noChangeShapeType="1"/>
        </xdr:cNvSpPr>
      </xdr:nvSpPr>
      <xdr:spPr bwMode="auto">
        <a:xfrm flipV="1">
          <a:off x="205454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20</xdr:row>
      <xdr:rowOff>0</xdr:rowOff>
    </xdr:from>
    <xdr:to>
      <xdr:col>31</xdr:col>
      <xdr:colOff>76200</xdr:colOff>
      <xdr:row>20</xdr:row>
      <xdr:rowOff>9525</xdr:rowOff>
    </xdr:to>
    <xdr:sp macro="" textlink="">
      <xdr:nvSpPr>
        <xdr:cNvPr id="1066044" name="Line 10">
          <a:extLst>
            <a:ext uri="{FF2B5EF4-FFF2-40B4-BE49-F238E27FC236}">
              <a16:creationId xmlns:a16="http://schemas.microsoft.com/office/drawing/2014/main" id="{00000000-0008-0000-0C00-00003C441000}"/>
            </a:ext>
          </a:extLst>
        </xdr:cNvPr>
        <xdr:cNvSpPr>
          <a:spLocks noChangeShapeType="1"/>
        </xdr:cNvSpPr>
      </xdr:nvSpPr>
      <xdr:spPr bwMode="auto">
        <a:xfrm>
          <a:off x="205359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66675</xdr:colOff>
      <xdr:row>20</xdr:row>
      <xdr:rowOff>9525</xdr:rowOff>
    </xdr:from>
    <xdr:to>
      <xdr:col>31</xdr:col>
      <xdr:colOff>66675</xdr:colOff>
      <xdr:row>23</xdr:row>
      <xdr:rowOff>19050</xdr:rowOff>
    </xdr:to>
    <xdr:sp macro="" textlink="">
      <xdr:nvSpPr>
        <xdr:cNvPr id="1066045" name="Line 11">
          <a:extLst>
            <a:ext uri="{FF2B5EF4-FFF2-40B4-BE49-F238E27FC236}">
              <a16:creationId xmlns:a16="http://schemas.microsoft.com/office/drawing/2014/main" id="{00000000-0008-0000-0C00-00003D441000}"/>
            </a:ext>
          </a:extLst>
        </xdr:cNvPr>
        <xdr:cNvSpPr>
          <a:spLocks noChangeShapeType="1"/>
        </xdr:cNvSpPr>
      </xdr:nvSpPr>
      <xdr:spPr bwMode="auto">
        <a:xfrm>
          <a:off x="2060257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9525</xdr:colOff>
      <xdr:row>23</xdr:row>
      <xdr:rowOff>0</xdr:rowOff>
    </xdr:from>
    <xdr:to>
      <xdr:col>31</xdr:col>
      <xdr:colOff>66675</xdr:colOff>
      <xdr:row>23</xdr:row>
      <xdr:rowOff>9525</xdr:rowOff>
    </xdr:to>
    <xdr:sp macro="" textlink="">
      <xdr:nvSpPr>
        <xdr:cNvPr id="1066046" name="Line 12">
          <a:extLst>
            <a:ext uri="{FF2B5EF4-FFF2-40B4-BE49-F238E27FC236}">
              <a16:creationId xmlns:a16="http://schemas.microsoft.com/office/drawing/2014/main" id="{00000000-0008-0000-0C00-00003E441000}"/>
            </a:ext>
          </a:extLst>
        </xdr:cNvPr>
        <xdr:cNvSpPr>
          <a:spLocks noChangeShapeType="1"/>
        </xdr:cNvSpPr>
      </xdr:nvSpPr>
      <xdr:spPr bwMode="auto">
        <a:xfrm flipV="1">
          <a:off x="205454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14</xdr:row>
      <xdr:rowOff>0</xdr:rowOff>
    </xdr:from>
    <xdr:to>
      <xdr:col>34</xdr:col>
      <xdr:colOff>76200</xdr:colOff>
      <xdr:row>14</xdr:row>
      <xdr:rowOff>9525</xdr:rowOff>
    </xdr:to>
    <xdr:sp macro="" textlink="">
      <xdr:nvSpPr>
        <xdr:cNvPr id="1066047" name="Line 13">
          <a:extLst>
            <a:ext uri="{FF2B5EF4-FFF2-40B4-BE49-F238E27FC236}">
              <a16:creationId xmlns:a16="http://schemas.microsoft.com/office/drawing/2014/main" id="{00000000-0008-0000-0C00-00003F441000}"/>
            </a:ext>
          </a:extLst>
        </xdr:cNvPr>
        <xdr:cNvSpPr>
          <a:spLocks noChangeShapeType="1"/>
        </xdr:cNvSpPr>
      </xdr:nvSpPr>
      <xdr:spPr bwMode="auto">
        <a:xfrm>
          <a:off x="2269807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66675</xdr:colOff>
      <xdr:row>14</xdr:row>
      <xdr:rowOff>9525</xdr:rowOff>
    </xdr:from>
    <xdr:to>
      <xdr:col>34</xdr:col>
      <xdr:colOff>66675</xdr:colOff>
      <xdr:row>17</xdr:row>
      <xdr:rowOff>19050</xdr:rowOff>
    </xdr:to>
    <xdr:sp macro="" textlink="">
      <xdr:nvSpPr>
        <xdr:cNvPr id="1066048" name="Line 14">
          <a:extLst>
            <a:ext uri="{FF2B5EF4-FFF2-40B4-BE49-F238E27FC236}">
              <a16:creationId xmlns:a16="http://schemas.microsoft.com/office/drawing/2014/main" id="{00000000-0008-0000-0C00-000040441000}"/>
            </a:ext>
          </a:extLst>
        </xdr:cNvPr>
        <xdr:cNvSpPr>
          <a:spLocks noChangeShapeType="1"/>
        </xdr:cNvSpPr>
      </xdr:nvSpPr>
      <xdr:spPr bwMode="auto">
        <a:xfrm>
          <a:off x="2276475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17</xdr:row>
      <xdr:rowOff>0</xdr:rowOff>
    </xdr:from>
    <xdr:to>
      <xdr:col>34</xdr:col>
      <xdr:colOff>66675</xdr:colOff>
      <xdr:row>17</xdr:row>
      <xdr:rowOff>9525</xdr:rowOff>
    </xdr:to>
    <xdr:sp macro="" textlink="">
      <xdr:nvSpPr>
        <xdr:cNvPr id="1066049" name="Line 15">
          <a:extLst>
            <a:ext uri="{FF2B5EF4-FFF2-40B4-BE49-F238E27FC236}">
              <a16:creationId xmlns:a16="http://schemas.microsoft.com/office/drawing/2014/main" id="{00000000-0008-0000-0C00-000041441000}"/>
            </a:ext>
          </a:extLst>
        </xdr:cNvPr>
        <xdr:cNvSpPr>
          <a:spLocks noChangeShapeType="1"/>
        </xdr:cNvSpPr>
      </xdr:nvSpPr>
      <xdr:spPr bwMode="auto">
        <a:xfrm flipV="1">
          <a:off x="227076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8</xdr:row>
      <xdr:rowOff>0</xdr:rowOff>
    </xdr:from>
    <xdr:to>
      <xdr:col>37</xdr:col>
      <xdr:colOff>76200</xdr:colOff>
      <xdr:row>8</xdr:row>
      <xdr:rowOff>9525</xdr:rowOff>
    </xdr:to>
    <xdr:sp macro="" textlink="">
      <xdr:nvSpPr>
        <xdr:cNvPr id="1066050" name="Line 16">
          <a:extLst>
            <a:ext uri="{FF2B5EF4-FFF2-40B4-BE49-F238E27FC236}">
              <a16:creationId xmlns:a16="http://schemas.microsoft.com/office/drawing/2014/main" id="{00000000-0008-0000-0C00-000042441000}"/>
            </a:ext>
          </a:extLst>
        </xdr:cNvPr>
        <xdr:cNvSpPr>
          <a:spLocks noChangeShapeType="1"/>
        </xdr:cNvSpPr>
      </xdr:nvSpPr>
      <xdr:spPr bwMode="auto">
        <a:xfrm>
          <a:off x="2479357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8</xdr:row>
      <xdr:rowOff>9525</xdr:rowOff>
    </xdr:from>
    <xdr:to>
      <xdr:col>37</xdr:col>
      <xdr:colOff>66675</xdr:colOff>
      <xdr:row>11</xdr:row>
      <xdr:rowOff>19050</xdr:rowOff>
    </xdr:to>
    <xdr:sp macro="" textlink="">
      <xdr:nvSpPr>
        <xdr:cNvPr id="1066051" name="Line 17">
          <a:extLst>
            <a:ext uri="{FF2B5EF4-FFF2-40B4-BE49-F238E27FC236}">
              <a16:creationId xmlns:a16="http://schemas.microsoft.com/office/drawing/2014/main" id="{00000000-0008-0000-0C00-000043441000}"/>
            </a:ext>
          </a:extLst>
        </xdr:cNvPr>
        <xdr:cNvSpPr>
          <a:spLocks noChangeShapeType="1"/>
        </xdr:cNvSpPr>
      </xdr:nvSpPr>
      <xdr:spPr bwMode="auto">
        <a:xfrm>
          <a:off x="2486025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11</xdr:row>
      <xdr:rowOff>0</xdr:rowOff>
    </xdr:from>
    <xdr:to>
      <xdr:col>37</xdr:col>
      <xdr:colOff>66675</xdr:colOff>
      <xdr:row>11</xdr:row>
      <xdr:rowOff>9525</xdr:rowOff>
    </xdr:to>
    <xdr:sp macro="" textlink="">
      <xdr:nvSpPr>
        <xdr:cNvPr id="1066052" name="Line 18">
          <a:extLst>
            <a:ext uri="{FF2B5EF4-FFF2-40B4-BE49-F238E27FC236}">
              <a16:creationId xmlns:a16="http://schemas.microsoft.com/office/drawing/2014/main" id="{00000000-0008-0000-0C00-000044441000}"/>
            </a:ext>
          </a:extLst>
        </xdr:cNvPr>
        <xdr:cNvSpPr>
          <a:spLocks noChangeShapeType="1"/>
        </xdr:cNvSpPr>
      </xdr:nvSpPr>
      <xdr:spPr bwMode="auto">
        <a:xfrm flipV="1">
          <a:off x="2480310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20</xdr:row>
      <xdr:rowOff>0</xdr:rowOff>
    </xdr:from>
    <xdr:to>
      <xdr:col>34</xdr:col>
      <xdr:colOff>76200</xdr:colOff>
      <xdr:row>20</xdr:row>
      <xdr:rowOff>9525</xdr:rowOff>
    </xdr:to>
    <xdr:sp macro="" textlink="">
      <xdr:nvSpPr>
        <xdr:cNvPr id="1066053" name="Line 19">
          <a:extLst>
            <a:ext uri="{FF2B5EF4-FFF2-40B4-BE49-F238E27FC236}">
              <a16:creationId xmlns:a16="http://schemas.microsoft.com/office/drawing/2014/main" id="{00000000-0008-0000-0C00-000045441000}"/>
            </a:ext>
          </a:extLst>
        </xdr:cNvPr>
        <xdr:cNvSpPr>
          <a:spLocks noChangeShapeType="1"/>
        </xdr:cNvSpPr>
      </xdr:nvSpPr>
      <xdr:spPr bwMode="auto">
        <a:xfrm>
          <a:off x="226980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66675</xdr:colOff>
      <xdr:row>20</xdr:row>
      <xdr:rowOff>9525</xdr:rowOff>
    </xdr:from>
    <xdr:to>
      <xdr:col>34</xdr:col>
      <xdr:colOff>66675</xdr:colOff>
      <xdr:row>23</xdr:row>
      <xdr:rowOff>19050</xdr:rowOff>
    </xdr:to>
    <xdr:sp macro="" textlink="">
      <xdr:nvSpPr>
        <xdr:cNvPr id="1066054" name="Line 20">
          <a:extLst>
            <a:ext uri="{FF2B5EF4-FFF2-40B4-BE49-F238E27FC236}">
              <a16:creationId xmlns:a16="http://schemas.microsoft.com/office/drawing/2014/main" id="{00000000-0008-0000-0C00-000046441000}"/>
            </a:ext>
          </a:extLst>
        </xdr:cNvPr>
        <xdr:cNvSpPr>
          <a:spLocks noChangeShapeType="1"/>
        </xdr:cNvSpPr>
      </xdr:nvSpPr>
      <xdr:spPr bwMode="auto">
        <a:xfrm>
          <a:off x="2276475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23</xdr:row>
      <xdr:rowOff>0</xdr:rowOff>
    </xdr:from>
    <xdr:to>
      <xdr:col>34</xdr:col>
      <xdr:colOff>66675</xdr:colOff>
      <xdr:row>23</xdr:row>
      <xdr:rowOff>9525</xdr:rowOff>
    </xdr:to>
    <xdr:sp macro="" textlink="">
      <xdr:nvSpPr>
        <xdr:cNvPr id="1066055" name="Line 21">
          <a:extLst>
            <a:ext uri="{FF2B5EF4-FFF2-40B4-BE49-F238E27FC236}">
              <a16:creationId xmlns:a16="http://schemas.microsoft.com/office/drawing/2014/main" id="{00000000-0008-0000-0C00-000047441000}"/>
            </a:ext>
          </a:extLst>
        </xdr:cNvPr>
        <xdr:cNvSpPr>
          <a:spLocks noChangeShapeType="1"/>
        </xdr:cNvSpPr>
      </xdr:nvSpPr>
      <xdr:spPr bwMode="auto">
        <a:xfrm flipV="1">
          <a:off x="2270760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14</xdr:row>
      <xdr:rowOff>0</xdr:rowOff>
    </xdr:from>
    <xdr:to>
      <xdr:col>37</xdr:col>
      <xdr:colOff>76200</xdr:colOff>
      <xdr:row>14</xdr:row>
      <xdr:rowOff>9525</xdr:rowOff>
    </xdr:to>
    <xdr:sp macro="" textlink="">
      <xdr:nvSpPr>
        <xdr:cNvPr id="1066056" name="Line 22">
          <a:extLst>
            <a:ext uri="{FF2B5EF4-FFF2-40B4-BE49-F238E27FC236}">
              <a16:creationId xmlns:a16="http://schemas.microsoft.com/office/drawing/2014/main" id="{00000000-0008-0000-0C00-000048441000}"/>
            </a:ext>
          </a:extLst>
        </xdr:cNvPr>
        <xdr:cNvSpPr>
          <a:spLocks noChangeShapeType="1"/>
        </xdr:cNvSpPr>
      </xdr:nvSpPr>
      <xdr:spPr bwMode="auto">
        <a:xfrm>
          <a:off x="2479357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14</xdr:row>
      <xdr:rowOff>9525</xdr:rowOff>
    </xdr:from>
    <xdr:to>
      <xdr:col>37</xdr:col>
      <xdr:colOff>66675</xdr:colOff>
      <xdr:row>17</xdr:row>
      <xdr:rowOff>19050</xdr:rowOff>
    </xdr:to>
    <xdr:sp macro="" textlink="">
      <xdr:nvSpPr>
        <xdr:cNvPr id="1066057" name="Line 23">
          <a:extLst>
            <a:ext uri="{FF2B5EF4-FFF2-40B4-BE49-F238E27FC236}">
              <a16:creationId xmlns:a16="http://schemas.microsoft.com/office/drawing/2014/main" id="{00000000-0008-0000-0C00-000049441000}"/>
            </a:ext>
          </a:extLst>
        </xdr:cNvPr>
        <xdr:cNvSpPr>
          <a:spLocks noChangeShapeType="1"/>
        </xdr:cNvSpPr>
      </xdr:nvSpPr>
      <xdr:spPr bwMode="auto">
        <a:xfrm>
          <a:off x="2486025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17</xdr:row>
      <xdr:rowOff>0</xdr:rowOff>
    </xdr:from>
    <xdr:to>
      <xdr:col>37</xdr:col>
      <xdr:colOff>66675</xdr:colOff>
      <xdr:row>17</xdr:row>
      <xdr:rowOff>9525</xdr:rowOff>
    </xdr:to>
    <xdr:sp macro="" textlink="">
      <xdr:nvSpPr>
        <xdr:cNvPr id="1066058" name="Line 24">
          <a:extLst>
            <a:ext uri="{FF2B5EF4-FFF2-40B4-BE49-F238E27FC236}">
              <a16:creationId xmlns:a16="http://schemas.microsoft.com/office/drawing/2014/main" id="{00000000-0008-0000-0C00-00004A441000}"/>
            </a:ext>
          </a:extLst>
        </xdr:cNvPr>
        <xdr:cNvSpPr>
          <a:spLocks noChangeShapeType="1"/>
        </xdr:cNvSpPr>
      </xdr:nvSpPr>
      <xdr:spPr bwMode="auto">
        <a:xfrm flipV="1">
          <a:off x="248031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20</xdr:row>
      <xdr:rowOff>0</xdr:rowOff>
    </xdr:from>
    <xdr:to>
      <xdr:col>37</xdr:col>
      <xdr:colOff>76200</xdr:colOff>
      <xdr:row>20</xdr:row>
      <xdr:rowOff>9525</xdr:rowOff>
    </xdr:to>
    <xdr:sp macro="" textlink="">
      <xdr:nvSpPr>
        <xdr:cNvPr id="1066059" name="Line 25">
          <a:extLst>
            <a:ext uri="{FF2B5EF4-FFF2-40B4-BE49-F238E27FC236}">
              <a16:creationId xmlns:a16="http://schemas.microsoft.com/office/drawing/2014/main" id="{00000000-0008-0000-0C00-00004B441000}"/>
            </a:ext>
          </a:extLst>
        </xdr:cNvPr>
        <xdr:cNvSpPr>
          <a:spLocks noChangeShapeType="1"/>
        </xdr:cNvSpPr>
      </xdr:nvSpPr>
      <xdr:spPr bwMode="auto">
        <a:xfrm>
          <a:off x="247935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20</xdr:row>
      <xdr:rowOff>9525</xdr:rowOff>
    </xdr:from>
    <xdr:to>
      <xdr:col>37</xdr:col>
      <xdr:colOff>66675</xdr:colOff>
      <xdr:row>23</xdr:row>
      <xdr:rowOff>19050</xdr:rowOff>
    </xdr:to>
    <xdr:sp macro="" textlink="">
      <xdr:nvSpPr>
        <xdr:cNvPr id="1066060" name="Line 26">
          <a:extLst>
            <a:ext uri="{FF2B5EF4-FFF2-40B4-BE49-F238E27FC236}">
              <a16:creationId xmlns:a16="http://schemas.microsoft.com/office/drawing/2014/main" id="{00000000-0008-0000-0C00-00004C441000}"/>
            </a:ext>
          </a:extLst>
        </xdr:cNvPr>
        <xdr:cNvSpPr>
          <a:spLocks noChangeShapeType="1"/>
        </xdr:cNvSpPr>
      </xdr:nvSpPr>
      <xdr:spPr bwMode="auto">
        <a:xfrm>
          <a:off x="2486025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23</xdr:row>
      <xdr:rowOff>0</xdr:rowOff>
    </xdr:from>
    <xdr:to>
      <xdr:col>37</xdr:col>
      <xdr:colOff>66675</xdr:colOff>
      <xdr:row>23</xdr:row>
      <xdr:rowOff>9525</xdr:rowOff>
    </xdr:to>
    <xdr:sp macro="" textlink="">
      <xdr:nvSpPr>
        <xdr:cNvPr id="1066061" name="Line 27">
          <a:extLst>
            <a:ext uri="{FF2B5EF4-FFF2-40B4-BE49-F238E27FC236}">
              <a16:creationId xmlns:a16="http://schemas.microsoft.com/office/drawing/2014/main" id="{00000000-0008-0000-0C00-00004D441000}"/>
            </a:ext>
          </a:extLst>
        </xdr:cNvPr>
        <xdr:cNvSpPr>
          <a:spLocks noChangeShapeType="1"/>
        </xdr:cNvSpPr>
      </xdr:nvSpPr>
      <xdr:spPr bwMode="auto">
        <a:xfrm flipV="1">
          <a:off x="2480310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26</xdr:row>
      <xdr:rowOff>0</xdr:rowOff>
    </xdr:from>
    <xdr:to>
      <xdr:col>37</xdr:col>
      <xdr:colOff>76200</xdr:colOff>
      <xdr:row>26</xdr:row>
      <xdr:rowOff>9525</xdr:rowOff>
    </xdr:to>
    <xdr:sp macro="" textlink="">
      <xdr:nvSpPr>
        <xdr:cNvPr id="1066062" name="Line 28">
          <a:extLst>
            <a:ext uri="{FF2B5EF4-FFF2-40B4-BE49-F238E27FC236}">
              <a16:creationId xmlns:a16="http://schemas.microsoft.com/office/drawing/2014/main" id="{00000000-0008-0000-0C00-00004E441000}"/>
            </a:ext>
          </a:extLst>
        </xdr:cNvPr>
        <xdr:cNvSpPr>
          <a:spLocks noChangeShapeType="1"/>
        </xdr:cNvSpPr>
      </xdr:nvSpPr>
      <xdr:spPr bwMode="auto">
        <a:xfrm>
          <a:off x="2479357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26</xdr:row>
      <xdr:rowOff>9525</xdr:rowOff>
    </xdr:from>
    <xdr:to>
      <xdr:col>37</xdr:col>
      <xdr:colOff>66675</xdr:colOff>
      <xdr:row>29</xdr:row>
      <xdr:rowOff>19050</xdr:rowOff>
    </xdr:to>
    <xdr:sp macro="" textlink="">
      <xdr:nvSpPr>
        <xdr:cNvPr id="1066063" name="Line 29">
          <a:extLst>
            <a:ext uri="{FF2B5EF4-FFF2-40B4-BE49-F238E27FC236}">
              <a16:creationId xmlns:a16="http://schemas.microsoft.com/office/drawing/2014/main" id="{00000000-0008-0000-0C00-00004F441000}"/>
            </a:ext>
          </a:extLst>
        </xdr:cNvPr>
        <xdr:cNvSpPr>
          <a:spLocks noChangeShapeType="1"/>
        </xdr:cNvSpPr>
      </xdr:nvSpPr>
      <xdr:spPr bwMode="auto">
        <a:xfrm>
          <a:off x="2486025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29</xdr:row>
      <xdr:rowOff>0</xdr:rowOff>
    </xdr:from>
    <xdr:to>
      <xdr:col>37</xdr:col>
      <xdr:colOff>66675</xdr:colOff>
      <xdr:row>29</xdr:row>
      <xdr:rowOff>9525</xdr:rowOff>
    </xdr:to>
    <xdr:sp macro="" textlink="">
      <xdr:nvSpPr>
        <xdr:cNvPr id="1066064" name="Line 30">
          <a:extLst>
            <a:ext uri="{FF2B5EF4-FFF2-40B4-BE49-F238E27FC236}">
              <a16:creationId xmlns:a16="http://schemas.microsoft.com/office/drawing/2014/main" id="{00000000-0008-0000-0C00-000050441000}"/>
            </a:ext>
          </a:extLst>
        </xdr:cNvPr>
        <xdr:cNvSpPr>
          <a:spLocks noChangeShapeType="1"/>
        </xdr:cNvSpPr>
      </xdr:nvSpPr>
      <xdr:spPr bwMode="auto">
        <a:xfrm flipV="1">
          <a:off x="2480310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26</xdr:row>
      <xdr:rowOff>0</xdr:rowOff>
    </xdr:from>
    <xdr:to>
      <xdr:col>34</xdr:col>
      <xdr:colOff>76200</xdr:colOff>
      <xdr:row>26</xdr:row>
      <xdr:rowOff>9525</xdr:rowOff>
    </xdr:to>
    <xdr:sp macro="" textlink="">
      <xdr:nvSpPr>
        <xdr:cNvPr id="1066065" name="Line 31">
          <a:extLst>
            <a:ext uri="{FF2B5EF4-FFF2-40B4-BE49-F238E27FC236}">
              <a16:creationId xmlns:a16="http://schemas.microsoft.com/office/drawing/2014/main" id="{00000000-0008-0000-0C00-000051441000}"/>
            </a:ext>
          </a:extLst>
        </xdr:cNvPr>
        <xdr:cNvSpPr>
          <a:spLocks noChangeShapeType="1"/>
        </xdr:cNvSpPr>
      </xdr:nvSpPr>
      <xdr:spPr bwMode="auto">
        <a:xfrm>
          <a:off x="2269807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66675</xdr:colOff>
      <xdr:row>26</xdr:row>
      <xdr:rowOff>9525</xdr:rowOff>
    </xdr:from>
    <xdr:to>
      <xdr:col>34</xdr:col>
      <xdr:colOff>66675</xdr:colOff>
      <xdr:row>29</xdr:row>
      <xdr:rowOff>19050</xdr:rowOff>
    </xdr:to>
    <xdr:sp macro="" textlink="">
      <xdr:nvSpPr>
        <xdr:cNvPr id="1066066" name="Line 32">
          <a:extLst>
            <a:ext uri="{FF2B5EF4-FFF2-40B4-BE49-F238E27FC236}">
              <a16:creationId xmlns:a16="http://schemas.microsoft.com/office/drawing/2014/main" id="{00000000-0008-0000-0C00-000052441000}"/>
            </a:ext>
          </a:extLst>
        </xdr:cNvPr>
        <xdr:cNvSpPr>
          <a:spLocks noChangeShapeType="1"/>
        </xdr:cNvSpPr>
      </xdr:nvSpPr>
      <xdr:spPr bwMode="auto">
        <a:xfrm>
          <a:off x="2276475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29</xdr:row>
      <xdr:rowOff>0</xdr:rowOff>
    </xdr:from>
    <xdr:to>
      <xdr:col>34</xdr:col>
      <xdr:colOff>66675</xdr:colOff>
      <xdr:row>29</xdr:row>
      <xdr:rowOff>9525</xdr:rowOff>
    </xdr:to>
    <xdr:sp macro="" textlink="">
      <xdr:nvSpPr>
        <xdr:cNvPr id="1066067" name="Line 33">
          <a:extLst>
            <a:ext uri="{FF2B5EF4-FFF2-40B4-BE49-F238E27FC236}">
              <a16:creationId xmlns:a16="http://schemas.microsoft.com/office/drawing/2014/main" id="{00000000-0008-0000-0C00-000053441000}"/>
            </a:ext>
          </a:extLst>
        </xdr:cNvPr>
        <xdr:cNvSpPr>
          <a:spLocks noChangeShapeType="1"/>
        </xdr:cNvSpPr>
      </xdr:nvSpPr>
      <xdr:spPr bwMode="auto">
        <a:xfrm flipV="1">
          <a:off x="2270760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26</xdr:row>
      <xdr:rowOff>0</xdr:rowOff>
    </xdr:from>
    <xdr:to>
      <xdr:col>31</xdr:col>
      <xdr:colOff>76200</xdr:colOff>
      <xdr:row>26</xdr:row>
      <xdr:rowOff>9525</xdr:rowOff>
    </xdr:to>
    <xdr:sp macro="" textlink="">
      <xdr:nvSpPr>
        <xdr:cNvPr id="1066068" name="Line 34">
          <a:extLst>
            <a:ext uri="{FF2B5EF4-FFF2-40B4-BE49-F238E27FC236}">
              <a16:creationId xmlns:a16="http://schemas.microsoft.com/office/drawing/2014/main" id="{00000000-0008-0000-0C00-000054441000}"/>
            </a:ext>
          </a:extLst>
        </xdr:cNvPr>
        <xdr:cNvSpPr>
          <a:spLocks noChangeShapeType="1"/>
        </xdr:cNvSpPr>
      </xdr:nvSpPr>
      <xdr:spPr bwMode="auto">
        <a:xfrm>
          <a:off x="2053590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66675</xdr:colOff>
      <xdr:row>26</xdr:row>
      <xdr:rowOff>9525</xdr:rowOff>
    </xdr:from>
    <xdr:to>
      <xdr:col>31</xdr:col>
      <xdr:colOff>66675</xdr:colOff>
      <xdr:row>29</xdr:row>
      <xdr:rowOff>19050</xdr:rowOff>
    </xdr:to>
    <xdr:sp macro="" textlink="">
      <xdr:nvSpPr>
        <xdr:cNvPr id="1066069" name="Line 35">
          <a:extLst>
            <a:ext uri="{FF2B5EF4-FFF2-40B4-BE49-F238E27FC236}">
              <a16:creationId xmlns:a16="http://schemas.microsoft.com/office/drawing/2014/main" id="{00000000-0008-0000-0C00-000055441000}"/>
            </a:ext>
          </a:extLst>
        </xdr:cNvPr>
        <xdr:cNvSpPr>
          <a:spLocks noChangeShapeType="1"/>
        </xdr:cNvSpPr>
      </xdr:nvSpPr>
      <xdr:spPr bwMode="auto">
        <a:xfrm>
          <a:off x="2060257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9525</xdr:colOff>
      <xdr:row>29</xdr:row>
      <xdr:rowOff>0</xdr:rowOff>
    </xdr:from>
    <xdr:to>
      <xdr:col>31</xdr:col>
      <xdr:colOff>66675</xdr:colOff>
      <xdr:row>29</xdr:row>
      <xdr:rowOff>9525</xdr:rowOff>
    </xdr:to>
    <xdr:sp macro="" textlink="">
      <xdr:nvSpPr>
        <xdr:cNvPr id="1066070" name="Line 36">
          <a:extLst>
            <a:ext uri="{FF2B5EF4-FFF2-40B4-BE49-F238E27FC236}">
              <a16:creationId xmlns:a16="http://schemas.microsoft.com/office/drawing/2014/main" id="{00000000-0008-0000-0C00-000056441000}"/>
            </a:ext>
          </a:extLst>
        </xdr:cNvPr>
        <xdr:cNvSpPr>
          <a:spLocks noChangeShapeType="1"/>
        </xdr:cNvSpPr>
      </xdr:nvSpPr>
      <xdr:spPr bwMode="auto">
        <a:xfrm flipV="1">
          <a:off x="2054542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32</xdr:row>
      <xdr:rowOff>0</xdr:rowOff>
    </xdr:from>
    <xdr:to>
      <xdr:col>31</xdr:col>
      <xdr:colOff>76200</xdr:colOff>
      <xdr:row>32</xdr:row>
      <xdr:rowOff>9525</xdr:rowOff>
    </xdr:to>
    <xdr:sp macro="" textlink="">
      <xdr:nvSpPr>
        <xdr:cNvPr id="1066071" name="Line 37">
          <a:extLst>
            <a:ext uri="{FF2B5EF4-FFF2-40B4-BE49-F238E27FC236}">
              <a16:creationId xmlns:a16="http://schemas.microsoft.com/office/drawing/2014/main" id="{00000000-0008-0000-0C00-000057441000}"/>
            </a:ext>
          </a:extLst>
        </xdr:cNvPr>
        <xdr:cNvSpPr>
          <a:spLocks noChangeShapeType="1"/>
        </xdr:cNvSpPr>
      </xdr:nvSpPr>
      <xdr:spPr bwMode="auto">
        <a:xfrm>
          <a:off x="205359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66675</xdr:colOff>
      <xdr:row>32</xdr:row>
      <xdr:rowOff>9525</xdr:rowOff>
    </xdr:from>
    <xdr:to>
      <xdr:col>31</xdr:col>
      <xdr:colOff>66675</xdr:colOff>
      <xdr:row>35</xdr:row>
      <xdr:rowOff>19050</xdr:rowOff>
    </xdr:to>
    <xdr:sp macro="" textlink="">
      <xdr:nvSpPr>
        <xdr:cNvPr id="1066072" name="Line 38">
          <a:extLst>
            <a:ext uri="{FF2B5EF4-FFF2-40B4-BE49-F238E27FC236}">
              <a16:creationId xmlns:a16="http://schemas.microsoft.com/office/drawing/2014/main" id="{00000000-0008-0000-0C00-000058441000}"/>
            </a:ext>
          </a:extLst>
        </xdr:cNvPr>
        <xdr:cNvSpPr>
          <a:spLocks noChangeShapeType="1"/>
        </xdr:cNvSpPr>
      </xdr:nvSpPr>
      <xdr:spPr bwMode="auto">
        <a:xfrm>
          <a:off x="2060257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9525</xdr:colOff>
      <xdr:row>35</xdr:row>
      <xdr:rowOff>0</xdr:rowOff>
    </xdr:from>
    <xdr:to>
      <xdr:col>31</xdr:col>
      <xdr:colOff>66675</xdr:colOff>
      <xdr:row>35</xdr:row>
      <xdr:rowOff>9525</xdr:rowOff>
    </xdr:to>
    <xdr:sp macro="" textlink="">
      <xdr:nvSpPr>
        <xdr:cNvPr id="1066073" name="Line 39">
          <a:extLst>
            <a:ext uri="{FF2B5EF4-FFF2-40B4-BE49-F238E27FC236}">
              <a16:creationId xmlns:a16="http://schemas.microsoft.com/office/drawing/2014/main" id="{00000000-0008-0000-0C00-000059441000}"/>
            </a:ext>
          </a:extLst>
        </xdr:cNvPr>
        <xdr:cNvSpPr>
          <a:spLocks noChangeShapeType="1"/>
        </xdr:cNvSpPr>
      </xdr:nvSpPr>
      <xdr:spPr bwMode="auto">
        <a:xfrm flipV="1">
          <a:off x="205454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32</xdr:row>
      <xdr:rowOff>0</xdr:rowOff>
    </xdr:from>
    <xdr:to>
      <xdr:col>34</xdr:col>
      <xdr:colOff>76200</xdr:colOff>
      <xdr:row>32</xdr:row>
      <xdr:rowOff>9525</xdr:rowOff>
    </xdr:to>
    <xdr:sp macro="" textlink="">
      <xdr:nvSpPr>
        <xdr:cNvPr id="1066074" name="Line 40">
          <a:extLst>
            <a:ext uri="{FF2B5EF4-FFF2-40B4-BE49-F238E27FC236}">
              <a16:creationId xmlns:a16="http://schemas.microsoft.com/office/drawing/2014/main" id="{00000000-0008-0000-0C00-00005A441000}"/>
            </a:ext>
          </a:extLst>
        </xdr:cNvPr>
        <xdr:cNvSpPr>
          <a:spLocks noChangeShapeType="1"/>
        </xdr:cNvSpPr>
      </xdr:nvSpPr>
      <xdr:spPr bwMode="auto">
        <a:xfrm>
          <a:off x="2269807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66675</xdr:colOff>
      <xdr:row>32</xdr:row>
      <xdr:rowOff>9525</xdr:rowOff>
    </xdr:from>
    <xdr:to>
      <xdr:col>34</xdr:col>
      <xdr:colOff>66675</xdr:colOff>
      <xdr:row>35</xdr:row>
      <xdr:rowOff>19050</xdr:rowOff>
    </xdr:to>
    <xdr:sp macro="" textlink="">
      <xdr:nvSpPr>
        <xdr:cNvPr id="1066075" name="Line 41">
          <a:extLst>
            <a:ext uri="{FF2B5EF4-FFF2-40B4-BE49-F238E27FC236}">
              <a16:creationId xmlns:a16="http://schemas.microsoft.com/office/drawing/2014/main" id="{00000000-0008-0000-0C00-00005B441000}"/>
            </a:ext>
          </a:extLst>
        </xdr:cNvPr>
        <xdr:cNvSpPr>
          <a:spLocks noChangeShapeType="1"/>
        </xdr:cNvSpPr>
      </xdr:nvSpPr>
      <xdr:spPr bwMode="auto">
        <a:xfrm>
          <a:off x="2276475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35</xdr:row>
      <xdr:rowOff>0</xdr:rowOff>
    </xdr:from>
    <xdr:to>
      <xdr:col>34</xdr:col>
      <xdr:colOff>66675</xdr:colOff>
      <xdr:row>35</xdr:row>
      <xdr:rowOff>9525</xdr:rowOff>
    </xdr:to>
    <xdr:sp macro="" textlink="">
      <xdr:nvSpPr>
        <xdr:cNvPr id="1066076" name="Line 42">
          <a:extLst>
            <a:ext uri="{FF2B5EF4-FFF2-40B4-BE49-F238E27FC236}">
              <a16:creationId xmlns:a16="http://schemas.microsoft.com/office/drawing/2014/main" id="{00000000-0008-0000-0C00-00005C441000}"/>
            </a:ext>
          </a:extLst>
        </xdr:cNvPr>
        <xdr:cNvSpPr>
          <a:spLocks noChangeShapeType="1"/>
        </xdr:cNvSpPr>
      </xdr:nvSpPr>
      <xdr:spPr bwMode="auto">
        <a:xfrm flipV="1">
          <a:off x="2270760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32</xdr:row>
      <xdr:rowOff>0</xdr:rowOff>
    </xdr:from>
    <xdr:to>
      <xdr:col>37</xdr:col>
      <xdr:colOff>76200</xdr:colOff>
      <xdr:row>32</xdr:row>
      <xdr:rowOff>9525</xdr:rowOff>
    </xdr:to>
    <xdr:sp macro="" textlink="">
      <xdr:nvSpPr>
        <xdr:cNvPr id="1066077" name="Line 43">
          <a:extLst>
            <a:ext uri="{FF2B5EF4-FFF2-40B4-BE49-F238E27FC236}">
              <a16:creationId xmlns:a16="http://schemas.microsoft.com/office/drawing/2014/main" id="{00000000-0008-0000-0C00-00005D441000}"/>
            </a:ext>
          </a:extLst>
        </xdr:cNvPr>
        <xdr:cNvSpPr>
          <a:spLocks noChangeShapeType="1"/>
        </xdr:cNvSpPr>
      </xdr:nvSpPr>
      <xdr:spPr bwMode="auto">
        <a:xfrm>
          <a:off x="2479357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32</xdr:row>
      <xdr:rowOff>9525</xdr:rowOff>
    </xdr:from>
    <xdr:to>
      <xdr:col>37</xdr:col>
      <xdr:colOff>66675</xdr:colOff>
      <xdr:row>35</xdr:row>
      <xdr:rowOff>19050</xdr:rowOff>
    </xdr:to>
    <xdr:sp macro="" textlink="">
      <xdr:nvSpPr>
        <xdr:cNvPr id="1066078" name="Line 44">
          <a:extLst>
            <a:ext uri="{FF2B5EF4-FFF2-40B4-BE49-F238E27FC236}">
              <a16:creationId xmlns:a16="http://schemas.microsoft.com/office/drawing/2014/main" id="{00000000-0008-0000-0C00-00005E441000}"/>
            </a:ext>
          </a:extLst>
        </xdr:cNvPr>
        <xdr:cNvSpPr>
          <a:spLocks noChangeShapeType="1"/>
        </xdr:cNvSpPr>
      </xdr:nvSpPr>
      <xdr:spPr bwMode="auto">
        <a:xfrm>
          <a:off x="2486025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35</xdr:row>
      <xdr:rowOff>0</xdr:rowOff>
    </xdr:from>
    <xdr:to>
      <xdr:col>37</xdr:col>
      <xdr:colOff>66675</xdr:colOff>
      <xdr:row>35</xdr:row>
      <xdr:rowOff>9525</xdr:rowOff>
    </xdr:to>
    <xdr:sp macro="" textlink="">
      <xdr:nvSpPr>
        <xdr:cNvPr id="1066079" name="Line 45">
          <a:extLst>
            <a:ext uri="{FF2B5EF4-FFF2-40B4-BE49-F238E27FC236}">
              <a16:creationId xmlns:a16="http://schemas.microsoft.com/office/drawing/2014/main" id="{00000000-0008-0000-0C00-00005F441000}"/>
            </a:ext>
          </a:extLst>
        </xdr:cNvPr>
        <xdr:cNvSpPr>
          <a:spLocks noChangeShapeType="1"/>
        </xdr:cNvSpPr>
      </xdr:nvSpPr>
      <xdr:spPr bwMode="auto">
        <a:xfrm flipV="1">
          <a:off x="2480310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38</xdr:row>
      <xdr:rowOff>0</xdr:rowOff>
    </xdr:from>
    <xdr:to>
      <xdr:col>31</xdr:col>
      <xdr:colOff>76200</xdr:colOff>
      <xdr:row>38</xdr:row>
      <xdr:rowOff>9525</xdr:rowOff>
    </xdr:to>
    <xdr:sp macro="" textlink="">
      <xdr:nvSpPr>
        <xdr:cNvPr id="1066080" name="Line 46">
          <a:extLst>
            <a:ext uri="{FF2B5EF4-FFF2-40B4-BE49-F238E27FC236}">
              <a16:creationId xmlns:a16="http://schemas.microsoft.com/office/drawing/2014/main" id="{00000000-0008-0000-0C00-000060441000}"/>
            </a:ext>
          </a:extLst>
        </xdr:cNvPr>
        <xdr:cNvSpPr>
          <a:spLocks noChangeShapeType="1"/>
        </xdr:cNvSpPr>
      </xdr:nvSpPr>
      <xdr:spPr bwMode="auto">
        <a:xfrm>
          <a:off x="2053590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9525</xdr:colOff>
      <xdr:row>41</xdr:row>
      <xdr:rowOff>0</xdr:rowOff>
    </xdr:from>
    <xdr:to>
      <xdr:col>31</xdr:col>
      <xdr:colOff>66675</xdr:colOff>
      <xdr:row>41</xdr:row>
      <xdr:rowOff>9525</xdr:rowOff>
    </xdr:to>
    <xdr:sp macro="" textlink="">
      <xdr:nvSpPr>
        <xdr:cNvPr id="1066081" name="Line 48">
          <a:extLst>
            <a:ext uri="{FF2B5EF4-FFF2-40B4-BE49-F238E27FC236}">
              <a16:creationId xmlns:a16="http://schemas.microsoft.com/office/drawing/2014/main" id="{00000000-0008-0000-0C00-000061441000}"/>
            </a:ext>
          </a:extLst>
        </xdr:cNvPr>
        <xdr:cNvSpPr>
          <a:spLocks noChangeShapeType="1"/>
        </xdr:cNvSpPr>
      </xdr:nvSpPr>
      <xdr:spPr bwMode="auto">
        <a:xfrm flipV="1">
          <a:off x="2054542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38</xdr:row>
      <xdr:rowOff>0</xdr:rowOff>
    </xdr:from>
    <xdr:to>
      <xdr:col>34</xdr:col>
      <xdr:colOff>76200</xdr:colOff>
      <xdr:row>38</xdr:row>
      <xdr:rowOff>9525</xdr:rowOff>
    </xdr:to>
    <xdr:sp macro="" textlink="">
      <xdr:nvSpPr>
        <xdr:cNvPr id="1066082" name="Line 49">
          <a:extLst>
            <a:ext uri="{FF2B5EF4-FFF2-40B4-BE49-F238E27FC236}">
              <a16:creationId xmlns:a16="http://schemas.microsoft.com/office/drawing/2014/main" id="{00000000-0008-0000-0C00-000062441000}"/>
            </a:ext>
          </a:extLst>
        </xdr:cNvPr>
        <xdr:cNvSpPr>
          <a:spLocks noChangeShapeType="1"/>
        </xdr:cNvSpPr>
      </xdr:nvSpPr>
      <xdr:spPr bwMode="auto">
        <a:xfrm>
          <a:off x="226980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66675</xdr:colOff>
      <xdr:row>38</xdr:row>
      <xdr:rowOff>9525</xdr:rowOff>
    </xdr:from>
    <xdr:to>
      <xdr:col>34</xdr:col>
      <xdr:colOff>66675</xdr:colOff>
      <xdr:row>41</xdr:row>
      <xdr:rowOff>19050</xdr:rowOff>
    </xdr:to>
    <xdr:sp macro="" textlink="">
      <xdr:nvSpPr>
        <xdr:cNvPr id="1066083" name="Line 50">
          <a:extLst>
            <a:ext uri="{FF2B5EF4-FFF2-40B4-BE49-F238E27FC236}">
              <a16:creationId xmlns:a16="http://schemas.microsoft.com/office/drawing/2014/main" id="{00000000-0008-0000-0C00-000063441000}"/>
            </a:ext>
          </a:extLst>
        </xdr:cNvPr>
        <xdr:cNvSpPr>
          <a:spLocks noChangeShapeType="1"/>
        </xdr:cNvSpPr>
      </xdr:nvSpPr>
      <xdr:spPr bwMode="auto">
        <a:xfrm>
          <a:off x="22764750"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41</xdr:row>
      <xdr:rowOff>0</xdr:rowOff>
    </xdr:from>
    <xdr:to>
      <xdr:col>34</xdr:col>
      <xdr:colOff>66675</xdr:colOff>
      <xdr:row>41</xdr:row>
      <xdr:rowOff>9525</xdr:rowOff>
    </xdr:to>
    <xdr:sp macro="" textlink="">
      <xdr:nvSpPr>
        <xdr:cNvPr id="1066084" name="Line 51">
          <a:extLst>
            <a:ext uri="{FF2B5EF4-FFF2-40B4-BE49-F238E27FC236}">
              <a16:creationId xmlns:a16="http://schemas.microsoft.com/office/drawing/2014/main" id="{00000000-0008-0000-0C00-000064441000}"/>
            </a:ext>
          </a:extLst>
        </xdr:cNvPr>
        <xdr:cNvSpPr>
          <a:spLocks noChangeShapeType="1"/>
        </xdr:cNvSpPr>
      </xdr:nvSpPr>
      <xdr:spPr bwMode="auto">
        <a:xfrm flipV="1">
          <a:off x="227076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38</xdr:row>
      <xdr:rowOff>0</xdr:rowOff>
    </xdr:from>
    <xdr:to>
      <xdr:col>37</xdr:col>
      <xdr:colOff>76200</xdr:colOff>
      <xdr:row>38</xdr:row>
      <xdr:rowOff>9525</xdr:rowOff>
    </xdr:to>
    <xdr:sp macro="" textlink="">
      <xdr:nvSpPr>
        <xdr:cNvPr id="1066085" name="Line 52">
          <a:extLst>
            <a:ext uri="{FF2B5EF4-FFF2-40B4-BE49-F238E27FC236}">
              <a16:creationId xmlns:a16="http://schemas.microsoft.com/office/drawing/2014/main" id="{00000000-0008-0000-0C00-000065441000}"/>
            </a:ext>
          </a:extLst>
        </xdr:cNvPr>
        <xdr:cNvSpPr>
          <a:spLocks noChangeShapeType="1"/>
        </xdr:cNvSpPr>
      </xdr:nvSpPr>
      <xdr:spPr bwMode="auto">
        <a:xfrm>
          <a:off x="247935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38</xdr:row>
      <xdr:rowOff>9525</xdr:rowOff>
    </xdr:from>
    <xdr:to>
      <xdr:col>37</xdr:col>
      <xdr:colOff>66675</xdr:colOff>
      <xdr:row>41</xdr:row>
      <xdr:rowOff>19050</xdr:rowOff>
    </xdr:to>
    <xdr:sp macro="" textlink="">
      <xdr:nvSpPr>
        <xdr:cNvPr id="1066086" name="Line 53">
          <a:extLst>
            <a:ext uri="{FF2B5EF4-FFF2-40B4-BE49-F238E27FC236}">
              <a16:creationId xmlns:a16="http://schemas.microsoft.com/office/drawing/2014/main" id="{00000000-0008-0000-0C00-000066441000}"/>
            </a:ext>
          </a:extLst>
        </xdr:cNvPr>
        <xdr:cNvSpPr>
          <a:spLocks noChangeShapeType="1"/>
        </xdr:cNvSpPr>
      </xdr:nvSpPr>
      <xdr:spPr bwMode="auto">
        <a:xfrm>
          <a:off x="24860250"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41</xdr:row>
      <xdr:rowOff>0</xdr:rowOff>
    </xdr:from>
    <xdr:to>
      <xdr:col>37</xdr:col>
      <xdr:colOff>66675</xdr:colOff>
      <xdr:row>41</xdr:row>
      <xdr:rowOff>9525</xdr:rowOff>
    </xdr:to>
    <xdr:sp macro="" textlink="">
      <xdr:nvSpPr>
        <xdr:cNvPr id="1066087" name="Line 54">
          <a:extLst>
            <a:ext uri="{FF2B5EF4-FFF2-40B4-BE49-F238E27FC236}">
              <a16:creationId xmlns:a16="http://schemas.microsoft.com/office/drawing/2014/main" id="{00000000-0008-0000-0C00-000067441000}"/>
            </a:ext>
          </a:extLst>
        </xdr:cNvPr>
        <xdr:cNvSpPr>
          <a:spLocks noChangeShapeType="1"/>
        </xdr:cNvSpPr>
      </xdr:nvSpPr>
      <xdr:spPr bwMode="auto">
        <a:xfrm flipV="1">
          <a:off x="248031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66675</xdr:colOff>
      <xdr:row>8</xdr:row>
      <xdr:rowOff>9525</xdr:rowOff>
    </xdr:from>
    <xdr:to>
      <xdr:col>35</xdr:col>
      <xdr:colOff>0</xdr:colOff>
      <xdr:row>9</xdr:row>
      <xdr:rowOff>66675</xdr:rowOff>
    </xdr:to>
    <xdr:sp macro="" textlink="">
      <xdr:nvSpPr>
        <xdr:cNvPr id="1066088" name="Line 64">
          <a:extLst>
            <a:ext uri="{FF2B5EF4-FFF2-40B4-BE49-F238E27FC236}">
              <a16:creationId xmlns:a16="http://schemas.microsoft.com/office/drawing/2014/main" id="{00000000-0008-0000-0C00-000068441000}"/>
            </a:ext>
          </a:extLst>
        </xdr:cNvPr>
        <xdr:cNvSpPr>
          <a:spLocks noChangeShapeType="1"/>
        </xdr:cNvSpPr>
      </xdr:nvSpPr>
      <xdr:spPr bwMode="auto">
        <a:xfrm flipV="1">
          <a:off x="22764750" y="2057400"/>
          <a:ext cx="342900" cy="2381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66675</xdr:colOff>
      <xdr:row>10</xdr:row>
      <xdr:rowOff>171450</xdr:rowOff>
    </xdr:from>
    <xdr:to>
      <xdr:col>35</xdr:col>
      <xdr:colOff>0</xdr:colOff>
      <xdr:row>15</xdr:row>
      <xdr:rowOff>47625</xdr:rowOff>
    </xdr:to>
    <xdr:sp macro="" textlink="">
      <xdr:nvSpPr>
        <xdr:cNvPr id="1066089" name="Line 65">
          <a:extLst>
            <a:ext uri="{FF2B5EF4-FFF2-40B4-BE49-F238E27FC236}">
              <a16:creationId xmlns:a16="http://schemas.microsoft.com/office/drawing/2014/main" id="{00000000-0008-0000-0C00-000069441000}"/>
            </a:ext>
          </a:extLst>
        </xdr:cNvPr>
        <xdr:cNvSpPr>
          <a:spLocks noChangeShapeType="1"/>
        </xdr:cNvSpPr>
      </xdr:nvSpPr>
      <xdr:spPr bwMode="auto">
        <a:xfrm flipV="1">
          <a:off x="22764750" y="2581275"/>
          <a:ext cx="342900" cy="781050"/>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66675</xdr:colOff>
      <xdr:row>9</xdr:row>
      <xdr:rowOff>76200</xdr:rowOff>
    </xdr:from>
    <xdr:to>
      <xdr:col>35</xdr:col>
      <xdr:colOff>0</xdr:colOff>
      <xdr:row>14</xdr:row>
      <xdr:rowOff>9525</xdr:rowOff>
    </xdr:to>
    <xdr:sp macro="" textlink="">
      <xdr:nvSpPr>
        <xdr:cNvPr id="1066090" name="Line 66">
          <a:extLst>
            <a:ext uri="{FF2B5EF4-FFF2-40B4-BE49-F238E27FC236}">
              <a16:creationId xmlns:a16="http://schemas.microsoft.com/office/drawing/2014/main" id="{00000000-0008-0000-0C00-00006A441000}"/>
            </a:ext>
          </a:extLst>
        </xdr:cNvPr>
        <xdr:cNvSpPr>
          <a:spLocks noChangeShapeType="1"/>
        </xdr:cNvSpPr>
      </xdr:nvSpPr>
      <xdr:spPr bwMode="auto">
        <a:xfrm>
          <a:off x="22764750" y="2305050"/>
          <a:ext cx="342900" cy="8382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0</xdr:colOff>
      <xdr:row>38</xdr:row>
      <xdr:rowOff>0</xdr:rowOff>
    </xdr:from>
    <xdr:to>
      <xdr:col>37</xdr:col>
      <xdr:colOff>76200</xdr:colOff>
      <xdr:row>38</xdr:row>
      <xdr:rowOff>9525</xdr:rowOff>
    </xdr:to>
    <xdr:sp macro="" textlink="">
      <xdr:nvSpPr>
        <xdr:cNvPr id="1066091" name="Line 72">
          <a:extLst>
            <a:ext uri="{FF2B5EF4-FFF2-40B4-BE49-F238E27FC236}">
              <a16:creationId xmlns:a16="http://schemas.microsoft.com/office/drawing/2014/main" id="{00000000-0008-0000-0C00-00006B441000}"/>
            </a:ext>
          </a:extLst>
        </xdr:cNvPr>
        <xdr:cNvSpPr>
          <a:spLocks noChangeShapeType="1"/>
        </xdr:cNvSpPr>
      </xdr:nvSpPr>
      <xdr:spPr bwMode="auto">
        <a:xfrm>
          <a:off x="247935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38</xdr:row>
      <xdr:rowOff>9525</xdr:rowOff>
    </xdr:from>
    <xdr:to>
      <xdr:col>37</xdr:col>
      <xdr:colOff>66675</xdr:colOff>
      <xdr:row>41</xdr:row>
      <xdr:rowOff>19050</xdr:rowOff>
    </xdr:to>
    <xdr:sp macro="" textlink="">
      <xdr:nvSpPr>
        <xdr:cNvPr id="1066092" name="Line 73">
          <a:extLst>
            <a:ext uri="{FF2B5EF4-FFF2-40B4-BE49-F238E27FC236}">
              <a16:creationId xmlns:a16="http://schemas.microsoft.com/office/drawing/2014/main" id="{00000000-0008-0000-0C00-00006C441000}"/>
            </a:ext>
          </a:extLst>
        </xdr:cNvPr>
        <xdr:cNvSpPr>
          <a:spLocks noChangeShapeType="1"/>
        </xdr:cNvSpPr>
      </xdr:nvSpPr>
      <xdr:spPr bwMode="auto">
        <a:xfrm>
          <a:off x="24860250"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41</xdr:row>
      <xdr:rowOff>0</xdr:rowOff>
    </xdr:from>
    <xdr:to>
      <xdr:col>37</xdr:col>
      <xdr:colOff>66675</xdr:colOff>
      <xdr:row>41</xdr:row>
      <xdr:rowOff>9525</xdr:rowOff>
    </xdr:to>
    <xdr:sp macro="" textlink="">
      <xdr:nvSpPr>
        <xdr:cNvPr id="1066093" name="Line 74">
          <a:extLst>
            <a:ext uri="{FF2B5EF4-FFF2-40B4-BE49-F238E27FC236}">
              <a16:creationId xmlns:a16="http://schemas.microsoft.com/office/drawing/2014/main" id="{00000000-0008-0000-0C00-00006D441000}"/>
            </a:ext>
          </a:extLst>
        </xdr:cNvPr>
        <xdr:cNvSpPr>
          <a:spLocks noChangeShapeType="1"/>
        </xdr:cNvSpPr>
      </xdr:nvSpPr>
      <xdr:spPr bwMode="auto">
        <a:xfrm flipV="1">
          <a:off x="248031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32</xdr:row>
      <xdr:rowOff>0</xdr:rowOff>
    </xdr:from>
    <xdr:to>
      <xdr:col>37</xdr:col>
      <xdr:colOff>76200</xdr:colOff>
      <xdr:row>32</xdr:row>
      <xdr:rowOff>9525</xdr:rowOff>
    </xdr:to>
    <xdr:sp macro="" textlink="">
      <xdr:nvSpPr>
        <xdr:cNvPr id="1066094" name="Line 77">
          <a:extLst>
            <a:ext uri="{FF2B5EF4-FFF2-40B4-BE49-F238E27FC236}">
              <a16:creationId xmlns:a16="http://schemas.microsoft.com/office/drawing/2014/main" id="{00000000-0008-0000-0C00-00006E441000}"/>
            </a:ext>
          </a:extLst>
        </xdr:cNvPr>
        <xdr:cNvSpPr>
          <a:spLocks noChangeShapeType="1"/>
        </xdr:cNvSpPr>
      </xdr:nvSpPr>
      <xdr:spPr bwMode="auto">
        <a:xfrm>
          <a:off x="2479357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32</xdr:row>
      <xdr:rowOff>9525</xdr:rowOff>
    </xdr:from>
    <xdr:to>
      <xdr:col>37</xdr:col>
      <xdr:colOff>66675</xdr:colOff>
      <xdr:row>35</xdr:row>
      <xdr:rowOff>19050</xdr:rowOff>
    </xdr:to>
    <xdr:sp macro="" textlink="">
      <xdr:nvSpPr>
        <xdr:cNvPr id="1066095" name="Line 78">
          <a:extLst>
            <a:ext uri="{FF2B5EF4-FFF2-40B4-BE49-F238E27FC236}">
              <a16:creationId xmlns:a16="http://schemas.microsoft.com/office/drawing/2014/main" id="{00000000-0008-0000-0C00-00006F441000}"/>
            </a:ext>
          </a:extLst>
        </xdr:cNvPr>
        <xdr:cNvSpPr>
          <a:spLocks noChangeShapeType="1"/>
        </xdr:cNvSpPr>
      </xdr:nvSpPr>
      <xdr:spPr bwMode="auto">
        <a:xfrm>
          <a:off x="2486025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35</xdr:row>
      <xdr:rowOff>0</xdr:rowOff>
    </xdr:from>
    <xdr:to>
      <xdr:col>37</xdr:col>
      <xdr:colOff>66675</xdr:colOff>
      <xdr:row>35</xdr:row>
      <xdr:rowOff>9525</xdr:rowOff>
    </xdr:to>
    <xdr:sp macro="" textlink="">
      <xdr:nvSpPr>
        <xdr:cNvPr id="1066096" name="Line 79">
          <a:extLst>
            <a:ext uri="{FF2B5EF4-FFF2-40B4-BE49-F238E27FC236}">
              <a16:creationId xmlns:a16="http://schemas.microsoft.com/office/drawing/2014/main" id="{00000000-0008-0000-0C00-000070441000}"/>
            </a:ext>
          </a:extLst>
        </xdr:cNvPr>
        <xdr:cNvSpPr>
          <a:spLocks noChangeShapeType="1"/>
        </xdr:cNvSpPr>
      </xdr:nvSpPr>
      <xdr:spPr bwMode="auto">
        <a:xfrm flipV="1">
          <a:off x="2480310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76200</xdr:colOff>
      <xdr:row>33</xdr:row>
      <xdr:rowOff>66675</xdr:rowOff>
    </xdr:from>
    <xdr:to>
      <xdr:col>38</xdr:col>
      <xdr:colOff>9525</xdr:colOff>
      <xdr:row>35</xdr:row>
      <xdr:rowOff>19050</xdr:rowOff>
    </xdr:to>
    <xdr:sp macro="" textlink="">
      <xdr:nvSpPr>
        <xdr:cNvPr id="1066097" name="Line 81">
          <a:extLst>
            <a:ext uri="{FF2B5EF4-FFF2-40B4-BE49-F238E27FC236}">
              <a16:creationId xmlns:a16="http://schemas.microsoft.com/office/drawing/2014/main" id="{00000000-0008-0000-0C00-000071441000}"/>
            </a:ext>
          </a:extLst>
        </xdr:cNvPr>
        <xdr:cNvSpPr>
          <a:spLocks noChangeShapeType="1"/>
        </xdr:cNvSpPr>
      </xdr:nvSpPr>
      <xdr:spPr bwMode="auto">
        <a:xfrm>
          <a:off x="24869775" y="66389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0</xdr:colOff>
      <xdr:row>38</xdr:row>
      <xdr:rowOff>0</xdr:rowOff>
    </xdr:from>
    <xdr:to>
      <xdr:col>37</xdr:col>
      <xdr:colOff>76200</xdr:colOff>
      <xdr:row>38</xdr:row>
      <xdr:rowOff>9525</xdr:rowOff>
    </xdr:to>
    <xdr:sp macro="" textlink="">
      <xdr:nvSpPr>
        <xdr:cNvPr id="1066098" name="Line 86">
          <a:extLst>
            <a:ext uri="{FF2B5EF4-FFF2-40B4-BE49-F238E27FC236}">
              <a16:creationId xmlns:a16="http://schemas.microsoft.com/office/drawing/2014/main" id="{00000000-0008-0000-0C00-000072441000}"/>
            </a:ext>
          </a:extLst>
        </xdr:cNvPr>
        <xdr:cNvSpPr>
          <a:spLocks noChangeShapeType="1"/>
        </xdr:cNvSpPr>
      </xdr:nvSpPr>
      <xdr:spPr bwMode="auto">
        <a:xfrm>
          <a:off x="247935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38</xdr:row>
      <xdr:rowOff>9525</xdr:rowOff>
    </xdr:from>
    <xdr:to>
      <xdr:col>37</xdr:col>
      <xdr:colOff>76200</xdr:colOff>
      <xdr:row>41</xdr:row>
      <xdr:rowOff>0</xdr:rowOff>
    </xdr:to>
    <xdr:sp macro="" textlink="">
      <xdr:nvSpPr>
        <xdr:cNvPr id="1066099" name="Line 87">
          <a:extLst>
            <a:ext uri="{FF2B5EF4-FFF2-40B4-BE49-F238E27FC236}">
              <a16:creationId xmlns:a16="http://schemas.microsoft.com/office/drawing/2014/main" id="{00000000-0008-0000-0C00-000073441000}"/>
            </a:ext>
          </a:extLst>
        </xdr:cNvPr>
        <xdr:cNvSpPr>
          <a:spLocks noChangeShapeType="1"/>
        </xdr:cNvSpPr>
      </xdr:nvSpPr>
      <xdr:spPr bwMode="auto">
        <a:xfrm>
          <a:off x="24860250" y="7486650"/>
          <a:ext cx="9525"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41</xdr:row>
      <xdr:rowOff>0</xdr:rowOff>
    </xdr:from>
    <xdr:to>
      <xdr:col>37</xdr:col>
      <xdr:colOff>66675</xdr:colOff>
      <xdr:row>41</xdr:row>
      <xdr:rowOff>9525</xdr:rowOff>
    </xdr:to>
    <xdr:sp macro="" textlink="">
      <xdr:nvSpPr>
        <xdr:cNvPr id="1066100" name="Line 88">
          <a:extLst>
            <a:ext uri="{FF2B5EF4-FFF2-40B4-BE49-F238E27FC236}">
              <a16:creationId xmlns:a16="http://schemas.microsoft.com/office/drawing/2014/main" id="{00000000-0008-0000-0C00-000074441000}"/>
            </a:ext>
          </a:extLst>
        </xdr:cNvPr>
        <xdr:cNvSpPr>
          <a:spLocks noChangeShapeType="1"/>
        </xdr:cNvSpPr>
      </xdr:nvSpPr>
      <xdr:spPr bwMode="auto">
        <a:xfrm flipV="1">
          <a:off x="248031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37</xdr:row>
      <xdr:rowOff>161925</xdr:rowOff>
    </xdr:from>
    <xdr:to>
      <xdr:col>37</xdr:col>
      <xdr:colOff>400050</xdr:colOff>
      <xdr:row>39</xdr:row>
      <xdr:rowOff>57150</xdr:rowOff>
    </xdr:to>
    <xdr:sp macro="" textlink="">
      <xdr:nvSpPr>
        <xdr:cNvPr id="1066101" name="Line 89">
          <a:extLst>
            <a:ext uri="{FF2B5EF4-FFF2-40B4-BE49-F238E27FC236}">
              <a16:creationId xmlns:a16="http://schemas.microsoft.com/office/drawing/2014/main" id="{00000000-0008-0000-0C00-000075441000}"/>
            </a:ext>
          </a:extLst>
        </xdr:cNvPr>
        <xdr:cNvSpPr>
          <a:spLocks noChangeShapeType="1"/>
        </xdr:cNvSpPr>
      </xdr:nvSpPr>
      <xdr:spPr bwMode="auto">
        <a:xfrm flipV="1">
          <a:off x="24860250" y="7458075"/>
          <a:ext cx="333375" cy="2571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0</xdr:colOff>
      <xdr:row>32</xdr:row>
      <xdr:rowOff>0</xdr:rowOff>
    </xdr:from>
    <xdr:to>
      <xdr:col>37</xdr:col>
      <xdr:colOff>76200</xdr:colOff>
      <xdr:row>32</xdr:row>
      <xdr:rowOff>9525</xdr:rowOff>
    </xdr:to>
    <xdr:sp macro="" textlink="">
      <xdr:nvSpPr>
        <xdr:cNvPr id="1066102" name="Line 90">
          <a:extLst>
            <a:ext uri="{FF2B5EF4-FFF2-40B4-BE49-F238E27FC236}">
              <a16:creationId xmlns:a16="http://schemas.microsoft.com/office/drawing/2014/main" id="{00000000-0008-0000-0C00-000076441000}"/>
            </a:ext>
          </a:extLst>
        </xdr:cNvPr>
        <xdr:cNvSpPr>
          <a:spLocks noChangeShapeType="1"/>
        </xdr:cNvSpPr>
      </xdr:nvSpPr>
      <xdr:spPr bwMode="auto">
        <a:xfrm>
          <a:off x="2479357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32</xdr:row>
      <xdr:rowOff>9525</xdr:rowOff>
    </xdr:from>
    <xdr:to>
      <xdr:col>37</xdr:col>
      <xdr:colOff>66675</xdr:colOff>
      <xdr:row>35</xdr:row>
      <xdr:rowOff>19050</xdr:rowOff>
    </xdr:to>
    <xdr:sp macro="" textlink="">
      <xdr:nvSpPr>
        <xdr:cNvPr id="1066103" name="Line 91">
          <a:extLst>
            <a:ext uri="{FF2B5EF4-FFF2-40B4-BE49-F238E27FC236}">
              <a16:creationId xmlns:a16="http://schemas.microsoft.com/office/drawing/2014/main" id="{00000000-0008-0000-0C00-000077441000}"/>
            </a:ext>
          </a:extLst>
        </xdr:cNvPr>
        <xdr:cNvSpPr>
          <a:spLocks noChangeShapeType="1"/>
        </xdr:cNvSpPr>
      </xdr:nvSpPr>
      <xdr:spPr bwMode="auto">
        <a:xfrm>
          <a:off x="2486025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35</xdr:row>
      <xdr:rowOff>0</xdr:rowOff>
    </xdr:from>
    <xdr:to>
      <xdr:col>37</xdr:col>
      <xdr:colOff>66675</xdr:colOff>
      <xdr:row>35</xdr:row>
      <xdr:rowOff>9525</xdr:rowOff>
    </xdr:to>
    <xdr:sp macro="" textlink="">
      <xdr:nvSpPr>
        <xdr:cNvPr id="1066104" name="Line 92">
          <a:extLst>
            <a:ext uri="{FF2B5EF4-FFF2-40B4-BE49-F238E27FC236}">
              <a16:creationId xmlns:a16="http://schemas.microsoft.com/office/drawing/2014/main" id="{00000000-0008-0000-0C00-000078441000}"/>
            </a:ext>
          </a:extLst>
        </xdr:cNvPr>
        <xdr:cNvSpPr>
          <a:spLocks noChangeShapeType="1"/>
        </xdr:cNvSpPr>
      </xdr:nvSpPr>
      <xdr:spPr bwMode="auto">
        <a:xfrm flipV="1">
          <a:off x="2480310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31</xdr:row>
      <xdr:rowOff>161925</xdr:rowOff>
    </xdr:from>
    <xdr:to>
      <xdr:col>38</xdr:col>
      <xdr:colOff>0</xdr:colOff>
      <xdr:row>33</xdr:row>
      <xdr:rowOff>47625</xdr:rowOff>
    </xdr:to>
    <xdr:sp macro="" textlink="">
      <xdr:nvSpPr>
        <xdr:cNvPr id="1066105" name="Line 93">
          <a:extLst>
            <a:ext uri="{FF2B5EF4-FFF2-40B4-BE49-F238E27FC236}">
              <a16:creationId xmlns:a16="http://schemas.microsoft.com/office/drawing/2014/main" id="{00000000-0008-0000-0C00-000079441000}"/>
            </a:ext>
          </a:extLst>
        </xdr:cNvPr>
        <xdr:cNvSpPr>
          <a:spLocks noChangeShapeType="1"/>
        </xdr:cNvSpPr>
      </xdr:nvSpPr>
      <xdr:spPr bwMode="auto">
        <a:xfrm flipV="1">
          <a:off x="24860250" y="6372225"/>
          <a:ext cx="342900"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0</xdr:colOff>
      <xdr:row>26</xdr:row>
      <xdr:rowOff>0</xdr:rowOff>
    </xdr:from>
    <xdr:to>
      <xdr:col>37</xdr:col>
      <xdr:colOff>76200</xdr:colOff>
      <xdr:row>26</xdr:row>
      <xdr:rowOff>9525</xdr:rowOff>
    </xdr:to>
    <xdr:sp macro="" textlink="">
      <xdr:nvSpPr>
        <xdr:cNvPr id="1066106" name="Line 94">
          <a:extLst>
            <a:ext uri="{FF2B5EF4-FFF2-40B4-BE49-F238E27FC236}">
              <a16:creationId xmlns:a16="http://schemas.microsoft.com/office/drawing/2014/main" id="{00000000-0008-0000-0C00-00007A441000}"/>
            </a:ext>
          </a:extLst>
        </xdr:cNvPr>
        <xdr:cNvSpPr>
          <a:spLocks noChangeShapeType="1"/>
        </xdr:cNvSpPr>
      </xdr:nvSpPr>
      <xdr:spPr bwMode="auto">
        <a:xfrm>
          <a:off x="2479357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26</xdr:row>
      <xdr:rowOff>9525</xdr:rowOff>
    </xdr:from>
    <xdr:to>
      <xdr:col>37</xdr:col>
      <xdr:colOff>66675</xdr:colOff>
      <xdr:row>29</xdr:row>
      <xdr:rowOff>19050</xdr:rowOff>
    </xdr:to>
    <xdr:sp macro="" textlink="">
      <xdr:nvSpPr>
        <xdr:cNvPr id="1066107" name="Line 95">
          <a:extLst>
            <a:ext uri="{FF2B5EF4-FFF2-40B4-BE49-F238E27FC236}">
              <a16:creationId xmlns:a16="http://schemas.microsoft.com/office/drawing/2014/main" id="{00000000-0008-0000-0C00-00007B441000}"/>
            </a:ext>
          </a:extLst>
        </xdr:cNvPr>
        <xdr:cNvSpPr>
          <a:spLocks noChangeShapeType="1"/>
        </xdr:cNvSpPr>
      </xdr:nvSpPr>
      <xdr:spPr bwMode="auto">
        <a:xfrm>
          <a:off x="2486025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29</xdr:row>
      <xdr:rowOff>0</xdr:rowOff>
    </xdr:from>
    <xdr:to>
      <xdr:col>37</xdr:col>
      <xdr:colOff>66675</xdr:colOff>
      <xdr:row>29</xdr:row>
      <xdr:rowOff>9525</xdr:rowOff>
    </xdr:to>
    <xdr:sp macro="" textlink="">
      <xdr:nvSpPr>
        <xdr:cNvPr id="1066108" name="Line 96">
          <a:extLst>
            <a:ext uri="{FF2B5EF4-FFF2-40B4-BE49-F238E27FC236}">
              <a16:creationId xmlns:a16="http://schemas.microsoft.com/office/drawing/2014/main" id="{00000000-0008-0000-0C00-00007C441000}"/>
            </a:ext>
          </a:extLst>
        </xdr:cNvPr>
        <xdr:cNvSpPr>
          <a:spLocks noChangeShapeType="1"/>
        </xdr:cNvSpPr>
      </xdr:nvSpPr>
      <xdr:spPr bwMode="auto">
        <a:xfrm flipV="1">
          <a:off x="2480310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76200</xdr:colOff>
      <xdr:row>25</xdr:row>
      <xdr:rowOff>171450</xdr:rowOff>
    </xdr:from>
    <xdr:to>
      <xdr:col>38</xdr:col>
      <xdr:colOff>0</xdr:colOff>
      <xdr:row>27</xdr:row>
      <xdr:rowOff>47625</xdr:rowOff>
    </xdr:to>
    <xdr:sp macro="" textlink="">
      <xdr:nvSpPr>
        <xdr:cNvPr id="1066109" name="Line 97">
          <a:extLst>
            <a:ext uri="{FF2B5EF4-FFF2-40B4-BE49-F238E27FC236}">
              <a16:creationId xmlns:a16="http://schemas.microsoft.com/office/drawing/2014/main" id="{00000000-0008-0000-0C00-00007D441000}"/>
            </a:ext>
          </a:extLst>
        </xdr:cNvPr>
        <xdr:cNvSpPr>
          <a:spLocks noChangeShapeType="1"/>
        </xdr:cNvSpPr>
      </xdr:nvSpPr>
      <xdr:spPr bwMode="auto">
        <a:xfrm flipV="1">
          <a:off x="24869775" y="5295900"/>
          <a:ext cx="333375"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76200</xdr:colOff>
      <xdr:row>27</xdr:row>
      <xdr:rowOff>66675</xdr:rowOff>
    </xdr:from>
    <xdr:to>
      <xdr:col>38</xdr:col>
      <xdr:colOff>0</xdr:colOff>
      <xdr:row>29</xdr:row>
      <xdr:rowOff>28575</xdr:rowOff>
    </xdr:to>
    <xdr:sp macro="" textlink="">
      <xdr:nvSpPr>
        <xdr:cNvPr id="1066110" name="Line 98">
          <a:extLst>
            <a:ext uri="{FF2B5EF4-FFF2-40B4-BE49-F238E27FC236}">
              <a16:creationId xmlns:a16="http://schemas.microsoft.com/office/drawing/2014/main" id="{00000000-0008-0000-0C00-00007E441000}"/>
            </a:ext>
          </a:extLst>
        </xdr:cNvPr>
        <xdr:cNvSpPr>
          <a:spLocks noChangeShapeType="1"/>
        </xdr:cNvSpPr>
      </xdr:nvSpPr>
      <xdr:spPr bwMode="auto">
        <a:xfrm>
          <a:off x="24869775" y="5553075"/>
          <a:ext cx="333375" cy="3238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0</xdr:colOff>
      <xdr:row>8</xdr:row>
      <xdr:rowOff>0</xdr:rowOff>
    </xdr:from>
    <xdr:to>
      <xdr:col>37</xdr:col>
      <xdr:colOff>76200</xdr:colOff>
      <xdr:row>8</xdr:row>
      <xdr:rowOff>9525</xdr:rowOff>
    </xdr:to>
    <xdr:sp macro="" textlink="">
      <xdr:nvSpPr>
        <xdr:cNvPr id="1066111" name="Line 99">
          <a:extLst>
            <a:ext uri="{FF2B5EF4-FFF2-40B4-BE49-F238E27FC236}">
              <a16:creationId xmlns:a16="http://schemas.microsoft.com/office/drawing/2014/main" id="{00000000-0008-0000-0C00-00007F441000}"/>
            </a:ext>
          </a:extLst>
        </xdr:cNvPr>
        <xdr:cNvSpPr>
          <a:spLocks noChangeShapeType="1"/>
        </xdr:cNvSpPr>
      </xdr:nvSpPr>
      <xdr:spPr bwMode="auto">
        <a:xfrm>
          <a:off x="2479357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8</xdr:row>
      <xdr:rowOff>9525</xdr:rowOff>
    </xdr:from>
    <xdr:to>
      <xdr:col>37</xdr:col>
      <xdr:colOff>66675</xdr:colOff>
      <xdr:row>11</xdr:row>
      <xdr:rowOff>19050</xdr:rowOff>
    </xdr:to>
    <xdr:sp macro="" textlink="">
      <xdr:nvSpPr>
        <xdr:cNvPr id="1066112" name="Line 100">
          <a:extLst>
            <a:ext uri="{FF2B5EF4-FFF2-40B4-BE49-F238E27FC236}">
              <a16:creationId xmlns:a16="http://schemas.microsoft.com/office/drawing/2014/main" id="{00000000-0008-0000-0C00-000080441000}"/>
            </a:ext>
          </a:extLst>
        </xdr:cNvPr>
        <xdr:cNvSpPr>
          <a:spLocks noChangeShapeType="1"/>
        </xdr:cNvSpPr>
      </xdr:nvSpPr>
      <xdr:spPr bwMode="auto">
        <a:xfrm>
          <a:off x="2486025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11</xdr:row>
      <xdr:rowOff>0</xdr:rowOff>
    </xdr:from>
    <xdr:to>
      <xdr:col>37</xdr:col>
      <xdr:colOff>66675</xdr:colOff>
      <xdr:row>11</xdr:row>
      <xdr:rowOff>9525</xdr:rowOff>
    </xdr:to>
    <xdr:sp macro="" textlink="">
      <xdr:nvSpPr>
        <xdr:cNvPr id="1066113" name="Line 101">
          <a:extLst>
            <a:ext uri="{FF2B5EF4-FFF2-40B4-BE49-F238E27FC236}">
              <a16:creationId xmlns:a16="http://schemas.microsoft.com/office/drawing/2014/main" id="{00000000-0008-0000-0C00-000081441000}"/>
            </a:ext>
          </a:extLst>
        </xdr:cNvPr>
        <xdr:cNvSpPr>
          <a:spLocks noChangeShapeType="1"/>
        </xdr:cNvSpPr>
      </xdr:nvSpPr>
      <xdr:spPr bwMode="auto">
        <a:xfrm flipV="1">
          <a:off x="2480310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14</xdr:row>
      <xdr:rowOff>0</xdr:rowOff>
    </xdr:from>
    <xdr:to>
      <xdr:col>37</xdr:col>
      <xdr:colOff>76200</xdr:colOff>
      <xdr:row>14</xdr:row>
      <xdr:rowOff>9525</xdr:rowOff>
    </xdr:to>
    <xdr:sp macro="" textlink="">
      <xdr:nvSpPr>
        <xdr:cNvPr id="1066114" name="Line 102">
          <a:extLst>
            <a:ext uri="{FF2B5EF4-FFF2-40B4-BE49-F238E27FC236}">
              <a16:creationId xmlns:a16="http://schemas.microsoft.com/office/drawing/2014/main" id="{00000000-0008-0000-0C00-000082441000}"/>
            </a:ext>
          </a:extLst>
        </xdr:cNvPr>
        <xdr:cNvSpPr>
          <a:spLocks noChangeShapeType="1"/>
        </xdr:cNvSpPr>
      </xdr:nvSpPr>
      <xdr:spPr bwMode="auto">
        <a:xfrm>
          <a:off x="2479357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14</xdr:row>
      <xdr:rowOff>9525</xdr:rowOff>
    </xdr:from>
    <xdr:to>
      <xdr:col>37</xdr:col>
      <xdr:colOff>66675</xdr:colOff>
      <xdr:row>17</xdr:row>
      <xdr:rowOff>19050</xdr:rowOff>
    </xdr:to>
    <xdr:sp macro="" textlink="">
      <xdr:nvSpPr>
        <xdr:cNvPr id="1066115" name="Line 103">
          <a:extLst>
            <a:ext uri="{FF2B5EF4-FFF2-40B4-BE49-F238E27FC236}">
              <a16:creationId xmlns:a16="http://schemas.microsoft.com/office/drawing/2014/main" id="{00000000-0008-0000-0C00-000083441000}"/>
            </a:ext>
          </a:extLst>
        </xdr:cNvPr>
        <xdr:cNvSpPr>
          <a:spLocks noChangeShapeType="1"/>
        </xdr:cNvSpPr>
      </xdr:nvSpPr>
      <xdr:spPr bwMode="auto">
        <a:xfrm>
          <a:off x="2486025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17</xdr:row>
      <xdr:rowOff>0</xdr:rowOff>
    </xdr:from>
    <xdr:to>
      <xdr:col>37</xdr:col>
      <xdr:colOff>66675</xdr:colOff>
      <xdr:row>17</xdr:row>
      <xdr:rowOff>9525</xdr:rowOff>
    </xdr:to>
    <xdr:sp macro="" textlink="">
      <xdr:nvSpPr>
        <xdr:cNvPr id="1066116" name="Line 104">
          <a:extLst>
            <a:ext uri="{FF2B5EF4-FFF2-40B4-BE49-F238E27FC236}">
              <a16:creationId xmlns:a16="http://schemas.microsoft.com/office/drawing/2014/main" id="{00000000-0008-0000-0C00-000084441000}"/>
            </a:ext>
          </a:extLst>
        </xdr:cNvPr>
        <xdr:cNvSpPr>
          <a:spLocks noChangeShapeType="1"/>
        </xdr:cNvSpPr>
      </xdr:nvSpPr>
      <xdr:spPr bwMode="auto">
        <a:xfrm flipV="1">
          <a:off x="248031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20</xdr:row>
      <xdr:rowOff>0</xdr:rowOff>
    </xdr:from>
    <xdr:to>
      <xdr:col>37</xdr:col>
      <xdr:colOff>76200</xdr:colOff>
      <xdr:row>20</xdr:row>
      <xdr:rowOff>9525</xdr:rowOff>
    </xdr:to>
    <xdr:sp macro="" textlink="">
      <xdr:nvSpPr>
        <xdr:cNvPr id="1066117" name="Line 105">
          <a:extLst>
            <a:ext uri="{FF2B5EF4-FFF2-40B4-BE49-F238E27FC236}">
              <a16:creationId xmlns:a16="http://schemas.microsoft.com/office/drawing/2014/main" id="{00000000-0008-0000-0C00-000085441000}"/>
            </a:ext>
          </a:extLst>
        </xdr:cNvPr>
        <xdr:cNvSpPr>
          <a:spLocks noChangeShapeType="1"/>
        </xdr:cNvSpPr>
      </xdr:nvSpPr>
      <xdr:spPr bwMode="auto">
        <a:xfrm>
          <a:off x="247935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20</xdr:row>
      <xdr:rowOff>9525</xdr:rowOff>
    </xdr:from>
    <xdr:to>
      <xdr:col>37</xdr:col>
      <xdr:colOff>66675</xdr:colOff>
      <xdr:row>23</xdr:row>
      <xdr:rowOff>19050</xdr:rowOff>
    </xdr:to>
    <xdr:sp macro="" textlink="">
      <xdr:nvSpPr>
        <xdr:cNvPr id="1066118" name="Line 106">
          <a:extLst>
            <a:ext uri="{FF2B5EF4-FFF2-40B4-BE49-F238E27FC236}">
              <a16:creationId xmlns:a16="http://schemas.microsoft.com/office/drawing/2014/main" id="{00000000-0008-0000-0C00-000086441000}"/>
            </a:ext>
          </a:extLst>
        </xdr:cNvPr>
        <xdr:cNvSpPr>
          <a:spLocks noChangeShapeType="1"/>
        </xdr:cNvSpPr>
      </xdr:nvSpPr>
      <xdr:spPr bwMode="auto">
        <a:xfrm>
          <a:off x="2486025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23</xdr:row>
      <xdr:rowOff>0</xdr:rowOff>
    </xdr:from>
    <xdr:to>
      <xdr:col>37</xdr:col>
      <xdr:colOff>66675</xdr:colOff>
      <xdr:row>23</xdr:row>
      <xdr:rowOff>9525</xdr:rowOff>
    </xdr:to>
    <xdr:sp macro="" textlink="">
      <xdr:nvSpPr>
        <xdr:cNvPr id="1066119" name="Line 107">
          <a:extLst>
            <a:ext uri="{FF2B5EF4-FFF2-40B4-BE49-F238E27FC236}">
              <a16:creationId xmlns:a16="http://schemas.microsoft.com/office/drawing/2014/main" id="{00000000-0008-0000-0C00-000087441000}"/>
            </a:ext>
          </a:extLst>
        </xdr:cNvPr>
        <xdr:cNvSpPr>
          <a:spLocks noChangeShapeType="1"/>
        </xdr:cNvSpPr>
      </xdr:nvSpPr>
      <xdr:spPr bwMode="auto">
        <a:xfrm flipV="1">
          <a:off x="2480310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19</xdr:row>
      <xdr:rowOff>161925</xdr:rowOff>
    </xdr:from>
    <xdr:to>
      <xdr:col>38</xdr:col>
      <xdr:colOff>0</xdr:colOff>
      <xdr:row>21</xdr:row>
      <xdr:rowOff>47625</xdr:rowOff>
    </xdr:to>
    <xdr:sp macro="" textlink="">
      <xdr:nvSpPr>
        <xdr:cNvPr id="1066120" name="Line 108">
          <a:extLst>
            <a:ext uri="{FF2B5EF4-FFF2-40B4-BE49-F238E27FC236}">
              <a16:creationId xmlns:a16="http://schemas.microsoft.com/office/drawing/2014/main" id="{00000000-0008-0000-0C00-000088441000}"/>
            </a:ext>
          </a:extLst>
        </xdr:cNvPr>
        <xdr:cNvSpPr>
          <a:spLocks noChangeShapeType="1"/>
        </xdr:cNvSpPr>
      </xdr:nvSpPr>
      <xdr:spPr bwMode="auto">
        <a:xfrm flipV="1">
          <a:off x="24860250" y="4200525"/>
          <a:ext cx="342900"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76200</xdr:colOff>
      <xdr:row>21</xdr:row>
      <xdr:rowOff>66675</xdr:rowOff>
    </xdr:from>
    <xdr:to>
      <xdr:col>38</xdr:col>
      <xdr:colOff>0</xdr:colOff>
      <xdr:row>23</xdr:row>
      <xdr:rowOff>19050</xdr:rowOff>
    </xdr:to>
    <xdr:sp macro="" textlink="">
      <xdr:nvSpPr>
        <xdr:cNvPr id="1066121" name="Line 109">
          <a:extLst>
            <a:ext uri="{FF2B5EF4-FFF2-40B4-BE49-F238E27FC236}">
              <a16:creationId xmlns:a16="http://schemas.microsoft.com/office/drawing/2014/main" id="{00000000-0008-0000-0C00-000089441000}"/>
            </a:ext>
          </a:extLst>
        </xdr:cNvPr>
        <xdr:cNvSpPr>
          <a:spLocks noChangeShapeType="1"/>
        </xdr:cNvSpPr>
      </xdr:nvSpPr>
      <xdr:spPr bwMode="auto">
        <a:xfrm>
          <a:off x="24869775" y="4467225"/>
          <a:ext cx="333375"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0</xdr:colOff>
      <xdr:row>8</xdr:row>
      <xdr:rowOff>0</xdr:rowOff>
    </xdr:from>
    <xdr:to>
      <xdr:col>37</xdr:col>
      <xdr:colOff>76200</xdr:colOff>
      <xdr:row>8</xdr:row>
      <xdr:rowOff>9525</xdr:rowOff>
    </xdr:to>
    <xdr:sp macro="" textlink="">
      <xdr:nvSpPr>
        <xdr:cNvPr id="1066122" name="Line 110">
          <a:extLst>
            <a:ext uri="{FF2B5EF4-FFF2-40B4-BE49-F238E27FC236}">
              <a16:creationId xmlns:a16="http://schemas.microsoft.com/office/drawing/2014/main" id="{00000000-0008-0000-0C00-00008A441000}"/>
            </a:ext>
          </a:extLst>
        </xdr:cNvPr>
        <xdr:cNvSpPr>
          <a:spLocks noChangeShapeType="1"/>
        </xdr:cNvSpPr>
      </xdr:nvSpPr>
      <xdr:spPr bwMode="auto">
        <a:xfrm>
          <a:off x="2479357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8</xdr:row>
      <xdr:rowOff>9525</xdr:rowOff>
    </xdr:from>
    <xdr:to>
      <xdr:col>37</xdr:col>
      <xdr:colOff>66675</xdr:colOff>
      <xdr:row>11</xdr:row>
      <xdr:rowOff>19050</xdr:rowOff>
    </xdr:to>
    <xdr:sp macro="" textlink="">
      <xdr:nvSpPr>
        <xdr:cNvPr id="1066123" name="Line 111">
          <a:extLst>
            <a:ext uri="{FF2B5EF4-FFF2-40B4-BE49-F238E27FC236}">
              <a16:creationId xmlns:a16="http://schemas.microsoft.com/office/drawing/2014/main" id="{00000000-0008-0000-0C00-00008B441000}"/>
            </a:ext>
          </a:extLst>
        </xdr:cNvPr>
        <xdr:cNvSpPr>
          <a:spLocks noChangeShapeType="1"/>
        </xdr:cNvSpPr>
      </xdr:nvSpPr>
      <xdr:spPr bwMode="auto">
        <a:xfrm>
          <a:off x="2486025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11</xdr:row>
      <xdr:rowOff>0</xdr:rowOff>
    </xdr:from>
    <xdr:to>
      <xdr:col>37</xdr:col>
      <xdr:colOff>66675</xdr:colOff>
      <xdr:row>11</xdr:row>
      <xdr:rowOff>9525</xdr:rowOff>
    </xdr:to>
    <xdr:sp macro="" textlink="">
      <xdr:nvSpPr>
        <xdr:cNvPr id="1066124" name="Line 112">
          <a:extLst>
            <a:ext uri="{FF2B5EF4-FFF2-40B4-BE49-F238E27FC236}">
              <a16:creationId xmlns:a16="http://schemas.microsoft.com/office/drawing/2014/main" id="{00000000-0008-0000-0C00-00008C441000}"/>
            </a:ext>
          </a:extLst>
        </xdr:cNvPr>
        <xdr:cNvSpPr>
          <a:spLocks noChangeShapeType="1"/>
        </xdr:cNvSpPr>
      </xdr:nvSpPr>
      <xdr:spPr bwMode="auto">
        <a:xfrm flipV="1">
          <a:off x="2480310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8</xdr:row>
      <xdr:rowOff>0</xdr:rowOff>
    </xdr:from>
    <xdr:to>
      <xdr:col>37</xdr:col>
      <xdr:colOff>76200</xdr:colOff>
      <xdr:row>8</xdr:row>
      <xdr:rowOff>9525</xdr:rowOff>
    </xdr:to>
    <xdr:sp macro="" textlink="">
      <xdr:nvSpPr>
        <xdr:cNvPr id="1066125" name="Line 113">
          <a:extLst>
            <a:ext uri="{FF2B5EF4-FFF2-40B4-BE49-F238E27FC236}">
              <a16:creationId xmlns:a16="http://schemas.microsoft.com/office/drawing/2014/main" id="{00000000-0008-0000-0C00-00008D441000}"/>
            </a:ext>
          </a:extLst>
        </xdr:cNvPr>
        <xdr:cNvSpPr>
          <a:spLocks noChangeShapeType="1"/>
        </xdr:cNvSpPr>
      </xdr:nvSpPr>
      <xdr:spPr bwMode="auto">
        <a:xfrm>
          <a:off x="2479357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8</xdr:row>
      <xdr:rowOff>9525</xdr:rowOff>
    </xdr:from>
    <xdr:to>
      <xdr:col>37</xdr:col>
      <xdr:colOff>66675</xdr:colOff>
      <xdr:row>11</xdr:row>
      <xdr:rowOff>19050</xdr:rowOff>
    </xdr:to>
    <xdr:sp macro="" textlink="">
      <xdr:nvSpPr>
        <xdr:cNvPr id="1066126" name="Line 114">
          <a:extLst>
            <a:ext uri="{FF2B5EF4-FFF2-40B4-BE49-F238E27FC236}">
              <a16:creationId xmlns:a16="http://schemas.microsoft.com/office/drawing/2014/main" id="{00000000-0008-0000-0C00-00008E441000}"/>
            </a:ext>
          </a:extLst>
        </xdr:cNvPr>
        <xdr:cNvSpPr>
          <a:spLocks noChangeShapeType="1"/>
        </xdr:cNvSpPr>
      </xdr:nvSpPr>
      <xdr:spPr bwMode="auto">
        <a:xfrm>
          <a:off x="2486025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11</xdr:row>
      <xdr:rowOff>0</xdr:rowOff>
    </xdr:from>
    <xdr:to>
      <xdr:col>37</xdr:col>
      <xdr:colOff>66675</xdr:colOff>
      <xdr:row>11</xdr:row>
      <xdr:rowOff>9525</xdr:rowOff>
    </xdr:to>
    <xdr:sp macro="" textlink="">
      <xdr:nvSpPr>
        <xdr:cNvPr id="1066127" name="Line 115">
          <a:extLst>
            <a:ext uri="{FF2B5EF4-FFF2-40B4-BE49-F238E27FC236}">
              <a16:creationId xmlns:a16="http://schemas.microsoft.com/office/drawing/2014/main" id="{00000000-0008-0000-0C00-00008F441000}"/>
            </a:ext>
          </a:extLst>
        </xdr:cNvPr>
        <xdr:cNvSpPr>
          <a:spLocks noChangeShapeType="1"/>
        </xdr:cNvSpPr>
      </xdr:nvSpPr>
      <xdr:spPr bwMode="auto">
        <a:xfrm flipV="1">
          <a:off x="2480310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76200</xdr:colOff>
      <xdr:row>8</xdr:row>
      <xdr:rowOff>0</xdr:rowOff>
    </xdr:from>
    <xdr:to>
      <xdr:col>37</xdr:col>
      <xdr:colOff>400050</xdr:colOff>
      <xdr:row>9</xdr:row>
      <xdr:rowOff>57150</xdr:rowOff>
    </xdr:to>
    <xdr:sp macro="" textlink="">
      <xdr:nvSpPr>
        <xdr:cNvPr id="1066128" name="Line 116">
          <a:extLst>
            <a:ext uri="{FF2B5EF4-FFF2-40B4-BE49-F238E27FC236}">
              <a16:creationId xmlns:a16="http://schemas.microsoft.com/office/drawing/2014/main" id="{00000000-0008-0000-0C00-000090441000}"/>
            </a:ext>
          </a:extLst>
        </xdr:cNvPr>
        <xdr:cNvSpPr>
          <a:spLocks noChangeShapeType="1"/>
        </xdr:cNvSpPr>
      </xdr:nvSpPr>
      <xdr:spPr bwMode="auto">
        <a:xfrm flipV="1">
          <a:off x="24869775" y="2047875"/>
          <a:ext cx="3238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76200</xdr:colOff>
      <xdr:row>9</xdr:row>
      <xdr:rowOff>66675</xdr:rowOff>
    </xdr:from>
    <xdr:to>
      <xdr:col>38</xdr:col>
      <xdr:colOff>0</xdr:colOff>
      <xdr:row>11</xdr:row>
      <xdr:rowOff>19050</xdr:rowOff>
    </xdr:to>
    <xdr:sp macro="" textlink="">
      <xdr:nvSpPr>
        <xdr:cNvPr id="1066129" name="Line 117">
          <a:extLst>
            <a:ext uri="{FF2B5EF4-FFF2-40B4-BE49-F238E27FC236}">
              <a16:creationId xmlns:a16="http://schemas.microsoft.com/office/drawing/2014/main" id="{00000000-0008-0000-0C00-000091441000}"/>
            </a:ext>
          </a:extLst>
        </xdr:cNvPr>
        <xdr:cNvSpPr>
          <a:spLocks noChangeShapeType="1"/>
        </xdr:cNvSpPr>
      </xdr:nvSpPr>
      <xdr:spPr bwMode="auto">
        <a:xfrm>
          <a:off x="24869775" y="2295525"/>
          <a:ext cx="333375"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0</xdr:colOff>
      <xdr:row>14</xdr:row>
      <xdr:rowOff>0</xdr:rowOff>
    </xdr:from>
    <xdr:to>
      <xdr:col>37</xdr:col>
      <xdr:colOff>76200</xdr:colOff>
      <xdr:row>14</xdr:row>
      <xdr:rowOff>9525</xdr:rowOff>
    </xdr:to>
    <xdr:sp macro="" textlink="">
      <xdr:nvSpPr>
        <xdr:cNvPr id="1066130" name="Line 118">
          <a:extLst>
            <a:ext uri="{FF2B5EF4-FFF2-40B4-BE49-F238E27FC236}">
              <a16:creationId xmlns:a16="http://schemas.microsoft.com/office/drawing/2014/main" id="{00000000-0008-0000-0C00-000092441000}"/>
            </a:ext>
          </a:extLst>
        </xdr:cNvPr>
        <xdr:cNvSpPr>
          <a:spLocks noChangeShapeType="1"/>
        </xdr:cNvSpPr>
      </xdr:nvSpPr>
      <xdr:spPr bwMode="auto">
        <a:xfrm>
          <a:off x="2479357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14</xdr:row>
      <xdr:rowOff>9525</xdr:rowOff>
    </xdr:from>
    <xdr:to>
      <xdr:col>37</xdr:col>
      <xdr:colOff>66675</xdr:colOff>
      <xdr:row>17</xdr:row>
      <xdr:rowOff>19050</xdr:rowOff>
    </xdr:to>
    <xdr:sp macro="" textlink="">
      <xdr:nvSpPr>
        <xdr:cNvPr id="1066131" name="Line 119">
          <a:extLst>
            <a:ext uri="{FF2B5EF4-FFF2-40B4-BE49-F238E27FC236}">
              <a16:creationId xmlns:a16="http://schemas.microsoft.com/office/drawing/2014/main" id="{00000000-0008-0000-0C00-000093441000}"/>
            </a:ext>
          </a:extLst>
        </xdr:cNvPr>
        <xdr:cNvSpPr>
          <a:spLocks noChangeShapeType="1"/>
        </xdr:cNvSpPr>
      </xdr:nvSpPr>
      <xdr:spPr bwMode="auto">
        <a:xfrm>
          <a:off x="2486025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17</xdr:row>
      <xdr:rowOff>0</xdr:rowOff>
    </xdr:from>
    <xdr:to>
      <xdr:col>37</xdr:col>
      <xdr:colOff>66675</xdr:colOff>
      <xdr:row>17</xdr:row>
      <xdr:rowOff>9525</xdr:rowOff>
    </xdr:to>
    <xdr:sp macro="" textlink="">
      <xdr:nvSpPr>
        <xdr:cNvPr id="1066132" name="Line 120">
          <a:extLst>
            <a:ext uri="{FF2B5EF4-FFF2-40B4-BE49-F238E27FC236}">
              <a16:creationId xmlns:a16="http://schemas.microsoft.com/office/drawing/2014/main" id="{00000000-0008-0000-0C00-000094441000}"/>
            </a:ext>
          </a:extLst>
        </xdr:cNvPr>
        <xdr:cNvSpPr>
          <a:spLocks noChangeShapeType="1"/>
        </xdr:cNvSpPr>
      </xdr:nvSpPr>
      <xdr:spPr bwMode="auto">
        <a:xfrm flipV="1">
          <a:off x="248031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14</xdr:row>
      <xdr:rowOff>0</xdr:rowOff>
    </xdr:from>
    <xdr:to>
      <xdr:col>37</xdr:col>
      <xdr:colOff>76200</xdr:colOff>
      <xdr:row>14</xdr:row>
      <xdr:rowOff>9525</xdr:rowOff>
    </xdr:to>
    <xdr:sp macro="" textlink="">
      <xdr:nvSpPr>
        <xdr:cNvPr id="1066133" name="Line 121">
          <a:extLst>
            <a:ext uri="{FF2B5EF4-FFF2-40B4-BE49-F238E27FC236}">
              <a16:creationId xmlns:a16="http://schemas.microsoft.com/office/drawing/2014/main" id="{00000000-0008-0000-0C00-000095441000}"/>
            </a:ext>
          </a:extLst>
        </xdr:cNvPr>
        <xdr:cNvSpPr>
          <a:spLocks noChangeShapeType="1"/>
        </xdr:cNvSpPr>
      </xdr:nvSpPr>
      <xdr:spPr bwMode="auto">
        <a:xfrm>
          <a:off x="2479357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14</xdr:row>
      <xdr:rowOff>9525</xdr:rowOff>
    </xdr:from>
    <xdr:to>
      <xdr:col>37</xdr:col>
      <xdr:colOff>66675</xdr:colOff>
      <xdr:row>17</xdr:row>
      <xdr:rowOff>19050</xdr:rowOff>
    </xdr:to>
    <xdr:sp macro="" textlink="">
      <xdr:nvSpPr>
        <xdr:cNvPr id="1066134" name="Line 122">
          <a:extLst>
            <a:ext uri="{FF2B5EF4-FFF2-40B4-BE49-F238E27FC236}">
              <a16:creationId xmlns:a16="http://schemas.microsoft.com/office/drawing/2014/main" id="{00000000-0008-0000-0C00-000096441000}"/>
            </a:ext>
          </a:extLst>
        </xdr:cNvPr>
        <xdr:cNvSpPr>
          <a:spLocks noChangeShapeType="1"/>
        </xdr:cNvSpPr>
      </xdr:nvSpPr>
      <xdr:spPr bwMode="auto">
        <a:xfrm>
          <a:off x="2486025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17</xdr:row>
      <xdr:rowOff>0</xdr:rowOff>
    </xdr:from>
    <xdr:to>
      <xdr:col>37</xdr:col>
      <xdr:colOff>66675</xdr:colOff>
      <xdr:row>17</xdr:row>
      <xdr:rowOff>9525</xdr:rowOff>
    </xdr:to>
    <xdr:sp macro="" textlink="">
      <xdr:nvSpPr>
        <xdr:cNvPr id="1066135" name="Line 123">
          <a:extLst>
            <a:ext uri="{FF2B5EF4-FFF2-40B4-BE49-F238E27FC236}">
              <a16:creationId xmlns:a16="http://schemas.microsoft.com/office/drawing/2014/main" id="{00000000-0008-0000-0C00-000097441000}"/>
            </a:ext>
          </a:extLst>
        </xdr:cNvPr>
        <xdr:cNvSpPr>
          <a:spLocks noChangeShapeType="1"/>
        </xdr:cNvSpPr>
      </xdr:nvSpPr>
      <xdr:spPr bwMode="auto">
        <a:xfrm flipV="1">
          <a:off x="248031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13</xdr:row>
      <xdr:rowOff>152400</xdr:rowOff>
    </xdr:from>
    <xdr:to>
      <xdr:col>38</xdr:col>
      <xdr:colOff>0</xdr:colOff>
      <xdr:row>15</xdr:row>
      <xdr:rowOff>47625</xdr:rowOff>
    </xdr:to>
    <xdr:sp macro="" textlink="">
      <xdr:nvSpPr>
        <xdr:cNvPr id="1066136" name="Line 124">
          <a:extLst>
            <a:ext uri="{FF2B5EF4-FFF2-40B4-BE49-F238E27FC236}">
              <a16:creationId xmlns:a16="http://schemas.microsoft.com/office/drawing/2014/main" id="{00000000-0008-0000-0C00-000098441000}"/>
            </a:ext>
          </a:extLst>
        </xdr:cNvPr>
        <xdr:cNvSpPr>
          <a:spLocks noChangeShapeType="1"/>
        </xdr:cNvSpPr>
      </xdr:nvSpPr>
      <xdr:spPr bwMode="auto">
        <a:xfrm flipV="1">
          <a:off x="24860250" y="3105150"/>
          <a:ext cx="342900" cy="2571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76200</xdr:colOff>
      <xdr:row>15</xdr:row>
      <xdr:rowOff>66675</xdr:rowOff>
    </xdr:from>
    <xdr:to>
      <xdr:col>38</xdr:col>
      <xdr:colOff>19050</xdr:colOff>
      <xdr:row>17</xdr:row>
      <xdr:rowOff>9525</xdr:rowOff>
    </xdr:to>
    <xdr:sp macro="" textlink="">
      <xdr:nvSpPr>
        <xdr:cNvPr id="1066137" name="Line 125">
          <a:extLst>
            <a:ext uri="{FF2B5EF4-FFF2-40B4-BE49-F238E27FC236}">
              <a16:creationId xmlns:a16="http://schemas.microsoft.com/office/drawing/2014/main" id="{00000000-0008-0000-0C00-000099441000}"/>
            </a:ext>
          </a:extLst>
        </xdr:cNvPr>
        <xdr:cNvSpPr>
          <a:spLocks noChangeShapeType="1"/>
        </xdr:cNvSpPr>
      </xdr:nvSpPr>
      <xdr:spPr bwMode="auto">
        <a:xfrm>
          <a:off x="24869775" y="3381375"/>
          <a:ext cx="352425" cy="3048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20</xdr:row>
      <xdr:rowOff>0</xdr:rowOff>
    </xdr:from>
    <xdr:to>
      <xdr:col>34</xdr:col>
      <xdr:colOff>76200</xdr:colOff>
      <xdr:row>20</xdr:row>
      <xdr:rowOff>9525</xdr:rowOff>
    </xdr:to>
    <xdr:sp macro="" textlink="">
      <xdr:nvSpPr>
        <xdr:cNvPr id="1066138" name="Line 126">
          <a:extLst>
            <a:ext uri="{FF2B5EF4-FFF2-40B4-BE49-F238E27FC236}">
              <a16:creationId xmlns:a16="http://schemas.microsoft.com/office/drawing/2014/main" id="{00000000-0008-0000-0C00-00009A441000}"/>
            </a:ext>
          </a:extLst>
        </xdr:cNvPr>
        <xdr:cNvSpPr>
          <a:spLocks noChangeShapeType="1"/>
        </xdr:cNvSpPr>
      </xdr:nvSpPr>
      <xdr:spPr bwMode="auto">
        <a:xfrm>
          <a:off x="226980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66675</xdr:colOff>
      <xdr:row>20</xdr:row>
      <xdr:rowOff>9525</xdr:rowOff>
    </xdr:from>
    <xdr:to>
      <xdr:col>34</xdr:col>
      <xdr:colOff>66675</xdr:colOff>
      <xdr:row>23</xdr:row>
      <xdr:rowOff>19050</xdr:rowOff>
    </xdr:to>
    <xdr:sp macro="" textlink="">
      <xdr:nvSpPr>
        <xdr:cNvPr id="1066139" name="Line 127">
          <a:extLst>
            <a:ext uri="{FF2B5EF4-FFF2-40B4-BE49-F238E27FC236}">
              <a16:creationId xmlns:a16="http://schemas.microsoft.com/office/drawing/2014/main" id="{00000000-0008-0000-0C00-00009B441000}"/>
            </a:ext>
          </a:extLst>
        </xdr:cNvPr>
        <xdr:cNvSpPr>
          <a:spLocks noChangeShapeType="1"/>
        </xdr:cNvSpPr>
      </xdr:nvSpPr>
      <xdr:spPr bwMode="auto">
        <a:xfrm>
          <a:off x="2276475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23</xdr:row>
      <xdr:rowOff>0</xdr:rowOff>
    </xdr:from>
    <xdr:to>
      <xdr:col>34</xdr:col>
      <xdr:colOff>66675</xdr:colOff>
      <xdr:row>23</xdr:row>
      <xdr:rowOff>9525</xdr:rowOff>
    </xdr:to>
    <xdr:sp macro="" textlink="">
      <xdr:nvSpPr>
        <xdr:cNvPr id="1066140" name="Line 128">
          <a:extLst>
            <a:ext uri="{FF2B5EF4-FFF2-40B4-BE49-F238E27FC236}">
              <a16:creationId xmlns:a16="http://schemas.microsoft.com/office/drawing/2014/main" id="{00000000-0008-0000-0C00-00009C441000}"/>
            </a:ext>
          </a:extLst>
        </xdr:cNvPr>
        <xdr:cNvSpPr>
          <a:spLocks noChangeShapeType="1"/>
        </xdr:cNvSpPr>
      </xdr:nvSpPr>
      <xdr:spPr bwMode="auto">
        <a:xfrm flipV="1">
          <a:off x="2270760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26</xdr:row>
      <xdr:rowOff>0</xdr:rowOff>
    </xdr:from>
    <xdr:to>
      <xdr:col>34</xdr:col>
      <xdr:colOff>76200</xdr:colOff>
      <xdr:row>26</xdr:row>
      <xdr:rowOff>9525</xdr:rowOff>
    </xdr:to>
    <xdr:sp macro="" textlink="">
      <xdr:nvSpPr>
        <xdr:cNvPr id="1066141" name="Line 129">
          <a:extLst>
            <a:ext uri="{FF2B5EF4-FFF2-40B4-BE49-F238E27FC236}">
              <a16:creationId xmlns:a16="http://schemas.microsoft.com/office/drawing/2014/main" id="{00000000-0008-0000-0C00-00009D441000}"/>
            </a:ext>
          </a:extLst>
        </xdr:cNvPr>
        <xdr:cNvSpPr>
          <a:spLocks noChangeShapeType="1"/>
        </xdr:cNvSpPr>
      </xdr:nvSpPr>
      <xdr:spPr bwMode="auto">
        <a:xfrm>
          <a:off x="2269807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66675</xdr:colOff>
      <xdr:row>26</xdr:row>
      <xdr:rowOff>9525</xdr:rowOff>
    </xdr:from>
    <xdr:to>
      <xdr:col>34</xdr:col>
      <xdr:colOff>66675</xdr:colOff>
      <xdr:row>29</xdr:row>
      <xdr:rowOff>19050</xdr:rowOff>
    </xdr:to>
    <xdr:sp macro="" textlink="">
      <xdr:nvSpPr>
        <xdr:cNvPr id="1066142" name="Line 130">
          <a:extLst>
            <a:ext uri="{FF2B5EF4-FFF2-40B4-BE49-F238E27FC236}">
              <a16:creationId xmlns:a16="http://schemas.microsoft.com/office/drawing/2014/main" id="{00000000-0008-0000-0C00-00009E441000}"/>
            </a:ext>
          </a:extLst>
        </xdr:cNvPr>
        <xdr:cNvSpPr>
          <a:spLocks noChangeShapeType="1"/>
        </xdr:cNvSpPr>
      </xdr:nvSpPr>
      <xdr:spPr bwMode="auto">
        <a:xfrm>
          <a:off x="2276475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29</xdr:row>
      <xdr:rowOff>0</xdr:rowOff>
    </xdr:from>
    <xdr:to>
      <xdr:col>34</xdr:col>
      <xdr:colOff>66675</xdr:colOff>
      <xdr:row>29</xdr:row>
      <xdr:rowOff>9525</xdr:rowOff>
    </xdr:to>
    <xdr:sp macro="" textlink="">
      <xdr:nvSpPr>
        <xdr:cNvPr id="1066143" name="Line 131">
          <a:extLst>
            <a:ext uri="{FF2B5EF4-FFF2-40B4-BE49-F238E27FC236}">
              <a16:creationId xmlns:a16="http://schemas.microsoft.com/office/drawing/2014/main" id="{00000000-0008-0000-0C00-00009F441000}"/>
            </a:ext>
          </a:extLst>
        </xdr:cNvPr>
        <xdr:cNvSpPr>
          <a:spLocks noChangeShapeType="1"/>
        </xdr:cNvSpPr>
      </xdr:nvSpPr>
      <xdr:spPr bwMode="auto">
        <a:xfrm flipV="1">
          <a:off x="2270760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66675</xdr:colOff>
      <xdr:row>22</xdr:row>
      <xdr:rowOff>171450</xdr:rowOff>
    </xdr:from>
    <xdr:to>
      <xdr:col>35</xdr:col>
      <xdr:colOff>0</xdr:colOff>
      <xdr:row>27</xdr:row>
      <xdr:rowOff>47625</xdr:rowOff>
    </xdr:to>
    <xdr:sp macro="" textlink="">
      <xdr:nvSpPr>
        <xdr:cNvPr id="1066144" name="Line 132">
          <a:extLst>
            <a:ext uri="{FF2B5EF4-FFF2-40B4-BE49-F238E27FC236}">
              <a16:creationId xmlns:a16="http://schemas.microsoft.com/office/drawing/2014/main" id="{00000000-0008-0000-0C00-0000A0441000}"/>
            </a:ext>
          </a:extLst>
        </xdr:cNvPr>
        <xdr:cNvSpPr>
          <a:spLocks noChangeShapeType="1"/>
        </xdr:cNvSpPr>
      </xdr:nvSpPr>
      <xdr:spPr bwMode="auto">
        <a:xfrm flipV="1">
          <a:off x="22764750" y="4752975"/>
          <a:ext cx="342900" cy="781050"/>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66675</xdr:colOff>
      <xdr:row>21</xdr:row>
      <xdr:rowOff>95250</xdr:rowOff>
    </xdr:from>
    <xdr:to>
      <xdr:col>35</xdr:col>
      <xdr:colOff>0</xdr:colOff>
      <xdr:row>26</xdr:row>
      <xdr:rowOff>28575</xdr:rowOff>
    </xdr:to>
    <xdr:sp macro="" textlink="">
      <xdr:nvSpPr>
        <xdr:cNvPr id="1066145" name="Line 133">
          <a:extLst>
            <a:ext uri="{FF2B5EF4-FFF2-40B4-BE49-F238E27FC236}">
              <a16:creationId xmlns:a16="http://schemas.microsoft.com/office/drawing/2014/main" id="{00000000-0008-0000-0C00-0000A1441000}"/>
            </a:ext>
          </a:extLst>
        </xdr:cNvPr>
        <xdr:cNvSpPr>
          <a:spLocks noChangeShapeType="1"/>
        </xdr:cNvSpPr>
      </xdr:nvSpPr>
      <xdr:spPr bwMode="auto">
        <a:xfrm>
          <a:off x="22764750" y="4495800"/>
          <a:ext cx="342900" cy="8382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32</xdr:row>
      <xdr:rowOff>0</xdr:rowOff>
    </xdr:from>
    <xdr:to>
      <xdr:col>34</xdr:col>
      <xdr:colOff>76200</xdr:colOff>
      <xdr:row>32</xdr:row>
      <xdr:rowOff>9525</xdr:rowOff>
    </xdr:to>
    <xdr:sp macro="" textlink="">
      <xdr:nvSpPr>
        <xdr:cNvPr id="1066146" name="Line 134">
          <a:extLst>
            <a:ext uri="{FF2B5EF4-FFF2-40B4-BE49-F238E27FC236}">
              <a16:creationId xmlns:a16="http://schemas.microsoft.com/office/drawing/2014/main" id="{00000000-0008-0000-0C00-0000A2441000}"/>
            </a:ext>
          </a:extLst>
        </xdr:cNvPr>
        <xdr:cNvSpPr>
          <a:spLocks noChangeShapeType="1"/>
        </xdr:cNvSpPr>
      </xdr:nvSpPr>
      <xdr:spPr bwMode="auto">
        <a:xfrm>
          <a:off x="2269807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66675</xdr:colOff>
      <xdr:row>32</xdr:row>
      <xdr:rowOff>9525</xdr:rowOff>
    </xdr:from>
    <xdr:to>
      <xdr:col>34</xdr:col>
      <xdr:colOff>66675</xdr:colOff>
      <xdr:row>35</xdr:row>
      <xdr:rowOff>19050</xdr:rowOff>
    </xdr:to>
    <xdr:sp macro="" textlink="">
      <xdr:nvSpPr>
        <xdr:cNvPr id="1066147" name="Line 135">
          <a:extLst>
            <a:ext uri="{FF2B5EF4-FFF2-40B4-BE49-F238E27FC236}">
              <a16:creationId xmlns:a16="http://schemas.microsoft.com/office/drawing/2014/main" id="{00000000-0008-0000-0C00-0000A3441000}"/>
            </a:ext>
          </a:extLst>
        </xdr:cNvPr>
        <xdr:cNvSpPr>
          <a:spLocks noChangeShapeType="1"/>
        </xdr:cNvSpPr>
      </xdr:nvSpPr>
      <xdr:spPr bwMode="auto">
        <a:xfrm>
          <a:off x="2276475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35</xdr:row>
      <xdr:rowOff>0</xdr:rowOff>
    </xdr:from>
    <xdr:to>
      <xdr:col>34</xdr:col>
      <xdr:colOff>66675</xdr:colOff>
      <xdr:row>35</xdr:row>
      <xdr:rowOff>9525</xdr:rowOff>
    </xdr:to>
    <xdr:sp macro="" textlink="">
      <xdr:nvSpPr>
        <xdr:cNvPr id="1066148" name="Line 136">
          <a:extLst>
            <a:ext uri="{FF2B5EF4-FFF2-40B4-BE49-F238E27FC236}">
              <a16:creationId xmlns:a16="http://schemas.microsoft.com/office/drawing/2014/main" id="{00000000-0008-0000-0C00-0000A4441000}"/>
            </a:ext>
          </a:extLst>
        </xdr:cNvPr>
        <xdr:cNvSpPr>
          <a:spLocks noChangeShapeType="1"/>
        </xdr:cNvSpPr>
      </xdr:nvSpPr>
      <xdr:spPr bwMode="auto">
        <a:xfrm flipV="1">
          <a:off x="2270760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38</xdr:row>
      <xdr:rowOff>0</xdr:rowOff>
    </xdr:from>
    <xdr:to>
      <xdr:col>34</xdr:col>
      <xdr:colOff>76200</xdr:colOff>
      <xdr:row>38</xdr:row>
      <xdr:rowOff>9525</xdr:rowOff>
    </xdr:to>
    <xdr:sp macro="" textlink="">
      <xdr:nvSpPr>
        <xdr:cNvPr id="1066149" name="Line 137">
          <a:extLst>
            <a:ext uri="{FF2B5EF4-FFF2-40B4-BE49-F238E27FC236}">
              <a16:creationId xmlns:a16="http://schemas.microsoft.com/office/drawing/2014/main" id="{00000000-0008-0000-0C00-0000A5441000}"/>
            </a:ext>
          </a:extLst>
        </xdr:cNvPr>
        <xdr:cNvSpPr>
          <a:spLocks noChangeShapeType="1"/>
        </xdr:cNvSpPr>
      </xdr:nvSpPr>
      <xdr:spPr bwMode="auto">
        <a:xfrm>
          <a:off x="226980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41</xdr:row>
      <xdr:rowOff>0</xdr:rowOff>
    </xdr:from>
    <xdr:to>
      <xdr:col>34</xdr:col>
      <xdr:colOff>66675</xdr:colOff>
      <xdr:row>41</xdr:row>
      <xdr:rowOff>9525</xdr:rowOff>
    </xdr:to>
    <xdr:sp macro="" textlink="">
      <xdr:nvSpPr>
        <xdr:cNvPr id="1066150" name="Line 139">
          <a:extLst>
            <a:ext uri="{FF2B5EF4-FFF2-40B4-BE49-F238E27FC236}">
              <a16:creationId xmlns:a16="http://schemas.microsoft.com/office/drawing/2014/main" id="{00000000-0008-0000-0C00-0000A6441000}"/>
            </a:ext>
          </a:extLst>
        </xdr:cNvPr>
        <xdr:cNvSpPr>
          <a:spLocks noChangeShapeType="1"/>
        </xdr:cNvSpPr>
      </xdr:nvSpPr>
      <xdr:spPr bwMode="auto">
        <a:xfrm flipV="1">
          <a:off x="227076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76200</xdr:colOff>
      <xdr:row>35</xdr:row>
      <xdr:rowOff>0</xdr:rowOff>
    </xdr:from>
    <xdr:to>
      <xdr:col>35</xdr:col>
      <xdr:colOff>0</xdr:colOff>
      <xdr:row>39</xdr:row>
      <xdr:rowOff>66675</xdr:rowOff>
    </xdr:to>
    <xdr:sp macro="" textlink="">
      <xdr:nvSpPr>
        <xdr:cNvPr id="1066151" name="Line 140">
          <a:extLst>
            <a:ext uri="{FF2B5EF4-FFF2-40B4-BE49-F238E27FC236}">
              <a16:creationId xmlns:a16="http://schemas.microsoft.com/office/drawing/2014/main" id="{00000000-0008-0000-0C00-0000A7441000}"/>
            </a:ext>
          </a:extLst>
        </xdr:cNvPr>
        <xdr:cNvSpPr>
          <a:spLocks noChangeShapeType="1"/>
        </xdr:cNvSpPr>
      </xdr:nvSpPr>
      <xdr:spPr bwMode="auto">
        <a:xfrm flipV="1">
          <a:off x="22774275" y="6934200"/>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66675</xdr:colOff>
      <xdr:row>33</xdr:row>
      <xdr:rowOff>104775</xdr:rowOff>
    </xdr:from>
    <xdr:to>
      <xdr:col>35</xdr:col>
      <xdr:colOff>0</xdr:colOff>
      <xdr:row>37</xdr:row>
      <xdr:rowOff>161925</xdr:rowOff>
    </xdr:to>
    <xdr:sp macro="" textlink="">
      <xdr:nvSpPr>
        <xdr:cNvPr id="1066152" name="Line 141">
          <a:extLst>
            <a:ext uri="{FF2B5EF4-FFF2-40B4-BE49-F238E27FC236}">
              <a16:creationId xmlns:a16="http://schemas.microsoft.com/office/drawing/2014/main" id="{00000000-0008-0000-0C00-0000A8441000}"/>
            </a:ext>
          </a:extLst>
        </xdr:cNvPr>
        <xdr:cNvSpPr>
          <a:spLocks noChangeShapeType="1"/>
        </xdr:cNvSpPr>
      </xdr:nvSpPr>
      <xdr:spPr bwMode="auto">
        <a:xfrm>
          <a:off x="22764750" y="6677025"/>
          <a:ext cx="342900" cy="7810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66675</xdr:colOff>
      <xdr:row>7</xdr:row>
      <xdr:rowOff>133350</xdr:rowOff>
    </xdr:from>
    <xdr:to>
      <xdr:col>32</xdr:col>
      <xdr:colOff>0</xdr:colOff>
      <xdr:row>9</xdr:row>
      <xdr:rowOff>66675</xdr:rowOff>
    </xdr:to>
    <xdr:sp macro="" textlink="">
      <xdr:nvSpPr>
        <xdr:cNvPr id="1066153" name="Line 146">
          <a:extLst>
            <a:ext uri="{FF2B5EF4-FFF2-40B4-BE49-F238E27FC236}">
              <a16:creationId xmlns:a16="http://schemas.microsoft.com/office/drawing/2014/main" id="{00000000-0008-0000-0C00-0000A9441000}"/>
            </a:ext>
          </a:extLst>
        </xdr:cNvPr>
        <xdr:cNvSpPr>
          <a:spLocks noChangeShapeType="1"/>
        </xdr:cNvSpPr>
      </xdr:nvSpPr>
      <xdr:spPr bwMode="auto">
        <a:xfrm flipV="1">
          <a:off x="20602575" y="2000250"/>
          <a:ext cx="38100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66675</xdr:colOff>
      <xdr:row>9</xdr:row>
      <xdr:rowOff>66675</xdr:rowOff>
    </xdr:from>
    <xdr:to>
      <xdr:col>32</xdr:col>
      <xdr:colOff>19050</xdr:colOff>
      <xdr:row>13</xdr:row>
      <xdr:rowOff>152400</xdr:rowOff>
    </xdr:to>
    <xdr:sp macro="" textlink="">
      <xdr:nvSpPr>
        <xdr:cNvPr id="1066154" name="Line 147">
          <a:extLst>
            <a:ext uri="{FF2B5EF4-FFF2-40B4-BE49-F238E27FC236}">
              <a16:creationId xmlns:a16="http://schemas.microsoft.com/office/drawing/2014/main" id="{00000000-0008-0000-0C00-0000AA441000}"/>
            </a:ext>
          </a:extLst>
        </xdr:cNvPr>
        <xdr:cNvSpPr>
          <a:spLocks noChangeShapeType="1"/>
        </xdr:cNvSpPr>
      </xdr:nvSpPr>
      <xdr:spPr bwMode="auto">
        <a:xfrm>
          <a:off x="20602575" y="2295525"/>
          <a:ext cx="400050" cy="809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76200</xdr:colOff>
      <xdr:row>10</xdr:row>
      <xdr:rowOff>85725</xdr:rowOff>
    </xdr:from>
    <xdr:to>
      <xdr:col>32</xdr:col>
      <xdr:colOff>9525</xdr:colOff>
      <xdr:row>15</xdr:row>
      <xdr:rowOff>123825</xdr:rowOff>
    </xdr:to>
    <xdr:sp macro="" textlink="">
      <xdr:nvSpPr>
        <xdr:cNvPr id="1066155" name="Line 148">
          <a:extLst>
            <a:ext uri="{FF2B5EF4-FFF2-40B4-BE49-F238E27FC236}">
              <a16:creationId xmlns:a16="http://schemas.microsoft.com/office/drawing/2014/main" id="{00000000-0008-0000-0C00-0000AB441000}"/>
            </a:ext>
          </a:extLst>
        </xdr:cNvPr>
        <xdr:cNvSpPr>
          <a:spLocks noChangeShapeType="1"/>
        </xdr:cNvSpPr>
      </xdr:nvSpPr>
      <xdr:spPr bwMode="auto">
        <a:xfrm flipV="1">
          <a:off x="20612100" y="2495550"/>
          <a:ext cx="381000" cy="9429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76200</xdr:colOff>
      <xdr:row>15</xdr:row>
      <xdr:rowOff>114300</xdr:rowOff>
    </xdr:from>
    <xdr:to>
      <xdr:col>32</xdr:col>
      <xdr:colOff>0</xdr:colOff>
      <xdr:row>20</xdr:row>
      <xdr:rowOff>66675</xdr:rowOff>
    </xdr:to>
    <xdr:sp macro="" textlink="">
      <xdr:nvSpPr>
        <xdr:cNvPr id="1066156" name="Line 149">
          <a:extLst>
            <a:ext uri="{FF2B5EF4-FFF2-40B4-BE49-F238E27FC236}">
              <a16:creationId xmlns:a16="http://schemas.microsoft.com/office/drawing/2014/main" id="{00000000-0008-0000-0C00-0000AC441000}"/>
            </a:ext>
          </a:extLst>
        </xdr:cNvPr>
        <xdr:cNvSpPr>
          <a:spLocks noChangeShapeType="1"/>
        </xdr:cNvSpPr>
      </xdr:nvSpPr>
      <xdr:spPr bwMode="auto">
        <a:xfrm>
          <a:off x="20612100" y="3429000"/>
          <a:ext cx="371475" cy="857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66675</xdr:colOff>
      <xdr:row>16</xdr:row>
      <xdr:rowOff>104775</xdr:rowOff>
    </xdr:from>
    <xdr:to>
      <xdr:col>32</xdr:col>
      <xdr:colOff>9525</xdr:colOff>
      <xdr:row>21</xdr:row>
      <xdr:rowOff>85725</xdr:rowOff>
    </xdr:to>
    <xdr:sp macro="" textlink="">
      <xdr:nvSpPr>
        <xdr:cNvPr id="1066157" name="Line 150">
          <a:extLst>
            <a:ext uri="{FF2B5EF4-FFF2-40B4-BE49-F238E27FC236}">
              <a16:creationId xmlns:a16="http://schemas.microsoft.com/office/drawing/2014/main" id="{00000000-0008-0000-0C00-0000AD441000}"/>
            </a:ext>
          </a:extLst>
        </xdr:cNvPr>
        <xdr:cNvSpPr>
          <a:spLocks noChangeShapeType="1"/>
        </xdr:cNvSpPr>
      </xdr:nvSpPr>
      <xdr:spPr bwMode="auto">
        <a:xfrm flipV="1">
          <a:off x="20602575" y="3600450"/>
          <a:ext cx="390525" cy="8858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76200</xdr:colOff>
      <xdr:row>21</xdr:row>
      <xdr:rowOff>95250</xdr:rowOff>
    </xdr:from>
    <xdr:to>
      <xdr:col>32</xdr:col>
      <xdr:colOff>0</xdr:colOff>
      <xdr:row>26</xdr:row>
      <xdr:rowOff>66675</xdr:rowOff>
    </xdr:to>
    <xdr:sp macro="" textlink="">
      <xdr:nvSpPr>
        <xdr:cNvPr id="1066158" name="Line 151">
          <a:extLst>
            <a:ext uri="{FF2B5EF4-FFF2-40B4-BE49-F238E27FC236}">
              <a16:creationId xmlns:a16="http://schemas.microsoft.com/office/drawing/2014/main" id="{00000000-0008-0000-0C00-0000AE441000}"/>
            </a:ext>
          </a:extLst>
        </xdr:cNvPr>
        <xdr:cNvSpPr>
          <a:spLocks noChangeShapeType="1"/>
        </xdr:cNvSpPr>
      </xdr:nvSpPr>
      <xdr:spPr bwMode="auto">
        <a:xfrm>
          <a:off x="20612100" y="4495800"/>
          <a:ext cx="371475"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76200</xdr:colOff>
      <xdr:row>22</xdr:row>
      <xdr:rowOff>142875</xdr:rowOff>
    </xdr:from>
    <xdr:to>
      <xdr:col>32</xdr:col>
      <xdr:colOff>9525</xdr:colOff>
      <xdr:row>27</xdr:row>
      <xdr:rowOff>76200</xdr:rowOff>
    </xdr:to>
    <xdr:sp macro="" textlink="">
      <xdr:nvSpPr>
        <xdr:cNvPr id="1066159" name="Line 152">
          <a:extLst>
            <a:ext uri="{FF2B5EF4-FFF2-40B4-BE49-F238E27FC236}">
              <a16:creationId xmlns:a16="http://schemas.microsoft.com/office/drawing/2014/main" id="{00000000-0008-0000-0C00-0000AF441000}"/>
            </a:ext>
          </a:extLst>
        </xdr:cNvPr>
        <xdr:cNvSpPr>
          <a:spLocks noChangeShapeType="1"/>
        </xdr:cNvSpPr>
      </xdr:nvSpPr>
      <xdr:spPr bwMode="auto">
        <a:xfrm flipV="1">
          <a:off x="20612100" y="4724400"/>
          <a:ext cx="381000"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xdr:colOff>
      <xdr:row>27</xdr:row>
      <xdr:rowOff>76200</xdr:rowOff>
    </xdr:from>
    <xdr:to>
      <xdr:col>31</xdr:col>
      <xdr:colOff>438150</xdr:colOff>
      <xdr:row>31</xdr:row>
      <xdr:rowOff>161925</xdr:rowOff>
    </xdr:to>
    <xdr:sp macro="" textlink="">
      <xdr:nvSpPr>
        <xdr:cNvPr id="1066160" name="Line 153">
          <a:extLst>
            <a:ext uri="{FF2B5EF4-FFF2-40B4-BE49-F238E27FC236}">
              <a16:creationId xmlns:a16="http://schemas.microsoft.com/office/drawing/2014/main" id="{00000000-0008-0000-0C00-0000B0441000}"/>
            </a:ext>
          </a:extLst>
        </xdr:cNvPr>
        <xdr:cNvSpPr>
          <a:spLocks noChangeShapeType="1"/>
        </xdr:cNvSpPr>
      </xdr:nvSpPr>
      <xdr:spPr bwMode="auto">
        <a:xfrm>
          <a:off x="20621625" y="5562600"/>
          <a:ext cx="352425" cy="809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57150</xdr:colOff>
      <xdr:row>28</xdr:row>
      <xdr:rowOff>104775</xdr:rowOff>
    </xdr:from>
    <xdr:to>
      <xdr:col>32</xdr:col>
      <xdr:colOff>9525</xdr:colOff>
      <xdr:row>33</xdr:row>
      <xdr:rowOff>57150</xdr:rowOff>
    </xdr:to>
    <xdr:sp macro="" textlink="">
      <xdr:nvSpPr>
        <xdr:cNvPr id="1066161" name="Line 154">
          <a:extLst>
            <a:ext uri="{FF2B5EF4-FFF2-40B4-BE49-F238E27FC236}">
              <a16:creationId xmlns:a16="http://schemas.microsoft.com/office/drawing/2014/main" id="{00000000-0008-0000-0C00-0000B1441000}"/>
            </a:ext>
          </a:extLst>
        </xdr:cNvPr>
        <xdr:cNvSpPr>
          <a:spLocks noChangeShapeType="1"/>
        </xdr:cNvSpPr>
      </xdr:nvSpPr>
      <xdr:spPr bwMode="auto">
        <a:xfrm flipV="1">
          <a:off x="20593050" y="5772150"/>
          <a:ext cx="400050" cy="857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57150</xdr:colOff>
      <xdr:row>33</xdr:row>
      <xdr:rowOff>38100</xdr:rowOff>
    </xdr:from>
    <xdr:to>
      <xdr:col>32</xdr:col>
      <xdr:colOff>0</xdr:colOff>
      <xdr:row>38</xdr:row>
      <xdr:rowOff>9525</xdr:rowOff>
    </xdr:to>
    <xdr:sp macro="" textlink="">
      <xdr:nvSpPr>
        <xdr:cNvPr id="1066162" name="Line 155">
          <a:extLst>
            <a:ext uri="{FF2B5EF4-FFF2-40B4-BE49-F238E27FC236}">
              <a16:creationId xmlns:a16="http://schemas.microsoft.com/office/drawing/2014/main" id="{00000000-0008-0000-0C00-0000B2441000}"/>
            </a:ext>
          </a:extLst>
        </xdr:cNvPr>
        <xdr:cNvSpPr>
          <a:spLocks noChangeShapeType="1"/>
        </xdr:cNvSpPr>
      </xdr:nvSpPr>
      <xdr:spPr bwMode="auto">
        <a:xfrm>
          <a:off x="20593050" y="6610350"/>
          <a:ext cx="390525"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57150</xdr:colOff>
      <xdr:row>34</xdr:row>
      <xdr:rowOff>152400</xdr:rowOff>
    </xdr:from>
    <xdr:to>
      <xdr:col>32</xdr:col>
      <xdr:colOff>9525</xdr:colOff>
      <xdr:row>39</xdr:row>
      <xdr:rowOff>104775</xdr:rowOff>
    </xdr:to>
    <xdr:sp macro="" textlink="">
      <xdr:nvSpPr>
        <xdr:cNvPr id="1066163" name="Line 156">
          <a:extLst>
            <a:ext uri="{FF2B5EF4-FFF2-40B4-BE49-F238E27FC236}">
              <a16:creationId xmlns:a16="http://schemas.microsoft.com/office/drawing/2014/main" id="{00000000-0008-0000-0C00-0000B3441000}"/>
            </a:ext>
          </a:extLst>
        </xdr:cNvPr>
        <xdr:cNvSpPr>
          <a:spLocks noChangeShapeType="1"/>
        </xdr:cNvSpPr>
      </xdr:nvSpPr>
      <xdr:spPr bwMode="auto">
        <a:xfrm flipV="1">
          <a:off x="20593050" y="6905625"/>
          <a:ext cx="400050" cy="857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57150</xdr:colOff>
      <xdr:row>39</xdr:row>
      <xdr:rowOff>104775</xdr:rowOff>
    </xdr:from>
    <xdr:to>
      <xdr:col>32</xdr:col>
      <xdr:colOff>0</xdr:colOff>
      <xdr:row>43</xdr:row>
      <xdr:rowOff>171450</xdr:rowOff>
    </xdr:to>
    <xdr:sp macro="" textlink="">
      <xdr:nvSpPr>
        <xdr:cNvPr id="1066164" name="Line 158">
          <a:extLst>
            <a:ext uri="{FF2B5EF4-FFF2-40B4-BE49-F238E27FC236}">
              <a16:creationId xmlns:a16="http://schemas.microsoft.com/office/drawing/2014/main" id="{00000000-0008-0000-0C00-0000B4441000}"/>
            </a:ext>
          </a:extLst>
        </xdr:cNvPr>
        <xdr:cNvSpPr>
          <a:spLocks noChangeShapeType="1"/>
        </xdr:cNvSpPr>
      </xdr:nvSpPr>
      <xdr:spPr bwMode="auto">
        <a:xfrm>
          <a:off x="20593050" y="7762875"/>
          <a:ext cx="390525" cy="7905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66675</xdr:colOff>
      <xdr:row>15</xdr:row>
      <xdr:rowOff>76200</xdr:rowOff>
    </xdr:from>
    <xdr:to>
      <xdr:col>35</xdr:col>
      <xdr:colOff>9525</xdr:colOff>
      <xdr:row>20</xdr:row>
      <xdr:rowOff>38100</xdr:rowOff>
    </xdr:to>
    <xdr:sp macro="" textlink="">
      <xdr:nvSpPr>
        <xdr:cNvPr id="1066165" name="Line 162">
          <a:extLst>
            <a:ext uri="{FF2B5EF4-FFF2-40B4-BE49-F238E27FC236}">
              <a16:creationId xmlns:a16="http://schemas.microsoft.com/office/drawing/2014/main" id="{00000000-0008-0000-0C00-0000B5441000}"/>
            </a:ext>
          </a:extLst>
        </xdr:cNvPr>
        <xdr:cNvSpPr>
          <a:spLocks noChangeShapeType="1"/>
        </xdr:cNvSpPr>
      </xdr:nvSpPr>
      <xdr:spPr bwMode="auto">
        <a:xfrm>
          <a:off x="22764750" y="3390900"/>
          <a:ext cx="352425" cy="866775"/>
        </a:xfrm>
        <a:prstGeom prst="line">
          <a:avLst/>
        </a:prstGeom>
        <a:noFill/>
        <a:ln w="19050">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66675</xdr:colOff>
      <xdr:row>16</xdr:row>
      <xdr:rowOff>161925</xdr:rowOff>
    </xdr:from>
    <xdr:to>
      <xdr:col>35</xdr:col>
      <xdr:colOff>0</xdr:colOff>
      <xdr:row>21</xdr:row>
      <xdr:rowOff>104775</xdr:rowOff>
    </xdr:to>
    <xdr:sp macro="" textlink="">
      <xdr:nvSpPr>
        <xdr:cNvPr id="1066166" name="Line 163">
          <a:extLst>
            <a:ext uri="{FF2B5EF4-FFF2-40B4-BE49-F238E27FC236}">
              <a16:creationId xmlns:a16="http://schemas.microsoft.com/office/drawing/2014/main" id="{00000000-0008-0000-0C00-0000B6441000}"/>
            </a:ext>
          </a:extLst>
        </xdr:cNvPr>
        <xdr:cNvSpPr>
          <a:spLocks noChangeShapeType="1"/>
        </xdr:cNvSpPr>
      </xdr:nvSpPr>
      <xdr:spPr bwMode="auto">
        <a:xfrm flipV="1">
          <a:off x="22764750" y="3657600"/>
          <a:ext cx="342900" cy="8477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76200</xdr:colOff>
      <xdr:row>27</xdr:row>
      <xdr:rowOff>76200</xdr:rowOff>
    </xdr:from>
    <xdr:to>
      <xdr:col>35</xdr:col>
      <xdr:colOff>0</xdr:colOff>
      <xdr:row>32</xdr:row>
      <xdr:rowOff>9525</xdr:rowOff>
    </xdr:to>
    <xdr:sp macro="" textlink="">
      <xdr:nvSpPr>
        <xdr:cNvPr id="1066167" name="Line 164">
          <a:extLst>
            <a:ext uri="{FF2B5EF4-FFF2-40B4-BE49-F238E27FC236}">
              <a16:creationId xmlns:a16="http://schemas.microsoft.com/office/drawing/2014/main" id="{00000000-0008-0000-0C00-0000B7441000}"/>
            </a:ext>
          </a:extLst>
        </xdr:cNvPr>
        <xdr:cNvSpPr>
          <a:spLocks noChangeShapeType="1"/>
        </xdr:cNvSpPr>
      </xdr:nvSpPr>
      <xdr:spPr bwMode="auto">
        <a:xfrm>
          <a:off x="22774275" y="5562600"/>
          <a:ext cx="333375" cy="838200"/>
        </a:xfrm>
        <a:prstGeom prst="line">
          <a:avLst/>
        </a:prstGeom>
        <a:noFill/>
        <a:ln w="19050">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66675</xdr:colOff>
      <xdr:row>28</xdr:row>
      <xdr:rowOff>171450</xdr:rowOff>
    </xdr:from>
    <xdr:to>
      <xdr:col>35</xdr:col>
      <xdr:colOff>0</xdr:colOff>
      <xdr:row>33</xdr:row>
      <xdr:rowOff>114300</xdr:rowOff>
    </xdr:to>
    <xdr:sp macro="" textlink="">
      <xdr:nvSpPr>
        <xdr:cNvPr id="1066168" name="Line 165">
          <a:extLst>
            <a:ext uri="{FF2B5EF4-FFF2-40B4-BE49-F238E27FC236}">
              <a16:creationId xmlns:a16="http://schemas.microsoft.com/office/drawing/2014/main" id="{00000000-0008-0000-0C00-0000B8441000}"/>
            </a:ext>
          </a:extLst>
        </xdr:cNvPr>
        <xdr:cNvSpPr>
          <a:spLocks noChangeShapeType="1"/>
        </xdr:cNvSpPr>
      </xdr:nvSpPr>
      <xdr:spPr bwMode="auto">
        <a:xfrm flipV="1">
          <a:off x="22764750" y="5838825"/>
          <a:ext cx="342900" cy="8477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76200</xdr:colOff>
      <xdr:row>58</xdr:row>
      <xdr:rowOff>0</xdr:rowOff>
    </xdr:from>
    <xdr:to>
      <xdr:col>34</xdr:col>
      <xdr:colOff>76200</xdr:colOff>
      <xdr:row>58</xdr:row>
      <xdr:rowOff>0</xdr:rowOff>
    </xdr:to>
    <xdr:sp macro="" textlink="">
      <xdr:nvSpPr>
        <xdr:cNvPr id="1066169" name="Line 176">
          <a:extLst>
            <a:ext uri="{FF2B5EF4-FFF2-40B4-BE49-F238E27FC236}">
              <a16:creationId xmlns:a16="http://schemas.microsoft.com/office/drawing/2014/main" id="{00000000-0008-0000-0C00-0000B9441000}"/>
            </a:ext>
          </a:extLst>
        </xdr:cNvPr>
        <xdr:cNvSpPr>
          <a:spLocks noChangeShapeType="1"/>
        </xdr:cNvSpPr>
      </xdr:nvSpPr>
      <xdr:spPr bwMode="auto">
        <a:xfrm>
          <a:off x="22774275" y="11096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76200</xdr:colOff>
      <xdr:row>58</xdr:row>
      <xdr:rowOff>0</xdr:rowOff>
    </xdr:from>
    <xdr:to>
      <xdr:col>34</xdr:col>
      <xdr:colOff>76200</xdr:colOff>
      <xdr:row>58</xdr:row>
      <xdr:rowOff>0</xdr:rowOff>
    </xdr:to>
    <xdr:sp macro="" textlink="">
      <xdr:nvSpPr>
        <xdr:cNvPr id="1066170" name="Line 210">
          <a:extLst>
            <a:ext uri="{FF2B5EF4-FFF2-40B4-BE49-F238E27FC236}">
              <a16:creationId xmlns:a16="http://schemas.microsoft.com/office/drawing/2014/main" id="{00000000-0008-0000-0C00-0000BA441000}"/>
            </a:ext>
          </a:extLst>
        </xdr:cNvPr>
        <xdr:cNvSpPr>
          <a:spLocks noChangeShapeType="1"/>
        </xdr:cNvSpPr>
      </xdr:nvSpPr>
      <xdr:spPr bwMode="auto">
        <a:xfrm>
          <a:off x="22774275" y="11096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57150</xdr:colOff>
      <xdr:row>39</xdr:row>
      <xdr:rowOff>76200</xdr:rowOff>
    </xdr:from>
    <xdr:to>
      <xdr:col>34</xdr:col>
      <xdr:colOff>400050</xdr:colOff>
      <xdr:row>44</xdr:row>
      <xdr:rowOff>0</xdr:rowOff>
    </xdr:to>
    <xdr:sp macro="" textlink="">
      <xdr:nvSpPr>
        <xdr:cNvPr id="1066171" name="Line 259">
          <a:extLst>
            <a:ext uri="{FF2B5EF4-FFF2-40B4-BE49-F238E27FC236}">
              <a16:creationId xmlns:a16="http://schemas.microsoft.com/office/drawing/2014/main" id="{00000000-0008-0000-0C00-0000BB441000}"/>
            </a:ext>
          </a:extLst>
        </xdr:cNvPr>
        <xdr:cNvSpPr>
          <a:spLocks noChangeShapeType="1"/>
        </xdr:cNvSpPr>
      </xdr:nvSpPr>
      <xdr:spPr bwMode="auto">
        <a:xfrm>
          <a:off x="22755225" y="7734300"/>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44</xdr:row>
      <xdr:rowOff>0</xdr:rowOff>
    </xdr:from>
    <xdr:to>
      <xdr:col>31</xdr:col>
      <xdr:colOff>76200</xdr:colOff>
      <xdr:row>44</xdr:row>
      <xdr:rowOff>9525</xdr:rowOff>
    </xdr:to>
    <xdr:sp macro="" textlink="">
      <xdr:nvSpPr>
        <xdr:cNvPr id="1066172" name="Line 283">
          <a:extLst>
            <a:ext uri="{FF2B5EF4-FFF2-40B4-BE49-F238E27FC236}">
              <a16:creationId xmlns:a16="http://schemas.microsoft.com/office/drawing/2014/main" id="{00000000-0008-0000-0C00-0000BC441000}"/>
            </a:ext>
          </a:extLst>
        </xdr:cNvPr>
        <xdr:cNvSpPr>
          <a:spLocks noChangeShapeType="1"/>
        </xdr:cNvSpPr>
      </xdr:nvSpPr>
      <xdr:spPr bwMode="auto">
        <a:xfrm>
          <a:off x="2053590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66675</xdr:colOff>
      <xdr:row>44</xdr:row>
      <xdr:rowOff>9525</xdr:rowOff>
    </xdr:from>
    <xdr:to>
      <xdr:col>31</xdr:col>
      <xdr:colOff>66675</xdr:colOff>
      <xdr:row>47</xdr:row>
      <xdr:rowOff>19050</xdr:rowOff>
    </xdr:to>
    <xdr:sp macro="" textlink="">
      <xdr:nvSpPr>
        <xdr:cNvPr id="1066173" name="Line 284">
          <a:extLst>
            <a:ext uri="{FF2B5EF4-FFF2-40B4-BE49-F238E27FC236}">
              <a16:creationId xmlns:a16="http://schemas.microsoft.com/office/drawing/2014/main" id="{00000000-0008-0000-0C00-0000BD441000}"/>
            </a:ext>
          </a:extLst>
        </xdr:cNvPr>
        <xdr:cNvSpPr>
          <a:spLocks noChangeShapeType="1"/>
        </xdr:cNvSpPr>
      </xdr:nvSpPr>
      <xdr:spPr bwMode="auto">
        <a:xfrm>
          <a:off x="20602575"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9525</xdr:colOff>
      <xdr:row>47</xdr:row>
      <xdr:rowOff>0</xdr:rowOff>
    </xdr:from>
    <xdr:to>
      <xdr:col>31</xdr:col>
      <xdr:colOff>66675</xdr:colOff>
      <xdr:row>47</xdr:row>
      <xdr:rowOff>9525</xdr:rowOff>
    </xdr:to>
    <xdr:sp macro="" textlink="">
      <xdr:nvSpPr>
        <xdr:cNvPr id="1066174" name="Line 285">
          <a:extLst>
            <a:ext uri="{FF2B5EF4-FFF2-40B4-BE49-F238E27FC236}">
              <a16:creationId xmlns:a16="http://schemas.microsoft.com/office/drawing/2014/main" id="{00000000-0008-0000-0C00-0000BE441000}"/>
            </a:ext>
          </a:extLst>
        </xdr:cNvPr>
        <xdr:cNvSpPr>
          <a:spLocks noChangeShapeType="1"/>
        </xdr:cNvSpPr>
      </xdr:nvSpPr>
      <xdr:spPr bwMode="auto">
        <a:xfrm flipV="1">
          <a:off x="2054542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44</xdr:row>
      <xdr:rowOff>0</xdr:rowOff>
    </xdr:from>
    <xdr:to>
      <xdr:col>34</xdr:col>
      <xdr:colOff>76200</xdr:colOff>
      <xdr:row>44</xdr:row>
      <xdr:rowOff>9525</xdr:rowOff>
    </xdr:to>
    <xdr:sp macro="" textlink="">
      <xdr:nvSpPr>
        <xdr:cNvPr id="1066175" name="Line 286">
          <a:extLst>
            <a:ext uri="{FF2B5EF4-FFF2-40B4-BE49-F238E27FC236}">
              <a16:creationId xmlns:a16="http://schemas.microsoft.com/office/drawing/2014/main" id="{00000000-0008-0000-0C00-0000BF441000}"/>
            </a:ext>
          </a:extLst>
        </xdr:cNvPr>
        <xdr:cNvSpPr>
          <a:spLocks noChangeShapeType="1"/>
        </xdr:cNvSpPr>
      </xdr:nvSpPr>
      <xdr:spPr bwMode="auto">
        <a:xfrm>
          <a:off x="2269807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66675</xdr:colOff>
      <xdr:row>44</xdr:row>
      <xdr:rowOff>9525</xdr:rowOff>
    </xdr:from>
    <xdr:to>
      <xdr:col>34</xdr:col>
      <xdr:colOff>66675</xdr:colOff>
      <xdr:row>47</xdr:row>
      <xdr:rowOff>19050</xdr:rowOff>
    </xdr:to>
    <xdr:sp macro="" textlink="">
      <xdr:nvSpPr>
        <xdr:cNvPr id="1066176" name="Line 287">
          <a:extLst>
            <a:ext uri="{FF2B5EF4-FFF2-40B4-BE49-F238E27FC236}">
              <a16:creationId xmlns:a16="http://schemas.microsoft.com/office/drawing/2014/main" id="{00000000-0008-0000-0C00-0000C0441000}"/>
            </a:ext>
          </a:extLst>
        </xdr:cNvPr>
        <xdr:cNvSpPr>
          <a:spLocks noChangeShapeType="1"/>
        </xdr:cNvSpPr>
      </xdr:nvSpPr>
      <xdr:spPr bwMode="auto">
        <a:xfrm>
          <a:off x="22764750"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47</xdr:row>
      <xdr:rowOff>0</xdr:rowOff>
    </xdr:from>
    <xdr:to>
      <xdr:col>34</xdr:col>
      <xdr:colOff>66675</xdr:colOff>
      <xdr:row>47</xdr:row>
      <xdr:rowOff>9525</xdr:rowOff>
    </xdr:to>
    <xdr:sp macro="" textlink="">
      <xdr:nvSpPr>
        <xdr:cNvPr id="1066177" name="Line 288">
          <a:extLst>
            <a:ext uri="{FF2B5EF4-FFF2-40B4-BE49-F238E27FC236}">
              <a16:creationId xmlns:a16="http://schemas.microsoft.com/office/drawing/2014/main" id="{00000000-0008-0000-0C00-0000C1441000}"/>
            </a:ext>
          </a:extLst>
        </xdr:cNvPr>
        <xdr:cNvSpPr>
          <a:spLocks noChangeShapeType="1"/>
        </xdr:cNvSpPr>
      </xdr:nvSpPr>
      <xdr:spPr bwMode="auto">
        <a:xfrm flipV="1">
          <a:off x="22707600"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44</xdr:row>
      <xdr:rowOff>0</xdr:rowOff>
    </xdr:from>
    <xdr:to>
      <xdr:col>37</xdr:col>
      <xdr:colOff>76200</xdr:colOff>
      <xdr:row>44</xdr:row>
      <xdr:rowOff>9525</xdr:rowOff>
    </xdr:to>
    <xdr:sp macro="" textlink="">
      <xdr:nvSpPr>
        <xdr:cNvPr id="1066178" name="Line 289">
          <a:extLst>
            <a:ext uri="{FF2B5EF4-FFF2-40B4-BE49-F238E27FC236}">
              <a16:creationId xmlns:a16="http://schemas.microsoft.com/office/drawing/2014/main" id="{00000000-0008-0000-0C00-0000C2441000}"/>
            </a:ext>
          </a:extLst>
        </xdr:cNvPr>
        <xdr:cNvSpPr>
          <a:spLocks noChangeShapeType="1"/>
        </xdr:cNvSpPr>
      </xdr:nvSpPr>
      <xdr:spPr bwMode="auto">
        <a:xfrm>
          <a:off x="2479357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44</xdr:row>
      <xdr:rowOff>9525</xdr:rowOff>
    </xdr:from>
    <xdr:to>
      <xdr:col>37</xdr:col>
      <xdr:colOff>66675</xdr:colOff>
      <xdr:row>47</xdr:row>
      <xdr:rowOff>19050</xdr:rowOff>
    </xdr:to>
    <xdr:sp macro="" textlink="">
      <xdr:nvSpPr>
        <xdr:cNvPr id="1066179" name="Line 290">
          <a:extLst>
            <a:ext uri="{FF2B5EF4-FFF2-40B4-BE49-F238E27FC236}">
              <a16:creationId xmlns:a16="http://schemas.microsoft.com/office/drawing/2014/main" id="{00000000-0008-0000-0C00-0000C3441000}"/>
            </a:ext>
          </a:extLst>
        </xdr:cNvPr>
        <xdr:cNvSpPr>
          <a:spLocks noChangeShapeType="1"/>
        </xdr:cNvSpPr>
      </xdr:nvSpPr>
      <xdr:spPr bwMode="auto">
        <a:xfrm>
          <a:off x="24860250"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47</xdr:row>
      <xdr:rowOff>0</xdr:rowOff>
    </xdr:from>
    <xdr:to>
      <xdr:col>37</xdr:col>
      <xdr:colOff>66675</xdr:colOff>
      <xdr:row>47</xdr:row>
      <xdr:rowOff>9525</xdr:rowOff>
    </xdr:to>
    <xdr:sp macro="" textlink="">
      <xdr:nvSpPr>
        <xdr:cNvPr id="1066180" name="Line 291">
          <a:extLst>
            <a:ext uri="{FF2B5EF4-FFF2-40B4-BE49-F238E27FC236}">
              <a16:creationId xmlns:a16="http://schemas.microsoft.com/office/drawing/2014/main" id="{00000000-0008-0000-0C00-0000C4441000}"/>
            </a:ext>
          </a:extLst>
        </xdr:cNvPr>
        <xdr:cNvSpPr>
          <a:spLocks noChangeShapeType="1"/>
        </xdr:cNvSpPr>
      </xdr:nvSpPr>
      <xdr:spPr bwMode="auto">
        <a:xfrm flipV="1">
          <a:off x="24803100"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44</xdr:row>
      <xdr:rowOff>0</xdr:rowOff>
    </xdr:from>
    <xdr:to>
      <xdr:col>37</xdr:col>
      <xdr:colOff>76200</xdr:colOff>
      <xdr:row>44</xdr:row>
      <xdr:rowOff>9525</xdr:rowOff>
    </xdr:to>
    <xdr:sp macro="" textlink="">
      <xdr:nvSpPr>
        <xdr:cNvPr id="1066181" name="Line 292">
          <a:extLst>
            <a:ext uri="{FF2B5EF4-FFF2-40B4-BE49-F238E27FC236}">
              <a16:creationId xmlns:a16="http://schemas.microsoft.com/office/drawing/2014/main" id="{00000000-0008-0000-0C00-0000C5441000}"/>
            </a:ext>
          </a:extLst>
        </xdr:cNvPr>
        <xdr:cNvSpPr>
          <a:spLocks noChangeShapeType="1"/>
        </xdr:cNvSpPr>
      </xdr:nvSpPr>
      <xdr:spPr bwMode="auto">
        <a:xfrm>
          <a:off x="2479357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44</xdr:row>
      <xdr:rowOff>9525</xdr:rowOff>
    </xdr:from>
    <xdr:to>
      <xdr:col>37</xdr:col>
      <xdr:colOff>66675</xdr:colOff>
      <xdr:row>47</xdr:row>
      <xdr:rowOff>19050</xdr:rowOff>
    </xdr:to>
    <xdr:sp macro="" textlink="">
      <xdr:nvSpPr>
        <xdr:cNvPr id="1066182" name="Line 293">
          <a:extLst>
            <a:ext uri="{FF2B5EF4-FFF2-40B4-BE49-F238E27FC236}">
              <a16:creationId xmlns:a16="http://schemas.microsoft.com/office/drawing/2014/main" id="{00000000-0008-0000-0C00-0000C6441000}"/>
            </a:ext>
          </a:extLst>
        </xdr:cNvPr>
        <xdr:cNvSpPr>
          <a:spLocks noChangeShapeType="1"/>
        </xdr:cNvSpPr>
      </xdr:nvSpPr>
      <xdr:spPr bwMode="auto">
        <a:xfrm>
          <a:off x="24860250"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47</xdr:row>
      <xdr:rowOff>0</xdr:rowOff>
    </xdr:from>
    <xdr:to>
      <xdr:col>37</xdr:col>
      <xdr:colOff>66675</xdr:colOff>
      <xdr:row>47</xdr:row>
      <xdr:rowOff>9525</xdr:rowOff>
    </xdr:to>
    <xdr:sp macro="" textlink="">
      <xdr:nvSpPr>
        <xdr:cNvPr id="1066183" name="Line 294">
          <a:extLst>
            <a:ext uri="{FF2B5EF4-FFF2-40B4-BE49-F238E27FC236}">
              <a16:creationId xmlns:a16="http://schemas.microsoft.com/office/drawing/2014/main" id="{00000000-0008-0000-0C00-0000C7441000}"/>
            </a:ext>
          </a:extLst>
        </xdr:cNvPr>
        <xdr:cNvSpPr>
          <a:spLocks noChangeShapeType="1"/>
        </xdr:cNvSpPr>
      </xdr:nvSpPr>
      <xdr:spPr bwMode="auto">
        <a:xfrm flipV="1">
          <a:off x="24803100"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76200</xdr:colOff>
      <xdr:row>45</xdr:row>
      <xdr:rowOff>66675</xdr:rowOff>
    </xdr:from>
    <xdr:to>
      <xdr:col>38</xdr:col>
      <xdr:colOff>9525</xdr:colOff>
      <xdr:row>47</xdr:row>
      <xdr:rowOff>19050</xdr:rowOff>
    </xdr:to>
    <xdr:sp macro="" textlink="">
      <xdr:nvSpPr>
        <xdr:cNvPr id="1066184" name="Line 295">
          <a:extLst>
            <a:ext uri="{FF2B5EF4-FFF2-40B4-BE49-F238E27FC236}">
              <a16:creationId xmlns:a16="http://schemas.microsoft.com/office/drawing/2014/main" id="{00000000-0008-0000-0C00-0000C8441000}"/>
            </a:ext>
          </a:extLst>
        </xdr:cNvPr>
        <xdr:cNvSpPr>
          <a:spLocks noChangeShapeType="1"/>
        </xdr:cNvSpPr>
      </xdr:nvSpPr>
      <xdr:spPr bwMode="auto">
        <a:xfrm>
          <a:off x="24869775" y="88106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0</xdr:colOff>
      <xdr:row>44</xdr:row>
      <xdr:rowOff>0</xdr:rowOff>
    </xdr:from>
    <xdr:to>
      <xdr:col>37</xdr:col>
      <xdr:colOff>76200</xdr:colOff>
      <xdr:row>44</xdr:row>
      <xdr:rowOff>9525</xdr:rowOff>
    </xdr:to>
    <xdr:sp macro="" textlink="">
      <xdr:nvSpPr>
        <xdr:cNvPr id="1066185" name="Line 296">
          <a:extLst>
            <a:ext uri="{FF2B5EF4-FFF2-40B4-BE49-F238E27FC236}">
              <a16:creationId xmlns:a16="http://schemas.microsoft.com/office/drawing/2014/main" id="{00000000-0008-0000-0C00-0000C9441000}"/>
            </a:ext>
          </a:extLst>
        </xdr:cNvPr>
        <xdr:cNvSpPr>
          <a:spLocks noChangeShapeType="1"/>
        </xdr:cNvSpPr>
      </xdr:nvSpPr>
      <xdr:spPr bwMode="auto">
        <a:xfrm>
          <a:off x="2479357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44</xdr:row>
      <xdr:rowOff>9525</xdr:rowOff>
    </xdr:from>
    <xdr:to>
      <xdr:col>37</xdr:col>
      <xdr:colOff>66675</xdr:colOff>
      <xdr:row>47</xdr:row>
      <xdr:rowOff>19050</xdr:rowOff>
    </xdr:to>
    <xdr:sp macro="" textlink="">
      <xdr:nvSpPr>
        <xdr:cNvPr id="1066186" name="Line 297">
          <a:extLst>
            <a:ext uri="{FF2B5EF4-FFF2-40B4-BE49-F238E27FC236}">
              <a16:creationId xmlns:a16="http://schemas.microsoft.com/office/drawing/2014/main" id="{00000000-0008-0000-0C00-0000CA441000}"/>
            </a:ext>
          </a:extLst>
        </xdr:cNvPr>
        <xdr:cNvSpPr>
          <a:spLocks noChangeShapeType="1"/>
        </xdr:cNvSpPr>
      </xdr:nvSpPr>
      <xdr:spPr bwMode="auto">
        <a:xfrm>
          <a:off x="24860250"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47</xdr:row>
      <xdr:rowOff>0</xdr:rowOff>
    </xdr:from>
    <xdr:to>
      <xdr:col>37</xdr:col>
      <xdr:colOff>66675</xdr:colOff>
      <xdr:row>47</xdr:row>
      <xdr:rowOff>9525</xdr:rowOff>
    </xdr:to>
    <xdr:sp macro="" textlink="">
      <xdr:nvSpPr>
        <xdr:cNvPr id="1066187" name="Line 298">
          <a:extLst>
            <a:ext uri="{FF2B5EF4-FFF2-40B4-BE49-F238E27FC236}">
              <a16:creationId xmlns:a16="http://schemas.microsoft.com/office/drawing/2014/main" id="{00000000-0008-0000-0C00-0000CB441000}"/>
            </a:ext>
          </a:extLst>
        </xdr:cNvPr>
        <xdr:cNvSpPr>
          <a:spLocks noChangeShapeType="1"/>
        </xdr:cNvSpPr>
      </xdr:nvSpPr>
      <xdr:spPr bwMode="auto">
        <a:xfrm flipV="1">
          <a:off x="24803100"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57150</xdr:colOff>
      <xdr:row>43</xdr:row>
      <xdr:rowOff>171450</xdr:rowOff>
    </xdr:from>
    <xdr:to>
      <xdr:col>38</xdr:col>
      <xdr:colOff>9525</xdr:colOff>
      <xdr:row>45</xdr:row>
      <xdr:rowOff>47625</xdr:rowOff>
    </xdr:to>
    <xdr:sp macro="" textlink="">
      <xdr:nvSpPr>
        <xdr:cNvPr id="1066188" name="Line 299">
          <a:extLst>
            <a:ext uri="{FF2B5EF4-FFF2-40B4-BE49-F238E27FC236}">
              <a16:creationId xmlns:a16="http://schemas.microsoft.com/office/drawing/2014/main" id="{00000000-0008-0000-0C00-0000CC441000}"/>
            </a:ext>
          </a:extLst>
        </xdr:cNvPr>
        <xdr:cNvSpPr>
          <a:spLocks noChangeShapeType="1"/>
        </xdr:cNvSpPr>
      </xdr:nvSpPr>
      <xdr:spPr bwMode="auto">
        <a:xfrm flipV="1">
          <a:off x="24850725" y="8553450"/>
          <a:ext cx="3619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44</xdr:row>
      <xdr:rowOff>0</xdr:rowOff>
    </xdr:from>
    <xdr:to>
      <xdr:col>34</xdr:col>
      <xdr:colOff>76200</xdr:colOff>
      <xdr:row>44</xdr:row>
      <xdr:rowOff>9525</xdr:rowOff>
    </xdr:to>
    <xdr:sp macro="" textlink="">
      <xdr:nvSpPr>
        <xdr:cNvPr id="1066189" name="Line 300">
          <a:extLst>
            <a:ext uri="{FF2B5EF4-FFF2-40B4-BE49-F238E27FC236}">
              <a16:creationId xmlns:a16="http://schemas.microsoft.com/office/drawing/2014/main" id="{00000000-0008-0000-0C00-0000CD441000}"/>
            </a:ext>
          </a:extLst>
        </xdr:cNvPr>
        <xdr:cNvSpPr>
          <a:spLocks noChangeShapeType="1"/>
        </xdr:cNvSpPr>
      </xdr:nvSpPr>
      <xdr:spPr bwMode="auto">
        <a:xfrm>
          <a:off x="2269807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66675</xdr:colOff>
      <xdr:row>44</xdr:row>
      <xdr:rowOff>9525</xdr:rowOff>
    </xdr:from>
    <xdr:to>
      <xdr:col>34</xdr:col>
      <xdr:colOff>66675</xdr:colOff>
      <xdr:row>47</xdr:row>
      <xdr:rowOff>19050</xdr:rowOff>
    </xdr:to>
    <xdr:sp macro="" textlink="">
      <xdr:nvSpPr>
        <xdr:cNvPr id="1066190" name="Line 301">
          <a:extLst>
            <a:ext uri="{FF2B5EF4-FFF2-40B4-BE49-F238E27FC236}">
              <a16:creationId xmlns:a16="http://schemas.microsoft.com/office/drawing/2014/main" id="{00000000-0008-0000-0C00-0000CE441000}"/>
            </a:ext>
          </a:extLst>
        </xdr:cNvPr>
        <xdr:cNvSpPr>
          <a:spLocks noChangeShapeType="1"/>
        </xdr:cNvSpPr>
      </xdr:nvSpPr>
      <xdr:spPr bwMode="auto">
        <a:xfrm>
          <a:off x="22764750"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47</xdr:row>
      <xdr:rowOff>0</xdr:rowOff>
    </xdr:from>
    <xdr:to>
      <xdr:col>34</xdr:col>
      <xdr:colOff>66675</xdr:colOff>
      <xdr:row>47</xdr:row>
      <xdr:rowOff>9525</xdr:rowOff>
    </xdr:to>
    <xdr:sp macro="" textlink="">
      <xdr:nvSpPr>
        <xdr:cNvPr id="1066191" name="Line 302">
          <a:extLst>
            <a:ext uri="{FF2B5EF4-FFF2-40B4-BE49-F238E27FC236}">
              <a16:creationId xmlns:a16="http://schemas.microsoft.com/office/drawing/2014/main" id="{00000000-0008-0000-0C00-0000CF441000}"/>
            </a:ext>
          </a:extLst>
        </xdr:cNvPr>
        <xdr:cNvSpPr>
          <a:spLocks noChangeShapeType="1"/>
        </xdr:cNvSpPr>
      </xdr:nvSpPr>
      <xdr:spPr bwMode="auto">
        <a:xfrm flipV="1">
          <a:off x="22707600"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50</xdr:row>
      <xdr:rowOff>0</xdr:rowOff>
    </xdr:from>
    <xdr:to>
      <xdr:col>31</xdr:col>
      <xdr:colOff>76200</xdr:colOff>
      <xdr:row>50</xdr:row>
      <xdr:rowOff>9525</xdr:rowOff>
    </xdr:to>
    <xdr:sp macro="" textlink="">
      <xdr:nvSpPr>
        <xdr:cNvPr id="1066192" name="Line 303">
          <a:extLst>
            <a:ext uri="{FF2B5EF4-FFF2-40B4-BE49-F238E27FC236}">
              <a16:creationId xmlns:a16="http://schemas.microsoft.com/office/drawing/2014/main" id="{00000000-0008-0000-0C00-0000D0441000}"/>
            </a:ext>
          </a:extLst>
        </xdr:cNvPr>
        <xdr:cNvSpPr>
          <a:spLocks noChangeShapeType="1"/>
        </xdr:cNvSpPr>
      </xdr:nvSpPr>
      <xdr:spPr bwMode="auto">
        <a:xfrm>
          <a:off x="2053590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66675</xdr:colOff>
      <xdr:row>50</xdr:row>
      <xdr:rowOff>9525</xdr:rowOff>
    </xdr:from>
    <xdr:to>
      <xdr:col>31</xdr:col>
      <xdr:colOff>66675</xdr:colOff>
      <xdr:row>53</xdr:row>
      <xdr:rowOff>19050</xdr:rowOff>
    </xdr:to>
    <xdr:sp macro="" textlink="">
      <xdr:nvSpPr>
        <xdr:cNvPr id="1066193" name="Line 304">
          <a:extLst>
            <a:ext uri="{FF2B5EF4-FFF2-40B4-BE49-F238E27FC236}">
              <a16:creationId xmlns:a16="http://schemas.microsoft.com/office/drawing/2014/main" id="{00000000-0008-0000-0C00-0000D1441000}"/>
            </a:ext>
          </a:extLst>
        </xdr:cNvPr>
        <xdr:cNvSpPr>
          <a:spLocks noChangeShapeType="1"/>
        </xdr:cNvSpPr>
      </xdr:nvSpPr>
      <xdr:spPr bwMode="auto">
        <a:xfrm>
          <a:off x="20602575"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9525</xdr:colOff>
      <xdr:row>53</xdr:row>
      <xdr:rowOff>0</xdr:rowOff>
    </xdr:from>
    <xdr:to>
      <xdr:col>31</xdr:col>
      <xdr:colOff>66675</xdr:colOff>
      <xdr:row>53</xdr:row>
      <xdr:rowOff>9525</xdr:rowOff>
    </xdr:to>
    <xdr:sp macro="" textlink="">
      <xdr:nvSpPr>
        <xdr:cNvPr id="1066194" name="Line 305">
          <a:extLst>
            <a:ext uri="{FF2B5EF4-FFF2-40B4-BE49-F238E27FC236}">
              <a16:creationId xmlns:a16="http://schemas.microsoft.com/office/drawing/2014/main" id="{00000000-0008-0000-0C00-0000D2441000}"/>
            </a:ext>
          </a:extLst>
        </xdr:cNvPr>
        <xdr:cNvSpPr>
          <a:spLocks noChangeShapeType="1"/>
        </xdr:cNvSpPr>
      </xdr:nvSpPr>
      <xdr:spPr bwMode="auto">
        <a:xfrm flipV="1">
          <a:off x="2054542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50</xdr:row>
      <xdr:rowOff>0</xdr:rowOff>
    </xdr:from>
    <xdr:to>
      <xdr:col>34</xdr:col>
      <xdr:colOff>76200</xdr:colOff>
      <xdr:row>50</xdr:row>
      <xdr:rowOff>9525</xdr:rowOff>
    </xdr:to>
    <xdr:sp macro="" textlink="">
      <xdr:nvSpPr>
        <xdr:cNvPr id="1066195" name="Line 306">
          <a:extLst>
            <a:ext uri="{FF2B5EF4-FFF2-40B4-BE49-F238E27FC236}">
              <a16:creationId xmlns:a16="http://schemas.microsoft.com/office/drawing/2014/main" id="{00000000-0008-0000-0C00-0000D3441000}"/>
            </a:ext>
          </a:extLst>
        </xdr:cNvPr>
        <xdr:cNvSpPr>
          <a:spLocks noChangeShapeType="1"/>
        </xdr:cNvSpPr>
      </xdr:nvSpPr>
      <xdr:spPr bwMode="auto">
        <a:xfrm>
          <a:off x="22698075"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66675</xdr:colOff>
      <xdr:row>50</xdr:row>
      <xdr:rowOff>9525</xdr:rowOff>
    </xdr:from>
    <xdr:to>
      <xdr:col>34</xdr:col>
      <xdr:colOff>66675</xdr:colOff>
      <xdr:row>53</xdr:row>
      <xdr:rowOff>19050</xdr:rowOff>
    </xdr:to>
    <xdr:sp macro="" textlink="">
      <xdr:nvSpPr>
        <xdr:cNvPr id="1066196" name="Line 307">
          <a:extLst>
            <a:ext uri="{FF2B5EF4-FFF2-40B4-BE49-F238E27FC236}">
              <a16:creationId xmlns:a16="http://schemas.microsoft.com/office/drawing/2014/main" id="{00000000-0008-0000-0C00-0000D4441000}"/>
            </a:ext>
          </a:extLst>
        </xdr:cNvPr>
        <xdr:cNvSpPr>
          <a:spLocks noChangeShapeType="1"/>
        </xdr:cNvSpPr>
      </xdr:nvSpPr>
      <xdr:spPr bwMode="auto">
        <a:xfrm>
          <a:off x="22764750"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53</xdr:row>
      <xdr:rowOff>0</xdr:rowOff>
    </xdr:from>
    <xdr:to>
      <xdr:col>34</xdr:col>
      <xdr:colOff>66675</xdr:colOff>
      <xdr:row>53</xdr:row>
      <xdr:rowOff>9525</xdr:rowOff>
    </xdr:to>
    <xdr:sp macro="" textlink="">
      <xdr:nvSpPr>
        <xdr:cNvPr id="1066197" name="Line 308">
          <a:extLst>
            <a:ext uri="{FF2B5EF4-FFF2-40B4-BE49-F238E27FC236}">
              <a16:creationId xmlns:a16="http://schemas.microsoft.com/office/drawing/2014/main" id="{00000000-0008-0000-0C00-0000D5441000}"/>
            </a:ext>
          </a:extLst>
        </xdr:cNvPr>
        <xdr:cNvSpPr>
          <a:spLocks noChangeShapeType="1"/>
        </xdr:cNvSpPr>
      </xdr:nvSpPr>
      <xdr:spPr bwMode="auto">
        <a:xfrm flipV="1">
          <a:off x="22707600"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50</xdr:row>
      <xdr:rowOff>0</xdr:rowOff>
    </xdr:from>
    <xdr:to>
      <xdr:col>37</xdr:col>
      <xdr:colOff>76200</xdr:colOff>
      <xdr:row>50</xdr:row>
      <xdr:rowOff>9525</xdr:rowOff>
    </xdr:to>
    <xdr:sp macro="" textlink="">
      <xdr:nvSpPr>
        <xdr:cNvPr id="1066198" name="Line 309">
          <a:extLst>
            <a:ext uri="{FF2B5EF4-FFF2-40B4-BE49-F238E27FC236}">
              <a16:creationId xmlns:a16="http://schemas.microsoft.com/office/drawing/2014/main" id="{00000000-0008-0000-0C00-0000D6441000}"/>
            </a:ext>
          </a:extLst>
        </xdr:cNvPr>
        <xdr:cNvSpPr>
          <a:spLocks noChangeShapeType="1"/>
        </xdr:cNvSpPr>
      </xdr:nvSpPr>
      <xdr:spPr bwMode="auto">
        <a:xfrm>
          <a:off x="24793575"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50</xdr:row>
      <xdr:rowOff>9525</xdr:rowOff>
    </xdr:from>
    <xdr:to>
      <xdr:col>37</xdr:col>
      <xdr:colOff>66675</xdr:colOff>
      <xdr:row>53</xdr:row>
      <xdr:rowOff>19050</xdr:rowOff>
    </xdr:to>
    <xdr:sp macro="" textlink="">
      <xdr:nvSpPr>
        <xdr:cNvPr id="1066199" name="Line 310">
          <a:extLst>
            <a:ext uri="{FF2B5EF4-FFF2-40B4-BE49-F238E27FC236}">
              <a16:creationId xmlns:a16="http://schemas.microsoft.com/office/drawing/2014/main" id="{00000000-0008-0000-0C00-0000D7441000}"/>
            </a:ext>
          </a:extLst>
        </xdr:cNvPr>
        <xdr:cNvSpPr>
          <a:spLocks noChangeShapeType="1"/>
        </xdr:cNvSpPr>
      </xdr:nvSpPr>
      <xdr:spPr bwMode="auto">
        <a:xfrm>
          <a:off x="24860250"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53</xdr:row>
      <xdr:rowOff>0</xdr:rowOff>
    </xdr:from>
    <xdr:to>
      <xdr:col>37</xdr:col>
      <xdr:colOff>66675</xdr:colOff>
      <xdr:row>53</xdr:row>
      <xdr:rowOff>9525</xdr:rowOff>
    </xdr:to>
    <xdr:sp macro="" textlink="">
      <xdr:nvSpPr>
        <xdr:cNvPr id="1066200" name="Line 311">
          <a:extLst>
            <a:ext uri="{FF2B5EF4-FFF2-40B4-BE49-F238E27FC236}">
              <a16:creationId xmlns:a16="http://schemas.microsoft.com/office/drawing/2014/main" id="{00000000-0008-0000-0C00-0000D8441000}"/>
            </a:ext>
          </a:extLst>
        </xdr:cNvPr>
        <xdr:cNvSpPr>
          <a:spLocks noChangeShapeType="1"/>
        </xdr:cNvSpPr>
      </xdr:nvSpPr>
      <xdr:spPr bwMode="auto">
        <a:xfrm flipV="1">
          <a:off x="24803100"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50</xdr:row>
      <xdr:rowOff>0</xdr:rowOff>
    </xdr:from>
    <xdr:to>
      <xdr:col>37</xdr:col>
      <xdr:colOff>76200</xdr:colOff>
      <xdr:row>50</xdr:row>
      <xdr:rowOff>9525</xdr:rowOff>
    </xdr:to>
    <xdr:sp macro="" textlink="">
      <xdr:nvSpPr>
        <xdr:cNvPr id="1066201" name="Line 312">
          <a:extLst>
            <a:ext uri="{FF2B5EF4-FFF2-40B4-BE49-F238E27FC236}">
              <a16:creationId xmlns:a16="http://schemas.microsoft.com/office/drawing/2014/main" id="{00000000-0008-0000-0C00-0000D9441000}"/>
            </a:ext>
          </a:extLst>
        </xdr:cNvPr>
        <xdr:cNvSpPr>
          <a:spLocks noChangeShapeType="1"/>
        </xdr:cNvSpPr>
      </xdr:nvSpPr>
      <xdr:spPr bwMode="auto">
        <a:xfrm>
          <a:off x="24793575"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50</xdr:row>
      <xdr:rowOff>9525</xdr:rowOff>
    </xdr:from>
    <xdr:to>
      <xdr:col>37</xdr:col>
      <xdr:colOff>66675</xdr:colOff>
      <xdr:row>53</xdr:row>
      <xdr:rowOff>19050</xdr:rowOff>
    </xdr:to>
    <xdr:sp macro="" textlink="">
      <xdr:nvSpPr>
        <xdr:cNvPr id="1066202" name="Line 313">
          <a:extLst>
            <a:ext uri="{FF2B5EF4-FFF2-40B4-BE49-F238E27FC236}">
              <a16:creationId xmlns:a16="http://schemas.microsoft.com/office/drawing/2014/main" id="{00000000-0008-0000-0C00-0000DA441000}"/>
            </a:ext>
          </a:extLst>
        </xdr:cNvPr>
        <xdr:cNvSpPr>
          <a:spLocks noChangeShapeType="1"/>
        </xdr:cNvSpPr>
      </xdr:nvSpPr>
      <xdr:spPr bwMode="auto">
        <a:xfrm>
          <a:off x="24860250"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53</xdr:row>
      <xdr:rowOff>0</xdr:rowOff>
    </xdr:from>
    <xdr:to>
      <xdr:col>37</xdr:col>
      <xdr:colOff>66675</xdr:colOff>
      <xdr:row>53</xdr:row>
      <xdr:rowOff>9525</xdr:rowOff>
    </xdr:to>
    <xdr:sp macro="" textlink="">
      <xdr:nvSpPr>
        <xdr:cNvPr id="1066203" name="Line 314">
          <a:extLst>
            <a:ext uri="{FF2B5EF4-FFF2-40B4-BE49-F238E27FC236}">
              <a16:creationId xmlns:a16="http://schemas.microsoft.com/office/drawing/2014/main" id="{00000000-0008-0000-0C00-0000DB441000}"/>
            </a:ext>
          </a:extLst>
        </xdr:cNvPr>
        <xdr:cNvSpPr>
          <a:spLocks noChangeShapeType="1"/>
        </xdr:cNvSpPr>
      </xdr:nvSpPr>
      <xdr:spPr bwMode="auto">
        <a:xfrm flipV="1">
          <a:off x="24803100"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76200</xdr:colOff>
      <xdr:row>51</xdr:row>
      <xdr:rowOff>66675</xdr:rowOff>
    </xdr:from>
    <xdr:to>
      <xdr:col>38</xdr:col>
      <xdr:colOff>9525</xdr:colOff>
      <xdr:row>53</xdr:row>
      <xdr:rowOff>19050</xdr:rowOff>
    </xdr:to>
    <xdr:sp macro="" textlink="">
      <xdr:nvSpPr>
        <xdr:cNvPr id="1066204" name="Line 315">
          <a:extLst>
            <a:ext uri="{FF2B5EF4-FFF2-40B4-BE49-F238E27FC236}">
              <a16:creationId xmlns:a16="http://schemas.microsoft.com/office/drawing/2014/main" id="{00000000-0008-0000-0C00-0000DC441000}"/>
            </a:ext>
          </a:extLst>
        </xdr:cNvPr>
        <xdr:cNvSpPr>
          <a:spLocks noChangeShapeType="1"/>
        </xdr:cNvSpPr>
      </xdr:nvSpPr>
      <xdr:spPr bwMode="auto">
        <a:xfrm>
          <a:off x="24869775" y="98964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0</xdr:colOff>
      <xdr:row>50</xdr:row>
      <xdr:rowOff>0</xdr:rowOff>
    </xdr:from>
    <xdr:to>
      <xdr:col>37</xdr:col>
      <xdr:colOff>76200</xdr:colOff>
      <xdr:row>50</xdr:row>
      <xdr:rowOff>9525</xdr:rowOff>
    </xdr:to>
    <xdr:sp macro="" textlink="">
      <xdr:nvSpPr>
        <xdr:cNvPr id="1066205" name="Line 316">
          <a:extLst>
            <a:ext uri="{FF2B5EF4-FFF2-40B4-BE49-F238E27FC236}">
              <a16:creationId xmlns:a16="http://schemas.microsoft.com/office/drawing/2014/main" id="{00000000-0008-0000-0C00-0000DD441000}"/>
            </a:ext>
          </a:extLst>
        </xdr:cNvPr>
        <xdr:cNvSpPr>
          <a:spLocks noChangeShapeType="1"/>
        </xdr:cNvSpPr>
      </xdr:nvSpPr>
      <xdr:spPr bwMode="auto">
        <a:xfrm>
          <a:off x="24793575"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50</xdr:row>
      <xdr:rowOff>9525</xdr:rowOff>
    </xdr:from>
    <xdr:to>
      <xdr:col>37</xdr:col>
      <xdr:colOff>66675</xdr:colOff>
      <xdr:row>53</xdr:row>
      <xdr:rowOff>19050</xdr:rowOff>
    </xdr:to>
    <xdr:sp macro="" textlink="">
      <xdr:nvSpPr>
        <xdr:cNvPr id="1066206" name="Line 317">
          <a:extLst>
            <a:ext uri="{FF2B5EF4-FFF2-40B4-BE49-F238E27FC236}">
              <a16:creationId xmlns:a16="http://schemas.microsoft.com/office/drawing/2014/main" id="{00000000-0008-0000-0C00-0000DE441000}"/>
            </a:ext>
          </a:extLst>
        </xdr:cNvPr>
        <xdr:cNvSpPr>
          <a:spLocks noChangeShapeType="1"/>
        </xdr:cNvSpPr>
      </xdr:nvSpPr>
      <xdr:spPr bwMode="auto">
        <a:xfrm>
          <a:off x="24860250"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53</xdr:row>
      <xdr:rowOff>0</xdr:rowOff>
    </xdr:from>
    <xdr:to>
      <xdr:col>37</xdr:col>
      <xdr:colOff>66675</xdr:colOff>
      <xdr:row>53</xdr:row>
      <xdr:rowOff>9525</xdr:rowOff>
    </xdr:to>
    <xdr:sp macro="" textlink="">
      <xdr:nvSpPr>
        <xdr:cNvPr id="1066207" name="Line 318">
          <a:extLst>
            <a:ext uri="{FF2B5EF4-FFF2-40B4-BE49-F238E27FC236}">
              <a16:creationId xmlns:a16="http://schemas.microsoft.com/office/drawing/2014/main" id="{00000000-0008-0000-0C00-0000DF441000}"/>
            </a:ext>
          </a:extLst>
        </xdr:cNvPr>
        <xdr:cNvSpPr>
          <a:spLocks noChangeShapeType="1"/>
        </xdr:cNvSpPr>
      </xdr:nvSpPr>
      <xdr:spPr bwMode="auto">
        <a:xfrm flipV="1">
          <a:off x="24803100"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76200</xdr:colOff>
      <xdr:row>49</xdr:row>
      <xdr:rowOff>171450</xdr:rowOff>
    </xdr:from>
    <xdr:to>
      <xdr:col>38</xdr:col>
      <xdr:colOff>9525</xdr:colOff>
      <xdr:row>51</xdr:row>
      <xdr:rowOff>38100</xdr:rowOff>
    </xdr:to>
    <xdr:sp macro="" textlink="">
      <xdr:nvSpPr>
        <xdr:cNvPr id="1066208" name="Line 319">
          <a:extLst>
            <a:ext uri="{FF2B5EF4-FFF2-40B4-BE49-F238E27FC236}">
              <a16:creationId xmlns:a16="http://schemas.microsoft.com/office/drawing/2014/main" id="{00000000-0008-0000-0C00-0000E0441000}"/>
            </a:ext>
          </a:extLst>
        </xdr:cNvPr>
        <xdr:cNvSpPr>
          <a:spLocks noChangeShapeType="1"/>
        </xdr:cNvSpPr>
      </xdr:nvSpPr>
      <xdr:spPr bwMode="auto">
        <a:xfrm flipV="1">
          <a:off x="24869775" y="9639300"/>
          <a:ext cx="342900" cy="22860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50</xdr:row>
      <xdr:rowOff>0</xdr:rowOff>
    </xdr:from>
    <xdr:to>
      <xdr:col>34</xdr:col>
      <xdr:colOff>76200</xdr:colOff>
      <xdr:row>50</xdr:row>
      <xdr:rowOff>9525</xdr:rowOff>
    </xdr:to>
    <xdr:sp macro="" textlink="">
      <xdr:nvSpPr>
        <xdr:cNvPr id="1066209" name="Line 320">
          <a:extLst>
            <a:ext uri="{FF2B5EF4-FFF2-40B4-BE49-F238E27FC236}">
              <a16:creationId xmlns:a16="http://schemas.microsoft.com/office/drawing/2014/main" id="{00000000-0008-0000-0C00-0000E1441000}"/>
            </a:ext>
          </a:extLst>
        </xdr:cNvPr>
        <xdr:cNvSpPr>
          <a:spLocks noChangeShapeType="1"/>
        </xdr:cNvSpPr>
      </xdr:nvSpPr>
      <xdr:spPr bwMode="auto">
        <a:xfrm>
          <a:off x="22698075"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66675</xdr:colOff>
      <xdr:row>50</xdr:row>
      <xdr:rowOff>9525</xdr:rowOff>
    </xdr:from>
    <xdr:to>
      <xdr:col>34</xdr:col>
      <xdr:colOff>66675</xdr:colOff>
      <xdr:row>53</xdr:row>
      <xdr:rowOff>19050</xdr:rowOff>
    </xdr:to>
    <xdr:sp macro="" textlink="">
      <xdr:nvSpPr>
        <xdr:cNvPr id="1066210" name="Line 321">
          <a:extLst>
            <a:ext uri="{FF2B5EF4-FFF2-40B4-BE49-F238E27FC236}">
              <a16:creationId xmlns:a16="http://schemas.microsoft.com/office/drawing/2014/main" id="{00000000-0008-0000-0C00-0000E2441000}"/>
            </a:ext>
          </a:extLst>
        </xdr:cNvPr>
        <xdr:cNvSpPr>
          <a:spLocks noChangeShapeType="1"/>
        </xdr:cNvSpPr>
      </xdr:nvSpPr>
      <xdr:spPr bwMode="auto">
        <a:xfrm>
          <a:off x="22764750"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53</xdr:row>
      <xdr:rowOff>0</xdr:rowOff>
    </xdr:from>
    <xdr:to>
      <xdr:col>34</xdr:col>
      <xdr:colOff>66675</xdr:colOff>
      <xdr:row>53</xdr:row>
      <xdr:rowOff>9525</xdr:rowOff>
    </xdr:to>
    <xdr:sp macro="" textlink="">
      <xdr:nvSpPr>
        <xdr:cNvPr id="1066211" name="Line 322">
          <a:extLst>
            <a:ext uri="{FF2B5EF4-FFF2-40B4-BE49-F238E27FC236}">
              <a16:creationId xmlns:a16="http://schemas.microsoft.com/office/drawing/2014/main" id="{00000000-0008-0000-0C00-0000E3441000}"/>
            </a:ext>
          </a:extLst>
        </xdr:cNvPr>
        <xdr:cNvSpPr>
          <a:spLocks noChangeShapeType="1"/>
        </xdr:cNvSpPr>
      </xdr:nvSpPr>
      <xdr:spPr bwMode="auto">
        <a:xfrm flipV="1">
          <a:off x="22707600"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56</xdr:row>
      <xdr:rowOff>0</xdr:rowOff>
    </xdr:from>
    <xdr:to>
      <xdr:col>31</xdr:col>
      <xdr:colOff>76200</xdr:colOff>
      <xdr:row>56</xdr:row>
      <xdr:rowOff>9525</xdr:rowOff>
    </xdr:to>
    <xdr:sp macro="" textlink="">
      <xdr:nvSpPr>
        <xdr:cNvPr id="1066212" name="Line 323">
          <a:extLst>
            <a:ext uri="{FF2B5EF4-FFF2-40B4-BE49-F238E27FC236}">
              <a16:creationId xmlns:a16="http://schemas.microsoft.com/office/drawing/2014/main" id="{00000000-0008-0000-0C00-0000E4441000}"/>
            </a:ext>
          </a:extLst>
        </xdr:cNvPr>
        <xdr:cNvSpPr>
          <a:spLocks noChangeShapeType="1"/>
        </xdr:cNvSpPr>
      </xdr:nvSpPr>
      <xdr:spPr bwMode="auto">
        <a:xfrm>
          <a:off x="20535900"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66675</xdr:colOff>
      <xdr:row>56</xdr:row>
      <xdr:rowOff>9525</xdr:rowOff>
    </xdr:from>
    <xdr:to>
      <xdr:col>31</xdr:col>
      <xdr:colOff>66675</xdr:colOff>
      <xdr:row>59</xdr:row>
      <xdr:rowOff>19050</xdr:rowOff>
    </xdr:to>
    <xdr:sp macro="" textlink="">
      <xdr:nvSpPr>
        <xdr:cNvPr id="1066213" name="Line 324">
          <a:extLst>
            <a:ext uri="{FF2B5EF4-FFF2-40B4-BE49-F238E27FC236}">
              <a16:creationId xmlns:a16="http://schemas.microsoft.com/office/drawing/2014/main" id="{00000000-0008-0000-0C00-0000E5441000}"/>
            </a:ext>
          </a:extLst>
        </xdr:cNvPr>
        <xdr:cNvSpPr>
          <a:spLocks noChangeShapeType="1"/>
        </xdr:cNvSpPr>
      </xdr:nvSpPr>
      <xdr:spPr bwMode="auto">
        <a:xfrm>
          <a:off x="20602575" y="10744200"/>
          <a:ext cx="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9525</xdr:colOff>
      <xdr:row>59</xdr:row>
      <xdr:rowOff>0</xdr:rowOff>
    </xdr:from>
    <xdr:to>
      <xdr:col>31</xdr:col>
      <xdr:colOff>66675</xdr:colOff>
      <xdr:row>59</xdr:row>
      <xdr:rowOff>9525</xdr:rowOff>
    </xdr:to>
    <xdr:sp macro="" textlink="">
      <xdr:nvSpPr>
        <xdr:cNvPr id="1066214" name="Line 325">
          <a:extLst>
            <a:ext uri="{FF2B5EF4-FFF2-40B4-BE49-F238E27FC236}">
              <a16:creationId xmlns:a16="http://schemas.microsoft.com/office/drawing/2014/main" id="{00000000-0008-0000-0C00-0000E6441000}"/>
            </a:ext>
          </a:extLst>
        </xdr:cNvPr>
        <xdr:cNvSpPr>
          <a:spLocks noChangeShapeType="1"/>
        </xdr:cNvSpPr>
      </xdr:nvSpPr>
      <xdr:spPr bwMode="auto">
        <a:xfrm flipV="1">
          <a:off x="20545425"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56</xdr:row>
      <xdr:rowOff>0</xdr:rowOff>
    </xdr:from>
    <xdr:to>
      <xdr:col>34</xdr:col>
      <xdr:colOff>76200</xdr:colOff>
      <xdr:row>56</xdr:row>
      <xdr:rowOff>9525</xdr:rowOff>
    </xdr:to>
    <xdr:sp macro="" textlink="">
      <xdr:nvSpPr>
        <xdr:cNvPr id="1066215" name="Line 326">
          <a:extLst>
            <a:ext uri="{FF2B5EF4-FFF2-40B4-BE49-F238E27FC236}">
              <a16:creationId xmlns:a16="http://schemas.microsoft.com/office/drawing/2014/main" id="{00000000-0008-0000-0C00-0000E7441000}"/>
            </a:ext>
          </a:extLst>
        </xdr:cNvPr>
        <xdr:cNvSpPr>
          <a:spLocks noChangeShapeType="1"/>
        </xdr:cNvSpPr>
      </xdr:nvSpPr>
      <xdr:spPr bwMode="auto">
        <a:xfrm>
          <a:off x="22698075"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66675</xdr:colOff>
      <xdr:row>56</xdr:row>
      <xdr:rowOff>9525</xdr:rowOff>
    </xdr:from>
    <xdr:to>
      <xdr:col>34</xdr:col>
      <xdr:colOff>66675</xdr:colOff>
      <xdr:row>59</xdr:row>
      <xdr:rowOff>19050</xdr:rowOff>
    </xdr:to>
    <xdr:sp macro="" textlink="">
      <xdr:nvSpPr>
        <xdr:cNvPr id="1066216" name="Line 327">
          <a:extLst>
            <a:ext uri="{FF2B5EF4-FFF2-40B4-BE49-F238E27FC236}">
              <a16:creationId xmlns:a16="http://schemas.microsoft.com/office/drawing/2014/main" id="{00000000-0008-0000-0C00-0000E8441000}"/>
            </a:ext>
          </a:extLst>
        </xdr:cNvPr>
        <xdr:cNvSpPr>
          <a:spLocks noChangeShapeType="1"/>
        </xdr:cNvSpPr>
      </xdr:nvSpPr>
      <xdr:spPr bwMode="auto">
        <a:xfrm>
          <a:off x="22764750" y="10744200"/>
          <a:ext cx="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59</xdr:row>
      <xdr:rowOff>0</xdr:rowOff>
    </xdr:from>
    <xdr:to>
      <xdr:col>34</xdr:col>
      <xdr:colOff>66675</xdr:colOff>
      <xdr:row>59</xdr:row>
      <xdr:rowOff>9525</xdr:rowOff>
    </xdr:to>
    <xdr:sp macro="" textlink="">
      <xdr:nvSpPr>
        <xdr:cNvPr id="1066217" name="Line 328">
          <a:extLst>
            <a:ext uri="{FF2B5EF4-FFF2-40B4-BE49-F238E27FC236}">
              <a16:creationId xmlns:a16="http://schemas.microsoft.com/office/drawing/2014/main" id="{00000000-0008-0000-0C00-0000E9441000}"/>
            </a:ext>
          </a:extLst>
        </xdr:cNvPr>
        <xdr:cNvSpPr>
          <a:spLocks noChangeShapeType="1"/>
        </xdr:cNvSpPr>
      </xdr:nvSpPr>
      <xdr:spPr bwMode="auto">
        <a:xfrm flipV="1">
          <a:off x="22707600"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56</xdr:row>
      <xdr:rowOff>0</xdr:rowOff>
    </xdr:from>
    <xdr:to>
      <xdr:col>37</xdr:col>
      <xdr:colOff>76200</xdr:colOff>
      <xdr:row>56</xdr:row>
      <xdr:rowOff>9525</xdr:rowOff>
    </xdr:to>
    <xdr:sp macro="" textlink="">
      <xdr:nvSpPr>
        <xdr:cNvPr id="1066218" name="Line 329">
          <a:extLst>
            <a:ext uri="{FF2B5EF4-FFF2-40B4-BE49-F238E27FC236}">
              <a16:creationId xmlns:a16="http://schemas.microsoft.com/office/drawing/2014/main" id="{00000000-0008-0000-0C00-0000EA441000}"/>
            </a:ext>
          </a:extLst>
        </xdr:cNvPr>
        <xdr:cNvSpPr>
          <a:spLocks noChangeShapeType="1"/>
        </xdr:cNvSpPr>
      </xdr:nvSpPr>
      <xdr:spPr bwMode="auto">
        <a:xfrm>
          <a:off x="24793575"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56</xdr:row>
      <xdr:rowOff>9525</xdr:rowOff>
    </xdr:from>
    <xdr:to>
      <xdr:col>37</xdr:col>
      <xdr:colOff>66675</xdr:colOff>
      <xdr:row>59</xdr:row>
      <xdr:rowOff>19050</xdr:rowOff>
    </xdr:to>
    <xdr:sp macro="" textlink="">
      <xdr:nvSpPr>
        <xdr:cNvPr id="1066219" name="Line 330">
          <a:extLst>
            <a:ext uri="{FF2B5EF4-FFF2-40B4-BE49-F238E27FC236}">
              <a16:creationId xmlns:a16="http://schemas.microsoft.com/office/drawing/2014/main" id="{00000000-0008-0000-0C00-0000EB441000}"/>
            </a:ext>
          </a:extLst>
        </xdr:cNvPr>
        <xdr:cNvSpPr>
          <a:spLocks noChangeShapeType="1"/>
        </xdr:cNvSpPr>
      </xdr:nvSpPr>
      <xdr:spPr bwMode="auto">
        <a:xfrm>
          <a:off x="24860250" y="10744200"/>
          <a:ext cx="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59</xdr:row>
      <xdr:rowOff>0</xdr:rowOff>
    </xdr:from>
    <xdr:to>
      <xdr:col>37</xdr:col>
      <xdr:colOff>66675</xdr:colOff>
      <xdr:row>59</xdr:row>
      <xdr:rowOff>9525</xdr:rowOff>
    </xdr:to>
    <xdr:sp macro="" textlink="">
      <xdr:nvSpPr>
        <xdr:cNvPr id="1066220" name="Line 331">
          <a:extLst>
            <a:ext uri="{FF2B5EF4-FFF2-40B4-BE49-F238E27FC236}">
              <a16:creationId xmlns:a16="http://schemas.microsoft.com/office/drawing/2014/main" id="{00000000-0008-0000-0C00-0000EC441000}"/>
            </a:ext>
          </a:extLst>
        </xdr:cNvPr>
        <xdr:cNvSpPr>
          <a:spLocks noChangeShapeType="1"/>
        </xdr:cNvSpPr>
      </xdr:nvSpPr>
      <xdr:spPr bwMode="auto">
        <a:xfrm flipV="1">
          <a:off x="24803100"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56</xdr:row>
      <xdr:rowOff>0</xdr:rowOff>
    </xdr:from>
    <xdr:to>
      <xdr:col>37</xdr:col>
      <xdr:colOff>76200</xdr:colOff>
      <xdr:row>56</xdr:row>
      <xdr:rowOff>9525</xdr:rowOff>
    </xdr:to>
    <xdr:sp macro="" textlink="">
      <xdr:nvSpPr>
        <xdr:cNvPr id="1066221" name="Line 332">
          <a:extLst>
            <a:ext uri="{FF2B5EF4-FFF2-40B4-BE49-F238E27FC236}">
              <a16:creationId xmlns:a16="http://schemas.microsoft.com/office/drawing/2014/main" id="{00000000-0008-0000-0C00-0000ED441000}"/>
            </a:ext>
          </a:extLst>
        </xdr:cNvPr>
        <xdr:cNvSpPr>
          <a:spLocks noChangeShapeType="1"/>
        </xdr:cNvSpPr>
      </xdr:nvSpPr>
      <xdr:spPr bwMode="auto">
        <a:xfrm>
          <a:off x="24793575"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56</xdr:row>
      <xdr:rowOff>9525</xdr:rowOff>
    </xdr:from>
    <xdr:to>
      <xdr:col>37</xdr:col>
      <xdr:colOff>66675</xdr:colOff>
      <xdr:row>59</xdr:row>
      <xdr:rowOff>19050</xdr:rowOff>
    </xdr:to>
    <xdr:sp macro="" textlink="">
      <xdr:nvSpPr>
        <xdr:cNvPr id="1066222" name="Line 333">
          <a:extLst>
            <a:ext uri="{FF2B5EF4-FFF2-40B4-BE49-F238E27FC236}">
              <a16:creationId xmlns:a16="http://schemas.microsoft.com/office/drawing/2014/main" id="{00000000-0008-0000-0C00-0000EE441000}"/>
            </a:ext>
          </a:extLst>
        </xdr:cNvPr>
        <xdr:cNvSpPr>
          <a:spLocks noChangeShapeType="1"/>
        </xdr:cNvSpPr>
      </xdr:nvSpPr>
      <xdr:spPr bwMode="auto">
        <a:xfrm>
          <a:off x="24860250" y="10744200"/>
          <a:ext cx="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59</xdr:row>
      <xdr:rowOff>0</xdr:rowOff>
    </xdr:from>
    <xdr:to>
      <xdr:col>37</xdr:col>
      <xdr:colOff>66675</xdr:colOff>
      <xdr:row>59</xdr:row>
      <xdr:rowOff>9525</xdr:rowOff>
    </xdr:to>
    <xdr:sp macro="" textlink="">
      <xdr:nvSpPr>
        <xdr:cNvPr id="1066223" name="Line 334">
          <a:extLst>
            <a:ext uri="{FF2B5EF4-FFF2-40B4-BE49-F238E27FC236}">
              <a16:creationId xmlns:a16="http://schemas.microsoft.com/office/drawing/2014/main" id="{00000000-0008-0000-0C00-0000EF441000}"/>
            </a:ext>
          </a:extLst>
        </xdr:cNvPr>
        <xdr:cNvSpPr>
          <a:spLocks noChangeShapeType="1"/>
        </xdr:cNvSpPr>
      </xdr:nvSpPr>
      <xdr:spPr bwMode="auto">
        <a:xfrm flipV="1">
          <a:off x="24803100"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76200</xdr:colOff>
      <xdr:row>57</xdr:row>
      <xdr:rowOff>66675</xdr:rowOff>
    </xdr:from>
    <xdr:to>
      <xdr:col>38</xdr:col>
      <xdr:colOff>9525</xdr:colOff>
      <xdr:row>59</xdr:row>
      <xdr:rowOff>19050</xdr:rowOff>
    </xdr:to>
    <xdr:sp macro="" textlink="">
      <xdr:nvSpPr>
        <xdr:cNvPr id="1066224" name="Line 335">
          <a:extLst>
            <a:ext uri="{FF2B5EF4-FFF2-40B4-BE49-F238E27FC236}">
              <a16:creationId xmlns:a16="http://schemas.microsoft.com/office/drawing/2014/main" id="{00000000-0008-0000-0C00-0000F0441000}"/>
            </a:ext>
          </a:extLst>
        </xdr:cNvPr>
        <xdr:cNvSpPr>
          <a:spLocks noChangeShapeType="1"/>
        </xdr:cNvSpPr>
      </xdr:nvSpPr>
      <xdr:spPr bwMode="auto">
        <a:xfrm>
          <a:off x="24869775" y="10982325"/>
          <a:ext cx="342900" cy="2952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0</xdr:colOff>
      <xdr:row>56</xdr:row>
      <xdr:rowOff>0</xdr:rowOff>
    </xdr:from>
    <xdr:to>
      <xdr:col>37</xdr:col>
      <xdr:colOff>76200</xdr:colOff>
      <xdr:row>56</xdr:row>
      <xdr:rowOff>9525</xdr:rowOff>
    </xdr:to>
    <xdr:sp macro="" textlink="">
      <xdr:nvSpPr>
        <xdr:cNvPr id="1066225" name="Line 336">
          <a:extLst>
            <a:ext uri="{FF2B5EF4-FFF2-40B4-BE49-F238E27FC236}">
              <a16:creationId xmlns:a16="http://schemas.microsoft.com/office/drawing/2014/main" id="{00000000-0008-0000-0C00-0000F1441000}"/>
            </a:ext>
          </a:extLst>
        </xdr:cNvPr>
        <xdr:cNvSpPr>
          <a:spLocks noChangeShapeType="1"/>
        </xdr:cNvSpPr>
      </xdr:nvSpPr>
      <xdr:spPr bwMode="auto">
        <a:xfrm>
          <a:off x="24793575"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56</xdr:row>
      <xdr:rowOff>9525</xdr:rowOff>
    </xdr:from>
    <xdr:to>
      <xdr:col>37</xdr:col>
      <xdr:colOff>66675</xdr:colOff>
      <xdr:row>59</xdr:row>
      <xdr:rowOff>19050</xdr:rowOff>
    </xdr:to>
    <xdr:sp macro="" textlink="">
      <xdr:nvSpPr>
        <xdr:cNvPr id="1066226" name="Line 337">
          <a:extLst>
            <a:ext uri="{FF2B5EF4-FFF2-40B4-BE49-F238E27FC236}">
              <a16:creationId xmlns:a16="http://schemas.microsoft.com/office/drawing/2014/main" id="{00000000-0008-0000-0C00-0000F2441000}"/>
            </a:ext>
          </a:extLst>
        </xdr:cNvPr>
        <xdr:cNvSpPr>
          <a:spLocks noChangeShapeType="1"/>
        </xdr:cNvSpPr>
      </xdr:nvSpPr>
      <xdr:spPr bwMode="auto">
        <a:xfrm>
          <a:off x="24860250" y="10744200"/>
          <a:ext cx="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59</xdr:row>
      <xdr:rowOff>0</xdr:rowOff>
    </xdr:from>
    <xdr:to>
      <xdr:col>37</xdr:col>
      <xdr:colOff>66675</xdr:colOff>
      <xdr:row>59</xdr:row>
      <xdr:rowOff>9525</xdr:rowOff>
    </xdr:to>
    <xdr:sp macro="" textlink="">
      <xdr:nvSpPr>
        <xdr:cNvPr id="1066227" name="Line 338">
          <a:extLst>
            <a:ext uri="{FF2B5EF4-FFF2-40B4-BE49-F238E27FC236}">
              <a16:creationId xmlns:a16="http://schemas.microsoft.com/office/drawing/2014/main" id="{00000000-0008-0000-0C00-0000F3441000}"/>
            </a:ext>
          </a:extLst>
        </xdr:cNvPr>
        <xdr:cNvSpPr>
          <a:spLocks noChangeShapeType="1"/>
        </xdr:cNvSpPr>
      </xdr:nvSpPr>
      <xdr:spPr bwMode="auto">
        <a:xfrm flipV="1">
          <a:off x="24803100"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76200</xdr:colOff>
      <xdr:row>55</xdr:row>
      <xdr:rowOff>161925</xdr:rowOff>
    </xdr:from>
    <xdr:to>
      <xdr:col>38</xdr:col>
      <xdr:colOff>0</xdr:colOff>
      <xdr:row>57</xdr:row>
      <xdr:rowOff>47625</xdr:rowOff>
    </xdr:to>
    <xdr:sp macro="" textlink="">
      <xdr:nvSpPr>
        <xdr:cNvPr id="1066228" name="Line 339">
          <a:extLst>
            <a:ext uri="{FF2B5EF4-FFF2-40B4-BE49-F238E27FC236}">
              <a16:creationId xmlns:a16="http://schemas.microsoft.com/office/drawing/2014/main" id="{00000000-0008-0000-0C00-0000F4441000}"/>
            </a:ext>
          </a:extLst>
        </xdr:cNvPr>
        <xdr:cNvSpPr>
          <a:spLocks noChangeShapeType="1"/>
        </xdr:cNvSpPr>
      </xdr:nvSpPr>
      <xdr:spPr bwMode="auto">
        <a:xfrm flipV="1">
          <a:off x="24869775" y="10715625"/>
          <a:ext cx="333375"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56</xdr:row>
      <xdr:rowOff>0</xdr:rowOff>
    </xdr:from>
    <xdr:to>
      <xdr:col>34</xdr:col>
      <xdr:colOff>76200</xdr:colOff>
      <xdr:row>56</xdr:row>
      <xdr:rowOff>9525</xdr:rowOff>
    </xdr:to>
    <xdr:sp macro="" textlink="">
      <xdr:nvSpPr>
        <xdr:cNvPr id="1066229" name="Line 340">
          <a:extLst>
            <a:ext uri="{FF2B5EF4-FFF2-40B4-BE49-F238E27FC236}">
              <a16:creationId xmlns:a16="http://schemas.microsoft.com/office/drawing/2014/main" id="{00000000-0008-0000-0C00-0000F5441000}"/>
            </a:ext>
          </a:extLst>
        </xdr:cNvPr>
        <xdr:cNvSpPr>
          <a:spLocks noChangeShapeType="1"/>
        </xdr:cNvSpPr>
      </xdr:nvSpPr>
      <xdr:spPr bwMode="auto">
        <a:xfrm>
          <a:off x="22698075"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66675</xdr:colOff>
      <xdr:row>56</xdr:row>
      <xdr:rowOff>9525</xdr:rowOff>
    </xdr:from>
    <xdr:to>
      <xdr:col>34</xdr:col>
      <xdr:colOff>66675</xdr:colOff>
      <xdr:row>59</xdr:row>
      <xdr:rowOff>19050</xdr:rowOff>
    </xdr:to>
    <xdr:sp macro="" textlink="">
      <xdr:nvSpPr>
        <xdr:cNvPr id="1066230" name="Line 341">
          <a:extLst>
            <a:ext uri="{FF2B5EF4-FFF2-40B4-BE49-F238E27FC236}">
              <a16:creationId xmlns:a16="http://schemas.microsoft.com/office/drawing/2014/main" id="{00000000-0008-0000-0C00-0000F6441000}"/>
            </a:ext>
          </a:extLst>
        </xdr:cNvPr>
        <xdr:cNvSpPr>
          <a:spLocks noChangeShapeType="1"/>
        </xdr:cNvSpPr>
      </xdr:nvSpPr>
      <xdr:spPr bwMode="auto">
        <a:xfrm>
          <a:off x="22764750" y="10744200"/>
          <a:ext cx="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59</xdr:row>
      <xdr:rowOff>0</xdr:rowOff>
    </xdr:from>
    <xdr:to>
      <xdr:col>34</xdr:col>
      <xdr:colOff>66675</xdr:colOff>
      <xdr:row>59</xdr:row>
      <xdr:rowOff>9525</xdr:rowOff>
    </xdr:to>
    <xdr:sp macro="" textlink="">
      <xdr:nvSpPr>
        <xdr:cNvPr id="1066231" name="Line 342">
          <a:extLst>
            <a:ext uri="{FF2B5EF4-FFF2-40B4-BE49-F238E27FC236}">
              <a16:creationId xmlns:a16="http://schemas.microsoft.com/office/drawing/2014/main" id="{00000000-0008-0000-0C00-0000F7441000}"/>
            </a:ext>
          </a:extLst>
        </xdr:cNvPr>
        <xdr:cNvSpPr>
          <a:spLocks noChangeShapeType="1"/>
        </xdr:cNvSpPr>
      </xdr:nvSpPr>
      <xdr:spPr bwMode="auto">
        <a:xfrm flipV="1">
          <a:off x="22707600"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0</xdr:colOff>
      <xdr:row>62</xdr:row>
      <xdr:rowOff>0</xdr:rowOff>
    </xdr:from>
    <xdr:to>
      <xdr:col>31</xdr:col>
      <xdr:colOff>76200</xdr:colOff>
      <xdr:row>62</xdr:row>
      <xdr:rowOff>9525</xdr:rowOff>
    </xdr:to>
    <xdr:sp macro="" textlink="">
      <xdr:nvSpPr>
        <xdr:cNvPr id="1066232" name="Line 343">
          <a:extLst>
            <a:ext uri="{FF2B5EF4-FFF2-40B4-BE49-F238E27FC236}">
              <a16:creationId xmlns:a16="http://schemas.microsoft.com/office/drawing/2014/main" id="{00000000-0008-0000-0C00-0000F8441000}"/>
            </a:ext>
          </a:extLst>
        </xdr:cNvPr>
        <xdr:cNvSpPr>
          <a:spLocks noChangeShapeType="1"/>
        </xdr:cNvSpPr>
      </xdr:nvSpPr>
      <xdr:spPr bwMode="auto">
        <a:xfrm>
          <a:off x="20535900" y="1175385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57150</xdr:colOff>
      <xdr:row>62</xdr:row>
      <xdr:rowOff>0</xdr:rowOff>
    </xdr:from>
    <xdr:to>
      <xdr:col>31</xdr:col>
      <xdr:colOff>57150</xdr:colOff>
      <xdr:row>65</xdr:row>
      <xdr:rowOff>9525</xdr:rowOff>
    </xdr:to>
    <xdr:sp macro="" textlink="">
      <xdr:nvSpPr>
        <xdr:cNvPr id="1066233" name="Line 344">
          <a:extLst>
            <a:ext uri="{FF2B5EF4-FFF2-40B4-BE49-F238E27FC236}">
              <a16:creationId xmlns:a16="http://schemas.microsoft.com/office/drawing/2014/main" id="{00000000-0008-0000-0C00-0000F9441000}"/>
            </a:ext>
          </a:extLst>
        </xdr:cNvPr>
        <xdr:cNvSpPr>
          <a:spLocks noChangeShapeType="1"/>
        </xdr:cNvSpPr>
      </xdr:nvSpPr>
      <xdr:spPr bwMode="auto">
        <a:xfrm flipH="1">
          <a:off x="20593050" y="11753850"/>
          <a:ext cx="0"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9525</xdr:colOff>
      <xdr:row>65</xdr:row>
      <xdr:rowOff>0</xdr:rowOff>
    </xdr:from>
    <xdr:to>
      <xdr:col>31</xdr:col>
      <xdr:colOff>66675</xdr:colOff>
      <xdr:row>65</xdr:row>
      <xdr:rowOff>9525</xdr:rowOff>
    </xdr:to>
    <xdr:sp macro="" textlink="">
      <xdr:nvSpPr>
        <xdr:cNvPr id="1066234" name="Line 345">
          <a:extLst>
            <a:ext uri="{FF2B5EF4-FFF2-40B4-BE49-F238E27FC236}">
              <a16:creationId xmlns:a16="http://schemas.microsoft.com/office/drawing/2014/main" id="{00000000-0008-0000-0C00-0000FA441000}"/>
            </a:ext>
          </a:extLst>
        </xdr:cNvPr>
        <xdr:cNvSpPr>
          <a:spLocks noChangeShapeType="1"/>
        </xdr:cNvSpPr>
      </xdr:nvSpPr>
      <xdr:spPr bwMode="auto">
        <a:xfrm flipV="1">
          <a:off x="20545425" y="123158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62</xdr:row>
      <xdr:rowOff>0</xdr:rowOff>
    </xdr:from>
    <xdr:to>
      <xdr:col>34</xdr:col>
      <xdr:colOff>76200</xdr:colOff>
      <xdr:row>62</xdr:row>
      <xdr:rowOff>9525</xdr:rowOff>
    </xdr:to>
    <xdr:sp macro="" textlink="">
      <xdr:nvSpPr>
        <xdr:cNvPr id="1066235" name="Line 346">
          <a:extLst>
            <a:ext uri="{FF2B5EF4-FFF2-40B4-BE49-F238E27FC236}">
              <a16:creationId xmlns:a16="http://schemas.microsoft.com/office/drawing/2014/main" id="{00000000-0008-0000-0C00-0000FB441000}"/>
            </a:ext>
          </a:extLst>
        </xdr:cNvPr>
        <xdr:cNvSpPr>
          <a:spLocks noChangeShapeType="1"/>
        </xdr:cNvSpPr>
      </xdr:nvSpPr>
      <xdr:spPr bwMode="auto">
        <a:xfrm>
          <a:off x="22698075" y="1175385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66675</xdr:colOff>
      <xdr:row>62</xdr:row>
      <xdr:rowOff>9525</xdr:rowOff>
    </xdr:from>
    <xdr:to>
      <xdr:col>34</xdr:col>
      <xdr:colOff>66675</xdr:colOff>
      <xdr:row>65</xdr:row>
      <xdr:rowOff>19050</xdr:rowOff>
    </xdr:to>
    <xdr:sp macro="" textlink="">
      <xdr:nvSpPr>
        <xdr:cNvPr id="1066236" name="Line 347">
          <a:extLst>
            <a:ext uri="{FF2B5EF4-FFF2-40B4-BE49-F238E27FC236}">
              <a16:creationId xmlns:a16="http://schemas.microsoft.com/office/drawing/2014/main" id="{00000000-0008-0000-0C00-0000FC441000}"/>
            </a:ext>
          </a:extLst>
        </xdr:cNvPr>
        <xdr:cNvSpPr>
          <a:spLocks noChangeShapeType="1"/>
        </xdr:cNvSpPr>
      </xdr:nvSpPr>
      <xdr:spPr bwMode="auto">
        <a:xfrm>
          <a:off x="22764750" y="11763375"/>
          <a:ext cx="0"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65</xdr:row>
      <xdr:rowOff>0</xdr:rowOff>
    </xdr:from>
    <xdr:to>
      <xdr:col>34</xdr:col>
      <xdr:colOff>66675</xdr:colOff>
      <xdr:row>65</xdr:row>
      <xdr:rowOff>9525</xdr:rowOff>
    </xdr:to>
    <xdr:sp macro="" textlink="">
      <xdr:nvSpPr>
        <xdr:cNvPr id="1066237" name="Line 348">
          <a:extLst>
            <a:ext uri="{FF2B5EF4-FFF2-40B4-BE49-F238E27FC236}">
              <a16:creationId xmlns:a16="http://schemas.microsoft.com/office/drawing/2014/main" id="{00000000-0008-0000-0C00-0000FD441000}"/>
            </a:ext>
          </a:extLst>
        </xdr:cNvPr>
        <xdr:cNvSpPr>
          <a:spLocks noChangeShapeType="1"/>
        </xdr:cNvSpPr>
      </xdr:nvSpPr>
      <xdr:spPr bwMode="auto">
        <a:xfrm flipV="1">
          <a:off x="22707600" y="123158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62</xdr:row>
      <xdr:rowOff>0</xdr:rowOff>
    </xdr:from>
    <xdr:to>
      <xdr:col>37</xdr:col>
      <xdr:colOff>76200</xdr:colOff>
      <xdr:row>62</xdr:row>
      <xdr:rowOff>9525</xdr:rowOff>
    </xdr:to>
    <xdr:sp macro="" textlink="">
      <xdr:nvSpPr>
        <xdr:cNvPr id="1066238" name="Line 349">
          <a:extLst>
            <a:ext uri="{FF2B5EF4-FFF2-40B4-BE49-F238E27FC236}">
              <a16:creationId xmlns:a16="http://schemas.microsoft.com/office/drawing/2014/main" id="{00000000-0008-0000-0C00-0000FE441000}"/>
            </a:ext>
          </a:extLst>
        </xdr:cNvPr>
        <xdr:cNvSpPr>
          <a:spLocks noChangeShapeType="1"/>
        </xdr:cNvSpPr>
      </xdr:nvSpPr>
      <xdr:spPr bwMode="auto">
        <a:xfrm>
          <a:off x="24793575" y="1175385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62</xdr:row>
      <xdr:rowOff>9525</xdr:rowOff>
    </xdr:from>
    <xdr:to>
      <xdr:col>37</xdr:col>
      <xdr:colOff>66675</xdr:colOff>
      <xdr:row>65</xdr:row>
      <xdr:rowOff>19050</xdr:rowOff>
    </xdr:to>
    <xdr:sp macro="" textlink="">
      <xdr:nvSpPr>
        <xdr:cNvPr id="1066239" name="Line 350">
          <a:extLst>
            <a:ext uri="{FF2B5EF4-FFF2-40B4-BE49-F238E27FC236}">
              <a16:creationId xmlns:a16="http://schemas.microsoft.com/office/drawing/2014/main" id="{00000000-0008-0000-0C00-0000FF441000}"/>
            </a:ext>
          </a:extLst>
        </xdr:cNvPr>
        <xdr:cNvSpPr>
          <a:spLocks noChangeShapeType="1"/>
        </xdr:cNvSpPr>
      </xdr:nvSpPr>
      <xdr:spPr bwMode="auto">
        <a:xfrm>
          <a:off x="24860250" y="11763375"/>
          <a:ext cx="0"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65</xdr:row>
      <xdr:rowOff>0</xdr:rowOff>
    </xdr:from>
    <xdr:to>
      <xdr:col>37</xdr:col>
      <xdr:colOff>66675</xdr:colOff>
      <xdr:row>65</xdr:row>
      <xdr:rowOff>9525</xdr:rowOff>
    </xdr:to>
    <xdr:sp macro="" textlink="">
      <xdr:nvSpPr>
        <xdr:cNvPr id="1066240" name="Line 351">
          <a:extLst>
            <a:ext uri="{FF2B5EF4-FFF2-40B4-BE49-F238E27FC236}">
              <a16:creationId xmlns:a16="http://schemas.microsoft.com/office/drawing/2014/main" id="{00000000-0008-0000-0C00-000000451000}"/>
            </a:ext>
          </a:extLst>
        </xdr:cNvPr>
        <xdr:cNvSpPr>
          <a:spLocks noChangeShapeType="1"/>
        </xdr:cNvSpPr>
      </xdr:nvSpPr>
      <xdr:spPr bwMode="auto">
        <a:xfrm flipV="1">
          <a:off x="24803100" y="123158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62</xdr:row>
      <xdr:rowOff>0</xdr:rowOff>
    </xdr:from>
    <xdr:to>
      <xdr:col>37</xdr:col>
      <xdr:colOff>76200</xdr:colOff>
      <xdr:row>62</xdr:row>
      <xdr:rowOff>9525</xdr:rowOff>
    </xdr:to>
    <xdr:sp macro="" textlink="">
      <xdr:nvSpPr>
        <xdr:cNvPr id="1066241" name="Line 352">
          <a:extLst>
            <a:ext uri="{FF2B5EF4-FFF2-40B4-BE49-F238E27FC236}">
              <a16:creationId xmlns:a16="http://schemas.microsoft.com/office/drawing/2014/main" id="{00000000-0008-0000-0C00-000001451000}"/>
            </a:ext>
          </a:extLst>
        </xdr:cNvPr>
        <xdr:cNvSpPr>
          <a:spLocks noChangeShapeType="1"/>
        </xdr:cNvSpPr>
      </xdr:nvSpPr>
      <xdr:spPr bwMode="auto">
        <a:xfrm>
          <a:off x="24793575" y="1175385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62</xdr:row>
      <xdr:rowOff>9525</xdr:rowOff>
    </xdr:from>
    <xdr:to>
      <xdr:col>37</xdr:col>
      <xdr:colOff>66675</xdr:colOff>
      <xdr:row>65</xdr:row>
      <xdr:rowOff>19050</xdr:rowOff>
    </xdr:to>
    <xdr:sp macro="" textlink="">
      <xdr:nvSpPr>
        <xdr:cNvPr id="1066242" name="Line 353">
          <a:extLst>
            <a:ext uri="{FF2B5EF4-FFF2-40B4-BE49-F238E27FC236}">
              <a16:creationId xmlns:a16="http://schemas.microsoft.com/office/drawing/2014/main" id="{00000000-0008-0000-0C00-000002451000}"/>
            </a:ext>
          </a:extLst>
        </xdr:cNvPr>
        <xdr:cNvSpPr>
          <a:spLocks noChangeShapeType="1"/>
        </xdr:cNvSpPr>
      </xdr:nvSpPr>
      <xdr:spPr bwMode="auto">
        <a:xfrm>
          <a:off x="24860250" y="11763375"/>
          <a:ext cx="0"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65</xdr:row>
      <xdr:rowOff>0</xdr:rowOff>
    </xdr:from>
    <xdr:to>
      <xdr:col>37</xdr:col>
      <xdr:colOff>66675</xdr:colOff>
      <xdr:row>65</xdr:row>
      <xdr:rowOff>9525</xdr:rowOff>
    </xdr:to>
    <xdr:sp macro="" textlink="">
      <xdr:nvSpPr>
        <xdr:cNvPr id="1066243" name="Line 354">
          <a:extLst>
            <a:ext uri="{FF2B5EF4-FFF2-40B4-BE49-F238E27FC236}">
              <a16:creationId xmlns:a16="http://schemas.microsoft.com/office/drawing/2014/main" id="{00000000-0008-0000-0C00-000003451000}"/>
            </a:ext>
          </a:extLst>
        </xdr:cNvPr>
        <xdr:cNvSpPr>
          <a:spLocks noChangeShapeType="1"/>
        </xdr:cNvSpPr>
      </xdr:nvSpPr>
      <xdr:spPr bwMode="auto">
        <a:xfrm flipV="1">
          <a:off x="24803100" y="123158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63</xdr:row>
      <xdr:rowOff>114300</xdr:rowOff>
    </xdr:from>
    <xdr:to>
      <xdr:col>38</xdr:col>
      <xdr:colOff>0</xdr:colOff>
      <xdr:row>65</xdr:row>
      <xdr:rowOff>0</xdr:rowOff>
    </xdr:to>
    <xdr:sp macro="" textlink="">
      <xdr:nvSpPr>
        <xdr:cNvPr id="1066244" name="Line 355">
          <a:extLst>
            <a:ext uri="{FF2B5EF4-FFF2-40B4-BE49-F238E27FC236}">
              <a16:creationId xmlns:a16="http://schemas.microsoft.com/office/drawing/2014/main" id="{00000000-0008-0000-0C00-000004451000}"/>
            </a:ext>
          </a:extLst>
        </xdr:cNvPr>
        <xdr:cNvSpPr>
          <a:spLocks noChangeShapeType="1"/>
        </xdr:cNvSpPr>
      </xdr:nvSpPr>
      <xdr:spPr bwMode="auto">
        <a:xfrm>
          <a:off x="24860250" y="12068175"/>
          <a:ext cx="342900" cy="2476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0</xdr:colOff>
      <xdr:row>62</xdr:row>
      <xdr:rowOff>0</xdr:rowOff>
    </xdr:from>
    <xdr:to>
      <xdr:col>37</xdr:col>
      <xdr:colOff>76200</xdr:colOff>
      <xdr:row>62</xdr:row>
      <xdr:rowOff>9525</xdr:rowOff>
    </xdr:to>
    <xdr:sp macro="" textlink="">
      <xdr:nvSpPr>
        <xdr:cNvPr id="1066245" name="Line 356">
          <a:extLst>
            <a:ext uri="{FF2B5EF4-FFF2-40B4-BE49-F238E27FC236}">
              <a16:creationId xmlns:a16="http://schemas.microsoft.com/office/drawing/2014/main" id="{00000000-0008-0000-0C00-000005451000}"/>
            </a:ext>
          </a:extLst>
        </xdr:cNvPr>
        <xdr:cNvSpPr>
          <a:spLocks noChangeShapeType="1"/>
        </xdr:cNvSpPr>
      </xdr:nvSpPr>
      <xdr:spPr bwMode="auto">
        <a:xfrm>
          <a:off x="24793575" y="1175385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65</xdr:row>
      <xdr:rowOff>0</xdr:rowOff>
    </xdr:from>
    <xdr:to>
      <xdr:col>37</xdr:col>
      <xdr:colOff>66675</xdr:colOff>
      <xdr:row>65</xdr:row>
      <xdr:rowOff>9525</xdr:rowOff>
    </xdr:to>
    <xdr:sp macro="" textlink="">
      <xdr:nvSpPr>
        <xdr:cNvPr id="1066246" name="Line 358">
          <a:extLst>
            <a:ext uri="{FF2B5EF4-FFF2-40B4-BE49-F238E27FC236}">
              <a16:creationId xmlns:a16="http://schemas.microsoft.com/office/drawing/2014/main" id="{00000000-0008-0000-0C00-000006451000}"/>
            </a:ext>
          </a:extLst>
        </xdr:cNvPr>
        <xdr:cNvSpPr>
          <a:spLocks noChangeShapeType="1"/>
        </xdr:cNvSpPr>
      </xdr:nvSpPr>
      <xdr:spPr bwMode="auto">
        <a:xfrm flipV="1">
          <a:off x="24803100" y="123158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61</xdr:row>
      <xdr:rowOff>161925</xdr:rowOff>
    </xdr:from>
    <xdr:to>
      <xdr:col>37</xdr:col>
      <xdr:colOff>400050</xdr:colOff>
      <xdr:row>63</xdr:row>
      <xdr:rowOff>114300</xdr:rowOff>
    </xdr:to>
    <xdr:sp macro="" textlink="">
      <xdr:nvSpPr>
        <xdr:cNvPr id="1066247" name="Line 359">
          <a:extLst>
            <a:ext uri="{FF2B5EF4-FFF2-40B4-BE49-F238E27FC236}">
              <a16:creationId xmlns:a16="http://schemas.microsoft.com/office/drawing/2014/main" id="{00000000-0008-0000-0C00-000007451000}"/>
            </a:ext>
          </a:extLst>
        </xdr:cNvPr>
        <xdr:cNvSpPr>
          <a:spLocks noChangeShapeType="1"/>
        </xdr:cNvSpPr>
      </xdr:nvSpPr>
      <xdr:spPr bwMode="auto">
        <a:xfrm flipV="1">
          <a:off x="24860250" y="11753850"/>
          <a:ext cx="333375" cy="3143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62</xdr:row>
      <xdr:rowOff>0</xdr:rowOff>
    </xdr:from>
    <xdr:to>
      <xdr:col>34</xdr:col>
      <xdr:colOff>76200</xdr:colOff>
      <xdr:row>62</xdr:row>
      <xdr:rowOff>9525</xdr:rowOff>
    </xdr:to>
    <xdr:sp macro="" textlink="">
      <xdr:nvSpPr>
        <xdr:cNvPr id="1066248" name="Line 360">
          <a:extLst>
            <a:ext uri="{FF2B5EF4-FFF2-40B4-BE49-F238E27FC236}">
              <a16:creationId xmlns:a16="http://schemas.microsoft.com/office/drawing/2014/main" id="{00000000-0008-0000-0C00-000008451000}"/>
            </a:ext>
          </a:extLst>
        </xdr:cNvPr>
        <xdr:cNvSpPr>
          <a:spLocks noChangeShapeType="1"/>
        </xdr:cNvSpPr>
      </xdr:nvSpPr>
      <xdr:spPr bwMode="auto">
        <a:xfrm>
          <a:off x="22698075" y="1175385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57150</xdr:colOff>
      <xdr:row>62</xdr:row>
      <xdr:rowOff>9525</xdr:rowOff>
    </xdr:from>
    <xdr:to>
      <xdr:col>34</xdr:col>
      <xdr:colOff>66675</xdr:colOff>
      <xdr:row>65</xdr:row>
      <xdr:rowOff>0</xdr:rowOff>
    </xdr:to>
    <xdr:sp macro="" textlink="">
      <xdr:nvSpPr>
        <xdr:cNvPr id="1066249" name="Line 361">
          <a:extLst>
            <a:ext uri="{FF2B5EF4-FFF2-40B4-BE49-F238E27FC236}">
              <a16:creationId xmlns:a16="http://schemas.microsoft.com/office/drawing/2014/main" id="{00000000-0008-0000-0C00-000009451000}"/>
            </a:ext>
          </a:extLst>
        </xdr:cNvPr>
        <xdr:cNvSpPr>
          <a:spLocks noChangeShapeType="1"/>
        </xdr:cNvSpPr>
      </xdr:nvSpPr>
      <xdr:spPr bwMode="auto">
        <a:xfrm flipH="1">
          <a:off x="22755225" y="11763375"/>
          <a:ext cx="9525"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65</xdr:row>
      <xdr:rowOff>0</xdr:rowOff>
    </xdr:from>
    <xdr:to>
      <xdr:col>34</xdr:col>
      <xdr:colOff>66675</xdr:colOff>
      <xdr:row>65</xdr:row>
      <xdr:rowOff>9525</xdr:rowOff>
    </xdr:to>
    <xdr:sp macro="" textlink="">
      <xdr:nvSpPr>
        <xdr:cNvPr id="1066250" name="Line 362">
          <a:extLst>
            <a:ext uri="{FF2B5EF4-FFF2-40B4-BE49-F238E27FC236}">
              <a16:creationId xmlns:a16="http://schemas.microsoft.com/office/drawing/2014/main" id="{00000000-0008-0000-0C00-00000A451000}"/>
            </a:ext>
          </a:extLst>
        </xdr:cNvPr>
        <xdr:cNvSpPr>
          <a:spLocks noChangeShapeType="1"/>
        </xdr:cNvSpPr>
      </xdr:nvSpPr>
      <xdr:spPr bwMode="auto">
        <a:xfrm flipV="1">
          <a:off x="22707600" y="123158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66675</xdr:colOff>
      <xdr:row>63</xdr:row>
      <xdr:rowOff>85725</xdr:rowOff>
    </xdr:from>
    <xdr:to>
      <xdr:col>32</xdr:col>
      <xdr:colOff>9525</xdr:colOff>
      <xdr:row>68</xdr:row>
      <xdr:rowOff>19050</xdr:rowOff>
    </xdr:to>
    <xdr:sp macro="" textlink="">
      <xdr:nvSpPr>
        <xdr:cNvPr id="1066251" name="Line 363">
          <a:extLst>
            <a:ext uri="{FF2B5EF4-FFF2-40B4-BE49-F238E27FC236}">
              <a16:creationId xmlns:a16="http://schemas.microsoft.com/office/drawing/2014/main" id="{00000000-0008-0000-0C00-00000B451000}"/>
            </a:ext>
          </a:extLst>
        </xdr:cNvPr>
        <xdr:cNvSpPr>
          <a:spLocks noChangeShapeType="1"/>
        </xdr:cNvSpPr>
      </xdr:nvSpPr>
      <xdr:spPr bwMode="auto">
        <a:xfrm>
          <a:off x="20602575" y="12039600"/>
          <a:ext cx="390525" cy="7905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57150</xdr:colOff>
      <xdr:row>63</xdr:row>
      <xdr:rowOff>76200</xdr:rowOff>
    </xdr:from>
    <xdr:to>
      <xdr:col>34</xdr:col>
      <xdr:colOff>400050</xdr:colOff>
      <xdr:row>68</xdr:row>
      <xdr:rowOff>28575</xdr:rowOff>
    </xdr:to>
    <xdr:sp macro="" textlink="">
      <xdr:nvSpPr>
        <xdr:cNvPr id="1066252" name="Line 364">
          <a:extLst>
            <a:ext uri="{FF2B5EF4-FFF2-40B4-BE49-F238E27FC236}">
              <a16:creationId xmlns:a16="http://schemas.microsoft.com/office/drawing/2014/main" id="{00000000-0008-0000-0C00-00000C451000}"/>
            </a:ext>
          </a:extLst>
        </xdr:cNvPr>
        <xdr:cNvSpPr>
          <a:spLocks noChangeShapeType="1"/>
        </xdr:cNvSpPr>
      </xdr:nvSpPr>
      <xdr:spPr bwMode="auto">
        <a:xfrm>
          <a:off x="22755225" y="12030075"/>
          <a:ext cx="342900" cy="8096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38</xdr:row>
      <xdr:rowOff>0</xdr:rowOff>
    </xdr:from>
    <xdr:to>
      <xdr:col>31</xdr:col>
      <xdr:colOff>76200</xdr:colOff>
      <xdr:row>38</xdr:row>
      <xdr:rowOff>9525</xdr:rowOff>
    </xdr:to>
    <xdr:sp macro="" textlink="">
      <xdr:nvSpPr>
        <xdr:cNvPr id="1066253" name="Line 365">
          <a:extLst>
            <a:ext uri="{FF2B5EF4-FFF2-40B4-BE49-F238E27FC236}">
              <a16:creationId xmlns:a16="http://schemas.microsoft.com/office/drawing/2014/main" id="{00000000-0008-0000-0C00-00000D451000}"/>
            </a:ext>
          </a:extLst>
        </xdr:cNvPr>
        <xdr:cNvSpPr>
          <a:spLocks noChangeShapeType="1"/>
        </xdr:cNvSpPr>
      </xdr:nvSpPr>
      <xdr:spPr bwMode="auto">
        <a:xfrm>
          <a:off x="2053590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66675</xdr:colOff>
      <xdr:row>38</xdr:row>
      <xdr:rowOff>9525</xdr:rowOff>
    </xdr:from>
    <xdr:to>
      <xdr:col>31</xdr:col>
      <xdr:colOff>66675</xdr:colOff>
      <xdr:row>41</xdr:row>
      <xdr:rowOff>19050</xdr:rowOff>
    </xdr:to>
    <xdr:sp macro="" textlink="">
      <xdr:nvSpPr>
        <xdr:cNvPr id="1066254" name="Line 366">
          <a:extLst>
            <a:ext uri="{FF2B5EF4-FFF2-40B4-BE49-F238E27FC236}">
              <a16:creationId xmlns:a16="http://schemas.microsoft.com/office/drawing/2014/main" id="{00000000-0008-0000-0C00-00000E451000}"/>
            </a:ext>
          </a:extLst>
        </xdr:cNvPr>
        <xdr:cNvSpPr>
          <a:spLocks noChangeShapeType="1"/>
        </xdr:cNvSpPr>
      </xdr:nvSpPr>
      <xdr:spPr bwMode="auto">
        <a:xfrm>
          <a:off x="2060257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9525</xdr:colOff>
      <xdr:row>41</xdr:row>
      <xdr:rowOff>0</xdr:rowOff>
    </xdr:from>
    <xdr:to>
      <xdr:col>31</xdr:col>
      <xdr:colOff>66675</xdr:colOff>
      <xdr:row>41</xdr:row>
      <xdr:rowOff>9525</xdr:rowOff>
    </xdr:to>
    <xdr:sp macro="" textlink="">
      <xdr:nvSpPr>
        <xdr:cNvPr id="1066255" name="Line 367">
          <a:extLst>
            <a:ext uri="{FF2B5EF4-FFF2-40B4-BE49-F238E27FC236}">
              <a16:creationId xmlns:a16="http://schemas.microsoft.com/office/drawing/2014/main" id="{00000000-0008-0000-0C00-00000F451000}"/>
            </a:ext>
          </a:extLst>
        </xdr:cNvPr>
        <xdr:cNvSpPr>
          <a:spLocks noChangeShapeType="1"/>
        </xdr:cNvSpPr>
      </xdr:nvSpPr>
      <xdr:spPr bwMode="auto">
        <a:xfrm flipV="1">
          <a:off x="2054542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38</xdr:row>
      <xdr:rowOff>0</xdr:rowOff>
    </xdr:from>
    <xdr:to>
      <xdr:col>34</xdr:col>
      <xdr:colOff>76200</xdr:colOff>
      <xdr:row>38</xdr:row>
      <xdr:rowOff>9525</xdr:rowOff>
    </xdr:to>
    <xdr:sp macro="" textlink="">
      <xdr:nvSpPr>
        <xdr:cNvPr id="1066256" name="Line 368">
          <a:extLst>
            <a:ext uri="{FF2B5EF4-FFF2-40B4-BE49-F238E27FC236}">
              <a16:creationId xmlns:a16="http://schemas.microsoft.com/office/drawing/2014/main" id="{00000000-0008-0000-0C00-000010451000}"/>
            </a:ext>
          </a:extLst>
        </xdr:cNvPr>
        <xdr:cNvSpPr>
          <a:spLocks noChangeShapeType="1"/>
        </xdr:cNvSpPr>
      </xdr:nvSpPr>
      <xdr:spPr bwMode="auto">
        <a:xfrm>
          <a:off x="226980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41</xdr:row>
      <xdr:rowOff>0</xdr:rowOff>
    </xdr:from>
    <xdr:to>
      <xdr:col>34</xdr:col>
      <xdr:colOff>66675</xdr:colOff>
      <xdr:row>41</xdr:row>
      <xdr:rowOff>9525</xdr:rowOff>
    </xdr:to>
    <xdr:sp macro="" textlink="">
      <xdr:nvSpPr>
        <xdr:cNvPr id="1066257" name="Line 370">
          <a:extLst>
            <a:ext uri="{FF2B5EF4-FFF2-40B4-BE49-F238E27FC236}">
              <a16:creationId xmlns:a16="http://schemas.microsoft.com/office/drawing/2014/main" id="{00000000-0008-0000-0C00-000011451000}"/>
            </a:ext>
          </a:extLst>
        </xdr:cNvPr>
        <xdr:cNvSpPr>
          <a:spLocks noChangeShapeType="1"/>
        </xdr:cNvSpPr>
      </xdr:nvSpPr>
      <xdr:spPr bwMode="auto">
        <a:xfrm flipV="1">
          <a:off x="227076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38</xdr:row>
      <xdr:rowOff>0</xdr:rowOff>
    </xdr:from>
    <xdr:to>
      <xdr:col>37</xdr:col>
      <xdr:colOff>76200</xdr:colOff>
      <xdr:row>38</xdr:row>
      <xdr:rowOff>9525</xdr:rowOff>
    </xdr:to>
    <xdr:sp macro="" textlink="">
      <xdr:nvSpPr>
        <xdr:cNvPr id="1066258" name="Line 371">
          <a:extLst>
            <a:ext uri="{FF2B5EF4-FFF2-40B4-BE49-F238E27FC236}">
              <a16:creationId xmlns:a16="http://schemas.microsoft.com/office/drawing/2014/main" id="{00000000-0008-0000-0C00-000012451000}"/>
            </a:ext>
          </a:extLst>
        </xdr:cNvPr>
        <xdr:cNvSpPr>
          <a:spLocks noChangeShapeType="1"/>
        </xdr:cNvSpPr>
      </xdr:nvSpPr>
      <xdr:spPr bwMode="auto">
        <a:xfrm>
          <a:off x="247935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38</xdr:row>
      <xdr:rowOff>9525</xdr:rowOff>
    </xdr:from>
    <xdr:to>
      <xdr:col>37</xdr:col>
      <xdr:colOff>66675</xdr:colOff>
      <xdr:row>41</xdr:row>
      <xdr:rowOff>19050</xdr:rowOff>
    </xdr:to>
    <xdr:sp macro="" textlink="">
      <xdr:nvSpPr>
        <xdr:cNvPr id="1066259" name="Line 372">
          <a:extLst>
            <a:ext uri="{FF2B5EF4-FFF2-40B4-BE49-F238E27FC236}">
              <a16:creationId xmlns:a16="http://schemas.microsoft.com/office/drawing/2014/main" id="{00000000-0008-0000-0C00-000013451000}"/>
            </a:ext>
          </a:extLst>
        </xdr:cNvPr>
        <xdr:cNvSpPr>
          <a:spLocks noChangeShapeType="1"/>
        </xdr:cNvSpPr>
      </xdr:nvSpPr>
      <xdr:spPr bwMode="auto">
        <a:xfrm>
          <a:off x="24860250"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41</xdr:row>
      <xdr:rowOff>0</xdr:rowOff>
    </xdr:from>
    <xdr:to>
      <xdr:col>37</xdr:col>
      <xdr:colOff>66675</xdr:colOff>
      <xdr:row>41</xdr:row>
      <xdr:rowOff>9525</xdr:rowOff>
    </xdr:to>
    <xdr:sp macro="" textlink="">
      <xdr:nvSpPr>
        <xdr:cNvPr id="1066260" name="Line 373">
          <a:extLst>
            <a:ext uri="{FF2B5EF4-FFF2-40B4-BE49-F238E27FC236}">
              <a16:creationId xmlns:a16="http://schemas.microsoft.com/office/drawing/2014/main" id="{00000000-0008-0000-0C00-000014451000}"/>
            </a:ext>
          </a:extLst>
        </xdr:cNvPr>
        <xdr:cNvSpPr>
          <a:spLocks noChangeShapeType="1"/>
        </xdr:cNvSpPr>
      </xdr:nvSpPr>
      <xdr:spPr bwMode="auto">
        <a:xfrm flipV="1">
          <a:off x="248031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38</xdr:row>
      <xdr:rowOff>0</xdr:rowOff>
    </xdr:from>
    <xdr:to>
      <xdr:col>37</xdr:col>
      <xdr:colOff>76200</xdr:colOff>
      <xdr:row>38</xdr:row>
      <xdr:rowOff>9525</xdr:rowOff>
    </xdr:to>
    <xdr:sp macro="" textlink="">
      <xdr:nvSpPr>
        <xdr:cNvPr id="1066261" name="Line 374">
          <a:extLst>
            <a:ext uri="{FF2B5EF4-FFF2-40B4-BE49-F238E27FC236}">
              <a16:creationId xmlns:a16="http://schemas.microsoft.com/office/drawing/2014/main" id="{00000000-0008-0000-0C00-000015451000}"/>
            </a:ext>
          </a:extLst>
        </xdr:cNvPr>
        <xdr:cNvSpPr>
          <a:spLocks noChangeShapeType="1"/>
        </xdr:cNvSpPr>
      </xdr:nvSpPr>
      <xdr:spPr bwMode="auto">
        <a:xfrm>
          <a:off x="247935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38</xdr:row>
      <xdr:rowOff>9525</xdr:rowOff>
    </xdr:from>
    <xdr:to>
      <xdr:col>37</xdr:col>
      <xdr:colOff>66675</xdr:colOff>
      <xdr:row>41</xdr:row>
      <xdr:rowOff>19050</xdr:rowOff>
    </xdr:to>
    <xdr:sp macro="" textlink="">
      <xdr:nvSpPr>
        <xdr:cNvPr id="1066262" name="Line 375">
          <a:extLst>
            <a:ext uri="{FF2B5EF4-FFF2-40B4-BE49-F238E27FC236}">
              <a16:creationId xmlns:a16="http://schemas.microsoft.com/office/drawing/2014/main" id="{00000000-0008-0000-0C00-000016451000}"/>
            </a:ext>
          </a:extLst>
        </xdr:cNvPr>
        <xdr:cNvSpPr>
          <a:spLocks noChangeShapeType="1"/>
        </xdr:cNvSpPr>
      </xdr:nvSpPr>
      <xdr:spPr bwMode="auto">
        <a:xfrm>
          <a:off x="24860250"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41</xdr:row>
      <xdr:rowOff>0</xdr:rowOff>
    </xdr:from>
    <xdr:to>
      <xdr:col>37</xdr:col>
      <xdr:colOff>66675</xdr:colOff>
      <xdr:row>41</xdr:row>
      <xdr:rowOff>9525</xdr:rowOff>
    </xdr:to>
    <xdr:sp macro="" textlink="">
      <xdr:nvSpPr>
        <xdr:cNvPr id="1066263" name="Line 376">
          <a:extLst>
            <a:ext uri="{FF2B5EF4-FFF2-40B4-BE49-F238E27FC236}">
              <a16:creationId xmlns:a16="http://schemas.microsoft.com/office/drawing/2014/main" id="{00000000-0008-0000-0C00-000017451000}"/>
            </a:ext>
          </a:extLst>
        </xdr:cNvPr>
        <xdr:cNvSpPr>
          <a:spLocks noChangeShapeType="1"/>
        </xdr:cNvSpPr>
      </xdr:nvSpPr>
      <xdr:spPr bwMode="auto">
        <a:xfrm flipV="1">
          <a:off x="248031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76200</xdr:colOff>
      <xdr:row>39</xdr:row>
      <xdr:rowOff>66675</xdr:rowOff>
    </xdr:from>
    <xdr:to>
      <xdr:col>38</xdr:col>
      <xdr:colOff>9525</xdr:colOff>
      <xdr:row>41</xdr:row>
      <xdr:rowOff>19050</xdr:rowOff>
    </xdr:to>
    <xdr:sp macro="" textlink="">
      <xdr:nvSpPr>
        <xdr:cNvPr id="1066264" name="Line 377">
          <a:extLst>
            <a:ext uri="{FF2B5EF4-FFF2-40B4-BE49-F238E27FC236}">
              <a16:creationId xmlns:a16="http://schemas.microsoft.com/office/drawing/2014/main" id="{00000000-0008-0000-0C00-000018451000}"/>
            </a:ext>
          </a:extLst>
        </xdr:cNvPr>
        <xdr:cNvSpPr>
          <a:spLocks noChangeShapeType="1"/>
        </xdr:cNvSpPr>
      </xdr:nvSpPr>
      <xdr:spPr bwMode="auto">
        <a:xfrm>
          <a:off x="24869775" y="77247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0</xdr:colOff>
      <xdr:row>38</xdr:row>
      <xdr:rowOff>0</xdr:rowOff>
    </xdr:from>
    <xdr:to>
      <xdr:col>37</xdr:col>
      <xdr:colOff>76200</xdr:colOff>
      <xdr:row>38</xdr:row>
      <xdr:rowOff>9525</xdr:rowOff>
    </xdr:to>
    <xdr:sp macro="" textlink="">
      <xdr:nvSpPr>
        <xdr:cNvPr id="1066265" name="Line 378">
          <a:extLst>
            <a:ext uri="{FF2B5EF4-FFF2-40B4-BE49-F238E27FC236}">
              <a16:creationId xmlns:a16="http://schemas.microsoft.com/office/drawing/2014/main" id="{00000000-0008-0000-0C00-000019451000}"/>
            </a:ext>
          </a:extLst>
        </xdr:cNvPr>
        <xdr:cNvSpPr>
          <a:spLocks noChangeShapeType="1"/>
        </xdr:cNvSpPr>
      </xdr:nvSpPr>
      <xdr:spPr bwMode="auto">
        <a:xfrm>
          <a:off x="247935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38</xdr:row>
      <xdr:rowOff>9525</xdr:rowOff>
    </xdr:from>
    <xdr:to>
      <xdr:col>37</xdr:col>
      <xdr:colOff>66675</xdr:colOff>
      <xdr:row>41</xdr:row>
      <xdr:rowOff>19050</xdr:rowOff>
    </xdr:to>
    <xdr:sp macro="" textlink="">
      <xdr:nvSpPr>
        <xdr:cNvPr id="1066266" name="Line 379">
          <a:extLst>
            <a:ext uri="{FF2B5EF4-FFF2-40B4-BE49-F238E27FC236}">
              <a16:creationId xmlns:a16="http://schemas.microsoft.com/office/drawing/2014/main" id="{00000000-0008-0000-0C00-00001A451000}"/>
            </a:ext>
          </a:extLst>
        </xdr:cNvPr>
        <xdr:cNvSpPr>
          <a:spLocks noChangeShapeType="1"/>
        </xdr:cNvSpPr>
      </xdr:nvSpPr>
      <xdr:spPr bwMode="auto">
        <a:xfrm>
          <a:off x="24860250"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41</xdr:row>
      <xdr:rowOff>0</xdr:rowOff>
    </xdr:from>
    <xdr:to>
      <xdr:col>37</xdr:col>
      <xdr:colOff>66675</xdr:colOff>
      <xdr:row>41</xdr:row>
      <xdr:rowOff>9525</xdr:rowOff>
    </xdr:to>
    <xdr:sp macro="" textlink="">
      <xdr:nvSpPr>
        <xdr:cNvPr id="1066267" name="Line 380">
          <a:extLst>
            <a:ext uri="{FF2B5EF4-FFF2-40B4-BE49-F238E27FC236}">
              <a16:creationId xmlns:a16="http://schemas.microsoft.com/office/drawing/2014/main" id="{00000000-0008-0000-0C00-00001B451000}"/>
            </a:ext>
          </a:extLst>
        </xdr:cNvPr>
        <xdr:cNvSpPr>
          <a:spLocks noChangeShapeType="1"/>
        </xdr:cNvSpPr>
      </xdr:nvSpPr>
      <xdr:spPr bwMode="auto">
        <a:xfrm flipV="1">
          <a:off x="248031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38</xdr:row>
      <xdr:rowOff>0</xdr:rowOff>
    </xdr:from>
    <xdr:to>
      <xdr:col>34</xdr:col>
      <xdr:colOff>76200</xdr:colOff>
      <xdr:row>38</xdr:row>
      <xdr:rowOff>9525</xdr:rowOff>
    </xdr:to>
    <xdr:sp macro="" textlink="">
      <xdr:nvSpPr>
        <xdr:cNvPr id="1066268" name="Line 382">
          <a:extLst>
            <a:ext uri="{FF2B5EF4-FFF2-40B4-BE49-F238E27FC236}">
              <a16:creationId xmlns:a16="http://schemas.microsoft.com/office/drawing/2014/main" id="{00000000-0008-0000-0C00-00001C451000}"/>
            </a:ext>
          </a:extLst>
        </xdr:cNvPr>
        <xdr:cNvSpPr>
          <a:spLocks noChangeShapeType="1"/>
        </xdr:cNvSpPr>
      </xdr:nvSpPr>
      <xdr:spPr bwMode="auto">
        <a:xfrm>
          <a:off x="226980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41</xdr:row>
      <xdr:rowOff>0</xdr:rowOff>
    </xdr:from>
    <xdr:to>
      <xdr:col>34</xdr:col>
      <xdr:colOff>66675</xdr:colOff>
      <xdr:row>41</xdr:row>
      <xdr:rowOff>9525</xdr:rowOff>
    </xdr:to>
    <xdr:sp macro="" textlink="">
      <xdr:nvSpPr>
        <xdr:cNvPr id="1066269" name="Line 384">
          <a:extLst>
            <a:ext uri="{FF2B5EF4-FFF2-40B4-BE49-F238E27FC236}">
              <a16:creationId xmlns:a16="http://schemas.microsoft.com/office/drawing/2014/main" id="{00000000-0008-0000-0C00-00001D451000}"/>
            </a:ext>
          </a:extLst>
        </xdr:cNvPr>
        <xdr:cNvSpPr>
          <a:spLocks noChangeShapeType="1"/>
        </xdr:cNvSpPr>
      </xdr:nvSpPr>
      <xdr:spPr bwMode="auto">
        <a:xfrm flipV="1">
          <a:off x="227076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66675</xdr:colOff>
      <xdr:row>40</xdr:row>
      <xdr:rowOff>142875</xdr:rowOff>
    </xdr:from>
    <xdr:to>
      <xdr:col>31</xdr:col>
      <xdr:colOff>438150</xdr:colOff>
      <xdr:row>45</xdr:row>
      <xdr:rowOff>76200</xdr:rowOff>
    </xdr:to>
    <xdr:sp macro="" textlink="">
      <xdr:nvSpPr>
        <xdr:cNvPr id="1066270" name="Line 386">
          <a:extLst>
            <a:ext uri="{FF2B5EF4-FFF2-40B4-BE49-F238E27FC236}">
              <a16:creationId xmlns:a16="http://schemas.microsoft.com/office/drawing/2014/main" id="{00000000-0008-0000-0C00-00001E451000}"/>
            </a:ext>
          </a:extLst>
        </xdr:cNvPr>
        <xdr:cNvSpPr>
          <a:spLocks noChangeShapeType="1"/>
        </xdr:cNvSpPr>
      </xdr:nvSpPr>
      <xdr:spPr bwMode="auto">
        <a:xfrm flipV="1">
          <a:off x="20602575" y="7981950"/>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66675</xdr:colOff>
      <xdr:row>45</xdr:row>
      <xdr:rowOff>95250</xdr:rowOff>
    </xdr:from>
    <xdr:to>
      <xdr:col>32</xdr:col>
      <xdr:colOff>0</xdr:colOff>
      <xdr:row>49</xdr:row>
      <xdr:rowOff>171450</xdr:rowOff>
    </xdr:to>
    <xdr:sp macro="" textlink="">
      <xdr:nvSpPr>
        <xdr:cNvPr id="1066271" name="Line 387">
          <a:extLst>
            <a:ext uri="{FF2B5EF4-FFF2-40B4-BE49-F238E27FC236}">
              <a16:creationId xmlns:a16="http://schemas.microsoft.com/office/drawing/2014/main" id="{00000000-0008-0000-0C00-00001F451000}"/>
            </a:ext>
          </a:extLst>
        </xdr:cNvPr>
        <xdr:cNvSpPr>
          <a:spLocks noChangeShapeType="1"/>
        </xdr:cNvSpPr>
      </xdr:nvSpPr>
      <xdr:spPr bwMode="auto">
        <a:xfrm>
          <a:off x="20602575" y="8839200"/>
          <a:ext cx="3810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66675</xdr:colOff>
      <xdr:row>46</xdr:row>
      <xdr:rowOff>161925</xdr:rowOff>
    </xdr:from>
    <xdr:to>
      <xdr:col>31</xdr:col>
      <xdr:colOff>438150</xdr:colOff>
      <xdr:row>51</xdr:row>
      <xdr:rowOff>95250</xdr:rowOff>
    </xdr:to>
    <xdr:sp macro="" textlink="">
      <xdr:nvSpPr>
        <xdr:cNvPr id="1066272" name="Line 388">
          <a:extLst>
            <a:ext uri="{FF2B5EF4-FFF2-40B4-BE49-F238E27FC236}">
              <a16:creationId xmlns:a16="http://schemas.microsoft.com/office/drawing/2014/main" id="{00000000-0008-0000-0C00-000020451000}"/>
            </a:ext>
          </a:extLst>
        </xdr:cNvPr>
        <xdr:cNvSpPr>
          <a:spLocks noChangeShapeType="1"/>
        </xdr:cNvSpPr>
      </xdr:nvSpPr>
      <xdr:spPr bwMode="auto">
        <a:xfrm flipV="1">
          <a:off x="20602575" y="9086850"/>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66675</xdr:colOff>
      <xdr:row>51</xdr:row>
      <xdr:rowOff>95250</xdr:rowOff>
    </xdr:from>
    <xdr:to>
      <xdr:col>32</xdr:col>
      <xdr:colOff>0</xdr:colOff>
      <xdr:row>55</xdr:row>
      <xdr:rowOff>171450</xdr:rowOff>
    </xdr:to>
    <xdr:sp macro="" textlink="">
      <xdr:nvSpPr>
        <xdr:cNvPr id="1066273" name="Line 389">
          <a:extLst>
            <a:ext uri="{FF2B5EF4-FFF2-40B4-BE49-F238E27FC236}">
              <a16:creationId xmlns:a16="http://schemas.microsoft.com/office/drawing/2014/main" id="{00000000-0008-0000-0C00-000021451000}"/>
            </a:ext>
          </a:extLst>
        </xdr:cNvPr>
        <xdr:cNvSpPr>
          <a:spLocks noChangeShapeType="1"/>
        </xdr:cNvSpPr>
      </xdr:nvSpPr>
      <xdr:spPr bwMode="auto">
        <a:xfrm>
          <a:off x="20602575" y="9925050"/>
          <a:ext cx="3810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66675</xdr:colOff>
      <xdr:row>57</xdr:row>
      <xdr:rowOff>57150</xdr:rowOff>
    </xdr:from>
    <xdr:to>
      <xdr:col>32</xdr:col>
      <xdr:colOff>0</xdr:colOff>
      <xdr:row>62</xdr:row>
      <xdr:rowOff>19050</xdr:rowOff>
    </xdr:to>
    <xdr:sp macro="" textlink="">
      <xdr:nvSpPr>
        <xdr:cNvPr id="1066274" name="Line 390">
          <a:extLst>
            <a:ext uri="{FF2B5EF4-FFF2-40B4-BE49-F238E27FC236}">
              <a16:creationId xmlns:a16="http://schemas.microsoft.com/office/drawing/2014/main" id="{00000000-0008-0000-0C00-000022451000}"/>
            </a:ext>
          </a:extLst>
        </xdr:cNvPr>
        <xdr:cNvSpPr>
          <a:spLocks noChangeShapeType="1"/>
        </xdr:cNvSpPr>
      </xdr:nvSpPr>
      <xdr:spPr bwMode="auto">
        <a:xfrm>
          <a:off x="20602575" y="10972800"/>
          <a:ext cx="3810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66675</xdr:colOff>
      <xdr:row>52</xdr:row>
      <xdr:rowOff>152400</xdr:rowOff>
    </xdr:from>
    <xdr:to>
      <xdr:col>31</xdr:col>
      <xdr:colOff>438150</xdr:colOff>
      <xdr:row>57</xdr:row>
      <xdr:rowOff>85725</xdr:rowOff>
    </xdr:to>
    <xdr:sp macro="" textlink="">
      <xdr:nvSpPr>
        <xdr:cNvPr id="1066275" name="Line 391">
          <a:extLst>
            <a:ext uri="{FF2B5EF4-FFF2-40B4-BE49-F238E27FC236}">
              <a16:creationId xmlns:a16="http://schemas.microsoft.com/office/drawing/2014/main" id="{00000000-0008-0000-0C00-000023451000}"/>
            </a:ext>
          </a:extLst>
        </xdr:cNvPr>
        <xdr:cNvSpPr>
          <a:spLocks noChangeShapeType="1"/>
        </xdr:cNvSpPr>
      </xdr:nvSpPr>
      <xdr:spPr bwMode="auto">
        <a:xfrm flipV="1">
          <a:off x="20602575" y="10163175"/>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66675</xdr:colOff>
      <xdr:row>58</xdr:row>
      <xdr:rowOff>152400</xdr:rowOff>
    </xdr:from>
    <xdr:to>
      <xdr:col>32</xdr:col>
      <xdr:colOff>0</xdr:colOff>
      <xdr:row>63</xdr:row>
      <xdr:rowOff>76200</xdr:rowOff>
    </xdr:to>
    <xdr:sp macro="" textlink="">
      <xdr:nvSpPr>
        <xdr:cNvPr id="1066276" name="Line 392">
          <a:extLst>
            <a:ext uri="{FF2B5EF4-FFF2-40B4-BE49-F238E27FC236}">
              <a16:creationId xmlns:a16="http://schemas.microsoft.com/office/drawing/2014/main" id="{00000000-0008-0000-0C00-000024451000}"/>
            </a:ext>
          </a:extLst>
        </xdr:cNvPr>
        <xdr:cNvSpPr>
          <a:spLocks noChangeShapeType="1"/>
        </xdr:cNvSpPr>
      </xdr:nvSpPr>
      <xdr:spPr bwMode="auto">
        <a:xfrm flipV="1">
          <a:off x="20602575" y="11249025"/>
          <a:ext cx="381000" cy="781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76200</xdr:colOff>
      <xdr:row>41</xdr:row>
      <xdr:rowOff>0</xdr:rowOff>
    </xdr:from>
    <xdr:to>
      <xdr:col>35</xdr:col>
      <xdr:colOff>0</xdr:colOff>
      <xdr:row>45</xdr:row>
      <xdr:rowOff>66675</xdr:rowOff>
    </xdr:to>
    <xdr:sp macro="" textlink="">
      <xdr:nvSpPr>
        <xdr:cNvPr id="1066277" name="Line 393">
          <a:extLst>
            <a:ext uri="{FF2B5EF4-FFF2-40B4-BE49-F238E27FC236}">
              <a16:creationId xmlns:a16="http://schemas.microsoft.com/office/drawing/2014/main" id="{00000000-0008-0000-0C00-000025451000}"/>
            </a:ext>
          </a:extLst>
        </xdr:cNvPr>
        <xdr:cNvSpPr>
          <a:spLocks noChangeShapeType="1"/>
        </xdr:cNvSpPr>
      </xdr:nvSpPr>
      <xdr:spPr bwMode="auto">
        <a:xfrm flipV="1">
          <a:off x="22774275" y="8020050"/>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76200</xdr:colOff>
      <xdr:row>46</xdr:row>
      <xdr:rowOff>171450</xdr:rowOff>
    </xdr:from>
    <xdr:to>
      <xdr:col>35</xdr:col>
      <xdr:colOff>0</xdr:colOff>
      <xdr:row>51</xdr:row>
      <xdr:rowOff>57150</xdr:rowOff>
    </xdr:to>
    <xdr:sp macro="" textlink="">
      <xdr:nvSpPr>
        <xdr:cNvPr id="1066278" name="Line 394">
          <a:extLst>
            <a:ext uri="{FF2B5EF4-FFF2-40B4-BE49-F238E27FC236}">
              <a16:creationId xmlns:a16="http://schemas.microsoft.com/office/drawing/2014/main" id="{00000000-0008-0000-0C00-000026451000}"/>
            </a:ext>
          </a:extLst>
        </xdr:cNvPr>
        <xdr:cNvSpPr>
          <a:spLocks noChangeShapeType="1"/>
        </xdr:cNvSpPr>
      </xdr:nvSpPr>
      <xdr:spPr bwMode="auto">
        <a:xfrm flipV="1">
          <a:off x="22774275" y="9096375"/>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76200</xdr:colOff>
      <xdr:row>52</xdr:row>
      <xdr:rowOff>171450</xdr:rowOff>
    </xdr:from>
    <xdr:to>
      <xdr:col>35</xdr:col>
      <xdr:colOff>0</xdr:colOff>
      <xdr:row>57</xdr:row>
      <xdr:rowOff>57150</xdr:rowOff>
    </xdr:to>
    <xdr:sp macro="" textlink="">
      <xdr:nvSpPr>
        <xdr:cNvPr id="1066279" name="Line 395">
          <a:extLst>
            <a:ext uri="{FF2B5EF4-FFF2-40B4-BE49-F238E27FC236}">
              <a16:creationId xmlns:a16="http://schemas.microsoft.com/office/drawing/2014/main" id="{00000000-0008-0000-0C00-000027451000}"/>
            </a:ext>
          </a:extLst>
        </xdr:cNvPr>
        <xdr:cNvSpPr>
          <a:spLocks noChangeShapeType="1"/>
        </xdr:cNvSpPr>
      </xdr:nvSpPr>
      <xdr:spPr bwMode="auto">
        <a:xfrm flipV="1">
          <a:off x="22774275" y="10182225"/>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66675</xdr:colOff>
      <xdr:row>58</xdr:row>
      <xdr:rowOff>142875</xdr:rowOff>
    </xdr:from>
    <xdr:to>
      <xdr:col>35</xdr:col>
      <xdr:colOff>0</xdr:colOff>
      <xdr:row>63</xdr:row>
      <xdr:rowOff>66675</xdr:rowOff>
    </xdr:to>
    <xdr:sp macro="" textlink="">
      <xdr:nvSpPr>
        <xdr:cNvPr id="1066280" name="Line 396">
          <a:extLst>
            <a:ext uri="{FF2B5EF4-FFF2-40B4-BE49-F238E27FC236}">
              <a16:creationId xmlns:a16="http://schemas.microsoft.com/office/drawing/2014/main" id="{00000000-0008-0000-0C00-000028451000}"/>
            </a:ext>
          </a:extLst>
        </xdr:cNvPr>
        <xdr:cNvSpPr>
          <a:spLocks noChangeShapeType="1"/>
        </xdr:cNvSpPr>
      </xdr:nvSpPr>
      <xdr:spPr bwMode="auto">
        <a:xfrm flipV="1">
          <a:off x="22764750" y="11239500"/>
          <a:ext cx="342900" cy="781050"/>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57150</xdr:colOff>
      <xdr:row>45</xdr:row>
      <xdr:rowOff>76200</xdr:rowOff>
    </xdr:from>
    <xdr:to>
      <xdr:col>34</xdr:col>
      <xdr:colOff>400050</xdr:colOff>
      <xdr:row>50</xdr:row>
      <xdr:rowOff>0</xdr:rowOff>
    </xdr:to>
    <xdr:sp macro="" textlink="">
      <xdr:nvSpPr>
        <xdr:cNvPr id="1066281" name="Line 397">
          <a:extLst>
            <a:ext uri="{FF2B5EF4-FFF2-40B4-BE49-F238E27FC236}">
              <a16:creationId xmlns:a16="http://schemas.microsoft.com/office/drawing/2014/main" id="{00000000-0008-0000-0C00-000029451000}"/>
            </a:ext>
          </a:extLst>
        </xdr:cNvPr>
        <xdr:cNvSpPr>
          <a:spLocks noChangeShapeType="1"/>
        </xdr:cNvSpPr>
      </xdr:nvSpPr>
      <xdr:spPr bwMode="auto">
        <a:xfrm>
          <a:off x="22755225" y="8820150"/>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66675</xdr:colOff>
      <xdr:row>51</xdr:row>
      <xdr:rowOff>85725</xdr:rowOff>
    </xdr:from>
    <xdr:to>
      <xdr:col>35</xdr:col>
      <xdr:colOff>0</xdr:colOff>
      <xdr:row>56</xdr:row>
      <xdr:rowOff>9525</xdr:rowOff>
    </xdr:to>
    <xdr:sp macro="" textlink="">
      <xdr:nvSpPr>
        <xdr:cNvPr id="1066282" name="Line 398">
          <a:extLst>
            <a:ext uri="{FF2B5EF4-FFF2-40B4-BE49-F238E27FC236}">
              <a16:creationId xmlns:a16="http://schemas.microsoft.com/office/drawing/2014/main" id="{00000000-0008-0000-0C00-00002A451000}"/>
            </a:ext>
          </a:extLst>
        </xdr:cNvPr>
        <xdr:cNvSpPr>
          <a:spLocks noChangeShapeType="1"/>
        </xdr:cNvSpPr>
      </xdr:nvSpPr>
      <xdr:spPr bwMode="auto">
        <a:xfrm>
          <a:off x="22764750" y="9915525"/>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76200</xdr:colOff>
      <xdr:row>57</xdr:row>
      <xdr:rowOff>57150</xdr:rowOff>
    </xdr:from>
    <xdr:to>
      <xdr:col>35</xdr:col>
      <xdr:colOff>0</xdr:colOff>
      <xdr:row>62</xdr:row>
      <xdr:rowOff>28575</xdr:rowOff>
    </xdr:to>
    <xdr:sp macro="" textlink="">
      <xdr:nvSpPr>
        <xdr:cNvPr id="1066283" name="Line 399">
          <a:extLst>
            <a:ext uri="{FF2B5EF4-FFF2-40B4-BE49-F238E27FC236}">
              <a16:creationId xmlns:a16="http://schemas.microsoft.com/office/drawing/2014/main" id="{00000000-0008-0000-0C00-00002B451000}"/>
            </a:ext>
          </a:extLst>
        </xdr:cNvPr>
        <xdr:cNvSpPr>
          <a:spLocks noChangeShapeType="1"/>
        </xdr:cNvSpPr>
      </xdr:nvSpPr>
      <xdr:spPr bwMode="auto">
        <a:xfrm>
          <a:off x="22774275" y="10972800"/>
          <a:ext cx="333375" cy="8096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68</xdr:row>
      <xdr:rowOff>0</xdr:rowOff>
    </xdr:from>
    <xdr:to>
      <xdr:col>31</xdr:col>
      <xdr:colOff>76200</xdr:colOff>
      <xdr:row>68</xdr:row>
      <xdr:rowOff>9525</xdr:rowOff>
    </xdr:to>
    <xdr:sp macro="" textlink="">
      <xdr:nvSpPr>
        <xdr:cNvPr id="1066284" name="Line 343">
          <a:extLst>
            <a:ext uri="{FF2B5EF4-FFF2-40B4-BE49-F238E27FC236}">
              <a16:creationId xmlns:a16="http://schemas.microsoft.com/office/drawing/2014/main" id="{00000000-0008-0000-0C00-00002C451000}"/>
            </a:ext>
          </a:extLst>
        </xdr:cNvPr>
        <xdr:cNvSpPr>
          <a:spLocks noChangeShapeType="1"/>
        </xdr:cNvSpPr>
      </xdr:nvSpPr>
      <xdr:spPr bwMode="auto">
        <a:xfrm>
          <a:off x="20535900" y="12811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68</xdr:row>
      <xdr:rowOff>0</xdr:rowOff>
    </xdr:from>
    <xdr:to>
      <xdr:col>34</xdr:col>
      <xdr:colOff>76200</xdr:colOff>
      <xdr:row>68</xdr:row>
      <xdr:rowOff>9525</xdr:rowOff>
    </xdr:to>
    <xdr:sp macro="" textlink="">
      <xdr:nvSpPr>
        <xdr:cNvPr id="1066285" name="Line 346">
          <a:extLst>
            <a:ext uri="{FF2B5EF4-FFF2-40B4-BE49-F238E27FC236}">
              <a16:creationId xmlns:a16="http://schemas.microsoft.com/office/drawing/2014/main" id="{00000000-0008-0000-0C00-00002D451000}"/>
            </a:ext>
          </a:extLst>
        </xdr:cNvPr>
        <xdr:cNvSpPr>
          <a:spLocks noChangeShapeType="1"/>
        </xdr:cNvSpPr>
      </xdr:nvSpPr>
      <xdr:spPr bwMode="auto">
        <a:xfrm>
          <a:off x="22698075" y="12811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68</xdr:row>
      <xdr:rowOff>0</xdr:rowOff>
    </xdr:from>
    <xdr:to>
      <xdr:col>37</xdr:col>
      <xdr:colOff>76200</xdr:colOff>
      <xdr:row>68</xdr:row>
      <xdr:rowOff>9525</xdr:rowOff>
    </xdr:to>
    <xdr:sp macro="" textlink="">
      <xdr:nvSpPr>
        <xdr:cNvPr id="1066286" name="Line 349">
          <a:extLst>
            <a:ext uri="{FF2B5EF4-FFF2-40B4-BE49-F238E27FC236}">
              <a16:creationId xmlns:a16="http://schemas.microsoft.com/office/drawing/2014/main" id="{00000000-0008-0000-0C00-00002E451000}"/>
            </a:ext>
          </a:extLst>
        </xdr:cNvPr>
        <xdr:cNvSpPr>
          <a:spLocks noChangeShapeType="1"/>
        </xdr:cNvSpPr>
      </xdr:nvSpPr>
      <xdr:spPr bwMode="auto">
        <a:xfrm>
          <a:off x="24793575" y="12811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68</xdr:row>
      <xdr:rowOff>0</xdr:rowOff>
    </xdr:from>
    <xdr:to>
      <xdr:col>37</xdr:col>
      <xdr:colOff>76200</xdr:colOff>
      <xdr:row>68</xdr:row>
      <xdr:rowOff>9525</xdr:rowOff>
    </xdr:to>
    <xdr:sp macro="" textlink="">
      <xdr:nvSpPr>
        <xdr:cNvPr id="1066287" name="Line 352">
          <a:extLst>
            <a:ext uri="{FF2B5EF4-FFF2-40B4-BE49-F238E27FC236}">
              <a16:creationId xmlns:a16="http://schemas.microsoft.com/office/drawing/2014/main" id="{00000000-0008-0000-0C00-00002F451000}"/>
            </a:ext>
          </a:extLst>
        </xdr:cNvPr>
        <xdr:cNvSpPr>
          <a:spLocks noChangeShapeType="1"/>
        </xdr:cNvSpPr>
      </xdr:nvSpPr>
      <xdr:spPr bwMode="auto">
        <a:xfrm>
          <a:off x="24793575" y="12811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68</xdr:row>
      <xdr:rowOff>0</xdr:rowOff>
    </xdr:from>
    <xdr:to>
      <xdr:col>37</xdr:col>
      <xdr:colOff>76200</xdr:colOff>
      <xdr:row>68</xdr:row>
      <xdr:rowOff>9525</xdr:rowOff>
    </xdr:to>
    <xdr:sp macro="" textlink="">
      <xdr:nvSpPr>
        <xdr:cNvPr id="1066288" name="Line 356">
          <a:extLst>
            <a:ext uri="{FF2B5EF4-FFF2-40B4-BE49-F238E27FC236}">
              <a16:creationId xmlns:a16="http://schemas.microsoft.com/office/drawing/2014/main" id="{00000000-0008-0000-0C00-000030451000}"/>
            </a:ext>
          </a:extLst>
        </xdr:cNvPr>
        <xdr:cNvSpPr>
          <a:spLocks noChangeShapeType="1"/>
        </xdr:cNvSpPr>
      </xdr:nvSpPr>
      <xdr:spPr bwMode="auto">
        <a:xfrm>
          <a:off x="24793575" y="12811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68</xdr:row>
      <xdr:rowOff>0</xdr:rowOff>
    </xdr:from>
    <xdr:to>
      <xdr:col>37</xdr:col>
      <xdr:colOff>400050</xdr:colOff>
      <xdr:row>69</xdr:row>
      <xdr:rowOff>114300</xdr:rowOff>
    </xdr:to>
    <xdr:sp macro="" textlink="">
      <xdr:nvSpPr>
        <xdr:cNvPr id="1066289" name="Line 359">
          <a:extLst>
            <a:ext uri="{FF2B5EF4-FFF2-40B4-BE49-F238E27FC236}">
              <a16:creationId xmlns:a16="http://schemas.microsoft.com/office/drawing/2014/main" id="{00000000-0008-0000-0C00-000031451000}"/>
            </a:ext>
          </a:extLst>
        </xdr:cNvPr>
        <xdr:cNvSpPr>
          <a:spLocks noChangeShapeType="1"/>
        </xdr:cNvSpPr>
      </xdr:nvSpPr>
      <xdr:spPr bwMode="auto">
        <a:xfrm flipV="1">
          <a:off x="24860250" y="12811125"/>
          <a:ext cx="333375" cy="3143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68</xdr:row>
      <xdr:rowOff>0</xdr:rowOff>
    </xdr:from>
    <xdr:to>
      <xdr:col>34</xdr:col>
      <xdr:colOff>76200</xdr:colOff>
      <xdr:row>68</xdr:row>
      <xdr:rowOff>9525</xdr:rowOff>
    </xdr:to>
    <xdr:sp macro="" textlink="">
      <xdr:nvSpPr>
        <xdr:cNvPr id="1066290" name="Line 360">
          <a:extLst>
            <a:ext uri="{FF2B5EF4-FFF2-40B4-BE49-F238E27FC236}">
              <a16:creationId xmlns:a16="http://schemas.microsoft.com/office/drawing/2014/main" id="{00000000-0008-0000-0C00-000032451000}"/>
            </a:ext>
          </a:extLst>
        </xdr:cNvPr>
        <xdr:cNvSpPr>
          <a:spLocks noChangeShapeType="1"/>
        </xdr:cNvSpPr>
      </xdr:nvSpPr>
      <xdr:spPr bwMode="auto">
        <a:xfrm>
          <a:off x="22698075" y="12811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9525</xdr:colOff>
      <xdr:row>71</xdr:row>
      <xdr:rowOff>0</xdr:rowOff>
    </xdr:from>
    <xdr:to>
      <xdr:col>31</xdr:col>
      <xdr:colOff>66675</xdr:colOff>
      <xdr:row>71</xdr:row>
      <xdr:rowOff>9525</xdr:rowOff>
    </xdr:to>
    <xdr:sp macro="" textlink="">
      <xdr:nvSpPr>
        <xdr:cNvPr id="1066291" name="Line 345">
          <a:extLst>
            <a:ext uri="{FF2B5EF4-FFF2-40B4-BE49-F238E27FC236}">
              <a16:creationId xmlns:a16="http://schemas.microsoft.com/office/drawing/2014/main" id="{00000000-0008-0000-0C00-000033451000}"/>
            </a:ext>
          </a:extLst>
        </xdr:cNvPr>
        <xdr:cNvSpPr>
          <a:spLocks noChangeShapeType="1"/>
        </xdr:cNvSpPr>
      </xdr:nvSpPr>
      <xdr:spPr bwMode="auto">
        <a:xfrm flipV="1">
          <a:off x="20545425" y="133445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71</xdr:row>
      <xdr:rowOff>0</xdr:rowOff>
    </xdr:from>
    <xdr:to>
      <xdr:col>34</xdr:col>
      <xdr:colOff>66675</xdr:colOff>
      <xdr:row>71</xdr:row>
      <xdr:rowOff>9525</xdr:rowOff>
    </xdr:to>
    <xdr:sp macro="" textlink="">
      <xdr:nvSpPr>
        <xdr:cNvPr id="1066292" name="Line 348">
          <a:extLst>
            <a:ext uri="{FF2B5EF4-FFF2-40B4-BE49-F238E27FC236}">
              <a16:creationId xmlns:a16="http://schemas.microsoft.com/office/drawing/2014/main" id="{00000000-0008-0000-0C00-000034451000}"/>
            </a:ext>
          </a:extLst>
        </xdr:cNvPr>
        <xdr:cNvSpPr>
          <a:spLocks noChangeShapeType="1"/>
        </xdr:cNvSpPr>
      </xdr:nvSpPr>
      <xdr:spPr bwMode="auto">
        <a:xfrm flipV="1">
          <a:off x="22707600" y="133445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71</xdr:row>
      <xdr:rowOff>0</xdr:rowOff>
    </xdr:from>
    <xdr:to>
      <xdr:col>37</xdr:col>
      <xdr:colOff>66675</xdr:colOff>
      <xdr:row>71</xdr:row>
      <xdr:rowOff>9525</xdr:rowOff>
    </xdr:to>
    <xdr:sp macro="" textlink="">
      <xdr:nvSpPr>
        <xdr:cNvPr id="1066293" name="Line 351">
          <a:extLst>
            <a:ext uri="{FF2B5EF4-FFF2-40B4-BE49-F238E27FC236}">
              <a16:creationId xmlns:a16="http://schemas.microsoft.com/office/drawing/2014/main" id="{00000000-0008-0000-0C00-000035451000}"/>
            </a:ext>
          </a:extLst>
        </xdr:cNvPr>
        <xdr:cNvSpPr>
          <a:spLocks noChangeShapeType="1"/>
        </xdr:cNvSpPr>
      </xdr:nvSpPr>
      <xdr:spPr bwMode="auto">
        <a:xfrm flipV="1">
          <a:off x="24803100" y="133445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9525</xdr:colOff>
      <xdr:row>71</xdr:row>
      <xdr:rowOff>0</xdr:rowOff>
    </xdr:from>
    <xdr:to>
      <xdr:col>37</xdr:col>
      <xdr:colOff>66675</xdr:colOff>
      <xdr:row>71</xdr:row>
      <xdr:rowOff>9525</xdr:rowOff>
    </xdr:to>
    <xdr:sp macro="" textlink="">
      <xdr:nvSpPr>
        <xdr:cNvPr id="1066294" name="Line 354">
          <a:extLst>
            <a:ext uri="{FF2B5EF4-FFF2-40B4-BE49-F238E27FC236}">
              <a16:creationId xmlns:a16="http://schemas.microsoft.com/office/drawing/2014/main" id="{00000000-0008-0000-0C00-000036451000}"/>
            </a:ext>
          </a:extLst>
        </xdr:cNvPr>
        <xdr:cNvSpPr>
          <a:spLocks noChangeShapeType="1"/>
        </xdr:cNvSpPr>
      </xdr:nvSpPr>
      <xdr:spPr bwMode="auto">
        <a:xfrm flipV="1">
          <a:off x="24803100" y="133445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66675</xdr:colOff>
      <xdr:row>69</xdr:row>
      <xdr:rowOff>114300</xdr:rowOff>
    </xdr:from>
    <xdr:to>
      <xdr:col>38</xdr:col>
      <xdr:colOff>0</xdr:colOff>
      <xdr:row>70</xdr:row>
      <xdr:rowOff>171450</xdr:rowOff>
    </xdr:to>
    <xdr:sp macro="" textlink="">
      <xdr:nvSpPr>
        <xdr:cNvPr id="1066295" name="Line 355">
          <a:extLst>
            <a:ext uri="{FF2B5EF4-FFF2-40B4-BE49-F238E27FC236}">
              <a16:creationId xmlns:a16="http://schemas.microsoft.com/office/drawing/2014/main" id="{00000000-0008-0000-0C00-000037451000}"/>
            </a:ext>
          </a:extLst>
        </xdr:cNvPr>
        <xdr:cNvSpPr>
          <a:spLocks noChangeShapeType="1"/>
        </xdr:cNvSpPr>
      </xdr:nvSpPr>
      <xdr:spPr bwMode="auto">
        <a:xfrm>
          <a:off x="24860250" y="13125450"/>
          <a:ext cx="342900" cy="2190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9525</xdr:colOff>
      <xdr:row>71</xdr:row>
      <xdr:rowOff>0</xdr:rowOff>
    </xdr:from>
    <xdr:to>
      <xdr:col>37</xdr:col>
      <xdr:colOff>66675</xdr:colOff>
      <xdr:row>71</xdr:row>
      <xdr:rowOff>9525</xdr:rowOff>
    </xdr:to>
    <xdr:sp macro="" textlink="">
      <xdr:nvSpPr>
        <xdr:cNvPr id="1066296" name="Line 358">
          <a:extLst>
            <a:ext uri="{FF2B5EF4-FFF2-40B4-BE49-F238E27FC236}">
              <a16:creationId xmlns:a16="http://schemas.microsoft.com/office/drawing/2014/main" id="{00000000-0008-0000-0C00-000038451000}"/>
            </a:ext>
          </a:extLst>
        </xdr:cNvPr>
        <xdr:cNvSpPr>
          <a:spLocks noChangeShapeType="1"/>
        </xdr:cNvSpPr>
      </xdr:nvSpPr>
      <xdr:spPr bwMode="auto">
        <a:xfrm flipV="1">
          <a:off x="24803100" y="133445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9525</xdr:colOff>
      <xdr:row>71</xdr:row>
      <xdr:rowOff>0</xdr:rowOff>
    </xdr:from>
    <xdr:to>
      <xdr:col>34</xdr:col>
      <xdr:colOff>66675</xdr:colOff>
      <xdr:row>71</xdr:row>
      <xdr:rowOff>9525</xdr:rowOff>
    </xdr:to>
    <xdr:sp macro="" textlink="">
      <xdr:nvSpPr>
        <xdr:cNvPr id="1066297" name="Line 362">
          <a:extLst>
            <a:ext uri="{FF2B5EF4-FFF2-40B4-BE49-F238E27FC236}">
              <a16:creationId xmlns:a16="http://schemas.microsoft.com/office/drawing/2014/main" id="{00000000-0008-0000-0C00-000039451000}"/>
            </a:ext>
          </a:extLst>
        </xdr:cNvPr>
        <xdr:cNvSpPr>
          <a:spLocks noChangeShapeType="1"/>
        </xdr:cNvSpPr>
      </xdr:nvSpPr>
      <xdr:spPr bwMode="auto">
        <a:xfrm flipV="1">
          <a:off x="22707600" y="133445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66675</xdr:colOff>
      <xdr:row>69</xdr:row>
      <xdr:rowOff>85725</xdr:rowOff>
    </xdr:from>
    <xdr:to>
      <xdr:col>32</xdr:col>
      <xdr:colOff>9525</xdr:colOff>
      <xdr:row>71</xdr:row>
      <xdr:rowOff>0</xdr:rowOff>
    </xdr:to>
    <xdr:sp macro="" textlink="">
      <xdr:nvSpPr>
        <xdr:cNvPr id="1066298" name="Line 363">
          <a:extLst>
            <a:ext uri="{FF2B5EF4-FFF2-40B4-BE49-F238E27FC236}">
              <a16:creationId xmlns:a16="http://schemas.microsoft.com/office/drawing/2014/main" id="{00000000-0008-0000-0C00-00003A451000}"/>
            </a:ext>
          </a:extLst>
        </xdr:cNvPr>
        <xdr:cNvSpPr>
          <a:spLocks noChangeShapeType="1"/>
        </xdr:cNvSpPr>
      </xdr:nvSpPr>
      <xdr:spPr bwMode="auto">
        <a:xfrm>
          <a:off x="20602575" y="13096875"/>
          <a:ext cx="39052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57150</xdr:colOff>
      <xdr:row>69</xdr:row>
      <xdr:rowOff>76200</xdr:rowOff>
    </xdr:from>
    <xdr:to>
      <xdr:col>35</xdr:col>
      <xdr:colOff>0</xdr:colOff>
      <xdr:row>71</xdr:row>
      <xdr:rowOff>0</xdr:rowOff>
    </xdr:to>
    <xdr:sp macro="" textlink="">
      <xdr:nvSpPr>
        <xdr:cNvPr id="1066299" name="Line 364">
          <a:extLst>
            <a:ext uri="{FF2B5EF4-FFF2-40B4-BE49-F238E27FC236}">
              <a16:creationId xmlns:a16="http://schemas.microsoft.com/office/drawing/2014/main" id="{00000000-0008-0000-0C00-00003B451000}"/>
            </a:ext>
          </a:extLst>
        </xdr:cNvPr>
        <xdr:cNvSpPr>
          <a:spLocks noChangeShapeType="1"/>
        </xdr:cNvSpPr>
      </xdr:nvSpPr>
      <xdr:spPr bwMode="auto">
        <a:xfrm>
          <a:off x="22755225" y="13087350"/>
          <a:ext cx="352425" cy="2571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xdr:colOff>
      <xdr:row>67</xdr:row>
      <xdr:rowOff>142875</xdr:rowOff>
    </xdr:from>
    <xdr:to>
      <xdr:col>31</xdr:col>
      <xdr:colOff>85725</xdr:colOff>
      <xdr:row>71</xdr:row>
      <xdr:rowOff>19050</xdr:rowOff>
    </xdr:to>
    <xdr:sp macro="" textlink="">
      <xdr:nvSpPr>
        <xdr:cNvPr id="1066300" name="Line 344">
          <a:extLst>
            <a:ext uri="{FF2B5EF4-FFF2-40B4-BE49-F238E27FC236}">
              <a16:creationId xmlns:a16="http://schemas.microsoft.com/office/drawing/2014/main" id="{00000000-0008-0000-0C00-00003C451000}"/>
            </a:ext>
          </a:extLst>
        </xdr:cNvPr>
        <xdr:cNvSpPr>
          <a:spLocks noChangeShapeType="1"/>
        </xdr:cNvSpPr>
      </xdr:nvSpPr>
      <xdr:spPr bwMode="auto">
        <a:xfrm flipH="1">
          <a:off x="20621625" y="12792075"/>
          <a:ext cx="0"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66675</xdr:colOff>
      <xdr:row>67</xdr:row>
      <xdr:rowOff>142875</xdr:rowOff>
    </xdr:from>
    <xdr:to>
      <xdr:col>34</xdr:col>
      <xdr:colOff>66675</xdr:colOff>
      <xdr:row>71</xdr:row>
      <xdr:rowOff>19050</xdr:rowOff>
    </xdr:to>
    <xdr:sp macro="" textlink="">
      <xdr:nvSpPr>
        <xdr:cNvPr id="1066301" name="Line 344">
          <a:extLst>
            <a:ext uri="{FF2B5EF4-FFF2-40B4-BE49-F238E27FC236}">
              <a16:creationId xmlns:a16="http://schemas.microsoft.com/office/drawing/2014/main" id="{00000000-0008-0000-0C00-00003D451000}"/>
            </a:ext>
          </a:extLst>
        </xdr:cNvPr>
        <xdr:cNvSpPr>
          <a:spLocks noChangeShapeType="1"/>
        </xdr:cNvSpPr>
      </xdr:nvSpPr>
      <xdr:spPr bwMode="auto">
        <a:xfrm flipH="1">
          <a:off x="22764750" y="12792075"/>
          <a:ext cx="0"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85725</xdr:colOff>
      <xdr:row>67</xdr:row>
      <xdr:rowOff>152400</xdr:rowOff>
    </xdr:from>
    <xdr:to>
      <xdr:col>37</xdr:col>
      <xdr:colOff>85725</xdr:colOff>
      <xdr:row>71</xdr:row>
      <xdr:rowOff>28575</xdr:rowOff>
    </xdr:to>
    <xdr:sp macro="" textlink="">
      <xdr:nvSpPr>
        <xdr:cNvPr id="1066302" name="Line 344">
          <a:extLst>
            <a:ext uri="{FF2B5EF4-FFF2-40B4-BE49-F238E27FC236}">
              <a16:creationId xmlns:a16="http://schemas.microsoft.com/office/drawing/2014/main" id="{00000000-0008-0000-0C00-00003E451000}"/>
            </a:ext>
          </a:extLst>
        </xdr:cNvPr>
        <xdr:cNvSpPr>
          <a:spLocks noChangeShapeType="1"/>
        </xdr:cNvSpPr>
      </xdr:nvSpPr>
      <xdr:spPr bwMode="auto">
        <a:xfrm flipH="1">
          <a:off x="24879300" y="12801600"/>
          <a:ext cx="0"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66675</xdr:colOff>
      <xdr:row>64</xdr:row>
      <xdr:rowOff>152400</xdr:rowOff>
    </xdr:from>
    <xdr:to>
      <xdr:col>32</xdr:col>
      <xdr:colOff>0</xdr:colOff>
      <xdr:row>69</xdr:row>
      <xdr:rowOff>76200</xdr:rowOff>
    </xdr:to>
    <xdr:sp macro="" textlink="">
      <xdr:nvSpPr>
        <xdr:cNvPr id="1066303" name="Line 392">
          <a:extLst>
            <a:ext uri="{FF2B5EF4-FFF2-40B4-BE49-F238E27FC236}">
              <a16:creationId xmlns:a16="http://schemas.microsoft.com/office/drawing/2014/main" id="{00000000-0008-0000-0C00-00003F451000}"/>
            </a:ext>
          </a:extLst>
        </xdr:cNvPr>
        <xdr:cNvSpPr>
          <a:spLocks noChangeShapeType="1"/>
        </xdr:cNvSpPr>
      </xdr:nvSpPr>
      <xdr:spPr bwMode="auto">
        <a:xfrm flipV="1">
          <a:off x="20602575" y="12306300"/>
          <a:ext cx="381000" cy="781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66675</xdr:colOff>
      <xdr:row>65</xdr:row>
      <xdr:rowOff>0</xdr:rowOff>
    </xdr:from>
    <xdr:to>
      <xdr:col>35</xdr:col>
      <xdr:colOff>0</xdr:colOff>
      <xdr:row>69</xdr:row>
      <xdr:rowOff>76200</xdr:rowOff>
    </xdr:to>
    <xdr:sp macro="" textlink="">
      <xdr:nvSpPr>
        <xdr:cNvPr id="1066304" name="Line 392">
          <a:extLst>
            <a:ext uri="{FF2B5EF4-FFF2-40B4-BE49-F238E27FC236}">
              <a16:creationId xmlns:a16="http://schemas.microsoft.com/office/drawing/2014/main" id="{00000000-0008-0000-0C00-000040451000}"/>
            </a:ext>
          </a:extLst>
        </xdr:cNvPr>
        <xdr:cNvSpPr>
          <a:spLocks noChangeShapeType="1"/>
        </xdr:cNvSpPr>
      </xdr:nvSpPr>
      <xdr:spPr bwMode="auto">
        <a:xfrm flipV="1">
          <a:off x="22764750" y="12315825"/>
          <a:ext cx="342900" cy="771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0</xdr:colOff>
      <xdr:row>8</xdr:row>
      <xdr:rowOff>0</xdr:rowOff>
    </xdr:from>
    <xdr:to>
      <xdr:col>47</xdr:col>
      <xdr:colOff>76200</xdr:colOff>
      <xdr:row>8</xdr:row>
      <xdr:rowOff>9525</xdr:rowOff>
    </xdr:to>
    <xdr:sp macro="" textlink="">
      <xdr:nvSpPr>
        <xdr:cNvPr id="1066305" name="Line 1">
          <a:extLst>
            <a:ext uri="{FF2B5EF4-FFF2-40B4-BE49-F238E27FC236}">
              <a16:creationId xmlns:a16="http://schemas.microsoft.com/office/drawing/2014/main" id="{00000000-0008-0000-0C00-000041451000}"/>
            </a:ext>
          </a:extLst>
        </xdr:cNvPr>
        <xdr:cNvSpPr>
          <a:spLocks noChangeShapeType="1"/>
        </xdr:cNvSpPr>
      </xdr:nvSpPr>
      <xdr:spPr bwMode="auto">
        <a:xfrm>
          <a:off x="315849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66675</xdr:colOff>
      <xdr:row>8</xdr:row>
      <xdr:rowOff>9525</xdr:rowOff>
    </xdr:from>
    <xdr:to>
      <xdr:col>47</xdr:col>
      <xdr:colOff>66675</xdr:colOff>
      <xdr:row>11</xdr:row>
      <xdr:rowOff>19050</xdr:rowOff>
    </xdr:to>
    <xdr:sp macro="" textlink="">
      <xdr:nvSpPr>
        <xdr:cNvPr id="1066306" name="Line 2">
          <a:extLst>
            <a:ext uri="{FF2B5EF4-FFF2-40B4-BE49-F238E27FC236}">
              <a16:creationId xmlns:a16="http://schemas.microsoft.com/office/drawing/2014/main" id="{00000000-0008-0000-0C00-000042451000}"/>
            </a:ext>
          </a:extLst>
        </xdr:cNvPr>
        <xdr:cNvSpPr>
          <a:spLocks noChangeShapeType="1"/>
        </xdr:cNvSpPr>
      </xdr:nvSpPr>
      <xdr:spPr bwMode="auto">
        <a:xfrm>
          <a:off x="316515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9525</xdr:colOff>
      <xdr:row>11</xdr:row>
      <xdr:rowOff>0</xdr:rowOff>
    </xdr:from>
    <xdr:to>
      <xdr:col>47</xdr:col>
      <xdr:colOff>66675</xdr:colOff>
      <xdr:row>11</xdr:row>
      <xdr:rowOff>9525</xdr:rowOff>
    </xdr:to>
    <xdr:sp macro="" textlink="">
      <xdr:nvSpPr>
        <xdr:cNvPr id="1066307" name="Line 3">
          <a:extLst>
            <a:ext uri="{FF2B5EF4-FFF2-40B4-BE49-F238E27FC236}">
              <a16:creationId xmlns:a16="http://schemas.microsoft.com/office/drawing/2014/main" id="{00000000-0008-0000-0C00-000043451000}"/>
            </a:ext>
          </a:extLst>
        </xdr:cNvPr>
        <xdr:cNvSpPr>
          <a:spLocks noChangeShapeType="1"/>
        </xdr:cNvSpPr>
      </xdr:nvSpPr>
      <xdr:spPr bwMode="auto">
        <a:xfrm flipV="1">
          <a:off x="315944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0</xdr:colOff>
      <xdr:row>8</xdr:row>
      <xdr:rowOff>0</xdr:rowOff>
    </xdr:from>
    <xdr:to>
      <xdr:col>44</xdr:col>
      <xdr:colOff>76200</xdr:colOff>
      <xdr:row>8</xdr:row>
      <xdr:rowOff>9525</xdr:rowOff>
    </xdr:to>
    <xdr:sp macro="" textlink="">
      <xdr:nvSpPr>
        <xdr:cNvPr id="1066308" name="Line 4">
          <a:extLst>
            <a:ext uri="{FF2B5EF4-FFF2-40B4-BE49-F238E27FC236}">
              <a16:creationId xmlns:a16="http://schemas.microsoft.com/office/drawing/2014/main" id="{00000000-0008-0000-0C00-000044451000}"/>
            </a:ext>
          </a:extLst>
        </xdr:cNvPr>
        <xdr:cNvSpPr>
          <a:spLocks noChangeShapeType="1"/>
        </xdr:cNvSpPr>
      </xdr:nvSpPr>
      <xdr:spPr bwMode="auto">
        <a:xfrm>
          <a:off x="2942272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66675</xdr:colOff>
      <xdr:row>8</xdr:row>
      <xdr:rowOff>9525</xdr:rowOff>
    </xdr:from>
    <xdr:to>
      <xdr:col>44</xdr:col>
      <xdr:colOff>66675</xdr:colOff>
      <xdr:row>11</xdr:row>
      <xdr:rowOff>19050</xdr:rowOff>
    </xdr:to>
    <xdr:sp macro="" textlink="">
      <xdr:nvSpPr>
        <xdr:cNvPr id="1066309" name="Line 5">
          <a:extLst>
            <a:ext uri="{FF2B5EF4-FFF2-40B4-BE49-F238E27FC236}">
              <a16:creationId xmlns:a16="http://schemas.microsoft.com/office/drawing/2014/main" id="{00000000-0008-0000-0C00-000045451000}"/>
            </a:ext>
          </a:extLst>
        </xdr:cNvPr>
        <xdr:cNvSpPr>
          <a:spLocks noChangeShapeType="1"/>
        </xdr:cNvSpPr>
      </xdr:nvSpPr>
      <xdr:spPr bwMode="auto">
        <a:xfrm>
          <a:off x="2948940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9525</xdr:colOff>
      <xdr:row>11</xdr:row>
      <xdr:rowOff>0</xdr:rowOff>
    </xdr:from>
    <xdr:to>
      <xdr:col>44</xdr:col>
      <xdr:colOff>66675</xdr:colOff>
      <xdr:row>11</xdr:row>
      <xdr:rowOff>9525</xdr:rowOff>
    </xdr:to>
    <xdr:sp macro="" textlink="">
      <xdr:nvSpPr>
        <xdr:cNvPr id="1066310" name="Line 6">
          <a:extLst>
            <a:ext uri="{FF2B5EF4-FFF2-40B4-BE49-F238E27FC236}">
              <a16:creationId xmlns:a16="http://schemas.microsoft.com/office/drawing/2014/main" id="{00000000-0008-0000-0C00-000046451000}"/>
            </a:ext>
          </a:extLst>
        </xdr:cNvPr>
        <xdr:cNvSpPr>
          <a:spLocks noChangeShapeType="1"/>
        </xdr:cNvSpPr>
      </xdr:nvSpPr>
      <xdr:spPr bwMode="auto">
        <a:xfrm flipV="1">
          <a:off x="2943225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0</xdr:colOff>
      <xdr:row>14</xdr:row>
      <xdr:rowOff>0</xdr:rowOff>
    </xdr:from>
    <xdr:to>
      <xdr:col>44</xdr:col>
      <xdr:colOff>76200</xdr:colOff>
      <xdr:row>14</xdr:row>
      <xdr:rowOff>9525</xdr:rowOff>
    </xdr:to>
    <xdr:sp macro="" textlink="">
      <xdr:nvSpPr>
        <xdr:cNvPr id="1066311" name="Line 10">
          <a:extLst>
            <a:ext uri="{FF2B5EF4-FFF2-40B4-BE49-F238E27FC236}">
              <a16:creationId xmlns:a16="http://schemas.microsoft.com/office/drawing/2014/main" id="{00000000-0008-0000-0C00-000047451000}"/>
            </a:ext>
          </a:extLst>
        </xdr:cNvPr>
        <xdr:cNvSpPr>
          <a:spLocks noChangeShapeType="1"/>
        </xdr:cNvSpPr>
      </xdr:nvSpPr>
      <xdr:spPr bwMode="auto">
        <a:xfrm>
          <a:off x="2942272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66675</xdr:colOff>
      <xdr:row>14</xdr:row>
      <xdr:rowOff>9525</xdr:rowOff>
    </xdr:from>
    <xdr:to>
      <xdr:col>44</xdr:col>
      <xdr:colOff>66675</xdr:colOff>
      <xdr:row>17</xdr:row>
      <xdr:rowOff>19050</xdr:rowOff>
    </xdr:to>
    <xdr:sp macro="" textlink="">
      <xdr:nvSpPr>
        <xdr:cNvPr id="1066312" name="Line 11">
          <a:extLst>
            <a:ext uri="{FF2B5EF4-FFF2-40B4-BE49-F238E27FC236}">
              <a16:creationId xmlns:a16="http://schemas.microsoft.com/office/drawing/2014/main" id="{00000000-0008-0000-0C00-000048451000}"/>
            </a:ext>
          </a:extLst>
        </xdr:cNvPr>
        <xdr:cNvSpPr>
          <a:spLocks noChangeShapeType="1"/>
        </xdr:cNvSpPr>
      </xdr:nvSpPr>
      <xdr:spPr bwMode="auto">
        <a:xfrm>
          <a:off x="2948940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9525</xdr:colOff>
      <xdr:row>17</xdr:row>
      <xdr:rowOff>0</xdr:rowOff>
    </xdr:from>
    <xdr:to>
      <xdr:col>44</xdr:col>
      <xdr:colOff>66675</xdr:colOff>
      <xdr:row>17</xdr:row>
      <xdr:rowOff>9525</xdr:rowOff>
    </xdr:to>
    <xdr:sp macro="" textlink="">
      <xdr:nvSpPr>
        <xdr:cNvPr id="1066313" name="Line 12">
          <a:extLst>
            <a:ext uri="{FF2B5EF4-FFF2-40B4-BE49-F238E27FC236}">
              <a16:creationId xmlns:a16="http://schemas.microsoft.com/office/drawing/2014/main" id="{00000000-0008-0000-0C00-000049451000}"/>
            </a:ext>
          </a:extLst>
        </xdr:cNvPr>
        <xdr:cNvSpPr>
          <a:spLocks noChangeShapeType="1"/>
        </xdr:cNvSpPr>
      </xdr:nvSpPr>
      <xdr:spPr bwMode="auto">
        <a:xfrm flipV="1">
          <a:off x="2943225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0</xdr:colOff>
      <xdr:row>8</xdr:row>
      <xdr:rowOff>0</xdr:rowOff>
    </xdr:from>
    <xdr:to>
      <xdr:col>50</xdr:col>
      <xdr:colOff>76200</xdr:colOff>
      <xdr:row>8</xdr:row>
      <xdr:rowOff>9525</xdr:rowOff>
    </xdr:to>
    <xdr:sp macro="" textlink="">
      <xdr:nvSpPr>
        <xdr:cNvPr id="1066314" name="Line 16">
          <a:extLst>
            <a:ext uri="{FF2B5EF4-FFF2-40B4-BE49-F238E27FC236}">
              <a16:creationId xmlns:a16="http://schemas.microsoft.com/office/drawing/2014/main" id="{00000000-0008-0000-0C00-00004A451000}"/>
            </a:ext>
          </a:extLst>
        </xdr:cNvPr>
        <xdr:cNvSpPr>
          <a:spLocks noChangeShapeType="1"/>
        </xdr:cNvSpPr>
      </xdr:nvSpPr>
      <xdr:spPr bwMode="auto">
        <a:xfrm>
          <a:off x="336804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8</xdr:row>
      <xdr:rowOff>9525</xdr:rowOff>
    </xdr:from>
    <xdr:to>
      <xdr:col>50</xdr:col>
      <xdr:colOff>66675</xdr:colOff>
      <xdr:row>11</xdr:row>
      <xdr:rowOff>19050</xdr:rowOff>
    </xdr:to>
    <xdr:sp macro="" textlink="">
      <xdr:nvSpPr>
        <xdr:cNvPr id="1066315" name="Line 17">
          <a:extLst>
            <a:ext uri="{FF2B5EF4-FFF2-40B4-BE49-F238E27FC236}">
              <a16:creationId xmlns:a16="http://schemas.microsoft.com/office/drawing/2014/main" id="{00000000-0008-0000-0C00-00004B451000}"/>
            </a:ext>
          </a:extLst>
        </xdr:cNvPr>
        <xdr:cNvSpPr>
          <a:spLocks noChangeShapeType="1"/>
        </xdr:cNvSpPr>
      </xdr:nvSpPr>
      <xdr:spPr bwMode="auto">
        <a:xfrm>
          <a:off x="337470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9525</xdr:colOff>
      <xdr:row>11</xdr:row>
      <xdr:rowOff>0</xdr:rowOff>
    </xdr:from>
    <xdr:to>
      <xdr:col>50</xdr:col>
      <xdr:colOff>66675</xdr:colOff>
      <xdr:row>11</xdr:row>
      <xdr:rowOff>9525</xdr:rowOff>
    </xdr:to>
    <xdr:sp macro="" textlink="">
      <xdr:nvSpPr>
        <xdr:cNvPr id="1066316" name="Line 18">
          <a:extLst>
            <a:ext uri="{FF2B5EF4-FFF2-40B4-BE49-F238E27FC236}">
              <a16:creationId xmlns:a16="http://schemas.microsoft.com/office/drawing/2014/main" id="{00000000-0008-0000-0C00-00004C451000}"/>
            </a:ext>
          </a:extLst>
        </xdr:cNvPr>
        <xdr:cNvSpPr>
          <a:spLocks noChangeShapeType="1"/>
        </xdr:cNvSpPr>
      </xdr:nvSpPr>
      <xdr:spPr bwMode="auto">
        <a:xfrm flipV="1">
          <a:off x="336899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0</xdr:colOff>
      <xdr:row>14</xdr:row>
      <xdr:rowOff>0</xdr:rowOff>
    </xdr:from>
    <xdr:to>
      <xdr:col>47</xdr:col>
      <xdr:colOff>76200</xdr:colOff>
      <xdr:row>14</xdr:row>
      <xdr:rowOff>9525</xdr:rowOff>
    </xdr:to>
    <xdr:sp macro="" textlink="">
      <xdr:nvSpPr>
        <xdr:cNvPr id="1066317" name="Line 19">
          <a:extLst>
            <a:ext uri="{FF2B5EF4-FFF2-40B4-BE49-F238E27FC236}">
              <a16:creationId xmlns:a16="http://schemas.microsoft.com/office/drawing/2014/main" id="{00000000-0008-0000-0C00-00004D451000}"/>
            </a:ext>
          </a:extLst>
        </xdr:cNvPr>
        <xdr:cNvSpPr>
          <a:spLocks noChangeShapeType="1"/>
        </xdr:cNvSpPr>
      </xdr:nvSpPr>
      <xdr:spPr bwMode="auto">
        <a:xfrm>
          <a:off x="315849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66675</xdr:colOff>
      <xdr:row>14</xdr:row>
      <xdr:rowOff>9525</xdr:rowOff>
    </xdr:from>
    <xdr:to>
      <xdr:col>47</xdr:col>
      <xdr:colOff>66675</xdr:colOff>
      <xdr:row>17</xdr:row>
      <xdr:rowOff>19050</xdr:rowOff>
    </xdr:to>
    <xdr:sp macro="" textlink="">
      <xdr:nvSpPr>
        <xdr:cNvPr id="1066318" name="Line 20">
          <a:extLst>
            <a:ext uri="{FF2B5EF4-FFF2-40B4-BE49-F238E27FC236}">
              <a16:creationId xmlns:a16="http://schemas.microsoft.com/office/drawing/2014/main" id="{00000000-0008-0000-0C00-00004E451000}"/>
            </a:ext>
          </a:extLst>
        </xdr:cNvPr>
        <xdr:cNvSpPr>
          <a:spLocks noChangeShapeType="1"/>
        </xdr:cNvSpPr>
      </xdr:nvSpPr>
      <xdr:spPr bwMode="auto">
        <a:xfrm>
          <a:off x="316515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9525</xdr:colOff>
      <xdr:row>17</xdr:row>
      <xdr:rowOff>0</xdr:rowOff>
    </xdr:from>
    <xdr:to>
      <xdr:col>47</xdr:col>
      <xdr:colOff>66675</xdr:colOff>
      <xdr:row>17</xdr:row>
      <xdr:rowOff>9525</xdr:rowOff>
    </xdr:to>
    <xdr:sp macro="" textlink="">
      <xdr:nvSpPr>
        <xdr:cNvPr id="1066319" name="Line 21">
          <a:extLst>
            <a:ext uri="{FF2B5EF4-FFF2-40B4-BE49-F238E27FC236}">
              <a16:creationId xmlns:a16="http://schemas.microsoft.com/office/drawing/2014/main" id="{00000000-0008-0000-0C00-00004F451000}"/>
            </a:ext>
          </a:extLst>
        </xdr:cNvPr>
        <xdr:cNvSpPr>
          <a:spLocks noChangeShapeType="1"/>
        </xdr:cNvSpPr>
      </xdr:nvSpPr>
      <xdr:spPr bwMode="auto">
        <a:xfrm flipV="1">
          <a:off x="315944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0</xdr:colOff>
      <xdr:row>14</xdr:row>
      <xdr:rowOff>0</xdr:rowOff>
    </xdr:from>
    <xdr:to>
      <xdr:col>50</xdr:col>
      <xdr:colOff>76200</xdr:colOff>
      <xdr:row>14</xdr:row>
      <xdr:rowOff>9525</xdr:rowOff>
    </xdr:to>
    <xdr:sp macro="" textlink="">
      <xdr:nvSpPr>
        <xdr:cNvPr id="1066320" name="Line 25">
          <a:extLst>
            <a:ext uri="{FF2B5EF4-FFF2-40B4-BE49-F238E27FC236}">
              <a16:creationId xmlns:a16="http://schemas.microsoft.com/office/drawing/2014/main" id="{00000000-0008-0000-0C00-000050451000}"/>
            </a:ext>
          </a:extLst>
        </xdr:cNvPr>
        <xdr:cNvSpPr>
          <a:spLocks noChangeShapeType="1"/>
        </xdr:cNvSpPr>
      </xdr:nvSpPr>
      <xdr:spPr bwMode="auto">
        <a:xfrm>
          <a:off x="336804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14</xdr:row>
      <xdr:rowOff>9525</xdr:rowOff>
    </xdr:from>
    <xdr:to>
      <xdr:col>50</xdr:col>
      <xdr:colOff>66675</xdr:colOff>
      <xdr:row>17</xdr:row>
      <xdr:rowOff>19050</xdr:rowOff>
    </xdr:to>
    <xdr:sp macro="" textlink="">
      <xdr:nvSpPr>
        <xdr:cNvPr id="1066321" name="Line 26">
          <a:extLst>
            <a:ext uri="{FF2B5EF4-FFF2-40B4-BE49-F238E27FC236}">
              <a16:creationId xmlns:a16="http://schemas.microsoft.com/office/drawing/2014/main" id="{00000000-0008-0000-0C00-000051451000}"/>
            </a:ext>
          </a:extLst>
        </xdr:cNvPr>
        <xdr:cNvSpPr>
          <a:spLocks noChangeShapeType="1"/>
        </xdr:cNvSpPr>
      </xdr:nvSpPr>
      <xdr:spPr bwMode="auto">
        <a:xfrm>
          <a:off x="337470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9525</xdr:colOff>
      <xdr:row>17</xdr:row>
      <xdr:rowOff>0</xdr:rowOff>
    </xdr:from>
    <xdr:to>
      <xdr:col>50</xdr:col>
      <xdr:colOff>66675</xdr:colOff>
      <xdr:row>17</xdr:row>
      <xdr:rowOff>9525</xdr:rowOff>
    </xdr:to>
    <xdr:sp macro="" textlink="">
      <xdr:nvSpPr>
        <xdr:cNvPr id="1066322" name="Line 27">
          <a:extLst>
            <a:ext uri="{FF2B5EF4-FFF2-40B4-BE49-F238E27FC236}">
              <a16:creationId xmlns:a16="http://schemas.microsoft.com/office/drawing/2014/main" id="{00000000-0008-0000-0C00-000052451000}"/>
            </a:ext>
          </a:extLst>
        </xdr:cNvPr>
        <xdr:cNvSpPr>
          <a:spLocks noChangeShapeType="1"/>
        </xdr:cNvSpPr>
      </xdr:nvSpPr>
      <xdr:spPr bwMode="auto">
        <a:xfrm flipV="1">
          <a:off x="336899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0</xdr:colOff>
      <xdr:row>20</xdr:row>
      <xdr:rowOff>0</xdr:rowOff>
    </xdr:from>
    <xdr:to>
      <xdr:col>50</xdr:col>
      <xdr:colOff>76200</xdr:colOff>
      <xdr:row>20</xdr:row>
      <xdr:rowOff>9525</xdr:rowOff>
    </xdr:to>
    <xdr:sp macro="" textlink="">
      <xdr:nvSpPr>
        <xdr:cNvPr id="1066323" name="Line 28">
          <a:extLst>
            <a:ext uri="{FF2B5EF4-FFF2-40B4-BE49-F238E27FC236}">
              <a16:creationId xmlns:a16="http://schemas.microsoft.com/office/drawing/2014/main" id="{00000000-0008-0000-0C00-000053451000}"/>
            </a:ext>
          </a:extLst>
        </xdr:cNvPr>
        <xdr:cNvSpPr>
          <a:spLocks noChangeShapeType="1"/>
        </xdr:cNvSpPr>
      </xdr:nvSpPr>
      <xdr:spPr bwMode="auto">
        <a:xfrm>
          <a:off x="336804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20</xdr:row>
      <xdr:rowOff>9525</xdr:rowOff>
    </xdr:from>
    <xdr:to>
      <xdr:col>50</xdr:col>
      <xdr:colOff>66675</xdr:colOff>
      <xdr:row>23</xdr:row>
      <xdr:rowOff>19050</xdr:rowOff>
    </xdr:to>
    <xdr:sp macro="" textlink="">
      <xdr:nvSpPr>
        <xdr:cNvPr id="1066324" name="Line 29">
          <a:extLst>
            <a:ext uri="{FF2B5EF4-FFF2-40B4-BE49-F238E27FC236}">
              <a16:creationId xmlns:a16="http://schemas.microsoft.com/office/drawing/2014/main" id="{00000000-0008-0000-0C00-000054451000}"/>
            </a:ext>
          </a:extLst>
        </xdr:cNvPr>
        <xdr:cNvSpPr>
          <a:spLocks noChangeShapeType="1"/>
        </xdr:cNvSpPr>
      </xdr:nvSpPr>
      <xdr:spPr bwMode="auto">
        <a:xfrm>
          <a:off x="3374707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9525</xdr:colOff>
      <xdr:row>23</xdr:row>
      <xdr:rowOff>0</xdr:rowOff>
    </xdr:from>
    <xdr:to>
      <xdr:col>50</xdr:col>
      <xdr:colOff>66675</xdr:colOff>
      <xdr:row>23</xdr:row>
      <xdr:rowOff>9525</xdr:rowOff>
    </xdr:to>
    <xdr:sp macro="" textlink="">
      <xdr:nvSpPr>
        <xdr:cNvPr id="1066325" name="Line 30">
          <a:extLst>
            <a:ext uri="{FF2B5EF4-FFF2-40B4-BE49-F238E27FC236}">
              <a16:creationId xmlns:a16="http://schemas.microsoft.com/office/drawing/2014/main" id="{00000000-0008-0000-0C00-000055451000}"/>
            </a:ext>
          </a:extLst>
        </xdr:cNvPr>
        <xdr:cNvSpPr>
          <a:spLocks noChangeShapeType="1"/>
        </xdr:cNvSpPr>
      </xdr:nvSpPr>
      <xdr:spPr bwMode="auto">
        <a:xfrm flipV="1">
          <a:off x="336899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0</xdr:colOff>
      <xdr:row>20</xdr:row>
      <xdr:rowOff>0</xdr:rowOff>
    </xdr:from>
    <xdr:to>
      <xdr:col>47</xdr:col>
      <xdr:colOff>76200</xdr:colOff>
      <xdr:row>20</xdr:row>
      <xdr:rowOff>9525</xdr:rowOff>
    </xdr:to>
    <xdr:sp macro="" textlink="">
      <xdr:nvSpPr>
        <xdr:cNvPr id="1066326" name="Line 31">
          <a:extLst>
            <a:ext uri="{FF2B5EF4-FFF2-40B4-BE49-F238E27FC236}">
              <a16:creationId xmlns:a16="http://schemas.microsoft.com/office/drawing/2014/main" id="{00000000-0008-0000-0C00-000056451000}"/>
            </a:ext>
          </a:extLst>
        </xdr:cNvPr>
        <xdr:cNvSpPr>
          <a:spLocks noChangeShapeType="1"/>
        </xdr:cNvSpPr>
      </xdr:nvSpPr>
      <xdr:spPr bwMode="auto">
        <a:xfrm>
          <a:off x="315849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66675</xdr:colOff>
      <xdr:row>20</xdr:row>
      <xdr:rowOff>9525</xdr:rowOff>
    </xdr:from>
    <xdr:to>
      <xdr:col>47</xdr:col>
      <xdr:colOff>66675</xdr:colOff>
      <xdr:row>23</xdr:row>
      <xdr:rowOff>19050</xdr:rowOff>
    </xdr:to>
    <xdr:sp macro="" textlink="">
      <xdr:nvSpPr>
        <xdr:cNvPr id="1066327" name="Line 32">
          <a:extLst>
            <a:ext uri="{FF2B5EF4-FFF2-40B4-BE49-F238E27FC236}">
              <a16:creationId xmlns:a16="http://schemas.microsoft.com/office/drawing/2014/main" id="{00000000-0008-0000-0C00-000057451000}"/>
            </a:ext>
          </a:extLst>
        </xdr:cNvPr>
        <xdr:cNvSpPr>
          <a:spLocks noChangeShapeType="1"/>
        </xdr:cNvSpPr>
      </xdr:nvSpPr>
      <xdr:spPr bwMode="auto">
        <a:xfrm>
          <a:off x="3165157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9525</xdr:colOff>
      <xdr:row>23</xdr:row>
      <xdr:rowOff>0</xdr:rowOff>
    </xdr:from>
    <xdr:to>
      <xdr:col>47</xdr:col>
      <xdr:colOff>66675</xdr:colOff>
      <xdr:row>23</xdr:row>
      <xdr:rowOff>9525</xdr:rowOff>
    </xdr:to>
    <xdr:sp macro="" textlink="">
      <xdr:nvSpPr>
        <xdr:cNvPr id="1066328" name="Line 33">
          <a:extLst>
            <a:ext uri="{FF2B5EF4-FFF2-40B4-BE49-F238E27FC236}">
              <a16:creationId xmlns:a16="http://schemas.microsoft.com/office/drawing/2014/main" id="{00000000-0008-0000-0C00-000058451000}"/>
            </a:ext>
          </a:extLst>
        </xdr:cNvPr>
        <xdr:cNvSpPr>
          <a:spLocks noChangeShapeType="1"/>
        </xdr:cNvSpPr>
      </xdr:nvSpPr>
      <xdr:spPr bwMode="auto">
        <a:xfrm flipV="1">
          <a:off x="315944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0</xdr:colOff>
      <xdr:row>20</xdr:row>
      <xdr:rowOff>0</xdr:rowOff>
    </xdr:from>
    <xdr:to>
      <xdr:col>44</xdr:col>
      <xdr:colOff>76200</xdr:colOff>
      <xdr:row>20</xdr:row>
      <xdr:rowOff>9525</xdr:rowOff>
    </xdr:to>
    <xdr:sp macro="" textlink="">
      <xdr:nvSpPr>
        <xdr:cNvPr id="1066329" name="Line 34">
          <a:extLst>
            <a:ext uri="{FF2B5EF4-FFF2-40B4-BE49-F238E27FC236}">
              <a16:creationId xmlns:a16="http://schemas.microsoft.com/office/drawing/2014/main" id="{00000000-0008-0000-0C00-000059451000}"/>
            </a:ext>
          </a:extLst>
        </xdr:cNvPr>
        <xdr:cNvSpPr>
          <a:spLocks noChangeShapeType="1"/>
        </xdr:cNvSpPr>
      </xdr:nvSpPr>
      <xdr:spPr bwMode="auto">
        <a:xfrm>
          <a:off x="2942272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66675</xdr:colOff>
      <xdr:row>20</xdr:row>
      <xdr:rowOff>9525</xdr:rowOff>
    </xdr:from>
    <xdr:to>
      <xdr:col>44</xdr:col>
      <xdr:colOff>66675</xdr:colOff>
      <xdr:row>23</xdr:row>
      <xdr:rowOff>19050</xdr:rowOff>
    </xdr:to>
    <xdr:sp macro="" textlink="">
      <xdr:nvSpPr>
        <xdr:cNvPr id="1066330" name="Line 35">
          <a:extLst>
            <a:ext uri="{FF2B5EF4-FFF2-40B4-BE49-F238E27FC236}">
              <a16:creationId xmlns:a16="http://schemas.microsoft.com/office/drawing/2014/main" id="{00000000-0008-0000-0C00-00005A451000}"/>
            </a:ext>
          </a:extLst>
        </xdr:cNvPr>
        <xdr:cNvSpPr>
          <a:spLocks noChangeShapeType="1"/>
        </xdr:cNvSpPr>
      </xdr:nvSpPr>
      <xdr:spPr bwMode="auto">
        <a:xfrm>
          <a:off x="2948940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9525</xdr:colOff>
      <xdr:row>23</xdr:row>
      <xdr:rowOff>0</xdr:rowOff>
    </xdr:from>
    <xdr:to>
      <xdr:col>44</xdr:col>
      <xdr:colOff>66675</xdr:colOff>
      <xdr:row>23</xdr:row>
      <xdr:rowOff>9525</xdr:rowOff>
    </xdr:to>
    <xdr:sp macro="" textlink="">
      <xdr:nvSpPr>
        <xdr:cNvPr id="1066331" name="Line 36">
          <a:extLst>
            <a:ext uri="{FF2B5EF4-FFF2-40B4-BE49-F238E27FC236}">
              <a16:creationId xmlns:a16="http://schemas.microsoft.com/office/drawing/2014/main" id="{00000000-0008-0000-0C00-00005B451000}"/>
            </a:ext>
          </a:extLst>
        </xdr:cNvPr>
        <xdr:cNvSpPr>
          <a:spLocks noChangeShapeType="1"/>
        </xdr:cNvSpPr>
      </xdr:nvSpPr>
      <xdr:spPr bwMode="auto">
        <a:xfrm flipV="1">
          <a:off x="2943225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0</xdr:colOff>
      <xdr:row>26</xdr:row>
      <xdr:rowOff>0</xdr:rowOff>
    </xdr:from>
    <xdr:to>
      <xdr:col>44</xdr:col>
      <xdr:colOff>76200</xdr:colOff>
      <xdr:row>26</xdr:row>
      <xdr:rowOff>9525</xdr:rowOff>
    </xdr:to>
    <xdr:sp macro="" textlink="">
      <xdr:nvSpPr>
        <xdr:cNvPr id="1066332" name="Line 37">
          <a:extLst>
            <a:ext uri="{FF2B5EF4-FFF2-40B4-BE49-F238E27FC236}">
              <a16:creationId xmlns:a16="http://schemas.microsoft.com/office/drawing/2014/main" id="{00000000-0008-0000-0C00-00005C451000}"/>
            </a:ext>
          </a:extLst>
        </xdr:cNvPr>
        <xdr:cNvSpPr>
          <a:spLocks noChangeShapeType="1"/>
        </xdr:cNvSpPr>
      </xdr:nvSpPr>
      <xdr:spPr bwMode="auto">
        <a:xfrm>
          <a:off x="2942272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66675</xdr:colOff>
      <xdr:row>26</xdr:row>
      <xdr:rowOff>9525</xdr:rowOff>
    </xdr:from>
    <xdr:to>
      <xdr:col>44</xdr:col>
      <xdr:colOff>66675</xdr:colOff>
      <xdr:row>29</xdr:row>
      <xdr:rowOff>19050</xdr:rowOff>
    </xdr:to>
    <xdr:sp macro="" textlink="">
      <xdr:nvSpPr>
        <xdr:cNvPr id="1066333" name="Line 38">
          <a:extLst>
            <a:ext uri="{FF2B5EF4-FFF2-40B4-BE49-F238E27FC236}">
              <a16:creationId xmlns:a16="http://schemas.microsoft.com/office/drawing/2014/main" id="{00000000-0008-0000-0C00-00005D451000}"/>
            </a:ext>
          </a:extLst>
        </xdr:cNvPr>
        <xdr:cNvSpPr>
          <a:spLocks noChangeShapeType="1"/>
        </xdr:cNvSpPr>
      </xdr:nvSpPr>
      <xdr:spPr bwMode="auto">
        <a:xfrm>
          <a:off x="2948940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9525</xdr:colOff>
      <xdr:row>29</xdr:row>
      <xdr:rowOff>0</xdr:rowOff>
    </xdr:from>
    <xdr:to>
      <xdr:col>44</xdr:col>
      <xdr:colOff>66675</xdr:colOff>
      <xdr:row>29</xdr:row>
      <xdr:rowOff>9525</xdr:rowOff>
    </xdr:to>
    <xdr:sp macro="" textlink="">
      <xdr:nvSpPr>
        <xdr:cNvPr id="1066334" name="Line 39">
          <a:extLst>
            <a:ext uri="{FF2B5EF4-FFF2-40B4-BE49-F238E27FC236}">
              <a16:creationId xmlns:a16="http://schemas.microsoft.com/office/drawing/2014/main" id="{00000000-0008-0000-0C00-00005E451000}"/>
            </a:ext>
          </a:extLst>
        </xdr:cNvPr>
        <xdr:cNvSpPr>
          <a:spLocks noChangeShapeType="1"/>
        </xdr:cNvSpPr>
      </xdr:nvSpPr>
      <xdr:spPr bwMode="auto">
        <a:xfrm flipV="1">
          <a:off x="2943225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0</xdr:colOff>
      <xdr:row>26</xdr:row>
      <xdr:rowOff>0</xdr:rowOff>
    </xdr:from>
    <xdr:to>
      <xdr:col>47</xdr:col>
      <xdr:colOff>76200</xdr:colOff>
      <xdr:row>26</xdr:row>
      <xdr:rowOff>9525</xdr:rowOff>
    </xdr:to>
    <xdr:sp macro="" textlink="">
      <xdr:nvSpPr>
        <xdr:cNvPr id="1066335" name="Line 40">
          <a:extLst>
            <a:ext uri="{FF2B5EF4-FFF2-40B4-BE49-F238E27FC236}">
              <a16:creationId xmlns:a16="http://schemas.microsoft.com/office/drawing/2014/main" id="{00000000-0008-0000-0C00-00005F451000}"/>
            </a:ext>
          </a:extLst>
        </xdr:cNvPr>
        <xdr:cNvSpPr>
          <a:spLocks noChangeShapeType="1"/>
        </xdr:cNvSpPr>
      </xdr:nvSpPr>
      <xdr:spPr bwMode="auto">
        <a:xfrm>
          <a:off x="3158490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66675</xdr:colOff>
      <xdr:row>26</xdr:row>
      <xdr:rowOff>9525</xdr:rowOff>
    </xdr:from>
    <xdr:to>
      <xdr:col>47</xdr:col>
      <xdr:colOff>66675</xdr:colOff>
      <xdr:row>29</xdr:row>
      <xdr:rowOff>19050</xdr:rowOff>
    </xdr:to>
    <xdr:sp macro="" textlink="">
      <xdr:nvSpPr>
        <xdr:cNvPr id="1066336" name="Line 41">
          <a:extLst>
            <a:ext uri="{FF2B5EF4-FFF2-40B4-BE49-F238E27FC236}">
              <a16:creationId xmlns:a16="http://schemas.microsoft.com/office/drawing/2014/main" id="{00000000-0008-0000-0C00-000060451000}"/>
            </a:ext>
          </a:extLst>
        </xdr:cNvPr>
        <xdr:cNvSpPr>
          <a:spLocks noChangeShapeType="1"/>
        </xdr:cNvSpPr>
      </xdr:nvSpPr>
      <xdr:spPr bwMode="auto">
        <a:xfrm>
          <a:off x="3165157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9525</xdr:colOff>
      <xdr:row>29</xdr:row>
      <xdr:rowOff>0</xdr:rowOff>
    </xdr:from>
    <xdr:to>
      <xdr:col>47</xdr:col>
      <xdr:colOff>66675</xdr:colOff>
      <xdr:row>29</xdr:row>
      <xdr:rowOff>9525</xdr:rowOff>
    </xdr:to>
    <xdr:sp macro="" textlink="">
      <xdr:nvSpPr>
        <xdr:cNvPr id="1066337" name="Line 42">
          <a:extLst>
            <a:ext uri="{FF2B5EF4-FFF2-40B4-BE49-F238E27FC236}">
              <a16:creationId xmlns:a16="http://schemas.microsoft.com/office/drawing/2014/main" id="{00000000-0008-0000-0C00-000061451000}"/>
            </a:ext>
          </a:extLst>
        </xdr:cNvPr>
        <xdr:cNvSpPr>
          <a:spLocks noChangeShapeType="1"/>
        </xdr:cNvSpPr>
      </xdr:nvSpPr>
      <xdr:spPr bwMode="auto">
        <a:xfrm flipV="1">
          <a:off x="3159442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0</xdr:colOff>
      <xdr:row>26</xdr:row>
      <xdr:rowOff>0</xdr:rowOff>
    </xdr:from>
    <xdr:to>
      <xdr:col>50</xdr:col>
      <xdr:colOff>76200</xdr:colOff>
      <xdr:row>26</xdr:row>
      <xdr:rowOff>9525</xdr:rowOff>
    </xdr:to>
    <xdr:sp macro="" textlink="">
      <xdr:nvSpPr>
        <xdr:cNvPr id="1066338" name="Line 43">
          <a:extLst>
            <a:ext uri="{FF2B5EF4-FFF2-40B4-BE49-F238E27FC236}">
              <a16:creationId xmlns:a16="http://schemas.microsoft.com/office/drawing/2014/main" id="{00000000-0008-0000-0C00-000062451000}"/>
            </a:ext>
          </a:extLst>
        </xdr:cNvPr>
        <xdr:cNvSpPr>
          <a:spLocks noChangeShapeType="1"/>
        </xdr:cNvSpPr>
      </xdr:nvSpPr>
      <xdr:spPr bwMode="auto">
        <a:xfrm>
          <a:off x="3368040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26</xdr:row>
      <xdr:rowOff>9525</xdr:rowOff>
    </xdr:from>
    <xdr:to>
      <xdr:col>50</xdr:col>
      <xdr:colOff>66675</xdr:colOff>
      <xdr:row>29</xdr:row>
      <xdr:rowOff>19050</xdr:rowOff>
    </xdr:to>
    <xdr:sp macro="" textlink="">
      <xdr:nvSpPr>
        <xdr:cNvPr id="1066339" name="Line 44">
          <a:extLst>
            <a:ext uri="{FF2B5EF4-FFF2-40B4-BE49-F238E27FC236}">
              <a16:creationId xmlns:a16="http://schemas.microsoft.com/office/drawing/2014/main" id="{00000000-0008-0000-0C00-000063451000}"/>
            </a:ext>
          </a:extLst>
        </xdr:cNvPr>
        <xdr:cNvSpPr>
          <a:spLocks noChangeShapeType="1"/>
        </xdr:cNvSpPr>
      </xdr:nvSpPr>
      <xdr:spPr bwMode="auto">
        <a:xfrm>
          <a:off x="3374707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9525</xdr:colOff>
      <xdr:row>29</xdr:row>
      <xdr:rowOff>0</xdr:rowOff>
    </xdr:from>
    <xdr:to>
      <xdr:col>50</xdr:col>
      <xdr:colOff>66675</xdr:colOff>
      <xdr:row>29</xdr:row>
      <xdr:rowOff>9525</xdr:rowOff>
    </xdr:to>
    <xdr:sp macro="" textlink="">
      <xdr:nvSpPr>
        <xdr:cNvPr id="1066340" name="Line 45">
          <a:extLst>
            <a:ext uri="{FF2B5EF4-FFF2-40B4-BE49-F238E27FC236}">
              <a16:creationId xmlns:a16="http://schemas.microsoft.com/office/drawing/2014/main" id="{00000000-0008-0000-0C00-000064451000}"/>
            </a:ext>
          </a:extLst>
        </xdr:cNvPr>
        <xdr:cNvSpPr>
          <a:spLocks noChangeShapeType="1"/>
        </xdr:cNvSpPr>
      </xdr:nvSpPr>
      <xdr:spPr bwMode="auto">
        <a:xfrm flipV="1">
          <a:off x="3368992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0</xdr:colOff>
      <xdr:row>32</xdr:row>
      <xdr:rowOff>0</xdr:rowOff>
    </xdr:from>
    <xdr:to>
      <xdr:col>44</xdr:col>
      <xdr:colOff>76200</xdr:colOff>
      <xdr:row>32</xdr:row>
      <xdr:rowOff>9525</xdr:rowOff>
    </xdr:to>
    <xdr:sp macro="" textlink="">
      <xdr:nvSpPr>
        <xdr:cNvPr id="1066341" name="Line 46">
          <a:extLst>
            <a:ext uri="{FF2B5EF4-FFF2-40B4-BE49-F238E27FC236}">
              <a16:creationId xmlns:a16="http://schemas.microsoft.com/office/drawing/2014/main" id="{00000000-0008-0000-0C00-000065451000}"/>
            </a:ext>
          </a:extLst>
        </xdr:cNvPr>
        <xdr:cNvSpPr>
          <a:spLocks noChangeShapeType="1"/>
        </xdr:cNvSpPr>
      </xdr:nvSpPr>
      <xdr:spPr bwMode="auto">
        <a:xfrm>
          <a:off x="2942272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9525</xdr:colOff>
      <xdr:row>35</xdr:row>
      <xdr:rowOff>0</xdr:rowOff>
    </xdr:from>
    <xdr:to>
      <xdr:col>44</xdr:col>
      <xdr:colOff>66675</xdr:colOff>
      <xdr:row>35</xdr:row>
      <xdr:rowOff>9525</xdr:rowOff>
    </xdr:to>
    <xdr:sp macro="" textlink="">
      <xdr:nvSpPr>
        <xdr:cNvPr id="1066342" name="Line 48">
          <a:extLst>
            <a:ext uri="{FF2B5EF4-FFF2-40B4-BE49-F238E27FC236}">
              <a16:creationId xmlns:a16="http://schemas.microsoft.com/office/drawing/2014/main" id="{00000000-0008-0000-0C00-000066451000}"/>
            </a:ext>
          </a:extLst>
        </xdr:cNvPr>
        <xdr:cNvSpPr>
          <a:spLocks noChangeShapeType="1"/>
        </xdr:cNvSpPr>
      </xdr:nvSpPr>
      <xdr:spPr bwMode="auto">
        <a:xfrm flipV="1">
          <a:off x="2943225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0</xdr:colOff>
      <xdr:row>32</xdr:row>
      <xdr:rowOff>0</xdr:rowOff>
    </xdr:from>
    <xdr:to>
      <xdr:col>47</xdr:col>
      <xdr:colOff>76200</xdr:colOff>
      <xdr:row>32</xdr:row>
      <xdr:rowOff>9525</xdr:rowOff>
    </xdr:to>
    <xdr:sp macro="" textlink="">
      <xdr:nvSpPr>
        <xdr:cNvPr id="1066343" name="Line 49">
          <a:extLst>
            <a:ext uri="{FF2B5EF4-FFF2-40B4-BE49-F238E27FC236}">
              <a16:creationId xmlns:a16="http://schemas.microsoft.com/office/drawing/2014/main" id="{00000000-0008-0000-0C00-000067451000}"/>
            </a:ext>
          </a:extLst>
        </xdr:cNvPr>
        <xdr:cNvSpPr>
          <a:spLocks noChangeShapeType="1"/>
        </xdr:cNvSpPr>
      </xdr:nvSpPr>
      <xdr:spPr bwMode="auto">
        <a:xfrm>
          <a:off x="315849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66675</xdr:colOff>
      <xdr:row>32</xdr:row>
      <xdr:rowOff>9525</xdr:rowOff>
    </xdr:from>
    <xdr:to>
      <xdr:col>47</xdr:col>
      <xdr:colOff>66675</xdr:colOff>
      <xdr:row>35</xdr:row>
      <xdr:rowOff>19050</xdr:rowOff>
    </xdr:to>
    <xdr:sp macro="" textlink="">
      <xdr:nvSpPr>
        <xdr:cNvPr id="1066344" name="Line 50">
          <a:extLst>
            <a:ext uri="{FF2B5EF4-FFF2-40B4-BE49-F238E27FC236}">
              <a16:creationId xmlns:a16="http://schemas.microsoft.com/office/drawing/2014/main" id="{00000000-0008-0000-0C00-000068451000}"/>
            </a:ext>
          </a:extLst>
        </xdr:cNvPr>
        <xdr:cNvSpPr>
          <a:spLocks noChangeShapeType="1"/>
        </xdr:cNvSpPr>
      </xdr:nvSpPr>
      <xdr:spPr bwMode="auto">
        <a:xfrm>
          <a:off x="3165157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9525</xdr:colOff>
      <xdr:row>35</xdr:row>
      <xdr:rowOff>0</xdr:rowOff>
    </xdr:from>
    <xdr:to>
      <xdr:col>47</xdr:col>
      <xdr:colOff>66675</xdr:colOff>
      <xdr:row>35</xdr:row>
      <xdr:rowOff>9525</xdr:rowOff>
    </xdr:to>
    <xdr:sp macro="" textlink="">
      <xdr:nvSpPr>
        <xdr:cNvPr id="1066345" name="Line 51">
          <a:extLst>
            <a:ext uri="{FF2B5EF4-FFF2-40B4-BE49-F238E27FC236}">
              <a16:creationId xmlns:a16="http://schemas.microsoft.com/office/drawing/2014/main" id="{00000000-0008-0000-0C00-000069451000}"/>
            </a:ext>
          </a:extLst>
        </xdr:cNvPr>
        <xdr:cNvSpPr>
          <a:spLocks noChangeShapeType="1"/>
        </xdr:cNvSpPr>
      </xdr:nvSpPr>
      <xdr:spPr bwMode="auto">
        <a:xfrm flipV="1">
          <a:off x="315944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0</xdr:colOff>
      <xdr:row>32</xdr:row>
      <xdr:rowOff>0</xdr:rowOff>
    </xdr:from>
    <xdr:to>
      <xdr:col>50</xdr:col>
      <xdr:colOff>76200</xdr:colOff>
      <xdr:row>32</xdr:row>
      <xdr:rowOff>9525</xdr:rowOff>
    </xdr:to>
    <xdr:sp macro="" textlink="">
      <xdr:nvSpPr>
        <xdr:cNvPr id="1066346" name="Line 52">
          <a:extLst>
            <a:ext uri="{FF2B5EF4-FFF2-40B4-BE49-F238E27FC236}">
              <a16:creationId xmlns:a16="http://schemas.microsoft.com/office/drawing/2014/main" id="{00000000-0008-0000-0C00-00006A451000}"/>
            </a:ext>
          </a:extLst>
        </xdr:cNvPr>
        <xdr:cNvSpPr>
          <a:spLocks noChangeShapeType="1"/>
        </xdr:cNvSpPr>
      </xdr:nvSpPr>
      <xdr:spPr bwMode="auto">
        <a:xfrm>
          <a:off x="336804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32</xdr:row>
      <xdr:rowOff>9525</xdr:rowOff>
    </xdr:from>
    <xdr:to>
      <xdr:col>50</xdr:col>
      <xdr:colOff>66675</xdr:colOff>
      <xdr:row>35</xdr:row>
      <xdr:rowOff>19050</xdr:rowOff>
    </xdr:to>
    <xdr:sp macro="" textlink="">
      <xdr:nvSpPr>
        <xdr:cNvPr id="1066347" name="Line 53">
          <a:extLst>
            <a:ext uri="{FF2B5EF4-FFF2-40B4-BE49-F238E27FC236}">
              <a16:creationId xmlns:a16="http://schemas.microsoft.com/office/drawing/2014/main" id="{00000000-0008-0000-0C00-00006B451000}"/>
            </a:ext>
          </a:extLst>
        </xdr:cNvPr>
        <xdr:cNvSpPr>
          <a:spLocks noChangeShapeType="1"/>
        </xdr:cNvSpPr>
      </xdr:nvSpPr>
      <xdr:spPr bwMode="auto">
        <a:xfrm>
          <a:off x="3374707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9525</xdr:colOff>
      <xdr:row>35</xdr:row>
      <xdr:rowOff>0</xdr:rowOff>
    </xdr:from>
    <xdr:to>
      <xdr:col>50</xdr:col>
      <xdr:colOff>66675</xdr:colOff>
      <xdr:row>35</xdr:row>
      <xdr:rowOff>9525</xdr:rowOff>
    </xdr:to>
    <xdr:sp macro="" textlink="">
      <xdr:nvSpPr>
        <xdr:cNvPr id="1066348" name="Line 54">
          <a:extLst>
            <a:ext uri="{FF2B5EF4-FFF2-40B4-BE49-F238E27FC236}">
              <a16:creationId xmlns:a16="http://schemas.microsoft.com/office/drawing/2014/main" id="{00000000-0008-0000-0C00-00006C451000}"/>
            </a:ext>
          </a:extLst>
        </xdr:cNvPr>
        <xdr:cNvSpPr>
          <a:spLocks noChangeShapeType="1"/>
        </xdr:cNvSpPr>
      </xdr:nvSpPr>
      <xdr:spPr bwMode="auto">
        <a:xfrm flipV="1">
          <a:off x="336899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66675</xdr:colOff>
      <xdr:row>8</xdr:row>
      <xdr:rowOff>9525</xdr:rowOff>
    </xdr:from>
    <xdr:to>
      <xdr:col>48</xdr:col>
      <xdr:colOff>0</xdr:colOff>
      <xdr:row>9</xdr:row>
      <xdr:rowOff>66675</xdr:rowOff>
    </xdr:to>
    <xdr:sp macro="" textlink="">
      <xdr:nvSpPr>
        <xdr:cNvPr id="1066349" name="Line 64">
          <a:extLst>
            <a:ext uri="{FF2B5EF4-FFF2-40B4-BE49-F238E27FC236}">
              <a16:creationId xmlns:a16="http://schemas.microsoft.com/office/drawing/2014/main" id="{00000000-0008-0000-0C00-00006D451000}"/>
            </a:ext>
          </a:extLst>
        </xdr:cNvPr>
        <xdr:cNvSpPr>
          <a:spLocks noChangeShapeType="1"/>
        </xdr:cNvSpPr>
      </xdr:nvSpPr>
      <xdr:spPr bwMode="auto">
        <a:xfrm flipV="1">
          <a:off x="31651575" y="2057400"/>
          <a:ext cx="342900" cy="2381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66675</xdr:colOff>
      <xdr:row>9</xdr:row>
      <xdr:rowOff>76200</xdr:rowOff>
    </xdr:from>
    <xdr:to>
      <xdr:col>48</xdr:col>
      <xdr:colOff>0</xdr:colOff>
      <xdr:row>13</xdr:row>
      <xdr:rowOff>0</xdr:rowOff>
    </xdr:to>
    <xdr:sp macro="" textlink="">
      <xdr:nvSpPr>
        <xdr:cNvPr id="1066350" name="Line 66">
          <a:extLst>
            <a:ext uri="{FF2B5EF4-FFF2-40B4-BE49-F238E27FC236}">
              <a16:creationId xmlns:a16="http://schemas.microsoft.com/office/drawing/2014/main" id="{00000000-0008-0000-0C00-00006E451000}"/>
            </a:ext>
          </a:extLst>
        </xdr:cNvPr>
        <xdr:cNvSpPr>
          <a:spLocks noChangeShapeType="1"/>
        </xdr:cNvSpPr>
      </xdr:nvSpPr>
      <xdr:spPr bwMode="auto">
        <a:xfrm>
          <a:off x="31651575" y="2305050"/>
          <a:ext cx="342900" cy="6477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0</xdr:colOff>
      <xdr:row>32</xdr:row>
      <xdr:rowOff>0</xdr:rowOff>
    </xdr:from>
    <xdr:to>
      <xdr:col>50</xdr:col>
      <xdr:colOff>76200</xdr:colOff>
      <xdr:row>32</xdr:row>
      <xdr:rowOff>9525</xdr:rowOff>
    </xdr:to>
    <xdr:sp macro="" textlink="">
      <xdr:nvSpPr>
        <xdr:cNvPr id="1066351" name="Line 72">
          <a:extLst>
            <a:ext uri="{FF2B5EF4-FFF2-40B4-BE49-F238E27FC236}">
              <a16:creationId xmlns:a16="http://schemas.microsoft.com/office/drawing/2014/main" id="{00000000-0008-0000-0C00-00006F451000}"/>
            </a:ext>
          </a:extLst>
        </xdr:cNvPr>
        <xdr:cNvSpPr>
          <a:spLocks noChangeShapeType="1"/>
        </xdr:cNvSpPr>
      </xdr:nvSpPr>
      <xdr:spPr bwMode="auto">
        <a:xfrm>
          <a:off x="336804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32</xdr:row>
      <xdr:rowOff>9525</xdr:rowOff>
    </xdr:from>
    <xdr:to>
      <xdr:col>50</xdr:col>
      <xdr:colOff>66675</xdr:colOff>
      <xdr:row>35</xdr:row>
      <xdr:rowOff>19050</xdr:rowOff>
    </xdr:to>
    <xdr:sp macro="" textlink="">
      <xdr:nvSpPr>
        <xdr:cNvPr id="1066352" name="Line 73">
          <a:extLst>
            <a:ext uri="{FF2B5EF4-FFF2-40B4-BE49-F238E27FC236}">
              <a16:creationId xmlns:a16="http://schemas.microsoft.com/office/drawing/2014/main" id="{00000000-0008-0000-0C00-000070451000}"/>
            </a:ext>
          </a:extLst>
        </xdr:cNvPr>
        <xdr:cNvSpPr>
          <a:spLocks noChangeShapeType="1"/>
        </xdr:cNvSpPr>
      </xdr:nvSpPr>
      <xdr:spPr bwMode="auto">
        <a:xfrm>
          <a:off x="3374707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9525</xdr:colOff>
      <xdr:row>35</xdr:row>
      <xdr:rowOff>0</xdr:rowOff>
    </xdr:from>
    <xdr:to>
      <xdr:col>50</xdr:col>
      <xdr:colOff>66675</xdr:colOff>
      <xdr:row>35</xdr:row>
      <xdr:rowOff>9525</xdr:rowOff>
    </xdr:to>
    <xdr:sp macro="" textlink="">
      <xdr:nvSpPr>
        <xdr:cNvPr id="1066353" name="Line 74">
          <a:extLst>
            <a:ext uri="{FF2B5EF4-FFF2-40B4-BE49-F238E27FC236}">
              <a16:creationId xmlns:a16="http://schemas.microsoft.com/office/drawing/2014/main" id="{00000000-0008-0000-0C00-000071451000}"/>
            </a:ext>
          </a:extLst>
        </xdr:cNvPr>
        <xdr:cNvSpPr>
          <a:spLocks noChangeShapeType="1"/>
        </xdr:cNvSpPr>
      </xdr:nvSpPr>
      <xdr:spPr bwMode="auto">
        <a:xfrm flipV="1">
          <a:off x="336899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0</xdr:colOff>
      <xdr:row>26</xdr:row>
      <xdr:rowOff>0</xdr:rowOff>
    </xdr:from>
    <xdr:to>
      <xdr:col>50</xdr:col>
      <xdr:colOff>76200</xdr:colOff>
      <xdr:row>26</xdr:row>
      <xdr:rowOff>9525</xdr:rowOff>
    </xdr:to>
    <xdr:sp macro="" textlink="">
      <xdr:nvSpPr>
        <xdr:cNvPr id="1066354" name="Line 77">
          <a:extLst>
            <a:ext uri="{FF2B5EF4-FFF2-40B4-BE49-F238E27FC236}">
              <a16:creationId xmlns:a16="http://schemas.microsoft.com/office/drawing/2014/main" id="{00000000-0008-0000-0C00-000072451000}"/>
            </a:ext>
          </a:extLst>
        </xdr:cNvPr>
        <xdr:cNvSpPr>
          <a:spLocks noChangeShapeType="1"/>
        </xdr:cNvSpPr>
      </xdr:nvSpPr>
      <xdr:spPr bwMode="auto">
        <a:xfrm>
          <a:off x="3368040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26</xdr:row>
      <xdr:rowOff>9525</xdr:rowOff>
    </xdr:from>
    <xdr:to>
      <xdr:col>50</xdr:col>
      <xdr:colOff>66675</xdr:colOff>
      <xdr:row>29</xdr:row>
      <xdr:rowOff>19050</xdr:rowOff>
    </xdr:to>
    <xdr:sp macro="" textlink="">
      <xdr:nvSpPr>
        <xdr:cNvPr id="1066355" name="Line 78">
          <a:extLst>
            <a:ext uri="{FF2B5EF4-FFF2-40B4-BE49-F238E27FC236}">
              <a16:creationId xmlns:a16="http://schemas.microsoft.com/office/drawing/2014/main" id="{00000000-0008-0000-0C00-000073451000}"/>
            </a:ext>
          </a:extLst>
        </xdr:cNvPr>
        <xdr:cNvSpPr>
          <a:spLocks noChangeShapeType="1"/>
        </xdr:cNvSpPr>
      </xdr:nvSpPr>
      <xdr:spPr bwMode="auto">
        <a:xfrm>
          <a:off x="3374707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9525</xdr:colOff>
      <xdr:row>29</xdr:row>
      <xdr:rowOff>0</xdr:rowOff>
    </xdr:from>
    <xdr:to>
      <xdr:col>50</xdr:col>
      <xdr:colOff>66675</xdr:colOff>
      <xdr:row>29</xdr:row>
      <xdr:rowOff>9525</xdr:rowOff>
    </xdr:to>
    <xdr:sp macro="" textlink="">
      <xdr:nvSpPr>
        <xdr:cNvPr id="1066356" name="Line 79">
          <a:extLst>
            <a:ext uri="{FF2B5EF4-FFF2-40B4-BE49-F238E27FC236}">
              <a16:creationId xmlns:a16="http://schemas.microsoft.com/office/drawing/2014/main" id="{00000000-0008-0000-0C00-000074451000}"/>
            </a:ext>
          </a:extLst>
        </xdr:cNvPr>
        <xdr:cNvSpPr>
          <a:spLocks noChangeShapeType="1"/>
        </xdr:cNvSpPr>
      </xdr:nvSpPr>
      <xdr:spPr bwMode="auto">
        <a:xfrm flipV="1">
          <a:off x="3368992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76200</xdr:colOff>
      <xdr:row>27</xdr:row>
      <xdr:rowOff>66675</xdr:rowOff>
    </xdr:from>
    <xdr:to>
      <xdr:col>51</xdr:col>
      <xdr:colOff>9525</xdr:colOff>
      <xdr:row>29</xdr:row>
      <xdr:rowOff>19050</xdr:rowOff>
    </xdr:to>
    <xdr:sp macro="" textlink="">
      <xdr:nvSpPr>
        <xdr:cNvPr id="1066357" name="Line 81">
          <a:extLst>
            <a:ext uri="{FF2B5EF4-FFF2-40B4-BE49-F238E27FC236}">
              <a16:creationId xmlns:a16="http://schemas.microsoft.com/office/drawing/2014/main" id="{00000000-0008-0000-0C00-000075451000}"/>
            </a:ext>
          </a:extLst>
        </xdr:cNvPr>
        <xdr:cNvSpPr>
          <a:spLocks noChangeShapeType="1"/>
        </xdr:cNvSpPr>
      </xdr:nvSpPr>
      <xdr:spPr bwMode="auto">
        <a:xfrm>
          <a:off x="33756600" y="55530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0</xdr:colOff>
      <xdr:row>32</xdr:row>
      <xdr:rowOff>0</xdr:rowOff>
    </xdr:from>
    <xdr:to>
      <xdr:col>50</xdr:col>
      <xdr:colOff>76200</xdr:colOff>
      <xdr:row>32</xdr:row>
      <xdr:rowOff>9525</xdr:rowOff>
    </xdr:to>
    <xdr:sp macro="" textlink="">
      <xdr:nvSpPr>
        <xdr:cNvPr id="1066358" name="Line 86">
          <a:extLst>
            <a:ext uri="{FF2B5EF4-FFF2-40B4-BE49-F238E27FC236}">
              <a16:creationId xmlns:a16="http://schemas.microsoft.com/office/drawing/2014/main" id="{00000000-0008-0000-0C00-000076451000}"/>
            </a:ext>
          </a:extLst>
        </xdr:cNvPr>
        <xdr:cNvSpPr>
          <a:spLocks noChangeShapeType="1"/>
        </xdr:cNvSpPr>
      </xdr:nvSpPr>
      <xdr:spPr bwMode="auto">
        <a:xfrm>
          <a:off x="336804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32</xdr:row>
      <xdr:rowOff>9525</xdr:rowOff>
    </xdr:from>
    <xdr:to>
      <xdr:col>50</xdr:col>
      <xdr:colOff>76200</xdr:colOff>
      <xdr:row>35</xdr:row>
      <xdr:rowOff>0</xdr:rowOff>
    </xdr:to>
    <xdr:sp macro="" textlink="">
      <xdr:nvSpPr>
        <xdr:cNvPr id="1066359" name="Line 87">
          <a:extLst>
            <a:ext uri="{FF2B5EF4-FFF2-40B4-BE49-F238E27FC236}">
              <a16:creationId xmlns:a16="http://schemas.microsoft.com/office/drawing/2014/main" id="{00000000-0008-0000-0C00-000077451000}"/>
            </a:ext>
          </a:extLst>
        </xdr:cNvPr>
        <xdr:cNvSpPr>
          <a:spLocks noChangeShapeType="1"/>
        </xdr:cNvSpPr>
      </xdr:nvSpPr>
      <xdr:spPr bwMode="auto">
        <a:xfrm>
          <a:off x="33747075" y="6400800"/>
          <a:ext cx="9525"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9525</xdr:colOff>
      <xdr:row>35</xdr:row>
      <xdr:rowOff>0</xdr:rowOff>
    </xdr:from>
    <xdr:to>
      <xdr:col>50</xdr:col>
      <xdr:colOff>66675</xdr:colOff>
      <xdr:row>35</xdr:row>
      <xdr:rowOff>9525</xdr:rowOff>
    </xdr:to>
    <xdr:sp macro="" textlink="">
      <xdr:nvSpPr>
        <xdr:cNvPr id="1066360" name="Line 88">
          <a:extLst>
            <a:ext uri="{FF2B5EF4-FFF2-40B4-BE49-F238E27FC236}">
              <a16:creationId xmlns:a16="http://schemas.microsoft.com/office/drawing/2014/main" id="{00000000-0008-0000-0C00-000078451000}"/>
            </a:ext>
          </a:extLst>
        </xdr:cNvPr>
        <xdr:cNvSpPr>
          <a:spLocks noChangeShapeType="1"/>
        </xdr:cNvSpPr>
      </xdr:nvSpPr>
      <xdr:spPr bwMode="auto">
        <a:xfrm flipV="1">
          <a:off x="336899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31</xdr:row>
      <xdr:rowOff>161925</xdr:rowOff>
    </xdr:from>
    <xdr:to>
      <xdr:col>50</xdr:col>
      <xdr:colOff>400050</xdr:colOff>
      <xdr:row>33</xdr:row>
      <xdr:rowOff>57150</xdr:rowOff>
    </xdr:to>
    <xdr:sp macro="" textlink="">
      <xdr:nvSpPr>
        <xdr:cNvPr id="1066361" name="Line 89">
          <a:extLst>
            <a:ext uri="{FF2B5EF4-FFF2-40B4-BE49-F238E27FC236}">
              <a16:creationId xmlns:a16="http://schemas.microsoft.com/office/drawing/2014/main" id="{00000000-0008-0000-0C00-000079451000}"/>
            </a:ext>
          </a:extLst>
        </xdr:cNvPr>
        <xdr:cNvSpPr>
          <a:spLocks noChangeShapeType="1"/>
        </xdr:cNvSpPr>
      </xdr:nvSpPr>
      <xdr:spPr bwMode="auto">
        <a:xfrm flipV="1">
          <a:off x="33747075" y="6372225"/>
          <a:ext cx="333375" cy="2571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0</xdr:colOff>
      <xdr:row>26</xdr:row>
      <xdr:rowOff>0</xdr:rowOff>
    </xdr:from>
    <xdr:to>
      <xdr:col>50</xdr:col>
      <xdr:colOff>76200</xdr:colOff>
      <xdr:row>26</xdr:row>
      <xdr:rowOff>9525</xdr:rowOff>
    </xdr:to>
    <xdr:sp macro="" textlink="">
      <xdr:nvSpPr>
        <xdr:cNvPr id="1066362" name="Line 90">
          <a:extLst>
            <a:ext uri="{FF2B5EF4-FFF2-40B4-BE49-F238E27FC236}">
              <a16:creationId xmlns:a16="http://schemas.microsoft.com/office/drawing/2014/main" id="{00000000-0008-0000-0C00-00007A451000}"/>
            </a:ext>
          </a:extLst>
        </xdr:cNvPr>
        <xdr:cNvSpPr>
          <a:spLocks noChangeShapeType="1"/>
        </xdr:cNvSpPr>
      </xdr:nvSpPr>
      <xdr:spPr bwMode="auto">
        <a:xfrm>
          <a:off x="3368040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26</xdr:row>
      <xdr:rowOff>9525</xdr:rowOff>
    </xdr:from>
    <xdr:to>
      <xdr:col>50</xdr:col>
      <xdr:colOff>66675</xdr:colOff>
      <xdr:row>29</xdr:row>
      <xdr:rowOff>19050</xdr:rowOff>
    </xdr:to>
    <xdr:sp macro="" textlink="">
      <xdr:nvSpPr>
        <xdr:cNvPr id="1066363" name="Line 91">
          <a:extLst>
            <a:ext uri="{FF2B5EF4-FFF2-40B4-BE49-F238E27FC236}">
              <a16:creationId xmlns:a16="http://schemas.microsoft.com/office/drawing/2014/main" id="{00000000-0008-0000-0C00-00007B451000}"/>
            </a:ext>
          </a:extLst>
        </xdr:cNvPr>
        <xdr:cNvSpPr>
          <a:spLocks noChangeShapeType="1"/>
        </xdr:cNvSpPr>
      </xdr:nvSpPr>
      <xdr:spPr bwMode="auto">
        <a:xfrm>
          <a:off x="3374707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9525</xdr:colOff>
      <xdr:row>29</xdr:row>
      <xdr:rowOff>0</xdr:rowOff>
    </xdr:from>
    <xdr:to>
      <xdr:col>50</xdr:col>
      <xdr:colOff>66675</xdr:colOff>
      <xdr:row>29</xdr:row>
      <xdr:rowOff>9525</xdr:rowOff>
    </xdr:to>
    <xdr:sp macro="" textlink="">
      <xdr:nvSpPr>
        <xdr:cNvPr id="1066364" name="Line 92">
          <a:extLst>
            <a:ext uri="{FF2B5EF4-FFF2-40B4-BE49-F238E27FC236}">
              <a16:creationId xmlns:a16="http://schemas.microsoft.com/office/drawing/2014/main" id="{00000000-0008-0000-0C00-00007C451000}"/>
            </a:ext>
          </a:extLst>
        </xdr:cNvPr>
        <xdr:cNvSpPr>
          <a:spLocks noChangeShapeType="1"/>
        </xdr:cNvSpPr>
      </xdr:nvSpPr>
      <xdr:spPr bwMode="auto">
        <a:xfrm flipV="1">
          <a:off x="3368992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25</xdr:row>
      <xdr:rowOff>161925</xdr:rowOff>
    </xdr:from>
    <xdr:to>
      <xdr:col>51</xdr:col>
      <xdr:colOff>0</xdr:colOff>
      <xdr:row>27</xdr:row>
      <xdr:rowOff>47625</xdr:rowOff>
    </xdr:to>
    <xdr:sp macro="" textlink="">
      <xdr:nvSpPr>
        <xdr:cNvPr id="1066365" name="Line 93">
          <a:extLst>
            <a:ext uri="{FF2B5EF4-FFF2-40B4-BE49-F238E27FC236}">
              <a16:creationId xmlns:a16="http://schemas.microsoft.com/office/drawing/2014/main" id="{00000000-0008-0000-0C00-00007D451000}"/>
            </a:ext>
          </a:extLst>
        </xdr:cNvPr>
        <xdr:cNvSpPr>
          <a:spLocks noChangeShapeType="1"/>
        </xdr:cNvSpPr>
      </xdr:nvSpPr>
      <xdr:spPr bwMode="auto">
        <a:xfrm flipV="1">
          <a:off x="33747075" y="5286375"/>
          <a:ext cx="342900"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0</xdr:colOff>
      <xdr:row>20</xdr:row>
      <xdr:rowOff>0</xdr:rowOff>
    </xdr:from>
    <xdr:to>
      <xdr:col>50</xdr:col>
      <xdr:colOff>76200</xdr:colOff>
      <xdr:row>20</xdr:row>
      <xdr:rowOff>9525</xdr:rowOff>
    </xdr:to>
    <xdr:sp macro="" textlink="">
      <xdr:nvSpPr>
        <xdr:cNvPr id="1066366" name="Line 94">
          <a:extLst>
            <a:ext uri="{FF2B5EF4-FFF2-40B4-BE49-F238E27FC236}">
              <a16:creationId xmlns:a16="http://schemas.microsoft.com/office/drawing/2014/main" id="{00000000-0008-0000-0C00-00007E451000}"/>
            </a:ext>
          </a:extLst>
        </xdr:cNvPr>
        <xdr:cNvSpPr>
          <a:spLocks noChangeShapeType="1"/>
        </xdr:cNvSpPr>
      </xdr:nvSpPr>
      <xdr:spPr bwMode="auto">
        <a:xfrm>
          <a:off x="336804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20</xdr:row>
      <xdr:rowOff>9525</xdr:rowOff>
    </xdr:from>
    <xdr:to>
      <xdr:col>50</xdr:col>
      <xdr:colOff>66675</xdr:colOff>
      <xdr:row>23</xdr:row>
      <xdr:rowOff>19050</xdr:rowOff>
    </xdr:to>
    <xdr:sp macro="" textlink="">
      <xdr:nvSpPr>
        <xdr:cNvPr id="1066367" name="Line 95">
          <a:extLst>
            <a:ext uri="{FF2B5EF4-FFF2-40B4-BE49-F238E27FC236}">
              <a16:creationId xmlns:a16="http://schemas.microsoft.com/office/drawing/2014/main" id="{00000000-0008-0000-0C00-00007F451000}"/>
            </a:ext>
          </a:extLst>
        </xdr:cNvPr>
        <xdr:cNvSpPr>
          <a:spLocks noChangeShapeType="1"/>
        </xdr:cNvSpPr>
      </xdr:nvSpPr>
      <xdr:spPr bwMode="auto">
        <a:xfrm>
          <a:off x="3374707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9525</xdr:colOff>
      <xdr:row>23</xdr:row>
      <xdr:rowOff>0</xdr:rowOff>
    </xdr:from>
    <xdr:to>
      <xdr:col>50</xdr:col>
      <xdr:colOff>66675</xdr:colOff>
      <xdr:row>23</xdr:row>
      <xdr:rowOff>9525</xdr:rowOff>
    </xdr:to>
    <xdr:sp macro="" textlink="">
      <xdr:nvSpPr>
        <xdr:cNvPr id="1066368" name="Line 96">
          <a:extLst>
            <a:ext uri="{FF2B5EF4-FFF2-40B4-BE49-F238E27FC236}">
              <a16:creationId xmlns:a16="http://schemas.microsoft.com/office/drawing/2014/main" id="{00000000-0008-0000-0C00-000080451000}"/>
            </a:ext>
          </a:extLst>
        </xdr:cNvPr>
        <xdr:cNvSpPr>
          <a:spLocks noChangeShapeType="1"/>
        </xdr:cNvSpPr>
      </xdr:nvSpPr>
      <xdr:spPr bwMode="auto">
        <a:xfrm flipV="1">
          <a:off x="336899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76200</xdr:colOff>
      <xdr:row>19</xdr:row>
      <xdr:rowOff>171450</xdr:rowOff>
    </xdr:from>
    <xdr:to>
      <xdr:col>51</xdr:col>
      <xdr:colOff>0</xdr:colOff>
      <xdr:row>21</xdr:row>
      <xdr:rowOff>47625</xdr:rowOff>
    </xdr:to>
    <xdr:sp macro="" textlink="">
      <xdr:nvSpPr>
        <xdr:cNvPr id="1066369" name="Line 97">
          <a:extLst>
            <a:ext uri="{FF2B5EF4-FFF2-40B4-BE49-F238E27FC236}">
              <a16:creationId xmlns:a16="http://schemas.microsoft.com/office/drawing/2014/main" id="{00000000-0008-0000-0C00-000081451000}"/>
            </a:ext>
          </a:extLst>
        </xdr:cNvPr>
        <xdr:cNvSpPr>
          <a:spLocks noChangeShapeType="1"/>
        </xdr:cNvSpPr>
      </xdr:nvSpPr>
      <xdr:spPr bwMode="auto">
        <a:xfrm flipV="1">
          <a:off x="33756600" y="4210050"/>
          <a:ext cx="333375"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76200</xdr:colOff>
      <xdr:row>21</xdr:row>
      <xdr:rowOff>66675</xdr:rowOff>
    </xdr:from>
    <xdr:to>
      <xdr:col>51</xdr:col>
      <xdr:colOff>0</xdr:colOff>
      <xdr:row>23</xdr:row>
      <xdr:rowOff>28575</xdr:rowOff>
    </xdr:to>
    <xdr:sp macro="" textlink="">
      <xdr:nvSpPr>
        <xdr:cNvPr id="1066370" name="Line 98">
          <a:extLst>
            <a:ext uri="{FF2B5EF4-FFF2-40B4-BE49-F238E27FC236}">
              <a16:creationId xmlns:a16="http://schemas.microsoft.com/office/drawing/2014/main" id="{00000000-0008-0000-0C00-000082451000}"/>
            </a:ext>
          </a:extLst>
        </xdr:cNvPr>
        <xdr:cNvSpPr>
          <a:spLocks noChangeShapeType="1"/>
        </xdr:cNvSpPr>
      </xdr:nvSpPr>
      <xdr:spPr bwMode="auto">
        <a:xfrm>
          <a:off x="33756600" y="4467225"/>
          <a:ext cx="333375" cy="3238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0</xdr:colOff>
      <xdr:row>8</xdr:row>
      <xdr:rowOff>0</xdr:rowOff>
    </xdr:from>
    <xdr:to>
      <xdr:col>50</xdr:col>
      <xdr:colOff>76200</xdr:colOff>
      <xdr:row>8</xdr:row>
      <xdr:rowOff>9525</xdr:rowOff>
    </xdr:to>
    <xdr:sp macro="" textlink="">
      <xdr:nvSpPr>
        <xdr:cNvPr id="1066371" name="Line 99">
          <a:extLst>
            <a:ext uri="{FF2B5EF4-FFF2-40B4-BE49-F238E27FC236}">
              <a16:creationId xmlns:a16="http://schemas.microsoft.com/office/drawing/2014/main" id="{00000000-0008-0000-0C00-000083451000}"/>
            </a:ext>
          </a:extLst>
        </xdr:cNvPr>
        <xdr:cNvSpPr>
          <a:spLocks noChangeShapeType="1"/>
        </xdr:cNvSpPr>
      </xdr:nvSpPr>
      <xdr:spPr bwMode="auto">
        <a:xfrm>
          <a:off x="336804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8</xdr:row>
      <xdr:rowOff>9525</xdr:rowOff>
    </xdr:from>
    <xdr:to>
      <xdr:col>50</xdr:col>
      <xdr:colOff>66675</xdr:colOff>
      <xdr:row>11</xdr:row>
      <xdr:rowOff>19050</xdr:rowOff>
    </xdr:to>
    <xdr:sp macro="" textlink="">
      <xdr:nvSpPr>
        <xdr:cNvPr id="1066372" name="Line 100">
          <a:extLst>
            <a:ext uri="{FF2B5EF4-FFF2-40B4-BE49-F238E27FC236}">
              <a16:creationId xmlns:a16="http://schemas.microsoft.com/office/drawing/2014/main" id="{00000000-0008-0000-0C00-000084451000}"/>
            </a:ext>
          </a:extLst>
        </xdr:cNvPr>
        <xdr:cNvSpPr>
          <a:spLocks noChangeShapeType="1"/>
        </xdr:cNvSpPr>
      </xdr:nvSpPr>
      <xdr:spPr bwMode="auto">
        <a:xfrm>
          <a:off x="337470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9525</xdr:colOff>
      <xdr:row>11</xdr:row>
      <xdr:rowOff>0</xdr:rowOff>
    </xdr:from>
    <xdr:to>
      <xdr:col>50</xdr:col>
      <xdr:colOff>66675</xdr:colOff>
      <xdr:row>11</xdr:row>
      <xdr:rowOff>9525</xdr:rowOff>
    </xdr:to>
    <xdr:sp macro="" textlink="">
      <xdr:nvSpPr>
        <xdr:cNvPr id="1066373" name="Line 101">
          <a:extLst>
            <a:ext uri="{FF2B5EF4-FFF2-40B4-BE49-F238E27FC236}">
              <a16:creationId xmlns:a16="http://schemas.microsoft.com/office/drawing/2014/main" id="{00000000-0008-0000-0C00-000085451000}"/>
            </a:ext>
          </a:extLst>
        </xdr:cNvPr>
        <xdr:cNvSpPr>
          <a:spLocks noChangeShapeType="1"/>
        </xdr:cNvSpPr>
      </xdr:nvSpPr>
      <xdr:spPr bwMode="auto">
        <a:xfrm flipV="1">
          <a:off x="336899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0</xdr:colOff>
      <xdr:row>14</xdr:row>
      <xdr:rowOff>0</xdr:rowOff>
    </xdr:from>
    <xdr:to>
      <xdr:col>50</xdr:col>
      <xdr:colOff>76200</xdr:colOff>
      <xdr:row>14</xdr:row>
      <xdr:rowOff>9525</xdr:rowOff>
    </xdr:to>
    <xdr:sp macro="" textlink="">
      <xdr:nvSpPr>
        <xdr:cNvPr id="1066374" name="Line 105">
          <a:extLst>
            <a:ext uri="{FF2B5EF4-FFF2-40B4-BE49-F238E27FC236}">
              <a16:creationId xmlns:a16="http://schemas.microsoft.com/office/drawing/2014/main" id="{00000000-0008-0000-0C00-000086451000}"/>
            </a:ext>
          </a:extLst>
        </xdr:cNvPr>
        <xdr:cNvSpPr>
          <a:spLocks noChangeShapeType="1"/>
        </xdr:cNvSpPr>
      </xdr:nvSpPr>
      <xdr:spPr bwMode="auto">
        <a:xfrm>
          <a:off x="336804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14</xdr:row>
      <xdr:rowOff>9525</xdr:rowOff>
    </xdr:from>
    <xdr:to>
      <xdr:col>50</xdr:col>
      <xdr:colOff>66675</xdr:colOff>
      <xdr:row>17</xdr:row>
      <xdr:rowOff>19050</xdr:rowOff>
    </xdr:to>
    <xdr:sp macro="" textlink="">
      <xdr:nvSpPr>
        <xdr:cNvPr id="1066375" name="Line 106">
          <a:extLst>
            <a:ext uri="{FF2B5EF4-FFF2-40B4-BE49-F238E27FC236}">
              <a16:creationId xmlns:a16="http://schemas.microsoft.com/office/drawing/2014/main" id="{00000000-0008-0000-0C00-000087451000}"/>
            </a:ext>
          </a:extLst>
        </xdr:cNvPr>
        <xdr:cNvSpPr>
          <a:spLocks noChangeShapeType="1"/>
        </xdr:cNvSpPr>
      </xdr:nvSpPr>
      <xdr:spPr bwMode="auto">
        <a:xfrm>
          <a:off x="337470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9525</xdr:colOff>
      <xdr:row>17</xdr:row>
      <xdr:rowOff>0</xdr:rowOff>
    </xdr:from>
    <xdr:to>
      <xdr:col>50</xdr:col>
      <xdr:colOff>66675</xdr:colOff>
      <xdr:row>17</xdr:row>
      <xdr:rowOff>9525</xdr:rowOff>
    </xdr:to>
    <xdr:sp macro="" textlink="">
      <xdr:nvSpPr>
        <xdr:cNvPr id="1066376" name="Line 107">
          <a:extLst>
            <a:ext uri="{FF2B5EF4-FFF2-40B4-BE49-F238E27FC236}">
              <a16:creationId xmlns:a16="http://schemas.microsoft.com/office/drawing/2014/main" id="{00000000-0008-0000-0C00-000088451000}"/>
            </a:ext>
          </a:extLst>
        </xdr:cNvPr>
        <xdr:cNvSpPr>
          <a:spLocks noChangeShapeType="1"/>
        </xdr:cNvSpPr>
      </xdr:nvSpPr>
      <xdr:spPr bwMode="auto">
        <a:xfrm flipV="1">
          <a:off x="336899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13</xdr:row>
      <xdr:rowOff>161925</xdr:rowOff>
    </xdr:from>
    <xdr:to>
      <xdr:col>51</xdr:col>
      <xdr:colOff>0</xdr:colOff>
      <xdr:row>15</xdr:row>
      <xdr:rowOff>47625</xdr:rowOff>
    </xdr:to>
    <xdr:sp macro="" textlink="">
      <xdr:nvSpPr>
        <xdr:cNvPr id="1066377" name="Line 108">
          <a:extLst>
            <a:ext uri="{FF2B5EF4-FFF2-40B4-BE49-F238E27FC236}">
              <a16:creationId xmlns:a16="http://schemas.microsoft.com/office/drawing/2014/main" id="{00000000-0008-0000-0C00-000089451000}"/>
            </a:ext>
          </a:extLst>
        </xdr:cNvPr>
        <xdr:cNvSpPr>
          <a:spLocks noChangeShapeType="1"/>
        </xdr:cNvSpPr>
      </xdr:nvSpPr>
      <xdr:spPr bwMode="auto">
        <a:xfrm flipV="1">
          <a:off x="33747075" y="3114675"/>
          <a:ext cx="342900"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76200</xdr:colOff>
      <xdr:row>15</xdr:row>
      <xdr:rowOff>66675</xdr:rowOff>
    </xdr:from>
    <xdr:to>
      <xdr:col>51</xdr:col>
      <xdr:colOff>0</xdr:colOff>
      <xdr:row>17</xdr:row>
      <xdr:rowOff>19050</xdr:rowOff>
    </xdr:to>
    <xdr:sp macro="" textlink="">
      <xdr:nvSpPr>
        <xdr:cNvPr id="1066378" name="Line 109">
          <a:extLst>
            <a:ext uri="{FF2B5EF4-FFF2-40B4-BE49-F238E27FC236}">
              <a16:creationId xmlns:a16="http://schemas.microsoft.com/office/drawing/2014/main" id="{00000000-0008-0000-0C00-00008A451000}"/>
            </a:ext>
          </a:extLst>
        </xdr:cNvPr>
        <xdr:cNvSpPr>
          <a:spLocks noChangeShapeType="1"/>
        </xdr:cNvSpPr>
      </xdr:nvSpPr>
      <xdr:spPr bwMode="auto">
        <a:xfrm>
          <a:off x="33756600" y="3381375"/>
          <a:ext cx="333375"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0</xdr:colOff>
      <xdr:row>8</xdr:row>
      <xdr:rowOff>0</xdr:rowOff>
    </xdr:from>
    <xdr:to>
      <xdr:col>50</xdr:col>
      <xdr:colOff>76200</xdr:colOff>
      <xdr:row>8</xdr:row>
      <xdr:rowOff>9525</xdr:rowOff>
    </xdr:to>
    <xdr:sp macro="" textlink="">
      <xdr:nvSpPr>
        <xdr:cNvPr id="1066379" name="Line 110">
          <a:extLst>
            <a:ext uri="{FF2B5EF4-FFF2-40B4-BE49-F238E27FC236}">
              <a16:creationId xmlns:a16="http://schemas.microsoft.com/office/drawing/2014/main" id="{00000000-0008-0000-0C00-00008B451000}"/>
            </a:ext>
          </a:extLst>
        </xdr:cNvPr>
        <xdr:cNvSpPr>
          <a:spLocks noChangeShapeType="1"/>
        </xdr:cNvSpPr>
      </xdr:nvSpPr>
      <xdr:spPr bwMode="auto">
        <a:xfrm>
          <a:off x="336804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8</xdr:row>
      <xdr:rowOff>9525</xdr:rowOff>
    </xdr:from>
    <xdr:to>
      <xdr:col>50</xdr:col>
      <xdr:colOff>66675</xdr:colOff>
      <xdr:row>11</xdr:row>
      <xdr:rowOff>19050</xdr:rowOff>
    </xdr:to>
    <xdr:sp macro="" textlink="">
      <xdr:nvSpPr>
        <xdr:cNvPr id="1066380" name="Line 111">
          <a:extLst>
            <a:ext uri="{FF2B5EF4-FFF2-40B4-BE49-F238E27FC236}">
              <a16:creationId xmlns:a16="http://schemas.microsoft.com/office/drawing/2014/main" id="{00000000-0008-0000-0C00-00008C451000}"/>
            </a:ext>
          </a:extLst>
        </xdr:cNvPr>
        <xdr:cNvSpPr>
          <a:spLocks noChangeShapeType="1"/>
        </xdr:cNvSpPr>
      </xdr:nvSpPr>
      <xdr:spPr bwMode="auto">
        <a:xfrm>
          <a:off x="337470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9525</xdr:colOff>
      <xdr:row>11</xdr:row>
      <xdr:rowOff>0</xdr:rowOff>
    </xdr:from>
    <xdr:to>
      <xdr:col>50</xdr:col>
      <xdr:colOff>66675</xdr:colOff>
      <xdr:row>11</xdr:row>
      <xdr:rowOff>9525</xdr:rowOff>
    </xdr:to>
    <xdr:sp macro="" textlink="">
      <xdr:nvSpPr>
        <xdr:cNvPr id="1066381" name="Line 112">
          <a:extLst>
            <a:ext uri="{FF2B5EF4-FFF2-40B4-BE49-F238E27FC236}">
              <a16:creationId xmlns:a16="http://schemas.microsoft.com/office/drawing/2014/main" id="{00000000-0008-0000-0C00-00008D451000}"/>
            </a:ext>
          </a:extLst>
        </xdr:cNvPr>
        <xdr:cNvSpPr>
          <a:spLocks noChangeShapeType="1"/>
        </xdr:cNvSpPr>
      </xdr:nvSpPr>
      <xdr:spPr bwMode="auto">
        <a:xfrm flipV="1">
          <a:off x="336899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0</xdr:colOff>
      <xdr:row>8</xdr:row>
      <xdr:rowOff>0</xdr:rowOff>
    </xdr:from>
    <xdr:to>
      <xdr:col>50</xdr:col>
      <xdr:colOff>76200</xdr:colOff>
      <xdr:row>8</xdr:row>
      <xdr:rowOff>9525</xdr:rowOff>
    </xdr:to>
    <xdr:sp macro="" textlink="">
      <xdr:nvSpPr>
        <xdr:cNvPr id="1066382" name="Line 113">
          <a:extLst>
            <a:ext uri="{FF2B5EF4-FFF2-40B4-BE49-F238E27FC236}">
              <a16:creationId xmlns:a16="http://schemas.microsoft.com/office/drawing/2014/main" id="{00000000-0008-0000-0C00-00008E451000}"/>
            </a:ext>
          </a:extLst>
        </xdr:cNvPr>
        <xdr:cNvSpPr>
          <a:spLocks noChangeShapeType="1"/>
        </xdr:cNvSpPr>
      </xdr:nvSpPr>
      <xdr:spPr bwMode="auto">
        <a:xfrm>
          <a:off x="336804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8</xdr:row>
      <xdr:rowOff>9525</xdr:rowOff>
    </xdr:from>
    <xdr:to>
      <xdr:col>50</xdr:col>
      <xdr:colOff>66675</xdr:colOff>
      <xdr:row>11</xdr:row>
      <xdr:rowOff>19050</xdr:rowOff>
    </xdr:to>
    <xdr:sp macro="" textlink="">
      <xdr:nvSpPr>
        <xdr:cNvPr id="1066383" name="Line 114">
          <a:extLst>
            <a:ext uri="{FF2B5EF4-FFF2-40B4-BE49-F238E27FC236}">
              <a16:creationId xmlns:a16="http://schemas.microsoft.com/office/drawing/2014/main" id="{00000000-0008-0000-0C00-00008F451000}"/>
            </a:ext>
          </a:extLst>
        </xdr:cNvPr>
        <xdr:cNvSpPr>
          <a:spLocks noChangeShapeType="1"/>
        </xdr:cNvSpPr>
      </xdr:nvSpPr>
      <xdr:spPr bwMode="auto">
        <a:xfrm>
          <a:off x="337470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9525</xdr:colOff>
      <xdr:row>11</xdr:row>
      <xdr:rowOff>0</xdr:rowOff>
    </xdr:from>
    <xdr:to>
      <xdr:col>50</xdr:col>
      <xdr:colOff>66675</xdr:colOff>
      <xdr:row>11</xdr:row>
      <xdr:rowOff>9525</xdr:rowOff>
    </xdr:to>
    <xdr:sp macro="" textlink="">
      <xdr:nvSpPr>
        <xdr:cNvPr id="1066384" name="Line 115">
          <a:extLst>
            <a:ext uri="{FF2B5EF4-FFF2-40B4-BE49-F238E27FC236}">
              <a16:creationId xmlns:a16="http://schemas.microsoft.com/office/drawing/2014/main" id="{00000000-0008-0000-0C00-000090451000}"/>
            </a:ext>
          </a:extLst>
        </xdr:cNvPr>
        <xdr:cNvSpPr>
          <a:spLocks noChangeShapeType="1"/>
        </xdr:cNvSpPr>
      </xdr:nvSpPr>
      <xdr:spPr bwMode="auto">
        <a:xfrm flipV="1">
          <a:off x="336899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76200</xdr:colOff>
      <xdr:row>8</xdr:row>
      <xdr:rowOff>0</xdr:rowOff>
    </xdr:from>
    <xdr:to>
      <xdr:col>50</xdr:col>
      <xdr:colOff>400050</xdr:colOff>
      <xdr:row>9</xdr:row>
      <xdr:rowOff>57150</xdr:rowOff>
    </xdr:to>
    <xdr:sp macro="" textlink="">
      <xdr:nvSpPr>
        <xdr:cNvPr id="1066385" name="Line 116">
          <a:extLst>
            <a:ext uri="{FF2B5EF4-FFF2-40B4-BE49-F238E27FC236}">
              <a16:creationId xmlns:a16="http://schemas.microsoft.com/office/drawing/2014/main" id="{00000000-0008-0000-0C00-000091451000}"/>
            </a:ext>
          </a:extLst>
        </xdr:cNvPr>
        <xdr:cNvSpPr>
          <a:spLocks noChangeShapeType="1"/>
        </xdr:cNvSpPr>
      </xdr:nvSpPr>
      <xdr:spPr bwMode="auto">
        <a:xfrm flipV="1">
          <a:off x="33756600" y="2047875"/>
          <a:ext cx="3238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76200</xdr:colOff>
      <xdr:row>9</xdr:row>
      <xdr:rowOff>66675</xdr:rowOff>
    </xdr:from>
    <xdr:to>
      <xdr:col>51</xdr:col>
      <xdr:colOff>0</xdr:colOff>
      <xdr:row>11</xdr:row>
      <xdr:rowOff>19050</xdr:rowOff>
    </xdr:to>
    <xdr:sp macro="" textlink="">
      <xdr:nvSpPr>
        <xdr:cNvPr id="1066386" name="Line 117">
          <a:extLst>
            <a:ext uri="{FF2B5EF4-FFF2-40B4-BE49-F238E27FC236}">
              <a16:creationId xmlns:a16="http://schemas.microsoft.com/office/drawing/2014/main" id="{00000000-0008-0000-0C00-000092451000}"/>
            </a:ext>
          </a:extLst>
        </xdr:cNvPr>
        <xdr:cNvSpPr>
          <a:spLocks noChangeShapeType="1"/>
        </xdr:cNvSpPr>
      </xdr:nvSpPr>
      <xdr:spPr bwMode="auto">
        <a:xfrm>
          <a:off x="33756600" y="2295525"/>
          <a:ext cx="333375"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0</xdr:colOff>
      <xdr:row>14</xdr:row>
      <xdr:rowOff>0</xdr:rowOff>
    </xdr:from>
    <xdr:to>
      <xdr:col>47</xdr:col>
      <xdr:colOff>76200</xdr:colOff>
      <xdr:row>14</xdr:row>
      <xdr:rowOff>9525</xdr:rowOff>
    </xdr:to>
    <xdr:sp macro="" textlink="">
      <xdr:nvSpPr>
        <xdr:cNvPr id="1066387" name="Line 126">
          <a:extLst>
            <a:ext uri="{FF2B5EF4-FFF2-40B4-BE49-F238E27FC236}">
              <a16:creationId xmlns:a16="http://schemas.microsoft.com/office/drawing/2014/main" id="{00000000-0008-0000-0C00-000093451000}"/>
            </a:ext>
          </a:extLst>
        </xdr:cNvPr>
        <xdr:cNvSpPr>
          <a:spLocks noChangeShapeType="1"/>
        </xdr:cNvSpPr>
      </xdr:nvSpPr>
      <xdr:spPr bwMode="auto">
        <a:xfrm>
          <a:off x="315849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66675</xdr:colOff>
      <xdr:row>14</xdr:row>
      <xdr:rowOff>9525</xdr:rowOff>
    </xdr:from>
    <xdr:to>
      <xdr:col>47</xdr:col>
      <xdr:colOff>66675</xdr:colOff>
      <xdr:row>17</xdr:row>
      <xdr:rowOff>19050</xdr:rowOff>
    </xdr:to>
    <xdr:sp macro="" textlink="">
      <xdr:nvSpPr>
        <xdr:cNvPr id="1066388" name="Line 127">
          <a:extLst>
            <a:ext uri="{FF2B5EF4-FFF2-40B4-BE49-F238E27FC236}">
              <a16:creationId xmlns:a16="http://schemas.microsoft.com/office/drawing/2014/main" id="{00000000-0008-0000-0C00-000094451000}"/>
            </a:ext>
          </a:extLst>
        </xdr:cNvPr>
        <xdr:cNvSpPr>
          <a:spLocks noChangeShapeType="1"/>
        </xdr:cNvSpPr>
      </xdr:nvSpPr>
      <xdr:spPr bwMode="auto">
        <a:xfrm>
          <a:off x="316515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9525</xdr:colOff>
      <xdr:row>17</xdr:row>
      <xdr:rowOff>0</xdr:rowOff>
    </xdr:from>
    <xdr:to>
      <xdr:col>47</xdr:col>
      <xdr:colOff>66675</xdr:colOff>
      <xdr:row>17</xdr:row>
      <xdr:rowOff>9525</xdr:rowOff>
    </xdr:to>
    <xdr:sp macro="" textlink="">
      <xdr:nvSpPr>
        <xdr:cNvPr id="1066389" name="Line 128">
          <a:extLst>
            <a:ext uri="{FF2B5EF4-FFF2-40B4-BE49-F238E27FC236}">
              <a16:creationId xmlns:a16="http://schemas.microsoft.com/office/drawing/2014/main" id="{00000000-0008-0000-0C00-000095451000}"/>
            </a:ext>
          </a:extLst>
        </xdr:cNvPr>
        <xdr:cNvSpPr>
          <a:spLocks noChangeShapeType="1"/>
        </xdr:cNvSpPr>
      </xdr:nvSpPr>
      <xdr:spPr bwMode="auto">
        <a:xfrm flipV="1">
          <a:off x="315944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0</xdr:colOff>
      <xdr:row>20</xdr:row>
      <xdr:rowOff>0</xdr:rowOff>
    </xdr:from>
    <xdr:to>
      <xdr:col>47</xdr:col>
      <xdr:colOff>76200</xdr:colOff>
      <xdr:row>20</xdr:row>
      <xdr:rowOff>9525</xdr:rowOff>
    </xdr:to>
    <xdr:sp macro="" textlink="">
      <xdr:nvSpPr>
        <xdr:cNvPr id="1066390" name="Line 129">
          <a:extLst>
            <a:ext uri="{FF2B5EF4-FFF2-40B4-BE49-F238E27FC236}">
              <a16:creationId xmlns:a16="http://schemas.microsoft.com/office/drawing/2014/main" id="{00000000-0008-0000-0C00-000096451000}"/>
            </a:ext>
          </a:extLst>
        </xdr:cNvPr>
        <xdr:cNvSpPr>
          <a:spLocks noChangeShapeType="1"/>
        </xdr:cNvSpPr>
      </xdr:nvSpPr>
      <xdr:spPr bwMode="auto">
        <a:xfrm>
          <a:off x="315849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66675</xdr:colOff>
      <xdr:row>20</xdr:row>
      <xdr:rowOff>9525</xdr:rowOff>
    </xdr:from>
    <xdr:to>
      <xdr:col>47</xdr:col>
      <xdr:colOff>66675</xdr:colOff>
      <xdr:row>23</xdr:row>
      <xdr:rowOff>19050</xdr:rowOff>
    </xdr:to>
    <xdr:sp macro="" textlink="">
      <xdr:nvSpPr>
        <xdr:cNvPr id="1066391" name="Line 130">
          <a:extLst>
            <a:ext uri="{FF2B5EF4-FFF2-40B4-BE49-F238E27FC236}">
              <a16:creationId xmlns:a16="http://schemas.microsoft.com/office/drawing/2014/main" id="{00000000-0008-0000-0C00-000097451000}"/>
            </a:ext>
          </a:extLst>
        </xdr:cNvPr>
        <xdr:cNvSpPr>
          <a:spLocks noChangeShapeType="1"/>
        </xdr:cNvSpPr>
      </xdr:nvSpPr>
      <xdr:spPr bwMode="auto">
        <a:xfrm>
          <a:off x="3165157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9525</xdr:colOff>
      <xdr:row>23</xdr:row>
      <xdr:rowOff>0</xdr:rowOff>
    </xdr:from>
    <xdr:to>
      <xdr:col>47</xdr:col>
      <xdr:colOff>66675</xdr:colOff>
      <xdr:row>23</xdr:row>
      <xdr:rowOff>9525</xdr:rowOff>
    </xdr:to>
    <xdr:sp macro="" textlink="">
      <xdr:nvSpPr>
        <xdr:cNvPr id="1066392" name="Line 131">
          <a:extLst>
            <a:ext uri="{FF2B5EF4-FFF2-40B4-BE49-F238E27FC236}">
              <a16:creationId xmlns:a16="http://schemas.microsoft.com/office/drawing/2014/main" id="{00000000-0008-0000-0C00-000098451000}"/>
            </a:ext>
          </a:extLst>
        </xdr:cNvPr>
        <xdr:cNvSpPr>
          <a:spLocks noChangeShapeType="1"/>
        </xdr:cNvSpPr>
      </xdr:nvSpPr>
      <xdr:spPr bwMode="auto">
        <a:xfrm flipV="1">
          <a:off x="315944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66675</xdr:colOff>
      <xdr:row>16</xdr:row>
      <xdr:rowOff>171450</xdr:rowOff>
    </xdr:from>
    <xdr:to>
      <xdr:col>48</xdr:col>
      <xdr:colOff>0</xdr:colOff>
      <xdr:row>21</xdr:row>
      <xdr:rowOff>47625</xdr:rowOff>
    </xdr:to>
    <xdr:sp macro="" textlink="">
      <xdr:nvSpPr>
        <xdr:cNvPr id="1066393" name="Line 132">
          <a:extLst>
            <a:ext uri="{FF2B5EF4-FFF2-40B4-BE49-F238E27FC236}">
              <a16:creationId xmlns:a16="http://schemas.microsoft.com/office/drawing/2014/main" id="{00000000-0008-0000-0C00-000099451000}"/>
            </a:ext>
          </a:extLst>
        </xdr:cNvPr>
        <xdr:cNvSpPr>
          <a:spLocks noChangeShapeType="1"/>
        </xdr:cNvSpPr>
      </xdr:nvSpPr>
      <xdr:spPr bwMode="auto">
        <a:xfrm flipV="1">
          <a:off x="31651575" y="3667125"/>
          <a:ext cx="342900" cy="781050"/>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66675</xdr:colOff>
      <xdr:row>15</xdr:row>
      <xdr:rowOff>95250</xdr:rowOff>
    </xdr:from>
    <xdr:to>
      <xdr:col>48</xdr:col>
      <xdr:colOff>0</xdr:colOff>
      <xdr:row>20</xdr:row>
      <xdr:rowOff>28575</xdr:rowOff>
    </xdr:to>
    <xdr:sp macro="" textlink="">
      <xdr:nvSpPr>
        <xdr:cNvPr id="1066394" name="Line 133">
          <a:extLst>
            <a:ext uri="{FF2B5EF4-FFF2-40B4-BE49-F238E27FC236}">
              <a16:creationId xmlns:a16="http://schemas.microsoft.com/office/drawing/2014/main" id="{00000000-0008-0000-0C00-00009A451000}"/>
            </a:ext>
          </a:extLst>
        </xdr:cNvPr>
        <xdr:cNvSpPr>
          <a:spLocks noChangeShapeType="1"/>
        </xdr:cNvSpPr>
      </xdr:nvSpPr>
      <xdr:spPr bwMode="auto">
        <a:xfrm>
          <a:off x="31651575" y="3409950"/>
          <a:ext cx="342900" cy="8382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0</xdr:colOff>
      <xdr:row>26</xdr:row>
      <xdr:rowOff>0</xdr:rowOff>
    </xdr:from>
    <xdr:to>
      <xdr:col>47</xdr:col>
      <xdr:colOff>76200</xdr:colOff>
      <xdr:row>26</xdr:row>
      <xdr:rowOff>9525</xdr:rowOff>
    </xdr:to>
    <xdr:sp macro="" textlink="">
      <xdr:nvSpPr>
        <xdr:cNvPr id="1066395" name="Line 134">
          <a:extLst>
            <a:ext uri="{FF2B5EF4-FFF2-40B4-BE49-F238E27FC236}">
              <a16:creationId xmlns:a16="http://schemas.microsoft.com/office/drawing/2014/main" id="{00000000-0008-0000-0C00-00009B451000}"/>
            </a:ext>
          </a:extLst>
        </xdr:cNvPr>
        <xdr:cNvSpPr>
          <a:spLocks noChangeShapeType="1"/>
        </xdr:cNvSpPr>
      </xdr:nvSpPr>
      <xdr:spPr bwMode="auto">
        <a:xfrm>
          <a:off x="3158490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66675</xdr:colOff>
      <xdr:row>26</xdr:row>
      <xdr:rowOff>9525</xdr:rowOff>
    </xdr:from>
    <xdr:to>
      <xdr:col>47</xdr:col>
      <xdr:colOff>66675</xdr:colOff>
      <xdr:row>29</xdr:row>
      <xdr:rowOff>19050</xdr:rowOff>
    </xdr:to>
    <xdr:sp macro="" textlink="">
      <xdr:nvSpPr>
        <xdr:cNvPr id="1066396" name="Line 135">
          <a:extLst>
            <a:ext uri="{FF2B5EF4-FFF2-40B4-BE49-F238E27FC236}">
              <a16:creationId xmlns:a16="http://schemas.microsoft.com/office/drawing/2014/main" id="{00000000-0008-0000-0C00-00009C451000}"/>
            </a:ext>
          </a:extLst>
        </xdr:cNvPr>
        <xdr:cNvSpPr>
          <a:spLocks noChangeShapeType="1"/>
        </xdr:cNvSpPr>
      </xdr:nvSpPr>
      <xdr:spPr bwMode="auto">
        <a:xfrm>
          <a:off x="3165157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9525</xdr:colOff>
      <xdr:row>29</xdr:row>
      <xdr:rowOff>0</xdr:rowOff>
    </xdr:from>
    <xdr:to>
      <xdr:col>47</xdr:col>
      <xdr:colOff>66675</xdr:colOff>
      <xdr:row>29</xdr:row>
      <xdr:rowOff>9525</xdr:rowOff>
    </xdr:to>
    <xdr:sp macro="" textlink="">
      <xdr:nvSpPr>
        <xdr:cNvPr id="1066397" name="Line 136">
          <a:extLst>
            <a:ext uri="{FF2B5EF4-FFF2-40B4-BE49-F238E27FC236}">
              <a16:creationId xmlns:a16="http://schemas.microsoft.com/office/drawing/2014/main" id="{00000000-0008-0000-0C00-00009D451000}"/>
            </a:ext>
          </a:extLst>
        </xdr:cNvPr>
        <xdr:cNvSpPr>
          <a:spLocks noChangeShapeType="1"/>
        </xdr:cNvSpPr>
      </xdr:nvSpPr>
      <xdr:spPr bwMode="auto">
        <a:xfrm flipV="1">
          <a:off x="3159442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0</xdr:colOff>
      <xdr:row>32</xdr:row>
      <xdr:rowOff>0</xdr:rowOff>
    </xdr:from>
    <xdr:to>
      <xdr:col>47</xdr:col>
      <xdr:colOff>76200</xdr:colOff>
      <xdr:row>32</xdr:row>
      <xdr:rowOff>9525</xdr:rowOff>
    </xdr:to>
    <xdr:sp macro="" textlink="">
      <xdr:nvSpPr>
        <xdr:cNvPr id="1066398" name="Line 137">
          <a:extLst>
            <a:ext uri="{FF2B5EF4-FFF2-40B4-BE49-F238E27FC236}">
              <a16:creationId xmlns:a16="http://schemas.microsoft.com/office/drawing/2014/main" id="{00000000-0008-0000-0C00-00009E451000}"/>
            </a:ext>
          </a:extLst>
        </xdr:cNvPr>
        <xdr:cNvSpPr>
          <a:spLocks noChangeShapeType="1"/>
        </xdr:cNvSpPr>
      </xdr:nvSpPr>
      <xdr:spPr bwMode="auto">
        <a:xfrm>
          <a:off x="315849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9525</xdr:colOff>
      <xdr:row>35</xdr:row>
      <xdr:rowOff>0</xdr:rowOff>
    </xdr:from>
    <xdr:to>
      <xdr:col>47</xdr:col>
      <xdr:colOff>66675</xdr:colOff>
      <xdr:row>35</xdr:row>
      <xdr:rowOff>9525</xdr:rowOff>
    </xdr:to>
    <xdr:sp macro="" textlink="">
      <xdr:nvSpPr>
        <xdr:cNvPr id="1066399" name="Line 139">
          <a:extLst>
            <a:ext uri="{FF2B5EF4-FFF2-40B4-BE49-F238E27FC236}">
              <a16:creationId xmlns:a16="http://schemas.microsoft.com/office/drawing/2014/main" id="{00000000-0008-0000-0C00-00009F451000}"/>
            </a:ext>
          </a:extLst>
        </xdr:cNvPr>
        <xdr:cNvSpPr>
          <a:spLocks noChangeShapeType="1"/>
        </xdr:cNvSpPr>
      </xdr:nvSpPr>
      <xdr:spPr bwMode="auto">
        <a:xfrm flipV="1">
          <a:off x="315944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76200</xdr:colOff>
      <xdr:row>29</xdr:row>
      <xdr:rowOff>0</xdr:rowOff>
    </xdr:from>
    <xdr:to>
      <xdr:col>48</xdr:col>
      <xdr:colOff>0</xdr:colOff>
      <xdr:row>33</xdr:row>
      <xdr:rowOff>66675</xdr:rowOff>
    </xdr:to>
    <xdr:sp macro="" textlink="">
      <xdr:nvSpPr>
        <xdr:cNvPr id="1066400" name="Line 140">
          <a:extLst>
            <a:ext uri="{FF2B5EF4-FFF2-40B4-BE49-F238E27FC236}">
              <a16:creationId xmlns:a16="http://schemas.microsoft.com/office/drawing/2014/main" id="{00000000-0008-0000-0C00-0000A0451000}"/>
            </a:ext>
          </a:extLst>
        </xdr:cNvPr>
        <xdr:cNvSpPr>
          <a:spLocks noChangeShapeType="1"/>
        </xdr:cNvSpPr>
      </xdr:nvSpPr>
      <xdr:spPr bwMode="auto">
        <a:xfrm flipV="1">
          <a:off x="31661100" y="5848350"/>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66675</xdr:colOff>
      <xdr:row>27</xdr:row>
      <xdr:rowOff>104775</xdr:rowOff>
    </xdr:from>
    <xdr:to>
      <xdr:col>48</xdr:col>
      <xdr:colOff>0</xdr:colOff>
      <xdr:row>31</xdr:row>
      <xdr:rowOff>161925</xdr:rowOff>
    </xdr:to>
    <xdr:sp macro="" textlink="">
      <xdr:nvSpPr>
        <xdr:cNvPr id="1066401" name="Line 141">
          <a:extLst>
            <a:ext uri="{FF2B5EF4-FFF2-40B4-BE49-F238E27FC236}">
              <a16:creationId xmlns:a16="http://schemas.microsoft.com/office/drawing/2014/main" id="{00000000-0008-0000-0C00-0000A1451000}"/>
            </a:ext>
          </a:extLst>
        </xdr:cNvPr>
        <xdr:cNvSpPr>
          <a:spLocks noChangeShapeType="1"/>
        </xdr:cNvSpPr>
      </xdr:nvSpPr>
      <xdr:spPr bwMode="auto">
        <a:xfrm>
          <a:off x="31651575" y="5591175"/>
          <a:ext cx="342900" cy="7810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66675</xdr:colOff>
      <xdr:row>7</xdr:row>
      <xdr:rowOff>133350</xdr:rowOff>
    </xdr:from>
    <xdr:to>
      <xdr:col>45</xdr:col>
      <xdr:colOff>0</xdr:colOff>
      <xdr:row>9</xdr:row>
      <xdr:rowOff>66675</xdr:rowOff>
    </xdr:to>
    <xdr:sp macro="" textlink="">
      <xdr:nvSpPr>
        <xdr:cNvPr id="1066402" name="Line 146">
          <a:extLst>
            <a:ext uri="{FF2B5EF4-FFF2-40B4-BE49-F238E27FC236}">
              <a16:creationId xmlns:a16="http://schemas.microsoft.com/office/drawing/2014/main" id="{00000000-0008-0000-0C00-0000A2451000}"/>
            </a:ext>
          </a:extLst>
        </xdr:cNvPr>
        <xdr:cNvSpPr>
          <a:spLocks noChangeShapeType="1"/>
        </xdr:cNvSpPr>
      </xdr:nvSpPr>
      <xdr:spPr bwMode="auto">
        <a:xfrm flipV="1">
          <a:off x="29489400" y="2000250"/>
          <a:ext cx="38100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66675</xdr:colOff>
      <xdr:row>9</xdr:row>
      <xdr:rowOff>66675</xdr:rowOff>
    </xdr:from>
    <xdr:to>
      <xdr:col>45</xdr:col>
      <xdr:colOff>19050</xdr:colOff>
      <xdr:row>13</xdr:row>
      <xdr:rowOff>0</xdr:rowOff>
    </xdr:to>
    <xdr:sp macro="" textlink="">
      <xdr:nvSpPr>
        <xdr:cNvPr id="1066403" name="Line 147">
          <a:extLst>
            <a:ext uri="{FF2B5EF4-FFF2-40B4-BE49-F238E27FC236}">
              <a16:creationId xmlns:a16="http://schemas.microsoft.com/office/drawing/2014/main" id="{00000000-0008-0000-0C00-0000A3451000}"/>
            </a:ext>
          </a:extLst>
        </xdr:cNvPr>
        <xdr:cNvSpPr>
          <a:spLocks noChangeShapeType="1"/>
        </xdr:cNvSpPr>
      </xdr:nvSpPr>
      <xdr:spPr bwMode="auto">
        <a:xfrm>
          <a:off x="29489400" y="2295525"/>
          <a:ext cx="400050" cy="657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66675</xdr:colOff>
      <xdr:row>10</xdr:row>
      <xdr:rowOff>152400</xdr:rowOff>
    </xdr:from>
    <xdr:to>
      <xdr:col>45</xdr:col>
      <xdr:colOff>19050</xdr:colOff>
      <xdr:row>15</xdr:row>
      <xdr:rowOff>85725</xdr:rowOff>
    </xdr:to>
    <xdr:sp macro="" textlink="">
      <xdr:nvSpPr>
        <xdr:cNvPr id="1066404" name="Line 150">
          <a:extLst>
            <a:ext uri="{FF2B5EF4-FFF2-40B4-BE49-F238E27FC236}">
              <a16:creationId xmlns:a16="http://schemas.microsoft.com/office/drawing/2014/main" id="{00000000-0008-0000-0C00-0000A4451000}"/>
            </a:ext>
          </a:extLst>
        </xdr:cNvPr>
        <xdr:cNvSpPr>
          <a:spLocks noChangeShapeType="1"/>
        </xdr:cNvSpPr>
      </xdr:nvSpPr>
      <xdr:spPr bwMode="auto">
        <a:xfrm flipV="1">
          <a:off x="29489400" y="2562225"/>
          <a:ext cx="400050"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76200</xdr:colOff>
      <xdr:row>15</xdr:row>
      <xdr:rowOff>95250</xdr:rowOff>
    </xdr:from>
    <xdr:to>
      <xdr:col>45</xdr:col>
      <xdr:colOff>0</xdr:colOff>
      <xdr:row>20</xdr:row>
      <xdr:rowOff>66675</xdr:rowOff>
    </xdr:to>
    <xdr:sp macro="" textlink="">
      <xdr:nvSpPr>
        <xdr:cNvPr id="1066405" name="Line 151">
          <a:extLst>
            <a:ext uri="{FF2B5EF4-FFF2-40B4-BE49-F238E27FC236}">
              <a16:creationId xmlns:a16="http://schemas.microsoft.com/office/drawing/2014/main" id="{00000000-0008-0000-0C00-0000A5451000}"/>
            </a:ext>
          </a:extLst>
        </xdr:cNvPr>
        <xdr:cNvSpPr>
          <a:spLocks noChangeShapeType="1"/>
        </xdr:cNvSpPr>
      </xdr:nvSpPr>
      <xdr:spPr bwMode="auto">
        <a:xfrm>
          <a:off x="29498925" y="3409950"/>
          <a:ext cx="371475"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76200</xdr:colOff>
      <xdr:row>16</xdr:row>
      <xdr:rowOff>142875</xdr:rowOff>
    </xdr:from>
    <xdr:to>
      <xdr:col>45</xdr:col>
      <xdr:colOff>9525</xdr:colOff>
      <xdr:row>21</xdr:row>
      <xdr:rowOff>76200</xdr:rowOff>
    </xdr:to>
    <xdr:sp macro="" textlink="">
      <xdr:nvSpPr>
        <xdr:cNvPr id="1066406" name="Line 152">
          <a:extLst>
            <a:ext uri="{FF2B5EF4-FFF2-40B4-BE49-F238E27FC236}">
              <a16:creationId xmlns:a16="http://schemas.microsoft.com/office/drawing/2014/main" id="{00000000-0008-0000-0C00-0000A6451000}"/>
            </a:ext>
          </a:extLst>
        </xdr:cNvPr>
        <xdr:cNvSpPr>
          <a:spLocks noChangeShapeType="1"/>
        </xdr:cNvSpPr>
      </xdr:nvSpPr>
      <xdr:spPr bwMode="auto">
        <a:xfrm flipV="1">
          <a:off x="29498925" y="3638550"/>
          <a:ext cx="381000"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xdr:colOff>
      <xdr:row>21</xdr:row>
      <xdr:rowOff>76200</xdr:rowOff>
    </xdr:from>
    <xdr:to>
      <xdr:col>44</xdr:col>
      <xdr:colOff>438150</xdr:colOff>
      <xdr:row>25</xdr:row>
      <xdr:rowOff>161925</xdr:rowOff>
    </xdr:to>
    <xdr:sp macro="" textlink="">
      <xdr:nvSpPr>
        <xdr:cNvPr id="1066407" name="Line 153">
          <a:extLst>
            <a:ext uri="{FF2B5EF4-FFF2-40B4-BE49-F238E27FC236}">
              <a16:creationId xmlns:a16="http://schemas.microsoft.com/office/drawing/2014/main" id="{00000000-0008-0000-0C00-0000A7451000}"/>
            </a:ext>
          </a:extLst>
        </xdr:cNvPr>
        <xdr:cNvSpPr>
          <a:spLocks noChangeShapeType="1"/>
        </xdr:cNvSpPr>
      </xdr:nvSpPr>
      <xdr:spPr bwMode="auto">
        <a:xfrm>
          <a:off x="29508450" y="4476750"/>
          <a:ext cx="352425" cy="809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57150</xdr:colOff>
      <xdr:row>22</xdr:row>
      <xdr:rowOff>104775</xdr:rowOff>
    </xdr:from>
    <xdr:to>
      <xdr:col>45</xdr:col>
      <xdr:colOff>9525</xdr:colOff>
      <xdr:row>27</xdr:row>
      <xdr:rowOff>57150</xdr:rowOff>
    </xdr:to>
    <xdr:sp macro="" textlink="">
      <xdr:nvSpPr>
        <xdr:cNvPr id="1066408" name="Line 154">
          <a:extLst>
            <a:ext uri="{FF2B5EF4-FFF2-40B4-BE49-F238E27FC236}">
              <a16:creationId xmlns:a16="http://schemas.microsoft.com/office/drawing/2014/main" id="{00000000-0008-0000-0C00-0000A8451000}"/>
            </a:ext>
          </a:extLst>
        </xdr:cNvPr>
        <xdr:cNvSpPr>
          <a:spLocks noChangeShapeType="1"/>
        </xdr:cNvSpPr>
      </xdr:nvSpPr>
      <xdr:spPr bwMode="auto">
        <a:xfrm flipV="1">
          <a:off x="29479875" y="4686300"/>
          <a:ext cx="400050" cy="857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57150</xdr:colOff>
      <xdr:row>27</xdr:row>
      <xdr:rowOff>38100</xdr:rowOff>
    </xdr:from>
    <xdr:to>
      <xdr:col>45</xdr:col>
      <xdr:colOff>0</xdr:colOff>
      <xdr:row>32</xdr:row>
      <xdr:rowOff>9525</xdr:rowOff>
    </xdr:to>
    <xdr:sp macro="" textlink="">
      <xdr:nvSpPr>
        <xdr:cNvPr id="1066409" name="Line 155">
          <a:extLst>
            <a:ext uri="{FF2B5EF4-FFF2-40B4-BE49-F238E27FC236}">
              <a16:creationId xmlns:a16="http://schemas.microsoft.com/office/drawing/2014/main" id="{00000000-0008-0000-0C00-0000A9451000}"/>
            </a:ext>
          </a:extLst>
        </xdr:cNvPr>
        <xdr:cNvSpPr>
          <a:spLocks noChangeShapeType="1"/>
        </xdr:cNvSpPr>
      </xdr:nvSpPr>
      <xdr:spPr bwMode="auto">
        <a:xfrm>
          <a:off x="29479875" y="5524500"/>
          <a:ext cx="390525"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57150</xdr:colOff>
      <xdr:row>28</xdr:row>
      <xdr:rowOff>152400</xdr:rowOff>
    </xdr:from>
    <xdr:to>
      <xdr:col>45</xdr:col>
      <xdr:colOff>9525</xdr:colOff>
      <xdr:row>33</xdr:row>
      <xdr:rowOff>104775</xdr:rowOff>
    </xdr:to>
    <xdr:sp macro="" textlink="">
      <xdr:nvSpPr>
        <xdr:cNvPr id="1066410" name="Line 156">
          <a:extLst>
            <a:ext uri="{FF2B5EF4-FFF2-40B4-BE49-F238E27FC236}">
              <a16:creationId xmlns:a16="http://schemas.microsoft.com/office/drawing/2014/main" id="{00000000-0008-0000-0C00-0000AA451000}"/>
            </a:ext>
          </a:extLst>
        </xdr:cNvPr>
        <xdr:cNvSpPr>
          <a:spLocks noChangeShapeType="1"/>
        </xdr:cNvSpPr>
      </xdr:nvSpPr>
      <xdr:spPr bwMode="auto">
        <a:xfrm flipV="1">
          <a:off x="29479875" y="5819775"/>
          <a:ext cx="400050" cy="857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57150</xdr:colOff>
      <xdr:row>33</xdr:row>
      <xdr:rowOff>104775</xdr:rowOff>
    </xdr:from>
    <xdr:to>
      <xdr:col>45</xdr:col>
      <xdr:colOff>0</xdr:colOff>
      <xdr:row>37</xdr:row>
      <xdr:rowOff>171450</xdr:rowOff>
    </xdr:to>
    <xdr:sp macro="" textlink="">
      <xdr:nvSpPr>
        <xdr:cNvPr id="1066411" name="Line 158">
          <a:extLst>
            <a:ext uri="{FF2B5EF4-FFF2-40B4-BE49-F238E27FC236}">
              <a16:creationId xmlns:a16="http://schemas.microsoft.com/office/drawing/2014/main" id="{00000000-0008-0000-0C00-0000AB451000}"/>
            </a:ext>
          </a:extLst>
        </xdr:cNvPr>
        <xdr:cNvSpPr>
          <a:spLocks noChangeShapeType="1"/>
        </xdr:cNvSpPr>
      </xdr:nvSpPr>
      <xdr:spPr bwMode="auto">
        <a:xfrm>
          <a:off x="29479875" y="6677025"/>
          <a:ext cx="390525" cy="7905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66675</xdr:colOff>
      <xdr:row>11</xdr:row>
      <xdr:rowOff>0</xdr:rowOff>
    </xdr:from>
    <xdr:to>
      <xdr:col>48</xdr:col>
      <xdr:colOff>19050</xdr:colOff>
      <xdr:row>15</xdr:row>
      <xdr:rowOff>104775</xdr:rowOff>
    </xdr:to>
    <xdr:sp macro="" textlink="">
      <xdr:nvSpPr>
        <xdr:cNvPr id="1066412" name="Line 163">
          <a:extLst>
            <a:ext uri="{FF2B5EF4-FFF2-40B4-BE49-F238E27FC236}">
              <a16:creationId xmlns:a16="http://schemas.microsoft.com/office/drawing/2014/main" id="{00000000-0008-0000-0C00-0000AC451000}"/>
            </a:ext>
          </a:extLst>
        </xdr:cNvPr>
        <xdr:cNvSpPr>
          <a:spLocks noChangeShapeType="1"/>
        </xdr:cNvSpPr>
      </xdr:nvSpPr>
      <xdr:spPr bwMode="auto">
        <a:xfrm flipV="1">
          <a:off x="31651575" y="2590800"/>
          <a:ext cx="361950" cy="8286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76200</xdr:colOff>
      <xdr:row>21</xdr:row>
      <xdr:rowOff>76200</xdr:rowOff>
    </xdr:from>
    <xdr:to>
      <xdr:col>48</xdr:col>
      <xdr:colOff>0</xdr:colOff>
      <xdr:row>26</xdr:row>
      <xdr:rowOff>9525</xdr:rowOff>
    </xdr:to>
    <xdr:sp macro="" textlink="">
      <xdr:nvSpPr>
        <xdr:cNvPr id="1066413" name="Line 164">
          <a:extLst>
            <a:ext uri="{FF2B5EF4-FFF2-40B4-BE49-F238E27FC236}">
              <a16:creationId xmlns:a16="http://schemas.microsoft.com/office/drawing/2014/main" id="{00000000-0008-0000-0C00-0000AD451000}"/>
            </a:ext>
          </a:extLst>
        </xdr:cNvPr>
        <xdr:cNvSpPr>
          <a:spLocks noChangeShapeType="1"/>
        </xdr:cNvSpPr>
      </xdr:nvSpPr>
      <xdr:spPr bwMode="auto">
        <a:xfrm>
          <a:off x="31661100" y="4476750"/>
          <a:ext cx="333375" cy="838200"/>
        </a:xfrm>
        <a:prstGeom prst="line">
          <a:avLst/>
        </a:prstGeom>
        <a:noFill/>
        <a:ln w="19050">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66675</xdr:colOff>
      <xdr:row>22</xdr:row>
      <xdr:rowOff>171450</xdr:rowOff>
    </xdr:from>
    <xdr:to>
      <xdr:col>48</xdr:col>
      <xdr:colOff>0</xdr:colOff>
      <xdr:row>27</xdr:row>
      <xdr:rowOff>114300</xdr:rowOff>
    </xdr:to>
    <xdr:sp macro="" textlink="">
      <xdr:nvSpPr>
        <xdr:cNvPr id="1066414" name="Line 165">
          <a:extLst>
            <a:ext uri="{FF2B5EF4-FFF2-40B4-BE49-F238E27FC236}">
              <a16:creationId xmlns:a16="http://schemas.microsoft.com/office/drawing/2014/main" id="{00000000-0008-0000-0C00-0000AE451000}"/>
            </a:ext>
          </a:extLst>
        </xdr:cNvPr>
        <xdr:cNvSpPr>
          <a:spLocks noChangeShapeType="1"/>
        </xdr:cNvSpPr>
      </xdr:nvSpPr>
      <xdr:spPr bwMode="auto">
        <a:xfrm flipV="1">
          <a:off x="31651575" y="4752975"/>
          <a:ext cx="342900" cy="8477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76200</xdr:colOff>
      <xdr:row>52</xdr:row>
      <xdr:rowOff>0</xdr:rowOff>
    </xdr:from>
    <xdr:to>
      <xdr:col>47</xdr:col>
      <xdr:colOff>76200</xdr:colOff>
      <xdr:row>52</xdr:row>
      <xdr:rowOff>0</xdr:rowOff>
    </xdr:to>
    <xdr:sp macro="" textlink="">
      <xdr:nvSpPr>
        <xdr:cNvPr id="1066415" name="Line 176">
          <a:extLst>
            <a:ext uri="{FF2B5EF4-FFF2-40B4-BE49-F238E27FC236}">
              <a16:creationId xmlns:a16="http://schemas.microsoft.com/office/drawing/2014/main" id="{00000000-0008-0000-0C00-0000AF451000}"/>
            </a:ext>
          </a:extLst>
        </xdr:cNvPr>
        <xdr:cNvSpPr>
          <a:spLocks noChangeShapeType="1"/>
        </xdr:cNvSpPr>
      </xdr:nvSpPr>
      <xdr:spPr bwMode="auto">
        <a:xfrm>
          <a:off x="31661100" y="1001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76200</xdr:colOff>
      <xdr:row>52</xdr:row>
      <xdr:rowOff>0</xdr:rowOff>
    </xdr:from>
    <xdr:to>
      <xdr:col>47</xdr:col>
      <xdr:colOff>76200</xdr:colOff>
      <xdr:row>52</xdr:row>
      <xdr:rowOff>0</xdr:rowOff>
    </xdr:to>
    <xdr:sp macro="" textlink="">
      <xdr:nvSpPr>
        <xdr:cNvPr id="1066416" name="Line 210">
          <a:extLst>
            <a:ext uri="{FF2B5EF4-FFF2-40B4-BE49-F238E27FC236}">
              <a16:creationId xmlns:a16="http://schemas.microsoft.com/office/drawing/2014/main" id="{00000000-0008-0000-0C00-0000B0451000}"/>
            </a:ext>
          </a:extLst>
        </xdr:cNvPr>
        <xdr:cNvSpPr>
          <a:spLocks noChangeShapeType="1"/>
        </xdr:cNvSpPr>
      </xdr:nvSpPr>
      <xdr:spPr bwMode="auto">
        <a:xfrm>
          <a:off x="31661100" y="1001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57150</xdr:colOff>
      <xdr:row>33</xdr:row>
      <xdr:rowOff>76200</xdr:rowOff>
    </xdr:from>
    <xdr:to>
      <xdr:col>47</xdr:col>
      <xdr:colOff>400050</xdr:colOff>
      <xdr:row>38</xdr:row>
      <xdr:rowOff>0</xdr:rowOff>
    </xdr:to>
    <xdr:sp macro="" textlink="">
      <xdr:nvSpPr>
        <xdr:cNvPr id="1066417" name="Line 259">
          <a:extLst>
            <a:ext uri="{FF2B5EF4-FFF2-40B4-BE49-F238E27FC236}">
              <a16:creationId xmlns:a16="http://schemas.microsoft.com/office/drawing/2014/main" id="{00000000-0008-0000-0C00-0000B1451000}"/>
            </a:ext>
          </a:extLst>
        </xdr:cNvPr>
        <xdr:cNvSpPr>
          <a:spLocks noChangeShapeType="1"/>
        </xdr:cNvSpPr>
      </xdr:nvSpPr>
      <xdr:spPr bwMode="auto">
        <a:xfrm>
          <a:off x="31642050" y="6648450"/>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38</xdr:row>
      <xdr:rowOff>0</xdr:rowOff>
    </xdr:from>
    <xdr:to>
      <xdr:col>44</xdr:col>
      <xdr:colOff>76200</xdr:colOff>
      <xdr:row>38</xdr:row>
      <xdr:rowOff>9525</xdr:rowOff>
    </xdr:to>
    <xdr:sp macro="" textlink="">
      <xdr:nvSpPr>
        <xdr:cNvPr id="1066418" name="Line 283">
          <a:extLst>
            <a:ext uri="{FF2B5EF4-FFF2-40B4-BE49-F238E27FC236}">
              <a16:creationId xmlns:a16="http://schemas.microsoft.com/office/drawing/2014/main" id="{00000000-0008-0000-0C00-0000B2451000}"/>
            </a:ext>
          </a:extLst>
        </xdr:cNvPr>
        <xdr:cNvSpPr>
          <a:spLocks noChangeShapeType="1"/>
        </xdr:cNvSpPr>
      </xdr:nvSpPr>
      <xdr:spPr bwMode="auto">
        <a:xfrm>
          <a:off x="2942272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66675</xdr:colOff>
      <xdr:row>38</xdr:row>
      <xdr:rowOff>9525</xdr:rowOff>
    </xdr:from>
    <xdr:to>
      <xdr:col>44</xdr:col>
      <xdr:colOff>66675</xdr:colOff>
      <xdr:row>41</xdr:row>
      <xdr:rowOff>19050</xdr:rowOff>
    </xdr:to>
    <xdr:sp macro="" textlink="">
      <xdr:nvSpPr>
        <xdr:cNvPr id="1066419" name="Line 284">
          <a:extLst>
            <a:ext uri="{FF2B5EF4-FFF2-40B4-BE49-F238E27FC236}">
              <a16:creationId xmlns:a16="http://schemas.microsoft.com/office/drawing/2014/main" id="{00000000-0008-0000-0C00-0000B3451000}"/>
            </a:ext>
          </a:extLst>
        </xdr:cNvPr>
        <xdr:cNvSpPr>
          <a:spLocks noChangeShapeType="1"/>
        </xdr:cNvSpPr>
      </xdr:nvSpPr>
      <xdr:spPr bwMode="auto">
        <a:xfrm>
          <a:off x="29489400"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9525</xdr:colOff>
      <xdr:row>41</xdr:row>
      <xdr:rowOff>0</xdr:rowOff>
    </xdr:from>
    <xdr:to>
      <xdr:col>44</xdr:col>
      <xdr:colOff>66675</xdr:colOff>
      <xdr:row>41</xdr:row>
      <xdr:rowOff>9525</xdr:rowOff>
    </xdr:to>
    <xdr:sp macro="" textlink="">
      <xdr:nvSpPr>
        <xdr:cNvPr id="1066420" name="Line 285">
          <a:extLst>
            <a:ext uri="{FF2B5EF4-FFF2-40B4-BE49-F238E27FC236}">
              <a16:creationId xmlns:a16="http://schemas.microsoft.com/office/drawing/2014/main" id="{00000000-0008-0000-0C00-0000B4451000}"/>
            </a:ext>
          </a:extLst>
        </xdr:cNvPr>
        <xdr:cNvSpPr>
          <a:spLocks noChangeShapeType="1"/>
        </xdr:cNvSpPr>
      </xdr:nvSpPr>
      <xdr:spPr bwMode="auto">
        <a:xfrm flipV="1">
          <a:off x="2943225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0</xdr:colOff>
      <xdr:row>38</xdr:row>
      <xdr:rowOff>0</xdr:rowOff>
    </xdr:from>
    <xdr:to>
      <xdr:col>47</xdr:col>
      <xdr:colOff>76200</xdr:colOff>
      <xdr:row>38</xdr:row>
      <xdr:rowOff>9525</xdr:rowOff>
    </xdr:to>
    <xdr:sp macro="" textlink="">
      <xdr:nvSpPr>
        <xdr:cNvPr id="1066421" name="Line 286">
          <a:extLst>
            <a:ext uri="{FF2B5EF4-FFF2-40B4-BE49-F238E27FC236}">
              <a16:creationId xmlns:a16="http://schemas.microsoft.com/office/drawing/2014/main" id="{00000000-0008-0000-0C00-0000B5451000}"/>
            </a:ext>
          </a:extLst>
        </xdr:cNvPr>
        <xdr:cNvSpPr>
          <a:spLocks noChangeShapeType="1"/>
        </xdr:cNvSpPr>
      </xdr:nvSpPr>
      <xdr:spPr bwMode="auto">
        <a:xfrm>
          <a:off x="3158490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66675</xdr:colOff>
      <xdr:row>38</xdr:row>
      <xdr:rowOff>9525</xdr:rowOff>
    </xdr:from>
    <xdr:to>
      <xdr:col>47</xdr:col>
      <xdr:colOff>66675</xdr:colOff>
      <xdr:row>41</xdr:row>
      <xdr:rowOff>19050</xdr:rowOff>
    </xdr:to>
    <xdr:sp macro="" textlink="">
      <xdr:nvSpPr>
        <xdr:cNvPr id="1066422" name="Line 287">
          <a:extLst>
            <a:ext uri="{FF2B5EF4-FFF2-40B4-BE49-F238E27FC236}">
              <a16:creationId xmlns:a16="http://schemas.microsoft.com/office/drawing/2014/main" id="{00000000-0008-0000-0C00-0000B6451000}"/>
            </a:ext>
          </a:extLst>
        </xdr:cNvPr>
        <xdr:cNvSpPr>
          <a:spLocks noChangeShapeType="1"/>
        </xdr:cNvSpPr>
      </xdr:nvSpPr>
      <xdr:spPr bwMode="auto">
        <a:xfrm>
          <a:off x="3165157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9525</xdr:colOff>
      <xdr:row>41</xdr:row>
      <xdr:rowOff>0</xdr:rowOff>
    </xdr:from>
    <xdr:to>
      <xdr:col>47</xdr:col>
      <xdr:colOff>66675</xdr:colOff>
      <xdr:row>41</xdr:row>
      <xdr:rowOff>9525</xdr:rowOff>
    </xdr:to>
    <xdr:sp macro="" textlink="">
      <xdr:nvSpPr>
        <xdr:cNvPr id="1066423" name="Line 288">
          <a:extLst>
            <a:ext uri="{FF2B5EF4-FFF2-40B4-BE49-F238E27FC236}">
              <a16:creationId xmlns:a16="http://schemas.microsoft.com/office/drawing/2014/main" id="{00000000-0008-0000-0C00-0000B7451000}"/>
            </a:ext>
          </a:extLst>
        </xdr:cNvPr>
        <xdr:cNvSpPr>
          <a:spLocks noChangeShapeType="1"/>
        </xdr:cNvSpPr>
      </xdr:nvSpPr>
      <xdr:spPr bwMode="auto">
        <a:xfrm flipV="1">
          <a:off x="3159442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0</xdr:colOff>
      <xdr:row>38</xdr:row>
      <xdr:rowOff>0</xdr:rowOff>
    </xdr:from>
    <xdr:to>
      <xdr:col>50</xdr:col>
      <xdr:colOff>76200</xdr:colOff>
      <xdr:row>38</xdr:row>
      <xdr:rowOff>9525</xdr:rowOff>
    </xdr:to>
    <xdr:sp macro="" textlink="">
      <xdr:nvSpPr>
        <xdr:cNvPr id="1066424" name="Line 289">
          <a:extLst>
            <a:ext uri="{FF2B5EF4-FFF2-40B4-BE49-F238E27FC236}">
              <a16:creationId xmlns:a16="http://schemas.microsoft.com/office/drawing/2014/main" id="{00000000-0008-0000-0C00-0000B8451000}"/>
            </a:ext>
          </a:extLst>
        </xdr:cNvPr>
        <xdr:cNvSpPr>
          <a:spLocks noChangeShapeType="1"/>
        </xdr:cNvSpPr>
      </xdr:nvSpPr>
      <xdr:spPr bwMode="auto">
        <a:xfrm>
          <a:off x="3368040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38</xdr:row>
      <xdr:rowOff>9525</xdr:rowOff>
    </xdr:from>
    <xdr:to>
      <xdr:col>50</xdr:col>
      <xdr:colOff>66675</xdr:colOff>
      <xdr:row>41</xdr:row>
      <xdr:rowOff>19050</xdr:rowOff>
    </xdr:to>
    <xdr:sp macro="" textlink="">
      <xdr:nvSpPr>
        <xdr:cNvPr id="1066425" name="Line 290">
          <a:extLst>
            <a:ext uri="{FF2B5EF4-FFF2-40B4-BE49-F238E27FC236}">
              <a16:creationId xmlns:a16="http://schemas.microsoft.com/office/drawing/2014/main" id="{00000000-0008-0000-0C00-0000B9451000}"/>
            </a:ext>
          </a:extLst>
        </xdr:cNvPr>
        <xdr:cNvSpPr>
          <a:spLocks noChangeShapeType="1"/>
        </xdr:cNvSpPr>
      </xdr:nvSpPr>
      <xdr:spPr bwMode="auto">
        <a:xfrm>
          <a:off x="3374707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9525</xdr:colOff>
      <xdr:row>41</xdr:row>
      <xdr:rowOff>0</xdr:rowOff>
    </xdr:from>
    <xdr:to>
      <xdr:col>50</xdr:col>
      <xdr:colOff>66675</xdr:colOff>
      <xdr:row>41</xdr:row>
      <xdr:rowOff>9525</xdr:rowOff>
    </xdr:to>
    <xdr:sp macro="" textlink="">
      <xdr:nvSpPr>
        <xdr:cNvPr id="1066426" name="Line 291">
          <a:extLst>
            <a:ext uri="{FF2B5EF4-FFF2-40B4-BE49-F238E27FC236}">
              <a16:creationId xmlns:a16="http://schemas.microsoft.com/office/drawing/2014/main" id="{00000000-0008-0000-0C00-0000BA451000}"/>
            </a:ext>
          </a:extLst>
        </xdr:cNvPr>
        <xdr:cNvSpPr>
          <a:spLocks noChangeShapeType="1"/>
        </xdr:cNvSpPr>
      </xdr:nvSpPr>
      <xdr:spPr bwMode="auto">
        <a:xfrm flipV="1">
          <a:off x="3368992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0</xdr:colOff>
      <xdr:row>38</xdr:row>
      <xdr:rowOff>0</xdr:rowOff>
    </xdr:from>
    <xdr:to>
      <xdr:col>50</xdr:col>
      <xdr:colOff>76200</xdr:colOff>
      <xdr:row>38</xdr:row>
      <xdr:rowOff>9525</xdr:rowOff>
    </xdr:to>
    <xdr:sp macro="" textlink="">
      <xdr:nvSpPr>
        <xdr:cNvPr id="1066427" name="Line 292">
          <a:extLst>
            <a:ext uri="{FF2B5EF4-FFF2-40B4-BE49-F238E27FC236}">
              <a16:creationId xmlns:a16="http://schemas.microsoft.com/office/drawing/2014/main" id="{00000000-0008-0000-0C00-0000BB451000}"/>
            </a:ext>
          </a:extLst>
        </xdr:cNvPr>
        <xdr:cNvSpPr>
          <a:spLocks noChangeShapeType="1"/>
        </xdr:cNvSpPr>
      </xdr:nvSpPr>
      <xdr:spPr bwMode="auto">
        <a:xfrm>
          <a:off x="3368040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38</xdr:row>
      <xdr:rowOff>9525</xdr:rowOff>
    </xdr:from>
    <xdr:to>
      <xdr:col>50</xdr:col>
      <xdr:colOff>66675</xdr:colOff>
      <xdr:row>41</xdr:row>
      <xdr:rowOff>19050</xdr:rowOff>
    </xdr:to>
    <xdr:sp macro="" textlink="">
      <xdr:nvSpPr>
        <xdr:cNvPr id="1066428" name="Line 293">
          <a:extLst>
            <a:ext uri="{FF2B5EF4-FFF2-40B4-BE49-F238E27FC236}">
              <a16:creationId xmlns:a16="http://schemas.microsoft.com/office/drawing/2014/main" id="{00000000-0008-0000-0C00-0000BC451000}"/>
            </a:ext>
          </a:extLst>
        </xdr:cNvPr>
        <xdr:cNvSpPr>
          <a:spLocks noChangeShapeType="1"/>
        </xdr:cNvSpPr>
      </xdr:nvSpPr>
      <xdr:spPr bwMode="auto">
        <a:xfrm>
          <a:off x="3374707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9525</xdr:colOff>
      <xdr:row>41</xdr:row>
      <xdr:rowOff>0</xdr:rowOff>
    </xdr:from>
    <xdr:to>
      <xdr:col>50</xdr:col>
      <xdr:colOff>66675</xdr:colOff>
      <xdr:row>41</xdr:row>
      <xdr:rowOff>9525</xdr:rowOff>
    </xdr:to>
    <xdr:sp macro="" textlink="">
      <xdr:nvSpPr>
        <xdr:cNvPr id="1066429" name="Line 294">
          <a:extLst>
            <a:ext uri="{FF2B5EF4-FFF2-40B4-BE49-F238E27FC236}">
              <a16:creationId xmlns:a16="http://schemas.microsoft.com/office/drawing/2014/main" id="{00000000-0008-0000-0C00-0000BD451000}"/>
            </a:ext>
          </a:extLst>
        </xdr:cNvPr>
        <xdr:cNvSpPr>
          <a:spLocks noChangeShapeType="1"/>
        </xdr:cNvSpPr>
      </xdr:nvSpPr>
      <xdr:spPr bwMode="auto">
        <a:xfrm flipV="1">
          <a:off x="3368992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76200</xdr:colOff>
      <xdr:row>39</xdr:row>
      <xdr:rowOff>66675</xdr:rowOff>
    </xdr:from>
    <xdr:to>
      <xdr:col>51</xdr:col>
      <xdr:colOff>9525</xdr:colOff>
      <xdr:row>41</xdr:row>
      <xdr:rowOff>19050</xdr:rowOff>
    </xdr:to>
    <xdr:sp macro="" textlink="">
      <xdr:nvSpPr>
        <xdr:cNvPr id="1066430" name="Line 295">
          <a:extLst>
            <a:ext uri="{FF2B5EF4-FFF2-40B4-BE49-F238E27FC236}">
              <a16:creationId xmlns:a16="http://schemas.microsoft.com/office/drawing/2014/main" id="{00000000-0008-0000-0C00-0000BE451000}"/>
            </a:ext>
          </a:extLst>
        </xdr:cNvPr>
        <xdr:cNvSpPr>
          <a:spLocks noChangeShapeType="1"/>
        </xdr:cNvSpPr>
      </xdr:nvSpPr>
      <xdr:spPr bwMode="auto">
        <a:xfrm>
          <a:off x="33756600" y="77247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0</xdr:colOff>
      <xdr:row>38</xdr:row>
      <xdr:rowOff>0</xdr:rowOff>
    </xdr:from>
    <xdr:to>
      <xdr:col>50</xdr:col>
      <xdr:colOff>76200</xdr:colOff>
      <xdr:row>38</xdr:row>
      <xdr:rowOff>9525</xdr:rowOff>
    </xdr:to>
    <xdr:sp macro="" textlink="">
      <xdr:nvSpPr>
        <xdr:cNvPr id="1066431" name="Line 296">
          <a:extLst>
            <a:ext uri="{FF2B5EF4-FFF2-40B4-BE49-F238E27FC236}">
              <a16:creationId xmlns:a16="http://schemas.microsoft.com/office/drawing/2014/main" id="{00000000-0008-0000-0C00-0000BF451000}"/>
            </a:ext>
          </a:extLst>
        </xdr:cNvPr>
        <xdr:cNvSpPr>
          <a:spLocks noChangeShapeType="1"/>
        </xdr:cNvSpPr>
      </xdr:nvSpPr>
      <xdr:spPr bwMode="auto">
        <a:xfrm>
          <a:off x="3368040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38</xdr:row>
      <xdr:rowOff>9525</xdr:rowOff>
    </xdr:from>
    <xdr:to>
      <xdr:col>50</xdr:col>
      <xdr:colOff>66675</xdr:colOff>
      <xdr:row>41</xdr:row>
      <xdr:rowOff>19050</xdr:rowOff>
    </xdr:to>
    <xdr:sp macro="" textlink="">
      <xdr:nvSpPr>
        <xdr:cNvPr id="1066432" name="Line 297">
          <a:extLst>
            <a:ext uri="{FF2B5EF4-FFF2-40B4-BE49-F238E27FC236}">
              <a16:creationId xmlns:a16="http://schemas.microsoft.com/office/drawing/2014/main" id="{00000000-0008-0000-0C00-0000C0451000}"/>
            </a:ext>
          </a:extLst>
        </xdr:cNvPr>
        <xdr:cNvSpPr>
          <a:spLocks noChangeShapeType="1"/>
        </xdr:cNvSpPr>
      </xdr:nvSpPr>
      <xdr:spPr bwMode="auto">
        <a:xfrm>
          <a:off x="3374707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9525</xdr:colOff>
      <xdr:row>41</xdr:row>
      <xdr:rowOff>0</xdr:rowOff>
    </xdr:from>
    <xdr:to>
      <xdr:col>50</xdr:col>
      <xdr:colOff>66675</xdr:colOff>
      <xdr:row>41</xdr:row>
      <xdr:rowOff>9525</xdr:rowOff>
    </xdr:to>
    <xdr:sp macro="" textlink="">
      <xdr:nvSpPr>
        <xdr:cNvPr id="1066433" name="Line 298">
          <a:extLst>
            <a:ext uri="{FF2B5EF4-FFF2-40B4-BE49-F238E27FC236}">
              <a16:creationId xmlns:a16="http://schemas.microsoft.com/office/drawing/2014/main" id="{00000000-0008-0000-0C00-0000C1451000}"/>
            </a:ext>
          </a:extLst>
        </xdr:cNvPr>
        <xdr:cNvSpPr>
          <a:spLocks noChangeShapeType="1"/>
        </xdr:cNvSpPr>
      </xdr:nvSpPr>
      <xdr:spPr bwMode="auto">
        <a:xfrm flipV="1">
          <a:off x="3368992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57150</xdr:colOff>
      <xdr:row>37</xdr:row>
      <xdr:rowOff>171450</xdr:rowOff>
    </xdr:from>
    <xdr:to>
      <xdr:col>51</xdr:col>
      <xdr:colOff>9525</xdr:colOff>
      <xdr:row>39</xdr:row>
      <xdr:rowOff>47625</xdr:rowOff>
    </xdr:to>
    <xdr:sp macro="" textlink="">
      <xdr:nvSpPr>
        <xdr:cNvPr id="1066434" name="Line 299">
          <a:extLst>
            <a:ext uri="{FF2B5EF4-FFF2-40B4-BE49-F238E27FC236}">
              <a16:creationId xmlns:a16="http://schemas.microsoft.com/office/drawing/2014/main" id="{00000000-0008-0000-0C00-0000C2451000}"/>
            </a:ext>
          </a:extLst>
        </xdr:cNvPr>
        <xdr:cNvSpPr>
          <a:spLocks noChangeShapeType="1"/>
        </xdr:cNvSpPr>
      </xdr:nvSpPr>
      <xdr:spPr bwMode="auto">
        <a:xfrm flipV="1">
          <a:off x="33737550" y="7467600"/>
          <a:ext cx="3619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0</xdr:colOff>
      <xdr:row>38</xdr:row>
      <xdr:rowOff>0</xdr:rowOff>
    </xdr:from>
    <xdr:to>
      <xdr:col>47</xdr:col>
      <xdr:colOff>76200</xdr:colOff>
      <xdr:row>38</xdr:row>
      <xdr:rowOff>9525</xdr:rowOff>
    </xdr:to>
    <xdr:sp macro="" textlink="">
      <xdr:nvSpPr>
        <xdr:cNvPr id="1066435" name="Line 300">
          <a:extLst>
            <a:ext uri="{FF2B5EF4-FFF2-40B4-BE49-F238E27FC236}">
              <a16:creationId xmlns:a16="http://schemas.microsoft.com/office/drawing/2014/main" id="{00000000-0008-0000-0C00-0000C3451000}"/>
            </a:ext>
          </a:extLst>
        </xdr:cNvPr>
        <xdr:cNvSpPr>
          <a:spLocks noChangeShapeType="1"/>
        </xdr:cNvSpPr>
      </xdr:nvSpPr>
      <xdr:spPr bwMode="auto">
        <a:xfrm>
          <a:off x="3158490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66675</xdr:colOff>
      <xdr:row>38</xdr:row>
      <xdr:rowOff>9525</xdr:rowOff>
    </xdr:from>
    <xdr:to>
      <xdr:col>47</xdr:col>
      <xdr:colOff>66675</xdr:colOff>
      <xdr:row>41</xdr:row>
      <xdr:rowOff>19050</xdr:rowOff>
    </xdr:to>
    <xdr:sp macro="" textlink="">
      <xdr:nvSpPr>
        <xdr:cNvPr id="1066436" name="Line 301">
          <a:extLst>
            <a:ext uri="{FF2B5EF4-FFF2-40B4-BE49-F238E27FC236}">
              <a16:creationId xmlns:a16="http://schemas.microsoft.com/office/drawing/2014/main" id="{00000000-0008-0000-0C00-0000C4451000}"/>
            </a:ext>
          </a:extLst>
        </xdr:cNvPr>
        <xdr:cNvSpPr>
          <a:spLocks noChangeShapeType="1"/>
        </xdr:cNvSpPr>
      </xdr:nvSpPr>
      <xdr:spPr bwMode="auto">
        <a:xfrm>
          <a:off x="3165157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9525</xdr:colOff>
      <xdr:row>41</xdr:row>
      <xdr:rowOff>0</xdr:rowOff>
    </xdr:from>
    <xdr:to>
      <xdr:col>47</xdr:col>
      <xdr:colOff>66675</xdr:colOff>
      <xdr:row>41</xdr:row>
      <xdr:rowOff>9525</xdr:rowOff>
    </xdr:to>
    <xdr:sp macro="" textlink="">
      <xdr:nvSpPr>
        <xdr:cNvPr id="1066437" name="Line 302">
          <a:extLst>
            <a:ext uri="{FF2B5EF4-FFF2-40B4-BE49-F238E27FC236}">
              <a16:creationId xmlns:a16="http://schemas.microsoft.com/office/drawing/2014/main" id="{00000000-0008-0000-0C00-0000C5451000}"/>
            </a:ext>
          </a:extLst>
        </xdr:cNvPr>
        <xdr:cNvSpPr>
          <a:spLocks noChangeShapeType="1"/>
        </xdr:cNvSpPr>
      </xdr:nvSpPr>
      <xdr:spPr bwMode="auto">
        <a:xfrm flipV="1">
          <a:off x="3159442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0</xdr:colOff>
      <xdr:row>44</xdr:row>
      <xdr:rowOff>0</xdr:rowOff>
    </xdr:from>
    <xdr:to>
      <xdr:col>44</xdr:col>
      <xdr:colOff>76200</xdr:colOff>
      <xdr:row>44</xdr:row>
      <xdr:rowOff>9525</xdr:rowOff>
    </xdr:to>
    <xdr:sp macro="" textlink="">
      <xdr:nvSpPr>
        <xdr:cNvPr id="1066438" name="Line 303">
          <a:extLst>
            <a:ext uri="{FF2B5EF4-FFF2-40B4-BE49-F238E27FC236}">
              <a16:creationId xmlns:a16="http://schemas.microsoft.com/office/drawing/2014/main" id="{00000000-0008-0000-0C00-0000C6451000}"/>
            </a:ext>
          </a:extLst>
        </xdr:cNvPr>
        <xdr:cNvSpPr>
          <a:spLocks noChangeShapeType="1"/>
        </xdr:cNvSpPr>
      </xdr:nvSpPr>
      <xdr:spPr bwMode="auto">
        <a:xfrm>
          <a:off x="2942272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66675</xdr:colOff>
      <xdr:row>44</xdr:row>
      <xdr:rowOff>9525</xdr:rowOff>
    </xdr:from>
    <xdr:to>
      <xdr:col>44</xdr:col>
      <xdr:colOff>66675</xdr:colOff>
      <xdr:row>47</xdr:row>
      <xdr:rowOff>19050</xdr:rowOff>
    </xdr:to>
    <xdr:sp macro="" textlink="">
      <xdr:nvSpPr>
        <xdr:cNvPr id="1066439" name="Line 304">
          <a:extLst>
            <a:ext uri="{FF2B5EF4-FFF2-40B4-BE49-F238E27FC236}">
              <a16:creationId xmlns:a16="http://schemas.microsoft.com/office/drawing/2014/main" id="{00000000-0008-0000-0C00-0000C7451000}"/>
            </a:ext>
          </a:extLst>
        </xdr:cNvPr>
        <xdr:cNvSpPr>
          <a:spLocks noChangeShapeType="1"/>
        </xdr:cNvSpPr>
      </xdr:nvSpPr>
      <xdr:spPr bwMode="auto">
        <a:xfrm>
          <a:off x="29489400"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9525</xdr:colOff>
      <xdr:row>47</xdr:row>
      <xdr:rowOff>0</xdr:rowOff>
    </xdr:from>
    <xdr:to>
      <xdr:col>44</xdr:col>
      <xdr:colOff>66675</xdr:colOff>
      <xdr:row>47</xdr:row>
      <xdr:rowOff>9525</xdr:rowOff>
    </xdr:to>
    <xdr:sp macro="" textlink="">
      <xdr:nvSpPr>
        <xdr:cNvPr id="1066440" name="Line 305">
          <a:extLst>
            <a:ext uri="{FF2B5EF4-FFF2-40B4-BE49-F238E27FC236}">
              <a16:creationId xmlns:a16="http://schemas.microsoft.com/office/drawing/2014/main" id="{00000000-0008-0000-0C00-0000C8451000}"/>
            </a:ext>
          </a:extLst>
        </xdr:cNvPr>
        <xdr:cNvSpPr>
          <a:spLocks noChangeShapeType="1"/>
        </xdr:cNvSpPr>
      </xdr:nvSpPr>
      <xdr:spPr bwMode="auto">
        <a:xfrm flipV="1">
          <a:off x="29432250"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0</xdr:colOff>
      <xdr:row>44</xdr:row>
      <xdr:rowOff>0</xdr:rowOff>
    </xdr:from>
    <xdr:to>
      <xdr:col>47</xdr:col>
      <xdr:colOff>76200</xdr:colOff>
      <xdr:row>44</xdr:row>
      <xdr:rowOff>9525</xdr:rowOff>
    </xdr:to>
    <xdr:sp macro="" textlink="">
      <xdr:nvSpPr>
        <xdr:cNvPr id="1066441" name="Line 306">
          <a:extLst>
            <a:ext uri="{FF2B5EF4-FFF2-40B4-BE49-F238E27FC236}">
              <a16:creationId xmlns:a16="http://schemas.microsoft.com/office/drawing/2014/main" id="{00000000-0008-0000-0C00-0000C9451000}"/>
            </a:ext>
          </a:extLst>
        </xdr:cNvPr>
        <xdr:cNvSpPr>
          <a:spLocks noChangeShapeType="1"/>
        </xdr:cNvSpPr>
      </xdr:nvSpPr>
      <xdr:spPr bwMode="auto">
        <a:xfrm>
          <a:off x="3158490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66675</xdr:colOff>
      <xdr:row>44</xdr:row>
      <xdr:rowOff>9525</xdr:rowOff>
    </xdr:from>
    <xdr:to>
      <xdr:col>47</xdr:col>
      <xdr:colOff>66675</xdr:colOff>
      <xdr:row>47</xdr:row>
      <xdr:rowOff>19050</xdr:rowOff>
    </xdr:to>
    <xdr:sp macro="" textlink="">
      <xdr:nvSpPr>
        <xdr:cNvPr id="1066442" name="Line 307">
          <a:extLst>
            <a:ext uri="{FF2B5EF4-FFF2-40B4-BE49-F238E27FC236}">
              <a16:creationId xmlns:a16="http://schemas.microsoft.com/office/drawing/2014/main" id="{00000000-0008-0000-0C00-0000CA451000}"/>
            </a:ext>
          </a:extLst>
        </xdr:cNvPr>
        <xdr:cNvSpPr>
          <a:spLocks noChangeShapeType="1"/>
        </xdr:cNvSpPr>
      </xdr:nvSpPr>
      <xdr:spPr bwMode="auto">
        <a:xfrm>
          <a:off x="31651575"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9525</xdr:colOff>
      <xdr:row>47</xdr:row>
      <xdr:rowOff>0</xdr:rowOff>
    </xdr:from>
    <xdr:to>
      <xdr:col>47</xdr:col>
      <xdr:colOff>66675</xdr:colOff>
      <xdr:row>47</xdr:row>
      <xdr:rowOff>9525</xdr:rowOff>
    </xdr:to>
    <xdr:sp macro="" textlink="">
      <xdr:nvSpPr>
        <xdr:cNvPr id="1066443" name="Line 308">
          <a:extLst>
            <a:ext uri="{FF2B5EF4-FFF2-40B4-BE49-F238E27FC236}">
              <a16:creationId xmlns:a16="http://schemas.microsoft.com/office/drawing/2014/main" id="{00000000-0008-0000-0C00-0000CB451000}"/>
            </a:ext>
          </a:extLst>
        </xdr:cNvPr>
        <xdr:cNvSpPr>
          <a:spLocks noChangeShapeType="1"/>
        </xdr:cNvSpPr>
      </xdr:nvSpPr>
      <xdr:spPr bwMode="auto">
        <a:xfrm flipV="1">
          <a:off x="3159442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0</xdr:colOff>
      <xdr:row>44</xdr:row>
      <xdr:rowOff>0</xdr:rowOff>
    </xdr:from>
    <xdr:to>
      <xdr:col>50</xdr:col>
      <xdr:colOff>76200</xdr:colOff>
      <xdr:row>44</xdr:row>
      <xdr:rowOff>9525</xdr:rowOff>
    </xdr:to>
    <xdr:sp macro="" textlink="">
      <xdr:nvSpPr>
        <xdr:cNvPr id="1066444" name="Line 309">
          <a:extLst>
            <a:ext uri="{FF2B5EF4-FFF2-40B4-BE49-F238E27FC236}">
              <a16:creationId xmlns:a16="http://schemas.microsoft.com/office/drawing/2014/main" id="{00000000-0008-0000-0C00-0000CC451000}"/>
            </a:ext>
          </a:extLst>
        </xdr:cNvPr>
        <xdr:cNvSpPr>
          <a:spLocks noChangeShapeType="1"/>
        </xdr:cNvSpPr>
      </xdr:nvSpPr>
      <xdr:spPr bwMode="auto">
        <a:xfrm>
          <a:off x="3368040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44</xdr:row>
      <xdr:rowOff>9525</xdr:rowOff>
    </xdr:from>
    <xdr:to>
      <xdr:col>50</xdr:col>
      <xdr:colOff>66675</xdr:colOff>
      <xdr:row>47</xdr:row>
      <xdr:rowOff>19050</xdr:rowOff>
    </xdr:to>
    <xdr:sp macro="" textlink="">
      <xdr:nvSpPr>
        <xdr:cNvPr id="1066445" name="Line 310">
          <a:extLst>
            <a:ext uri="{FF2B5EF4-FFF2-40B4-BE49-F238E27FC236}">
              <a16:creationId xmlns:a16="http://schemas.microsoft.com/office/drawing/2014/main" id="{00000000-0008-0000-0C00-0000CD451000}"/>
            </a:ext>
          </a:extLst>
        </xdr:cNvPr>
        <xdr:cNvSpPr>
          <a:spLocks noChangeShapeType="1"/>
        </xdr:cNvSpPr>
      </xdr:nvSpPr>
      <xdr:spPr bwMode="auto">
        <a:xfrm>
          <a:off x="33747075"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9525</xdr:colOff>
      <xdr:row>47</xdr:row>
      <xdr:rowOff>0</xdr:rowOff>
    </xdr:from>
    <xdr:to>
      <xdr:col>50</xdr:col>
      <xdr:colOff>66675</xdr:colOff>
      <xdr:row>47</xdr:row>
      <xdr:rowOff>9525</xdr:rowOff>
    </xdr:to>
    <xdr:sp macro="" textlink="">
      <xdr:nvSpPr>
        <xdr:cNvPr id="1066446" name="Line 311">
          <a:extLst>
            <a:ext uri="{FF2B5EF4-FFF2-40B4-BE49-F238E27FC236}">
              <a16:creationId xmlns:a16="http://schemas.microsoft.com/office/drawing/2014/main" id="{00000000-0008-0000-0C00-0000CE451000}"/>
            </a:ext>
          </a:extLst>
        </xdr:cNvPr>
        <xdr:cNvSpPr>
          <a:spLocks noChangeShapeType="1"/>
        </xdr:cNvSpPr>
      </xdr:nvSpPr>
      <xdr:spPr bwMode="auto">
        <a:xfrm flipV="1">
          <a:off x="3368992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0</xdr:colOff>
      <xdr:row>44</xdr:row>
      <xdr:rowOff>0</xdr:rowOff>
    </xdr:from>
    <xdr:to>
      <xdr:col>50</xdr:col>
      <xdr:colOff>76200</xdr:colOff>
      <xdr:row>44</xdr:row>
      <xdr:rowOff>9525</xdr:rowOff>
    </xdr:to>
    <xdr:sp macro="" textlink="">
      <xdr:nvSpPr>
        <xdr:cNvPr id="1066447" name="Line 312">
          <a:extLst>
            <a:ext uri="{FF2B5EF4-FFF2-40B4-BE49-F238E27FC236}">
              <a16:creationId xmlns:a16="http://schemas.microsoft.com/office/drawing/2014/main" id="{00000000-0008-0000-0C00-0000CF451000}"/>
            </a:ext>
          </a:extLst>
        </xdr:cNvPr>
        <xdr:cNvSpPr>
          <a:spLocks noChangeShapeType="1"/>
        </xdr:cNvSpPr>
      </xdr:nvSpPr>
      <xdr:spPr bwMode="auto">
        <a:xfrm>
          <a:off x="3368040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44</xdr:row>
      <xdr:rowOff>9525</xdr:rowOff>
    </xdr:from>
    <xdr:to>
      <xdr:col>50</xdr:col>
      <xdr:colOff>66675</xdr:colOff>
      <xdr:row>47</xdr:row>
      <xdr:rowOff>19050</xdr:rowOff>
    </xdr:to>
    <xdr:sp macro="" textlink="">
      <xdr:nvSpPr>
        <xdr:cNvPr id="1066448" name="Line 313">
          <a:extLst>
            <a:ext uri="{FF2B5EF4-FFF2-40B4-BE49-F238E27FC236}">
              <a16:creationId xmlns:a16="http://schemas.microsoft.com/office/drawing/2014/main" id="{00000000-0008-0000-0C00-0000D0451000}"/>
            </a:ext>
          </a:extLst>
        </xdr:cNvPr>
        <xdr:cNvSpPr>
          <a:spLocks noChangeShapeType="1"/>
        </xdr:cNvSpPr>
      </xdr:nvSpPr>
      <xdr:spPr bwMode="auto">
        <a:xfrm>
          <a:off x="33747075"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9525</xdr:colOff>
      <xdr:row>47</xdr:row>
      <xdr:rowOff>0</xdr:rowOff>
    </xdr:from>
    <xdr:to>
      <xdr:col>50</xdr:col>
      <xdr:colOff>66675</xdr:colOff>
      <xdr:row>47</xdr:row>
      <xdr:rowOff>9525</xdr:rowOff>
    </xdr:to>
    <xdr:sp macro="" textlink="">
      <xdr:nvSpPr>
        <xdr:cNvPr id="1066449" name="Line 314">
          <a:extLst>
            <a:ext uri="{FF2B5EF4-FFF2-40B4-BE49-F238E27FC236}">
              <a16:creationId xmlns:a16="http://schemas.microsoft.com/office/drawing/2014/main" id="{00000000-0008-0000-0C00-0000D1451000}"/>
            </a:ext>
          </a:extLst>
        </xdr:cNvPr>
        <xdr:cNvSpPr>
          <a:spLocks noChangeShapeType="1"/>
        </xdr:cNvSpPr>
      </xdr:nvSpPr>
      <xdr:spPr bwMode="auto">
        <a:xfrm flipV="1">
          <a:off x="3368992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76200</xdr:colOff>
      <xdr:row>45</xdr:row>
      <xdr:rowOff>66675</xdr:rowOff>
    </xdr:from>
    <xdr:to>
      <xdr:col>51</xdr:col>
      <xdr:colOff>9525</xdr:colOff>
      <xdr:row>47</xdr:row>
      <xdr:rowOff>19050</xdr:rowOff>
    </xdr:to>
    <xdr:sp macro="" textlink="">
      <xdr:nvSpPr>
        <xdr:cNvPr id="1066450" name="Line 315">
          <a:extLst>
            <a:ext uri="{FF2B5EF4-FFF2-40B4-BE49-F238E27FC236}">
              <a16:creationId xmlns:a16="http://schemas.microsoft.com/office/drawing/2014/main" id="{00000000-0008-0000-0C00-0000D2451000}"/>
            </a:ext>
          </a:extLst>
        </xdr:cNvPr>
        <xdr:cNvSpPr>
          <a:spLocks noChangeShapeType="1"/>
        </xdr:cNvSpPr>
      </xdr:nvSpPr>
      <xdr:spPr bwMode="auto">
        <a:xfrm>
          <a:off x="33756600" y="88106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0</xdr:colOff>
      <xdr:row>44</xdr:row>
      <xdr:rowOff>0</xdr:rowOff>
    </xdr:from>
    <xdr:to>
      <xdr:col>50</xdr:col>
      <xdr:colOff>76200</xdr:colOff>
      <xdr:row>44</xdr:row>
      <xdr:rowOff>9525</xdr:rowOff>
    </xdr:to>
    <xdr:sp macro="" textlink="">
      <xdr:nvSpPr>
        <xdr:cNvPr id="1066451" name="Line 316">
          <a:extLst>
            <a:ext uri="{FF2B5EF4-FFF2-40B4-BE49-F238E27FC236}">
              <a16:creationId xmlns:a16="http://schemas.microsoft.com/office/drawing/2014/main" id="{00000000-0008-0000-0C00-0000D3451000}"/>
            </a:ext>
          </a:extLst>
        </xdr:cNvPr>
        <xdr:cNvSpPr>
          <a:spLocks noChangeShapeType="1"/>
        </xdr:cNvSpPr>
      </xdr:nvSpPr>
      <xdr:spPr bwMode="auto">
        <a:xfrm>
          <a:off x="3368040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44</xdr:row>
      <xdr:rowOff>9525</xdr:rowOff>
    </xdr:from>
    <xdr:to>
      <xdr:col>50</xdr:col>
      <xdr:colOff>66675</xdr:colOff>
      <xdr:row>47</xdr:row>
      <xdr:rowOff>19050</xdr:rowOff>
    </xdr:to>
    <xdr:sp macro="" textlink="">
      <xdr:nvSpPr>
        <xdr:cNvPr id="1066452" name="Line 317">
          <a:extLst>
            <a:ext uri="{FF2B5EF4-FFF2-40B4-BE49-F238E27FC236}">
              <a16:creationId xmlns:a16="http://schemas.microsoft.com/office/drawing/2014/main" id="{00000000-0008-0000-0C00-0000D4451000}"/>
            </a:ext>
          </a:extLst>
        </xdr:cNvPr>
        <xdr:cNvSpPr>
          <a:spLocks noChangeShapeType="1"/>
        </xdr:cNvSpPr>
      </xdr:nvSpPr>
      <xdr:spPr bwMode="auto">
        <a:xfrm>
          <a:off x="33747075"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9525</xdr:colOff>
      <xdr:row>47</xdr:row>
      <xdr:rowOff>0</xdr:rowOff>
    </xdr:from>
    <xdr:to>
      <xdr:col>50</xdr:col>
      <xdr:colOff>66675</xdr:colOff>
      <xdr:row>47</xdr:row>
      <xdr:rowOff>9525</xdr:rowOff>
    </xdr:to>
    <xdr:sp macro="" textlink="">
      <xdr:nvSpPr>
        <xdr:cNvPr id="1066453" name="Line 318">
          <a:extLst>
            <a:ext uri="{FF2B5EF4-FFF2-40B4-BE49-F238E27FC236}">
              <a16:creationId xmlns:a16="http://schemas.microsoft.com/office/drawing/2014/main" id="{00000000-0008-0000-0C00-0000D5451000}"/>
            </a:ext>
          </a:extLst>
        </xdr:cNvPr>
        <xdr:cNvSpPr>
          <a:spLocks noChangeShapeType="1"/>
        </xdr:cNvSpPr>
      </xdr:nvSpPr>
      <xdr:spPr bwMode="auto">
        <a:xfrm flipV="1">
          <a:off x="3368992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76200</xdr:colOff>
      <xdr:row>43</xdr:row>
      <xdr:rowOff>171450</xdr:rowOff>
    </xdr:from>
    <xdr:to>
      <xdr:col>51</xdr:col>
      <xdr:colOff>9525</xdr:colOff>
      <xdr:row>45</xdr:row>
      <xdr:rowOff>38100</xdr:rowOff>
    </xdr:to>
    <xdr:sp macro="" textlink="">
      <xdr:nvSpPr>
        <xdr:cNvPr id="1066454" name="Line 319">
          <a:extLst>
            <a:ext uri="{FF2B5EF4-FFF2-40B4-BE49-F238E27FC236}">
              <a16:creationId xmlns:a16="http://schemas.microsoft.com/office/drawing/2014/main" id="{00000000-0008-0000-0C00-0000D6451000}"/>
            </a:ext>
          </a:extLst>
        </xdr:cNvPr>
        <xdr:cNvSpPr>
          <a:spLocks noChangeShapeType="1"/>
        </xdr:cNvSpPr>
      </xdr:nvSpPr>
      <xdr:spPr bwMode="auto">
        <a:xfrm flipV="1">
          <a:off x="33756600" y="8553450"/>
          <a:ext cx="342900" cy="22860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0</xdr:colOff>
      <xdr:row>44</xdr:row>
      <xdr:rowOff>0</xdr:rowOff>
    </xdr:from>
    <xdr:to>
      <xdr:col>47</xdr:col>
      <xdr:colOff>76200</xdr:colOff>
      <xdr:row>44</xdr:row>
      <xdr:rowOff>9525</xdr:rowOff>
    </xdr:to>
    <xdr:sp macro="" textlink="">
      <xdr:nvSpPr>
        <xdr:cNvPr id="1066455" name="Line 320">
          <a:extLst>
            <a:ext uri="{FF2B5EF4-FFF2-40B4-BE49-F238E27FC236}">
              <a16:creationId xmlns:a16="http://schemas.microsoft.com/office/drawing/2014/main" id="{00000000-0008-0000-0C00-0000D7451000}"/>
            </a:ext>
          </a:extLst>
        </xdr:cNvPr>
        <xdr:cNvSpPr>
          <a:spLocks noChangeShapeType="1"/>
        </xdr:cNvSpPr>
      </xdr:nvSpPr>
      <xdr:spPr bwMode="auto">
        <a:xfrm>
          <a:off x="3158490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66675</xdr:colOff>
      <xdr:row>44</xdr:row>
      <xdr:rowOff>9525</xdr:rowOff>
    </xdr:from>
    <xdr:to>
      <xdr:col>47</xdr:col>
      <xdr:colOff>66675</xdr:colOff>
      <xdr:row>47</xdr:row>
      <xdr:rowOff>19050</xdr:rowOff>
    </xdr:to>
    <xdr:sp macro="" textlink="">
      <xdr:nvSpPr>
        <xdr:cNvPr id="1066456" name="Line 321">
          <a:extLst>
            <a:ext uri="{FF2B5EF4-FFF2-40B4-BE49-F238E27FC236}">
              <a16:creationId xmlns:a16="http://schemas.microsoft.com/office/drawing/2014/main" id="{00000000-0008-0000-0C00-0000D8451000}"/>
            </a:ext>
          </a:extLst>
        </xdr:cNvPr>
        <xdr:cNvSpPr>
          <a:spLocks noChangeShapeType="1"/>
        </xdr:cNvSpPr>
      </xdr:nvSpPr>
      <xdr:spPr bwMode="auto">
        <a:xfrm>
          <a:off x="31651575"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9525</xdr:colOff>
      <xdr:row>47</xdr:row>
      <xdr:rowOff>0</xdr:rowOff>
    </xdr:from>
    <xdr:to>
      <xdr:col>47</xdr:col>
      <xdr:colOff>66675</xdr:colOff>
      <xdr:row>47</xdr:row>
      <xdr:rowOff>9525</xdr:rowOff>
    </xdr:to>
    <xdr:sp macro="" textlink="">
      <xdr:nvSpPr>
        <xdr:cNvPr id="1066457" name="Line 322">
          <a:extLst>
            <a:ext uri="{FF2B5EF4-FFF2-40B4-BE49-F238E27FC236}">
              <a16:creationId xmlns:a16="http://schemas.microsoft.com/office/drawing/2014/main" id="{00000000-0008-0000-0C00-0000D9451000}"/>
            </a:ext>
          </a:extLst>
        </xdr:cNvPr>
        <xdr:cNvSpPr>
          <a:spLocks noChangeShapeType="1"/>
        </xdr:cNvSpPr>
      </xdr:nvSpPr>
      <xdr:spPr bwMode="auto">
        <a:xfrm flipV="1">
          <a:off x="3159442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0</xdr:colOff>
      <xdr:row>50</xdr:row>
      <xdr:rowOff>0</xdr:rowOff>
    </xdr:from>
    <xdr:to>
      <xdr:col>44</xdr:col>
      <xdr:colOff>76200</xdr:colOff>
      <xdr:row>50</xdr:row>
      <xdr:rowOff>9525</xdr:rowOff>
    </xdr:to>
    <xdr:sp macro="" textlink="">
      <xdr:nvSpPr>
        <xdr:cNvPr id="1066458" name="Line 323">
          <a:extLst>
            <a:ext uri="{FF2B5EF4-FFF2-40B4-BE49-F238E27FC236}">
              <a16:creationId xmlns:a16="http://schemas.microsoft.com/office/drawing/2014/main" id="{00000000-0008-0000-0C00-0000DA451000}"/>
            </a:ext>
          </a:extLst>
        </xdr:cNvPr>
        <xdr:cNvSpPr>
          <a:spLocks noChangeShapeType="1"/>
        </xdr:cNvSpPr>
      </xdr:nvSpPr>
      <xdr:spPr bwMode="auto">
        <a:xfrm>
          <a:off x="29422725"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66675</xdr:colOff>
      <xdr:row>50</xdr:row>
      <xdr:rowOff>9525</xdr:rowOff>
    </xdr:from>
    <xdr:to>
      <xdr:col>44</xdr:col>
      <xdr:colOff>66675</xdr:colOff>
      <xdr:row>53</xdr:row>
      <xdr:rowOff>19050</xdr:rowOff>
    </xdr:to>
    <xdr:sp macro="" textlink="">
      <xdr:nvSpPr>
        <xdr:cNvPr id="1066459" name="Line 324">
          <a:extLst>
            <a:ext uri="{FF2B5EF4-FFF2-40B4-BE49-F238E27FC236}">
              <a16:creationId xmlns:a16="http://schemas.microsoft.com/office/drawing/2014/main" id="{00000000-0008-0000-0C00-0000DB451000}"/>
            </a:ext>
          </a:extLst>
        </xdr:cNvPr>
        <xdr:cNvSpPr>
          <a:spLocks noChangeShapeType="1"/>
        </xdr:cNvSpPr>
      </xdr:nvSpPr>
      <xdr:spPr bwMode="auto">
        <a:xfrm>
          <a:off x="29489400"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9525</xdr:colOff>
      <xdr:row>53</xdr:row>
      <xdr:rowOff>0</xdr:rowOff>
    </xdr:from>
    <xdr:to>
      <xdr:col>44</xdr:col>
      <xdr:colOff>66675</xdr:colOff>
      <xdr:row>53</xdr:row>
      <xdr:rowOff>9525</xdr:rowOff>
    </xdr:to>
    <xdr:sp macro="" textlink="">
      <xdr:nvSpPr>
        <xdr:cNvPr id="1066460" name="Line 325">
          <a:extLst>
            <a:ext uri="{FF2B5EF4-FFF2-40B4-BE49-F238E27FC236}">
              <a16:creationId xmlns:a16="http://schemas.microsoft.com/office/drawing/2014/main" id="{00000000-0008-0000-0C00-0000DC451000}"/>
            </a:ext>
          </a:extLst>
        </xdr:cNvPr>
        <xdr:cNvSpPr>
          <a:spLocks noChangeShapeType="1"/>
        </xdr:cNvSpPr>
      </xdr:nvSpPr>
      <xdr:spPr bwMode="auto">
        <a:xfrm flipV="1">
          <a:off x="29432250"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0</xdr:colOff>
      <xdr:row>50</xdr:row>
      <xdr:rowOff>0</xdr:rowOff>
    </xdr:from>
    <xdr:to>
      <xdr:col>47</xdr:col>
      <xdr:colOff>76200</xdr:colOff>
      <xdr:row>50</xdr:row>
      <xdr:rowOff>9525</xdr:rowOff>
    </xdr:to>
    <xdr:sp macro="" textlink="">
      <xdr:nvSpPr>
        <xdr:cNvPr id="1066461" name="Line 326">
          <a:extLst>
            <a:ext uri="{FF2B5EF4-FFF2-40B4-BE49-F238E27FC236}">
              <a16:creationId xmlns:a16="http://schemas.microsoft.com/office/drawing/2014/main" id="{00000000-0008-0000-0C00-0000DD451000}"/>
            </a:ext>
          </a:extLst>
        </xdr:cNvPr>
        <xdr:cNvSpPr>
          <a:spLocks noChangeShapeType="1"/>
        </xdr:cNvSpPr>
      </xdr:nvSpPr>
      <xdr:spPr bwMode="auto">
        <a:xfrm>
          <a:off x="3158490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66675</xdr:colOff>
      <xdr:row>50</xdr:row>
      <xdr:rowOff>9525</xdr:rowOff>
    </xdr:from>
    <xdr:to>
      <xdr:col>47</xdr:col>
      <xdr:colOff>66675</xdr:colOff>
      <xdr:row>53</xdr:row>
      <xdr:rowOff>19050</xdr:rowOff>
    </xdr:to>
    <xdr:sp macro="" textlink="">
      <xdr:nvSpPr>
        <xdr:cNvPr id="1066462" name="Line 327">
          <a:extLst>
            <a:ext uri="{FF2B5EF4-FFF2-40B4-BE49-F238E27FC236}">
              <a16:creationId xmlns:a16="http://schemas.microsoft.com/office/drawing/2014/main" id="{00000000-0008-0000-0C00-0000DE451000}"/>
            </a:ext>
          </a:extLst>
        </xdr:cNvPr>
        <xdr:cNvSpPr>
          <a:spLocks noChangeShapeType="1"/>
        </xdr:cNvSpPr>
      </xdr:nvSpPr>
      <xdr:spPr bwMode="auto">
        <a:xfrm>
          <a:off x="31651575"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9525</xdr:colOff>
      <xdr:row>53</xdr:row>
      <xdr:rowOff>0</xdr:rowOff>
    </xdr:from>
    <xdr:to>
      <xdr:col>47</xdr:col>
      <xdr:colOff>66675</xdr:colOff>
      <xdr:row>53</xdr:row>
      <xdr:rowOff>9525</xdr:rowOff>
    </xdr:to>
    <xdr:sp macro="" textlink="">
      <xdr:nvSpPr>
        <xdr:cNvPr id="1066463" name="Line 328">
          <a:extLst>
            <a:ext uri="{FF2B5EF4-FFF2-40B4-BE49-F238E27FC236}">
              <a16:creationId xmlns:a16="http://schemas.microsoft.com/office/drawing/2014/main" id="{00000000-0008-0000-0C00-0000DF451000}"/>
            </a:ext>
          </a:extLst>
        </xdr:cNvPr>
        <xdr:cNvSpPr>
          <a:spLocks noChangeShapeType="1"/>
        </xdr:cNvSpPr>
      </xdr:nvSpPr>
      <xdr:spPr bwMode="auto">
        <a:xfrm flipV="1">
          <a:off x="3159442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0</xdr:colOff>
      <xdr:row>50</xdr:row>
      <xdr:rowOff>0</xdr:rowOff>
    </xdr:from>
    <xdr:to>
      <xdr:col>50</xdr:col>
      <xdr:colOff>76200</xdr:colOff>
      <xdr:row>50</xdr:row>
      <xdr:rowOff>9525</xdr:rowOff>
    </xdr:to>
    <xdr:sp macro="" textlink="">
      <xdr:nvSpPr>
        <xdr:cNvPr id="1066464" name="Line 329">
          <a:extLst>
            <a:ext uri="{FF2B5EF4-FFF2-40B4-BE49-F238E27FC236}">
              <a16:creationId xmlns:a16="http://schemas.microsoft.com/office/drawing/2014/main" id="{00000000-0008-0000-0C00-0000E0451000}"/>
            </a:ext>
          </a:extLst>
        </xdr:cNvPr>
        <xdr:cNvSpPr>
          <a:spLocks noChangeShapeType="1"/>
        </xdr:cNvSpPr>
      </xdr:nvSpPr>
      <xdr:spPr bwMode="auto">
        <a:xfrm>
          <a:off x="3368040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50</xdr:row>
      <xdr:rowOff>9525</xdr:rowOff>
    </xdr:from>
    <xdr:to>
      <xdr:col>50</xdr:col>
      <xdr:colOff>66675</xdr:colOff>
      <xdr:row>53</xdr:row>
      <xdr:rowOff>19050</xdr:rowOff>
    </xdr:to>
    <xdr:sp macro="" textlink="">
      <xdr:nvSpPr>
        <xdr:cNvPr id="1066465" name="Line 330">
          <a:extLst>
            <a:ext uri="{FF2B5EF4-FFF2-40B4-BE49-F238E27FC236}">
              <a16:creationId xmlns:a16="http://schemas.microsoft.com/office/drawing/2014/main" id="{00000000-0008-0000-0C00-0000E1451000}"/>
            </a:ext>
          </a:extLst>
        </xdr:cNvPr>
        <xdr:cNvSpPr>
          <a:spLocks noChangeShapeType="1"/>
        </xdr:cNvSpPr>
      </xdr:nvSpPr>
      <xdr:spPr bwMode="auto">
        <a:xfrm>
          <a:off x="33747075"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9525</xdr:colOff>
      <xdr:row>53</xdr:row>
      <xdr:rowOff>0</xdr:rowOff>
    </xdr:from>
    <xdr:to>
      <xdr:col>50</xdr:col>
      <xdr:colOff>66675</xdr:colOff>
      <xdr:row>53</xdr:row>
      <xdr:rowOff>9525</xdr:rowOff>
    </xdr:to>
    <xdr:sp macro="" textlink="">
      <xdr:nvSpPr>
        <xdr:cNvPr id="1066466" name="Line 331">
          <a:extLst>
            <a:ext uri="{FF2B5EF4-FFF2-40B4-BE49-F238E27FC236}">
              <a16:creationId xmlns:a16="http://schemas.microsoft.com/office/drawing/2014/main" id="{00000000-0008-0000-0C00-0000E2451000}"/>
            </a:ext>
          </a:extLst>
        </xdr:cNvPr>
        <xdr:cNvSpPr>
          <a:spLocks noChangeShapeType="1"/>
        </xdr:cNvSpPr>
      </xdr:nvSpPr>
      <xdr:spPr bwMode="auto">
        <a:xfrm flipV="1">
          <a:off x="3368992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0</xdr:colOff>
      <xdr:row>50</xdr:row>
      <xdr:rowOff>0</xdr:rowOff>
    </xdr:from>
    <xdr:to>
      <xdr:col>50</xdr:col>
      <xdr:colOff>76200</xdr:colOff>
      <xdr:row>50</xdr:row>
      <xdr:rowOff>9525</xdr:rowOff>
    </xdr:to>
    <xdr:sp macro="" textlink="">
      <xdr:nvSpPr>
        <xdr:cNvPr id="1066467" name="Line 332">
          <a:extLst>
            <a:ext uri="{FF2B5EF4-FFF2-40B4-BE49-F238E27FC236}">
              <a16:creationId xmlns:a16="http://schemas.microsoft.com/office/drawing/2014/main" id="{00000000-0008-0000-0C00-0000E3451000}"/>
            </a:ext>
          </a:extLst>
        </xdr:cNvPr>
        <xdr:cNvSpPr>
          <a:spLocks noChangeShapeType="1"/>
        </xdr:cNvSpPr>
      </xdr:nvSpPr>
      <xdr:spPr bwMode="auto">
        <a:xfrm>
          <a:off x="3368040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50</xdr:row>
      <xdr:rowOff>9525</xdr:rowOff>
    </xdr:from>
    <xdr:to>
      <xdr:col>50</xdr:col>
      <xdr:colOff>66675</xdr:colOff>
      <xdr:row>53</xdr:row>
      <xdr:rowOff>19050</xdr:rowOff>
    </xdr:to>
    <xdr:sp macro="" textlink="">
      <xdr:nvSpPr>
        <xdr:cNvPr id="1066468" name="Line 333">
          <a:extLst>
            <a:ext uri="{FF2B5EF4-FFF2-40B4-BE49-F238E27FC236}">
              <a16:creationId xmlns:a16="http://schemas.microsoft.com/office/drawing/2014/main" id="{00000000-0008-0000-0C00-0000E4451000}"/>
            </a:ext>
          </a:extLst>
        </xdr:cNvPr>
        <xdr:cNvSpPr>
          <a:spLocks noChangeShapeType="1"/>
        </xdr:cNvSpPr>
      </xdr:nvSpPr>
      <xdr:spPr bwMode="auto">
        <a:xfrm>
          <a:off x="33747075"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9525</xdr:colOff>
      <xdr:row>53</xdr:row>
      <xdr:rowOff>0</xdr:rowOff>
    </xdr:from>
    <xdr:to>
      <xdr:col>50</xdr:col>
      <xdr:colOff>66675</xdr:colOff>
      <xdr:row>53</xdr:row>
      <xdr:rowOff>9525</xdr:rowOff>
    </xdr:to>
    <xdr:sp macro="" textlink="">
      <xdr:nvSpPr>
        <xdr:cNvPr id="1066469" name="Line 334">
          <a:extLst>
            <a:ext uri="{FF2B5EF4-FFF2-40B4-BE49-F238E27FC236}">
              <a16:creationId xmlns:a16="http://schemas.microsoft.com/office/drawing/2014/main" id="{00000000-0008-0000-0C00-0000E5451000}"/>
            </a:ext>
          </a:extLst>
        </xdr:cNvPr>
        <xdr:cNvSpPr>
          <a:spLocks noChangeShapeType="1"/>
        </xdr:cNvSpPr>
      </xdr:nvSpPr>
      <xdr:spPr bwMode="auto">
        <a:xfrm flipV="1">
          <a:off x="3368992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76200</xdr:colOff>
      <xdr:row>51</xdr:row>
      <xdr:rowOff>66675</xdr:rowOff>
    </xdr:from>
    <xdr:to>
      <xdr:col>51</xdr:col>
      <xdr:colOff>9525</xdr:colOff>
      <xdr:row>53</xdr:row>
      <xdr:rowOff>19050</xdr:rowOff>
    </xdr:to>
    <xdr:sp macro="" textlink="">
      <xdr:nvSpPr>
        <xdr:cNvPr id="1066470" name="Line 335">
          <a:extLst>
            <a:ext uri="{FF2B5EF4-FFF2-40B4-BE49-F238E27FC236}">
              <a16:creationId xmlns:a16="http://schemas.microsoft.com/office/drawing/2014/main" id="{00000000-0008-0000-0C00-0000E6451000}"/>
            </a:ext>
          </a:extLst>
        </xdr:cNvPr>
        <xdr:cNvSpPr>
          <a:spLocks noChangeShapeType="1"/>
        </xdr:cNvSpPr>
      </xdr:nvSpPr>
      <xdr:spPr bwMode="auto">
        <a:xfrm>
          <a:off x="33756600" y="98964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0</xdr:colOff>
      <xdr:row>50</xdr:row>
      <xdr:rowOff>0</xdr:rowOff>
    </xdr:from>
    <xdr:to>
      <xdr:col>50</xdr:col>
      <xdr:colOff>76200</xdr:colOff>
      <xdr:row>50</xdr:row>
      <xdr:rowOff>9525</xdr:rowOff>
    </xdr:to>
    <xdr:sp macro="" textlink="">
      <xdr:nvSpPr>
        <xdr:cNvPr id="1066471" name="Line 336">
          <a:extLst>
            <a:ext uri="{FF2B5EF4-FFF2-40B4-BE49-F238E27FC236}">
              <a16:creationId xmlns:a16="http://schemas.microsoft.com/office/drawing/2014/main" id="{00000000-0008-0000-0C00-0000E7451000}"/>
            </a:ext>
          </a:extLst>
        </xdr:cNvPr>
        <xdr:cNvSpPr>
          <a:spLocks noChangeShapeType="1"/>
        </xdr:cNvSpPr>
      </xdr:nvSpPr>
      <xdr:spPr bwMode="auto">
        <a:xfrm>
          <a:off x="3368040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50</xdr:row>
      <xdr:rowOff>9525</xdr:rowOff>
    </xdr:from>
    <xdr:to>
      <xdr:col>50</xdr:col>
      <xdr:colOff>66675</xdr:colOff>
      <xdr:row>53</xdr:row>
      <xdr:rowOff>19050</xdr:rowOff>
    </xdr:to>
    <xdr:sp macro="" textlink="">
      <xdr:nvSpPr>
        <xdr:cNvPr id="1066472" name="Line 337">
          <a:extLst>
            <a:ext uri="{FF2B5EF4-FFF2-40B4-BE49-F238E27FC236}">
              <a16:creationId xmlns:a16="http://schemas.microsoft.com/office/drawing/2014/main" id="{00000000-0008-0000-0C00-0000E8451000}"/>
            </a:ext>
          </a:extLst>
        </xdr:cNvPr>
        <xdr:cNvSpPr>
          <a:spLocks noChangeShapeType="1"/>
        </xdr:cNvSpPr>
      </xdr:nvSpPr>
      <xdr:spPr bwMode="auto">
        <a:xfrm>
          <a:off x="33747075"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9525</xdr:colOff>
      <xdr:row>53</xdr:row>
      <xdr:rowOff>0</xdr:rowOff>
    </xdr:from>
    <xdr:to>
      <xdr:col>50</xdr:col>
      <xdr:colOff>66675</xdr:colOff>
      <xdr:row>53</xdr:row>
      <xdr:rowOff>9525</xdr:rowOff>
    </xdr:to>
    <xdr:sp macro="" textlink="">
      <xdr:nvSpPr>
        <xdr:cNvPr id="1066473" name="Line 338">
          <a:extLst>
            <a:ext uri="{FF2B5EF4-FFF2-40B4-BE49-F238E27FC236}">
              <a16:creationId xmlns:a16="http://schemas.microsoft.com/office/drawing/2014/main" id="{00000000-0008-0000-0C00-0000E9451000}"/>
            </a:ext>
          </a:extLst>
        </xdr:cNvPr>
        <xdr:cNvSpPr>
          <a:spLocks noChangeShapeType="1"/>
        </xdr:cNvSpPr>
      </xdr:nvSpPr>
      <xdr:spPr bwMode="auto">
        <a:xfrm flipV="1">
          <a:off x="3368992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76200</xdr:colOff>
      <xdr:row>49</xdr:row>
      <xdr:rowOff>161925</xdr:rowOff>
    </xdr:from>
    <xdr:to>
      <xdr:col>51</xdr:col>
      <xdr:colOff>0</xdr:colOff>
      <xdr:row>51</xdr:row>
      <xdr:rowOff>47625</xdr:rowOff>
    </xdr:to>
    <xdr:sp macro="" textlink="">
      <xdr:nvSpPr>
        <xdr:cNvPr id="1066474" name="Line 339">
          <a:extLst>
            <a:ext uri="{FF2B5EF4-FFF2-40B4-BE49-F238E27FC236}">
              <a16:creationId xmlns:a16="http://schemas.microsoft.com/office/drawing/2014/main" id="{00000000-0008-0000-0C00-0000EA451000}"/>
            </a:ext>
          </a:extLst>
        </xdr:cNvPr>
        <xdr:cNvSpPr>
          <a:spLocks noChangeShapeType="1"/>
        </xdr:cNvSpPr>
      </xdr:nvSpPr>
      <xdr:spPr bwMode="auto">
        <a:xfrm flipV="1">
          <a:off x="33756600" y="9629775"/>
          <a:ext cx="333375"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0</xdr:colOff>
      <xdr:row>50</xdr:row>
      <xdr:rowOff>0</xdr:rowOff>
    </xdr:from>
    <xdr:to>
      <xdr:col>47</xdr:col>
      <xdr:colOff>76200</xdr:colOff>
      <xdr:row>50</xdr:row>
      <xdr:rowOff>9525</xdr:rowOff>
    </xdr:to>
    <xdr:sp macro="" textlink="">
      <xdr:nvSpPr>
        <xdr:cNvPr id="1066475" name="Line 340">
          <a:extLst>
            <a:ext uri="{FF2B5EF4-FFF2-40B4-BE49-F238E27FC236}">
              <a16:creationId xmlns:a16="http://schemas.microsoft.com/office/drawing/2014/main" id="{00000000-0008-0000-0C00-0000EB451000}"/>
            </a:ext>
          </a:extLst>
        </xdr:cNvPr>
        <xdr:cNvSpPr>
          <a:spLocks noChangeShapeType="1"/>
        </xdr:cNvSpPr>
      </xdr:nvSpPr>
      <xdr:spPr bwMode="auto">
        <a:xfrm>
          <a:off x="3158490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66675</xdr:colOff>
      <xdr:row>50</xdr:row>
      <xdr:rowOff>9525</xdr:rowOff>
    </xdr:from>
    <xdr:to>
      <xdr:col>47</xdr:col>
      <xdr:colOff>66675</xdr:colOff>
      <xdr:row>53</xdr:row>
      <xdr:rowOff>19050</xdr:rowOff>
    </xdr:to>
    <xdr:sp macro="" textlink="">
      <xdr:nvSpPr>
        <xdr:cNvPr id="1066476" name="Line 341">
          <a:extLst>
            <a:ext uri="{FF2B5EF4-FFF2-40B4-BE49-F238E27FC236}">
              <a16:creationId xmlns:a16="http://schemas.microsoft.com/office/drawing/2014/main" id="{00000000-0008-0000-0C00-0000EC451000}"/>
            </a:ext>
          </a:extLst>
        </xdr:cNvPr>
        <xdr:cNvSpPr>
          <a:spLocks noChangeShapeType="1"/>
        </xdr:cNvSpPr>
      </xdr:nvSpPr>
      <xdr:spPr bwMode="auto">
        <a:xfrm>
          <a:off x="31651575"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9525</xdr:colOff>
      <xdr:row>53</xdr:row>
      <xdr:rowOff>0</xdr:rowOff>
    </xdr:from>
    <xdr:to>
      <xdr:col>47</xdr:col>
      <xdr:colOff>66675</xdr:colOff>
      <xdr:row>53</xdr:row>
      <xdr:rowOff>9525</xdr:rowOff>
    </xdr:to>
    <xdr:sp macro="" textlink="">
      <xdr:nvSpPr>
        <xdr:cNvPr id="1066477" name="Line 342">
          <a:extLst>
            <a:ext uri="{FF2B5EF4-FFF2-40B4-BE49-F238E27FC236}">
              <a16:creationId xmlns:a16="http://schemas.microsoft.com/office/drawing/2014/main" id="{00000000-0008-0000-0C00-0000ED451000}"/>
            </a:ext>
          </a:extLst>
        </xdr:cNvPr>
        <xdr:cNvSpPr>
          <a:spLocks noChangeShapeType="1"/>
        </xdr:cNvSpPr>
      </xdr:nvSpPr>
      <xdr:spPr bwMode="auto">
        <a:xfrm flipV="1">
          <a:off x="3159442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0</xdr:colOff>
      <xdr:row>56</xdr:row>
      <xdr:rowOff>0</xdr:rowOff>
    </xdr:from>
    <xdr:to>
      <xdr:col>44</xdr:col>
      <xdr:colOff>76200</xdr:colOff>
      <xdr:row>56</xdr:row>
      <xdr:rowOff>9525</xdr:rowOff>
    </xdr:to>
    <xdr:sp macro="" textlink="">
      <xdr:nvSpPr>
        <xdr:cNvPr id="1066478" name="Line 343">
          <a:extLst>
            <a:ext uri="{FF2B5EF4-FFF2-40B4-BE49-F238E27FC236}">
              <a16:creationId xmlns:a16="http://schemas.microsoft.com/office/drawing/2014/main" id="{00000000-0008-0000-0C00-0000EE451000}"/>
            </a:ext>
          </a:extLst>
        </xdr:cNvPr>
        <xdr:cNvSpPr>
          <a:spLocks noChangeShapeType="1"/>
        </xdr:cNvSpPr>
      </xdr:nvSpPr>
      <xdr:spPr bwMode="auto">
        <a:xfrm>
          <a:off x="29422725"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57150</xdr:colOff>
      <xdr:row>56</xdr:row>
      <xdr:rowOff>0</xdr:rowOff>
    </xdr:from>
    <xdr:to>
      <xdr:col>44</xdr:col>
      <xdr:colOff>57150</xdr:colOff>
      <xdr:row>59</xdr:row>
      <xdr:rowOff>9525</xdr:rowOff>
    </xdr:to>
    <xdr:sp macro="" textlink="">
      <xdr:nvSpPr>
        <xdr:cNvPr id="1066479" name="Line 344">
          <a:extLst>
            <a:ext uri="{FF2B5EF4-FFF2-40B4-BE49-F238E27FC236}">
              <a16:creationId xmlns:a16="http://schemas.microsoft.com/office/drawing/2014/main" id="{00000000-0008-0000-0C00-0000EF451000}"/>
            </a:ext>
          </a:extLst>
        </xdr:cNvPr>
        <xdr:cNvSpPr>
          <a:spLocks noChangeShapeType="1"/>
        </xdr:cNvSpPr>
      </xdr:nvSpPr>
      <xdr:spPr bwMode="auto">
        <a:xfrm flipH="1">
          <a:off x="29479875" y="10734675"/>
          <a:ext cx="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9525</xdr:colOff>
      <xdr:row>59</xdr:row>
      <xdr:rowOff>0</xdr:rowOff>
    </xdr:from>
    <xdr:to>
      <xdr:col>44</xdr:col>
      <xdr:colOff>66675</xdr:colOff>
      <xdr:row>59</xdr:row>
      <xdr:rowOff>9525</xdr:rowOff>
    </xdr:to>
    <xdr:sp macro="" textlink="">
      <xdr:nvSpPr>
        <xdr:cNvPr id="1066480" name="Line 345">
          <a:extLst>
            <a:ext uri="{FF2B5EF4-FFF2-40B4-BE49-F238E27FC236}">
              <a16:creationId xmlns:a16="http://schemas.microsoft.com/office/drawing/2014/main" id="{00000000-0008-0000-0C00-0000F0451000}"/>
            </a:ext>
          </a:extLst>
        </xdr:cNvPr>
        <xdr:cNvSpPr>
          <a:spLocks noChangeShapeType="1"/>
        </xdr:cNvSpPr>
      </xdr:nvSpPr>
      <xdr:spPr bwMode="auto">
        <a:xfrm flipV="1">
          <a:off x="29432250"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0</xdr:colOff>
      <xdr:row>56</xdr:row>
      <xdr:rowOff>0</xdr:rowOff>
    </xdr:from>
    <xdr:to>
      <xdr:col>47</xdr:col>
      <xdr:colOff>76200</xdr:colOff>
      <xdr:row>56</xdr:row>
      <xdr:rowOff>9525</xdr:rowOff>
    </xdr:to>
    <xdr:sp macro="" textlink="">
      <xdr:nvSpPr>
        <xdr:cNvPr id="1066481" name="Line 346">
          <a:extLst>
            <a:ext uri="{FF2B5EF4-FFF2-40B4-BE49-F238E27FC236}">
              <a16:creationId xmlns:a16="http://schemas.microsoft.com/office/drawing/2014/main" id="{00000000-0008-0000-0C00-0000F1451000}"/>
            </a:ext>
          </a:extLst>
        </xdr:cNvPr>
        <xdr:cNvSpPr>
          <a:spLocks noChangeShapeType="1"/>
        </xdr:cNvSpPr>
      </xdr:nvSpPr>
      <xdr:spPr bwMode="auto">
        <a:xfrm>
          <a:off x="31584900"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66675</xdr:colOff>
      <xdr:row>56</xdr:row>
      <xdr:rowOff>9525</xdr:rowOff>
    </xdr:from>
    <xdr:to>
      <xdr:col>47</xdr:col>
      <xdr:colOff>66675</xdr:colOff>
      <xdr:row>59</xdr:row>
      <xdr:rowOff>19050</xdr:rowOff>
    </xdr:to>
    <xdr:sp macro="" textlink="">
      <xdr:nvSpPr>
        <xdr:cNvPr id="1066482" name="Line 347">
          <a:extLst>
            <a:ext uri="{FF2B5EF4-FFF2-40B4-BE49-F238E27FC236}">
              <a16:creationId xmlns:a16="http://schemas.microsoft.com/office/drawing/2014/main" id="{00000000-0008-0000-0C00-0000F2451000}"/>
            </a:ext>
          </a:extLst>
        </xdr:cNvPr>
        <xdr:cNvSpPr>
          <a:spLocks noChangeShapeType="1"/>
        </xdr:cNvSpPr>
      </xdr:nvSpPr>
      <xdr:spPr bwMode="auto">
        <a:xfrm>
          <a:off x="31651575" y="10744200"/>
          <a:ext cx="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9525</xdr:colOff>
      <xdr:row>59</xdr:row>
      <xdr:rowOff>0</xdr:rowOff>
    </xdr:from>
    <xdr:to>
      <xdr:col>47</xdr:col>
      <xdr:colOff>66675</xdr:colOff>
      <xdr:row>59</xdr:row>
      <xdr:rowOff>9525</xdr:rowOff>
    </xdr:to>
    <xdr:sp macro="" textlink="">
      <xdr:nvSpPr>
        <xdr:cNvPr id="1066483" name="Line 348">
          <a:extLst>
            <a:ext uri="{FF2B5EF4-FFF2-40B4-BE49-F238E27FC236}">
              <a16:creationId xmlns:a16="http://schemas.microsoft.com/office/drawing/2014/main" id="{00000000-0008-0000-0C00-0000F3451000}"/>
            </a:ext>
          </a:extLst>
        </xdr:cNvPr>
        <xdr:cNvSpPr>
          <a:spLocks noChangeShapeType="1"/>
        </xdr:cNvSpPr>
      </xdr:nvSpPr>
      <xdr:spPr bwMode="auto">
        <a:xfrm flipV="1">
          <a:off x="31594425"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0</xdr:colOff>
      <xdr:row>56</xdr:row>
      <xdr:rowOff>0</xdr:rowOff>
    </xdr:from>
    <xdr:to>
      <xdr:col>50</xdr:col>
      <xdr:colOff>76200</xdr:colOff>
      <xdr:row>56</xdr:row>
      <xdr:rowOff>9525</xdr:rowOff>
    </xdr:to>
    <xdr:sp macro="" textlink="">
      <xdr:nvSpPr>
        <xdr:cNvPr id="1066484" name="Line 349">
          <a:extLst>
            <a:ext uri="{FF2B5EF4-FFF2-40B4-BE49-F238E27FC236}">
              <a16:creationId xmlns:a16="http://schemas.microsoft.com/office/drawing/2014/main" id="{00000000-0008-0000-0C00-0000F4451000}"/>
            </a:ext>
          </a:extLst>
        </xdr:cNvPr>
        <xdr:cNvSpPr>
          <a:spLocks noChangeShapeType="1"/>
        </xdr:cNvSpPr>
      </xdr:nvSpPr>
      <xdr:spPr bwMode="auto">
        <a:xfrm>
          <a:off x="33680400"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56</xdr:row>
      <xdr:rowOff>9525</xdr:rowOff>
    </xdr:from>
    <xdr:to>
      <xdr:col>50</xdr:col>
      <xdr:colOff>66675</xdr:colOff>
      <xdr:row>59</xdr:row>
      <xdr:rowOff>19050</xdr:rowOff>
    </xdr:to>
    <xdr:sp macro="" textlink="">
      <xdr:nvSpPr>
        <xdr:cNvPr id="1066485" name="Line 350">
          <a:extLst>
            <a:ext uri="{FF2B5EF4-FFF2-40B4-BE49-F238E27FC236}">
              <a16:creationId xmlns:a16="http://schemas.microsoft.com/office/drawing/2014/main" id="{00000000-0008-0000-0C00-0000F5451000}"/>
            </a:ext>
          </a:extLst>
        </xdr:cNvPr>
        <xdr:cNvSpPr>
          <a:spLocks noChangeShapeType="1"/>
        </xdr:cNvSpPr>
      </xdr:nvSpPr>
      <xdr:spPr bwMode="auto">
        <a:xfrm>
          <a:off x="33747075" y="10744200"/>
          <a:ext cx="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9525</xdr:colOff>
      <xdr:row>59</xdr:row>
      <xdr:rowOff>0</xdr:rowOff>
    </xdr:from>
    <xdr:to>
      <xdr:col>50</xdr:col>
      <xdr:colOff>66675</xdr:colOff>
      <xdr:row>59</xdr:row>
      <xdr:rowOff>9525</xdr:rowOff>
    </xdr:to>
    <xdr:sp macro="" textlink="">
      <xdr:nvSpPr>
        <xdr:cNvPr id="1066486" name="Line 351">
          <a:extLst>
            <a:ext uri="{FF2B5EF4-FFF2-40B4-BE49-F238E27FC236}">
              <a16:creationId xmlns:a16="http://schemas.microsoft.com/office/drawing/2014/main" id="{00000000-0008-0000-0C00-0000F6451000}"/>
            </a:ext>
          </a:extLst>
        </xdr:cNvPr>
        <xdr:cNvSpPr>
          <a:spLocks noChangeShapeType="1"/>
        </xdr:cNvSpPr>
      </xdr:nvSpPr>
      <xdr:spPr bwMode="auto">
        <a:xfrm flipV="1">
          <a:off x="33689925"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0</xdr:colOff>
      <xdr:row>56</xdr:row>
      <xdr:rowOff>0</xdr:rowOff>
    </xdr:from>
    <xdr:to>
      <xdr:col>50</xdr:col>
      <xdr:colOff>76200</xdr:colOff>
      <xdr:row>56</xdr:row>
      <xdr:rowOff>9525</xdr:rowOff>
    </xdr:to>
    <xdr:sp macro="" textlink="">
      <xdr:nvSpPr>
        <xdr:cNvPr id="1066487" name="Line 352">
          <a:extLst>
            <a:ext uri="{FF2B5EF4-FFF2-40B4-BE49-F238E27FC236}">
              <a16:creationId xmlns:a16="http://schemas.microsoft.com/office/drawing/2014/main" id="{00000000-0008-0000-0C00-0000F7451000}"/>
            </a:ext>
          </a:extLst>
        </xdr:cNvPr>
        <xdr:cNvSpPr>
          <a:spLocks noChangeShapeType="1"/>
        </xdr:cNvSpPr>
      </xdr:nvSpPr>
      <xdr:spPr bwMode="auto">
        <a:xfrm>
          <a:off x="33680400"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56</xdr:row>
      <xdr:rowOff>9525</xdr:rowOff>
    </xdr:from>
    <xdr:to>
      <xdr:col>50</xdr:col>
      <xdr:colOff>66675</xdr:colOff>
      <xdr:row>59</xdr:row>
      <xdr:rowOff>19050</xdr:rowOff>
    </xdr:to>
    <xdr:sp macro="" textlink="">
      <xdr:nvSpPr>
        <xdr:cNvPr id="1066488" name="Line 353">
          <a:extLst>
            <a:ext uri="{FF2B5EF4-FFF2-40B4-BE49-F238E27FC236}">
              <a16:creationId xmlns:a16="http://schemas.microsoft.com/office/drawing/2014/main" id="{00000000-0008-0000-0C00-0000F8451000}"/>
            </a:ext>
          </a:extLst>
        </xdr:cNvPr>
        <xdr:cNvSpPr>
          <a:spLocks noChangeShapeType="1"/>
        </xdr:cNvSpPr>
      </xdr:nvSpPr>
      <xdr:spPr bwMode="auto">
        <a:xfrm>
          <a:off x="33747075" y="10744200"/>
          <a:ext cx="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9525</xdr:colOff>
      <xdr:row>59</xdr:row>
      <xdr:rowOff>0</xdr:rowOff>
    </xdr:from>
    <xdr:to>
      <xdr:col>50</xdr:col>
      <xdr:colOff>66675</xdr:colOff>
      <xdr:row>59</xdr:row>
      <xdr:rowOff>9525</xdr:rowOff>
    </xdr:to>
    <xdr:sp macro="" textlink="">
      <xdr:nvSpPr>
        <xdr:cNvPr id="1066489" name="Line 354">
          <a:extLst>
            <a:ext uri="{FF2B5EF4-FFF2-40B4-BE49-F238E27FC236}">
              <a16:creationId xmlns:a16="http://schemas.microsoft.com/office/drawing/2014/main" id="{00000000-0008-0000-0C00-0000F9451000}"/>
            </a:ext>
          </a:extLst>
        </xdr:cNvPr>
        <xdr:cNvSpPr>
          <a:spLocks noChangeShapeType="1"/>
        </xdr:cNvSpPr>
      </xdr:nvSpPr>
      <xdr:spPr bwMode="auto">
        <a:xfrm flipV="1">
          <a:off x="33689925"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57</xdr:row>
      <xdr:rowOff>114300</xdr:rowOff>
    </xdr:from>
    <xdr:to>
      <xdr:col>51</xdr:col>
      <xdr:colOff>0</xdr:colOff>
      <xdr:row>59</xdr:row>
      <xdr:rowOff>0</xdr:rowOff>
    </xdr:to>
    <xdr:sp macro="" textlink="">
      <xdr:nvSpPr>
        <xdr:cNvPr id="1066490" name="Line 355">
          <a:extLst>
            <a:ext uri="{FF2B5EF4-FFF2-40B4-BE49-F238E27FC236}">
              <a16:creationId xmlns:a16="http://schemas.microsoft.com/office/drawing/2014/main" id="{00000000-0008-0000-0C00-0000FA451000}"/>
            </a:ext>
          </a:extLst>
        </xdr:cNvPr>
        <xdr:cNvSpPr>
          <a:spLocks noChangeShapeType="1"/>
        </xdr:cNvSpPr>
      </xdr:nvSpPr>
      <xdr:spPr bwMode="auto">
        <a:xfrm>
          <a:off x="33747075" y="11029950"/>
          <a:ext cx="342900" cy="2286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0</xdr:colOff>
      <xdr:row>56</xdr:row>
      <xdr:rowOff>0</xdr:rowOff>
    </xdr:from>
    <xdr:to>
      <xdr:col>50</xdr:col>
      <xdr:colOff>76200</xdr:colOff>
      <xdr:row>56</xdr:row>
      <xdr:rowOff>9525</xdr:rowOff>
    </xdr:to>
    <xdr:sp macro="" textlink="">
      <xdr:nvSpPr>
        <xdr:cNvPr id="1066491" name="Line 356">
          <a:extLst>
            <a:ext uri="{FF2B5EF4-FFF2-40B4-BE49-F238E27FC236}">
              <a16:creationId xmlns:a16="http://schemas.microsoft.com/office/drawing/2014/main" id="{00000000-0008-0000-0C00-0000FB451000}"/>
            </a:ext>
          </a:extLst>
        </xdr:cNvPr>
        <xdr:cNvSpPr>
          <a:spLocks noChangeShapeType="1"/>
        </xdr:cNvSpPr>
      </xdr:nvSpPr>
      <xdr:spPr bwMode="auto">
        <a:xfrm>
          <a:off x="33680400"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9525</xdr:colOff>
      <xdr:row>59</xdr:row>
      <xdr:rowOff>0</xdr:rowOff>
    </xdr:from>
    <xdr:to>
      <xdr:col>50</xdr:col>
      <xdr:colOff>66675</xdr:colOff>
      <xdr:row>59</xdr:row>
      <xdr:rowOff>9525</xdr:rowOff>
    </xdr:to>
    <xdr:sp macro="" textlink="">
      <xdr:nvSpPr>
        <xdr:cNvPr id="1066492" name="Line 358">
          <a:extLst>
            <a:ext uri="{FF2B5EF4-FFF2-40B4-BE49-F238E27FC236}">
              <a16:creationId xmlns:a16="http://schemas.microsoft.com/office/drawing/2014/main" id="{00000000-0008-0000-0C00-0000FC451000}"/>
            </a:ext>
          </a:extLst>
        </xdr:cNvPr>
        <xdr:cNvSpPr>
          <a:spLocks noChangeShapeType="1"/>
        </xdr:cNvSpPr>
      </xdr:nvSpPr>
      <xdr:spPr bwMode="auto">
        <a:xfrm flipV="1">
          <a:off x="33689925"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55</xdr:row>
      <xdr:rowOff>161925</xdr:rowOff>
    </xdr:from>
    <xdr:to>
      <xdr:col>50</xdr:col>
      <xdr:colOff>400050</xdr:colOff>
      <xdr:row>57</xdr:row>
      <xdr:rowOff>114300</xdr:rowOff>
    </xdr:to>
    <xdr:sp macro="" textlink="">
      <xdr:nvSpPr>
        <xdr:cNvPr id="1066493" name="Line 359">
          <a:extLst>
            <a:ext uri="{FF2B5EF4-FFF2-40B4-BE49-F238E27FC236}">
              <a16:creationId xmlns:a16="http://schemas.microsoft.com/office/drawing/2014/main" id="{00000000-0008-0000-0C00-0000FD451000}"/>
            </a:ext>
          </a:extLst>
        </xdr:cNvPr>
        <xdr:cNvSpPr>
          <a:spLocks noChangeShapeType="1"/>
        </xdr:cNvSpPr>
      </xdr:nvSpPr>
      <xdr:spPr bwMode="auto">
        <a:xfrm flipV="1">
          <a:off x="33747075" y="10715625"/>
          <a:ext cx="333375" cy="3143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0</xdr:colOff>
      <xdr:row>56</xdr:row>
      <xdr:rowOff>0</xdr:rowOff>
    </xdr:from>
    <xdr:to>
      <xdr:col>47</xdr:col>
      <xdr:colOff>76200</xdr:colOff>
      <xdr:row>56</xdr:row>
      <xdr:rowOff>9525</xdr:rowOff>
    </xdr:to>
    <xdr:sp macro="" textlink="">
      <xdr:nvSpPr>
        <xdr:cNvPr id="1066494" name="Line 360">
          <a:extLst>
            <a:ext uri="{FF2B5EF4-FFF2-40B4-BE49-F238E27FC236}">
              <a16:creationId xmlns:a16="http://schemas.microsoft.com/office/drawing/2014/main" id="{00000000-0008-0000-0C00-0000FE451000}"/>
            </a:ext>
          </a:extLst>
        </xdr:cNvPr>
        <xdr:cNvSpPr>
          <a:spLocks noChangeShapeType="1"/>
        </xdr:cNvSpPr>
      </xdr:nvSpPr>
      <xdr:spPr bwMode="auto">
        <a:xfrm>
          <a:off x="31584900"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57150</xdr:colOff>
      <xdr:row>56</xdr:row>
      <xdr:rowOff>9525</xdr:rowOff>
    </xdr:from>
    <xdr:to>
      <xdr:col>47</xdr:col>
      <xdr:colOff>66675</xdr:colOff>
      <xdr:row>59</xdr:row>
      <xdr:rowOff>0</xdr:rowOff>
    </xdr:to>
    <xdr:sp macro="" textlink="">
      <xdr:nvSpPr>
        <xdr:cNvPr id="1066495" name="Line 361">
          <a:extLst>
            <a:ext uri="{FF2B5EF4-FFF2-40B4-BE49-F238E27FC236}">
              <a16:creationId xmlns:a16="http://schemas.microsoft.com/office/drawing/2014/main" id="{00000000-0008-0000-0C00-0000FF451000}"/>
            </a:ext>
          </a:extLst>
        </xdr:cNvPr>
        <xdr:cNvSpPr>
          <a:spLocks noChangeShapeType="1"/>
        </xdr:cNvSpPr>
      </xdr:nvSpPr>
      <xdr:spPr bwMode="auto">
        <a:xfrm flipH="1">
          <a:off x="31642050" y="10744200"/>
          <a:ext cx="952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9525</xdr:colOff>
      <xdr:row>59</xdr:row>
      <xdr:rowOff>0</xdr:rowOff>
    </xdr:from>
    <xdr:to>
      <xdr:col>47</xdr:col>
      <xdr:colOff>66675</xdr:colOff>
      <xdr:row>59</xdr:row>
      <xdr:rowOff>9525</xdr:rowOff>
    </xdr:to>
    <xdr:sp macro="" textlink="">
      <xdr:nvSpPr>
        <xdr:cNvPr id="1066496" name="Line 362">
          <a:extLst>
            <a:ext uri="{FF2B5EF4-FFF2-40B4-BE49-F238E27FC236}">
              <a16:creationId xmlns:a16="http://schemas.microsoft.com/office/drawing/2014/main" id="{00000000-0008-0000-0C00-000000461000}"/>
            </a:ext>
          </a:extLst>
        </xdr:cNvPr>
        <xdr:cNvSpPr>
          <a:spLocks noChangeShapeType="1"/>
        </xdr:cNvSpPr>
      </xdr:nvSpPr>
      <xdr:spPr bwMode="auto">
        <a:xfrm flipV="1">
          <a:off x="31594425"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66675</xdr:colOff>
      <xdr:row>57</xdr:row>
      <xdr:rowOff>85725</xdr:rowOff>
    </xdr:from>
    <xdr:to>
      <xdr:col>45</xdr:col>
      <xdr:colOff>9525</xdr:colOff>
      <xdr:row>62</xdr:row>
      <xdr:rowOff>19050</xdr:rowOff>
    </xdr:to>
    <xdr:sp macro="" textlink="">
      <xdr:nvSpPr>
        <xdr:cNvPr id="1066497" name="Line 363">
          <a:extLst>
            <a:ext uri="{FF2B5EF4-FFF2-40B4-BE49-F238E27FC236}">
              <a16:creationId xmlns:a16="http://schemas.microsoft.com/office/drawing/2014/main" id="{00000000-0008-0000-0C00-000001461000}"/>
            </a:ext>
          </a:extLst>
        </xdr:cNvPr>
        <xdr:cNvSpPr>
          <a:spLocks noChangeShapeType="1"/>
        </xdr:cNvSpPr>
      </xdr:nvSpPr>
      <xdr:spPr bwMode="auto">
        <a:xfrm>
          <a:off x="29489400" y="11001375"/>
          <a:ext cx="390525" cy="771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57150</xdr:colOff>
      <xdr:row>57</xdr:row>
      <xdr:rowOff>76200</xdr:rowOff>
    </xdr:from>
    <xdr:to>
      <xdr:col>47</xdr:col>
      <xdr:colOff>400050</xdr:colOff>
      <xdr:row>62</xdr:row>
      <xdr:rowOff>28575</xdr:rowOff>
    </xdr:to>
    <xdr:sp macro="" textlink="">
      <xdr:nvSpPr>
        <xdr:cNvPr id="1066498" name="Line 364">
          <a:extLst>
            <a:ext uri="{FF2B5EF4-FFF2-40B4-BE49-F238E27FC236}">
              <a16:creationId xmlns:a16="http://schemas.microsoft.com/office/drawing/2014/main" id="{00000000-0008-0000-0C00-000002461000}"/>
            </a:ext>
          </a:extLst>
        </xdr:cNvPr>
        <xdr:cNvSpPr>
          <a:spLocks noChangeShapeType="1"/>
        </xdr:cNvSpPr>
      </xdr:nvSpPr>
      <xdr:spPr bwMode="auto">
        <a:xfrm>
          <a:off x="31642050" y="10991850"/>
          <a:ext cx="342900" cy="7905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32</xdr:row>
      <xdr:rowOff>0</xdr:rowOff>
    </xdr:from>
    <xdr:to>
      <xdr:col>44</xdr:col>
      <xdr:colOff>76200</xdr:colOff>
      <xdr:row>32</xdr:row>
      <xdr:rowOff>9525</xdr:rowOff>
    </xdr:to>
    <xdr:sp macro="" textlink="">
      <xdr:nvSpPr>
        <xdr:cNvPr id="1066499" name="Line 365">
          <a:extLst>
            <a:ext uri="{FF2B5EF4-FFF2-40B4-BE49-F238E27FC236}">
              <a16:creationId xmlns:a16="http://schemas.microsoft.com/office/drawing/2014/main" id="{00000000-0008-0000-0C00-000003461000}"/>
            </a:ext>
          </a:extLst>
        </xdr:cNvPr>
        <xdr:cNvSpPr>
          <a:spLocks noChangeShapeType="1"/>
        </xdr:cNvSpPr>
      </xdr:nvSpPr>
      <xdr:spPr bwMode="auto">
        <a:xfrm>
          <a:off x="2942272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66675</xdr:colOff>
      <xdr:row>32</xdr:row>
      <xdr:rowOff>9525</xdr:rowOff>
    </xdr:from>
    <xdr:to>
      <xdr:col>44</xdr:col>
      <xdr:colOff>66675</xdr:colOff>
      <xdr:row>35</xdr:row>
      <xdr:rowOff>19050</xdr:rowOff>
    </xdr:to>
    <xdr:sp macro="" textlink="">
      <xdr:nvSpPr>
        <xdr:cNvPr id="1066500" name="Line 366">
          <a:extLst>
            <a:ext uri="{FF2B5EF4-FFF2-40B4-BE49-F238E27FC236}">
              <a16:creationId xmlns:a16="http://schemas.microsoft.com/office/drawing/2014/main" id="{00000000-0008-0000-0C00-000004461000}"/>
            </a:ext>
          </a:extLst>
        </xdr:cNvPr>
        <xdr:cNvSpPr>
          <a:spLocks noChangeShapeType="1"/>
        </xdr:cNvSpPr>
      </xdr:nvSpPr>
      <xdr:spPr bwMode="auto">
        <a:xfrm>
          <a:off x="2948940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9525</xdr:colOff>
      <xdr:row>35</xdr:row>
      <xdr:rowOff>0</xdr:rowOff>
    </xdr:from>
    <xdr:to>
      <xdr:col>44</xdr:col>
      <xdr:colOff>66675</xdr:colOff>
      <xdr:row>35</xdr:row>
      <xdr:rowOff>9525</xdr:rowOff>
    </xdr:to>
    <xdr:sp macro="" textlink="">
      <xdr:nvSpPr>
        <xdr:cNvPr id="1066501" name="Line 367">
          <a:extLst>
            <a:ext uri="{FF2B5EF4-FFF2-40B4-BE49-F238E27FC236}">
              <a16:creationId xmlns:a16="http://schemas.microsoft.com/office/drawing/2014/main" id="{00000000-0008-0000-0C00-000005461000}"/>
            </a:ext>
          </a:extLst>
        </xdr:cNvPr>
        <xdr:cNvSpPr>
          <a:spLocks noChangeShapeType="1"/>
        </xdr:cNvSpPr>
      </xdr:nvSpPr>
      <xdr:spPr bwMode="auto">
        <a:xfrm flipV="1">
          <a:off x="2943225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0</xdr:colOff>
      <xdr:row>32</xdr:row>
      <xdr:rowOff>0</xdr:rowOff>
    </xdr:from>
    <xdr:to>
      <xdr:col>47</xdr:col>
      <xdr:colOff>76200</xdr:colOff>
      <xdr:row>32</xdr:row>
      <xdr:rowOff>9525</xdr:rowOff>
    </xdr:to>
    <xdr:sp macro="" textlink="">
      <xdr:nvSpPr>
        <xdr:cNvPr id="1066502" name="Line 368">
          <a:extLst>
            <a:ext uri="{FF2B5EF4-FFF2-40B4-BE49-F238E27FC236}">
              <a16:creationId xmlns:a16="http://schemas.microsoft.com/office/drawing/2014/main" id="{00000000-0008-0000-0C00-000006461000}"/>
            </a:ext>
          </a:extLst>
        </xdr:cNvPr>
        <xdr:cNvSpPr>
          <a:spLocks noChangeShapeType="1"/>
        </xdr:cNvSpPr>
      </xdr:nvSpPr>
      <xdr:spPr bwMode="auto">
        <a:xfrm>
          <a:off x="315849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9525</xdr:colOff>
      <xdr:row>35</xdr:row>
      <xdr:rowOff>0</xdr:rowOff>
    </xdr:from>
    <xdr:to>
      <xdr:col>47</xdr:col>
      <xdr:colOff>66675</xdr:colOff>
      <xdr:row>35</xdr:row>
      <xdr:rowOff>9525</xdr:rowOff>
    </xdr:to>
    <xdr:sp macro="" textlink="">
      <xdr:nvSpPr>
        <xdr:cNvPr id="1066503" name="Line 370">
          <a:extLst>
            <a:ext uri="{FF2B5EF4-FFF2-40B4-BE49-F238E27FC236}">
              <a16:creationId xmlns:a16="http://schemas.microsoft.com/office/drawing/2014/main" id="{00000000-0008-0000-0C00-000007461000}"/>
            </a:ext>
          </a:extLst>
        </xdr:cNvPr>
        <xdr:cNvSpPr>
          <a:spLocks noChangeShapeType="1"/>
        </xdr:cNvSpPr>
      </xdr:nvSpPr>
      <xdr:spPr bwMode="auto">
        <a:xfrm flipV="1">
          <a:off x="315944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0</xdr:colOff>
      <xdr:row>32</xdr:row>
      <xdr:rowOff>0</xdr:rowOff>
    </xdr:from>
    <xdr:to>
      <xdr:col>50</xdr:col>
      <xdr:colOff>76200</xdr:colOff>
      <xdr:row>32</xdr:row>
      <xdr:rowOff>9525</xdr:rowOff>
    </xdr:to>
    <xdr:sp macro="" textlink="">
      <xdr:nvSpPr>
        <xdr:cNvPr id="1066504" name="Line 371">
          <a:extLst>
            <a:ext uri="{FF2B5EF4-FFF2-40B4-BE49-F238E27FC236}">
              <a16:creationId xmlns:a16="http://schemas.microsoft.com/office/drawing/2014/main" id="{00000000-0008-0000-0C00-000008461000}"/>
            </a:ext>
          </a:extLst>
        </xdr:cNvPr>
        <xdr:cNvSpPr>
          <a:spLocks noChangeShapeType="1"/>
        </xdr:cNvSpPr>
      </xdr:nvSpPr>
      <xdr:spPr bwMode="auto">
        <a:xfrm>
          <a:off x="336804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32</xdr:row>
      <xdr:rowOff>9525</xdr:rowOff>
    </xdr:from>
    <xdr:to>
      <xdr:col>50</xdr:col>
      <xdr:colOff>66675</xdr:colOff>
      <xdr:row>35</xdr:row>
      <xdr:rowOff>19050</xdr:rowOff>
    </xdr:to>
    <xdr:sp macro="" textlink="">
      <xdr:nvSpPr>
        <xdr:cNvPr id="1066505" name="Line 372">
          <a:extLst>
            <a:ext uri="{FF2B5EF4-FFF2-40B4-BE49-F238E27FC236}">
              <a16:creationId xmlns:a16="http://schemas.microsoft.com/office/drawing/2014/main" id="{00000000-0008-0000-0C00-000009461000}"/>
            </a:ext>
          </a:extLst>
        </xdr:cNvPr>
        <xdr:cNvSpPr>
          <a:spLocks noChangeShapeType="1"/>
        </xdr:cNvSpPr>
      </xdr:nvSpPr>
      <xdr:spPr bwMode="auto">
        <a:xfrm>
          <a:off x="3374707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9525</xdr:colOff>
      <xdr:row>35</xdr:row>
      <xdr:rowOff>0</xdr:rowOff>
    </xdr:from>
    <xdr:to>
      <xdr:col>50</xdr:col>
      <xdr:colOff>66675</xdr:colOff>
      <xdr:row>35</xdr:row>
      <xdr:rowOff>9525</xdr:rowOff>
    </xdr:to>
    <xdr:sp macro="" textlink="">
      <xdr:nvSpPr>
        <xdr:cNvPr id="1066506" name="Line 373">
          <a:extLst>
            <a:ext uri="{FF2B5EF4-FFF2-40B4-BE49-F238E27FC236}">
              <a16:creationId xmlns:a16="http://schemas.microsoft.com/office/drawing/2014/main" id="{00000000-0008-0000-0C00-00000A461000}"/>
            </a:ext>
          </a:extLst>
        </xdr:cNvPr>
        <xdr:cNvSpPr>
          <a:spLocks noChangeShapeType="1"/>
        </xdr:cNvSpPr>
      </xdr:nvSpPr>
      <xdr:spPr bwMode="auto">
        <a:xfrm flipV="1">
          <a:off x="336899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0</xdr:colOff>
      <xdr:row>32</xdr:row>
      <xdr:rowOff>0</xdr:rowOff>
    </xdr:from>
    <xdr:to>
      <xdr:col>50</xdr:col>
      <xdr:colOff>76200</xdr:colOff>
      <xdr:row>32</xdr:row>
      <xdr:rowOff>9525</xdr:rowOff>
    </xdr:to>
    <xdr:sp macro="" textlink="">
      <xdr:nvSpPr>
        <xdr:cNvPr id="1066507" name="Line 374">
          <a:extLst>
            <a:ext uri="{FF2B5EF4-FFF2-40B4-BE49-F238E27FC236}">
              <a16:creationId xmlns:a16="http://schemas.microsoft.com/office/drawing/2014/main" id="{00000000-0008-0000-0C00-00000B461000}"/>
            </a:ext>
          </a:extLst>
        </xdr:cNvPr>
        <xdr:cNvSpPr>
          <a:spLocks noChangeShapeType="1"/>
        </xdr:cNvSpPr>
      </xdr:nvSpPr>
      <xdr:spPr bwMode="auto">
        <a:xfrm>
          <a:off x="336804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32</xdr:row>
      <xdr:rowOff>9525</xdr:rowOff>
    </xdr:from>
    <xdr:to>
      <xdr:col>50</xdr:col>
      <xdr:colOff>66675</xdr:colOff>
      <xdr:row>35</xdr:row>
      <xdr:rowOff>19050</xdr:rowOff>
    </xdr:to>
    <xdr:sp macro="" textlink="">
      <xdr:nvSpPr>
        <xdr:cNvPr id="1066508" name="Line 375">
          <a:extLst>
            <a:ext uri="{FF2B5EF4-FFF2-40B4-BE49-F238E27FC236}">
              <a16:creationId xmlns:a16="http://schemas.microsoft.com/office/drawing/2014/main" id="{00000000-0008-0000-0C00-00000C461000}"/>
            </a:ext>
          </a:extLst>
        </xdr:cNvPr>
        <xdr:cNvSpPr>
          <a:spLocks noChangeShapeType="1"/>
        </xdr:cNvSpPr>
      </xdr:nvSpPr>
      <xdr:spPr bwMode="auto">
        <a:xfrm>
          <a:off x="3374707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9525</xdr:colOff>
      <xdr:row>35</xdr:row>
      <xdr:rowOff>0</xdr:rowOff>
    </xdr:from>
    <xdr:to>
      <xdr:col>50</xdr:col>
      <xdr:colOff>66675</xdr:colOff>
      <xdr:row>35</xdr:row>
      <xdr:rowOff>9525</xdr:rowOff>
    </xdr:to>
    <xdr:sp macro="" textlink="">
      <xdr:nvSpPr>
        <xdr:cNvPr id="1066509" name="Line 376">
          <a:extLst>
            <a:ext uri="{FF2B5EF4-FFF2-40B4-BE49-F238E27FC236}">
              <a16:creationId xmlns:a16="http://schemas.microsoft.com/office/drawing/2014/main" id="{00000000-0008-0000-0C00-00000D461000}"/>
            </a:ext>
          </a:extLst>
        </xdr:cNvPr>
        <xdr:cNvSpPr>
          <a:spLocks noChangeShapeType="1"/>
        </xdr:cNvSpPr>
      </xdr:nvSpPr>
      <xdr:spPr bwMode="auto">
        <a:xfrm flipV="1">
          <a:off x="336899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76200</xdr:colOff>
      <xdr:row>33</xdr:row>
      <xdr:rowOff>66675</xdr:rowOff>
    </xdr:from>
    <xdr:to>
      <xdr:col>51</xdr:col>
      <xdr:colOff>9525</xdr:colOff>
      <xdr:row>35</xdr:row>
      <xdr:rowOff>19050</xdr:rowOff>
    </xdr:to>
    <xdr:sp macro="" textlink="">
      <xdr:nvSpPr>
        <xdr:cNvPr id="1066510" name="Line 377">
          <a:extLst>
            <a:ext uri="{FF2B5EF4-FFF2-40B4-BE49-F238E27FC236}">
              <a16:creationId xmlns:a16="http://schemas.microsoft.com/office/drawing/2014/main" id="{00000000-0008-0000-0C00-00000E461000}"/>
            </a:ext>
          </a:extLst>
        </xdr:cNvPr>
        <xdr:cNvSpPr>
          <a:spLocks noChangeShapeType="1"/>
        </xdr:cNvSpPr>
      </xdr:nvSpPr>
      <xdr:spPr bwMode="auto">
        <a:xfrm>
          <a:off x="33756600" y="66389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0</xdr:colOff>
      <xdr:row>32</xdr:row>
      <xdr:rowOff>0</xdr:rowOff>
    </xdr:from>
    <xdr:to>
      <xdr:col>50</xdr:col>
      <xdr:colOff>76200</xdr:colOff>
      <xdr:row>32</xdr:row>
      <xdr:rowOff>9525</xdr:rowOff>
    </xdr:to>
    <xdr:sp macro="" textlink="">
      <xdr:nvSpPr>
        <xdr:cNvPr id="1066511" name="Line 378">
          <a:extLst>
            <a:ext uri="{FF2B5EF4-FFF2-40B4-BE49-F238E27FC236}">
              <a16:creationId xmlns:a16="http://schemas.microsoft.com/office/drawing/2014/main" id="{00000000-0008-0000-0C00-00000F461000}"/>
            </a:ext>
          </a:extLst>
        </xdr:cNvPr>
        <xdr:cNvSpPr>
          <a:spLocks noChangeShapeType="1"/>
        </xdr:cNvSpPr>
      </xdr:nvSpPr>
      <xdr:spPr bwMode="auto">
        <a:xfrm>
          <a:off x="336804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32</xdr:row>
      <xdr:rowOff>9525</xdr:rowOff>
    </xdr:from>
    <xdr:to>
      <xdr:col>50</xdr:col>
      <xdr:colOff>66675</xdr:colOff>
      <xdr:row>35</xdr:row>
      <xdr:rowOff>19050</xdr:rowOff>
    </xdr:to>
    <xdr:sp macro="" textlink="">
      <xdr:nvSpPr>
        <xdr:cNvPr id="1066512" name="Line 379">
          <a:extLst>
            <a:ext uri="{FF2B5EF4-FFF2-40B4-BE49-F238E27FC236}">
              <a16:creationId xmlns:a16="http://schemas.microsoft.com/office/drawing/2014/main" id="{00000000-0008-0000-0C00-000010461000}"/>
            </a:ext>
          </a:extLst>
        </xdr:cNvPr>
        <xdr:cNvSpPr>
          <a:spLocks noChangeShapeType="1"/>
        </xdr:cNvSpPr>
      </xdr:nvSpPr>
      <xdr:spPr bwMode="auto">
        <a:xfrm>
          <a:off x="3374707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9525</xdr:colOff>
      <xdr:row>35</xdr:row>
      <xdr:rowOff>0</xdr:rowOff>
    </xdr:from>
    <xdr:to>
      <xdr:col>50</xdr:col>
      <xdr:colOff>66675</xdr:colOff>
      <xdr:row>35</xdr:row>
      <xdr:rowOff>9525</xdr:rowOff>
    </xdr:to>
    <xdr:sp macro="" textlink="">
      <xdr:nvSpPr>
        <xdr:cNvPr id="1066513" name="Line 380">
          <a:extLst>
            <a:ext uri="{FF2B5EF4-FFF2-40B4-BE49-F238E27FC236}">
              <a16:creationId xmlns:a16="http://schemas.microsoft.com/office/drawing/2014/main" id="{00000000-0008-0000-0C00-000011461000}"/>
            </a:ext>
          </a:extLst>
        </xdr:cNvPr>
        <xdr:cNvSpPr>
          <a:spLocks noChangeShapeType="1"/>
        </xdr:cNvSpPr>
      </xdr:nvSpPr>
      <xdr:spPr bwMode="auto">
        <a:xfrm flipV="1">
          <a:off x="336899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0</xdr:colOff>
      <xdr:row>32</xdr:row>
      <xdr:rowOff>0</xdr:rowOff>
    </xdr:from>
    <xdr:to>
      <xdr:col>47</xdr:col>
      <xdr:colOff>76200</xdr:colOff>
      <xdr:row>32</xdr:row>
      <xdr:rowOff>9525</xdr:rowOff>
    </xdr:to>
    <xdr:sp macro="" textlink="">
      <xdr:nvSpPr>
        <xdr:cNvPr id="1066514" name="Line 382">
          <a:extLst>
            <a:ext uri="{FF2B5EF4-FFF2-40B4-BE49-F238E27FC236}">
              <a16:creationId xmlns:a16="http://schemas.microsoft.com/office/drawing/2014/main" id="{00000000-0008-0000-0C00-000012461000}"/>
            </a:ext>
          </a:extLst>
        </xdr:cNvPr>
        <xdr:cNvSpPr>
          <a:spLocks noChangeShapeType="1"/>
        </xdr:cNvSpPr>
      </xdr:nvSpPr>
      <xdr:spPr bwMode="auto">
        <a:xfrm>
          <a:off x="315849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9525</xdr:colOff>
      <xdr:row>35</xdr:row>
      <xdr:rowOff>0</xdr:rowOff>
    </xdr:from>
    <xdr:to>
      <xdr:col>47</xdr:col>
      <xdr:colOff>66675</xdr:colOff>
      <xdr:row>35</xdr:row>
      <xdr:rowOff>9525</xdr:rowOff>
    </xdr:to>
    <xdr:sp macro="" textlink="">
      <xdr:nvSpPr>
        <xdr:cNvPr id="1066515" name="Line 384">
          <a:extLst>
            <a:ext uri="{FF2B5EF4-FFF2-40B4-BE49-F238E27FC236}">
              <a16:creationId xmlns:a16="http://schemas.microsoft.com/office/drawing/2014/main" id="{00000000-0008-0000-0C00-000013461000}"/>
            </a:ext>
          </a:extLst>
        </xdr:cNvPr>
        <xdr:cNvSpPr>
          <a:spLocks noChangeShapeType="1"/>
        </xdr:cNvSpPr>
      </xdr:nvSpPr>
      <xdr:spPr bwMode="auto">
        <a:xfrm flipV="1">
          <a:off x="315944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66675</xdr:colOff>
      <xdr:row>34</xdr:row>
      <xdr:rowOff>142875</xdr:rowOff>
    </xdr:from>
    <xdr:to>
      <xdr:col>44</xdr:col>
      <xdr:colOff>438150</xdr:colOff>
      <xdr:row>39</xdr:row>
      <xdr:rowOff>76200</xdr:rowOff>
    </xdr:to>
    <xdr:sp macro="" textlink="">
      <xdr:nvSpPr>
        <xdr:cNvPr id="1066516" name="Line 386">
          <a:extLst>
            <a:ext uri="{FF2B5EF4-FFF2-40B4-BE49-F238E27FC236}">
              <a16:creationId xmlns:a16="http://schemas.microsoft.com/office/drawing/2014/main" id="{00000000-0008-0000-0C00-000014461000}"/>
            </a:ext>
          </a:extLst>
        </xdr:cNvPr>
        <xdr:cNvSpPr>
          <a:spLocks noChangeShapeType="1"/>
        </xdr:cNvSpPr>
      </xdr:nvSpPr>
      <xdr:spPr bwMode="auto">
        <a:xfrm flipV="1">
          <a:off x="29489400" y="6896100"/>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66675</xdr:colOff>
      <xdr:row>39</xdr:row>
      <xdr:rowOff>95250</xdr:rowOff>
    </xdr:from>
    <xdr:to>
      <xdr:col>45</xdr:col>
      <xdr:colOff>0</xdr:colOff>
      <xdr:row>43</xdr:row>
      <xdr:rowOff>171450</xdr:rowOff>
    </xdr:to>
    <xdr:sp macro="" textlink="">
      <xdr:nvSpPr>
        <xdr:cNvPr id="1066517" name="Line 387">
          <a:extLst>
            <a:ext uri="{FF2B5EF4-FFF2-40B4-BE49-F238E27FC236}">
              <a16:creationId xmlns:a16="http://schemas.microsoft.com/office/drawing/2014/main" id="{00000000-0008-0000-0C00-000015461000}"/>
            </a:ext>
          </a:extLst>
        </xdr:cNvPr>
        <xdr:cNvSpPr>
          <a:spLocks noChangeShapeType="1"/>
        </xdr:cNvSpPr>
      </xdr:nvSpPr>
      <xdr:spPr bwMode="auto">
        <a:xfrm>
          <a:off x="29489400" y="7753350"/>
          <a:ext cx="3810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66675</xdr:colOff>
      <xdr:row>40</xdr:row>
      <xdr:rowOff>161925</xdr:rowOff>
    </xdr:from>
    <xdr:to>
      <xdr:col>44</xdr:col>
      <xdr:colOff>438150</xdr:colOff>
      <xdr:row>45</xdr:row>
      <xdr:rowOff>95250</xdr:rowOff>
    </xdr:to>
    <xdr:sp macro="" textlink="">
      <xdr:nvSpPr>
        <xdr:cNvPr id="1066518" name="Line 388">
          <a:extLst>
            <a:ext uri="{FF2B5EF4-FFF2-40B4-BE49-F238E27FC236}">
              <a16:creationId xmlns:a16="http://schemas.microsoft.com/office/drawing/2014/main" id="{00000000-0008-0000-0C00-000016461000}"/>
            </a:ext>
          </a:extLst>
        </xdr:cNvPr>
        <xdr:cNvSpPr>
          <a:spLocks noChangeShapeType="1"/>
        </xdr:cNvSpPr>
      </xdr:nvSpPr>
      <xdr:spPr bwMode="auto">
        <a:xfrm flipV="1">
          <a:off x="29489400" y="8001000"/>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66675</xdr:colOff>
      <xdr:row>45</xdr:row>
      <xdr:rowOff>95250</xdr:rowOff>
    </xdr:from>
    <xdr:to>
      <xdr:col>45</xdr:col>
      <xdr:colOff>0</xdr:colOff>
      <xdr:row>49</xdr:row>
      <xdr:rowOff>171450</xdr:rowOff>
    </xdr:to>
    <xdr:sp macro="" textlink="">
      <xdr:nvSpPr>
        <xdr:cNvPr id="1066519" name="Line 389">
          <a:extLst>
            <a:ext uri="{FF2B5EF4-FFF2-40B4-BE49-F238E27FC236}">
              <a16:creationId xmlns:a16="http://schemas.microsoft.com/office/drawing/2014/main" id="{00000000-0008-0000-0C00-000017461000}"/>
            </a:ext>
          </a:extLst>
        </xdr:cNvPr>
        <xdr:cNvSpPr>
          <a:spLocks noChangeShapeType="1"/>
        </xdr:cNvSpPr>
      </xdr:nvSpPr>
      <xdr:spPr bwMode="auto">
        <a:xfrm>
          <a:off x="29489400" y="8839200"/>
          <a:ext cx="3810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66675</xdr:colOff>
      <xdr:row>51</xdr:row>
      <xdr:rowOff>57150</xdr:rowOff>
    </xdr:from>
    <xdr:to>
      <xdr:col>45</xdr:col>
      <xdr:colOff>0</xdr:colOff>
      <xdr:row>56</xdr:row>
      <xdr:rowOff>19050</xdr:rowOff>
    </xdr:to>
    <xdr:sp macro="" textlink="">
      <xdr:nvSpPr>
        <xdr:cNvPr id="1066520" name="Line 390">
          <a:extLst>
            <a:ext uri="{FF2B5EF4-FFF2-40B4-BE49-F238E27FC236}">
              <a16:creationId xmlns:a16="http://schemas.microsoft.com/office/drawing/2014/main" id="{00000000-0008-0000-0C00-000018461000}"/>
            </a:ext>
          </a:extLst>
        </xdr:cNvPr>
        <xdr:cNvSpPr>
          <a:spLocks noChangeShapeType="1"/>
        </xdr:cNvSpPr>
      </xdr:nvSpPr>
      <xdr:spPr bwMode="auto">
        <a:xfrm>
          <a:off x="29489400" y="9886950"/>
          <a:ext cx="38100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66675</xdr:colOff>
      <xdr:row>46</xdr:row>
      <xdr:rowOff>152400</xdr:rowOff>
    </xdr:from>
    <xdr:to>
      <xdr:col>44</xdr:col>
      <xdr:colOff>438150</xdr:colOff>
      <xdr:row>51</xdr:row>
      <xdr:rowOff>85725</xdr:rowOff>
    </xdr:to>
    <xdr:sp macro="" textlink="">
      <xdr:nvSpPr>
        <xdr:cNvPr id="1066521" name="Line 391">
          <a:extLst>
            <a:ext uri="{FF2B5EF4-FFF2-40B4-BE49-F238E27FC236}">
              <a16:creationId xmlns:a16="http://schemas.microsoft.com/office/drawing/2014/main" id="{00000000-0008-0000-0C00-000019461000}"/>
            </a:ext>
          </a:extLst>
        </xdr:cNvPr>
        <xdr:cNvSpPr>
          <a:spLocks noChangeShapeType="1"/>
        </xdr:cNvSpPr>
      </xdr:nvSpPr>
      <xdr:spPr bwMode="auto">
        <a:xfrm flipV="1">
          <a:off x="29489400" y="9077325"/>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66675</xdr:colOff>
      <xdr:row>52</xdr:row>
      <xdr:rowOff>152400</xdr:rowOff>
    </xdr:from>
    <xdr:to>
      <xdr:col>45</xdr:col>
      <xdr:colOff>0</xdr:colOff>
      <xdr:row>57</xdr:row>
      <xdr:rowOff>76200</xdr:rowOff>
    </xdr:to>
    <xdr:sp macro="" textlink="">
      <xdr:nvSpPr>
        <xdr:cNvPr id="1066522" name="Line 392">
          <a:extLst>
            <a:ext uri="{FF2B5EF4-FFF2-40B4-BE49-F238E27FC236}">
              <a16:creationId xmlns:a16="http://schemas.microsoft.com/office/drawing/2014/main" id="{00000000-0008-0000-0C00-00001A461000}"/>
            </a:ext>
          </a:extLst>
        </xdr:cNvPr>
        <xdr:cNvSpPr>
          <a:spLocks noChangeShapeType="1"/>
        </xdr:cNvSpPr>
      </xdr:nvSpPr>
      <xdr:spPr bwMode="auto">
        <a:xfrm flipV="1">
          <a:off x="29489400" y="10163175"/>
          <a:ext cx="381000" cy="8286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76200</xdr:colOff>
      <xdr:row>35</xdr:row>
      <xdr:rowOff>0</xdr:rowOff>
    </xdr:from>
    <xdr:to>
      <xdr:col>48</xdr:col>
      <xdr:colOff>0</xdr:colOff>
      <xdr:row>39</xdr:row>
      <xdr:rowOff>66675</xdr:rowOff>
    </xdr:to>
    <xdr:sp macro="" textlink="">
      <xdr:nvSpPr>
        <xdr:cNvPr id="1066523" name="Line 393">
          <a:extLst>
            <a:ext uri="{FF2B5EF4-FFF2-40B4-BE49-F238E27FC236}">
              <a16:creationId xmlns:a16="http://schemas.microsoft.com/office/drawing/2014/main" id="{00000000-0008-0000-0C00-00001B461000}"/>
            </a:ext>
          </a:extLst>
        </xdr:cNvPr>
        <xdr:cNvSpPr>
          <a:spLocks noChangeShapeType="1"/>
        </xdr:cNvSpPr>
      </xdr:nvSpPr>
      <xdr:spPr bwMode="auto">
        <a:xfrm flipV="1">
          <a:off x="31661100" y="6934200"/>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76200</xdr:colOff>
      <xdr:row>40</xdr:row>
      <xdr:rowOff>171450</xdr:rowOff>
    </xdr:from>
    <xdr:to>
      <xdr:col>48</xdr:col>
      <xdr:colOff>0</xdr:colOff>
      <xdr:row>45</xdr:row>
      <xdr:rowOff>57150</xdr:rowOff>
    </xdr:to>
    <xdr:sp macro="" textlink="">
      <xdr:nvSpPr>
        <xdr:cNvPr id="1066524" name="Line 394">
          <a:extLst>
            <a:ext uri="{FF2B5EF4-FFF2-40B4-BE49-F238E27FC236}">
              <a16:creationId xmlns:a16="http://schemas.microsoft.com/office/drawing/2014/main" id="{00000000-0008-0000-0C00-00001C461000}"/>
            </a:ext>
          </a:extLst>
        </xdr:cNvPr>
        <xdr:cNvSpPr>
          <a:spLocks noChangeShapeType="1"/>
        </xdr:cNvSpPr>
      </xdr:nvSpPr>
      <xdr:spPr bwMode="auto">
        <a:xfrm flipV="1">
          <a:off x="31661100" y="8010525"/>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76200</xdr:colOff>
      <xdr:row>46</xdr:row>
      <xdr:rowOff>171450</xdr:rowOff>
    </xdr:from>
    <xdr:to>
      <xdr:col>48</xdr:col>
      <xdr:colOff>0</xdr:colOff>
      <xdr:row>51</xdr:row>
      <xdr:rowOff>57150</xdr:rowOff>
    </xdr:to>
    <xdr:sp macro="" textlink="">
      <xdr:nvSpPr>
        <xdr:cNvPr id="1066525" name="Line 395">
          <a:extLst>
            <a:ext uri="{FF2B5EF4-FFF2-40B4-BE49-F238E27FC236}">
              <a16:creationId xmlns:a16="http://schemas.microsoft.com/office/drawing/2014/main" id="{00000000-0008-0000-0C00-00001D461000}"/>
            </a:ext>
          </a:extLst>
        </xdr:cNvPr>
        <xdr:cNvSpPr>
          <a:spLocks noChangeShapeType="1"/>
        </xdr:cNvSpPr>
      </xdr:nvSpPr>
      <xdr:spPr bwMode="auto">
        <a:xfrm flipV="1">
          <a:off x="31661100" y="9096375"/>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66675</xdr:colOff>
      <xdr:row>52</xdr:row>
      <xdr:rowOff>142875</xdr:rowOff>
    </xdr:from>
    <xdr:to>
      <xdr:col>48</xdr:col>
      <xdr:colOff>0</xdr:colOff>
      <xdr:row>57</xdr:row>
      <xdr:rowOff>66675</xdr:rowOff>
    </xdr:to>
    <xdr:sp macro="" textlink="">
      <xdr:nvSpPr>
        <xdr:cNvPr id="1066526" name="Line 396">
          <a:extLst>
            <a:ext uri="{FF2B5EF4-FFF2-40B4-BE49-F238E27FC236}">
              <a16:creationId xmlns:a16="http://schemas.microsoft.com/office/drawing/2014/main" id="{00000000-0008-0000-0C00-00001E461000}"/>
            </a:ext>
          </a:extLst>
        </xdr:cNvPr>
        <xdr:cNvSpPr>
          <a:spLocks noChangeShapeType="1"/>
        </xdr:cNvSpPr>
      </xdr:nvSpPr>
      <xdr:spPr bwMode="auto">
        <a:xfrm flipV="1">
          <a:off x="31651575" y="10153650"/>
          <a:ext cx="342900" cy="8286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57150</xdr:colOff>
      <xdr:row>39</xdr:row>
      <xdr:rowOff>76200</xdr:rowOff>
    </xdr:from>
    <xdr:to>
      <xdr:col>47</xdr:col>
      <xdr:colOff>400050</xdr:colOff>
      <xdr:row>44</xdr:row>
      <xdr:rowOff>0</xdr:rowOff>
    </xdr:to>
    <xdr:sp macro="" textlink="">
      <xdr:nvSpPr>
        <xdr:cNvPr id="1066527" name="Line 397">
          <a:extLst>
            <a:ext uri="{FF2B5EF4-FFF2-40B4-BE49-F238E27FC236}">
              <a16:creationId xmlns:a16="http://schemas.microsoft.com/office/drawing/2014/main" id="{00000000-0008-0000-0C00-00001F461000}"/>
            </a:ext>
          </a:extLst>
        </xdr:cNvPr>
        <xdr:cNvSpPr>
          <a:spLocks noChangeShapeType="1"/>
        </xdr:cNvSpPr>
      </xdr:nvSpPr>
      <xdr:spPr bwMode="auto">
        <a:xfrm>
          <a:off x="31642050" y="7734300"/>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66675</xdr:colOff>
      <xdr:row>45</xdr:row>
      <xdr:rowOff>85725</xdr:rowOff>
    </xdr:from>
    <xdr:to>
      <xdr:col>48</xdr:col>
      <xdr:colOff>0</xdr:colOff>
      <xdr:row>50</xdr:row>
      <xdr:rowOff>9525</xdr:rowOff>
    </xdr:to>
    <xdr:sp macro="" textlink="">
      <xdr:nvSpPr>
        <xdr:cNvPr id="1066528" name="Line 398">
          <a:extLst>
            <a:ext uri="{FF2B5EF4-FFF2-40B4-BE49-F238E27FC236}">
              <a16:creationId xmlns:a16="http://schemas.microsoft.com/office/drawing/2014/main" id="{00000000-0008-0000-0C00-000020461000}"/>
            </a:ext>
          </a:extLst>
        </xdr:cNvPr>
        <xdr:cNvSpPr>
          <a:spLocks noChangeShapeType="1"/>
        </xdr:cNvSpPr>
      </xdr:nvSpPr>
      <xdr:spPr bwMode="auto">
        <a:xfrm>
          <a:off x="31651575" y="8829675"/>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76200</xdr:colOff>
      <xdr:row>51</xdr:row>
      <xdr:rowOff>57150</xdr:rowOff>
    </xdr:from>
    <xdr:to>
      <xdr:col>48</xdr:col>
      <xdr:colOff>0</xdr:colOff>
      <xdr:row>56</xdr:row>
      <xdr:rowOff>28575</xdr:rowOff>
    </xdr:to>
    <xdr:sp macro="" textlink="">
      <xdr:nvSpPr>
        <xdr:cNvPr id="1066529" name="Line 399">
          <a:extLst>
            <a:ext uri="{FF2B5EF4-FFF2-40B4-BE49-F238E27FC236}">
              <a16:creationId xmlns:a16="http://schemas.microsoft.com/office/drawing/2014/main" id="{00000000-0008-0000-0C00-000021461000}"/>
            </a:ext>
          </a:extLst>
        </xdr:cNvPr>
        <xdr:cNvSpPr>
          <a:spLocks noChangeShapeType="1"/>
        </xdr:cNvSpPr>
      </xdr:nvSpPr>
      <xdr:spPr bwMode="auto">
        <a:xfrm>
          <a:off x="31661100" y="9886950"/>
          <a:ext cx="333375" cy="8763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62</xdr:row>
      <xdr:rowOff>0</xdr:rowOff>
    </xdr:from>
    <xdr:to>
      <xdr:col>44</xdr:col>
      <xdr:colOff>76200</xdr:colOff>
      <xdr:row>62</xdr:row>
      <xdr:rowOff>9525</xdr:rowOff>
    </xdr:to>
    <xdr:sp macro="" textlink="">
      <xdr:nvSpPr>
        <xdr:cNvPr id="1066530" name="Line 343">
          <a:extLst>
            <a:ext uri="{FF2B5EF4-FFF2-40B4-BE49-F238E27FC236}">
              <a16:creationId xmlns:a16="http://schemas.microsoft.com/office/drawing/2014/main" id="{00000000-0008-0000-0C00-000022461000}"/>
            </a:ext>
          </a:extLst>
        </xdr:cNvPr>
        <xdr:cNvSpPr>
          <a:spLocks noChangeShapeType="1"/>
        </xdr:cNvSpPr>
      </xdr:nvSpPr>
      <xdr:spPr bwMode="auto">
        <a:xfrm>
          <a:off x="29422725" y="1175385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0</xdr:colOff>
      <xdr:row>62</xdr:row>
      <xdr:rowOff>0</xdr:rowOff>
    </xdr:from>
    <xdr:to>
      <xdr:col>47</xdr:col>
      <xdr:colOff>76200</xdr:colOff>
      <xdr:row>62</xdr:row>
      <xdr:rowOff>9525</xdr:rowOff>
    </xdr:to>
    <xdr:sp macro="" textlink="">
      <xdr:nvSpPr>
        <xdr:cNvPr id="1066531" name="Line 346">
          <a:extLst>
            <a:ext uri="{FF2B5EF4-FFF2-40B4-BE49-F238E27FC236}">
              <a16:creationId xmlns:a16="http://schemas.microsoft.com/office/drawing/2014/main" id="{00000000-0008-0000-0C00-000023461000}"/>
            </a:ext>
          </a:extLst>
        </xdr:cNvPr>
        <xdr:cNvSpPr>
          <a:spLocks noChangeShapeType="1"/>
        </xdr:cNvSpPr>
      </xdr:nvSpPr>
      <xdr:spPr bwMode="auto">
        <a:xfrm>
          <a:off x="31584900" y="1175385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0</xdr:colOff>
      <xdr:row>62</xdr:row>
      <xdr:rowOff>0</xdr:rowOff>
    </xdr:from>
    <xdr:to>
      <xdr:col>50</xdr:col>
      <xdr:colOff>76200</xdr:colOff>
      <xdr:row>62</xdr:row>
      <xdr:rowOff>9525</xdr:rowOff>
    </xdr:to>
    <xdr:sp macro="" textlink="">
      <xdr:nvSpPr>
        <xdr:cNvPr id="1066532" name="Line 349">
          <a:extLst>
            <a:ext uri="{FF2B5EF4-FFF2-40B4-BE49-F238E27FC236}">
              <a16:creationId xmlns:a16="http://schemas.microsoft.com/office/drawing/2014/main" id="{00000000-0008-0000-0C00-000024461000}"/>
            </a:ext>
          </a:extLst>
        </xdr:cNvPr>
        <xdr:cNvSpPr>
          <a:spLocks noChangeShapeType="1"/>
        </xdr:cNvSpPr>
      </xdr:nvSpPr>
      <xdr:spPr bwMode="auto">
        <a:xfrm>
          <a:off x="33680400" y="1175385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0</xdr:colOff>
      <xdr:row>62</xdr:row>
      <xdr:rowOff>0</xdr:rowOff>
    </xdr:from>
    <xdr:to>
      <xdr:col>50</xdr:col>
      <xdr:colOff>76200</xdr:colOff>
      <xdr:row>62</xdr:row>
      <xdr:rowOff>9525</xdr:rowOff>
    </xdr:to>
    <xdr:sp macro="" textlink="">
      <xdr:nvSpPr>
        <xdr:cNvPr id="1066533" name="Line 352">
          <a:extLst>
            <a:ext uri="{FF2B5EF4-FFF2-40B4-BE49-F238E27FC236}">
              <a16:creationId xmlns:a16="http://schemas.microsoft.com/office/drawing/2014/main" id="{00000000-0008-0000-0C00-000025461000}"/>
            </a:ext>
          </a:extLst>
        </xdr:cNvPr>
        <xdr:cNvSpPr>
          <a:spLocks noChangeShapeType="1"/>
        </xdr:cNvSpPr>
      </xdr:nvSpPr>
      <xdr:spPr bwMode="auto">
        <a:xfrm>
          <a:off x="33680400" y="1175385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0</xdr:colOff>
      <xdr:row>62</xdr:row>
      <xdr:rowOff>0</xdr:rowOff>
    </xdr:from>
    <xdr:to>
      <xdr:col>50</xdr:col>
      <xdr:colOff>76200</xdr:colOff>
      <xdr:row>62</xdr:row>
      <xdr:rowOff>9525</xdr:rowOff>
    </xdr:to>
    <xdr:sp macro="" textlink="">
      <xdr:nvSpPr>
        <xdr:cNvPr id="1066534" name="Line 356">
          <a:extLst>
            <a:ext uri="{FF2B5EF4-FFF2-40B4-BE49-F238E27FC236}">
              <a16:creationId xmlns:a16="http://schemas.microsoft.com/office/drawing/2014/main" id="{00000000-0008-0000-0C00-000026461000}"/>
            </a:ext>
          </a:extLst>
        </xdr:cNvPr>
        <xdr:cNvSpPr>
          <a:spLocks noChangeShapeType="1"/>
        </xdr:cNvSpPr>
      </xdr:nvSpPr>
      <xdr:spPr bwMode="auto">
        <a:xfrm>
          <a:off x="33680400" y="1175385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62</xdr:row>
      <xdr:rowOff>0</xdr:rowOff>
    </xdr:from>
    <xdr:to>
      <xdr:col>50</xdr:col>
      <xdr:colOff>400050</xdr:colOff>
      <xdr:row>63</xdr:row>
      <xdr:rowOff>114300</xdr:rowOff>
    </xdr:to>
    <xdr:sp macro="" textlink="">
      <xdr:nvSpPr>
        <xdr:cNvPr id="1066535" name="Line 359">
          <a:extLst>
            <a:ext uri="{FF2B5EF4-FFF2-40B4-BE49-F238E27FC236}">
              <a16:creationId xmlns:a16="http://schemas.microsoft.com/office/drawing/2014/main" id="{00000000-0008-0000-0C00-000027461000}"/>
            </a:ext>
          </a:extLst>
        </xdr:cNvPr>
        <xdr:cNvSpPr>
          <a:spLocks noChangeShapeType="1"/>
        </xdr:cNvSpPr>
      </xdr:nvSpPr>
      <xdr:spPr bwMode="auto">
        <a:xfrm flipV="1">
          <a:off x="33747075" y="11753850"/>
          <a:ext cx="333375" cy="3143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0</xdr:colOff>
      <xdr:row>62</xdr:row>
      <xdr:rowOff>0</xdr:rowOff>
    </xdr:from>
    <xdr:to>
      <xdr:col>47</xdr:col>
      <xdr:colOff>76200</xdr:colOff>
      <xdr:row>62</xdr:row>
      <xdr:rowOff>9525</xdr:rowOff>
    </xdr:to>
    <xdr:sp macro="" textlink="">
      <xdr:nvSpPr>
        <xdr:cNvPr id="1066536" name="Line 360">
          <a:extLst>
            <a:ext uri="{FF2B5EF4-FFF2-40B4-BE49-F238E27FC236}">
              <a16:creationId xmlns:a16="http://schemas.microsoft.com/office/drawing/2014/main" id="{00000000-0008-0000-0C00-000028461000}"/>
            </a:ext>
          </a:extLst>
        </xdr:cNvPr>
        <xdr:cNvSpPr>
          <a:spLocks noChangeShapeType="1"/>
        </xdr:cNvSpPr>
      </xdr:nvSpPr>
      <xdr:spPr bwMode="auto">
        <a:xfrm>
          <a:off x="31584900" y="1175385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9525</xdr:colOff>
      <xdr:row>65</xdr:row>
      <xdr:rowOff>0</xdr:rowOff>
    </xdr:from>
    <xdr:to>
      <xdr:col>44</xdr:col>
      <xdr:colOff>66675</xdr:colOff>
      <xdr:row>65</xdr:row>
      <xdr:rowOff>9525</xdr:rowOff>
    </xdr:to>
    <xdr:sp macro="" textlink="">
      <xdr:nvSpPr>
        <xdr:cNvPr id="1066537" name="Line 345">
          <a:extLst>
            <a:ext uri="{FF2B5EF4-FFF2-40B4-BE49-F238E27FC236}">
              <a16:creationId xmlns:a16="http://schemas.microsoft.com/office/drawing/2014/main" id="{00000000-0008-0000-0C00-000029461000}"/>
            </a:ext>
          </a:extLst>
        </xdr:cNvPr>
        <xdr:cNvSpPr>
          <a:spLocks noChangeShapeType="1"/>
        </xdr:cNvSpPr>
      </xdr:nvSpPr>
      <xdr:spPr bwMode="auto">
        <a:xfrm flipV="1">
          <a:off x="29432250" y="123158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9525</xdr:colOff>
      <xdr:row>65</xdr:row>
      <xdr:rowOff>0</xdr:rowOff>
    </xdr:from>
    <xdr:to>
      <xdr:col>47</xdr:col>
      <xdr:colOff>66675</xdr:colOff>
      <xdr:row>65</xdr:row>
      <xdr:rowOff>9525</xdr:rowOff>
    </xdr:to>
    <xdr:sp macro="" textlink="">
      <xdr:nvSpPr>
        <xdr:cNvPr id="1066538" name="Line 348">
          <a:extLst>
            <a:ext uri="{FF2B5EF4-FFF2-40B4-BE49-F238E27FC236}">
              <a16:creationId xmlns:a16="http://schemas.microsoft.com/office/drawing/2014/main" id="{00000000-0008-0000-0C00-00002A461000}"/>
            </a:ext>
          </a:extLst>
        </xdr:cNvPr>
        <xdr:cNvSpPr>
          <a:spLocks noChangeShapeType="1"/>
        </xdr:cNvSpPr>
      </xdr:nvSpPr>
      <xdr:spPr bwMode="auto">
        <a:xfrm flipV="1">
          <a:off x="31594425" y="123158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9525</xdr:colOff>
      <xdr:row>65</xdr:row>
      <xdr:rowOff>0</xdr:rowOff>
    </xdr:from>
    <xdr:to>
      <xdr:col>50</xdr:col>
      <xdr:colOff>66675</xdr:colOff>
      <xdr:row>65</xdr:row>
      <xdr:rowOff>9525</xdr:rowOff>
    </xdr:to>
    <xdr:sp macro="" textlink="">
      <xdr:nvSpPr>
        <xdr:cNvPr id="1066539" name="Line 351">
          <a:extLst>
            <a:ext uri="{FF2B5EF4-FFF2-40B4-BE49-F238E27FC236}">
              <a16:creationId xmlns:a16="http://schemas.microsoft.com/office/drawing/2014/main" id="{00000000-0008-0000-0C00-00002B461000}"/>
            </a:ext>
          </a:extLst>
        </xdr:cNvPr>
        <xdr:cNvSpPr>
          <a:spLocks noChangeShapeType="1"/>
        </xdr:cNvSpPr>
      </xdr:nvSpPr>
      <xdr:spPr bwMode="auto">
        <a:xfrm flipV="1">
          <a:off x="33689925" y="123158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9525</xdr:colOff>
      <xdr:row>65</xdr:row>
      <xdr:rowOff>0</xdr:rowOff>
    </xdr:from>
    <xdr:to>
      <xdr:col>50</xdr:col>
      <xdr:colOff>66675</xdr:colOff>
      <xdr:row>65</xdr:row>
      <xdr:rowOff>9525</xdr:rowOff>
    </xdr:to>
    <xdr:sp macro="" textlink="">
      <xdr:nvSpPr>
        <xdr:cNvPr id="1066540" name="Line 354">
          <a:extLst>
            <a:ext uri="{FF2B5EF4-FFF2-40B4-BE49-F238E27FC236}">
              <a16:creationId xmlns:a16="http://schemas.microsoft.com/office/drawing/2014/main" id="{00000000-0008-0000-0C00-00002C461000}"/>
            </a:ext>
          </a:extLst>
        </xdr:cNvPr>
        <xdr:cNvSpPr>
          <a:spLocks noChangeShapeType="1"/>
        </xdr:cNvSpPr>
      </xdr:nvSpPr>
      <xdr:spPr bwMode="auto">
        <a:xfrm flipV="1">
          <a:off x="33689925" y="123158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66675</xdr:colOff>
      <xdr:row>63</xdr:row>
      <xdr:rowOff>114300</xdr:rowOff>
    </xdr:from>
    <xdr:to>
      <xdr:col>51</xdr:col>
      <xdr:colOff>0</xdr:colOff>
      <xdr:row>64</xdr:row>
      <xdr:rowOff>171450</xdr:rowOff>
    </xdr:to>
    <xdr:sp macro="" textlink="">
      <xdr:nvSpPr>
        <xdr:cNvPr id="1066541" name="Line 355">
          <a:extLst>
            <a:ext uri="{FF2B5EF4-FFF2-40B4-BE49-F238E27FC236}">
              <a16:creationId xmlns:a16="http://schemas.microsoft.com/office/drawing/2014/main" id="{00000000-0008-0000-0C00-00002D461000}"/>
            </a:ext>
          </a:extLst>
        </xdr:cNvPr>
        <xdr:cNvSpPr>
          <a:spLocks noChangeShapeType="1"/>
        </xdr:cNvSpPr>
      </xdr:nvSpPr>
      <xdr:spPr bwMode="auto">
        <a:xfrm>
          <a:off x="33747075" y="12068175"/>
          <a:ext cx="342900" cy="2476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9525</xdr:colOff>
      <xdr:row>65</xdr:row>
      <xdr:rowOff>0</xdr:rowOff>
    </xdr:from>
    <xdr:to>
      <xdr:col>50</xdr:col>
      <xdr:colOff>66675</xdr:colOff>
      <xdr:row>65</xdr:row>
      <xdr:rowOff>9525</xdr:rowOff>
    </xdr:to>
    <xdr:sp macro="" textlink="">
      <xdr:nvSpPr>
        <xdr:cNvPr id="1066542" name="Line 358">
          <a:extLst>
            <a:ext uri="{FF2B5EF4-FFF2-40B4-BE49-F238E27FC236}">
              <a16:creationId xmlns:a16="http://schemas.microsoft.com/office/drawing/2014/main" id="{00000000-0008-0000-0C00-00002E461000}"/>
            </a:ext>
          </a:extLst>
        </xdr:cNvPr>
        <xdr:cNvSpPr>
          <a:spLocks noChangeShapeType="1"/>
        </xdr:cNvSpPr>
      </xdr:nvSpPr>
      <xdr:spPr bwMode="auto">
        <a:xfrm flipV="1">
          <a:off x="33689925" y="123158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9525</xdr:colOff>
      <xdr:row>65</xdr:row>
      <xdr:rowOff>0</xdr:rowOff>
    </xdr:from>
    <xdr:to>
      <xdr:col>47</xdr:col>
      <xdr:colOff>66675</xdr:colOff>
      <xdr:row>65</xdr:row>
      <xdr:rowOff>9525</xdr:rowOff>
    </xdr:to>
    <xdr:sp macro="" textlink="">
      <xdr:nvSpPr>
        <xdr:cNvPr id="1066543" name="Line 362">
          <a:extLst>
            <a:ext uri="{FF2B5EF4-FFF2-40B4-BE49-F238E27FC236}">
              <a16:creationId xmlns:a16="http://schemas.microsoft.com/office/drawing/2014/main" id="{00000000-0008-0000-0C00-00002F461000}"/>
            </a:ext>
          </a:extLst>
        </xdr:cNvPr>
        <xdr:cNvSpPr>
          <a:spLocks noChangeShapeType="1"/>
        </xdr:cNvSpPr>
      </xdr:nvSpPr>
      <xdr:spPr bwMode="auto">
        <a:xfrm flipV="1">
          <a:off x="31594425" y="123158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66675</xdr:colOff>
      <xdr:row>63</xdr:row>
      <xdr:rowOff>85725</xdr:rowOff>
    </xdr:from>
    <xdr:to>
      <xdr:col>45</xdr:col>
      <xdr:colOff>9525</xdr:colOff>
      <xdr:row>65</xdr:row>
      <xdr:rowOff>0</xdr:rowOff>
    </xdr:to>
    <xdr:sp macro="" textlink="">
      <xdr:nvSpPr>
        <xdr:cNvPr id="1066544" name="Line 363">
          <a:extLst>
            <a:ext uri="{FF2B5EF4-FFF2-40B4-BE49-F238E27FC236}">
              <a16:creationId xmlns:a16="http://schemas.microsoft.com/office/drawing/2014/main" id="{00000000-0008-0000-0C00-000030461000}"/>
            </a:ext>
          </a:extLst>
        </xdr:cNvPr>
        <xdr:cNvSpPr>
          <a:spLocks noChangeShapeType="1"/>
        </xdr:cNvSpPr>
      </xdr:nvSpPr>
      <xdr:spPr bwMode="auto">
        <a:xfrm>
          <a:off x="29489400" y="12039600"/>
          <a:ext cx="390525" cy="276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57150</xdr:colOff>
      <xdr:row>63</xdr:row>
      <xdr:rowOff>76200</xdr:rowOff>
    </xdr:from>
    <xdr:to>
      <xdr:col>48</xdr:col>
      <xdr:colOff>0</xdr:colOff>
      <xdr:row>65</xdr:row>
      <xdr:rowOff>0</xdr:rowOff>
    </xdr:to>
    <xdr:sp macro="" textlink="">
      <xdr:nvSpPr>
        <xdr:cNvPr id="1066545" name="Line 364">
          <a:extLst>
            <a:ext uri="{FF2B5EF4-FFF2-40B4-BE49-F238E27FC236}">
              <a16:creationId xmlns:a16="http://schemas.microsoft.com/office/drawing/2014/main" id="{00000000-0008-0000-0C00-000031461000}"/>
            </a:ext>
          </a:extLst>
        </xdr:cNvPr>
        <xdr:cNvSpPr>
          <a:spLocks noChangeShapeType="1"/>
        </xdr:cNvSpPr>
      </xdr:nvSpPr>
      <xdr:spPr bwMode="auto">
        <a:xfrm>
          <a:off x="31642050" y="12030075"/>
          <a:ext cx="352425" cy="2857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xdr:colOff>
      <xdr:row>61</xdr:row>
      <xdr:rowOff>142875</xdr:rowOff>
    </xdr:from>
    <xdr:to>
      <xdr:col>44</xdr:col>
      <xdr:colOff>85725</xdr:colOff>
      <xdr:row>65</xdr:row>
      <xdr:rowOff>19050</xdr:rowOff>
    </xdr:to>
    <xdr:sp macro="" textlink="">
      <xdr:nvSpPr>
        <xdr:cNvPr id="1066546" name="Line 344">
          <a:extLst>
            <a:ext uri="{FF2B5EF4-FFF2-40B4-BE49-F238E27FC236}">
              <a16:creationId xmlns:a16="http://schemas.microsoft.com/office/drawing/2014/main" id="{00000000-0008-0000-0C00-000032461000}"/>
            </a:ext>
          </a:extLst>
        </xdr:cNvPr>
        <xdr:cNvSpPr>
          <a:spLocks noChangeShapeType="1"/>
        </xdr:cNvSpPr>
      </xdr:nvSpPr>
      <xdr:spPr bwMode="auto">
        <a:xfrm flipH="1">
          <a:off x="29508450" y="11734800"/>
          <a:ext cx="0" cy="600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66675</xdr:colOff>
      <xdr:row>61</xdr:row>
      <xdr:rowOff>142875</xdr:rowOff>
    </xdr:from>
    <xdr:to>
      <xdr:col>47</xdr:col>
      <xdr:colOff>66675</xdr:colOff>
      <xdr:row>65</xdr:row>
      <xdr:rowOff>19050</xdr:rowOff>
    </xdr:to>
    <xdr:sp macro="" textlink="">
      <xdr:nvSpPr>
        <xdr:cNvPr id="1066547" name="Line 344">
          <a:extLst>
            <a:ext uri="{FF2B5EF4-FFF2-40B4-BE49-F238E27FC236}">
              <a16:creationId xmlns:a16="http://schemas.microsoft.com/office/drawing/2014/main" id="{00000000-0008-0000-0C00-000033461000}"/>
            </a:ext>
          </a:extLst>
        </xdr:cNvPr>
        <xdr:cNvSpPr>
          <a:spLocks noChangeShapeType="1"/>
        </xdr:cNvSpPr>
      </xdr:nvSpPr>
      <xdr:spPr bwMode="auto">
        <a:xfrm flipH="1">
          <a:off x="31651575" y="11734800"/>
          <a:ext cx="0" cy="600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85725</xdr:colOff>
      <xdr:row>61</xdr:row>
      <xdr:rowOff>152400</xdr:rowOff>
    </xdr:from>
    <xdr:to>
      <xdr:col>50</xdr:col>
      <xdr:colOff>85725</xdr:colOff>
      <xdr:row>65</xdr:row>
      <xdr:rowOff>28575</xdr:rowOff>
    </xdr:to>
    <xdr:sp macro="" textlink="">
      <xdr:nvSpPr>
        <xdr:cNvPr id="1066548" name="Line 344">
          <a:extLst>
            <a:ext uri="{FF2B5EF4-FFF2-40B4-BE49-F238E27FC236}">
              <a16:creationId xmlns:a16="http://schemas.microsoft.com/office/drawing/2014/main" id="{00000000-0008-0000-0C00-000034461000}"/>
            </a:ext>
          </a:extLst>
        </xdr:cNvPr>
        <xdr:cNvSpPr>
          <a:spLocks noChangeShapeType="1"/>
        </xdr:cNvSpPr>
      </xdr:nvSpPr>
      <xdr:spPr bwMode="auto">
        <a:xfrm flipH="1">
          <a:off x="33766125" y="11744325"/>
          <a:ext cx="0" cy="600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66675</xdr:colOff>
      <xdr:row>58</xdr:row>
      <xdr:rowOff>152400</xdr:rowOff>
    </xdr:from>
    <xdr:to>
      <xdr:col>45</xdr:col>
      <xdr:colOff>0</xdr:colOff>
      <xdr:row>63</xdr:row>
      <xdr:rowOff>76200</xdr:rowOff>
    </xdr:to>
    <xdr:sp macro="" textlink="">
      <xdr:nvSpPr>
        <xdr:cNvPr id="1066549" name="Line 392">
          <a:extLst>
            <a:ext uri="{FF2B5EF4-FFF2-40B4-BE49-F238E27FC236}">
              <a16:creationId xmlns:a16="http://schemas.microsoft.com/office/drawing/2014/main" id="{00000000-0008-0000-0C00-000035461000}"/>
            </a:ext>
          </a:extLst>
        </xdr:cNvPr>
        <xdr:cNvSpPr>
          <a:spLocks noChangeShapeType="1"/>
        </xdr:cNvSpPr>
      </xdr:nvSpPr>
      <xdr:spPr bwMode="auto">
        <a:xfrm flipV="1">
          <a:off x="29489400" y="11249025"/>
          <a:ext cx="381000" cy="781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66675</xdr:colOff>
      <xdr:row>59</xdr:row>
      <xdr:rowOff>0</xdr:rowOff>
    </xdr:from>
    <xdr:to>
      <xdr:col>48</xdr:col>
      <xdr:colOff>0</xdr:colOff>
      <xdr:row>63</xdr:row>
      <xdr:rowOff>76200</xdr:rowOff>
    </xdr:to>
    <xdr:sp macro="" textlink="">
      <xdr:nvSpPr>
        <xdr:cNvPr id="1066550" name="Line 392">
          <a:extLst>
            <a:ext uri="{FF2B5EF4-FFF2-40B4-BE49-F238E27FC236}">
              <a16:creationId xmlns:a16="http://schemas.microsoft.com/office/drawing/2014/main" id="{00000000-0008-0000-0C00-000036461000}"/>
            </a:ext>
          </a:extLst>
        </xdr:cNvPr>
        <xdr:cNvSpPr>
          <a:spLocks noChangeShapeType="1"/>
        </xdr:cNvSpPr>
      </xdr:nvSpPr>
      <xdr:spPr bwMode="auto">
        <a:xfrm flipV="1">
          <a:off x="31651575" y="11258550"/>
          <a:ext cx="342900" cy="771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0</xdr:colOff>
      <xdr:row>8</xdr:row>
      <xdr:rowOff>0</xdr:rowOff>
    </xdr:from>
    <xdr:to>
      <xdr:col>60</xdr:col>
      <xdr:colOff>76200</xdr:colOff>
      <xdr:row>8</xdr:row>
      <xdr:rowOff>9525</xdr:rowOff>
    </xdr:to>
    <xdr:sp macro="" textlink="">
      <xdr:nvSpPr>
        <xdr:cNvPr id="1066551" name="Line 1">
          <a:extLst>
            <a:ext uri="{FF2B5EF4-FFF2-40B4-BE49-F238E27FC236}">
              <a16:creationId xmlns:a16="http://schemas.microsoft.com/office/drawing/2014/main" id="{00000000-0008-0000-0C00-000037461000}"/>
            </a:ext>
          </a:extLst>
        </xdr:cNvPr>
        <xdr:cNvSpPr>
          <a:spLocks noChangeShapeType="1"/>
        </xdr:cNvSpPr>
      </xdr:nvSpPr>
      <xdr:spPr bwMode="auto">
        <a:xfrm>
          <a:off x="4041457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66675</xdr:colOff>
      <xdr:row>8</xdr:row>
      <xdr:rowOff>9525</xdr:rowOff>
    </xdr:from>
    <xdr:to>
      <xdr:col>60</xdr:col>
      <xdr:colOff>66675</xdr:colOff>
      <xdr:row>11</xdr:row>
      <xdr:rowOff>19050</xdr:rowOff>
    </xdr:to>
    <xdr:sp macro="" textlink="">
      <xdr:nvSpPr>
        <xdr:cNvPr id="1066552" name="Line 2">
          <a:extLst>
            <a:ext uri="{FF2B5EF4-FFF2-40B4-BE49-F238E27FC236}">
              <a16:creationId xmlns:a16="http://schemas.microsoft.com/office/drawing/2014/main" id="{00000000-0008-0000-0C00-000038461000}"/>
            </a:ext>
          </a:extLst>
        </xdr:cNvPr>
        <xdr:cNvSpPr>
          <a:spLocks noChangeShapeType="1"/>
        </xdr:cNvSpPr>
      </xdr:nvSpPr>
      <xdr:spPr bwMode="auto">
        <a:xfrm>
          <a:off x="4048125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9525</xdr:colOff>
      <xdr:row>11</xdr:row>
      <xdr:rowOff>0</xdr:rowOff>
    </xdr:from>
    <xdr:to>
      <xdr:col>60</xdr:col>
      <xdr:colOff>66675</xdr:colOff>
      <xdr:row>11</xdr:row>
      <xdr:rowOff>9525</xdr:rowOff>
    </xdr:to>
    <xdr:sp macro="" textlink="">
      <xdr:nvSpPr>
        <xdr:cNvPr id="1066553" name="Line 3">
          <a:extLst>
            <a:ext uri="{FF2B5EF4-FFF2-40B4-BE49-F238E27FC236}">
              <a16:creationId xmlns:a16="http://schemas.microsoft.com/office/drawing/2014/main" id="{00000000-0008-0000-0C00-000039461000}"/>
            </a:ext>
          </a:extLst>
        </xdr:cNvPr>
        <xdr:cNvSpPr>
          <a:spLocks noChangeShapeType="1"/>
        </xdr:cNvSpPr>
      </xdr:nvSpPr>
      <xdr:spPr bwMode="auto">
        <a:xfrm flipV="1">
          <a:off x="4042410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0</xdr:colOff>
      <xdr:row>8</xdr:row>
      <xdr:rowOff>0</xdr:rowOff>
    </xdr:from>
    <xdr:to>
      <xdr:col>57</xdr:col>
      <xdr:colOff>76200</xdr:colOff>
      <xdr:row>8</xdr:row>
      <xdr:rowOff>9525</xdr:rowOff>
    </xdr:to>
    <xdr:sp macro="" textlink="">
      <xdr:nvSpPr>
        <xdr:cNvPr id="1066554" name="Line 4">
          <a:extLst>
            <a:ext uri="{FF2B5EF4-FFF2-40B4-BE49-F238E27FC236}">
              <a16:creationId xmlns:a16="http://schemas.microsoft.com/office/drawing/2014/main" id="{00000000-0008-0000-0C00-00003A461000}"/>
            </a:ext>
          </a:extLst>
        </xdr:cNvPr>
        <xdr:cNvSpPr>
          <a:spLocks noChangeShapeType="1"/>
        </xdr:cNvSpPr>
      </xdr:nvSpPr>
      <xdr:spPr bwMode="auto">
        <a:xfrm>
          <a:off x="382524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66675</xdr:colOff>
      <xdr:row>8</xdr:row>
      <xdr:rowOff>9525</xdr:rowOff>
    </xdr:from>
    <xdr:to>
      <xdr:col>57</xdr:col>
      <xdr:colOff>66675</xdr:colOff>
      <xdr:row>11</xdr:row>
      <xdr:rowOff>19050</xdr:rowOff>
    </xdr:to>
    <xdr:sp macro="" textlink="">
      <xdr:nvSpPr>
        <xdr:cNvPr id="1066555" name="Line 5">
          <a:extLst>
            <a:ext uri="{FF2B5EF4-FFF2-40B4-BE49-F238E27FC236}">
              <a16:creationId xmlns:a16="http://schemas.microsoft.com/office/drawing/2014/main" id="{00000000-0008-0000-0C00-00003B461000}"/>
            </a:ext>
          </a:extLst>
        </xdr:cNvPr>
        <xdr:cNvSpPr>
          <a:spLocks noChangeShapeType="1"/>
        </xdr:cNvSpPr>
      </xdr:nvSpPr>
      <xdr:spPr bwMode="auto">
        <a:xfrm>
          <a:off x="383190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9525</xdr:colOff>
      <xdr:row>11</xdr:row>
      <xdr:rowOff>0</xdr:rowOff>
    </xdr:from>
    <xdr:to>
      <xdr:col>57</xdr:col>
      <xdr:colOff>66675</xdr:colOff>
      <xdr:row>11</xdr:row>
      <xdr:rowOff>9525</xdr:rowOff>
    </xdr:to>
    <xdr:sp macro="" textlink="">
      <xdr:nvSpPr>
        <xdr:cNvPr id="1066556" name="Line 6">
          <a:extLst>
            <a:ext uri="{FF2B5EF4-FFF2-40B4-BE49-F238E27FC236}">
              <a16:creationId xmlns:a16="http://schemas.microsoft.com/office/drawing/2014/main" id="{00000000-0008-0000-0C00-00003C461000}"/>
            </a:ext>
          </a:extLst>
        </xdr:cNvPr>
        <xdr:cNvSpPr>
          <a:spLocks noChangeShapeType="1"/>
        </xdr:cNvSpPr>
      </xdr:nvSpPr>
      <xdr:spPr bwMode="auto">
        <a:xfrm flipV="1">
          <a:off x="382619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0</xdr:colOff>
      <xdr:row>8</xdr:row>
      <xdr:rowOff>0</xdr:rowOff>
    </xdr:from>
    <xdr:to>
      <xdr:col>63</xdr:col>
      <xdr:colOff>76200</xdr:colOff>
      <xdr:row>8</xdr:row>
      <xdr:rowOff>9525</xdr:rowOff>
    </xdr:to>
    <xdr:sp macro="" textlink="">
      <xdr:nvSpPr>
        <xdr:cNvPr id="1066557" name="Line 16">
          <a:extLst>
            <a:ext uri="{FF2B5EF4-FFF2-40B4-BE49-F238E27FC236}">
              <a16:creationId xmlns:a16="http://schemas.microsoft.com/office/drawing/2014/main" id="{00000000-0008-0000-0C00-00003D461000}"/>
            </a:ext>
          </a:extLst>
        </xdr:cNvPr>
        <xdr:cNvSpPr>
          <a:spLocks noChangeShapeType="1"/>
        </xdr:cNvSpPr>
      </xdr:nvSpPr>
      <xdr:spPr bwMode="auto">
        <a:xfrm>
          <a:off x="4251007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66675</xdr:colOff>
      <xdr:row>8</xdr:row>
      <xdr:rowOff>9525</xdr:rowOff>
    </xdr:from>
    <xdr:to>
      <xdr:col>63</xdr:col>
      <xdr:colOff>66675</xdr:colOff>
      <xdr:row>11</xdr:row>
      <xdr:rowOff>19050</xdr:rowOff>
    </xdr:to>
    <xdr:sp macro="" textlink="">
      <xdr:nvSpPr>
        <xdr:cNvPr id="1066558" name="Line 17">
          <a:extLst>
            <a:ext uri="{FF2B5EF4-FFF2-40B4-BE49-F238E27FC236}">
              <a16:creationId xmlns:a16="http://schemas.microsoft.com/office/drawing/2014/main" id="{00000000-0008-0000-0C00-00003E461000}"/>
            </a:ext>
          </a:extLst>
        </xdr:cNvPr>
        <xdr:cNvSpPr>
          <a:spLocks noChangeShapeType="1"/>
        </xdr:cNvSpPr>
      </xdr:nvSpPr>
      <xdr:spPr bwMode="auto">
        <a:xfrm>
          <a:off x="4257675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9525</xdr:colOff>
      <xdr:row>11</xdr:row>
      <xdr:rowOff>0</xdr:rowOff>
    </xdr:from>
    <xdr:to>
      <xdr:col>63</xdr:col>
      <xdr:colOff>66675</xdr:colOff>
      <xdr:row>11</xdr:row>
      <xdr:rowOff>9525</xdr:rowOff>
    </xdr:to>
    <xdr:sp macro="" textlink="">
      <xdr:nvSpPr>
        <xdr:cNvPr id="1066559" name="Line 18">
          <a:extLst>
            <a:ext uri="{FF2B5EF4-FFF2-40B4-BE49-F238E27FC236}">
              <a16:creationId xmlns:a16="http://schemas.microsoft.com/office/drawing/2014/main" id="{00000000-0008-0000-0C00-00003F461000}"/>
            </a:ext>
          </a:extLst>
        </xdr:cNvPr>
        <xdr:cNvSpPr>
          <a:spLocks noChangeShapeType="1"/>
        </xdr:cNvSpPr>
      </xdr:nvSpPr>
      <xdr:spPr bwMode="auto">
        <a:xfrm flipV="1">
          <a:off x="4251960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0</xdr:colOff>
      <xdr:row>14</xdr:row>
      <xdr:rowOff>0</xdr:rowOff>
    </xdr:from>
    <xdr:to>
      <xdr:col>63</xdr:col>
      <xdr:colOff>76200</xdr:colOff>
      <xdr:row>14</xdr:row>
      <xdr:rowOff>9525</xdr:rowOff>
    </xdr:to>
    <xdr:sp macro="" textlink="">
      <xdr:nvSpPr>
        <xdr:cNvPr id="1066560" name="Line 28">
          <a:extLst>
            <a:ext uri="{FF2B5EF4-FFF2-40B4-BE49-F238E27FC236}">
              <a16:creationId xmlns:a16="http://schemas.microsoft.com/office/drawing/2014/main" id="{00000000-0008-0000-0C00-000040461000}"/>
            </a:ext>
          </a:extLst>
        </xdr:cNvPr>
        <xdr:cNvSpPr>
          <a:spLocks noChangeShapeType="1"/>
        </xdr:cNvSpPr>
      </xdr:nvSpPr>
      <xdr:spPr bwMode="auto">
        <a:xfrm>
          <a:off x="4251007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66675</xdr:colOff>
      <xdr:row>14</xdr:row>
      <xdr:rowOff>9525</xdr:rowOff>
    </xdr:from>
    <xdr:to>
      <xdr:col>63</xdr:col>
      <xdr:colOff>66675</xdr:colOff>
      <xdr:row>17</xdr:row>
      <xdr:rowOff>19050</xdr:rowOff>
    </xdr:to>
    <xdr:sp macro="" textlink="">
      <xdr:nvSpPr>
        <xdr:cNvPr id="1066561" name="Line 29">
          <a:extLst>
            <a:ext uri="{FF2B5EF4-FFF2-40B4-BE49-F238E27FC236}">
              <a16:creationId xmlns:a16="http://schemas.microsoft.com/office/drawing/2014/main" id="{00000000-0008-0000-0C00-000041461000}"/>
            </a:ext>
          </a:extLst>
        </xdr:cNvPr>
        <xdr:cNvSpPr>
          <a:spLocks noChangeShapeType="1"/>
        </xdr:cNvSpPr>
      </xdr:nvSpPr>
      <xdr:spPr bwMode="auto">
        <a:xfrm>
          <a:off x="4257675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9525</xdr:colOff>
      <xdr:row>17</xdr:row>
      <xdr:rowOff>0</xdr:rowOff>
    </xdr:from>
    <xdr:to>
      <xdr:col>63</xdr:col>
      <xdr:colOff>66675</xdr:colOff>
      <xdr:row>17</xdr:row>
      <xdr:rowOff>9525</xdr:rowOff>
    </xdr:to>
    <xdr:sp macro="" textlink="">
      <xdr:nvSpPr>
        <xdr:cNvPr id="1066562" name="Line 30">
          <a:extLst>
            <a:ext uri="{FF2B5EF4-FFF2-40B4-BE49-F238E27FC236}">
              <a16:creationId xmlns:a16="http://schemas.microsoft.com/office/drawing/2014/main" id="{00000000-0008-0000-0C00-000042461000}"/>
            </a:ext>
          </a:extLst>
        </xdr:cNvPr>
        <xdr:cNvSpPr>
          <a:spLocks noChangeShapeType="1"/>
        </xdr:cNvSpPr>
      </xdr:nvSpPr>
      <xdr:spPr bwMode="auto">
        <a:xfrm flipV="1">
          <a:off x="425196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0</xdr:colOff>
      <xdr:row>14</xdr:row>
      <xdr:rowOff>0</xdr:rowOff>
    </xdr:from>
    <xdr:to>
      <xdr:col>60</xdr:col>
      <xdr:colOff>76200</xdr:colOff>
      <xdr:row>14</xdr:row>
      <xdr:rowOff>9525</xdr:rowOff>
    </xdr:to>
    <xdr:sp macro="" textlink="">
      <xdr:nvSpPr>
        <xdr:cNvPr id="1066563" name="Line 31">
          <a:extLst>
            <a:ext uri="{FF2B5EF4-FFF2-40B4-BE49-F238E27FC236}">
              <a16:creationId xmlns:a16="http://schemas.microsoft.com/office/drawing/2014/main" id="{00000000-0008-0000-0C00-000043461000}"/>
            </a:ext>
          </a:extLst>
        </xdr:cNvPr>
        <xdr:cNvSpPr>
          <a:spLocks noChangeShapeType="1"/>
        </xdr:cNvSpPr>
      </xdr:nvSpPr>
      <xdr:spPr bwMode="auto">
        <a:xfrm>
          <a:off x="4041457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66675</xdr:colOff>
      <xdr:row>14</xdr:row>
      <xdr:rowOff>9525</xdr:rowOff>
    </xdr:from>
    <xdr:to>
      <xdr:col>60</xdr:col>
      <xdr:colOff>66675</xdr:colOff>
      <xdr:row>17</xdr:row>
      <xdr:rowOff>19050</xdr:rowOff>
    </xdr:to>
    <xdr:sp macro="" textlink="">
      <xdr:nvSpPr>
        <xdr:cNvPr id="1066564" name="Line 32">
          <a:extLst>
            <a:ext uri="{FF2B5EF4-FFF2-40B4-BE49-F238E27FC236}">
              <a16:creationId xmlns:a16="http://schemas.microsoft.com/office/drawing/2014/main" id="{00000000-0008-0000-0C00-000044461000}"/>
            </a:ext>
          </a:extLst>
        </xdr:cNvPr>
        <xdr:cNvSpPr>
          <a:spLocks noChangeShapeType="1"/>
        </xdr:cNvSpPr>
      </xdr:nvSpPr>
      <xdr:spPr bwMode="auto">
        <a:xfrm>
          <a:off x="4048125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9525</xdr:colOff>
      <xdr:row>17</xdr:row>
      <xdr:rowOff>0</xdr:rowOff>
    </xdr:from>
    <xdr:to>
      <xdr:col>60</xdr:col>
      <xdr:colOff>66675</xdr:colOff>
      <xdr:row>17</xdr:row>
      <xdr:rowOff>9525</xdr:rowOff>
    </xdr:to>
    <xdr:sp macro="" textlink="">
      <xdr:nvSpPr>
        <xdr:cNvPr id="1066565" name="Line 33">
          <a:extLst>
            <a:ext uri="{FF2B5EF4-FFF2-40B4-BE49-F238E27FC236}">
              <a16:creationId xmlns:a16="http://schemas.microsoft.com/office/drawing/2014/main" id="{00000000-0008-0000-0C00-000045461000}"/>
            </a:ext>
          </a:extLst>
        </xdr:cNvPr>
        <xdr:cNvSpPr>
          <a:spLocks noChangeShapeType="1"/>
        </xdr:cNvSpPr>
      </xdr:nvSpPr>
      <xdr:spPr bwMode="auto">
        <a:xfrm flipV="1">
          <a:off x="404241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0</xdr:colOff>
      <xdr:row>14</xdr:row>
      <xdr:rowOff>0</xdr:rowOff>
    </xdr:from>
    <xdr:to>
      <xdr:col>57</xdr:col>
      <xdr:colOff>76200</xdr:colOff>
      <xdr:row>14</xdr:row>
      <xdr:rowOff>9525</xdr:rowOff>
    </xdr:to>
    <xdr:sp macro="" textlink="">
      <xdr:nvSpPr>
        <xdr:cNvPr id="1066566" name="Line 34">
          <a:extLst>
            <a:ext uri="{FF2B5EF4-FFF2-40B4-BE49-F238E27FC236}">
              <a16:creationId xmlns:a16="http://schemas.microsoft.com/office/drawing/2014/main" id="{00000000-0008-0000-0C00-000046461000}"/>
            </a:ext>
          </a:extLst>
        </xdr:cNvPr>
        <xdr:cNvSpPr>
          <a:spLocks noChangeShapeType="1"/>
        </xdr:cNvSpPr>
      </xdr:nvSpPr>
      <xdr:spPr bwMode="auto">
        <a:xfrm>
          <a:off x="382524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66675</xdr:colOff>
      <xdr:row>14</xdr:row>
      <xdr:rowOff>9525</xdr:rowOff>
    </xdr:from>
    <xdr:to>
      <xdr:col>57</xdr:col>
      <xdr:colOff>66675</xdr:colOff>
      <xdr:row>17</xdr:row>
      <xdr:rowOff>19050</xdr:rowOff>
    </xdr:to>
    <xdr:sp macro="" textlink="">
      <xdr:nvSpPr>
        <xdr:cNvPr id="1066567" name="Line 35">
          <a:extLst>
            <a:ext uri="{FF2B5EF4-FFF2-40B4-BE49-F238E27FC236}">
              <a16:creationId xmlns:a16="http://schemas.microsoft.com/office/drawing/2014/main" id="{00000000-0008-0000-0C00-000047461000}"/>
            </a:ext>
          </a:extLst>
        </xdr:cNvPr>
        <xdr:cNvSpPr>
          <a:spLocks noChangeShapeType="1"/>
        </xdr:cNvSpPr>
      </xdr:nvSpPr>
      <xdr:spPr bwMode="auto">
        <a:xfrm>
          <a:off x="383190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9525</xdr:colOff>
      <xdr:row>17</xdr:row>
      <xdr:rowOff>0</xdr:rowOff>
    </xdr:from>
    <xdr:to>
      <xdr:col>57</xdr:col>
      <xdr:colOff>66675</xdr:colOff>
      <xdr:row>17</xdr:row>
      <xdr:rowOff>9525</xdr:rowOff>
    </xdr:to>
    <xdr:sp macro="" textlink="">
      <xdr:nvSpPr>
        <xdr:cNvPr id="1066568" name="Line 36">
          <a:extLst>
            <a:ext uri="{FF2B5EF4-FFF2-40B4-BE49-F238E27FC236}">
              <a16:creationId xmlns:a16="http://schemas.microsoft.com/office/drawing/2014/main" id="{00000000-0008-0000-0C00-000048461000}"/>
            </a:ext>
          </a:extLst>
        </xdr:cNvPr>
        <xdr:cNvSpPr>
          <a:spLocks noChangeShapeType="1"/>
        </xdr:cNvSpPr>
      </xdr:nvSpPr>
      <xdr:spPr bwMode="auto">
        <a:xfrm flipV="1">
          <a:off x="382619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0</xdr:colOff>
      <xdr:row>20</xdr:row>
      <xdr:rowOff>0</xdr:rowOff>
    </xdr:from>
    <xdr:to>
      <xdr:col>57</xdr:col>
      <xdr:colOff>76200</xdr:colOff>
      <xdr:row>20</xdr:row>
      <xdr:rowOff>9525</xdr:rowOff>
    </xdr:to>
    <xdr:sp macro="" textlink="">
      <xdr:nvSpPr>
        <xdr:cNvPr id="1066569" name="Line 37">
          <a:extLst>
            <a:ext uri="{FF2B5EF4-FFF2-40B4-BE49-F238E27FC236}">
              <a16:creationId xmlns:a16="http://schemas.microsoft.com/office/drawing/2014/main" id="{00000000-0008-0000-0C00-000049461000}"/>
            </a:ext>
          </a:extLst>
        </xdr:cNvPr>
        <xdr:cNvSpPr>
          <a:spLocks noChangeShapeType="1"/>
        </xdr:cNvSpPr>
      </xdr:nvSpPr>
      <xdr:spPr bwMode="auto">
        <a:xfrm>
          <a:off x="382524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66675</xdr:colOff>
      <xdr:row>20</xdr:row>
      <xdr:rowOff>9525</xdr:rowOff>
    </xdr:from>
    <xdr:to>
      <xdr:col>57</xdr:col>
      <xdr:colOff>66675</xdr:colOff>
      <xdr:row>23</xdr:row>
      <xdr:rowOff>19050</xdr:rowOff>
    </xdr:to>
    <xdr:sp macro="" textlink="">
      <xdr:nvSpPr>
        <xdr:cNvPr id="1066570" name="Line 38">
          <a:extLst>
            <a:ext uri="{FF2B5EF4-FFF2-40B4-BE49-F238E27FC236}">
              <a16:creationId xmlns:a16="http://schemas.microsoft.com/office/drawing/2014/main" id="{00000000-0008-0000-0C00-00004A461000}"/>
            </a:ext>
          </a:extLst>
        </xdr:cNvPr>
        <xdr:cNvSpPr>
          <a:spLocks noChangeShapeType="1"/>
        </xdr:cNvSpPr>
      </xdr:nvSpPr>
      <xdr:spPr bwMode="auto">
        <a:xfrm>
          <a:off x="3831907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9525</xdr:colOff>
      <xdr:row>23</xdr:row>
      <xdr:rowOff>0</xdr:rowOff>
    </xdr:from>
    <xdr:to>
      <xdr:col>57</xdr:col>
      <xdr:colOff>66675</xdr:colOff>
      <xdr:row>23</xdr:row>
      <xdr:rowOff>9525</xdr:rowOff>
    </xdr:to>
    <xdr:sp macro="" textlink="">
      <xdr:nvSpPr>
        <xdr:cNvPr id="1066571" name="Line 39">
          <a:extLst>
            <a:ext uri="{FF2B5EF4-FFF2-40B4-BE49-F238E27FC236}">
              <a16:creationId xmlns:a16="http://schemas.microsoft.com/office/drawing/2014/main" id="{00000000-0008-0000-0C00-00004B461000}"/>
            </a:ext>
          </a:extLst>
        </xdr:cNvPr>
        <xdr:cNvSpPr>
          <a:spLocks noChangeShapeType="1"/>
        </xdr:cNvSpPr>
      </xdr:nvSpPr>
      <xdr:spPr bwMode="auto">
        <a:xfrm flipV="1">
          <a:off x="382619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0</xdr:colOff>
      <xdr:row>20</xdr:row>
      <xdr:rowOff>0</xdr:rowOff>
    </xdr:from>
    <xdr:to>
      <xdr:col>60</xdr:col>
      <xdr:colOff>76200</xdr:colOff>
      <xdr:row>20</xdr:row>
      <xdr:rowOff>9525</xdr:rowOff>
    </xdr:to>
    <xdr:sp macro="" textlink="">
      <xdr:nvSpPr>
        <xdr:cNvPr id="1066572" name="Line 40">
          <a:extLst>
            <a:ext uri="{FF2B5EF4-FFF2-40B4-BE49-F238E27FC236}">
              <a16:creationId xmlns:a16="http://schemas.microsoft.com/office/drawing/2014/main" id="{00000000-0008-0000-0C00-00004C461000}"/>
            </a:ext>
          </a:extLst>
        </xdr:cNvPr>
        <xdr:cNvSpPr>
          <a:spLocks noChangeShapeType="1"/>
        </xdr:cNvSpPr>
      </xdr:nvSpPr>
      <xdr:spPr bwMode="auto">
        <a:xfrm>
          <a:off x="404145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66675</xdr:colOff>
      <xdr:row>20</xdr:row>
      <xdr:rowOff>9525</xdr:rowOff>
    </xdr:from>
    <xdr:to>
      <xdr:col>60</xdr:col>
      <xdr:colOff>66675</xdr:colOff>
      <xdr:row>23</xdr:row>
      <xdr:rowOff>19050</xdr:rowOff>
    </xdr:to>
    <xdr:sp macro="" textlink="">
      <xdr:nvSpPr>
        <xdr:cNvPr id="1066573" name="Line 41">
          <a:extLst>
            <a:ext uri="{FF2B5EF4-FFF2-40B4-BE49-F238E27FC236}">
              <a16:creationId xmlns:a16="http://schemas.microsoft.com/office/drawing/2014/main" id="{00000000-0008-0000-0C00-00004D461000}"/>
            </a:ext>
          </a:extLst>
        </xdr:cNvPr>
        <xdr:cNvSpPr>
          <a:spLocks noChangeShapeType="1"/>
        </xdr:cNvSpPr>
      </xdr:nvSpPr>
      <xdr:spPr bwMode="auto">
        <a:xfrm>
          <a:off x="4048125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9525</xdr:colOff>
      <xdr:row>23</xdr:row>
      <xdr:rowOff>0</xdr:rowOff>
    </xdr:from>
    <xdr:to>
      <xdr:col>60</xdr:col>
      <xdr:colOff>66675</xdr:colOff>
      <xdr:row>23</xdr:row>
      <xdr:rowOff>9525</xdr:rowOff>
    </xdr:to>
    <xdr:sp macro="" textlink="">
      <xdr:nvSpPr>
        <xdr:cNvPr id="1066574" name="Line 42">
          <a:extLst>
            <a:ext uri="{FF2B5EF4-FFF2-40B4-BE49-F238E27FC236}">
              <a16:creationId xmlns:a16="http://schemas.microsoft.com/office/drawing/2014/main" id="{00000000-0008-0000-0C00-00004E461000}"/>
            </a:ext>
          </a:extLst>
        </xdr:cNvPr>
        <xdr:cNvSpPr>
          <a:spLocks noChangeShapeType="1"/>
        </xdr:cNvSpPr>
      </xdr:nvSpPr>
      <xdr:spPr bwMode="auto">
        <a:xfrm flipV="1">
          <a:off x="4042410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0</xdr:colOff>
      <xdr:row>20</xdr:row>
      <xdr:rowOff>0</xdr:rowOff>
    </xdr:from>
    <xdr:to>
      <xdr:col>63</xdr:col>
      <xdr:colOff>76200</xdr:colOff>
      <xdr:row>20</xdr:row>
      <xdr:rowOff>9525</xdr:rowOff>
    </xdr:to>
    <xdr:sp macro="" textlink="">
      <xdr:nvSpPr>
        <xdr:cNvPr id="1066575" name="Line 43">
          <a:extLst>
            <a:ext uri="{FF2B5EF4-FFF2-40B4-BE49-F238E27FC236}">
              <a16:creationId xmlns:a16="http://schemas.microsoft.com/office/drawing/2014/main" id="{00000000-0008-0000-0C00-00004F461000}"/>
            </a:ext>
          </a:extLst>
        </xdr:cNvPr>
        <xdr:cNvSpPr>
          <a:spLocks noChangeShapeType="1"/>
        </xdr:cNvSpPr>
      </xdr:nvSpPr>
      <xdr:spPr bwMode="auto">
        <a:xfrm>
          <a:off x="425100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66675</xdr:colOff>
      <xdr:row>20</xdr:row>
      <xdr:rowOff>9525</xdr:rowOff>
    </xdr:from>
    <xdr:to>
      <xdr:col>63</xdr:col>
      <xdr:colOff>66675</xdr:colOff>
      <xdr:row>23</xdr:row>
      <xdr:rowOff>19050</xdr:rowOff>
    </xdr:to>
    <xdr:sp macro="" textlink="">
      <xdr:nvSpPr>
        <xdr:cNvPr id="1066576" name="Line 44">
          <a:extLst>
            <a:ext uri="{FF2B5EF4-FFF2-40B4-BE49-F238E27FC236}">
              <a16:creationId xmlns:a16="http://schemas.microsoft.com/office/drawing/2014/main" id="{00000000-0008-0000-0C00-000050461000}"/>
            </a:ext>
          </a:extLst>
        </xdr:cNvPr>
        <xdr:cNvSpPr>
          <a:spLocks noChangeShapeType="1"/>
        </xdr:cNvSpPr>
      </xdr:nvSpPr>
      <xdr:spPr bwMode="auto">
        <a:xfrm>
          <a:off x="4257675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9525</xdr:colOff>
      <xdr:row>23</xdr:row>
      <xdr:rowOff>0</xdr:rowOff>
    </xdr:from>
    <xdr:to>
      <xdr:col>63</xdr:col>
      <xdr:colOff>66675</xdr:colOff>
      <xdr:row>23</xdr:row>
      <xdr:rowOff>9525</xdr:rowOff>
    </xdr:to>
    <xdr:sp macro="" textlink="">
      <xdr:nvSpPr>
        <xdr:cNvPr id="1066577" name="Line 45">
          <a:extLst>
            <a:ext uri="{FF2B5EF4-FFF2-40B4-BE49-F238E27FC236}">
              <a16:creationId xmlns:a16="http://schemas.microsoft.com/office/drawing/2014/main" id="{00000000-0008-0000-0C00-000051461000}"/>
            </a:ext>
          </a:extLst>
        </xdr:cNvPr>
        <xdr:cNvSpPr>
          <a:spLocks noChangeShapeType="1"/>
        </xdr:cNvSpPr>
      </xdr:nvSpPr>
      <xdr:spPr bwMode="auto">
        <a:xfrm flipV="1">
          <a:off x="4251960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0</xdr:colOff>
      <xdr:row>26</xdr:row>
      <xdr:rowOff>0</xdr:rowOff>
    </xdr:from>
    <xdr:to>
      <xdr:col>57</xdr:col>
      <xdr:colOff>76200</xdr:colOff>
      <xdr:row>26</xdr:row>
      <xdr:rowOff>9525</xdr:rowOff>
    </xdr:to>
    <xdr:sp macro="" textlink="">
      <xdr:nvSpPr>
        <xdr:cNvPr id="1066578" name="Line 46">
          <a:extLst>
            <a:ext uri="{FF2B5EF4-FFF2-40B4-BE49-F238E27FC236}">
              <a16:creationId xmlns:a16="http://schemas.microsoft.com/office/drawing/2014/main" id="{00000000-0008-0000-0C00-000052461000}"/>
            </a:ext>
          </a:extLst>
        </xdr:cNvPr>
        <xdr:cNvSpPr>
          <a:spLocks noChangeShapeType="1"/>
        </xdr:cNvSpPr>
      </xdr:nvSpPr>
      <xdr:spPr bwMode="auto">
        <a:xfrm>
          <a:off x="3825240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9525</xdr:colOff>
      <xdr:row>29</xdr:row>
      <xdr:rowOff>0</xdr:rowOff>
    </xdr:from>
    <xdr:to>
      <xdr:col>57</xdr:col>
      <xdr:colOff>66675</xdr:colOff>
      <xdr:row>29</xdr:row>
      <xdr:rowOff>9525</xdr:rowOff>
    </xdr:to>
    <xdr:sp macro="" textlink="">
      <xdr:nvSpPr>
        <xdr:cNvPr id="1066579" name="Line 48">
          <a:extLst>
            <a:ext uri="{FF2B5EF4-FFF2-40B4-BE49-F238E27FC236}">
              <a16:creationId xmlns:a16="http://schemas.microsoft.com/office/drawing/2014/main" id="{00000000-0008-0000-0C00-000053461000}"/>
            </a:ext>
          </a:extLst>
        </xdr:cNvPr>
        <xdr:cNvSpPr>
          <a:spLocks noChangeShapeType="1"/>
        </xdr:cNvSpPr>
      </xdr:nvSpPr>
      <xdr:spPr bwMode="auto">
        <a:xfrm flipV="1">
          <a:off x="3826192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0</xdr:colOff>
      <xdr:row>26</xdr:row>
      <xdr:rowOff>0</xdr:rowOff>
    </xdr:from>
    <xdr:to>
      <xdr:col>60</xdr:col>
      <xdr:colOff>76200</xdr:colOff>
      <xdr:row>26</xdr:row>
      <xdr:rowOff>9525</xdr:rowOff>
    </xdr:to>
    <xdr:sp macro="" textlink="">
      <xdr:nvSpPr>
        <xdr:cNvPr id="1066580" name="Line 49">
          <a:extLst>
            <a:ext uri="{FF2B5EF4-FFF2-40B4-BE49-F238E27FC236}">
              <a16:creationId xmlns:a16="http://schemas.microsoft.com/office/drawing/2014/main" id="{00000000-0008-0000-0C00-000054461000}"/>
            </a:ext>
          </a:extLst>
        </xdr:cNvPr>
        <xdr:cNvSpPr>
          <a:spLocks noChangeShapeType="1"/>
        </xdr:cNvSpPr>
      </xdr:nvSpPr>
      <xdr:spPr bwMode="auto">
        <a:xfrm>
          <a:off x="4041457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66675</xdr:colOff>
      <xdr:row>26</xdr:row>
      <xdr:rowOff>9525</xdr:rowOff>
    </xdr:from>
    <xdr:to>
      <xdr:col>60</xdr:col>
      <xdr:colOff>66675</xdr:colOff>
      <xdr:row>29</xdr:row>
      <xdr:rowOff>19050</xdr:rowOff>
    </xdr:to>
    <xdr:sp macro="" textlink="">
      <xdr:nvSpPr>
        <xdr:cNvPr id="1066581" name="Line 50">
          <a:extLst>
            <a:ext uri="{FF2B5EF4-FFF2-40B4-BE49-F238E27FC236}">
              <a16:creationId xmlns:a16="http://schemas.microsoft.com/office/drawing/2014/main" id="{00000000-0008-0000-0C00-000055461000}"/>
            </a:ext>
          </a:extLst>
        </xdr:cNvPr>
        <xdr:cNvSpPr>
          <a:spLocks noChangeShapeType="1"/>
        </xdr:cNvSpPr>
      </xdr:nvSpPr>
      <xdr:spPr bwMode="auto">
        <a:xfrm>
          <a:off x="4048125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9525</xdr:colOff>
      <xdr:row>29</xdr:row>
      <xdr:rowOff>0</xdr:rowOff>
    </xdr:from>
    <xdr:to>
      <xdr:col>60</xdr:col>
      <xdr:colOff>66675</xdr:colOff>
      <xdr:row>29</xdr:row>
      <xdr:rowOff>9525</xdr:rowOff>
    </xdr:to>
    <xdr:sp macro="" textlink="">
      <xdr:nvSpPr>
        <xdr:cNvPr id="1066582" name="Line 51">
          <a:extLst>
            <a:ext uri="{FF2B5EF4-FFF2-40B4-BE49-F238E27FC236}">
              <a16:creationId xmlns:a16="http://schemas.microsoft.com/office/drawing/2014/main" id="{00000000-0008-0000-0C00-000056461000}"/>
            </a:ext>
          </a:extLst>
        </xdr:cNvPr>
        <xdr:cNvSpPr>
          <a:spLocks noChangeShapeType="1"/>
        </xdr:cNvSpPr>
      </xdr:nvSpPr>
      <xdr:spPr bwMode="auto">
        <a:xfrm flipV="1">
          <a:off x="4042410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0</xdr:colOff>
      <xdr:row>26</xdr:row>
      <xdr:rowOff>0</xdr:rowOff>
    </xdr:from>
    <xdr:to>
      <xdr:col>63</xdr:col>
      <xdr:colOff>76200</xdr:colOff>
      <xdr:row>26</xdr:row>
      <xdr:rowOff>9525</xdr:rowOff>
    </xdr:to>
    <xdr:sp macro="" textlink="">
      <xdr:nvSpPr>
        <xdr:cNvPr id="1066583" name="Line 52">
          <a:extLst>
            <a:ext uri="{FF2B5EF4-FFF2-40B4-BE49-F238E27FC236}">
              <a16:creationId xmlns:a16="http://schemas.microsoft.com/office/drawing/2014/main" id="{00000000-0008-0000-0C00-000057461000}"/>
            </a:ext>
          </a:extLst>
        </xdr:cNvPr>
        <xdr:cNvSpPr>
          <a:spLocks noChangeShapeType="1"/>
        </xdr:cNvSpPr>
      </xdr:nvSpPr>
      <xdr:spPr bwMode="auto">
        <a:xfrm>
          <a:off x="4251007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66675</xdr:colOff>
      <xdr:row>26</xdr:row>
      <xdr:rowOff>9525</xdr:rowOff>
    </xdr:from>
    <xdr:to>
      <xdr:col>63</xdr:col>
      <xdr:colOff>66675</xdr:colOff>
      <xdr:row>29</xdr:row>
      <xdr:rowOff>19050</xdr:rowOff>
    </xdr:to>
    <xdr:sp macro="" textlink="">
      <xdr:nvSpPr>
        <xdr:cNvPr id="1066584" name="Line 53">
          <a:extLst>
            <a:ext uri="{FF2B5EF4-FFF2-40B4-BE49-F238E27FC236}">
              <a16:creationId xmlns:a16="http://schemas.microsoft.com/office/drawing/2014/main" id="{00000000-0008-0000-0C00-000058461000}"/>
            </a:ext>
          </a:extLst>
        </xdr:cNvPr>
        <xdr:cNvSpPr>
          <a:spLocks noChangeShapeType="1"/>
        </xdr:cNvSpPr>
      </xdr:nvSpPr>
      <xdr:spPr bwMode="auto">
        <a:xfrm>
          <a:off x="4257675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9525</xdr:colOff>
      <xdr:row>29</xdr:row>
      <xdr:rowOff>0</xdr:rowOff>
    </xdr:from>
    <xdr:to>
      <xdr:col>63</xdr:col>
      <xdr:colOff>66675</xdr:colOff>
      <xdr:row>29</xdr:row>
      <xdr:rowOff>9525</xdr:rowOff>
    </xdr:to>
    <xdr:sp macro="" textlink="">
      <xdr:nvSpPr>
        <xdr:cNvPr id="1066585" name="Line 54">
          <a:extLst>
            <a:ext uri="{FF2B5EF4-FFF2-40B4-BE49-F238E27FC236}">
              <a16:creationId xmlns:a16="http://schemas.microsoft.com/office/drawing/2014/main" id="{00000000-0008-0000-0C00-000059461000}"/>
            </a:ext>
          </a:extLst>
        </xdr:cNvPr>
        <xdr:cNvSpPr>
          <a:spLocks noChangeShapeType="1"/>
        </xdr:cNvSpPr>
      </xdr:nvSpPr>
      <xdr:spPr bwMode="auto">
        <a:xfrm flipV="1">
          <a:off x="4251960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66675</xdr:colOff>
      <xdr:row>8</xdr:row>
      <xdr:rowOff>9525</xdr:rowOff>
    </xdr:from>
    <xdr:to>
      <xdr:col>61</xdr:col>
      <xdr:colOff>0</xdr:colOff>
      <xdr:row>9</xdr:row>
      <xdr:rowOff>66675</xdr:rowOff>
    </xdr:to>
    <xdr:sp macro="" textlink="">
      <xdr:nvSpPr>
        <xdr:cNvPr id="1066586" name="Line 64">
          <a:extLst>
            <a:ext uri="{FF2B5EF4-FFF2-40B4-BE49-F238E27FC236}">
              <a16:creationId xmlns:a16="http://schemas.microsoft.com/office/drawing/2014/main" id="{00000000-0008-0000-0C00-00005A461000}"/>
            </a:ext>
          </a:extLst>
        </xdr:cNvPr>
        <xdr:cNvSpPr>
          <a:spLocks noChangeShapeType="1"/>
        </xdr:cNvSpPr>
      </xdr:nvSpPr>
      <xdr:spPr bwMode="auto">
        <a:xfrm flipV="1">
          <a:off x="40481250" y="2057400"/>
          <a:ext cx="342900" cy="2381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66675</xdr:colOff>
      <xdr:row>9</xdr:row>
      <xdr:rowOff>76200</xdr:rowOff>
    </xdr:from>
    <xdr:to>
      <xdr:col>61</xdr:col>
      <xdr:colOff>0</xdr:colOff>
      <xdr:row>13</xdr:row>
      <xdr:rowOff>0</xdr:rowOff>
    </xdr:to>
    <xdr:sp macro="" textlink="">
      <xdr:nvSpPr>
        <xdr:cNvPr id="1066587" name="Line 66">
          <a:extLst>
            <a:ext uri="{FF2B5EF4-FFF2-40B4-BE49-F238E27FC236}">
              <a16:creationId xmlns:a16="http://schemas.microsoft.com/office/drawing/2014/main" id="{00000000-0008-0000-0C00-00005B461000}"/>
            </a:ext>
          </a:extLst>
        </xdr:cNvPr>
        <xdr:cNvSpPr>
          <a:spLocks noChangeShapeType="1"/>
        </xdr:cNvSpPr>
      </xdr:nvSpPr>
      <xdr:spPr bwMode="auto">
        <a:xfrm>
          <a:off x="40481250" y="2305050"/>
          <a:ext cx="342900" cy="6477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63</xdr:col>
      <xdr:colOff>0</xdr:colOff>
      <xdr:row>26</xdr:row>
      <xdr:rowOff>0</xdr:rowOff>
    </xdr:from>
    <xdr:to>
      <xdr:col>63</xdr:col>
      <xdr:colOff>76200</xdr:colOff>
      <xdr:row>26</xdr:row>
      <xdr:rowOff>9525</xdr:rowOff>
    </xdr:to>
    <xdr:sp macro="" textlink="">
      <xdr:nvSpPr>
        <xdr:cNvPr id="1066588" name="Line 72">
          <a:extLst>
            <a:ext uri="{FF2B5EF4-FFF2-40B4-BE49-F238E27FC236}">
              <a16:creationId xmlns:a16="http://schemas.microsoft.com/office/drawing/2014/main" id="{00000000-0008-0000-0C00-00005C461000}"/>
            </a:ext>
          </a:extLst>
        </xdr:cNvPr>
        <xdr:cNvSpPr>
          <a:spLocks noChangeShapeType="1"/>
        </xdr:cNvSpPr>
      </xdr:nvSpPr>
      <xdr:spPr bwMode="auto">
        <a:xfrm>
          <a:off x="4251007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66675</xdr:colOff>
      <xdr:row>26</xdr:row>
      <xdr:rowOff>9525</xdr:rowOff>
    </xdr:from>
    <xdr:to>
      <xdr:col>63</xdr:col>
      <xdr:colOff>66675</xdr:colOff>
      <xdr:row>29</xdr:row>
      <xdr:rowOff>19050</xdr:rowOff>
    </xdr:to>
    <xdr:sp macro="" textlink="">
      <xdr:nvSpPr>
        <xdr:cNvPr id="1066589" name="Line 73">
          <a:extLst>
            <a:ext uri="{FF2B5EF4-FFF2-40B4-BE49-F238E27FC236}">
              <a16:creationId xmlns:a16="http://schemas.microsoft.com/office/drawing/2014/main" id="{00000000-0008-0000-0C00-00005D461000}"/>
            </a:ext>
          </a:extLst>
        </xdr:cNvPr>
        <xdr:cNvSpPr>
          <a:spLocks noChangeShapeType="1"/>
        </xdr:cNvSpPr>
      </xdr:nvSpPr>
      <xdr:spPr bwMode="auto">
        <a:xfrm>
          <a:off x="4257675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9525</xdr:colOff>
      <xdr:row>29</xdr:row>
      <xdr:rowOff>0</xdr:rowOff>
    </xdr:from>
    <xdr:to>
      <xdr:col>63</xdr:col>
      <xdr:colOff>66675</xdr:colOff>
      <xdr:row>29</xdr:row>
      <xdr:rowOff>9525</xdr:rowOff>
    </xdr:to>
    <xdr:sp macro="" textlink="">
      <xdr:nvSpPr>
        <xdr:cNvPr id="1066590" name="Line 74">
          <a:extLst>
            <a:ext uri="{FF2B5EF4-FFF2-40B4-BE49-F238E27FC236}">
              <a16:creationId xmlns:a16="http://schemas.microsoft.com/office/drawing/2014/main" id="{00000000-0008-0000-0C00-00005E461000}"/>
            </a:ext>
          </a:extLst>
        </xdr:cNvPr>
        <xdr:cNvSpPr>
          <a:spLocks noChangeShapeType="1"/>
        </xdr:cNvSpPr>
      </xdr:nvSpPr>
      <xdr:spPr bwMode="auto">
        <a:xfrm flipV="1">
          <a:off x="4251960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0</xdr:colOff>
      <xdr:row>20</xdr:row>
      <xdr:rowOff>0</xdr:rowOff>
    </xdr:from>
    <xdr:to>
      <xdr:col>63</xdr:col>
      <xdr:colOff>76200</xdr:colOff>
      <xdr:row>20</xdr:row>
      <xdr:rowOff>9525</xdr:rowOff>
    </xdr:to>
    <xdr:sp macro="" textlink="">
      <xdr:nvSpPr>
        <xdr:cNvPr id="1066591" name="Line 77">
          <a:extLst>
            <a:ext uri="{FF2B5EF4-FFF2-40B4-BE49-F238E27FC236}">
              <a16:creationId xmlns:a16="http://schemas.microsoft.com/office/drawing/2014/main" id="{00000000-0008-0000-0C00-00005F461000}"/>
            </a:ext>
          </a:extLst>
        </xdr:cNvPr>
        <xdr:cNvSpPr>
          <a:spLocks noChangeShapeType="1"/>
        </xdr:cNvSpPr>
      </xdr:nvSpPr>
      <xdr:spPr bwMode="auto">
        <a:xfrm>
          <a:off x="425100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66675</xdr:colOff>
      <xdr:row>20</xdr:row>
      <xdr:rowOff>9525</xdr:rowOff>
    </xdr:from>
    <xdr:to>
      <xdr:col>63</xdr:col>
      <xdr:colOff>66675</xdr:colOff>
      <xdr:row>23</xdr:row>
      <xdr:rowOff>19050</xdr:rowOff>
    </xdr:to>
    <xdr:sp macro="" textlink="">
      <xdr:nvSpPr>
        <xdr:cNvPr id="1066592" name="Line 78">
          <a:extLst>
            <a:ext uri="{FF2B5EF4-FFF2-40B4-BE49-F238E27FC236}">
              <a16:creationId xmlns:a16="http://schemas.microsoft.com/office/drawing/2014/main" id="{00000000-0008-0000-0C00-000060461000}"/>
            </a:ext>
          </a:extLst>
        </xdr:cNvPr>
        <xdr:cNvSpPr>
          <a:spLocks noChangeShapeType="1"/>
        </xdr:cNvSpPr>
      </xdr:nvSpPr>
      <xdr:spPr bwMode="auto">
        <a:xfrm>
          <a:off x="4257675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9525</xdr:colOff>
      <xdr:row>23</xdr:row>
      <xdr:rowOff>0</xdr:rowOff>
    </xdr:from>
    <xdr:to>
      <xdr:col>63</xdr:col>
      <xdr:colOff>66675</xdr:colOff>
      <xdr:row>23</xdr:row>
      <xdr:rowOff>9525</xdr:rowOff>
    </xdr:to>
    <xdr:sp macro="" textlink="">
      <xdr:nvSpPr>
        <xdr:cNvPr id="1066593" name="Line 79">
          <a:extLst>
            <a:ext uri="{FF2B5EF4-FFF2-40B4-BE49-F238E27FC236}">
              <a16:creationId xmlns:a16="http://schemas.microsoft.com/office/drawing/2014/main" id="{00000000-0008-0000-0C00-000061461000}"/>
            </a:ext>
          </a:extLst>
        </xdr:cNvPr>
        <xdr:cNvSpPr>
          <a:spLocks noChangeShapeType="1"/>
        </xdr:cNvSpPr>
      </xdr:nvSpPr>
      <xdr:spPr bwMode="auto">
        <a:xfrm flipV="1">
          <a:off x="4251960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76200</xdr:colOff>
      <xdr:row>21</xdr:row>
      <xdr:rowOff>66675</xdr:rowOff>
    </xdr:from>
    <xdr:to>
      <xdr:col>64</xdr:col>
      <xdr:colOff>9525</xdr:colOff>
      <xdr:row>23</xdr:row>
      <xdr:rowOff>19050</xdr:rowOff>
    </xdr:to>
    <xdr:sp macro="" textlink="">
      <xdr:nvSpPr>
        <xdr:cNvPr id="1066594" name="Line 81">
          <a:extLst>
            <a:ext uri="{FF2B5EF4-FFF2-40B4-BE49-F238E27FC236}">
              <a16:creationId xmlns:a16="http://schemas.microsoft.com/office/drawing/2014/main" id="{00000000-0008-0000-0C00-000062461000}"/>
            </a:ext>
          </a:extLst>
        </xdr:cNvPr>
        <xdr:cNvSpPr>
          <a:spLocks noChangeShapeType="1"/>
        </xdr:cNvSpPr>
      </xdr:nvSpPr>
      <xdr:spPr bwMode="auto">
        <a:xfrm>
          <a:off x="42586275" y="44672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63</xdr:col>
      <xdr:colOff>0</xdr:colOff>
      <xdr:row>26</xdr:row>
      <xdr:rowOff>0</xdr:rowOff>
    </xdr:from>
    <xdr:to>
      <xdr:col>63</xdr:col>
      <xdr:colOff>76200</xdr:colOff>
      <xdr:row>26</xdr:row>
      <xdr:rowOff>9525</xdr:rowOff>
    </xdr:to>
    <xdr:sp macro="" textlink="">
      <xdr:nvSpPr>
        <xdr:cNvPr id="1066595" name="Line 86">
          <a:extLst>
            <a:ext uri="{FF2B5EF4-FFF2-40B4-BE49-F238E27FC236}">
              <a16:creationId xmlns:a16="http://schemas.microsoft.com/office/drawing/2014/main" id="{00000000-0008-0000-0C00-000063461000}"/>
            </a:ext>
          </a:extLst>
        </xdr:cNvPr>
        <xdr:cNvSpPr>
          <a:spLocks noChangeShapeType="1"/>
        </xdr:cNvSpPr>
      </xdr:nvSpPr>
      <xdr:spPr bwMode="auto">
        <a:xfrm>
          <a:off x="4251007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66675</xdr:colOff>
      <xdr:row>26</xdr:row>
      <xdr:rowOff>9525</xdr:rowOff>
    </xdr:from>
    <xdr:to>
      <xdr:col>63</xdr:col>
      <xdr:colOff>76200</xdr:colOff>
      <xdr:row>29</xdr:row>
      <xdr:rowOff>0</xdr:rowOff>
    </xdr:to>
    <xdr:sp macro="" textlink="">
      <xdr:nvSpPr>
        <xdr:cNvPr id="1066596" name="Line 87">
          <a:extLst>
            <a:ext uri="{FF2B5EF4-FFF2-40B4-BE49-F238E27FC236}">
              <a16:creationId xmlns:a16="http://schemas.microsoft.com/office/drawing/2014/main" id="{00000000-0008-0000-0C00-000064461000}"/>
            </a:ext>
          </a:extLst>
        </xdr:cNvPr>
        <xdr:cNvSpPr>
          <a:spLocks noChangeShapeType="1"/>
        </xdr:cNvSpPr>
      </xdr:nvSpPr>
      <xdr:spPr bwMode="auto">
        <a:xfrm>
          <a:off x="42576750" y="5314950"/>
          <a:ext cx="9525"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9525</xdr:colOff>
      <xdr:row>29</xdr:row>
      <xdr:rowOff>0</xdr:rowOff>
    </xdr:from>
    <xdr:to>
      <xdr:col>63</xdr:col>
      <xdr:colOff>66675</xdr:colOff>
      <xdr:row>29</xdr:row>
      <xdr:rowOff>9525</xdr:rowOff>
    </xdr:to>
    <xdr:sp macro="" textlink="">
      <xdr:nvSpPr>
        <xdr:cNvPr id="1066597" name="Line 88">
          <a:extLst>
            <a:ext uri="{FF2B5EF4-FFF2-40B4-BE49-F238E27FC236}">
              <a16:creationId xmlns:a16="http://schemas.microsoft.com/office/drawing/2014/main" id="{00000000-0008-0000-0C00-000065461000}"/>
            </a:ext>
          </a:extLst>
        </xdr:cNvPr>
        <xdr:cNvSpPr>
          <a:spLocks noChangeShapeType="1"/>
        </xdr:cNvSpPr>
      </xdr:nvSpPr>
      <xdr:spPr bwMode="auto">
        <a:xfrm flipV="1">
          <a:off x="4251960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66675</xdr:colOff>
      <xdr:row>25</xdr:row>
      <xdr:rowOff>161925</xdr:rowOff>
    </xdr:from>
    <xdr:to>
      <xdr:col>63</xdr:col>
      <xdr:colOff>400050</xdr:colOff>
      <xdr:row>27</xdr:row>
      <xdr:rowOff>57150</xdr:rowOff>
    </xdr:to>
    <xdr:sp macro="" textlink="">
      <xdr:nvSpPr>
        <xdr:cNvPr id="1066598" name="Line 89">
          <a:extLst>
            <a:ext uri="{FF2B5EF4-FFF2-40B4-BE49-F238E27FC236}">
              <a16:creationId xmlns:a16="http://schemas.microsoft.com/office/drawing/2014/main" id="{00000000-0008-0000-0C00-000066461000}"/>
            </a:ext>
          </a:extLst>
        </xdr:cNvPr>
        <xdr:cNvSpPr>
          <a:spLocks noChangeShapeType="1"/>
        </xdr:cNvSpPr>
      </xdr:nvSpPr>
      <xdr:spPr bwMode="auto">
        <a:xfrm flipV="1">
          <a:off x="42576750" y="5286375"/>
          <a:ext cx="333375" cy="2571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63</xdr:col>
      <xdr:colOff>0</xdr:colOff>
      <xdr:row>20</xdr:row>
      <xdr:rowOff>0</xdr:rowOff>
    </xdr:from>
    <xdr:to>
      <xdr:col>63</xdr:col>
      <xdr:colOff>76200</xdr:colOff>
      <xdr:row>20</xdr:row>
      <xdr:rowOff>9525</xdr:rowOff>
    </xdr:to>
    <xdr:sp macro="" textlink="">
      <xdr:nvSpPr>
        <xdr:cNvPr id="1066599" name="Line 90">
          <a:extLst>
            <a:ext uri="{FF2B5EF4-FFF2-40B4-BE49-F238E27FC236}">
              <a16:creationId xmlns:a16="http://schemas.microsoft.com/office/drawing/2014/main" id="{00000000-0008-0000-0C00-000067461000}"/>
            </a:ext>
          </a:extLst>
        </xdr:cNvPr>
        <xdr:cNvSpPr>
          <a:spLocks noChangeShapeType="1"/>
        </xdr:cNvSpPr>
      </xdr:nvSpPr>
      <xdr:spPr bwMode="auto">
        <a:xfrm>
          <a:off x="425100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66675</xdr:colOff>
      <xdr:row>20</xdr:row>
      <xdr:rowOff>9525</xdr:rowOff>
    </xdr:from>
    <xdr:to>
      <xdr:col>63</xdr:col>
      <xdr:colOff>66675</xdr:colOff>
      <xdr:row>23</xdr:row>
      <xdr:rowOff>19050</xdr:rowOff>
    </xdr:to>
    <xdr:sp macro="" textlink="">
      <xdr:nvSpPr>
        <xdr:cNvPr id="1066600" name="Line 91">
          <a:extLst>
            <a:ext uri="{FF2B5EF4-FFF2-40B4-BE49-F238E27FC236}">
              <a16:creationId xmlns:a16="http://schemas.microsoft.com/office/drawing/2014/main" id="{00000000-0008-0000-0C00-000068461000}"/>
            </a:ext>
          </a:extLst>
        </xdr:cNvPr>
        <xdr:cNvSpPr>
          <a:spLocks noChangeShapeType="1"/>
        </xdr:cNvSpPr>
      </xdr:nvSpPr>
      <xdr:spPr bwMode="auto">
        <a:xfrm>
          <a:off x="4257675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9525</xdr:colOff>
      <xdr:row>23</xdr:row>
      <xdr:rowOff>0</xdr:rowOff>
    </xdr:from>
    <xdr:to>
      <xdr:col>63</xdr:col>
      <xdr:colOff>66675</xdr:colOff>
      <xdr:row>23</xdr:row>
      <xdr:rowOff>9525</xdr:rowOff>
    </xdr:to>
    <xdr:sp macro="" textlink="">
      <xdr:nvSpPr>
        <xdr:cNvPr id="1066601" name="Line 92">
          <a:extLst>
            <a:ext uri="{FF2B5EF4-FFF2-40B4-BE49-F238E27FC236}">
              <a16:creationId xmlns:a16="http://schemas.microsoft.com/office/drawing/2014/main" id="{00000000-0008-0000-0C00-000069461000}"/>
            </a:ext>
          </a:extLst>
        </xdr:cNvPr>
        <xdr:cNvSpPr>
          <a:spLocks noChangeShapeType="1"/>
        </xdr:cNvSpPr>
      </xdr:nvSpPr>
      <xdr:spPr bwMode="auto">
        <a:xfrm flipV="1">
          <a:off x="4251960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66675</xdr:colOff>
      <xdr:row>19</xdr:row>
      <xdr:rowOff>161925</xdr:rowOff>
    </xdr:from>
    <xdr:to>
      <xdr:col>64</xdr:col>
      <xdr:colOff>0</xdr:colOff>
      <xdr:row>21</xdr:row>
      <xdr:rowOff>47625</xdr:rowOff>
    </xdr:to>
    <xdr:sp macro="" textlink="">
      <xdr:nvSpPr>
        <xdr:cNvPr id="1066602" name="Line 93">
          <a:extLst>
            <a:ext uri="{FF2B5EF4-FFF2-40B4-BE49-F238E27FC236}">
              <a16:creationId xmlns:a16="http://schemas.microsoft.com/office/drawing/2014/main" id="{00000000-0008-0000-0C00-00006A461000}"/>
            </a:ext>
          </a:extLst>
        </xdr:cNvPr>
        <xdr:cNvSpPr>
          <a:spLocks noChangeShapeType="1"/>
        </xdr:cNvSpPr>
      </xdr:nvSpPr>
      <xdr:spPr bwMode="auto">
        <a:xfrm flipV="1">
          <a:off x="42576750" y="4200525"/>
          <a:ext cx="342900"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63</xdr:col>
      <xdr:colOff>0</xdr:colOff>
      <xdr:row>14</xdr:row>
      <xdr:rowOff>0</xdr:rowOff>
    </xdr:from>
    <xdr:to>
      <xdr:col>63</xdr:col>
      <xdr:colOff>76200</xdr:colOff>
      <xdr:row>14</xdr:row>
      <xdr:rowOff>9525</xdr:rowOff>
    </xdr:to>
    <xdr:sp macro="" textlink="">
      <xdr:nvSpPr>
        <xdr:cNvPr id="1066603" name="Line 94">
          <a:extLst>
            <a:ext uri="{FF2B5EF4-FFF2-40B4-BE49-F238E27FC236}">
              <a16:creationId xmlns:a16="http://schemas.microsoft.com/office/drawing/2014/main" id="{00000000-0008-0000-0C00-00006B461000}"/>
            </a:ext>
          </a:extLst>
        </xdr:cNvPr>
        <xdr:cNvSpPr>
          <a:spLocks noChangeShapeType="1"/>
        </xdr:cNvSpPr>
      </xdr:nvSpPr>
      <xdr:spPr bwMode="auto">
        <a:xfrm>
          <a:off x="4251007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66675</xdr:colOff>
      <xdr:row>14</xdr:row>
      <xdr:rowOff>9525</xdr:rowOff>
    </xdr:from>
    <xdr:to>
      <xdr:col>63</xdr:col>
      <xdr:colOff>66675</xdr:colOff>
      <xdr:row>17</xdr:row>
      <xdr:rowOff>19050</xdr:rowOff>
    </xdr:to>
    <xdr:sp macro="" textlink="">
      <xdr:nvSpPr>
        <xdr:cNvPr id="1066604" name="Line 95">
          <a:extLst>
            <a:ext uri="{FF2B5EF4-FFF2-40B4-BE49-F238E27FC236}">
              <a16:creationId xmlns:a16="http://schemas.microsoft.com/office/drawing/2014/main" id="{00000000-0008-0000-0C00-00006C461000}"/>
            </a:ext>
          </a:extLst>
        </xdr:cNvPr>
        <xdr:cNvSpPr>
          <a:spLocks noChangeShapeType="1"/>
        </xdr:cNvSpPr>
      </xdr:nvSpPr>
      <xdr:spPr bwMode="auto">
        <a:xfrm>
          <a:off x="4257675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9525</xdr:colOff>
      <xdr:row>17</xdr:row>
      <xdr:rowOff>0</xdr:rowOff>
    </xdr:from>
    <xdr:to>
      <xdr:col>63</xdr:col>
      <xdr:colOff>66675</xdr:colOff>
      <xdr:row>17</xdr:row>
      <xdr:rowOff>9525</xdr:rowOff>
    </xdr:to>
    <xdr:sp macro="" textlink="">
      <xdr:nvSpPr>
        <xdr:cNvPr id="1066605" name="Line 96">
          <a:extLst>
            <a:ext uri="{FF2B5EF4-FFF2-40B4-BE49-F238E27FC236}">
              <a16:creationId xmlns:a16="http://schemas.microsoft.com/office/drawing/2014/main" id="{00000000-0008-0000-0C00-00006D461000}"/>
            </a:ext>
          </a:extLst>
        </xdr:cNvPr>
        <xdr:cNvSpPr>
          <a:spLocks noChangeShapeType="1"/>
        </xdr:cNvSpPr>
      </xdr:nvSpPr>
      <xdr:spPr bwMode="auto">
        <a:xfrm flipV="1">
          <a:off x="425196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76200</xdr:colOff>
      <xdr:row>14</xdr:row>
      <xdr:rowOff>19050</xdr:rowOff>
    </xdr:from>
    <xdr:to>
      <xdr:col>63</xdr:col>
      <xdr:colOff>400050</xdr:colOff>
      <xdr:row>15</xdr:row>
      <xdr:rowOff>47625</xdr:rowOff>
    </xdr:to>
    <xdr:sp macro="" textlink="">
      <xdr:nvSpPr>
        <xdr:cNvPr id="1066606" name="Line 97">
          <a:extLst>
            <a:ext uri="{FF2B5EF4-FFF2-40B4-BE49-F238E27FC236}">
              <a16:creationId xmlns:a16="http://schemas.microsoft.com/office/drawing/2014/main" id="{00000000-0008-0000-0C00-00006E461000}"/>
            </a:ext>
          </a:extLst>
        </xdr:cNvPr>
        <xdr:cNvSpPr>
          <a:spLocks noChangeShapeType="1"/>
        </xdr:cNvSpPr>
      </xdr:nvSpPr>
      <xdr:spPr bwMode="auto">
        <a:xfrm flipV="1">
          <a:off x="42586275" y="3152775"/>
          <a:ext cx="323850" cy="2095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63</xdr:col>
      <xdr:colOff>76200</xdr:colOff>
      <xdr:row>15</xdr:row>
      <xdr:rowOff>66675</xdr:rowOff>
    </xdr:from>
    <xdr:to>
      <xdr:col>64</xdr:col>
      <xdr:colOff>0</xdr:colOff>
      <xdr:row>17</xdr:row>
      <xdr:rowOff>28575</xdr:rowOff>
    </xdr:to>
    <xdr:sp macro="" textlink="">
      <xdr:nvSpPr>
        <xdr:cNvPr id="1066607" name="Line 98">
          <a:extLst>
            <a:ext uri="{FF2B5EF4-FFF2-40B4-BE49-F238E27FC236}">
              <a16:creationId xmlns:a16="http://schemas.microsoft.com/office/drawing/2014/main" id="{00000000-0008-0000-0C00-00006F461000}"/>
            </a:ext>
          </a:extLst>
        </xdr:cNvPr>
        <xdr:cNvSpPr>
          <a:spLocks noChangeShapeType="1"/>
        </xdr:cNvSpPr>
      </xdr:nvSpPr>
      <xdr:spPr bwMode="auto">
        <a:xfrm>
          <a:off x="42586275" y="3381375"/>
          <a:ext cx="333375" cy="3238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63</xdr:col>
      <xdr:colOff>0</xdr:colOff>
      <xdr:row>8</xdr:row>
      <xdr:rowOff>0</xdr:rowOff>
    </xdr:from>
    <xdr:to>
      <xdr:col>63</xdr:col>
      <xdr:colOff>76200</xdr:colOff>
      <xdr:row>8</xdr:row>
      <xdr:rowOff>9525</xdr:rowOff>
    </xdr:to>
    <xdr:sp macro="" textlink="">
      <xdr:nvSpPr>
        <xdr:cNvPr id="1066608" name="Line 99">
          <a:extLst>
            <a:ext uri="{FF2B5EF4-FFF2-40B4-BE49-F238E27FC236}">
              <a16:creationId xmlns:a16="http://schemas.microsoft.com/office/drawing/2014/main" id="{00000000-0008-0000-0C00-000070461000}"/>
            </a:ext>
          </a:extLst>
        </xdr:cNvPr>
        <xdr:cNvSpPr>
          <a:spLocks noChangeShapeType="1"/>
        </xdr:cNvSpPr>
      </xdr:nvSpPr>
      <xdr:spPr bwMode="auto">
        <a:xfrm>
          <a:off x="4251007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66675</xdr:colOff>
      <xdr:row>8</xdr:row>
      <xdr:rowOff>9525</xdr:rowOff>
    </xdr:from>
    <xdr:to>
      <xdr:col>63</xdr:col>
      <xdr:colOff>66675</xdr:colOff>
      <xdr:row>11</xdr:row>
      <xdr:rowOff>19050</xdr:rowOff>
    </xdr:to>
    <xdr:sp macro="" textlink="">
      <xdr:nvSpPr>
        <xdr:cNvPr id="1066609" name="Line 100">
          <a:extLst>
            <a:ext uri="{FF2B5EF4-FFF2-40B4-BE49-F238E27FC236}">
              <a16:creationId xmlns:a16="http://schemas.microsoft.com/office/drawing/2014/main" id="{00000000-0008-0000-0C00-000071461000}"/>
            </a:ext>
          </a:extLst>
        </xdr:cNvPr>
        <xdr:cNvSpPr>
          <a:spLocks noChangeShapeType="1"/>
        </xdr:cNvSpPr>
      </xdr:nvSpPr>
      <xdr:spPr bwMode="auto">
        <a:xfrm>
          <a:off x="4257675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9525</xdr:colOff>
      <xdr:row>11</xdr:row>
      <xdr:rowOff>0</xdr:rowOff>
    </xdr:from>
    <xdr:to>
      <xdr:col>63</xdr:col>
      <xdr:colOff>66675</xdr:colOff>
      <xdr:row>11</xdr:row>
      <xdr:rowOff>9525</xdr:rowOff>
    </xdr:to>
    <xdr:sp macro="" textlink="">
      <xdr:nvSpPr>
        <xdr:cNvPr id="1066610" name="Line 101">
          <a:extLst>
            <a:ext uri="{FF2B5EF4-FFF2-40B4-BE49-F238E27FC236}">
              <a16:creationId xmlns:a16="http://schemas.microsoft.com/office/drawing/2014/main" id="{00000000-0008-0000-0C00-000072461000}"/>
            </a:ext>
          </a:extLst>
        </xdr:cNvPr>
        <xdr:cNvSpPr>
          <a:spLocks noChangeShapeType="1"/>
        </xdr:cNvSpPr>
      </xdr:nvSpPr>
      <xdr:spPr bwMode="auto">
        <a:xfrm flipV="1">
          <a:off x="4251960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0</xdr:colOff>
      <xdr:row>8</xdr:row>
      <xdr:rowOff>0</xdr:rowOff>
    </xdr:from>
    <xdr:to>
      <xdr:col>63</xdr:col>
      <xdr:colOff>76200</xdr:colOff>
      <xdr:row>8</xdr:row>
      <xdr:rowOff>9525</xdr:rowOff>
    </xdr:to>
    <xdr:sp macro="" textlink="">
      <xdr:nvSpPr>
        <xdr:cNvPr id="1066611" name="Line 110">
          <a:extLst>
            <a:ext uri="{FF2B5EF4-FFF2-40B4-BE49-F238E27FC236}">
              <a16:creationId xmlns:a16="http://schemas.microsoft.com/office/drawing/2014/main" id="{00000000-0008-0000-0C00-000073461000}"/>
            </a:ext>
          </a:extLst>
        </xdr:cNvPr>
        <xdr:cNvSpPr>
          <a:spLocks noChangeShapeType="1"/>
        </xdr:cNvSpPr>
      </xdr:nvSpPr>
      <xdr:spPr bwMode="auto">
        <a:xfrm>
          <a:off x="4251007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66675</xdr:colOff>
      <xdr:row>8</xdr:row>
      <xdr:rowOff>9525</xdr:rowOff>
    </xdr:from>
    <xdr:to>
      <xdr:col>63</xdr:col>
      <xdr:colOff>66675</xdr:colOff>
      <xdr:row>11</xdr:row>
      <xdr:rowOff>19050</xdr:rowOff>
    </xdr:to>
    <xdr:sp macro="" textlink="">
      <xdr:nvSpPr>
        <xdr:cNvPr id="1066612" name="Line 111">
          <a:extLst>
            <a:ext uri="{FF2B5EF4-FFF2-40B4-BE49-F238E27FC236}">
              <a16:creationId xmlns:a16="http://schemas.microsoft.com/office/drawing/2014/main" id="{00000000-0008-0000-0C00-000074461000}"/>
            </a:ext>
          </a:extLst>
        </xdr:cNvPr>
        <xdr:cNvSpPr>
          <a:spLocks noChangeShapeType="1"/>
        </xdr:cNvSpPr>
      </xdr:nvSpPr>
      <xdr:spPr bwMode="auto">
        <a:xfrm>
          <a:off x="4257675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9525</xdr:colOff>
      <xdr:row>11</xdr:row>
      <xdr:rowOff>0</xdr:rowOff>
    </xdr:from>
    <xdr:to>
      <xdr:col>63</xdr:col>
      <xdr:colOff>66675</xdr:colOff>
      <xdr:row>11</xdr:row>
      <xdr:rowOff>9525</xdr:rowOff>
    </xdr:to>
    <xdr:sp macro="" textlink="">
      <xdr:nvSpPr>
        <xdr:cNvPr id="1066613" name="Line 112">
          <a:extLst>
            <a:ext uri="{FF2B5EF4-FFF2-40B4-BE49-F238E27FC236}">
              <a16:creationId xmlns:a16="http://schemas.microsoft.com/office/drawing/2014/main" id="{00000000-0008-0000-0C00-000075461000}"/>
            </a:ext>
          </a:extLst>
        </xdr:cNvPr>
        <xdr:cNvSpPr>
          <a:spLocks noChangeShapeType="1"/>
        </xdr:cNvSpPr>
      </xdr:nvSpPr>
      <xdr:spPr bwMode="auto">
        <a:xfrm flipV="1">
          <a:off x="4251960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0</xdr:colOff>
      <xdr:row>8</xdr:row>
      <xdr:rowOff>0</xdr:rowOff>
    </xdr:from>
    <xdr:to>
      <xdr:col>63</xdr:col>
      <xdr:colOff>76200</xdr:colOff>
      <xdr:row>8</xdr:row>
      <xdr:rowOff>9525</xdr:rowOff>
    </xdr:to>
    <xdr:sp macro="" textlink="">
      <xdr:nvSpPr>
        <xdr:cNvPr id="1066614" name="Line 113">
          <a:extLst>
            <a:ext uri="{FF2B5EF4-FFF2-40B4-BE49-F238E27FC236}">
              <a16:creationId xmlns:a16="http://schemas.microsoft.com/office/drawing/2014/main" id="{00000000-0008-0000-0C00-000076461000}"/>
            </a:ext>
          </a:extLst>
        </xdr:cNvPr>
        <xdr:cNvSpPr>
          <a:spLocks noChangeShapeType="1"/>
        </xdr:cNvSpPr>
      </xdr:nvSpPr>
      <xdr:spPr bwMode="auto">
        <a:xfrm>
          <a:off x="4251007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66675</xdr:colOff>
      <xdr:row>8</xdr:row>
      <xdr:rowOff>9525</xdr:rowOff>
    </xdr:from>
    <xdr:to>
      <xdr:col>63</xdr:col>
      <xdr:colOff>66675</xdr:colOff>
      <xdr:row>11</xdr:row>
      <xdr:rowOff>19050</xdr:rowOff>
    </xdr:to>
    <xdr:sp macro="" textlink="">
      <xdr:nvSpPr>
        <xdr:cNvPr id="1066615" name="Line 114">
          <a:extLst>
            <a:ext uri="{FF2B5EF4-FFF2-40B4-BE49-F238E27FC236}">
              <a16:creationId xmlns:a16="http://schemas.microsoft.com/office/drawing/2014/main" id="{00000000-0008-0000-0C00-000077461000}"/>
            </a:ext>
          </a:extLst>
        </xdr:cNvPr>
        <xdr:cNvSpPr>
          <a:spLocks noChangeShapeType="1"/>
        </xdr:cNvSpPr>
      </xdr:nvSpPr>
      <xdr:spPr bwMode="auto">
        <a:xfrm>
          <a:off x="4257675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9525</xdr:colOff>
      <xdr:row>11</xdr:row>
      <xdr:rowOff>0</xdr:rowOff>
    </xdr:from>
    <xdr:to>
      <xdr:col>63</xdr:col>
      <xdr:colOff>66675</xdr:colOff>
      <xdr:row>11</xdr:row>
      <xdr:rowOff>9525</xdr:rowOff>
    </xdr:to>
    <xdr:sp macro="" textlink="">
      <xdr:nvSpPr>
        <xdr:cNvPr id="1066616" name="Line 115">
          <a:extLst>
            <a:ext uri="{FF2B5EF4-FFF2-40B4-BE49-F238E27FC236}">
              <a16:creationId xmlns:a16="http://schemas.microsoft.com/office/drawing/2014/main" id="{00000000-0008-0000-0C00-000078461000}"/>
            </a:ext>
          </a:extLst>
        </xdr:cNvPr>
        <xdr:cNvSpPr>
          <a:spLocks noChangeShapeType="1"/>
        </xdr:cNvSpPr>
      </xdr:nvSpPr>
      <xdr:spPr bwMode="auto">
        <a:xfrm flipV="1">
          <a:off x="4251960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76200</xdr:colOff>
      <xdr:row>8</xdr:row>
      <xdr:rowOff>0</xdr:rowOff>
    </xdr:from>
    <xdr:to>
      <xdr:col>63</xdr:col>
      <xdr:colOff>400050</xdr:colOff>
      <xdr:row>9</xdr:row>
      <xdr:rowOff>57150</xdr:rowOff>
    </xdr:to>
    <xdr:sp macro="" textlink="">
      <xdr:nvSpPr>
        <xdr:cNvPr id="1066617" name="Line 116">
          <a:extLst>
            <a:ext uri="{FF2B5EF4-FFF2-40B4-BE49-F238E27FC236}">
              <a16:creationId xmlns:a16="http://schemas.microsoft.com/office/drawing/2014/main" id="{00000000-0008-0000-0C00-000079461000}"/>
            </a:ext>
          </a:extLst>
        </xdr:cNvPr>
        <xdr:cNvSpPr>
          <a:spLocks noChangeShapeType="1"/>
        </xdr:cNvSpPr>
      </xdr:nvSpPr>
      <xdr:spPr bwMode="auto">
        <a:xfrm flipV="1">
          <a:off x="42586275" y="2047875"/>
          <a:ext cx="3238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63</xdr:col>
      <xdr:colOff>76200</xdr:colOff>
      <xdr:row>9</xdr:row>
      <xdr:rowOff>66675</xdr:rowOff>
    </xdr:from>
    <xdr:to>
      <xdr:col>64</xdr:col>
      <xdr:colOff>0</xdr:colOff>
      <xdr:row>11</xdr:row>
      <xdr:rowOff>19050</xdr:rowOff>
    </xdr:to>
    <xdr:sp macro="" textlink="">
      <xdr:nvSpPr>
        <xdr:cNvPr id="1066618" name="Line 117">
          <a:extLst>
            <a:ext uri="{FF2B5EF4-FFF2-40B4-BE49-F238E27FC236}">
              <a16:creationId xmlns:a16="http://schemas.microsoft.com/office/drawing/2014/main" id="{00000000-0008-0000-0C00-00007A461000}"/>
            </a:ext>
          </a:extLst>
        </xdr:cNvPr>
        <xdr:cNvSpPr>
          <a:spLocks noChangeShapeType="1"/>
        </xdr:cNvSpPr>
      </xdr:nvSpPr>
      <xdr:spPr bwMode="auto">
        <a:xfrm>
          <a:off x="42586275" y="2295525"/>
          <a:ext cx="333375"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0</xdr:colOff>
      <xdr:row>14</xdr:row>
      <xdr:rowOff>0</xdr:rowOff>
    </xdr:from>
    <xdr:to>
      <xdr:col>60</xdr:col>
      <xdr:colOff>76200</xdr:colOff>
      <xdr:row>14</xdr:row>
      <xdr:rowOff>9525</xdr:rowOff>
    </xdr:to>
    <xdr:sp macro="" textlink="">
      <xdr:nvSpPr>
        <xdr:cNvPr id="1066619" name="Line 129">
          <a:extLst>
            <a:ext uri="{FF2B5EF4-FFF2-40B4-BE49-F238E27FC236}">
              <a16:creationId xmlns:a16="http://schemas.microsoft.com/office/drawing/2014/main" id="{00000000-0008-0000-0C00-00007B461000}"/>
            </a:ext>
          </a:extLst>
        </xdr:cNvPr>
        <xdr:cNvSpPr>
          <a:spLocks noChangeShapeType="1"/>
        </xdr:cNvSpPr>
      </xdr:nvSpPr>
      <xdr:spPr bwMode="auto">
        <a:xfrm>
          <a:off x="4041457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66675</xdr:colOff>
      <xdr:row>14</xdr:row>
      <xdr:rowOff>9525</xdr:rowOff>
    </xdr:from>
    <xdr:to>
      <xdr:col>60</xdr:col>
      <xdr:colOff>66675</xdr:colOff>
      <xdr:row>17</xdr:row>
      <xdr:rowOff>19050</xdr:rowOff>
    </xdr:to>
    <xdr:sp macro="" textlink="">
      <xdr:nvSpPr>
        <xdr:cNvPr id="1066620" name="Line 130">
          <a:extLst>
            <a:ext uri="{FF2B5EF4-FFF2-40B4-BE49-F238E27FC236}">
              <a16:creationId xmlns:a16="http://schemas.microsoft.com/office/drawing/2014/main" id="{00000000-0008-0000-0C00-00007C461000}"/>
            </a:ext>
          </a:extLst>
        </xdr:cNvPr>
        <xdr:cNvSpPr>
          <a:spLocks noChangeShapeType="1"/>
        </xdr:cNvSpPr>
      </xdr:nvSpPr>
      <xdr:spPr bwMode="auto">
        <a:xfrm>
          <a:off x="4048125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9525</xdr:colOff>
      <xdr:row>17</xdr:row>
      <xdr:rowOff>0</xdr:rowOff>
    </xdr:from>
    <xdr:to>
      <xdr:col>60</xdr:col>
      <xdr:colOff>66675</xdr:colOff>
      <xdr:row>17</xdr:row>
      <xdr:rowOff>9525</xdr:rowOff>
    </xdr:to>
    <xdr:sp macro="" textlink="">
      <xdr:nvSpPr>
        <xdr:cNvPr id="1066621" name="Line 131">
          <a:extLst>
            <a:ext uri="{FF2B5EF4-FFF2-40B4-BE49-F238E27FC236}">
              <a16:creationId xmlns:a16="http://schemas.microsoft.com/office/drawing/2014/main" id="{00000000-0008-0000-0C00-00007D461000}"/>
            </a:ext>
          </a:extLst>
        </xdr:cNvPr>
        <xdr:cNvSpPr>
          <a:spLocks noChangeShapeType="1"/>
        </xdr:cNvSpPr>
      </xdr:nvSpPr>
      <xdr:spPr bwMode="auto">
        <a:xfrm flipV="1">
          <a:off x="404241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66675</xdr:colOff>
      <xdr:row>11</xdr:row>
      <xdr:rowOff>0</xdr:rowOff>
    </xdr:from>
    <xdr:to>
      <xdr:col>61</xdr:col>
      <xdr:colOff>0</xdr:colOff>
      <xdr:row>15</xdr:row>
      <xdr:rowOff>47625</xdr:rowOff>
    </xdr:to>
    <xdr:sp macro="" textlink="">
      <xdr:nvSpPr>
        <xdr:cNvPr id="1066622" name="Line 132">
          <a:extLst>
            <a:ext uri="{FF2B5EF4-FFF2-40B4-BE49-F238E27FC236}">
              <a16:creationId xmlns:a16="http://schemas.microsoft.com/office/drawing/2014/main" id="{00000000-0008-0000-0C00-00007E461000}"/>
            </a:ext>
          </a:extLst>
        </xdr:cNvPr>
        <xdr:cNvSpPr>
          <a:spLocks noChangeShapeType="1"/>
        </xdr:cNvSpPr>
      </xdr:nvSpPr>
      <xdr:spPr bwMode="auto">
        <a:xfrm flipV="1">
          <a:off x="40481250" y="2590800"/>
          <a:ext cx="342900" cy="7715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0</xdr:colOff>
      <xdr:row>20</xdr:row>
      <xdr:rowOff>0</xdr:rowOff>
    </xdr:from>
    <xdr:to>
      <xdr:col>60</xdr:col>
      <xdr:colOff>76200</xdr:colOff>
      <xdr:row>20</xdr:row>
      <xdr:rowOff>9525</xdr:rowOff>
    </xdr:to>
    <xdr:sp macro="" textlink="">
      <xdr:nvSpPr>
        <xdr:cNvPr id="1066623" name="Line 134">
          <a:extLst>
            <a:ext uri="{FF2B5EF4-FFF2-40B4-BE49-F238E27FC236}">
              <a16:creationId xmlns:a16="http://schemas.microsoft.com/office/drawing/2014/main" id="{00000000-0008-0000-0C00-00007F461000}"/>
            </a:ext>
          </a:extLst>
        </xdr:cNvPr>
        <xdr:cNvSpPr>
          <a:spLocks noChangeShapeType="1"/>
        </xdr:cNvSpPr>
      </xdr:nvSpPr>
      <xdr:spPr bwMode="auto">
        <a:xfrm>
          <a:off x="404145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66675</xdr:colOff>
      <xdr:row>20</xdr:row>
      <xdr:rowOff>9525</xdr:rowOff>
    </xdr:from>
    <xdr:to>
      <xdr:col>60</xdr:col>
      <xdr:colOff>66675</xdr:colOff>
      <xdr:row>23</xdr:row>
      <xdr:rowOff>19050</xdr:rowOff>
    </xdr:to>
    <xdr:sp macro="" textlink="">
      <xdr:nvSpPr>
        <xdr:cNvPr id="1066624" name="Line 135">
          <a:extLst>
            <a:ext uri="{FF2B5EF4-FFF2-40B4-BE49-F238E27FC236}">
              <a16:creationId xmlns:a16="http://schemas.microsoft.com/office/drawing/2014/main" id="{00000000-0008-0000-0C00-000080461000}"/>
            </a:ext>
          </a:extLst>
        </xdr:cNvPr>
        <xdr:cNvSpPr>
          <a:spLocks noChangeShapeType="1"/>
        </xdr:cNvSpPr>
      </xdr:nvSpPr>
      <xdr:spPr bwMode="auto">
        <a:xfrm>
          <a:off x="4048125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9525</xdr:colOff>
      <xdr:row>23</xdr:row>
      <xdr:rowOff>0</xdr:rowOff>
    </xdr:from>
    <xdr:to>
      <xdr:col>60</xdr:col>
      <xdr:colOff>66675</xdr:colOff>
      <xdr:row>23</xdr:row>
      <xdr:rowOff>9525</xdr:rowOff>
    </xdr:to>
    <xdr:sp macro="" textlink="">
      <xdr:nvSpPr>
        <xdr:cNvPr id="1066625" name="Line 136">
          <a:extLst>
            <a:ext uri="{FF2B5EF4-FFF2-40B4-BE49-F238E27FC236}">
              <a16:creationId xmlns:a16="http://schemas.microsoft.com/office/drawing/2014/main" id="{00000000-0008-0000-0C00-000081461000}"/>
            </a:ext>
          </a:extLst>
        </xdr:cNvPr>
        <xdr:cNvSpPr>
          <a:spLocks noChangeShapeType="1"/>
        </xdr:cNvSpPr>
      </xdr:nvSpPr>
      <xdr:spPr bwMode="auto">
        <a:xfrm flipV="1">
          <a:off x="4042410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0</xdr:colOff>
      <xdr:row>26</xdr:row>
      <xdr:rowOff>0</xdr:rowOff>
    </xdr:from>
    <xdr:to>
      <xdr:col>60</xdr:col>
      <xdr:colOff>76200</xdr:colOff>
      <xdr:row>26</xdr:row>
      <xdr:rowOff>9525</xdr:rowOff>
    </xdr:to>
    <xdr:sp macro="" textlink="">
      <xdr:nvSpPr>
        <xdr:cNvPr id="1066626" name="Line 137">
          <a:extLst>
            <a:ext uri="{FF2B5EF4-FFF2-40B4-BE49-F238E27FC236}">
              <a16:creationId xmlns:a16="http://schemas.microsoft.com/office/drawing/2014/main" id="{00000000-0008-0000-0C00-000082461000}"/>
            </a:ext>
          </a:extLst>
        </xdr:cNvPr>
        <xdr:cNvSpPr>
          <a:spLocks noChangeShapeType="1"/>
        </xdr:cNvSpPr>
      </xdr:nvSpPr>
      <xdr:spPr bwMode="auto">
        <a:xfrm>
          <a:off x="4041457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9525</xdr:colOff>
      <xdr:row>29</xdr:row>
      <xdr:rowOff>0</xdr:rowOff>
    </xdr:from>
    <xdr:to>
      <xdr:col>60</xdr:col>
      <xdr:colOff>66675</xdr:colOff>
      <xdr:row>29</xdr:row>
      <xdr:rowOff>9525</xdr:rowOff>
    </xdr:to>
    <xdr:sp macro="" textlink="">
      <xdr:nvSpPr>
        <xdr:cNvPr id="1066627" name="Line 139">
          <a:extLst>
            <a:ext uri="{FF2B5EF4-FFF2-40B4-BE49-F238E27FC236}">
              <a16:creationId xmlns:a16="http://schemas.microsoft.com/office/drawing/2014/main" id="{00000000-0008-0000-0C00-000083461000}"/>
            </a:ext>
          </a:extLst>
        </xdr:cNvPr>
        <xdr:cNvSpPr>
          <a:spLocks noChangeShapeType="1"/>
        </xdr:cNvSpPr>
      </xdr:nvSpPr>
      <xdr:spPr bwMode="auto">
        <a:xfrm flipV="1">
          <a:off x="4042410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76200</xdr:colOff>
      <xdr:row>23</xdr:row>
      <xdr:rowOff>0</xdr:rowOff>
    </xdr:from>
    <xdr:to>
      <xdr:col>61</xdr:col>
      <xdr:colOff>0</xdr:colOff>
      <xdr:row>27</xdr:row>
      <xdr:rowOff>66675</xdr:rowOff>
    </xdr:to>
    <xdr:sp macro="" textlink="">
      <xdr:nvSpPr>
        <xdr:cNvPr id="1066628" name="Line 140">
          <a:extLst>
            <a:ext uri="{FF2B5EF4-FFF2-40B4-BE49-F238E27FC236}">
              <a16:creationId xmlns:a16="http://schemas.microsoft.com/office/drawing/2014/main" id="{00000000-0008-0000-0C00-000084461000}"/>
            </a:ext>
          </a:extLst>
        </xdr:cNvPr>
        <xdr:cNvSpPr>
          <a:spLocks noChangeShapeType="1"/>
        </xdr:cNvSpPr>
      </xdr:nvSpPr>
      <xdr:spPr bwMode="auto">
        <a:xfrm flipV="1">
          <a:off x="40490775" y="4762500"/>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66675</xdr:colOff>
      <xdr:row>21</xdr:row>
      <xdr:rowOff>104775</xdr:rowOff>
    </xdr:from>
    <xdr:to>
      <xdr:col>61</xdr:col>
      <xdr:colOff>0</xdr:colOff>
      <xdr:row>25</xdr:row>
      <xdr:rowOff>161925</xdr:rowOff>
    </xdr:to>
    <xdr:sp macro="" textlink="">
      <xdr:nvSpPr>
        <xdr:cNvPr id="1066629" name="Line 141">
          <a:extLst>
            <a:ext uri="{FF2B5EF4-FFF2-40B4-BE49-F238E27FC236}">
              <a16:creationId xmlns:a16="http://schemas.microsoft.com/office/drawing/2014/main" id="{00000000-0008-0000-0C00-000085461000}"/>
            </a:ext>
          </a:extLst>
        </xdr:cNvPr>
        <xdr:cNvSpPr>
          <a:spLocks noChangeShapeType="1"/>
        </xdr:cNvSpPr>
      </xdr:nvSpPr>
      <xdr:spPr bwMode="auto">
        <a:xfrm>
          <a:off x="40481250" y="4505325"/>
          <a:ext cx="342900" cy="7810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57</xdr:col>
      <xdr:colOff>66675</xdr:colOff>
      <xdr:row>7</xdr:row>
      <xdr:rowOff>133350</xdr:rowOff>
    </xdr:from>
    <xdr:to>
      <xdr:col>58</xdr:col>
      <xdr:colOff>0</xdr:colOff>
      <xdr:row>9</xdr:row>
      <xdr:rowOff>66675</xdr:rowOff>
    </xdr:to>
    <xdr:sp macro="" textlink="">
      <xdr:nvSpPr>
        <xdr:cNvPr id="1066630" name="Line 146">
          <a:extLst>
            <a:ext uri="{FF2B5EF4-FFF2-40B4-BE49-F238E27FC236}">
              <a16:creationId xmlns:a16="http://schemas.microsoft.com/office/drawing/2014/main" id="{00000000-0008-0000-0C00-000086461000}"/>
            </a:ext>
          </a:extLst>
        </xdr:cNvPr>
        <xdr:cNvSpPr>
          <a:spLocks noChangeShapeType="1"/>
        </xdr:cNvSpPr>
      </xdr:nvSpPr>
      <xdr:spPr bwMode="auto">
        <a:xfrm flipV="1">
          <a:off x="38319075" y="2000250"/>
          <a:ext cx="38100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57</xdr:col>
      <xdr:colOff>66675</xdr:colOff>
      <xdr:row>9</xdr:row>
      <xdr:rowOff>66675</xdr:rowOff>
    </xdr:from>
    <xdr:to>
      <xdr:col>58</xdr:col>
      <xdr:colOff>19050</xdr:colOff>
      <xdr:row>13</xdr:row>
      <xdr:rowOff>0</xdr:rowOff>
    </xdr:to>
    <xdr:sp macro="" textlink="">
      <xdr:nvSpPr>
        <xdr:cNvPr id="1066631" name="Line 147">
          <a:extLst>
            <a:ext uri="{FF2B5EF4-FFF2-40B4-BE49-F238E27FC236}">
              <a16:creationId xmlns:a16="http://schemas.microsoft.com/office/drawing/2014/main" id="{00000000-0008-0000-0C00-000087461000}"/>
            </a:ext>
          </a:extLst>
        </xdr:cNvPr>
        <xdr:cNvSpPr>
          <a:spLocks noChangeShapeType="1"/>
        </xdr:cNvSpPr>
      </xdr:nvSpPr>
      <xdr:spPr bwMode="auto">
        <a:xfrm>
          <a:off x="38319075" y="2295525"/>
          <a:ext cx="400050" cy="657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57</xdr:col>
      <xdr:colOff>76200</xdr:colOff>
      <xdr:row>11</xdr:row>
      <xdr:rowOff>47625</xdr:rowOff>
    </xdr:from>
    <xdr:to>
      <xdr:col>57</xdr:col>
      <xdr:colOff>428625</xdr:colOff>
      <xdr:row>15</xdr:row>
      <xdr:rowOff>76200</xdr:rowOff>
    </xdr:to>
    <xdr:sp macro="" textlink="">
      <xdr:nvSpPr>
        <xdr:cNvPr id="1066632" name="Line 152">
          <a:extLst>
            <a:ext uri="{FF2B5EF4-FFF2-40B4-BE49-F238E27FC236}">
              <a16:creationId xmlns:a16="http://schemas.microsoft.com/office/drawing/2014/main" id="{00000000-0008-0000-0C00-000088461000}"/>
            </a:ext>
          </a:extLst>
        </xdr:cNvPr>
        <xdr:cNvSpPr>
          <a:spLocks noChangeShapeType="1"/>
        </xdr:cNvSpPr>
      </xdr:nvSpPr>
      <xdr:spPr bwMode="auto">
        <a:xfrm flipV="1">
          <a:off x="38328600" y="2638425"/>
          <a:ext cx="352425" cy="752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57</xdr:col>
      <xdr:colOff>85725</xdr:colOff>
      <xdr:row>15</xdr:row>
      <xdr:rowOff>76200</xdr:rowOff>
    </xdr:from>
    <xdr:to>
      <xdr:col>57</xdr:col>
      <xdr:colOff>438150</xdr:colOff>
      <xdr:row>19</xdr:row>
      <xdr:rowOff>161925</xdr:rowOff>
    </xdr:to>
    <xdr:sp macro="" textlink="">
      <xdr:nvSpPr>
        <xdr:cNvPr id="1066633" name="Line 153">
          <a:extLst>
            <a:ext uri="{FF2B5EF4-FFF2-40B4-BE49-F238E27FC236}">
              <a16:creationId xmlns:a16="http://schemas.microsoft.com/office/drawing/2014/main" id="{00000000-0008-0000-0C00-000089461000}"/>
            </a:ext>
          </a:extLst>
        </xdr:cNvPr>
        <xdr:cNvSpPr>
          <a:spLocks noChangeShapeType="1"/>
        </xdr:cNvSpPr>
      </xdr:nvSpPr>
      <xdr:spPr bwMode="auto">
        <a:xfrm>
          <a:off x="38338125" y="3390900"/>
          <a:ext cx="352425" cy="809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57</xdr:col>
      <xdr:colOff>57150</xdr:colOff>
      <xdr:row>16</xdr:row>
      <xdr:rowOff>104775</xdr:rowOff>
    </xdr:from>
    <xdr:to>
      <xdr:col>58</xdr:col>
      <xdr:colOff>9525</xdr:colOff>
      <xdr:row>21</xdr:row>
      <xdr:rowOff>57150</xdr:rowOff>
    </xdr:to>
    <xdr:sp macro="" textlink="">
      <xdr:nvSpPr>
        <xdr:cNvPr id="1066634" name="Line 154">
          <a:extLst>
            <a:ext uri="{FF2B5EF4-FFF2-40B4-BE49-F238E27FC236}">
              <a16:creationId xmlns:a16="http://schemas.microsoft.com/office/drawing/2014/main" id="{00000000-0008-0000-0C00-00008A461000}"/>
            </a:ext>
          </a:extLst>
        </xdr:cNvPr>
        <xdr:cNvSpPr>
          <a:spLocks noChangeShapeType="1"/>
        </xdr:cNvSpPr>
      </xdr:nvSpPr>
      <xdr:spPr bwMode="auto">
        <a:xfrm flipV="1">
          <a:off x="38309550" y="3600450"/>
          <a:ext cx="400050" cy="857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57</xdr:col>
      <xdr:colOff>57150</xdr:colOff>
      <xdr:row>21</xdr:row>
      <xdr:rowOff>38100</xdr:rowOff>
    </xdr:from>
    <xdr:to>
      <xdr:col>58</xdr:col>
      <xdr:colOff>0</xdr:colOff>
      <xdr:row>26</xdr:row>
      <xdr:rowOff>9525</xdr:rowOff>
    </xdr:to>
    <xdr:sp macro="" textlink="">
      <xdr:nvSpPr>
        <xdr:cNvPr id="1066635" name="Line 155">
          <a:extLst>
            <a:ext uri="{FF2B5EF4-FFF2-40B4-BE49-F238E27FC236}">
              <a16:creationId xmlns:a16="http://schemas.microsoft.com/office/drawing/2014/main" id="{00000000-0008-0000-0C00-00008B461000}"/>
            </a:ext>
          </a:extLst>
        </xdr:cNvPr>
        <xdr:cNvSpPr>
          <a:spLocks noChangeShapeType="1"/>
        </xdr:cNvSpPr>
      </xdr:nvSpPr>
      <xdr:spPr bwMode="auto">
        <a:xfrm>
          <a:off x="38309550" y="4438650"/>
          <a:ext cx="390525"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57</xdr:col>
      <xdr:colOff>57150</xdr:colOff>
      <xdr:row>22</xdr:row>
      <xdr:rowOff>152400</xdr:rowOff>
    </xdr:from>
    <xdr:to>
      <xdr:col>58</xdr:col>
      <xdr:colOff>9525</xdr:colOff>
      <xdr:row>27</xdr:row>
      <xdr:rowOff>104775</xdr:rowOff>
    </xdr:to>
    <xdr:sp macro="" textlink="">
      <xdr:nvSpPr>
        <xdr:cNvPr id="1066636" name="Line 156">
          <a:extLst>
            <a:ext uri="{FF2B5EF4-FFF2-40B4-BE49-F238E27FC236}">
              <a16:creationId xmlns:a16="http://schemas.microsoft.com/office/drawing/2014/main" id="{00000000-0008-0000-0C00-00008C461000}"/>
            </a:ext>
          </a:extLst>
        </xdr:cNvPr>
        <xdr:cNvSpPr>
          <a:spLocks noChangeShapeType="1"/>
        </xdr:cNvSpPr>
      </xdr:nvSpPr>
      <xdr:spPr bwMode="auto">
        <a:xfrm flipV="1">
          <a:off x="38309550" y="4733925"/>
          <a:ext cx="400050" cy="857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57</xdr:col>
      <xdr:colOff>57150</xdr:colOff>
      <xdr:row>27</xdr:row>
      <xdr:rowOff>104775</xdr:rowOff>
    </xdr:from>
    <xdr:to>
      <xdr:col>58</xdr:col>
      <xdr:colOff>0</xdr:colOff>
      <xdr:row>31</xdr:row>
      <xdr:rowOff>171450</xdr:rowOff>
    </xdr:to>
    <xdr:sp macro="" textlink="">
      <xdr:nvSpPr>
        <xdr:cNvPr id="1066637" name="Line 158">
          <a:extLst>
            <a:ext uri="{FF2B5EF4-FFF2-40B4-BE49-F238E27FC236}">
              <a16:creationId xmlns:a16="http://schemas.microsoft.com/office/drawing/2014/main" id="{00000000-0008-0000-0C00-00008D461000}"/>
            </a:ext>
          </a:extLst>
        </xdr:cNvPr>
        <xdr:cNvSpPr>
          <a:spLocks noChangeShapeType="1"/>
        </xdr:cNvSpPr>
      </xdr:nvSpPr>
      <xdr:spPr bwMode="auto">
        <a:xfrm>
          <a:off x="38309550" y="5591175"/>
          <a:ext cx="390525" cy="7905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76200</xdr:colOff>
      <xdr:row>15</xdr:row>
      <xdr:rowOff>76200</xdr:rowOff>
    </xdr:from>
    <xdr:to>
      <xdr:col>61</xdr:col>
      <xdr:colOff>0</xdr:colOff>
      <xdr:row>20</xdr:row>
      <xdr:rowOff>9525</xdr:rowOff>
    </xdr:to>
    <xdr:sp macro="" textlink="">
      <xdr:nvSpPr>
        <xdr:cNvPr id="1066638" name="Line 164">
          <a:extLst>
            <a:ext uri="{FF2B5EF4-FFF2-40B4-BE49-F238E27FC236}">
              <a16:creationId xmlns:a16="http://schemas.microsoft.com/office/drawing/2014/main" id="{00000000-0008-0000-0C00-00008E461000}"/>
            </a:ext>
          </a:extLst>
        </xdr:cNvPr>
        <xdr:cNvSpPr>
          <a:spLocks noChangeShapeType="1"/>
        </xdr:cNvSpPr>
      </xdr:nvSpPr>
      <xdr:spPr bwMode="auto">
        <a:xfrm>
          <a:off x="40490775" y="3390900"/>
          <a:ext cx="333375" cy="838200"/>
        </a:xfrm>
        <a:prstGeom prst="line">
          <a:avLst/>
        </a:prstGeom>
        <a:noFill/>
        <a:ln w="19050">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66675</xdr:colOff>
      <xdr:row>16</xdr:row>
      <xdr:rowOff>171450</xdr:rowOff>
    </xdr:from>
    <xdr:to>
      <xdr:col>61</xdr:col>
      <xdr:colOff>0</xdr:colOff>
      <xdr:row>21</xdr:row>
      <xdr:rowOff>114300</xdr:rowOff>
    </xdr:to>
    <xdr:sp macro="" textlink="">
      <xdr:nvSpPr>
        <xdr:cNvPr id="1066639" name="Line 165">
          <a:extLst>
            <a:ext uri="{FF2B5EF4-FFF2-40B4-BE49-F238E27FC236}">
              <a16:creationId xmlns:a16="http://schemas.microsoft.com/office/drawing/2014/main" id="{00000000-0008-0000-0C00-00008F461000}"/>
            </a:ext>
          </a:extLst>
        </xdr:cNvPr>
        <xdr:cNvSpPr>
          <a:spLocks noChangeShapeType="1"/>
        </xdr:cNvSpPr>
      </xdr:nvSpPr>
      <xdr:spPr bwMode="auto">
        <a:xfrm flipV="1">
          <a:off x="40481250" y="3667125"/>
          <a:ext cx="342900" cy="8477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76200</xdr:colOff>
      <xdr:row>46</xdr:row>
      <xdr:rowOff>0</xdr:rowOff>
    </xdr:from>
    <xdr:to>
      <xdr:col>60</xdr:col>
      <xdr:colOff>76200</xdr:colOff>
      <xdr:row>46</xdr:row>
      <xdr:rowOff>0</xdr:rowOff>
    </xdr:to>
    <xdr:sp macro="" textlink="">
      <xdr:nvSpPr>
        <xdr:cNvPr id="1066640" name="Line 176">
          <a:extLst>
            <a:ext uri="{FF2B5EF4-FFF2-40B4-BE49-F238E27FC236}">
              <a16:creationId xmlns:a16="http://schemas.microsoft.com/office/drawing/2014/main" id="{00000000-0008-0000-0C00-000090461000}"/>
            </a:ext>
          </a:extLst>
        </xdr:cNvPr>
        <xdr:cNvSpPr>
          <a:spLocks noChangeShapeType="1"/>
        </xdr:cNvSpPr>
      </xdr:nvSpPr>
      <xdr:spPr bwMode="auto">
        <a:xfrm>
          <a:off x="40490775" y="8924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76200</xdr:colOff>
      <xdr:row>46</xdr:row>
      <xdr:rowOff>0</xdr:rowOff>
    </xdr:from>
    <xdr:to>
      <xdr:col>60</xdr:col>
      <xdr:colOff>76200</xdr:colOff>
      <xdr:row>46</xdr:row>
      <xdr:rowOff>0</xdr:rowOff>
    </xdr:to>
    <xdr:sp macro="" textlink="">
      <xdr:nvSpPr>
        <xdr:cNvPr id="1066641" name="Line 210">
          <a:extLst>
            <a:ext uri="{FF2B5EF4-FFF2-40B4-BE49-F238E27FC236}">
              <a16:creationId xmlns:a16="http://schemas.microsoft.com/office/drawing/2014/main" id="{00000000-0008-0000-0C00-000091461000}"/>
            </a:ext>
          </a:extLst>
        </xdr:cNvPr>
        <xdr:cNvSpPr>
          <a:spLocks noChangeShapeType="1"/>
        </xdr:cNvSpPr>
      </xdr:nvSpPr>
      <xdr:spPr bwMode="auto">
        <a:xfrm>
          <a:off x="40490775" y="8924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57150</xdr:colOff>
      <xdr:row>27</xdr:row>
      <xdr:rowOff>76200</xdr:rowOff>
    </xdr:from>
    <xdr:to>
      <xdr:col>60</xdr:col>
      <xdr:colOff>400050</xdr:colOff>
      <xdr:row>32</xdr:row>
      <xdr:rowOff>0</xdr:rowOff>
    </xdr:to>
    <xdr:sp macro="" textlink="">
      <xdr:nvSpPr>
        <xdr:cNvPr id="1066642" name="Line 259">
          <a:extLst>
            <a:ext uri="{FF2B5EF4-FFF2-40B4-BE49-F238E27FC236}">
              <a16:creationId xmlns:a16="http://schemas.microsoft.com/office/drawing/2014/main" id="{00000000-0008-0000-0C00-000092461000}"/>
            </a:ext>
          </a:extLst>
        </xdr:cNvPr>
        <xdr:cNvSpPr>
          <a:spLocks noChangeShapeType="1"/>
        </xdr:cNvSpPr>
      </xdr:nvSpPr>
      <xdr:spPr bwMode="auto">
        <a:xfrm>
          <a:off x="40471725" y="5562600"/>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57</xdr:col>
      <xdr:colOff>0</xdr:colOff>
      <xdr:row>32</xdr:row>
      <xdr:rowOff>0</xdr:rowOff>
    </xdr:from>
    <xdr:to>
      <xdr:col>57</xdr:col>
      <xdr:colOff>76200</xdr:colOff>
      <xdr:row>32</xdr:row>
      <xdr:rowOff>9525</xdr:rowOff>
    </xdr:to>
    <xdr:sp macro="" textlink="">
      <xdr:nvSpPr>
        <xdr:cNvPr id="1066643" name="Line 283">
          <a:extLst>
            <a:ext uri="{FF2B5EF4-FFF2-40B4-BE49-F238E27FC236}">
              <a16:creationId xmlns:a16="http://schemas.microsoft.com/office/drawing/2014/main" id="{00000000-0008-0000-0C00-000093461000}"/>
            </a:ext>
          </a:extLst>
        </xdr:cNvPr>
        <xdr:cNvSpPr>
          <a:spLocks noChangeShapeType="1"/>
        </xdr:cNvSpPr>
      </xdr:nvSpPr>
      <xdr:spPr bwMode="auto">
        <a:xfrm>
          <a:off x="382524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66675</xdr:colOff>
      <xdr:row>32</xdr:row>
      <xdr:rowOff>9525</xdr:rowOff>
    </xdr:from>
    <xdr:to>
      <xdr:col>57</xdr:col>
      <xdr:colOff>66675</xdr:colOff>
      <xdr:row>35</xdr:row>
      <xdr:rowOff>19050</xdr:rowOff>
    </xdr:to>
    <xdr:sp macro="" textlink="">
      <xdr:nvSpPr>
        <xdr:cNvPr id="1066644" name="Line 284">
          <a:extLst>
            <a:ext uri="{FF2B5EF4-FFF2-40B4-BE49-F238E27FC236}">
              <a16:creationId xmlns:a16="http://schemas.microsoft.com/office/drawing/2014/main" id="{00000000-0008-0000-0C00-000094461000}"/>
            </a:ext>
          </a:extLst>
        </xdr:cNvPr>
        <xdr:cNvSpPr>
          <a:spLocks noChangeShapeType="1"/>
        </xdr:cNvSpPr>
      </xdr:nvSpPr>
      <xdr:spPr bwMode="auto">
        <a:xfrm>
          <a:off x="3831907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9525</xdr:colOff>
      <xdr:row>35</xdr:row>
      <xdr:rowOff>0</xdr:rowOff>
    </xdr:from>
    <xdr:to>
      <xdr:col>57</xdr:col>
      <xdr:colOff>66675</xdr:colOff>
      <xdr:row>35</xdr:row>
      <xdr:rowOff>9525</xdr:rowOff>
    </xdr:to>
    <xdr:sp macro="" textlink="">
      <xdr:nvSpPr>
        <xdr:cNvPr id="1066645" name="Line 285">
          <a:extLst>
            <a:ext uri="{FF2B5EF4-FFF2-40B4-BE49-F238E27FC236}">
              <a16:creationId xmlns:a16="http://schemas.microsoft.com/office/drawing/2014/main" id="{00000000-0008-0000-0C00-000095461000}"/>
            </a:ext>
          </a:extLst>
        </xdr:cNvPr>
        <xdr:cNvSpPr>
          <a:spLocks noChangeShapeType="1"/>
        </xdr:cNvSpPr>
      </xdr:nvSpPr>
      <xdr:spPr bwMode="auto">
        <a:xfrm flipV="1">
          <a:off x="382619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0</xdr:colOff>
      <xdr:row>32</xdr:row>
      <xdr:rowOff>0</xdr:rowOff>
    </xdr:from>
    <xdr:to>
      <xdr:col>60</xdr:col>
      <xdr:colOff>76200</xdr:colOff>
      <xdr:row>32</xdr:row>
      <xdr:rowOff>9525</xdr:rowOff>
    </xdr:to>
    <xdr:sp macro="" textlink="">
      <xdr:nvSpPr>
        <xdr:cNvPr id="1066646" name="Line 286">
          <a:extLst>
            <a:ext uri="{FF2B5EF4-FFF2-40B4-BE49-F238E27FC236}">
              <a16:creationId xmlns:a16="http://schemas.microsoft.com/office/drawing/2014/main" id="{00000000-0008-0000-0C00-000096461000}"/>
            </a:ext>
          </a:extLst>
        </xdr:cNvPr>
        <xdr:cNvSpPr>
          <a:spLocks noChangeShapeType="1"/>
        </xdr:cNvSpPr>
      </xdr:nvSpPr>
      <xdr:spPr bwMode="auto">
        <a:xfrm>
          <a:off x="4041457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66675</xdr:colOff>
      <xdr:row>32</xdr:row>
      <xdr:rowOff>9525</xdr:rowOff>
    </xdr:from>
    <xdr:to>
      <xdr:col>60</xdr:col>
      <xdr:colOff>66675</xdr:colOff>
      <xdr:row>35</xdr:row>
      <xdr:rowOff>19050</xdr:rowOff>
    </xdr:to>
    <xdr:sp macro="" textlink="">
      <xdr:nvSpPr>
        <xdr:cNvPr id="1066647" name="Line 287">
          <a:extLst>
            <a:ext uri="{FF2B5EF4-FFF2-40B4-BE49-F238E27FC236}">
              <a16:creationId xmlns:a16="http://schemas.microsoft.com/office/drawing/2014/main" id="{00000000-0008-0000-0C00-000097461000}"/>
            </a:ext>
          </a:extLst>
        </xdr:cNvPr>
        <xdr:cNvSpPr>
          <a:spLocks noChangeShapeType="1"/>
        </xdr:cNvSpPr>
      </xdr:nvSpPr>
      <xdr:spPr bwMode="auto">
        <a:xfrm>
          <a:off x="4048125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9525</xdr:colOff>
      <xdr:row>35</xdr:row>
      <xdr:rowOff>0</xdr:rowOff>
    </xdr:from>
    <xdr:to>
      <xdr:col>60</xdr:col>
      <xdr:colOff>66675</xdr:colOff>
      <xdr:row>35</xdr:row>
      <xdr:rowOff>9525</xdr:rowOff>
    </xdr:to>
    <xdr:sp macro="" textlink="">
      <xdr:nvSpPr>
        <xdr:cNvPr id="1066648" name="Line 288">
          <a:extLst>
            <a:ext uri="{FF2B5EF4-FFF2-40B4-BE49-F238E27FC236}">
              <a16:creationId xmlns:a16="http://schemas.microsoft.com/office/drawing/2014/main" id="{00000000-0008-0000-0C00-000098461000}"/>
            </a:ext>
          </a:extLst>
        </xdr:cNvPr>
        <xdr:cNvSpPr>
          <a:spLocks noChangeShapeType="1"/>
        </xdr:cNvSpPr>
      </xdr:nvSpPr>
      <xdr:spPr bwMode="auto">
        <a:xfrm flipV="1">
          <a:off x="4042410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0</xdr:colOff>
      <xdr:row>32</xdr:row>
      <xdr:rowOff>0</xdr:rowOff>
    </xdr:from>
    <xdr:to>
      <xdr:col>63</xdr:col>
      <xdr:colOff>76200</xdr:colOff>
      <xdr:row>32</xdr:row>
      <xdr:rowOff>9525</xdr:rowOff>
    </xdr:to>
    <xdr:sp macro="" textlink="">
      <xdr:nvSpPr>
        <xdr:cNvPr id="1066649" name="Line 289">
          <a:extLst>
            <a:ext uri="{FF2B5EF4-FFF2-40B4-BE49-F238E27FC236}">
              <a16:creationId xmlns:a16="http://schemas.microsoft.com/office/drawing/2014/main" id="{00000000-0008-0000-0C00-000099461000}"/>
            </a:ext>
          </a:extLst>
        </xdr:cNvPr>
        <xdr:cNvSpPr>
          <a:spLocks noChangeShapeType="1"/>
        </xdr:cNvSpPr>
      </xdr:nvSpPr>
      <xdr:spPr bwMode="auto">
        <a:xfrm>
          <a:off x="4251007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66675</xdr:colOff>
      <xdr:row>32</xdr:row>
      <xdr:rowOff>9525</xdr:rowOff>
    </xdr:from>
    <xdr:to>
      <xdr:col>63</xdr:col>
      <xdr:colOff>66675</xdr:colOff>
      <xdr:row>35</xdr:row>
      <xdr:rowOff>19050</xdr:rowOff>
    </xdr:to>
    <xdr:sp macro="" textlink="">
      <xdr:nvSpPr>
        <xdr:cNvPr id="1066650" name="Line 290">
          <a:extLst>
            <a:ext uri="{FF2B5EF4-FFF2-40B4-BE49-F238E27FC236}">
              <a16:creationId xmlns:a16="http://schemas.microsoft.com/office/drawing/2014/main" id="{00000000-0008-0000-0C00-00009A461000}"/>
            </a:ext>
          </a:extLst>
        </xdr:cNvPr>
        <xdr:cNvSpPr>
          <a:spLocks noChangeShapeType="1"/>
        </xdr:cNvSpPr>
      </xdr:nvSpPr>
      <xdr:spPr bwMode="auto">
        <a:xfrm>
          <a:off x="4257675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9525</xdr:colOff>
      <xdr:row>35</xdr:row>
      <xdr:rowOff>0</xdr:rowOff>
    </xdr:from>
    <xdr:to>
      <xdr:col>63</xdr:col>
      <xdr:colOff>66675</xdr:colOff>
      <xdr:row>35</xdr:row>
      <xdr:rowOff>9525</xdr:rowOff>
    </xdr:to>
    <xdr:sp macro="" textlink="">
      <xdr:nvSpPr>
        <xdr:cNvPr id="1066651" name="Line 291">
          <a:extLst>
            <a:ext uri="{FF2B5EF4-FFF2-40B4-BE49-F238E27FC236}">
              <a16:creationId xmlns:a16="http://schemas.microsoft.com/office/drawing/2014/main" id="{00000000-0008-0000-0C00-00009B461000}"/>
            </a:ext>
          </a:extLst>
        </xdr:cNvPr>
        <xdr:cNvSpPr>
          <a:spLocks noChangeShapeType="1"/>
        </xdr:cNvSpPr>
      </xdr:nvSpPr>
      <xdr:spPr bwMode="auto">
        <a:xfrm flipV="1">
          <a:off x="4251960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0</xdr:colOff>
      <xdr:row>32</xdr:row>
      <xdr:rowOff>0</xdr:rowOff>
    </xdr:from>
    <xdr:to>
      <xdr:col>63</xdr:col>
      <xdr:colOff>76200</xdr:colOff>
      <xdr:row>32</xdr:row>
      <xdr:rowOff>9525</xdr:rowOff>
    </xdr:to>
    <xdr:sp macro="" textlink="">
      <xdr:nvSpPr>
        <xdr:cNvPr id="1066652" name="Line 292">
          <a:extLst>
            <a:ext uri="{FF2B5EF4-FFF2-40B4-BE49-F238E27FC236}">
              <a16:creationId xmlns:a16="http://schemas.microsoft.com/office/drawing/2014/main" id="{00000000-0008-0000-0C00-00009C461000}"/>
            </a:ext>
          </a:extLst>
        </xdr:cNvPr>
        <xdr:cNvSpPr>
          <a:spLocks noChangeShapeType="1"/>
        </xdr:cNvSpPr>
      </xdr:nvSpPr>
      <xdr:spPr bwMode="auto">
        <a:xfrm>
          <a:off x="4251007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66675</xdr:colOff>
      <xdr:row>32</xdr:row>
      <xdr:rowOff>9525</xdr:rowOff>
    </xdr:from>
    <xdr:to>
      <xdr:col>63</xdr:col>
      <xdr:colOff>66675</xdr:colOff>
      <xdr:row>35</xdr:row>
      <xdr:rowOff>19050</xdr:rowOff>
    </xdr:to>
    <xdr:sp macro="" textlink="">
      <xdr:nvSpPr>
        <xdr:cNvPr id="1066653" name="Line 293">
          <a:extLst>
            <a:ext uri="{FF2B5EF4-FFF2-40B4-BE49-F238E27FC236}">
              <a16:creationId xmlns:a16="http://schemas.microsoft.com/office/drawing/2014/main" id="{00000000-0008-0000-0C00-00009D461000}"/>
            </a:ext>
          </a:extLst>
        </xdr:cNvPr>
        <xdr:cNvSpPr>
          <a:spLocks noChangeShapeType="1"/>
        </xdr:cNvSpPr>
      </xdr:nvSpPr>
      <xdr:spPr bwMode="auto">
        <a:xfrm>
          <a:off x="4257675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9525</xdr:colOff>
      <xdr:row>35</xdr:row>
      <xdr:rowOff>0</xdr:rowOff>
    </xdr:from>
    <xdr:to>
      <xdr:col>63</xdr:col>
      <xdr:colOff>66675</xdr:colOff>
      <xdr:row>35</xdr:row>
      <xdr:rowOff>9525</xdr:rowOff>
    </xdr:to>
    <xdr:sp macro="" textlink="">
      <xdr:nvSpPr>
        <xdr:cNvPr id="1066654" name="Line 294">
          <a:extLst>
            <a:ext uri="{FF2B5EF4-FFF2-40B4-BE49-F238E27FC236}">
              <a16:creationId xmlns:a16="http://schemas.microsoft.com/office/drawing/2014/main" id="{00000000-0008-0000-0C00-00009E461000}"/>
            </a:ext>
          </a:extLst>
        </xdr:cNvPr>
        <xdr:cNvSpPr>
          <a:spLocks noChangeShapeType="1"/>
        </xdr:cNvSpPr>
      </xdr:nvSpPr>
      <xdr:spPr bwMode="auto">
        <a:xfrm flipV="1">
          <a:off x="4251960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76200</xdr:colOff>
      <xdr:row>33</xdr:row>
      <xdr:rowOff>66675</xdr:rowOff>
    </xdr:from>
    <xdr:to>
      <xdr:col>64</xdr:col>
      <xdr:colOff>9525</xdr:colOff>
      <xdr:row>35</xdr:row>
      <xdr:rowOff>19050</xdr:rowOff>
    </xdr:to>
    <xdr:sp macro="" textlink="">
      <xdr:nvSpPr>
        <xdr:cNvPr id="1066655" name="Line 295">
          <a:extLst>
            <a:ext uri="{FF2B5EF4-FFF2-40B4-BE49-F238E27FC236}">
              <a16:creationId xmlns:a16="http://schemas.microsoft.com/office/drawing/2014/main" id="{00000000-0008-0000-0C00-00009F461000}"/>
            </a:ext>
          </a:extLst>
        </xdr:cNvPr>
        <xdr:cNvSpPr>
          <a:spLocks noChangeShapeType="1"/>
        </xdr:cNvSpPr>
      </xdr:nvSpPr>
      <xdr:spPr bwMode="auto">
        <a:xfrm>
          <a:off x="42586275" y="66389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63</xdr:col>
      <xdr:colOff>0</xdr:colOff>
      <xdr:row>32</xdr:row>
      <xdr:rowOff>0</xdr:rowOff>
    </xdr:from>
    <xdr:to>
      <xdr:col>63</xdr:col>
      <xdr:colOff>76200</xdr:colOff>
      <xdr:row>32</xdr:row>
      <xdr:rowOff>9525</xdr:rowOff>
    </xdr:to>
    <xdr:sp macro="" textlink="">
      <xdr:nvSpPr>
        <xdr:cNvPr id="1066656" name="Line 296">
          <a:extLst>
            <a:ext uri="{FF2B5EF4-FFF2-40B4-BE49-F238E27FC236}">
              <a16:creationId xmlns:a16="http://schemas.microsoft.com/office/drawing/2014/main" id="{00000000-0008-0000-0C00-0000A0461000}"/>
            </a:ext>
          </a:extLst>
        </xdr:cNvPr>
        <xdr:cNvSpPr>
          <a:spLocks noChangeShapeType="1"/>
        </xdr:cNvSpPr>
      </xdr:nvSpPr>
      <xdr:spPr bwMode="auto">
        <a:xfrm>
          <a:off x="4251007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66675</xdr:colOff>
      <xdr:row>32</xdr:row>
      <xdr:rowOff>9525</xdr:rowOff>
    </xdr:from>
    <xdr:to>
      <xdr:col>63</xdr:col>
      <xdr:colOff>66675</xdr:colOff>
      <xdr:row>35</xdr:row>
      <xdr:rowOff>19050</xdr:rowOff>
    </xdr:to>
    <xdr:sp macro="" textlink="">
      <xdr:nvSpPr>
        <xdr:cNvPr id="1066657" name="Line 297">
          <a:extLst>
            <a:ext uri="{FF2B5EF4-FFF2-40B4-BE49-F238E27FC236}">
              <a16:creationId xmlns:a16="http://schemas.microsoft.com/office/drawing/2014/main" id="{00000000-0008-0000-0C00-0000A1461000}"/>
            </a:ext>
          </a:extLst>
        </xdr:cNvPr>
        <xdr:cNvSpPr>
          <a:spLocks noChangeShapeType="1"/>
        </xdr:cNvSpPr>
      </xdr:nvSpPr>
      <xdr:spPr bwMode="auto">
        <a:xfrm>
          <a:off x="4257675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9525</xdr:colOff>
      <xdr:row>35</xdr:row>
      <xdr:rowOff>0</xdr:rowOff>
    </xdr:from>
    <xdr:to>
      <xdr:col>63</xdr:col>
      <xdr:colOff>66675</xdr:colOff>
      <xdr:row>35</xdr:row>
      <xdr:rowOff>9525</xdr:rowOff>
    </xdr:to>
    <xdr:sp macro="" textlink="">
      <xdr:nvSpPr>
        <xdr:cNvPr id="1066658" name="Line 298">
          <a:extLst>
            <a:ext uri="{FF2B5EF4-FFF2-40B4-BE49-F238E27FC236}">
              <a16:creationId xmlns:a16="http://schemas.microsoft.com/office/drawing/2014/main" id="{00000000-0008-0000-0C00-0000A2461000}"/>
            </a:ext>
          </a:extLst>
        </xdr:cNvPr>
        <xdr:cNvSpPr>
          <a:spLocks noChangeShapeType="1"/>
        </xdr:cNvSpPr>
      </xdr:nvSpPr>
      <xdr:spPr bwMode="auto">
        <a:xfrm flipV="1">
          <a:off x="4251960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57150</xdr:colOff>
      <xdr:row>31</xdr:row>
      <xdr:rowOff>171450</xdr:rowOff>
    </xdr:from>
    <xdr:to>
      <xdr:col>64</xdr:col>
      <xdr:colOff>9525</xdr:colOff>
      <xdr:row>33</xdr:row>
      <xdr:rowOff>47625</xdr:rowOff>
    </xdr:to>
    <xdr:sp macro="" textlink="">
      <xdr:nvSpPr>
        <xdr:cNvPr id="1066659" name="Line 299">
          <a:extLst>
            <a:ext uri="{FF2B5EF4-FFF2-40B4-BE49-F238E27FC236}">
              <a16:creationId xmlns:a16="http://schemas.microsoft.com/office/drawing/2014/main" id="{00000000-0008-0000-0C00-0000A3461000}"/>
            </a:ext>
          </a:extLst>
        </xdr:cNvPr>
        <xdr:cNvSpPr>
          <a:spLocks noChangeShapeType="1"/>
        </xdr:cNvSpPr>
      </xdr:nvSpPr>
      <xdr:spPr bwMode="auto">
        <a:xfrm flipV="1">
          <a:off x="42567225" y="6381750"/>
          <a:ext cx="3619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0</xdr:colOff>
      <xdr:row>32</xdr:row>
      <xdr:rowOff>0</xdr:rowOff>
    </xdr:from>
    <xdr:to>
      <xdr:col>60</xdr:col>
      <xdr:colOff>76200</xdr:colOff>
      <xdr:row>32</xdr:row>
      <xdr:rowOff>9525</xdr:rowOff>
    </xdr:to>
    <xdr:sp macro="" textlink="">
      <xdr:nvSpPr>
        <xdr:cNvPr id="1066660" name="Line 300">
          <a:extLst>
            <a:ext uri="{FF2B5EF4-FFF2-40B4-BE49-F238E27FC236}">
              <a16:creationId xmlns:a16="http://schemas.microsoft.com/office/drawing/2014/main" id="{00000000-0008-0000-0C00-0000A4461000}"/>
            </a:ext>
          </a:extLst>
        </xdr:cNvPr>
        <xdr:cNvSpPr>
          <a:spLocks noChangeShapeType="1"/>
        </xdr:cNvSpPr>
      </xdr:nvSpPr>
      <xdr:spPr bwMode="auto">
        <a:xfrm>
          <a:off x="4041457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66675</xdr:colOff>
      <xdr:row>32</xdr:row>
      <xdr:rowOff>9525</xdr:rowOff>
    </xdr:from>
    <xdr:to>
      <xdr:col>60</xdr:col>
      <xdr:colOff>66675</xdr:colOff>
      <xdr:row>35</xdr:row>
      <xdr:rowOff>19050</xdr:rowOff>
    </xdr:to>
    <xdr:sp macro="" textlink="">
      <xdr:nvSpPr>
        <xdr:cNvPr id="1066661" name="Line 301">
          <a:extLst>
            <a:ext uri="{FF2B5EF4-FFF2-40B4-BE49-F238E27FC236}">
              <a16:creationId xmlns:a16="http://schemas.microsoft.com/office/drawing/2014/main" id="{00000000-0008-0000-0C00-0000A5461000}"/>
            </a:ext>
          </a:extLst>
        </xdr:cNvPr>
        <xdr:cNvSpPr>
          <a:spLocks noChangeShapeType="1"/>
        </xdr:cNvSpPr>
      </xdr:nvSpPr>
      <xdr:spPr bwMode="auto">
        <a:xfrm>
          <a:off x="4048125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9525</xdr:colOff>
      <xdr:row>35</xdr:row>
      <xdr:rowOff>0</xdr:rowOff>
    </xdr:from>
    <xdr:to>
      <xdr:col>60</xdr:col>
      <xdr:colOff>66675</xdr:colOff>
      <xdr:row>35</xdr:row>
      <xdr:rowOff>9525</xdr:rowOff>
    </xdr:to>
    <xdr:sp macro="" textlink="">
      <xdr:nvSpPr>
        <xdr:cNvPr id="1066662" name="Line 302">
          <a:extLst>
            <a:ext uri="{FF2B5EF4-FFF2-40B4-BE49-F238E27FC236}">
              <a16:creationId xmlns:a16="http://schemas.microsoft.com/office/drawing/2014/main" id="{00000000-0008-0000-0C00-0000A6461000}"/>
            </a:ext>
          </a:extLst>
        </xdr:cNvPr>
        <xdr:cNvSpPr>
          <a:spLocks noChangeShapeType="1"/>
        </xdr:cNvSpPr>
      </xdr:nvSpPr>
      <xdr:spPr bwMode="auto">
        <a:xfrm flipV="1">
          <a:off x="4042410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0</xdr:colOff>
      <xdr:row>38</xdr:row>
      <xdr:rowOff>0</xdr:rowOff>
    </xdr:from>
    <xdr:to>
      <xdr:col>57</xdr:col>
      <xdr:colOff>76200</xdr:colOff>
      <xdr:row>38</xdr:row>
      <xdr:rowOff>9525</xdr:rowOff>
    </xdr:to>
    <xdr:sp macro="" textlink="">
      <xdr:nvSpPr>
        <xdr:cNvPr id="1066663" name="Line 303">
          <a:extLst>
            <a:ext uri="{FF2B5EF4-FFF2-40B4-BE49-F238E27FC236}">
              <a16:creationId xmlns:a16="http://schemas.microsoft.com/office/drawing/2014/main" id="{00000000-0008-0000-0C00-0000A7461000}"/>
            </a:ext>
          </a:extLst>
        </xdr:cNvPr>
        <xdr:cNvSpPr>
          <a:spLocks noChangeShapeType="1"/>
        </xdr:cNvSpPr>
      </xdr:nvSpPr>
      <xdr:spPr bwMode="auto">
        <a:xfrm>
          <a:off x="3825240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66675</xdr:colOff>
      <xdr:row>38</xdr:row>
      <xdr:rowOff>9525</xdr:rowOff>
    </xdr:from>
    <xdr:to>
      <xdr:col>57</xdr:col>
      <xdr:colOff>66675</xdr:colOff>
      <xdr:row>41</xdr:row>
      <xdr:rowOff>19050</xdr:rowOff>
    </xdr:to>
    <xdr:sp macro="" textlink="">
      <xdr:nvSpPr>
        <xdr:cNvPr id="1066664" name="Line 304">
          <a:extLst>
            <a:ext uri="{FF2B5EF4-FFF2-40B4-BE49-F238E27FC236}">
              <a16:creationId xmlns:a16="http://schemas.microsoft.com/office/drawing/2014/main" id="{00000000-0008-0000-0C00-0000A8461000}"/>
            </a:ext>
          </a:extLst>
        </xdr:cNvPr>
        <xdr:cNvSpPr>
          <a:spLocks noChangeShapeType="1"/>
        </xdr:cNvSpPr>
      </xdr:nvSpPr>
      <xdr:spPr bwMode="auto">
        <a:xfrm>
          <a:off x="3831907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9525</xdr:colOff>
      <xdr:row>41</xdr:row>
      <xdr:rowOff>0</xdr:rowOff>
    </xdr:from>
    <xdr:to>
      <xdr:col>57</xdr:col>
      <xdr:colOff>66675</xdr:colOff>
      <xdr:row>41</xdr:row>
      <xdr:rowOff>9525</xdr:rowOff>
    </xdr:to>
    <xdr:sp macro="" textlink="">
      <xdr:nvSpPr>
        <xdr:cNvPr id="1066665" name="Line 305">
          <a:extLst>
            <a:ext uri="{FF2B5EF4-FFF2-40B4-BE49-F238E27FC236}">
              <a16:creationId xmlns:a16="http://schemas.microsoft.com/office/drawing/2014/main" id="{00000000-0008-0000-0C00-0000A9461000}"/>
            </a:ext>
          </a:extLst>
        </xdr:cNvPr>
        <xdr:cNvSpPr>
          <a:spLocks noChangeShapeType="1"/>
        </xdr:cNvSpPr>
      </xdr:nvSpPr>
      <xdr:spPr bwMode="auto">
        <a:xfrm flipV="1">
          <a:off x="3826192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0</xdr:colOff>
      <xdr:row>38</xdr:row>
      <xdr:rowOff>0</xdr:rowOff>
    </xdr:from>
    <xdr:to>
      <xdr:col>60</xdr:col>
      <xdr:colOff>76200</xdr:colOff>
      <xdr:row>38</xdr:row>
      <xdr:rowOff>9525</xdr:rowOff>
    </xdr:to>
    <xdr:sp macro="" textlink="">
      <xdr:nvSpPr>
        <xdr:cNvPr id="1066666" name="Line 306">
          <a:extLst>
            <a:ext uri="{FF2B5EF4-FFF2-40B4-BE49-F238E27FC236}">
              <a16:creationId xmlns:a16="http://schemas.microsoft.com/office/drawing/2014/main" id="{00000000-0008-0000-0C00-0000AA461000}"/>
            </a:ext>
          </a:extLst>
        </xdr:cNvPr>
        <xdr:cNvSpPr>
          <a:spLocks noChangeShapeType="1"/>
        </xdr:cNvSpPr>
      </xdr:nvSpPr>
      <xdr:spPr bwMode="auto">
        <a:xfrm>
          <a:off x="404145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66675</xdr:colOff>
      <xdr:row>38</xdr:row>
      <xdr:rowOff>9525</xdr:rowOff>
    </xdr:from>
    <xdr:to>
      <xdr:col>60</xdr:col>
      <xdr:colOff>66675</xdr:colOff>
      <xdr:row>41</xdr:row>
      <xdr:rowOff>19050</xdr:rowOff>
    </xdr:to>
    <xdr:sp macro="" textlink="">
      <xdr:nvSpPr>
        <xdr:cNvPr id="1066667" name="Line 307">
          <a:extLst>
            <a:ext uri="{FF2B5EF4-FFF2-40B4-BE49-F238E27FC236}">
              <a16:creationId xmlns:a16="http://schemas.microsoft.com/office/drawing/2014/main" id="{00000000-0008-0000-0C00-0000AB461000}"/>
            </a:ext>
          </a:extLst>
        </xdr:cNvPr>
        <xdr:cNvSpPr>
          <a:spLocks noChangeShapeType="1"/>
        </xdr:cNvSpPr>
      </xdr:nvSpPr>
      <xdr:spPr bwMode="auto">
        <a:xfrm>
          <a:off x="40481250"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9525</xdr:colOff>
      <xdr:row>41</xdr:row>
      <xdr:rowOff>0</xdr:rowOff>
    </xdr:from>
    <xdr:to>
      <xdr:col>60</xdr:col>
      <xdr:colOff>66675</xdr:colOff>
      <xdr:row>41</xdr:row>
      <xdr:rowOff>9525</xdr:rowOff>
    </xdr:to>
    <xdr:sp macro="" textlink="">
      <xdr:nvSpPr>
        <xdr:cNvPr id="1066668" name="Line 308">
          <a:extLst>
            <a:ext uri="{FF2B5EF4-FFF2-40B4-BE49-F238E27FC236}">
              <a16:creationId xmlns:a16="http://schemas.microsoft.com/office/drawing/2014/main" id="{00000000-0008-0000-0C00-0000AC461000}"/>
            </a:ext>
          </a:extLst>
        </xdr:cNvPr>
        <xdr:cNvSpPr>
          <a:spLocks noChangeShapeType="1"/>
        </xdr:cNvSpPr>
      </xdr:nvSpPr>
      <xdr:spPr bwMode="auto">
        <a:xfrm flipV="1">
          <a:off x="404241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0</xdr:colOff>
      <xdr:row>38</xdr:row>
      <xdr:rowOff>0</xdr:rowOff>
    </xdr:from>
    <xdr:to>
      <xdr:col>63</xdr:col>
      <xdr:colOff>76200</xdr:colOff>
      <xdr:row>38</xdr:row>
      <xdr:rowOff>9525</xdr:rowOff>
    </xdr:to>
    <xdr:sp macro="" textlink="">
      <xdr:nvSpPr>
        <xdr:cNvPr id="1066669" name="Line 309">
          <a:extLst>
            <a:ext uri="{FF2B5EF4-FFF2-40B4-BE49-F238E27FC236}">
              <a16:creationId xmlns:a16="http://schemas.microsoft.com/office/drawing/2014/main" id="{00000000-0008-0000-0C00-0000AD461000}"/>
            </a:ext>
          </a:extLst>
        </xdr:cNvPr>
        <xdr:cNvSpPr>
          <a:spLocks noChangeShapeType="1"/>
        </xdr:cNvSpPr>
      </xdr:nvSpPr>
      <xdr:spPr bwMode="auto">
        <a:xfrm>
          <a:off x="425100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66675</xdr:colOff>
      <xdr:row>38</xdr:row>
      <xdr:rowOff>9525</xdr:rowOff>
    </xdr:from>
    <xdr:to>
      <xdr:col>63</xdr:col>
      <xdr:colOff>66675</xdr:colOff>
      <xdr:row>41</xdr:row>
      <xdr:rowOff>19050</xdr:rowOff>
    </xdr:to>
    <xdr:sp macro="" textlink="">
      <xdr:nvSpPr>
        <xdr:cNvPr id="1066670" name="Line 310">
          <a:extLst>
            <a:ext uri="{FF2B5EF4-FFF2-40B4-BE49-F238E27FC236}">
              <a16:creationId xmlns:a16="http://schemas.microsoft.com/office/drawing/2014/main" id="{00000000-0008-0000-0C00-0000AE461000}"/>
            </a:ext>
          </a:extLst>
        </xdr:cNvPr>
        <xdr:cNvSpPr>
          <a:spLocks noChangeShapeType="1"/>
        </xdr:cNvSpPr>
      </xdr:nvSpPr>
      <xdr:spPr bwMode="auto">
        <a:xfrm>
          <a:off x="42576750"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9525</xdr:colOff>
      <xdr:row>41</xdr:row>
      <xdr:rowOff>0</xdr:rowOff>
    </xdr:from>
    <xdr:to>
      <xdr:col>63</xdr:col>
      <xdr:colOff>66675</xdr:colOff>
      <xdr:row>41</xdr:row>
      <xdr:rowOff>9525</xdr:rowOff>
    </xdr:to>
    <xdr:sp macro="" textlink="">
      <xdr:nvSpPr>
        <xdr:cNvPr id="1066671" name="Line 311">
          <a:extLst>
            <a:ext uri="{FF2B5EF4-FFF2-40B4-BE49-F238E27FC236}">
              <a16:creationId xmlns:a16="http://schemas.microsoft.com/office/drawing/2014/main" id="{00000000-0008-0000-0C00-0000AF461000}"/>
            </a:ext>
          </a:extLst>
        </xdr:cNvPr>
        <xdr:cNvSpPr>
          <a:spLocks noChangeShapeType="1"/>
        </xdr:cNvSpPr>
      </xdr:nvSpPr>
      <xdr:spPr bwMode="auto">
        <a:xfrm flipV="1">
          <a:off x="425196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0</xdr:colOff>
      <xdr:row>38</xdr:row>
      <xdr:rowOff>0</xdr:rowOff>
    </xdr:from>
    <xdr:to>
      <xdr:col>63</xdr:col>
      <xdr:colOff>76200</xdr:colOff>
      <xdr:row>38</xdr:row>
      <xdr:rowOff>9525</xdr:rowOff>
    </xdr:to>
    <xdr:sp macro="" textlink="">
      <xdr:nvSpPr>
        <xdr:cNvPr id="1066672" name="Line 312">
          <a:extLst>
            <a:ext uri="{FF2B5EF4-FFF2-40B4-BE49-F238E27FC236}">
              <a16:creationId xmlns:a16="http://schemas.microsoft.com/office/drawing/2014/main" id="{00000000-0008-0000-0C00-0000B0461000}"/>
            </a:ext>
          </a:extLst>
        </xdr:cNvPr>
        <xdr:cNvSpPr>
          <a:spLocks noChangeShapeType="1"/>
        </xdr:cNvSpPr>
      </xdr:nvSpPr>
      <xdr:spPr bwMode="auto">
        <a:xfrm>
          <a:off x="425100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66675</xdr:colOff>
      <xdr:row>38</xdr:row>
      <xdr:rowOff>9525</xdr:rowOff>
    </xdr:from>
    <xdr:to>
      <xdr:col>63</xdr:col>
      <xdr:colOff>66675</xdr:colOff>
      <xdr:row>41</xdr:row>
      <xdr:rowOff>19050</xdr:rowOff>
    </xdr:to>
    <xdr:sp macro="" textlink="">
      <xdr:nvSpPr>
        <xdr:cNvPr id="1066673" name="Line 313">
          <a:extLst>
            <a:ext uri="{FF2B5EF4-FFF2-40B4-BE49-F238E27FC236}">
              <a16:creationId xmlns:a16="http://schemas.microsoft.com/office/drawing/2014/main" id="{00000000-0008-0000-0C00-0000B1461000}"/>
            </a:ext>
          </a:extLst>
        </xdr:cNvPr>
        <xdr:cNvSpPr>
          <a:spLocks noChangeShapeType="1"/>
        </xdr:cNvSpPr>
      </xdr:nvSpPr>
      <xdr:spPr bwMode="auto">
        <a:xfrm>
          <a:off x="42576750"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9525</xdr:colOff>
      <xdr:row>41</xdr:row>
      <xdr:rowOff>0</xdr:rowOff>
    </xdr:from>
    <xdr:to>
      <xdr:col>63</xdr:col>
      <xdr:colOff>66675</xdr:colOff>
      <xdr:row>41</xdr:row>
      <xdr:rowOff>9525</xdr:rowOff>
    </xdr:to>
    <xdr:sp macro="" textlink="">
      <xdr:nvSpPr>
        <xdr:cNvPr id="1066674" name="Line 314">
          <a:extLst>
            <a:ext uri="{FF2B5EF4-FFF2-40B4-BE49-F238E27FC236}">
              <a16:creationId xmlns:a16="http://schemas.microsoft.com/office/drawing/2014/main" id="{00000000-0008-0000-0C00-0000B2461000}"/>
            </a:ext>
          </a:extLst>
        </xdr:cNvPr>
        <xdr:cNvSpPr>
          <a:spLocks noChangeShapeType="1"/>
        </xdr:cNvSpPr>
      </xdr:nvSpPr>
      <xdr:spPr bwMode="auto">
        <a:xfrm flipV="1">
          <a:off x="425196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76200</xdr:colOff>
      <xdr:row>39</xdr:row>
      <xdr:rowOff>66675</xdr:rowOff>
    </xdr:from>
    <xdr:to>
      <xdr:col>64</xdr:col>
      <xdr:colOff>9525</xdr:colOff>
      <xdr:row>41</xdr:row>
      <xdr:rowOff>19050</xdr:rowOff>
    </xdr:to>
    <xdr:sp macro="" textlink="">
      <xdr:nvSpPr>
        <xdr:cNvPr id="1066675" name="Line 315">
          <a:extLst>
            <a:ext uri="{FF2B5EF4-FFF2-40B4-BE49-F238E27FC236}">
              <a16:creationId xmlns:a16="http://schemas.microsoft.com/office/drawing/2014/main" id="{00000000-0008-0000-0C00-0000B3461000}"/>
            </a:ext>
          </a:extLst>
        </xdr:cNvPr>
        <xdr:cNvSpPr>
          <a:spLocks noChangeShapeType="1"/>
        </xdr:cNvSpPr>
      </xdr:nvSpPr>
      <xdr:spPr bwMode="auto">
        <a:xfrm>
          <a:off x="42586275" y="77247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63</xdr:col>
      <xdr:colOff>0</xdr:colOff>
      <xdr:row>38</xdr:row>
      <xdr:rowOff>0</xdr:rowOff>
    </xdr:from>
    <xdr:to>
      <xdr:col>63</xdr:col>
      <xdr:colOff>76200</xdr:colOff>
      <xdr:row>38</xdr:row>
      <xdr:rowOff>9525</xdr:rowOff>
    </xdr:to>
    <xdr:sp macro="" textlink="">
      <xdr:nvSpPr>
        <xdr:cNvPr id="1066676" name="Line 316">
          <a:extLst>
            <a:ext uri="{FF2B5EF4-FFF2-40B4-BE49-F238E27FC236}">
              <a16:creationId xmlns:a16="http://schemas.microsoft.com/office/drawing/2014/main" id="{00000000-0008-0000-0C00-0000B4461000}"/>
            </a:ext>
          </a:extLst>
        </xdr:cNvPr>
        <xdr:cNvSpPr>
          <a:spLocks noChangeShapeType="1"/>
        </xdr:cNvSpPr>
      </xdr:nvSpPr>
      <xdr:spPr bwMode="auto">
        <a:xfrm>
          <a:off x="425100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66675</xdr:colOff>
      <xdr:row>38</xdr:row>
      <xdr:rowOff>9525</xdr:rowOff>
    </xdr:from>
    <xdr:to>
      <xdr:col>63</xdr:col>
      <xdr:colOff>66675</xdr:colOff>
      <xdr:row>41</xdr:row>
      <xdr:rowOff>19050</xdr:rowOff>
    </xdr:to>
    <xdr:sp macro="" textlink="">
      <xdr:nvSpPr>
        <xdr:cNvPr id="1066677" name="Line 317">
          <a:extLst>
            <a:ext uri="{FF2B5EF4-FFF2-40B4-BE49-F238E27FC236}">
              <a16:creationId xmlns:a16="http://schemas.microsoft.com/office/drawing/2014/main" id="{00000000-0008-0000-0C00-0000B5461000}"/>
            </a:ext>
          </a:extLst>
        </xdr:cNvPr>
        <xdr:cNvSpPr>
          <a:spLocks noChangeShapeType="1"/>
        </xdr:cNvSpPr>
      </xdr:nvSpPr>
      <xdr:spPr bwMode="auto">
        <a:xfrm>
          <a:off x="42576750"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9525</xdr:colOff>
      <xdr:row>41</xdr:row>
      <xdr:rowOff>0</xdr:rowOff>
    </xdr:from>
    <xdr:to>
      <xdr:col>63</xdr:col>
      <xdr:colOff>66675</xdr:colOff>
      <xdr:row>41</xdr:row>
      <xdr:rowOff>9525</xdr:rowOff>
    </xdr:to>
    <xdr:sp macro="" textlink="">
      <xdr:nvSpPr>
        <xdr:cNvPr id="1066678" name="Line 318">
          <a:extLst>
            <a:ext uri="{FF2B5EF4-FFF2-40B4-BE49-F238E27FC236}">
              <a16:creationId xmlns:a16="http://schemas.microsoft.com/office/drawing/2014/main" id="{00000000-0008-0000-0C00-0000B6461000}"/>
            </a:ext>
          </a:extLst>
        </xdr:cNvPr>
        <xdr:cNvSpPr>
          <a:spLocks noChangeShapeType="1"/>
        </xdr:cNvSpPr>
      </xdr:nvSpPr>
      <xdr:spPr bwMode="auto">
        <a:xfrm flipV="1">
          <a:off x="425196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76200</xdr:colOff>
      <xdr:row>37</xdr:row>
      <xdr:rowOff>171450</xdr:rowOff>
    </xdr:from>
    <xdr:to>
      <xdr:col>64</xdr:col>
      <xdr:colOff>9525</xdr:colOff>
      <xdr:row>39</xdr:row>
      <xdr:rowOff>38100</xdr:rowOff>
    </xdr:to>
    <xdr:sp macro="" textlink="">
      <xdr:nvSpPr>
        <xdr:cNvPr id="1066679" name="Line 319">
          <a:extLst>
            <a:ext uri="{FF2B5EF4-FFF2-40B4-BE49-F238E27FC236}">
              <a16:creationId xmlns:a16="http://schemas.microsoft.com/office/drawing/2014/main" id="{00000000-0008-0000-0C00-0000B7461000}"/>
            </a:ext>
          </a:extLst>
        </xdr:cNvPr>
        <xdr:cNvSpPr>
          <a:spLocks noChangeShapeType="1"/>
        </xdr:cNvSpPr>
      </xdr:nvSpPr>
      <xdr:spPr bwMode="auto">
        <a:xfrm flipV="1">
          <a:off x="42586275" y="7467600"/>
          <a:ext cx="342900" cy="22860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0</xdr:colOff>
      <xdr:row>38</xdr:row>
      <xdr:rowOff>0</xdr:rowOff>
    </xdr:from>
    <xdr:to>
      <xdr:col>60</xdr:col>
      <xdr:colOff>76200</xdr:colOff>
      <xdr:row>38</xdr:row>
      <xdr:rowOff>9525</xdr:rowOff>
    </xdr:to>
    <xdr:sp macro="" textlink="">
      <xdr:nvSpPr>
        <xdr:cNvPr id="1066680" name="Line 320">
          <a:extLst>
            <a:ext uri="{FF2B5EF4-FFF2-40B4-BE49-F238E27FC236}">
              <a16:creationId xmlns:a16="http://schemas.microsoft.com/office/drawing/2014/main" id="{00000000-0008-0000-0C00-0000B8461000}"/>
            </a:ext>
          </a:extLst>
        </xdr:cNvPr>
        <xdr:cNvSpPr>
          <a:spLocks noChangeShapeType="1"/>
        </xdr:cNvSpPr>
      </xdr:nvSpPr>
      <xdr:spPr bwMode="auto">
        <a:xfrm>
          <a:off x="404145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66675</xdr:colOff>
      <xdr:row>38</xdr:row>
      <xdr:rowOff>9525</xdr:rowOff>
    </xdr:from>
    <xdr:to>
      <xdr:col>60</xdr:col>
      <xdr:colOff>66675</xdr:colOff>
      <xdr:row>41</xdr:row>
      <xdr:rowOff>19050</xdr:rowOff>
    </xdr:to>
    <xdr:sp macro="" textlink="">
      <xdr:nvSpPr>
        <xdr:cNvPr id="1066681" name="Line 321">
          <a:extLst>
            <a:ext uri="{FF2B5EF4-FFF2-40B4-BE49-F238E27FC236}">
              <a16:creationId xmlns:a16="http://schemas.microsoft.com/office/drawing/2014/main" id="{00000000-0008-0000-0C00-0000B9461000}"/>
            </a:ext>
          </a:extLst>
        </xdr:cNvPr>
        <xdr:cNvSpPr>
          <a:spLocks noChangeShapeType="1"/>
        </xdr:cNvSpPr>
      </xdr:nvSpPr>
      <xdr:spPr bwMode="auto">
        <a:xfrm>
          <a:off x="40481250"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9525</xdr:colOff>
      <xdr:row>41</xdr:row>
      <xdr:rowOff>0</xdr:rowOff>
    </xdr:from>
    <xdr:to>
      <xdr:col>60</xdr:col>
      <xdr:colOff>66675</xdr:colOff>
      <xdr:row>41</xdr:row>
      <xdr:rowOff>9525</xdr:rowOff>
    </xdr:to>
    <xdr:sp macro="" textlink="">
      <xdr:nvSpPr>
        <xdr:cNvPr id="1066682" name="Line 322">
          <a:extLst>
            <a:ext uri="{FF2B5EF4-FFF2-40B4-BE49-F238E27FC236}">
              <a16:creationId xmlns:a16="http://schemas.microsoft.com/office/drawing/2014/main" id="{00000000-0008-0000-0C00-0000BA461000}"/>
            </a:ext>
          </a:extLst>
        </xdr:cNvPr>
        <xdr:cNvSpPr>
          <a:spLocks noChangeShapeType="1"/>
        </xdr:cNvSpPr>
      </xdr:nvSpPr>
      <xdr:spPr bwMode="auto">
        <a:xfrm flipV="1">
          <a:off x="404241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0</xdr:colOff>
      <xdr:row>44</xdr:row>
      <xdr:rowOff>0</xdr:rowOff>
    </xdr:from>
    <xdr:to>
      <xdr:col>57</xdr:col>
      <xdr:colOff>76200</xdr:colOff>
      <xdr:row>44</xdr:row>
      <xdr:rowOff>9525</xdr:rowOff>
    </xdr:to>
    <xdr:sp macro="" textlink="">
      <xdr:nvSpPr>
        <xdr:cNvPr id="1066683" name="Line 323">
          <a:extLst>
            <a:ext uri="{FF2B5EF4-FFF2-40B4-BE49-F238E27FC236}">
              <a16:creationId xmlns:a16="http://schemas.microsoft.com/office/drawing/2014/main" id="{00000000-0008-0000-0C00-0000BB461000}"/>
            </a:ext>
          </a:extLst>
        </xdr:cNvPr>
        <xdr:cNvSpPr>
          <a:spLocks noChangeShapeType="1"/>
        </xdr:cNvSpPr>
      </xdr:nvSpPr>
      <xdr:spPr bwMode="auto">
        <a:xfrm>
          <a:off x="3825240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66675</xdr:colOff>
      <xdr:row>44</xdr:row>
      <xdr:rowOff>9525</xdr:rowOff>
    </xdr:from>
    <xdr:to>
      <xdr:col>57</xdr:col>
      <xdr:colOff>66675</xdr:colOff>
      <xdr:row>47</xdr:row>
      <xdr:rowOff>19050</xdr:rowOff>
    </xdr:to>
    <xdr:sp macro="" textlink="">
      <xdr:nvSpPr>
        <xdr:cNvPr id="1066684" name="Line 324">
          <a:extLst>
            <a:ext uri="{FF2B5EF4-FFF2-40B4-BE49-F238E27FC236}">
              <a16:creationId xmlns:a16="http://schemas.microsoft.com/office/drawing/2014/main" id="{00000000-0008-0000-0C00-0000BC461000}"/>
            </a:ext>
          </a:extLst>
        </xdr:cNvPr>
        <xdr:cNvSpPr>
          <a:spLocks noChangeShapeType="1"/>
        </xdr:cNvSpPr>
      </xdr:nvSpPr>
      <xdr:spPr bwMode="auto">
        <a:xfrm>
          <a:off x="38319075"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9525</xdr:colOff>
      <xdr:row>47</xdr:row>
      <xdr:rowOff>0</xdr:rowOff>
    </xdr:from>
    <xdr:to>
      <xdr:col>57</xdr:col>
      <xdr:colOff>66675</xdr:colOff>
      <xdr:row>47</xdr:row>
      <xdr:rowOff>9525</xdr:rowOff>
    </xdr:to>
    <xdr:sp macro="" textlink="">
      <xdr:nvSpPr>
        <xdr:cNvPr id="1066685" name="Line 325">
          <a:extLst>
            <a:ext uri="{FF2B5EF4-FFF2-40B4-BE49-F238E27FC236}">
              <a16:creationId xmlns:a16="http://schemas.microsoft.com/office/drawing/2014/main" id="{00000000-0008-0000-0C00-0000BD461000}"/>
            </a:ext>
          </a:extLst>
        </xdr:cNvPr>
        <xdr:cNvSpPr>
          <a:spLocks noChangeShapeType="1"/>
        </xdr:cNvSpPr>
      </xdr:nvSpPr>
      <xdr:spPr bwMode="auto">
        <a:xfrm flipV="1">
          <a:off x="3826192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0</xdr:colOff>
      <xdr:row>44</xdr:row>
      <xdr:rowOff>0</xdr:rowOff>
    </xdr:from>
    <xdr:to>
      <xdr:col>60</xdr:col>
      <xdr:colOff>76200</xdr:colOff>
      <xdr:row>44</xdr:row>
      <xdr:rowOff>9525</xdr:rowOff>
    </xdr:to>
    <xdr:sp macro="" textlink="">
      <xdr:nvSpPr>
        <xdr:cNvPr id="1066686" name="Line 326">
          <a:extLst>
            <a:ext uri="{FF2B5EF4-FFF2-40B4-BE49-F238E27FC236}">
              <a16:creationId xmlns:a16="http://schemas.microsoft.com/office/drawing/2014/main" id="{00000000-0008-0000-0C00-0000BE461000}"/>
            </a:ext>
          </a:extLst>
        </xdr:cNvPr>
        <xdr:cNvSpPr>
          <a:spLocks noChangeShapeType="1"/>
        </xdr:cNvSpPr>
      </xdr:nvSpPr>
      <xdr:spPr bwMode="auto">
        <a:xfrm>
          <a:off x="4041457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66675</xdr:colOff>
      <xdr:row>44</xdr:row>
      <xdr:rowOff>9525</xdr:rowOff>
    </xdr:from>
    <xdr:to>
      <xdr:col>60</xdr:col>
      <xdr:colOff>66675</xdr:colOff>
      <xdr:row>47</xdr:row>
      <xdr:rowOff>19050</xdr:rowOff>
    </xdr:to>
    <xdr:sp macro="" textlink="">
      <xdr:nvSpPr>
        <xdr:cNvPr id="1066687" name="Line 327">
          <a:extLst>
            <a:ext uri="{FF2B5EF4-FFF2-40B4-BE49-F238E27FC236}">
              <a16:creationId xmlns:a16="http://schemas.microsoft.com/office/drawing/2014/main" id="{00000000-0008-0000-0C00-0000BF461000}"/>
            </a:ext>
          </a:extLst>
        </xdr:cNvPr>
        <xdr:cNvSpPr>
          <a:spLocks noChangeShapeType="1"/>
        </xdr:cNvSpPr>
      </xdr:nvSpPr>
      <xdr:spPr bwMode="auto">
        <a:xfrm>
          <a:off x="40481250"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9525</xdr:colOff>
      <xdr:row>47</xdr:row>
      <xdr:rowOff>0</xdr:rowOff>
    </xdr:from>
    <xdr:to>
      <xdr:col>60</xdr:col>
      <xdr:colOff>66675</xdr:colOff>
      <xdr:row>47</xdr:row>
      <xdr:rowOff>9525</xdr:rowOff>
    </xdr:to>
    <xdr:sp macro="" textlink="">
      <xdr:nvSpPr>
        <xdr:cNvPr id="1066688" name="Line 328">
          <a:extLst>
            <a:ext uri="{FF2B5EF4-FFF2-40B4-BE49-F238E27FC236}">
              <a16:creationId xmlns:a16="http://schemas.microsoft.com/office/drawing/2014/main" id="{00000000-0008-0000-0C00-0000C0461000}"/>
            </a:ext>
          </a:extLst>
        </xdr:cNvPr>
        <xdr:cNvSpPr>
          <a:spLocks noChangeShapeType="1"/>
        </xdr:cNvSpPr>
      </xdr:nvSpPr>
      <xdr:spPr bwMode="auto">
        <a:xfrm flipV="1">
          <a:off x="40424100"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0</xdr:colOff>
      <xdr:row>44</xdr:row>
      <xdr:rowOff>0</xdr:rowOff>
    </xdr:from>
    <xdr:to>
      <xdr:col>63</xdr:col>
      <xdr:colOff>76200</xdr:colOff>
      <xdr:row>44</xdr:row>
      <xdr:rowOff>9525</xdr:rowOff>
    </xdr:to>
    <xdr:sp macro="" textlink="">
      <xdr:nvSpPr>
        <xdr:cNvPr id="1066689" name="Line 329">
          <a:extLst>
            <a:ext uri="{FF2B5EF4-FFF2-40B4-BE49-F238E27FC236}">
              <a16:creationId xmlns:a16="http://schemas.microsoft.com/office/drawing/2014/main" id="{00000000-0008-0000-0C00-0000C1461000}"/>
            </a:ext>
          </a:extLst>
        </xdr:cNvPr>
        <xdr:cNvSpPr>
          <a:spLocks noChangeShapeType="1"/>
        </xdr:cNvSpPr>
      </xdr:nvSpPr>
      <xdr:spPr bwMode="auto">
        <a:xfrm>
          <a:off x="4251007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66675</xdr:colOff>
      <xdr:row>44</xdr:row>
      <xdr:rowOff>9525</xdr:rowOff>
    </xdr:from>
    <xdr:to>
      <xdr:col>63</xdr:col>
      <xdr:colOff>66675</xdr:colOff>
      <xdr:row>47</xdr:row>
      <xdr:rowOff>19050</xdr:rowOff>
    </xdr:to>
    <xdr:sp macro="" textlink="">
      <xdr:nvSpPr>
        <xdr:cNvPr id="1066690" name="Line 330">
          <a:extLst>
            <a:ext uri="{FF2B5EF4-FFF2-40B4-BE49-F238E27FC236}">
              <a16:creationId xmlns:a16="http://schemas.microsoft.com/office/drawing/2014/main" id="{00000000-0008-0000-0C00-0000C2461000}"/>
            </a:ext>
          </a:extLst>
        </xdr:cNvPr>
        <xdr:cNvSpPr>
          <a:spLocks noChangeShapeType="1"/>
        </xdr:cNvSpPr>
      </xdr:nvSpPr>
      <xdr:spPr bwMode="auto">
        <a:xfrm>
          <a:off x="42576750"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9525</xdr:colOff>
      <xdr:row>47</xdr:row>
      <xdr:rowOff>0</xdr:rowOff>
    </xdr:from>
    <xdr:to>
      <xdr:col>63</xdr:col>
      <xdr:colOff>66675</xdr:colOff>
      <xdr:row>47</xdr:row>
      <xdr:rowOff>9525</xdr:rowOff>
    </xdr:to>
    <xdr:sp macro="" textlink="">
      <xdr:nvSpPr>
        <xdr:cNvPr id="1066691" name="Line 331">
          <a:extLst>
            <a:ext uri="{FF2B5EF4-FFF2-40B4-BE49-F238E27FC236}">
              <a16:creationId xmlns:a16="http://schemas.microsoft.com/office/drawing/2014/main" id="{00000000-0008-0000-0C00-0000C3461000}"/>
            </a:ext>
          </a:extLst>
        </xdr:cNvPr>
        <xdr:cNvSpPr>
          <a:spLocks noChangeShapeType="1"/>
        </xdr:cNvSpPr>
      </xdr:nvSpPr>
      <xdr:spPr bwMode="auto">
        <a:xfrm flipV="1">
          <a:off x="42519600"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0</xdr:colOff>
      <xdr:row>44</xdr:row>
      <xdr:rowOff>0</xdr:rowOff>
    </xdr:from>
    <xdr:to>
      <xdr:col>63</xdr:col>
      <xdr:colOff>76200</xdr:colOff>
      <xdr:row>44</xdr:row>
      <xdr:rowOff>9525</xdr:rowOff>
    </xdr:to>
    <xdr:sp macro="" textlink="">
      <xdr:nvSpPr>
        <xdr:cNvPr id="1066692" name="Line 332">
          <a:extLst>
            <a:ext uri="{FF2B5EF4-FFF2-40B4-BE49-F238E27FC236}">
              <a16:creationId xmlns:a16="http://schemas.microsoft.com/office/drawing/2014/main" id="{00000000-0008-0000-0C00-0000C4461000}"/>
            </a:ext>
          </a:extLst>
        </xdr:cNvPr>
        <xdr:cNvSpPr>
          <a:spLocks noChangeShapeType="1"/>
        </xdr:cNvSpPr>
      </xdr:nvSpPr>
      <xdr:spPr bwMode="auto">
        <a:xfrm>
          <a:off x="4251007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66675</xdr:colOff>
      <xdr:row>44</xdr:row>
      <xdr:rowOff>9525</xdr:rowOff>
    </xdr:from>
    <xdr:to>
      <xdr:col>63</xdr:col>
      <xdr:colOff>66675</xdr:colOff>
      <xdr:row>47</xdr:row>
      <xdr:rowOff>19050</xdr:rowOff>
    </xdr:to>
    <xdr:sp macro="" textlink="">
      <xdr:nvSpPr>
        <xdr:cNvPr id="1066693" name="Line 333">
          <a:extLst>
            <a:ext uri="{FF2B5EF4-FFF2-40B4-BE49-F238E27FC236}">
              <a16:creationId xmlns:a16="http://schemas.microsoft.com/office/drawing/2014/main" id="{00000000-0008-0000-0C00-0000C5461000}"/>
            </a:ext>
          </a:extLst>
        </xdr:cNvPr>
        <xdr:cNvSpPr>
          <a:spLocks noChangeShapeType="1"/>
        </xdr:cNvSpPr>
      </xdr:nvSpPr>
      <xdr:spPr bwMode="auto">
        <a:xfrm>
          <a:off x="42576750"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9525</xdr:colOff>
      <xdr:row>47</xdr:row>
      <xdr:rowOff>0</xdr:rowOff>
    </xdr:from>
    <xdr:to>
      <xdr:col>63</xdr:col>
      <xdr:colOff>66675</xdr:colOff>
      <xdr:row>47</xdr:row>
      <xdr:rowOff>9525</xdr:rowOff>
    </xdr:to>
    <xdr:sp macro="" textlink="">
      <xdr:nvSpPr>
        <xdr:cNvPr id="1066694" name="Line 334">
          <a:extLst>
            <a:ext uri="{FF2B5EF4-FFF2-40B4-BE49-F238E27FC236}">
              <a16:creationId xmlns:a16="http://schemas.microsoft.com/office/drawing/2014/main" id="{00000000-0008-0000-0C00-0000C6461000}"/>
            </a:ext>
          </a:extLst>
        </xdr:cNvPr>
        <xdr:cNvSpPr>
          <a:spLocks noChangeShapeType="1"/>
        </xdr:cNvSpPr>
      </xdr:nvSpPr>
      <xdr:spPr bwMode="auto">
        <a:xfrm flipV="1">
          <a:off x="42519600"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76200</xdr:colOff>
      <xdr:row>45</xdr:row>
      <xdr:rowOff>66675</xdr:rowOff>
    </xdr:from>
    <xdr:to>
      <xdr:col>64</xdr:col>
      <xdr:colOff>9525</xdr:colOff>
      <xdr:row>47</xdr:row>
      <xdr:rowOff>19050</xdr:rowOff>
    </xdr:to>
    <xdr:sp macro="" textlink="">
      <xdr:nvSpPr>
        <xdr:cNvPr id="1066695" name="Line 335">
          <a:extLst>
            <a:ext uri="{FF2B5EF4-FFF2-40B4-BE49-F238E27FC236}">
              <a16:creationId xmlns:a16="http://schemas.microsoft.com/office/drawing/2014/main" id="{00000000-0008-0000-0C00-0000C7461000}"/>
            </a:ext>
          </a:extLst>
        </xdr:cNvPr>
        <xdr:cNvSpPr>
          <a:spLocks noChangeShapeType="1"/>
        </xdr:cNvSpPr>
      </xdr:nvSpPr>
      <xdr:spPr bwMode="auto">
        <a:xfrm>
          <a:off x="42586275" y="88106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63</xdr:col>
      <xdr:colOff>0</xdr:colOff>
      <xdr:row>44</xdr:row>
      <xdr:rowOff>0</xdr:rowOff>
    </xdr:from>
    <xdr:to>
      <xdr:col>63</xdr:col>
      <xdr:colOff>76200</xdr:colOff>
      <xdr:row>44</xdr:row>
      <xdr:rowOff>9525</xdr:rowOff>
    </xdr:to>
    <xdr:sp macro="" textlink="">
      <xdr:nvSpPr>
        <xdr:cNvPr id="1066696" name="Line 336">
          <a:extLst>
            <a:ext uri="{FF2B5EF4-FFF2-40B4-BE49-F238E27FC236}">
              <a16:creationId xmlns:a16="http://schemas.microsoft.com/office/drawing/2014/main" id="{00000000-0008-0000-0C00-0000C8461000}"/>
            </a:ext>
          </a:extLst>
        </xdr:cNvPr>
        <xdr:cNvSpPr>
          <a:spLocks noChangeShapeType="1"/>
        </xdr:cNvSpPr>
      </xdr:nvSpPr>
      <xdr:spPr bwMode="auto">
        <a:xfrm>
          <a:off x="4251007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66675</xdr:colOff>
      <xdr:row>44</xdr:row>
      <xdr:rowOff>9525</xdr:rowOff>
    </xdr:from>
    <xdr:to>
      <xdr:col>63</xdr:col>
      <xdr:colOff>66675</xdr:colOff>
      <xdr:row>47</xdr:row>
      <xdr:rowOff>19050</xdr:rowOff>
    </xdr:to>
    <xdr:sp macro="" textlink="">
      <xdr:nvSpPr>
        <xdr:cNvPr id="1066697" name="Line 337">
          <a:extLst>
            <a:ext uri="{FF2B5EF4-FFF2-40B4-BE49-F238E27FC236}">
              <a16:creationId xmlns:a16="http://schemas.microsoft.com/office/drawing/2014/main" id="{00000000-0008-0000-0C00-0000C9461000}"/>
            </a:ext>
          </a:extLst>
        </xdr:cNvPr>
        <xdr:cNvSpPr>
          <a:spLocks noChangeShapeType="1"/>
        </xdr:cNvSpPr>
      </xdr:nvSpPr>
      <xdr:spPr bwMode="auto">
        <a:xfrm>
          <a:off x="42576750"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9525</xdr:colOff>
      <xdr:row>47</xdr:row>
      <xdr:rowOff>0</xdr:rowOff>
    </xdr:from>
    <xdr:to>
      <xdr:col>63</xdr:col>
      <xdr:colOff>66675</xdr:colOff>
      <xdr:row>47</xdr:row>
      <xdr:rowOff>9525</xdr:rowOff>
    </xdr:to>
    <xdr:sp macro="" textlink="">
      <xdr:nvSpPr>
        <xdr:cNvPr id="1066698" name="Line 338">
          <a:extLst>
            <a:ext uri="{FF2B5EF4-FFF2-40B4-BE49-F238E27FC236}">
              <a16:creationId xmlns:a16="http://schemas.microsoft.com/office/drawing/2014/main" id="{00000000-0008-0000-0C00-0000CA461000}"/>
            </a:ext>
          </a:extLst>
        </xdr:cNvPr>
        <xdr:cNvSpPr>
          <a:spLocks noChangeShapeType="1"/>
        </xdr:cNvSpPr>
      </xdr:nvSpPr>
      <xdr:spPr bwMode="auto">
        <a:xfrm flipV="1">
          <a:off x="42519600"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76200</xdr:colOff>
      <xdr:row>43</xdr:row>
      <xdr:rowOff>161925</xdr:rowOff>
    </xdr:from>
    <xdr:to>
      <xdr:col>64</xdr:col>
      <xdr:colOff>0</xdr:colOff>
      <xdr:row>45</xdr:row>
      <xdr:rowOff>47625</xdr:rowOff>
    </xdr:to>
    <xdr:sp macro="" textlink="">
      <xdr:nvSpPr>
        <xdr:cNvPr id="1066699" name="Line 339">
          <a:extLst>
            <a:ext uri="{FF2B5EF4-FFF2-40B4-BE49-F238E27FC236}">
              <a16:creationId xmlns:a16="http://schemas.microsoft.com/office/drawing/2014/main" id="{00000000-0008-0000-0C00-0000CB461000}"/>
            </a:ext>
          </a:extLst>
        </xdr:cNvPr>
        <xdr:cNvSpPr>
          <a:spLocks noChangeShapeType="1"/>
        </xdr:cNvSpPr>
      </xdr:nvSpPr>
      <xdr:spPr bwMode="auto">
        <a:xfrm flipV="1">
          <a:off x="42586275" y="8543925"/>
          <a:ext cx="333375"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0</xdr:colOff>
      <xdr:row>44</xdr:row>
      <xdr:rowOff>0</xdr:rowOff>
    </xdr:from>
    <xdr:to>
      <xdr:col>60</xdr:col>
      <xdr:colOff>76200</xdr:colOff>
      <xdr:row>44</xdr:row>
      <xdr:rowOff>9525</xdr:rowOff>
    </xdr:to>
    <xdr:sp macro="" textlink="">
      <xdr:nvSpPr>
        <xdr:cNvPr id="1066700" name="Line 340">
          <a:extLst>
            <a:ext uri="{FF2B5EF4-FFF2-40B4-BE49-F238E27FC236}">
              <a16:creationId xmlns:a16="http://schemas.microsoft.com/office/drawing/2014/main" id="{00000000-0008-0000-0C00-0000CC461000}"/>
            </a:ext>
          </a:extLst>
        </xdr:cNvPr>
        <xdr:cNvSpPr>
          <a:spLocks noChangeShapeType="1"/>
        </xdr:cNvSpPr>
      </xdr:nvSpPr>
      <xdr:spPr bwMode="auto">
        <a:xfrm>
          <a:off x="4041457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66675</xdr:colOff>
      <xdr:row>44</xdr:row>
      <xdr:rowOff>9525</xdr:rowOff>
    </xdr:from>
    <xdr:to>
      <xdr:col>60</xdr:col>
      <xdr:colOff>66675</xdr:colOff>
      <xdr:row>47</xdr:row>
      <xdr:rowOff>19050</xdr:rowOff>
    </xdr:to>
    <xdr:sp macro="" textlink="">
      <xdr:nvSpPr>
        <xdr:cNvPr id="1066701" name="Line 341">
          <a:extLst>
            <a:ext uri="{FF2B5EF4-FFF2-40B4-BE49-F238E27FC236}">
              <a16:creationId xmlns:a16="http://schemas.microsoft.com/office/drawing/2014/main" id="{00000000-0008-0000-0C00-0000CD461000}"/>
            </a:ext>
          </a:extLst>
        </xdr:cNvPr>
        <xdr:cNvSpPr>
          <a:spLocks noChangeShapeType="1"/>
        </xdr:cNvSpPr>
      </xdr:nvSpPr>
      <xdr:spPr bwMode="auto">
        <a:xfrm>
          <a:off x="40481250"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9525</xdr:colOff>
      <xdr:row>47</xdr:row>
      <xdr:rowOff>0</xdr:rowOff>
    </xdr:from>
    <xdr:to>
      <xdr:col>60</xdr:col>
      <xdr:colOff>66675</xdr:colOff>
      <xdr:row>47</xdr:row>
      <xdr:rowOff>9525</xdr:rowOff>
    </xdr:to>
    <xdr:sp macro="" textlink="">
      <xdr:nvSpPr>
        <xdr:cNvPr id="1066702" name="Line 342">
          <a:extLst>
            <a:ext uri="{FF2B5EF4-FFF2-40B4-BE49-F238E27FC236}">
              <a16:creationId xmlns:a16="http://schemas.microsoft.com/office/drawing/2014/main" id="{00000000-0008-0000-0C00-0000CE461000}"/>
            </a:ext>
          </a:extLst>
        </xdr:cNvPr>
        <xdr:cNvSpPr>
          <a:spLocks noChangeShapeType="1"/>
        </xdr:cNvSpPr>
      </xdr:nvSpPr>
      <xdr:spPr bwMode="auto">
        <a:xfrm flipV="1">
          <a:off x="40424100"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0</xdr:colOff>
      <xdr:row>50</xdr:row>
      <xdr:rowOff>0</xdr:rowOff>
    </xdr:from>
    <xdr:to>
      <xdr:col>57</xdr:col>
      <xdr:colOff>76200</xdr:colOff>
      <xdr:row>50</xdr:row>
      <xdr:rowOff>9525</xdr:rowOff>
    </xdr:to>
    <xdr:sp macro="" textlink="">
      <xdr:nvSpPr>
        <xdr:cNvPr id="1066703" name="Line 343">
          <a:extLst>
            <a:ext uri="{FF2B5EF4-FFF2-40B4-BE49-F238E27FC236}">
              <a16:creationId xmlns:a16="http://schemas.microsoft.com/office/drawing/2014/main" id="{00000000-0008-0000-0C00-0000CF461000}"/>
            </a:ext>
          </a:extLst>
        </xdr:cNvPr>
        <xdr:cNvSpPr>
          <a:spLocks noChangeShapeType="1"/>
        </xdr:cNvSpPr>
      </xdr:nvSpPr>
      <xdr:spPr bwMode="auto">
        <a:xfrm>
          <a:off x="3825240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57150</xdr:colOff>
      <xdr:row>50</xdr:row>
      <xdr:rowOff>0</xdr:rowOff>
    </xdr:from>
    <xdr:to>
      <xdr:col>57</xdr:col>
      <xdr:colOff>57150</xdr:colOff>
      <xdr:row>53</xdr:row>
      <xdr:rowOff>9525</xdr:rowOff>
    </xdr:to>
    <xdr:sp macro="" textlink="">
      <xdr:nvSpPr>
        <xdr:cNvPr id="1066704" name="Line 344">
          <a:extLst>
            <a:ext uri="{FF2B5EF4-FFF2-40B4-BE49-F238E27FC236}">
              <a16:creationId xmlns:a16="http://schemas.microsoft.com/office/drawing/2014/main" id="{00000000-0008-0000-0C00-0000D0461000}"/>
            </a:ext>
          </a:extLst>
        </xdr:cNvPr>
        <xdr:cNvSpPr>
          <a:spLocks noChangeShapeType="1"/>
        </xdr:cNvSpPr>
      </xdr:nvSpPr>
      <xdr:spPr bwMode="auto">
        <a:xfrm flipH="1">
          <a:off x="38309550" y="9648825"/>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9525</xdr:colOff>
      <xdr:row>53</xdr:row>
      <xdr:rowOff>0</xdr:rowOff>
    </xdr:from>
    <xdr:to>
      <xdr:col>57</xdr:col>
      <xdr:colOff>66675</xdr:colOff>
      <xdr:row>53</xdr:row>
      <xdr:rowOff>9525</xdr:rowOff>
    </xdr:to>
    <xdr:sp macro="" textlink="">
      <xdr:nvSpPr>
        <xdr:cNvPr id="1066705" name="Line 345">
          <a:extLst>
            <a:ext uri="{FF2B5EF4-FFF2-40B4-BE49-F238E27FC236}">
              <a16:creationId xmlns:a16="http://schemas.microsoft.com/office/drawing/2014/main" id="{00000000-0008-0000-0C00-0000D1461000}"/>
            </a:ext>
          </a:extLst>
        </xdr:cNvPr>
        <xdr:cNvSpPr>
          <a:spLocks noChangeShapeType="1"/>
        </xdr:cNvSpPr>
      </xdr:nvSpPr>
      <xdr:spPr bwMode="auto">
        <a:xfrm flipV="1">
          <a:off x="3826192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0</xdr:colOff>
      <xdr:row>50</xdr:row>
      <xdr:rowOff>0</xdr:rowOff>
    </xdr:from>
    <xdr:to>
      <xdr:col>60</xdr:col>
      <xdr:colOff>76200</xdr:colOff>
      <xdr:row>50</xdr:row>
      <xdr:rowOff>9525</xdr:rowOff>
    </xdr:to>
    <xdr:sp macro="" textlink="">
      <xdr:nvSpPr>
        <xdr:cNvPr id="1066706" name="Line 346">
          <a:extLst>
            <a:ext uri="{FF2B5EF4-FFF2-40B4-BE49-F238E27FC236}">
              <a16:creationId xmlns:a16="http://schemas.microsoft.com/office/drawing/2014/main" id="{00000000-0008-0000-0C00-0000D2461000}"/>
            </a:ext>
          </a:extLst>
        </xdr:cNvPr>
        <xdr:cNvSpPr>
          <a:spLocks noChangeShapeType="1"/>
        </xdr:cNvSpPr>
      </xdr:nvSpPr>
      <xdr:spPr bwMode="auto">
        <a:xfrm>
          <a:off x="40414575"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66675</xdr:colOff>
      <xdr:row>50</xdr:row>
      <xdr:rowOff>9525</xdr:rowOff>
    </xdr:from>
    <xdr:to>
      <xdr:col>60</xdr:col>
      <xdr:colOff>66675</xdr:colOff>
      <xdr:row>53</xdr:row>
      <xdr:rowOff>19050</xdr:rowOff>
    </xdr:to>
    <xdr:sp macro="" textlink="">
      <xdr:nvSpPr>
        <xdr:cNvPr id="1066707" name="Line 347">
          <a:extLst>
            <a:ext uri="{FF2B5EF4-FFF2-40B4-BE49-F238E27FC236}">
              <a16:creationId xmlns:a16="http://schemas.microsoft.com/office/drawing/2014/main" id="{00000000-0008-0000-0C00-0000D3461000}"/>
            </a:ext>
          </a:extLst>
        </xdr:cNvPr>
        <xdr:cNvSpPr>
          <a:spLocks noChangeShapeType="1"/>
        </xdr:cNvSpPr>
      </xdr:nvSpPr>
      <xdr:spPr bwMode="auto">
        <a:xfrm>
          <a:off x="40481250"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9525</xdr:colOff>
      <xdr:row>53</xdr:row>
      <xdr:rowOff>0</xdr:rowOff>
    </xdr:from>
    <xdr:to>
      <xdr:col>60</xdr:col>
      <xdr:colOff>66675</xdr:colOff>
      <xdr:row>53</xdr:row>
      <xdr:rowOff>9525</xdr:rowOff>
    </xdr:to>
    <xdr:sp macro="" textlink="">
      <xdr:nvSpPr>
        <xdr:cNvPr id="1066708" name="Line 348">
          <a:extLst>
            <a:ext uri="{FF2B5EF4-FFF2-40B4-BE49-F238E27FC236}">
              <a16:creationId xmlns:a16="http://schemas.microsoft.com/office/drawing/2014/main" id="{00000000-0008-0000-0C00-0000D4461000}"/>
            </a:ext>
          </a:extLst>
        </xdr:cNvPr>
        <xdr:cNvSpPr>
          <a:spLocks noChangeShapeType="1"/>
        </xdr:cNvSpPr>
      </xdr:nvSpPr>
      <xdr:spPr bwMode="auto">
        <a:xfrm flipV="1">
          <a:off x="40424100"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0</xdr:colOff>
      <xdr:row>50</xdr:row>
      <xdr:rowOff>0</xdr:rowOff>
    </xdr:from>
    <xdr:to>
      <xdr:col>63</xdr:col>
      <xdr:colOff>76200</xdr:colOff>
      <xdr:row>50</xdr:row>
      <xdr:rowOff>9525</xdr:rowOff>
    </xdr:to>
    <xdr:sp macro="" textlink="">
      <xdr:nvSpPr>
        <xdr:cNvPr id="1066709" name="Line 349">
          <a:extLst>
            <a:ext uri="{FF2B5EF4-FFF2-40B4-BE49-F238E27FC236}">
              <a16:creationId xmlns:a16="http://schemas.microsoft.com/office/drawing/2014/main" id="{00000000-0008-0000-0C00-0000D5461000}"/>
            </a:ext>
          </a:extLst>
        </xdr:cNvPr>
        <xdr:cNvSpPr>
          <a:spLocks noChangeShapeType="1"/>
        </xdr:cNvSpPr>
      </xdr:nvSpPr>
      <xdr:spPr bwMode="auto">
        <a:xfrm>
          <a:off x="42510075"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66675</xdr:colOff>
      <xdr:row>50</xdr:row>
      <xdr:rowOff>9525</xdr:rowOff>
    </xdr:from>
    <xdr:to>
      <xdr:col>63</xdr:col>
      <xdr:colOff>66675</xdr:colOff>
      <xdr:row>53</xdr:row>
      <xdr:rowOff>19050</xdr:rowOff>
    </xdr:to>
    <xdr:sp macro="" textlink="">
      <xdr:nvSpPr>
        <xdr:cNvPr id="1066710" name="Line 350">
          <a:extLst>
            <a:ext uri="{FF2B5EF4-FFF2-40B4-BE49-F238E27FC236}">
              <a16:creationId xmlns:a16="http://schemas.microsoft.com/office/drawing/2014/main" id="{00000000-0008-0000-0C00-0000D6461000}"/>
            </a:ext>
          </a:extLst>
        </xdr:cNvPr>
        <xdr:cNvSpPr>
          <a:spLocks noChangeShapeType="1"/>
        </xdr:cNvSpPr>
      </xdr:nvSpPr>
      <xdr:spPr bwMode="auto">
        <a:xfrm>
          <a:off x="42576750"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9525</xdr:colOff>
      <xdr:row>53</xdr:row>
      <xdr:rowOff>0</xdr:rowOff>
    </xdr:from>
    <xdr:to>
      <xdr:col>63</xdr:col>
      <xdr:colOff>66675</xdr:colOff>
      <xdr:row>53</xdr:row>
      <xdr:rowOff>9525</xdr:rowOff>
    </xdr:to>
    <xdr:sp macro="" textlink="">
      <xdr:nvSpPr>
        <xdr:cNvPr id="1066711" name="Line 351">
          <a:extLst>
            <a:ext uri="{FF2B5EF4-FFF2-40B4-BE49-F238E27FC236}">
              <a16:creationId xmlns:a16="http://schemas.microsoft.com/office/drawing/2014/main" id="{00000000-0008-0000-0C00-0000D7461000}"/>
            </a:ext>
          </a:extLst>
        </xdr:cNvPr>
        <xdr:cNvSpPr>
          <a:spLocks noChangeShapeType="1"/>
        </xdr:cNvSpPr>
      </xdr:nvSpPr>
      <xdr:spPr bwMode="auto">
        <a:xfrm flipV="1">
          <a:off x="42519600"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0</xdr:colOff>
      <xdr:row>50</xdr:row>
      <xdr:rowOff>0</xdr:rowOff>
    </xdr:from>
    <xdr:to>
      <xdr:col>63</xdr:col>
      <xdr:colOff>76200</xdr:colOff>
      <xdr:row>50</xdr:row>
      <xdr:rowOff>9525</xdr:rowOff>
    </xdr:to>
    <xdr:sp macro="" textlink="">
      <xdr:nvSpPr>
        <xdr:cNvPr id="1066712" name="Line 352">
          <a:extLst>
            <a:ext uri="{FF2B5EF4-FFF2-40B4-BE49-F238E27FC236}">
              <a16:creationId xmlns:a16="http://schemas.microsoft.com/office/drawing/2014/main" id="{00000000-0008-0000-0C00-0000D8461000}"/>
            </a:ext>
          </a:extLst>
        </xdr:cNvPr>
        <xdr:cNvSpPr>
          <a:spLocks noChangeShapeType="1"/>
        </xdr:cNvSpPr>
      </xdr:nvSpPr>
      <xdr:spPr bwMode="auto">
        <a:xfrm>
          <a:off x="42510075"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66675</xdr:colOff>
      <xdr:row>50</xdr:row>
      <xdr:rowOff>9525</xdr:rowOff>
    </xdr:from>
    <xdr:to>
      <xdr:col>63</xdr:col>
      <xdr:colOff>66675</xdr:colOff>
      <xdr:row>53</xdr:row>
      <xdr:rowOff>19050</xdr:rowOff>
    </xdr:to>
    <xdr:sp macro="" textlink="">
      <xdr:nvSpPr>
        <xdr:cNvPr id="1066713" name="Line 353">
          <a:extLst>
            <a:ext uri="{FF2B5EF4-FFF2-40B4-BE49-F238E27FC236}">
              <a16:creationId xmlns:a16="http://schemas.microsoft.com/office/drawing/2014/main" id="{00000000-0008-0000-0C00-0000D9461000}"/>
            </a:ext>
          </a:extLst>
        </xdr:cNvPr>
        <xdr:cNvSpPr>
          <a:spLocks noChangeShapeType="1"/>
        </xdr:cNvSpPr>
      </xdr:nvSpPr>
      <xdr:spPr bwMode="auto">
        <a:xfrm>
          <a:off x="42576750"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9525</xdr:colOff>
      <xdr:row>53</xdr:row>
      <xdr:rowOff>0</xdr:rowOff>
    </xdr:from>
    <xdr:to>
      <xdr:col>63</xdr:col>
      <xdr:colOff>66675</xdr:colOff>
      <xdr:row>53</xdr:row>
      <xdr:rowOff>9525</xdr:rowOff>
    </xdr:to>
    <xdr:sp macro="" textlink="">
      <xdr:nvSpPr>
        <xdr:cNvPr id="1066714" name="Line 354">
          <a:extLst>
            <a:ext uri="{FF2B5EF4-FFF2-40B4-BE49-F238E27FC236}">
              <a16:creationId xmlns:a16="http://schemas.microsoft.com/office/drawing/2014/main" id="{00000000-0008-0000-0C00-0000DA461000}"/>
            </a:ext>
          </a:extLst>
        </xdr:cNvPr>
        <xdr:cNvSpPr>
          <a:spLocks noChangeShapeType="1"/>
        </xdr:cNvSpPr>
      </xdr:nvSpPr>
      <xdr:spPr bwMode="auto">
        <a:xfrm flipV="1">
          <a:off x="42519600"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66675</xdr:colOff>
      <xdr:row>51</xdr:row>
      <xdr:rowOff>114300</xdr:rowOff>
    </xdr:from>
    <xdr:to>
      <xdr:col>64</xdr:col>
      <xdr:colOff>0</xdr:colOff>
      <xdr:row>53</xdr:row>
      <xdr:rowOff>0</xdr:rowOff>
    </xdr:to>
    <xdr:sp macro="" textlink="">
      <xdr:nvSpPr>
        <xdr:cNvPr id="1066715" name="Line 355">
          <a:extLst>
            <a:ext uri="{FF2B5EF4-FFF2-40B4-BE49-F238E27FC236}">
              <a16:creationId xmlns:a16="http://schemas.microsoft.com/office/drawing/2014/main" id="{00000000-0008-0000-0C00-0000DB461000}"/>
            </a:ext>
          </a:extLst>
        </xdr:cNvPr>
        <xdr:cNvSpPr>
          <a:spLocks noChangeShapeType="1"/>
        </xdr:cNvSpPr>
      </xdr:nvSpPr>
      <xdr:spPr bwMode="auto">
        <a:xfrm>
          <a:off x="42576750" y="9944100"/>
          <a:ext cx="342900" cy="2476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63</xdr:col>
      <xdr:colOff>0</xdr:colOff>
      <xdr:row>50</xdr:row>
      <xdr:rowOff>0</xdr:rowOff>
    </xdr:from>
    <xdr:to>
      <xdr:col>63</xdr:col>
      <xdr:colOff>76200</xdr:colOff>
      <xdr:row>50</xdr:row>
      <xdr:rowOff>9525</xdr:rowOff>
    </xdr:to>
    <xdr:sp macro="" textlink="">
      <xdr:nvSpPr>
        <xdr:cNvPr id="1066716" name="Line 356">
          <a:extLst>
            <a:ext uri="{FF2B5EF4-FFF2-40B4-BE49-F238E27FC236}">
              <a16:creationId xmlns:a16="http://schemas.microsoft.com/office/drawing/2014/main" id="{00000000-0008-0000-0C00-0000DC461000}"/>
            </a:ext>
          </a:extLst>
        </xdr:cNvPr>
        <xdr:cNvSpPr>
          <a:spLocks noChangeShapeType="1"/>
        </xdr:cNvSpPr>
      </xdr:nvSpPr>
      <xdr:spPr bwMode="auto">
        <a:xfrm>
          <a:off x="42510075"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9525</xdr:colOff>
      <xdr:row>53</xdr:row>
      <xdr:rowOff>0</xdr:rowOff>
    </xdr:from>
    <xdr:to>
      <xdr:col>63</xdr:col>
      <xdr:colOff>66675</xdr:colOff>
      <xdr:row>53</xdr:row>
      <xdr:rowOff>9525</xdr:rowOff>
    </xdr:to>
    <xdr:sp macro="" textlink="">
      <xdr:nvSpPr>
        <xdr:cNvPr id="1066717" name="Line 358">
          <a:extLst>
            <a:ext uri="{FF2B5EF4-FFF2-40B4-BE49-F238E27FC236}">
              <a16:creationId xmlns:a16="http://schemas.microsoft.com/office/drawing/2014/main" id="{00000000-0008-0000-0C00-0000DD461000}"/>
            </a:ext>
          </a:extLst>
        </xdr:cNvPr>
        <xdr:cNvSpPr>
          <a:spLocks noChangeShapeType="1"/>
        </xdr:cNvSpPr>
      </xdr:nvSpPr>
      <xdr:spPr bwMode="auto">
        <a:xfrm flipV="1">
          <a:off x="42519600"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66675</xdr:colOff>
      <xdr:row>49</xdr:row>
      <xdr:rowOff>161925</xdr:rowOff>
    </xdr:from>
    <xdr:to>
      <xdr:col>63</xdr:col>
      <xdr:colOff>400050</xdr:colOff>
      <xdr:row>51</xdr:row>
      <xdr:rowOff>114300</xdr:rowOff>
    </xdr:to>
    <xdr:sp macro="" textlink="">
      <xdr:nvSpPr>
        <xdr:cNvPr id="1066718" name="Line 359">
          <a:extLst>
            <a:ext uri="{FF2B5EF4-FFF2-40B4-BE49-F238E27FC236}">
              <a16:creationId xmlns:a16="http://schemas.microsoft.com/office/drawing/2014/main" id="{00000000-0008-0000-0C00-0000DE461000}"/>
            </a:ext>
          </a:extLst>
        </xdr:cNvPr>
        <xdr:cNvSpPr>
          <a:spLocks noChangeShapeType="1"/>
        </xdr:cNvSpPr>
      </xdr:nvSpPr>
      <xdr:spPr bwMode="auto">
        <a:xfrm flipV="1">
          <a:off x="42576750" y="9629775"/>
          <a:ext cx="333375" cy="3143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0</xdr:colOff>
      <xdr:row>50</xdr:row>
      <xdr:rowOff>0</xdr:rowOff>
    </xdr:from>
    <xdr:to>
      <xdr:col>60</xdr:col>
      <xdr:colOff>76200</xdr:colOff>
      <xdr:row>50</xdr:row>
      <xdr:rowOff>9525</xdr:rowOff>
    </xdr:to>
    <xdr:sp macro="" textlink="">
      <xdr:nvSpPr>
        <xdr:cNvPr id="1066719" name="Line 360">
          <a:extLst>
            <a:ext uri="{FF2B5EF4-FFF2-40B4-BE49-F238E27FC236}">
              <a16:creationId xmlns:a16="http://schemas.microsoft.com/office/drawing/2014/main" id="{00000000-0008-0000-0C00-0000DF461000}"/>
            </a:ext>
          </a:extLst>
        </xdr:cNvPr>
        <xdr:cNvSpPr>
          <a:spLocks noChangeShapeType="1"/>
        </xdr:cNvSpPr>
      </xdr:nvSpPr>
      <xdr:spPr bwMode="auto">
        <a:xfrm>
          <a:off x="40414575"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57150</xdr:colOff>
      <xdr:row>50</xdr:row>
      <xdr:rowOff>9525</xdr:rowOff>
    </xdr:from>
    <xdr:to>
      <xdr:col>60</xdr:col>
      <xdr:colOff>66675</xdr:colOff>
      <xdr:row>53</xdr:row>
      <xdr:rowOff>0</xdr:rowOff>
    </xdr:to>
    <xdr:sp macro="" textlink="">
      <xdr:nvSpPr>
        <xdr:cNvPr id="1066720" name="Line 361">
          <a:extLst>
            <a:ext uri="{FF2B5EF4-FFF2-40B4-BE49-F238E27FC236}">
              <a16:creationId xmlns:a16="http://schemas.microsoft.com/office/drawing/2014/main" id="{00000000-0008-0000-0C00-0000E0461000}"/>
            </a:ext>
          </a:extLst>
        </xdr:cNvPr>
        <xdr:cNvSpPr>
          <a:spLocks noChangeShapeType="1"/>
        </xdr:cNvSpPr>
      </xdr:nvSpPr>
      <xdr:spPr bwMode="auto">
        <a:xfrm flipH="1">
          <a:off x="40471725" y="9658350"/>
          <a:ext cx="9525"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9525</xdr:colOff>
      <xdr:row>53</xdr:row>
      <xdr:rowOff>0</xdr:rowOff>
    </xdr:from>
    <xdr:to>
      <xdr:col>60</xdr:col>
      <xdr:colOff>66675</xdr:colOff>
      <xdr:row>53</xdr:row>
      <xdr:rowOff>9525</xdr:rowOff>
    </xdr:to>
    <xdr:sp macro="" textlink="">
      <xdr:nvSpPr>
        <xdr:cNvPr id="1066721" name="Line 362">
          <a:extLst>
            <a:ext uri="{FF2B5EF4-FFF2-40B4-BE49-F238E27FC236}">
              <a16:creationId xmlns:a16="http://schemas.microsoft.com/office/drawing/2014/main" id="{00000000-0008-0000-0C00-0000E1461000}"/>
            </a:ext>
          </a:extLst>
        </xdr:cNvPr>
        <xdr:cNvSpPr>
          <a:spLocks noChangeShapeType="1"/>
        </xdr:cNvSpPr>
      </xdr:nvSpPr>
      <xdr:spPr bwMode="auto">
        <a:xfrm flipV="1">
          <a:off x="40424100"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66675</xdr:colOff>
      <xdr:row>51</xdr:row>
      <xdr:rowOff>85725</xdr:rowOff>
    </xdr:from>
    <xdr:to>
      <xdr:col>58</xdr:col>
      <xdr:colOff>9525</xdr:colOff>
      <xdr:row>56</xdr:row>
      <xdr:rowOff>19050</xdr:rowOff>
    </xdr:to>
    <xdr:sp macro="" textlink="">
      <xdr:nvSpPr>
        <xdr:cNvPr id="1066722" name="Line 363">
          <a:extLst>
            <a:ext uri="{FF2B5EF4-FFF2-40B4-BE49-F238E27FC236}">
              <a16:creationId xmlns:a16="http://schemas.microsoft.com/office/drawing/2014/main" id="{00000000-0008-0000-0C00-0000E2461000}"/>
            </a:ext>
          </a:extLst>
        </xdr:cNvPr>
        <xdr:cNvSpPr>
          <a:spLocks noChangeShapeType="1"/>
        </xdr:cNvSpPr>
      </xdr:nvSpPr>
      <xdr:spPr bwMode="auto">
        <a:xfrm>
          <a:off x="38319075" y="9915525"/>
          <a:ext cx="39052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57150</xdr:colOff>
      <xdr:row>51</xdr:row>
      <xdr:rowOff>76200</xdr:rowOff>
    </xdr:from>
    <xdr:to>
      <xdr:col>60</xdr:col>
      <xdr:colOff>400050</xdr:colOff>
      <xdr:row>56</xdr:row>
      <xdr:rowOff>28575</xdr:rowOff>
    </xdr:to>
    <xdr:sp macro="" textlink="">
      <xdr:nvSpPr>
        <xdr:cNvPr id="1066723" name="Line 364">
          <a:extLst>
            <a:ext uri="{FF2B5EF4-FFF2-40B4-BE49-F238E27FC236}">
              <a16:creationId xmlns:a16="http://schemas.microsoft.com/office/drawing/2014/main" id="{00000000-0008-0000-0C00-0000E3461000}"/>
            </a:ext>
          </a:extLst>
        </xdr:cNvPr>
        <xdr:cNvSpPr>
          <a:spLocks noChangeShapeType="1"/>
        </xdr:cNvSpPr>
      </xdr:nvSpPr>
      <xdr:spPr bwMode="auto">
        <a:xfrm>
          <a:off x="40471725" y="9906000"/>
          <a:ext cx="342900" cy="8572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57</xdr:col>
      <xdr:colOff>0</xdr:colOff>
      <xdr:row>26</xdr:row>
      <xdr:rowOff>0</xdr:rowOff>
    </xdr:from>
    <xdr:to>
      <xdr:col>57</xdr:col>
      <xdr:colOff>76200</xdr:colOff>
      <xdr:row>26</xdr:row>
      <xdr:rowOff>9525</xdr:rowOff>
    </xdr:to>
    <xdr:sp macro="" textlink="">
      <xdr:nvSpPr>
        <xdr:cNvPr id="1066724" name="Line 365">
          <a:extLst>
            <a:ext uri="{FF2B5EF4-FFF2-40B4-BE49-F238E27FC236}">
              <a16:creationId xmlns:a16="http://schemas.microsoft.com/office/drawing/2014/main" id="{00000000-0008-0000-0C00-0000E4461000}"/>
            </a:ext>
          </a:extLst>
        </xdr:cNvPr>
        <xdr:cNvSpPr>
          <a:spLocks noChangeShapeType="1"/>
        </xdr:cNvSpPr>
      </xdr:nvSpPr>
      <xdr:spPr bwMode="auto">
        <a:xfrm>
          <a:off x="3825240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66675</xdr:colOff>
      <xdr:row>26</xdr:row>
      <xdr:rowOff>9525</xdr:rowOff>
    </xdr:from>
    <xdr:to>
      <xdr:col>57</xdr:col>
      <xdr:colOff>66675</xdr:colOff>
      <xdr:row>29</xdr:row>
      <xdr:rowOff>19050</xdr:rowOff>
    </xdr:to>
    <xdr:sp macro="" textlink="">
      <xdr:nvSpPr>
        <xdr:cNvPr id="1066725" name="Line 366">
          <a:extLst>
            <a:ext uri="{FF2B5EF4-FFF2-40B4-BE49-F238E27FC236}">
              <a16:creationId xmlns:a16="http://schemas.microsoft.com/office/drawing/2014/main" id="{00000000-0008-0000-0C00-0000E5461000}"/>
            </a:ext>
          </a:extLst>
        </xdr:cNvPr>
        <xdr:cNvSpPr>
          <a:spLocks noChangeShapeType="1"/>
        </xdr:cNvSpPr>
      </xdr:nvSpPr>
      <xdr:spPr bwMode="auto">
        <a:xfrm>
          <a:off x="3831907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9525</xdr:colOff>
      <xdr:row>29</xdr:row>
      <xdr:rowOff>0</xdr:rowOff>
    </xdr:from>
    <xdr:to>
      <xdr:col>57</xdr:col>
      <xdr:colOff>66675</xdr:colOff>
      <xdr:row>29</xdr:row>
      <xdr:rowOff>9525</xdr:rowOff>
    </xdr:to>
    <xdr:sp macro="" textlink="">
      <xdr:nvSpPr>
        <xdr:cNvPr id="1066726" name="Line 367">
          <a:extLst>
            <a:ext uri="{FF2B5EF4-FFF2-40B4-BE49-F238E27FC236}">
              <a16:creationId xmlns:a16="http://schemas.microsoft.com/office/drawing/2014/main" id="{00000000-0008-0000-0C00-0000E6461000}"/>
            </a:ext>
          </a:extLst>
        </xdr:cNvPr>
        <xdr:cNvSpPr>
          <a:spLocks noChangeShapeType="1"/>
        </xdr:cNvSpPr>
      </xdr:nvSpPr>
      <xdr:spPr bwMode="auto">
        <a:xfrm flipV="1">
          <a:off x="3826192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0</xdr:colOff>
      <xdr:row>26</xdr:row>
      <xdr:rowOff>0</xdr:rowOff>
    </xdr:from>
    <xdr:to>
      <xdr:col>60</xdr:col>
      <xdr:colOff>76200</xdr:colOff>
      <xdr:row>26</xdr:row>
      <xdr:rowOff>9525</xdr:rowOff>
    </xdr:to>
    <xdr:sp macro="" textlink="">
      <xdr:nvSpPr>
        <xdr:cNvPr id="1066727" name="Line 368">
          <a:extLst>
            <a:ext uri="{FF2B5EF4-FFF2-40B4-BE49-F238E27FC236}">
              <a16:creationId xmlns:a16="http://schemas.microsoft.com/office/drawing/2014/main" id="{00000000-0008-0000-0C00-0000E7461000}"/>
            </a:ext>
          </a:extLst>
        </xdr:cNvPr>
        <xdr:cNvSpPr>
          <a:spLocks noChangeShapeType="1"/>
        </xdr:cNvSpPr>
      </xdr:nvSpPr>
      <xdr:spPr bwMode="auto">
        <a:xfrm>
          <a:off x="4041457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9525</xdr:colOff>
      <xdr:row>29</xdr:row>
      <xdr:rowOff>0</xdr:rowOff>
    </xdr:from>
    <xdr:to>
      <xdr:col>60</xdr:col>
      <xdr:colOff>66675</xdr:colOff>
      <xdr:row>29</xdr:row>
      <xdr:rowOff>9525</xdr:rowOff>
    </xdr:to>
    <xdr:sp macro="" textlink="">
      <xdr:nvSpPr>
        <xdr:cNvPr id="1066728" name="Line 370">
          <a:extLst>
            <a:ext uri="{FF2B5EF4-FFF2-40B4-BE49-F238E27FC236}">
              <a16:creationId xmlns:a16="http://schemas.microsoft.com/office/drawing/2014/main" id="{00000000-0008-0000-0C00-0000E8461000}"/>
            </a:ext>
          </a:extLst>
        </xdr:cNvPr>
        <xdr:cNvSpPr>
          <a:spLocks noChangeShapeType="1"/>
        </xdr:cNvSpPr>
      </xdr:nvSpPr>
      <xdr:spPr bwMode="auto">
        <a:xfrm flipV="1">
          <a:off x="4042410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0</xdr:colOff>
      <xdr:row>26</xdr:row>
      <xdr:rowOff>0</xdr:rowOff>
    </xdr:from>
    <xdr:to>
      <xdr:col>63</xdr:col>
      <xdr:colOff>76200</xdr:colOff>
      <xdr:row>26</xdr:row>
      <xdr:rowOff>9525</xdr:rowOff>
    </xdr:to>
    <xdr:sp macro="" textlink="">
      <xdr:nvSpPr>
        <xdr:cNvPr id="1066729" name="Line 371">
          <a:extLst>
            <a:ext uri="{FF2B5EF4-FFF2-40B4-BE49-F238E27FC236}">
              <a16:creationId xmlns:a16="http://schemas.microsoft.com/office/drawing/2014/main" id="{00000000-0008-0000-0C00-0000E9461000}"/>
            </a:ext>
          </a:extLst>
        </xdr:cNvPr>
        <xdr:cNvSpPr>
          <a:spLocks noChangeShapeType="1"/>
        </xdr:cNvSpPr>
      </xdr:nvSpPr>
      <xdr:spPr bwMode="auto">
        <a:xfrm>
          <a:off x="4251007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66675</xdr:colOff>
      <xdr:row>26</xdr:row>
      <xdr:rowOff>9525</xdr:rowOff>
    </xdr:from>
    <xdr:to>
      <xdr:col>63</xdr:col>
      <xdr:colOff>66675</xdr:colOff>
      <xdr:row>29</xdr:row>
      <xdr:rowOff>19050</xdr:rowOff>
    </xdr:to>
    <xdr:sp macro="" textlink="">
      <xdr:nvSpPr>
        <xdr:cNvPr id="1066730" name="Line 372">
          <a:extLst>
            <a:ext uri="{FF2B5EF4-FFF2-40B4-BE49-F238E27FC236}">
              <a16:creationId xmlns:a16="http://schemas.microsoft.com/office/drawing/2014/main" id="{00000000-0008-0000-0C00-0000EA461000}"/>
            </a:ext>
          </a:extLst>
        </xdr:cNvPr>
        <xdr:cNvSpPr>
          <a:spLocks noChangeShapeType="1"/>
        </xdr:cNvSpPr>
      </xdr:nvSpPr>
      <xdr:spPr bwMode="auto">
        <a:xfrm>
          <a:off x="4257675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9525</xdr:colOff>
      <xdr:row>29</xdr:row>
      <xdr:rowOff>0</xdr:rowOff>
    </xdr:from>
    <xdr:to>
      <xdr:col>63</xdr:col>
      <xdr:colOff>66675</xdr:colOff>
      <xdr:row>29</xdr:row>
      <xdr:rowOff>9525</xdr:rowOff>
    </xdr:to>
    <xdr:sp macro="" textlink="">
      <xdr:nvSpPr>
        <xdr:cNvPr id="1066731" name="Line 373">
          <a:extLst>
            <a:ext uri="{FF2B5EF4-FFF2-40B4-BE49-F238E27FC236}">
              <a16:creationId xmlns:a16="http://schemas.microsoft.com/office/drawing/2014/main" id="{00000000-0008-0000-0C00-0000EB461000}"/>
            </a:ext>
          </a:extLst>
        </xdr:cNvPr>
        <xdr:cNvSpPr>
          <a:spLocks noChangeShapeType="1"/>
        </xdr:cNvSpPr>
      </xdr:nvSpPr>
      <xdr:spPr bwMode="auto">
        <a:xfrm flipV="1">
          <a:off x="4251960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0</xdr:colOff>
      <xdr:row>26</xdr:row>
      <xdr:rowOff>0</xdr:rowOff>
    </xdr:from>
    <xdr:to>
      <xdr:col>63</xdr:col>
      <xdr:colOff>76200</xdr:colOff>
      <xdr:row>26</xdr:row>
      <xdr:rowOff>9525</xdr:rowOff>
    </xdr:to>
    <xdr:sp macro="" textlink="">
      <xdr:nvSpPr>
        <xdr:cNvPr id="1066732" name="Line 374">
          <a:extLst>
            <a:ext uri="{FF2B5EF4-FFF2-40B4-BE49-F238E27FC236}">
              <a16:creationId xmlns:a16="http://schemas.microsoft.com/office/drawing/2014/main" id="{00000000-0008-0000-0C00-0000EC461000}"/>
            </a:ext>
          </a:extLst>
        </xdr:cNvPr>
        <xdr:cNvSpPr>
          <a:spLocks noChangeShapeType="1"/>
        </xdr:cNvSpPr>
      </xdr:nvSpPr>
      <xdr:spPr bwMode="auto">
        <a:xfrm>
          <a:off x="4251007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66675</xdr:colOff>
      <xdr:row>26</xdr:row>
      <xdr:rowOff>9525</xdr:rowOff>
    </xdr:from>
    <xdr:to>
      <xdr:col>63</xdr:col>
      <xdr:colOff>66675</xdr:colOff>
      <xdr:row>29</xdr:row>
      <xdr:rowOff>19050</xdr:rowOff>
    </xdr:to>
    <xdr:sp macro="" textlink="">
      <xdr:nvSpPr>
        <xdr:cNvPr id="1066733" name="Line 375">
          <a:extLst>
            <a:ext uri="{FF2B5EF4-FFF2-40B4-BE49-F238E27FC236}">
              <a16:creationId xmlns:a16="http://schemas.microsoft.com/office/drawing/2014/main" id="{00000000-0008-0000-0C00-0000ED461000}"/>
            </a:ext>
          </a:extLst>
        </xdr:cNvPr>
        <xdr:cNvSpPr>
          <a:spLocks noChangeShapeType="1"/>
        </xdr:cNvSpPr>
      </xdr:nvSpPr>
      <xdr:spPr bwMode="auto">
        <a:xfrm>
          <a:off x="4257675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9525</xdr:colOff>
      <xdr:row>29</xdr:row>
      <xdr:rowOff>0</xdr:rowOff>
    </xdr:from>
    <xdr:to>
      <xdr:col>63</xdr:col>
      <xdr:colOff>66675</xdr:colOff>
      <xdr:row>29</xdr:row>
      <xdr:rowOff>9525</xdr:rowOff>
    </xdr:to>
    <xdr:sp macro="" textlink="">
      <xdr:nvSpPr>
        <xdr:cNvPr id="1066734" name="Line 376">
          <a:extLst>
            <a:ext uri="{FF2B5EF4-FFF2-40B4-BE49-F238E27FC236}">
              <a16:creationId xmlns:a16="http://schemas.microsoft.com/office/drawing/2014/main" id="{00000000-0008-0000-0C00-0000EE461000}"/>
            </a:ext>
          </a:extLst>
        </xdr:cNvPr>
        <xdr:cNvSpPr>
          <a:spLocks noChangeShapeType="1"/>
        </xdr:cNvSpPr>
      </xdr:nvSpPr>
      <xdr:spPr bwMode="auto">
        <a:xfrm flipV="1">
          <a:off x="4251960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76200</xdr:colOff>
      <xdr:row>27</xdr:row>
      <xdr:rowOff>66675</xdr:rowOff>
    </xdr:from>
    <xdr:to>
      <xdr:col>64</xdr:col>
      <xdr:colOff>9525</xdr:colOff>
      <xdr:row>29</xdr:row>
      <xdr:rowOff>19050</xdr:rowOff>
    </xdr:to>
    <xdr:sp macro="" textlink="">
      <xdr:nvSpPr>
        <xdr:cNvPr id="1066735" name="Line 377">
          <a:extLst>
            <a:ext uri="{FF2B5EF4-FFF2-40B4-BE49-F238E27FC236}">
              <a16:creationId xmlns:a16="http://schemas.microsoft.com/office/drawing/2014/main" id="{00000000-0008-0000-0C00-0000EF461000}"/>
            </a:ext>
          </a:extLst>
        </xdr:cNvPr>
        <xdr:cNvSpPr>
          <a:spLocks noChangeShapeType="1"/>
        </xdr:cNvSpPr>
      </xdr:nvSpPr>
      <xdr:spPr bwMode="auto">
        <a:xfrm>
          <a:off x="42586275" y="55530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63</xdr:col>
      <xdr:colOff>0</xdr:colOff>
      <xdr:row>26</xdr:row>
      <xdr:rowOff>0</xdr:rowOff>
    </xdr:from>
    <xdr:to>
      <xdr:col>63</xdr:col>
      <xdr:colOff>76200</xdr:colOff>
      <xdr:row>26</xdr:row>
      <xdr:rowOff>9525</xdr:rowOff>
    </xdr:to>
    <xdr:sp macro="" textlink="">
      <xdr:nvSpPr>
        <xdr:cNvPr id="1066736" name="Line 378">
          <a:extLst>
            <a:ext uri="{FF2B5EF4-FFF2-40B4-BE49-F238E27FC236}">
              <a16:creationId xmlns:a16="http://schemas.microsoft.com/office/drawing/2014/main" id="{00000000-0008-0000-0C00-0000F0461000}"/>
            </a:ext>
          </a:extLst>
        </xdr:cNvPr>
        <xdr:cNvSpPr>
          <a:spLocks noChangeShapeType="1"/>
        </xdr:cNvSpPr>
      </xdr:nvSpPr>
      <xdr:spPr bwMode="auto">
        <a:xfrm>
          <a:off x="4251007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66675</xdr:colOff>
      <xdr:row>26</xdr:row>
      <xdr:rowOff>9525</xdr:rowOff>
    </xdr:from>
    <xdr:to>
      <xdr:col>63</xdr:col>
      <xdr:colOff>66675</xdr:colOff>
      <xdr:row>29</xdr:row>
      <xdr:rowOff>19050</xdr:rowOff>
    </xdr:to>
    <xdr:sp macro="" textlink="">
      <xdr:nvSpPr>
        <xdr:cNvPr id="1066737" name="Line 379">
          <a:extLst>
            <a:ext uri="{FF2B5EF4-FFF2-40B4-BE49-F238E27FC236}">
              <a16:creationId xmlns:a16="http://schemas.microsoft.com/office/drawing/2014/main" id="{00000000-0008-0000-0C00-0000F1461000}"/>
            </a:ext>
          </a:extLst>
        </xdr:cNvPr>
        <xdr:cNvSpPr>
          <a:spLocks noChangeShapeType="1"/>
        </xdr:cNvSpPr>
      </xdr:nvSpPr>
      <xdr:spPr bwMode="auto">
        <a:xfrm>
          <a:off x="4257675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9525</xdr:colOff>
      <xdr:row>29</xdr:row>
      <xdr:rowOff>0</xdr:rowOff>
    </xdr:from>
    <xdr:to>
      <xdr:col>63</xdr:col>
      <xdr:colOff>66675</xdr:colOff>
      <xdr:row>29</xdr:row>
      <xdr:rowOff>9525</xdr:rowOff>
    </xdr:to>
    <xdr:sp macro="" textlink="">
      <xdr:nvSpPr>
        <xdr:cNvPr id="1066738" name="Line 380">
          <a:extLst>
            <a:ext uri="{FF2B5EF4-FFF2-40B4-BE49-F238E27FC236}">
              <a16:creationId xmlns:a16="http://schemas.microsoft.com/office/drawing/2014/main" id="{00000000-0008-0000-0C00-0000F2461000}"/>
            </a:ext>
          </a:extLst>
        </xdr:cNvPr>
        <xdr:cNvSpPr>
          <a:spLocks noChangeShapeType="1"/>
        </xdr:cNvSpPr>
      </xdr:nvSpPr>
      <xdr:spPr bwMode="auto">
        <a:xfrm flipV="1">
          <a:off x="4251960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0</xdr:colOff>
      <xdr:row>26</xdr:row>
      <xdr:rowOff>0</xdr:rowOff>
    </xdr:from>
    <xdr:to>
      <xdr:col>60</xdr:col>
      <xdr:colOff>76200</xdr:colOff>
      <xdr:row>26</xdr:row>
      <xdr:rowOff>9525</xdr:rowOff>
    </xdr:to>
    <xdr:sp macro="" textlink="">
      <xdr:nvSpPr>
        <xdr:cNvPr id="1066739" name="Line 382">
          <a:extLst>
            <a:ext uri="{FF2B5EF4-FFF2-40B4-BE49-F238E27FC236}">
              <a16:creationId xmlns:a16="http://schemas.microsoft.com/office/drawing/2014/main" id="{00000000-0008-0000-0C00-0000F3461000}"/>
            </a:ext>
          </a:extLst>
        </xdr:cNvPr>
        <xdr:cNvSpPr>
          <a:spLocks noChangeShapeType="1"/>
        </xdr:cNvSpPr>
      </xdr:nvSpPr>
      <xdr:spPr bwMode="auto">
        <a:xfrm>
          <a:off x="4041457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9525</xdr:colOff>
      <xdr:row>29</xdr:row>
      <xdr:rowOff>0</xdr:rowOff>
    </xdr:from>
    <xdr:to>
      <xdr:col>60</xdr:col>
      <xdr:colOff>66675</xdr:colOff>
      <xdr:row>29</xdr:row>
      <xdr:rowOff>9525</xdr:rowOff>
    </xdr:to>
    <xdr:sp macro="" textlink="">
      <xdr:nvSpPr>
        <xdr:cNvPr id="1066740" name="Line 384">
          <a:extLst>
            <a:ext uri="{FF2B5EF4-FFF2-40B4-BE49-F238E27FC236}">
              <a16:creationId xmlns:a16="http://schemas.microsoft.com/office/drawing/2014/main" id="{00000000-0008-0000-0C00-0000F4461000}"/>
            </a:ext>
          </a:extLst>
        </xdr:cNvPr>
        <xdr:cNvSpPr>
          <a:spLocks noChangeShapeType="1"/>
        </xdr:cNvSpPr>
      </xdr:nvSpPr>
      <xdr:spPr bwMode="auto">
        <a:xfrm flipV="1">
          <a:off x="4042410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66675</xdr:colOff>
      <xdr:row>28</xdr:row>
      <xdr:rowOff>142875</xdr:rowOff>
    </xdr:from>
    <xdr:to>
      <xdr:col>57</xdr:col>
      <xdr:colOff>438150</xdr:colOff>
      <xdr:row>33</xdr:row>
      <xdr:rowOff>76200</xdr:rowOff>
    </xdr:to>
    <xdr:sp macro="" textlink="">
      <xdr:nvSpPr>
        <xdr:cNvPr id="1066741" name="Line 386">
          <a:extLst>
            <a:ext uri="{FF2B5EF4-FFF2-40B4-BE49-F238E27FC236}">
              <a16:creationId xmlns:a16="http://schemas.microsoft.com/office/drawing/2014/main" id="{00000000-0008-0000-0C00-0000F5461000}"/>
            </a:ext>
          </a:extLst>
        </xdr:cNvPr>
        <xdr:cNvSpPr>
          <a:spLocks noChangeShapeType="1"/>
        </xdr:cNvSpPr>
      </xdr:nvSpPr>
      <xdr:spPr bwMode="auto">
        <a:xfrm flipV="1">
          <a:off x="38319075" y="5810250"/>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57</xdr:col>
      <xdr:colOff>66675</xdr:colOff>
      <xdr:row>33</xdr:row>
      <xdr:rowOff>95250</xdr:rowOff>
    </xdr:from>
    <xdr:to>
      <xdr:col>58</xdr:col>
      <xdr:colOff>0</xdr:colOff>
      <xdr:row>37</xdr:row>
      <xdr:rowOff>171450</xdr:rowOff>
    </xdr:to>
    <xdr:sp macro="" textlink="">
      <xdr:nvSpPr>
        <xdr:cNvPr id="1066742" name="Line 387">
          <a:extLst>
            <a:ext uri="{FF2B5EF4-FFF2-40B4-BE49-F238E27FC236}">
              <a16:creationId xmlns:a16="http://schemas.microsoft.com/office/drawing/2014/main" id="{00000000-0008-0000-0C00-0000F6461000}"/>
            </a:ext>
          </a:extLst>
        </xdr:cNvPr>
        <xdr:cNvSpPr>
          <a:spLocks noChangeShapeType="1"/>
        </xdr:cNvSpPr>
      </xdr:nvSpPr>
      <xdr:spPr bwMode="auto">
        <a:xfrm>
          <a:off x="38319075" y="6667500"/>
          <a:ext cx="3810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57</xdr:col>
      <xdr:colOff>66675</xdr:colOff>
      <xdr:row>34</xdr:row>
      <xdr:rowOff>161925</xdr:rowOff>
    </xdr:from>
    <xdr:to>
      <xdr:col>57</xdr:col>
      <xdr:colOff>438150</xdr:colOff>
      <xdr:row>39</xdr:row>
      <xdr:rowOff>95250</xdr:rowOff>
    </xdr:to>
    <xdr:sp macro="" textlink="">
      <xdr:nvSpPr>
        <xdr:cNvPr id="1066743" name="Line 388">
          <a:extLst>
            <a:ext uri="{FF2B5EF4-FFF2-40B4-BE49-F238E27FC236}">
              <a16:creationId xmlns:a16="http://schemas.microsoft.com/office/drawing/2014/main" id="{00000000-0008-0000-0C00-0000F7461000}"/>
            </a:ext>
          </a:extLst>
        </xdr:cNvPr>
        <xdr:cNvSpPr>
          <a:spLocks noChangeShapeType="1"/>
        </xdr:cNvSpPr>
      </xdr:nvSpPr>
      <xdr:spPr bwMode="auto">
        <a:xfrm flipV="1">
          <a:off x="38319075" y="6915150"/>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57</xdr:col>
      <xdr:colOff>66675</xdr:colOff>
      <xdr:row>39</xdr:row>
      <xdr:rowOff>95250</xdr:rowOff>
    </xdr:from>
    <xdr:to>
      <xdr:col>58</xdr:col>
      <xdr:colOff>0</xdr:colOff>
      <xdr:row>43</xdr:row>
      <xdr:rowOff>171450</xdr:rowOff>
    </xdr:to>
    <xdr:sp macro="" textlink="">
      <xdr:nvSpPr>
        <xdr:cNvPr id="1066744" name="Line 389">
          <a:extLst>
            <a:ext uri="{FF2B5EF4-FFF2-40B4-BE49-F238E27FC236}">
              <a16:creationId xmlns:a16="http://schemas.microsoft.com/office/drawing/2014/main" id="{00000000-0008-0000-0C00-0000F8461000}"/>
            </a:ext>
          </a:extLst>
        </xdr:cNvPr>
        <xdr:cNvSpPr>
          <a:spLocks noChangeShapeType="1"/>
        </xdr:cNvSpPr>
      </xdr:nvSpPr>
      <xdr:spPr bwMode="auto">
        <a:xfrm>
          <a:off x="38319075" y="7753350"/>
          <a:ext cx="3810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57</xdr:col>
      <xdr:colOff>66675</xdr:colOff>
      <xdr:row>45</xdr:row>
      <xdr:rowOff>57150</xdr:rowOff>
    </xdr:from>
    <xdr:to>
      <xdr:col>58</xdr:col>
      <xdr:colOff>0</xdr:colOff>
      <xdr:row>50</xdr:row>
      <xdr:rowOff>19050</xdr:rowOff>
    </xdr:to>
    <xdr:sp macro="" textlink="">
      <xdr:nvSpPr>
        <xdr:cNvPr id="1066745" name="Line 390">
          <a:extLst>
            <a:ext uri="{FF2B5EF4-FFF2-40B4-BE49-F238E27FC236}">
              <a16:creationId xmlns:a16="http://schemas.microsoft.com/office/drawing/2014/main" id="{00000000-0008-0000-0C00-0000F9461000}"/>
            </a:ext>
          </a:extLst>
        </xdr:cNvPr>
        <xdr:cNvSpPr>
          <a:spLocks noChangeShapeType="1"/>
        </xdr:cNvSpPr>
      </xdr:nvSpPr>
      <xdr:spPr bwMode="auto">
        <a:xfrm>
          <a:off x="38319075" y="8801100"/>
          <a:ext cx="38100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57</xdr:col>
      <xdr:colOff>66675</xdr:colOff>
      <xdr:row>40</xdr:row>
      <xdr:rowOff>152400</xdr:rowOff>
    </xdr:from>
    <xdr:to>
      <xdr:col>57</xdr:col>
      <xdr:colOff>438150</xdr:colOff>
      <xdr:row>45</xdr:row>
      <xdr:rowOff>85725</xdr:rowOff>
    </xdr:to>
    <xdr:sp macro="" textlink="">
      <xdr:nvSpPr>
        <xdr:cNvPr id="1066746" name="Line 391">
          <a:extLst>
            <a:ext uri="{FF2B5EF4-FFF2-40B4-BE49-F238E27FC236}">
              <a16:creationId xmlns:a16="http://schemas.microsoft.com/office/drawing/2014/main" id="{00000000-0008-0000-0C00-0000FA461000}"/>
            </a:ext>
          </a:extLst>
        </xdr:cNvPr>
        <xdr:cNvSpPr>
          <a:spLocks noChangeShapeType="1"/>
        </xdr:cNvSpPr>
      </xdr:nvSpPr>
      <xdr:spPr bwMode="auto">
        <a:xfrm flipV="1">
          <a:off x="38319075" y="7991475"/>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57</xdr:col>
      <xdr:colOff>66675</xdr:colOff>
      <xdr:row>46</xdr:row>
      <xdr:rowOff>152400</xdr:rowOff>
    </xdr:from>
    <xdr:to>
      <xdr:col>58</xdr:col>
      <xdr:colOff>0</xdr:colOff>
      <xdr:row>51</xdr:row>
      <xdr:rowOff>76200</xdr:rowOff>
    </xdr:to>
    <xdr:sp macro="" textlink="">
      <xdr:nvSpPr>
        <xdr:cNvPr id="1066747" name="Line 392">
          <a:extLst>
            <a:ext uri="{FF2B5EF4-FFF2-40B4-BE49-F238E27FC236}">
              <a16:creationId xmlns:a16="http://schemas.microsoft.com/office/drawing/2014/main" id="{00000000-0008-0000-0C00-0000FB461000}"/>
            </a:ext>
          </a:extLst>
        </xdr:cNvPr>
        <xdr:cNvSpPr>
          <a:spLocks noChangeShapeType="1"/>
        </xdr:cNvSpPr>
      </xdr:nvSpPr>
      <xdr:spPr bwMode="auto">
        <a:xfrm flipV="1">
          <a:off x="38319075" y="9077325"/>
          <a:ext cx="381000" cy="8286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76200</xdr:colOff>
      <xdr:row>29</xdr:row>
      <xdr:rowOff>0</xdr:rowOff>
    </xdr:from>
    <xdr:to>
      <xdr:col>61</xdr:col>
      <xdr:colOff>0</xdr:colOff>
      <xdr:row>33</xdr:row>
      <xdr:rowOff>66675</xdr:rowOff>
    </xdr:to>
    <xdr:sp macro="" textlink="">
      <xdr:nvSpPr>
        <xdr:cNvPr id="1066748" name="Line 393">
          <a:extLst>
            <a:ext uri="{FF2B5EF4-FFF2-40B4-BE49-F238E27FC236}">
              <a16:creationId xmlns:a16="http://schemas.microsoft.com/office/drawing/2014/main" id="{00000000-0008-0000-0C00-0000FC461000}"/>
            </a:ext>
          </a:extLst>
        </xdr:cNvPr>
        <xdr:cNvSpPr>
          <a:spLocks noChangeShapeType="1"/>
        </xdr:cNvSpPr>
      </xdr:nvSpPr>
      <xdr:spPr bwMode="auto">
        <a:xfrm flipV="1">
          <a:off x="40490775" y="5848350"/>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76200</xdr:colOff>
      <xdr:row>34</xdr:row>
      <xdr:rowOff>171450</xdr:rowOff>
    </xdr:from>
    <xdr:to>
      <xdr:col>61</xdr:col>
      <xdr:colOff>0</xdr:colOff>
      <xdr:row>39</xdr:row>
      <xdr:rowOff>57150</xdr:rowOff>
    </xdr:to>
    <xdr:sp macro="" textlink="">
      <xdr:nvSpPr>
        <xdr:cNvPr id="1066749" name="Line 394">
          <a:extLst>
            <a:ext uri="{FF2B5EF4-FFF2-40B4-BE49-F238E27FC236}">
              <a16:creationId xmlns:a16="http://schemas.microsoft.com/office/drawing/2014/main" id="{00000000-0008-0000-0C00-0000FD461000}"/>
            </a:ext>
          </a:extLst>
        </xdr:cNvPr>
        <xdr:cNvSpPr>
          <a:spLocks noChangeShapeType="1"/>
        </xdr:cNvSpPr>
      </xdr:nvSpPr>
      <xdr:spPr bwMode="auto">
        <a:xfrm flipV="1">
          <a:off x="40490775" y="6924675"/>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76200</xdr:colOff>
      <xdr:row>40</xdr:row>
      <xdr:rowOff>171450</xdr:rowOff>
    </xdr:from>
    <xdr:to>
      <xdr:col>61</xdr:col>
      <xdr:colOff>0</xdr:colOff>
      <xdr:row>45</xdr:row>
      <xdr:rowOff>57150</xdr:rowOff>
    </xdr:to>
    <xdr:sp macro="" textlink="">
      <xdr:nvSpPr>
        <xdr:cNvPr id="1066750" name="Line 395">
          <a:extLst>
            <a:ext uri="{FF2B5EF4-FFF2-40B4-BE49-F238E27FC236}">
              <a16:creationId xmlns:a16="http://schemas.microsoft.com/office/drawing/2014/main" id="{00000000-0008-0000-0C00-0000FE461000}"/>
            </a:ext>
          </a:extLst>
        </xdr:cNvPr>
        <xdr:cNvSpPr>
          <a:spLocks noChangeShapeType="1"/>
        </xdr:cNvSpPr>
      </xdr:nvSpPr>
      <xdr:spPr bwMode="auto">
        <a:xfrm flipV="1">
          <a:off x="40490775" y="8010525"/>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66675</xdr:colOff>
      <xdr:row>46</xdr:row>
      <xdr:rowOff>142875</xdr:rowOff>
    </xdr:from>
    <xdr:to>
      <xdr:col>61</xdr:col>
      <xdr:colOff>0</xdr:colOff>
      <xdr:row>51</xdr:row>
      <xdr:rowOff>66675</xdr:rowOff>
    </xdr:to>
    <xdr:sp macro="" textlink="">
      <xdr:nvSpPr>
        <xdr:cNvPr id="1066751" name="Line 396">
          <a:extLst>
            <a:ext uri="{FF2B5EF4-FFF2-40B4-BE49-F238E27FC236}">
              <a16:creationId xmlns:a16="http://schemas.microsoft.com/office/drawing/2014/main" id="{00000000-0008-0000-0C00-0000FF461000}"/>
            </a:ext>
          </a:extLst>
        </xdr:cNvPr>
        <xdr:cNvSpPr>
          <a:spLocks noChangeShapeType="1"/>
        </xdr:cNvSpPr>
      </xdr:nvSpPr>
      <xdr:spPr bwMode="auto">
        <a:xfrm flipV="1">
          <a:off x="40481250" y="9067800"/>
          <a:ext cx="342900" cy="8286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57150</xdr:colOff>
      <xdr:row>33</xdr:row>
      <xdr:rowOff>76200</xdr:rowOff>
    </xdr:from>
    <xdr:to>
      <xdr:col>60</xdr:col>
      <xdr:colOff>400050</xdr:colOff>
      <xdr:row>38</xdr:row>
      <xdr:rowOff>0</xdr:rowOff>
    </xdr:to>
    <xdr:sp macro="" textlink="">
      <xdr:nvSpPr>
        <xdr:cNvPr id="1066752" name="Line 397">
          <a:extLst>
            <a:ext uri="{FF2B5EF4-FFF2-40B4-BE49-F238E27FC236}">
              <a16:creationId xmlns:a16="http://schemas.microsoft.com/office/drawing/2014/main" id="{00000000-0008-0000-0C00-000000471000}"/>
            </a:ext>
          </a:extLst>
        </xdr:cNvPr>
        <xdr:cNvSpPr>
          <a:spLocks noChangeShapeType="1"/>
        </xdr:cNvSpPr>
      </xdr:nvSpPr>
      <xdr:spPr bwMode="auto">
        <a:xfrm>
          <a:off x="40471725" y="6648450"/>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66675</xdr:colOff>
      <xdr:row>39</xdr:row>
      <xdr:rowOff>85725</xdr:rowOff>
    </xdr:from>
    <xdr:to>
      <xdr:col>61</xdr:col>
      <xdr:colOff>0</xdr:colOff>
      <xdr:row>44</xdr:row>
      <xdr:rowOff>9525</xdr:rowOff>
    </xdr:to>
    <xdr:sp macro="" textlink="">
      <xdr:nvSpPr>
        <xdr:cNvPr id="1066753" name="Line 398">
          <a:extLst>
            <a:ext uri="{FF2B5EF4-FFF2-40B4-BE49-F238E27FC236}">
              <a16:creationId xmlns:a16="http://schemas.microsoft.com/office/drawing/2014/main" id="{00000000-0008-0000-0C00-000001471000}"/>
            </a:ext>
          </a:extLst>
        </xdr:cNvPr>
        <xdr:cNvSpPr>
          <a:spLocks noChangeShapeType="1"/>
        </xdr:cNvSpPr>
      </xdr:nvSpPr>
      <xdr:spPr bwMode="auto">
        <a:xfrm>
          <a:off x="40481250" y="7743825"/>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76200</xdr:colOff>
      <xdr:row>45</xdr:row>
      <xdr:rowOff>57150</xdr:rowOff>
    </xdr:from>
    <xdr:to>
      <xdr:col>61</xdr:col>
      <xdr:colOff>0</xdr:colOff>
      <xdr:row>50</xdr:row>
      <xdr:rowOff>28575</xdr:rowOff>
    </xdr:to>
    <xdr:sp macro="" textlink="">
      <xdr:nvSpPr>
        <xdr:cNvPr id="1066754" name="Line 399">
          <a:extLst>
            <a:ext uri="{FF2B5EF4-FFF2-40B4-BE49-F238E27FC236}">
              <a16:creationId xmlns:a16="http://schemas.microsoft.com/office/drawing/2014/main" id="{00000000-0008-0000-0C00-000002471000}"/>
            </a:ext>
          </a:extLst>
        </xdr:cNvPr>
        <xdr:cNvSpPr>
          <a:spLocks noChangeShapeType="1"/>
        </xdr:cNvSpPr>
      </xdr:nvSpPr>
      <xdr:spPr bwMode="auto">
        <a:xfrm>
          <a:off x="40490775" y="8801100"/>
          <a:ext cx="333375" cy="8763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57</xdr:col>
      <xdr:colOff>0</xdr:colOff>
      <xdr:row>56</xdr:row>
      <xdr:rowOff>0</xdr:rowOff>
    </xdr:from>
    <xdr:to>
      <xdr:col>57</xdr:col>
      <xdr:colOff>76200</xdr:colOff>
      <xdr:row>56</xdr:row>
      <xdr:rowOff>9525</xdr:rowOff>
    </xdr:to>
    <xdr:sp macro="" textlink="">
      <xdr:nvSpPr>
        <xdr:cNvPr id="1066755" name="Line 343">
          <a:extLst>
            <a:ext uri="{FF2B5EF4-FFF2-40B4-BE49-F238E27FC236}">
              <a16:creationId xmlns:a16="http://schemas.microsoft.com/office/drawing/2014/main" id="{00000000-0008-0000-0C00-000003471000}"/>
            </a:ext>
          </a:extLst>
        </xdr:cNvPr>
        <xdr:cNvSpPr>
          <a:spLocks noChangeShapeType="1"/>
        </xdr:cNvSpPr>
      </xdr:nvSpPr>
      <xdr:spPr bwMode="auto">
        <a:xfrm>
          <a:off x="38252400"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0</xdr:colOff>
      <xdr:row>56</xdr:row>
      <xdr:rowOff>0</xdr:rowOff>
    </xdr:from>
    <xdr:to>
      <xdr:col>60</xdr:col>
      <xdr:colOff>76200</xdr:colOff>
      <xdr:row>56</xdr:row>
      <xdr:rowOff>9525</xdr:rowOff>
    </xdr:to>
    <xdr:sp macro="" textlink="">
      <xdr:nvSpPr>
        <xdr:cNvPr id="1066756" name="Line 346">
          <a:extLst>
            <a:ext uri="{FF2B5EF4-FFF2-40B4-BE49-F238E27FC236}">
              <a16:creationId xmlns:a16="http://schemas.microsoft.com/office/drawing/2014/main" id="{00000000-0008-0000-0C00-000004471000}"/>
            </a:ext>
          </a:extLst>
        </xdr:cNvPr>
        <xdr:cNvSpPr>
          <a:spLocks noChangeShapeType="1"/>
        </xdr:cNvSpPr>
      </xdr:nvSpPr>
      <xdr:spPr bwMode="auto">
        <a:xfrm>
          <a:off x="40414575"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0</xdr:colOff>
      <xdr:row>56</xdr:row>
      <xdr:rowOff>0</xdr:rowOff>
    </xdr:from>
    <xdr:to>
      <xdr:col>63</xdr:col>
      <xdr:colOff>76200</xdr:colOff>
      <xdr:row>56</xdr:row>
      <xdr:rowOff>9525</xdr:rowOff>
    </xdr:to>
    <xdr:sp macro="" textlink="">
      <xdr:nvSpPr>
        <xdr:cNvPr id="1066757" name="Line 349">
          <a:extLst>
            <a:ext uri="{FF2B5EF4-FFF2-40B4-BE49-F238E27FC236}">
              <a16:creationId xmlns:a16="http://schemas.microsoft.com/office/drawing/2014/main" id="{00000000-0008-0000-0C00-000005471000}"/>
            </a:ext>
          </a:extLst>
        </xdr:cNvPr>
        <xdr:cNvSpPr>
          <a:spLocks noChangeShapeType="1"/>
        </xdr:cNvSpPr>
      </xdr:nvSpPr>
      <xdr:spPr bwMode="auto">
        <a:xfrm>
          <a:off x="42510075"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0</xdr:colOff>
      <xdr:row>56</xdr:row>
      <xdr:rowOff>0</xdr:rowOff>
    </xdr:from>
    <xdr:to>
      <xdr:col>63</xdr:col>
      <xdr:colOff>76200</xdr:colOff>
      <xdr:row>56</xdr:row>
      <xdr:rowOff>9525</xdr:rowOff>
    </xdr:to>
    <xdr:sp macro="" textlink="">
      <xdr:nvSpPr>
        <xdr:cNvPr id="1066758" name="Line 352">
          <a:extLst>
            <a:ext uri="{FF2B5EF4-FFF2-40B4-BE49-F238E27FC236}">
              <a16:creationId xmlns:a16="http://schemas.microsoft.com/office/drawing/2014/main" id="{00000000-0008-0000-0C00-000006471000}"/>
            </a:ext>
          </a:extLst>
        </xdr:cNvPr>
        <xdr:cNvSpPr>
          <a:spLocks noChangeShapeType="1"/>
        </xdr:cNvSpPr>
      </xdr:nvSpPr>
      <xdr:spPr bwMode="auto">
        <a:xfrm>
          <a:off x="42510075"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0</xdr:colOff>
      <xdr:row>56</xdr:row>
      <xdr:rowOff>0</xdr:rowOff>
    </xdr:from>
    <xdr:to>
      <xdr:col>63</xdr:col>
      <xdr:colOff>76200</xdr:colOff>
      <xdr:row>56</xdr:row>
      <xdr:rowOff>9525</xdr:rowOff>
    </xdr:to>
    <xdr:sp macro="" textlink="">
      <xdr:nvSpPr>
        <xdr:cNvPr id="1066759" name="Line 356">
          <a:extLst>
            <a:ext uri="{FF2B5EF4-FFF2-40B4-BE49-F238E27FC236}">
              <a16:creationId xmlns:a16="http://schemas.microsoft.com/office/drawing/2014/main" id="{00000000-0008-0000-0C00-000007471000}"/>
            </a:ext>
          </a:extLst>
        </xdr:cNvPr>
        <xdr:cNvSpPr>
          <a:spLocks noChangeShapeType="1"/>
        </xdr:cNvSpPr>
      </xdr:nvSpPr>
      <xdr:spPr bwMode="auto">
        <a:xfrm>
          <a:off x="42510075"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66675</xdr:colOff>
      <xdr:row>56</xdr:row>
      <xdr:rowOff>0</xdr:rowOff>
    </xdr:from>
    <xdr:to>
      <xdr:col>63</xdr:col>
      <xdr:colOff>400050</xdr:colOff>
      <xdr:row>57</xdr:row>
      <xdr:rowOff>114300</xdr:rowOff>
    </xdr:to>
    <xdr:sp macro="" textlink="">
      <xdr:nvSpPr>
        <xdr:cNvPr id="1066760" name="Line 359">
          <a:extLst>
            <a:ext uri="{FF2B5EF4-FFF2-40B4-BE49-F238E27FC236}">
              <a16:creationId xmlns:a16="http://schemas.microsoft.com/office/drawing/2014/main" id="{00000000-0008-0000-0C00-000008471000}"/>
            </a:ext>
          </a:extLst>
        </xdr:cNvPr>
        <xdr:cNvSpPr>
          <a:spLocks noChangeShapeType="1"/>
        </xdr:cNvSpPr>
      </xdr:nvSpPr>
      <xdr:spPr bwMode="auto">
        <a:xfrm flipV="1">
          <a:off x="42576750" y="10734675"/>
          <a:ext cx="333375" cy="2952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0</xdr:colOff>
      <xdr:row>56</xdr:row>
      <xdr:rowOff>0</xdr:rowOff>
    </xdr:from>
    <xdr:to>
      <xdr:col>60</xdr:col>
      <xdr:colOff>76200</xdr:colOff>
      <xdr:row>56</xdr:row>
      <xdr:rowOff>9525</xdr:rowOff>
    </xdr:to>
    <xdr:sp macro="" textlink="">
      <xdr:nvSpPr>
        <xdr:cNvPr id="1066761" name="Line 360">
          <a:extLst>
            <a:ext uri="{FF2B5EF4-FFF2-40B4-BE49-F238E27FC236}">
              <a16:creationId xmlns:a16="http://schemas.microsoft.com/office/drawing/2014/main" id="{00000000-0008-0000-0C00-000009471000}"/>
            </a:ext>
          </a:extLst>
        </xdr:cNvPr>
        <xdr:cNvSpPr>
          <a:spLocks noChangeShapeType="1"/>
        </xdr:cNvSpPr>
      </xdr:nvSpPr>
      <xdr:spPr bwMode="auto">
        <a:xfrm>
          <a:off x="40414575"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9525</xdr:colOff>
      <xdr:row>59</xdr:row>
      <xdr:rowOff>0</xdr:rowOff>
    </xdr:from>
    <xdr:to>
      <xdr:col>57</xdr:col>
      <xdr:colOff>66675</xdr:colOff>
      <xdr:row>59</xdr:row>
      <xdr:rowOff>9525</xdr:rowOff>
    </xdr:to>
    <xdr:sp macro="" textlink="">
      <xdr:nvSpPr>
        <xdr:cNvPr id="1066762" name="Line 345">
          <a:extLst>
            <a:ext uri="{FF2B5EF4-FFF2-40B4-BE49-F238E27FC236}">
              <a16:creationId xmlns:a16="http://schemas.microsoft.com/office/drawing/2014/main" id="{00000000-0008-0000-0C00-00000A471000}"/>
            </a:ext>
          </a:extLst>
        </xdr:cNvPr>
        <xdr:cNvSpPr>
          <a:spLocks noChangeShapeType="1"/>
        </xdr:cNvSpPr>
      </xdr:nvSpPr>
      <xdr:spPr bwMode="auto">
        <a:xfrm flipV="1">
          <a:off x="38261925"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9525</xdr:colOff>
      <xdr:row>59</xdr:row>
      <xdr:rowOff>0</xdr:rowOff>
    </xdr:from>
    <xdr:to>
      <xdr:col>60</xdr:col>
      <xdr:colOff>66675</xdr:colOff>
      <xdr:row>59</xdr:row>
      <xdr:rowOff>9525</xdr:rowOff>
    </xdr:to>
    <xdr:sp macro="" textlink="">
      <xdr:nvSpPr>
        <xdr:cNvPr id="1066763" name="Line 348">
          <a:extLst>
            <a:ext uri="{FF2B5EF4-FFF2-40B4-BE49-F238E27FC236}">
              <a16:creationId xmlns:a16="http://schemas.microsoft.com/office/drawing/2014/main" id="{00000000-0008-0000-0C00-00000B471000}"/>
            </a:ext>
          </a:extLst>
        </xdr:cNvPr>
        <xdr:cNvSpPr>
          <a:spLocks noChangeShapeType="1"/>
        </xdr:cNvSpPr>
      </xdr:nvSpPr>
      <xdr:spPr bwMode="auto">
        <a:xfrm flipV="1">
          <a:off x="40424100"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9525</xdr:colOff>
      <xdr:row>59</xdr:row>
      <xdr:rowOff>0</xdr:rowOff>
    </xdr:from>
    <xdr:to>
      <xdr:col>63</xdr:col>
      <xdr:colOff>66675</xdr:colOff>
      <xdr:row>59</xdr:row>
      <xdr:rowOff>9525</xdr:rowOff>
    </xdr:to>
    <xdr:sp macro="" textlink="">
      <xdr:nvSpPr>
        <xdr:cNvPr id="1066764" name="Line 351">
          <a:extLst>
            <a:ext uri="{FF2B5EF4-FFF2-40B4-BE49-F238E27FC236}">
              <a16:creationId xmlns:a16="http://schemas.microsoft.com/office/drawing/2014/main" id="{00000000-0008-0000-0C00-00000C471000}"/>
            </a:ext>
          </a:extLst>
        </xdr:cNvPr>
        <xdr:cNvSpPr>
          <a:spLocks noChangeShapeType="1"/>
        </xdr:cNvSpPr>
      </xdr:nvSpPr>
      <xdr:spPr bwMode="auto">
        <a:xfrm flipV="1">
          <a:off x="42519600"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9525</xdr:colOff>
      <xdr:row>59</xdr:row>
      <xdr:rowOff>0</xdr:rowOff>
    </xdr:from>
    <xdr:to>
      <xdr:col>63</xdr:col>
      <xdr:colOff>66675</xdr:colOff>
      <xdr:row>59</xdr:row>
      <xdr:rowOff>9525</xdr:rowOff>
    </xdr:to>
    <xdr:sp macro="" textlink="">
      <xdr:nvSpPr>
        <xdr:cNvPr id="1066765" name="Line 354">
          <a:extLst>
            <a:ext uri="{FF2B5EF4-FFF2-40B4-BE49-F238E27FC236}">
              <a16:creationId xmlns:a16="http://schemas.microsoft.com/office/drawing/2014/main" id="{00000000-0008-0000-0C00-00000D471000}"/>
            </a:ext>
          </a:extLst>
        </xdr:cNvPr>
        <xdr:cNvSpPr>
          <a:spLocks noChangeShapeType="1"/>
        </xdr:cNvSpPr>
      </xdr:nvSpPr>
      <xdr:spPr bwMode="auto">
        <a:xfrm flipV="1">
          <a:off x="42519600"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66675</xdr:colOff>
      <xdr:row>57</xdr:row>
      <xdr:rowOff>114300</xdr:rowOff>
    </xdr:from>
    <xdr:to>
      <xdr:col>64</xdr:col>
      <xdr:colOff>0</xdr:colOff>
      <xdr:row>58</xdr:row>
      <xdr:rowOff>171450</xdr:rowOff>
    </xdr:to>
    <xdr:sp macro="" textlink="">
      <xdr:nvSpPr>
        <xdr:cNvPr id="1066766" name="Line 355">
          <a:extLst>
            <a:ext uri="{FF2B5EF4-FFF2-40B4-BE49-F238E27FC236}">
              <a16:creationId xmlns:a16="http://schemas.microsoft.com/office/drawing/2014/main" id="{00000000-0008-0000-0C00-00000E471000}"/>
            </a:ext>
          </a:extLst>
        </xdr:cNvPr>
        <xdr:cNvSpPr>
          <a:spLocks noChangeShapeType="1"/>
        </xdr:cNvSpPr>
      </xdr:nvSpPr>
      <xdr:spPr bwMode="auto">
        <a:xfrm>
          <a:off x="42576750" y="11029950"/>
          <a:ext cx="342900" cy="2286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63</xdr:col>
      <xdr:colOff>9525</xdr:colOff>
      <xdr:row>59</xdr:row>
      <xdr:rowOff>0</xdr:rowOff>
    </xdr:from>
    <xdr:to>
      <xdr:col>63</xdr:col>
      <xdr:colOff>66675</xdr:colOff>
      <xdr:row>59</xdr:row>
      <xdr:rowOff>9525</xdr:rowOff>
    </xdr:to>
    <xdr:sp macro="" textlink="">
      <xdr:nvSpPr>
        <xdr:cNvPr id="1066767" name="Line 358">
          <a:extLst>
            <a:ext uri="{FF2B5EF4-FFF2-40B4-BE49-F238E27FC236}">
              <a16:creationId xmlns:a16="http://schemas.microsoft.com/office/drawing/2014/main" id="{00000000-0008-0000-0C00-00000F471000}"/>
            </a:ext>
          </a:extLst>
        </xdr:cNvPr>
        <xdr:cNvSpPr>
          <a:spLocks noChangeShapeType="1"/>
        </xdr:cNvSpPr>
      </xdr:nvSpPr>
      <xdr:spPr bwMode="auto">
        <a:xfrm flipV="1">
          <a:off x="42519600"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9525</xdr:colOff>
      <xdr:row>59</xdr:row>
      <xdr:rowOff>0</xdr:rowOff>
    </xdr:from>
    <xdr:to>
      <xdr:col>60</xdr:col>
      <xdr:colOff>66675</xdr:colOff>
      <xdr:row>59</xdr:row>
      <xdr:rowOff>9525</xdr:rowOff>
    </xdr:to>
    <xdr:sp macro="" textlink="">
      <xdr:nvSpPr>
        <xdr:cNvPr id="1066768" name="Line 362">
          <a:extLst>
            <a:ext uri="{FF2B5EF4-FFF2-40B4-BE49-F238E27FC236}">
              <a16:creationId xmlns:a16="http://schemas.microsoft.com/office/drawing/2014/main" id="{00000000-0008-0000-0C00-000010471000}"/>
            </a:ext>
          </a:extLst>
        </xdr:cNvPr>
        <xdr:cNvSpPr>
          <a:spLocks noChangeShapeType="1"/>
        </xdr:cNvSpPr>
      </xdr:nvSpPr>
      <xdr:spPr bwMode="auto">
        <a:xfrm flipV="1">
          <a:off x="40424100"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66675</xdr:colOff>
      <xdr:row>57</xdr:row>
      <xdr:rowOff>85725</xdr:rowOff>
    </xdr:from>
    <xdr:to>
      <xdr:col>58</xdr:col>
      <xdr:colOff>9525</xdr:colOff>
      <xdr:row>59</xdr:row>
      <xdr:rowOff>0</xdr:rowOff>
    </xdr:to>
    <xdr:sp macro="" textlink="">
      <xdr:nvSpPr>
        <xdr:cNvPr id="1066769" name="Line 363">
          <a:extLst>
            <a:ext uri="{FF2B5EF4-FFF2-40B4-BE49-F238E27FC236}">
              <a16:creationId xmlns:a16="http://schemas.microsoft.com/office/drawing/2014/main" id="{00000000-0008-0000-0C00-000011471000}"/>
            </a:ext>
          </a:extLst>
        </xdr:cNvPr>
        <xdr:cNvSpPr>
          <a:spLocks noChangeShapeType="1"/>
        </xdr:cNvSpPr>
      </xdr:nvSpPr>
      <xdr:spPr bwMode="auto">
        <a:xfrm>
          <a:off x="38319075" y="11001375"/>
          <a:ext cx="39052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57150</xdr:colOff>
      <xdr:row>57</xdr:row>
      <xdr:rowOff>76200</xdr:rowOff>
    </xdr:from>
    <xdr:to>
      <xdr:col>61</xdr:col>
      <xdr:colOff>0</xdr:colOff>
      <xdr:row>59</xdr:row>
      <xdr:rowOff>0</xdr:rowOff>
    </xdr:to>
    <xdr:sp macro="" textlink="">
      <xdr:nvSpPr>
        <xdr:cNvPr id="1066770" name="Line 364">
          <a:extLst>
            <a:ext uri="{FF2B5EF4-FFF2-40B4-BE49-F238E27FC236}">
              <a16:creationId xmlns:a16="http://schemas.microsoft.com/office/drawing/2014/main" id="{00000000-0008-0000-0C00-000012471000}"/>
            </a:ext>
          </a:extLst>
        </xdr:cNvPr>
        <xdr:cNvSpPr>
          <a:spLocks noChangeShapeType="1"/>
        </xdr:cNvSpPr>
      </xdr:nvSpPr>
      <xdr:spPr bwMode="auto">
        <a:xfrm>
          <a:off x="40471725" y="10991850"/>
          <a:ext cx="352425" cy="2667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57</xdr:col>
      <xdr:colOff>85725</xdr:colOff>
      <xdr:row>55</xdr:row>
      <xdr:rowOff>142875</xdr:rowOff>
    </xdr:from>
    <xdr:to>
      <xdr:col>57</xdr:col>
      <xdr:colOff>85725</xdr:colOff>
      <xdr:row>59</xdr:row>
      <xdr:rowOff>19050</xdr:rowOff>
    </xdr:to>
    <xdr:sp macro="" textlink="">
      <xdr:nvSpPr>
        <xdr:cNvPr id="1066771" name="Line 344">
          <a:extLst>
            <a:ext uri="{FF2B5EF4-FFF2-40B4-BE49-F238E27FC236}">
              <a16:creationId xmlns:a16="http://schemas.microsoft.com/office/drawing/2014/main" id="{00000000-0008-0000-0C00-000013471000}"/>
            </a:ext>
          </a:extLst>
        </xdr:cNvPr>
        <xdr:cNvSpPr>
          <a:spLocks noChangeShapeType="1"/>
        </xdr:cNvSpPr>
      </xdr:nvSpPr>
      <xdr:spPr bwMode="auto">
        <a:xfrm flipH="1">
          <a:off x="38338125" y="10696575"/>
          <a:ext cx="0" cy="5810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66675</xdr:colOff>
      <xdr:row>55</xdr:row>
      <xdr:rowOff>142875</xdr:rowOff>
    </xdr:from>
    <xdr:to>
      <xdr:col>60</xdr:col>
      <xdr:colOff>66675</xdr:colOff>
      <xdr:row>59</xdr:row>
      <xdr:rowOff>19050</xdr:rowOff>
    </xdr:to>
    <xdr:sp macro="" textlink="">
      <xdr:nvSpPr>
        <xdr:cNvPr id="1066772" name="Line 344">
          <a:extLst>
            <a:ext uri="{FF2B5EF4-FFF2-40B4-BE49-F238E27FC236}">
              <a16:creationId xmlns:a16="http://schemas.microsoft.com/office/drawing/2014/main" id="{00000000-0008-0000-0C00-000014471000}"/>
            </a:ext>
          </a:extLst>
        </xdr:cNvPr>
        <xdr:cNvSpPr>
          <a:spLocks noChangeShapeType="1"/>
        </xdr:cNvSpPr>
      </xdr:nvSpPr>
      <xdr:spPr bwMode="auto">
        <a:xfrm flipH="1">
          <a:off x="40481250" y="10696575"/>
          <a:ext cx="0" cy="5810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85725</xdr:colOff>
      <xdr:row>55</xdr:row>
      <xdr:rowOff>152400</xdr:rowOff>
    </xdr:from>
    <xdr:to>
      <xdr:col>63</xdr:col>
      <xdr:colOff>85725</xdr:colOff>
      <xdr:row>59</xdr:row>
      <xdr:rowOff>28575</xdr:rowOff>
    </xdr:to>
    <xdr:sp macro="" textlink="">
      <xdr:nvSpPr>
        <xdr:cNvPr id="1066773" name="Line 344">
          <a:extLst>
            <a:ext uri="{FF2B5EF4-FFF2-40B4-BE49-F238E27FC236}">
              <a16:creationId xmlns:a16="http://schemas.microsoft.com/office/drawing/2014/main" id="{00000000-0008-0000-0C00-000015471000}"/>
            </a:ext>
          </a:extLst>
        </xdr:cNvPr>
        <xdr:cNvSpPr>
          <a:spLocks noChangeShapeType="1"/>
        </xdr:cNvSpPr>
      </xdr:nvSpPr>
      <xdr:spPr bwMode="auto">
        <a:xfrm flipH="1">
          <a:off x="42595800" y="10706100"/>
          <a:ext cx="0" cy="5810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66675</xdr:colOff>
      <xdr:row>52</xdr:row>
      <xdr:rowOff>152400</xdr:rowOff>
    </xdr:from>
    <xdr:to>
      <xdr:col>58</xdr:col>
      <xdr:colOff>0</xdr:colOff>
      <xdr:row>57</xdr:row>
      <xdr:rowOff>76200</xdr:rowOff>
    </xdr:to>
    <xdr:sp macro="" textlink="">
      <xdr:nvSpPr>
        <xdr:cNvPr id="1066774" name="Line 392">
          <a:extLst>
            <a:ext uri="{FF2B5EF4-FFF2-40B4-BE49-F238E27FC236}">
              <a16:creationId xmlns:a16="http://schemas.microsoft.com/office/drawing/2014/main" id="{00000000-0008-0000-0C00-000016471000}"/>
            </a:ext>
          </a:extLst>
        </xdr:cNvPr>
        <xdr:cNvSpPr>
          <a:spLocks noChangeShapeType="1"/>
        </xdr:cNvSpPr>
      </xdr:nvSpPr>
      <xdr:spPr bwMode="auto">
        <a:xfrm flipV="1">
          <a:off x="38319075" y="10163175"/>
          <a:ext cx="381000" cy="8286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66675</xdr:colOff>
      <xdr:row>53</xdr:row>
      <xdr:rowOff>0</xdr:rowOff>
    </xdr:from>
    <xdr:to>
      <xdr:col>61</xdr:col>
      <xdr:colOff>0</xdr:colOff>
      <xdr:row>57</xdr:row>
      <xdr:rowOff>76200</xdr:rowOff>
    </xdr:to>
    <xdr:sp macro="" textlink="">
      <xdr:nvSpPr>
        <xdr:cNvPr id="1066775" name="Line 392">
          <a:extLst>
            <a:ext uri="{FF2B5EF4-FFF2-40B4-BE49-F238E27FC236}">
              <a16:creationId xmlns:a16="http://schemas.microsoft.com/office/drawing/2014/main" id="{00000000-0008-0000-0C00-000017471000}"/>
            </a:ext>
          </a:extLst>
        </xdr:cNvPr>
        <xdr:cNvSpPr>
          <a:spLocks noChangeShapeType="1"/>
        </xdr:cNvSpPr>
      </xdr:nvSpPr>
      <xdr:spPr bwMode="auto">
        <a:xfrm flipV="1">
          <a:off x="40481250" y="10191750"/>
          <a:ext cx="3429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73</xdr:col>
      <xdr:colOff>0</xdr:colOff>
      <xdr:row>8</xdr:row>
      <xdr:rowOff>0</xdr:rowOff>
    </xdr:from>
    <xdr:to>
      <xdr:col>73</xdr:col>
      <xdr:colOff>76200</xdr:colOff>
      <xdr:row>8</xdr:row>
      <xdr:rowOff>9525</xdr:rowOff>
    </xdr:to>
    <xdr:sp macro="" textlink="">
      <xdr:nvSpPr>
        <xdr:cNvPr id="1066776" name="Line 1">
          <a:extLst>
            <a:ext uri="{FF2B5EF4-FFF2-40B4-BE49-F238E27FC236}">
              <a16:creationId xmlns:a16="http://schemas.microsoft.com/office/drawing/2014/main" id="{00000000-0008-0000-0C00-000018471000}"/>
            </a:ext>
          </a:extLst>
        </xdr:cNvPr>
        <xdr:cNvSpPr>
          <a:spLocks noChangeShapeType="1"/>
        </xdr:cNvSpPr>
      </xdr:nvSpPr>
      <xdr:spPr bwMode="auto">
        <a:xfrm>
          <a:off x="4943475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66675</xdr:colOff>
      <xdr:row>8</xdr:row>
      <xdr:rowOff>9525</xdr:rowOff>
    </xdr:from>
    <xdr:to>
      <xdr:col>73</xdr:col>
      <xdr:colOff>66675</xdr:colOff>
      <xdr:row>11</xdr:row>
      <xdr:rowOff>19050</xdr:rowOff>
    </xdr:to>
    <xdr:sp macro="" textlink="">
      <xdr:nvSpPr>
        <xdr:cNvPr id="1066777" name="Line 2">
          <a:extLst>
            <a:ext uri="{FF2B5EF4-FFF2-40B4-BE49-F238E27FC236}">
              <a16:creationId xmlns:a16="http://schemas.microsoft.com/office/drawing/2014/main" id="{00000000-0008-0000-0C00-000019471000}"/>
            </a:ext>
          </a:extLst>
        </xdr:cNvPr>
        <xdr:cNvSpPr>
          <a:spLocks noChangeShapeType="1"/>
        </xdr:cNvSpPr>
      </xdr:nvSpPr>
      <xdr:spPr bwMode="auto">
        <a:xfrm>
          <a:off x="4950142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9525</xdr:colOff>
      <xdr:row>11</xdr:row>
      <xdr:rowOff>0</xdr:rowOff>
    </xdr:from>
    <xdr:to>
      <xdr:col>73</xdr:col>
      <xdr:colOff>66675</xdr:colOff>
      <xdr:row>11</xdr:row>
      <xdr:rowOff>9525</xdr:rowOff>
    </xdr:to>
    <xdr:sp macro="" textlink="">
      <xdr:nvSpPr>
        <xdr:cNvPr id="1066778" name="Line 3">
          <a:extLst>
            <a:ext uri="{FF2B5EF4-FFF2-40B4-BE49-F238E27FC236}">
              <a16:creationId xmlns:a16="http://schemas.microsoft.com/office/drawing/2014/main" id="{00000000-0008-0000-0C00-00001A471000}"/>
            </a:ext>
          </a:extLst>
        </xdr:cNvPr>
        <xdr:cNvSpPr>
          <a:spLocks noChangeShapeType="1"/>
        </xdr:cNvSpPr>
      </xdr:nvSpPr>
      <xdr:spPr bwMode="auto">
        <a:xfrm flipV="1">
          <a:off x="4944427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70</xdr:col>
      <xdr:colOff>0</xdr:colOff>
      <xdr:row>8</xdr:row>
      <xdr:rowOff>0</xdr:rowOff>
    </xdr:from>
    <xdr:to>
      <xdr:col>70</xdr:col>
      <xdr:colOff>76200</xdr:colOff>
      <xdr:row>8</xdr:row>
      <xdr:rowOff>9525</xdr:rowOff>
    </xdr:to>
    <xdr:sp macro="" textlink="">
      <xdr:nvSpPr>
        <xdr:cNvPr id="1066779" name="Line 4">
          <a:extLst>
            <a:ext uri="{FF2B5EF4-FFF2-40B4-BE49-F238E27FC236}">
              <a16:creationId xmlns:a16="http://schemas.microsoft.com/office/drawing/2014/main" id="{00000000-0008-0000-0C00-00001B471000}"/>
            </a:ext>
          </a:extLst>
        </xdr:cNvPr>
        <xdr:cNvSpPr>
          <a:spLocks noChangeShapeType="1"/>
        </xdr:cNvSpPr>
      </xdr:nvSpPr>
      <xdr:spPr bwMode="auto">
        <a:xfrm>
          <a:off x="4727257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70</xdr:col>
      <xdr:colOff>66675</xdr:colOff>
      <xdr:row>8</xdr:row>
      <xdr:rowOff>9525</xdr:rowOff>
    </xdr:from>
    <xdr:to>
      <xdr:col>70</xdr:col>
      <xdr:colOff>66675</xdr:colOff>
      <xdr:row>11</xdr:row>
      <xdr:rowOff>19050</xdr:rowOff>
    </xdr:to>
    <xdr:sp macro="" textlink="">
      <xdr:nvSpPr>
        <xdr:cNvPr id="1066780" name="Line 5">
          <a:extLst>
            <a:ext uri="{FF2B5EF4-FFF2-40B4-BE49-F238E27FC236}">
              <a16:creationId xmlns:a16="http://schemas.microsoft.com/office/drawing/2014/main" id="{00000000-0008-0000-0C00-00001C471000}"/>
            </a:ext>
          </a:extLst>
        </xdr:cNvPr>
        <xdr:cNvSpPr>
          <a:spLocks noChangeShapeType="1"/>
        </xdr:cNvSpPr>
      </xdr:nvSpPr>
      <xdr:spPr bwMode="auto">
        <a:xfrm>
          <a:off x="4733925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70</xdr:col>
      <xdr:colOff>9525</xdr:colOff>
      <xdr:row>11</xdr:row>
      <xdr:rowOff>0</xdr:rowOff>
    </xdr:from>
    <xdr:to>
      <xdr:col>70</xdr:col>
      <xdr:colOff>66675</xdr:colOff>
      <xdr:row>11</xdr:row>
      <xdr:rowOff>9525</xdr:rowOff>
    </xdr:to>
    <xdr:sp macro="" textlink="">
      <xdr:nvSpPr>
        <xdr:cNvPr id="1066781" name="Line 6">
          <a:extLst>
            <a:ext uri="{FF2B5EF4-FFF2-40B4-BE49-F238E27FC236}">
              <a16:creationId xmlns:a16="http://schemas.microsoft.com/office/drawing/2014/main" id="{00000000-0008-0000-0C00-00001D471000}"/>
            </a:ext>
          </a:extLst>
        </xdr:cNvPr>
        <xdr:cNvSpPr>
          <a:spLocks noChangeShapeType="1"/>
        </xdr:cNvSpPr>
      </xdr:nvSpPr>
      <xdr:spPr bwMode="auto">
        <a:xfrm flipV="1">
          <a:off x="4728210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0</xdr:colOff>
      <xdr:row>8</xdr:row>
      <xdr:rowOff>0</xdr:rowOff>
    </xdr:from>
    <xdr:to>
      <xdr:col>76</xdr:col>
      <xdr:colOff>76200</xdr:colOff>
      <xdr:row>8</xdr:row>
      <xdr:rowOff>9525</xdr:rowOff>
    </xdr:to>
    <xdr:sp macro="" textlink="">
      <xdr:nvSpPr>
        <xdr:cNvPr id="1066782" name="Line 16">
          <a:extLst>
            <a:ext uri="{FF2B5EF4-FFF2-40B4-BE49-F238E27FC236}">
              <a16:creationId xmlns:a16="http://schemas.microsoft.com/office/drawing/2014/main" id="{00000000-0008-0000-0C00-00001E471000}"/>
            </a:ext>
          </a:extLst>
        </xdr:cNvPr>
        <xdr:cNvSpPr>
          <a:spLocks noChangeShapeType="1"/>
        </xdr:cNvSpPr>
      </xdr:nvSpPr>
      <xdr:spPr bwMode="auto">
        <a:xfrm>
          <a:off x="5153025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66675</xdr:colOff>
      <xdr:row>8</xdr:row>
      <xdr:rowOff>9525</xdr:rowOff>
    </xdr:from>
    <xdr:to>
      <xdr:col>76</xdr:col>
      <xdr:colOff>66675</xdr:colOff>
      <xdr:row>11</xdr:row>
      <xdr:rowOff>19050</xdr:rowOff>
    </xdr:to>
    <xdr:sp macro="" textlink="">
      <xdr:nvSpPr>
        <xdr:cNvPr id="1066783" name="Line 17">
          <a:extLst>
            <a:ext uri="{FF2B5EF4-FFF2-40B4-BE49-F238E27FC236}">
              <a16:creationId xmlns:a16="http://schemas.microsoft.com/office/drawing/2014/main" id="{00000000-0008-0000-0C00-00001F471000}"/>
            </a:ext>
          </a:extLst>
        </xdr:cNvPr>
        <xdr:cNvSpPr>
          <a:spLocks noChangeShapeType="1"/>
        </xdr:cNvSpPr>
      </xdr:nvSpPr>
      <xdr:spPr bwMode="auto">
        <a:xfrm>
          <a:off x="5159692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9525</xdr:colOff>
      <xdr:row>11</xdr:row>
      <xdr:rowOff>0</xdr:rowOff>
    </xdr:from>
    <xdr:to>
      <xdr:col>76</xdr:col>
      <xdr:colOff>66675</xdr:colOff>
      <xdr:row>11</xdr:row>
      <xdr:rowOff>9525</xdr:rowOff>
    </xdr:to>
    <xdr:sp macro="" textlink="">
      <xdr:nvSpPr>
        <xdr:cNvPr id="1066784" name="Line 18">
          <a:extLst>
            <a:ext uri="{FF2B5EF4-FFF2-40B4-BE49-F238E27FC236}">
              <a16:creationId xmlns:a16="http://schemas.microsoft.com/office/drawing/2014/main" id="{00000000-0008-0000-0C00-000020471000}"/>
            </a:ext>
          </a:extLst>
        </xdr:cNvPr>
        <xdr:cNvSpPr>
          <a:spLocks noChangeShapeType="1"/>
        </xdr:cNvSpPr>
      </xdr:nvSpPr>
      <xdr:spPr bwMode="auto">
        <a:xfrm flipV="1">
          <a:off x="5153977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70</xdr:col>
      <xdr:colOff>0</xdr:colOff>
      <xdr:row>14</xdr:row>
      <xdr:rowOff>0</xdr:rowOff>
    </xdr:from>
    <xdr:to>
      <xdr:col>70</xdr:col>
      <xdr:colOff>76200</xdr:colOff>
      <xdr:row>14</xdr:row>
      <xdr:rowOff>9525</xdr:rowOff>
    </xdr:to>
    <xdr:sp macro="" textlink="">
      <xdr:nvSpPr>
        <xdr:cNvPr id="1066785" name="Line 37">
          <a:extLst>
            <a:ext uri="{FF2B5EF4-FFF2-40B4-BE49-F238E27FC236}">
              <a16:creationId xmlns:a16="http://schemas.microsoft.com/office/drawing/2014/main" id="{00000000-0008-0000-0C00-000021471000}"/>
            </a:ext>
          </a:extLst>
        </xdr:cNvPr>
        <xdr:cNvSpPr>
          <a:spLocks noChangeShapeType="1"/>
        </xdr:cNvSpPr>
      </xdr:nvSpPr>
      <xdr:spPr bwMode="auto">
        <a:xfrm>
          <a:off x="4727257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70</xdr:col>
      <xdr:colOff>66675</xdr:colOff>
      <xdr:row>14</xdr:row>
      <xdr:rowOff>9525</xdr:rowOff>
    </xdr:from>
    <xdr:to>
      <xdr:col>70</xdr:col>
      <xdr:colOff>66675</xdr:colOff>
      <xdr:row>17</xdr:row>
      <xdr:rowOff>19050</xdr:rowOff>
    </xdr:to>
    <xdr:sp macro="" textlink="">
      <xdr:nvSpPr>
        <xdr:cNvPr id="1066786" name="Line 38">
          <a:extLst>
            <a:ext uri="{FF2B5EF4-FFF2-40B4-BE49-F238E27FC236}">
              <a16:creationId xmlns:a16="http://schemas.microsoft.com/office/drawing/2014/main" id="{00000000-0008-0000-0C00-000022471000}"/>
            </a:ext>
          </a:extLst>
        </xdr:cNvPr>
        <xdr:cNvSpPr>
          <a:spLocks noChangeShapeType="1"/>
        </xdr:cNvSpPr>
      </xdr:nvSpPr>
      <xdr:spPr bwMode="auto">
        <a:xfrm>
          <a:off x="4733925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70</xdr:col>
      <xdr:colOff>9525</xdr:colOff>
      <xdr:row>17</xdr:row>
      <xdr:rowOff>0</xdr:rowOff>
    </xdr:from>
    <xdr:to>
      <xdr:col>70</xdr:col>
      <xdr:colOff>66675</xdr:colOff>
      <xdr:row>17</xdr:row>
      <xdr:rowOff>9525</xdr:rowOff>
    </xdr:to>
    <xdr:sp macro="" textlink="">
      <xdr:nvSpPr>
        <xdr:cNvPr id="1066787" name="Line 39">
          <a:extLst>
            <a:ext uri="{FF2B5EF4-FFF2-40B4-BE49-F238E27FC236}">
              <a16:creationId xmlns:a16="http://schemas.microsoft.com/office/drawing/2014/main" id="{00000000-0008-0000-0C00-000023471000}"/>
            </a:ext>
          </a:extLst>
        </xdr:cNvPr>
        <xdr:cNvSpPr>
          <a:spLocks noChangeShapeType="1"/>
        </xdr:cNvSpPr>
      </xdr:nvSpPr>
      <xdr:spPr bwMode="auto">
        <a:xfrm flipV="1">
          <a:off x="472821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0</xdr:colOff>
      <xdr:row>14</xdr:row>
      <xdr:rowOff>0</xdr:rowOff>
    </xdr:from>
    <xdr:to>
      <xdr:col>73</xdr:col>
      <xdr:colOff>76200</xdr:colOff>
      <xdr:row>14</xdr:row>
      <xdr:rowOff>9525</xdr:rowOff>
    </xdr:to>
    <xdr:sp macro="" textlink="">
      <xdr:nvSpPr>
        <xdr:cNvPr id="1066788" name="Line 40">
          <a:extLst>
            <a:ext uri="{FF2B5EF4-FFF2-40B4-BE49-F238E27FC236}">
              <a16:creationId xmlns:a16="http://schemas.microsoft.com/office/drawing/2014/main" id="{00000000-0008-0000-0C00-000024471000}"/>
            </a:ext>
          </a:extLst>
        </xdr:cNvPr>
        <xdr:cNvSpPr>
          <a:spLocks noChangeShapeType="1"/>
        </xdr:cNvSpPr>
      </xdr:nvSpPr>
      <xdr:spPr bwMode="auto">
        <a:xfrm>
          <a:off x="4943475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66675</xdr:colOff>
      <xdr:row>14</xdr:row>
      <xdr:rowOff>9525</xdr:rowOff>
    </xdr:from>
    <xdr:to>
      <xdr:col>73</xdr:col>
      <xdr:colOff>66675</xdr:colOff>
      <xdr:row>17</xdr:row>
      <xdr:rowOff>19050</xdr:rowOff>
    </xdr:to>
    <xdr:sp macro="" textlink="">
      <xdr:nvSpPr>
        <xdr:cNvPr id="1066789" name="Line 41">
          <a:extLst>
            <a:ext uri="{FF2B5EF4-FFF2-40B4-BE49-F238E27FC236}">
              <a16:creationId xmlns:a16="http://schemas.microsoft.com/office/drawing/2014/main" id="{00000000-0008-0000-0C00-000025471000}"/>
            </a:ext>
          </a:extLst>
        </xdr:cNvPr>
        <xdr:cNvSpPr>
          <a:spLocks noChangeShapeType="1"/>
        </xdr:cNvSpPr>
      </xdr:nvSpPr>
      <xdr:spPr bwMode="auto">
        <a:xfrm>
          <a:off x="4950142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9525</xdr:colOff>
      <xdr:row>17</xdr:row>
      <xdr:rowOff>0</xdr:rowOff>
    </xdr:from>
    <xdr:to>
      <xdr:col>73</xdr:col>
      <xdr:colOff>66675</xdr:colOff>
      <xdr:row>17</xdr:row>
      <xdr:rowOff>9525</xdr:rowOff>
    </xdr:to>
    <xdr:sp macro="" textlink="">
      <xdr:nvSpPr>
        <xdr:cNvPr id="1066790" name="Line 42">
          <a:extLst>
            <a:ext uri="{FF2B5EF4-FFF2-40B4-BE49-F238E27FC236}">
              <a16:creationId xmlns:a16="http://schemas.microsoft.com/office/drawing/2014/main" id="{00000000-0008-0000-0C00-000026471000}"/>
            </a:ext>
          </a:extLst>
        </xdr:cNvPr>
        <xdr:cNvSpPr>
          <a:spLocks noChangeShapeType="1"/>
        </xdr:cNvSpPr>
      </xdr:nvSpPr>
      <xdr:spPr bwMode="auto">
        <a:xfrm flipV="1">
          <a:off x="4944427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0</xdr:colOff>
      <xdr:row>14</xdr:row>
      <xdr:rowOff>0</xdr:rowOff>
    </xdr:from>
    <xdr:to>
      <xdr:col>76</xdr:col>
      <xdr:colOff>76200</xdr:colOff>
      <xdr:row>14</xdr:row>
      <xdr:rowOff>9525</xdr:rowOff>
    </xdr:to>
    <xdr:sp macro="" textlink="">
      <xdr:nvSpPr>
        <xdr:cNvPr id="1066791" name="Line 43">
          <a:extLst>
            <a:ext uri="{FF2B5EF4-FFF2-40B4-BE49-F238E27FC236}">
              <a16:creationId xmlns:a16="http://schemas.microsoft.com/office/drawing/2014/main" id="{00000000-0008-0000-0C00-000027471000}"/>
            </a:ext>
          </a:extLst>
        </xdr:cNvPr>
        <xdr:cNvSpPr>
          <a:spLocks noChangeShapeType="1"/>
        </xdr:cNvSpPr>
      </xdr:nvSpPr>
      <xdr:spPr bwMode="auto">
        <a:xfrm>
          <a:off x="5153025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66675</xdr:colOff>
      <xdr:row>14</xdr:row>
      <xdr:rowOff>9525</xdr:rowOff>
    </xdr:from>
    <xdr:to>
      <xdr:col>76</xdr:col>
      <xdr:colOff>66675</xdr:colOff>
      <xdr:row>17</xdr:row>
      <xdr:rowOff>19050</xdr:rowOff>
    </xdr:to>
    <xdr:sp macro="" textlink="">
      <xdr:nvSpPr>
        <xdr:cNvPr id="1066792" name="Line 44">
          <a:extLst>
            <a:ext uri="{FF2B5EF4-FFF2-40B4-BE49-F238E27FC236}">
              <a16:creationId xmlns:a16="http://schemas.microsoft.com/office/drawing/2014/main" id="{00000000-0008-0000-0C00-000028471000}"/>
            </a:ext>
          </a:extLst>
        </xdr:cNvPr>
        <xdr:cNvSpPr>
          <a:spLocks noChangeShapeType="1"/>
        </xdr:cNvSpPr>
      </xdr:nvSpPr>
      <xdr:spPr bwMode="auto">
        <a:xfrm>
          <a:off x="5159692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9525</xdr:colOff>
      <xdr:row>17</xdr:row>
      <xdr:rowOff>0</xdr:rowOff>
    </xdr:from>
    <xdr:to>
      <xdr:col>76</xdr:col>
      <xdr:colOff>66675</xdr:colOff>
      <xdr:row>17</xdr:row>
      <xdr:rowOff>9525</xdr:rowOff>
    </xdr:to>
    <xdr:sp macro="" textlink="">
      <xdr:nvSpPr>
        <xdr:cNvPr id="1066793" name="Line 45">
          <a:extLst>
            <a:ext uri="{FF2B5EF4-FFF2-40B4-BE49-F238E27FC236}">
              <a16:creationId xmlns:a16="http://schemas.microsoft.com/office/drawing/2014/main" id="{00000000-0008-0000-0C00-000029471000}"/>
            </a:ext>
          </a:extLst>
        </xdr:cNvPr>
        <xdr:cNvSpPr>
          <a:spLocks noChangeShapeType="1"/>
        </xdr:cNvSpPr>
      </xdr:nvSpPr>
      <xdr:spPr bwMode="auto">
        <a:xfrm flipV="1">
          <a:off x="5153977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70</xdr:col>
      <xdr:colOff>0</xdr:colOff>
      <xdr:row>20</xdr:row>
      <xdr:rowOff>0</xdr:rowOff>
    </xdr:from>
    <xdr:to>
      <xdr:col>70</xdr:col>
      <xdr:colOff>76200</xdr:colOff>
      <xdr:row>20</xdr:row>
      <xdr:rowOff>9525</xdr:rowOff>
    </xdr:to>
    <xdr:sp macro="" textlink="">
      <xdr:nvSpPr>
        <xdr:cNvPr id="1066794" name="Line 46">
          <a:extLst>
            <a:ext uri="{FF2B5EF4-FFF2-40B4-BE49-F238E27FC236}">
              <a16:creationId xmlns:a16="http://schemas.microsoft.com/office/drawing/2014/main" id="{00000000-0008-0000-0C00-00002A471000}"/>
            </a:ext>
          </a:extLst>
        </xdr:cNvPr>
        <xdr:cNvSpPr>
          <a:spLocks noChangeShapeType="1"/>
        </xdr:cNvSpPr>
      </xdr:nvSpPr>
      <xdr:spPr bwMode="auto">
        <a:xfrm>
          <a:off x="472725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70</xdr:col>
      <xdr:colOff>9525</xdr:colOff>
      <xdr:row>23</xdr:row>
      <xdr:rowOff>0</xdr:rowOff>
    </xdr:from>
    <xdr:to>
      <xdr:col>70</xdr:col>
      <xdr:colOff>66675</xdr:colOff>
      <xdr:row>23</xdr:row>
      <xdr:rowOff>9525</xdr:rowOff>
    </xdr:to>
    <xdr:sp macro="" textlink="">
      <xdr:nvSpPr>
        <xdr:cNvPr id="1066795" name="Line 48">
          <a:extLst>
            <a:ext uri="{FF2B5EF4-FFF2-40B4-BE49-F238E27FC236}">
              <a16:creationId xmlns:a16="http://schemas.microsoft.com/office/drawing/2014/main" id="{00000000-0008-0000-0C00-00002B471000}"/>
            </a:ext>
          </a:extLst>
        </xdr:cNvPr>
        <xdr:cNvSpPr>
          <a:spLocks noChangeShapeType="1"/>
        </xdr:cNvSpPr>
      </xdr:nvSpPr>
      <xdr:spPr bwMode="auto">
        <a:xfrm flipV="1">
          <a:off x="4728210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0</xdr:colOff>
      <xdr:row>20</xdr:row>
      <xdr:rowOff>0</xdr:rowOff>
    </xdr:from>
    <xdr:to>
      <xdr:col>73</xdr:col>
      <xdr:colOff>76200</xdr:colOff>
      <xdr:row>20</xdr:row>
      <xdr:rowOff>9525</xdr:rowOff>
    </xdr:to>
    <xdr:sp macro="" textlink="">
      <xdr:nvSpPr>
        <xdr:cNvPr id="1066796" name="Line 49">
          <a:extLst>
            <a:ext uri="{FF2B5EF4-FFF2-40B4-BE49-F238E27FC236}">
              <a16:creationId xmlns:a16="http://schemas.microsoft.com/office/drawing/2014/main" id="{00000000-0008-0000-0C00-00002C471000}"/>
            </a:ext>
          </a:extLst>
        </xdr:cNvPr>
        <xdr:cNvSpPr>
          <a:spLocks noChangeShapeType="1"/>
        </xdr:cNvSpPr>
      </xdr:nvSpPr>
      <xdr:spPr bwMode="auto">
        <a:xfrm>
          <a:off x="4943475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66675</xdr:colOff>
      <xdr:row>20</xdr:row>
      <xdr:rowOff>9525</xdr:rowOff>
    </xdr:from>
    <xdr:to>
      <xdr:col>73</xdr:col>
      <xdr:colOff>66675</xdr:colOff>
      <xdr:row>23</xdr:row>
      <xdr:rowOff>19050</xdr:rowOff>
    </xdr:to>
    <xdr:sp macro="" textlink="">
      <xdr:nvSpPr>
        <xdr:cNvPr id="1066797" name="Line 50">
          <a:extLst>
            <a:ext uri="{FF2B5EF4-FFF2-40B4-BE49-F238E27FC236}">
              <a16:creationId xmlns:a16="http://schemas.microsoft.com/office/drawing/2014/main" id="{00000000-0008-0000-0C00-00002D471000}"/>
            </a:ext>
          </a:extLst>
        </xdr:cNvPr>
        <xdr:cNvSpPr>
          <a:spLocks noChangeShapeType="1"/>
        </xdr:cNvSpPr>
      </xdr:nvSpPr>
      <xdr:spPr bwMode="auto">
        <a:xfrm>
          <a:off x="4950142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9525</xdr:colOff>
      <xdr:row>23</xdr:row>
      <xdr:rowOff>0</xdr:rowOff>
    </xdr:from>
    <xdr:to>
      <xdr:col>73</xdr:col>
      <xdr:colOff>66675</xdr:colOff>
      <xdr:row>23</xdr:row>
      <xdr:rowOff>9525</xdr:rowOff>
    </xdr:to>
    <xdr:sp macro="" textlink="">
      <xdr:nvSpPr>
        <xdr:cNvPr id="1066798" name="Line 51">
          <a:extLst>
            <a:ext uri="{FF2B5EF4-FFF2-40B4-BE49-F238E27FC236}">
              <a16:creationId xmlns:a16="http://schemas.microsoft.com/office/drawing/2014/main" id="{00000000-0008-0000-0C00-00002E471000}"/>
            </a:ext>
          </a:extLst>
        </xdr:cNvPr>
        <xdr:cNvSpPr>
          <a:spLocks noChangeShapeType="1"/>
        </xdr:cNvSpPr>
      </xdr:nvSpPr>
      <xdr:spPr bwMode="auto">
        <a:xfrm flipV="1">
          <a:off x="494442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0</xdr:colOff>
      <xdr:row>20</xdr:row>
      <xdr:rowOff>0</xdr:rowOff>
    </xdr:from>
    <xdr:to>
      <xdr:col>76</xdr:col>
      <xdr:colOff>76200</xdr:colOff>
      <xdr:row>20</xdr:row>
      <xdr:rowOff>9525</xdr:rowOff>
    </xdr:to>
    <xdr:sp macro="" textlink="">
      <xdr:nvSpPr>
        <xdr:cNvPr id="1066799" name="Line 52">
          <a:extLst>
            <a:ext uri="{FF2B5EF4-FFF2-40B4-BE49-F238E27FC236}">
              <a16:creationId xmlns:a16="http://schemas.microsoft.com/office/drawing/2014/main" id="{00000000-0008-0000-0C00-00002F471000}"/>
            </a:ext>
          </a:extLst>
        </xdr:cNvPr>
        <xdr:cNvSpPr>
          <a:spLocks noChangeShapeType="1"/>
        </xdr:cNvSpPr>
      </xdr:nvSpPr>
      <xdr:spPr bwMode="auto">
        <a:xfrm>
          <a:off x="5153025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66675</xdr:colOff>
      <xdr:row>20</xdr:row>
      <xdr:rowOff>9525</xdr:rowOff>
    </xdr:from>
    <xdr:to>
      <xdr:col>76</xdr:col>
      <xdr:colOff>66675</xdr:colOff>
      <xdr:row>23</xdr:row>
      <xdr:rowOff>19050</xdr:rowOff>
    </xdr:to>
    <xdr:sp macro="" textlink="">
      <xdr:nvSpPr>
        <xdr:cNvPr id="1066800" name="Line 53">
          <a:extLst>
            <a:ext uri="{FF2B5EF4-FFF2-40B4-BE49-F238E27FC236}">
              <a16:creationId xmlns:a16="http://schemas.microsoft.com/office/drawing/2014/main" id="{00000000-0008-0000-0C00-000030471000}"/>
            </a:ext>
          </a:extLst>
        </xdr:cNvPr>
        <xdr:cNvSpPr>
          <a:spLocks noChangeShapeType="1"/>
        </xdr:cNvSpPr>
      </xdr:nvSpPr>
      <xdr:spPr bwMode="auto">
        <a:xfrm>
          <a:off x="5159692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9525</xdr:colOff>
      <xdr:row>23</xdr:row>
      <xdr:rowOff>0</xdr:rowOff>
    </xdr:from>
    <xdr:to>
      <xdr:col>76</xdr:col>
      <xdr:colOff>66675</xdr:colOff>
      <xdr:row>23</xdr:row>
      <xdr:rowOff>9525</xdr:rowOff>
    </xdr:to>
    <xdr:sp macro="" textlink="">
      <xdr:nvSpPr>
        <xdr:cNvPr id="1066801" name="Line 54">
          <a:extLst>
            <a:ext uri="{FF2B5EF4-FFF2-40B4-BE49-F238E27FC236}">
              <a16:creationId xmlns:a16="http://schemas.microsoft.com/office/drawing/2014/main" id="{00000000-0008-0000-0C00-000031471000}"/>
            </a:ext>
          </a:extLst>
        </xdr:cNvPr>
        <xdr:cNvSpPr>
          <a:spLocks noChangeShapeType="1"/>
        </xdr:cNvSpPr>
      </xdr:nvSpPr>
      <xdr:spPr bwMode="auto">
        <a:xfrm flipV="1">
          <a:off x="515397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66675</xdr:colOff>
      <xdr:row>8</xdr:row>
      <xdr:rowOff>9525</xdr:rowOff>
    </xdr:from>
    <xdr:to>
      <xdr:col>74</xdr:col>
      <xdr:colOff>0</xdr:colOff>
      <xdr:row>9</xdr:row>
      <xdr:rowOff>66675</xdr:rowOff>
    </xdr:to>
    <xdr:sp macro="" textlink="">
      <xdr:nvSpPr>
        <xdr:cNvPr id="1066802" name="Line 64">
          <a:extLst>
            <a:ext uri="{FF2B5EF4-FFF2-40B4-BE49-F238E27FC236}">
              <a16:creationId xmlns:a16="http://schemas.microsoft.com/office/drawing/2014/main" id="{00000000-0008-0000-0C00-000032471000}"/>
            </a:ext>
          </a:extLst>
        </xdr:cNvPr>
        <xdr:cNvSpPr>
          <a:spLocks noChangeShapeType="1"/>
        </xdr:cNvSpPr>
      </xdr:nvSpPr>
      <xdr:spPr bwMode="auto">
        <a:xfrm flipV="1">
          <a:off x="49501425" y="2057400"/>
          <a:ext cx="342900" cy="2381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73</xdr:col>
      <xdr:colOff>66675</xdr:colOff>
      <xdr:row>9</xdr:row>
      <xdr:rowOff>76200</xdr:rowOff>
    </xdr:from>
    <xdr:to>
      <xdr:col>74</xdr:col>
      <xdr:colOff>0</xdr:colOff>
      <xdr:row>13</xdr:row>
      <xdr:rowOff>0</xdr:rowOff>
    </xdr:to>
    <xdr:sp macro="" textlink="">
      <xdr:nvSpPr>
        <xdr:cNvPr id="1066803" name="Line 66">
          <a:extLst>
            <a:ext uri="{FF2B5EF4-FFF2-40B4-BE49-F238E27FC236}">
              <a16:creationId xmlns:a16="http://schemas.microsoft.com/office/drawing/2014/main" id="{00000000-0008-0000-0C00-000033471000}"/>
            </a:ext>
          </a:extLst>
        </xdr:cNvPr>
        <xdr:cNvSpPr>
          <a:spLocks noChangeShapeType="1"/>
        </xdr:cNvSpPr>
      </xdr:nvSpPr>
      <xdr:spPr bwMode="auto">
        <a:xfrm>
          <a:off x="49501425" y="2305050"/>
          <a:ext cx="342900" cy="6477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76</xdr:col>
      <xdr:colOff>0</xdr:colOff>
      <xdr:row>20</xdr:row>
      <xdr:rowOff>0</xdr:rowOff>
    </xdr:from>
    <xdr:to>
      <xdr:col>76</xdr:col>
      <xdr:colOff>76200</xdr:colOff>
      <xdr:row>20</xdr:row>
      <xdr:rowOff>9525</xdr:rowOff>
    </xdr:to>
    <xdr:sp macro="" textlink="">
      <xdr:nvSpPr>
        <xdr:cNvPr id="1066804" name="Line 72">
          <a:extLst>
            <a:ext uri="{FF2B5EF4-FFF2-40B4-BE49-F238E27FC236}">
              <a16:creationId xmlns:a16="http://schemas.microsoft.com/office/drawing/2014/main" id="{00000000-0008-0000-0C00-000034471000}"/>
            </a:ext>
          </a:extLst>
        </xdr:cNvPr>
        <xdr:cNvSpPr>
          <a:spLocks noChangeShapeType="1"/>
        </xdr:cNvSpPr>
      </xdr:nvSpPr>
      <xdr:spPr bwMode="auto">
        <a:xfrm>
          <a:off x="5153025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66675</xdr:colOff>
      <xdr:row>20</xdr:row>
      <xdr:rowOff>9525</xdr:rowOff>
    </xdr:from>
    <xdr:to>
      <xdr:col>76</xdr:col>
      <xdr:colOff>66675</xdr:colOff>
      <xdr:row>23</xdr:row>
      <xdr:rowOff>19050</xdr:rowOff>
    </xdr:to>
    <xdr:sp macro="" textlink="">
      <xdr:nvSpPr>
        <xdr:cNvPr id="1066805" name="Line 73">
          <a:extLst>
            <a:ext uri="{FF2B5EF4-FFF2-40B4-BE49-F238E27FC236}">
              <a16:creationId xmlns:a16="http://schemas.microsoft.com/office/drawing/2014/main" id="{00000000-0008-0000-0C00-000035471000}"/>
            </a:ext>
          </a:extLst>
        </xdr:cNvPr>
        <xdr:cNvSpPr>
          <a:spLocks noChangeShapeType="1"/>
        </xdr:cNvSpPr>
      </xdr:nvSpPr>
      <xdr:spPr bwMode="auto">
        <a:xfrm>
          <a:off x="5159692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9525</xdr:colOff>
      <xdr:row>23</xdr:row>
      <xdr:rowOff>0</xdr:rowOff>
    </xdr:from>
    <xdr:to>
      <xdr:col>76</xdr:col>
      <xdr:colOff>66675</xdr:colOff>
      <xdr:row>23</xdr:row>
      <xdr:rowOff>9525</xdr:rowOff>
    </xdr:to>
    <xdr:sp macro="" textlink="">
      <xdr:nvSpPr>
        <xdr:cNvPr id="1066806" name="Line 74">
          <a:extLst>
            <a:ext uri="{FF2B5EF4-FFF2-40B4-BE49-F238E27FC236}">
              <a16:creationId xmlns:a16="http://schemas.microsoft.com/office/drawing/2014/main" id="{00000000-0008-0000-0C00-000036471000}"/>
            </a:ext>
          </a:extLst>
        </xdr:cNvPr>
        <xdr:cNvSpPr>
          <a:spLocks noChangeShapeType="1"/>
        </xdr:cNvSpPr>
      </xdr:nvSpPr>
      <xdr:spPr bwMode="auto">
        <a:xfrm flipV="1">
          <a:off x="515397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0</xdr:colOff>
      <xdr:row>14</xdr:row>
      <xdr:rowOff>0</xdr:rowOff>
    </xdr:from>
    <xdr:to>
      <xdr:col>76</xdr:col>
      <xdr:colOff>76200</xdr:colOff>
      <xdr:row>14</xdr:row>
      <xdr:rowOff>9525</xdr:rowOff>
    </xdr:to>
    <xdr:sp macro="" textlink="">
      <xdr:nvSpPr>
        <xdr:cNvPr id="1066807" name="Line 77">
          <a:extLst>
            <a:ext uri="{FF2B5EF4-FFF2-40B4-BE49-F238E27FC236}">
              <a16:creationId xmlns:a16="http://schemas.microsoft.com/office/drawing/2014/main" id="{00000000-0008-0000-0C00-000037471000}"/>
            </a:ext>
          </a:extLst>
        </xdr:cNvPr>
        <xdr:cNvSpPr>
          <a:spLocks noChangeShapeType="1"/>
        </xdr:cNvSpPr>
      </xdr:nvSpPr>
      <xdr:spPr bwMode="auto">
        <a:xfrm>
          <a:off x="5153025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66675</xdr:colOff>
      <xdr:row>14</xdr:row>
      <xdr:rowOff>9525</xdr:rowOff>
    </xdr:from>
    <xdr:to>
      <xdr:col>76</xdr:col>
      <xdr:colOff>66675</xdr:colOff>
      <xdr:row>17</xdr:row>
      <xdr:rowOff>19050</xdr:rowOff>
    </xdr:to>
    <xdr:sp macro="" textlink="">
      <xdr:nvSpPr>
        <xdr:cNvPr id="1066808" name="Line 78">
          <a:extLst>
            <a:ext uri="{FF2B5EF4-FFF2-40B4-BE49-F238E27FC236}">
              <a16:creationId xmlns:a16="http://schemas.microsoft.com/office/drawing/2014/main" id="{00000000-0008-0000-0C00-000038471000}"/>
            </a:ext>
          </a:extLst>
        </xdr:cNvPr>
        <xdr:cNvSpPr>
          <a:spLocks noChangeShapeType="1"/>
        </xdr:cNvSpPr>
      </xdr:nvSpPr>
      <xdr:spPr bwMode="auto">
        <a:xfrm>
          <a:off x="5159692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9525</xdr:colOff>
      <xdr:row>17</xdr:row>
      <xdr:rowOff>0</xdr:rowOff>
    </xdr:from>
    <xdr:to>
      <xdr:col>76</xdr:col>
      <xdr:colOff>66675</xdr:colOff>
      <xdr:row>17</xdr:row>
      <xdr:rowOff>9525</xdr:rowOff>
    </xdr:to>
    <xdr:sp macro="" textlink="">
      <xdr:nvSpPr>
        <xdr:cNvPr id="1066809" name="Line 79">
          <a:extLst>
            <a:ext uri="{FF2B5EF4-FFF2-40B4-BE49-F238E27FC236}">
              <a16:creationId xmlns:a16="http://schemas.microsoft.com/office/drawing/2014/main" id="{00000000-0008-0000-0C00-000039471000}"/>
            </a:ext>
          </a:extLst>
        </xdr:cNvPr>
        <xdr:cNvSpPr>
          <a:spLocks noChangeShapeType="1"/>
        </xdr:cNvSpPr>
      </xdr:nvSpPr>
      <xdr:spPr bwMode="auto">
        <a:xfrm flipV="1">
          <a:off x="5153977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76200</xdr:colOff>
      <xdr:row>15</xdr:row>
      <xdr:rowOff>66675</xdr:rowOff>
    </xdr:from>
    <xdr:to>
      <xdr:col>77</xdr:col>
      <xdr:colOff>9525</xdr:colOff>
      <xdr:row>17</xdr:row>
      <xdr:rowOff>19050</xdr:rowOff>
    </xdr:to>
    <xdr:sp macro="" textlink="">
      <xdr:nvSpPr>
        <xdr:cNvPr id="1066810" name="Line 81">
          <a:extLst>
            <a:ext uri="{FF2B5EF4-FFF2-40B4-BE49-F238E27FC236}">
              <a16:creationId xmlns:a16="http://schemas.microsoft.com/office/drawing/2014/main" id="{00000000-0008-0000-0C00-00003A471000}"/>
            </a:ext>
          </a:extLst>
        </xdr:cNvPr>
        <xdr:cNvSpPr>
          <a:spLocks noChangeShapeType="1"/>
        </xdr:cNvSpPr>
      </xdr:nvSpPr>
      <xdr:spPr bwMode="auto">
        <a:xfrm>
          <a:off x="51606450" y="33813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76</xdr:col>
      <xdr:colOff>0</xdr:colOff>
      <xdr:row>20</xdr:row>
      <xdr:rowOff>0</xdr:rowOff>
    </xdr:from>
    <xdr:to>
      <xdr:col>76</xdr:col>
      <xdr:colOff>76200</xdr:colOff>
      <xdr:row>20</xdr:row>
      <xdr:rowOff>9525</xdr:rowOff>
    </xdr:to>
    <xdr:sp macro="" textlink="">
      <xdr:nvSpPr>
        <xdr:cNvPr id="1066811" name="Line 86">
          <a:extLst>
            <a:ext uri="{FF2B5EF4-FFF2-40B4-BE49-F238E27FC236}">
              <a16:creationId xmlns:a16="http://schemas.microsoft.com/office/drawing/2014/main" id="{00000000-0008-0000-0C00-00003B471000}"/>
            </a:ext>
          </a:extLst>
        </xdr:cNvPr>
        <xdr:cNvSpPr>
          <a:spLocks noChangeShapeType="1"/>
        </xdr:cNvSpPr>
      </xdr:nvSpPr>
      <xdr:spPr bwMode="auto">
        <a:xfrm>
          <a:off x="5153025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66675</xdr:colOff>
      <xdr:row>20</xdr:row>
      <xdr:rowOff>9525</xdr:rowOff>
    </xdr:from>
    <xdr:to>
      <xdr:col>76</xdr:col>
      <xdr:colOff>76200</xdr:colOff>
      <xdr:row>23</xdr:row>
      <xdr:rowOff>0</xdr:rowOff>
    </xdr:to>
    <xdr:sp macro="" textlink="">
      <xdr:nvSpPr>
        <xdr:cNvPr id="1066812" name="Line 87">
          <a:extLst>
            <a:ext uri="{FF2B5EF4-FFF2-40B4-BE49-F238E27FC236}">
              <a16:creationId xmlns:a16="http://schemas.microsoft.com/office/drawing/2014/main" id="{00000000-0008-0000-0C00-00003C471000}"/>
            </a:ext>
          </a:extLst>
        </xdr:cNvPr>
        <xdr:cNvSpPr>
          <a:spLocks noChangeShapeType="1"/>
        </xdr:cNvSpPr>
      </xdr:nvSpPr>
      <xdr:spPr bwMode="auto">
        <a:xfrm>
          <a:off x="51596925" y="4229100"/>
          <a:ext cx="9525"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9525</xdr:colOff>
      <xdr:row>23</xdr:row>
      <xdr:rowOff>0</xdr:rowOff>
    </xdr:from>
    <xdr:to>
      <xdr:col>76</xdr:col>
      <xdr:colOff>66675</xdr:colOff>
      <xdr:row>23</xdr:row>
      <xdr:rowOff>9525</xdr:rowOff>
    </xdr:to>
    <xdr:sp macro="" textlink="">
      <xdr:nvSpPr>
        <xdr:cNvPr id="1066813" name="Line 88">
          <a:extLst>
            <a:ext uri="{FF2B5EF4-FFF2-40B4-BE49-F238E27FC236}">
              <a16:creationId xmlns:a16="http://schemas.microsoft.com/office/drawing/2014/main" id="{00000000-0008-0000-0C00-00003D471000}"/>
            </a:ext>
          </a:extLst>
        </xdr:cNvPr>
        <xdr:cNvSpPr>
          <a:spLocks noChangeShapeType="1"/>
        </xdr:cNvSpPr>
      </xdr:nvSpPr>
      <xdr:spPr bwMode="auto">
        <a:xfrm flipV="1">
          <a:off x="515397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66675</xdr:colOff>
      <xdr:row>19</xdr:row>
      <xdr:rowOff>161925</xdr:rowOff>
    </xdr:from>
    <xdr:to>
      <xdr:col>76</xdr:col>
      <xdr:colOff>400050</xdr:colOff>
      <xdr:row>21</xdr:row>
      <xdr:rowOff>57150</xdr:rowOff>
    </xdr:to>
    <xdr:sp macro="" textlink="">
      <xdr:nvSpPr>
        <xdr:cNvPr id="1066814" name="Line 89">
          <a:extLst>
            <a:ext uri="{FF2B5EF4-FFF2-40B4-BE49-F238E27FC236}">
              <a16:creationId xmlns:a16="http://schemas.microsoft.com/office/drawing/2014/main" id="{00000000-0008-0000-0C00-00003E471000}"/>
            </a:ext>
          </a:extLst>
        </xdr:cNvPr>
        <xdr:cNvSpPr>
          <a:spLocks noChangeShapeType="1"/>
        </xdr:cNvSpPr>
      </xdr:nvSpPr>
      <xdr:spPr bwMode="auto">
        <a:xfrm flipV="1">
          <a:off x="51596925" y="4200525"/>
          <a:ext cx="333375" cy="2571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76</xdr:col>
      <xdr:colOff>0</xdr:colOff>
      <xdr:row>14</xdr:row>
      <xdr:rowOff>0</xdr:rowOff>
    </xdr:from>
    <xdr:to>
      <xdr:col>76</xdr:col>
      <xdr:colOff>76200</xdr:colOff>
      <xdr:row>14</xdr:row>
      <xdr:rowOff>9525</xdr:rowOff>
    </xdr:to>
    <xdr:sp macro="" textlink="">
      <xdr:nvSpPr>
        <xdr:cNvPr id="1066815" name="Line 90">
          <a:extLst>
            <a:ext uri="{FF2B5EF4-FFF2-40B4-BE49-F238E27FC236}">
              <a16:creationId xmlns:a16="http://schemas.microsoft.com/office/drawing/2014/main" id="{00000000-0008-0000-0C00-00003F471000}"/>
            </a:ext>
          </a:extLst>
        </xdr:cNvPr>
        <xdr:cNvSpPr>
          <a:spLocks noChangeShapeType="1"/>
        </xdr:cNvSpPr>
      </xdr:nvSpPr>
      <xdr:spPr bwMode="auto">
        <a:xfrm>
          <a:off x="5153025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66675</xdr:colOff>
      <xdr:row>14</xdr:row>
      <xdr:rowOff>9525</xdr:rowOff>
    </xdr:from>
    <xdr:to>
      <xdr:col>76</xdr:col>
      <xdr:colOff>66675</xdr:colOff>
      <xdr:row>17</xdr:row>
      <xdr:rowOff>19050</xdr:rowOff>
    </xdr:to>
    <xdr:sp macro="" textlink="">
      <xdr:nvSpPr>
        <xdr:cNvPr id="1066816" name="Line 91">
          <a:extLst>
            <a:ext uri="{FF2B5EF4-FFF2-40B4-BE49-F238E27FC236}">
              <a16:creationId xmlns:a16="http://schemas.microsoft.com/office/drawing/2014/main" id="{00000000-0008-0000-0C00-000040471000}"/>
            </a:ext>
          </a:extLst>
        </xdr:cNvPr>
        <xdr:cNvSpPr>
          <a:spLocks noChangeShapeType="1"/>
        </xdr:cNvSpPr>
      </xdr:nvSpPr>
      <xdr:spPr bwMode="auto">
        <a:xfrm>
          <a:off x="5159692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9525</xdr:colOff>
      <xdr:row>17</xdr:row>
      <xdr:rowOff>0</xdr:rowOff>
    </xdr:from>
    <xdr:to>
      <xdr:col>76</xdr:col>
      <xdr:colOff>66675</xdr:colOff>
      <xdr:row>17</xdr:row>
      <xdr:rowOff>9525</xdr:rowOff>
    </xdr:to>
    <xdr:sp macro="" textlink="">
      <xdr:nvSpPr>
        <xdr:cNvPr id="1066817" name="Line 92">
          <a:extLst>
            <a:ext uri="{FF2B5EF4-FFF2-40B4-BE49-F238E27FC236}">
              <a16:creationId xmlns:a16="http://schemas.microsoft.com/office/drawing/2014/main" id="{00000000-0008-0000-0C00-000041471000}"/>
            </a:ext>
          </a:extLst>
        </xdr:cNvPr>
        <xdr:cNvSpPr>
          <a:spLocks noChangeShapeType="1"/>
        </xdr:cNvSpPr>
      </xdr:nvSpPr>
      <xdr:spPr bwMode="auto">
        <a:xfrm flipV="1">
          <a:off x="5153977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66675</xdr:colOff>
      <xdr:row>14</xdr:row>
      <xdr:rowOff>19050</xdr:rowOff>
    </xdr:from>
    <xdr:to>
      <xdr:col>77</xdr:col>
      <xdr:colOff>0</xdr:colOff>
      <xdr:row>15</xdr:row>
      <xdr:rowOff>47625</xdr:rowOff>
    </xdr:to>
    <xdr:sp macro="" textlink="">
      <xdr:nvSpPr>
        <xdr:cNvPr id="1066818" name="Line 93">
          <a:extLst>
            <a:ext uri="{FF2B5EF4-FFF2-40B4-BE49-F238E27FC236}">
              <a16:creationId xmlns:a16="http://schemas.microsoft.com/office/drawing/2014/main" id="{00000000-0008-0000-0C00-000042471000}"/>
            </a:ext>
          </a:extLst>
        </xdr:cNvPr>
        <xdr:cNvSpPr>
          <a:spLocks noChangeShapeType="1"/>
        </xdr:cNvSpPr>
      </xdr:nvSpPr>
      <xdr:spPr bwMode="auto">
        <a:xfrm flipV="1">
          <a:off x="51596925" y="3152775"/>
          <a:ext cx="342900" cy="2095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76</xdr:col>
      <xdr:colOff>0</xdr:colOff>
      <xdr:row>8</xdr:row>
      <xdr:rowOff>0</xdr:rowOff>
    </xdr:from>
    <xdr:to>
      <xdr:col>76</xdr:col>
      <xdr:colOff>76200</xdr:colOff>
      <xdr:row>8</xdr:row>
      <xdr:rowOff>9525</xdr:rowOff>
    </xdr:to>
    <xdr:sp macro="" textlink="">
      <xdr:nvSpPr>
        <xdr:cNvPr id="1066819" name="Line 99">
          <a:extLst>
            <a:ext uri="{FF2B5EF4-FFF2-40B4-BE49-F238E27FC236}">
              <a16:creationId xmlns:a16="http://schemas.microsoft.com/office/drawing/2014/main" id="{00000000-0008-0000-0C00-000043471000}"/>
            </a:ext>
          </a:extLst>
        </xdr:cNvPr>
        <xdr:cNvSpPr>
          <a:spLocks noChangeShapeType="1"/>
        </xdr:cNvSpPr>
      </xdr:nvSpPr>
      <xdr:spPr bwMode="auto">
        <a:xfrm>
          <a:off x="5153025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66675</xdr:colOff>
      <xdr:row>8</xdr:row>
      <xdr:rowOff>9525</xdr:rowOff>
    </xdr:from>
    <xdr:to>
      <xdr:col>76</xdr:col>
      <xdr:colOff>66675</xdr:colOff>
      <xdr:row>11</xdr:row>
      <xdr:rowOff>19050</xdr:rowOff>
    </xdr:to>
    <xdr:sp macro="" textlink="">
      <xdr:nvSpPr>
        <xdr:cNvPr id="1066820" name="Line 100">
          <a:extLst>
            <a:ext uri="{FF2B5EF4-FFF2-40B4-BE49-F238E27FC236}">
              <a16:creationId xmlns:a16="http://schemas.microsoft.com/office/drawing/2014/main" id="{00000000-0008-0000-0C00-000044471000}"/>
            </a:ext>
          </a:extLst>
        </xdr:cNvPr>
        <xdr:cNvSpPr>
          <a:spLocks noChangeShapeType="1"/>
        </xdr:cNvSpPr>
      </xdr:nvSpPr>
      <xdr:spPr bwMode="auto">
        <a:xfrm>
          <a:off x="5159692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9525</xdr:colOff>
      <xdr:row>11</xdr:row>
      <xdr:rowOff>0</xdr:rowOff>
    </xdr:from>
    <xdr:to>
      <xdr:col>76</xdr:col>
      <xdr:colOff>66675</xdr:colOff>
      <xdr:row>11</xdr:row>
      <xdr:rowOff>9525</xdr:rowOff>
    </xdr:to>
    <xdr:sp macro="" textlink="">
      <xdr:nvSpPr>
        <xdr:cNvPr id="1066821" name="Line 101">
          <a:extLst>
            <a:ext uri="{FF2B5EF4-FFF2-40B4-BE49-F238E27FC236}">
              <a16:creationId xmlns:a16="http://schemas.microsoft.com/office/drawing/2014/main" id="{00000000-0008-0000-0C00-000045471000}"/>
            </a:ext>
          </a:extLst>
        </xdr:cNvPr>
        <xdr:cNvSpPr>
          <a:spLocks noChangeShapeType="1"/>
        </xdr:cNvSpPr>
      </xdr:nvSpPr>
      <xdr:spPr bwMode="auto">
        <a:xfrm flipV="1">
          <a:off x="5153977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0</xdr:colOff>
      <xdr:row>8</xdr:row>
      <xdr:rowOff>0</xdr:rowOff>
    </xdr:from>
    <xdr:to>
      <xdr:col>76</xdr:col>
      <xdr:colOff>76200</xdr:colOff>
      <xdr:row>8</xdr:row>
      <xdr:rowOff>9525</xdr:rowOff>
    </xdr:to>
    <xdr:sp macro="" textlink="">
      <xdr:nvSpPr>
        <xdr:cNvPr id="1066822" name="Line 110">
          <a:extLst>
            <a:ext uri="{FF2B5EF4-FFF2-40B4-BE49-F238E27FC236}">
              <a16:creationId xmlns:a16="http://schemas.microsoft.com/office/drawing/2014/main" id="{00000000-0008-0000-0C00-000046471000}"/>
            </a:ext>
          </a:extLst>
        </xdr:cNvPr>
        <xdr:cNvSpPr>
          <a:spLocks noChangeShapeType="1"/>
        </xdr:cNvSpPr>
      </xdr:nvSpPr>
      <xdr:spPr bwMode="auto">
        <a:xfrm>
          <a:off x="5153025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66675</xdr:colOff>
      <xdr:row>8</xdr:row>
      <xdr:rowOff>9525</xdr:rowOff>
    </xdr:from>
    <xdr:to>
      <xdr:col>76</xdr:col>
      <xdr:colOff>66675</xdr:colOff>
      <xdr:row>11</xdr:row>
      <xdr:rowOff>19050</xdr:rowOff>
    </xdr:to>
    <xdr:sp macro="" textlink="">
      <xdr:nvSpPr>
        <xdr:cNvPr id="1066823" name="Line 111">
          <a:extLst>
            <a:ext uri="{FF2B5EF4-FFF2-40B4-BE49-F238E27FC236}">
              <a16:creationId xmlns:a16="http://schemas.microsoft.com/office/drawing/2014/main" id="{00000000-0008-0000-0C00-000047471000}"/>
            </a:ext>
          </a:extLst>
        </xdr:cNvPr>
        <xdr:cNvSpPr>
          <a:spLocks noChangeShapeType="1"/>
        </xdr:cNvSpPr>
      </xdr:nvSpPr>
      <xdr:spPr bwMode="auto">
        <a:xfrm>
          <a:off x="5159692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9525</xdr:colOff>
      <xdr:row>11</xdr:row>
      <xdr:rowOff>0</xdr:rowOff>
    </xdr:from>
    <xdr:to>
      <xdr:col>76</xdr:col>
      <xdr:colOff>66675</xdr:colOff>
      <xdr:row>11</xdr:row>
      <xdr:rowOff>9525</xdr:rowOff>
    </xdr:to>
    <xdr:sp macro="" textlink="">
      <xdr:nvSpPr>
        <xdr:cNvPr id="1066824" name="Line 112">
          <a:extLst>
            <a:ext uri="{FF2B5EF4-FFF2-40B4-BE49-F238E27FC236}">
              <a16:creationId xmlns:a16="http://schemas.microsoft.com/office/drawing/2014/main" id="{00000000-0008-0000-0C00-000048471000}"/>
            </a:ext>
          </a:extLst>
        </xdr:cNvPr>
        <xdr:cNvSpPr>
          <a:spLocks noChangeShapeType="1"/>
        </xdr:cNvSpPr>
      </xdr:nvSpPr>
      <xdr:spPr bwMode="auto">
        <a:xfrm flipV="1">
          <a:off x="5153977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0</xdr:colOff>
      <xdr:row>8</xdr:row>
      <xdr:rowOff>0</xdr:rowOff>
    </xdr:from>
    <xdr:to>
      <xdr:col>76</xdr:col>
      <xdr:colOff>76200</xdr:colOff>
      <xdr:row>8</xdr:row>
      <xdr:rowOff>9525</xdr:rowOff>
    </xdr:to>
    <xdr:sp macro="" textlink="">
      <xdr:nvSpPr>
        <xdr:cNvPr id="1066825" name="Line 113">
          <a:extLst>
            <a:ext uri="{FF2B5EF4-FFF2-40B4-BE49-F238E27FC236}">
              <a16:creationId xmlns:a16="http://schemas.microsoft.com/office/drawing/2014/main" id="{00000000-0008-0000-0C00-000049471000}"/>
            </a:ext>
          </a:extLst>
        </xdr:cNvPr>
        <xdr:cNvSpPr>
          <a:spLocks noChangeShapeType="1"/>
        </xdr:cNvSpPr>
      </xdr:nvSpPr>
      <xdr:spPr bwMode="auto">
        <a:xfrm>
          <a:off x="5153025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66675</xdr:colOff>
      <xdr:row>8</xdr:row>
      <xdr:rowOff>9525</xdr:rowOff>
    </xdr:from>
    <xdr:to>
      <xdr:col>76</xdr:col>
      <xdr:colOff>66675</xdr:colOff>
      <xdr:row>11</xdr:row>
      <xdr:rowOff>19050</xdr:rowOff>
    </xdr:to>
    <xdr:sp macro="" textlink="">
      <xdr:nvSpPr>
        <xdr:cNvPr id="1066826" name="Line 114">
          <a:extLst>
            <a:ext uri="{FF2B5EF4-FFF2-40B4-BE49-F238E27FC236}">
              <a16:creationId xmlns:a16="http://schemas.microsoft.com/office/drawing/2014/main" id="{00000000-0008-0000-0C00-00004A471000}"/>
            </a:ext>
          </a:extLst>
        </xdr:cNvPr>
        <xdr:cNvSpPr>
          <a:spLocks noChangeShapeType="1"/>
        </xdr:cNvSpPr>
      </xdr:nvSpPr>
      <xdr:spPr bwMode="auto">
        <a:xfrm>
          <a:off x="5159692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9525</xdr:colOff>
      <xdr:row>11</xdr:row>
      <xdr:rowOff>0</xdr:rowOff>
    </xdr:from>
    <xdr:to>
      <xdr:col>76</xdr:col>
      <xdr:colOff>66675</xdr:colOff>
      <xdr:row>11</xdr:row>
      <xdr:rowOff>9525</xdr:rowOff>
    </xdr:to>
    <xdr:sp macro="" textlink="">
      <xdr:nvSpPr>
        <xdr:cNvPr id="1066827" name="Line 115">
          <a:extLst>
            <a:ext uri="{FF2B5EF4-FFF2-40B4-BE49-F238E27FC236}">
              <a16:creationId xmlns:a16="http://schemas.microsoft.com/office/drawing/2014/main" id="{00000000-0008-0000-0C00-00004B471000}"/>
            </a:ext>
          </a:extLst>
        </xdr:cNvPr>
        <xdr:cNvSpPr>
          <a:spLocks noChangeShapeType="1"/>
        </xdr:cNvSpPr>
      </xdr:nvSpPr>
      <xdr:spPr bwMode="auto">
        <a:xfrm flipV="1">
          <a:off x="5153977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76200</xdr:colOff>
      <xdr:row>8</xdr:row>
      <xdr:rowOff>0</xdr:rowOff>
    </xdr:from>
    <xdr:to>
      <xdr:col>76</xdr:col>
      <xdr:colOff>400050</xdr:colOff>
      <xdr:row>9</xdr:row>
      <xdr:rowOff>57150</xdr:rowOff>
    </xdr:to>
    <xdr:sp macro="" textlink="">
      <xdr:nvSpPr>
        <xdr:cNvPr id="1066828" name="Line 116">
          <a:extLst>
            <a:ext uri="{FF2B5EF4-FFF2-40B4-BE49-F238E27FC236}">
              <a16:creationId xmlns:a16="http://schemas.microsoft.com/office/drawing/2014/main" id="{00000000-0008-0000-0C00-00004C471000}"/>
            </a:ext>
          </a:extLst>
        </xdr:cNvPr>
        <xdr:cNvSpPr>
          <a:spLocks noChangeShapeType="1"/>
        </xdr:cNvSpPr>
      </xdr:nvSpPr>
      <xdr:spPr bwMode="auto">
        <a:xfrm flipV="1">
          <a:off x="51606450" y="2047875"/>
          <a:ext cx="3238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76</xdr:col>
      <xdr:colOff>76200</xdr:colOff>
      <xdr:row>9</xdr:row>
      <xdr:rowOff>66675</xdr:rowOff>
    </xdr:from>
    <xdr:to>
      <xdr:col>77</xdr:col>
      <xdr:colOff>0</xdr:colOff>
      <xdr:row>11</xdr:row>
      <xdr:rowOff>19050</xdr:rowOff>
    </xdr:to>
    <xdr:sp macro="" textlink="">
      <xdr:nvSpPr>
        <xdr:cNvPr id="1066829" name="Line 117">
          <a:extLst>
            <a:ext uri="{FF2B5EF4-FFF2-40B4-BE49-F238E27FC236}">
              <a16:creationId xmlns:a16="http://schemas.microsoft.com/office/drawing/2014/main" id="{00000000-0008-0000-0C00-00004D471000}"/>
            </a:ext>
          </a:extLst>
        </xdr:cNvPr>
        <xdr:cNvSpPr>
          <a:spLocks noChangeShapeType="1"/>
        </xdr:cNvSpPr>
      </xdr:nvSpPr>
      <xdr:spPr bwMode="auto">
        <a:xfrm>
          <a:off x="51606450" y="2295525"/>
          <a:ext cx="333375"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73</xdr:col>
      <xdr:colOff>0</xdr:colOff>
      <xdr:row>14</xdr:row>
      <xdr:rowOff>0</xdr:rowOff>
    </xdr:from>
    <xdr:to>
      <xdr:col>73</xdr:col>
      <xdr:colOff>76200</xdr:colOff>
      <xdr:row>14</xdr:row>
      <xdr:rowOff>9525</xdr:rowOff>
    </xdr:to>
    <xdr:sp macro="" textlink="">
      <xdr:nvSpPr>
        <xdr:cNvPr id="1066830" name="Line 134">
          <a:extLst>
            <a:ext uri="{FF2B5EF4-FFF2-40B4-BE49-F238E27FC236}">
              <a16:creationId xmlns:a16="http://schemas.microsoft.com/office/drawing/2014/main" id="{00000000-0008-0000-0C00-00004E471000}"/>
            </a:ext>
          </a:extLst>
        </xdr:cNvPr>
        <xdr:cNvSpPr>
          <a:spLocks noChangeShapeType="1"/>
        </xdr:cNvSpPr>
      </xdr:nvSpPr>
      <xdr:spPr bwMode="auto">
        <a:xfrm>
          <a:off x="4943475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66675</xdr:colOff>
      <xdr:row>14</xdr:row>
      <xdr:rowOff>9525</xdr:rowOff>
    </xdr:from>
    <xdr:to>
      <xdr:col>73</xdr:col>
      <xdr:colOff>66675</xdr:colOff>
      <xdr:row>17</xdr:row>
      <xdr:rowOff>19050</xdr:rowOff>
    </xdr:to>
    <xdr:sp macro="" textlink="">
      <xdr:nvSpPr>
        <xdr:cNvPr id="1066831" name="Line 135">
          <a:extLst>
            <a:ext uri="{FF2B5EF4-FFF2-40B4-BE49-F238E27FC236}">
              <a16:creationId xmlns:a16="http://schemas.microsoft.com/office/drawing/2014/main" id="{00000000-0008-0000-0C00-00004F471000}"/>
            </a:ext>
          </a:extLst>
        </xdr:cNvPr>
        <xdr:cNvSpPr>
          <a:spLocks noChangeShapeType="1"/>
        </xdr:cNvSpPr>
      </xdr:nvSpPr>
      <xdr:spPr bwMode="auto">
        <a:xfrm>
          <a:off x="4950142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9525</xdr:colOff>
      <xdr:row>17</xdr:row>
      <xdr:rowOff>0</xdr:rowOff>
    </xdr:from>
    <xdr:to>
      <xdr:col>73</xdr:col>
      <xdr:colOff>66675</xdr:colOff>
      <xdr:row>17</xdr:row>
      <xdr:rowOff>9525</xdr:rowOff>
    </xdr:to>
    <xdr:sp macro="" textlink="">
      <xdr:nvSpPr>
        <xdr:cNvPr id="1066832" name="Line 136">
          <a:extLst>
            <a:ext uri="{FF2B5EF4-FFF2-40B4-BE49-F238E27FC236}">
              <a16:creationId xmlns:a16="http://schemas.microsoft.com/office/drawing/2014/main" id="{00000000-0008-0000-0C00-000050471000}"/>
            </a:ext>
          </a:extLst>
        </xdr:cNvPr>
        <xdr:cNvSpPr>
          <a:spLocks noChangeShapeType="1"/>
        </xdr:cNvSpPr>
      </xdr:nvSpPr>
      <xdr:spPr bwMode="auto">
        <a:xfrm flipV="1">
          <a:off x="4944427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0</xdr:colOff>
      <xdr:row>20</xdr:row>
      <xdr:rowOff>0</xdr:rowOff>
    </xdr:from>
    <xdr:to>
      <xdr:col>73</xdr:col>
      <xdr:colOff>76200</xdr:colOff>
      <xdr:row>20</xdr:row>
      <xdr:rowOff>9525</xdr:rowOff>
    </xdr:to>
    <xdr:sp macro="" textlink="">
      <xdr:nvSpPr>
        <xdr:cNvPr id="1066833" name="Line 137">
          <a:extLst>
            <a:ext uri="{FF2B5EF4-FFF2-40B4-BE49-F238E27FC236}">
              <a16:creationId xmlns:a16="http://schemas.microsoft.com/office/drawing/2014/main" id="{00000000-0008-0000-0C00-000051471000}"/>
            </a:ext>
          </a:extLst>
        </xdr:cNvPr>
        <xdr:cNvSpPr>
          <a:spLocks noChangeShapeType="1"/>
        </xdr:cNvSpPr>
      </xdr:nvSpPr>
      <xdr:spPr bwMode="auto">
        <a:xfrm>
          <a:off x="4943475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9525</xdr:colOff>
      <xdr:row>23</xdr:row>
      <xdr:rowOff>0</xdr:rowOff>
    </xdr:from>
    <xdr:to>
      <xdr:col>73</xdr:col>
      <xdr:colOff>66675</xdr:colOff>
      <xdr:row>23</xdr:row>
      <xdr:rowOff>9525</xdr:rowOff>
    </xdr:to>
    <xdr:sp macro="" textlink="">
      <xdr:nvSpPr>
        <xdr:cNvPr id="1066834" name="Line 139">
          <a:extLst>
            <a:ext uri="{FF2B5EF4-FFF2-40B4-BE49-F238E27FC236}">
              <a16:creationId xmlns:a16="http://schemas.microsoft.com/office/drawing/2014/main" id="{00000000-0008-0000-0C00-000052471000}"/>
            </a:ext>
          </a:extLst>
        </xdr:cNvPr>
        <xdr:cNvSpPr>
          <a:spLocks noChangeShapeType="1"/>
        </xdr:cNvSpPr>
      </xdr:nvSpPr>
      <xdr:spPr bwMode="auto">
        <a:xfrm flipV="1">
          <a:off x="494442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76200</xdr:colOff>
      <xdr:row>17</xdr:row>
      <xdr:rowOff>0</xdr:rowOff>
    </xdr:from>
    <xdr:to>
      <xdr:col>74</xdr:col>
      <xdr:colOff>0</xdr:colOff>
      <xdr:row>21</xdr:row>
      <xdr:rowOff>66675</xdr:rowOff>
    </xdr:to>
    <xdr:sp macro="" textlink="">
      <xdr:nvSpPr>
        <xdr:cNvPr id="1066835" name="Line 140">
          <a:extLst>
            <a:ext uri="{FF2B5EF4-FFF2-40B4-BE49-F238E27FC236}">
              <a16:creationId xmlns:a16="http://schemas.microsoft.com/office/drawing/2014/main" id="{00000000-0008-0000-0C00-000053471000}"/>
            </a:ext>
          </a:extLst>
        </xdr:cNvPr>
        <xdr:cNvSpPr>
          <a:spLocks noChangeShapeType="1"/>
        </xdr:cNvSpPr>
      </xdr:nvSpPr>
      <xdr:spPr bwMode="auto">
        <a:xfrm flipV="1">
          <a:off x="49510950" y="3676650"/>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73</xdr:col>
      <xdr:colOff>66675</xdr:colOff>
      <xdr:row>15</xdr:row>
      <xdr:rowOff>104775</xdr:rowOff>
    </xdr:from>
    <xdr:to>
      <xdr:col>74</xdr:col>
      <xdr:colOff>0</xdr:colOff>
      <xdr:row>19</xdr:row>
      <xdr:rowOff>161925</xdr:rowOff>
    </xdr:to>
    <xdr:sp macro="" textlink="">
      <xdr:nvSpPr>
        <xdr:cNvPr id="1066836" name="Line 141">
          <a:extLst>
            <a:ext uri="{FF2B5EF4-FFF2-40B4-BE49-F238E27FC236}">
              <a16:creationId xmlns:a16="http://schemas.microsoft.com/office/drawing/2014/main" id="{00000000-0008-0000-0C00-000054471000}"/>
            </a:ext>
          </a:extLst>
        </xdr:cNvPr>
        <xdr:cNvSpPr>
          <a:spLocks noChangeShapeType="1"/>
        </xdr:cNvSpPr>
      </xdr:nvSpPr>
      <xdr:spPr bwMode="auto">
        <a:xfrm>
          <a:off x="49501425" y="3419475"/>
          <a:ext cx="342900" cy="7810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70</xdr:col>
      <xdr:colOff>66675</xdr:colOff>
      <xdr:row>7</xdr:row>
      <xdr:rowOff>133350</xdr:rowOff>
    </xdr:from>
    <xdr:to>
      <xdr:col>71</xdr:col>
      <xdr:colOff>0</xdr:colOff>
      <xdr:row>9</xdr:row>
      <xdr:rowOff>66675</xdr:rowOff>
    </xdr:to>
    <xdr:sp macro="" textlink="">
      <xdr:nvSpPr>
        <xdr:cNvPr id="1066837" name="Line 146">
          <a:extLst>
            <a:ext uri="{FF2B5EF4-FFF2-40B4-BE49-F238E27FC236}">
              <a16:creationId xmlns:a16="http://schemas.microsoft.com/office/drawing/2014/main" id="{00000000-0008-0000-0C00-000055471000}"/>
            </a:ext>
          </a:extLst>
        </xdr:cNvPr>
        <xdr:cNvSpPr>
          <a:spLocks noChangeShapeType="1"/>
        </xdr:cNvSpPr>
      </xdr:nvSpPr>
      <xdr:spPr bwMode="auto">
        <a:xfrm flipV="1">
          <a:off x="47339250" y="2000250"/>
          <a:ext cx="38100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70</xdr:col>
      <xdr:colOff>66675</xdr:colOff>
      <xdr:row>9</xdr:row>
      <xdr:rowOff>66675</xdr:rowOff>
    </xdr:from>
    <xdr:to>
      <xdr:col>71</xdr:col>
      <xdr:colOff>19050</xdr:colOff>
      <xdr:row>13</xdr:row>
      <xdr:rowOff>0</xdr:rowOff>
    </xdr:to>
    <xdr:sp macro="" textlink="">
      <xdr:nvSpPr>
        <xdr:cNvPr id="1066838" name="Line 147">
          <a:extLst>
            <a:ext uri="{FF2B5EF4-FFF2-40B4-BE49-F238E27FC236}">
              <a16:creationId xmlns:a16="http://schemas.microsoft.com/office/drawing/2014/main" id="{00000000-0008-0000-0C00-000056471000}"/>
            </a:ext>
          </a:extLst>
        </xdr:cNvPr>
        <xdr:cNvSpPr>
          <a:spLocks noChangeShapeType="1"/>
        </xdr:cNvSpPr>
      </xdr:nvSpPr>
      <xdr:spPr bwMode="auto">
        <a:xfrm>
          <a:off x="47339250" y="2295525"/>
          <a:ext cx="400050" cy="657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70</xdr:col>
      <xdr:colOff>57150</xdr:colOff>
      <xdr:row>11</xdr:row>
      <xdr:rowOff>57150</xdr:rowOff>
    </xdr:from>
    <xdr:to>
      <xdr:col>71</xdr:col>
      <xdr:colOff>0</xdr:colOff>
      <xdr:row>15</xdr:row>
      <xdr:rowOff>57150</xdr:rowOff>
    </xdr:to>
    <xdr:sp macro="" textlink="">
      <xdr:nvSpPr>
        <xdr:cNvPr id="1066839" name="Line 154">
          <a:extLst>
            <a:ext uri="{FF2B5EF4-FFF2-40B4-BE49-F238E27FC236}">
              <a16:creationId xmlns:a16="http://schemas.microsoft.com/office/drawing/2014/main" id="{00000000-0008-0000-0C00-000057471000}"/>
            </a:ext>
          </a:extLst>
        </xdr:cNvPr>
        <xdr:cNvSpPr>
          <a:spLocks noChangeShapeType="1"/>
        </xdr:cNvSpPr>
      </xdr:nvSpPr>
      <xdr:spPr bwMode="auto">
        <a:xfrm flipV="1">
          <a:off x="47329725" y="2647950"/>
          <a:ext cx="390525" cy="723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70</xdr:col>
      <xdr:colOff>57150</xdr:colOff>
      <xdr:row>15</xdr:row>
      <xdr:rowOff>38100</xdr:rowOff>
    </xdr:from>
    <xdr:to>
      <xdr:col>71</xdr:col>
      <xdr:colOff>0</xdr:colOff>
      <xdr:row>20</xdr:row>
      <xdr:rowOff>9525</xdr:rowOff>
    </xdr:to>
    <xdr:sp macro="" textlink="">
      <xdr:nvSpPr>
        <xdr:cNvPr id="1066840" name="Line 155">
          <a:extLst>
            <a:ext uri="{FF2B5EF4-FFF2-40B4-BE49-F238E27FC236}">
              <a16:creationId xmlns:a16="http://schemas.microsoft.com/office/drawing/2014/main" id="{00000000-0008-0000-0C00-000058471000}"/>
            </a:ext>
          </a:extLst>
        </xdr:cNvPr>
        <xdr:cNvSpPr>
          <a:spLocks noChangeShapeType="1"/>
        </xdr:cNvSpPr>
      </xdr:nvSpPr>
      <xdr:spPr bwMode="auto">
        <a:xfrm>
          <a:off x="47329725" y="3352800"/>
          <a:ext cx="390525"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70</xdr:col>
      <xdr:colOff>57150</xdr:colOff>
      <xdr:row>16</xdr:row>
      <xdr:rowOff>152400</xdr:rowOff>
    </xdr:from>
    <xdr:to>
      <xdr:col>71</xdr:col>
      <xdr:colOff>9525</xdr:colOff>
      <xdr:row>21</xdr:row>
      <xdr:rowOff>104775</xdr:rowOff>
    </xdr:to>
    <xdr:sp macro="" textlink="">
      <xdr:nvSpPr>
        <xdr:cNvPr id="1066841" name="Line 156">
          <a:extLst>
            <a:ext uri="{FF2B5EF4-FFF2-40B4-BE49-F238E27FC236}">
              <a16:creationId xmlns:a16="http://schemas.microsoft.com/office/drawing/2014/main" id="{00000000-0008-0000-0C00-000059471000}"/>
            </a:ext>
          </a:extLst>
        </xdr:cNvPr>
        <xdr:cNvSpPr>
          <a:spLocks noChangeShapeType="1"/>
        </xdr:cNvSpPr>
      </xdr:nvSpPr>
      <xdr:spPr bwMode="auto">
        <a:xfrm flipV="1">
          <a:off x="47329725" y="3648075"/>
          <a:ext cx="400050" cy="857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70</xdr:col>
      <xdr:colOff>57150</xdr:colOff>
      <xdr:row>21</xdr:row>
      <xdr:rowOff>104775</xdr:rowOff>
    </xdr:from>
    <xdr:to>
      <xdr:col>71</xdr:col>
      <xdr:colOff>0</xdr:colOff>
      <xdr:row>25</xdr:row>
      <xdr:rowOff>171450</xdr:rowOff>
    </xdr:to>
    <xdr:sp macro="" textlink="">
      <xdr:nvSpPr>
        <xdr:cNvPr id="1066842" name="Line 158">
          <a:extLst>
            <a:ext uri="{FF2B5EF4-FFF2-40B4-BE49-F238E27FC236}">
              <a16:creationId xmlns:a16="http://schemas.microsoft.com/office/drawing/2014/main" id="{00000000-0008-0000-0C00-00005A471000}"/>
            </a:ext>
          </a:extLst>
        </xdr:cNvPr>
        <xdr:cNvSpPr>
          <a:spLocks noChangeShapeType="1"/>
        </xdr:cNvSpPr>
      </xdr:nvSpPr>
      <xdr:spPr bwMode="auto">
        <a:xfrm>
          <a:off x="47329725" y="4505325"/>
          <a:ext cx="390525" cy="7905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73</xdr:col>
      <xdr:colOff>66675</xdr:colOff>
      <xdr:row>11</xdr:row>
      <xdr:rowOff>28575</xdr:rowOff>
    </xdr:from>
    <xdr:to>
      <xdr:col>74</xdr:col>
      <xdr:colOff>0</xdr:colOff>
      <xdr:row>15</xdr:row>
      <xdr:rowOff>114300</xdr:rowOff>
    </xdr:to>
    <xdr:sp macro="" textlink="">
      <xdr:nvSpPr>
        <xdr:cNvPr id="1066843" name="Line 165">
          <a:extLst>
            <a:ext uri="{FF2B5EF4-FFF2-40B4-BE49-F238E27FC236}">
              <a16:creationId xmlns:a16="http://schemas.microsoft.com/office/drawing/2014/main" id="{00000000-0008-0000-0C00-00005B471000}"/>
            </a:ext>
          </a:extLst>
        </xdr:cNvPr>
        <xdr:cNvSpPr>
          <a:spLocks noChangeShapeType="1"/>
        </xdr:cNvSpPr>
      </xdr:nvSpPr>
      <xdr:spPr bwMode="auto">
        <a:xfrm flipV="1">
          <a:off x="49501425" y="2619375"/>
          <a:ext cx="342900" cy="8096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73</xdr:col>
      <xdr:colOff>76200</xdr:colOff>
      <xdr:row>40</xdr:row>
      <xdr:rowOff>0</xdr:rowOff>
    </xdr:from>
    <xdr:to>
      <xdr:col>73</xdr:col>
      <xdr:colOff>76200</xdr:colOff>
      <xdr:row>40</xdr:row>
      <xdr:rowOff>0</xdr:rowOff>
    </xdr:to>
    <xdr:sp macro="" textlink="">
      <xdr:nvSpPr>
        <xdr:cNvPr id="1066844" name="Line 176">
          <a:extLst>
            <a:ext uri="{FF2B5EF4-FFF2-40B4-BE49-F238E27FC236}">
              <a16:creationId xmlns:a16="http://schemas.microsoft.com/office/drawing/2014/main" id="{00000000-0008-0000-0C00-00005C471000}"/>
            </a:ext>
          </a:extLst>
        </xdr:cNvPr>
        <xdr:cNvSpPr>
          <a:spLocks noChangeShapeType="1"/>
        </xdr:cNvSpPr>
      </xdr:nvSpPr>
      <xdr:spPr bwMode="auto">
        <a:xfrm>
          <a:off x="49510950" y="7839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76200</xdr:colOff>
      <xdr:row>40</xdr:row>
      <xdr:rowOff>0</xdr:rowOff>
    </xdr:from>
    <xdr:to>
      <xdr:col>73</xdr:col>
      <xdr:colOff>76200</xdr:colOff>
      <xdr:row>40</xdr:row>
      <xdr:rowOff>0</xdr:rowOff>
    </xdr:to>
    <xdr:sp macro="" textlink="">
      <xdr:nvSpPr>
        <xdr:cNvPr id="1066845" name="Line 210">
          <a:extLst>
            <a:ext uri="{FF2B5EF4-FFF2-40B4-BE49-F238E27FC236}">
              <a16:creationId xmlns:a16="http://schemas.microsoft.com/office/drawing/2014/main" id="{00000000-0008-0000-0C00-00005D471000}"/>
            </a:ext>
          </a:extLst>
        </xdr:cNvPr>
        <xdr:cNvSpPr>
          <a:spLocks noChangeShapeType="1"/>
        </xdr:cNvSpPr>
      </xdr:nvSpPr>
      <xdr:spPr bwMode="auto">
        <a:xfrm>
          <a:off x="49510950" y="7839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57150</xdr:colOff>
      <xdr:row>21</xdr:row>
      <xdr:rowOff>76200</xdr:rowOff>
    </xdr:from>
    <xdr:to>
      <xdr:col>73</xdr:col>
      <xdr:colOff>400050</xdr:colOff>
      <xdr:row>26</xdr:row>
      <xdr:rowOff>0</xdr:rowOff>
    </xdr:to>
    <xdr:sp macro="" textlink="">
      <xdr:nvSpPr>
        <xdr:cNvPr id="1066846" name="Line 259">
          <a:extLst>
            <a:ext uri="{FF2B5EF4-FFF2-40B4-BE49-F238E27FC236}">
              <a16:creationId xmlns:a16="http://schemas.microsoft.com/office/drawing/2014/main" id="{00000000-0008-0000-0C00-00005E471000}"/>
            </a:ext>
          </a:extLst>
        </xdr:cNvPr>
        <xdr:cNvSpPr>
          <a:spLocks noChangeShapeType="1"/>
        </xdr:cNvSpPr>
      </xdr:nvSpPr>
      <xdr:spPr bwMode="auto">
        <a:xfrm>
          <a:off x="49491900" y="4476750"/>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70</xdr:col>
      <xdr:colOff>0</xdr:colOff>
      <xdr:row>26</xdr:row>
      <xdr:rowOff>0</xdr:rowOff>
    </xdr:from>
    <xdr:to>
      <xdr:col>70</xdr:col>
      <xdr:colOff>76200</xdr:colOff>
      <xdr:row>26</xdr:row>
      <xdr:rowOff>9525</xdr:rowOff>
    </xdr:to>
    <xdr:sp macro="" textlink="">
      <xdr:nvSpPr>
        <xdr:cNvPr id="1066847" name="Line 283">
          <a:extLst>
            <a:ext uri="{FF2B5EF4-FFF2-40B4-BE49-F238E27FC236}">
              <a16:creationId xmlns:a16="http://schemas.microsoft.com/office/drawing/2014/main" id="{00000000-0008-0000-0C00-00005F471000}"/>
            </a:ext>
          </a:extLst>
        </xdr:cNvPr>
        <xdr:cNvSpPr>
          <a:spLocks noChangeShapeType="1"/>
        </xdr:cNvSpPr>
      </xdr:nvSpPr>
      <xdr:spPr bwMode="auto">
        <a:xfrm>
          <a:off x="4727257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70</xdr:col>
      <xdr:colOff>66675</xdr:colOff>
      <xdr:row>26</xdr:row>
      <xdr:rowOff>9525</xdr:rowOff>
    </xdr:from>
    <xdr:to>
      <xdr:col>70</xdr:col>
      <xdr:colOff>66675</xdr:colOff>
      <xdr:row>29</xdr:row>
      <xdr:rowOff>19050</xdr:rowOff>
    </xdr:to>
    <xdr:sp macro="" textlink="">
      <xdr:nvSpPr>
        <xdr:cNvPr id="1066848" name="Line 284">
          <a:extLst>
            <a:ext uri="{FF2B5EF4-FFF2-40B4-BE49-F238E27FC236}">
              <a16:creationId xmlns:a16="http://schemas.microsoft.com/office/drawing/2014/main" id="{00000000-0008-0000-0C00-000060471000}"/>
            </a:ext>
          </a:extLst>
        </xdr:cNvPr>
        <xdr:cNvSpPr>
          <a:spLocks noChangeShapeType="1"/>
        </xdr:cNvSpPr>
      </xdr:nvSpPr>
      <xdr:spPr bwMode="auto">
        <a:xfrm>
          <a:off x="4733925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70</xdr:col>
      <xdr:colOff>9525</xdr:colOff>
      <xdr:row>29</xdr:row>
      <xdr:rowOff>0</xdr:rowOff>
    </xdr:from>
    <xdr:to>
      <xdr:col>70</xdr:col>
      <xdr:colOff>66675</xdr:colOff>
      <xdr:row>29</xdr:row>
      <xdr:rowOff>9525</xdr:rowOff>
    </xdr:to>
    <xdr:sp macro="" textlink="">
      <xdr:nvSpPr>
        <xdr:cNvPr id="1066849" name="Line 285">
          <a:extLst>
            <a:ext uri="{FF2B5EF4-FFF2-40B4-BE49-F238E27FC236}">
              <a16:creationId xmlns:a16="http://schemas.microsoft.com/office/drawing/2014/main" id="{00000000-0008-0000-0C00-000061471000}"/>
            </a:ext>
          </a:extLst>
        </xdr:cNvPr>
        <xdr:cNvSpPr>
          <a:spLocks noChangeShapeType="1"/>
        </xdr:cNvSpPr>
      </xdr:nvSpPr>
      <xdr:spPr bwMode="auto">
        <a:xfrm flipV="1">
          <a:off x="4728210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0</xdr:colOff>
      <xdr:row>26</xdr:row>
      <xdr:rowOff>0</xdr:rowOff>
    </xdr:from>
    <xdr:to>
      <xdr:col>73</xdr:col>
      <xdr:colOff>76200</xdr:colOff>
      <xdr:row>26</xdr:row>
      <xdr:rowOff>9525</xdr:rowOff>
    </xdr:to>
    <xdr:sp macro="" textlink="">
      <xdr:nvSpPr>
        <xdr:cNvPr id="1066850" name="Line 286">
          <a:extLst>
            <a:ext uri="{FF2B5EF4-FFF2-40B4-BE49-F238E27FC236}">
              <a16:creationId xmlns:a16="http://schemas.microsoft.com/office/drawing/2014/main" id="{00000000-0008-0000-0C00-000062471000}"/>
            </a:ext>
          </a:extLst>
        </xdr:cNvPr>
        <xdr:cNvSpPr>
          <a:spLocks noChangeShapeType="1"/>
        </xdr:cNvSpPr>
      </xdr:nvSpPr>
      <xdr:spPr bwMode="auto">
        <a:xfrm>
          <a:off x="4943475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66675</xdr:colOff>
      <xdr:row>26</xdr:row>
      <xdr:rowOff>9525</xdr:rowOff>
    </xdr:from>
    <xdr:to>
      <xdr:col>73</xdr:col>
      <xdr:colOff>66675</xdr:colOff>
      <xdr:row>29</xdr:row>
      <xdr:rowOff>19050</xdr:rowOff>
    </xdr:to>
    <xdr:sp macro="" textlink="">
      <xdr:nvSpPr>
        <xdr:cNvPr id="1066851" name="Line 287">
          <a:extLst>
            <a:ext uri="{FF2B5EF4-FFF2-40B4-BE49-F238E27FC236}">
              <a16:creationId xmlns:a16="http://schemas.microsoft.com/office/drawing/2014/main" id="{00000000-0008-0000-0C00-000063471000}"/>
            </a:ext>
          </a:extLst>
        </xdr:cNvPr>
        <xdr:cNvSpPr>
          <a:spLocks noChangeShapeType="1"/>
        </xdr:cNvSpPr>
      </xdr:nvSpPr>
      <xdr:spPr bwMode="auto">
        <a:xfrm>
          <a:off x="4950142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9525</xdr:colOff>
      <xdr:row>29</xdr:row>
      <xdr:rowOff>0</xdr:rowOff>
    </xdr:from>
    <xdr:to>
      <xdr:col>73</xdr:col>
      <xdr:colOff>66675</xdr:colOff>
      <xdr:row>29</xdr:row>
      <xdr:rowOff>9525</xdr:rowOff>
    </xdr:to>
    <xdr:sp macro="" textlink="">
      <xdr:nvSpPr>
        <xdr:cNvPr id="1066852" name="Line 288">
          <a:extLst>
            <a:ext uri="{FF2B5EF4-FFF2-40B4-BE49-F238E27FC236}">
              <a16:creationId xmlns:a16="http://schemas.microsoft.com/office/drawing/2014/main" id="{00000000-0008-0000-0C00-000064471000}"/>
            </a:ext>
          </a:extLst>
        </xdr:cNvPr>
        <xdr:cNvSpPr>
          <a:spLocks noChangeShapeType="1"/>
        </xdr:cNvSpPr>
      </xdr:nvSpPr>
      <xdr:spPr bwMode="auto">
        <a:xfrm flipV="1">
          <a:off x="4944427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0</xdr:colOff>
      <xdr:row>26</xdr:row>
      <xdr:rowOff>0</xdr:rowOff>
    </xdr:from>
    <xdr:to>
      <xdr:col>76</xdr:col>
      <xdr:colOff>76200</xdr:colOff>
      <xdr:row>26</xdr:row>
      <xdr:rowOff>9525</xdr:rowOff>
    </xdr:to>
    <xdr:sp macro="" textlink="">
      <xdr:nvSpPr>
        <xdr:cNvPr id="1066853" name="Line 289">
          <a:extLst>
            <a:ext uri="{FF2B5EF4-FFF2-40B4-BE49-F238E27FC236}">
              <a16:creationId xmlns:a16="http://schemas.microsoft.com/office/drawing/2014/main" id="{00000000-0008-0000-0C00-000065471000}"/>
            </a:ext>
          </a:extLst>
        </xdr:cNvPr>
        <xdr:cNvSpPr>
          <a:spLocks noChangeShapeType="1"/>
        </xdr:cNvSpPr>
      </xdr:nvSpPr>
      <xdr:spPr bwMode="auto">
        <a:xfrm>
          <a:off x="5153025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66675</xdr:colOff>
      <xdr:row>26</xdr:row>
      <xdr:rowOff>9525</xdr:rowOff>
    </xdr:from>
    <xdr:to>
      <xdr:col>76</xdr:col>
      <xdr:colOff>66675</xdr:colOff>
      <xdr:row>29</xdr:row>
      <xdr:rowOff>19050</xdr:rowOff>
    </xdr:to>
    <xdr:sp macro="" textlink="">
      <xdr:nvSpPr>
        <xdr:cNvPr id="1066854" name="Line 290">
          <a:extLst>
            <a:ext uri="{FF2B5EF4-FFF2-40B4-BE49-F238E27FC236}">
              <a16:creationId xmlns:a16="http://schemas.microsoft.com/office/drawing/2014/main" id="{00000000-0008-0000-0C00-000066471000}"/>
            </a:ext>
          </a:extLst>
        </xdr:cNvPr>
        <xdr:cNvSpPr>
          <a:spLocks noChangeShapeType="1"/>
        </xdr:cNvSpPr>
      </xdr:nvSpPr>
      <xdr:spPr bwMode="auto">
        <a:xfrm>
          <a:off x="5159692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9525</xdr:colOff>
      <xdr:row>29</xdr:row>
      <xdr:rowOff>0</xdr:rowOff>
    </xdr:from>
    <xdr:to>
      <xdr:col>76</xdr:col>
      <xdr:colOff>66675</xdr:colOff>
      <xdr:row>29</xdr:row>
      <xdr:rowOff>9525</xdr:rowOff>
    </xdr:to>
    <xdr:sp macro="" textlink="">
      <xdr:nvSpPr>
        <xdr:cNvPr id="1066855" name="Line 291">
          <a:extLst>
            <a:ext uri="{FF2B5EF4-FFF2-40B4-BE49-F238E27FC236}">
              <a16:creationId xmlns:a16="http://schemas.microsoft.com/office/drawing/2014/main" id="{00000000-0008-0000-0C00-000067471000}"/>
            </a:ext>
          </a:extLst>
        </xdr:cNvPr>
        <xdr:cNvSpPr>
          <a:spLocks noChangeShapeType="1"/>
        </xdr:cNvSpPr>
      </xdr:nvSpPr>
      <xdr:spPr bwMode="auto">
        <a:xfrm flipV="1">
          <a:off x="5153977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0</xdr:colOff>
      <xdr:row>26</xdr:row>
      <xdr:rowOff>0</xdr:rowOff>
    </xdr:from>
    <xdr:to>
      <xdr:col>76</xdr:col>
      <xdr:colOff>76200</xdr:colOff>
      <xdr:row>26</xdr:row>
      <xdr:rowOff>9525</xdr:rowOff>
    </xdr:to>
    <xdr:sp macro="" textlink="">
      <xdr:nvSpPr>
        <xdr:cNvPr id="1066856" name="Line 292">
          <a:extLst>
            <a:ext uri="{FF2B5EF4-FFF2-40B4-BE49-F238E27FC236}">
              <a16:creationId xmlns:a16="http://schemas.microsoft.com/office/drawing/2014/main" id="{00000000-0008-0000-0C00-000068471000}"/>
            </a:ext>
          </a:extLst>
        </xdr:cNvPr>
        <xdr:cNvSpPr>
          <a:spLocks noChangeShapeType="1"/>
        </xdr:cNvSpPr>
      </xdr:nvSpPr>
      <xdr:spPr bwMode="auto">
        <a:xfrm>
          <a:off x="5153025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66675</xdr:colOff>
      <xdr:row>26</xdr:row>
      <xdr:rowOff>9525</xdr:rowOff>
    </xdr:from>
    <xdr:to>
      <xdr:col>76</xdr:col>
      <xdr:colOff>66675</xdr:colOff>
      <xdr:row>29</xdr:row>
      <xdr:rowOff>19050</xdr:rowOff>
    </xdr:to>
    <xdr:sp macro="" textlink="">
      <xdr:nvSpPr>
        <xdr:cNvPr id="1066857" name="Line 293">
          <a:extLst>
            <a:ext uri="{FF2B5EF4-FFF2-40B4-BE49-F238E27FC236}">
              <a16:creationId xmlns:a16="http://schemas.microsoft.com/office/drawing/2014/main" id="{00000000-0008-0000-0C00-000069471000}"/>
            </a:ext>
          </a:extLst>
        </xdr:cNvPr>
        <xdr:cNvSpPr>
          <a:spLocks noChangeShapeType="1"/>
        </xdr:cNvSpPr>
      </xdr:nvSpPr>
      <xdr:spPr bwMode="auto">
        <a:xfrm>
          <a:off x="5159692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9525</xdr:colOff>
      <xdr:row>29</xdr:row>
      <xdr:rowOff>0</xdr:rowOff>
    </xdr:from>
    <xdr:to>
      <xdr:col>76</xdr:col>
      <xdr:colOff>66675</xdr:colOff>
      <xdr:row>29</xdr:row>
      <xdr:rowOff>9525</xdr:rowOff>
    </xdr:to>
    <xdr:sp macro="" textlink="">
      <xdr:nvSpPr>
        <xdr:cNvPr id="1066858" name="Line 294">
          <a:extLst>
            <a:ext uri="{FF2B5EF4-FFF2-40B4-BE49-F238E27FC236}">
              <a16:creationId xmlns:a16="http://schemas.microsoft.com/office/drawing/2014/main" id="{00000000-0008-0000-0C00-00006A471000}"/>
            </a:ext>
          </a:extLst>
        </xdr:cNvPr>
        <xdr:cNvSpPr>
          <a:spLocks noChangeShapeType="1"/>
        </xdr:cNvSpPr>
      </xdr:nvSpPr>
      <xdr:spPr bwMode="auto">
        <a:xfrm flipV="1">
          <a:off x="5153977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76200</xdr:colOff>
      <xdr:row>27</xdr:row>
      <xdr:rowOff>66675</xdr:rowOff>
    </xdr:from>
    <xdr:to>
      <xdr:col>77</xdr:col>
      <xdr:colOff>9525</xdr:colOff>
      <xdr:row>29</xdr:row>
      <xdr:rowOff>19050</xdr:rowOff>
    </xdr:to>
    <xdr:sp macro="" textlink="">
      <xdr:nvSpPr>
        <xdr:cNvPr id="1066859" name="Line 295">
          <a:extLst>
            <a:ext uri="{FF2B5EF4-FFF2-40B4-BE49-F238E27FC236}">
              <a16:creationId xmlns:a16="http://schemas.microsoft.com/office/drawing/2014/main" id="{00000000-0008-0000-0C00-00006B471000}"/>
            </a:ext>
          </a:extLst>
        </xdr:cNvPr>
        <xdr:cNvSpPr>
          <a:spLocks noChangeShapeType="1"/>
        </xdr:cNvSpPr>
      </xdr:nvSpPr>
      <xdr:spPr bwMode="auto">
        <a:xfrm>
          <a:off x="51606450" y="55530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76</xdr:col>
      <xdr:colOff>0</xdr:colOff>
      <xdr:row>26</xdr:row>
      <xdr:rowOff>0</xdr:rowOff>
    </xdr:from>
    <xdr:to>
      <xdr:col>76</xdr:col>
      <xdr:colOff>76200</xdr:colOff>
      <xdr:row>26</xdr:row>
      <xdr:rowOff>9525</xdr:rowOff>
    </xdr:to>
    <xdr:sp macro="" textlink="">
      <xdr:nvSpPr>
        <xdr:cNvPr id="1066860" name="Line 296">
          <a:extLst>
            <a:ext uri="{FF2B5EF4-FFF2-40B4-BE49-F238E27FC236}">
              <a16:creationId xmlns:a16="http://schemas.microsoft.com/office/drawing/2014/main" id="{00000000-0008-0000-0C00-00006C471000}"/>
            </a:ext>
          </a:extLst>
        </xdr:cNvPr>
        <xdr:cNvSpPr>
          <a:spLocks noChangeShapeType="1"/>
        </xdr:cNvSpPr>
      </xdr:nvSpPr>
      <xdr:spPr bwMode="auto">
        <a:xfrm>
          <a:off x="5153025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66675</xdr:colOff>
      <xdr:row>26</xdr:row>
      <xdr:rowOff>9525</xdr:rowOff>
    </xdr:from>
    <xdr:to>
      <xdr:col>76</xdr:col>
      <xdr:colOff>66675</xdr:colOff>
      <xdr:row>29</xdr:row>
      <xdr:rowOff>19050</xdr:rowOff>
    </xdr:to>
    <xdr:sp macro="" textlink="">
      <xdr:nvSpPr>
        <xdr:cNvPr id="1066861" name="Line 297">
          <a:extLst>
            <a:ext uri="{FF2B5EF4-FFF2-40B4-BE49-F238E27FC236}">
              <a16:creationId xmlns:a16="http://schemas.microsoft.com/office/drawing/2014/main" id="{00000000-0008-0000-0C00-00006D471000}"/>
            </a:ext>
          </a:extLst>
        </xdr:cNvPr>
        <xdr:cNvSpPr>
          <a:spLocks noChangeShapeType="1"/>
        </xdr:cNvSpPr>
      </xdr:nvSpPr>
      <xdr:spPr bwMode="auto">
        <a:xfrm>
          <a:off x="5159692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9525</xdr:colOff>
      <xdr:row>29</xdr:row>
      <xdr:rowOff>0</xdr:rowOff>
    </xdr:from>
    <xdr:to>
      <xdr:col>76</xdr:col>
      <xdr:colOff>66675</xdr:colOff>
      <xdr:row>29</xdr:row>
      <xdr:rowOff>9525</xdr:rowOff>
    </xdr:to>
    <xdr:sp macro="" textlink="">
      <xdr:nvSpPr>
        <xdr:cNvPr id="1066862" name="Line 298">
          <a:extLst>
            <a:ext uri="{FF2B5EF4-FFF2-40B4-BE49-F238E27FC236}">
              <a16:creationId xmlns:a16="http://schemas.microsoft.com/office/drawing/2014/main" id="{00000000-0008-0000-0C00-00006E471000}"/>
            </a:ext>
          </a:extLst>
        </xdr:cNvPr>
        <xdr:cNvSpPr>
          <a:spLocks noChangeShapeType="1"/>
        </xdr:cNvSpPr>
      </xdr:nvSpPr>
      <xdr:spPr bwMode="auto">
        <a:xfrm flipV="1">
          <a:off x="5153977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57150</xdr:colOff>
      <xdr:row>25</xdr:row>
      <xdr:rowOff>171450</xdr:rowOff>
    </xdr:from>
    <xdr:to>
      <xdr:col>77</xdr:col>
      <xdr:colOff>9525</xdr:colOff>
      <xdr:row>27</xdr:row>
      <xdr:rowOff>47625</xdr:rowOff>
    </xdr:to>
    <xdr:sp macro="" textlink="">
      <xdr:nvSpPr>
        <xdr:cNvPr id="1066863" name="Line 299">
          <a:extLst>
            <a:ext uri="{FF2B5EF4-FFF2-40B4-BE49-F238E27FC236}">
              <a16:creationId xmlns:a16="http://schemas.microsoft.com/office/drawing/2014/main" id="{00000000-0008-0000-0C00-00006F471000}"/>
            </a:ext>
          </a:extLst>
        </xdr:cNvPr>
        <xdr:cNvSpPr>
          <a:spLocks noChangeShapeType="1"/>
        </xdr:cNvSpPr>
      </xdr:nvSpPr>
      <xdr:spPr bwMode="auto">
        <a:xfrm flipV="1">
          <a:off x="51587400" y="5295900"/>
          <a:ext cx="3619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73</xdr:col>
      <xdr:colOff>0</xdr:colOff>
      <xdr:row>26</xdr:row>
      <xdr:rowOff>0</xdr:rowOff>
    </xdr:from>
    <xdr:to>
      <xdr:col>73</xdr:col>
      <xdr:colOff>76200</xdr:colOff>
      <xdr:row>26</xdr:row>
      <xdr:rowOff>9525</xdr:rowOff>
    </xdr:to>
    <xdr:sp macro="" textlink="">
      <xdr:nvSpPr>
        <xdr:cNvPr id="1066864" name="Line 300">
          <a:extLst>
            <a:ext uri="{FF2B5EF4-FFF2-40B4-BE49-F238E27FC236}">
              <a16:creationId xmlns:a16="http://schemas.microsoft.com/office/drawing/2014/main" id="{00000000-0008-0000-0C00-000070471000}"/>
            </a:ext>
          </a:extLst>
        </xdr:cNvPr>
        <xdr:cNvSpPr>
          <a:spLocks noChangeShapeType="1"/>
        </xdr:cNvSpPr>
      </xdr:nvSpPr>
      <xdr:spPr bwMode="auto">
        <a:xfrm>
          <a:off x="4943475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66675</xdr:colOff>
      <xdr:row>26</xdr:row>
      <xdr:rowOff>9525</xdr:rowOff>
    </xdr:from>
    <xdr:to>
      <xdr:col>73</xdr:col>
      <xdr:colOff>66675</xdr:colOff>
      <xdr:row>29</xdr:row>
      <xdr:rowOff>19050</xdr:rowOff>
    </xdr:to>
    <xdr:sp macro="" textlink="">
      <xdr:nvSpPr>
        <xdr:cNvPr id="1066865" name="Line 301">
          <a:extLst>
            <a:ext uri="{FF2B5EF4-FFF2-40B4-BE49-F238E27FC236}">
              <a16:creationId xmlns:a16="http://schemas.microsoft.com/office/drawing/2014/main" id="{00000000-0008-0000-0C00-000071471000}"/>
            </a:ext>
          </a:extLst>
        </xdr:cNvPr>
        <xdr:cNvSpPr>
          <a:spLocks noChangeShapeType="1"/>
        </xdr:cNvSpPr>
      </xdr:nvSpPr>
      <xdr:spPr bwMode="auto">
        <a:xfrm>
          <a:off x="4950142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9525</xdr:colOff>
      <xdr:row>29</xdr:row>
      <xdr:rowOff>0</xdr:rowOff>
    </xdr:from>
    <xdr:to>
      <xdr:col>73</xdr:col>
      <xdr:colOff>66675</xdr:colOff>
      <xdr:row>29</xdr:row>
      <xdr:rowOff>9525</xdr:rowOff>
    </xdr:to>
    <xdr:sp macro="" textlink="">
      <xdr:nvSpPr>
        <xdr:cNvPr id="1066866" name="Line 302">
          <a:extLst>
            <a:ext uri="{FF2B5EF4-FFF2-40B4-BE49-F238E27FC236}">
              <a16:creationId xmlns:a16="http://schemas.microsoft.com/office/drawing/2014/main" id="{00000000-0008-0000-0C00-000072471000}"/>
            </a:ext>
          </a:extLst>
        </xdr:cNvPr>
        <xdr:cNvSpPr>
          <a:spLocks noChangeShapeType="1"/>
        </xdr:cNvSpPr>
      </xdr:nvSpPr>
      <xdr:spPr bwMode="auto">
        <a:xfrm flipV="1">
          <a:off x="4944427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70</xdr:col>
      <xdr:colOff>0</xdr:colOff>
      <xdr:row>32</xdr:row>
      <xdr:rowOff>0</xdr:rowOff>
    </xdr:from>
    <xdr:to>
      <xdr:col>70</xdr:col>
      <xdr:colOff>76200</xdr:colOff>
      <xdr:row>32</xdr:row>
      <xdr:rowOff>9525</xdr:rowOff>
    </xdr:to>
    <xdr:sp macro="" textlink="">
      <xdr:nvSpPr>
        <xdr:cNvPr id="1066867" name="Line 303">
          <a:extLst>
            <a:ext uri="{FF2B5EF4-FFF2-40B4-BE49-F238E27FC236}">
              <a16:creationId xmlns:a16="http://schemas.microsoft.com/office/drawing/2014/main" id="{00000000-0008-0000-0C00-000073471000}"/>
            </a:ext>
          </a:extLst>
        </xdr:cNvPr>
        <xdr:cNvSpPr>
          <a:spLocks noChangeShapeType="1"/>
        </xdr:cNvSpPr>
      </xdr:nvSpPr>
      <xdr:spPr bwMode="auto">
        <a:xfrm>
          <a:off x="4727257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70</xdr:col>
      <xdr:colOff>66675</xdr:colOff>
      <xdr:row>32</xdr:row>
      <xdr:rowOff>9525</xdr:rowOff>
    </xdr:from>
    <xdr:to>
      <xdr:col>70</xdr:col>
      <xdr:colOff>66675</xdr:colOff>
      <xdr:row>35</xdr:row>
      <xdr:rowOff>19050</xdr:rowOff>
    </xdr:to>
    <xdr:sp macro="" textlink="">
      <xdr:nvSpPr>
        <xdr:cNvPr id="1066868" name="Line 304">
          <a:extLst>
            <a:ext uri="{FF2B5EF4-FFF2-40B4-BE49-F238E27FC236}">
              <a16:creationId xmlns:a16="http://schemas.microsoft.com/office/drawing/2014/main" id="{00000000-0008-0000-0C00-000074471000}"/>
            </a:ext>
          </a:extLst>
        </xdr:cNvPr>
        <xdr:cNvSpPr>
          <a:spLocks noChangeShapeType="1"/>
        </xdr:cNvSpPr>
      </xdr:nvSpPr>
      <xdr:spPr bwMode="auto">
        <a:xfrm>
          <a:off x="4733925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70</xdr:col>
      <xdr:colOff>9525</xdr:colOff>
      <xdr:row>35</xdr:row>
      <xdr:rowOff>0</xdr:rowOff>
    </xdr:from>
    <xdr:to>
      <xdr:col>70</xdr:col>
      <xdr:colOff>66675</xdr:colOff>
      <xdr:row>35</xdr:row>
      <xdr:rowOff>9525</xdr:rowOff>
    </xdr:to>
    <xdr:sp macro="" textlink="">
      <xdr:nvSpPr>
        <xdr:cNvPr id="1066869" name="Line 305">
          <a:extLst>
            <a:ext uri="{FF2B5EF4-FFF2-40B4-BE49-F238E27FC236}">
              <a16:creationId xmlns:a16="http://schemas.microsoft.com/office/drawing/2014/main" id="{00000000-0008-0000-0C00-000075471000}"/>
            </a:ext>
          </a:extLst>
        </xdr:cNvPr>
        <xdr:cNvSpPr>
          <a:spLocks noChangeShapeType="1"/>
        </xdr:cNvSpPr>
      </xdr:nvSpPr>
      <xdr:spPr bwMode="auto">
        <a:xfrm flipV="1">
          <a:off x="4728210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0</xdr:colOff>
      <xdr:row>32</xdr:row>
      <xdr:rowOff>0</xdr:rowOff>
    </xdr:from>
    <xdr:to>
      <xdr:col>73</xdr:col>
      <xdr:colOff>76200</xdr:colOff>
      <xdr:row>32</xdr:row>
      <xdr:rowOff>9525</xdr:rowOff>
    </xdr:to>
    <xdr:sp macro="" textlink="">
      <xdr:nvSpPr>
        <xdr:cNvPr id="1066870" name="Line 306">
          <a:extLst>
            <a:ext uri="{FF2B5EF4-FFF2-40B4-BE49-F238E27FC236}">
              <a16:creationId xmlns:a16="http://schemas.microsoft.com/office/drawing/2014/main" id="{00000000-0008-0000-0C00-000076471000}"/>
            </a:ext>
          </a:extLst>
        </xdr:cNvPr>
        <xdr:cNvSpPr>
          <a:spLocks noChangeShapeType="1"/>
        </xdr:cNvSpPr>
      </xdr:nvSpPr>
      <xdr:spPr bwMode="auto">
        <a:xfrm>
          <a:off x="4943475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66675</xdr:colOff>
      <xdr:row>32</xdr:row>
      <xdr:rowOff>9525</xdr:rowOff>
    </xdr:from>
    <xdr:to>
      <xdr:col>73</xdr:col>
      <xdr:colOff>66675</xdr:colOff>
      <xdr:row>35</xdr:row>
      <xdr:rowOff>19050</xdr:rowOff>
    </xdr:to>
    <xdr:sp macro="" textlink="">
      <xdr:nvSpPr>
        <xdr:cNvPr id="1066871" name="Line 307">
          <a:extLst>
            <a:ext uri="{FF2B5EF4-FFF2-40B4-BE49-F238E27FC236}">
              <a16:creationId xmlns:a16="http://schemas.microsoft.com/office/drawing/2014/main" id="{00000000-0008-0000-0C00-000077471000}"/>
            </a:ext>
          </a:extLst>
        </xdr:cNvPr>
        <xdr:cNvSpPr>
          <a:spLocks noChangeShapeType="1"/>
        </xdr:cNvSpPr>
      </xdr:nvSpPr>
      <xdr:spPr bwMode="auto">
        <a:xfrm>
          <a:off x="4950142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9525</xdr:colOff>
      <xdr:row>35</xdr:row>
      <xdr:rowOff>0</xdr:rowOff>
    </xdr:from>
    <xdr:to>
      <xdr:col>73</xdr:col>
      <xdr:colOff>66675</xdr:colOff>
      <xdr:row>35</xdr:row>
      <xdr:rowOff>9525</xdr:rowOff>
    </xdr:to>
    <xdr:sp macro="" textlink="">
      <xdr:nvSpPr>
        <xdr:cNvPr id="1066872" name="Line 308">
          <a:extLst>
            <a:ext uri="{FF2B5EF4-FFF2-40B4-BE49-F238E27FC236}">
              <a16:creationId xmlns:a16="http://schemas.microsoft.com/office/drawing/2014/main" id="{00000000-0008-0000-0C00-000078471000}"/>
            </a:ext>
          </a:extLst>
        </xdr:cNvPr>
        <xdr:cNvSpPr>
          <a:spLocks noChangeShapeType="1"/>
        </xdr:cNvSpPr>
      </xdr:nvSpPr>
      <xdr:spPr bwMode="auto">
        <a:xfrm flipV="1">
          <a:off x="4944427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0</xdr:colOff>
      <xdr:row>32</xdr:row>
      <xdr:rowOff>0</xdr:rowOff>
    </xdr:from>
    <xdr:to>
      <xdr:col>76</xdr:col>
      <xdr:colOff>76200</xdr:colOff>
      <xdr:row>32</xdr:row>
      <xdr:rowOff>9525</xdr:rowOff>
    </xdr:to>
    <xdr:sp macro="" textlink="">
      <xdr:nvSpPr>
        <xdr:cNvPr id="1066873" name="Line 309">
          <a:extLst>
            <a:ext uri="{FF2B5EF4-FFF2-40B4-BE49-F238E27FC236}">
              <a16:creationId xmlns:a16="http://schemas.microsoft.com/office/drawing/2014/main" id="{00000000-0008-0000-0C00-000079471000}"/>
            </a:ext>
          </a:extLst>
        </xdr:cNvPr>
        <xdr:cNvSpPr>
          <a:spLocks noChangeShapeType="1"/>
        </xdr:cNvSpPr>
      </xdr:nvSpPr>
      <xdr:spPr bwMode="auto">
        <a:xfrm>
          <a:off x="5153025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66675</xdr:colOff>
      <xdr:row>32</xdr:row>
      <xdr:rowOff>9525</xdr:rowOff>
    </xdr:from>
    <xdr:to>
      <xdr:col>76</xdr:col>
      <xdr:colOff>66675</xdr:colOff>
      <xdr:row>35</xdr:row>
      <xdr:rowOff>19050</xdr:rowOff>
    </xdr:to>
    <xdr:sp macro="" textlink="">
      <xdr:nvSpPr>
        <xdr:cNvPr id="1066874" name="Line 310">
          <a:extLst>
            <a:ext uri="{FF2B5EF4-FFF2-40B4-BE49-F238E27FC236}">
              <a16:creationId xmlns:a16="http://schemas.microsoft.com/office/drawing/2014/main" id="{00000000-0008-0000-0C00-00007A471000}"/>
            </a:ext>
          </a:extLst>
        </xdr:cNvPr>
        <xdr:cNvSpPr>
          <a:spLocks noChangeShapeType="1"/>
        </xdr:cNvSpPr>
      </xdr:nvSpPr>
      <xdr:spPr bwMode="auto">
        <a:xfrm>
          <a:off x="5159692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9525</xdr:colOff>
      <xdr:row>35</xdr:row>
      <xdr:rowOff>0</xdr:rowOff>
    </xdr:from>
    <xdr:to>
      <xdr:col>76</xdr:col>
      <xdr:colOff>66675</xdr:colOff>
      <xdr:row>35</xdr:row>
      <xdr:rowOff>9525</xdr:rowOff>
    </xdr:to>
    <xdr:sp macro="" textlink="">
      <xdr:nvSpPr>
        <xdr:cNvPr id="1066875" name="Line 311">
          <a:extLst>
            <a:ext uri="{FF2B5EF4-FFF2-40B4-BE49-F238E27FC236}">
              <a16:creationId xmlns:a16="http://schemas.microsoft.com/office/drawing/2014/main" id="{00000000-0008-0000-0C00-00007B471000}"/>
            </a:ext>
          </a:extLst>
        </xdr:cNvPr>
        <xdr:cNvSpPr>
          <a:spLocks noChangeShapeType="1"/>
        </xdr:cNvSpPr>
      </xdr:nvSpPr>
      <xdr:spPr bwMode="auto">
        <a:xfrm flipV="1">
          <a:off x="5153977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0</xdr:colOff>
      <xdr:row>32</xdr:row>
      <xdr:rowOff>0</xdr:rowOff>
    </xdr:from>
    <xdr:to>
      <xdr:col>76</xdr:col>
      <xdr:colOff>76200</xdr:colOff>
      <xdr:row>32</xdr:row>
      <xdr:rowOff>9525</xdr:rowOff>
    </xdr:to>
    <xdr:sp macro="" textlink="">
      <xdr:nvSpPr>
        <xdr:cNvPr id="1066876" name="Line 312">
          <a:extLst>
            <a:ext uri="{FF2B5EF4-FFF2-40B4-BE49-F238E27FC236}">
              <a16:creationId xmlns:a16="http://schemas.microsoft.com/office/drawing/2014/main" id="{00000000-0008-0000-0C00-00007C471000}"/>
            </a:ext>
          </a:extLst>
        </xdr:cNvPr>
        <xdr:cNvSpPr>
          <a:spLocks noChangeShapeType="1"/>
        </xdr:cNvSpPr>
      </xdr:nvSpPr>
      <xdr:spPr bwMode="auto">
        <a:xfrm>
          <a:off x="5153025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66675</xdr:colOff>
      <xdr:row>32</xdr:row>
      <xdr:rowOff>9525</xdr:rowOff>
    </xdr:from>
    <xdr:to>
      <xdr:col>76</xdr:col>
      <xdr:colOff>66675</xdr:colOff>
      <xdr:row>35</xdr:row>
      <xdr:rowOff>19050</xdr:rowOff>
    </xdr:to>
    <xdr:sp macro="" textlink="">
      <xdr:nvSpPr>
        <xdr:cNvPr id="1066877" name="Line 313">
          <a:extLst>
            <a:ext uri="{FF2B5EF4-FFF2-40B4-BE49-F238E27FC236}">
              <a16:creationId xmlns:a16="http://schemas.microsoft.com/office/drawing/2014/main" id="{00000000-0008-0000-0C00-00007D471000}"/>
            </a:ext>
          </a:extLst>
        </xdr:cNvPr>
        <xdr:cNvSpPr>
          <a:spLocks noChangeShapeType="1"/>
        </xdr:cNvSpPr>
      </xdr:nvSpPr>
      <xdr:spPr bwMode="auto">
        <a:xfrm>
          <a:off x="5159692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9525</xdr:colOff>
      <xdr:row>35</xdr:row>
      <xdr:rowOff>0</xdr:rowOff>
    </xdr:from>
    <xdr:to>
      <xdr:col>76</xdr:col>
      <xdr:colOff>66675</xdr:colOff>
      <xdr:row>35</xdr:row>
      <xdr:rowOff>9525</xdr:rowOff>
    </xdr:to>
    <xdr:sp macro="" textlink="">
      <xdr:nvSpPr>
        <xdr:cNvPr id="1066878" name="Line 314">
          <a:extLst>
            <a:ext uri="{FF2B5EF4-FFF2-40B4-BE49-F238E27FC236}">
              <a16:creationId xmlns:a16="http://schemas.microsoft.com/office/drawing/2014/main" id="{00000000-0008-0000-0C00-00007E471000}"/>
            </a:ext>
          </a:extLst>
        </xdr:cNvPr>
        <xdr:cNvSpPr>
          <a:spLocks noChangeShapeType="1"/>
        </xdr:cNvSpPr>
      </xdr:nvSpPr>
      <xdr:spPr bwMode="auto">
        <a:xfrm flipV="1">
          <a:off x="5153977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76200</xdr:colOff>
      <xdr:row>33</xdr:row>
      <xdr:rowOff>66675</xdr:rowOff>
    </xdr:from>
    <xdr:to>
      <xdr:col>77</xdr:col>
      <xdr:colOff>9525</xdr:colOff>
      <xdr:row>35</xdr:row>
      <xdr:rowOff>19050</xdr:rowOff>
    </xdr:to>
    <xdr:sp macro="" textlink="">
      <xdr:nvSpPr>
        <xdr:cNvPr id="1066879" name="Line 315">
          <a:extLst>
            <a:ext uri="{FF2B5EF4-FFF2-40B4-BE49-F238E27FC236}">
              <a16:creationId xmlns:a16="http://schemas.microsoft.com/office/drawing/2014/main" id="{00000000-0008-0000-0C00-00007F471000}"/>
            </a:ext>
          </a:extLst>
        </xdr:cNvPr>
        <xdr:cNvSpPr>
          <a:spLocks noChangeShapeType="1"/>
        </xdr:cNvSpPr>
      </xdr:nvSpPr>
      <xdr:spPr bwMode="auto">
        <a:xfrm>
          <a:off x="51606450" y="66389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76</xdr:col>
      <xdr:colOff>0</xdr:colOff>
      <xdr:row>32</xdr:row>
      <xdr:rowOff>0</xdr:rowOff>
    </xdr:from>
    <xdr:to>
      <xdr:col>76</xdr:col>
      <xdr:colOff>76200</xdr:colOff>
      <xdr:row>32</xdr:row>
      <xdr:rowOff>9525</xdr:rowOff>
    </xdr:to>
    <xdr:sp macro="" textlink="">
      <xdr:nvSpPr>
        <xdr:cNvPr id="1066880" name="Line 316">
          <a:extLst>
            <a:ext uri="{FF2B5EF4-FFF2-40B4-BE49-F238E27FC236}">
              <a16:creationId xmlns:a16="http://schemas.microsoft.com/office/drawing/2014/main" id="{00000000-0008-0000-0C00-000080471000}"/>
            </a:ext>
          </a:extLst>
        </xdr:cNvPr>
        <xdr:cNvSpPr>
          <a:spLocks noChangeShapeType="1"/>
        </xdr:cNvSpPr>
      </xdr:nvSpPr>
      <xdr:spPr bwMode="auto">
        <a:xfrm>
          <a:off x="5153025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66675</xdr:colOff>
      <xdr:row>32</xdr:row>
      <xdr:rowOff>9525</xdr:rowOff>
    </xdr:from>
    <xdr:to>
      <xdr:col>76</xdr:col>
      <xdr:colOff>66675</xdr:colOff>
      <xdr:row>35</xdr:row>
      <xdr:rowOff>19050</xdr:rowOff>
    </xdr:to>
    <xdr:sp macro="" textlink="">
      <xdr:nvSpPr>
        <xdr:cNvPr id="1066881" name="Line 317">
          <a:extLst>
            <a:ext uri="{FF2B5EF4-FFF2-40B4-BE49-F238E27FC236}">
              <a16:creationId xmlns:a16="http://schemas.microsoft.com/office/drawing/2014/main" id="{00000000-0008-0000-0C00-000081471000}"/>
            </a:ext>
          </a:extLst>
        </xdr:cNvPr>
        <xdr:cNvSpPr>
          <a:spLocks noChangeShapeType="1"/>
        </xdr:cNvSpPr>
      </xdr:nvSpPr>
      <xdr:spPr bwMode="auto">
        <a:xfrm>
          <a:off x="5159692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9525</xdr:colOff>
      <xdr:row>35</xdr:row>
      <xdr:rowOff>0</xdr:rowOff>
    </xdr:from>
    <xdr:to>
      <xdr:col>76</xdr:col>
      <xdr:colOff>66675</xdr:colOff>
      <xdr:row>35</xdr:row>
      <xdr:rowOff>9525</xdr:rowOff>
    </xdr:to>
    <xdr:sp macro="" textlink="">
      <xdr:nvSpPr>
        <xdr:cNvPr id="1066882" name="Line 318">
          <a:extLst>
            <a:ext uri="{FF2B5EF4-FFF2-40B4-BE49-F238E27FC236}">
              <a16:creationId xmlns:a16="http://schemas.microsoft.com/office/drawing/2014/main" id="{00000000-0008-0000-0C00-000082471000}"/>
            </a:ext>
          </a:extLst>
        </xdr:cNvPr>
        <xdr:cNvSpPr>
          <a:spLocks noChangeShapeType="1"/>
        </xdr:cNvSpPr>
      </xdr:nvSpPr>
      <xdr:spPr bwMode="auto">
        <a:xfrm flipV="1">
          <a:off x="5153977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76200</xdr:colOff>
      <xdr:row>31</xdr:row>
      <xdr:rowOff>171450</xdr:rowOff>
    </xdr:from>
    <xdr:to>
      <xdr:col>77</xdr:col>
      <xdr:colOff>9525</xdr:colOff>
      <xdr:row>33</xdr:row>
      <xdr:rowOff>38100</xdr:rowOff>
    </xdr:to>
    <xdr:sp macro="" textlink="">
      <xdr:nvSpPr>
        <xdr:cNvPr id="1066883" name="Line 319">
          <a:extLst>
            <a:ext uri="{FF2B5EF4-FFF2-40B4-BE49-F238E27FC236}">
              <a16:creationId xmlns:a16="http://schemas.microsoft.com/office/drawing/2014/main" id="{00000000-0008-0000-0C00-000083471000}"/>
            </a:ext>
          </a:extLst>
        </xdr:cNvPr>
        <xdr:cNvSpPr>
          <a:spLocks noChangeShapeType="1"/>
        </xdr:cNvSpPr>
      </xdr:nvSpPr>
      <xdr:spPr bwMode="auto">
        <a:xfrm flipV="1">
          <a:off x="51606450" y="6381750"/>
          <a:ext cx="342900" cy="22860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73</xdr:col>
      <xdr:colOff>0</xdr:colOff>
      <xdr:row>32</xdr:row>
      <xdr:rowOff>0</xdr:rowOff>
    </xdr:from>
    <xdr:to>
      <xdr:col>73</xdr:col>
      <xdr:colOff>76200</xdr:colOff>
      <xdr:row>32</xdr:row>
      <xdr:rowOff>9525</xdr:rowOff>
    </xdr:to>
    <xdr:sp macro="" textlink="">
      <xdr:nvSpPr>
        <xdr:cNvPr id="1066884" name="Line 320">
          <a:extLst>
            <a:ext uri="{FF2B5EF4-FFF2-40B4-BE49-F238E27FC236}">
              <a16:creationId xmlns:a16="http://schemas.microsoft.com/office/drawing/2014/main" id="{00000000-0008-0000-0C00-000084471000}"/>
            </a:ext>
          </a:extLst>
        </xdr:cNvPr>
        <xdr:cNvSpPr>
          <a:spLocks noChangeShapeType="1"/>
        </xdr:cNvSpPr>
      </xdr:nvSpPr>
      <xdr:spPr bwMode="auto">
        <a:xfrm>
          <a:off x="4943475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66675</xdr:colOff>
      <xdr:row>32</xdr:row>
      <xdr:rowOff>9525</xdr:rowOff>
    </xdr:from>
    <xdr:to>
      <xdr:col>73</xdr:col>
      <xdr:colOff>66675</xdr:colOff>
      <xdr:row>35</xdr:row>
      <xdr:rowOff>19050</xdr:rowOff>
    </xdr:to>
    <xdr:sp macro="" textlink="">
      <xdr:nvSpPr>
        <xdr:cNvPr id="1066885" name="Line 321">
          <a:extLst>
            <a:ext uri="{FF2B5EF4-FFF2-40B4-BE49-F238E27FC236}">
              <a16:creationId xmlns:a16="http://schemas.microsoft.com/office/drawing/2014/main" id="{00000000-0008-0000-0C00-000085471000}"/>
            </a:ext>
          </a:extLst>
        </xdr:cNvPr>
        <xdr:cNvSpPr>
          <a:spLocks noChangeShapeType="1"/>
        </xdr:cNvSpPr>
      </xdr:nvSpPr>
      <xdr:spPr bwMode="auto">
        <a:xfrm>
          <a:off x="4950142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9525</xdr:colOff>
      <xdr:row>35</xdr:row>
      <xdr:rowOff>0</xdr:rowOff>
    </xdr:from>
    <xdr:to>
      <xdr:col>73</xdr:col>
      <xdr:colOff>66675</xdr:colOff>
      <xdr:row>35</xdr:row>
      <xdr:rowOff>9525</xdr:rowOff>
    </xdr:to>
    <xdr:sp macro="" textlink="">
      <xdr:nvSpPr>
        <xdr:cNvPr id="1066886" name="Line 322">
          <a:extLst>
            <a:ext uri="{FF2B5EF4-FFF2-40B4-BE49-F238E27FC236}">
              <a16:creationId xmlns:a16="http://schemas.microsoft.com/office/drawing/2014/main" id="{00000000-0008-0000-0C00-000086471000}"/>
            </a:ext>
          </a:extLst>
        </xdr:cNvPr>
        <xdr:cNvSpPr>
          <a:spLocks noChangeShapeType="1"/>
        </xdr:cNvSpPr>
      </xdr:nvSpPr>
      <xdr:spPr bwMode="auto">
        <a:xfrm flipV="1">
          <a:off x="4944427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70</xdr:col>
      <xdr:colOff>0</xdr:colOff>
      <xdr:row>38</xdr:row>
      <xdr:rowOff>0</xdr:rowOff>
    </xdr:from>
    <xdr:to>
      <xdr:col>70</xdr:col>
      <xdr:colOff>76200</xdr:colOff>
      <xdr:row>38</xdr:row>
      <xdr:rowOff>9525</xdr:rowOff>
    </xdr:to>
    <xdr:sp macro="" textlink="">
      <xdr:nvSpPr>
        <xdr:cNvPr id="1066887" name="Line 323">
          <a:extLst>
            <a:ext uri="{FF2B5EF4-FFF2-40B4-BE49-F238E27FC236}">
              <a16:creationId xmlns:a16="http://schemas.microsoft.com/office/drawing/2014/main" id="{00000000-0008-0000-0C00-000087471000}"/>
            </a:ext>
          </a:extLst>
        </xdr:cNvPr>
        <xdr:cNvSpPr>
          <a:spLocks noChangeShapeType="1"/>
        </xdr:cNvSpPr>
      </xdr:nvSpPr>
      <xdr:spPr bwMode="auto">
        <a:xfrm>
          <a:off x="472725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70</xdr:col>
      <xdr:colOff>66675</xdr:colOff>
      <xdr:row>38</xdr:row>
      <xdr:rowOff>9525</xdr:rowOff>
    </xdr:from>
    <xdr:to>
      <xdr:col>70</xdr:col>
      <xdr:colOff>66675</xdr:colOff>
      <xdr:row>41</xdr:row>
      <xdr:rowOff>19050</xdr:rowOff>
    </xdr:to>
    <xdr:sp macro="" textlink="">
      <xdr:nvSpPr>
        <xdr:cNvPr id="1066888" name="Line 324">
          <a:extLst>
            <a:ext uri="{FF2B5EF4-FFF2-40B4-BE49-F238E27FC236}">
              <a16:creationId xmlns:a16="http://schemas.microsoft.com/office/drawing/2014/main" id="{00000000-0008-0000-0C00-000088471000}"/>
            </a:ext>
          </a:extLst>
        </xdr:cNvPr>
        <xdr:cNvSpPr>
          <a:spLocks noChangeShapeType="1"/>
        </xdr:cNvSpPr>
      </xdr:nvSpPr>
      <xdr:spPr bwMode="auto">
        <a:xfrm>
          <a:off x="47339250"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70</xdr:col>
      <xdr:colOff>9525</xdr:colOff>
      <xdr:row>41</xdr:row>
      <xdr:rowOff>0</xdr:rowOff>
    </xdr:from>
    <xdr:to>
      <xdr:col>70</xdr:col>
      <xdr:colOff>66675</xdr:colOff>
      <xdr:row>41</xdr:row>
      <xdr:rowOff>9525</xdr:rowOff>
    </xdr:to>
    <xdr:sp macro="" textlink="">
      <xdr:nvSpPr>
        <xdr:cNvPr id="1066889" name="Line 325">
          <a:extLst>
            <a:ext uri="{FF2B5EF4-FFF2-40B4-BE49-F238E27FC236}">
              <a16:creationId xmlns:a16="http://schemas.microsoft.com/office/drawing/2014/main" id="{00000000-0008-0000-0C00-000089471000}"/>
            </a:ext>
          </a:extLst>
        </xdr:cNvPr>
        <xdr:cNvSpPr>
          <a:spLocks noChangeShapeType="1"/>
        </xdr:cNvSpPr>
      </xdr:nvSpPr>
      <xdr:spPr bwMode="auto">
        <a:xfrm flipV="1">
          <a:off x="472821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0</xdr:colOff>
      <xdr:row>38</xdr:row>
      <xdr:rowOff>0</xdr:rowOff>
    </xdr:from>
    <xdr:to>
      <xdr:col>73</xdr:col>
      <xdr:colOff>76200</xdr:colOff>
      <xdr:row>38</xdr:row>
      <xdr:rowOff>9525</xdr:rowOff>
    </xdr:to>
    <xdr:sp macro="" textlink="">
      <xdr:nvSpPr>
        <xdr:cNvPr id="1066890" name="Line 326">
          <a:extLst>
            <a:ext uri="{FF2B5EF4-FFF2-40B4-BE49-F238E27FC236}">
              <a16:creationId xmlns:a16="http://schemas.microsoft.com/office/drawing/2014/main" id="{00000000-0008-0000-0C00-00008A471000}"/>
            </a:ext>
          </a:extLst>
        </xdr:cNvPr>
        <xdr:cNvSpPr>
          <a:spLocks noChangeShapeType="1"/>
        </xdr:cNvSpPr>
      </xdr:nvSpPr>
      <xdr:spPr bwMode="auto">
        <a:xfrm>
          <a:off x="4943475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66675</xdr:colOff>
      <xdr:row>38</xdr:row>
      <xdr:rowOff>9525</xdr:rowOff>
    </xdr:from>
    <xdr:to>
      <xdr:col>73</xdr:col>
      <xdr:colOff>66675</xdr:colOff>
      <xdr:row>41</xdr:row>
      <xdr:rowOff>19050</xdr:rowOff>
    </xdr:to>
    <xdr:sp macro="" textlink="">
      <xdr:nvSpPr>
        <xdr:cNvPr id="1066891" name="Line 327">
          <a:extLst>
            <a:ext uri="{FF2B5EF4-FFF2-40B4-BE49-F238E27FC236}">
              <a16:creationId xmlns:a16="http://schemas.microsoft.com/office/drawing/2014/main" id="{00000000-0008-0000-0C00-00008B471000}"/>
            </a:ext>
          </a:extLst>
        </xdr:cNvPr>
        <xdr:cNvSpPr>
          <a:spLocks noChangeShapeType="1"/>
        </xdr:cNvSpPr>
      </xdr:nvSpPr>
      <xdr:spPr bwMode="auto">
        <a:xfrm>
          <a:off x="4950142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9525</xdr:colOff>
      <xdr:row>41</xdr:row>
      <xdr:rowOff>0</xdr:rowOff>
    </xdr:from>
    <xdr:to>
      <xdr:col>73</xdr:col>
      <xdr:colOff>66675</xdr:colOff>
      <xdr:row>41</xdr:row>
      <xdr:rowOff>9525</xdr:rowOff>
    </xdr:to>
    <xdr:sp macro="" textlink="">
      <xdr:nvSpPr>
        <xdr:cNvPr id="1066892" name="Line 328">
          <a:extLst>
            <a:ext uri="{FF2B5EF4-FFF2-40B4-BE49-F238E27FC236}">
              <a16:creationId xmlns:a16="http://schemas.microsoft.com/office/drawing/2014/main" id="{00000000-0008-0000-0C00-00008C471000}"/>
            </a:ext>
          </a:extLst>
        </xdr:cNvPr>
        <xdr:cNvSpPr>
          <a:spLocks noChangeShapeType="1"/>
        </xdr:cNvSpPr>
      </xdr:nvSpPr>
      <xdr:spPr bwMode="auto">
        <a:xfrm flipV="1">
          <a:off x="4944427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0</xdr:colOff>
      <xdr:row>38</xdr:row>
      <xdr:rowOff>0</xdr:rowOff>
    </xdr:from>
    <xdr:to>
      <xdr:col>76</xdr:col>
      <xdr:colOff>76200</xdr:colOff>
      <xdr:row>38</xdr:row>
      <xdr:rowOff>9525</xdr:rowOff>
    </xdr:to>
    <xdr:sp macro="" textlink="">
      <xdr:nvSpPr>
        <xdr:cNvPr id="1066893" name="Line 329">
          <a:extLst>
            <a:ext uri="{FF2B5EF4-FFF2-40B4-BE49-F238E27FC236}">
              <a16:creationId xmlns:a16="http://schemas.microsoft.com/office/drawing/2014/main" id="{00000000-0008-0000-0C00-00008D471000}"/>
            </a:ext>
          </a:extLst>
        </xdr:cNvPr>
        <xdr:cNvSpPr>
          <a:spLocks noChangeShapeType="1"/>
        </xdr:cNvSpPr>
      </xdr:nvSpPr>
      <xdr:spPr bwMode="auto">
        <a:xfrm>
          <a:off x="5153025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66675</xdr:colOff>
      <xdr:row>38</xdr:row>
      <xdr:rowOff>9525</xdr:rowOff>
    </xdr:from>
    <xdr:to>
      <xdr:col>76</xdr:col>
      <xdr:colOff>66675</xdr:colOff>
      <xdr:row>41</xdr:row>
      <xdr:rowOff>19050</xdr:rowOff>
    </xdr:to>
    <xdr:sp macro="" textlink="">
      <xdr:nvSpPr>
        <xdr:cNvPr id="1066894" name="Line 330">
          <a:extLst>
            <a:ext uri="{FF2B5EF4-FFF2-40B4-BE49-F238E27FC236}">
              <a16:creationId xmlns:a16="http://schemas.microsoft.com/office/drawing/2014/main" id="{00000000-0008-0000-0C00-00008E471000}"/>
            </a:ext>
          </a:extLst>
        </xdr:cNvPr>
        <xdr:cNvSpPr>
          <a:spLocks noChangeShapeType="1"/>
        </xdr:cNvSpPr>
      </xdr:nvSpPr>
      <xdr:spPr bwMode="auto">
        <a:xfrm>
          <a:off x="5159692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9525</xdr:colOff>
      <xdr:row>41</xdr:row>
      <xdr:rowOff>0</xdr:rowOff>
    </xdr:from>
    <xdr:to>
      <xdr:col>76</xdr:col>
      <xdr:colOff>66675</xdr:colOff>
      <xdr:row>41</xdr:row>
      <xdr:rowOff>9525</xdr:rowOff>
    </xdr:to>
    <xdr:sp macro="" textlink="">
      <xdr:nvSpPr>
        <xdr:cNvPr id="1066895" name="Line 331">
          <a:extLst>
            <a:ext uri="{FF2B5EF4-FFF2-40B4-BE49-F238E27FC236}">
              <a16:creationId xmlns:a16="http://schemas.microsoft.com/office/drawing/2014/main" id="{00000000-0008-0000-0C00-00008F471000}"/>
            </a:ext>
          </a:extLst>
        </xdr:cNvPr>
        <xdr:cNvSpPr>
          <a:spLocks noChangeShapeType="1"/>
        </xdr:cNvSpPr>
      </xdr:nvSpPr>
      <xdr:spPr bwMode="auto">
        <a:xfrm flipV="1">
          <a:off x="5153977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0</xdr:colOff>
      <xdr:row>38</xdr:row>
      <xdr:rowOff>0</xdr:rowOff>
    </xdr:from>
    <xdr:to>
      <xdr:col>76</xdr:col>
      <xdr:colOff>76200</xdr:colOff>
      <xdr:row>38</xdr:row>
      <xdr:rowOff>9525</xdr:rowOff>
    </xdr:to>
    <xdr:sp macro="" textlink="">
      <xdr:nvSpPr>
        <xdr:cNvPr id="1066896" name="Line 332">
          <a:extLst>
            <a:ext uri="{FF2B5EF4-FFF2-40B4-BE49-F238E27FC236}">
              <a16:creationId xmlns:a16="http://schemas.microsoft.com/office/drawing/2014/main" id="{00000000-0008-0000-0C00-000090471000}"/>
            </a:ext>
          </a:extLst>
        </xdr:cNvPr>
        <xdr:cNvSpPr>
          <a:spLocks noChangeShapeType="1"/>
        </xdr:cNvSpPr>
      </xdr:nvSpPr>
      <xdr:spPr bwMode="auto">
        <a:xfrm>
          <a:off x="5153025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66675</xdr:colOff>
      <xdr:row>38</xdr:row>
      <xdr:rowOff>9525</xdr:rowOff>
    </xdr:from>
    <xdr:to>
      <xdr:col>76</xdr:col>
      <xdr:colOff>66675</xdr:colOff>
      <xdr:row>41</xdr:row>
      <xdr:rowOff>19050</xdr:rowOff>
    </xdr:to>
    <xdr:sp macro="" textlink="">
      <xdr:nvSpPr>
        <xdr:cNvPr id="1066897" name="Line 333">
          <a:extLst>
            <a:ext uri="{FF2B5EF4-FFF2-40B4-BE49-F238E27FC236}">
              <a16:creationId xmlns:a16="http://schemas.microsoft.com/office/drawing/2014/main" id="{00000000-0008-0000-0C00-000091471000}"/>
            </a:ext>
          </a:extLst>
        </xdr:cNvPr>
        <xdr:cNvSpPr>
          <a:spLocks noChangeShapeType="1"/>
        </xdr:cNvSpPr>
      </xdr:nvSpPr>
      <xdr:spPr bwMode="auto">
        <a:xfrm>
          <a:off x="5159692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9525</xdr:colOff>
      <xdr:row>41</xdr:row>
      <xdr:rowOff>0</xdr:rowOff>
    </xdr:from>
    <xdr:to>
      <xdr:col>76</xdr:col>
      <xdr:colOff>66675</xdr:colOff>
      <xdr:row>41</xdr:row>
      <xdr:rowOff>9525</xdr:rowOff>
    </xdr:to>
    <xdr:sp macro="" textlink="">
      <xdr:nvSpPr>
        <xdr:cNvPr id="1066898" name="Line 334">
          <a:extLst>
            <a:ext uri="{FF2B5EF4-FFF2-40B4-BE49-F238E27FC236}">
              <a16:creationId xmlns:a16="http://schemas.microsoft.com/office/drawing/2014/main" id="{00000000-0008-0000-0C00-000092471000}"/>
            </a:ext>
          </a:extLst>
        </xdr:cNvPr>
        <xdr:cNvSpPr>
          <a:spLocks noChangeShapeType="1"/>
        </xdr:cNvSpPr>
      </xdr:nvSpPr>
      <xdr:spPr bwMode="auto">
        <a:xfrm flipV="1">
          <a:off x="5153977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76200</xdr:colOff>
      <xdr:row>39</xdr:row>
      <xdr:rowOff>66675</xdr:rowOff>
    </xdr:from>
    <xdr:to>
      <xdr:col>77</xdr:col>
      <xdr:colOff>9525</xdr:colOff>
      <xdr:row>41</xdr:row>
      <xdr:rowOff>19050</xdr:rowOff>
    </xdr:to>
    <xdr:sp macro="" textlink="">
      <xdr:nvSpPr>
        <xdr:cNvPr id="1066899" name="Line 335">
          <a:extLst>
            <a:ext uri="{FF2B5EF4-FFF2-40B4-BE49-F238E27FC236}">
              <a16:creationId xmlns:a16="http://schemas.microsoft.com/office/drawing/2014/main" id="{00000000-0008-0000-0C00-000093471000}"/>
            </a:ext>
          </a:extLst>
        </xdr:cNvPr>
        <xdr:cNvSpPr>
          <a:spLocks noChangeShapeType="1"/>
        </xdr:cNvSpPr>
      </xdr:nvSpPr>
      <xdr:spPr bwMode="auto">
        <a:xfrm>
          <a:off x="51606450" y="77247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76</xdr:col>
      <xdr:colOff>0</xdr:colOff>
      <xdr:row>38</xdr:row>
      <xdr:rowOff>0</xdr:rowOff>
    </xdr:from>
    <xdr:to>
      <xdr:col>76</xdr:col>
      <xdr:colOff>76200</xdr:colOff>
      <xdr:row>38</xdr:row>
      <xdr:rowOff>9525</xdr:rowOff>
    </xdr:to>
    <xdr:sp macro="" textlink="">
      <xdr:nvSpPr>
        <xdr:cNvPr id="1066900" name="Line 336">
          <a:extLst>
            <a:ext uri="{FF2B5EF4-FFF2-40B4-BE49-F238E27FC236}">
              <a16:creationId xmlns:a16="http://schemas.microsoft.com/office/drawing/2014/main" id="{00000000-0008-0000-0C00-000094471000}"/>
            </a:ext>
          </a:extLst>
        </xdr:cNvPr>
        <xdr:cNvSpPr>
          <a:spLocks noChangeShapeType="1"/>
        </xdr:cNvSpPr>
      </xdr:nvSpPr>
      <xdr:spPr bwMode="auto">
        <a:xfrm>
          <a:off x="5153025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66675</xdr:colOff>
      <xdr:row>38</xdr:row>
      <xdr:rowOff>9525</xdr:rowOff>
    </xdr:from>
    <xdr:to>
      <xdr:col>76</xdr:col>
      <xdr:colOff>66675</xdr:colOff>
      <xdr:row>41</xdr:row>
      <xdr:rowOff>19050</xdr:rowOff>
    </xdr:to>
    <xdr:sp macro="" textlink="">
      <xdr:nvSpPr>
        <xdr:cNvPr id="1066901" name="Line 337">
          <a:extLst>
            <a:ext uri="{FF2B5EF4-FFF2-40B4-BE49-F238E27FC236}">
              <a16:creationId xmlns:a16="http://schemas.microsoft.com/office/drawing/2014/main" id="{00000000-0008-0000-0C00-000095471000}"/>
            </a:ext>
          </a:extLst>
        </xdr:cNvPr>
        <xdr:cNvSpPr>
          <a:spLocks noChangeShapeType="1"/>
        </xdr:cNvSpPr>
      </xdr:nvSpPr>
      <xdr:spPr bwMode="auto">
        <a:xfrm>
          <a:off x="5159692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9525</xdr:colOff>
      <xdr:row>41</xdr:row>
      <xdr:rowOff>0</xdr:rowOff>
    </xdr:from>
    <xdr:to>
      <xdr:col>76</xdr:col>
      <xdr:colOff>66675</xdr:colOff>
      <xdr:row>41</xdr:row>
      <xdr:rowOff>9525</xdr:rowOff>
    </xdr:to>
    <xdr:sp macro="" textlink="">
      <xdr:nvSpPr>
        <xdr:cNvPr id="1066902" name="Line 338">
          <a:extLst>
            <a:ext uri="{FF2B5EF4-FFF2-40B4-BE49-F238E27FC236}">
              <a16:creationId xmlns:a16="http://schemas.microsoft.com/office/drawing/2014/main" id="{00000000-0008-0000-0C00-000096471000}"/>
            </a:ext>
          </a:extLst>
        </xdr:cNvPr>
        <xdr:cNvSpPr>
          <a:spLocks noChangeShapeType="1"/>
        </xdr:cNvSpPr>
      </xdr:nvSpPr>
      <xdr:spPr bwMode="auto">
        <a:xfrm flipV="1">
          <a:off x="5153977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76200</xdr:colOff>
      <xdr:row>37</xdr:row>
      <xdr:rowOff>161925</xdr:rowOff>
    </xdr:from>
    <xdr:to>
      <xdr:col>77</xdr:col>
      <xdr:colOff>0</xdr:colOff>
      <xdr:row>39</xdr:row>
      <xdr:rowOff>47625</xdr:rowOff>
    </xdr:to>
    <xdr:sp macro="" textlink="">
      <xdr:nvSpPr>
        <xdr:cNvPr id="1066903" name="Line 339">
          <a:extLst>
            <a:ext uri="{FF2B5EF4-FFF2-40B4-BE49-F238E27FC236}">
              <a16:creationId xmlns:a16="http://schemas.microsoft.com/office/drawing/2014/main" id="{00000000-0008-0000-0C00-000097471000}"/>
            </a:ext>
          </a:extLst>
        </xdr:cNvPr>
        <xdr:cNvSpPr>
          <a:spLocks noChangeShapeType="1"/>
        </xdr:cNvSpPr>
      </xdr:nvSpPr>
      <xdr:spPr bwMode="auto">
        <a:xfrm flipV="1">
          <a:off x="51606450" y="7458075"/>
          <a:ext cx="333375"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73</xdr:col>
      <xdr:colOff>0</xdr:colOff>
      <xdr:row>38</xdr:row>
      <xdr:rowOff>0</xdr:rowOff>
    </xdr:from>
    <xdr:to>
      <xdr:col>73</xdr:col>
      <xdr:colOff>76200</xdr:colOff>
      <xdr:row>38</xdr:row>
      <xdr:rowOff>9525</xdr:rowOff>
    </xdr:to>
    <xdr:sp macro="" textlink="">
      <xdr:nvSpPr>
        <xdr:cNvPr id="1066904" name="Line 340">
          <a:extLst>
            <a:ext uri="{FF2B5EF4-FFF2-40B4-BE49-F238E27FC236}">
              <a16:creationId xmlns:a16="http://schemas.microsoft.com/office/drawing/2014/main" id="{00000000-0008-0000-0C00-000098471000}"/>
            </a:ext>
          </a:extLst>
        </xdr:cNvPr>
        <xdr:cNvSpPr>
          <a:spLocks noChangeShapeType="1"/>
        </xdr:cNvSpPr>
      </xdr:nvSpPr>
      <xdr:spPr bwMode="auto">
        <a:xfrm>
          <a:off x="4943475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66675</xdr:colOff>
      <xdr:row>38</xdr:row>
      <xdr:rowOff>9525</xdr:rowOff>
    </xdr:from>
    <xdr:to>
      <xdr:col>73</xdr:col>
      <xdr:colOff>66675</xdr:colOff>
      <xdr:row>41</xdr:row>
      <xdr:rowOff>19050</xdr:rowOff>
    </xdr:to>
    <xdr:sp macro="" textlink="">
      <xdr:nvSpPr>
        <xdr:cNvPr id="1066905" name="Line 341">
          <a:extLst>
            <a:ext uri="{FF2B5EF4-FFF2-40B4-BE49-F238E27FC236}">
              <a16:creationId xmlns:a16="http://schemas.microsoft.com/office/drawing/2014/main" id="{00000000-0008-0000-0C00-000099471000}"/>
            </a:ext>
          </a:extLst>
        </xdr:cNvPr>
        <xdr:cNvSpPr>
          <a:spLocks noChangeShapeType="1"/>
        </xdr:cNvSpPr>
      </xdr:nvSpPr>
      <xdr:spPr bwMode="auto">
        <a:xfrm>
          <a:off x="4950142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9525</xdr:colOff>
      <xdr:row>41</xdr:row>
      <xdr:rowOff>0</xdr:rowOff>
    </xdr:from>
    <xdr:to>
      <xdr:col>73</xdr:col>
      <xdr:colOff>66675</xdr:colOff>
      <xdr:row>41</xdr:row>
      <xdr:rowOff>9525</xdr:rowOff>
    </xdr:to>
    <xdr:sp macro="" textlink="">
      <xdr:nvSpPr>
        <xdr:cNvPr id="1066906" name="Line 342">
          <a:extLst>
            <a:ext uri="{FF2B5EF4-FFF2-40B4-BE49-F238E27FC236}">
              <a16:creationId xmlns:a16="http://schemas.microsoft.com/office/drawing/2014/main" id="{00000000-0008-0000-0C00-00009A471000}"/>
            </a:ext>
          </a:extLst>
        </xdr:cNvPr>
        <xdr:cNvSpPr>
          <a:spLocks noChangeShapeType="1"/>
        </xdr:cNvSpPr>
      </xdr:nvSpPr>
      <xdr:spPr bwMode="auto">
        <a:xfrm flipV="1">
          <a:off x="4944427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70</xdr:col>
      <xdr:colOff>0</xdr:colOff>
      <xdr:row>44</xdr:row>
      <xdr:rowOff>0</xdr:rowOff>
    </xdr:from>
    <xdr:to>
      <xdr:col>70</xdr:col>
      <xdr:colOff>76200</xdr:colOff>
      <xdr:row>44</xdr:row>
      <xdr:rowOff>9525</xdr:rowOff>
    </xdr:to>
    <xdr:sp macro="" textlink="">
      <xdr:nvSpPr>
        <xdr:cNvPr id="1066907" name="Line 343">
          <a:extLst>
            <a:ext uri="{FF2B5EF4-FFF2-40B4-BE49-F238E27FC236}">
              <a16:creationId xmlns:a16="http://schemas.microsoft.com/office/drawing/2014/main" id="{00000000-0008-0000-0C00-00009B471000}"/>
            </a:ext>
          </a:extLst>
        </xdr:cNvPr>
        <xdr:cNvSpPr>
          <a:spLocks noChangeShapeType="1"/>
        </xdr:cNvSpPr>
      </xdr:nvSpPr>
      <xdr:spPr bwMode="auto">
        <a:xfrm>
          <a:off x="4727257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70</xdr:col>
      <xdr:colOff>57150</xdr:colOff>
      <xdr:row>44</xdr:row>
      <xdr:rowOff>0</xdr:rowOff>
    </xdr:from>
    <xdr:to>
      <xdr:col>70</xdr:col>
      <xdr:colOff>57150</xdr:colOff>
      <xdr:row>47</xdr:row>
      <xdr:rowOff>9525</xdr:rowOff>
    </xdr:to>
    <xdr:sp macro="" textlink="">
      <xdr:nvSpPr>
        <xdr:cNvPr id="1066908" name="Line 344">
          <a:extLst>
            <a:ext uri="{FF2B5EF4-FFF2-40B4-BE49-F238E27FC236}">
              <a16:creationId xmlns:a16="http://schemas.microsoft.com/office/drawing/2014/main" id="{00000000-0008-0000-0C00-00009C471000}"/>
            </a:ext>
          </a:extLst>
        </xdr:cNvPr>
        <xdr:cNvSpPr>
          <a:spLocks noChangeShapeType="1"/>
        </xdr:cNvSpPr>
      </xdr:nvSpPr>
      <xdr:spPr bwMode="auto">
        <a:xfrm flipH="1">
          <a:off x="47329725" y="8562975"/>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70</xdr:col>
      <xdr:colOff>9525</xdr:colOff>
      <xdr:row>47</xdr:row>
      <xdr:rowOff>0</xdr:rowOff>
    </xdr:from>
    <xdr:to>
      <xdr:col>70</xdr:col>
      <xdr:colOff>66675</xdr:colOff>
      <xdr:row>47</xdr:row>
      <xdr:rowOff>9525</xdr:rowOff>
    </xdr:to>
    <xdr:sp macro="" textlink="">
      <xdr:nvSpPr>
        <xdr:cNvPr id="1066909" name="Line 345">
          <a:extLst>
            <a:ext uri="{FF2B5EF4-FFF2-40B4-BE49-F238E27FC236}">
              <a16:creationId xmlns:a16="http://schemas.microsoft.com/office/drawing/2014/main" id="{00000000-0008-0000-0C00-00009D471000}"/>
            </a:ext>
          </a:extLst>
        </xdr:cNvPr>
        <xdr:cNvSpPr>
          <a:spLocks noChangeShapeType="1"/>
        </xdr:cNvSpPr>
      </xdr:nvSpPr>
      <xdr:spPr bwMode="auto">
        <a:xfrm flipV="1">
          <a:off x="47282100"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0</xdr:colOff>
      <xdr:row>44</xdr:row>
      <xdr:rowOff>0</xdr:rowOff>
    </xdr:from>
    <xdr:to>
      <xdr:col>73</xdr:col>
      <xdr:colOff>76200</xdr:colOff>
      <xdr:row>44</xdr:row>
      <xdr:rowOff>9525</xdr:rowOff>
    </xdr:to>
    <xdr:sp macro="" textlink="">
      <xdr:nvSpPr>
        <xdr:cNvPr id="1066910" name="Line 346">
          <a:extLst>
            <a:ext uri="{FF2B5EF4-FFF2-40B4-BE49-F238E27FC236}">
              <a16:creationId xmlns:a16="http://schemas.microsoft.com/office/drawing/2014/main" id="{00000000-0008-0000-0C00-00009E471000}"/>
            </a:ext>
          </a:extLst>
        </xdr:cNvPr>
        <xdr:cNvSpPr>
          <a:spLocks noChangeShapeType="1"/>
        </xdr:cNvSpPr>
      </xdr:nvSpPr>
      <xdr:spPr bwMode="auto">
        <a:xfrm>
          <a:off x="4943475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66675</xdr:colOff>
      <xdr:row>44</xdr:row>
      <xdr:rowOff>9525</xdr:rowOff>
    </xdr:from>
    <xdr:to>
      <xdr:col>73</xdr:col>
      <xdr:colOff>66675</xdr:colOff>
      <xdr:row>47</xdr:row>
      <xdr:rowOff>19050</xdr:rowOff>
    </xdr:to>
    <xdr:sp macro="" textlink="">
      <xdr:nvSpPr>
        <xdr:cNvPr id="1066911" name="Line 347">
          <a:extLst>
            <a:ext uri="{FF2B5EF4-FFF2-40B4-BE49-F238E27FC236}">
              <a16:creationId xmlns:a16="http://schemas.microsoft.com/office/drawing/2014/main" id="{00000000-0008-0000-0C00-00009F471000}"/>
            </a:ext>
          </a:extLst>
        </xdr:cNvPr>
        <xdr:cNvSpPr>
          <a:spLocks noChangeShapeType="1"/>
        </xdr:cNvSpPr>
      </xdr:nvSpPr>
      <xdr:spPr bwMode="auto">
        <a:xfrm>
          <a:off x="49501425"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9525</xdr:colOff>
      <xdr:row>47</xdr:row>
      <xdr:rowOff>0</xdr:rowOff>
    </xdr:from>
    <xdr:to>
      <xdr:col>73</xdr:col>
      <xdr:colOff>66675</xdr:colOff>
      <xdr:row>47</xdr:row>
      <xdr:rowOff>9525</xdr:rowOff>
    </xdr:to>
    <xdr:sp macro="" textlink="">
      <xdr:nvSpPr>
        <xdr:cNvPr id="1066912" name="Line 348">
          <a:extLst>
            <a:ext uri="{FF2B5EF4-FFF2-40B4-BE49-F238E27FC236}">
              <a16:creationId xmlns:a16="http://schemas.microsoft.com/office/drawing/2014/main" id="{00000000-0008-0000-0C00-0000A0471000}"/>
            </a:ext>
          </a:extLst>
        </xdr:cNvPr>
        <xdr:cNvSpPr>
          <a:spLocks noChangeShapeType="1"/>
        </xdr:cNvSpPr>
      </xdr:nvSpPr>
      <xdr:spPr bwMode="auto">
        <a:xfrm flipV="1">
          <a:off x="4944427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0</xdr:colOff>
      <xdr:row>44</xdr:row>
      <xdr:rowOff>0</xdr:rowOff>
    </xdr:from>
    <xdr:to>
      <xdr:col>76</xdr:col>
      <xdr:colOff>76200</xdr:colOff>
      <xdr:row>44</xdr:row>
      <xdr:rowOff>9525</xdr:rowOff>
    </xdr:to>
    <xdr:sp macro="" textlink="">
      <xdr:nvSpPr>
        <xdr:cNvPr id="1066913" name="Line 349">
          <a:extLst>
            <a:ext uri="{FF2B5EF4-FFF2-40B4-BE49-F238E27FC236}">
              <a16:creationId xmlns:a16="http://schemas.microsoft.com/office/drawing/2014/main" id="{00000000-0008-0000-0C00-0000A1471000}"/>
            </a:ext>
          </a:extLst>
        </xdr:cNvPr>
        <xdr:cNvSpPr>
          <a:spLocks noChangeShapeType="1"/>
        </xdr:cNvSpPr>
      </xdr:nvSpPr>
      <xdr:spPr bwMode="auto">
        <a:xfrm>
          <a:off x="5153025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66675</xdr:colOff>
      <xdr:row>44</xdr:row>
      <xdr:rowOff>9525</xdr:rowOff>
    </xdr:from>
    <xdr:to>
      <xdr:col>76</xdr:col>
      <xdr:colOff>66675</xdr:colOff>
      <xdr:row>47</xdr:row>
      <xdr:rowOff>19050</xdr:rowOff>
    </xdr:to>
    <xdr:sp macro="" textlink="">
      <xdr:nvSpPr>
        <xdr:cNvPr id="1066914" name="Line 350">
          <a:extLst>
            <a:ext uri="{FF2B5EF4-FFF2-40B4-BE49-F238E27FC236}">
              <a16:creationId xmlns:a16="http://schemas.microsoft.com/office/drawing/2014/main" id="{00000000-0008-0000-0C00-0000A2471000}"/>
            </a:ext>
          </a:extLst>
        </xdr:cNvPr>
        <xdr:cNvSpPr>
          <a:spLocks noChangeShapeType="1"/>
        </xdr:cNvSpPr>
      </xdr:nvSpPr>
      <xdr:spPr bwMode="auto">
        <a:xfrm>
          <a:off x="51596925"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9525</xdr:colOff>
      <xdr:row>47</xdr:row>
      <xdr:rowOff>0</xdr:rowOff>
    </xdr:from>
    <xdr:to>
      <xdr:col>76</xdr:col>
      <xdr:colOff>66675</xdr:colOff>
      <xdr:row>47</xdr:row>
      <xdr:rowOff>9525</xdr:rowOff>
    </xdr:to>
    <xdr:sp macro="" textlink="">
      <xdr:nvSpPr>
        <xdr:cNvPr id="1066915" name="Line 351">
          <a:extLst>
            <a:ext uri="{FF2B5EF4-FFF2-40B4-BE49-F238E27FC236}">
              <a16:creationId xmlns:a16="http://schemas.microsoft.com/office/drawing/2014/main" id="{00000000-0008-0000-0C00-0000A3471000}"/>
            </a:ext>
          </a:extLst>
        </xdr:cNvPr>
        <xdr:cNvSpPr>
          <a:spLocks noChangeShapeType="1"/>
        </xdr:cNvSpPr>
      </xdr:nvSpPr>
      <xdr:spPr bwMode="auto">
        <a:xfrm flipV="1">
          <a:off x="5153977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0</xdr:colOff>
      <xdr:row>44</xdr:row>
      <xdr:rowOff>0</xdr:rowOff>
    </xdr:from>
    <xdr:to>
      <xdr:col>76</xdr:col>
      <xdr:colOff>76200</xdr:colOff>
      <xdr:row>44</xdr:row>
      <xdr:rowOff>9525</xdr:rowOff>
    </xdr:to>
    <xdr:sp macro="" textlink="">
      <xdr:nvSpPr>
        <xdr:cNvPr id="1066916" name="Line 352">
          <a:extLst>
            <a:ext uri="{FF2B5EF4-FFF2-40B4-BE49-F238E27FC236}">
              <a16:creationId xmlns:a16="http://schemas.microsoft.com/office/drawing/2014/main" id="{00000000-0008-0000-0C00-0000A4471000}"/>
            </a:ext>
          </a:extLst>
        </xdr:cNvPr>
        <xdr:cNvSpPr>
          <a:spLocks noChangeShapeType="1"/>
        </xdr:cNvSpPr>
      </xdr:nvSpPr>
      <xdr:spPr bwMode="auto">
        <a:xfrm>
          <a:off x="5153025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66675</xdr:colOff>
      <xdr:row>44</xdr:row>
      <xdr:rowOff>9525</xdr:rowOff>
    </xdr:from>
    <xdr:to>
      <xdr:col>76</xdr:col>
      <xdr:colOff>66675</xdr:colOff>
      <xdr:row>47</xdr:row>
      <xdr:rowOff>19050</xdr:rowOff>
    </xdr:to>
    <xdr:sp macro="" textlink="">
      <xdr:nvSpPr>
        <xdr:cNvPr id="1066917" name="Line 353">
          <a:extLst>
            <a:ext uri="{FF2B5EF4-FFF2-40B4-BE49-F238E27FC236}">
              <a16:creationId xmlns:a16="http://schemas.microsoft.com/office/drawing/2014/main" id="{00000000-0008-0000-0C00-0000A5471000}"/>
            </a:ext>
          </a:extLst>
        </xdr:cNvPr>
        <xdr:cNvSpPr>
          <a:spLocks noChangeShapeType="1"/>
        </xdr:cNvSpPr>
      </xdr:nvSpPr>
      <xdr:spPr bwMode="auto">
        <a:xfrm>
          <a:off x="51596925"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9525</xdr:colOff>
      <xdr:row>47</xdr:row>
      <xdr:rowOff>0</xdr:rowOff>
    </xdr:from>
    <xdr:to>
      <xdr:col>76</xdr:col>
      <xdr:colOff>66675</xdr:colOff>
      <xdr:row>47</xdr:row>
      <xdr:rowOff>9525</xdr:rowOff>
    </xdr:to>
    <xdr:sp macro="" textlink="">
      <xdr:nvSpPr>
        <xdr:cNvPr id="1066918" name="Line 354">
          <a:extLst>
            <a:ext uri="{FF2B5EF4-FFF2-40B4-BE49-F238E27FC236}">
              <a16:creationId xmlns:a16="http://schemas.microsoft.com/office/drawing/2014/main" id="{00000000-0008-0000-0C00-0000A6471000}"/>
            </a:ext>
          </a:extLst>
        </xdr:cNvPr>
        <xdr:cNvSpPr>
          <a:spLocks noChangeShapeType="1"/>
        </xdr:cNvSpPr>
      </xdr:nvSpPr>
      <xdr:spPr bwMode="auto">
        <a:xfrm flipV="1">
          <a:off x="5153977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66675</xdr:colOff>
      <xdr:row>45</xdr:row>
      <xdr:rowOff>114300</xdr:rowOff>
    </xdr:from>
    <xdr:to>
      <xdr:col>77</xdr:col>
      <xdr:colOff>0</xdr:colOff>
      <xdr:row>47</xdr:row>
      <xdr:rowOff>0</xdr:rowOff>
    </xdr:to>
    <xdr:sp macro="" textlink="">
      <xdr:nvSpPr>
        <xdr:cNvPr id="1066919" name="Line 355">
          <a:extLst>
            <a:ext uri="{FF2B5EF4-FFF2-40B4-BE49-F238E27FC236}">
              <a16:creationId xmlns:a16="http://schemas.microsoft.com/office/drawing/2014/main" id="{00000000-0008-0000-0C00-0000A7471000}"/>
            </a:ext>
          </a:extLst>
        </xdr:cNvPr>
        <xdr:cNvSpPr>
          <a:spLocks noChangeShapeType="1"/>
        </xdr:cNvSpPr>
      </xdr:nvSpPr>
      <xdr:spPr bwMode="auto">
        <a:xfrm>
          <a:off x="51596925" y="8858250"/>
          <a:ext cx="342900" cy="2476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76</xdr:col>
      <xdr:colOff>0</xdr:colOff>
      <xdr:row>44</xdr:row>
      <xdr:rowOff>0</xdr:rowOff>
    </xdr:from>
    <xdr:to>
      <xdr:col>76</xdr:col>
      <xdr:colOff>76200</xdr:colOff>
      <xdr:row>44</xdr:row>
      <xdr:rowOff>9525</xdr:rowOff>
    </xdr:to>
    <xdr:sp macro="" textlink="">
      <xdr:nvSpPr>
        <xdr:cNvPr id="1066920" name="Line 356">
          <a:extLst>
            <a:ext uri="{FF2B5EF4-FFF2-40B4-BE49-F238E27FC236}">
              <a16:creationId xmlns:a16="http://schemas.microsoft.com/office/drawing/2014/main" id="{00000000-0008-0000-0C00-0000A8471000}"/>
            </a:ext>
          </a:extLst>
        </xdr:cNvPr>
        <xdr:cNvSpPr>
          <a:spLocks noChangeShapeType="1"/>
        </xdr:cNvSpPr>
      </xdr:nvSpPr>
      <xdr:spPr bwMode="auto">
        <a:xfrm>
          <a:off x="5153025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9525</xdr:colOff>
      <xdr:row>47</xdr:row>
      <xdr:rowOff>0</xdr:rowOff>
    </xdr:from>
    <xdr:to>
      <xdr:col>76</xdr:col>
      <xdr:colOff>66675</xdr:colOff>
      <xdr:row>47</xdr:row>
      <xdr:rowOff>9525</xdr:rowOff>
    </xdr:to>
    <xdr:sp macro="" textlink="">
      <xdr:nvSpPr>
        <xdr:cNvPr id="1066921" name="Line 358">
          <a:extLst>
            <a:ext uri="{FF2B5EF4-FFF2-40B4-BE49-F238E27FC236}">
              <a16:creationId xmlns:a16="http://schemas.microsoft.com/office/drawing/2014/main" id="{00000000-0008-0000-0C00-0000A9471000}"/>
            </a:ext>
          </a:extLst>
        </xdr:cNvPr>
        <xdr:cNvSpPr>
          <a:spLocks noChangeShapeType="1"/>
        </xdr:cNvSpPr>
      </xdr:nvSpPr>
      <xdr:spPr bwMode="auto">
        <a:xfrm flipV="1">
          <a:off x="5153977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66675</xdr:colOff>
      <xdr:row>43</xdr:row>
      <xdr:rowOff>161925</xdr:rowOff>
    </xdr:from>
    <xdr:to>
      <xdr:col>76</xdr:col>
      <xdr:colOff>400050</xdr:colOff>
      <xdr:row>45</xdr:row>
      <xdr:rowOff>114300</xdr:rowOff>
    </xdr:to>
    <xdr:sp macro="" textlink="">
      <xdr:nvSpPr>
        <xdr:cNvPr id="1066922" name="Line 359">
          <a:extLst>
            <a:ext uri="{FF2B5EF4-FFF2-40B4-BE49-F238E27FC236}">
              <a16:creationId xmlns:a16="http://schemas.microsoft.com/office/drawing/2014/main" id="{00000000-0008-0000-0C00-0000AA471000}"/>
            </a:ext>
          </a:extLst>
        </xdr:cNvPr>
        <xdr:cNvSpPr>
          <a:spLocks noChangeShapeType="1"/>
        </xdr:cNvSpPr>
      </xdr:nvSpPr>
      <xdr:spPr bwMode="auto">
        <a:xfrm flipV="1">
          <a:off x="51596925" y="8543925"/>
          <a:ext cx="333375" cy="3143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73</xdr:col>
      <xdr:colOff>0</xdr:colOff>
      <xdr:row>44</xdr:row>
      <xdr:rowOff>0</xdr:rowOff>
    </xdr:from>
    <xdr:to>
      <xdr:col>73</xdr:col>
      <xdr:colOff>76200</xdr:colOff>
      <xdr:row>44</xdr:row>
      <xdr:rowOff>9525</xdr:rowOff>
    </xdr:to>
    <xdr:sp macro="" textlink="">
      <xdr:nvSpPr>
        <xdr:cNvPr id="1066923" name="Line 360">
          <a:extLst>
            <a:ext uri="{FF2B5EF4-FFF2-40B4-BE49-F238E27FC236}">
              <a16:creationId xmlns:a16="http://schemas.microsoft.com/office/drawing/2014/main" id="{00000000-0008-0000-0C00-0000AB471000}"/>
            </a:ext>
          </a:extLst>
        </xdr:cNvPr>
        <xdr:cNvSpPr>
          <a:spLocks noChangeShapeType="1"/>
        </xdr:cNvSpPr>
      </xdr:nvSpPr>
      <xdr:spPr bwMode="auto">
        <a:xfrm>
          <a:off x="4943475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57150</xdr:colOff>
      <xdr:row>44</xdr:row>
      <xdr:rowOff>9525</xdr:rowOff>
    </xdr:from>
    <xdr:to>
      <xdr:col>73</xdr:col>
      <xdr:colOff>66675</xdr:colOff>
      <xdr:row>47</xdr:row>
      <xdr:rowOff>0</xdr:rowOff>
    </xdr:to>
    <xdr:sp macro="" textlink="">
      <xdr:nvSpPr>
        <xdr:cNvPr id="1066924" name="Line 361">
          <a:extLst>
            <a:ext uri="{FF2B5EF4-FFF2-40B4-BE49-F238E27FC236}">
              <a16:creationId xmlns:a16="http://schemas.microsoft.com/office/drawing/2014/main" id="{00000000-0008-0000-0C00-0000AC471000}"/>
            </a:ext>
          </a:extLst>
        </xdr:cNvPr>
        <xdr:cNvSpPr>
          <a:spLocks noChangeShapeType="1"/>
        </xdr:cNvSpPr>
      </xdr:nvSpPr>
      <xdr:spPr bwMode="auto">
        <a:xfrm flipH="1">
          <a:off x="49491900" y="8572500"/>
          <a:ext cx="9525"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9525</xdr:colOff>
      <xdr:row>47</xdr:row>
      <xdr:rowOff>0</xdr:rowOff>
    </xdr:from>
    <xdr:to>
      <xdr:col>73</xdr:col>
      <xdr:colOff>66675</xdr:colOff>
      <xdr:row>47</xdr:row>
      <xdr:rowOff>9525</xdr:rowOff>
    </xdr:to>
    <xdr:sp macro="" textlink="">
      <xdr:nvSpPr>
        <xdr:cNvPr id="1066925" name="Line 362">
          <a:extLst>
            <a:ext uri="{FF2B5EF4-FFF2-40B4-BE49-F238E27FC236}">
              <a16:creationId xmlns:a16="http://schemas.microsoft.com/office/drawing/2014/main" id="{00000000-0008-0000-0C00-0000AD471000}"/>
            </a:ext>
          </a:extLst>
        </xdr:cNvPr>
        <xdr:cNvSpPr>
          <a:spLocks noChangeShapeType="1"/>
        </xdr:cNvSpPr>
      </xdr:nvSpPr>
      <xdr:spPr bwMode="auto">
        <a:xfrm flipV="1">
          <a:off x="4944427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70</xdr:col>
      <xdr:colOff>66675</xdr:colOff>
      <xdr:row>45</xdr:row>
      <xdr:rowOff>85725</xdr:rowOff>
    </xdr:from>
    <xdr:to>
      <xdr:col>71</xdr:col>
      <xdr:colOff>9525</xdr:colOff>
      <xdr:row>50</xdr:row>
      <xdr:rowOff>19050</xdr:rowOff>
    </xdr:to>
    <xdr:sp macro="" textlink="">
      <xdr:nvSpPr>
        <xdr:cNvPr id="1066926" name="Line 363">
          <a:extLst>
            <a:ext uri="{FF2B5EF4-FFF2-40B4-BE49-F238E27FC236}">
              <a16:creationId xmlns:a16="http://schemas.microsoft.com/office/drawing/2014/main" id="{00000000-0008-0000-0C00-0000AE471000}"/>
            </a:ext>
          </a:extLst>
        </xdr:cNvPr>
        <xdr:cNvSpPr>
          <a:spLocks noChangeShapeType="1"/>
        </xdr:cNvSpPr>
      </xdr:nvSpPr>
      <xdr:spPr bwMode="auto">
        <a:xfrm>
          <a:off x="47339250" y="8829675"/>
          <a:ext cx="39052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73</xdr:col>
      <xdr:colOff>57150</xdr:colOff>
      <xdr:row>45</xdr:row>
      <xdr:rowOff>76200</xdr:rowOff>
    </xdr:from>
    <xdr:to>
      <xdr:col>73</xdr:col>
      <xdr:colOff>400050</xdr:colOff>
      <xdr:row>50</xdr:row>
      <xdr:rowOff>28575</xdr:rowOff>
    </xdr:to>
    <xdr:sp macro="" textlink="">
      <xdr:nvSpPr>
        <xdr:cNvPr id="1066927" name="Line 364">
          <a:extLst>
            <a:ext uri="{FF2B5EF4-FFF2-40B4-BE49-F238E27FC236}">
              <a16:creationId xmlns:a16="http://schemas.microsoft.com/office/drawing/2014/main" id="{00000000-0008-0000-0C00-0000AF471000}"/>
            </a:ext>
          </a:extLst>
        </xdr:cNvPr>
        <xdr:cNvSpPr>
          <a:spLocks noChangeShapeType="1"/>
        </xdr:cNvSpPr>
      </xdr:nvSpPr>
      <xdr:spPr bwMode="auto">
        <a:xfrm>
          <a:off x="49491900" y="8820150"/>
          <a:ext cx="342900" cy="8572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70</xdr:col>
      <xdr:colOff>0</xdr:colOff>
      <xdr:row>20</xdr:row>
      <xdr:rowOff>0</xdr:rowOff>
    </xdr:from>
    <xdr:to>
      <xdr:col>70</xdr:col>
      <xdr:colOff>76200</xdr:colOff>
      <xdr:row>20</xdr:row>
      <xdr:rowOff>9525</xdr:rowOff>
    </xdr:to>
    <xdr:sp macro="" textlink="">
      <xdr:nvSpPr>
        <xdr:cNvPr id="1066928" name="Line 365">
          <a:extLst>
            <a:ext uri="{FF2B5EF4-FFF2-40B4-BE49-F238E27FC236}">
              <a16:creationId xmlns:a16="http://schemas.microsoft.com/office/drawing/2014/main" id="{00000000-0008-0000-0C00-0000B0471000}"/>
            </a:ext>
          </a:extLst>
        </xdr:cNvPr>
        <xdr:cNvSpPr>
          <a:spLocks noChangeShapeType="1"/>
        </xdr:cNvSpPr>
      </xdr:nvSpPr>
      <xdr:spPr bwMode="auto">
        <a:xfrm>
          <a:off x="472725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70</xdr:col>
      <xdr:colOff>66675</xdr:colOff>
      <xdr:row>20</xdr:row>
      <xdr:rowOff>9525</xdr:rowOff>
    </xdr:from>
    <xdr:to>
      <xdr:col>70</xdr:col>
      <xdr:colOff>66675</xdr:colOff>
      <xdr:row>23</xdr:row>
      <xdr:rowOff>19050</xdr:rowOff>
    </xdr:to>
    <xdr:sp macro="" textlink="">
      <xdr:nvSpPr>
        <xdr:cNvPr id="1066929" name="Line 366">
          <a:extLst>
            <a:ext uri="{FF2B5EF4-FFF2-40B4-BE49-F238E27FC236}">
              <a16:creationId xmlns:a16="http://schemas.microsoft.com/office/drawing/2014/main" id="{00000000-0008-0000-0C00-0000B1471000}"/>
            </a:ext>
          </a:extLst>
        </xdr:cNvPr>
        <xdr:cNvSpPr>
          <a:spLocks noChangeShapeType="1"/>
        </xdr:cNvSpPr>
      </xdr:nvSpPr>
      <xdr:spPr bwMode="auto">
        <a:xfrm>
          <a:off x="4733925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70</xdr:col>
      <xdr:colOff>9525</xdr:colOff>
      <xdr:row>23</xdr:row>
      <xdr:rowOff>0</xdr:rowOff>
    </xdr:from>
    <xdr:to>
      <xdr:col>70</xdr:col>
      <xdr:colOff>66675</xdr:colOff>
      <xdr:row>23</xdr:row>
      <xdr:rowOff>9525</xdr:rowOff>
    </xdr:to>
    <xdr:sp macro="" textlink="">
      <xdr:nvSpPr>
        <xdr:cNvPr id="1066930" name="Line 367">
          <a:extLst>
            <a:ext uri="{FF2B5EF4-FFF2-40B4-BE49-F238E27FC236}">
              <a16:creationId xmlns:a16="http://schemas.microsoft.com/office/drawing/2014/main" id="{00000000-0008-0000-0C00-0000B2471000}"/>
            </a:ext>
          </a:extLst>
        </xdr:cNvPr>
        <xdr:cNvSpPr>
          <a:spLocks noChangeShapeType="1"/>
        </xdr:cNvSpPr>
      </xdr:nvSpPr>
      <xdr:spPr bwMode="auto">
        <a:xfrm flipV="1">
          <a:off x="4728210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0</xdr:colOff>
      <xdr:row>20</xdr:row>
      <xdr:rowOff>0</xdr:rowOff>
    </xdr:from>
    <xdr:to>
      <xdr:col>73</xdr:col>
      <xdr:colOff>76200</xdr:colOff>
      <xdr:row>20</xdr:row>
      <xdr:rowOff>9525</xdr:rowOff>
    </xdr:to>
    <xdr:sp macro="" textlink="">
      <xdr:nvSpPr>
        <xdr:cNvPr id="1066931" name="Line 368">
          <a:extLst>
            <a:ext uri="{FF2B5EF4-FFF2-40B4-BE49-F238E27FC236}">
              <a16:creationId xmlns:a16="http://schemas.microsoft.com/office/drawing/2014/main" id="{00000000-0008-0000-0C00-0000B3471000}"/>
            </a:ext>
          </a:extLst>
        </xdr:cNvPr>
        <xdr:cNvSpPr>
          <a:spLocks noChangeShapeType="1"/>
        </xdr:cNvSpPr>
      </xdr:nvSpPr>
      <xdr:spPr bwMode="auto">
        <a:xfrm>
          <a:off x="4943475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9525</xdr:colOff>
      <xdr:row>23</xdr:row>
      <xdr:rowOff>0</xdr:rowOff>
    </xdr:from>
    <xdr:to>
      <xdr:col>73</xdr:col>
      <xdr:colOff>66675</xdr:colOff>
      <xdr:row>23</xdr:row>
      <xdr:rowOff>9525</xdr:rowOff>
    </xdr:to>
    <xdr:sp macro="" textlink="">
      <xdr:nvSpPr>
        <xdr:cNvPr id="1066932" name="Line 370">
          <a:extLst>
            <a:ext uri="{FF2B5EF4-FFF2-40B4-BE49-F238E27FC236}">
              <a16:creationId xmlns:a16="http://schemas.microsoft.com/office/drawing/2014/main" id="{00000000-0008-0000-0C00-0000B4471000}"/>
            </a:ext>
          </a:extLst>
        </xdr:cNvPr>
        <xdr:cNvSpPr>
          <a:spLocks noChangeShapeType="1"/>
        </xdr:cNvSpPr>
      </xdr:nvSpPr>
      <xdr:spPr bwMode="auto">
        <a:xfrm flipV="1">
          <a:off x="494442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0</xdr:colOff>
      <xdr:row>20</xdr:row>
      <xdr:rowOff>0</xdr:rowOff>
    </xdr:from>
    <xdr:to>
      <xdr:col>76</xdr:col>
      <xdr:colOff>76200</xdr:colOff>
      <xdr:row>20</xdr:row>
      <xdr:rowOff>9525</xdr:rowOff>
    </xdr:to>
    <xdr:sp macro="" textlink="">
      <xdr:nvSpPr>
        <xdr:cNvPr id="1066933" name="Line 371">
          <a:extLst>
            <a:ext uri="{FF2B5EF4-FFF2-40B4-BE49-F238E27FC236}">
              <a16:creationId xmlns:a16="http://schemas.microsoft.com/office/drawing/2014/main" id="{00000000-0008-0000-0C00-0000B5471000}"/>
            </a:ext>
          </a:extLst>
        </xdr:cNvPr>
        <xdr:cNvSpPr>
          <a:spLocks noChangeShapeType="1"/>
        </xdr:cNvSpPr>
      </xdr:nvSpPr>
      <xdr:spPr bwMode="auto">
        <a:xfrm>
          <a:off x="5153025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66675</xdr:colOff>
      <xdr:row>20</xdr:row>
      <xdr:rowOff>9525</xdr:rowOff>
    </xdr:from>
    <xdr:to>
      <xdr:col>76</xdr:col>
      <xdr:colOff>66675</xdr:colOff>
      <xdr:row>23</xdr:row>
      <xdr:rowOff>19050</xdr:rowOff>
    </xdr:to>
    <xdr:sp macro="" textlink="">
      <xdr:nvSpPr>
        <xdr:cNvPr id="1066934" name="Line 372">
          <a:extLst>
            <a:ext uri="{FF2B5EF4-FFF2-40B4-BE49-F238E27FC236}">
              <a16:creationId xmlns:a16="http://schemas.microsoft.com/office/drawing/2014/main" id="{00000000-0008-0000-0C00-0000B6471000}"/>
            </a:ext>
          </a:extLst>
        </xdr:cNvPr>
        <xdr:cNvSpPr>
          <a:spLocks noChangeShapeType="1"/>
        </xdr:cNvSpPr>
      </xdr:nvSpPr>
      <xdr:spPr bwMode="auto">
        <a:xfrm>
          <a:off x="5159692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9525</xdr:colOff>
      <xdr:row>23</xdr:row>
      <xdr:rowOff>0</xdr:rowOff>
    </xdr:from>
    <xdr:to>
      <xdr:col>76</xdr:col>
      <xdr:colOff>66675</xdr:colOff>
      <xdr:row>23</xdr:row>
      <xdr:rowOff>9525</xdr:rowOff>
    </xdr:to>
    <xdr:sp macro="" textlink="">
      <xdr:nvSpPr>
        <xdr:cNvPr id="1066935" name="Line 373">
          <a:extLst>
            <a:ext uri="{FF2B5EF4-FFF2-40B4-BE49-F238E27FC236}">
              <a16:creationId xmlns:a16="http://schemas.microsoft.com/office/drawing/2014/main" id="{00000000-0008-0000-0C00-0000B7471000}"/>
            </a:ext>
          </a:extLst>
        </xdr:cNvPr>
        <xdr:cNvSpPr>
          <a:spLocks noChangeShapeType="1"/>
        </xdr:cNvSpPr>
      </xdr:nvSpPr>
      <xdr:spPr bwMode="auto">
        <a:xfrm flipV="1">
          <a:off x="515397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0</xdr:colOff>
      <xdr:row>20</xdr:row>
      <xdr:rowOff>0</xdr:rowOff>
    </xdr:from>
    <xdr:to>
      <xdr:col>76</xdr:col>
      <xdr:colOff>76200</xdr:colOff>
      <xdr:row>20</xdr:row>
      <xdr:rowOff>9525</xdr:rowOff>
    </xdr:to>
    <xdr:sp macro="" textlink="">
      <xdr:nvSpPr>
        <xdr:cNvPr id="1066936" name="Line 374">
          <a:extLst>
            <a:ext uri="{FF2B5EF4-FFF2-40B4-BE49-F238E27FC236}">
              <a16:creationId xmlns:a16="http://schemas.microsoft.com/office/drawing/2014/main" id="{00000000-0008-0000-0C00-0000B8471000}"/>
            </a:ext>
          </a:extLst>
        </xdr:cNvPr>
        <xdr:cNvSpPr>
          <a:spLocks noChangeShapeType="1"/>
        </xdr:cNvSpPr>
      </xdr:nvSpPr>
      <xdr:spPr bwMode="auto">
        <a:xfrm>
          <a:off x="5153025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66675</xdr:colOff>
      <xdr:row>20</xdr:row>
      <xdr:rowOff>9525</xdr:rowOff>
    </xdr:from>
    <xdr:to>
      <xdr:col>76</xdr:col>
      <xdr:colOff>66675</xdr:colOff>
      <xdr:row>23</xdr:row>
      <xdr:rowOff>19050</xdr:rowOff>
    </xdr:to>
    <xdr:sp macro="" textlink="">
      <xdr:nvSpPr>
        <xdr:cNvPr id="1066937" name="Line 375">
          <a:extLst>
            <a:ext uri="{FF2B5EF4-FFF2-40B4-BE49-F238E27FC236}">
              <a16:creationId xmlns:a16="http://schemas.microsoft.com/office/drawing/2014/main" id="{00000000-0008-0000-0C00-0000B9471000}"/>
            </a:ext>
          </a:extLst>
        </xdr:cNvPr>
        <xdr:cNvSpPr>
          <a:spLocks noChangeShapeType="1"/>
        </xdr:cNvSpPr>
      </xdr:nvSpPr>
      <xdr:spPr bwMode="auto">
        <a:xfrm>
          <a:off x="5159692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9525</xdr:colOff>
      <xdr:row>23</xdr:row>
      <xdr:rowOff>0</xdr:rowOff>
    </xdr:from>
    <xdr:to>
      <xdr:col>76</xdr:col>
      <xdr:colOff>66675</xdr:colOff>
      <xdr:row>23</xdr:row>
      <xdr:rowOff>9525</xdr:rowOff>
    </xdr:to>
    <xdr:sp macro="" textlink="">
      <xdr:nvSpPr>
        <xdr:cNvPr id="1066938" name="Line 376">
          <a:extLst>
            <a:ext uri="{FF2B5EF4-FFF2-40B4-BE49-F238E27FC236}">
              <a16:creationId xmlns:a16="http://schemas.microsoft.com/office/drawing/2014/main" id="{00000000-0008-0000-0C00-0000BA471000}"/>
            </a:ext>
          </a:extLst>
        </xdr:cNvPr>
        <xdr:cNvSpPr>
          <a:spLocks noChangeShapeType="1"/>
        </xdr:cNvSpPr>
      </xdr:nvSpPr>
      <xdr:spPr bwMode="auto">
        <a:xfrm flipV="1">
          <a:off x="515397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76200</xdr:colOff>
      <xdr:row>21</xdr:row>
      <xdr:rowOff>66675</xdr:rowOff>
    </xdr:from>
    <xdr:to>
      <xdr:col>77</xdr:col>
      <xdr:colOff>9525</xdr:colOff>
      <xdr:row>23</xdr:row>
      <xdr:rowOff>19050</xdr:rowOff>
    </xdr:to>
    <xdr:sp macro="" textlink="">
      <xdr:nvSpPr>
        <xdr:cNvPr id="1066939" name="Line 377">
          <a:extLst>
            <a:ext uri="{FF2B5EF4-FFF2-40B4-BE49-F238E27FC236}">
              <a16:creationId xmlns:a16="http://schemas.microsoft.com/office/drawing/2014/main" id="{00000000-0008-0000-0C00-0000BB471000}"/>
            </a:ext>
          </a:extLst>
        </xdr:cNvPr>
        <xdr:cNvSpPr>
          <a:spLocks noChangeShapeType="1"/>
        </xdr:cNvSpPr>
      </xdr:nvSpPr>
      <xdr:spPr bwMode="auto">
        <a:xfrm>
          <a:off x="51606450" y="44672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76</xdr:col>
      <xdr:colOff>0</xdr:colOff>
      <xdr:row>20</xdr:row>
      <xdr:rowOff>0</xdr:rowOff>
    </xdr:from>
    <xdr:to>
      <xdr:col>76</xdr:col>
      <xdr:colOff>76200</xdr:colOff>
      <xdr:row>20</xdr:row>
      <xdr:rowOff>9525</xdr:rowOff>
    </xdr:to>
    <xdr:sp macro="" textlink="">
      <xdr:nvSpPr>
        <xdr:cNvPr id="1066940" name="Line 378">
          <a:extLst>
            <a:ext uri="{FF2B5EF4-FFF2-40B4-BE49-F238E27FC236}">
              <a16:creationId xmlns:a16="http://schemas.microsoft.com/office/drawing/2014/main" id="{00000000-0008-0000-0C00-0000BC471000}"/>
            </a:ext>
          </a:extLst>
        </xdr:cNvPr>
        <xdr:cNvSpPr>
          <a:spLocks noChangeShapeType="1"/>
        </xdr:cNvSpPr>
      </xdr:nvSpPr>
      <xdr:spPr bwMode="auto">
        <a:xfrm>
          <a:off x="5153025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66675</xdr:colOff>
      <xdr:row>20</xdr:row>
      <xdr:rowOff>9525</xdr:rowOff>
    </xdr:from>
    <xdr:to>
      <xdr:col>76</xdr:col>
      <xdr:colOff>66675</xdr:colOff>
      <xdr:row>23</xdr:row>
      <xdr:rowOff>19050</xdr:rowOff>
    </xdr:to>
    <xdr:sp macro="" textlink="">
      <xdr:nvSpPr>
        <xdr:cNvPr id="1066941" name="Line 379">
          <a:extLst>
            <a:ext uri="{FF2B5EF4-FFF2-40B4-BE49-F238E27FC236}">
              <a16:creationId xmlns:a16="http://schemas.microsoft.com/office/drawing/2014/main" id="{00000000-0008-0000-0C00-0000BD471000}"/>
            </a:ext>
          </a:extLst>
        </xdr:cNvPr>
        <xdr:cNvSpPr>
          <a:spLocks noChangeShapeType="1"/>
        </xdr:cNvSpPr>
      </xdr:nvSpPr>
      <xdr:spPr bwMode="auto">
        <a:xfrm>
          <a:off x="5159692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9525</xdr:colOff>
      <xdr:row>23</xdr:row>
      <xdr:rowOff>0</xdr:rowOff>
    </xdr:from>
    <xdr:to>
      <xdr:col>76</xdr:col>
      <xdr:colOff>66675</xdr:colOff>
      <xdr:row>23</xdr:row>
      <xdr:rowOff>9525</xdr:rowOff>
    </xdr:to>
    <xdr:sp macro="" textlink="">
      <xdr:nvSpPr>
        <xdr:cNvPr id="1066942" name="Line 380">
          <a:extLst>
            <a:ext uri="{FF2B5EF4-FFF2-40B4-BE49-F238E27FC236}">
              <a16:creationId xmlns:a16="http://schemas.microsoft.com/office/drawing/2014/main" id="{00000000-0008-0000-0C00-0000BE471000}"/>
            </a:ext>
          </a:extLst>
        </xdr:cNvPr>
        <xdr:cNvSpPr>
          <a:spLocks noChangeShapeType="1"/>
        </xdr:cNvSpPr>
      </xdr:nvSpPr>
      <xdr:spPr bwMode="auto">
        <a:xfrm flipV="1">
          <a:off x="515397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0</xdr:colOff>
      <xdr:row>20</xdr:row>
      <xdr:rowOff>0</xdr:rowOff>
    </xdr:from>
    <xdr:to>
      <xdr:col>73</xdr:col>
      <xdr:colOff>76200</xdr:colOff>
      <xdr:row>20</xdr:row>
      <xdr:rowOff>9525</xdr:rowOff>
    </xdr:to>
    <xdr:sp macro="" textlink="">
      <xdr:nvSpPr>
        <xdr:cNvPr id="1066943" name="Line 382">
          <a:extLst>
            <a:ext uri="{FF2B5EF4-FFF2-40B4-BE49-F238E27FC236}">
              <a16:creationId xmlns:a16="http://schemas.microsoft.com/office/drawing/2014/main" id="{00000000-0008-0000-0C00-0000BF471000}"/>
            </a:ext>
          </a:extLst>
        </xdr:cNvPr>
        <xdr:cNvSpPr>
          <a:spLocks noChangeShapeType="1"/>
        </xdr:cNvSpPr>
      </xdr:nvSpPr>
      <xdr:spPr bwMode="auto">
        <a:xfrm>
          <a:off x="4943475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9525</xdr:colOff>
      <xdr:row>23</xdr:row>
      <xdr:rowOff>0</xdr:rowOff>
    </xdr:from>
    <xdr:to>
      <xdr:col>73</xdr:col>
      <xdr:colOff>66675</xdr:colOff>
      <xdr:row>23</xdr:row>
      <xdr:rowOff>9525</xdr:rowOff>
    </xdr:to>
    <xdr:sp macro="" textlink="">
      <xdr:nvSpPr>
        <xdr:cNvPr id="1066944" name="Line 384">
          <a:extLst>
            <a:ext uri="{FF2B5EF4-FFF2-40B4-BE49-F238E27FC236}">
              <a16:creationId xmlns:a16="http://schemas.microsoft.com/office/drawing/2014/main" id="{00000000-0008-0000-0C00-0000C0471000}"/>
            </a:ext>
          </a:extLst>
        </xdr:cNvPr>
        <xdr:cNvSpPr>
          <a:spLocks noChangeShapeType="1"/>
        </xdr:cNvSpPr>
      </xdr:nvSpPr>
      <xdr:spPr bwMode="auto">
        <a:xfrm flipV="1">
          <a:off x="494442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70</xdr:col>
      <xdr:colOff>66675</xdr:colOff>
      <xdr:row>22</xdr:row>
      <xdr:rowOff>142875</xdr:rowOff>
    </xdr:from>
    <xdr:to>
      <xdr:col>70</xdr:col>
      <xdr:colOff>438150</xdr:colOff>
      <xdr:row>27</xdr:row>
      <xdr:rowOff>76200</xdr:rowOff>
    </xdr:to>
    <xdr:sp macro="" textlink="">
      <xdr:nvSpPr>
        <xdr:cNvPr id="1066945" name="Line 386">
          <a:extLst>
            <a:ext uri="{FF2B5EF4-FFF2-40B4-BE49-F238E27FC236}">
              <a16:creationId xmlns:a16="http://schemas.microsoft.com/office/drawing/2014/main" id="{00000000-0008-0000-0C00-0000C1471000}"/>
            </a:ext>
          </a:extLst>
        </xdr:cNvPr>
        <xdr:cNvSpPr>
          <a:spLocks noChangeShapeType="1"/>
        </xdr:cNvSpPr>
      </xdr:nvSpPr>
      <xdr:spPr bwMode="auto">
        <a:xfrm flipV="1">
          <a:off x="47339250" y="4724400"/>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70</xdr:col>
      <xdr:colOff>66675</xdr:colOff>
      <xdr:row>27</xdr:row>
      <xdr:rowOff>95250</xdr:rowOff>
    </xdr:from>
    <xdr:to>
      <xdr:col>71</xdr:col>
      <xdr:colOff>0</xdr:colOff>
      <xdr:row>31</xdr:row>
      <xdr:rowOff>171450</xdr:rowOff>
    </xdr:to>
    <xdr:sp macro="" textlink="">
      <xdr:nvSpPr>
        <xdr:cNvPr id="1066946" name="Line 387">
          <a:extLst>
            <a:ext uri="{FF2B5EF4-FFF2-40B4-BE49-F238E27FC236}">
              <a16:creationId xmlns:a16="http://schemas.microsoft.com/office/drawing/2014/main" id="{00000000-0008-0000-0C00-0000C2471000}"/>
            </a:ext>
          </a:extLst>
        </xdr:cNvPr>
        <xdr:cNvSpPr>
          <a:spLocks noChangeShapeType="1"/>
        </xdr:cNvSpPr>
      </xdr:nvSpPr>
      <xdr:spPr bwMode="auto">
        <a:xfrm>
          <a:off x="47339250" y="5581650"/>
          <a:ext cx="3810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70</xdr:col>
      <xdr:colOff>66675</xdr:colOff>
      <xdr:row>28</xdr:row>
      <xdr:rowOff>161925</xdr:rowOff>
    </xdr:from>
    <xdr:to>
      <xdr:col>70</xdr:col>
      <xdr:colOff>438150</xdr:colOff>
      <xdr:row>33</xdr:row>
      <xdr:rowOff>95250</xdr:rowOff>
    </xdr:to>
    <xdr:sp macro="" textlink="">
      <xdr:nvSpPr>
        <xdr:cNvPr id="1066947" name="Line 388">
          <a:extLst>
            <a:ext uri="{FF2B5EF4-FFF2-40B4-BE49-F238E27FC236}">
              <a16:creationId xmlns:a16="http://schemas.microsoft.com/office/drawing/2014/main" id="{00000000-0008-0000-0C00-0000C3471000}"/>
            </a:ext>
          </a:extLst>
        </xdr:cNvPr>
        <xdr:cNvSpPr>
          <a:spLocks noChangeShapeType="1"/>
        </xdr:cNvSpPr>
      </xdr:nvSpPr>
      <xdr:spPr bwMode="auto">
        <a:xfrm flipV="1">
          <a:off x="47339250" y="5829300"/>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70</xdr:col>
      <xdr:colOff>66675</xdr:colOff>
      <xdr:row>33</xdr:row>
      <xdr:rowOff>95250</xdr:rowOff>
    </xdr:from>
    <xdr:to>
      <xdr:col>71</xdr:col>
      <xdr:colOff>0</xdr:colOff>
      <xdr:row>37</xdr:row>
      <xdr:rowOff>171450</xdr:rowOff>
    </xdr:to>
    <xdr:sp macro="" textlink="">
      <xdr:nvSpPr>
        <xdr:cNvPr id="1066948" name="Line 389">
          <a:extLst>
            <a:ext uri="{FF2B5EF4-FFF2-40B4-BE49-F238E27FC236}">
              <a16:creationId xmlns:a16="http://schemas.microsoft.com/office/drawing/2014/main" id="{00000000-0008-0000-0C00-0000C4471000}"/>
            </a:ext>
          </a:extLst>
        </xdr:cNvPr>
        <xdr:cNvSpPr>
          <a:spLocks noChangeShapeType="1"/>
        </xdr:cNvSpPr>
      </xdr:nvSpPr>
      <xdr:spPr bwMode="auto">
        <a:xfrm>
          <a:off x="47339250" y="6667500"/>
          <a:ext cx="3810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70</xdr:col>
      <xdr:colOff>66675</xdr:colOff>
      <xdr:row>39</xdr:row>
      <xdr:rowOff>57150</xdr:rowOff>
    </xdr:from>
    <xdr:to>
      <xdr:col>71</xdr:col>
      <xdr:colOff>0</xdr:colOff>
      <xdr:row>44</xdr:row>
      <xdr:rowOff>19050</xdr:rowOff>
    </xdr:to>
    <xdr:sp macro="" textlink="">
      <xdr:nvSpPr>
        <xdr:cNvPr id="1066949" name="Line 390">
          <a:extLst>
            <a:ext uri="{FF2B5EF4-FFF2-40B4-BE49-F238E27FC236}">
              <a16:creationId xmlns:a16="http://schemas.microsoft.com/office/drawing/2014/main" id="{00000000-0008-0000-0C00-0000C5471000}"/>
            </a:ext>
          </a:extLst>
        </xdr:cNvPr>
        <xdr:cNvSpPr>
          <a:spLocks noChangeShapeType="1"/>
        </xdr:cNvSpPr>
      </xdr:nvSpPr>
      <xdr:spPr bwMode="auto">
        <a:xfrm>
          <a:off x="47339250" y="7715250"/>
          <a:ext cx="38100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70</xdr:col>
      <xdr:colOff>66675</xdr:colOff>
      <xdr:row>34</xdr:row>
      <xdr:rowOff>152400</xdr:rowOff>
    </xdr:from>
    <xdr:to>
      <xdr:col>70</xdr:col>
      <xdr:colOff>438150</xdr:colOff>
      <xdr:row>39</xdr:row>
      <xdr:rowOff>85725</xdr:rowOff>
    </xdr:to>
    <xdr:sp macro="" textlink="">
      <xdr:nvSpPr>
        <xdr:cNvPr id="1066950" name="Line 391">
          <a:extLst>
            <a:ext uri="{FF2B5EF4-FFF2-40B4-BE49-F238E27FC236}">
              <a16:creationId xmlns:a16="http://schemas.microsoft.com/office/drawing/2014/main" id="{00000000-0008-0000-0C00-0000C6471000}"/>
            </a:ext>
          </a:extLst>
        </xdr:cNvPr>
        <xdr:cNvSpPr>
          <a:spLocks noChangeShapeType="1"/>
        </xdr:cNvSpPr>
      </xdr:nvSpPr>
      <xdr:spPr bwMode="auto">
        <a:xfrm flipV="1">
          <a:off x="47339250" y="6905625"/>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70</xdr:col>
      <xdr:colOff>66675</xdr:colOff>
      <xdr:row>40</xdr:row>
      <xdr:rowOff>152400</xdr:rowOff>
    </xdr:from>
    <xdr:to>
      <xdr:col>71</xdr:col>
      <xdr:colOff>0</xdr:colOff>
      <xdr:row>45</xdr:row>
      <xdr:rowOff>76200</xdr:rowOff>
    </xdr:to>
    <xdr:sp macro="" textlink="">
      <xdr:nvSpPr>
        <xdr:cNvPr id="1066951" name="Line 392">
          <a:extLst>
            <a:ext uri="{FF2B5EF4-FFF2-40B4-BE49-F238E27FC236}">
              <a16:creationId xmlns:a16="http://schemas.microsoft.com/office/drawing/2014/main" id="{00000000-0008-0000-0C00-0000C7471000}"/>
            </a:ext>
          </a:extLst>
        </xdr:cNvPr>
        <xdr:cNvSpPr>
          <a:spLocks noChangeShapeType="1"/>
        </xdr:cNvSpPr>
      </xdr:nvSpPr>
      <xdr:spPr bwMode="auto">
        <a:xfrm flipV="1">
          <a:off x="47339250" y="7991475"/>
          <a:ext cx="381000" cy="8286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73</xdr:col>
      <xdr:colOff>76200</xdr:colOff>
      <xdr:row>23</xdr:row>
      <xdr:rowOff>0</xdr:rowOff>
    </xdr:from>
    <xdr:to>
      <xdr:col>74</xdr:col>
      <xdr:colOff>0</xdr:colOff>
      <xdr:row>27</xdr:row>
      <xdr:rowOff>66675</xdr:rowOff>
    </xdr:to>
    <xdr:sp macro="" textlink="">
      <xdr:nvSpPr>
        <xdr:cNvPr id="1066952" name="Line 393">
          <a:extLst>
            <a:ext uri="{FF2B5EF4-FFF2-40B4-BE49-F238E27FC236}">
              <a16:creationId xmlns:a16="http://schemas.microsoft.com/office/drawing/2014/main" id="{00000000-0008-0000-0C00-0000C8471000}"/>
            </a:ext>
          </a:extLst>
        </xdr:cNvPr>
        <xdr:cNvSpPr>
          <a:spLocks noChangeShapeType="1"/>
        </xdr:cNvSpPr>
      </xdr:nvSpPr>
      <xdr:spPr bwMode="auto">
        <a:xfrm flipV="1">
          <a:off x="49510950" y="4762500"/>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73</xdr:col>
      <xdr:colOff>76200</xdr:colOff>
      <xdr:row>28</xdr:row>
      <xdr:rowOff>171450</xdr:rowOff>
    </xdr:from>
    <xdr:to>
      <xdr:col>74</xdr:col>
      <xdr:colOff>0</xdr:colOff>
      <xdr:row>33</xdr:row>
      <xdr:rowOff>57150</xdr:rowOff>
    </xdr:to>
    <xdr:sp macro="" textlink="">
      <xdr:nvSpPr>
        <xdr:cNvPr id="1066953" name="Line 394">
          <a:extLst>
            <a:ext uri="{FF2B5EF4-FFF2-40B4-BE49-F238E27FC236}">
              <a16:creationId xmlns:a16="http://schemas.microsoft.com/office/drawing/2014/main" id="{00000000-0008-0000-0C00-0000C9471000}"/>
            </a:ext>
          </a:extLst>
        </xdr:cNvPr>
        <xdr:cNvSpPr>
          <a:spLocks noChangeShapeType="1"/>
        </xdr:cNvSpPr>
      </xdr:nvSpPr>
      <xdr:spPr bwMode="auto">
        <a:xfrm flipV="1">
          <a:off x="49510950" y="5838825"/>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73</xdr:col>
      <xdr:colOff>76200</xdr:colOff>
      <xdr:row>34</xdr:row>
      <xdr:rowOff>171450</xdr:rowOff>
    </xdr:from>
    <xdr:to>
      <xdr:col>74</xdr:col>
      <xdr:colOff>0</xdr:colOff>
      <xdr:row>39</xdr:row>
      <xdr:rowOff>57150</xdr:rowOff>
    </xdr:to>
    <xdr:sp macro="" textlink="">
      <xdr:nvSpPr>
        <xdr:cNvPr id="1066954" name="Line 395">
          <a:extLst>
            <a:ext uri="{FF2B5EF4-FFF2-40B4-BE49-F238E27FC236}">
              <a16:creationId xmlns:a16="http://schemas.microsoft.com/office/drawing/2014/main" id="{00000000-0008-0000-0C00-0000CA471000}"/>
            </a:ext>
          </a:extLst>
        </xdr:cNvPr>
        <xdr:cNvSpPr>
          <a:spLocks noChangeShapeType="1"/>
        </xdr:cNvSpPr>
      </xdr:nvSpPr>
      <xdr:spPr bwMode="auto">
        <a:xfrm flipV="1">
          <a:off x="49510950" y="6924675"/>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73</xdr:col>
      <xdr:colOff>66675</xdr:colOff>
      <xdr:row>40</xdr:row>
      <xdr:rowOff>142875</xdr:rowOff>
    </xdr:from>
    <xdr:to>
      <xdr:col>74</xdr:col>
      <xdr:colOff>0</xdr:colOff>
      <xdr:row>45</xdr:row>
      <xdr:rowOff>66675</xdr:rowOff>
    </xdr:to>
    <xdr:sp macro="" textlink="">
      <xdr:nvSpPr>
        <xdr:cNvPr id="1066955" name="Line 396">
          <a:extLst>
            <a:ext uri="{FF2B5EF4-FFF2-40B4-BE49-F238E27FC236}">
              <a16:creationId xmlns:a16="http://schemas.microsoft.com/office/drawing/2014/main" id="{00000000-0008-0000-0C00-0000CB471000}"/>
            </a:ext>
          </a:extLst>
        </xdr:cNvPr>
        <xdr:cNvSpPr>
          <a:spLocks noChangeShapeType="1"/>
        </xdr:cNvSpPr>
      </xdr:nvSpPr>
      <xdr:spPr bwMode="auto">
        <a:xfrm flipV="1">
          <a:off x="49501425" y="7981950"/>
          <a:ext cx="342900" cy="8286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73</xdr:col>
      <xdr:colOff>57150</xdr:colOff>
      <xdr:row>27</xdr:row>
      <xdr:rowOff>76200</xdr:rowOff>
    </xdr:from>
    <xdr:to>
      <xdr:col>73</xdr:col>
      <xdr:colOff>400050</xdr:colOff>
      <xdr:row>32</xdr:row>
      <xdr:rowOff>0</xdr:rowOff>
    </xdr:to>
    <xdr:sp macro="" textlink="">
      <xdr:nvSpPr>
        <xdr:cNvPr id="1066956" name="Line 397">
          <a:extLst>
            <a:ext uri="{FF2B5EF4-FFF2-40B4-BE49-F238E27FC236}">
              <a16:creationId xmlns:a16="http://schemas.microsoft.com/office/drawing/2014/main" id="{00000000-0008-0000-0C00-0000CC471000}"/>
            </a:ext>
          </a:extLst>
        </xdr:cNvPr>
        <xdr:cNvSpPr>
          <a:spLocks noChangeShapeType="1"/>
        </xdr:cNvSpPr>
      </xdr:nvSpPr>
      <xdr:spPr bwMode="auto">
        <a:xfrm>
          <a:off x="49491900" y="5562600"/>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73</xdr:col>
      <xdr:colOff>66675</xdr:colOff>
      <xdr:row>33</xdr:row>
      <xdr:rowOff>85725</xdr:rowOff>
    </xdr:from>
    <xdr:to>
      <xdr:col>74</xdr:col>
      <xdr:colOff>0</xdr:colOff>
      <xdr:row>38</xdr:row>
      <xdr:rowOff>9525</xdr:rowOff>
    </xdr:to>
    <xdr:sp macro="" textlink="">
      <xdr:nvSpPr>
        <xdr:cNvPr id="1066957" name="Line 398">
          <a:extLst>
            <a:ext uri="{FF2B5EF4-FFF2-40B4-BE49-F238E27FC236}">
              <a16:creationId xmlns:a16="http://schemas.microsoft.com/office/drawing/2014/main" id="{00000000-0008-0000-0C00-0000CD471000}"/>
            </a:ext>
          </a:extLst>
        </xdr:cNvPr>
        <xdr:cNvSpPr>
          <a:spLocks noChangeShapeType="1"/>
        </xdr:cNvSpPr>
      </xdr:nvSpPr>
      <xdr:spPr bwMode="auto">
        <a:xfrm>
          <a:off x="49501425" y="6657975"/>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73</xdr:col>
      <xdr:colOff>76200</xdr:colOff>
      <xdr:row>39</xdr:row>
      <xdr:rowOff>57150</xdr:rowOff>
    </xdr:from>
    <xdr:to>
      <xdr:col>74</xdr:col>
      <xdr:colOff>0</xdr:colOff>
      <xdr:row>44</xdr:row>
      <xdr:rowOff>28575</xdr:rowOff>
    </xdr:to>
    <xdr:sp macro="" textlink="">
      <xdr:nvSpPr>
        <xdr:cNvPr id="1066958" name="Line 399">
          <a:extLst>
            <a:ext uri="{FF2B5EF4-FFF2-40B4-BE49-F238E27FC236}">
              <a16:creationId xmlns:a16="http://schemas.microsoft.com/office/drawing/2014/main" id="{00000000-0008-0000-0C00-0000CE471000}"/>
            </a:ext>
          </a:extLst>
        </xdr:cNvPr>
        <xdr:cNvSpPr>
          <a:spLocks noChangeShapeType="1"/>
        </xdr:cNvSpPr>
      </xdr:nvSpPr>
      <xdr:spPr bwMode="auto">
        <a:xfrm>
          <a:off x="49510950" y="7715250"/>
          <a:ext cx="333375" cy="8763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70</xdr:col>
      <xdr:colOff>0</xdr:colOff>
      <xdr:row>50</xdr:row>
      <xdr:rowOff>0</xdr:rowOff>
    </xdr:from>
    <xdr:to>
      <xdr:col>70</xdr:col>
      <xdr:colOff>76200</xdr:colOff>
      <xdr:row>50</xdr:row>
      <xdr:rowOff>9525</xdr:rowOff>
    </xdr:to>
    <xdr:sp macro="" textlink="">
      <xdr:nvSpPr>
        <xdr:cNvPr id="1066959" name="Line 343">
          <a:extLst>
            <a:ext uri="{FF2B5EF4-FFF2-40B4-BE49-F238E27FC236}">
              <a16:creationId xmlns:a16="http://schemas.microsoft.com/office/drawing/2014/main" id="{00000000-0008-0000-0C00-0000CF471000}"/>
            </a:ext>
          </a:extLst>
        </xdr:cNvPr>
        <xdr:cNvSpPr>
          <a:spLocks noChangeShapeType="1"/>
        </xdr:cNvSpPr>
      </xdr:nvSpPr>
      <xdr:spPr bwMode="auto">
        <a:xfrm>
          <a:off x="47272575"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0</xdr:colOff>
      <xdr:row>50</xdr:row>
      <xdr:rowOff>0</xdr:rowOff>
    </xdr:from>
    <xdr:to>
      <xdr:col>73</xdr:col>
      <xdr:colOff>76200</xdr:colOff>
      <xdr:row>50</xdr:row>
      <xdr:rowOff>9525</xdr:rowOff>
    </xdr:to>
    <xdr:sp macro="" textlink="">
      <xdr:nvSpPr>
        <xdr:cNvPr id="1066960" name="Line 346">
          <a:extLst>
            <a:ext uri="{FF2B5EF4-FFF2-40B4-BE49-F238E27FC236}">
              <a16:creationId xmlns:a16="http://schemas.microsoft.com/office/drawing/2014/main" id="{00000000-0008-0000-0C00-0000D0471000}"/>
            </a:ext>
          </a:extLst>
        </xdr:cNvPr>
        <xdr:cNvSpPr>
          <a:spLocks noChangeShapeType="1"/>
        </xdr:cNvSpPr>
      </xdr:nvSpPr>
      <xdr:spPr bwMode="auto">
        <a:xfrm>
          <a:off x="4943475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0</xdr:colOff>
      <xdr:row>50</xdr:row>
      <xdr:rowOff>0</xdr:rowOff>
    </xdr:from>
    <xdr:to>
      <xdr:col>76</xdr:col>
      <xdr:colOff>76200</xdr:colOff>
      <xdr:row>50</xdr:row>
      <xdr:rowOff>9525</xdr:rowOff>
    </xdr:to>
    <xdr:sp macro="" textlink="">
      <xdr:nvSpPr>
        <xdr:cNvPr id="1066961" name="Line 349">
          <a:extLst>
            <a:ext uri="{FF2B5EF4-FFF2-40B4-BE49-F238E27FC236}">
              <a16:creationId xmlns:a16="http://schemas.microsoft.com/office/drawing/2014/main" id="{00000000-0008-0000-0C00-0000D1471000}"/>
            </a:ext>
          </a:extLst>
        </xdr:cNvPr>
        <xdr:cNvSpPr>
          <a:spLocks noChangeShapeType="1"/>
        </xdr:cNvSpPr>
      </xdr:nvSpPr>
      <xdr:spPr bwMode="auto">
        <a:xfrm>
          <a:off x="5153025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0</xdr:colOff>
      <xdr:row>50</xdr:row>
      <xdr:rowOff>0</xdr:rowOff>
    </xdr:from>
    <xdr:to>
      <xdr:col>76</xdr:col>
      <xdr:colOff>76200</xdr:colOff>
      <xdr:row>50</xdr:row>
      <xdr:rowOff>9525</xdr:rowOff>
    </xdr:to>
    <xdr:sp macro="" textlink="">
      <xdr:nvSpPr>
        <xdr:cNvPr id="1066962" name="Line 352">
          <a:extLst>
            <a:ext uri="{FF2B5EF4-FFF2-40B4-BE49-F238E27FC236}">
              <a16:creationId xmlns:a16="http://schemas.microsoft.com/office/drawing/2014/main" id="{00000000-0008-0000-0C00-0000D2471000}"/>
            </a:ext>
          </a:extLst>
        </xdr:cNvPr>
        <xdr:cNvSpPr>
          <a:spLocks noChangeShapeType="1"/>
        </xdr:cNvSpPr>
      </xdr:nvSpPr>
      <xdr:spPr bwMode="auto">
        <a:xfrm>
          <a:off x="5153025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0</xdr:colOff>
      <xdr:row>50</xdr:row>
      <xdr:rowOff>0</xdr:rowOff>
    </xdr:from>
    <xdr:to>
      <xdr:col>76</xdr:col>
      <xdr:colOff>76200</xdr:colOff>
      <xdr:row>50</xdr:row>
      <xdr:rowOff>9525</xdr:rowOff>
    </xdr:to>
    <xdr:sp macro="" textlink="">
      <xdr:nvSpPr>
        <xdr:cNvPr id="1066963" name="Line 356">
          <a:extLst>
            <a:ext uri="{FF2B5EF4-FFF2-40B4-BE49-F238E27FC236}">
              <a16:creationId xmlns:a16="http://schemas.microsoft.com/office/drawing/2014/main" id="{00000000-0008-0000-0C00-0000D3471000}"/>
            </a:ext>
          </a:extLst>
        </xdr:cNvPr>
        <xdr:cNvSpPr>
          <a:spLocks noChangeShapeType="1"/>
        </xdr:cNvSpPr>
      </xdr:nvSpPr>
      <xdr:spPr bwMode="auto">
        <a:xfrm>
          <a:off x="5153025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66675</xdr:colOff>
      <xdr:row>50</xdr:row>
      <xdr:rowOff>0</xdr:rowOff>
    </xdr:from>
    <xdr:to>
      <xdr:col>76</xdr:col>
      <xdr:colOff>400050</xdr:colOff>
      <xdr:row>51</xdr:row>
      <xdr:rowOff>114300</xdr:rowOff>
    </xdr:to>
    <xdr:sp macro="" textlink="">
      <xdr:nvSpPr>
        <xdr:cNvPr id="1066964" name="Line 359">
          <a:extLst>
            <a:ext uri="{FF2B5EF4-FFF2-40B4-BE49-F238E27FC236}">
              <a16:creationId xmlns:a16="http://schemas.microsoft.com/office/drawing/2014/main" id="{00000000-0008-0000-0C00-0000D4471000}"/>
            </a:ext>
          </a:extLst>
        </xdr:cNvPr>
        <xdr:cNvSpPr>
          <a:spLocks noChangeShapeType="1"/>
        </xdr:cNvSpPr>
      </xdr:nvSpPr>
      <xdr:spPr bwMode="auto">
        <a:xfrm flipV="1">
          <a:off x="51596925" y="9648825"/>
          <a:ext cx="333375" cy="2952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73</xdr:col>
      <xdr:colOff>0</xdr:colOff>
      <xdr:row>50</xdr:row>
      <xdr:rowOff>0</xdr:rowOff>
    </xdr:from>
    <xdr:to>
      <xdr:col>73</xdr:col>
      <xdr:colOff>76200</xdr:colOff>
      <xdr:row>50</xdr:row>
      <xdr:rowOff>9525</xdr:rowOff>
    </xdr:to>
    <xdr:sp macro="" textlink="">
      <xdr:nvSpPr>
        <xdr:cNvPr id="1066965" name="Line 360">
          <a:extLst>
            <a:ext uri="{FF2B5EF4-FFF2-40B4-BE49-F238E27FC236}">
              <a16:creationId xmlns:a16="http://schemas.microsoft.com/office/drawing/2014/main" id="{00000000-0008-0000-0C00-0000D5471000}"/>
            </a:ext>
          </a:extLst>
        </xdr:cNvPr>
        <xdr:cNvSpPr>
          <a:spLocks noChangeShapeType="1"/>
        </xdr:cNvSpPr>
      </xdr:nvSpPr>
      <xdr:spPr bwMode="auto">
        <a:xfrm>
          <a:off x="4943475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70</xdr:col>
      <xdr:colOff>9525</xdr:colOff>
      <xdr:row>53</xdr:row>
      <xdr:rowOff>0</xdr:rowOff>
    </xdr:from>
    <xdr:to>
      <xdr:col>70</xdr:col>
      <xdr:colOff>66675</xdr:colOff>
      <xdr:row>53</xdr:row>
      <xdr:rowOff>9525</xdr:rowOff>
    </xdr:to>
    <xdr:sp macro="" textlink="">
      <xdr:nvSpPr>
        <xdr:cNvPr id="1066966" name="Line 345">
          <a:extLst>
            <a:ext uri="{FF2B5EF4-FFF2-40B4-BE49-F238E27FC236}">
              <a16:creationId xmlns:a16="http://schemas.microsoft.com/office/drawing/2014/main" id="{00000000-0008-0000-0C00-0000D6471000}"/>
            </a:ext>
          </a:extLst>
        </xdr:cNvPr>
        <xdr:cNvSpPr>
          <a:spLocks noChangeShapeType="1"/>
        </xdr:cNvSpPr>
      </xdr:nvSpPr>
      <xdr:spPr bwMode="auto">
        <a:xfrm flipV="1">
          <a:off x="47282100"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9525</xdr:colOff>
      <xdr:row>53</xdr:row>
      <xdr:rowOff>0</xdr:rowOff>
    </xdr:from>
    <xdr:to>
      <xdr:col>73</xdr:col>
      <xdr:colOff>66675</xdr:colOff>
      <xdr:row>53</xdr:row>
      <xdr:rowOff>9525</xdr:rowOff>
    </xdr:to>
    <xdr:sp macro="" textlink="">
      <xdr:nvSpPr>
        <xdr:cNvPr id="1066967" name="Line 348">
          <a:extLst>
            <a:ext uri="{FF2B5EF4-FFF2-40B4-BE49-F238E27FC236}">
              <a16:creationId xmlns:a16="http://schemas.microsoft.com/office/drawing/2014/main" id="{00000000-0008-0000-0C00-0000D7471000}"/>
            </a:ext>
          </a:extLst>
        </xdr:cNvPr>
        <xdr:cNvSpPr>
          <a:spLocks noChangeShapeType="1"/>
        </xdr:cNvSpPr>
      </xdr:nvSpPr>
      <xdr:spPr bwMode="auto">
        <a:xfrm flipV="1">
          <a:off x="4944427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9525</xdr:colOff>
      <xdr:row>53</xdr:row>
      <xdr:rowOff>0</xdr:rowOff>
    </xdr:from>
    <xdr:to>
      <xdr:col>76</xdr:col>
      <xdr:colOff>66675</xdr:colOff>
      <xdr:row>53</xdr:row>
      <xdr:rowOff>9525</xdr:rowOff>
    </xdr:to>
    <xdr:sp macro="" textlink="">
      <xdr:nvSpPr>
        <xdr:cNvPr id="1066968" name="Line 351">
          <a:extLst>
            <a:ext uri="{FF2B5EF4-FFF2-40B4-BE49-F238E27FC236}">
              <a16:creationId xmlns:a16="http://schemas.microsoft.com/office/drawing/2014/main" id="{00000000-0008-0000-0C00-0000D8471000}"/>
            </a:ext>
          </a:extLst>
        </xdr:cNvPr>
        <xdr:cNvSpPr>
          <a:spLocks noChangeShapeType="1"/>
        </xdr:cNvSpPr>
      </xdr:nvSpPr>
      <xdr:spPr bwMode="auto">
        <a:xfrm flipV="1">
          <a:off x="5153977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9525</xdr:colOff>
      <xdr:row>53</xdr:row>
      <xdr:rowOff>0</xdr:rowOff>
    </xdr:from>
    <xdr:to>
      <xdr:col>76</xdr:col>
      <xdr:colOff>66675</xdr:colOff>
      <xdr:row>53</xdr:row>
      <xdr:rowOff>9525</xdr:rowOff>
    </xdr:to>
    <xdr:sp macro="" textlink="">
      <xdr:nvSpPr>
        <xdr:cNvPr id="1066969" name="Line 354">
          <a:extLst>
            <a:ext uri="{FF2B5EF4-FFF2-40B4-BE49-F238E27FC236}">
              <a16:creationId xmlns:a16="http://schemas.microsoft.com/office/drawing/2014/main" id="{00000000-0008-0000-0C00-0000D9471000}"/>
            </a:ext>
          </a:extLst>
        </xdr:cNvPr>
        <xdr:cNvSpPr>
          <a:spLocks noChangeShapeType="1"/>
        </xdr:cNvSpPr>
      </xdr:nvSpPr>
      <xdr:spPr bwMode="auto">
        <a:xfrm flipV="1">
          <a:off x="5153977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66675</xdr:colOff>
      <xdr:row>51</xdr:row>
      <xdr:rowOff>114300</xdr:rowOff>
    </xdr:from>
    <xdr:to>
      <xdr:col>77</xdr:col>
      <xdr:colOff>0</xdr:colOff>
      <xdr:row>52</xdr:row>
      <xdr:rowOff>171450</xdr:rowOff>
    </xdr:to>
    <xdr:sp macro="" textlink="">
      <xdr:nvSpPr>
        <xdr:cNvPr id="1066970" name="Line 355">
          <a:extLst>
            <a:ext uri="{FF2B5EF4-FFF2-40B4-BE49-F238E27FC236}">
              <a16:creationId xmlns:a16="http://schemas.microsoft.com/office/drawing/2014/main" id="{00000000-0008-0000-0C00-0000DA471000}"/>
            </a:ext>
          </a:extLst>
        </xdr:cNvPr>
        <xdr:cNvSpPr>
          <a:spLocks noChangeShapeType="1"/>
        </xdr:cNvSpPr>
      </xdr:nvSpPr>
      <xdr:spPr bwMode="auto">
        <a:xfrm>
          <a:off x="51596925" y="9944100"/>
          <a:ext cx="342900" cy="2381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76</xdr:col>
      <xdr:colOff>9525</xdr:colOff>
      <xdr:row>53</xdr:row>
      <xdr:rowOff>0</xdr:rowOff>
    </xdr:from>
    <xdr:to>
      <xdr:col>76</xdr:col>
      <xdr:colOff>66675</xdr:colOff>
      <xdr:row>53</xdr:row>
      <xdr:rowOff>9525</xdr:rowOff>
    </xdr:to>
    <xdr:sp macro="" textlink="">
      <xdr:nvSpPr>
        <xdr:cNvPr id="1066971" name="Line 358">
          <a:extLst>
            <a:ext uri="{FF2B5EF4-FFF2-40B4-BE49-F238E27FC236}">
              <a16:creationId xmlns:a16="http://schemas.microsoft.com/office/drawing/2014/main" id="{00000000-0008-0000-0C00-0000DB471000}"/>
            </a:ext>
          </a:extLst>
        </xdr:cNvPr>
        <xdr:cNvSpPr>
          <a:spLocks noChangeShapeType="1"/>
        </xdr:cNvSpPr>
      </xdr:nvSpPr>
      <xdr:spPr bwMode="auto">
        <a:xfrm flipV="1">
          <a:off x="5153977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9525</xdr:colOff>
      <xdr:row>53</xdr:row>
      <xdr:rowOff>0</xdr:rowOff>
    </xdr:from>
    <xdr:to>
      <xdr:col>73</xdr:col>
      <xdr:colOff>66675</xdr:colOff>
      <xdr:row>53</xdr:row>
      <xdr:rowOff>9525</xdr:rowOff>
    </xdr:to>
    <xdr:sp macro="" textlink="">
      <xdr:nvSpPr>
        <xdr:cNvPr id="1066972" name="Line 362">
          <a:extLst>
            <a:ext uri="{FF2B5EF4-FFF2-40B4-BE49-F238E27FC236}">
              <a16:creationId xmlns:a16="http://schemas.microsoft.com/office/drawing/2014/main" id="{00000000-0008-0000-0C00-0000DC471000}"/>
            </a:ext>
          </a:extLst>
        </xdr:cNvPr>
        <xdr:cNvSpPr>
          <a:spLocks noChangeShapeType="1"/>
        </xdr:cNvSpPr>
      </xdr:nvSpPr>
      <xdr:spPr bwMode="auto">
        <a:xfrm flipV="1">
          <a:off x="4944427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70</xdr:col>
      <xdr:colOff>66675</xdr:colOff>
      <xdr:row>51</xdr:row>
      <xdr:rowOff>85725</xdr:rowOff>
    </xdr:from>
    <xdr:to>
      <xdr:col>71</xdr:col>
      <xdr:colOff>9525</xdr:colOff>
      <xdr:row>53</xdr:row>
      <xdr:rowOff>0</xdr:rowOff>
    </xdr:to>
    <xdr:sp macro="" textlink="">
      <xdr:nvSpPr>
        <xdr:cNvPr id="1066973" name="Line 363">
          <a:extLst>
            <a:ext uri="{FF2B5EF4-FFF2-40B4-BE49-F238E27FC236}">
              <a16:creationId xmlns:a16="http://schemas.microsoft.com/office/drawing/2014/main" id="{00000000-0008-0000-0C00-0000DD471000}"/>
            </a:ext>
          </a:extLst>
        </xdr:cNvPr>
        <xdr:cNvSpPr>
          <a:spLocks noChangeShapeType="1"/>
        </xdr:cNvSpPr>
      </xdr:nvSpPr>
      <xdr:spPr bwMode="auto">
        <a:xfrm>
          <a:off x="47339250" y="9915525"/>
          <a:ext cx="390525" cy="276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73</xdr:col>
      <xdr:colOff>57150</xdr:colOff>
      <xdr:row>51</xdr:row>
      <xdr:rowOff>76200</xdr:rowOff>
    </xdr:from>
    <xdr:to>
      <xdr:col>74</xdr:col>
      <xdr:colOff>0</xdr:colOff>
      <xdr:row>53</xdr:row>
      <xdr:rowOff>0</xdr:rowOff>
    </xdr:to>
    <xdr:sp macro="" textlink="">
      <xdr:nvSpPr>
        <xdr:cNvPr id="1066974" name="Line 364">
          <a:extLst>
            <a:ext uri="{FF2B5EF4-FFF2-40B4-BE49-F238E27FC236}">
              <a16:creationId xmlns:a16="http://schemas.microsoft.com/office/drawing/2014/main" id="{00000000-0008-0000-0C00-0000DE471000}"/>
            </a:ext>
          </a:extLst>
        </xdr:cNvPr>
        <xdr:cNvSpPr>
          <a:spLocks noChangeShapeType="1"/>
        </xdr:cNvSpPr>
      </xdr:nvSpPr>
      <xdr:spPr bwMode="auto">
        <a:xfrm>
          <a:off x="49491900" y="9906000"/>
          <a:ext cx="352425" cy="2857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70</xdr:col>
      <xdr:colOff>85725</xdr:colOff>
      <xdr:row>49</xdr:row>
      <xdr:rowOff>142875</xdr:rowOff>
    </xdr:from>
    <xdr:to>
      <xdr:col>70</xdr:col>
      <xdr:colOff>85725</xdr:colOff>
      <xdr:row>53</xdr:row>
      <xdr:rowOff>19050</xdr:rowOff>
    </xdr:to>
    <xdr:sp macro="" textlink="">
      <xdr:nvSpPr>
        <xdr:cNvPr id="1066975" name="Line 344">
          <a:extLst>
            <a:ext uri="{FF2B5EF4-FFF2-40B4-BE49-F238E27FC236}">
              <a16:creationId xmlns:a16="http://schemas.microsoft.com/office/drawing/2014/main" id="{00000000-0008-0000-0C00-0000DF471000}"/>
            </a:ext>
          </a:extLst>
        </xdr:cNvPr>
        <xdr:cNvSpPr>
          <a:spLocks noChangeShapeType="1"/>
        </xdr:cNvSpPr>
      </xdr:nvSpPr>
      <xdr:spPr bwMode="auto">
        <a:xfrm flipH="1">
          <a:off x="47358300" y="9610725"/>
          <a:ext cx="0" cy="600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66675</xdr:colOff>
      <xdr:row>49</xdr:row>
      <xdr:rowOff>142875</xdr:rowOff>
    </xdr:from>
    <xdr:to>
      <xdr:col>73</xdr:col>
      <xdr:colOff>66675</xdr:colOff>
      <xdr:row>53</xdr:row>
      <xdr:rowOff>19050</xdr:rowOff>
    </xdr:to>
    <xdr:sp macro="" textlink="">
      <xdr:nvSpPr>
        <xdr:cNvPr id="1066976" name="Line 344">
          <a:extLst>
            <a:ext uri="{FF2B5EF4-FFF2-40B4-BE49-F238E27FC236}">
              <a16:creationId xmlns:a16="http://schemas.microsoft.com/office/drawing/2014/main" id="{00000000-0008-0000-0C00-0000E0471000}"/>
            </a:ext>
          </a:extLst>
        </xdr:cNvPr>
        <xdr:cNvSpPr>
          <a:spLocks noChangeShapeType="1"/>
        </xdr:cNvSpPr>
      </xdr:nvSpPr>
      <xdr:spPr bwMode="auto">
        <a:xfrm flipH="1">
          <a:off x="49501425" y="9610725"/>
          <a:ext cx="0" cy="600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76</xdr:col>
      <xdr:colOff>85725</xdr:colOff>
      <xdr:row>49</xdr:row>
      <xdr:rowOff>152400</xdr:rowOff>
    </xdr:from>
    <xdr:to>
      <xdr:col>76</xdr:col>
      <xdr:colOff>85725</xdr:colOff>
      <xdr:row>53</xdr:row>
      <xdr:rowOff>28575</xdr:rowOff>
    </xdr:to>
    <xdr:sp macro="" textlink="">
      <xdr:nvSpPr>
        <xdr:cNvPr id="1066977" name="Line 344">
          <a:extLst>
            <a:ext uri="{FF2B5EF4-FFF2-40B4-BE49-F238E27FC236}">
              <a16:creationId xmlns:a16="http://schemas.microsoft.com/office/drawing/2014/main" id="{00000000-0008-0000-0C00-0000E1471000}"/>
            </a:ext>
          </a:extLst>
        </xdr:cNvPr>
        <xdr:cNvSpPr>
          <a:spLocks noChangeShapeType="1"/>
        </xdr:cNvSpPr>
      </xdr:nvSpPr>
      <xdr:spPr bwMode="auto">
        <a:xfrm flipH="1">
          <a:off x="51615975" y="9620250"/>
          <a:ext cx="0" cy="600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70</xdr:col>
      <xdr:colOff>66675</xdr:colOff>
      <xdr:row>46</xdr:row>
      <xdr:rowOff>152400</xdr:rowOff>
    </xdr:from>
    <xdr:to>
      <xdr:col>71</xdr:col>
      <xdr:colOff>0</xdr:colOff>
      <xdr:row>51</xdr:row>
      <xdr:rowOff>76200</xdr:rowOff>
    </xdr:to>
    <xdr:sp macro="" textlink="">
      <xdr:nvSpPr>
        <xdr:cNvPr id="1066978" name="Line 392">
          <a:extLst>
            <a:ext uri="{FF2B5EF4-FFF2-40B4-BE49-F238E27FC236}">
              <a16:creationId xmlns:a16="http://schemas.microsoft.com/office/drawing/2014/main" id="{00000000-0008-0000-0C00-0000E2471000}"/>
            </a:ext>
          </a:extLst>
        </xdr:cNvPr>
        <xdr:cNvSpPr>
          <a:spLocks noChangeShapeType="1"/>
        </xdr:cNvSpPr>
      </xdr:nvSpPr>
      <xdr:spPr bwMode="auto">
        <a:xfrm flipV="1">
          <a:off x="47339250" y="9077325"/>
          <a:ext cx="381000" cy="8286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73</xdr:col>
      <xdr:colOff>66675</xdr:colOff>
      <xdr:row>47</xdr:row>
      <xdr:rowOff>0</xdr:rowOff>
    </xdr:from>
    <xdr:to>
      <xdr:col>74</xdr:col>
      <xdr:colOff>0</xdr:colOff>
      <xdr:row>51</xdr:row>
      <xdr:rowOff>76200</xdr:rowOff>
    </xdr:to>
    <xdr:sp macro="" textlink="">
      <xdr:nvSpPr>
        <xdr:cNvPr id="1066979" name="Line 392">
          <a:extLst>
            <a:ext uri="{FF2B5EF4-FFF2-40B4-BE49-F238E27FC236}">
              <a16:creationId xmlns:a16="http://schemas.microsoft.com/office/drawing/2014/main" id="{00000000-0008-0000-0C00-0000E3471000}"/>
            </a:ext>
          </a:extLst>
        </xdr:cNvPr>
        <xdr:cNvSpPr>
          <a:spLocks noChangeShapeType="1"/>
        </xdr:cNvSpPr>
      </xdr:nvSpPr>
      <xdr:spPr bwMode="auto">
        <a:xfrm flipV="1">
          <a:off x="49501425" y="9105900"/>
          <a:ext cx="3429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86</xdr:col>
      <xdr:colOff>0</xdr:colOff>
      <xdr:row>8</xdr:row>
      <xdr:rowOff>0</xdr:rowOff>
    </xdr:from>
    <xdr:to>
      <xdr:col>86</xdr:col>
      <xdr:colOff>76200</xdr:colOff>
      <xdr:row>8</xdr:row>
      <xdr:rowOff>9525</xdr:rowOff>
    </xdr:to>
    <xdr:sp macro="" textlink="">
      <xdr:nvSpPr>
        <xdr:cNvPr id="1066980" name="Line 1">
          <a:extLst>
            <a:ext uri="{FF2B5EF4-FFF2-40B4-BE49-F238E27FC236}">
              <a16:creationId xmlns:a16="http://schemas.microsoft.com/office/drawing/2014/main" id="{00000000-0008-0000-0C00-0000E4471000}"/>
            </a:ext>
          </a:extLst>
        </xdr:cNvPr>
        <xdr:cNvSpPr>
          <a:spLocks noChangeShapeType="1"/>
        </xdr:cNvSpPr>
      </xdr:nvSpPr>
      <xdr:spPr bwMode="auto">
        <a:xfrm>
          <a:off x="5841682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66675</xdr:colOff>
      <xdr:row>8</xdr:row>
      <xdr:rowOff>9525</xdr:rowOff>
    </xdr:from>
    <xdr:to>
      <xdr:col>86</xdr:col>
      <xdr:colOff>66675</xdr:colOff>
      <xdr:row>11</xdr:row>
      <xdr:rowOff>19050</xdr:rowOff>
    </xdr:to>
    <xdr:sp macro="" textlink="">
      <xdr:nvSpPr>
        <xdr:cNvPr id="1066981" name="Line 2">
          <a:extLst>
            <a:ext uri="{FF2B5EF4-FFF2-40B4-BE49-F238E27FC236}">
              <a16:creationId xmlns:a16="http://schemas.microsoft.com/office/drawing/2014/main" id="{00000000-0008-0000-0C00-0000E5471000}"/>
            </a:ext>
          </a:extLst>
        </xdr:cNvPr>
        <xdr:cNvSpPr>
          <a:spLocks noChangeShapeType="1"/>
        </xdr:cNvSpPr>
      </xdr:nvSpPr>
      <xdr:spPr bwMode="auto">
        <a:xfrm>
          <a:off x="5848350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9525</xdr:colOff>
      <xdr:row>11</xdr:row>
      <xdr:rowOff>0</xdr:rowOff>
    </xdr:from>
    <xdr:to>
      <xdr:col>86</xdr:col>
      <xdr:colOff>66675</xdr:colOff>
      <xdr:row>11</xdr:row>
      <xdr:rowOff>9525</xdr:rowOff>
    </xdr:to>
    <xdr:sp macro="" textlink="">
      <xdr:nvSpPr>
        <xdr:cNvPr id="1066982" name="Line 3">
          <a:extLst>
            <a:ext uri="{FF2B5EF4-FFF2-40B4-BE49-F238E27FC236}">
              <a16:creationId xmlns:a16="http://schemas.microsoft.com/office/drawing/2014/main" id="{00000000-0008-0000-0C00-0000E6471000}"/>
            </a:ext>
          </a:extLst>
        </xdr:cNvPr>
        <xdr:cNvSpPr>
          <a:spLocks noChangeShapeType="1"/>
        </xdr:cNvSpPr>
      </xdr:nvSpPr>
      <xdr:spPr bwMode="auto">
        <a:xfrm flipV="1">
          <a:off x="5842635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0</xdr:colOff>
      <xdr:row>8</xdr:row>
      <xdr:rowOff>0</xdr:rowOff>
    </xdr:from>
    <xdr:to>
      <xdr:col>83</xdr:col>
      <xdr:colOff>76200</xdr:colOff>
      <xdr:row>8</xdr:row>
      <xdr:rowOff>9525</xdr:rowOff>
    </xdr:to>
    <xdr:sp macro="" textlink="">
      <xdr:nvSpPr>
        <xdr:cNvPr id="1066983" name="Line 4">
          <a:extLst>
            <a:ext uri="{FF2B5EF4-FFF2-40B4-BE49-F238E27FC236}">
              <a16:creationId xmlns:a16="http://schemas.microsoft.com/office/drawing/2014/main" id="{00000000-0008-0000-0C00-0000E7471000}"/>
            </a:ext>
          </a:extLst>
        </xdr:cNvPr>
        <xdr:cNvSpPr>
          <a:spLocks noChangeShapeType="1"/>
        </xdr:cNvSpPr>
      </xdr:nvSpPr>
      <xdr:spPr bwMode="auto">
        <a:xfrm>
          <a:off x="5625465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66675</xdr:colOff>
      <xdr:row>8</xdr:row>
      <xdr:rowOff>9525</xdr:rowOff>
    </xdr:from>
    <xdr:to>
      <xdr:col>83</xdr:col>
      <xdr:colOff>66675</xdr:colOff>
      <xdr:row>11</xdr:row>
      <xdr:rowOff>19050</xdr:rowOff>
    </xdr:to>
    <xdr:sp macro="" textlink="">
      <xdr:nvSpPr>
        <xdr:cNvPr id="1066984" name="Line 5">
          <a:extLst>
            <a:ext uri="{FF2B5EF4-FFF2-40B4-BE49-F238E27FC236}">
              <a16:creationId xmlns:a16="http://schemas.microsoft.com/office/drawing/2014/main" id="{00000000-0008-0000-0C00-0000E8471000}"/>
            </a:ext>
          </a:extLst>
        </xdr:cNvPr>
        <xdr:cNvSpPr>
          <a:spLocks noChangeShapeType="1"/>
        </xdr:cNvSpPr>
      </xdr:nvSpPr>
      <xdr:spPr bwMode="auto">
        <a:xfrm>
          <a:off x="5632132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9525</xdr:colOff>
      <xdr:row>11</xdr:row>
      <xdr:rowOff>0</xdr:rowOff>
    </xdr:from>
    <xdr:to>
      <xdr:col>83</xdr:col>
      <xdr:colOff>66675</xdr:colOff>
      <xdr:row>11</xdr:row>
      <xdr:rowOff>9525</xdr:rowOff>
    </xdr:to>
    <xdr:sp macro="" textlink="">
      <xdr:nvSpPr>
        <xdr:cNvPr id="1066985" name="Line 6">
          <a:extLst>
            <a:ext uri="{FF2B5EF4-FFF2-40B4-BE49-F238E27FC236}">
              <a16:creationId xmlns:a16="http://schemas.microsoft.com/office/drawing/2014/main" id="{00000000-0008-0000-0C00-0000E9471000}"/>
            </a:ext>
          </a:extLst>
        </xdr:cNvPr>
        <xdr:cNvSpPr>
          <a:spLocks noChangeShapeType="1"/>
        </xdr:cNvSpPr>
      </xdr:nvSpPr>
      <xdr:spPr bwMode="auto">
        <a:xfrm flipV="1">
          <a:off x="5626417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8</xdr:row>
      <xdr:rowOff>0</xdr:rowOff>
    </xdr:from>
    <xdr:to>
      <xdr:col>89</xdr:col>
      <xdr:colOff>76200</xdr:colOff>
      <xdr:row>8</xdr:row>
      <xdr:rowOff>9525</xdr:rowOff>
    </xdr:to>
    <xdr:sp macro="" textlink="">
      <xdr:nvSpPr>
        <xdr:cNvPr id="1066986" name="Line 16">
          <a:extLst>
            <a:ext uri="{FF2B5EF4-FFF2-40B4-BE49-F238E27FC236}">
              <a16:creationId xmlns:a16="http://schemas.microsoft.com/office/drawing/2014/main" id="{00000000-0008-0000-0C00-0000EA471000}"/>
            </a:ext>
          </a:extLst>
        </xdr:cNvPr>
        <xdr:cNvSpPr>
          <a:spLocks noChangeShapeType="1"/>
        </xdr:cNvSpPr>
      </xdr:nvSpPr>
      <xdr:spPr bwMode="auto">
        <a:xfrm>
          <a:off x="6051232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66675</xdr:colOff>
      <xdr:row>8</xdr:row>
      <xdr:rowOff>9525</xdr:rowOff>
    </xdr:from>
    <xdr:to>
      <xdr:col>89</xdr:col>
      <xdr:colOff>66675</xdr:colOff>
      <xdr:row>11</xdr:row>
      <xdr:rowOff>19050</xdr:rowOff>
    </xdr:to>
    <xdr:sp macro="" textlink="">
      <xdr:nvSpPr>
        <xdr:cNvPr id="1066987" name="Line 17">
          <a:extLst>
            <a:ext uri="{FF2B5EF4-FFF2-40B4-BE49-F238E27FC236}">
              <a16:creationId xmlns:a16="http://schemas.microsoft.com/office/drawing/2014/main" id="{00000000-0008-0000-0C00-0000EB471000}"/>
            </a:ext>
          </a:extLst>
        </xdr:cNvPr>
        <xdr:cNvSpPr>
          <a:spLocks noChangeShapeType="1"/>
        </xdr:cNvSpPr>
      </xdr:nvSpPr>
      <xdr:spPr bwMode="auto">
        <a:xfrm>
          <a:off x="6057900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9525</xdr:colOff>
      <xdr:row>11</xdr:row>
      <xdr:rowOff>0</xdr:rowOff>
    </xdr:from>
    <xdr:to>
      <xdr:col>89</xdr:col>
      <xdr:colOff>66675</xdr:colOff>
      <xdr:row>11</xdr:row>
      <xdr:rowOff>9525</xdr:rowOff>
    </xdr:to>
    <xdr:sp macro="" textlink="">
      <xdr:nvSpPr>
        <xdr:cNvPr id="1066988" name="Line 18">
          <a:extLst>
            <a:ext uri="{FF2B5EF4-FFF2-40B4-BE49-F238E27FC236}">
              <a16:creationId xmlns:a16="http://schemas.microsoft.com/office/drawing/2014/main" id="{00000000-0008-0000-0C00-0000EC471000}"/>
            </a:ext>
          </a:extLst>
        </xdr:cNvPr>
        <xdr:cNvSpPr>
          <a:spLocks noChangeShapeType="1"/>
        </xdr:cNvSpPr>
      </xdr:nvSpPr>
      <xdr:spPr bwMode="auto">
        <a:xfrm flipV="1">
          <a:off x="6052185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0</xdr:colOff>
      <xdr:row>14</xdr:row>
      <xdr:rowOff>0</xdr:rowOff>
    </xdr:from>
    <xdr:to>
      <xdr:col>83</xdr:col>
      <xdr:colOff>76200</xdr:colOff>
      <xdr:row>14</xdr:row>
      <xdr:rowOff>9525</xdr:rowOff>
    </xdr:to>
    <xdr:sp macro="" textlink="">
      <xdr:nvSpPr>
        <xdr:cNvPr id="1066989" name="Line 46">
          <a:extLst>
            <a:ext uri="{FF2B5EF4-FFF2-40B4-BE49-F238E27FC236}">
              <a16:creationId xmlns:a16="http://schemas.microsoft.com/office/drawing/2014/main" id="{00000000-0008-0000-0C00-0000ED471000}"/>
            </a:ext>
          </a:extLst>
        </xdr:cNvPr>
        <xdr:cNvSpPr>
          <a:spLocks noChangeShapeType="1"/>
        </xdr:cNvSpPr>
      </xdr:nvSpPr>
      <xdr:spPr bwMode="auto">
        <a:xfrm>
          <a:off x="5625465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9525</xdr:colOff>
      <xdr:row>17</xdr:row>
      <xdr:rowOff>0</xdr:rowOff>
    </xdr:from>
    <xdr:to>
      <xdr:col>83</xdr:col>
      <xdr:colOff>66675</xdr:colOff>
      <xdr:row>17</xdr:row>
      <xdr:rowOff>9525</xdr:rowOff>
    </xdr:to>
    <xdr:sp macro="" textlink="">
      <xdr:nvSpPr>
        <xdr:cNvPr id="1066990" name="Line 48">
          <a:extLst>
            <a:ext uri="{FF2B5EF4-FFF2-40B4-BE49-F238E27FC236}">
              <a16:creationId xmlns:a16="http://schemas.microsoft.com/office/drawing/2014/main" id="{00000000-0008-0000-0C00-0000EE471000}"/>
            </a:ext>
          </a:extLst>
        </xdr:cNvPr>
        <xdr:cNvSpPr>
          <a:spLocks noChangeShapeType="1"/>
        </xdr:cNvSpPr>
      </xdr:nvSpPr>
      <xdr:spPr bwMode="auto">
        <a:xfrm flipV="1">
          <a:off x="5626417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14</xdr:row>
      <xdr:rowOff>0</xdr:rowOff>
    </xdr:from>
    <xdr:to>
      <xdr:col>86</xdr:col>
      <xdr:colOff>76200</xdr:colOff>
      <xdr:row>14</xdr:row>
      <xdr:rowOff>9525</xdr:rowOff>
    </xdr:to>
    <xdr:sp macro="" textlink="">
      <xdr:nvSpPr>
        <xdr:cNvPr id="1066991" name="Line 49">
          <a:extLst>
            <a:ext uri="{FF2B5EF4-FFF2-40B4-BE49-F238E27FC236}">
              <a16:creationId xmlns:a16="http://schemas.microsoft.com/office/drawing/2014/main" id="{00000000-0008-0000-0C00-0000EF471000}"/>
            </a:ext>
          </a:extLst>
        </xdr:cNvPr>
        <xdr:cNvSpPr>
          <a:spLocks noChangeShapeType="1"/>
        </xdr:cNvSpPr>
      </xdr:nvSpPr>
      <xdr:spPr bwMode="auto">
        <a:xfrm>
          <a:off x="5841682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66675</xdr:colOff>
      <xdr:row>14</xdr:row>
      <xdr:rowOff>9525</xdr:rowOff>
    </xdr:from>
    <xdr:to>
      <xdr:col>86</xdr:col>
      <xdr:colOff>66675</xdr:colOff>
      <xdr:row>17</xdr:row>
      <xdr:rowOff>19050</xdr:rowOff>
    </xdr:to>
    <xdr:sp macro="" textlink="">
      <xdr:nvSpPr>
        <xdr:cNvPr id="1066992" name="Line 50">
          <a:extLst>
            <a:ext uri="{FF2B5EF4-FFF2-40B4-BE49-F238E27FC236}">
              <a16:creationId xmlns:a16="http://schemas.microsoft.com/office/drawing/2014/main" id="{00000000-0008-0000-0C00-0000F0471000}"/>
            </a:ext>
          </a:extLst>
        </xdr:cNvPr>
        <xdr:cNvSpPr>
          <a:spLocks noChangeShapeType="1"/>
        </xdr:cNvSpPr>
      </xdr:nvSpPr>
      <xdr:spPr bwMode="auto">
        <a:xfrm>
          <a:off x="5848350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9525</xdr:colOff>
      <xdr:row>17</xdr:row>
      <xdr:rowOff>0</xdr:rowOff>
    </xdr:from>
    <xdr:to>
      <xdr:col>86</xdr:col>
      <xdr:colOff>66675</xdr:colOff>
      <xdr:row>17</xdr:row>
      <xdr:rowOff>9525</xdr:rowOff>
    </xdr:to>
    <xdr:sp macro="" textlink="">
      <xdr:nvSpPr>
        <xdr:cNvPr id="1066993" name="Line 51">
          <a:extLst>
            <a:ext uri="{FF2B5EF4-FFF2-40B4-BE49-F238E27FC236}">
              <a16:creationId xmlns:a16="http://schemas.microsoft.com/office/drawing/2014/main" id="{00000000-0008-0000-0C00-0000F1471000}"/>
            </a:ext>
          </a:extLst>
        </xdr:cNvPr>
        <xdr:cNvSpPr>
          <a:spLocks noChangeShapeType="1"/>
        </xdr:cNvSpPr>
      </xdr:nvSpPr>
      <xdr:spPr bwMode="auto">
        <a:xfrm flipV="1">
          <a:off x="5842635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14</xdr:row>
      <xdr:rowOff>0</xdr:rowOff>
    </xdr:from>
    <xdr:to>
      <xdr:col>89</xdr:col>
      <xdr:colOff>76200</xdr:colOff>
      <xdr:row>14</xdr:row>
      <xdr:rowOff>9525</xdr:rowOff>
    </xdr:to>
    <xdr:sp macro="" textlink="">
      <xdr:nvSpPr>
        <xdr:cNvPr id="1066994" name="Line 52">
          <a:extLst>
            <a:ext uri="{FF2B5EF4-FFF2-40B4-BE49-F238E27FC236}">
              <a16:creationId xmlns:a16="http://schemas.microsoft.com/office/drawing/2014/main" id="{00000000-0008-0000-0C00-0000F2471000}"/>
            </a:ext>
          </a:extLst>
        </xdr:cNvPr>
        <xdr:cNvSpPr>
          <a:spLocks noChangeShapeType="1"/>
        </xdr:cNvSpPr>
      </xdr:nvSpPr>
      <xdr:spPr bwMode="auto">
        <a:xfrm>
          <a:off x="6051232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66675</xdr:colOff>
      <xdr:row>14</xdr:row>
      <xdr:rowOff>9525</xdr:rowOff>
    </xdr:from>
    <xdr:to>
      <xdr:col>89</xdr:col>
      <xdr:colOff>66675</xdr:colOff>
      <xdr:row>17</xdr:row>
      <xdr:rowOff>19050</xdr:rowOff>
    </xdr:to>
    <xdr:sp macro="" textlink="">
      <xdr:nvSpPr>
        <xdr:cNvPr id="1066995" name="Line 53">
          <a:extLst>
            <a:ext uri="{FF2B5EF4-FFF2-40B4-BE49-F238E27FC236}">
              <a16:creationId xmlns:a16="http://schemas.microsoft.com/office/drawing/2014/main" id="{00000000-0008-0000-0C00-0000F3471000}"/>
            </a:ext>
          </a:extLst>
        </xdr:cNvPr>
        <xdr:cNvSpPr>
          <a:spLocks noChangeShapeType="1"/>
        </xdr:cNvSpPr>
      </xdr:nvSpPr>
      <xdr:spPr bwMode="auto">
        <a:xfrm>
          <a:off x="6057900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9525</xdr:colOff>
      <xdr:row>17</xdr:row>
      <xdr:rowOff>0</xdr:rowOff>
    </xdr:from>
    <xdr:to>
      <xdr:col>89</xdr:col>
      <xdr:colOff>66675</xdr:colOff>
      <xdr:row>17</xdr:row>
      <xdr:rowOff>9525</xdr:rowOff>
    </xdr:to>
    <xdr:sp macro="" textlink="">
      <xdr:nvSpPr>
        <xdr:cNvPr id="1066996" name="Line 54">
          <a:extLst>
            <a:ext uri="{FF2B5EF4-FFF2-40B4-BE49-F238E27FC236}">
              <a16:creationId xmlns:a16="http://schemas.microsoft.com/office/drawing/2014/main" id="{00000000-0008-0000-0C00-0000F4471000}"/>
            </a:ext>
          </a:extLst>
        </xdr:cNvPr>
        <xdr:cNvSpPr>
          <a:spLocks noChangeShapeType="1"/>
        </xdr:cNvSpPr>
      </xdr:nvSpPr>
      <xdr:spPr bwMode="auto">
        <a:xfrm flipV="1">
          <a:off x="6052185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66675</xdr:colOff>
      <xdr:row>8</xdr:row>
      <xdr:rowOff>9525</xdr:rowOff>
    </xdr:from>
    <xdr:to>
      <xdr:col>87</xdr:col>
      <xdr:colOff>0</xdr:colOff>
      <xdr:row>9</xdr:row>
      <xdr:rowOff>66675</xdr:rowOff>
    </xdr:to>
    <xdr:sp macro="" textlink="">
      <xdr:nvSpPr>
        <xdr:cNvPr id="1066997" name="Line 64">
          <a:extLst>
            <a:ext uri="{FF2B5EF4-FFF2-40B4-BE49-F238E27FC236}">
              <a16:creationId xmlns:a16="http://schemas.microsoft.com/office/drawing/2014/main" id="{00000000-0008-0000-0C00-0000F5471000}"/>
            </a:ext>
          </a:extLst>
        </xdr:cNvPr>
        <xdr:cNvSpPr>
          <a:spLocks noChangeShapeType="1"/>
        </xdr:cNvSpPr>
      </xdr:nvSpPr>
      <xdr:spPr bwMode="auto">
        <a:xfrm flipV="1">
          <a:off x="58483500" y="2057400"/>
          <a:ext cx="342900" cy="2381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86</xdr:col>
      <xdr:colOff>66675</xdr:colOff>
      <xdr:row>9</xdr:row>
      <xdr:rowOff>76200</xdr:rowOff>
    </xdr:from>
    <xdr:to>
      <xdr:col>87</xdr:col>
      <xdr:colOff>0</xdr:colOff>
      <xdr:row>13</xdr:row>
      <xdr:rowOff>0</xdr:rowOff>
    </xdr:to>
    <xdr:sp macro="" textlink="">
      <xdr:nvSpPr>
        <xdr:cNvPr id="1066998" name="Line 66">
          <a:extLst>
            <a:ext uri="{FF2B5EF4-FFF2-40B4-BE49-F238E27FC236}">
              <a16:creationId xmlns:a16="http://schemas.microsoft.com/office/drawing/2014/main" id="{00000000-0008-0000-0C00-0000F6471000}"/>
            </a:ext>
          </a:extLst>
        </xdr:cNvPr>
        <xdr:cNvSpPr>
          <a:spLocks noChangeShapeType="1"/>
        </xdr:cNvSpPr>
      </xdr:nvSpPr>
      <xdr:spPr bwMode="auto">
        <a:xfrm>
          <a:off x="58483500" y="2305050"/>
          <a:ext cx="342900" cy="6477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89</xdr:col>
      <xdr:colOff>0</xdr:colOff>
      <xdr:row>14</xdr:row>
      <xdr:rowOff>0</xdr:rowOff>
    </xdr:from>
    <xdr:to>
      <xdr:col>89</xdr:col>
      <xdr:colOff>76200</xdr:colOff>
      <xdr:row>14</xdr:row>
      <xdr:rowOff>9525</xdr:rowOff>
    </xdr:to>
    <xdr:sp macro="" textlink="">
      <xdr:nvSpPr>
        <xdr:cNvPr id="1066999" name="Line 72">
          <a:extLst>
            <a:ext uri="{FF2B5EF4-FFF2-40B4-BE49-F238E27FC236}">
              <a16:creationId xmlns:a16="http://schemas.microsoft.com/office/drawing/2014/main" id="{00000000-0008-0000-0C00-0000F7471000}"/>
            </a:ext>
          </a:extLst>
        </xdr:cNvPr>
        <xdr:cNvSpPr>
          <a:spLocks noChangeShapeType="1"/>
        </xdr:cNvSpPr>
      </xdr:nvSpPr>
      <xdr:spPr bwMode="auto">
        <a:xfrm>
          <a:off x="6051232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66675</xdr:colOff>
      <xdr:row>14</xdr:row>
      <xdr:rowOff>9525</xdr:rowOff>
    </xdr:from>
    <xdr:to>
      <xdr:col>89</xdr:col>
      <xdr:colOff>66675</xdr:colOff>
      <xdr:row>17</xdr:row>
      <xdr:rowOff>19050</xdr:rowOff>
    </xdr:to>
    <xdr:sp macro="" textlink="">
      <xdr:nvSpPr>
        <xdr:cNvPr id="1067000" name="Line 73">
          <a:extLst>
            <a:ext uri="{FF2B5EF4-FFF2-40B4-BE49-F238E27FC236}">
              <a16:creationId xmlns:a16="http://schemas.microsoft.com/office/drawing/2014/main" id="{00000000-0008-0000-0C00-0000F8471000}"/>
            </a:ext>
          </a:extLst>
        </xdr:cNvPr>
        <xdr:cNvSpPr>
          <a:spLocks noChangeShapeType="1"/>
        </xdr:cNvSpPr>
      </xdr:nvSpPr>
      <xdr:spPr bwMode="auto">
        <a:xfrm>
          <a:off x="6057900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9525</xdr:colOff>
      <xdr:row>17</xdr:row>
      <xdr:rowOff>0</xdr:rowOff>
    </xdr:from>
    <xdr:to>
      <xdr:col>89</xdr:col>
      <xdr:colOff>66675</xdr:colOff>
      <xdr:row>17</xdr:row>
      <xdr:rowOff>9525</xdr:rowOff>
    </xdr:to>
    <xdr:sp macro="" textlink="">
      <xdr:nvSpPr>
        <xdr:cNvPr id="1067001" name="Line 74">
          <a:extLst>
            <a:ext uri="{FF2B5EF4-FFF2-40B4-BE49-F238E27FC236}">
              <a16:creationId xmlns:a16="http://schemas.microsoft.com/office/drawing/2014/main" id="{00000000-0008-0000-0C00-0000F9471000}"/>
            </a:ext>
          </a:extLst>
        </xdr:cNvPr>
        <xdr:cNvSpPr>
          <a:spLocks noChangeShapeType="1"/>
        </xdr:cNvSpPr>
      </xdr:nvSpPr>
      <xdr:spPr bwMode="auto">
        <a:xfrm flipV="1">
          <a:off x="6052185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14</xdr:row>
      <xdr:rowOff>0</xdr:rowOff>
    </xdr:from>
    <xdr:to>
      <xdr:col>89</xdr:col>
      <xdr:colOff>76200</xdr:colOff>
      <xdr:row>14</xdr:row>
      <xdr:rowOff>9525</xdr:rowOff>
    </xdr:to>
    <xdr:sp macro="" textlink="">
      <xdr:nvSpPr>
        <xdr:cNvPr id="1067002" name="Line 86">
          <a:extLst>
            <a:ext uri="{FF2B5EF4-FFF2-40B4-BE49-F238E27FC236}">
              <a16:creationId xmlns:a16="http://schemas.microsoft.com/office/drawing/2014/main" id="{00000000-0008-0000-0C00-0000FA471000}"/>
            </a:ext>
          </a:extLst>
        </xdr:cNvPr>
        <xdr:cNvSpPr>
          <a:spLocks noChangeShapeType="1"/>
        </xdr:cNvSpPr>
      </xdr:nvSpPr>
      <xdr:spPr bwMode="auto">
        <a:xfrm>
          <a:off x="6051232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66675</xdr:colOff>
      <xdr:row>14</xdr:row>
      <xdr:rowOff>9525</xdr:rowOff>
    </xdr:from>
    <xdr:to>
      <xdr:col>89</xdr:col>
      <xdr:colOff>76200</xdr:colOff>
      <xdr:row>17</xdr:row>
      <xdr:rowOff>0</xdr:rowOff>
    </xdr:to>
    <xdr:sp macro="" textlink="">
      <xdr:nvSpPr>
        <xdr:cNvPr id="1067003" name="Line 87">
          <a:extLst>
            <a:ext uri="{FF2B5EF4-FFF2-40B4-BE49-F238E27FC236}">
              <a16:creationId xmlns:a16="http://schemas.microsoft.com/office/drawing/2014/main" id="{00000000-0008-0000-0C00-0000FB471000}"/>
            </a:ext>
          </a:extLst>
        </xdr:cNvPr>
        <xdr:cNvSpPr>
          <a:spLocks noChangeShapeType="1"/>
        </xdr:cNvSpPr>
      </xdr:nvSpPr>
      <xdr:spPr bwMode="auto">
        <a:xfrm>
          <a:off x="60579000" y="3143250"/>
          <a:ext cx="9525"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9525</xdr:colOff>
      <xdr:row>17</xdr:row>
      <xdr:rowOff>0</xdr:rowOff>
    </xdr:from>
    <xdr:to>
      <xdr:col>89</xdr:col>
      <xdr:colOff>66675</xdr:colOff>
      <xdr:row>17</xdr:row>
      <xdr:rowOff>9525</xdr:rowOff>
    </xdr:to>
    <xdr:sp macro="" textlink="">
      <xdr:nvSpPr>
        <xdr:cNvPr id="1067004" name="Line 88">
          <a:extLst>
            <a:ext uri="{FF2B5EF4-FFF2-40B4-BE49-F238E27FC236}">
              <a16:creationId xmlns:a16="http://schemas.microsoft.com/office/drawing/2014/main" id="{00000000-0008-0000-0C00-0000FC471000}"/>
            </a:ext>
          </a:extLst>
        </xdr:cNvPr>
        <xdr:cNvSpPr>
          <a:spLocks noChangeShapeType="1"/>
        </xdr:cNvSpPr>
      </xdr:nvSpPr>
      <xdr:spPr bwMode="auto">
        <a:xfrm flipV="1">
          <a:off x="6052185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66675</xdr:colOff>
      <xdr:row>14</xdr:row>
      <xdr:rowOff>19050</xdr:rowOff>
    </xdr:from>
    <xdr:to>
      <xdr:col>89</xdr:col>
      <xdr:colOff>390525</xdr:colOff>
      <xdr:row>15</xdr:row>
      <xdr:rowOff>57150</xdr:rowOff>
    </xdr:to>
    <xdr:sp macro="" textlink="">
      <xdr:nvSpPr>
        <xdr:cNvPr id="1067005" name="Line 89">
          <a:extLst>
            <a:ext uri="{FF2B5EF4-FFF2-40B4-BE49-F238E27FC236}">
              <a16:creationId xmlns:a16="http://schemas.microsoft.com/office/drawing/2014/main" id="{00000000-0008-0000-0C00-0000FD471000}"/>
            </a:ext>
          </a:extLst>
        </xdr:cNvPr>
        <xdr:cNvSpPr>
          <a:spLocks noChangeShapeType="1"/>
        </xdr:cNvSpPr>
      </xdr:nvSpPr>
      <xdr:spPr bwMode="auto">
        <a:xfrm flipV="1">
          <a:off x="60579000" y="3152775"/>
          <a:ext cx="323850" cy="2190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89</xdr:col>
      <xdr:colOff>0</xdr:colOff>
      <xdr:row>8</xdr:row>
      <xdr:rowOff>0</xdr:rowOff>
    </xdr:from>
    <xdr:to>
      <xdr:col>89</xdr:col>
      <xdr:colOff>76200</xdr:colOff>
      <xdr:row>8</xdr:row>
      <xdr:rowOff>9525</xdr:rowOff>
    </xdr:to>
    <xdr:sp macro="" textlink="">
      <xdr:nvSpPr>
        <xdr:cNvPr id="1067006" name="Line 99">
          <a:extLst>
            <a:ext uri="{FF2B5EF4-FFF2-40B4-BE49-F238E27FC236}">
              <a16:creationId xmlns:a16="http://schemas.microsoft.com/office/drawing/2014/main" id="{00000000-0008-0000-0C00-0000FE471000}"/>
            </a:ext>
          </a:extLst>
        </xdr:cNvPr>
        <xdr:cNvSpPr>
          <a:spLocks noChangeShapeType="1"/>
        </xdr:cNvSpPr>
      </xdr:nvSpPr>
      <xdr:spPr bwMode="auto">
        <a:xfrm>
          <a:off x="6051232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66675</xdr:colOff>
      <xdr:row>8</xdr:row>
      <xdr:rowOff>9525</xdr:rowOff>
    </xdr:from>
    <xdr:to>
      <xdr:col>89</xdr:col>
      <xdr:colOff>66675</xdr:colOff>
      <xdr:row>11</xdr:row>
      <xdr:rowOff>19050</xdr:rowOff>
    </xdr:to>
    <xdr:sp macro="" textlink="">
      <xdr:nvSpPr>
        <xdr:cNvPr id="1067007" name="Line 100">
          <a:extLst>
            <a:ext uri="{FF2B5EF4-FFF2-40B4-BE49-F238E27FC236}">
              <a16:creationId xmlns:a16="http://schemas.microsoft.com/office/drawing/2014/main" id="{00000000-0008-0000-0C00-0000FF471000}"/>
            </a:ext>
          </a:extLst>
        </xdr:cNvPr>
        <xdr:cNvSpPr>
          <a:spLocks noChangeShapeType="1"/>
        </xdr:cNvSpPr>
      </xdr:nvSpPr>
      <xdr:spPr bwMode="auto">
        <a:xfrm>
          <a:off x="6057900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9525</xdr:colOff>
      <xdr:row>11</xdr:row>
      <xdr:rowOff>0</xdr:rowOff>
    </xdr:from>
    <xdr:to>
      <xdr:col>89</xdr:col>
      <xdr:colOff>66675</xdr:colOff>
      <xdr:row>11</xdr:row>
      <xdr:rowOff>9525</xdr:rowOff>
    </xdr:to>
    <xdr:sp macro="" textlink="">
      <xdr:nvSpPr>
        <xdr:cNvPr id="1069056" name="Line 101">
          <a:extLst>
            <a:ext uri="{FF2B5EF4-FFF2-40B4-BE49-F238E27FC236}">
              <a16:creationId xmlns:a16="http://schemas.microsoft.com/office/drawing/2014/main" id="{00000000-0008-0000-0C00-000000501000}"/>
            </a:ext>
          </a:extLst>
        </xdr:cNvPr>
        <xdr:cNvSpPr>
          <a:spLocks noChangeShapeType="1"/>
        </xdr:cNvSpPr>
      </xdr:nvSpPr>
      <xdr:spPr bwMode="auto">
        <a:xfrm flipV="1">
          <a:off x="6052185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8</xdr:row>
      <xdr:rowOff>0</xdr:rowOff>
    </xdr:from>
    <xdr:to>
      <xdr:col>89</xdr:col>
      <xdr:colOff>76200</xdr:colOff>
      <xdr:row>8</xdr:row>
      <xdr:rowOff>9525</xdr:rowOff>
    </xdr:to>
    <xdr:sp macro="" textlink="">
      <xdr:nvSpPr>
        <xdr:cNvPr id="1069057" name="Line 110">
          <a:extLst>
            <a:ext uri="{FF2B5EF4-FFF2-40B4-BE49-F238E27FC236}">
              <a16:creationId xmlns:a16="http://schemas.microsoft.com/office/drawing/2014/main" id="{00000000-0008-0000-0C00-000001501000}"/>
            </a:ext>
          </a:extLst>
        </xdr:cNvPr>
        <xdr:cNvSpPr>
          <a:spLocks noChangeShapeType="1"/>
        </xdr:cNvSpPr>
      </xdr:nvSpPr>
      <xdr:spPr bwMode="auto">
        <a:xfrm>
          <a:off x="6051232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66675</xdr:colOff>
      <xdr:row>8</xdr:row>
      <xdr:rowOff>9525</xdr:rowOff>
    </xdr:from>
    <xdr:to>
      <xdr:col>89</xdr:col>
      <xdr:colOff>66675</xdr:colOff>
      <xdr:row>11</xdr:row>
      <xdr:rowOff>19050</xdr:rowOff>
    </xdr:to>
    <xdr:sp macro="" textlink="">
      <xdr:nvSpPr>
        <xdr:cNvPr id="1069058" name="Line 111">
          <a:extLst>
            <a:ext uri="{FF2B5EF4-FFF2-40B4-BE49-F238E27FC236}">
              <a16:creationId xmlns:a16="http://schemas.microsoft.com/office/drawing/2014/main" id="{00000000-0008-0000-0C00-000002501000}"/>
            </a:ext>
          </a:extLst>
        </xdr:cNvPr>
        <xdr:cNvSpPr>
          <a:spLocks noChangeShapeType="1"/>
        </xdr:cNvSpPr>
      </xdr:nvSpPr>
      <xdr:spPr bwMode="auto">
        <a:xfrm>
          <a:off x="6057900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9525</xdr:colOff>
      <xdr:row>11</xdr:row>
      <xdr:rowOff>0</xdr:rowOff>
    </xdr:from>
    <xdr:to>
      <xdr:col>89</xdr:col>
      <xdr:colOff>66675</xdr:colOff>
      <xdr:row>11</xdr:row>
      <xdr:rowOff>9525</xdr:rowOff>
    </xdr:to>
    <xdr:sp macro="" textlink="">
      <xdr:nvSpPr>
        <xdr:cNvPr id="1069059" name="Line 112">
          <a:extLst>
            <a:ext uri="{FF2B5EF4-FFF2-40B4-BE49-F238E27FC236}">
              <a16:creationId xmlns:a16="http://schemas.microsoft.com/office/drawing/2014/main" id="{00000000-0008-0000-0C00-000003501000}"/>
            </a:ext>
          </a:extLst>
        </xdr:cNvPr>
        <xdr:cNvSpPr>
          <a:spLocks noChangeShapeType="1"/>
        </xdr:cNvSpPr>
      </xdr:nvSpPr>
      <xdr:spPr bwMode="auto">
        <a:xfrm flipV="1">
          <a:off x="6052185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8</xdr:row>
      <xdr:rowOff>0</xdr:rowOff>
    </xdr:from>
    <xdr:to>
      <xdr:col>89</xdr:col>
      <xdr:colOff>76200</xdr:colOff>
      <xdr:row>8</xdr:row>
      <xdr:rowOff>9525</xdr:rowOff>
    </xdr:to>
    <xdr:sp macro="" textlink="">
      <xdr:nvSpPr>
        <xdr:cNvPr id="1069060" name="Line 113">
          <a:extLst>
            <a:ext uri="{FF2B5EF4-FFF2-40B4-BE49-F238E27FC236}">
              <a16:creationId xmlns:a16="http://schemas.microsoft.com/office/drawing/2014/main" id="{00000000-0008-0000-0C00-000004501000}"/>
            </a:ext>
          </a:extLst>
        </xdr:cNvPr>
        <xdr:cNvSpPr>
          <a:spLocks noChangeShapeType="1"/>
        </xdr:cNvSpPr>
      </xdr:nvSpPr>
      <xdr:spPr bwMode="auto">
        <a:xfrm>
          <a:off x="6051232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66675</xdr:colOff>
      <xdr:row>8</xdr:row>
      <xdr:rowOff>9525</xdr:rowOff>
    </xdr:from>
    <xdr:to>
      <xdr:col>89</xdr:col>
      <xdr:colOff>66675</xdr:colOff>
      <xdr:row>11</xdr:row>
      <xdr:rowOff>19050</xdr:rowOff>
    </xdr:to>
    <xdr:sp macro="" textlink="">
      <xdr:nvSpPr>
        <xdr:cNvPr id="1069061" name="Line 114">
          <a:extLst>
            <a:ext uri="{FF2B5EF4-FFF2-40B4-BE49-F238E27FC236}">
              <a16:creationId xmlns:a16="http://schemas.microsoft.com/office/drawing/2014/main" id="{00000000-0008-0000-0C00-000005501000}"/>
            </a:ext>
          </a:extLst>
        </xdr:cNvPr>
        <xdr:cNvSpPr>
          <a:spLocks noChangeShapeType="1"/>
        </xdr:cNvSpPr>
      </xdr:nvSpPr>
      <xdr:spPr bwMode="auto">
        <a:xfrm>
          <a:off x="6057900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9525</xdr:colOff>
      <xdr:row>11</xdr:row>
      <xdr:rowOff>0</xdr:rowOff>
    </xdr:from>
    <xdr:to>
      <xdr:col>89</xdr:col>
      <xdr:colOff>66675</xdr:colOff>
      <xdr:row>11</xdr:row>
      <xdr:rowOff>9525</xdr:rowOff>
    </xdr:to>
    <xdr:sp macro="" textlink="">
      <xdr:nvSpPr>
        <xdr:cNvPr id="1069062" name="Line 115">
          <a:extLst>
            <a:ext uri="{FF2B5EF4-FFF2-40B4-BE49-F238E27FC236}">
              <a16:creationId xmlns:a16="http://schemas.microsoft.com/office/drawing/2014/main" id="{00000000-0008-0000-0C00-000006501000}"/>
            </a:ext>
          </a:extLst>
        </xdr:cNvPr>
        <xdr:cNvSpPr>
          <a:spLocks noChangeShapeType="1"/>
        </xdr:cNvSpPr>
      </xdr:nvSpPr>
      <xdr:spPr bwMode="auto">
        <a:xfrm flipV="1">
          <a:off x="6052185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76200</xdr:colOff>
      <xdr:row>8</xdr:row>
      <xdr:rowOff>0</xdr:rowOff>
    </xdr:from>
    <xdr:to>
      <xdr:col>89</xdr:col>
      <xdr:colOff>400050</xdr:colOff>
      <xdr:row>9</xdr:row>
      <xdr:rowOff>57150</xdr:rowOff>
    </xdr:to>
    <xdr:sp macro="" textlink="">
      <xdr:nvSpPr>
        <xdr:cNvPr id="1069063" name="Line 116">
          <a:extLst>
            <a:ext uri="{FF2B5EF4-FFF2-40B4-BE49-F238E27FC236}">
              <a16:creationId xmlns:a16="http://schemas.microsoft.com/office/drawing/2014/main" id="{00000000-0008-0000-0C00-000007501000}"/>
            </a:ext>
          </a:extLst>
        </xdr:cNvPr>
        <xdr:cNvSpPr>
          <a:spLocks noChangeShapeType="1"/>
        </xdr:cNvSpPr>
      </xdr:nvSpPr>
      <xdr:spPr bwMode="auto">
        <a:xfrm flipV="1">
          <a:off x="60588525" y="2047875"/>
          <a:ext cx="3238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89</xdr:col>
      <xdr:colOff>76200</xdr:colOff>
      <xdr:row>9</xdr:row>
      <xdr:rowOff>66675</xdr:rowOff>
    </xdr:from>
    <xdr:to>
      <xdr:col>90</xdr:col>
      <xdr:colOff>0</xdr:colOff>
      <xdr:row>11</xdr:row>
      <xdr:rowOff>19050</xdr:rowOff>
    </xdr:to>
    <xdr:sp macro="" textlink="">
      <xdr:nvSpPr>
        <xdr:cNvPr id="1069064" name="Line 117">
          <a:extLst>
            <a:ext uri="{FF2B5EF4-FFF2-40B4-BE49-F238E27FC236}">
              <a16:creationId xmlns:a16="http://schemas.microsoft.com/office/drawing/2014/main" id="{00000000-0008-0000-0C00-000008501000}"/>
            </a:ext>
          </a:extLst>
        </xdr:cNvPr>
        <xdr:cNvSpPr>
          <a:spLocks noChangeShapeType="1"/>
        </xdr:cNvSpPr>
      </xdr:nvSpPr>
      <xdr:spPr bwMode="auto">
        <a:xfrm>
          <a:off x="60588525" y="2295525"/>
          <a:ext cx="333375"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86</xdr:col>
      <xdr:colOff>0</xdr:colOff>
      <xdr:row>14</xdr:row>
      <xdr:rowOff>0</xdr:rowOff>
    </xdr:from>
    <xdr:to>
      <xdr:col>86</xdr:col>
      <xdr:colOff>76200</xdr:colOff>
      <xdr:row>14</xdr:row>
      <xdr:rowOff>9525</xdr:rowOff>
    </xdr:to>
    <xdr:sp macro="" textlink="">
      <xdr:nvSpPr>
        <xdr:cNvPr id="1069065" name="Line 137">
          <a:extLst>
            <a:ext uri="{FF2B5EF4-FFF2-40B4-BE49-F238E27FC236}">
              <a16:creationId xmlns:a16="http://schemas.microsoft.com/office/drawing/2014/main" id="{00000000-0008-0000-0C00-000009501000}"/>
            </a:ext>
          </a:extLst>
        </xdr:cNvPr>
        <xdr:cNvSpPr>
          <a:spLocks noChangeShapeType="1"/>
        </xdr:cNvSpPr>
      </xdr:nvSpPr>
      <xdr:spPr bwMode="auto">
        <a:xfrm>
          <a:off x="5841682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9525</xdr:colOff>
      <xdr:row>17</xdr:row>
      <xdr:rowOff>0</xdr:rowOff>
    </xdr:from>
    <xdr:to>
      <xdr:col>86</xdr:col>
      <xdr:colOff>66675</xdr:colOff>
      <xdr:row>17</xdr:row>
      <xdr:rowOff>9525</xdr:rowOff>
    </xdr:to>
    <xdr:sp macro="" textlink="">
      <xdr:nvSpPr>
        <xdr:cNvPr id="1069066" name="Line 139">
          <a:extLst>
            <a:ext uri="{FF2B5EF4-FFF2-40B4-BE49-F238E27FC236}">
              <a16:creationId xmlns:a16="http://schemas.microsoft.com/office/drawing/2014/main" id="{00000000-0008-0000-0C00-00000A501000}"/>
            </a:ext>
          </a:extLst>
        </xdr:cNvPr>
        <xdr:cNvSpPr>
          <a:spLocks noChangeShapeType="1"/>
        </xdr:cNvSpPr>
      </xdr:nvSpPr>
      <xdr:spPr bwMode="auto">
        <a:xfrm flipV="1">
          <a:off x="5842635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76200</xdr:colOff>
      <xdr:row>11</xdr:row>
      <xdr:rowOff>47625</xdr:rowOff>
    </xdr:from>
    <xdr:to>
      <xdr:col>87</xdr:col>
      <xdr:colOff>0</xdr:colOff>
      <xdr:row>15</xdr:row>
      <xdr:rowOff>66675</xdr:rowOff>
    </xdr:to>
    <xdr:sp macro="" textlink="">
      <xdr:nvSpPr>
        <xdr:cNvPr id="1069067" name="Line 140">
          <a:extLst>
            <a:ext uri="{FF2B5EF4-FFF2-40B4-BE49-F238E27FC236}">
              <a16:creationId xmlns:a16="http://schemas.microsoft.com/office/drawing/2014/main" id="{00000000-0008-0000-0C00-00000B501000}"/>
            </a:ext>
          </a:extLst>
        </xdr:cNvPr>
        <xdr:cNvSpPr>
          <a:spLocks noChangeShapeType="1"/>
        </xdr:cNvSpPr>
      </xdr:nvSpPr>
      <xdr:spPr bwMode="auto">
        <a:xfrm flipV="1">
          <a:off x="58493025" y="2638425"/>
          <a:ext cx="333375" cy="742950"/>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83</xdr:col>
      <xdr:colOff>66675</xdr:colOff>
      <xdr:row>7</xdr:row>
      <xdr:rowOff>133350</xdr:rowOff>
    </xdr:from>
    <xdr:to>
      <xdr:col>84</xdr:col>
      <xdr:colOff>0</xdr:colOff>
      <xdr:row>9</xdr:row>
      <xdr:rowOff>66675</xdr:rowOff>
    </xdr:to>
    <xdr:sp macro="" textlink="">
      <xdr:nvSpPr>
        <xdr:cNvPr id="1069068" name="Line 146">
          <a:extLst>
            <a:ext uri="{FF2B5EF4-FFF2-40B4-BE49-F238E27FC236}">
              <a16:creationId xmlns:a16="http://schemas.microsoft.com/office/drawing/2014/main" id="{00000000-0008-0000-0C00-00000C501000}"/>
            </a:ext>
          </a:extLst>
        </xdr:cNvPr>
        <xdr:cNvSpPr>
          <a:spLocks noChangeShapeType="1"/>
        </xdr:cNvSpPr>
      </xdr:nvSpPr>
      <xdr:spPr bwMode="auto">
        <a:xfrm flipV="1">
          <a:off x="56321325" y="2000250"/>
          <a:ext cx="38100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83</xdr:col>
      <xdr:colOff>66675</xdr:colOff>
      <xdr:row>9</xdr:row>
      <xdr:rowOff>66675</xdr:rowOff>
    </xdr:from>
    <xdr:to>
      <xdr:col>84</xdr:col>
      <xdr:colOff>19050</xdr:colOff>
      <xdr:row>13</xdr:row>
      <xdr:rowOff>0</xdr:rowOff>
    </xdr:to>
    <xdr:sp macro="" textlink="">
      <xdr:nvSpPr>
        <xdr:cNvPr id="1069069" name="Line 147">
          <a:extLst>
            <a:ext uri="{FF2B5EF4-FFF2-40B4-BE49-F238E27FC236}">
              <a16:creationId xmlns:a16="http://schemas.microsoft.com/office/drawing/2014/main" id="{00000000-0008-0000-0C00-00000D501000}"/>
            </a:ext>
          </a:extLst>
        </xdr:cNvPr>
        <xdr:cNvSpPr>
          <a:spLocks noChangeShapeType="1"/>
        </xdr:cNvSpPr>
      </xdr:nvSpPr>
      <xdr:spPr bwMode="auto">
        <a:xfrm>
          <a:off x="56321325" y="2295525"/>
          <a:ext cx="400050" cy="657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83</xdr:col>
      <xdr:colOff>57150</xdr:colOff>
      <xdr:row>11</xdr:row>
      <xdr:rowOff>19050</xdr:rowOff>
    </xdr:from>
    <xdr:to>
      <xdr:col>83</xdr:col>
      <xdr:colOff>428625</xdr:colOff>
      <xdr:row>15</xdr:row>
      <xdr:rowOff>104775</xdr:rowOff>
    </xdr:to>
    <xdr:sp macro="" textlink="">
      <xdr:nvSpPr>
        <xdr:cNvPr id="1069070" name="Line 156">
          <a:extLst>
            <a:ext uri="{FF2B5EF4-FFF2-40B4-BE49-F238E27FC236}">
              <a16:creationId xmlns:a16="http://schemas.microsoft.com/office/drawing/2014/main" id="{00000000-0008-0000-0C00-00000E501000}"/>
            </a:ext>
          </a:extLst>
        </xdr:cNvPr>
        <xdr:cNvSpPr>
          <a:spLocks noChangeShapeType="1"/>
        </xdr:cNvSpPr>
      </xdr:nvSpPr>
      <xdr:spPr bwMode="auto">
        <a:xfrm flipV="1">
          <a:off x="56311800" y="2609850"/>
          <a:ext cx="371475" cy="809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83</xdr:col>
      <xdr:colOff>57150</xdr:colOff>
      <xdr:row>15</xdr:row>
      <xdr:rowOff>104775</xdr:rowOff>
    </xdr:from>
    <xdr:to>
      <xdr:col>84</xdr:col>
      <xdr:colOff>0</xdr:colOff>
      <xdr:row>19</xdr:row>
      <xdr:rowOff>171450</xdr:rowOff>
    </xdr:to>
    <xdr:sp macro="" textlink="">
      <xdr:nvSpPr>
        <xdr:cNvPr id="1069071" name="Line 158">
          <a:extLst>
            <a:ext uri="{FF2B5EF4-FFF2-40B4-BE49-F238E27FC236}">
              <a16:creationId xmlns:a16="http://schemas.microsoft.com/office/drawing/2014/main" id="{00000000-0008-0000-0C00-00000F501000}"/>
            </a:ext>
          </a:extLst>
        </xdr:cNvPr>
        <xdr:cNvSpPr>
          <a:spLocks noChangeShapeType="1"/>
        </xdr:cNvSpPr>
      </xdr:nvSpPr>
      <xdr:spPr bwMode="auto">
        <a:xfrm>
          <a:off x="56311800" y="3419475"/>
          <a:ext cx="390525" cy="7905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86</xdr:col>
      <xdr:colOff>76200</xdr:colOff>
      <xdr:row>34</xdr:row>
      <xdr:rowOff>0</xdr:rowOff>
    </xdr:from>
    <xdr:to>
      <xdr:col>86</xdr:col>
      <xdr:colOff>76200</xdr:colOff>
      <xdr:row>34</xdr:row>
      <xdr:rowOff>0</xdr:rowOff>
    </xdr:to>
    <xdr:sp macro="" textlink="">
      <xdr:nvSpPr>
        <xdr:cNvPr id="1069072" name="Line 176">
          <a:extLst>
            <a:ext uri="{FF2B5EF4-FFF2-40B4-BE49-F238E27FC236}">
              <a16:creationId xmlns:a16="http://schemas.microsoft.com/office/drawing/2014/main" id="{00000000-0008-0000-0C00-000010501000}"/>
            </a:ext>
          </a:extLst>
        </xdr:cNvPr>
        <xdr:cNvSpPr>
          <a:spLocks noChangeShapeType="1"/>
        </xdr:cNvSpPr>
      </xdr:nvSpPr>
      <xdr:spPr bwMode="auto">
        <a:xfrm>
          <a:off x="58493025" y="6753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76200</xdr:colOff>
      <xdr:row>34</xdr:row>
      <xdr:rowOff>0</xdr:rowOff>
    </xdr:from>
    <xdr:to>
      <xdr:col>86</xdr:col>
      <xdr:colOff>76200</xdr:colOff>
      <xdr:row>34</xdr:row>
      <xdr:rowOff>0</xdr:rowOff>
    </xdr:to>
    <xdr:sp macro="" textlink="">
      <xdr:nvSpPr>
        <xdr:cNvPr id="1069073" name="Line 210">
          <a:extLst>
            <a:ext uri="{FF2B5EF4-FFF2-40B4-BE49-F238E27FC236}">
              <a16:creationId xmlns:a16="http://schemas.microsoft.com/office/drawing/2014/main" id="{00000000-0008-0000-0C00-000011501000}"/>
            </a:ext>
          </a:extLst>
        </xdr:cNvPr>
        <xdr:cNvSpPr>
          <a:spLocks noChangeShapeType="1"/>
        </xdr:cNvSpPr>
      </xdr:nvSpPr>
      <xdr:spPr bwMode="auto">
        <a:xfrm>
          <a:off x="58493025" y="6753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57150</xdr:colOff>
      <xdr:row>15</xdr:row>
      <xdr:rowOff>76200</xdr:rowOff>
    </xdr:from>
    <xdr:to>
      <xdr:col>86</xdr:col>
      <xdr:colOff>400050</xdr:colOff>
      <xdr:row>20</xdr:row>
      <xdr:rowOff>0</xdr:rowOff>
    </xdr:to>
    <xdr:sp macro="" textlink="">
      <xdr:nvSpPr>
        <xdr:cNvPr id="1069074" name="Line 259">
          <a:extLst>
            <a:ext uri="{FF2B5EF4-FFF2-40B4-BE49-F238E27FC236}">
              <a16:creationId xmlns:a16="http://schemas.microsoft.com/office/drawing/2014/main" id="{00000000-0008-0000-0C00-000012501000}"/>
            </a:ext>
          </a:extLst>
        </xdr:cNvPr>
        <xdr:cNvSpPr>
          <a:spLocks noChangeShapeType="1"/>
        </xdr:cNvSpPr>
      </xdr:nvSpPr>
      <xdr:spPr bwMode="auto">
        <a:xfrm>
          <a:off x="58473975" y="3390900"/>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83</xdr:col>
      <xdr:colOff>0</xdr:colOff>
      <xdr:row>20</xdr:row>
      <xdr:rowOff>0</xdr:rowOff>
    </xdr:from>
    <xdr:to>
      <xdr:col>83</xdr:col>
      <xdr:colOff>76200</xdr:colOff>
      <xdr:row>20</xdr:row>
      <xdr:rowOff>9525</xdr:rowOff>
    </xdr:to>
    <xdr:sp macro="" textlink="">
      <xdr:nvSpPr>
        <xdr:cNvPr id="1069075" name="Line 283">
          <a:extLst>
            <a:ext uri="{FF2B5EF4-FFF2-40B4-BE49-F238E27FC236}">
              <a16:creationId xmlns:a16="http://schemas.microsoft.com/office/drawing/2014/main" id="{00000000-0008-0000-0C00-000013501000}"/>
            </a:ext>
          </a:extLst>
        </xdr:cNvPr>
        <xdr:cNvSpPr>
          <a:spLocks noChangeShapeType="1"/>
        </xdr:cNvSpPr>
      </xdr:nvSpPr>
      <xdr:spPr bwMode="auto">
        <a:xfrm>
          <a:off x="5625465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66675</xdr:colOff>
      <xdr:row>20</xdr:row>
      <xdr:rowOff>9525</xdr:rowOff>
    </xdr:from>
    <xdr:to>
      <xdr:col>83</xdr:col>
      <xdr:colOff>66675</xdr:colOff>
      <xdr:row>23</xdr:row>
      <xdr:rowOff>19050</xdr:rowOff>
    </xdr:to>
    <xdr:sp macro="" textlink="">
      <xdr:nvSpPr>
        <xdr:cNvPr id="1069076" name="Line 284">
          <a:extLst>
            <a:ext uri="{FF2B5EF4-FFF2-40B4-BE49-F238E27FC236}">
              <a16:creationId xmlns:a16="http://schemas.microsoft.com/office/drawing/2014/main" id="{00000000-0008-0000-0C00-000014501000}"/>
            </a:ext>
          </a:extLst>
        </xdr:cNvPr>
        <xdr:cNvSpPr>
          <a:spLocks noChangeShapeType="1"/>
        </xdr:cNvSpPr>
      </xdr:nvSpPr>
      <xdr:spPr bwMode="auto">
        <a:xfrm>
          <a:off x="5632132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9525</xdr:colOff>
      <xdr:row>23</xdr:row>
      <xdr:rowOff>0</xdr:rowOff>
    </xdr:from>
    <xdr:to>
      <xdr:col>83</xdr:col>
      <xdr:colOff>66675</xdr:colOff>
      <xdr:row>23</xdr:row>
      <xdr:rowOff>9525</xdr:rowOff>
    </xdr:to>
    <xdr:sp macro="" textlink="">
      <xdr:nvSpPr>
        <xdr:cNvPr id="1069077" name="Line 285">
          <a:extLst>
            <a:ext uri="{FF2B5EF4-FFF2-40B4-BE49-F238E27FC236}">
              <a16:creationId xmlns:a16="http://schemas.microsoft.com/office/drawing/2014/main" id="{00000000-0008-0000-0C00-000015501000}"/>
            </a:ext>
          </a:extLst>
        </xdr:cNvPr>
        <xdr:cNvSpPr>
          <a:spLocks noChangeShapeType="1"/>
        </xdr:cNvSpPr>
      </xdr:nvSpPr>
      <xdr:spPr bwMode="auto">
        <a:xfrm flipV="1">
          <a:off x="562641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20</xdr:row>
      <xdr:rowOff>0</xdr:rowOff>
    </xdr:from>
    <xdr:to>
      <xdr:col>86</xdr:col>
      <xdr:colOff>76200</xdr:colOff>
      <xdr:row>20</xdr:row>
      <xdr:rowOff>9525</xdr:rowOff>
    </xdr:to>
    <xdr:sp macro="" textlink="">
      <xdr:nvSpPr>
        <xdr:cNvPr id="1069078" name="Line 286">
          <a:extLst>
            <a:ext uri="{FF2B5EF4-FFF2-40B4-BE49-F238E27FC236}">
              <a16:creationId xmlns:a16="http://schemas.microsoft.com/office/drawing/2014/main" id="{00000000-0008-0000-0C00-000016501000}"/>
            </a:ext>
          </a:extLst>
        </xdr:cNvPr>
        <xdr:cNvSpPr>
          <a:spLocks noChangeShapeType="1"/>
        </xdr:cNvSpPr>
      </xdr:nvSpPr>
      <xdr:spPr bwMode="auto">
        <a:xfrm>
          <a:off x="5841682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66675</xdr:colOff>
      <xdr:row>20</xdr:row>
      <xdr:rowOff>9525</xdr:rowOff>
    </xdr:from>
    <xdr:to>
      <xdr:col>86</xdr:col>
      <xdr:colOff>66675</xdr:colOff>
      <xdr:row>23</xdr:row>
      <xdr:rowOff>19050</xdr:rowOff>
    </xdr:to>
    <xdr:sp macro="" textlink="">
      <xdr:nvSpPr>
        <xdr:cNvPr id="1069079" name="Line 287">
          <a:extLst>
            <a:ext uri="{FF2B5EF4-FFF2-40B4-BE49-F238E27FC236}">
              <a16:creationId xmlns:a16="http://schemas.microsoft.com/office/drawing/2014/main" id="{00000000-0008-0000-0C00-000017501000}"/>
            </a:ext>
          </a:extLst>
        </xdr:cNvPr>
        <xdr:cNvSpPr>
          <a:spLocks noChangeShapeType="1"/>
        </xdr:cNvSpPr>
      </xdr:nvSpPr>
      <xdr:spPr bwMode="auto">
        <a:xfrm>
          <a:off x="5848350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9525</xdr:colOff>
      <xdr:row>23</xdr:row>
      <xdr:rowOff>0</xdr:rowOff>
    </xdr:from>
    <xdr:to>
      <xdr:col>86</xdr:col>
      <xdr:colOff>66675</xdr:colOff>
      <xdr:row>23</xdr:row>
      <xdr:rowOff>9525</xdr:rowOff>
    </xdr:to>
    <xdr:sp macro="" textlink="">
      <xdr:nvSpPr>
        <xdr:cNvPr id="1069080" name="Line 288">
          <a:extLst>
            <a:ext uri="{FF2B5EF4-FFF2-40B4-BE49-F238E27FC236}">
              <a16:creationId xmlns:a16="http://schemas.microsoft.com/office/drawing/2014/main" id="{00000000-0008-0000-0C00-000018501000}"/>
            </a:ext>
          </a:extLst>
        </xdr:cNvPr>
        <xdr:cNvSpPr>
          <a:spLocks noChangeShapeType="1"/>
        </xdr:cNvSpPr>
      </xdr:nvSpPr>
      <xdr:spPr bwMode="auto">
        <a:xfrm flipV="1">
          <a:off x="5842635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20</xdr:row>
      <xdr:rowOff>0</xdr:rowOff>
    </xdr:from>
    <xdr:to>
      <xdr:col>89</xdr:col>
      <xdr:colOff>76200</xdr:colOff>
      <xdr:row>20</xdr:row>
      <xdr:rowOff>9525</xdr:rowOff>
    </xdr:to>
    <xdr:sp macro="" textlink="">
      <xdr:nvSpPr>
        <xdr:cNvPr id="1069081" name="Line 289">
          <a:extLst>
            <a:ext uri="{FF2B5EF4-FFF2-40B4-BE49-F238E27FC236}">
              <a16:creationId xmlns:a16="http://schemas.microsoft.com/office/drawing/2014/main" id="{00000000-0008-0000-0C00-000019501000}"/>
            </a:ext>
          </a:extLst>
        </xdr:cNvPr>
        <xdr:cNvSpPr>
          <a:spLocks noChangeShapeType="1"/>
        </xdr:cNvSpPr>
      </xdr:nvSpPr>
      <xdr:spPr bwMode="auto">
        <a:xfrm>
          <a:off x="6051232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66675</xdr:colOff>
      <xdr:row>20</xdr:row>
      <xdr:rowOff>9525</xdr:rowOff>
    </xdr:from>
    <xdr:to>
      <xdr:col>89</xdr:col>
      <xdr:colOff>66675</xdr:colOff>
      <xdr:row>23</xdr:row>
      <xdr:rowOff>19050</xdr:rowOff>
    </xdr:to>
    <xdr:sp macro="" textlink="">
      <xdr:nvSpPr>
        <xdr:cNvPr id="1069082" name="Line 290">
          <a:extLst>
            <a:ext uri="{FF2B5EF4-FFF2-40B4-BE49-F238E27FC236}">
              <a16:creationId xmlns:a16="http://schemas.microsoft.com/office/drawing/2014/main" id="{00000000-0008-0000-0C00-00001A501000}"/>
            </a:ext>
          </a:extLst>
        </xdr:cNvPr>
        <xdr:cNvSpPr>
          <a:spLocks noChangeShapeType="1"/>
        </xdr:cNvSpPr>
      </xdr:nvSpPr>
      <xdr:spPr bwMode="auto">
        <a:xfrm>
          <a:off x="6057900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9525</xdr:colOff>
      <xdr:row>23</xdr:row>
      <xdr:rowOff>0</xdr:rowOff>
    </xdr:from>
    <xdr:to>
      <xdr:col>89</xdr:col>
      <xdr:colOff>66675</xdr:colOff>
      <xdr:row>23</xdr:row>
      <xdr:rowOff>9525</xdr:rowOff>
    </xdr:to>
    <xdr:sp macro="" textlink="">
      <xdr:nvSpPr>
        <xdr:cNvPr id="1069083" name="Line 291">
          <a:extLst>
            <a:ext uri="{FF2B5EF4-FFF2-40B4-BE49-F238E27FC236}">
              <a16:creationId xmlns:a16="http://schemas.microsoft.com/office/drawing/2014/main" id="{00000000-0008-0000-0C00-00001B501000}"/>
            </a:ext>
          </a:extLst>
        </xdr:cNvPr>
        <xdr:cNvSpPr>
          <a:spLocks noChangeShapeType="1"/>
        </xdr:cNvSpPr>
      </xdr:nvSpPr>
      <xdr:spPr bwMode="auto">
        <a:xfrm flipV="1">
          <a:off x="6052185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20</xdr:row>
      <xdr:rowOff>0</xdr:rowOff>
    </xdr:from>
    <xdr:to>
      <xdr:col>89</xdr:col>
      <xdr:colOff>76200</xdr:colOff>
      <xdr:row>20</xdr:row>
      <xdr:rowOff>9525</xdr:rowOff>
    </xdr:to>
    <xdr:sp macro="" textlink="">
      <xdr:nvSpPr>
        <xdr:cNvPr id="1069084" name="Line 292">
          <a:extLst>
            <a:ext uri="{FF2B5EF4-FFF2-40B4-BE49-F238E27FC236}">
              <a16:creationId xmlns:a16="http://schemas.microsoft.com/office/drawing/2014/main" id="{00000000-0008-0000-0C00-00001C501000}"/>
            </a:ext>
          </a:extLst>
        </xdr:cNvPr>
        <xdr:cNvSpPr>
          <a:spLocks noChangeShapeType="1"/>
        </xdr:cNvSpPr>
      </xdr:nvSpPr>
      <xdr:spPr bwMode="auto">
        <a:xfrm>
          <a:off x="6051232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66675</xdr:colOff>
      <xdr:row>20</xdr:row>
      <xdr:rowOff>9525</xdr:rowOff>
    </xdr:from>
    <xdr:to>
      <xdr:col>89</xdr:col>
      <xdr:colOff>66675</xdr:colOff>
      <xdr:row>23</xdr:row>
      <xdr:rowOff>19050</xdr:rowOff>
    </xdr:to>
    <xdr:sp macro="" textlink="">
      <xdr:nvSpPr>
        <xdr:cNvPr id="1069085" name="Line 293">
          <a:extLst>
            <a:ext uri="{FF2B5EF4-FFF2-40B4-BE49-F238E27FC236}">
              <a16:creationId xmlns:a16="http://schemas.microsoft.com/office/drawing/2014/main" id="{00000000-0008-0000-0C00-00001D501000}"/>
            </a:ext>
          </a:extLst>
        </xdr:cNvPr>
        <xdr:cNvSpPr>
          <a:spLocks noChangeShapeType="1"/>
        </xdr:cNvSpPr>
      </xdr:nvSpPr>
      <xdr:spPr bwMode="auto">
        <a:xfrm>
          <a:off x="6057900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9525</xdr:colOff>
      <xdr:row>23</xdr:row>
      <xdr:rowOff>0</xdr:rowOff>
    </xdr:from>
    <xdr:to>
      <xdr:col>89</xdr:col>
      <xdr:colOff>66675</xdr:colOff>
      <xdr:row>23</xdr:row>
      <xdr:rowOff>9525</xdr:rowOff>
    </xdr:to>
    <xdr:sp macro="" textlink="">
      <xdr:nvSpPr>
        <xdr:cNvPr id="1069086" name="Line 294">
          <a:extLst>
            <a:ext uri="{FF2B5EF4-FFF2-40B4-BE49-F238E27FC236}">
              <a16:creationId xmlns:a16="http://schemas.microsoft.com/office/drawing/2014/main" id="{00000000-0008-0000-0C00-00001E501000}"/>
            </a:ext>
          </a:extLst>
        </xdr:cNvPr>
        <xdr:cNvSpPr>
          <a:spLocks noChangeShapeType="1"/>
        </xdr:cNvSpPr>
      </xdr:nvSpPr>
      <xdr:spPr bwMode="auto">
        <a:xfrm flipV="1">
          <a:off x="6052185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76200</xdr:colOff>
      <xdr:row>21</xdr:row>
      <xdr:rowOff>66675</xdr:rowOff>
    </xdr:from>
    <xdr:to>
      <xdr:col>90</xdr:col>
      <xdr:colOff>9525</xdr:colOff>
      <xdr:row>23</xdr:row>
      <xdr:rowOff>19050</xdr:rowOff>
    </xdr:to>
    <xdr:sp macro="" textlink="">
      <xdr:nvSpPr>
        <xdr:cNvPr id="1069087" name="Line 295">
          <a:extLst>
            <a:ext uri="{FF2B5EF4-FFF2-40B4-BE49-F238E27FC236}">
              <a16:creationId xmlns:a16="http://schemas.microsoft.com/office/drawing/2014/main" id="{00000000-0008-0000-0C00-00001F501000}"/>
            </a:ext>
          </a:extLst>
        </xdr:cNvPr>
        <xdr:cNvSpPr>
          <a:spLocks noChangeShapeType="1"/>
        </xdr:cNvSpPr>
      </xdr:nvSpPr>
      <xdr:spPr bwMode="auto">
        <a:xfrm>
          <a:off x="60588525" y="44672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89</xdr:col>
      <xdr:colOff>0</xdr:colOff>
      <xdr:row>20</xdr:row>
      <xdr:rowOff>0</xdr:rowOff>
    </xdr:from>
    <xdr:to>
      <xdr:col>89</xdr:col>
      <xdr:colOff>76200</xdr:colOff>
      <xdr:row>20</xdr:row>
      <xdr:rowOff>9525</xdr:rowOff>
    </xdr:to>
    <xdr:sp macro="" textlink="">
      <xdr:nvSpPr>
        <xdr:cNvPr id="1069088" name="Line 296">
          <a:extLst>
            <a:ext uri="{FF2B5EF4-FFF2-40B4-BE49-F238E27FC236}">
              <a16:creationId xmlns:a16="http://schemas.microsoft.com/office/drawing/2014/main" id="{00000000-0008-0000-0C00-000020501000}"/>
            </a:ext>
          </a:extLst>
        </xdr:cNvPr>
        <xdr:cNvSpPr>
          <a:spLocks noChangeShapeType="1"/>
        </xdr:cNvSpPr>
      </xdr:nvSpPr>
      <xdr:spPr bwMode="auto">
        <a:xfrm>
          <a:off x="6051232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66675</xdr:colOff>
      <xdr:row>20</xdr:row>
      <xdr:rowOff>9525</xdr:rowOff>
    </xdr:from>
    <xdr:to>
      <xdr:col>89</xdr:col>
      <xdr:colOff>66675</xdr:colOff>
      <xdr:row>23</xdr:row>
      <xdr:rowOff>19050</xdr:rowOff>
    </xdr:to>
    <xdr:sp macro="" textlink="">
      <xdr:nvSpPr>
        <xdr:cNvPr id="1069089" name="Line 297">
          <a:extLst>
            <a:ext uri="{FF2B5EF4-FFF2-40B4-BE49-F238E27FC236}">
              <a16:creationId xmlns:a16="http://schemas.microsoft.com/office/drawing/2014/main" id="{00000000-0008-0000-0C00-000021501000}"/>
            </a:ext>
          </a:extLst>
        </xdr:cNvPr>
        <xdr:cNvSpPr>
          <a:spLocks noChangeShapeType="1"/>
        </xdr:cNvSpPr>
      </xdr:nvSpPr>
      <xdr:spPr bwMode="auto">
        <a:xfrm>
          <a:off x="6057900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9525</xdr:colOff>
      <xdr:row>23</xdr:row>
      <xdr:rowOff>0</xdr:rowOff>
    </xdr:from>
    <xdr:to>
      <xdr:col>89</xdr:col>
      <xdr:colOff>66675</xdr:colOff>
      <xdr:row>23</xdr:row>
      <xdr:rowOff>9525</xdr:rowOff>
    </xdr:to>
    <xdr:sp macro="" textlink="">
      <xdr:nvSpPr>
        <xdr:cNvPr id="1069090" name="Line 298">
          <a:extLst>
            <a:ext uri="{FF2B5EF4-FFF2-40B4-BE49-F238E27FC236}">
              <a16:creationId xmlns:a16="http://schemas.microsoft.com/office/drawing/2014/main" id="{00000000-0008-0000-0C00-000022501000}"/>
            </a:ext>
          </a:extLst>
        </xdr:cNvPr>
        <xdr:cNvSpPr>
          <a:spLocks noChangeShapeType="1"/>
        </xdr:cNvSpPr>
      </xdr:nvSpPr>
      <xdr:spPr bwMode="auto">
        <a:xfrm flipV="1">
          <a:off x="6052185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57150</xdr:colOff>
      <xdr:row>19</xdr:row>
      <xdr:rowOff>171450</xdr:rowOff>
    </xdr:from>
    <xdr:to>
      <xdr:col>90</xdr:col>
      <xdr:colOff>9525</xdr:colOff>
      <xdr:row>21</xdr:row>
      <xdr:rowOff>47625</xdr:rowOff>
    </xdr:to>
    <xdr:sp macro="" textlink="">
      <xdr:nvSpPr>
        <xdr:cNvPr id="1069091" name="Line 299">
          <a:extLst>
            <a:ext uri="{FF2B5EF4-FFF2-40B4-BE49-F238E27FC236}">
              <a16:creationId xmlns:a16="http://schemas.microsoft.com/office/drawing/2014/main" id="{00000000-0008-0000-0C00-000023501000}"/>
            </a:ext>
          </a:extLst>
        </xdr:cNvPr>
        <xdr:cNvSpPr>
          <a:spLocks noChangeShapeType="1"/>
        </xdr:cNvSpPr>
      </xdr:nvSpPr>
      <xdr:spPr bwMode="auto">
        <a:xfrm flipV="1">
          <a:off x="60569475" y="4210050"/>
          <a:ext cx="3619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86</xdr:col>
      <xdr:colOff>0</xdr:colOff>
      <xdr:row>20</xdr:row>
      <xdr:rowOff>0</xdr:rowOff>
    </xdr:from>
    <xdr:to>
      <xdr:col>86</xdr:col>
      <xdr:colOff>76200</xdr:colOff>
      <xdr:row>20</xdr:row>
      <xdr:rowOff>9525</xdr:rowOff>
    </xdr:to>
    <xdr:sp macro="" textlink="">
      <xdr:nvSpPr>
        <xdr:cNvPr id="1069092" name="Line 300">
          <a:extLst>
            <a:ext uri="{FF2B5EF4-FFF2-40B4-BE49-F238E27FC236}">
              <a16:creationId xmlns:a16="http://schemas.microsoft.com/office/drawing/2014/main" id="{00000000-0008-0000-0C00-000024501000}"/>
            </a:ext>
          </a:extLst>
        </xdr:cNvPr>
        <xdr:cNvSpPr>
          <a:spLocks noChangeShapeType="1"/>
        </xdr:cNvSpPr>
      </xdr:nvSpPr>
      <xdr:spPr bwMode="auto">
        <a:xfrm>
          <a:off x="5841682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66675</xdr:colOff>
      <xdr:row>20</xdr:row>
      <xdr:rowOff>9525</xdr:rowOff>
    </xdr:from>
    <xdr:to>
      <xdr:col>86</xdr:col>
      <xdr:colOff>66675</xdr:colOff>
      <xdr:row>23</xdr:row>
      <xdr:rowOff>19050</xdr:rowOff>
    </xdr:to>
    <xdr:sp macro="" textlink="">
      <xdr:nvSpPr>
        <xdr:cNvPr id="1069093" name="Line 301">
          <a:extLst>
            <a:ext uri="{FF2B5EF4-FFF2-40B4-BE49-F238E27FC236}">
              <a16:creationId xmlns:a16="http://schemas.microsoft.com/office/drawing/2014/main" id="{00000000-0008-0000-0C00-000025501000}"/>
            </a:ext>
          </a:extLst>
        </xdr:cNvPr>
        <xdr:cNvSpPr>
          <a:spLocks noChangeShapeType="1"/>
        </xdr:cNvSpPr>
      </xdr:nvSpPr>
      <xdr:spPr bwMode="auto">
        <a:xfrm>
          <a:off x="5848350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9525</xdr:colOff>
      <xdr:row>23</xdr:row>
      <xdr:rowOff>0</xdr:rowOff>
    </xdr:from>
    <xdr:to>
      <xdr:col>86</xdr:col>
      <xdr:colOff>66675</xdr:colOff>
      <xdr:row>23</xdr:row>
      <xdr:rowOff>9525</xdr:rowOff>
    </xdr:to>
    <xdr:sp macro="" textlink="">
      <xdr:nvSpPr>
        <xdr:cNvPr id="1069094" name="Line 302">
          <a:extLst>
            <a:ext uri="{FF2B5EF4-FFF2-40B4-BE49-F238E27FC236}">
              <a16:creationId xmlns:a16="http://schemas.microsoft.com/office/drawing/2014/main" id="{00000000-0008-0000-0C00-000026501000}"/>
            </a:ext>
          </a:extLst>
        </xdr:cNvPr>
        <xdr:cNvSpPr>
          <a:spLocks noChangeShapeType="1"/>
        </xdr:cNvSpPr>
      </xdr:nvSpPr>
      <xdr:spPr bwMode="auto">
        <a:xfrm flipV="1">
          <a:off x="5842635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0</xdr:colOff>
      <xdr:row>26</xdr:row>
      <xdr:rowOff>0</xdr:rowOff>
    </xdr:from>
    <xdr:to>
      <xdr:col>83</xdr:col>
      <xdr:colOff>76200</xdr:colOff>
      <xdr:row>26</xdr:row>
      <xdr:rowOff>9525</xdr:rowOff>
    </xdr:to>
    <xdr:sp macro="" textlink="">
      <xdr:nvSpPr>
        <xdr:cNvPr id="1069095" name="Line 303">
          <a:extLst>
            <a:ext uri="{FF2B5EF4-FFF2-40B4-BE49-F238E27FC236}">
              <a16:creationId xmlns:a16="http://schemas.microsoft.com/office/drawing/2014/main" id="{00000000-0008-0000-0C00-000027501000}"/>
            </a:ext>
          </a:extLst>
        </xdr:cNvPr>
        <xdr:cNvSpPr>
          <a:spLocks noChangeShapeType="1"/>
        </xdr:cNvSpPr>
      </xdr:nvSpPr>
      <xdr:spPr bwMode="auto">
        <a:xfrm>
          <a:off x="5625465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66675</xdr:colOff>
      <xdr:row>26</xdr:row>
      <xdr:rowOff>9525</xdr:rowOff>
    </xdr:from>
    <xdr:to>
      <xdr:col>83</xdr:col>
      <xdr:colOff>66675</xdr:colOff>
      <xdr:row>29</xdr:row>
      <xdr:rowOff>19050</xdr:rowOff>
    </xdr:to>
    <xdr:sp macro="" textlink="">
      <xdr:nvSpPr>
        <xdr:cNvPr id="1069096" name="Line 304">
          <a:extLst>
            <a:ext uri="{FF2B5EF4-FFF2-40B4-BE49-F238E27FC236}">
              <a16:creationId xmlns:a16="http://schemas.microsoft.com/office/drawing/2014/main" id="{00000000-0008-0000-0C00-000028501000}"/>
            </a:ext>
          </a:extLst>
        </xdr:cNvPr>
        <xdr:cNvSpPr>
          <a:spLocks noChangeShapeType="1"/>
        </xdr:cNvSpPr>
      </xdr:nvSpPr>
      <xdr:spPr bwMode="auto">
        <a:xfrm>
          <a:off x="5632132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9525</xdr:colOff>
      <xdr:row>29</xdr:row>
      <xdr:rowOff>0</xdr:rowOff>
    </xdr:from>
    <xdr:to>
      <xdr:col>83</xdr:col>
      <xdr:colOff>66675</xdr:colOff>
      <xdr:row>29</xdr:row>
      <xdr:rowOff>9525</xdr:rowOff>
    </xdr:to>
    <xdr:sp macro="" textlink="">
      <xdr:nvSpPr>
        <xdr:cNvPr id="1069097" name="Line 305">
          <a:extLst>
            <a:ext uri="{FF2B5EF4-FFF2-40B4-BE49-F238E27FC236}">
              <a16:creationId xmlns:a16="http://schemas.microsoft.com/office/drawing/2014/main" id="{00000000-0008-0000-0C00-000029501000}"/>
            </a:ext>
          </a:extLst>
        </xdr:cNvPr>
        <xdr:cNvSpPr>
          <a:spLocks noChangeShapeType="1"/>
        </xdr:cNvSpPr>
      </xdr:nvSpPr>
      <xdr:spPr bwMode="auto">
        <a:xfrm flipV="1">
          <a:off x="5626417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26</xdr:row>
      <xdr:rowOff>0</xdr:rowOff>
    </xdr:from>
    <xdr:to>
      <xdr:col>86</xdr:col>
      <xdr:colOff>76200</xdr:colOff>
      <xdr:row>26</xdr:row>
      <xdr:rowOff>9525</xdr:rowOff>
    </xdr:to>
    <xdr:sp macro="" textlink="">
      <xdr:nvSpPr>
        <xdr:cNvPr id="1069098" name="Line 306">
          <a:extLst>
            <a:ext uri="{FF2B5EF4-FFF2-40B4-BE49-F238E27FC236}">
              <a16:creationId xmlns:a16="http://schemas.microsoft.com/office/drawing/2014/main" id="{00000000-0008-0000-0C00-00002A501000}"/>
            </a:ext>
          </a:extLst>
        </xdr:cNvPr>
        <xdr:cNvSpPr>
          <a:spLocks noChangeShapeType="1"/>
        </xdr:cNvSpPr>
      </xdr:nvSpPr>
      <xdr:spPr bwMode="auto">
        <a:xfrm>
          <a:off x="5841682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66675</xdr:colOff>
      <xdr:row>26</xdr:row>
      <xdr:rowOff>9525</xdr:rowOff>
    </xdr:from>
    <xdr:to>
      <xdr:col>86</xdr:col>
      <xdr:colOff>66675</xdr:colOff>
      <xdr:row>29</xdr:row>
      <xdr:rowOff>19050</xdr:rowOff>
    </xdr:to>
    <xdr:sp macro="" textlink="">
      <xdr:nvSpPr>
        <xdr:cNvPr id="1069099" name="Line 307">
          <a:extLst>
            <a:ext uri="{FF2B5EF4-FFF2-40B4-BE49-F238E27FC236}">
              <a16:creationId xmlns:a16="http://schemas.microsoft.com/office/drawing/2014/main" id="{00000000-0008-0000-0C00-00002B501000}"/>
            </a:ext>
          </a:extLst>
        </xdr:cNvPr>
        <xdr:cNvSpPr>
          <a:spLocks noChangeShapeType="1"/>
        </xdr:cNvSpPr>
      </xdr:nvSpPr>
      <xdr:spPr bwMode="auto">
        <a:xfrm>
          <a:off x="5848350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9525</xdr:colOff>
      <xdr:row>29</xdr:row>
      <xdr:rowOff>0</xdr:rowOff>
    </xdr:from>
    <xdr:to>
      <xdr:col>86</xdr:col>
      <xdr:colOff>66675</xdr:colOff>
      <xdr:row>29</xdr:row>
      <xdr:rowOff>9525</xdr:rowOff>
    </xdr:to>
    <xdr:sp macro="" textlink="">
      <xdr:nvSpPr>
        <xdr:cNvPr id="1069100" name="Line 308">
          <a:extLst>
            <a:ext uri="{FF2B5EF4-FFF2-40B4-BE49-F238E27FC236}">
              <a16:creationId xmlns:a16="http://schemas.microsoft.com/office/drawing/2014/main" id="{00000000-0008-0000-0C00-00002C501000}"/>
            </a:ext>
          </a:extLst>
        </xdr:cNvPr>
        <xdr:cNvSpPr>
          <a:spLocks noChangeShapeType="1"/>
        </xdr:cNvSpPr>
      </xdr:nvSpPr>
      <xdr:spPr bwMode="auto">
        <a:xfrm flipV="1">
          <a:off x="5842635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26</xdr:row>
      <xdr:rowOff>0</xdr:rowOff>
    </xdr:from>
    <xdr:to>
      <xdr:col>89</xdr:col>
      <xdr:colOff>76200</xdr:colOff>
      <xdr:row>26</xdr:row>
      <xdr:rowOff>9525</xdr:rowOff>
    </xdr:to>
    <xdr:sp macro="" textlink="">
      <xdr:nvSpPr>
        <xdr:cNvPr id="1069101" name="Line 309">
          <a:extLst>
            <a:ext uri="{FF2B5EF4-FFF2-40B4-BE49-F238E27FC236}">
              <a16:creationId xmlns:a16="http://schemas.microsoft.com/office/drawing/2014/main" id="{00000000-0008-0000-0C00-00002D501000}"/>
            </a:ext>
          </a:extLst>
        </xdr:cNvPr>
        <xdr:cNvSpPr>
          <a:spLocks noChangeShapeType="1"/>
        </xdr:cNvSpPr>
      </xdr:nvSpPr>
      <xdr:spPr bwMode="auto">
        <a:xfrm>
          <a:off x="6051232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66675</xdr:colOff>
      <xdr:row>26</xdr:row>
      <xdr:rowOff>9525</xdr:rowOff>
    </xdr:from>
    <xdr:to>
      <xdr:col>89</xdr:col>
      <xdr:colOff>66675</xdr:colOff>
      <xdr:row>29</xdr:row>
      <xdr:rowOff>19050</xdr:rowOff>
    </xdr:to>
    <xdr:sp macro="" textlink="">
      <xdr:nvSpPr>
        <xdr:cNvPr id="1069102" name="Line 310">
          <a:extLst>
            <a:ext uri="{FF2B5EF4-FFF2-40B4-BE49-F238E27FC236}">
              <a16:creationId xmlns:a16="http://schemas.microsoft.com/office/drawing/2014/main" id="{00000000-0008-0000-0C00-00002E501000}"/>
            </a:ext>
          </a:extLst>
        </xdr:cNvPr>
        <xdr:cNvSpPr>
          <a:spLocks noChangeShapeType="1"/>
        </xdr:cNvSpPr>
      </xdr:nvSpPr>
      <xdr:spPr bwMode="auto">
        <a:xfrm>
          <a:off x="6057900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9525</xdr:colOff>
      <xdr:row>29</xdr:row>
      <xdr:rowOff>0</xdr:rowOff>
    </xdr:from>
    <xdr:to>
      <xdr:col>89</xdr:col>
      <xdr:colOff>66675</xdr:colOff>
      <xdr:row>29</xdr:row>
      <xdr:rowOff>9525</xdr:rowOff>
    </xdr:to>
    <xdr:sp macro="" textlink="">
      <xdr:nvSpPr>
        <xdr:cNvPr id="1069103" name="Line 311">
          <a:extLst>
            <a:ext uri="{FF2B5EF4-FFF2-40B4-BE49-F238E27FC236}">
              <a16:creationId xmlns:a16="http://schemas.microsoft.com/office/drawing/2014/main" id="{00000000-0008-0000-0C00-00002F501000}"/>
            </a:ext>
          </a:extLst>
        </xdr:cNvPr>
        <xdr:cNvSpPr>
          <a:spLocks noChangeShapeType="1"/>
        </xdr:cNvSpPr>
      </xdr:nvSpPr>
      <xdr:spPr bwMode="auto">
        <a:xfrm flipV="1">
          <a:off x="6052185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26</xdr:row>
      <xdr:rowOff>0</xdr:rowOff>
    </xdr:from>
    <xdr:to>
      <xdr:col>89</xdr:col>
      <xdr:colOff>76200</xdr:colOff>
      <xdr:row>26</xdr:row>
      <xdr:rowOff>9525</xdr:rowOff>
    </xdr:to>
    <xdr:sp macro="" textlink="">
      <xdr:nvSpPr>
        <xdr:cNvPr id="1069104" name="Line 312">
          <a:extLst>
            <a:ext uri="{FF2B5EF4-FFF2-40B4-BE49-F238E27FC236}">
              <a16:creationId xmlns:a16="http://schemas.microsoft.com/office/drawing/2014/main" id="{00000000-0008-0000-0C00-000030501000}"/>
            </a:ext>
          </a:extLst>
        </xdr:cNvPr>
        <xdr:cNvSpPr>
          <a:spLocks noChangeShapeType="1"/>
        </xdr:cNvSpPr>
      </xdr:nvSpPr>
      <xdr:spPr bwMode="auto">
        <a:xfrm>
          <a:off x="6051232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66675</xdr:colOff>
      <xdr:row>26</xdr:row>
      <xdr:rowOff>9525</xdr:rowOff>
    </xdr:from>
    <xdr:to>
      <xdr:col>89</xdr:col>
      <xdr:colOff>66675</xdr:colOff>
      <xdr:row>29</xdr:row>
      <xdr:rowOff>19050</xdr:rowOff>
    </xdr:to>
    <xdr:sp macro="" textlink="">
      <xdr:nvSpPr>
        <xdr:cNvPr id="1069105" name="Line 313">
          <a:extLst>
            <a:ext uri="{FF2B5EF4-FFF2-40B4-BE49-F238E27FC236}">
              <a16:creationId xmlns:a16="http://schemas.microsoft.com/office/drawing/2014/main" id="{00000000-0008-0000-0C00-000031501000}"/>
            </a:ext>
          </a:extLst>
        </xdr:cNvPr>
        <xdr:cNvSpPr>
          <a:spLocks noChangeShapeType="1"/>
        </xdr:cNvSpPr>
      </xdr:nvSpPr>
      <xdr:spPr bwMode="auto">
        <a:xfrm>
          <a:off x="6057900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9525</xdr:colOff>
      <xdr:row>29</xdr:row>
      <xdr:rowOff>0</xdr:rowOff>
    </xdr:from>
    <xdr:to>
      <xdr:col>89</xdr:col>
      <xdr:colOff>66675</xdr:colOff>
      <xdr:row>29</xdr:row>
      <xdr:rowOff>9525</xdr:rowOff>
    </xdr:to>
    <xdr:sp macro="" textlink="">
      <xdr:nvSpPr>
        <xdr:cNvPr id="1069106" name="Line 314">
          <a:extLst>
            <a:ext uri="{FF2B5EF4-FFF2-40B4-BE49-F238E27FC236}">
              <a16:creationId xmlns:a16="http://schemas.microsoft.com/office/drawing/2014/main" id="{00000000-0008-0000-0C00-000032501000}"/>
            </a:ext>
          </a:extLst>
        </xdr:cNvPr>
        <xdr:cNvSpPr>
          <a:spLocks noChangeShapeType="1"/>
        </xdr:cNvSpPr>
      </xdr:nvSpPr>
      <xdr:spPr bwMode="auto">
        <a:xfrm flipV="1">
          <a:off x="6052185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76200</xdr:colOff>
      <xdr:row>27</xdr:row>
      <xdr:rowOff>66675</xdr:rowOff>
    </xdr:from>
    <xdr:to>
      <xdr:col>90</xdr:col>
      <xdr:colOff>9525</xdr:colOff>
      <xdr:row>29</xdr:row>
      <xdr:rowOff>19050</xdr:rowOff>
    </xdr:to>
    <xdr:sp macro="" textlink="">
      <xdr:nvSpPr>
        <xdr:cNvPr id="1069107" name="Line 315">
          <a:extLst>
            <a:ext uri="{FF2B5EF4-FFF2-40B4-BE49-F238E27FC236}">
              <a16:creationId xmlns:a16="http://schemas.microsoft.com/office/drawing/2014/main" id="{00000000-0008-0000-0C00-000033501000}"/>
            </a:ext>
          </a:extLst>
        </xdr:cNvPr>
        <xdr:cNvSpPr>
          <a:spLocks noChangeShapeType="1"/>
        </xdr:cNvSpPr>
      </xdr:nvSpPr>
      <xdr:spPr bwMode="auto">
        <a:xfrm>
          <a:off x="60588525" y="55530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89</xdr:col>
      <xdr:colOff>0</xdr:colOff>
      <xdr:row>26</xdr:row>
      <xdr:rowOff>0</xdr:rowOff>
    </xdr:from>
    <xdr:to>
      <xdr:col>89</xdr:col>
      <xdr:colOff>76200</xdr:colOff>
      <xdr:row>26</xdr:row>
      <xdr:rowOff>9525</xdr:rowOff>
    </xdr:to>
    <xdr:sp macro="" textlink="">
      <xdr:nvSpPr>
        <xdr:cNvPr id="1069108" name="Line 316">
          <a:extLst>
            <a:ext uri="{FF2B5EF4-FFF2-40B4-BE49-F238E27FC236}">
              <a16:creationId xmlns:a16="http://schemas.microsoft.com/office/drawing/2014/main" id="{00000000-0008-0000-0C00-000034501000}"/>
            </a:ext>
          </a:extLst>
        </xdr:cNvPr>
        <xdr:cNvSpPr>
          <a:spLocks noChangeShapeType="1"/>
        </xdr:cNvSpPr>
      </xdr:nvSpPr>
      <xdr:spPr bwMode="auto">
        <a:xfrm>
          <a:off x="6051232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66675</xdr:colOff>
      <xdr:row>26</xdr:row>
      <xdr:rowOff>9525</xdr:rowOff>
    </xdr:from>
    <xdr:to>
      <xdr:col>89</xdr:col>
      <xdr:colOff>66675</xdr:colOff>
      <xdr:row>29</xdr:row>
      <xdr:rowOff>19050</xdr:rowOff>
    </xdr:to>
    <xdr:sp macro="" textlink="">
      <xdr:nvSpPr>
        <xdr:cNvPr id="1069109" name="Line 317">
          <a:extLst>
            <a:ext uri="{FF2B5EF4-FFF2-40B4-BE49-F238E27FC236}">
              <a16:creationId xmlns:a16="http://schemas.microsoft.com/office/drawing/2014/main" id="{00000000-0008-0000-0C00-000035501000}"/>
            </a:ext>
          </a:extLst>
        </xdr:cNvPr>
        <xdr:cNvSpPr>
          <a:spLocks noChangeShapeType="1"/>
        </xdr:cNvSpPr>
      </xdr:nvSpPr>
      <xdr:spPr bwMode="auto">
        <a:xfrm>
          <a:off x="6057900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9525</xdr:colOff>
      <xdr:row>29</xdr:row>
      <xdr:rowOff>0</xdr:rowOff>
    </xdr:from>
    <xdr:to>
      <xdr:col>89</xdr:col>
      <xdr:colOff>66675</xdr:colOff>
      <xdr:row>29</xdr:row>
      <xdr:rowOff>9525</xdr:rowOff>
    </xdr:to>
    <xdr:sp macro="" textlink="">
      <xdr:nvSpPr>
        <xdr:cNvPr id="1069110" name="Line 318">
          <a:extLst>
            <a:ext uri="{FF2B5EF4-FFF2-40B4-BE49-F238E27FC236}">
              <a16:creationId xmlns:a16="http://schemas.microsoft.com/office/drawing/2014/main" id="{00000000-0008-0000-0C00-000036501000}"/>
            </a:ext>
          </a:extLst>
        </xdr:cNvPr>
        <xdr:cNvSpPr>
          <a:spLocks noChangeShapeType="1"/>
        </xdr:cNvSpPr>
      </xdr:nvSpPr>
      <xdr:spPr bwMode="auto">
        <a:xfrm flipV="1">
          <a:off x="6052185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76200</xdr:colOff>
      <xdr:row>25</xdr:row>
      <xdr:rowOff>171450</xdr:rowOff>
    </xdr:from>
    <xdr:to>
      <xdr:col>90</xdr:col>
      <xdr:colOff>9525</xdr:colOff>
      <xdr:row>27</xdr:row>
      <xdr:rowOff>38100</xdr:rowOff>
    </xdr:to>
    <xdr:sp macro="" textlink="">
      <xdr:nvSpPr>
        <xdr:cNvPr id="1069111" name="Line 319">
          <a:extLst>
            <a:ext uri="{FF2B5EF4-FFF2-40B4-BE49-F238E27FC236}">
              <a16:creationId xmlns:a16="http://schemas.microsoft.com/office/drawing/2014/main" id="{00000000-0008-0000-0C00-000037501000}"/>
            </a:ext>
          </a:extLst>
        </xdr:cNvPr>
        <xdr:cNvSpPr>
          <a:spLocks noChangeShapeType="1"/>
        </xdr:cNvSpPr>
      </xdr:nvSpPr>
      <xdr:spPr bwMode="auto">
        <a:xfrm flipV="1">
          <a:off x="60588525" y="5295900"/>
          <a:ext cx="342900" cy="22860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86</xdr:col>
      <xdr:colOff>0</xdr:colOff>
      <xdr:row>26</xdr:row>
      <xdr:rowOff>0</xdr:rowOff>
    </xdr:from>
    <xdr:to>
      <xdr:col>86</xdr:col>
      <xdr:colOff>76200</xdr:colOff>
      <xdr:row>26</xdr:row>
      <xdr:rowOff>9525</xdr:rowOff>
    </xdr:to>
    <xdr:sp macro="" textlink="">
      <xdr:nvSpPr>
        <xdr:cNvPr id="1069112" name="Line 320">
          <a:extLst>
            <a:ext uri="{FF2B5EF4-FFF2-40B4-BE49-F238E27FC236}">
              <a16:creationId xmlns:a16="http://schemas.microsoft.com/office/drawing/2014/main" id="{00000000-0008-0000-0C00-000038501000}"/>
            </a:ext>
          </a:extLst>
        </xdr:cNvPr>
        <xdr:cNvSpPr>
          <a:spLocks noChangeShapeType="1"/>
        </xdr:cNvSpPr>
      </xdr:nvSpPr>
      <xdr:spPr bwMode="auto">
        <a:xfrm>
          <a:off x="5841682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66675</xdr:colOff>
      <xdr:row>26</xdr:row>
      <xdr:rowOff>9525</xdr:rowOff>
    </xdr:from>
    <xdr:to>
      <xdr:col>86</xdr:col>
      <xdr:colOff>66675</xdr:colOff>
      <xdr:row>29</xdr:row>
      <xdr:rowOff>19050</xdr:rowOff>
    </xdr:to>
    <xdr:sp macro="" textlink="">
      <xdr:nvSpPr>
        <xdr:cNvPr id="1069113" name="Line 321">
          <a:extLst>
            <a:ext uri="{FF2B5EF4-FFF2-40B4-BE49-F238E27FC236}">
              <a16:creationId xmlns:a16="http://schemas.microsoft.com/office/drawing/2014/main" id="{00000000-0008-0000-0C00-000039501000}"/>
            </a:ext>
          </a:extLst>
        </xdr:cNvPr>
        <xdr:cNvSpPr>
          <a:spLocks noChangeShapeType="1"/>
        </xdr:cNvSpPr>
      </xdr:nvSpPr>
      <xdr:spPr bwMode="auto">
        <a:xfrm>
          <a:off x="5848350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9525</xdr:colOff>
      <xdr:row>29</xdr:row>
      <xdr:rowOff>0</xdr:rowOff>
    </xdr:from>
    <xdr:to>
      <xdr:col>86</xdr:col>
      <xdr:colOff>66675</xdr:colOff>
      <xdr:row>29</xdr:row>
      <xdr:rowOff>9525</xdr:rowOff>
    </xdr:to>
    <xdr:sp macro="" textlink="">
      <xdr:nvSpPr>
        <xdr:cNvPr id="1069114" name="Line 322">
          <a:extLst>
            <a:ext uri="{FF2B5EF4-FFF2-40B4-BE49-F238E27FC236}">
              <a16:creationId xmlns:a16="http://schemas.microsoft.com/office/drawing/2014/main" id="{00000000-0008-0000-0C00-00003A501000}"/>
            </a:ext>
          </a:extLst>
        </xdr:cNvPr>
        <xdr:cNvSpPr>
          <a:spLocks noChangeShapeType="1"/>
        </xdr:cNvSpPr>
      </xdr:nvSpPr>
      <xdr:spPr bwMode="auto">
        <a:xfrm flipV="1">
          <a:off x="5842635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0</xdr:colOff>
      <xdr:row>32</xdr:row>
      <xdr:rowOff>0</xdr:rowOff>
    </xdr:from>
    <xdr:to>
      <xdr:col>83</xdr:col>
      <xdr:colOff>76200</xdr:colOff>
      <xdr:row>32</xdr:row>
      <xdr:rowOff>9525</xdr:rowOff>
    </xdr:to>
    <xdr:sp macro="" textlink="">
      <xdr:nvSpPr>
        <xdr:cNvPr id="1069115" name="Line 323">
          <a:extLst>
            <a:ext uri="{FF2B5EF4-FFF2-40B4-BE49-F238E27FC236}">
              <a16:creationId xmlns:a16="http://schemas.microsoft.com/office/drawing/2014/main" id="{00000000-0008-0000-0C00-00003B501000}"/>
            </a:ext>
          </a:extLst>
        </xdr:cNvPr>
        <xdr:cNvSpPr>
          <a:spLocks noChangeShapeType="1"/>
        </xdr:cNvSpPr>
      </xdr:nvSpPr>
      <xdr:spPr bwMode="auto">
        <a:xfrm>
          <a:off x="5625465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66675</xdr:colOff>
      <xdr:row>32</xdr:row>
      <xdr:rowOff>9525</xdr:rowOff>
    </xdr:from>
    <xdr:to>
      <xdr:col>83</xdr:col>
      <xdr:colOff>66675</xdr:colOff>
      <xdr:row>35</xdr:row>
      <xdr:rowOff>19050</xdr:rowOff>
    </xdr:to>
    <xdr:sp macro="" textlink="">
      <xdr:nvSpPr>
        <xdr:cNvPr id="1069116" name="Line 324">
          <a:extLst>
            <a:ext uri="{FF2B5EF4-FFF2-40B4-BE49-F238E27FC236}">
              <a16:creationId xmlns:a16="http://schemas.microsoft.com/office/drawing/2014/main" id="{00000000-0008-0000-0C00-00003C501000}"/>
            </a:ext>
          </a:extLst>
        </xdr:cNvPr>
        <xdr:cNvSpPr>
          <a:spLocks noChangeShapeType="1"/>
        </xdr:cNvSpPr>
      </xdr:nvSpPr>
      <xdr:spPr bwMode="auto">
        <a:xfrm>
          <a:off x="5632132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9525</xdr:colOff>
      <xdr:row>35</xdr:row>
      <xdr:rowOff>0</xdr:rowOff>
    </xdr:from>
    <xdr:to>
      <xdr:col>83</xdr:col>
      <xdr:colOff>66675</xdr:colOff>
      <xdr:row>35</xdr:row>
      <xdr:rowOff>9525</xdr:rowOff>
    </xdr:to>
    <xdr:sp macro="" textlink="">
      <xdr:nvSpPr>
        <xdr:cNvPr id="1069117" name="Line 325">
          <a:extLst>
            <a:ext uri="{FF2B5EF4-FFF2-40B4-BE49-F238E27FC236}">
              <a16:creationId xmlns:a16="http://schemas.microsoft.com/office/drawing/2014/main" id="{00000000-0008-0000-0C00-00003D501000}"/>
            </a:ext>
          </a:extLst>
        </xdr:cNvPr>
        <xdr:cNvSpPr>
          <a:spLocks noChangeShapeType="1"/>
        </xdr:cNvSpPr>
      </xdr:nvSpPr>
      <xdr:spPr bwMode="auto">
        <a:xfrm flipV="1">
          <a:off x="5626417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32</xdr:row>
      <xdr:rowOff>0</xdr:rowOff>
    </xdr:from>
    <xdr:to>
      <xdr:col>86</xdr:col>
      <xdr:colOff>76200</xdr:colOff>
      <xdr:row>32</xdr:row>
      <xdr:rowOff>9525</xdr:rowOff>
    </xdr:to>
    <xdr:sp macro="" textlink="">
      <xdr:nvSpPr>
        <xdr:cNvPr id="1069118" name="Line 326">
          <a:extLst>
            <a:ext uri="{FF2B5EF4-FFF2-40B4-BE49-F238E27FC236}">
              <a16:creationId xmlns:a16="http://schemas.microsoft.com/office/drawing/2014/main" id="{00000000-0008-0000-0C00-00003E501000}"/>
            </a:ext>
          </a:extLst>
        </xdr:cNvPr>
        <xdr:cNvSpPr>
          <a:spLocks noChangeShapeType="1"/>
        </xdr:cNvSpPr>
      </xdr:nvSpPr>
      <xdr:spPr bwMode="auto">
        <a:xfrm>
          <a:off x="5841682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66675</xdr:colOff>
      <xdr:row>32</xdr:row>
      <xdr:rowOff>9525</xdr:rowOff>
    </xdr:from>
    <xdr:to>
      <xdr:col>86</xdr:col>
      <xdr:colOff>66675</xdr:colOff>
      <xdr:row>35</xdr:row>
      <xdr:rowOff>19050</xdr:rowOff>
    </xdr:to>
    <xdr:sp macro="" textlink="">
      <xdr:nvSpPr>
        <xdr:cNvPr id="1069119" name="Line 327">
          <a:extLst>
            <a:ext uri="{FF2B5EF4-FFF2-40B4-BE49-F238E27FC236}">
              <a16:creationId xmlns:a16="http://schemas.microsoft.com/office/drawing/2014/main" id="{00000000-0008-0000-0C00-00003F501000}"/>
            </a:ext>
          </a:extLst>
        </xdr:cNvPr>
        <xdr:cNvSpPr>
          <a:spLocks noChangeShapeType="1"/>
        </xdr:cNvSpPr>
      </xdr:nvSpPr>
      <xdr:spPr bwMode="auto">
        <a:xfrm>
          <a:off x="5848350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9525</xdr:colOff>
      <xdr:row>35</xdr:row>
      <xdr:rowOff>0</xdr:rowOff>
    </xdr:from>
    <xdr:to>
      <xdr:col>86</xdr:col>
      <xdr:colOff>66675</xdr:colOff>
      <xdr:row>35</xdr:row>
      <xdr:rowOff>9525</xdr:rowOff>
    </xdr:to>
    <xdr:sp macro="" textlink="">
      <xdr:nvSpPr>
        <xdr:cNvPr id="1069120" name="Line 328">
          <a:extLst>
            <a:ext uri="{FF2B5EF4-FFF2-40B4-BE49-F238E27FC236}">
              <a16:creationId xmlns:a16="http://schemas.microsoft.com/office/drawing/2014/main" id="{00000000-0008-0000-0C00-000040501000}"/>
            </a:ext>
          </a:extLst>
        </xdr:cNvPr>
        <xdr:cNvSpPr>
          <a:spLocks noChangeShapeType="1"/>
        </xdr:cNvSpPr>
      </xdr:nvSpPr>
      <xdr:spPr bwMode="auto">
        <a:xfrm flipV="1">
          <a:off x="5842635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32</xdr:row>
      <xdr:rowOff>0</xdr:rowOff>
    </xdr:from>
    <xdr:to>
      <xdr:col>89</xdr:col>
      <xdr:colOff>76200</xdr:colOff>
      <xdr:row>32</xdr:row>
      <xdr:rowOff>9525</xdr:rowOff>
    </xdr:to>
    <xdr:sp macro="" textlink="">
      <xdr:nvSpPr>
        <xdr:cNvPr id="1069121" name="Line 329">
          <a:extLst>
            <a:ext uri="{FF2B5EF4-FFF2-40B4-BE49-F238E27FC236}">
              <a16:creationId xmlns:a16="http://schemas.microsoft.com/office/drawing/2014/main" id="{00000000-0008-0000-0C00-000041501000}"/>
            </a:ext>
          </a:extLst>
        </xdr:cNvPr>
        <xdr:cNvSpPr>
          <a:spLocks noChangeShapeType="1"/>
        </xdr:cNvSpPr>
      </xdr:nvSpPr>
      <xdr:spPr bwMode="auto">
        <a:xfrm>
          <a:off x="6051232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66675</xdr:colOff>
      <xdr:row>32</xdr:row>
      <xdr:rowOff>9525</xdr:rowOff>
    </xdr:from>
    <xdr:to>
      <xdr:col>89</xdr:col>
      <xdr:colOff>66675</xdr:colOff>
      <xdr:row>35</xdr:row>
      <xdr:rowOff>19050</xdr:rowOff>
    </xdr:to>
    <xdr:sp macro="" textlink="">
      <xdr:nvSpPr>
        <xdr:cNvPr id="1069122" name="Line 330">
          <a:extLst>
            <a:ext uri="{FF2B5EF4-FFF2-40B4-BE49-F238E27FC236}">
              <a16:creationId xmlns:a16="http://schemas.microsoft.com/office/drawing/2014/main" id="{00000000-0008-0000-0C00-000042501000}"/>
            </a:ext>
          </a:extLst>
        </xdr:cNvPr>
        <xdr:cNvSpPr>
          <a:spLocks noChangeShapeType="1"/>
        </xdr:cNvSpPr>
      </xdr:nvSpPr>
      <xdr:spPr bwMode="auto">
        <a:xfrm>
          <a:off x="6057900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9525</xdr:colOff>
      <xdr:row>35</xdr:row>
      <xdr:rowOff>0</xdr:rowOff>
    </xdr:from>
    <xdr:to>
      <xdr:col>89</xdr:col>
      <xdr:colOff>66675</xdr:colOff>
      <xdr:row>35</xdr:row>
      <xdr:rowOff>9525</xdr:rowOff>
    </xdr:to>
    <xdr:sp macro="" textlink="">
      <xdr:nvSpPr>
        <xdr:cNvPr id="1069123" name="Line 331">
          <a:extLst>
            <a:ext uri="{FF2B5EF4-FFF2-40B4-BE49-F238E27FC236}">
              <a16:creationId xmlns:a16="http://schemas.microsoft.com/office/drawing/2014/main" id="{00000000-0008-0000-0C00-000043501000}"/>
            </a:ext>
          </a:extLst>
        </xdr:cNvPr>
        <xdr:cNvSpPr>
          <a:spLocks noChangeShapeType="1"/>
        </xdr:cNvSpPr>
      </xdr:nvSpPr>
      <xdr:spPr bwMode="auto">
        <a:xfrm flipV="1">
          <a:off x="6052185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32</xdr:row>
      <xdr:rowOff>0</xdr:rowOff>
    </xdr:from>
    <xdr:to>
      <xdr:col>89</xdr:col>
      <xdr:colOff>76200</xdr:colOff>
      <xdr:row>32</xdr:row>
      <xdr:rowOff>9525</xdr:rowOff>
    </xdr:to>
    <xdr:sp macro="" textlink="">
      <xdr:nvSpPr>
        <xdr:cNvPr id="1069124" name="Line 332">
          <a:extLst>
            <a:ext uri="{FF2B5EF4-FFF2-40B4-BE49-F238E27FC236}">
              <a16:creationId xmlns:a16="http://schemas.microsoft.com/office/drawing/2014/main" id="{00000000-0008-0000-0C00-000044501000}"/>
            </a:ext>
          </a:extLst>
        </xdr:cNvPr>
        <xdr:cNvSpPr>
          <a:spLocks noChangeShapeType="1"/>
        </xdr:cNvSpPr>
      </xdr:nvSpPr>
      <xdr:spPr bwMode="auto">
        <a:xfrm>
          <a:off x="6051232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66675</xdr:colOff>
      <xdr:row>32</xdr:row>
      <xdr:rowOff>9525</xdr:rowOff>
    </xdr:from>
    <xdr:to>
      <xdr:col>89</xdr:col>
      <xdr:colOff>66675</xdr:colOff>
      <xdr:row>35</xdr:row>
      <xdr:rowOff>19050</xdr:rowOff>
    </xdr:to>
    <xdr:sp macro="" textlink="">
      <xdr:nvSpPr>
        <xdr:cNvPr id="1069125" name="Line 333">
          <a:extLst>
            <a:ext uri="{FF2B5EF4-FFF2-40B4-BE49-F238E27FC236}">
              <a16:creationId xmlns:a16="http://schemas.microsoft.com/office/drawing/2014/main" id="{00000000-0008-0000-0C00-000045501000}"/>
            </a:ext>
          </a:extLst>
        </xdr:cNvPr>
        <xdr:cNvSpPr>
          <a:spLocks noChangeShapeType="1"/>
        </xdr:cNvSpPr>
      </xdr:nvSpPr>
      <xdr:spPr bwMode="auto">
        <a:xfrm>
          <a:off x="6057900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9525</xdr:colOff>
      <xdr:row>35</xdr:row>
      <xdr:rowOff>0</xdr:rowOff>
    </xdr:from>
    <xdr:to>
      <xdr:col>89</xdr:col>
      <xdr:colOff>66675</xdr:colOff>
      <xdr:row>35</xdr:row>
      <xdr:rowOff>9525</xdr:rowOff>
    </xdr:to>
    <xdr:sp macro="" textlink="">
      <xdr:nvSpPr>
        <xdr:cNvPr id="1069126" name="Line 334">
          <a:extLst>
            <a:ext uri="{FF2B5EF4-FFF2-40B4-BE49-F238E27FC236}">
              <a16:creationId xmlns:a16="http://schemas.microsoft.com/office/drawing/2014/main" id="{00000000-0008-0000-0C00-000046501000}"/>
            </a:ext>
          </a:extLst>
        </xdr:cNvPr>
        <xdr:cNvSpPr>
          <a:spLocks noChangeShapeType="1"/>
        </xdr:cNvSpPr>
      </xdr:nvSpPr>
      <xdr:spPr bwMode="auto">
        <a:xfrm flipV="1">
          <a:off x="6052185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76200</xdr:colOff>
      <xdr:row>33</xdr:row>
      <xdr:rowOff>66675</xdr:rowOff>
    </xdr:from>
    <xdr:to>
      <xdr:col>90</xdr:col>
      <xdr:colOff>9525</xdr:colOff>
      <xdr:row>35</xdr:row>
      <xdr:rowOff>19050</xdr:rowOff>
    </xdr:to>
    <xdr:sp macro="" textlink="">
      <xdr:nvSpPr>
        <xdr:cNvPr id="1069127" name="Line 335">
          <a:extLst>
            <a:ext uri="{FF2B5EF4-FFF2-40B4-BE49-F238E27FC236}">
              <a16:creationId xmlns:a16="http://schemas.microsoft.com/office/drawing/2014/main" id="{00000000-0008-0000-0C00-000047501000}"/>
            </a:ext>
          </a:extLst>
        </xdr:cNvPr>
        <xdr:cNvSpPr>
          <a:spLocks noChangeShapeType="1"/>
        </xdr:cNvSpPr>
      </xdr:nvSpPr>
      <xdr:spPr bwMode="auto">
        <a:xfrm>
          <a:off x="60588525" y="66389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89</xdr:col>
      <xdr:colOff>0</xdr:colOff>
      <xdr:row>32</xdr:row>
      <xdr:rowOff>0</xdr:rowOff>
    </xdr:from>
    <xdr:to>
      <xdr:col>89</xdr:col>
      <xdr:colOff>76200</xdr:colOff>
      <xdr:row>32</xdr:row>
      <xdr:rowOff>9525</xdr:rowOff>
    </xdr:to>
    <xdr:sp macro="" textlink="">
      <xdr:nvSpPr>
        <xdr:cNvPr id="1069128" name="Line 336">
          <a:extLst>
            <a:ext uri="{FF2B5EF4-FFF2-40B4-BE49-F238E27FC236}">
              <a16:creationId xmlns:a16="http://schemas.microsoft.com/office/drawing/2014/main" id="{00000000-0008-0000-0C00-000048501000}"/>
            </a:ext>
          </a:extLst>
        </xdr:cNvPr>
        <xdr:cNvSpPr>
          <a:spLocks noChangeShapeType="1"/>
        </xdr:cNvSpPr>
      </xdr:nvSpPr>
      <xdr:spPr bwMode="auto">
        <a:xfrm>
          <a:off x="6051232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66675</xdr:colOff>
      <xdr:row>32</xdr:row>
      <xdr:rowOff>9525</xdr:rowOff>
    </xdr:from>
    <xdr:to>
      <xdr:col>89</xdr:col>
      <xdr:colOff>66675</xdr:colOff>
      <xdr:row>35</xdr:row>
      <xdr:rowOff>19050</xdr:rowOff>
    </xdr:to>
    <xdr:sp macro="" textlink="">
      <xdr:nvSpPr>
        <xdr:cNvPr id="1069129" name="Line 337">
          <a:extLst>
            <a:ext uri="{FF2B5EF4-FFF2-40B4-BE49-F238E27FC236}">
              <a16:creationId xmlns:a16="http://schemas.microsoft.com/office/drawing/2014/main" id="{00000000-0008-0000-0C00-000049501000}"/>
            </a:ext>
          </a:extLst>
        </xdr:cNvPr>
        <xdr:cNvSpPr>
          <a:spLocks noChangeShapeType="1"/>
        </xdr:cNvSpPr>
      </xdr:nvSpPr>
      <xdr:spPr bwMode="auto">
        <a:xfrm>
          <a:off x="6057900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9525</xdr:colOff>
      <xdr:row>35</xdr:row>
      <xdr:rowOff>0</xdr:rowOff>
    </xdr:from>
    <xdr:to>
      <xdr:col>89</xdr:col>
      <xdr:colOff>66675</xdr:colOff>
      <xdr:row>35</xdr:row>
      <xdr:rowOff>9525</xdr:rowOff>
    </xdr:to>
    <xdr:sp macro="" textlink="">
      <xdr:nvSpPr>
        <xdr:cNvPr id="1069130" name="Line 338">
          <a:extLst>
            <a:ext uri="{FF2B5EF4-FFF2-40B4-BE49-F238E27FC236}">
              <a16:creationId xmlns:a16="http://schemas.microsoft.com/office/drawing/2014/main" id="{00000000-0008-0000-0C00-00004A501000}"/>
            </a:ext>
          </a:extLst>
        </xdr:cNvPr>
        <xdr:cNvSpPr>
          <a:spLocks noChangeShapeType="1"/>
        </xdr:cNvSpPr>
      </xdr:nvSpPr>
      <xdr:spPr bwMode="auto">
        <a:xfrm flipV="1">
          <a:off x="6052185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76200</xdr:colOff>
      <xdr:row>31</xdr:row>
      <xdr:rowOff>161925</xdr:rowOff>
    </xdr:from>
    <xdr:to>
      <xdr:col>90</xdr:col>
      <xdr:colOff>0</xdr:colOff>
      <xdr:row>33</xdr:row>
      <xdr:rowOff>47625</xdr:rowOff>
    </xdr:to>
    <xdr:sp macro="" textlink="">
      <xdr:nvSpPr>
        <xdr:cNvPr id="1069131" name="Line 339">
          <a:extLst>
            <a:ext uri="{FF2B5EF4-FFF2-40B4-BE49-F238E27FC236}">
              <a16:creationId xmlns:a16="http://schemas.microsoft.com/office/drawing/2014/main" id="{00000000-0008-0000-0C00-00004B501000}"/>
            </a:ext>
          </a:extLst>
        </xdr:cNvPr>
        <xdr:cNvSpPr>
          <a:spLocks noChangeShapeType="1"/>
        </xdr:cNvSpPr>
      </xdr:nvSpPr>
      <xdr:spPr bwMode="auto">
        <a:xfrm flipV="1">
          <a:off x="60588525" y="6372225"/>
          <a:ext cx="333375"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86</xdr:col>
      <xdr:colOff>0</xdr:colOff>
      <xdr:row>32</xdr:row>
      <xdr:rowOff>0</xdr:rowOff>
    </xdr:from>
    <xdr:to>
      <xdr:col>86</xdr:col>
      <xdr:colOff>76200</xdr:colOff>
      <xdr:row>32</xdr:row>
      <xdr:rowOff>9525</xdr:rowOff>
    </xdr:to>
    <xdr:sp macro="" textlink="">
      <xdr:nvSpPr>
        <xdr:cNvPr id="1069132" name="Line 340">
          <a:extLst>
            <a:ext uri="{FF2B5EF4-FFF2-40B4-BE49-F238E27FC236}">
              <a16:creationId xmlns:a16="http://schemas.microsoft.com/office/drawing/2014/main" id="{00000000-0008-0000-0C00-00004C501000}"/>
            </a:ext>
          </a:extLst>
        </xdr:cNvPr>
        <xdr:cNvSpPr>
          <a:spLocks noChangeShapeType="1"/>
        </xdr:cNvSpPr>
      </xdr:nvSpPr>
      <xdr:spPr bwMode="auto">
        <a:xfrm>
          <a:off x="5841682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66675</xdr:colOff>
      <xdr:row>32</xdr:row>
      <xdr:rowOff>9525</xdr:rowOff>
    </xdr:from>
    <xdr:to>
      <xdr:col>86</xdr:col>
      <xdr:colOff>66675</xdr:colOff>
      <xdr:row>35</xdr:row>
      <xdr:rowOff>19050</xdr:rowOff>
    </xdr:to>
    <xdr:sp macro="" textlink="">
      <xdr:nvSpPr>
        <xdr:cNvPr id="1069133" name="Line 341">
          <a:extLst>
            <a:ext uri="{FF2B5EF4-FFF2-40B4-BE49-F238E27FC236}">
              <a16:creationId xmlns:a16="http://schemas.microsoft.com/office/drawing/2014/main" id="{00000000-0008-0000-0C00-00004D501000}"/>
            </a:ext>
          </a:extLst>
        </xdr:cNvPr>
        <xdr:cNvSpPr>
          <a:spLocks noChangeShapeType="1"/>
        </xdr:cNvSpPr>
      </xdr:nvSpPr>
      <xdr:spPr bwMode="auto">
        <a:xfrm>
          <a:off x="5848350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9525</xdr:colOff>
      <xdr:row>35</xdr:row>
      <xdr:rowOff>0</xdr:rowOff>
    </xdr:from>
    <xdr:to>
      <xdr:col>86</xdr:col>
      <xdr:colOff>66675</xdr:colOff>
      <xdr:row>35</xdr:row>
      <xdr:rowOff>9525</xdr:rowOff>
    </xdr:to>
    <xdr:sp macro="" textlink="">
      <xdr:nvSpPr>
        <xdr:cNvPr id="1069134" name="Line 342">
          <a:extLst>
            <a:ext uri="{FF2B5EF4-FFF2-40B4-BE49-F238E27FC236}">
              <a16:creationId xmlns:a16="http://schemas.microsoft.com/office/drawing/2014/main" id="{00000000-0008-0000-0C00-00004E501000}"/>
            </a:ext>
          </a:extLst>
        </xdr:cNvPr>
        <xdr:cNvSpPr>
          <a:spLocks noChangeShapeType="1"/>
        </xdr:cNvSpPr>
      </xdr:nvSpPr>
      <xdr:spPr bwMode="auto">
        <a:xfrm flipV="1">
          <a:off x="5842635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0</xdr:colOff>
      <xdr:row>38</xdr:row>
      <xdr:rowOff>0</xdr:rowOff>
    </xdr:from>
    <xdr:to>
      <xdr:col>83</xdr:col>
      <xdr:colOff>76200</xdr:colOff>
      <xdr:row>38</xdr:row>
      <xdr:rowOff>9525</xdr:rowOff>
    </xdr:to>
    <xdr:sp macro="" textlink="">
      <xdr:nvSpPr>
        <xdr:cNvPr id="1069135" name="Line 343">
          <a:extLst>
            <a:ext uri="{FF2B5EF4-FFF2-40B4-BE49-F238E27FC236}">
              <a16:creationId xmlns:a16="http://schemas.microsoft.com/office/drawing/2014/main" id="{00000000-0008-0000-0C00-00004F501000}"/>
            </a:ext>
          </a:extLst>
        </xdr:cNvPr>
        <xdr:cNvSpPr>
          <a:spLocks noChangeShapeType="1"/>
        </xdr:cNvSpPr>
      </xdr:nvSpPr>
      <xdr:spPr bwMode="auto">
        <a:xfrm>
          <a:off x="5625465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57150</xdr:colOff>
      <xdr:row>38</xdr:row>
      <xdr:rowOff>0</xdr:rowOff>
    </xdr:from>
    <xdr:to>
      <xdr:col>83</xdr:col>
      <xdr:colOff>57150</xdr:colOff>
      <xdr:row>41</xdr:row>
      <xdr:rowOff>9525</xdr:rowOff>
    </xdr:to>
    <xdr:sp macro="" textlink="">
      <xdr:nvSpPr>
        <xdr:cNvPr id="1069136" name="Line 344">
          <a:extLst>
            <a:ext uri="{FF2B5EF4-FFF2-40B4-BE49-F238E27FC236}">
              <a16:creationId xmlns:a16="http://schemas.microsoft.com/office/drawing/2014/main" id="{00000000-0008-0000-0C00-000050501000}"/>
            </a:ext>
          </a:extLst>
        </xdr:cNvPr>
        <xdr:cNvSpPr>
          <a:spLocks noChangeShapeType="1"/>
        </xdr:cNvSpPr>
      </xdr:nvSpPr>
      <xdr:spPr bwMode="auto">
        <a:xfrm flipH="1">
          <a:off x="56311800" y="7477125"/>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9525</xdr:colOff>
      <xdr:row>41</xdr:row>
      <xdr:rowOff>0</xdr:rowOff>
    </xdr:from>
    <xdr:to>
      <xdr:col>83</xdr:col>
      <xdr:colOff>66675</xdr:colOff>
      <xdr:row>41</xdr:row>
      <xdr:rowOff>9525</xdr:rowOff>
    </xdr:to>
    <xdr:sp macro="" textlink="">
      <xdr:nvSpPr>
        <xdr:cNvPr id="1069137" name="Line 345">
          <a:extLst>
            <a:ext uri="{FF2B5EF4-FFF2-40B4-BE49-F238E27FC236}">
              <a16:creationId xmlns:a16="http://schemas.microsoft.com/office/drawing/2014/main" id="{00000000-0008-0000-0C00-000051501000}"/>
            </a:ext>
          </a:extLst>
        </xdr:cNvPr>
        <xdr:cNvSpPr>
          <a:spLocks noChangeShapeType="1"/>
        </xdr:cNvSpPr>
      </xdr:nvSpPr>
      <xdr:spPr bwMode="auto">
        <a:xfrm flipV="1">
          <a:off x="5626417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38</xdr:row>
      <xdr:rowOff>0</xdr:rowOff>
    </xdr:from>
    <xdr:to>
      <xdr:col>86</xdr:col>
      <xdr:colOff>76200</xdr:colOff>
      <xdr:row>38</xdr:row>
      <xdr:rowOff>9525</xdr:rowOff>
    </xdr:to>
    <xdr:sp macro="" textlink="">
      <xdr:nvSpPr>
        <xdr:cNvPr id="1069138" name="Line 346">
          <a:extLst>
            <a:ext uri="{FF2B5EF4-FFF2-40B4-BE49-F238E27FC236}">
              <a16:creationId xmlns:a16="http://schemas.microsoft.com/office/drawing/2014/main" id="{00000000-0008-0000-0C00-000052501000}"/>
            </a:ext>
          </a:extLst>
        </xdr:cNvPr>
        <xdr:cNvSpPr>
          <a:spLocks noChangeShapeType="1"/>
        </xdr:cNvSpPr>
      </xdr:nvSpPr>
      <xdr:spPr bwMode="auto">
        <a:xfrm>
          <a:off x="5841682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66675</xdr:colOff>
      <xdr:row>38</xdr:row>
      <xdr:rowOff>9525</xdr:rowOff>
    </xdr:from>
    <xdr:to>
      <xdr:col>86</xdr:col>
      <xdr:colOff>66675</xdr:colOff>
      <xdr:row>41</xdr:row>
      <xdr:rowOff>19050</xdr:rowOff>
    </xdr:to>
    <xdr:sp macro="" textlink="">
      <xdr:nvSpPr>
        <xdr:cNvPr id="1069139" name="Line 347">
          <a:extLst>
            <a:ext uri="{FF2B5EF4-FFF2-40B4-BE49-F238E27FC236}">
              <a16:creationId xmlns:a16="http://schemas.microsoft.com/office/drawing/2014/main" id="{00000000-0008-0000-0C00-000053501000}"/>
            </a:ext>
          </a:extLst>
        </xdr:cNvPr>
        <xdr:cNvSpPr>
          <a:spLocks noChangeShapeType="1"/>
        </xdr:cNvSpPr>
      </xdr:nvSpPr>
      <xdr:spPr bwMode="auto">
        <a:xfrm>
          <a:off x="58483500"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9525</xdr:colOff>
      <xdr:row>41</xdr:row>
      <xdr:rowOff>0</xdr:rowOff>
    </xdr:from>
    <xdr:to>
      <xdr:col>86</xdr:col>
      <xdr:colOff>66675</xdr:colOff>
      <xdr:row>41</xdr:row>
      <xdr:rowOff>9525</xdr:rowOff>
    </xdr:to>
    <xdr:sp macro="" textlink="">
      <xdr:nvSpPr>
        <xdr:cNvPr id="1069140" name="Line 348">
          <a:extLst>
            <a:ext uri="{FF2B5EF4-FFF2-40B4-BE49-F238E27FC236}">
              <a16:creationId xmlns:a16="http://schemas.microsoft.com/office/drawing/2014/main" id="{00000000-0008-0000-0C00-000054501000}"/>
            </a:ext>
          </a:extLst>
        </xdr:cNvPr>
        <xdr:cNvSpPr>
          <a:spLocks noChangeShapeType="1"/>
        </xdr:cNvSpPr>
      </xdr:nvSpPr>
      <xdr:spPr bwMode="auto">
        <a:xfrm flipV="1">
          <a:off x="5842635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38</xdr:row>
      <xdr:rowOff>0</xdr:rowOff>
    </xdr:from>
    <xdr:to>
      <xdr:col>89</xdr:col>
      <xdr:colOff>76200</xdr:colOff>
      <xdr:row>38</xdr:row>
      <xdr:rowOff>9525</xdr:rowOff>
    </xdr:to>
    <xdr:sp macro="" textlink="">
      <xdr:nvSpPr>
        <xdr:cNvPr id="1069141" name="Line 349">
          <a:extLst>
            <a:ext uri="{FF2B5EF4-FFF2-40B4-BE49-F238E27FC236}">
              <a16:creationId xmlns:a16="http://schemas.microsoft.com/office/drawing/2014/main" id="{00000000-0008-0000-0C00-000055501000}"/>
            </a:ext>
          </a:extLst>
        </xdr:cNvPr>
        <xdr:cNvSpPr>
          <a:spLocks noChangeShapeType="1"/>
        </xdr:cNvSpPr>
      </xdr:nvSpPr>
      <xdr:spPr bwMode="auto">
        <a:xfrm>
          <a:off x="6051232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66675</xdr:colOff>
      <xdr:row>38</xdr:row>
      <xdr:rowOff>9525</xdr:rowOff>
    </xdr:from>
    <xdr:to>
      <xdr:col>89</xdr:col>
      <xdr:colOff>66675</xdr:colOff>
      <xdr:row>41</xdr:row>
      <xdr:rowOff>19050</xdr:rowOff>
    </xdr:to>
    <xdr:sp macro="" textlink="">
      <xdr:nvSpPr>
        <xdr:cNvPr id="1069142" name="Line 350">
          <a:extLst>
            <a:ext uri="{FF2B5EF4-FFF2-40B4-BE49-F238E27FC236}">
              <a16:creationId xmlns:a16="http://schemas.microsoft.com/office/drawing/2014/main" id="{00000000-0008-0000-0C00-000056501000}"/>
            </a:ext>
          </a:extLst>
        </xdr:cNvPr>
        <xdr:cNvSpPr>
          <a:spLocks noChangeShapeType="1"/>
        </xdr:cNvSpPr>
      </xdr:nvSpPr>
      <xdr:spPr bwMode="auto">
        <a:xfrm>
          <a:off x="60579000"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9525</xdr:colOff>
      <xdr:row>41</xdr:row>
      <xdr:rowOff>0</xdr:rowOff>
    </xdr:from>
    <xdr:to>
      <xdr:col>89</xdr:col>
      <xdr:colOff>66675</xdr:colOff>
      <xdr:row>41</xdr:row>
      <xdr:rowOff>9525</xdr:rowOff>
    </xdr:to>
    <xdr:sp macro="" textlink="">
      <xdr:nvSpPr>
        <xdr:cNvPr id="1069143" name="Line 351">
          <a:extLst>
            <a:ext uri="{FF2B5EF4-FFF2-40B4-BE49-F238E27FC236}">
              <a16:creationId xmlns:a16="http://schemas.microsoft.com/office/drawing/2014/main" id="{00000000-0008-0000-0C00-000057501000}"/>
            </a:ext>
          </a:extLst>
        </xdr:cNvPr>
        <xdr:cNvSpPr>
          <a:spLocks noChangeShapeType="1"/>
        </xdr:cNvSpPr>
      </xdr:nvSpPr>
      <xdr:spPr bwMode="auto">
        <a:xfrm flipV="1">
          <a:off x="6052185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38</xdr:row>
      <xdr:rowOff>0</xdr:rowOff>
    </xdr:from>
    <xdr:to>
      <xdr:col>89</xdr:col>
      <xdr:colOff>76200</xdr:colOff>
      <xdr:row>38</xdr:row>
      <xdr:rowOff>9525</xdr:rowOff>
    </xdr:to>
    <xdr:sp macro="" textlink="">
      <xdr:nvSpPr>
        <xdr:cNvPr id="1069144" name="Line 352">
          <a:extLst>
            <a:ext uri="{FF2B5EF4-FFF2-40B4-BE49-F238E27FC236}">
              <a16:creationId xmlns:a16="http://schemas.microsoft.com/office/drawing/2014/main" id="{00000000-0008-0000-0C00-000058501000}"/>
            </a:ext>
          </a:extLst>
        </xdr:cNvPr>
        <xdr:cNvSpPr>
          <a:spLocks noChangeShapeType="1"/>
        </xdr:cNvSpPr>
      </xdr:nvSpPr>
      <xdr:spPr bwMode="auto">
        <a:xfrm>
          <a:off x="6051232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66675</xdr:colOff>
      <xdr:row>38</xdr:row>
      <xdr:rowOff>9525</xdr:rowOff>
    </xdr:from>
    <xdr:to>
      <xdr:col>89</xdr:col>
      <xdr:colOff>66675</xdr:colOff>
      <xdr:row>41</xdr:row>
      <xdr:rowOff>19050</xdr:rowOff>
    </xdr:to>
    <xdr:sp macro="" textlink="">
      <xdr:nvSpPr>
        <xdr:cNvPr id="1069145" name="Line 353">
          <a:extLst>
            <a:ext uri="{FF2B5EF4-FFF2-40B4-BE49-F238E27FC236}">
              <a16:creationId xmlns:a16="http://schemas.microsoft.com/office/drawing/2014/main" id="{00000000-0008-0000-0C00-000059501000}"/>
            </a:ext>
          </a:extLst>
        </xdr:cNvPr>
        <xdr:cNvSpPr>
          <a:spLocks noChangeShapeType="1"/>
        </xdr:cNvSpPr>
      </xdr:nvSpPr>
      <xdr:spPr bwMode="auto">
        <a:xfrm>
          <a:off x="60579000"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9525</xdr:colOff>
      <xdr:row>41</xdr:row>
      <xdr:rowOff>0</xdr:rowOff>
    </xdr:from>
    <xdr:to>
      <xdr:col>89</xdr:col>
      <xdr:colOff>66675</xdr:colOff>
      <xdr:row>41</xdr:row>
      <xdr:rowOff>9525</xdr:rowOff>
    </xdr:to>
    <xdr:sp macro="" textlink="">
      <xdr:nvSpPr>
        <xdr:cNvPr id="1069146" name="Line 354">
          <a:extLst>
            <a:ext uri="{FF2B5EF4-FFF2-40B4-BE49-F238E27FC236}">
              <a16:creationId xmlns:a16="http://schemas.microsoft.com/office/drawing/2014/main" id="{00000000-0008-0000-0C00-00005A501000}"/>
            </a:ext>
          </a:extLst>
        </xdr:cNvPr>
        <xdr:cNvSpPr>
          <a:spLocks noChangeShapeType="1"/>
        </xdr:cNvSpPr>
      </xdr:nvSpPr>
      <xdr:spPr bwMode="auto">
        <a:xfrm flipV="1">
          <a:off x="6052185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66675</xdr:colOff>
      <xdr:row>39</xdr:row>
      <xdr:rowOff>114300</xdr:rowOff>
    </xdr:from>
    <xdr:to>
      <xdr:col>90</xdr:col>
      <xdr:colOff>0</xdr:colOff>
      <xdr:row>41</xdr:row>
      <xdr:rowOff>0</xdr:rowOff>
    </xdr:to>
    <xdr:sp macro="" textlink="">
      <xdr:nvSpPr>
        <xdr:cNvPr id="1069147" name="Line 355">
          <a:extLst>
            <a:ext uri="{FF2B5EF4-FFF2-40B4-BE49-F238E27FC236}">
              <a16:creationId xmlns:a16="http://schemas.microsoft.com/office/drawing/2014/main" id="{00000000-0008-0000-0C00-00005B501000}"/>
            </a:ext>
          </a:extLst>
        </xdr:cNvPr>
        <xdr:cNvSpPr>
          <a:spLocks noChangeShapeType="1"/>
        </xdr:cNvSpPr>
      </xdr:nvSpPr>
      <xdr:spPr bwMode="auto">
        <a:xfrm>
          <a:off x="60579000" y="7772400"/>
          <a:ext cx="342900" cy="2476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89</xdr:col>
      <xdr:colOff>0</xdr:colOff>
      <xdr:row>38</xdr:row>
      <xdr:rowOff>0</xdr:rowOff>
    </xdr:from>
    <xdr:to>
      <xdr:col>89</xdr:col>
      <xdr:colOff>76200</xdr:colOff>
      <xdr:row>38</xdr:row>
      <xdr:rowOff>9525</xdr:rowOff>
    </xdr:to>
    <xdr:sp macro="" textlink="">
      <xdr:nvSpPr>
        <xdr:cNvPr id="1069148" name="Line 356">
          <a:extLst>
            <a:ext uri="{FF2B5EF4-FFF2-40B4-BE49-F238E27FC236}">
              <a16:creationId xmlns:a16="http://schemas.microsoft.com/office/drawing/2014/main" id="{00000000-0008-0000-0C00-00005C501000}"/>
            </a:ext>
          </a:extLst>
        </xdr:cNvPr>
        <xdr:cNvSpPr>
          <a:spLocks noChangeShapeType="1"/>
        </xdr:cNvSpPr>
      </xdr:nvSpPr>
      <xdr:spPr bwMode="auto">
        <a:xfrm>
          <a:off x="6051232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9525</xdr:colOff>
      <xdr:row>41</xdr:row>
      <xdr:rowOff>0</xdr:rowOff>
    </xdr:from>
    <xdr:to>
      <xdr:col>89</xdr:col>
      <xdr:colOff>66675</xdr:colOff>
      <xdr:row>41</xdr:row>
      <xdr:rowOff>9525</xdr:rowOff>
    </xdr:to>
    <xdr:sp macro="" textlink="">
      <xdr:nvSpPr>
        <xdr:cNvPr id="1069149" name="Line 358">
          <a:extLst>
            <a:ext uri="{FF2B5EF4-FFF2-40B4-BE49-F238E27FC236}">
              <a16:creationId xmlns:a16="http://schemas.microsoft.com/office/drawing/2014/main" id="{00000000-0008-0000-0C00-00005D501000}"/>
            </a:ext>
          </a:extLst>
        </xdr:cNvPr>
        <xdr:cNvSpPr>
          <a:spLocks noChangeShapeType="1"/>
        </xdr:cNvSpPr>
      </xdr:nvSpPr>
      <xdr:spPr bwMode="auto">
        <a:xfrm flipV="1">
          <a:off x="6052185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66675</xdr:colOff>
      <xdr:row>37</xdr:row>
      <xdr:rowOff>161925</xdr:rowOff>
    </xdr:from>
    <xdr:to>
      <xdr:col>89</xdr:col>
      <xdr:colOff>400050</xdr:colOff>
      <xdr:row>39</xdr:row>
      <xdr:rowOff>114300</xdr:rowOff>
    </xdr:to>
    <xdr:sp macro="" textlink="">
      <xdr:nvSpPr>
        <xdr:cNvPr id="1069150" name="Line 359">
          <a:extLst>
            <a:ext uri="{FF2B5EF4-FFF2-40B4-BE49-F238E27FC236}">
              <a16:creationId xmlns:a16="http://schemas.microsoft.com/office/drawing/2014/main" id="{00000000-0008-0000-0C00-00005E501000}"/>
            </a:ext>
          </a:extLst>
        </xdr:cNvPr>
        <xdr:cNvSpPr>
          <a:spLocks noChangeShapeType="1"/>
        </xdr:cNvSpPr>
      </xdr:nvSpPr>
      <xdr:spPr bwMode="auto">
        <a:xfrm flipV="1">
          <a:off x="60579000" y="7458075"/>
          <a:ext cx="333375" cy="3143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86</xdr:col>
      <xdr:colOff>0</xdr:colOff>
      <xdr:row>38</xdr:row>
      <xdr:rowOff>0</xdr:rowOff>
    </xdr:from>
    <xdr:to>
      <xdr:col>86</xdr:col>
      <xdr:colOff>76200</xdr:colOff>
      <xdr:row>38</xdr:row>
      <xdr:rowOff>9525</xdr:rowOff>
    </xdr:to>
    <xdr:sp macro="" textlink="">
      <xdr:nvSpPr>
        <xdr:cNvPr id="1069151" name="Line 360">
          <a:extLst>
            <a:ext uri="{FF2B5EF4-FFF2-40B4-BE49-F238E27FC236}">
              <a16:creationId xmlns:a16="http://schemas.microsoft.com/office/drawing/2014/main" id="{00000000-0008-0000-0C00-00005F501000}"/>
            </a:ext>
          </a:extLst>
        </xdr:cNvPr>
        <xdr:cNvSpPr>
          <a:spLocks noChangeShapeType="1"/>
        </xdr:cNvSpPr>
      </xdr:nvSpPr>
      <xdr:spPr bwMode="auto">
        <a:xfrm>
          <a:off x="5841682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57150</xdr:colOff>
      <xdr:row>38</xdr:row>
      <xdr:rowOff>9525</xdr:rowOff>
    </xdr:from>
    <xdr:to>
      <xdr:col>86</xdr:col>
      <xdr:colOff>66675</xdr:colOff>
      <xdr:row>41</xdr:row>
      <xdr:rowOff>0</xdr:rowOff>
    </xdr:to>
    <xdr:sp macro="" textlink="">
      <xdr:nvSpPr>
        <xdr:cNvPr id="1069152" name="Line 361">
          <a:extLst>
            <a:ext uri="{FF2B5EF4-FFF2-40B4-BE49-F238E27FC236}">
              <a16:creationId xmlns:a16="http://schemas.microsoft.com/office/drawing/2014/main" id="{00000000-0008-0000-0C00-000060501000}"/>
            </a:ext>
          </a:extLst>
        </xdr:cNvPr>
        <xdr:cNvSpPr>
          <a:spLocks noChangeShapeType="1"/>
        </xdr:cNvSpPr>
      </xdr:nvSpPr>
      <xdr:spPr bwMode="auto">
        <a:xfrm flipH="1">
          <a:off x="58473975" y="7486650"/>
          <a:ext cx="9525"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9525</xdr:colOff>
      <xdr:row>41</xdr:row>
      <xdr:rowOff>0</xdr:rowOff>
    </xdr:from>
    <xdr:to>
      <xdr:col>86</xdr:col>
      <xdr:colOff>66675</xdr:colOff>
      <xdr:row>41</xdr:row>
      <xdr:rowOff>9525</xdr:rowOff>
    </xdr:to>
    <xdr:sp macro="" textlink="">
      <xdr:nvSpPr>
        <xdr:cNvPr id="1069153" name="Line 362">
          <a:extLst>
            <a:ext uri="{FF2B5EF4-FFF2-40B4-BE49-F238E27FC236}">
              <a16:creationId xmlns:a16="http://schemas.microsoft.com/office/drawing/2014/main" id="{00000000-0008-0000-0C00-000061501000}"/>
            </a:ext>
          </a:extLst>
        </xdr:cNvPr>
        <xdr:cNvSpPr>
          <a:spLocks noChangeShapeType="1"/>
        </xdr:cNvSpPr>
      </xdr:nvSpPr>
      <xdr:spPr bwMode="auto">
        <a:xfrm flipV="1">
          <a:off x="5842635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66675</xdr:colOff>
      <xdr:row>39</xdr:row>
      <xdr:rowOff>85725</xdr:rowOff>
    </xdr:from>
    <xdr:to>
      <xdr:col>84</xdr:col>
      <xdr:colOff>9525</xdr:colOff>
      <xdr:row>44</xdr:row>
      <xdr:rowOff>19050</xdr:rowOff>
    </xdr:to>
    <xdr:sp macro="" textlink="">
      <xdr:nvSpPr>
        <xdr:cNvPr id="1069154" name="Line 363">
          <a:extLst>
            <a:ext uri="{FF2B5EF4-FFF2-40B4-BE49-F238E27FC236}">
              <a16:creationId xmlns:a16="http://schemas.microsoft.com/office/drawing/2014/main" id="{00000000-0008-0000-0C00-000062501000}"/>
            </a:ext>
          </a:extLst>
        </xdr:cNvPr>
        <xdr:cNvSpPr>
          <a:spLocks noChangeShapeType="1"/>
        </xdr:cNvSpPr>
      </xdr:nvSpPr>
      <xdr:spPr bwMode="auto">
        <a:xfrm>
          <a:off x="56321325" y="7743825"/>
          <a:ext cx="39052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86</xdr:col>
      <xdr:colOff>57150</xdr:colOff>
      <xdr:row>39</xdr:row>
      <xdr:rowOff>76200</xdr:rowOff>
    </xdr:from>
    <xdr:to>
      <xdr:col>86</xdr:col>
      <xdr:colOff>400050</xdr:colOff>
      <xdr:row>44</xdr:row>
      <xdr:rowOff>28575</xdr:rowOff>
    </xdr:to>
    <xdr:sp macro="" textlink="">
      <xdr:nvSpPr>
        <xdr:cNvPr id="1069155" name="Line 364">
          <a:extLst>
            <a:ext uri="{FF2B5EF4-FFF2-40B4-BE49-F238E27FC236}">
              <a16:creationId xmlns:a16="http://schemas.microsoft.com/office/drawing/2014/main" id="{00000000-0008-0000-0C00-000063501000}"/>
            </a:ext>
          </a:extLst>
        </xdr:cNvPr>
        <xdr:cNvSpPr>
          <a:spLocks noChangeShapeType="1"/>
        </xdr:cNvSpPr>
      </xdr:nvSpPr>
      <xdr:spPr bwMode="auto">
        <a:xfrm>
          <a:off x="58473975" y="7734300"/>
          <a:ext cx="342900" cy="8572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83</xdr:col>
      <xdr:colOff>0</xdr:colOff>
      <xdr:row>14</xdr:row>
      <xdr:rowOff>0</xdr:rowOff>
    </xdr:from>
    <xdr:to>
      <xdr:col>83</xdr:col>
      <xdr:colOff>76200</xdr:colOff>
      <xdr:row>14</xdr:row>
      <xdr:rowOff>9525</xdr:rowOff>
    </xdr:to>
    <xdr:sp macro="" textlink="">
      <xdr:nvSpPr>
        <xdr:cNvPr id="1069156" name="Line 365">
          <a:extLst>
            <a:ext uri="{FF2B5EF4-FFF2-40B4-BE49-F238E27FC236}">
              <a16:creationId xmlns:a16="http://schemas.microsoft.com/office/drawing/2014/main" id="{00000000-0008-0000-0C00-000064501000}"/>
            </a:ext>
          </a:extLst>
        </xdr:cNvPr>
        <xdr:cNvSpPr>
          <a:spLocks noChangeShapeType="1"/>
        </xdr:cNvSpPr>
      </xdr:nvSpPr>
      <xdr:spPr bwMode="auto">
        <a:xfrm>
          <a:off x="5625465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66675</xdr:colOff>
      <xdr:row>14</xdr:row>
      <xdr:rowOff>9525</xdr:rowOff>
    </xdr:from>
    <xdr:to>
      <xdr:col>83</xdr:col>
      <xdr:colOff>66675</xdr:colOff>
      <xdr:row>17</xdr:row>
      <xdr:rowOff>19050</xdr:rowOff>
    </xdr:to>
    <xdr:sp macro="" textlink="">
      <xdr:nvSpPr>
        <xdr:cNvPr id="1069157" name="Line 366">
          <a:extLst>
            <a:ext uri="{FF2B5EF4-FFF2-40B4-BE49-F238E27FC236}">
              <a16:creationId xmlns:a16="http://schemas.microsoft.com/office/drawing/2014/main" id="{00000000-0008-0000-0C00-000065501000}"/>
            </a:ext>
          </a:extLst>
        </xdr:cNvPr>
        <xdr:cNvSpPr>
          <a:spLocks noChangeShapeType="1"/>
        </xdr:cNvSpPr>
      </xdr:nvSpPr>
      <xdr:spPr bwMode="auto">
        <a:xfrm>
          <a:off x="5632132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9525</xdr:colOff>
      <xdr:row>17</xdr:row>
      <xdr:rowOff>0</xdr:rowOff>
    </xdr:from>
    <xdr:to>
      <xdr:col>83</xdr:col>
      <xdr:colOff>66675</xdr:colOff>
      <xdr:row>17</xdr:row>
      <xdr:rowOff>9525</xdr:rowOff>
    </xdr:to>
    <xdr:sp macro="" textlink="">
      <xdr:nvSpPr>
        <xdr:cNvPr id="1069158" name="Line 367">
          <a:extLst>
            <a:ext uri="{FF2B5EF4-FFF2-40B4-BE49-F238E27FC236}">
              <a16:creationId xmlns:a16="http://schemas.microsoft.com/office/drawing/2014/main" id="{00000000-0008-0000-0C00-000066501000}"/>
            </a:ext>
          </a:extLst>
        </xdr:cNvPr>
        <xdr:cNvSpPr>
          <a:spLocks noChangeShapeType="1"/>
        </xdr:cNvSpPr>
      </xdr:nvSpPr>
      <xdr:spPr bwMode="auto">
        <a:xfrm flipV="1">
          <a:off x="5626417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14</xdr:row>
      <xdr:rowOff>0</xdr:rowOff>
    </xdr:from>
    <xdr:to>
      <xdr:col>86</xdr:col>
      <xdr:colOff>76200</xdr:colOff>
      <xdr:row>14</xdr:row>
      <xdr:rowOff>9525</xdr:rowOff>
    </xdr:to>
    <xdr:sp macro="" textlink="">
      <xdr:nvSpPr>
        <xdr:cNvPr id="1069159" name="Line 368">
          <a:extLst>
            <a:ext uri="{FF2B5EF4-FFF2-40B4-BE49-F238E27FC236}">
              <a16:creationId xmlns:a16="http://schemas.microsoft.com/office/drawing/2014/main" id="{00000000-0008-0000-0C00-000067501000}"/>
            </a:ext>
          </a:extLst>
        </xdr:cNvPr>
        <xdr:cNvSpPr>
          <a:spLocks noChangeShapeType="1"/>
        </xdr:cNvSpPr>
      </xdr:nvSpPr>
      <xdr:spPr bwMode="auto">
        <a:xfrm>
          <a:off x="5841682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9525</xdr:colOff>
      <xdr:row>17</xdr:row>
      <xdr:rowOff>0</xdr:rowOff>
    </xdr:from>
    <xdr:to>
      <xdr:col>86</xdr:col>
      <xdr:colOff>66675</xdr:colOff>
      <xdr:row>17</xdr:row>
      <xdr:rowOff>9525</xdr:rowOff>
    </xdr:to>
    <xdr:sp macro="" textlink="">
      <xdr:nvSpPr>
        <xdr:cNvPr id="1069160" name="Line 370">
          <a:extLst>
            <a:ext uri="{FF2B5EF4-FFF2-40B4-BE49-F238E27FC236}">
              <a16:creationId xmlns:a16="http://schemas.microsoft.com/office/drawing/2014/main" id="{00000000-0008-0000-0C00-000068501000}"/>
            </a:ext>
          </a:extLst>
        </xdr:cNvPr>
        <xdr:cNvSpPr>
          <a:spLocks noChangeShapeType="1"/>
        </xdr:cNvSpPr>
      </xdr:nvSpPr>
      <xdr:spPr bwMode="auto">
        <a:xfrm flipV="1">
          <a:off x="5842635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14</xdr:row>
      <xdr:rowOff>0</xdr:rowOff>
    </xdr:from>
    <xdr:to>
      <xdr:col>89</xdr:col>
      <xdr:colOff>76200</xdr:colOff>
      <xdr:row>14</xdr:row>
      <xdr:rowOff>9525</xdr:rowOff>
    </xdr:to>
    <xdr:sp macro="" textlink="">
      <xdr:nvSpPr>
        <xdr:cNvPr id="1069161" name="Line 371">
          <a:extLst>
            <a:ext uri="{FF2B5EF4-FFF2-40B4-BE49-F238E27FC236}">
              <a16:creationId xmlns:a16="http://schemas.microsoft.com/office/drawing/2014/main" id="{00000000-0008-0000-0C00-000069501000}"/>
            </a:ext>
          </a:extLst>
        </xdr:cNvPr>
        <xdr:cNvSpPr>
          <a:spLocks noChangeShapeType="1"/>
        </xdr:cNvSpPr>
      </xdr:nvSpPr>
      <xdr:spPr bwMode="auto">
        <a:xfrm>
          <a:off x="6051232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66675</xdr:colOff>
      <xdr:row>14</xdr:row>
      <xdr:rowOff>9525</xdr:rowOff>
    </xdr:from>
    <xdr:to>
      <xdr:col>89</xdr:col>
      <xdr:colOff>66675</xdr:colOff>
      <xdr:row>17</xdr:row>
      <xdr:rowOff>19050</xdr:rowOff>
    </xdr:to>
    <xdr:sp macro="" textlink="">
      <xdr:nvSpPr>
        <xdr:cNvPr id="1069162" name="Line 372">
          <a:extLst>
            <a:ext uri="{FF2B5EF4-FFF2-40B4-BE49-F238E27FC236}">
              <a16:creationId xmlns:a16="http://schemas.microsoft.com/office/drawing/2014/main" id="{00000000-0008-0000-0C00-00006A501000}"/>
            </a:ext>
          </a:extLst>
        </xdr:cNvPr>
        <xdr:cNvSpPr>
          <a:spLocks noChangeShapeType="1"/>
        </xdr:cNvSpPr>
      </xdr:nvSpPr>
      <xdr:spPr bwMode="auto">
        <a:xfrm>
          <a:off x="6057900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9525</xdr:colOff>
      <xdr:row>17</xdr:row>
      <xdr:rowOff>0</xdr:rowOff>
    </xdr:from>
    <xdr:to>
      <xdr:col>89</xdr:col>
      <xdr:colOff>66675</xdr:colOff>
      <xdr:row>17</xdr:row>
      <xdr:rowOff>9525</xdr:rowOff>
    </xdr:to>
    <xdr:sp macro="" textlink="">
      <xdr:nvSpPr>
        <xdr:cNvPr id="1069163" name="Line 373">
          <a:extLst>
            <a:ext uri="{FF2B5EF4-FFF2-40B4-BE49-F238E27FC236}">
              <a16:creationId xmlns:a16="http://schemas.microsoft.com/office/drawing/2014/main" id="{00000000-0008-0000-0C00-00006B501000}"/>
            </a:ext>
          </a:extLst>
        </xdr:cNvPr>
        <xdr:cNvSpPr>
          <a:spLocks noChangeShapeType="1"/>
        </xdr:cNvSpPr>
      </xdr:nvSpPr>
      <xdr:spPr bwMode="auto">
        <a:xfrm flipV="1">
          <a:off x="6052185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14</xdr:row>
      <xdr:rowOff>0</xdr:rowOff>
    </xdr:from>
    <xdr:to>
      <xdr:col>89</xdr:col>
      <xdr:colOff>76200</xdr:colOff>
      <xdr:row>14</xdr:row>
      <xdr:rowOff>9525</xdr:rowOff>
    </xdr:to>
    <xdr:sp macro="" textlink="">
      <xdr:nvSpPr>
        <xdr:cNvPr id="1069164" name="Line 374">
          <a:extLst>
            <a:ext uri="{FF2B5EF4-FFF2-40B4-BE49-F238E27FC236}">
              <a16:creationId xmlns:a16="http://schemas.microsoft.com/office/drawing/2014/main" id="{00000000-0008-0000-0C00-00006C501000}"/>
            </a:ext>
          </a:extLst>
        </xdr:cNvPr>
        <xdr:cNvSpPr>
          <a:spLocks noChangeShapeType="1"/>
        </xdr:cNvSpPr>
      </xdr:nvSpPr>
      <xdr:spPr bwMode="auto">
        <a:xfrm>
          <a:off x="6051232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66675</xdr:colOff>
      <xdr:row>14</xdr:row>
      <xdr:rowOff>9525</xdr:rowOff>
    </xdr:from>
    <xdr:to>
      <xdr:col>89</xdr:col>
      <xdr:colOff>66675</xdr:colOff>
      <xdr:row>17</xdr:row>
      <xdr:rowOff>19050</xdr:rowOff>
    </xdr:to>
    <xdr:sp macro="" textlink="">
      <xdr:nvSpPr>
        <xdr:cNvPr id="1069165" name="Line 375">
          <a:extLst>
            <a:ext uri="{FF2B5EF4-FFF2-40B4-BE49-F238E27FC236}">
              <a16:creationId xmlns:a16="http://schemas.microsoft.com/office/drawing/2014/main" id="{00000000-0008-0000-0C00-00006D501000}"/>
            </a:ext>
          </a:extLst>
        </xdr:cNvPr>
        <xdr:cNvSpPr>
          <a:spLocks noChangeShapeType="1"/>
        </xdr:cNvSpPr>
      </xdr:nvSpPr>
      <xdr:spPr bwMode="auto">
        <a:xfrm>
          <a:off x="6057900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9525</xdr:colOff>
      <xdr:row>17</xdr:row>
      <xdr:rowOff>0</xdr:rowOff>
    </xdr:from>
    <xdr:to>
      <xdr:col>89</xdr:col>
      <xdr:colOff>66675</xdr:colOff>
      <xdr:row>17</xdr:row>
      <xdr:rowOff>9525</xdr:rowOff>
    </xdr:to>
    <xdr:sp macro="" textlink="">
      <xdr:nvSpPr>
        <xdr:cNvPr id="1069166" name="Line 376">
          <a:extLst>
            <a:ext uri="{FF2B5EF4-FFF2-40B4-BE49-F238E27FC236}">
              <a16:creationId xmlns:a16="http://schemas.microsoft.com/office/drawing/2014/main" id="{00000000-0008-0000-0C00-00006E501000}"/>
            </a:ext>
          </a:extLst>
        </xdr:cNvPr>
        <xdr:cNvSpPr>
          <a:spLocks noChangeShapeType="1"/>
        </xdr:cNvSpPr>
      </xdr:nvSpPr>
      <xdr:spPr bwMode="auto">
        <a:xfrm flipV="1">
          <a:off x="6052185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76200</xdr:colOff>
      <xdr:row>15</xdr:row>
      <xdr:rowOff>66675</xdr:rowOff>
    </xdr:from>
    <xdr:to>
      <xdr:col>90</xdr:col>
      <xdr:colOff>9525</xdr:colOff>
      <xdr:row>17</xdr:row>
      <xdr:rowOff>19050</xdr:rowOff>
    </xdr:to>
    <xdr:sp macro="" textlink="">
      <xdr:nvSpPr>
        <xdr:cNvPr id="1069167" name="Line 377">
          <a:extLst>
            <a:ext uri="{FF2B5EF4-FFF2-40B4-BE49-F238E27FC236}">
              <a16:creationId xmlns:a16="http://schemas.microsoft.com/office/drawing/2014/main" id="{00000000-0008-0000-0C00-00006F501000}"/>
            </a:ext>
          </a:extLst>
        </xdr:cNvPr>
        <xdr:cNvSpPr>
          <a:spLocks noChangeShapeType="1"/>
        </xdr:cNvSpPr>
      </xdr:nvSpPr>
      <xdr:spPr bwMode="auto">
        <a:xfrm>
          <a:off x="60588525" y="33813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89</xdr:col>
      <xdr:colOff>0</xdr:colOff>
      <xdr:row>14</xdr:row>
      <xdr:rowOff>0</xdr:rowOff>
    </xdr:from>
    <xdr:to>
      <xdr:col>89</xdr:col>
      <xdr:colOff>76200</xdr:colOff>
      <xdr:row>14</xdr:row>
      <xdr:rowOff>9525</xdr:rowOff>
    </xdr:to>
    <xdr:sp macro="" textlink="">
      <xdr:nvSpPr>
        <xdr:cNvPr id="1069168" name="Line 378">
          <a:extLst>
            <a:ext uri="{FF2B5EF4-FFF2-40B4-BE49-F238E27FC236}">
              <a16:creationId xmlns:a16="http://schemas.microsoft.com/office/drawing/2014/main" id="{00000000-0008-0000-0C00-000070501000}"/>
            </a:ext>
          </a:extLst>
        </xdr:cNvPr>
        <xdr:cNvSpPr>
          <a:spLocks noChangeShapeType="1"/>
        </xdr:cNvSpPr>
      </xdr:nvSpPr>
      <xdr:spPr bwMode="auto">
        <a:xfrm>
          <a:off x="6051232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66675</xdr:colOff>
      <xdr:row>14</xdr:row>
      <xdr:rowOff>9525</xdr:rowOff>
    </xdr:from>
    <xdr:to>
      <xdr:col>89</xdr:col>
      <xdr:colOff>66675</xdr:colOff>
      <xdr:row>17</xdr:row>
      <xdr:rowOff>19050</xdr:rowOff>
    </xdr:to>
    <xdr:sp macro="" textlink="">
      <xdr:nvSpPr>
        <xdr:cNvPr id="1069169" name="Line 379">
          <a:extLst>
            <a:ext uri="{FF2B5EF4-FFF2-40B4-BE49-F238E27FC236}">
              <a16:creationId xmlns:a16="http://schemas.microsoft.com/office/drawing/2014/main" id="{00000000-0008-0000-0C00-000071501000}"/>
            </a:ext>
          </a:extLst>
        </xdr:cNvPr>
        <xdr:cNvSpPr>
          <a:spLocks noChangeShapeType="1"/>
        </xdr:cNvSpPr>
      </xdr:nvSpPr>
      <xdr:spPr bwMode="auto">
        <a:xfrm>
          <a:off x="6057900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9525</xdr:colOff>
      <xdr:row>17</xdr:row>
      <xdr:rowOff>0</xdr:rowOff>
    </xdr:from>
    <xdr:to>
      <xdr:col>89</xdr:col>
      <xdr:colOff>66675</xdr:colOff>
      <xdr:row>17</xdr:row>
      <xdr:rowOff>9525</xdr:rowOff>
    </xdr:to>
    <xdr:sp macro="" textlink="">
      <xdr:nvSpPr>
        <xdr:cNvPr id="1069170" name="Line 380">
          <a:extLst>
            <a:ext uri="{FF2B5EF4-FFF2-40B4-BE49-F238E27FC236}">
              <a16:creationId xmlns:a16="http://schemas.microsoft.com/office/drawing/2014/main" id="{00000000-0008-0000-0C00-000072501000}"/>
            </a:ext>
          </a:extLst>
        </xdr:cNvPr>
        <xdr:cNvSpPr>
          <a:spLocks noChangeShapeType="1"/>
        </xdr:cNvSpPr>
      </xdr:nvSpPr>
      <xdr:spPr bwMode="auto">
        <a:xfrm flipV="1">
          <a:off x="6052185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14</xdr:row>
      <xdr:rowOff>0</xdr:rowOff>
    </xdr:from>
    <xdr:to>
      <xdr:col>86</xdr:col>
      <xdr:colOff>76200</xdr:colOff>
      <xdr:row>14</xdr:row>
      <xdr:rowOff>9525</xdr:rowOff>
    </xdr:to>
    <xdr:sp macro="" textlink="">
      <xdr:nvSpPr>
        <xdr:cNvPr id="1069171" name="Line 382">
          <a:extLst>
            <a:ext uri="{FF2B5EF4-FFF2-40B4-BE49-F238E27FC236}">
              <a16:creationId xmlns:a16="http://schemas.microsoft.com/office/drawing/2014/main" id="{00000000-0008-0000-0C00-000073501000}"/>
            </a:ext>
          </a:extLst>
        </xdr:cNvPr>
        <xdr:cNvSpPr>
          <a:spLocks noChangeShapeType="1"/>
        </xdr:cNvSpPr>
      </xdr:nvSpPr>
      <xdr:spPr bwMode="auto">
        <a:xfrm>
          <a:off x="5841682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9525</xdr:colOff>
      <xdr:row>17</xdr:row>
      <xdr:rowOff>0</xdr:rowOff>
    </xdr:from>
    <xdr:to>
      <xdr:col>86</xdr:col>
      <xdr:colOff>66675</xdr:colOff>
      <xdr:row>17</xdr:row>
      <xdr:rowOff>9525</xdr:rowOff>
    </xdr:to>
    <xdr:sp macro="" textlink="">
      <xdr:nvSpPr>
        <xdr:cNvPr id="1069172" name="Line 384">
          <a:extLst>
            <a:ext uri="{FF2B5EF4-FFF2-40B4-BE49-F238E27FC236}">
              <a16:creationId xmlns:a16="http://schemas.microsoft.com/office/drawing/2014/main" id="{00000000-0008-0000-0C00-000074501000}"/>
            </a:ext>
          </a:extLst>
        </xdr:cNvPr>
        <xdr:cNvSpPr>
          <a:spLocks noChangeShapeType="1"/>
        </xdr:cNvSpPr>
      </xdr:nvSpPr>
      <xdr:spPr bwMode="auto">
        <a:xfrm flipV="1">
          <a:off x="5842635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66675</xdr:colOff>
      <xdr:row>16</xdr:row>
      <xdr:rowOff>142875</xdr:rowOff>
    </xdr:from>
    <xdr:to>
      <xdr:col>83</xdr:col>
      <xdr:colOff>438150</xdr:colOff>
      <xdr:row>21</xdr:row>
      <xdr:rowOff>76200</xdr:rowOff>
    </xdr:to>
    <xdr:sp macro="" textlink="">
      <xdr:nvSpPr>
        <xdr:cNvPr id="1069173" name="Line 386">
          <a:extLst>
            <a:ext uri="{FF2B5EF4-FFF2-40B4-BE49-F238E27FC236}">
              <a16:creationId xmlns:a16="http://schemas.microsoft.com/office/drawing/2014/main" id="{00000000-0008-0000-0C00-000075501000}"/>
            </a:ext>
          </a:extLst>
        </xdr:cNvPr>
        <xdr:cNvSpPr>
          <a:spLocks noChangeShapeType="1"/>
        </xdr:cNvSpPr>
      </xdr:nvSpPr>
      <xdr:spPr bwMode="auto">
        <a:xfrm flipV="1">
          <a:off x="56321325" y="3638550"/>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83</xdr:col>
      <xdr:colOff>66675</xdr:colOff>
      <xdr:row>21</xdr:row>
      <xdr:rowOff>95250</xdr:rowOff>
    </xdr:from>
    <xdr:to>
      <xdr:col>84</xdr:col>
      <xdr:colOff>0</xdr:colOff>
      <xdr:row>25</xdr:row>
      <xdr:rowOff>171450</xdr:rowOff>
    </xdr:to>
    <xdr:sp macro="" textlink="">
      <xdr:nvSpPr>
        <xdr:cNvPr id="1069174" name="Line 387">
          <a:extLst>
            <a:ext uri="{FF2B5EF4-FFF2-40B4-BE49-F238E27FC236}">
              <a16:creationId xmlns:a16="http://schemas.microsoft.com/office/drawing/2014/main" id="{00000000-0008-0000-0C00-000076501000}"/>
            </a:ext>
          </a:extLst>
        </xdr:cNvPr>
        <xdr:cNvSpPr>
          <a:spLocks noChangeShapeType="1"/>
        </xdr:cNvSpPr>
      </xdr:nvSpPr>
      <xdr:spPr bwMode="auto">
        <a:xfrm>
          <a:off x="56321325" y="4495800"/>
          <a:ext cx="3810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83</xdr:col>
      <xdr:colOff>66675</xdr:colOff>
      <xdr:row>22</xdr:row>
      <xdr:rowOff>161925</xdr:rowOff>
    </xdr:from>
    <xdr:to>
      <xdr:col>83</xdr:col>
      <xdr:colOff>438150</xdr:colOff>
      <xdr:row>27</xdr:row>
      <xdr:rowOff>95250</xdr:rowOff>
    </xdr:to>
    <xdr:sp macro="" textlink="">
      <xdr:nvSpPr>
        <xdr:cNvPr id="1069175" name="Line 388">
          <a:extLst>
            <a:ext uri="{FF2B5EF4-FFF2-40B4-BE49-F238E27FC236}">
              <a16:creationId xmlns:a16="http://schemas.microsoft.com/office/drawing/2014/main" id="{00000000-0008-0000-0C00-000077501000}"/>
            </a:ext>
          </a:extLst>
        </xdr:cNvPr>
        <xdr:cNvSpPr>
          <a:spLocks noChangeShapeType="1"/>
        </xdr:cNvSpPr>
      </xdr:nvSpPr>
      <xdr:spPr bwMode="auto">
        <a:xfrm flipV="1">
          <a:off x="56321325" y="4743450"/>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83</xdr:col>
      <xdr:colOff>66675</xdr:colOff>
      <xdr:row>27</xdr:row>
      <xdr:rowOff>95250</xdr:rowOff>
    </xdr:from>
    <xdr:to>
      <xdr:col>84</xdr:col>
      <xdr:colOff>0</xdr:colOff>
      <xdr:row>31</xdr:row>
      <xdr:rowOff>171450</xdr:rowOff>
    </xdr:to>
    <xdr:sp macro="" textlink="">
      <xdr:nvSpPr>
        <xdr:cNvPr id="1069176" name="Line 389">
          <a:extLst>
            <a:ext uri="{FF2B5EF4-FFF2-40B4-BE49-F238E27FC236}">
              <a16:creationId xmlns:a16="http://schemas.microsoft.com/office/drawing/2014/main" id="{00000000-0008-0000-0C00-000078501000}"/>
            </a:ext>
          </a:extLst>
        </xdr:cNvPr>
        <xdr:cNvSpPr>
          <a:spLocks noChangeShapeType="1"/>
        </xdr:cNvSpPr>
      </xdr:nvSpPr>
      <xdr:spPr bwMode="auto">
        <a:xfrm>
          <a:off x="56321325" y="5581650"/>
          <a:ext cx="3810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83</xdr:col>
      <xdr:colOff>66675</xdr:colOff>
      <xdr:row>33</xdr:row>
      <xdr:rowOff>57150</xdr:rowOff>
    </xdr:from>
    <xdr:to>
      <xdr:col>84</xdr:col>
      <xdr:colOff>0</xdr:colOff>
      <xdr:row>38</xdr:row>
      <xdr:rowOff>19050</xdr:rowOff>
    </xdr:to>
    <xdr:sp macro="" textlink="">
      <xdr:nvSpPr>
        <xdr:cNvPr id="1069177" name="Line 390">
          <a:extLst>
            <a:ext uri="{FF2B5EF4-FFF2-40B4-BE49-F238E27FC236}">
              <a16:creationId xmlns:a16="http://schemas.microsoft.com/office/drawing/2014/main" id="{00000000-0008-0000-0C00-000079501000}"/>
            </a:ext>
          </a:extLst>
        </xdr:cNvPr>
        <xdr:cNvSpPr>
          <a:spLocks noChangeShapeType="1"/>
        </xdr:cNvSpPr>
      </xdr:nvSpPr>
      <xdr:spPr bwMode="auto">
        <a:xfrm>
          <a:off x="56321325" y="6629400"/>
          <a:ext cx="38100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83</xdr:col>
      <xdr:colOff>66675</xdr:colOff>
      <xdr:row>28</xdr:row>
      <xdr:rowOff>152400</xdr:rowOff>
    </xdr:from>
    <xdr:to>
      <xdr:col>83</xdr:col>
      <xdr:colOff>438150</xdr:colOff>
      <xdr:row>33</xdr:row>
      <xdr:rowOff>85725</xdr:rowOff>
    </xdr:to>
    <xdr:sp macro="" textlink="">
      <xdr:nvSpPr>
        <xdr:cNvPr id="1069178" name="Line 391">
          <a:extLst>
            <a:ext uri="{FF2B5EF4-FFF2-40B4-BE49-F238E27FC236}">
              <a16:creationId xmlns:a16="http://schemas.microsoft.com/office/drawing/2014/main" id="{00000000-0008-0000-0C00-00007A501000}"/>
            </a:ext>
          </a:extLst>
        </xdr:cNvPr>
        <xdr:cNvSpPr>
          <a:spLocks noChangeShapeType="1"/>
        </xdr:cNvSpPr>
      </xdr:nvSpPr>
      <xdr:spPr bwMode="auto">
        <a:xfrm flipV="1">
          <a:off x="56321325" y="5819775"/>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83</xdr:col>
      <xdr:colOff>66675</xdr:colOff>
      <xdr:row>34</xdr:row>
      <xdr:rowOff>152400</xdr:rowOff>
    </xdr:from>
    <xdr:to>
      <xdr:col>84</xdr:col>
      <xdr:colOff>0</xdr:colOff>
      <xdr:row>39</xdr:row>
      <xdr:rowOff>76200</xdr:rowOff>
    </xdr:to>
    <xdr:sp macro="" textlink="">
      <xdr:nvSpPr>
        <xdr:cNvPr id="1069179" name="Line 392">
          <a:extLst>
            <a:ext uri="{FF2B5EF4-FFF2-40B4-BE49-F238E27FC236}">
              <a16:creationId xmlns:a16="http://schemas.microsoft.com/office/drawing/2014/main" id="{00000000-0008-0000-0C00-00007B501000}"/>
            </a:ext>
          </a:extLst>
        </xdr:cNvPr>
        <xdr:cNvSpPr>
          <a:spLocks noChangeShapeType="1"/>
        </xdr:cNvSpPr>
      </xdr:nvSpPr>
      <xdr:spPr bwMode="auto">
        <a:xfrm flipV="1">
          <a:off x="56321325" y="6905625"/>
          <a:ext cx="381000" cy="8286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86</xdr:col>
      <xdr:colOff>76200</xdr:colOff>
      <xdr:row>17</xdr:row>
      <xdr:rowOff>0</xdr:rowOff>
    </xdr:from>
    <xdr:to>
      <xdr:col>87</xdr:col>
      <xdr:colOff>0</xdr:colOff>
      <xdr:row>21</xdr:row>
      <xdr:rowOff>66675</xdr:rowOff>
    </xdr:to>
    <xdr:sp macro="" textlink="">
      <xdr:nvSpPr>
        <xdr:cNvPr id="1069180" name="Line 393">
          <a:extLst>
            <a:ext uri="{FF2B5EF4-FFF2-40B4-BE49-F238E27FC236}">
              <a16:creationId xmlns:a16="http://schemas.microsoft.com/office/drawing/2014/main" id="{00000000-0008-0000-0C00-00007C501000}"/>
            </a:ext>
          </a:extLst>
        </xdr:cNvPr>
        <xdr:cNvSpPr>
          <a:spLocks noChangeShapeType="1"/>
        </xdr:cNvSpPr>
      </xdr:nvSpPr>
      <xdr:spPr bwMode="auto">
        <a:xfrm flipV="1">
          <a:off x="58493025" y="3676650"/>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86</xdr:col>
      <xdr:colOff>76200</xdr:colOff>
      <xdr:row>22</xdr:row>
      <xdr:rowOff>171450</xdr:rowOff>
    </xdr:from>
    <xdr:to>
      <xdr:col>87</xdr:col>
      <xdr:colOff>0</xdr:colOff>
      <xdr:row>27</xdr:row>
      <xdr:rowOff>57150</xdr:rowOff>
    </xdr:to>
    <xdr:sp macro="" textlink="">
      <xdr:nvSpPr>
        <xdr:cNvPr id="1069181" name="Line 394">
          <a:extLst>
            <a:ext uri="{FF2B5EF4-FFF2-40B4-BE49-F238E27FC236}">
              <a16:creationId xmlns:a16="http://schemas.microsoft.com/office/drawing/2014/main" id="{00000000-0008-0000-0C00-00007D501000}"/>
            </a:ext>
          </a:extLst>
        </xdr:cNvPr>
        <xdr:cNvSpPr>
          <a:spLocks noChangeShapeType="1"/>
        </xdr:cNvSpPr>
      </xdr:nvSpPr>
      <xdr:spPr bwMode="auto">
        <a:xfrm flipV="1">
          <a:off x="58493025" y="4752975"/>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86</xdr:col>
      <xdr:colOff>76200</xdr:colOff>
      <xdr:row>28</xdr:row>
      <xdr:rowOff>171450</xdr:rowOff>
    </xdr:from>
    <xdr:to>
      <xdr:col>87</xdr:col>
      <xdr:colOff>0</xdr:colOff>
      <xdr:row>33</xdr:row>
      <xdr:rowOff>57150</xdr:rowOff>
    </xdr:to>
    <xdr:sp macro="" textlink="">
      <xdr:nvSpPr>
        <xdr:cNvPr id="1069182" name="Line 395">
          <a:extLst>
            <a:ext uri="{FF2B5EF4-FFF2-40B4-BE49-F238E27FC236}">
              <a16:creationId xmlns:a16="http://schemas.microsoft.com/office/drawing/2014/main" id="{00000000-0008-0000-0C00-00007E501000}"/>
            </a:ext>
          </a:extLst>
        </xdr:cNvPr>
        <xdr:cNvSpPr>
          <a:spLocks noChangeShapeType="1"/>
        </xdr:cNvSpPr>
      </xdr:nvSpPr>
      <xdr:spPr bwMode="auto">
        <a:xfrm flipV="1">
          <a:off x="58493025" y="5838825"/>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86</xdr:col>
      <xdr:colOff>66675</xdr:colOff>
      <xdr:row>34</xdr:row>
      <xdr:rowOff>142875</xdr:rowOff>
    </xdr:from>
    <xdr:to>
      <xdr:col>87</xdr:col>
      <xdr:colOff>0</xdr:colOff>
      <xdr:row>39</xdr:row>
      <xdr:rowOff>66675</xdr:rowOff>
    </xdr:to>
    <xdr:sp macro="" textlink="">
      <xdr:nvSpPr>
        <xdr:cNvPr id="1069183" name="Line 396">
          <a:extLst>
            <a:ext uri="{FF2B5EF4-FFF2-40B4-BE49-F238E27FC236}">
              <a16:creationId xmlns:a16="http://schemas.microsoft.com/office/drawing/2014/main" id="{00000000-0008-0000-0C00-00007F501000}"/>
            </a:ext>
          </a:extLst>
        </xdr:cNvPr>
        <xdr:cNvSpPr>
          <a:spLocks noChangeShapeType="1"/>
        </xdr:cNvSpPr>
      </xdr:nvSpPr>
      <xdr:spPr bwMode="auto">
        <a:xfrm flipV="1">
          <a:off x="58483500" y="6896100"/>
          <a:ext cx="342900" cy="8286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86</xdr:col>
      <xdr:colOff>57150</xdr:colOff>
      <xdr:row>21</xdr:row>
      <xdr:rowOff>76200</xdr:rowOff>
    </xdr:from>
    <xdr:to>
      <xdr:col>86</xdr:col>
      <xdr:colOff>400050</xdr:colOff>
      <xdr:row>26</xdr:row>
      <xdr:rowOff>0</xdr:rowOff>
    </xdr:to>
    <xdr:sp macro="" textlink="">
      <xdr:nvSpPr>
        <xdr:cNvPr id="1069184" name="Line 397">
          <a:extLst>
            <a:ext uri="{FF2B5EF4-FFF2-40B4-BE49-F238E27FC236}">
              <a16:creationId xmlns:a16="http://schemas.microsoft.com/office/drawing/2014/main" id="{00000000-0008-0000-0C00-000080501000}"/>
            </a:ext>
          </a:extLst>
        </xdr:cNvPr>
        <xdr:cNvSpPr>
          <a:spLocks noChangeShapeType="1"/>
        </xdr:cNvSpPr>
      </xdr:nvSpPr>
      <xdr:spPr bwMode="auto">
        <a:xfrm>
          <a:off x="58473975" y="4476750"/>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86</xdr:col>
      <xdr:colOff>66675</xdr:colOff>
      <xdr:row>27</xdr:row>
      <xdr:rowOff>85725</xdr:rowOff>
    </xdr:from>
    <xdr:to>
      <xdr:col>87</xdr:col>
      <xdr:colOff>0</xdr:colOff>
      <xdr:row>32</xdr:row>
      <xdr:rowOff>9525</xdr:rowOff>
    </xdr:to>
    <xdr:sp macro="" textlink="">
      <xdr:nvSpPr>
        <xdr:cNvPr id="1069185" name="Line 398">
          <a:extLst>
            <a:ext uri="{FF2B5EF4-FFF2-40B4-BE49-F238E27FC236}">
              <a16:creationId xmlns:a16="http://schemas.microsoft.com/office/drawing/2014/main" id="{00000000-0008-0000-0C00-000081501000}"/>
            </a:ext>
          </a:extLst>
        </xdr:cNvPr>
        <xdr:cNvSpPr>
          <a:spLocks noChangeShapeType="1"/>
        </xdr:cNvSpPr>
      </xdr:nvSpPr>
      <xdr:spPr bwMode="auto">
        <a:xfrm>
          <a:off x="58483500" y="5572125"/>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86</xdr:col>
      <xdr:colOff>76200</xdr:colOff>
      <xdr:row>33</xdr:row>
      <xdr:rowOff>57150</xdr:rowOff>
    </xdr:from>
    <xdr:to>
      <xdr:col>87</xdr:col>
      <xdr:colOff>0</xdr:colOff>
      <xdr:row>38</xdr:row>
      <xdr:rowOff>28575</xdr:rowOff>
    </xdr:to>
    <xdr:sp macro="" textlink="">
      <xdr:nvSpPr>
        <xdr:cNvPr id="1069186" name="Line 399">
          <a:extLst>
            <a:ext uri="{FF2B5EF4-FFF2-40B4-BE49-F238E27FC236}">
              <a16:creationId xmlns:a16="http://schemas.microsoft.com/office/drawing/2014/main" id="{00000000-0008-0000-0C00-000082501000}"/>
            </a:ext>
          </a:extLst>
        </xdr:cNvPr>
        <xdr:cNvSpPr>
          <a:spLocks noChangeShapeType="1"/>
        </xdr:cNvSpPr>
      </xdr:nvSpPr>
      <xdr:spPr bwMode="auto">
        <a:xfrm>
          <a:off x="58493025" y="6629400"/>
          <a:ext cx="333375" cy="8763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83</xdr:col>
      <xdr:colOff>0</xdr:colOff>
      <xdr:row>44</xdr:row>
      <xdr:rowOff>0</xdr:rowOff>
    </xdr:from>
    <xdr:to>
      <xdr:col>83</xdr:col>
      <xdr:colOff>76200</xdr:colOff>
      <xdr:row>44</xdr:row>
      <xdr:rowOff>9525</xdr:rowOff>
    </xdr:to>
    <xdr:sp macro="" textlink="">
      <xdr:nvSpPr>
        <xdr:cNvPr id="1069187" name="Line 343">
          <a:extLst>
            <a:ext uri="{FF2B5EF4-FFF2-40B4-BE49-F238E27FC236}">
              <a16:creationId xmlns:a16="http://schemas.microsoft.com/office/drawing/2014/main" id="{00000000-0008-0000-0C00-000083501000}"/>
            </a:ext>
          </a:extLst>
        </xdr:cNvPr>
        <xdr:cNvSpPr>
          <a:spLocks noChangeShapeType="1"/>
        </xdr:cNvSpPr>
      </xdr:nvSpPr>
      <xdr:spPr bwMode="auto">
        <a:xfrm>
          <a:off x="5625465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44</xdr:row>
      <xdr:rowOff>0</xdr:rowOff>
    </xdr:from>
    <xdr:to>
      <xdr:col>86</xdr:col>
      <xdr:colOff>76200</xdr:colOff>
      <xdr:row>44</xdr:row>
      <xdr:rowOff>9525</xdr:rowOff>
    </xdr:to>
    <xdr:sp macro="" textlink="">
      <xdr:nvSpPr>
        <xdr:cNvPr id="1069188" name="Line 346">
          <a:extLst>
            <a:ext uri="{FF2B5EF4-FFF2-40B4-BE49-F238E27FC236}">
              <a16:creationId xmlns:a16="http://schemas.microsoft.com/office/drawing/2014/main" id="{00000000-0008-0000-0C00-000084501000}"/>
            </a:ext>
          </a:extLst>
        </xdr:cNvPr>
        <xdr:cNvSpPr>
          <a:spLocks noChangeShapeType="1"/>
        </xdr:cNvSpPr>
      </xdr:nvSpPr>
      <xdr:spPr bwMode="auto">
        <a:xfrm>
          <a:off x="5841682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44</xdr:row>
      <xdr:rowOff>0</xdr:rowOff>
    </xdr:from>
    <xdr:to>
      <xdr:col>89</xdr:col>
      <xdr:colOff>76200</xdr:colOff>
      <xdr:row>44</xdr:row>
      <xdr:rowOff>9525</xdr:rowOff>
    </xdr:to>
    <xdr:sp macro="" textlink="">
      <xdr:nvSpPr>
        <xdr:cNvPr id="1069189" name="Line 349">
          <a:extLst>
            <a:ext uri="{FF2B5EF4-FFF2-40B4-BE49-F238E27FC236}">
              <a16:creationId xmlns:a16="http://schemas.microsoft.com/office/drawing/2014/main" id="{00000000-0008-0000-0C00-000085501000}"/>
            </a:ext>
          </a:extLst>
        </xdr:cNvPr>
        <xdr:cNvSpPr>
          <a:spLocks noChangeShapeType="1"/>
        </xdr:cNvSpPr>
      </xdr:nvSpPr>
      <xdr:spPr bwMode="auto">
        <a:xfrm>
          <a:off x="6051232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44</xdr:row>
      <xdr:rowOff>0</xdr:rowOff>
    </xdr:from>
    <xdr:to>
      <xdr:col>89</xdr:col>
      <xdr:colOff>76200</xdr:colOff>
      <xdr:row>44</xdr:row>
      <xdr:rowOff>9525</xdr:rowOff>
    </xdr:to>
    <xdr:sp macro="" textlink="">
      <xdr:nvSpPr>
        <xdr:cNvPr id="1069190" name="Line 352">
          <a:extLst>
            <a:ext uri="{FF2B5EF4-FFF2-40B4-BE49-F238E27FC236}">
              <a16:creationId xmlns:a16="http://schemas.microsoft.com/office/drawing/2014/main" id="{00000000-0008-0000-0C00-000086501000}"/>
            </a:ext>
          </a:extLst>
        </xdr:cNvPr>
        <xdr:cNvSpPr>
          <a:spLocks noChangeShapeType="1"/>
        </xdr:cNvSpPr>
      </xdr:nvSpPr>
      <xdr:spPr bwMode="auto">
        <a:xfrm>
          <a:off x="6051232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44</xdr:row>
      <xdr:rowOff>0</xdr:rowOff>
    </xdr:from>
    <xdr:to>
      <xdr:col>89</xdr:col>
      <xdr:colOff>76200</xdr:colOff>
      <xdr:row>44</xdr:row>
      <xdr:rowOff>9525</xdr:rowOff>
    </xdr:to>
    <xdr:sp macro="" textlink="">
      <xdr:nvSpPr>
        <xdr:cNvPr id="1069191" name="Line 356">
          <a:extLst>
            <a:ext uri="{FF2B5EF4-FFF2-40B4-BE49-F238E27FC236}">
              <a16:creationId xmlns:a16="http://schemas.microsoft.com/office/drawing/2014/main" id="{00000000-0008-0000-0C00-000087501000}"/>
            </a:ext>
          </a:extLst>
        </xdr:cNvPr>
        <xdr:cNvSpPr>
          <a:spLocks noChangeShapeType="1"/>
        </xdr:cNvSpPr>
      </xdr:nvSpPr>
      <xdr:spPr bwMode="auto">
        <a:xfrm>
          <a:off x="6051232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66675</xdr:colOff>
      <xdr:row>44</xdr:row>
      <xdr:rowOff>0</xdr:rowOff>
    </xdr:from>
    <xdr:to>
      <xdr:col>89</xdr:col>
      <xdr:colOff>400050</xdr:colOff>
      <xdr:row>45</xdr:row>
      <xdr:rowOff>114300</xdr:rowOff>
    </xdr:to>
    <xdr:sp macro="" textlink="">
      <xdr:nvSpPr>
        <xdr:cNvPr id="1069192" name="Line 359">
          <a:extLst>
            <a:ext uri="{FF2B5EF4-FFF2-40B4-BE49-F238E27FC236}">
              <a16:creationId xmlns:a16="http://schemas.microsoft.com/office/drawing/2014/main" id="{00000000-0008-0000-0C00-000088501000}"/>
            </a:ext>
          </a:extLst>
        </xdr:cNvPr>
        <xdr:cNvSpPr>
          <a:spLocks noChangeShapeType="1"/>
        </xdr:cNvSpPr>
      </xdr:nvSpPr>
      <xdr:spPr bwMode="auto">
        <a:xfrm flipV="1">
          <a:off x="60579000" y="8562975"/>
          <a:ext cx="333375" cy="2952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86</xdr:col>
      <xdr:colOff>0</xdr:colOff>
      <xdr:row>44</xdr:row>
      <xdr:rowOff>0</xdr:rowOff>
    </xdr:from>
    <xdr:to>
      <xdr:col>86</xdr:col>
      <xdr:colOff>76200</xdr:colOff>
      <xdr:row>44</xdr:row>
      <xdr:rowOff>9525</xdr:rowOff>
    </xdr:to>
    <xdr:sp macro="" textlink="">
      <xdr:nvSpPr>
        <xdr:cNvPr id="1069193" name="Line 360">
          <a:extLst>
            <a:ext uri="{FF2B5EF4-FFF2-40B4-BE49-F238E27FC236}">
              <a16:creationId xmlns:a16="http://schemas.microsoft.com/office/drawing/2014/main" id="{00000000-0008-0000-0C00-000089501000}"/>
            </a:ext>
          </a:extLst>
        </xdr:cNvPr>
        <xdr:cNvSpPr>
          <a:spLocks noChangeShapeType="1"/>
        </xdr:cNvSpPr>
      </xdr:nvSpPr>
      <xdr:spPr bwMode="auto">
        <a:xfrm>
          <a:off x="5841682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9525</xdr:colOff>
      <xdr:row>47</xdr:row>
      <xdr:rowOff>0</xdr:rowOff>
    </xdr:from>
    <xdr:to>
      <xdr:col>83</xdr:col>
      <xdr:colOff>66675</xdr:colOff>
      <xdr:row>47</xdr:row>
      <xdr:rowOff>9525</xdr:rowOff>
    </xdr:to>
    <xdr:sp macro="" textlink="">
      <xdr:nvSpPr>
        <xdr:cNvPr id="1069194" name="Line 345">
          <a:extLst>
            <a:ext uri="{FF2B5EF4-FFF2-40B4-BE49-F238E27FC236}">
              <a16:creationId xmlns:a16="http://schemas.microsoft.com/office/drawing/2014/main" id="{00000000-0008-0000-0C00-00008A501000}"/>
            </a:ext>
          </a:extLst>
        </xdr:cNvPr>
        <xdr:cNvSpPr>
          <a:spLocks noChangeShapeType="1"/>
        </xdr:cNvSpPr>
      </xdr:nvSpPr>
      <xdr:spPr bwMode="auto">
        <a:xfrm flipV="1">
          <a:off x="5626417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9525</xdr:colOff>
      <xdr:row>47</xdr:row>
      <xdr:rowOff>0</xdr:rowOff>
    </xdr:from>
    <xdr:to>
      <xdr:col>86</xdr:col>
      <xdr:colOff>66675</xdr:colOff>
      <xdr:row>47</xdr:row>
      <xdr:rowOff>9525</xdr:rowOff>
    </xdr:to>
    <xdr:sp macro="" textlink="">
      <xdr:nvSpPr>
        <xdr:cNvPr id="1069195" name="Line 348">
          <a:extLst>
            <a:ext uri="{FF2B5EF4-FFF2-40B4-BE49-F238E27FC236}">
              <a16:creationId xmlns:a16="http://schemas.microsoft.com/office/drawing/2014/main" id="{00000000-0008-0000-0C00-00008B501000}"/>
            </a:ext>
          </a:extLst>
        </xdr:cNvPr>
        <xdr:cNvSpPr>
          <a:spLocks noChangeShapeType="1"/>
        </xdr:cNvSpPr>
      </xdr:nvSpPr>
      <xdr:spPr bwMode="auto">
        <a:xfrm flipV="1">
          <a:off x="58426350"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9525</xdr:colOff>
      <xdr:row>47</xdr:row>
      <xdr:rowOff>0</xdr:rowOff>
    </xdr:from>
    <xdr:to>
      <xdr:col>89</xdr:col>
      <xdr:colOff>66675</xdr:colOff>
      <xdr:row>47</xdr:row>
      <xdr:rowOff>9525</xdr:rowOff>
    </xdr:to>
    <xdr:sp macro="" textlink="">
      <xdr:nvSpPr>
        <xdr:cNvPr id="1069196" name="Line 351">
          <a:extLst>
            <a:ext uri="{FF2B5EF4-FFF2-40B4-BE49-F238E27FC236}">
              <a16:creationId xmlns:a16="http://schemas.microsoft.com/office/drawing/2014/main" id="{00000000-0008-0000-0C00-00008C501000}"/>
            </a:ext>
          </a:extLst>
        </xdr:cNvPr>
        <xdr:cNvSpPr>
          <a:spLocks noChangeShapeType="1"/>
        </xdr:cNvSpPr>
      </xdr:nvSpPr>
      <xdr:spPr bwMode="auto">
        <a:xfrm flipV="1">
          <a:off x="60521850"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9525</xdr:colOff>
      <xdr:row>47</xdr:row>
      <xdr:rowOff>0</xdr:rowOff>
    </xdr:from>
    <xdr:to>
      <xdr:col>89</xdr:col>
      <xdr:colOff>66675</xdr:colOff>
      <xdr:row>47</xdr:row>
      <xdr:rowOff>9525</xdr:rowOff>
    </xdr:to>
    <xdr:sp macro="" textlink="">
      <xdr:nvSpPr>
        <xdr:cNvPr id="1069197" name="Line 354">
          <a:extLst>
            <a:ext uri="{FF2B5EF4-FFF2-40B4-BE49-F238E27FC236}">
              <a16:creationId xmlns:a16="http://schemas.microsoft.com/office/drawing/2014/main" id="{00000000-0008-0000-0C00-00008D501000}"/>
            </a:ext>
          </a:extLst>
        </xdr:cNvPr>
        <xdr:cNvSpPr>
          <a:spLocks noChangeShapeType="1"/>
        </xdr:cNvSpPr>
      </xdr:nvSpPr>
      <xdr:spPr bwMode="auto">
        <a:xfrm flipV="1">
          <a:off x="60521850"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66675</xdr:colOff>
      <xdr:row>45</xdr:row>
      <xdr:rowOff>114300</xdr:rowOff>
    </xdr:from>
    <xdr:to>
      <xdr:col>90</xdr:col>
      <xdr:colOff>0</xdr:colOff>
      <xdr:row>46</xdr:row>
      <xdr:rowOff>171450</xdr:rowOff>
    </xdr:to>
    <xdr:sp macro="" textlink="">
      <xdr:nvSpPr>
        <xdr:cNvPr id="1069198" name="Line 355">
          <a:extLst>
            <a:ext uri="{FF2B5EF4-FFF2-40B4-BE49-F238E27FC236}">
              <a16:creationId xmlns:a16="http://schemas.microsoft.com/office/drawing/2014/main" id="{00000000-0008-0000-0C00-00008E501000}"/>
            </a:ext>
          </a:extLst>
        </xdr:cNvPr>
        <xdr:cNvSpPr>
          <a:spLocks noChangeShapeType="1"/>
        </xdr:cNvSpPr>
      </xdr:nvSpPr>
      <xdr:spPr bwMode="auto">
        <a:xfrm>
          <a:off x="60579000" y="8858250"/>
          <a:ext cx="342900" cy="2381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89</xdr:col>
      <xdr:colOff>9525</xdr:colOff>
      <xdr:row>47</xdr:row>
      <xdr:rowOff>0</xdr:rowOff>
    </xdr:from>
    <xdr:to>
      <xdr:col>89</xdr:col>
      <xdr:colOff>66675</xdr:colOff>
      <xdr:row>47</xdr:row>
      <xdr:rowOff>9525</xdr:rowOff>
    </xdr:to>
    <xdr:sp macro="" textlink="">
      <xdr:nvSpPr>
        <xdr:cNvPr id="1069199" name="Line 358">
          <a:extLst>
            <a:ext uri="{FF2B5EF4-FFF2-40B4-BE49-F238E27FC236}">
              <a16:creationId xmlns:a16="http://schemas.microsoft.com/office/drawing/2014/main" id="{00000000-0008-0000-0C00-00008F501000}"/>
            </a:ext>
          </a:extLst>
        </xdr:cNvPr>
        <xdr:cNvSpPr>
          <a:spLocks noChangeShapeType="1"/>
        </xdr:cNvSpPr>
      </xdr:nvSpPr>
      <xdr:spPr bwMode="auto">
        <a:xfrm flipV="1">
          <a:off x="60521850"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9525</xdr:colOff>
      <xdr:row>47</xdr:row>
      <xdr:rowOff>0</xdr:rowOff>
    </xdr:from>
    <xdr:to>
      <xdr:col>86</xdr:col>
      <xdr:colOff>66675</xdr:colOff>
      <xdr:row>47</xdr:row>
      <xdr:rowOff>9525</xdr:rowOff>
    </xdr:to>
    <xdr:sp macro="" textlink="">
      <xdr:nvSpPr>
        <xdr:cNvPr id="1069200" name="Line 362">
          <a:extLst>
            <a:ext uri="{FF2B5EF4-FFF2-40B4-BE49-F238E27FC236}">
              <a16:creationId xmlns:a16="http://schemas.microsoft.com/office/drawing/2014/main" id="{00000000-0008-0000-0C00-000090501000}"/>
            </a:ext>
          </a:extLst>
        </xdr:cNvPr>
        <xdr:cNvSpPr>
          <a:spLocks noChangeShapeType="1"/>
        </xdr:cNvSpPr>
      </xdr:nvSpPr>
      <xdr:spPr bwMode="auto">
        <a:xfrm flipV="1">
          <a:off x="58426350"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66675</xdr:colOff>
      <xdr:row>45</xdr:row>
      <xdr:rowOff>85725</xdr:rowOff>
    </xdr:from>
    <xdr:to>
      <xdr:col>84</xdr:col>
      <xdr:colOff>9525</xdr:colOff>
      <xdr:row>47</xdr:row>
      <xdr:rowOff>0</xdr:rowOff>
    </xdr:to>
    <xdr:sp macro="" textlink="">
      <xdr:nvSpPr>
        <xdr:cNvPr id="1069201" name="Line 363">
          <a:extLst>
            <a:ext uri="{FF2B5EF4-FFF2-40B4-BE49-F238E27FC236}">
              <a16:creationId xmlns:a16="http://schemas.microsoft.com/office/drawing/2014/main" id="{00000000-0008-0000-0C00-000091501000}"/>
            </a:ext>
          </a:extLst>
        </xdr:cNvPr>
        <xdr:cNvSpPr>
          <a:spLocks noChangeShapeType="1"/>
        </xdr:cNvSpPr>
      </xdr:nvSpPr>
      <xdr:spPr bwMode="auto">
        <a:xfrm>
          <a:off x="56321325" y="8829675"/>
          <a:ext cx="390525" cy="276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86</xdr:col>
      <xdr:colOff>57150</xdr:colOff>
      <xdr:row>45</xdr:row>
      <xdr:rowOff>76200</xdr:rowOff>
    </xdr:from>
    <xdr:to>
      <xdr:col>87</xdr:col>
      <xdr:colOff>0</xdr:colOff>
      <xdr:row>47</xdr:row>
      <xdr:rowOff>0</xdr:rowOff>
    </xdr:to>
    <xdr:sp macro="" textlink="">
      <xdr:nvSpPr>
        <xdr:cNvPr id="1069202" name="Line 364">
          <a:extLst>
            <a:ext uri="{FF2B5EF4-FFF2-40B4-BE49-F238E27FC236}">
              <a16:creationId xmlns:a16="http://schemas.microsoft.com/office/drawing/2014/main" id="{00000000-0008-0000-0C00-000092501000}"/>
            </a:ext>
          </a:extLst>
        </xdr:cNvPr>
        <xdr:cNvSpPr>
          <a:spLocks noChangeShapeType="1"/>
        </xdr:cNvSpPr>
      </xdr:nvSpPr>
      <xdr:spPr bwMode="auto">
        <a:xfrm>
          <a:off x="58473975" y="8820150"/>
          <a:ext cx="352425" cy="2857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83</xdr:col>
      <xdr:colOff>85725</xdr:colOff>
      <xdr:row>43</xdr:row>
      <xdr:rowOff>142875</xdr:rowOff>
    </xdr:from>
    <xdr:to>
      <xdr:col>83</xdr:col>
      <xdr:colOff>85725</xdr:colOff>
      <xdr:row>47</xdr:row>
      <xdr:rowOff>19050</xdr:rowOff>
    </xdr:to>
    <xdr:sp macro="" textlink="">
      <xdr:nvSpPr>
        <xdr:cNvPr id="1069203" name="Line 344">
          <a:extLst>
            <a:ext uri="{FF2B5EF4-FFF2-40B4-BE49-F238E27FC236}">
              <a16:creationId xmlns:a16="http://schemas.microsoft.com/office/drawing/2014/main" id="{00000000-0008-0000-0C00-000093501000}"/>
            </a:ext>
          </a:extLst>
        </xdr:cNvPr>
        <xdr:cNvSpPr>
          <a:spLocks noChangeShapeType="1"/>
        </xdr:cNvSpPr>
      </xdr:nvSpPr>
      <xdr:spPr bwMode="auto">
        <a:xfrm flipH="1">
          <a:off x="56340375" y="8524875"/>
          <a:ext cx="0" cy="600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66675</xdr:colOff>
      <xdr:row>43</xdr:row>
      <xdr:rowOff>142875</xdr:rowOff>
    </xdr:from>
    <xdr:to>
      <xdr:col>86</xdr:col>
      <xdr:colOff>66675</xdr:colOff>
      <xdr:row>47</xdr:row>
      <xdr:rowOff>19050</xdr:rowOff>
    </xdr:to>
    <xdr:sp macro="" textlink="">
      <xdr:nvSpPr>
        <xdr:cNvPr id="1069204" name="Line 344">
          <a:extLst>
            <a:ext uri="{FF2B5EF4-FFF2-40B4-BE49-F238E27FC236}">
              <a16:creationId xmlns:a16="http://schemas.microsoft.com/office/drawing/2014/main" id="{00000000-0008-0000-0C00-000094501000}"/>
            </a:ext>
          </a:extLst>
        </xdr:cNvPr>
        <xdr:cNvSpPr>
          <a:spLocks noChangeShapeType="1"/>
        </xdr:cNvSpPr>
      </xdr:nvSpPr>
      <xdr:spPr bwMode="auto">
        <a:xfrm flipH="1">
          <a:off x="58483500" y="8524875"/>
          <a:ext cx="0" cy="600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85725</xdr:colOff>
      <xdr:row>43</xdr:row>
      <xdr:rowOff>152400</xdr:rowOff>
    </xdr:from>
    <xdr:to>
      <xdr:col>89</xdr:col>
      <xdr:colOff>85725</xdr:colOff>
      <xdr:row>47</xdr:row>
      <xdr:rowOff>28575</xdr:rowOff>
    </xdr:to>
    <xdr:sp macro="" textlink="">
      <xdr:nvSpPr>
        <xdr:cNvPr id="1069205" name="Line 344">
          <a:extLst>
            <a:ext uri="{FF2B5EF4-FFF2-40B4-BE49-F238E27FC236}">
              <a16:creationId xmlns:a16="http://schemas.microsoft.com/office/drawing/2014/main" id="{00000000-0008-0000-0C00-000095501000}"/>
            </a:ext>
          </a:extLst>
        </xdr:cNvPr>
        <xdr:cNvSpPr>
          <a:spLocks noChangeShapeType="1"/>
        </xdr:cNvSpPr>
      </xdr:nvSpPr>
      <xdr:spPr bwMode="auto">
        <a:xfrm flipH="1">
          <a:off x="60598050" y="8534400"/>
          <a:ext cx="0" cy="600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66675</xdr:colOff>
      <xdr:row>40</xdr:row>
      <xdr:rowOff>152400</xdr:rowOff>
    </xdr:from>
    <xdr:to>
      <xdr:col>84</xdr:col>
      <xdr:colOff>0</xdr:colOff>
      <xdr:row>45</xdr:row>
      <xdr:rowOff>76200</xdr:rowOff>
    </xdr:to>
    <xdr:sp macro="" textlink="">
      <xdr:nvSpPr>
        <xdr:cNvPr id="1069206" name="Line 392">
          <a:extLst>
            <a:ext uri="{FF2B5EF4-FFF2-40B4-BE49-F238E27FC236}">
              <a16:creationId xmlns:a16="http://schemas.microsoft.com/office/drawing/2014/main" id="{00000000-0008-0000-0C00-000096501000}"/>
            </a:ext>
          </a:extLst>
        </xdr:cNvPr>
        <xdr:cNvSpPr>
          <a:spLocks noChangeShapeType="1"/>
        </xdr:cNvSpPr>
      </xdr:nvSpPr>
      <xdr:spPr bwMode="auto">
        <a:xfrm flipV="1">
          <a:off x="56321325" y="7991475"/>
          <a:ext cx="381000" cy="8286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86</xdr:col>
      <xdr:colOff>66675</xdr:colOff>
      <xdr:row>41</xdr:row>
      <xdr:rowOff>0</xdr:rowOff>
    </xdr:from>
    <xdr:to>
      <xdr:col>87</xdr:col>
      <xdr:colOff>0</xdr:colOff>
      <xdr:row>45</xdr:row>
      <xdr:rowOff>76200</xdr:rowOff>
    </xdr:to>
    <xdr:sp macro="" textlink="">
      <xdr:nvSpPr>
        <xdr:cNvPr id="1069207" name="Line 392">
          <a:extLst>
            <a:ext uri="{FF2B5EF4-FFF2-40B4-BE49-F238E27FC236}">
              <a16:creationId xmlns:a16="http://schemas.microsoft.com/office/drawing/2014/main" id="{00000000-0008-0000-0C00-000097501000}"/>
            </a:ext>
          </a:extLst>
        </xdr:cNvPr>
        <xdr:cNvSpPr>
          <a:spLocks noChangeShapeType="1"/>
        </xdr:cNvSpPr>
      </xdr:nvSpPr>
      <xdr:spPr bwMode="auto">
        <a:xfrm flipV="1">
          <a:off x="58483500" y="8020050"/>
          <a:ext cx="3429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99</xdr:col>
      <xdr:colOff>0</xdr:colOff>
      <xdr:row>8</xdr:row>
      <xdr:rowOff>0</xdr:rowOff>
    </xdr:from>
    <xdr:to>
      <xdr:col>99</xdr:col>
      <xdr:colOff>76200</xdr:colOff>
      <xdr:row>8</xdr:row>
      <xdr:rowOff>9525</xdr:rowOff>
    </xdr:to>
    <xdr:sp macro="" textlink="">
      <xdr:nvSpPr>
        <xdr:cNvPr id="1069208" name="Line 1">
          <a:extLst>
            <a:ext uri="{FF2B5EF4-FFF2-40B4-BE49-F238E27FC236}">
              <a16:creationId xmlns:a16="http://schemas.microsoft.com/office/drawing/2014/main" id="{00000000-0008-0000-0C00-000098501000}"/>
            </a:ext>
          </a:extLst>
        </xdr:cNvPr>
        <xdr:cNvSpPr>
          <a:spLocks noChangeShapeType="1"/>
        </xdr:cNvSpPr>
      </xdr:nvSpPr>
      <xdr:spPr bwMode="auto">
        <a:xfrm>
          <a:off x="674370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66675</xdr:colOff>
      <xdr:row>8</xdr:row>
      <xdr:rowOff>9525</xdr:rowOff>
    </xdr:from>
    <xdr:to>
      <xdr:col>99</xdr:col>
      <xdr:colOff>66675</xdr:colOff>
      <xdr:row>11</xdr:row>
      <xdr:rowOff>19050</xdr:rowOff>
    </xdr:to>
    <xdr:sp macro="" textlink="">
      <xdr:nvSpPr>
        <xdr:cNvPr id="1069209" name="Line 2">
          <a:extLst>
            <a:ext uri="{FF2B5EF4-FFF2-40B4-BE49-F238E27FC236}">
              <a16:creationId xmlns:a16="http://schemas.microsoft.com/office/drawing/2014/main" id="{00000000-0008-0000-0C00-000099501000}"/>
            </a:ext>
          </a:extLst>
        </xdr:cNvPr>
        <xdr:cNvSpPr>
          <a:spLocks noChangeShapeType="1"/>
        </xdr:cNvSpPr>
      </xdr:nvSpPr>
      <xdr:spPr bwMode="auto">
        <a:xfrm>
          <a:off x="675036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9525</xdr:colOff>
      <xdr:row>11</xdr:row>
      <xdr:rowOff>0</xdr:rowOff>
    </xdr:from>
    <xdr:to>
      <xdr:col>99</xdr:col>
      <xdr:colOff>66675</xdr:colOff>
      <xdr:row>11</xdr:row>
      <xdr:rowOff>9525</xdr:rowOff>
    </xdr:to>
    <xdr:sp macro="" textlink="">
      <xdr:nvSpPr>
        <xdr:cNvPr id="1069210" name="Line 3">
          <a:extLst>
            <a:ext uri="{FF2B5EF4-FFF2-40B4-BE49-F238E27FC236}">
              <a16:creationId xmlns:a16="http://schemas.microsoft.com/office/drawing/2014/main" id="{00000000-0008-0000-0C00-00009A501000}"/>
            </a:ext>
          </a:extLst>
        </xdr:cNvPr>
        <xdr:cNvSpPr>
          <a:spLocks noChangeShapeType="1"/>
        </xdr:cNvSpPr>
      </xdr:nvSpPr>
      <xdr:spPr bwMode="auto">
        <a:xfrm flipV="1">
          <a:off x="674465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96</xdr:col>
      <xdr:colOff>0</xdr:colOff>
      <xdr:row>8</xdr:row>
      <xdr:rowOff>0</xdr:rowOff>
    </xdr:from>
    <xdr:to>
      <xdr:col>96</xdr:col>
      <xdr:colOff>76200</xdr:colOff>
      <xdr:row>8</xdr:row>
      <xdr:rowOff>9525</xdr:rowOff>
    </xdr:to>
    <xdr:sp macro="" textlink="">
      <xdr:nvSpPr>
        <xdr:cNvPr id="1069211" name="Line 4">
          <a:extLst>
            <a:ext uri="{FF2B5EF4-FFF2-40B4-BE49-F238E27FC236}">
              <a16:creationId xmlns:a16="http://schemas.microsoft.com/office/drawing/2014/main" id="{00000000-0008-0000-0C00-00009B501000}"/>
            </a:ext>
          </a:extLst>
        </xdr:cNvPr>
        <xdr:cNvSpPr>
          <a:spLocks noChangeShapeType="1"/>
        </xdr:cNvSpPr>
      </xdr:nvSpPr>
      <xdr:spPr bwMode="auto">
        <a:xfrm>
          <a:off x="6527482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96</xdr:col>
      <xdr:colOff>66675</xdr:colOff>
      <xdr:row>8</xdr:row>
      <xdr:rowOff>9525</xdr:rowOff>
    </xdr:from>
    <xdr:to>
      <xdr:col>96</xdr:col>
      <xdr:colOff>66675</xdr:colOff>
      <xdr:row>11</xdr:row>
      <xdr:rowOff>19050</xdr:rowOff>
    </xdr:to>
    <xdr:sp macro="" textlink="">
      <xdr:nvSpPr>
        <xdr:cNvPr id="1069212" name="Line 5">
          <a:extLst>
            <a:ext uri="{FF2B5EF4-FFF2-40B4-BE49-F238E27FC236}">
              <a16:creationId xmlns:a16="http://schemas.microsoft.com/office/drawing/2014/main" id="{00000000-0008-0000-0C00-00009C501000}"/>
            </a:ext>
          </a:extLst>
        </xdr:cNvPr>
        <xdr:cNvSpPr>
          <a:spLocks noChangeShapeType="1"/>
        </xdr:cNvSpPr>
      </xdr:nvSpPr>
      <xdr:spPr bwMode="auto">
        <a:xfrm>
          <a:off x="6534150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96</xdr:col>
      <xdr:colOff>9525</xdr:colOff>
      <xdr:row>11</xdr:row>
      <xdr:rowOff>0</xdr:rowOff>
    </xdr:from>
    <xdr:to>
      <xdr:col>96</xdr:col>
      <xdr:colOff>66675</xdr:colOff>
      <xdr:row>11</xdr:row>
      <xdr:rowOff>9525</xdr:rowOff>
    </xdr:to>
    <xdr:sp macro="" textlink="">
      <xdr:nvSpPr>
        <xdr:cNvPr id="1069213" name="Line 6">
          <a:extLst>
            <a:ext uri="{FF2B5EF4-FFF2-40B4-BE49-F238E27FC236}">
              <a16:creationId xmlns:a16="http://schemas.microsoft.com/office/drawing/2014/main" id="{00000000-0008-0000-0C00-00009D501000}"/>
            </a:ext>
          </a:extLst>
        </xdr:cNvPr>
        <xdr:cNvSpPr>
          <a:spLocks noChangeShapeType="1"/>
        </xdr:cNvSpPr>
      </xdr:nvSpPr>
      <xdr:spPr bwMode="auto">
        <a:xfrm flipV="1">
          <a:off x="6528435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0</xdr:colOff>
      <xdr:row>8</xdr:row>
      <xdr:rowOff>0</xdr:rowOff>
    </xdr:from>
    <xdr:to>
      <xdr:col>102</xdr:col>
      <xdr:colOff>76200</xdr:colOff>
      <xdr:row>8</xdr:row>
      <xdr:rowOff>9525</xdr:rowOff>
    </xdr:to>
    <xdr:sp macro="" textlink="">
      <xdr:nvSpPr>
        <xdr:cNvPr id="1069214" name="Line 16">
          <a:extLst>
            <a:ext uri="{FF2B5EF4-FFF2-40B4-BE49-F238E27FC236}">
              <a16:creationId xmlns:a16="http://schemas.microsoft.com/office/drawing/2014/main" id="{00000000-0008-0000-0C00-00009E501000}"/>
            </a:ext>
          </a:extLst>
        </xdr:cNvPr>
        <xdr:cNvSpPr>
          <a:spLocks noChangeShapeType="1"/>
        </xdr:cNvSpPr>
      </xdr:nvSpPr>
      <xdr:spPr bwMode="auto">
        <a:xfrm>
          <a:off x="695325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66675</xdr:colOff>
      <xdr:row>8</xdr:row>
      <xdr:rowOff>9525</xdr:rowOff>
    </xdr:from>
    <xdr:to>
      <xdr:col>102</xdr:col>
      <xdr:colOff>66675</xdr:colOff>
      <xdr:row>11</xdr:row>
      <xdr:rowOff>19050</xdr:rowOff>
    </xdr:to>
    <xdr:sp macro="" textlink="">
      <xdr:nvSpPr>
        <xdr:cNvPr id="1069215" name="Line 17">
          <a:extLst>
            <a:ext uri="{FF2B5EF4-FFF2-40B4-BE49-F238E27FC236}">
              <a16:creationId xmlns:a16="http://schemas.microsoft.com/office/drawing/2014/main" id="{00000000-0008-0000-0C00-00009F501000}"/>
            </a:ext>
          </a:extLst>
        </xdr:cNvPr>
        <xdr:cNvSpPr>
          <a:spLocks noChangeShapeType="1"/>
        </xdr:cNvSpPr>
      </xdr:nvSpPr>
      <xdr:spPr bwMode="auto">
        <a:xfrm>
          <a:off x="695991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9525</xdr:colOff>
      <xdr:row>11</xdr:row>
      <xdr:rowOff>0</xdr:rowOff>
    </xdr:from>
    <xdr:to>
      <xdr:col>102</xdr:col>
      <xdr:colOff>66675</xdr:colOff>
      <xdr:row>11</xdr:row>
      <xdr:rowOff>9525</xdr:rowOff>
    </xdr:to>
    <xdr:sp macro="" textlink="">
      <xdr:nvSpPr>
        <xdr:cNvPr id="1069216" name="Line 18">
          <a:extLst>
            <a:ext uri="{FF2B5EF4-FFF2-40B4-BE49-F238E27FC236}">
              <a16:creationId xmlns:a16="http://schemas.microsoft.com/office/drawing/2014/main" id="{00000000-0008-0000-0C00-0000A0501000}"/>
            </a:ext>
          </a:extLst>
        </xdr:cNvPr>
        <xdr:cNvSpPr>
          <a:spLocks noChangeShapeType="1"/>
        </xdr:cNvSpPr>
      </xdr:nvSpPr>
      <xdr:spPr bwMode="auto">
        <a:xfrm flipV="1">
          <a:off x="695420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66675</xdr:colOff>
      <xdr:row>8</xdr:row>
      <xdr:rowOff>9525</xdr:rowOff>
    </xdr:from>
    <xdr:to>
      <xdr:col>100</xdr:col>
      <xdr:colOff>0</xdr:colOff>
      <xdr:row>9</xdr:row>
      <xdr:rowOff>66675</xdr:rowOff>
    </xdr:to>
    <xdr:sp macro="" textlink="">
      <xdr:nvSpPr>
        <xdr:cNvPr id="1069217" name="Line 64">
          <a:extLst>
            <a:ext uri="{FF2B5EF4-FFF2-40B4-BE49-F238E27FC236}">
              <a16:creationId xmlns:a16="http://schemas.microsoft.com/office/drawing/2014/main" id="{00000000-0008-0000-0C00-0000A1501000}"/>
            </a:ext>
          </a:extLst>
        </xdr:cNvPr>
        <xdr:cNvSpPr>
          <a:spLocks noChangeShapeType="1"/>
        </xdr:cNvSpPr>
      </xdr:nvSpPr>
      <xdr:spPr bwMode="auto">
        <a:xfrm flipV="1">
          <a:off x="67503675" y="2057400"/>
          <a:ext cx="342900" cy="2381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99</xdr:col>
      <xdr:colOff>66675</xdr:colOff>
      <xdr:row>9</xdr:row>
      <xdr:rowOff>76200</xdr:rowOff>
    </xdr:from>
    <xdr:to>
      <xdr:col>100</xdr:col>
      <xdr:colOff>0</xdr:colOff>
      <xdr:row>13</xdr:row>
      <xdr:rowOff>0</xdr:rowOff>
    </xdr:to>
    <xdr:sp macro="" textlink="">
      <xdr:nvSpPr>
        <xdr:cNvPr id="1069218" name="Line 66">
          <a:extLst>
            <a:ext uri="{FF2B5EF4-FFF2-40B4-BE49-F238E27FC236}">
              <a16:creationId xmlns:a16="http://schemas.microsoft.com/office/drawing/2014/main" id="{00000000-0008-0000-0C00-0000A2501000}"/>
            </a:ext>
          </a:extLst>
        </xdr:cNvPr>
        <xdr:cNvSpPr>
          <a:spLocks noChangeShapeType="1"/>
        </xdr:cNvSpPr>
      </xdr:nvSpPr>
      <xdr:spPr bwMode="auto">
        <a:xfrm>
          <a:off x="67503675" y="2305050"/>
          <a:ext cx="342900" cy="6477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102</xdr:col>
      <xdr:colOff>0</xdr:colOff>
      <xdr:row>8</xdr:row>
      <xdr:rowOff>0</xdr:rowOff>
    </xdr:from>
    <xdr:to>
      <xdr:col>102</xdr:col>
      <xdr:colOff>76200</xdr:colOff>
      <xdr:row>8</xdr:row>
      <xdr:rowOff>9525</xdr:rowOff>
    </xdr:to>
    <xdr:sp macro="" textlink="">
      <xdr:nvSpPr>
        <xdr:cNvPr id="1069219" name="Line 99">
          <a:extLst>
            <a:ext uri="{FF2B5EF4-FFF2-40B4-BE49-F238E27FC236}">
              <a16:creationId xmlns:a16="http://schemas.microsoft.com/office/drawing/2014/main" id="{00000000-0008-0000-0C00-0000A3501000}"/>
            </a:ext>
          </a:extLst>
        </xdr:cNvPr>
        <xdr:cNvSpPr>
          <a:spLocks noChangeShapeType="1"/>
        </xdr:cNvSpPr>
      </xdr:nvSpPr>
      <xdr:spPr bwMode="auto">
        <a:xfrm>
          <a:off x="695325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66675</xdr:colOff>
      <xdr:row>8</xdr:row>
      <xdr:rowOff>9525</xdr:rowOff>
    </xdr:from>
    <xdr:to>
      <xdr:col>102</xdr:col>
      <xdr:colOff>66675</xdr:colOff>
      <xdr:row>11</xdr:row>
      <xdr:rowOff>19050</xdr:rowOff>
    </xdr:to>
    <xdr:sp macro="" textlink="">
      <xdr:nvSpPr>
        <xdr:cNvPr id="1069220" name="Line 100">
          <a:extLst>
            <a:ext uri="{FF2B5EF4-FFF2-40B4-BE49-F238E27FC236}">
              <a16:creationId xmlns:a16="http://schemas.microsoft.com/office/drawing/2014/main" id="{00000000-0008-0000-0C00-0000A4501000}"/>
            </a:ext>
          </a:extLst>
        </xdr:cNvPr>
        <xdr:cNvSpPr>
          <a:spLocks noChangeShapeType="1"/>
        </xdr:cNvSpPr>
      </xdr:nvSpPr>
      <xdr:spPr bwMode="auto">
        <a:xfrm>
          <a:off x="695991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9525</xdr:colOff>
      <xdr:row>11</xdr:row>
      <xdr:rowOff>0</xdr:rowOff>
    </xdr:from>
    <xdr:to>
      <xdr:col>102</xdr:col>
      <xdr:colOff>66675</xdr:colOff>
      <xdr:row>11</xdr:row>
      <xdr:rowOff>9525</xdr:rowOff>
    </xdr:to>
    <xdr:sp macro="" textlink="">
      <xdr:nvSpPr>
        <xdr:cNvPr id="1069221" name="Line 101">
          <a:extLst>
            <a:ext uri="{FF2B5EF4-FFF2-40B4-BE49-F238E27FC236}">
              <a16:creationId xmlns:a16="http://schemas.microsoft.com/office/drawing/2014/main" id="{00000000-0008-0000-0C00-0000A5501000}"/>
            </a:ext>
          </a:extLst>
        </xdr:cNvPr>
        <xdr:cNvSpPr>
          <a:spLocks noChangeShapeType="1"/>
        </xdr:cNvSpPr>
      </xdr:nvSpPr>
      <xdr:spPr bwMode="auto">
        <a:xfrm flipV="1">
          <a:off x="695420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0</xdr:colOff>
      <xdr:row>8</xdr:row>
      <xdr:rowOff>0</xdr:rowOff>
    </xdr:from>
    <xdr:to>
      <xdr:col>102</xdr:col>
      <xdr:colOff>76200</xdr:colOff>
      <xdr:row>8</xdr:row>
      <xdr:rowOff>9525</xdr:rowOff>
    </xdr:to>
    <xdr:sp macro="" textlink="">
      <xdr:nvSpPr>
        <xdr:cNvPr id="1069222" name="Line 110">
          <a:extLst>
            <a:ext uri="{FF2B5EF4-FFF2-40B4-BE49-F238E27FC236}">
              <a16:creationId xmlns:a16="http://schemas.microsoft.com/office/drawing/2014/main" id="{00000000-0008-0000-0C00-0000A6501000}"/>
            </a:ext>
          </a:extLst>
        </xdr:cNvPr>
        <xdr:cNvSpPr>
          <a:spLocks noChangeShapeType="1"/>
        </xdr:cNvSpPr>
      </xdr:nvSpPr>
      <xdr:spPr bwMode="auto">
        <a:xfrm>
          <a:off x="695325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66675</xdr:colOff>
      <xdr:row>8</xdr:row>
      <xdr:rowOff>9525</xdr:rowOff>
    </xdr:from>
    <xdr:to>
      <xdr:col>102</xdr:col>
      <xdr:colOff>66675</xdr:colOff>
      <xdr:row>11</xdr:row>
      <xdr:rowOff>19050</xdr:rowOff>
    </xdr:to>
    <xdr:sp macro="" textlink="">
      <xdr:nvSpPr>
        <xdr:cNvPr id="1069223" name="Line 111">
          <a:extLst>
            <a:ext uri="{FF2B5EF4-FFF2-40B4-BE49-F238E27FC236}">
              <a16:creationId xmlns:a16="http://schemas.microsoft.com/office/drawing/2014/main" id="{00000000-0008-0000-0C00-0000A7501000}"/>
            </a:ext>
          </a:extLst>
        </xdr:cNvPr>
        <xdr:cNvSpPr>
          <a:spLocks noChangeShapeType="1"/>
        </xdr:cNvSpPr>
      </xdr:nvSpPr>
      <xdr:spPr bwMode="auto">
        <a:xfrm>
          <a:off x="695991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9525</xdr:colOff>
      <xdr:row>11</xdr:row>
      <xdr:rowOff>0</xdr:rowOff>
    </xdr:from>
    <xdr:to>
      <xdr:col>102</xdr:col>
      <xdr:colOff>66675</xdr:colOff>
      <xdr:row>11</xdr:row>
      <xdr:rowOff>9525</xdr:rowOff>
    </xdr:to>
    <xdr:sp macro="" textlink="">
      <xdr:nvSpPr>
        <xdr:cNvPr id="1069224" name="Line 112">
          <a:extLst>
            <a:ext uri="{FF2B5EF4-FFF2-40B4-BE49-F238E27FC236}">
              <a16:creationId xmlns:a16="http://schemas.microsoft.com/office/drawing/2014/main" id="{00000000-0008-0000-0C00-0000A8501000}"/>
            </a:ext>
          </a:extLst>
        </xdr:cNvPr>
        <xdr:cNvSpPr>
          <a:spLocks noChangeShapeType="1"/>
        </xdr:cNvSpPr>
      </xdr:nvSpPr>
      <xdr:spPr bwMode="auto">
        <a:xfrm flipV="1">
          <a:off x="695420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0</xdr:colOff>
      <xdr:row>8</xdr:row>
      <xdr:rowOff>0</xdr:rowOff>
    </xdr:from>
    <xdr:to>
      <xdr:col>102</xdr:col>
      <xdr:colOff>76200</xdr:colOff>
      <xdr:row>8</xdr:row>
      <xdr:rowOff>9525</xdr:rowOff>
    </xdr:to>
    <xdr:sp macro="" textlink="">
      <xdr:nvSpPr>
        <xdr:cNvPr id="1069225" name="Line 113">
          <a:extLst>
            <a:ext uri="{FF2B5EF4-FFF2-40B4-BE49-F238E27FC236}">
              <a16:creationId xmlns:a16="http://schemas.microsoft.com/office/drawing/2014/main" id="{00000000-0008-0000-0C00-0000A9501000}"/>
            </a:ext>
          </a:extLst>
        </xdr:cNvPr>
        <xdr:cNvSpPr>
          <a:spLocks noChangeShapeType="1"/>
        </xdr:cNvSpPr>
      </xdr:nvSpPr>
      <xdr:spPr bwMode="auto">
        <a:xfrm>
          <a:off x="695325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66675</xdr:colOff>
      <xdr:row>8</xdr:row>
      <xdr:rowOff>9525</xdr:rowOff>
    </xdr:from>
    <xdr:to>
      <xdr:col>102</xdr:col>
      <xdr:colOff>66675</xdr:colOff>
      <xdr:row>11</xdr:row>
      <xdr:rowOff>19050</xdr:rowOff>
    </xdr:to>
    <xdr:sp macro="" textlink="">
      <xdr:nvSpPr>
        <xdr:cNvPr id="1069226" name="Line 114">
          <a:extLst>
            <a:ext uri="{FF2B5EF4-FFF2-40B4-BE49-F238E27FC236}">
              <a16:creationId xmlns:a16="http://schemas.microsoft.com/office/drawing/2014/main" id="{00000000-0008-0000-0C00-0000AA501000}"/>
            </a:ext>
          </a:extLst>
        </xdr:cNvPr>
        <xdr:cNvSpPr>
          <a:spLocks noChangeShapeType="1"/>
        </xdr:cNvSpPr>
      </xdr:nvSpPr>
      <xdr:spPr bwMode="auto">
        <a:xfrm>
          <a:off x="695991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9525</xdr:colOff>
      <xdr:row>11</xdr:row>
      <xdr:rowOff>0</xdr:rowOff>
    </xdr:from>
    <xdr:to>
      <xdr:col>102</xdr:col>
      <xdr:colOff>66675</xdr:colOff>
      <xdr:row>11</xdr:row>
      <xdr:rowOff>9525</xdr:rowOff>
    </xdr:to>
    <xdr:sp macro="" textlink="">
      <xdr:nvSpPr>
        <xdr:cNvPr id="1069227" name="Line 115">
          <a:extLst>
            <a:ext uri="{FF2B5EF4-FFF2-40B4-BE49-F238E27FC236}">
              <a16:creationId xmlns:a16="http://schemas.microsoft.com/office/drawing/2014/main" id="{00000000-0008-0000-0C00-0000AB501000}"/>
            </a:ext>
          </a:extLst>
        </xdr:cNvPr>
        <xdr:cNvSpPr>
          <a:spLocks noChangeShapeType="1"/>
        </xdr:cNvSpPr>
      </xdr:nvSpPr>
      <xdr:spPr bwMode="auto">
        <a:xfrm flipV="1">
          <a:off x="695420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76200</xdr:colOff>
      <xdr:row>8</xdr:row>
      <xdr:rowOff>0</xdr:rowOff>
    </xdr:from>
    <xdr:to>
      <xdr:col>102</xdr:col>
      <xdr:colOff>400050</xdr:colOff>
      <xdr:row>9</xdr:row>
      <xdr:rowOff>57150</xdr:rowOff>
    </xdr:to>
    <xdr:sp macro="" textlink="">
      <xdr:nvSpPr>
        <xdr:cNvPr id="1069228" name="Line 116">
          <a:extLst>
            <a:ext uri="{FF2B5EF4-FFF2-40B4-BE49-F238E27FC236}">
              <a16:creationId xmlns:a16="http://schemas.microsoft.com/office/drawing/2014/main" id="{00000000-0008-0000-0C00-0000AC501000}"/>
            </a:ext>
          </a:extLst>
        </xdr:cNvPr>
        <xdr:cNvSpPr>
          <a:spLocks noChangeShapeType="1"/>
        </xdr:cNvSpPr>
      </xdr:nvSpPr>
      <xdr:spPr bwMode="auto">
        <a:xfrm flipV="1">
          <a:off x="69608700" y="2047875"/>
          <a:ext cx="3238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102</xdr:col>
      <xdr:colOff>76200</xdr:colOff>
      <xdr:row>9</xdr:row>
      <xdr:rowOff>66675</xdr:rowOff>
    </xdr:from>
    <xdr:to>
      <xdr:col>103</xdr:col>
      <xdr:colOff>0</xdr:colOff>
      <xdr:row>11</xdr:row>
      <xdr:rowOff>19050</xdr:rowOff>
    </xdr:to>
    <xdr:sp macro="" textlink="">
      <xdr:nvSpPr>
        <xdr:cNvPr id="1069229" name="Line 117">
          <a:extLst>
            <a:ext uri="{FF2B5EF4-FFF2-40B4-BE49-F238E27FC236}">
              <a16:creationId xmlns:a16="http://schemas.microsoft.com/office/drawing/2014/main" id="{00000000-0008-0000-0C00-0000AD501000}"/>
            </a:ext>
          </a:extLst>
        </xdr:cNvPr>
        <xdr:cNvSpPr>
          <a:spLocks noChangeShapeType="1"/>
        </xdr:cNvSpPr>
      </xdr:nvSpPr>
      <xdr:spPr bwMode="auto">
        <a:xfrm>
          <a:off x="69608700" y="2295525"/>
          <a:ext cx="333375"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96</xdr:col>
      <xdr:colOff>66675</xdr:colOff>
      <xdr:row>7</xdr:row>
      <xdr:rowOff>133350</xdr:rowOff>
    </xdr:from>
    <xdr:to>
      <xdr:col>97</xdr:col>
      <xdr:colOff>0</xdr:colOff>
      <xdr:row>9</xdr:row>
      <xdr:rowOff>66675</xdr:rowOff>
    </xdr:to>
    <xdr:sp macro="" textlink="">
      <xdr:nvSpPr>
        <xdr:cNvPr id="1069230" name="Line 146">
          <a:extLst>
            <a:ext uri="{FF2B5EF4-FFF2-40B4-BE49-F238E27FC236}">
              <a16:creationId xmlns:a16="http://schemas.microsoft.com/office/drawing/2014/main" id="{00000000-0008-0000-0C00-0000AE501000}"/>
            </a:ext>
          </a:extLst>
        </xdr:cNvPr>
        <xdr:cNvSpPr>
          <a:spLocks noChangeShapeType="1"/>
        </xdr:cNvSpPr>
      </xdr:nvSpPr>
      <xdr:spPr bwMode="auto">
        <a:xfrm flipV="1">
          <a:off x="65341500" y="2000250"/>
          <a:ext cx="38100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96</xdr:col>
      <xdr:colOff>66675</xdr:colOff>
      <xdr:row>9</xdr:row>
      <xdr:rowOff>66675</xdr:rowOff>
    </xdr:from>
    <xdr:to>
      <xdr:col>97</xdr:col>
      <xdr:colOff>19050</xdr:colOff>
      <xdr:row>13</xdr:row>
      <xdr:rowOff>0</xdr:rowOff>
    </xdr:to>
    <xdr:sp macro="" textlink="">
      <xdr:nvSpPr>
        <xdr:cNvPr id="1069231" name="Line 147">
          <a:extLst>
            <a:ext uri="{FF2B5EF4-FFF2-40B4-BE49-F238E27FC236}">
              <a16:creationId xmlns:a16="http://schemas.microsoft.com/office/drawing/2014/main" id="{00000000-0008-0000-0C00-0000AF501000}"/>
            </a:ext>
          </a:extLst>
        </xdr:cNvPr>
        <xdr:cNvSpPr>
          <a:spLocks noChangeShapeType="1"/>
        </xdr:cNvSpPr>
      </xdr:nvSpPr>
      <xdr:spPr bwMode="auto">
        <a:xfrm>
          <a:off x="65341500" y="2295525"/>
          <a:ext cx="400050" cy="657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99</xdr:col>
      <xdr:colOff>76200</xdr:colOff>
      <xdr:row>28</xdr:row>
      <xdr:rowOff>0</xdr:rowOff>
    </xdr:from>
    <xdr:to>
      <xdr:col>99</xdr:col>
      <xdr:colOff>76200</xdr:colOff>
      <xdr:row>28</xdr:row>
      <xdr:rowOff>0</xdr:rowOff>
    </xdr:to>
    <xdr:sp macro="" textlink="">
      <xdr:nvSpPr>
        <xdr:cNvPr id="1069232" name="Line 176">
          <a:extLst>
            <a:ext uri="{FF2B5EF4-FFF2-40B4-BE49-F238E27FC236}">
              <a16:creationId xmlns:a16="http://schemas.microsoft.com/office/drawing/2014/main" id="{00000000-0008-0000-0C00-0000B0501000}"/>
            </a:ext>
          </a:extLst>
        </xdr:cNvPr>
        <xdr:cNvSpPr>
          <a:spLocks noChangeShapeType="1"/>
        </xdr:cNvSpPr>
      </xdr:nvSpPr>
      <xdr:spPr bwMode="auto">
        <a:xfrm>
          <a:off x="67513200" y="5667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76200</xdr:colOff>
      <xdr:row>28</xdr:row>
      <xdr:rowOff>0</xdr:rowOff>
    </xdr:from>
    <xdr:to>
      <xdr:col>99</xdr:col>
      <xdr:colOff>76200</xdr:colOff>
      <xdr:row>28</xdr:row>
      <xdr:rowOff>0</xdr:rowOff>
    </xdr:to>
    <xdr:sp macro="" textlink="">
      <xdr:nvSpPr>
        <xdr:cNvPr id="1069233" name="Line 210">
          <a:extLst>
            <a:ext uri="{FF2B5EF4-FFF2-40B4-BE49-F238E27FC236}">
              <a16:creationId xmlns:a16="http://schemas.microsoft.com/office/drawing/2014/main" id="{00000000-0008-0000-0C00-0000B1501000}"/>
            </a:ext>
          </a:extLst>
        </xdr:cNvPr>
        <xdr:cNvSpPr>
          <a:spLocks noChangeShapeType="1"/>
        </xdr:cNvSpPr>
      </xdr:nvSpPr>
      <xdr:spPr bwMode="auto">
        <a:xfrm>
          <a:off x="67513200" y="5667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96</xdr:col>
      <xdr:colOff>0</xdr:colOff>
      <xdr:row>14</xdr:row>
      <xdr:rowOff>0</xdr:rowOff>
    </xdr:from>
    <xdr:to>
      <xdr:col>96</xdr:col>
      <xdr:colOff>76200</xdr:colOff>
      <xdr:row>14</xdr:row>
      <xdr:rowOff>9525</xdr:rowOff>
    </xdr:to>
    <xdr:sp macro="" textlink="">
      <xdr:nvSpPr>
        <xdr:cNvPr id="1069234" name="Line 283">
          <a:extLst>
            <a:ext uri="{FF2B5EF4-FFF2-40B4-BE49-F238E27FC236}">
              <a16:creationId xmlns:a16="http://schemas.microsoft.com/office/drawing/2014/main" id="{00000000-0008-0000-0C00-0000B2501000}"/>
            </a:ext>
          </a:extLst>
        </xdr:cNvPr>
        <xdr:cNvSpPr>
          <a:spLocks noChangeShapeType="1"/>
        </xdr:cNvSpPr>
      </xdr:nvSpPr>
      <xdr:spPr bwMode="auto">
        <a:xfrm>
          <a:off x="6527482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96</xdr:col>
      <xdr:colOff>66675</xdr:colOff>
      <xdr:row>14</xdr:row>
      <xdr:rowOff>9525</xdr:rowOff>
    </xdr:from>
    <xdr:to>
      <xdr:col>96</xdr:col>
      <xdr:colOff>66675</xdr:colOff>
      <xdr:row>17</xdr:row>
      <xdr:rowOff>19050</xdr:rowOff>
    </xdr:to>
    <xdr:sp macro="" textlink="">
      <xdr:nvSpPr>
        <xdr:cNvPr id="1069235" name="Line 284">
          <a:extLst>
            <a:ext uri="{FF2B5EF4-FFF2-40B4-BE49-F238E27FC236}">
              <a16:creationId xmlns:a16="http://schemas.microsoft.com/office/drawing/2014/main" id="{00000000-0008-0000-0C00-0000B3501000}"/>
            </a:ext>
          </a:extLst>
        </xdr:cNvPr>
        <xdr:cNvSpPr>
          <a:spLocks noChangeShapeType="1"/>
        </xdr:cNvSpPr>
      </xdr:nvSpPr>
      <xdr:spPr bwMode="auto">
        <a:xfrm>
          <a:off x="6534150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96</xdr:col>
      <xdr:colOff>9525</xdr:colOff>
      <xdr:row>17</xdr:row>
      <xdr:rowOff>0</xdr:rowOff>
    </xdr:from>
    <xdr:to>
      <xdr:col>96</xdr:col>
      <xdr:colOff>66675</xdr:colOff>
      <xdr:row>17</xdr:row>
      <xdr:rowOff>9525</xdr:rowOff>
    </xdr:to>
    <xdr:sp macro="" textlink="">
      <xdr:nvSpPr>
        <xdr:cNvPr id="1069236" name="Line 285">
          <a:extLst>
            <a:ext uri="{FF2B5EF4-FFF2-40B4-BE49-F238E27FC236}">
              <a16:creationId xmlns:a16="http://schemas.microsoft.com/office/drawing/2014/main" id="{00000000-0008-0000-0C00-0000B4501000}"/>
            </a:ext>
          </a:extLst>
        </xdr:cNvPr>
        <xdr:cNvSpPr>
          <a:spLocks noChangeShapeType="1"/>
        </xdr:cNvSpPr>
      </xdr:nvSpPr>
      <xdr:spPr bwMode="auto">
        <a:xfrm flipV="1">
          <a:off x="6528435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14</xdr:row>
      <xdr:rowOff>0</xdr:rowOff>
    </xdr:from>
    <xdr:to>
      <xdr:col>99</xdr:col>
      <xdr:colOff>76200</xdr:colOff>
      <xdr:row>14</xdr:row>
      <xdr:rowOff>9525</xdr:rowOff>
    </xdr:to>
    <xdr:sp macro="" textlink="">
      <xdr:nvSpPr>
        <xdr:cNvPr id="1069237" name="Line 286">
          <a:extLst>
            <a:ext uri="{FF2B5EF4-FFF2-40B4-BE49-F238E27FC236}">
              <a16:creationId xmlns:a16="http://schemas.microsoft.com/office/drawing/2014/main" id="{00000000-0008-0000-0C00-0000B5501000}"/>
            </a:ext>
          </a:extLst>
        </xdr:cNvPr>
        <xdr:cNvSpPr>
          <a:spLocks noChangeShapeType="1"/>
        </xdr:cNvSpPr>
      </xdr:nvSpPr>
      <xdr:spPr bwMode="auto">
        <a:xfrm>
          <a:off x="674370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66675</xdr:colOff>
      <xdr:row>14</xdr:row>
      <xdr:rowOff>9525</xdr:rowOff>
    </xdr:from>
    <xdr:to>
      <xdr:col>99</xdr:col>
      <xdr:colOff>66675</xdr:colOff>
      <xdr:row>17</xdr:row>
      <xdr:rowOff>19050</xdr:rowOff>
    </xdr:to>
    <xdr:sp macro="" textlink="">
      <xdr:nvSpPr>
        <xdr:cNvPr id="1069238" name="Line 287">
          <a:extLst>
            <a:ext uri="{FF2B5EF4-FFF2-40B4-BE49-F238E27FC236}">
              <a16:creationId xmlns:a16="http://schemas.microsoft.com/office/drawing/2014/main" id="{00000000-0008-0000-0C00-0000B6501000}"/>
            </a:ext>
          </a:extLst>
        </xdr:cNvPr>
        <xdr:cNvSpPr>
          <a:spLocks noChangeShapeType="1"/>
        </xdr:cNvSpPr>
      </xdr:nvSpPr>
      <xdr:spPr bwMode="auto">
        <a:xfrm>
          <a:off x="675036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9525</xdr:colOff>
      <xdr:row>17</xdr:row>
      <xdr:rowOff>0</xdr:rowOff>
    </xdr:from>
    <xdr:to>
      <xdr:col>99</xdr:col>
      <xdr:colOff>66675</xdr:colOff>
      <xdr:row>17</xdr:row>
      <xdr:rowOff>9525</xdr:rowOff>
    </xdr:to>
    <xdr:sp macro="" textlink="">
      <xdr:nvSpPr>
        <xdr:cNvPr id="1069239" name="Line 288">
          <a:extLst>
            <a:ext uri="{FF2B5EF4-FFF2-40B4-BE49-F238E27FC236}">
              <a16:creationId xmlns:a16="http://schemas.microsoft.com/office/drawing/2014/main" id="{00000000-0008-0000-0C00-0000B7501000}"/>
            </a:ext>
          </a:extLst>
        </xdr:cNvPr>
        <xdr:cNvSpPr>
          <a:spLocks noChangeShapeType="1"/>
        </xdr:cNvSpPr>
      </xdr:nvSpPr>
      <xdr:spPr bwMode="auto">
        <a:xfrm flipV="1">
          <a:off x="674465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0</xdr:colOff>
      <xdr:row>14</xdr:row>
      <xdr:rowOff>0</xdr:rowOff>
    </xdr:from>
    <xdr:to>
      <xdr:col>102</xdr:col>
      <xdr:colOff>76200</xdr:colOff>
      <xdr:row>14</xdr:row>
      <xdr:rowOff>9525</xdr:rowOff>
    </xdr:to>
    <xdr:sp macro="" textlink="">
      <xdr:nvSpPr>
        <xdr:cNvPr id="1069240" name="Line 289">
          <a:extLst>
            <a:ext uri="{FF2B5EF4-FFF2-40B4-BE49-F238E27FC236}">
              <a16:creationId xmlns:a16="http://schemas.microsoft.com/office/drawing/2014/main" id="{00000000-0008-0000-0C00-0000B8501000}"/>
            </a:ext>
          </a:extLst>
        </xdr:cNvPr>
        <xdr:cNvSpPr>
          <a:spLocks noChangeShapeType="1"/>
        </xdr:cNvSpPr>
      </xdr:nvSpPr>
      <xdr:spPr bwMode="auto">
        <a:xfrm>
          <a:off x="695325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66675</xdr:colOff>
      <xdr:row>14</xdr:row>
      <xdr:rowOff>9525</xdr:rowOff>
    </xdr:from>
    <xdr:to>
      <xdr:col>102</xdr:col>
      <xdr:colOff>66675</xdr:colOff>
      <xdr:row>17</xdr:row>
      <xdr:rowOff>19050</xdr:rowOff>
    </xdr:to>
    <xdr:sp macro="" textlink="">
      <xdr:nvSpPr>
        <xdr:cNvPr id="1069241" name="Line 290">
          <a:extLst>
            <a:ext uri="{FF2B5EF4-FFF2-40B4-BE49-F238E27FC236}">
              <a16:creationId xmlns:a16="http://schemas.microsoft.com/office/drawing/2014/main" id="{00000000-0008-0000-0C00-0000B9501000}"/>
            </a:ext>
          </a:extLst>
        </xdr:cNvPr>
        <xdr:cNvSpPr>
          <a:spLocks noChangeShapeType="1"/>
        </xdr:cNvSpPr>
      </xdr:nvSpPr>
      <xdr:spPr bwMode="auto">
        <a:xfrm>
          <a:off x="695991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9525</xdr:colOff>
      <xdr:row>17</xdr:row>
      <xdr:rowOff>0</xdr:rowOff>
    </xdr:from>
    <xdr:to>
      <xdr:col>102</xdr:col>
      <xdr:colOff>66675</xdr:colOff>
      <xdr:row>17</xdr:row>
      <xdr:rowOff>9525</xdr:rowOff>
    </xdr:to>
    <xdr:sp macro="" textlink="">
      <xdr:nvSpPr>
        <xdr:cNvPr id="1069242" name="Line 291">
          <a:extLst>
            <a:ext uri="{FF2B5EF4-FFF2-40B4-BE49-F238E27FC236}">
              <a16:creationId xmlns:a16="http://schemas.microsoft.com/office/drawing/2014/main" id="{00000000-0008-0000-0C00-0000BA501000}"/>
            </a:ext>
          </a:extLst>
        </xdr:cNvPr>
        <xdr:cNvSpPr>
          <a:spLocks noChangeShapeType="1"/>
        </xdr:cNvSpPr>
      </xdr:nvSpPr>
      <xdr:spPr bwMode="auto">
        <a:xfrm flipV="1">
          <a:off x="695420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0</xdr:colOff>
      <xdr:row>14</xdr:row>
      <xdr:rowOff>0</xdr:rowOff>
    </xdr:from>
    <xdr:to>
      <xdr:col>102</xdr:col>
      <xdr:colOff>76200</xdr:colOff>
      <xdr:row>14</xdr:row>
      <xdr:rowOff>9525</xdr:rowOff>
    </xdr:to>
    <xdr:sp macro="" textlink="">
      <xdr:nvSpPr>
        <xdr:cNvPr id="1069243" name="Line 292">
          <a:extLst>
            <a:ext uri="{FF2B5EF4-FFF2-40B4-BE49-F238E27FC236}">
              <a16:creationId xmlns:a16="http://schemas.microsoft.com/office/drawing/2014/main" id="{00000000-0008-0000-0C00-0000BB501000}"/>
            </a:ext>
          </a:extLst>
        </xdr:cNvPr>
        <xdr:cNvSpPr>
          <a:spLocks noChangeShapeType="1"/>
        </xdr:cNvSpPr>
      </xdr:nvSpPr>
      <xdr:spPr bwMode="auto">
        <a:xfrm>
          <a:off x="695325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66675</xdr:colOff>
      <xdr:row>14</xdr:row>
      <xdr:rowOff>9525</xdr:rowOff>
    </xdr:from>
    <xdr:to>
      <xdr:col>102</xdr:col>
      <xdr:colOff>66675</xdr:colOff>
      <xdr:row>17</xdr:row>
      <xdr:rowOff>19050</xdr:rowOff>
    </xdr:to>
    <xdr:sp macro="" textlink="">
      <xdr:nvSpPr>
        <xdr:cNvPr id="1069244" name="Line 293">
          <a:extLst>
            <a:ext uri="{FF2B5EF4-FFF2-40B4-BE49-F238E27FC236}">
              <a16:creationId xmlns:a16="http://schemas.microsoft.com/office/drawing/2014/main" id="{00000000-0008-0000-0C00-0000BC501000}"/>
            </a:ext>
          </a:extLst>
        </xdr:cNvPr>
        <xdr:cNvSpPr>
          <a:spLocks noChangeShapeType="1"/>
        </xdr:cNvSpPr>
      </xdr:nvSpPr>
      <xdr:spPr bwMode="auto">
        <a:xfrm>
          <a:off x="695991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9525</xdr:colOff>
      <xdr:row>17</xdr:row>
      <xdr:rowOff>0</xdr:rowOff>
    </xdr:from>
    <xdr:to>
      <xdr:col>102</xdr:col>
      <xdr:colOff>66675</xdr:colOff>
      <xdr:row>17</xdr:row>
      <xdr:rowOff>9525</xdr:rowOff>
    </xdr:to>
    <xdr:sp macro="" textlink="">
      <xdr:nvSpPr>
        <xdr:cNvPr id="1069245" name="Line 294">
          <a:extLst>
            <a:ext uri="{FF2B5EF4-FFF2-40B4-BE49-F238E27FC236}">
              <a16:creationId xmlns:a16="http://schemas.microsoft.com/office/drawing/2014/main" id="{00000000-0008-0000-0C00-0000BD501000}"/>
            </a:ext>
          </a:extLst>
        </xdr:cNvPr>
        <xdr:cNvSpPr>
          <a:spLocks noChangeShapeType="1"/>
        </xdr:cNvSpPr>
      </xdr:nvSpPr>
      <xdr:spPr bwMode="auto">
        <a:xfrm flipV="1">
          <a:off x="695420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76200</xdr:colOff>
      <xdr:row>15</xdr:row>
      <xdr:rowOff>66675</xdr:rowOff>
    </xdr:from>
    <xdr:to>
      <xdr:col>103</xdr:col>
      <xdr:colOff>9525</xdr:colOff>
      <xdr:row>17</xdr:row>
      <xdr:rowOff>19050</xdr:rowOff>
    </xdr:to>
    <xdr:sp macro="" textlink="">
      <xdr:nvSpPr>
        <xdr:cNvPr id="1069246" name="Line 295">
          <a:extLst>
            <a:ext uri="{FF2B5EF4-FFF2-40B4-BE49-F238E27FC236}">
              <a16:creationId xmlns:a16="http://schemas.microsoft.com/office/drawing/2014/main" id="{00000000-0008-0000-0C00-0000BE501000}"/>
            </a:ext>
          </a:extLst>
        </xdr:cNvPr>
        <xdr:cNvSpPr>
          <a:spLocks noChangeShapeType="1"/>
        </xdr:cNvSpPr>
      </xdr:nvSpPr>
      <xdr:spPr bwMode="auto">
        <a:xfrm>
          <a:off x="69608700" y="33813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102</xdr:col>
      <xdr:colOff>0</xdr:colOff>
      <xdr:row>14</xdr:row>
      <xdr:rowOff>0</xdr:rowOff>
    </xdr:from>
    <xdr:to>
      <xdr:col>102</xdr:col>
      <xdr:colOff>76200</xdr:colOff>
      <xdr:row>14</xdr:row>
      <xdr:rowOff>9525</xdr:rowOff>
    </xdr:to>
    <xdr:sp macro="" textlink="">
      <xdr:nvSpPr>
        <xdr:cNvPr id="1069247" name="Line 296">
          <a:extLst>
            <a:ext uri="{FF2B5EF4-FFF2-40B4-BE49-F238E27FC236}">
              <a16:creationId xmlns:a16="http://schemas.microsoft.com/office/drawing/2014/main" id="{00000000-0008-0000-0C00-0000BF501000}"/>
            </a:ext>
          </a:extLst>
        </xdr:cNvPr>
        <xdr:cNvSpPr>
          <a:spLocks noChangeShapeType="1"/>
        </xdr:cNvSpPr>
      </xdr:nvSpPr>
      <xdr:spPr bwMode="auto">
        <a:xfrm>
          <a:off x="695325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66675</xdr:colOff>
      <xdr:row>14</xdr:row>
      <xdr:rowOff>9525</xdr:rowOff>
    </xdr:from>
    <xdr:to>
      <xdr:col>102</xdr:col>
      <xdr:colOff>66675</xdr:colOff>
      <xdr:row>17</xdr:row>
      <xdr:rowOff>19050</xdr:rowOff>
    </xdr:to>
    <xdr:sp macro="" textlink="">
      <xdr:nvSpPr>
        <xdr:cNvPr id="1069248" name="Line 297">
          <a:extLst>
            <a:ext uri="{FF2B5EF4-FFF2-40B4-BE49-F238E27FC236}">
              <a16:creationId xmlns:a16="http://schemas.microsoft.com/office/drawing/2014/main" id="{00000000-0008-0000-0C00-0000C0501000}"/>
            </a:ext>
          </a:extLst>
        </xdr:cNvPr>
        <xdr:cNvSpPr>
          <a:spLocks noChangeShapeType="1"/>
        </xdr:cNvSpPr>
      </xdr:nvSpPr>
      <xdr:spPr bwMode="auto">
        <a:xfrm>
          <a:off x="695991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9525</xdr:colOff>
      <xdr:row>17</xdr:row>
      <xdr:rowOff>0</xdr:rowOff>
    </xdr:from>
    <xdr:to>
      <xdr:col>102</xdr:col>
      <xdr:colOff>66675</xdr:colOff>
      <xdr:row>17</xdr:row>
      <xdr:rowOff>9525</xdr:rowOff>
    </xdr:to>
    <xdr:sp macro="" textlink="">
      <xdr:nvSpPr>
        <xdr:cNvPr id="1069249" name="Line 298">
          <a:extLst>
            <a:ext uri="{FF2B5EF4-FFF2-40B4-BE49-F238E27FC236}">
              <a16:creationId xmlns:a16="http://schemas.microsoft.com/office/drawing/2014/main" id="{00000000-0008-0000-0C00-0000C1501000}"/>
            </a:ext>
          </a:extLst>
        </xdr:cNvPr>
        <xdr:cNvSpPr>
          <a:spLocks noChangeShapeType="1"/>
        </xdr:cNvSpPr>
      </xdr:nvSpPr>
      <xdr:spPr bwMode="auto">
        <a:xfrm flipV="1">
          <a:off x="695420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57150</xdr:colOff>
      <xdr:row>14</xdr:row>
      <xdr:rowOff>19050</xdr:rowOff>
    </xdr:from>
    <xdr:to>
      <xdr:col>103</xdr:col>
      <xdr:colOff>0</xdr:colOff>
      <xdr:row>15</xdr:row>
      <xdr:rowOff>47625</xdr:rowOff>
    </xdr:to>
    <xdr:sp macro="" textlink="">
      <xdr:nvSpPr>
        <xdr:cNvPr id="1069250" name="Line 299">
          <a:extLst>
            <a:ext uri="{FF2B5EF4-FFF2-40B4-BE49-F238E27FC236}">
              <a16:creationId xmlns:a16="http://schemas.microsoft.com/office/drawing/2014/main" id="{00000000-0008-0000-0C00-0000C2501000}"/>
            </a:ext>
          </a:extLst>
        </xdr:cNvPr>
        <xdr:cNvSpPr>
          <a:spLocks noChangeShapeType="1"/>
        </xdr:cNvSpPr>
      </xdr:nvSpPr>
      <xdr:spPr bwMode="auto">
        <a:xfrm flipV="1">
          <a:off x="69589650" y="3152775"/>
          <a:ext cx="352425" cy="2095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99</xdr:col>
      <xdr:colOff>0</xdr:colOff>
      <xdr:row>14</xdr:row>
      <xdr:rowOff>0</xdr:rowOff>
    </xdr:from>
    <xdr:to>
      <xdr:col>99</xdr:col>
      <xdr:colOff>76200</xdr:colOff>
      <xdr:row>14</xdr:row>
      <xdr:rowOff>9525</xdr:rowOff>
    </xdr:to>
    <xdr:sp macro="" textlink="">
      <xdr:nvSpPr>
        <xdr:cNvPr id="1069251" name="Line 300">
          <a:extLst>
            <a:ext uri="{FF2B5EF4-FFF2-40B4-BE49-F238E27FC236}">
              <a16:creationId xmlns:a16="http://schemas.microsoft.com/office/drawing/2014/main" id="{00000000-0008-0000-0C00-0000C3501000}"/>
            </a:ext>
          </a:extLst>
        </xdr:cNvPr>
        <xdr:cNvSpPr>
          <a:spLocks noChangeShapeType="1"/>
        </xdr:cNvSpPr>
      </xdr:nvSpPr>
      <xdr:spPr bwMode="auto">
        <a:xfrm>
          <a:off x="674370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66675</xdr:colOff>
      <xdr:row>14</xdr:row>
      <xdr:rowOff>9525</xdr:rowOff>
    </xdr:from>
    <xdr:to>
      <xdr:col>99</xdr:col>
      <xdr:colOff>66675</xdr:colOff>
      <xdr:row>17</xdr:row>
      <xdr:rowOff>19050</xdr:rowOff>
    </xdr:to>
    <xdr:sp macro="" textlink="">
      <xdr:nvSpPr>
        <xdr:cNvPr id="1069252" name="Line 301">
          <a:extLst>
            <a:ext uri="{FF2B5EF4-FFF2-40B4-BE49-F238E27FC236}">
              <a16:creationId xmlns:a16="http://schemas.microsoft.com/office/drawing/2014/main" id="{00000000-0008-0000-0C00-0000C4501000}"/>
            </a:ext>
          </a:extLst>
        </xdr:cNvPr>
        <xdr:cNvSpPr>
          <a:spLocks noChangeShapeType="1"/>
        </xdr:cNvSpPr>
      </xdr:nvSpPr>
      <xdr:spPr bwMode="auto">
        <a:xfrm>
          <a:off x="675036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9525</xdr:colOff>
      <xdr:row>17</xdr:row>
      <xdr:rowOff>0</xdr:rowOff>
    </xdr:from>
    <xdr:to>
      <xdr:col>99</xdr:col>
      <xdr:colOff>66675</xdr:colOff>
      <xdr:row>17</xdr:row>
      <xdr:rowOff>9525</xdr:rowOff>
    </xdr:to>
    <xdr:sp macro="" textlink="">
      <xdr:nvSpPr>
        <xdr:cNvPr id="1069253" name="Line 302">
          <a:extLst>
            <a:ext uri="{FF2B5EF4-FFF2-40B4-BE49-F238E27FC236}">
              <a16:creationId xmlns:a16="http://schemas.microsoft.com/office/drawing/2014/main" id="{00000000-0008-0000-0C00-0000C5501000}"/>
            </a:ext>
          </a:extLst>
        </xdr:cNvPr>
        <xdr:cNvSpPr>
          <a:spLocks noChangeShapeType="1"/>
        </xdr:cNvSpPr>
      </xdr:nvSpPr>
      <xdr:spPr bwMode="auto">
        <a:xfrm flipV="1">
          <a:off x="674465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96</xdr:col>
      <xdr:colOff>0</xdr:colOff>
      <xdr:row>20</xdr:row>
      <xdr:rowOff>0</xdr:rowOff>
    </xdr:from>
    <xdr:to>
      <xdr:col>96</xdr:col>
      <xdr:colOff>76200</xdr:colOff>
      <xdr:row>20</xdr:row>
      <xdr:rowOff>9525</xdr:rowOff>
    </xdr:to>
    <xdr:sp macro="" textlink="">
      <xdr:nvSpPr>
        <xdr:cNvPr id="1069254" name="Line 303">
          <a:extLst>
            <a:ext uri="{FF2B5EF4-FFF2-40B4-BE49-F238E27FC236}">
              <a16:creationId xmlns:a16="http://schemas.microsoft.com/office/drawing/2014/main" id="{00000000-0008-0000-0C00-0000C6501000}"/>
            </a:ext>
          </a:extLst>
        </xdr:cNvPr>
        <xdr:cNvSpPr>
          <a:spLocks noChangeShapeType="1"/>
        </xdr:cNvSpPr>
      </xdr:nvSpPr>
      <xdr:spPr bwMode="auto">
        <a:xfrm>
          <a:off x="6527482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96</xdr:col>
      <xdr:colOff>66675</xdr:colOff>
      <xdr:row>20</xdr:row>
      <xdr:rowOff>9525</xdr:rowOff>
    </xdr:from>
    <xdr:to>
      <xdr:col>96</xdr:col>
      <xdr:colOff>66675</xdr:colOff>
      <xdr:row>23</xdr:row>
      <xdr:rowOff>19050</xdr:rowOff>
    </xdr:to>
    <xdr:sp macro="" textlink="">
      <xdr:nvSpPr>
        <xdr:cNvPr id="1069255" name="Line 304">
          <a:extLst>
            <a:ext uri="{FF2B5EF4-FFF2-40B4-BE49-F238E27FC236}">
              <a16:creationId xmlns:a16="http://schemas.microsoft.com/office/drawing/2014/main" id="{00000000-0008-0000-0C00-0000C7501000}"/>
            </a:ext>
          </a:extLst>
        </xdr:cNvPr>
        <xdr:cNvSpPr>
          <a:spLocks noChangeShapeType="1"/>
        </xdr:cNvSpPr>
      </xdr:nvSpPr>
      <xdr:spPr bwMode="auto">
        <a:xfrm>
          <a:off x="6534150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96</xdr:col>
      <xdr:colOff>9525</xdr:colOff>
      <xdr:row>23</xdr:row>
      <xdr:rowOff>0</xdr:rowOff>
    </xdr:from>
    <xdr:to>
      <xdr:col>96</xdr:col>
      <xdr:colOff>66675</xdr:colOff>
      <xdr:row>23</xdr:row>
      <xdr:rowOff>9525</xdr:rowOff>
    </xdr:to>
    <xdr:sp macro="" textlink="">
      <xdr:nvSpPr>
        <xdr:cNvPr id="1069256" name="Line 305">
          <a:extLst>
            <a:ext uri="{FF2B5EF4-FFF2-40B4-BE49-F238E27FC236}">
              <a16:creationId xmlns:a16="http://schemas.microsoft.com/office/drawing/2014/main" id="{00000000-0008-0000-0C00-0000C8501000}"/>
            </a:ext>
          </a:extLst>
        </xdr:cNvPr>
        <xdr:cNvSpPr>
          <a:spLocks noChangeShapeType="1"/>
        </xdr:cNvSpPr>
      </xdr:nvSpPr>
      <xdr:spPr bwMode="auto">
        <a:xfrm flipV="1">
          <a:off x="6528435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20</xdr:row>
      <xdr:rowOff>0</xdr:rowOff>
    </xdr:from>
    <xdr:to>
      <xdr:col>99</xdr:col>
      <xdr:colOff>76200</xdr:colOff>
      <xdr:row>20</xdr:row>
      <xdr:rowOff>9525</xdr:rowOff>
    </xdr:to>
    <xdr:sp macro="" textlink="">
      <xdr:nvSpPr>
        <xdr:cNvPr id="1069257" name="Line 306">
          <a:extLst>
            <a:ext uri="{FF2B5EF4-FFF2-40B4-BE49-F238E27FC236}">
              <a16:creationId xmlns:a16="http://schemas.microsoft.com/office/drawing/2014/main" id="{00000000-0008-0000-0C00-0000C9501000}"/>
            </a:ext>
          </a:extLst>
        </xdr:cNvPr>
        <xdr:cNvSpPr>
          <a:spLocks noChangeShapeType="1"/>
        </xdr:cNvSpPr>
      </xdr:nvSpPr>
      <xdr:spPr bwMode="auto">
        <a:xfrm>
          <a:off x="674370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66675</xdr:colOff>
      <xdr:row>20</xdr:row>
      <xdr:rowOff>9525</xdr:rowOff>
    </xdr:from>
    <xdr:to>
      <xdr:col>99</xdr:col>
      <xdr:colOff>66675</xdr:colOff>
      <xdr:row>23</xdr:row>
      <xdr:rowOff>19050</xdr:rowOff>
    </xdr:to>
    <xdr:sp macro="" textlink="">
      <xdr:nvSpPr>
        <xdr:cNvPr id="1069258" name="Line 307">
          <a:extLst>
            <a:ext uri="{FF2B5EF4-FFF2-40B4-BE49-F238E27FC236}">
              <a16:creationId xmlns:a16="http://schemas.microsoft.com/office/drawing/2014/main" id="{00000000-0008-0000-0C00-0000CA501000}"/>
            </a:ext>
          </a:extLst>
        </xdr:cNvPr>
        <xdr:cNvSpPr>
          <a:spLocks noChangeShapeType="1"/>
        </xdr:cNvSpPr>
      </xdr:nvSpPr>
      <xdr:spPr bwMode="auto">
        <a:xfrm>
          <a:off x="6750367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9525</xdr:colOff>
      <xdr:row>23</xdr:row>
      <xdr:rowOff>0</xdr:rowOff>
    </xdr:from>
    <xdr:to>
      <xdr:col>99</xdr:col>
      <xdr:colOff>66675</xdr:colOff>
      <xdr:row>23</xdr:row>
      <xdr:rowOff>9525</xdr:rowOff>
    </xdr:to>
    <xdr:sp macro="" textlink="">
      <xdr:nvSpPr>
        <xdr:cNvPr id="1069259" name="Line 308">
          <a:extLst>
            <a:ext uri="{FF2B5EF4-FFF2-40B4-BE49-F238E27FC236}">
              <a16:creationId xmlns:a16="http://schemas.microsoft.com/office/drawing/2014/main" id="{00000000-0008-0000-0C00-0000CB501000}"/>
            </a:ext>
          </a:extLst>
        </xdr:cNvPr>
        <xdr:cNvSpPr>
          <a:spLocks noChangeShapeType="1"/>
        </xdr:cNvSpPr>
      </xdr:nvSpPr>
      <xdr:spPr bwMode="auto">
        <a:xfrm flipV="1">
          <a:off x="674465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0</xdr:colOff>
      <xdr:row>20</xdr:row>
      <xdr:rowOff>0</xdr:rowOff>
    </xdr:from>
    <xdr:to>
      <xdr:col>102</xdr:col>
      <xdr:colOff>76200</xdr:colOff>
      <xdr:row>20</xdr:row>
      <xdr:rowOff>9525</xdr:rowOff>
    </xdr:to>
    <xdr:sp macro="" textlink="">
      <xdr:nvSpPr>
        <xdr:cNvPr id="1069260" name="Line 309">
          <a:extLst>
            <a:ext uri="{FF2B5EF4-FFF2-40B4-BE49-F238E27FC236}">
              <a16:creationId xmlns:a16="http://schemas.microsoft.com/office/drawing/2014/main" id="{00000000-0008-0000-0C00-0000CC501000}"/>
            </a:ext>
          </a:extLst>
        </xdr:cNvPr>
        <xdr:cNvSpPr>
          <a:spLocks noChangeShapeType="1"/>
        </xdr:cNvSpPr>
      </xdr:nvSpPr>
      <xdr:spPr bwMode="auto">
        <a:xfrm>
          <a:off x="695325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66675</xdr:colOff>
      <xdr:row>20</xdr:row>
      <xdr:rowOff>9525</xdr:rowOff>
    </xdr:from>
    <xdr:to>
      <xdr:col>102</xdr:col>
      <xdr:colOff>66675</xdr:colOff>
      <xdr:row>23</xdr:row>
      <xdr:rowOff>19050</xdr:rowOff>
    </xdr:to>
    <xdr:sp macro="" textlink="">
      <xdr:nvSpPr>
        <xdr:cNvPr id="1069261" name="Line 310">
          <a:extLst>
            <a:ext uri="{FF2B5EF4-FFF2-40B4-BE49-F238E27FC236}">
              <a16:creationId xmlns:a16="http://schemas.microsoft.com/office/drawing/2014/main" id="{00000000-0008-0000-0C00-0000CD501000}"/>
            </a:ext>
          </a:extLst>
        </xdr:cNvPr>
        <xdr:cNvSpPr>
          <a:spLocks noChangeShapeType="1"/>
        </xdr:cNvSpPr>
      </xdr:nvSpPr>
      <xdr:spPr bwMode="auto">
        <a:xfrm>
          <a:off x="6959917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9525</xdr:colOff>
      <xdr:row>23</xdr:row>
      <xdr:rowOff>0</xdr:rowOff>
    </xdr:from>
    <xdr:to>
      <xdr:col>102</xdr:col>
      <xdr:colOff>66675</xdr:colOff>
      <xdr:row>23</xdr:row>
      <xdr:rowOff>9525</xdr:rowOff>
    </xdr:to>
    <xdr:sp macro="" textlink="">
      <xdr:nvSpPr>
        <xdr:cNvPr id="1069262" name="Line 311">
          <a:extLst>
            <a:ext uri="{FF2B5EF4-FFF2-40B4-BE49-F238E27FC236}">
              <a16:creationId xmlns:a16="http://schemas.microsoft.com/office/drawing/2014/main" id="{00000000-0008-0000-0C00-0000CE501000}"/>
            </a:ext>
          </a:extLst>
        </xdr:cNvPr>
        <xdr:cNvSpPr>
          <a:spLocks noChangeShapeType="1"/>
        </xdr:cNvSpPr>
      </xdr:nvSpPr>
      <xdr:spPr bwMode="auto">
        <a:xfrm flipV="1">
          <a:off x="695420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0</xdr:colOff>
      <xdr:row>20</xdr:row>
      <xdr:rowOff>0</xdr:rowOff>
    </xdr:from>
    <xdr:to>
      <xdr:col>102</xdr:col>
      <xdr:colOff>76200</xdr:colOff>
      <xdr:row>20</xdr:row>
      <xdr:rowOff>9525</xdr:rowOff>
    </xdr:to>
    <xdr:sp macro="" textlink="">
      <xdr:nvSpPr>
        <xdr:cNvPr id="1069263" name="Line 312">
          <a:extLst>
            <a:ext uri="{FF2B5EF4-FFF2-40B4-BE49-F238E27FC236}">
              <a16:creationId xmlns:a16="http://schemas.microsoft.com/office/drawing/2014/main" id="{00000000-0008-0000-0C00-0000CF501000}"/>
            </a:ext>
          </a:extLst>
        </xdr:cNvPr>
        <xdr:cNvSpPr>
          <a:spLocks noChangeShapeType="1"/>
        </xdr:cNvSpPr>
      </xdr:nvSpPr>
      <xdr:spPr bwMode="auto">
        <a:xfrm>
          <a:off x="695325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66675</xdr:colOff>
      <xdr:row>20</xdr:row>
      <xdr:rowOff>9525</xdr:rowOff>
    </xdr:from>
    <xdr:to>
      <xdr:col>102</xdr:col>
      <xdr:colOff>66675</xdr:colOff>
      <xdr:row>23</xdr:row>
      <xdr:rowOff>19050</xdr:rowOff>
    </xdr:to>
    <xdr:sp macro="" textlink="">
      <xdr:nvSpPr>
        <xdr:cNvPr id="1069264" name="Line 313">
          <a:extLst>
            <a:ext uri="{FF2B5EF4-FFF2-40B4-BE49-F238E27FC236}">
              <a16:creationId xmlns:a16="http://schemas.microsoft.com/office/drawing/2014/main" id="{00000000-0008-0000-0C00-0000D0501000}"/>
            </a:ext>
          </a:extLst>
        </xdr:cNvPr>
        <xdr:cNvSpPr>
          <a:spLocks noChangeShapeType="1"/>
        </xdr:cNvSpPr>
      </xdr:nvSpPr>
      <xdr:spPr bwMode="auto">
        <a:xfrm>
          <a:off x="6959917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9525</xdr:colOff>
      <xdr:row>23</xdr:row>
      <xdr:rowOff>0</xdr:rowOff>
    </xdr:from>
    <xdr:to>
      <xdr:col>102</xdr:col>
      <xdr:colOff>66675</xdr:colOff>
      <xdr:row>23</xdr:row>
      <xdr:rowOff>9525</xdr:rowOff>
    </xdr:to>
    <xdr:sp macro="" textlink="">
      <xdr:nvSpPr>
        <xdr:cNvPr id="1069265" name="Line 314">
          <a:extLst>
            <a:ext uri="{FF2B5EF4-FFF2-40B4-BE49-F238E27FC236}">
              <a16:creationId xmlns:a16="http://schemas.microsoft.com/office/drawing/2014/main" id="{00000000-0008-0000-0C00-0000D1501000}"/>
            </a:ext>
          </a:extLst>
        </xdr:cNvPr>
        <xdr:cNvSpPr>
          <a:spLocks noChangeShapeType="1"/>
        </xdr:cNvSpPr>
      </xdr:nvSpPr>
      <xdr:spPr bwMode="auto">
        <a:xfrm flipV="1">
          <a:off x="695420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76200</xdr:colOff>
      <xdr:row>21</xdr:row>
      <xdr:rowOff>66675</xdr:rowOff>
    </xdr:from>
    <xdr:to>
      <xdr:col>103</xdr:col>
      <xdr:colOff>9525</xdr:colOff>
      <xdr:row>23</xdr:row>
      <xdr:rowOff>19050</xdr:rowOff>
    </xdr:to>
    <xdr:sp macro="" textlink="">
      <xdr:nvSpPr>
        <xdr:cNvPr id="1069266" name="Line 315">
          <a:extLst>
            <a:ext uri="{FF2B5EF4-FFF2-40B4-BE49-F238E27FC236}">
              <a16:creationId xmlns:a16="http://schemas.microsoft.com/office/drawing/2014/main" id="{00000000-0008-0000-0C00-0000D2501000}"/>
            </a:ext>
          </a:extLst>
        </xdr:cNvPr>
        <xdr:cNvSpPr>
          <a:spLocks noChangeShapeType="1"/>
        </xdr:cNvSpPr>
      </xdr:nvSpPr>
      <xdr:spPr bwMode="auto">
        <a:xfrm>
          <a:off x="69608700" y="44672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102</xdr:col>
      <xdr:colOff>0</xdr:colOff>
      <xdr:row>20</xdr:row>
      <xdr:rowOff>0</xdr:rowOff>
    </xdr:from>
    <xdr:to>
      <xdr:col>102</xdr:col>
      <xdr:colOff>76200</xdr:colOff>
      <xdr:row>20</xdr:row>
      <xdr:rowOff>9525</xdr:rowOff>
    </xdr:to>
    <xdr:sp macro="" textlink="">
      <xdr:nvSpPr>
        <xdr:cNvPr id="1069267" name="Line 316">
          <a:extLst>
            <a:ext uri="{FF2B5EF4-FFF2-40B4-BE49-F238E27FC236}">
              <a16:creationId xmlns:a16="http://schemas.microsoft.com/office/drawing/2014/main" id="{00000000-0008-0000-0C00-0000D3501000}"/>
            </a:ext>
          </a:extLst>
        </xdr:cNvPr>
        <xdr:cNvSpPr>
          <a:spLocks noChangeShapeType="1"/>
        </xdr:cNvSpPr>
      </xdr:nvSpPr>
      <xdr:spPr bwMode="auto">
        <a:xfrm>
          <a:off x="695325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66675</xdr:colOff>
      <xdr:row>20</xdr:row>
      <xdr:rowOff>9525</xdr:rowOff>
    </xdr:from>
    <xdr:to>
      <xdr:col>102</xdr:col>
      <xdr:colOff>66675</xdr:colOff>
      <xdr:row>23</xdr:row>
      <xdr:rowOff>19050</xdr:rowOff>
    </xdr:to>
    <xdr:sp macro="" textlink="">
      <xdr:nvSpPr>
        <xdr:cNvPr id="1069268" name="Line 317">
          <a:extLst>
            <a:ext uri="{FF2B5EF4-FFF2-40B4-BE49-F238E27FC236}">
              <a16:creationId xmlns:a16="http://schemas.microsoft.com/office/drawing/2014/main" id="{00000000-0008-0000-0C00-0000D4501000}"/>
            </a:ext>
          </a:extLst>
        </xdr:cNvPr>
        <xdr:cNvSpPr>
          <a:spLocks noChangeShapeType="1"/>
        </xdr:cNvSpPr>
      </xdr:nvSpPr>
      <xdr:spPr bwMode="auto">
        <a:xfrm>
          <a:off x="6959917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9525</xdr:colOff>
      <xdr:row>23</xdr:row>
      <xdr:rowOff>0</xdr:rowOff>
    </xdr:from>
    <xdr:to>
      <xdr:col>102</xdr:col>
      <xdr:colOff>66675</xdr:colOff>
      <xdr:row>23</xdr:row>
      <xdr:rowOff>9525</xdr:rowOff>
    </xdr:to>
    <xdr:sp macro="" textlink="">
      <xdr:nvSpPr>
        <xdr:cNvPr id="1069269" name="Line 318">
          <a:extLst>
            <a:ext uri="{FF2B5EF4-FFF2-40B4-BE49-F238E27FC236}">
              <a16:creationId xmlns:a16="http://schemas.microsoft.com/office/drawing/2014/main" id="{00000000-0008-0000-0C00-0000D5501000}"/>
            </a:ext>
          </a:extLst>
        </xdr:cNvPr>
        <xdr:cNvSpPr>
          <a:spLocks noChangeShapeType="1"/>
        </xdr:cNvSpPr>
      </xdr:nvSpPr>
      <xdr:spPr bwMode="auto">
        <a:xfrm flipV="1">
          <a:off x="695420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76200</xdr:colOff>
      <xdr:row>19</xdr:row>
      <xdr:rowOff>171450</xdr:rowOff>
    </xdr:from>
    <xdr:to>
      <xdr:col>103</xdr:col>
      <xdr:colOff>9525</xdr:colOff>
      <xdr:row>21</xdr:row>
      <xdr:rowOff>38100</xdr:rowOff>
    </xdr:to>
    <xdr:sp macro="" textlink="">
      <xdr:nvSpPr>
        <xdr:cNvPr id="1069270" name="Line 319">
          <a:extLst>
            <a:ext uri="{FF2B5EF4-FFF2-40B4-BE49-F238E27FC236}">
              <a16:creationId xmlns:a16="http://schemas.microsoft.com/office/drawing/2014/main" id="{00000000-0008-0000-0C00-0000D6501000}"/>
            </a:ext>
          </a:extLst>
        </xdr:cNvPr>
        <xdr:cNvSpPr>
          <a:spLocks noChangeShapeType="1"/>
        </xdr:cNvSpPr>
      </xdr:nvSpPr>
      <xdr:spPr bwMode="auto">
        <a:xfrm flipV="1">
          <a:off x="69608700" y="4210050"/>
          <a:ext cx="342900" cy="22860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99</xdr:col>
      <xdr:colOff>0</xdr:colOff>
      <xdr:row>20</xdr:row>
      <xdr:rowOff>0</xdr:rowOff>
    </xdr:from>
    <xdr:to>
      <xdr:col>99</xdr:col>
      <xdr:colOff>76200</xdr:colOff>
      <xdr:row>20</xdr:row>
      <xdr:rowOff>9525</xdr:rowOff>
    </xdr:to>
    <xdr:sp macro="" textlink="">
      <xdr:nvSpPr>
        <xdr:cNvPr id="1069271" name="Line 320">
          <a:extLst>
            <a:ext uri="{FF2B5EF4-FFF2-40B4-BE49-F238E27FC236}">
              <a16:creationId xmlns:a16="http://schemas.microsoft.com/office/drawing/2014/main" id="{00000000-0008-0000-0C00-0000D7501000}"/>
            </a:ext>
          </a:extLst>
        </xdr:cNvPr>
        <xdr:cNvSpPr>
          <a:spLocks noChangeShapeType="1"/>
        </xdr:cNvSpPr>
      </xdr:nvSpPr>
      <xdr:spPr bwMode="auto">
        <a:xfrm>
          <a:off x="674370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66675</xdr:colOff>
      <xdr:row>20</xdr:row>
      <xdr:rowOff>9525</xdr:rowOff>
    </xdr:from>
    <xdr:to>
      <xdr:col>99</xdr:col>
      <xdr:colOff>66675</xdr:colOff>
      <xdr:row>23</xdr:row>
      <xdr:rowOff>19050</xdr:rowOff>
    </xdr:to>
    <xdr:sp macro="" textlink="">
      <xdr:nvSpPr>
        <xdr:cNvPr id="1069272" name="Line 321">
          <a:extLst>
            <a:ext uri="{FF2B5EF4-FFF2-40B4-BE49-F238E27FC236}">
              <a16:creationId xmlns:a16="http://schemas.microsoft.com/office/drawing/2014/main" id="{00000000-0008-0000-0C00-0000D8501000}"/>
            </a:ext>
          </a:extLst>
        </xdr:cNvPr>
        <xdr:cNvSpPr>
          <a:spLocks noChangeShapeType="1"/>
        </xdr:cNvSpPr>
      </xdr:nvSpPr>
      <xdr:spPr bwMode="auto">
        <a:xfrm>
          <a:off x="6750367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9525</xdr:colOff>
      <xdr:row>23</xdr:row>
      <xdr:rowOff>0</xdr:rowOff>
    </xdr:from>
    <xdr:to>
      <xdr:col>99</xdr:col>
      <xdr:colOff>66675</xdr:colOff>
      <xdr:row>23</xdr:row>
      <xdr:rowOff>9525</xdr:rowOff>
    </xdr:to>
    <xdr:sp macro="" textlink="">
      <xdr:nvSpPr>
        <xdr:cNvPr id="1069273" name="Line 322">
          <a:extLst>
            <a:ext uri="{FF2B5EF4-FFF2-40B4-BE49-F238E27FC236}">
              <a16:creationId xmlns:a16="http://schemas.microsoft.com/office/drawing/2014/main" id="{00000000-0008-0000-0C00-0000D9501000}"/>
            </a:ext>
          </a:extLst>
        </xdr:cNvPr>
        <xdr:cNvSpPr>
          <a:spLocks noChangeShapeType="1"/>
        </xdr:cNvSpPr>
      </xdr:nvSpPr>
      <xdr:spPr bwMode="auto">
        <a:xfrm flipV="1">
          <a:off x="674465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96</xdr:col>
      <xdr:colOff>0</xdr:colOff>
      <xdr:row>26</xdr:row>
      <xdr:rowOff>0</xdr:rowOff>
    </xdr:from>
    <xdr:to>
      <xdr:col>96</xdr:col>
      <xdr:colOff>76200</xdr:colOff>
      <xdr:row>26</xdr:row>
      <xdr:rowOff>9525</xdr:rowOff>
    </xdr:to>
    <xdr:sp macro="" textlink="">
      <xdr:nvSpPr>
        <xdr:cNvPr id="1069274" name="Line 323">
          <a:extLst>
            <a:ext uri="{FF2B5EF4-FFF2-40B4-BE49-F238E27FC236}">
              <a16:creationId xmlns:a16="http://schemas.microsoft.com/office/drawing/2014/main" id="{00000000-0008-0000-0C00-0000DA501000}"/>
            </a:ext>
          </a:extLst>
        </xdr:cNvPr>
        <xdr:cNvSpPr>
          <a:spLocks noChangeShapeType="1"/>
        </xdr:cNvSpPr>
      </xdr:nvSpPr>
      <xdr:spPr bwMode="auto">
        <a:xfrm>
          <a:off x="6527482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96</xdr:col>
      <xdr:colOff>66675</xdr:colOff>
      <xdr:row>26</xdr:row>
      <xdr:rowOff>9525</xdr:rowOff>
    </xdr:from>
    <xdr:to>
      <xdr:col>96</xdr:col>
      <xdr:colOff>66675</xdr:colOff>
      <xdr:row>29</xdr:row>
      <xdr:rowOff>19050</xdr:rowOff>
    </xdr:to>
    <xdr:sp macro="" textlink="">
      <xdr:nvSpPr>
        <xdr:cNvPr id="1069275" name="Line 324">
          <a:extLst>
            <a:ext uri="{FF2B5EF4-FFF2-40B4-BE49-F238E27FC236}">
              <a16:creationId xmlns:a16="http://schemas.microsoft.com/office/drawing/2014/main" id="{00000000-0008-0000-0C00-0000DB501000}"/>
            </a:ext>
          </a:extLst>
        </xdr:cNvPr>
        <xdr:cNvSpPr>
          <a:spLocks noChangeShapeType="1"/>
        </xdr:cNvSpPr>
      </xdr:nvSpPr>
      <xdr:spPr bwMode="auto">
        <a:xfrm>
          <a:off x="6534150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96</xdr:col>
      <xdr:colOff>9525</xdr:colOff>
      <xdr:row>29</xdr:row>
      <xdr:rowOff>0</xdr:rowOff>
    </xdr:from>
    <xdr:to>
      <xdr:col>96</xdr:col>
      <xdr:colOff>66675</xdr:colOff>
      <xdr:row>29</xdr:row>
      <xdr:rowOff>9525</xdr:rowOff>
    </xdr:to>
    <xdr:sp macro="" textlink="">
      <xdr:nvSpPr>
        <xdr:cNvPr id="1069276" name="Line 325">
          <a:extLst>
            <a:ext uri="{FF2B5EF4-FFF2-40B4-BE49-F238E27FC236}">
              <a16:creationId xmlns:a16="http://schemas.microsoft.com/office/drawing/2014/main" id="{00000000-0008-0000-0C00-0000DC501000}"/>
            </a:ext>
          </a:extLst>
        </xdr:cNvPr>
        <xdr:cNvSpPr>
          <a:spLocks noChangeShapeType="1"/>
        </xdr:cNvSpPr>
      </xdr:nvSpPr>
      <xdr:spPr bwMode="auto">
        <a:xfrm flipV="1">
          <a:off x="6528435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26</xdr:row>
      <xdr:rowOff>0</xdr:rowOff>
    </xdr:from>
    <xdr:to>
      <xdr:col>99</xdr:col>
      <xdr:colOff>76200</xdr:colOff>
      <xdr:row>26</xdr:row>
      <xdr:rowOff>9525</xdr:rowOff>
    </xdr:to>
    <xdr:sp macro="" textlink="">
      <xdr:nvSpPr>
        <xdr:cNvPr id="1069277" name="Line 326">
          <a:extLst>
            <a:ext uri="{FF2B5EF4-FFF2-40B4-BE49-F238E27FC236}">
              <a16:creationId xmlns:a16="http://schemas.microsoft.com/office/drawing/2014/main" id="{00000000-0008-0000-0C00-0000DD501000}"/>
            </a:ext>
          </a:extLst>
        </xdr:cNvPr>
        <xdr:cNvSpPr>
          <a:spLocks noChangeShapeType="1"/>
        </xdr:cNvSpPr>
      </xdr:nvSpPr>
      <xdr:spPr bwMode="auto">
        <a:xfrm>
          <a:off x="6743700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66675</xdr:colOff>
      <xdr:row>26</xdr:row>
      <xdr:rowOff>9525</xdr:rowOff>
    </xdr:from>
    <xdr:to>
      <xdr:col>99</xdr:col>
      <xdr:colOff>66675</xdr:colOff>
      <xdr:row>29</xdr:row>
      <xdr:rowOff>19050</xdr:rowOff>
    </xdr:to>
    <xdr:sp macro="" textlink="">
      <xdr:nvSpPr>
        <xdr:cNvPr id="1069278" name="Line 327">
          <a:extLst>
            <a:ext uri="{FF2B5EF4-FFF2-40B4-BE49-F238E27FC236}">
              <a16:creationId xmlns:a16="http://schemas.microsoft.com/office/drawing/2014/main" id="{00000000-0008-0000-0C00-0000DE501000}"/>
            </a:ext>
          </a:extLst>
        </xdr:cNvPr>
        <xdr:cNvSpPr>
          <a:spLocks noChangeShapeType="1"/>
        </xdr:cNvSpPr>
      </xdr:nvSpPr>
      <xdr:spPr bwMode="auto">
        <a:xfrm>
          <a:off x="6750367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9525</xdr:colOff>
      <xdr:row>29</xdr:row>
      <xdr:rowOff>0</xdr:rowOff>
    </xdr:from>
    <xdr:to>
      <xdr:col>99</xdr:col>
      <xdr:colOff>66675</xdr:colOff>
      <xdr:row>29</xdr:row>
      <xdr:rowOff>9525</xdr:rowOff>
    </xdr:to>
    <xdr:sp macro="" textlink="">
      <xdr:nvSpPr>
        <xdr:cNvPr id="1069279" name="Line 328">
          <a:extLst>
            <a:ext uri="{FF2B5EF4-FFF2-40B4-BE49-F238E27FC236}">
              <a16:creationId xmlns:a16="http://schemas.microsoft.com/office/drawing/2014/main" id="{00000000-0008-0000-0C00-0000DF501000}"/>
            </a:ext>
          </a:extLst>
        </xdr:cNvPr>
        <xdr:cNvSpPr>
          <a:spLocks noChangeShapeType="1"/>
        </xdr:cNvSpPr>
      </xdr:nvSpPr>
      <xdr:spPr bwMode="auto">
        <a:xfrm flipV="1">
          <a:off x="6744652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0</xdr:colOff>
      <xdr:row>26</xdr:row>
      <xdr:rowOff>0</xdr:rowOff>
    </xdr:from>
    <xdr:to>
      <xdr:col>102</xdr:col>
      <xdr:colOff>76200</xdr:colOff>
      <xdr:row>26</xdr:row>
      <xdr:rowOff>9525</xdr:rowOff>
    </xdr:to>
    <xdr:sp macro="" textlink="">
      <xdr:nvSpPr>
        <xdr:cNvPr id="1069280" name="Line 329">
          <a:extLst>
            <a:ext uri="{FF2B5EF4-FFF2-40B4-BE49-F238E27FC236}">
              <a16:creationId xmlns:a16="http://schemas.microsoft.com/office/drawing/2014/main" id="{00000000-0008-0000-0C00-0000E0501000}"/>
            </a:ext>
          </a:extLst>
        </xdr:cNvPr>
        <xdr:cNvSpPr>
          <a:spLocks noChangeShapeType="1"/>
        </xdr:cNvSpPr>
      </xdr:nvSpPr>
      <xdr:spPr bwMode="auto">
        <a:xfrm>
          <a:off x="6953250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66675</xdr:colOff>
      <xdr:row>26</xdr:row>
      <xdr:rowOff>9525</xdr:rowOff>
    </xdr:from>
    <xdr:to>
      <xdr:col>102</xdr:col>
      <xdr:colOff>66675</xdr:colOff>
      <xdr:row>29</xdr:row>
      <xdr:rowOff>19050</xdr:rowOff>
    </xdr:to>
    <xdr:sp macro="" textlink="">
      <xdr:nvSpPr>
        <xdr:cNvPr id="1069281" name="Line 330">
          <a:extLst>
            <a:ext uri="{FF2B5EF4-FFF2-40B4-BE49-F238E27FC236}">
              <a16:creationId xmlns:a16="http://schemas.microsoft.com/office/drawing/2014/main" id="{00000000-0008-0000-0C00-0000E1501000}"/>
            </a:ext>
          </a:extLst>
        </xdr:cNvPr>
        <xdr:cNvSpPr>
          <a:spLocks noChangeShapeType="1"/>
        </xdr:cNvSpPr>
      </xdr:nvSpPr>
      <xdr:spPr bwMode="auto">
        <a:xfrm>
          <a:off x="6959917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9525</xdr:colOff>
      <xdr:row>29</xdr:row>
      <xdr:rowOff>0</xdr:rowOff>
    </xdr:from>
    <xdr:to>
      <xdr:col>102</xdr:col>
      <xdr:colOff>66675</xdr:colOff>
      <xdr:row>29</xdr:row>
      <xdr:rowOff>9525</xdr:rowOff>
    </xdr:to>
    <xdr:sp macro="" textlink="">
      <xdr:nvSpPr>
        <xdr:cNvPr id="1069282" name="Line 331">
          <a:extLst>
            <a:ext uri="{FF2B5EF4-FFF2-40B4-BE49-F238E27FC236}">
              <a16:creationId xmlns:a16="http://schemas.microsoft.com/office/drawing/2014/main" id="{00000000-0008-0000-0C00-0000E2501000}"/>
            </a:ext>
          </a:extLst>
        </xdr:cNvPr>
        <xdr:cNvSpPr>
          <a:spLocks noChangeShapeType="1"/>
        </xdr:cNvSpPr>
      </xdr:nvSpPr>
      <xdr:spPr bwMode="auto">
        <a:xfrm flipV="1">
          <a:off x="6954202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0</xdr:colOff>
      <xdr:row>26</xdr:row>
      <xdr:rowOff>0</xdr:rowOff>
    </xdr:from>
    <xdr:to>
      <xdr:col>102</xdr:col>
      <xdr:colOff>76200</xdr:colOff>
      <xdr:row>26</xdr:row>
      <xdr:rowOff>9525</xdr:rowOff>
    </xdr:to>
    <xdr:sp macro="" textlink="">
      <xdr:nvSpPr>
        <xdr:cNvPr id="1069283" name="Line 332">
          <a:extLst>
            <a:ext uri="{FF2B5EF4-FFF2-40B4-BE49-F238E27FC236}">
              <a16:creationId xmlns:a16="http://schemas.microsoft.com/office/drawing/2014/main" id="{00000000-0008-0000-0C00-0000E3501000}"/>
            </a:ext>
          </a:extLst>
        </xdr:cNvPr>
        <xdr:cNvSpPr>
          <a:spLocks noChangeShapeType="1"/>
        </xdr:cNvSpPr>
      </xdr:nvSpPr>
      <xdr:spPr bwMode="auto">
        <a:xfrm>
          <a:off x="6953250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66675</xdr:colOff>
      <xdr:row>26</xdr:row>
      <xdr:rowOff>9525</xdr:rowOff>
    </xdr:from>
    <xdr:to>
      <xdr:col>102</xdr:col>
      <xdr:colOff>66675</xdr:colOff>
      <xdr:row>29</xdr:row>
      <xdr:rowOff>19050</xdr:rowOff>
    </xdr:to>
    <xdr:sp macro="" textlink="">
      <xdr:nvSpPr>
        <xdr:cNvPr id="1069284" name="Line 333">
          <a:extLst>
            <a:ext uri="{FF2B5EF4-FFF2-40B4-BE49-F238E27FC236}">
              <a16:creationId xmlns:a16="http://schemas.microsoft.com/office/drawing/2014/main" id="{00000000-0008-0000-0C00-0000E4501000}"/>
            </a:ext>
          </a:extLst>
        </xdr:cNvPr>
        <xdr:cNvSpPr>
          <a:spLocks noChangeShapeType="1"/>
        </xdr:cNvSpPr>
      </xdr:nvSpPr>
      <xdr:spPr bwMode="auto">
        <a:xfrm>
          <a:off x="6959917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9525</xdr:colOff>
      <xdr:row>29</xdr:row>
      <xdr:rowOff>0</xdr:rowOff>
    </xdr:from>
    <xdr:to>
      <xdr:col>102</xdr:col>
      <xdr:colOff>66675</xdr:colOff>
      <xdr:row>29</xdr:row>
      <xdr:rowOff>9525</xdr:rowOff>
    </xdr:to>
    <xdr:sp macro="" textlink="">
      <xdr:nvSpPr>
        <xdr:cNvPr id="1069285" name="Line 334">
          <a:extLst>
            <a:ext uri="{FF2B5EF4-FFF2-40B4-BE49-F238E27FC236}">
              <a16:creationId xmlns:a16="http://schemas.microsoft.com/office/drawing/2014/main" id="{00000000-0008-0000-0C00-0000E5501000}"/>
            </a:ext>
          </a:extLst>
        </xdr:cNvPr>
        <xdr:cNvSpPr>
          <a:spLocks noChangeShapeType="1"/>
        </xdr:cNvSpPr>
      </xdr:nvSpPr>
      <xdr:spPr bwMode="auto">
        <a:xfrm flipV="1">
          <a:off x="6954202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76200</xdr:colOff>
      <xdr:row>27</xdr:row>
      <xdr:rowOff>66675</xdr:rowOff>
    </xdr:from>
    <xdr:to>
      <xdr:col>103</xdr:col>
      <xdr:colOff>9525</xdr:colOff>
      <xdr:row>29</xdr:row>
      <xdr:rowOff>19050</xdr:rowOff>
    </xdr:to>
    <xdr:sp macro="" textlink="">
      <xdr:nvSpPr>
        <xdr:cNvPr id="1069286" name="Line 335">
          <a:extLst>
            <a:ext uri="{FF2B5EF4-FFF2-40B4-BE49-F238E27FC236}">
              <a16:creationId xmlns:a16="http://schemas.microsoft.com/office/drawing/2014/main" id="{00000000-0008-0000-0C00-0000E6501000}"/>
            </a:ext>
          </a:extLst>
        </xdr:cNvPr>
        <xdr:cNvSpPr>
          <a:spLocks noChangeShapeType="1"/>
        </xdr:cNvSpPr>
      </xdr:nvSpPr>
      <xdr:spPr bwMode="auto">
        <a:xfrm>
          <a:off x="69608700" y="55530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102</xdr:col>
      <xdr:colOff>0</xdr:colOff>
      <xdr:row>26</xdr:row>
      <xdr:rowOff>0</xdr:rowOff>
    </xdr:from>
    <xdr:to>
      <xdr:col>102</xdr:col>
      <xdr:colOff>76200</xdr:colOff>
      <xdr:row>26</xdr:row>
      <xdr:rowOff>9525</xdr:rowOff>
    </xdr:to>
    <xdr:sp macro="" textlink="">
      <xdr:nvSpPr>
        <xdr:cNvPr id="1069287" name="Line 336">
          <a:extLst>
            <a:ext uri="{FF2B5EF4-FFF2-40B4-BE49-F238E27FC236}">
              <a16:creationId xmlns:a16="http://schemas.microsoft.com/office/drawing/2014/main" id="{00000000-0008-0000-0C00-0000E7501000}"/>
            </a:ext>
          </a:extLst>
        </xdr:cNvPr>
        <xdr:cNvSpPr>
          <a:spLocks noChangeShapeType="1"/>
        </xdr:cNvSpPr>
      </xdr:nvSpPr>
      <xdr:spPr bwMode="auto">
        <a:xfrm>
          <a:off x="6953250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66675</xdr:colOff>
      <xdr:row>26</xdr:row>
      <xdr:rowOff>9525</xdr:rowOff>
    </xdr:from>
    <xdr:to>
      <xdr:col>102</xdr:col>
      <xdr:colOff>66675</xdr:colOff>
      <xdr:row>29</xdr:row>
      <xdr:rowOff>19050</xdr:rowOff>
    </xdr:to>
    <xdr:sp macro="" textlink="">
      <xdr:nvSpPr>
        <xdr:cNvPr id="1069288" name="Line 337">
          <a:extLst>
            <a:ext uri="{FF2B5EF4-FFF2-40B4-BE49-F238E27FC236}">
              <a16:creationId xmlns:a16="http://schemas.microsoft.com/office/drawing/2014/main" id="{00000000-0008-0000-0C00-0000E8501000}"/>
            </a:ext>
          </a:extLst>
        </xdr:cNvPr>
        <xdr:cNvSpPr>
          <a:spLocks noChangeShapeType="1"/>
        </xdr:cNvSpPr>
      </xdr:nvSpPr>
      <xdr:spPr bwMode="auto">
        <a:xfrm>
          <a:off x="6959917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9525</xdr:colOff>
      <xdr:row>29</xdr:row>
      <xdr:rowOff>0</xdr:rowOff>
    </xdr:from>
    <xdr:to>
      <xdr:col>102</xdr:col>
      <xdr:colOff>66675</xdr:colOff>
      <xdr:row>29</xdr:row>
      <xdr:rowOff>9525</xdr:rowOff>
    </xdr:to>
    <xdr:sp macro="" textlink="">
      <xdr:nvSpPr>
        <xdr:cNvPr id="1069289" name="Line 338">
          <a:extLst>
            <a:ext uri="{FF2B5EF4-FFF2-40B4-BE49-F238E27FC236}">
              <a16:creationId xmlns:a16="http://schemas.microsoft.com/office/drawing/2014/main" id="{00000000-0008-0000-0C00-0000E9501000}"/>
            </a:ext>
          </a:extLst>
        </xdr:cNvPr>
        <xdr:cNvSpPr>
          <a:spLocks noChangeShapeType="1"/>
        </xdr:cNvSpPr>
      </xdr:nvSpPr>
      <xdr:spPr bwMode="auto">
        <a:xfrm flipV="1">
          <a:off x="6954202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76200</xdr:colOff>
      <xdr:row>25</xdr:row>
      <xdr:rowOff>161925</xdr:rowOff>
    </xdr:from>
    <xdr:to>
      <xdr:col>103</xdr:col>
      <xdr:colOff>0</xdr:colOff>
      <xdr:row>27</xdr:row>
      <xdr:rowOff>47625</xdr:rowOff>
    </xdr:to>
    <xdr:sp macro="" textlink="">
      <xdr:nvSpPr>
        <xdr:cNvPr id="1069290" name="Line 339">
          <a:extLst>
            <a:ext uri="{FF2B5EF4-FFF2-40B4-BE49-F238E27FC236}">
              <a16:creationId xmlns:a16="http://schemas.microsoft.com/office/drawing/2014/main" id="{00000000-0008-0000-0C00-0000EA501000}"/>
            </a:ext>
          </a:extLst>
        </xdr:cNvPr>
        <xdr:cNvSpPr>
          <a:spLocks noChangeShapeType="1"/>
        </xdr:cNvSpPr>
      </xdr:nvSpPr>
      <xdr:spPr bwMode="auto">
        <a:xfrm flipV="1">
          <a:off x="69608700" y="5286375"/>
          <a:ext cx="333375"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99</xdr:col>
      <xdr:colOff>0</xdr:colOff>
      <xdr:row>26</xdr:row>
      <xdr:rowOff>0</xdr:rowOff>
    </xdr:from>
    <xdr:to>
      <xdr:col>99</xdr:col>
      <xdr:colOff>76200</xdr:colOff>
      <xdr:row>26</xdr:row>
      <xdr:rowOff>9525</xdr:rowOff>
    </xdr:to>
    <xdr:sp macro="" textlink="">
      <xdr:nvSpPr>
        <xdr:cNvPr id="1069291" name="Line 340">
          <a:extLst>
            <a:ext uri="{FF2B5EF4-FFF2-40B4-BE49-F238E27FC236}">
              <a16:creationId xmlns:a16="http://schemas.microsoft.com/office/drawing/2014/main" id="{00000000-0008-0000-0C00-0000EB501000}"/>
            </a:ext>
          </a:extLst>
        </xdr:cNvPr>
        <xdr:cNvSpPr>
          <a:spLocks noChangeShapeType="1"/>
        </xdr:cNvSpPr>
      </xdr:nvSpPr>
      <xdr:spPr bwMode="auto">
        <a:xfrm>
          <a:off x="6743700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66675</xdr:colOff>
      <xdr:row>26</xdr:row>
      <xdr:rowOff>9525</xdr:rowOff>
    </xdr:from>
    <xdr:to>
      <xdr:col>99</xdr:col>
      <xdr:colOff>66675</xdr:colOff>
      <xdr:row>29</xdr:row>
      <xdr:rowOff>19050</xdr:rowOff>
    </xdr:to>
    <xdr:sp macro="" textlink="">
      <xdr:nvSpPr>
        <xdr:cNvPr id="1069292" name="Line 341">
          <a:extLst>
            <a:ext uri="{FF2B5EF4-FFF2-40B4-BE49-F238E27FC236}">
              <a16:creationId xmlns:a16="http://schemas.microsoft.com/office/drawing/2014/main" id="{00000000-0008-0000-0C00-0000EC501000}"/>
            </a:ext>
          </a:extLst>
        </xdr:cNvPr>
        <xdr:cNvSpPr>
          <a:spLocks noChangeShapeType="1"/>
        </xdr:cNvSpPr>
      </xdr:nvSpPr>
      <xdr:spPr bwMode="auto">
        <a:xfrm>
          <a:off x="6750367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9525</xdr:colOff>
      <xdr:row>29</xdr:row>
      <xdr:rowOff>0</xdr:rowOff>
    </xdr:from>
    <xdr:to>
      <xdr:col>99</xdr:col>
      <xdr:colOff>66675</xdr:colOff>
      <xdr:row>29</xdr:row>
      <xdr:rowOff>9525</xdr:rowOff>
    </xdr:to>
    <xdr:sp macro="" textlink="">
      <xdr:nvSpPr>
        <xdr:cNvPr id="1069293" name="Line 342">
          <a:extLst>
            <a:ext uri="{FF2B5EF4-FFF2-40B4-BE49-F238E27FC236}">
              <a16:creationId xmlns:a16="http://schemas.microsoft.com/office/drawing/2014/main" id="{00000000-0008-0000-0C00-0000ED501000}"/>
            </a:ext>
          </a:extLst>
        </xdr:cNvPr>
        <xdr:cNvSpPr>
          <a:spLocks noChangeShapeType="1"/>
        </xdr:cNvSpPr>
      </xdr:nvSpPr>
      <xdr:spPr bwMode="auto">
        <a:xfrm flipV="1">
          <a:off x="6744652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96</xdr:col>
      <xdr:colOff>0</xdr:colOff>
      <xdr:row>32</xdr:row>
      <xdr:rowOff>0</xdr:rowOff>
    </xdr:from>
    <xdr:to>
      <xdr:col>96</xdr:col>
      <xdr:colOff>76200</xdr:colOff>
      <xdr:row>32</xdr:row>
      <xdr:rowOff>9525</xdr:rowOff>
    </xdr:to>
    <xdr:sp macro="" textlink="">
      <xdr:nvSpPr>
        <xdr:cNvPr id="1069294" name="Line 343">
          <a:extLst>
            <a:ext uri="{FF2B5EF4-FFF2-40B4-BE49-F238E27FC236}">
              <a16:creationId xmlns:a16="http://schemas.microsoft.com/office/drawing/2014/main" id="{00000000-0008-0000-0C00-0000EE501000}"/>
            </a:ext>
          </a:extLst>
        </xdr:cNvPr>
        <xdr:cNvSpPr>
          <a:spLocks noChangeShapeType="1"/>
        </xdr:cNvSpPr>
      </xdr:nvSpPr>
      <xdr:spPr bwMode="auto">
        <a:xfrm>
          <a:off x="6527482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96</xdr:col>
      <xdr:colOff>57150</xdr:colOff>
      <xdr:row>32</xdr:row>
      <xdr:rowOff>0</xdr:rowOff>
    </xdr:from>
    <xdr:to>
      <xdr:col>96</xdr:col>
      <xdr:colOff>57150</xdr:colOff>
      <xdr:row>35</xdr:row>
      <xdr:rowOff>9525</xdr:rowOff>
    </xdr:to>
    <xdr:sp macro="" textlink="">
      <xdr:nvSpPr>
        <xdr:cNvPr id="1069295" name="Line 344">
          <a:extLst>
            <a:ext uri="{FF2B5EF4-FFF2-40B4-BE49-F238E27FC236}">
              <a16:creationId xmlns:a16="http://schemas.microsoft.com/office/drawing/2014/main" id="{00000000-0008-0000-0C00-0000EF501000}"/>
            </a:ext>
          </a:extLst>
        </xdr:cNvPr>
        <xdr:cNvSpPr>
          <a:spLocks noChangeShapeType="1"/>
        </xdr:cNvSpPr>
      </xdr:nvSpPr>
      <xdr:spPr bwMode="auto">
        <a:xfrm flipH="1">
          <a:off x="65331975" y="6391275"/>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96</xdr:col>
      <xdr:colOff>9525</xdr:colOff>
      <xdr:row>35</xdr:row>
      <xdr:rowOff>0</xdr:rowOff>
    </xdr:from>
    <xdr:to>
      <xdr:col>96</xdr:col>
      <xdr:colOff>66675</xdr:colOff>
      <xdr:row>35</xdr:row>
      <xdr:rowOff>9525</xdr:rowOff>
    </xdr:to>
    <xdr:sp macro="" textlink="">
      <xdr:nvSpPr>
        <xdr:cNvPr id="1069296" name="Line 345">
          <a:extLst>
            <a:ext uri="{FF2B5EF4-FFF2-40B4-BE49-F238E27FC236}">
              <a16:creationId xmlns:a16="http://schemas.microsoft.com/office/drawing/2014/main" id="{00000000-0008-0000-0C00-0000F0501000}"/>
            </a:ext>
          </a:extLst>
        </xdr:cNvPr>
        <xdr:cNvSpPr>
          <a:spLocks noChangeShapeType="1"/>
        </xdr:cNvSpPr>
      </xdr:nvSpPr>
      <xdr:spPr bwMode="auto">
        <a:xfrm flipV="1">
          <a:off x="6528435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32</xdr:row>
      <xdr:rowOff>0</xdr:rowOff>
    </xdr:from>
    <xdr:to>
      <xdr:col>99</xdr:col>
      <xdr:colOff>76200</xdr:colOff>
      <xdr:row>32</xdr:row>
      <xdr:rowOff>9525</xdr:rowOff>
    </xdr:to>
    <xdr:sp macro="" textlink="">
      <xdr:nvSpPr>
        <xdr:cNvPr id="1069297" name="Line 346">
          <a:extLst>
            <a:ext uri="{FF2B5EF4-FFF2-40B4-BE49-F238E27FC236}">
              <a16:creationId xmlns:a16="http://schemas.microsoft.com/office/drawing/2014/main" id="{00000000-0008-0000-0C00-0000F1501000}"/>
            </a:ext>
          </a:extLst>
        </xdr:cNvPr>
        <xdr:cNvSpPr>
          <a:spLocks noChangeShapeType="1"/>
        </xdr:cNvSpPr>
      </xdr:nvSpPr>
      <xdr:spPr bwMode="auto">
        <a:xfrm>
          <a:off x="674370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66675</xdr:colOff>
      <xdr:row>32</xdr:row>
      <xdr:rowOff>9525</xdr:rowOff>
    </xdr:from>
    <xdr:to>
      <xdr:col>99</xdr:col>
      <xdr:colOff>66675</xdr:colOff>
      <xdr:row>35</xdr:row>
      <xdr:rowOff>19050</xdr:rowOff>
    </xdr:to>
    <xdr:sp macro="" textlink="">
      <xdr:nvSpPr>
        <xdr:cNvPr id="1069298" name="Line 347">
          <a:extLst>
            <a:ext uri="{FF2B5EF4-FFF2-40B4-BE49-F238E27FC236}">
              <a16:creationId xmlns:a16="http://schemas.microsoft.com/office/drawing/2014/main" id="{00000000-0008-0000-0C00-0000F2501000}"/>
            </a:ext>
          </a:extLst>
        </xdr:cNvPr>
        <xdr:cNvSpPr>
          <a:spLocks noChangeShapeType="1"/>
        </xdr:cNvSpPr>
      </xdr:nvSpPr>
      <xdr:spPr bwMode="auto">
        <a:xfrm>
          <a:off x="6750367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9525</xdr:colOff>
      <xdr:row>35</xdr:row>
      <xdr:rowOff>0</xdr:rowOff>
    </xdr:from>
    <xdr:to>
      <xdr:col>99</xdr:col>
      <xdr:colOff>66675</xdr:colOff>
      <xdr:row>35</xdr:row>
      <xdr:rowOff>9525</xdr:rowOff>
    </xdr:to>
    <xdr:sp macro="" textlink="">
      <xdr:nvSpPr>
        <xdr:cNvPr id="1069299" name="Line 348">
          <a:extLst>
            <a:ext uri="{FF2B5EF4-FFF2-40B4-BE49-F238E27FC236}">
              <a16:creationId xmlns:a16="http://schemas.microsoft.com/office/drawing/2014/main" id="{00000000-0008-0000-0C00-0000F3501000}"/>
            </a:ext>
          </a:extLst>
        </xdr:cNvPr>
        <xdr:cNvSpPr>
          <a:spLocks noChangeShapeType="1"/>
        </xdr:cNvSpPr>
      </xdr:nvSpPr>
      <xdr:spPr bwMode="auto">
        <a:xfrm flipV="1">
          <a:off x="674465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0</xdr:colOff>
      <xdr:row>32</xdr:row>
      <xdr:rowOff>0</xdr:rowOff>
    </xdr:from>
    <xdr:to>
      <xdr:col>102</xdr:col>
      <xdr:colOff>76200</xdr:colOff>
      <xdr:row>32</xdr:row>
      <xdr:rowOff>9525</xdr:rowOff>
    </xdr:to>
    <xdr:sp macro="" textlink="">
      <xdr:nvSpPr>
        <xdr:cNvPr id="1069300" name="Line 349">
          <a:extLst>
            <a:ext uri="{FF2B5EF4-FFF2-40B4-BE49-F238E27FC236}">
              <a16:creationId xmlns:a16="http://schemas.microsoft.com/office/drawing/2014/main" id="{00000000-0008-0000-0C00-0000F4501000}"/>
            </a:ext>
          </a:extLst>
        </xdr:cNvPr>
        <xdr:cNvSpPr>
          <a:spLocks noChangeShapeType="1"/>
        </xdr:cNvSpPr>
      </xdr:nvSpPr>
      <xdr:spPr bwMode="auto">
        <a:xfrm>
          <a:off x="695325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66675</xdr:colOff>
      <xdr:row>32</xdr:row>
      <xdr:rowOff>9525</xdr:rowOff>
    </xdr:from>
    <xdr:to>
      <xdr:col>102</xdr:col>
      <xdr:colOff>66675</xdr:colOff>
      <xdr:row>35</xdr:row>
      <xdr:rowOff>19050</xdr:rowOff>
    </xdr:to>
    <xdr:sp macro="" textlink="">
      <xdr:nvSpPr>
        <xdr:cNvPr id="1069301" name="Line 350">
          <a:extLst>
            <a:ext uri="{FF2B5EF4-FFF2-40B4-BE49-F238E27FC236}">
              <a16:creationId xmlns:a16="http://schemas.microsoft.com/office/drawing/2014/main" id="{00000000-0008-0000-0C00-0000F5501000}"/>
            </a:ext>
          </a:extLst>
        </xdr:cNvPr>
        <xdr:cNvSpPr>
          <a:spLocks noChangeShapeType="1"/>
        </xdr:cNvSpPr>
      </xdr:nvSpPr>
      <xdr:spPr bwMode="auto">
        <a:xfrm>
          <a:off x="6959917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9525</xdr:colOff>
      <xdr:row>35</xdr:row>
      <xdr:rowOff>0</xdr:rowOff>
    </xdr:from>
    <xdr:to>
      <xdr:col>102</xdr:col>
      <xdr:colOff>66675</xdr:colOff>
      <xdr:row>35</xdr:row>
      <xdr:rowOff>9525</xdr:rowOff>
    </xdr:to>
    <xdr:sp macro="" textlink="">
      <xdr:nvSpPr>
        <xdr:cNvPr id="1069302" name="Line 351">
          <a:extLst>
            <a:ext uri="{FF2B5EF4-FFF2-40B4-BE49-F238E27FC236}">
              <a16:creationId xmlns:a16="http://schemas.microsoft.com/office/drawing/2014/main" id="{00000000-0008-0000-0C00-0000F6501000}"/>
            </a:ext>
          </a:extLst>
        </xdr:cNvPr>
        <xdr:cNvSpPr>
          <a:spLocks noChangeShapeType="1"/>
        </xdr:cNvSpPr>
      </xdr:nvSpPr>
      <xdr:spPr bwMode="auto">
        <a:xfrm flipV="1">
          <a:off x="695420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0</xdr:colOff>
      <xdr:row>32</xdr:row>
      <xdr:rowOff>0</xdr:rowOff>
    </xdr:from>
    <xdr:to>
      <xdr:col>102</xdr:col>
      <xdr:colOff>76200</xdr:colOff>
      <xdr:row>32</xdr:row>
      <xdr:rowOff>9525</xdr:rowOff>
    </xdr:to>
    <xdr:sp macro="" textlink="">
      <xdr:nvSpPr>
        <xdr:cNvPr id="1069303" name="Line 352">
          <a:extLst>
            <a:ext uri="{FF2B5EF4-FFF2-40B4-BE49-F238E27FC236}">
              <a16:creationId xmlns:a16="http://schemas.microsoft.com/office/drawing/2014/main" id="{00000000-0008-0000-0C00-0000F7501000}"/>
            </a:ext>
          </a:extLst>
        </xdr:cNvPr>
        <xdr:cNvSpPr>
          <a:spLocks noChangeShapeType="1"/>
        </xdr:cNvSpPr>
      </xdr:nvSpPr>
      <xdr:spPr bwMode="auto">
        <a:xfrm>
          <a:off x="695325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66675</xdr:colOff>
      <xdr:row>32</xdr:row>
      <xdr:rowOff>9525</xdr:rowOff>
    </xdr:from>
    <xdr:to>
      <xdr:col>102</xdr:col>
      <xdr:colOff>66675</xdr:colOff>
      <xdr:row>35</xdr:row>
      <xdr:rowOff>19050</xdr:rowOff>
    </xdr:to>
    <xdr:sp macro="" textlink="">
      <xdr:nvSpPr>
        <xdr:cNvPr id="1069304" name="Line 353">
          <a:extLst>
            <a:ext uri="{FF2B5EF4-FFF2-40B4-BE49-F238E27FC236}">
              <a16:creationId xmlns:a16="http://schemas.microsoft.com/office/drawing/2014/main" id="{00000000-0008-0000-0C00-0000F8501000}"/>
            </a:ext>
          </a:extLst>
        </xdr:cNvPr>
        <xdr:cNvSpPr>
          <a:spLocks noChangeShapeType="1"/>
        </xdr:cNvSpPr>
      </xdr:nvSpPr>
      <xdr:spPr bwMode="auto">
        <a:xfrm>
          <a:off x="6959917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9525</xdr:colOff>
      <xdr:row>35</xdr:row>
      <xdr:rowOff>0</xdr:rowOff>
    </xdr:from>
    <xdr:to>
      <xdr:col>102</xdr:col>
      <xdr:colOff>66675</xdr:colOff>
      <xdr:row>35</xdr:row>
      <xdr:rowOff>9525</xdr:rowOff>
    </xdr:to>
    <xdr:sp macro="" textlink="">
      <xdr:nvSpPr>
        <xdr:cNvPr id="1069305" name="Line 354">
          <a:extLst>
            <a:ext uri="{FF2B5EF4-FFF2-40B4-BE49-F238E27FC236}">
              <a16:creationId xmlns:a16="http://schemas.microsoft.com/office/drawing/2014/main" id="{00000000-0008-0000-0C00-0000F9501000}"/>
            </a:ext>
          </a:extLst>
        </xdr:cNvPr>
        <xdr:cNvSpPr>
          <a:spLocks noChangeShapeType="1"/>
        </xdr:cNvSpPr>
      </xdr:nvSpPr>
      <xdr:spPr bwMode="auto">
        <a:xfrm flipV="1">
          <a:off x="695420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66675</xdr:colOff>
      <xdr:row>33</xdr:row>
      <xdr:rowOff>114300</xdr:rowOff>
    </xdr:from>
    <xdr:to>
      <xdr:col>103</xdr:col>
      <xdr:colOff>0</xdr:colOff>
      <xdr:row>35</xdr:row>
      <xdr:rowOff>0</xdr:rowOff>
    </xdr:to>
    <xdr:sp macro="" textlink="">
      <xdr:nvSpPr>
        <xdr:cNvPr id="1069306" name="Line 355">
          <a:extLst>
            <a:ext uri="{FF2B5EF4-FFF2-40B4-BE49-F238E27FC236}">
              <a16:creationId xmlns:a16="http://schemas.microsoft.com/office/drawing/2014/main" id="{00000000-0008-0000-0C00-0000FA501000}"/>
            </a:ext>
          </a:extLst>
        </xdr:cNvPr>
        <xdr:cNvSpPr>
          <a:spLocks noChangeShapeType="1"/>
        </xdr:cNvSpPr>
      </xdr:nvSpPr>
      <xdr:spPr bwMode="auto">
        <a:xfrm>
          <a:off x="69599175" y="6686550"/>
          <a:ext cx="342900" cy="2476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102</xdr:col>
      <xdr:colOff>0</xdr:colOff>
      <xdr:row>32</xdr:row>
      <xdr:rowOff>0</xdr:rowOff>
    </xdr:from>
    <xdr:to>
      <xdr:col>102</xdr:col>
      <xdr:colOff>76200</xdr:colOff>
      <xdr:row>32</xdr:row>
      <xdr:rowOff>9525</xdr:rowOff>
    </xdr:to>
    <xdr:sp macro="" textlink="">
      <xdr:nvSpPr>
        <xdr:cNvPr id="1069307" name="Line 356">
          <a:extLst>
            <a:ext uri="{FF2B5EF4-FFF2-40B4-BE49-F238E27FC236}">
              <a16:creationId xmlns:a16="http://schemas.microsoft.com/office/drawing/2014/main" id="{00000000-0008-0000-0C00-0000FB501000}"/>
            </a:ext>
          </a:extLst>
        </xdr:cNvPr>
        <xdr:cNvSpPr>
          <a:spLocks noChangeShapeType="1"/>
        </xdr:cNvSpPr>
      </xdr:nvSpPr>
      <xdr:spPr bwMode="auto">
        <a:xfrm>
          <a:off x="695325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9525</xdr:colOff>
      <xdr:row>35</xdr:row>
      <xdr:rowOff>0</xdr:rowOff>
    </xdr:from>
    <xdr:to>
      <xdr:col>102</xdr:col>
      <xdr:colOff>66675</xdr:colOff>
      <xdr:row>35</xdr:row>
      <xdr:rowOff>9525</xdr:rowOff>
    </xdr:to>
    <xdr:sp macro="" textlink="">
      <xdr:nvSpPr>
        <xdr:cNvPr id="1069308" name="Line 358">
          <a:extLst>
            <a:ext uri="{FF2B5EF4-FFF2-40B4-BE49-F238E27FC236}">
              <a16:creationId xmlns:a16="http://schemas.microsoft.com/office/drawing/2014/main" id="{00000000-0008-0000-0C00-0000FC501000}"/>
            </a:ext>
          </a:extLst>
        </xdr:cNvPr>
        <xdr:cNvSpPr>
          <a:spLocks noChangeShapeType="1"/>
        </xdr:cNvSpPr>
      </xdr:nvSpPr>
      <xdr:spPr bwMode="auto">
        <a:xfrm flipV="1">
          <a:off x="695420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66675</xdr:colOff>
      <xdr:row>31</xdr:row>
      <xdr:rowOff>161925</xdr:rowOff>
    </xdr:from>
    <xdr:to>
      <xdr:col>102</xdr:col>
      <xdr:colOff>400050</xdr:colOff>
      <xdr:row>33</xdr:row>
      <xdr:rowOff>114300</xdr:rowOff>
    </xdr:to>
    <xdr:sp macro="" textlink="">
      <xdr:nvSpPr>
        <xdr:cNvPr id="1069309" name="Line 359">
          <a:extLst>
            <a:ext uri="{FF2B5EF4-FFF2-40B4-BE49-F238E27FC236}">
              <a16:creationId xmlns:a16="http://schemas.microsoft.com/office/drawing/2014/main" id="{00000000-0008-0000-0C00-0000FD501000}"/>
            </a:ext>
          </a:extLst>
        </xdr:cNvPr>
        <xdr:cNvSpPr>
          <a:spLocks noChangeShapeType="1"/>
        </xdr:cNvSpPr>
      </xdr:nvSpPr>
      <xdr:spPr bwMode="auto">
        <a:xfrm flipV="1">
          <a:off x="69599175" y="6372225"/>
          <a:ext cx="333375" cy="3143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99</xdr:col>
      <xdr:colOff>0</xdr:colOff>
      <xdr:row>32</xdr:row>
      <xdr:rowOff>0</xdr:rowOff>
    </xdr:from>
    <xdr:to>
      <xdr:col>99</xdr:col>
      <xdr:colOff>76200</xdr:colOff>
      <xdr:row>32</xdr:row>
      <xdr:rowOff>9525</xdr:rowOff>
    </xdr:to>
    <xdr:sp macro="" textlink="">
      <xdr:nvSpPr>
        <xdr:cNvPr id="1069310" name="Line 360">
          <a:extLst>
            <a:ext uri="{FF2B5EF4-FFF2-40B4-BE49-F238E27FC236}">
              <a16:creationId xmlns:a16="http://schemas.microsoft.com/office/drawing/2014/main" id="{00000000-0008-0000-0C00-0000FE501000}"/>
            </a:ext>
          </a:extLst>
        </xdr:cNvPr>
        <xdr:cNvSpPr>
          <a:spLocks noChangeShapeType="1"/>
        </xdr:cNvSpPr>
      </xdr:nvSpPr>
      <xdr:spPr bwMode="auto">
        <a:xfrm>
          <a:off x="674370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57150</xdr:colOff>
      <xdr:row>32</xdr:row>
      <xdr:rowOff>9525</xdr:rowOff>
    </xdr:from>
    <xdr:to>
      <xdr:col>99</xdr:col>
      <xdr:colOff>66675</xdr:colOff>
      <xdr:row>35</xdr:row>
      <xdr:rowOff>0</xdr:rowOff>
    </xdr:to>
    <xdr:sp macro="" textlink="">
      <xdr:nvSpPr>
        <xdr:cNvPr id="1069311" name="Line 361">
          <a:extLst>
            <a:ext uri="{FF2B5EF4-FFF2-40B4-BE49-F238E27FC236}">
              <a16:creationId xmlns:a16="http://schemas.microsoft.com/office/drawing/2014/main" id="{00000000-0008-0000-0C00-0000FF501000}"/>
            </a:ext>
          </a:extLst>
        </xdr:cNvPr>
        <xdr:cNvSpPr>
          <a:spLocks noChangeShapeType="1"/>
        </xdr:cNvSpPr>
      </xdr:nvSpPr>
      <xdr:spPr bwMode="auto">
        <a:xfrm flipH="1">
          <a:off x="67494150" y="6400800"/>
          <a:ext cx="9525"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9525</xdr:colOff>
      <xdr:row>35</xdr:row>
      <xdr:rowOff>0</xdr:rowOff>
    </xdr:from>
    <xdr:to>
      <xdr:col>99</xdr:col>
      <xdr:colOff>66675</xdr:colOff>
      <xdr:row>35</xdr:row>
      <xdr:rowOff>9525</xdr:rowOff>
    </xdr:to>
    <xdr:sp macro="" textlink="">
      <xdr:nvSpPr>
        <xdr:cNvPr id="1069312" name="Line 362">
          <a:extLst>
            <a:ext uri="{FF2B5EF4-FFF2-40B4-BE49-F238E27FC236}">
              <a16:creationId xmlns:a16="http://schemas.microsoft.com/office/drawing/2014/main" id="{00000000-0008-0000-0C00-000000511000}"/>
            </a:ext>
          </a:extLst>
        </xdr:cNvPr>
        <xdr:cNvSpPr>
          <a:spLocks noChangeShapeType="1"/>
        </xdr:cNvSpPr>
      </xdr:nvSpPr>
      <xdr:spPr bwMode="auto">
        <a:xfrm flipV="1">
          <a:off x="674465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96</xdr:col>
      <xdr:colOff>66675</xdr:colOff>
      <xdr:row>33</xdr:row>
      <xdr:rowOff>85725</xdr:rowOff>
    </xdr:from>
    <xdr:to>
      <xdr:col>97</xdr:col>
      <xdr:colOff>9525</xdr:colOff>
      <xdr:row>38</xdr:row>
      <xdr:rowOff>19050</xdr:rowOff>
    </xdr:to>
    <xdr:sp macro="" textlink="">
      <xdr:nvSpPr>
        <xdr:cNvPr id="1069313" name="Line 363">
          <a:extLst>
            <a:ext uri="{FF2B5EF4-FFF2-40B4-BE49-F238E27FC236}">
              <a16:creationId xmlns:a16="http://schemas.microsoft.com/office/drawing/2014/main" id="{00000000-0008-0000-0C00-000001511000}"/>
            </a:ext>
          </a:extLst>
        </xdr:cNvPr>
        <xdr:cNvSpPr>
          <a:spLocks noChangeShapeType="1"/>
        </xdr:cNvSpPr>
      </xdr:nvSpPr>
      <xdr:spPr bwMode="auto">
        <a:xfrm>
          <a:off x="65341500" y="6657975"/>
          <a:ext cx="39052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99</xdr:col>
      <xdr:colOff>57150</xdr:colOff>
      <xdr:row>33</xdr:row>
      <xdr:rowOff>76200</xdr:rowOff>
    </xdr:from>
    <xdr:to>
      <xdr:col>99</xdr:col>
      <xdr:colOff>400050</xdr:colOff>
      <xdr:row>38</xdr:row>
      <xdr:rowOff>28575</xdr:rowOff>
    </xdr:to>
    <xdr:sp macro="" textlink="">
      <xdr:nvSpPr>
        <xdr:cNvPr id="1069314" name="Line 364">
          <a:extLst>
            <a:ext uri="{FF2B5EF4-FFF2-40B4-BE49-F238E27FC236}">
              <a16:creationId xmlns:a16="http://schemas.microsoft.com/office/drawing/2014/main" id="{00000000-0008-0000-0C00-000002511000}"/>
            </a:ext>
          </a:extLst>
        </xdr:cNvPr>
        <xdr:cNvSpPr>
          <a:spLocks noChangeShapeType="1"/>
        </xdr:cNvSpPr>
      </xdr:nvSpPr>
      <xdr:spPr bwMode="auto">
        <a:xfrm>
          <a:off x="67494150" y="6648450"/>
          <a:ext cx="342900" cy="8572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96</xdr:col>
      <xdr:colOff>66675</xdr:colOff>
      <xdr:row>10</xdr:row>
      <xdr:rowOff>180975</xdr:rowOff>
    </xdr:from>
    <xdr:to>
      <xdr:col>97</xdr:col>
      <xdr:colOff>0</xdr:colOff>
      <xdr:row>15</xdr:row>
      <xdr:rowOff>76200</xdr:rowOff>
    </xdr:to>
    <xdr:sp macro="" textlink="">
      <xdr:nvSpPr>
        <xdr:cNvPr id="1069315" name="Line 386">
          <a:extLst>
            <a:ext uri="{FF2B5EF4-FFF2-40B4-BE49-F238E27FC236}">
              <a16:creationId xmlns:a16="http://schemas.microsoft.com/office/drawing/2014/main" id="{00000000-0008-0000-0C00-000003511000}"/>
            </a:ext>
          </a:extLst>
        </xdr:cNvPr>
        <xdr:cNvSpPr>
          <a:spLocks noChangeShapeType="1"/>
        </xdr:cNvSpPr>
      </xdr:nvSpPr>
      <xdr:spPr bwMode="auto">
        <a:xfrm flipV="1">
          <a:off x="65341500" y="2590800"/>
          <a:ext cx="3810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96</xdr:col>
      <xdr:colOff>66675</xdr:colOff>
      <xdr:row>15</xdr:row>
      <xdr:rowOff>95250</xdr:rowOff>
    </xdr:from>
    <xdr:to>
      <xdr:col>97</xdr:col>
      <xdr:colOff>0</xdr:colOff>
      <xdr:row>19</xdr:row>
      <xdr:rowOff>171450</xdr:rowOff>
    </xdr:to>
    <xdr:sp macro="" textlink="">
      <xdr:nvSpPr>
        <xdr:cNvPr id="1069316" name="Line 387">
          <a:extLst>
            <a:ext uri="{FF2B5EF4-FFF2-40B4-BE49-F238E27FC236}">
              <a16:creationId xmlns:a16="http://schemas.microsoft.com/office/drawing/2014/main" id="{00000000-0008-0000-0C00-000004511000}"/>
            </a:ext>
          </a:extLst>
        </xdr:cNvPr>
        <xdr:cNvSpPr>
          <a:spLocks noChangeShapeType="1"/>
        </xdr:cNvSpPr>
      </xdr:nvSpPr>
      <xdr:spPr bwMode="auto">
        <a:xfrm>
          <a:off x="65341500" y="3409950"/>
          <a:ext cx="3810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96</xdr:col>
      <xdr:colOff>66675</xdr:colOff>
      <xdr:row>16</xdr:row>
      <xdr:rowOff>161925</xdr:rowOff>
    </xdr:from>
    <xdr:to>
      <xdr:col>96</xdr:col>
      <xdr:colOff>438150</xdr:colOff>
      <xdr:row>21</xdr:row>
      <xdr:rowOff>95250</xdr:rowOff>
    </xdr:to>
    <xdr:sp macro="" textlink="">
      <xdr:nvSpPr>
        <xdr:cNvPr id="1069317" name="Line 388">
          <a:extLst>
            <a:ext uri="{FF2B5EF4-FFF2-40B4-BE49-F238E27FC236}">
              <a16:creationId xmlns:a16="http://schemas.microsoft.com/office/drawing/2014/main" id="{00000000-0008-0000-0C00-000005511000}"/>
            </a:ext>
          </a:extLst>
        </xdr:cNvPr>
        <xdr:cNvSpPr>
          <a:spLocks noChangeShapeType="1"/>
        </xdr:cNvSpPr>
      </xdr:nvSpPr>
      <xdr:spPr bwMode="auto">
        <a:xfrm flipV="1">
          <a:off x="65341500" y="3657600"/>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96</xdr:col>
      <xdr:colOff>66675</xdr:colOff>
      <xdr:row>21</xdr:row>
      <xdr:rowOff>95250</xdr:rowOff>
    </xdr:from>
    <xdr:to>
      <xdr:col>97</xdr:col>
      <xdr:colOff>0</xdr:colOff>
      <xdr:row>25</xdr:row>
      <xdr:rowOff>171450</xdr:rowOff>
    </xdr:to>
    <xdr:sp macro="" textlink="">
      <xdr:nvSpPr>
        <xdr:cNvPr id="1069318" name="Line 389">
          <a:extLst>
            <a:ext uri="{FF2B5EF4-FFF2-40B4-BE49-F238E27FC236}">
              <a16:creationId xmlns:a16="http://schemas.microsoft.com/office/drawing/2014/main" id="{00000000-0008-0000-0C00-000006511000}"/>
            </a:ext>
          </a:extLst>
        </xdr:cNvPr>
        <xdr:cNvSpPr>
          <a:spLocks noChangeShapeType="1"/>
        </xdr:cNvSpPr>
      </xdr:nvSpPr>
      <xdr:spPr bwMode="auto">
        <a:xfrm>
          <a:off x="65341500" y="4495800"/>
          <a:ext cx="3810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96</xdr:col>
      <xdr:colOff>66675</xdr:colOff>
      <xdr:row>27</xdr:row>
      <xdr:rowOff>57150</xdr:rowOff>
    </xdr:from>
    <xdr:to>
      <xdr:col>97</xdr:col>
      <xdr:colOff>0</xdr:colOff>
      <xdr:row>32</xdr:row>
      <xdr:rowOff>19050</xdr:rowOff>
    </xdr:to>
    <xdr:sp macro="" textlink="">
      <xdr:nvSpPr>
        <xdr:cNvPr id="1069319" name="Line 390">
          <a:extLst>
            <a:ext uri="{FF2B5EF4-FFF2-40B4-BE49-F238E27FC236}">
              <a16:creationId xmlns:a16="http://schemas.microsoft.com/office/drawing/2014/main" id="{00000000-0008-0000-0C00-000007511000}"/>
            </a:ext>
          </a:extLst>
        </xdr:cNvPr>
        <xdr:cNvSpPr>
          <a:spLocks noChangeShapeType="1"/>
        </xdr:cNvSpPr>
      </xdr:nvSpPr>
      <xdr:spPr bwMode="auto">
        <a:xfrm>
          <a:off x="65341500" y="5543550"/>
          <a:ext cx="38100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96</xdr:col>
      <xdr:colOff>66675</xdr:colOff>
      <xdr:row>22</xdr:row>
      <xdr:rowOff>152400</xdr:rowOff>
    </xdr:from>
    <xdr:to>
      <xdr:col>96</xdr:col>
      <xdr:colOff>438150</xdr:colOff>
      <xdr:row>27</xdr:row>
      <xdr:rowOff>85725</xdr:rowOff>
    </xdr:to>
    <xdr:sp macro="" textlink="">
      <xdr:nvSpPr>
        <xdr:cNvPr id="1069320" name="Line 391">
          <a:extLst>
            <a:ext uri="{FF2B5EF4-FFF2-40B4-BE49-F238E27FC236}">
              <a16:creationId xmlns:a16="http://schemas.microsoft.com/office/drawing/2014/main" id="{00000000-0008-0000-0C00-000008511000}"/>
            </a:ext>
          </a:extLst>
        </xdr:cNvPr>
        <xdr:cNvSpPr>
          <a:spLocks noChangeShapeType="1"/>
        </xdr:cNvSpPr>
      </xdr:nvSpPr>
      <xdr:spPr bwMode="auto">
        <a:xfrm flipV="1">
          <a:off x="65341500" y="4733925"/>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96</xdr:col>
      <xdr:colOff>66675</xdr:colOff>
      <xdr:row>28</xdr:row>
      <xdr:rowOff>152400</xdr:rowOff>
    </xdr:from>
    <xdr:to>
      <xdr:col>97</xdr:col>
      <xdr:colOff>0</xdr:colOff>
      <xdr:row>33</xdr:row>
      <xdr:rowOff>76200</xdr:rowOff>
    </xdr:to>
    <xdr:sp macro="" textlink="">
      <xdr:nvSpPr>
        <xdr:cNvPr id="1069321" name="Line 392">
          <a:extLst>
            <a:ext uri="{FF2B5EF4-FFF2-40B4-BE49-F238E27FC236}">
              <a16:creationId xmlns:a16="http://schemas.microsoft.com/office/drawing/2014/main" id="{00000000-0008-0000-0C00-000009511000}"/>
            </a:ext>
          </a:extLst>
        </xdr:cNvPr>
        <xdr:cNvSpPr>
          <a:spLocks noChangeShapeType="1"/>
        </xdr:cNvSpPr>
      </xdr:nvSpPr>
      <xdr:spPr bwMode="auto">
        <a:xfrm flipV="1">
          <a:off x="65341500" y="5819775"/>
          <a:ext cx="381000" cy="8286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99</xdr:col>
      <xdr:colOff>76200</xdr:colOff>
      <xdr:row>10</xdr:row>
      <xdr:rowOff>161925</xdr:rowOff>
    </xdr:from>
    <xdr:to>
      <xdr:col>100</xdr:col>
      <xdr:colOff>0</xdr:colOff>
      <xdr:row>15</xdr:row>
      <xdr:rowOff>66675</xdr:rowOff>
    </xdr:to>
    <xdr:sp macro="" textlink="">
      <xdr:nvSpPr>
        <xdr:cNvPr id="1069322" name="Line 393">
          <a:extLst>
            <a:ext uri="{FF2B5EF4-FFF2-40B4-BE49-F238E27FC236}">
              <a16:creationId xmlns:a16="http://schemas.microsoft.com/office/drawing/2014/main" id="{00000000-0008-0000-0C00-00000A511000}"/>
            </a:ext>
          </a:extLst>
        </xdr:cNvPr>
        <xdr:cNvSpPr>
          <a:spLocks noChangeShapeType="1"/>
        </xdr:cNvSpPr>
      </xdr:nvSpPr>
      <xdr:spPr bwMode="auto">
        <a:xfrm flipV="1">
          <a:off x="67513200" y="2571750"/>
          <a:ext cx="333375" cy="8096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99</xdr:col>
      <xdr:colOff>76200</xdr:colOff>
      <xdr:row>16</xdr:row>
      <xdr:rowOff>171450</xdr:rowOff>
    </xdr:from>
    <xdr:to>
      <xdr:col>100</xdr:col>
      <xdr:colOff>0</xdr:colOff>
      <xdr:row>21</xdr:row>
      <xdr:rowOff>57150</xdr:rowOff>
    </xdr:to>
    <xdr:sp macro="" textlink="">
      <xdr:nvSpPr>
        <xdr:cNvPr id="1069323" name="Line 394">
          <a:extLst>
            <a:ext uri="{FF2B5EF4-FFF2-40B4-BE49-F238E27FC236}">
              <a16:creationId xmlns:a16="http://schemas.microsoft.com/office/drawing/2014/main" id="{00000000-0008-0000-0C00-00000B511000}"/>
            </a:ext>
          </a:extLst>
        </xdr:cNvPr>
        <xdr:cNvSpPr>
          <a:spLocks noChangeShapeType="1"/>
        </xdr:cNvSpPr>
      </xdr:nvSpPr>
      <xdr:spPr bwMode="auto">
        <a:xfrm flipV="1">
          <a:off x="67513200" y="3667125"/>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99</xdr:col>
      <xdr:colOff>76200</xdr:colOff>
      <xdr:row>22</xdr:row>
      <xdr:rowOff>171450</xdr:rowOff>
    </xdr:from>
    <xdr:to>
      <xdr:col>100</xdr:col>
      <xdr:colOff>0</xdr:colOff>
      <xdr:row>27</xdr:row>
      <xdr:rowOff>57150</xdr:rowOff>
    </xdr:to>
    <xdr:sp macro="" textlink="">
      <xdr:nvSpPr>
        <xdr:cNvPr id="1069324" name="Line 395">
          <a:extLst>
            <a:ext uri="{FF2B5EF4-FFF2-40B4-BE49-F238E27FC236}">
              <a16:creationId xmlns:a16="http://schemas.microsoft.com/office/drawing/2014/main" id="{00000000-0008-0000-0C00-00000C511000}"/>
            </a:ext>
          </a:extLst>
        </xdr:cNvPr>
        <xdr:cNvSpPr>
          <a:spLocks noChangeShapeType="1"/>
        </xdr:cNvSpPr>
      </xdr:nvSpPr>
      <xdr:spPr bwMode="auto">
        <a:xfrm flipV="1">
          <a:off x="67513200" y="4752975"/>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99</xdr:col>
      <xdr:colOff>66675</xdr:colOff>
      <xdr:row>28</xdr:row>
      <xdr:rowOff>142875</xdr:rowOff>
    </xdr:from>
    <xdr:to>
      <xdr:col>100</xdr:col>
      <xdr:colOff>0</xdr:colOff>
      <xdr:row>33</xdr:row>
      <xdr:rowOff>66675</xdr:rowOff>
    </xdr:to>
    <xdr:sp macro="" textlink="">
      <xdr:nvSpPr>
        <xdr:cNvPr id="1069325" name="Line 396">
          <a:extLst>
            <a:ext uri="{FF2B5EF4-FFF2-40B4-BE49-F238E27FC236}">
              <a16:creationId xmlns:a16="http://schemas.microsoft.com/office/drawing/2014/main" id="{00000000-0008-0000-0C00-00000D511000}"/>
            </a:ext>
          </a:extLst>
        </xdr:cNvPr>
        <xdr:cNvSpPr>
          <a:spLocks noChangeShapeType="1"/>
        </xdr:cNvSpPr>
      </xdr:nvSpPr>
      <xdr:spPr bwMode="auto">
        <a:xfrm flipV="1">
          <a:off x="67503675" y="5810250"/>
          <a:ext cx="342900" cy="8286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99</xdr:col>
      <xdr:colOff>57150</xdr:colOff>
      <xdr:row>15</xdr:row>
      <xdr:rowOff>76200</xdr:rowOff>
    </xdr:from>
    <xdr:to>
      <xdr:col>99</xdr:col>
      <xdr:colOff>400050</xdr:colOff>
      <xdr:row>20</xdr:row>
      <xdr:rowOff>0</xdr:rowOff>
    </xdr:to>
    <xdr:sp macro="" textlink="">
      <xdr:nvSpPr>
        <xdr:cNvPr id="1069326" name="Line 397">
          <a:extLst>
            <a:ext uri="{FF2B5EF4-FFF2-40B4-BE49-F238E27FC236}">
              <a16:creationId xmlns:a16="http://schemas.microsoft.com/office/drawing/2014/main" id="{00000000-0008-0000-0C00-00000E511000}"/>
            </a:ext>
          </a:extLst>
        </xdr:cNvPr>
        <xdr:cNvSpPr>
          <a:spLocks noChangeShapeType="1"/>
        </xdr:cNvSpPr>
      </xdr:nvSpPr>
      <xdr:spPr bwMode="auto">
        <a:xfrm>
          <a:off x="67494150" y="3390900"/>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99</xdr:col>
      <xdr:colOff>66675</xdr:colOff>
      <xdr:row>21</xdr:row>
      <xdr:rowOff>85725</xdr:rowOff>
    </xdr:from>
    <xdr:to>
      <xdr:col>100</xdr:col>
      <xdr:colOff>0</xdr:colOff>
      <xdr:row>26</xdr:row>
      <xdr:rowOff>9525</xdr:rowOff>
    </xdr:to>
    <xdr:sp macro="" textlink="">
      <xdr:nvSpPr>
        <xdr:cNvPr id="1069327" name="Line 398">
          <a:extLst>
            <a:ext uri="{FF2B5EF4-FFF2-40B4-BE49-F238E27FC236}">
              <a16:creationId xmlns:a16="http://schemas.microsoft.com/office/drawing/2014/main" id="{00000000-0008-0000-0C00-00000F511000}"/>
            </a:ext>
          </a:extLst>
        </xdr:cNvPr>
        <xdr:cNvSpPr>
          <a:spLocks noChangeShapeType="1"/>
        </xdr:cNvSpPr>
      </xdr:nvSpPr>
      <xdr:spPr bwMode="auto">
        <a:xfrm>
          <a:off x="67503675" y="4486275"/>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99</xdr:col>
      <xdr:colOff>76200</xdr:colOff>
      <xdr:row>27</xdr:row>
      <xdr:rowOff>57150</xdr:rowOff>
    </xdr:from>
    <xdr:to>
      <xdr:col>100</xdr:col>
      <xdr:colOff>0</xdr:colOff>
      <xdr:row>32</xdr:row>
      <xdr:rowOff>28575</xdr:rowOff>
    </xdr:to>
    <xdr:sp macro="" textlink="">
      <xdr:nvSpPr>
        <xdr:cNvPr id="1069328" name="Line 399">
          <a:extLst>
            <a:ext uri="{FF2B5EF4-FFF2-40B4-BE49-F238E27FC236}">
              <a16:creationId xmlns:a16="http://schemas.microsoft.com/office/drawing/2014/main" id="{00000000-0008-0000-0C00-000010511000}"/>
            </a:ext>
          </a:extLst>
        </xdr:cNvPr>
        <xdr:cNvSpPr>
          <a:spLocks noChangeShapeType="1"/>
        </xdr:cNvSpPr>
      </xdr:nvSpPr>
      <xdr:spPr bwMode="auto">
        <a:xfrm>
          <a:off x="67513200" y="5543550"/>
          <a:ext cx="333375" cy="8763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96</xdr:col>
      <xdr:colOff>0</xdr:colOff>
      <xdr:row>38</xdr:row>
      <xdr:rowOff>0</xdr:rowOff>
    </xdr:from>
    <xdr:to>
      <xdr:col>96</xdr:col>
      <xdr:colOff>76200</xdr:colOff>
      <xdr:row>38</xdr:row>
      <xdr:rowOff>9525</xdr:rowOff>
    </xdr:to>
    <xdr:sp macro="" textlink="">
      <xdr:nvSpPr>
        <xdr:cNvPr id="1069329" name="Line 343">
          <a:extLst>
            <a:ext uri="{FF2B5EF4-FFF2-40B4-BE49-F238E27FC236}">
              <a16:creationId xmlns:a16="http://schemas.microsoft.com/office/drawing/2014/main" id="{00000000-0008-0000-0C00-000011511000}"/>
            </a:ext>
          </a:extLst>
        </xdr:cNvPr>
        <xdr:cNvSpPr>
          <a:spLocks noChangeShapeType="1"/>
        </xdr:cNvSpPr>
      </xdr:nvSpPr>
      <xdr:spPr bwMode="auto">
        <a:xfrm>
          <a:off x="6527482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38</xdr:row>
      <xdr:rowOff>0</xdr:rowOff>
    </xdr:from>
    <xdr:to>
      <xdr:col>99</xdr:col>
      <xdr:colOff>76200</xdr:colOff>
      <xdr:row>38</xdr:row>
      <xdr:rowOff>9525</xdr:rowOff>
    </xdr:to>
    <xdr:sp macro="" textlink="">
      <xdr:nvSpPr>
        <xdr:cNvPr id="1069330" name="Line 346">
          <a:extLst>
            <a:ext uri="{FF2B5EF4-FFF2-40B4-BE49-F238E27FC236}">
              <a16:creationId xmlns:a16="http://schemas.microsoft.com/office/drawing/2014/main" id="{00000000-0008-0000-0C00-000012511000}"/>
            </a:ext>
          </a:extLst>
        </xdr:cNvPr>
        <xdr:cNvSpPr>
          <a:spLocks noChangeShapeType="1"/>
        </xdr:cNvSpPr>
      </xdr:nvSpPr>
      <xdr:spPr bwMode="auto">
        <a:xfrm>
          <a:off x="6743700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0</xdr:colOff>
      <xdr:row>38</xdr:row>
      <xdr:rowOff>0</xdr:rowOff>
    </xdr:from>
    <xdr:to>
      <xdr:col>102</xdr:col>
      <xdr:colOff>76200</xdr:colOff>
      <xdr:row>38</xdr:row>
      <xdr:rowOff>9525</xdr:rowOff>
    </xdr:to>
    <xdr:sp macro="" textlink="">
      <xdr:nvSpPr>
        <xdr:cNvPr id="1069331" name="Line 349">
          <a:extLst>
            <a:ext uri="{FF2B5EF4-FFF2-40B4-BE49-F238E27FC236}">
              <a16:creationId xmlns:a16="http://schemas.microsoft.com/office/drawing/2014/main" id="{00000000-0008-0000-0C00-000013511000}"/>
            </a:ext>
          </a:extLst>
        </xdr:cNvPr>
        <xdr:cNvSpPr>
          <a:spLocks noChangeShapeType="1"/>
        </xdr:cNvSpPr>
      </xdr:nvSpPr>
      <xdr:spPr bwMode="auto">
        <a:xfrm>
          <a:off x="6953250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0</xdr:colOff>
      <xdr:row>38</xdr:row>
      <xdr:rowOff>0</xdr:rowOff>
    </xdr:from>
    <xdr:to>
      <xdr:col>102</xdr:col>
      <xdr:colOff>76200</xdr:colOff>
      <xdr:row>38</xdr:row>
      <xdr:rowOff>9525</xdr:rowOff>
    </xdr:to>
    <xdr:sp macro="" textlink="">
      <xdr:nvSpPr>
        <xdr:cNvPr id="1069332" name="Line 352">
          <a:extLst>
            <a:ext uri="{FF2B5EF4-FFF2-40B4-BE49-F238E27FC236}">
              <a16:creationId xmlns:a16="http://schemas.microsoft.com/office/drawing/2014/main" id="{00000000-0008-0000-0C00-000014511000}"/>
            </a:ext>
          </a:extLst>
        </xdr:cNvPr>
        <xdr:cNvSpPr>
          <a:spLocks noChangeShapeType="1"/>
        </xdr:cNvSpPr>
      </xdr:nvSpPr>
      <xdr:spPr bwMode="auto">
        <a:xfrm>
          <a:off x="6953250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0</xdr:colOff>
      <xdr:row>38</xdr:row>
      <xdr:rowOff>0</xdr:rowOff>
    </xdr:from>
    <xdr:to>
      <xdr:col>102</xdr:col>
      <xdr:colOff>76200</xdr:colOff>
      <xdr:row>38</xdr:row>
      <xdr:rowOff>9525</xdr:rowOff>
    </xdr:to>
    <xdr:sp macro="" textlink="">
      <xdr:nvSpPr>
        <xdr:cNvPr id="1069333" name="Line 356">
          <a:extLst>
            <a:ext uri="{FF2B5EF4-FFF2-40B4-BE49-F238E27FC236}">
              <a16:creationId xmlns:a16="http://schemas.microsoft.com/office/drawing/2014/main" id="{00000000-0008-0000-0C00-000015511000}"/>
            </a:ext>
          </a:extLst>
        </xdr:cNvPr>
        <xdr:cNvSpPr>
          <a:spLocks noChangeShapeType="1"/>
        </xdr:cNvSpPr>
      </xdr:nvSpPr>
      <xdr:spPr bwMode="auto">
        <a:xfrm>
          <a:off x="6953250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66675</xdr:colOff>
      <xdr:row>38</xdr:row>
      <xdr:rowOff>0</xdr:rowOff>
    </xdr:from>
    <xdr:to>
      <xdr:col>102</xdr:col>
      <xdr:colOff>400050</xdr:colOff>
      <xdr:row>39</xdr:row>
      <xdr:rowOff>114300</xdr:rowOff>
    </xdr:to>
    <xdr:sp macro="" textlink="">
      <xdr:nvSpPr>
        <xdr:cNvPr id="1069334" name="Line 359">
          <a:extLst>
            <a:ext uri="{FF2B5EF4-FFF2-40B4-BE49-F238E27FC236}">
              <a16:creationId xmlns:a16="http://schemas.microsoft.com/office/drawing/2014/main" id="{00000000-0008-0000-0C00-000016511000}"/>
            </a:ext>
          </a:extLst>
        </xdr:cNvPr>
        <xdr:cNvSpPr>
          <a:spLocks noChangeShapeType="1"/>
        </xdr:cNvSpPr>
      </xdr:nvSpPr>
      <xdr:spPr bwMode="auto">
        <a:xfrm flipV="1">
          <a:off x="69599175" y="7477125"/>
          <a:ext cx="333375" cy="2952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99</xdr:col>
      <xdr:colOff>0</xdr:colOff>
      <xdr:row>38</xdr:row>
      <xdr:rowOff>0</xdr:rowOff>
    </xdr:from>
    <xdr:to>
      <xdr:col>99</xdr:col>
      <xdr:colOff>76200</xdr:colOff>
      <xdr:row>38</xdr:row>
      <xdr:rowOff>9525</xdr:rowOff>
    </xdr:to>
    <xdr:sp macro="" textlink="">
      <xdr:nvSpPr>
        <xdr:cNvPr id="1069335" name="Line 360">
          <a:extLst>
            <a:ext uri="{FF2B5EF4-FFF2-40B4-BE49-F238E27FC236}">
              <a16:creationId xmlns:a16="http://schemas.microsoft.com/office/drawing/2014/main" id="{00000000-0008-0000-0C00-000017511000}"/>
            </a:ext>
          </a:extLst>
        </xdr:cNvPr>
        <xdr:cNvSpPr>
          <a:spLocks noChangeShapeType="1"/>
        </xdr:cNvSpPr>
      </xdr:nvSpPr>
      <xdr:spPr bwMode="auto">
        <a:xfrm>
          <a:off x="6743700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96</xdr:col>
      <xdr:colOff>9525</xdr:colOff>
      <xdr:row>41</xdr:row>
      <xdr:rowOff>0</xdr:rowOff>
    </xdr:from>
    <xdr:to>
      <xdr:col>96</xdr:col>
      <xdr:colOff>66675</xdr:colOff>
      <xdr:row>41</xdr:row>
      <xdr:rowOff>9525</xdr:rowOff>
    </xdr:to>
    <xdr:sp macro="" textlink="">
      <xdr:nvSpPr>
        <xdr:cNvPr id="1069336" name="Line 345">
          <a:extLst>
            <a:ext uri="{FF2B5EF4-FFF2-40B4-BE49-F238E27FC236}">
              <a16:creationId xmlns:a16="http://schemas.microsoft.com/office/drawing/2014/main" id="{00000000-0008-0000-0C00-000018511000}"/>
            </a:ext>
          </a:extLst>
        </xdr:cNvPr>
        <xdr:cNvSpPr>
          <a:spLocks noChangeShapeType="1"/>
        </xdr:cNvSpPr>
      </xdr:nvSpPr>
      <xdr:spPr bwMode="auto">
        <a:xfrm flipV="1">
          <a:off x="6528435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9525</xdr:colOff>
      <xdr:row>41</xdr:row>
      <xdr:rowOff>0</xdr:rowOff>
    </xdr:from>
    <xdr:to>
      <xdr:col>99</xdr:col>
      <xdr:colOff>66675</xdr:colOff>
      <xdr:row>41</xdr:row>
      <xdr:rowOff>9525</xdr:rowOff>
    </xdr:to>
    <xdr:sp macro="" textlink="">
      <xdr:nvSpPr>
        <xdr:cNvPr id="1069337" name="Line 348">
          <a:extLst>
            <a:ext uri="{FF2B5EF4-FFF2-40B4-BE49-F238E27FC236}">
              <a16:creationId xmlns:a16="http://schemas.microsoft.com/office/drawing/2014/main" id="{00000000-0008-0000-0C00-000019511000}"/>
            </a:ext>
          </a:extLst>
        </xdr:cNvPr>
        <xdr:cNvSpPr>
          <a:spLocks noChangeShapeType="1"/>
        </xdr:cNvSpPr>
      </xdr:nvSpPr>
      <xdr:spPr bwMode="auto">
        <a:xfrm flipV="1">
          <a:off x="6744652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9525</xdr:colOff>
      <xdr:row>41</xdr:row>
      <xdr:rowOff>0</xdr:rowOff>
    </xdr:from>
    <xdr:to>
      <xdr:col>102</xdr:col>
      <xdr:colOff>66675</xdr:colOff>
      <xdr:row>41</xdr:row>
      <xdr:rowOff>9525</xdr:rowOff>
    </xdr:to>
    <xdr:sp macro="" textlink="">
      <xdr:nvSpPr>
        <xdr:cNvPr id="1069338" name="Line 351">
          <a:extLst>
            <a:ext uri="{FF2B5EF4-FFF2-40B4-BE49-F238E27FC236}">
              <a16:creationId xmlns:a16="http://schemas.microsoft.com/office/drawing/2014/main" id="{00000000-0008-0000-0C00-00001A511000}"/>
            </a:ext>
          </a:extLst>
        </xdr:cNvPr>
        <xdr:cNvSpPr>
          <a:spLocks noChangeShapeType="1"/>
        </xdr:cNvSpPr>
      </xdr:nvSpPr>
      <xdr:spPr bwMode="auto">
        <a:xfrm flipV="1">
          <a:off x="6954202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9525</xdr:colOff>
      <xdr:row>41</xdr:row>
      <xdr:rowOff>0</xdr:rowOff>
    </xdr:from>
    <xdr:to>
      <xdr:col>102</xdr:col>
      <xdr:colOff>66675</xdr:colOff>
      <xdr:row>41</xdr:row>
      <xdr:rowOff>9525</xdr:rowOff>
    </xdr:to>
    <xdr:sp macro="" textlink="">
      <xdr:nvSpPr>
        <xdr:cNvPr id="1069339" name="Line 354">
          <a:extLst>
            <a:ext uri="{FF2B5EF4-FFF2-40B4-BE49-F238E27FC236}">
              <a16:creationId xmlns:a16="http://schemas.microsoft.com/office/drawing/2014/main" id="{00000000-0008-0000-0C00-00001B511000}"/>
            </a:ext>
          </a:extLst>
        </xdr:cNvPr>
        <xdr:cNvSpPr>
          <a:spLocks noChangeShapeType="1"/>
        </xdr:cNvSpPr>
      </xdr:nvSpPr>
      <xdr:spPr bwMode="auto">
        <a:xfrm flipV="1">
          <a:off x="6954202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66675</xdr:colOff>
      <xdr:row>39</xdr:row>
      <xdr:rowOff>114300</xdr:rowOff>
    </xdr:from>
    <xdr:to>
      <xdr:col>103</xdr:col>
      <xdr:colOff>0</xdr:colOff>
      <xdr:row>40</xdr:row>
      <xdr:rowOff>171450</xdr:rowOff>
    </xdr:to>
    <xdr:sp macro="" textlink="">
      <xdr:nvSpPr>
        <xdr:cNvPr id="1069340" name="Line 355">
          <a:extLst>
            <a:ext uri="{FF2B5EF4-FFF2-40B4-BE49-F238E27FC236}">
              <a16:creationId xmlns:a16="http://schemas.microsoft.com/office/drawing/2014/main" id="{00000000-0008-0000-0C00-00001C511000}"/>
            </a:ext>
          </a:extLst>
        </xdr:cNvPr>
        <xdr:cNvSpPr>
          <a:spLocks noChangeShapeType="1"/>
        </xdr:cNvSpPr>
      </xdr:nvSpPr>
      <xdr:spPr bwMode="auto">
        <a:xfrm>
          <a:off x="69599175" y="7772400"/>
          <a:ext cx="342900" cy="2381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102</xdr:col>
      <xdr:colOff>9525</xdr:colOff>
      <xdr:row>41</xdr:row>
      <xdr:rowOff>0</xdr:rowOff>
    </xdr:from>
    <xdr:to>
      <xdr:col>102</xdr:col>
      <xdr:colOff>66675</xdr:colOff>
      <xdr:row>41</xdr:row>
      <xdr:rowOff>9525</xdr:rowOff>
    </xdr:to>
    <xdr:sp macro="" textlink="">
      <xdr:nvSpPr>
        <xdr:cNvPr id="1069341" name="Line 358">
          <a:extLst>
            <a:ext uri="{FF2B5EF4-FFF2-40B4-BE49-F238E27FC236}">
              <a16:creationId xmlns:a16="http://schemas.microsoft.com/office/drawing/2014/main" id="{00000000-0008-0000-0C00-00001D511000}"/>
            </a:ext>
          </a:extLst>
        </xdr:cNvPr>
        <xdr:cNvSpPr>
          <a:spLocks noChangeShapeType="1"/>
        </xdr:cNvSpPr>
      </xdr:nvSpPr>
      <xdr:spPr bwMode="auto">
        <a:xfrm flipV="1">
          <a:off x="6954202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9525</xdr:colOff>
      <xdr:row>41</xdr:row>
      <xdr:rowOff>0</xdr:rowOff>
    </xdr:from>
    <xdr:to>
      <xdr:col>99</xdr:col>
      <xdr:colOff>66675</xdr:colOff>
      <xdr:row>41</xdr:row>
      <xdr:rowOff>9525</xdr:rowOff>
    </xdr:to>
    <xdr:sp macro="" textlink="">
      <xdr:nvSpPr>
        <xdr:cNvPr id="1069342" name="Line 362">
          <a:extLst>
            <a:ext uri="{FF2B5EF4-FFF2-40B4-BE49-F238E27FC236}">
              <a16:creationId xmlns:a16="http://schemas.microsoft.com/office/drawing/2014/main" id="{00000000-0008-0000-0C00-00001E511000}"/>
            </a:ext>
          </a:extLst>
        </xdr:cNvPr>
        <xdr:cNvSpPr>
          <a:spLocks noChangeShapeType="1"/>
        </xdr:cNvSpPr>
      </xdr:nvSpPr>
      <xdr:spPr bwMode="auto">
        <a:xfrm flipV="1">
          <a:off x="6744652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96</xdr:col>
      <xdr:colOff>66675</xdr:colOff>
      <xdr:row>39</xdr:row>
      <xdr:rowOff>85725</xdr:rowOff>
    </xdr:from>
    <xdr:to>
      <xdr:col>97</xdr:col>
      <xdr:colOff>9525</xdr:colOff>
      <xdr:row>41</xdr:row>
      <xdr:rowOff>0</xdr:rowOff>
    </xdr:to>
    <xdr:sp macro="" textlink="">
      <xdr:nvSpPr>
        <xdr:cNvPr id="1069343" name="Line 363">
          <a:extLst>
            <a:ext uri="{FF2B5EF4-FFF2-40B4-BE49-F238E27FC236}">
              <a16:creationId xmlns:a16="http://schemas.microsoft.com/office/drawing/2014/main" id="{00000000-0008-0000-0C00-00001F511000}"/>
            </a:ext>
          </a:extLst>
        </xdr:cNvPr>
        <xdr:cNvSpPr>
          <a:spLocks noChangeShapeType="1"/>
        </xdr:cNvSpPr>
      </xdr:nvSpPr>
      <xdr:spPr bwMode="auto">
        <a:xfrm>
          <a:off x="65341500" y="7743825"/>
          <a:ext cx="390525" cy="276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99</xdr:col>
      <xdr:colOff>57150</xdr:colOff>
      <xdr:row>39</xdr:row>
      <xdr:rowOff>76200</xdr:rowOff>
    </xdr:from>
    <xdr:to>
      <xdr:col>100</xdr:col>
      <xdr:colOff>0</xdr:colOff>
      <xdr:row>41</xdr:row>
      <xdr:rowOff>0</xdr:rowOff>
    </xdr:to>
    <xdr:sp macro="" textlink="">
      <xdr:nvSpPr>
        <xdr:cNvPr id="1069344" name="Line 364">
          <a:extLst>
            <a:ext uri="{FF2B5EF4-FFF2-40B4-BE49-F238E27FC236}">
              <a16:creationId xmlns:a16="http://schemas.microsoft.com/office/drawing/2014/main" id="{00000000-0008-0000-0C00-000020511000}"/>
            </a:ext>
          </a:extLst>
        </xdr:cNvPr>
        <xdr:cNvSpPr>
          <a:spLocks noChangeShapeType="1"/>
        </xdr:cNvSpPr>
      </xdr:nvSpPr>
      <xdr:spPr bwMode="auto">
        <a:xfrm>
          <a:off x="67494150" y="7734300"/>
          <a:ext cx="352425" cy="2857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96</xdr:col>
      <xdr:colOff>85725</xdr:colOff>
      <xdr:row>37</xdr:row>
      <xdr:rowOff>142875</xdr:rowOff>
    </xdr:from>
    <xdr:to>
      <xdr:col>96</xdr:col>
      <xdr:colOff>85725</xdr:colOff>
      <xdr:row>41</xdr:row>
      <xdr:rowOff>19050</xdr:rowOff>
    </xdr:to>
    <xdr:sp macro="" textlink="">
      <xdr:nvSpPr>
        <xdr:cNvPr id="1069345" name="Line 344">
          <a:extLst>
            <a:ext uri="{FF2B5EF4-FFF2-40B4-BE49-F238E27FC236}">
              <a16:creationId xmlns:a16="http://schemas.microsoft.com/office/drawing/2014/main" id="{00000000-0008-0000-0C00-000021511000}"/>
            </a:ext>
          </a:extLst>
        </xdr:cNvPr>
        <xdr:cNvSpPr>
          <a:spLocks noChangeShapeType="1"/>
        </xdr:cNvSpPr>
      </xdr:nvSpPr>
      <xdr:spPr bwMode="auto">
        <a:xfrm flipH="1">
          <a:off x="65360550" y="7439025"/>
          <a:ext cx="0" cy="600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66675</xdr:colOff>
      <xdr:row>37</xdr:row>
      <xdr:rowOff>142875</xdr:rowOff>
    </xdr:from>
    <xdr:to>
      <xdr:col>99</xdr:col>
      <xdr:colOff>66675</xdr:colOff>
      <xdr:row>41</xdr:row>
      <xdr:rowOff>19050</xdr:rowOff>
    </xdr:to>
    <xdr:sp macro="" textlink="">
      <xdr:nvSpPr>
        <xdr:cNvPr id="1069346" name="Line 344">
          <a:extLst>
            <a:ext uri="{FF2B5EF4-FFF2-40B4-BE49-F238E27FC236}">
              <a16:creationId xmlns:a16="http://schemas.microsoft.com/office/drawing/2014/main" id="{00000000-0008-0000-0C00-000022511000}"/>
            </a:ext>
          </a:extLst>
        </xdr:cNvPr>
        <xdr:cNvSpPr>
          <a:spLocks noChangeShapeType="1"/>
        </xdr:cNvSpPr>
      </xdr:nvSpPr>
      <xdr:spPr bwMode="auto">
        <a:xfrm flipH="1">
          <a:off x="67503675" y="7439025"/>
          <a:ext cx="0" cy="600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85725</xdr:colOff>
      <xdr:row>37</xdr:row>
      <xdr:rowOff>152400</xdr:rowOff>
    </xdr:from>
    <xdr:to>
      <xdr:col>102</xdr:col>
      <xdr:colOff>85725</xdr:colOff>
      <xdr:row>41</xdr:row>
      <xdr:rowOff>28575</xdr:rowOff>
    </xdr:to>
    <xdr:sp macro="" textlink="">
      <xdr:nvSpPr>
        <xdr:cNvPr id="1069347" name="Line 344">
          <a:extLst>
            <a:ext uri="{FF2B5EF4-FFF2-40B4-BE49-F238E27FC236}">
              <a16:creationId xmlns:a16="http://schemas.microsoft.com/office/drawing/2014/main" id="{00000000-0008-0000-0C00-000023511000}"/>
            </a:ext>
          </a:extLst>
        </xdr:cNvPr>
        <xdr:cNvSpPr>
          <a:spLocks noChangeShapeType="1"/>
        </xdr:cNvSpPr>
      </xdr:nvSpPr>
      <xdr:spPr bwMode="auto">
        <a:xfrm flipH="1">
          <a:off x="69618225" y="7448550"/>
          <a:ext cx="0" cy="600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96</xdr:col>
      <xdr:colOff>66675</xdr:colOff>
      <xdr:row>34</xdr:row>
      <xdr:rowOff>152400</xdr:rowOff>
    </xdr:from>
    <xdr:to>
      <xdr:col>97</xdr:col>
      <xdr:colOff>0</xdr:colOff>
      <xdr:row>39</xdr:row>
      <xdr:rowOff>76200</xdr:rowOff>
    </xdr:to>
    <xdr:sp macro="" textlink="">
      <xdr:nvSpPr>
        <xdr:cNvPr id="1069348" name="Line 392">
          <a:extLst>
            <a:ext uri="{FF2B5EF4-FFF2-40B4-BE49-F238E27FC236}">
              <a16:creationId xmlns:a16="http://schemas.microsoft.com/office/drawing/2014/main" id="{00000000-0008-0000-0C00-000024511000}"/>
            </a:ext>
          </a:extLst>
        </xdr:cNvPr>
        <xdr:cNvSpPr>
          <a:spLocks noChangeShapeType="1"/>
        </xdr:cNvSpPr>
      </xdr:nvSpPr>
      <xdr:spPr bwMode="auto">
        <a:xfrm flipV="1">
          <a:off x="65341500" y="6905625"/>
          <a:ext cx="381000" cy="8286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99</xdr:col>
      <xdr:colOff>66675</xdr:colOff>
      <xdr:row>35</xdr:row>
      <xdr:rowOff>0</xdr:rowOff>
    </xdr:from>
    <xdr:to>
      <xdr:col>100</xdr:col>
      <xdr:colOff>0</xdr:colOff>
      <xdr:row>39</xdr:row>
      <xdr:rowOff>76200</xdr:rowOff>
    </xdr:to>
    <xdr:sp macro="" textlink="">
      <xdr:nvSpPr>
        <xdr:cNvPr id="1069349" name="Line 392">
          <a:extLst>
            <a:ext uri="{FF2B5EF4-FFF2-40B4-BE49-F238E27FC236}">
              <a16:creationId xmlns:a16="http://schemas.microsoft.com/office/drawing/2014/main" id="{00000000-0008-0000-0C00-000025511000}"/>
            </a:ext>
          </a:extLst>
        </xdr:cNvPr>
        <xdr:cNvSpPr>
          <a:spLocks noChangeShapeType="1"/>
        </xdr:cNvSpPr>
      </xdr:nvSpPr>
      <xdr:spPr bwMode="auto">
        <a:xfrm flipV="1">
          <a:off x="67503675" y="6934200"/>
          <a:ext cx="3429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112</xdr:col>
      <xdr:colOff>0</xdr:colOff>
      <xdr:row>8</xdr:row>
      <xdr:rowOff>0</xdr:rowOff>
    </xdr:from>
    <xdr:to>
      <xdr:col>112</xdr:col>
      <xdr:colOff>76200</xdr:colOff>
      <xdr:row>8</xdr:row>
      <xdr:rowOff>9525</xdr:rowOff>
    </xdr:to>
    <xdr:sp macro="" textlink="">
      <xdr:nvSpPr>
        <xdr:cNvPr id="1069350" name="Line 1">
          <a:extLst>
            <a:ext uri="{FF2B5EF4-FFF2-40B4-BE49-F238E27FC236}">
              <a16:creationId xmlns:a16="http://schemas.microsoft.com/office/drawing/2014/main" id="{00000000-0008-0000-0C00-000026511000}"/>
            </a:ext>
          </a:extLst>
        </xdr:cNvPr>
        <xdr:cNvSpPr>
          <a:spLocks noChangeShapeType="1"/>
        </xdr:cNvSpPr>
      </xdr:nvSpPr>
      <xdr:spPr bwMode="auto">
        <a:xfrm>
          <a:off x="7640002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112</xdr:col>
      <xdr:colOff>66675</xdr:colOff>
      <xdr:row>8</xdr:row>
      <xdr:rowOff>9525</xdr:rowOff>
    </xdr:from>
    <xdr:to>
      <xdr:col>112</xdr:col>
      <xdr:colOff>66675</xdr:colOff>
      <xdr:row>11</xdr:row>
      <xdr:rowOff>19050</xdr:rowOff>
    </xdr:to>
    <xdr:sp macro="" textlink="">
      <xdr:nvSpPr>
        <xdr:cNvPr id="1069351" name="Line 2">
          <a:extLst>
            <a:ext uri="{FF2B5EF4-FFF2-40B4-BE49-F238E27FC236}">
              <a16:creationId xmlns:a16="http://schemas.microsoft.com/office/drawing/2014/main" id="{00000000-0008-0000-0C00-000027511000}"/>
            </a:ext>
          </a:extLst>
        </xdr:cNvPr>
        <xdr:cNvSpPr>
          <a:spLocks noChangeShapeType="1"/>
        </xdr:cNvSpPr>
      </xdr:nvSpPr>
      <xdr:spPr bwMode="auto">
        <a:xfrm>
          <a:off x="7646670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112</xdr:col>
      <xdr:colOff>9525</xdr:colOff>
      <xdr:row>11</xdr:row>
      <xdr:rowOff>0</xdr:rowOff>
    </xdr:from>
    <xdr:to>
      <xdr:col>112</xdr:col>
      <xdr:colOff>66675</xdr:colOff>
      <xdr:row>11</xdr:row>
      <xdr:rowOff>9525</xdr:rowOff>
    </xdr:to>
    <xdr:sp macro="" textlink="">
      <xdr:nvSpPr>
        <xdr:cNvPr id="1069352" name="Line 3">
          <a:extLst>
            <a:ext uri="{FF2B5EF4-FFF2-40B4-BE49-F238E27FC236}">
              <a16:creationId xmlns:a16="http://schemas.microsoft.com/office/drawing/2014/main" id="{00000000-0008-0000-0C00-000028511000}"/>
            </a:ext>
          </a:extLst>
        </xdr:cNvPr>
        <xdr:cNvSpPr>
          <a:spLocks noChangeShapeType="1"/>
        </xdr:cNvSpPr>
      </xdr:nvSpPr>
      <xdr:spPr bwMode="auto">
        <a:xfrm flipV="1">
          <a:off x="7640955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109</xdr:col>
      <xdr:colOff>0</xdr:colOff>
      <xdr:row>8</xdr:row>
      <xdr:rowOff>0</xdr:rowOff>
    </xdr:from>
    <xdr:to>
      <xdr:col>109</xdr:col>
      <xdr:colOff>76200</xdr:colOff>
      <xdr:row>8</xdr:row>
      <xdr:rowOff>9525</xdr:rowOff>
    </xdr:to>
    <xdr:sp macro="" textlink="">
      <xdr:nvSpPr>
        <xdr:cNvPr id="1069353" name="Line 4">
          <a:extLst>
            <a:ext uri="{FF2B5EF4-FFF2-40B4-BE49-F238E27FC236}">
              <a16:creationId xmlns:a16="http://schemas.microsoft.com/office/drawing/2014/main" id="{00000000-0008-0000-0C00-000029511000}"/>
            </a:ext>
          </a:extLst>
        </xdr:cNvPr>
        <xdr:cNvSpPr>
          <a:spLocks noChangeShapeType="1"/>
        </xdr:cNvSpPr>
      </xdr:nvSpPr>
      <xdr:spPr bwMode="auto">
        <a:xfrm>
          <a:off x="7423785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109</xdr:col>
      <xdr:colOff>66675</xdr:colOff>
      <xdr:row>8</xdr:row>
      <xdr:rowOff>9525</xdr:rowOff>
    </xdr:from>
    <xdr:to>
      <xdr:col>109</xdr:col>
      <xdr:colOff>66675</xdr:colOff>
      <xdr:row>11</xdr:row>
      <xdr:rowOff>19050</xdr:rowOff>
    </xdr:to>
    <xdr:sp macro="" textlink="">
      <xdr:nvSpPr>
        <xdr:cNvPr id="1069354" name="Line 5">
          <a:extLst>
            <a:ext uri="{FF2B5EF4-FFF2-40B4-BE49-F238E27FC236}">
              <a16:creationId xmlns:a16="http://schemas.microsoft.com/office/drawing/2014/main" id="{00000000-0008-0000-0C00-00002A511000}"/>
            </a:ext>
          </a:extLst>
        </xdr:cNvPr>
        <xdr:cNvSpPr>
          <a:spLocks noChangeShapeType="1"/>
        </xdr:cNvSpPr>
      </xdr:nvSpPr>
      <xdr:spPr bwMode="auto">
        <a:xfrm>
          <a:off x="7430452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109</xdr:col>
      <xdr:colOff>9525</xdr:colOff>
      <xdr:row>11</xdr:row>
      <xdr:rowOff>0</xdr:rowOff>
    </xdr:from>
    <xdr:to>
      <xdr:col>109</xdr:col>
      <xdr:colOff>66675</xdr:colOff>
      <xdr:row>11</xdr:row>
      <xdr:rowOff>9525</xdr:rowOff>
    </xdr:to>
    <xdr:sp macro="" textlink="">
      <xdr:nvSpPr>
        <xdr:cNvPr id="1069355" name="Line 6">
          <a:extLst>
            <a:ext uri="{FF2B5EF4-FFF2-40B4-BE49-F238E27FC236}">
              <a16:creationId xmlns:a16="http://schemas.microsoft.com/office/drawing/2014/main" id="{00000000-0008-0000-0C00-00002B511000}"/>
            </a:ext>
          </a:extLst>
        </xdr:cNvPr>
        <xdr:cNvSpPr>
          <a:spLocks noChangeShapeType="1"/>
        </xdr:cNvSpPr>
      </xdr:nvSpPr>
      <xdr:spPr bwMode="auto">
        <a:xfrm flipV="1">
          <a:off x="7424737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0</xdr:colOff>
      <xdr:row>8</xdr:row>
      <xdr:rowOff>0</xdr:rowOff>
    </xdr:from>
    <xdr:to>
      <xdr:col>115</xdr:col>
      <xdr:colOff>76200</xdr:colOff>
      <xdr:row>8</xdr:row>
      <xdr:rowOff>9525</xdr:rowOff>
    </xdr:to>
    <xdr:sp macro="" textlink="">
      <xdr:nvSpPr>
        <xdr:cNvPr id="1069356" name="Line 16">
          <a:extLst>
            <a:ext uri="{FF2B5EF4-FFF2-40B4-BE49-F238E27FC236}">
              <a16:creationId xmlns:a16="http://schemas.microsoft.com/office/drawing/2014/main" id="{00000000-0008-0000-0C00-00002C511000}"/>
            </a:ext>
          </a:extLst>
        </xdr:cNvPr>
        <xdr:cNvSpPr>
          <a:spLocks noChangeShapeType="1"/>
        </xdr:cNvSpPr>
      </xdr:nvSpPr>
      <xdr:spPr bwMode="auto">
        <a:xfrm>
          <a:off x="7849552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66675</xdr:colOff>
      <xdr:row>8</xdr:row>
      <xdr:rowOff>9525</xdr:rowOff>
    </xdr:from>
    <xdr:to>
      <xdr:col>115</xdr:col>
      <xdr:colOff>66675</xdr:colOff>
      <xdr:row>11</xdr:row>
      <xdr:rowOff>19050</xdr:rowOff>
    </xdr:to>
    <xdr:sp macro="" textlink="">
      <xdr:nvSpPr>
        <xdr:cNvPr id="1069357" name="Line 17">
          <a:extLst>
            <a:ext uri="{FF2B5EF4-FFF2-40B4-BE49-F238E27FC236}">
              <a16:creationId xmlns:a16="http://schemas.microsoft.com/office/drawing/2014/main" id="{00000000-0008-0000-0C00-00002D511000}"/>
            </a:ext>
          </a:extLst>
        </xdr:cNvPr>
        <xdr:cNvSpPr>
          <a:spLocks noChangeShapeType="1"/>
        </xdr:cNvSpPr>
      </xdr:nvSpPr>
      <xdr:spPr bwMode="auto">
        <a:xfrm>
          <a:off x="7856220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9525</xdr:colOff>
      <xdr:row>11</xdr:row>
      <xdr:rowOff>0</xdr:rowOff>
    </xdr:from>
    <xdr:to>
      <xdr:col>115</xdr:col>
      <xdr:colOff>66675</xdr:colOff>
      <xdr:row>11</xdr:row>
      <xdr:rowOff>9525</xdr:rowOff>
    </xdr:to>
    <xdr:sp macro="" textlink="">
      <xdr:nvSpPr>
        <xdr:cNvPr id="1069358" name="Line 18">
          <a:extLst>
            <a:ext uri="{FF2B5EF4-FFF2-40B4-BE49-F238E27FC236}">
              <a16:creationId xmlns:a16="http://schemas.microsoft.com/office/drawing/2014/main" id="{00000000-0008-0000-0C00-00002E511000}"/>
            </a:ext>
          </a:extLst>
        </xdr:cNvPr>
        <xdr:cNvSpPr>
          <a:spLocks noChangeShapeType="1"/>
        </xdr:cNvSpPr>
      </xdr:nvSpPr>
      <xdr:spPr bwMode="auto">
        <a:xfrm flipV="1">
          <a:off x="7850505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112</xdr:col>
      <xdr:colOff>66675</xdr:colOff>
      <xdr:row>8</xdr:row>
      <xdr:rowOff>9525</xdr:rowOff>
    </xdr:from>
    <xdr:to>
      <xdr:col>113</xdr:col>
      <xdr:colOff>0</xdr:colOff>
      <xdr:row>9</xdr:row>
      <xdr:rowOff>66675</xdr:rowOff>
    </xdr:to>
    <xdr:sp macro="" textlink="">
      <xdr:nvSpPr>
        <xdr:cNvPr id="1069359" name="Line 64">
          <a:extLst>
            <a:ext uri="{FF2B5EF4-FFF2-40B4-BE49-F238E27FC236}">
              <a16:creationId xmlns:a16="http://schemas.microsoft.com/office/drawing/2014/main" id="{00000000-0008-0000-0C00-00002F511000}"/>
            </a:ext>
          </a:extLst>
        </xdr:cNvPr>
        <xdr:cNvSpPr>
          <a:spLocks noChangeShapeType="1"/>
        </xdr:cNvSpPr>
      </xdr:nvSpPr>
      <xdr:spPr bwMode="auto">
        <a:xfrm flipV="1">
          <a:off x="76466700" y="2057400"/>
          <a:ext cx="342900" cy="2381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112</xdr:col>
      <xdr:colOff>66675</xdr:colOff>
      <xdr:row>9</xdr:row>
      <xdr:rowOff>76200</xdr:rowOff>
    </xdr:from>
    <xdr:to>
      <xdr:col>113</xdr:col>
      <xdr:colOff>0</xdr:colOff>
      <xdr:row>13</xdr:row>
      <xdr:rowOff>0</xdr:rowOff>
    </xdr:to>
    <xdr:sp macro="" textlink="">
      <xdr:nvSpPr>
        <xdr:cNvPr id="1069360" name="Line 66">
          <a:extLst>
            <a:ext uri="{FF2B5EF4-FFF2-40B4-BE49-F238E27FC236}">
              <a16:creationId xmlns:a16="http://schemas.microsoft.com/office/drawing/2014/main" id="{00000000-0008-0000-0C00-000030511000}"/>
            </a:ext>
          </a:extLst>
        </xdr:cNvPr>
        <xdr:cNvSpPr>
          <a:spLocks noChangeShapeType="1"/>
        </xdr:cNvSpPr>
      </xdr:nvSpPr>
      <xdr:spPr bwMode="auto">
        <a:xfrm>
          <a:off x="76466700" y="2305050"/>
          <a:ext cx="342900" cy="6477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115</xdr:col>
      <xdr:colOff>0</xdr:colOff>
      <xdr:row>8</xdr:row>
      <xdr:rowOff>0</xdr:rowOff>
    </xdr:from>
    <xdr:to>
      <xdr:col>115</xdr:col>
      <xdr:colOff>76200</xdr:colOff>
      <xdr:row>8</xdr:row>
      <xdr:rowOff>9525</xdr:rowOff>
    </xdr:to>
    <xdr:sp macro="" textlink="">
      <xdr:nvSpPr>
        <xdr:cNvPr id="1069361" name="Line 99">
          <a:extLst>
            <a:ext uri="{FF2B5EF4-FFF2-40B4-BE49-F238E27FC236}">
              <a16:creationId xmlns:a16="http://schemas.microsoft.com/office/drawing/2014/main" id="{00000000-0008-0000-0C00-000031511000}"/>
            </a:ext>
          </a:extLst>
        </xdr:cNvPr>
        <xdr:cNvSpPr>
          <a:spLocks noChangeShapeType="1"/>
        </xdr:cNvSpPr>
      </xdr:nvSpPr>
      <xdr:spPr bwMode="auto">
        <a:xfrm>
          <a:off x="7849552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66675</xdr:colOff>
      <xdr:row>8</xdr:row>
      <xdr:rowOff>9525</xdr:rowOff>
    </xdr:from>
    <xdr:to>
      <xdr:col>115</xdr:col>
      <xdr:colOff>66675</xdr:colOff>
      <xdr:row>11</xdr:row>
      <xdr:rowOff>19050</xdr:rowOff>
    </xdr:to>
    <xdr:sp macro="" textlink="">
      <xdr:nvSpPr>
        <xdr:cNvPr id="1069362" name="Line 100">
          <a:extLst>
            <a:ext uri="{FF2B5EF4-FFF2-40B4-BE49-F238E27FC236}">
              <a16:creationId xmlns:a16="http://schemas.microsoft.com/office/drawing/2014/main" id="{00000000-0008-0000-0C00-000032511000}"/>
            </a:ext>
          </a:extLst>
        </xdr:cNvPr>
        <xdr:cNvSpPr>
          <a:spLocks noChangeShapeType="1"/>
        </xdr:cNvSpPr>
      </xdr:nvSpPr>
      <xdr:spPr bwMode="auto">
        <a:xfrm>
          <a:off x="7856220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9525</xdr:colOff>
      <xdr:row>11</xdr:row>
      <xdr:rowOff>0</xdr:rowOff>
    </xdr:from>
    <xdr:to>
      <xdr:col>115</xdr:col>
      <xdr:colOff>66675</xdr:colOff>
      <xdr:row>11</xdr:row>
      <xdr:rowOff>9525</xdr:rowOff>
    </xdr:to>
    <xdr:sp macro="" textlink="">
      <xdr:nvSpPr>
        <xdr:cNvPr id="1069363" name="Line 101">
          <a:extLst>
            <a:ext uri="{FF2B5EF4-FFF2-40B4-BE49-F238E27FC236}">
              <a16:creationId xmlns:a16="http://schemas.microsoft.com/office/drawing/2014/main" id="{00000000-0008-0000-0C00-000033511000}"/>
            </a:ext>
          </a:extLst>
        </xdr:cNvPr>
        <xdr:cNvSpPr>
          <a:spLocks noChangeShapeType="1"/>
        </xdr:cNvSpPr>
      </xdr:nvSpPr>
      <xdr:spPr bwMode="auto">
        <a:xfrm flipV="1">
          <a:off x="7850505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0</xdr:colOff>
      <xdr:row>8</xdr:row>
      <xdr:rowOff>0</xdr:rowOff>
    </xdr:from>
    <xdr:to>
      <xdr:col>115</xdr:col>
      <xdr:colOff>76200</xdr:colOff>
      <xdr:row>8</xdr:row>
      <xdr:rowOff>9525</xdr:rowOff>
    </xdr:to>
    <xdr:sp macro="" textlink="">
      <xdr:nvSpPr>
        <xdr:cNvPr id="1069364" name="Line 110">
          <a:extLst>
            <a:ext uri="{FF2B5EF4-FFF2-40B4-BE49-F238E27FC236}">
              <a16:creationId xmlns:a16="http://schemas.microsoft.com/office/drawing/2014/main" id="{00000000-0008-0000-0C00-000034511000}"/>
            </a:ext>
          </a:extLst>
        </xdr:cNvPr>
        <xdr:cNvSpPr>
          <a:spLocks noChangeShapeType="1"/>
        </xdr:cNvSpPr>
      </xdr:nvSpPr>
      <xdr:spPr bwMode="auto">
        <a:xfrm>
          <a:off x="7849552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66675</xdr:colOff>
      <xdr:row>8</xdr:row>
      <xdr:rowOff>9525</xdr:rowOff>
    </xdr:from>
    <xdr:to>
      <xdr:col>115</xdr:col>
      <xdr:colOff>66675</xdr:colOff>
      <xdr:row>11</xdr:row>
      <xdr:rowOff>19050</xdr:rowOff>
    </xdr:to>
    <xdr:sp macro="" textlink="">
      <xdr:nvSpPr>
        <xdr:cNvPr id="1069365" name="Line 111">
          <a:extLst>
            <a:ext uri="{FF2B5EF4-FFF2-40B4-BE49-F238E27FC236}">
              <a16:creationId xmlns:a16="http://schemas.microsoft.com/office/drawing/2014/main" id="{00000000-0008-0000-0C00-000035511000}"/>
            </a:ext>
          </a:extLst>
        </xdr:cNvPr>
        <xdr:cNvSpPr>
          <a:spLocks noChangeShapeType="1"/>
        </xdr:cNvSpPr>
      </xdr:nvSpPr>
      <xdr:spPr bwMode="auto">
        <a:xfrm>
          <a:off x="7856220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9525</xdr:colOff>
      <xdr:row>11</xdr:row>
      <xdr:rowOff>0</xdr:rowOff>
    </xdr:from>
    <xdr:to>
      <xdr:col>115</xdr:col>
      <xdr:colOff>66675</xdr:colOff>
      <xdr:row>11</xdr:row>
      <xdr:rowOff>9525</xdr:rowOff>
    </xdr:to>
    <xdr:sp macro="" textlink="">
      <xdr:nvSpPr>
        <xdr:cNvPr id="1069366" name="Line 112">
          <a:extLst>
            <a:ext uri="{FF2B5EF4-FFF2-40B4-BE49-F238E27FC236}">
              <a16:creationId xmlns:a16="http://schemas.microsoft.com/office/drawing/2014/main" id="{00000000-0008-0000-0C00-000036511000}"/>
            </a:ext>
          </a:extLst>
        </xdr:cNvPr>
        <xdr:cNvSpPr>
          <a:spLocks noChangeShapeType="1"/>
        </xdr:cNvSpPr>
      </xdr:nvSpPr>
      <xdr:spPr bwMode="auto">
        <a:xfrm flipV="1">
          <a:off x="7850505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0</xdr:colOff>
      <xdr:row>8</xdr:row>
      <xdr:rowOff>0</xdr:rowOff>
    </xdr:from>
    <xdr:to>
      <xdr:col>115</xdr:col>
      <xdr:colOff>76200</xdr:colOff>
      <xdr:row>8</xdr:row>
      <xdr:rowOff>9525</xdr:rowOff>
    </xdr:to>
    <xdr:sp macro="" textlink="">
      <xdr:nvSpPr>
        <xdr:cNvPr id="1069367" name="Line 113">
          <a:extLst>
            <a:ext uri="{FF2B5EF4-FFF2-40B4-BE49-F238E27FC236}">
              <a16:creationId xmlns:a16="http://schemas.microsoft.com/office/drawing/2014/main" id="{00000000-0008-0000-0C00-000037511000}"/>
            </a:ext>
          </a:extLst>
        </xdr:cNvPr>
        <xdr:cNvSpPr>
          <a:spLocks noChangeShapeType="1"/>
        </xdr:cNvSpPr>
      </xdr:nvSpPr>
      <xdr:spPr bwMode="auto">
        <a:xfrm>
          <a:off x="7849552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66675</xdr:colOff>
      <xdr:row>8</xdr:row>
      <xdr:rowOff>9525</xdr:rowOff>
    </xdr:from>
    <xdr:to>
      <xdr:col>115</xdr:col>
      <xdr:colOff>66675</xdr:colOff>
      <xdr:row>11</xdr:row>
      <xdr:rowOff>19050</xdr:rowOff>
    </xdr:to>
    <xdr:sp macro="" textlink="">
      <xdr:nvSpPr>
        <xdr:cNvPr id="1069368" name="Line 114">
          <a:extLst>
            <a:ext uri="{FF2B5EF4-FFF2-40B4-BE49-F238E27FC236}">
              <a16:creationId xmlns:a16="http://schemas.microsoft.com/office/drawing/2014/main" id="{00000000-0008-0000-0C00-000038511000}"/>
            </a:ext>
          </a:extLst>
        </xdr:cNvPr>
        <xdr:cNvSpPr>
          <a:spLocks noChangeShapeType="1"/>
        </xdr:cNvSpPr>
      </xdr:nvSpPr>
      <xdr:spPr bwMode="auto">
        <a:xfrm>
          <a:off x="7856220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9525</xdr:colOff>
      <xdr:row>11</xdr:row>
      <xdr:rowOff>0</xdr:rowOff>
    </xdr:from>
    <xdr:to>
      <xdr:col>115</xdr:col>
      <xdr:colOff>66675</xdr:colOff>
      <xdr:row>11</xdr:row>
      <xdr:rowOff>9525</xdr:rowOff>
    </xdr:to>
    <xdr:sp macro="" textlink="">
      <xdr:nvSpPr>
        <xdr:cNvPr id="1069369" name="Line 115">
          <a:extLst>
            <a:ext uri="{FF2B5EF4-FFF2-40B4-BE49-F238E27FC236}">
              <a16:creationId xmlns:a16="http://schemas.microsoft.com/office/drawing/2014/main" id="{00000000-0008-0000-0C00-000039511000}"/>
            </a:ext>
          </a:extLst>
        </xdr:cNvPr>
        <xdr:cNvSpPr>
          <a:spLocks noChangeShapeType="1"/>
        </xdr:cNvSpPr>
      </xdr:nvSpPr>
      <xdr:spPr bwMode="auto">
        <a:xfrm flipV="1">
          <a:off x="7850505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76200</xdr:colOff>
      <xdr:row>8</xdr:row>
      <xdr:rowOff>0</xdr:rowOff>
    </xdr:from>
    <xdr:to>
      <xdr:col>115</xdr:col>
      <xdr:colOff>400050</xdr:colOff>
      <xdr:row>9</xdr:row>
      <xdr:rowOff>57150</xdr:rowOff>
    </xdr:to>
    <xdr:sp macro="" textlink="">
      <xdr:nvSpPr>
        <xdr:cNvPr id="1069370" name="Line 116">
          <a:extLst>
            <a:ext uri="{FF2B5EF4-FFF2-40B4-BE49-F238E27FC236}">
              <a16:creationId xmlns:a16="http://schemas.microsoft.com/office/drawing/2014/main" id="{00000000-0008-0000-0C00-00003A511000}"/>
            </a:ext>
          </a:extLst>
        </xdr:cNvPr>
        <xdr:cNvSpPr>
          <a:spLocks noChangeShapeType="1"/>
        </xdr:cNvSpPr>
      </xdr:nvSpPr>
      <xdr:spPr bwMode="auto">
        <a:xfrm flipV="1">
          <a:off x="78571725" y="2047875"/>
          <a:ext cx="3238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115</xdr:col>
      <xdr:colOff>76200</xdr:colOff>
      <xdr:row>9</xdr:row>
      <xdr:rowOff>66675</xdr:rowOff>
    </xdr:from>
    <xdr:to>
      <xdr:col>116</xdr:col>
      <xdr:colOff>0</xdr:colOff>
      <xdr:row>11</xdr:row>
      <xdr:rowOff>19050</xdr:rowOff>
    </xdr:to>
    <xdr:sp macro="" textlink="">
      <xdr:nvSpPr>
        <xdr:cNvPr id="1069371" name="Line 117">
          <a:extLst>
            <a:ext uri="{FF2B5EF4-FFF2-40B4-BE49-F238E27FC236}">
              <a16:creationId xmlns:a16="http://schemas.microsoft.com/office/drawing/2014/main" id="{00000000-0008-0000-0C00-00003B511000}"/>
            </a:ext>
          </a:extLst>
        </xdr:cNvPr>
        <xdr:cNvSpPr>
          <a:spLocks noChangeShapeType="1"/>
        </xdr:cNvSpPr>
      </xdr:nvSpPr>
      <xdr:spPr bwMode="auto">
        <a:xfrm>
          <a:off x="78571725" y="2295525"/>
          <a:ext cx="333375"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109</xdr:col>
      <xdr:colOff>66675</xdr:colOff>
      <xdr:row>7</xdr:row>
      <xdr:rowOff>133350</xdr:rowOff>
    </xdr:from>
    <xdr:to>
      <xdr:col>110</xdr:col>
      <xdr:colOff>0</xdr:colOff>
      <xdr:row>9</xdr:row>
      <xdr:rowOff>66675</xdr:rowOff>
    </xdr:to>
    <xdr:sp macro="" textlink="">
      <xdr:nvSpPr>
        <xdr:cNvPr id="1069372" name="Line 146">
          <a:extLst>
            <a:ext uri="{FF2B5EF4-FFF2-40B4-BE49-F238E27FC236}">
              <a16:creationId xmlns:a16="http://schemas.microsoft.com/office/drawing/2014/main" id="{00000000-0008-0000-0C00-00003C511000}"/>
            </a:ext>
          </a:extLst>
        </xdr:cNvPr>
        <xdr:cNvSpPr>
          <a:spLocks noChangeShapeType="1"/>
        </xdr:cNvSpPr>
      </xdr:nvSpPr>
      <xdr:spPr bwMode="auto">
        <a:xfrm flipV="1">
          <a:off x="74304525" y="2000250"/>
          <a:ext cx="38100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109</xdr:col>
      <xdr:colOff>66675</xdr:colOff>
      <xdr:row>9</xdr:row>
      <xdr:rowOff>66675</xdr:rowOff>
    </xdr:from>
    <xdr:to>
      <xdr:col>110</xdr:col>
      <xdr:colOff>19050</xdr:colOff>
      <xdr:row>13</xdr:row>
      <xdr:rowOff>0</xdr:rowOff>
    </xdr:to>
    <xdr:sp macro="" textlink="">
      <xdr:nvSpPr>
        <xdr:cNvPr id="1069373" name="Line 147">
          <a:extLst>
            <a:ext uri="{FF2B5EF4-FFF2-40B4-BE49-F238E27FC236}">
              <a16:creationId xmlns:a16="http://schemas.microsoft.com/office/drawing/2014/main" id="{00000000-0008-0000-0C00-00003D511000}"/>
            </a:ext>
          </a:extLst>
        </xdr:cNvPr>
        <xdr:cNvSpPr>
          <a:spLocks noChangeShapeType="1"/>
        </xdr:cNvSpPr>
      </xdr:nvSpPr>
      <xdr:spPr bwMode="auto">
        <a:xfrm>
          <a:off x="74304525" y="2295525"/>
          <a:ext cx="400050" cy="657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112</xdr:col>
      <xdr:colOff>76200</xdr:colOff>
      <xdr:row>22</xdr:row>
      <xdr:rowOff>0</xdr:rowOff>
    </xdr:from>
    <xdr:to>
      <xdr:col>112</xdr:col>
      <xdr:colOff>76200</xdr:colOff>
      <xdr:row>22</xdr:row>
      <xdr:rowOff>0</xdr:rowOff>
    </xdr:to>
    <xdr:sp macro="" textlink="">
      <xdr:nvSpPr>
        <xdr:cNvPr id="1069374" name="Line 176">
          <a:extLst>
            <a:ext uri="{FF2B5EF4-FFF2-40B4-BE49-F238E27FC236}">
              <a16:creationId xmlns:a16="http://schemas.microsoft.com/office/drawing/2014/main" id="{00000000-0008-0000-0C00-00003E511000}"/>
            </a:ext>
          </a:extLst>
        </xdr:cNvPr>
        <xdr:cNvSpPr>
          <a:spLocks noChangeShapeType="1"/>
        </xdr:cNvSpPr>
      </xdr:nvSpPr>
      <xdr:spPr bwMode="auto">
        <a:xfrm>
          <a:off x="76476225" y="4581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112</xdr:col>
      <xdr:colOff>76200</xdr:colOff>
      <xdr:row>22</xdr:row>
      <xdr:rowOff>0</xdr:rowOff>
    </xdr:from>
    <xdr:to>
      <xdr:col>112</xdr:col>
      <xdr:colOff>76200</xdr:colOff>
      <xdr:row>22</xdr:row>
      <xdr:rowOff>0</xdr:rowOff>
    </xdr:to>
    <xdr:sp macro="" textlink="">
      <xdr:nvSpPr>
        <xdr:cNvPr id="1069375" name="Line 210">
          <a:extLst>
            <a:ext uri="{FF2B5EF4-FFF2-40B4-BE49-F238E27FC236}">
              <a16:creationId xmlns:a16="http://schemas.microsoft.com/office/drawing/2014/main" id="{00000000-0008-0000-0C00-00003F511000}"/>
            </a:ext>
          </a:extLst>
        </xdr:cNvPr>
        <xdr:cNvSpPr>
          <a:spLocks noChangeShapeType="1"/>
        </xdr:cNvSpPr>
      </xdr:nvSpPr>
      <xdr:spPr bwMode="auto">
        <a:xfrm>
          <a:off x="76476225" y="4581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109</xdr:col>
      <xdr:colOff>0</xdr:colOff>
      <xdr:row>14</xdr:row>
      <xdr:rowOff>0</xdr:rowOff>
    </xdr:from>
    <xdr:to>
      <xdr:col>109</xdr:col>
      <xdr:colOff>76200</xdr:colOff>
      <xdr:row>14</xdr:row>
      <xdr:rowOff>9525</xdr:rowOff>
    </xdr:to>
    <xdr:sp macro="" textlink="">
      <xdr:nvSpPr>
        <xdr:cNvPr id="1069376" name="Line 303">
          <a:extLst>
            <a:ext uri="{FF2B5EF4-FFF2-40B4-BE49-F238E27FC236}">
              <a16:creationId xmlns:a16="http://schemas.microsoft.com/office/drawing/2014/main" id="{00000000-0008-0000-0C00-000040511000}"/>
            </a:ext>
          </a:extLst>
        </xdr:cNvPr>
        <xdr:cNvSpPr>
          <a:spLocks noChangeShapeType="1"/>
        </xdr:cNvSpPr>
      </xdr:nvSpPr>
      <xdr:spPr bwMode="auto">
        <a:xfrm>
          <a:off x="7423785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109</xdr:col>
      <xdr:colOff>66675</xdr:colOff>
      <xdr:row>14</xdr:row>
      <xdr:rowOff>9525</xdr:rowOff>
    </xdr:from>
    <xdr:to>
      <xdr:col>109</xdr:col>
      <xdr:colOff>66675</xdr:colOff>
      <xdr:row>17</xdr:row>
      <xdr:rowOff>19050</xdr:rowOff>
    </xdr:to>
    <xdr:sp macro="" textlink="">
      <xdr:nvSpPr>
        <xdr:cNvPr id="1069377" name="Line 304">
          <a:extLst>
            <a:ext uri="{FF2B5EF4-FFF2-40B4-BE49-F238E27FC236}">
              <a16:creationId xmlns:a16="http://schemas.microsoft.com/office/drawing/2014/main" id="{00000000-0008-0000-0C00-000041511000}"/>
            </a:ext>
          </a:extLst>
        </xdr:cNvPr>
        <xdr:cNvSpPr>
          <a:spLocks noChangeShapeType="1"/>
        </xdr:cNvSpPr>
      </xdr:nvSpPr>
      <xdr:spPr bwMode="auto">
        <a:xfrm>
          <a:off x="7430452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109</xdr:col>
      <xdr:colOff>9525</xdr:colOff>
      <xdr:row>17</xdr:row>
      <xdr:rowOff>0</xdr:rowOff>
    </xdr:from>
    <xdr:to>
      <xdr:col>109</xdr:col>
      <xdr:colOff>66675</xdr:colOff>
      <xdr:row>17</xdr:row>
      <xdr:rowOff>9525</xdr:rowOff>
    </xdr:to>
    <xdr:sp macro="" textlink="">
      <xdr:nvSpPr>
        <xdr:cNvPr id="1069378" name="Line 305">
          <a:extLst>
            <a:ext uri="{FF2B5EF4-FFF2-40B4-BE49-F238E27FC236}">
              <a16:creationId xmlns:a16="http://schemas.microsoft.com/office/drawing/2014/main" id="{00000000-0008-0000-0C00-000042511000}"/>
            </a:ext>
          </a:extLst>
        </xdr:cNvPr>
        <xdr:cNvSpPr>
          <a:spLocks noChangeShapeType="1"/>
        </xdr:cNvSpPr>
      </xdr:nvSpPr>
      <xdr:spPr bwMode="auto">
        <a:xfrm flipV="1">
          <a:off x="7424737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112</xdr:col>
      <xdr:colOff>0</xdr:colOff>
      <xdr:row>14</xdr:row>
      <xdr:rowOff>0</xdr:rowOff>
    </xdr:from>
    <xdr:to>
      <xdr:col>112</xdr:col>
      <xdr:colOff>76200</xdr:colOff>
      <xdr:row>14</xdr:row>
      <xdr:rowOff>9525</xdr:rowOff>
    </xdr:to>
    <xdr:sp macro="" textlink="">
      <xdr:nvSpPr>
        <xdr:cNvPr id="1069379" name="Line 306">
          <a:extLst>
            <a:ext uri="{FF2B5EF4-FFF2-40B4-BE49-F238E27FC236}">
              <a16:creationId xmlns:a16="http://schemas.microsoft.com/office/drawing/2014/main" id="{00000000-0008-0000-0C00-000043511000}"/>
            </a:ext>
          </a:extLst>
        </xdr:cNvPr>
        <xdr:cNvSpPr>
          <a:spLocks noChangeShapeType="1"/>
        </xdr:cNvSpPr>
      </xdr:nvSpPr>
      <xdr:spPr bwMode="auto">
        <a:xfrm>
          <a:off x="7640002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112</xdr:col>
      <xdr:colOff>66675</xdr:colOff>
      <xdr:row>14</xdr:row>
      <xdr:rowOff>9525</xdr:rowOff>
    </xdr:from>
    <xdr:to>
      <xdr:col>112</xdr:col>
      <xdr:colOff>66675</xdr:colOff>
      <xdr:row>17</xdr:row>
      <xdr:rowOff>19050</xdr:rowOff>
    </xdr:to>
    <xdr:sp macro="" textlink="">
      <xdr:nvSpPr>
        <xdr:cNvPr id="1069380" name="Line 307">
          <a:extLst>
            <a:ext uri="{FF2B5EF4-FFF2-40B4-BE49-F238E27FC236}">
              <a16:creationId xmlns:a16="http://schemas.microsoft.com/office/drawing/2014/main" id="{00000000-0008-0000-0C00-000044511000}"/>
            </a:ext>
          </a:extLst>
        </xdr:cNvPr>
        <xdr:cNvSpPr>
          <a:spLocks noChangeShapeType="1"/>
        </xdr:cNvSpPr>
      </xdr:nvSpPr>
      <xdr:spPr bwMode="auto">
        <a:xfrm>
          <a:off x="7646670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112</xdr:col>
      <xdr:colOff>9525</xdr:colOff>
      <xdr:row>17</xdr:row>
      <xdr:rowOff>0</xdr:rowOff>
    </xdr:from>
    <xdr:to>
      <xdr:col>112</xdr:col>
      <xdr:colOff>66675</xdr:colOff>
      <xdr:row>17</xdr:row>
      <xdr:rowOff>9525</xdr:rowOff>
    </xdr:to>
    <xdr:sp macro="" textlink="">
      <xdr:nvSpPr>
        <xdr:cNvPr id="1069381" name="Line 308">
          <a:extLst>
            <a:ext uri="{FF2B5EF4-FFF2-40B4-BE49-F238E27FC236}">
              <a16:creationId xmlns:a16="http://schemas.microsoft.com/office/drawing/2014/main" id="{00000000-0008-0000-0C00-000045511000}"/>
            </a:ext>
          </a:extLst>
        </xdr:cNvPr>
        <xdr:cNvSpPr>
          <a:spLocks noChangeShapeType="1"/>
        </xdr:cNvSpPr>
      </xdr:nvSpPr>
      <xdr:spPr bwMode="auto">
        <a:xfrm flipV="1">
          <a:off x="7640955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0</xdr:colOff>
      <xdr:row>14</xdr:row>
      <xdr:rowOff>0</xdr:rowOff>
    </xdr:from>
    <xdr:to>
      <xdr:col>115</xdr:col>
      <xdr:colOff>76200</xdr:colOff>
      <xdr:row>14</xdr:row>
      <xdr:rowOff>9525</xdr:rowOff>
    </xdr:to>
    <xdr:sp macro="" textlink="">
      <xdr:nvSpPr>
        <xdr:cNvPr id="1069382" name="Line 309">
          <a:extLst>
            <a:ext uri="{FF2B5EF4-FFF2-40B4-BE49-F238E27FC236}">
              <a16:creationId xmlns:a16="http://schemas.microsoft.com/office/drawing/2014/main" id="{00000000-0008-0000-0C00-000046511000}"/>
            </a:ext>
          </a:extLst>
        </xdr:cNvPr>
        <xdr:cNvSpPr>
          <a:spLocks noChangeShapeType="1"/>
        </xdr:cNvSpPr>
      </xdr:nvSpPr>
      <xdr:spPr bwMode="auto">
        <a:xfrm>
          <a:off x="7849552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66675</xdr:colOff>
      <xdr:row>14</xdr:row>
      <xdr:rowOff>9525</xdr:rowOff>
    </xdr:from>
    <xdr:to>
      <xdr:col>115</xdr:col>
      <xdr:colOff>66675</xdr:colOff>
      <xdr:row>17</xdr:row>
      <xdr:rowOff>19050</xdr:rowOff>
    </xdr:to>
    <xdr:sp macro="" textlink="">
      <xdr:nvSpPr>
        <xdr:cNvPr id="1069383" name="Line 310">
          <a:extLst>
            <a:ext uri="{FF2B5EF4-FFF2-40B4-BE49-F238E27FC236}">
              <a16:creationId xmlns:a16="http://schemas.microsoft.com/office/drawing/2014/main" id="{00000000-0008-0000-0C00-000047511000}"/>
            </a:ext>
          </a:extLst>
        </xdr:cNvPr>
        <xdr:cNvSpPr>
          <a:spLocks noChangeShapeType="1"/>
        </xdr:cNvSpPr>
      </xdr:nvSpPr>
      <xdr:spPr bwMode="auto">
        <a:xfrm>
          <a:off x="7856220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9525</xdr:colOff>
      <xdr:row>17</xdr:row>
      <xdr:rowOff>0</xdr:rowOff>
    </xdr:from>
    <xdr:to>
      <xdr:col>115</xdr:col>
      <xdr:colOff>66675</xdr:colOff>
      <xdr:row>17</xdr:row>
      <xdr:rowOff>9525</xdr:rowOff>
    </xdr:to>
    <xdr:sp macro="" textlink="">
      <xdr:nvSpPr>
        <xdr:cNvPr id="1069384" name="Line 311">
          <a:extLst>
            <a:ext uri="{FF2B5EF4-FFF2-40B4-BE49-F238E27FC236}">
              <a16:creationId xmlns:a16="http://schemas.microsoft.com/office/drawing/2014/main" id="{00000000-0008-0000-0C00-000048511000}"/>
            </a:ext>
          </a:extLst>
        </xdr:cNvPr>
        <xdr:cNvSpPr>
          <a:spLocks noChangeShapeType="1"/>
        </xdr:cNvSpPr>
      </xdr:nvSpPr>
      <xdr:spPr bwMode="auto">
        <a:xfrm flipV="1">
          <a:off x="7850505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0</xdr:colOff>
      <xdr:row>14</xdr:row>
      <xdr:rowOff>0</xdr:rowOff>
    </xdr:from>
    <xdr:to>
      <xdr:col>115</xdr:col>
      <xdr:colOff>76200</xdr:colOff>
      <xdr:row>14</xdr:row>
      <xdr:rowOff>9525</xdr:rowOff>
    </xdr:to>
    <xdr:sp macro="" textlink="">
      <xdr:nvSpPr>
        <xdr:cNvPr id="1069385" name="Line 312">
          <a:extLst>
            <a:ext uri="{FF2B5EF4-FFF2-40B4-BE49-F238E27FC236}">
              <a16:creationId xmlns:a16="http://schemas.microsoft.com/office/drawing/2014/main" id="{00000000-0008-0000-0C00-000049511000}"/>
            </a:ext>
          </a:extLst>
        </xdr:cNvPr>
        <xdr:cNvSpPr>
          <a:spLocks noChangeShapeType="1"/>
        </xdr:cNvSpPr>
      </xdr:nvSpPr>
      <xdr:spPr bwMode="auto">
        <a:xfrm>
          <a:off x="7849552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66675</xdr:colOff>
      <xdr:row>14</xdr:row>
      <xdr:rowOff>9525</xdr:rowOff>
    </xdr:from>
    <xdr:to>
      <xdr:col>115</xdr:col>
      <xdr:colOff>66675</xdr:colOff>
      <xdr:row>17</xdr:row>
      <xdr:rowOff>19050</xdr:rowOff>
    </xdr:to>
    <xdr:sp macro="" textlink="">
      <xdr:nvSpPr>
        <xdr:cNvPr id="1069386" name="Line 313">
          <a:extLst>
            <a:ext uri="{FF2B5EF4-FFF2-40B4-BE49-F238E27FC236}">
              <a16:creationId xmlns:a16="http://schemas.microsoft.com/office/drawing/2014/main" id="{00000000-0008-0000-0C00-00004A511000}"/>
            </a:ext>
          </a:extLst>
        </xdr:cNvPr>
        <xdr:cNvSpPr>
          <a:spLocks noChangeShapeType="1"/>
        </xdr:cNvSpPr>
      </xdr:nvSpPr>
      <xdr:spPr bwMode="auto">
        <a:xfrm>
          <a:off x="7856220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9525</xdr:colOff>
      <xdr:row>17</xdr:row>
      <xdr:rowOff>0</xdr:rowOff>
    </xdr:from>
    <xdr:to>
      <xdr:col>115</xdr:col>
      <xdr:colOff>66675</xdr:colOff>
      <xdr:row>17</xdr:row>
      <xdr:rowOff>9525</xdr:rowOff>
    </xdr:to>
    <xdr:sp macro="" textlink="">
      <xdr:nvSpPr>
        <xdr:cNvPr id="1069387" name="Line 314">
          <a:extLst>
            <a:ext uri="{FF2B5EF4-FFF2-40B4-BE49-F238E27FC236}">
              <a16:creationId xmlns:a16="http://schemas.microsoft.com/office/drawing/2014/main" id="{00000000-0008-0000-0C00-00004B511000}"/>
            </a:ext>
          </a:extLst>
        </xdr:cNvPr>
        <xdr:cNvSpPr>
          <a:spLocks noChangeShapeType="1"/>
        </xdr:cNvSpPr>
      </xdr:nvSpPr>
      <xdr:spPr bwMode="auto">
        <a:xfrm flipV="1">
          <a:off x="7850505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76200</xdr:colOff>
      <xdr:row>15</xdr:row>
      <xdr:rowOff>66675</xdr:rowOff>
    </xdr:from>
    <xdr:to>
      <xdr:col>116</xdr:col>
      <xdr:colOff>9525</xdr:colOff>
      <xdr:row>17</xdr:row>
      <xdr:rowOff>19050</xdr:rowOff>
    </xdr:to>
    <xdr:sp macro="" textlink="">
      <xdr:nvSpPr>
        <xdr:cNvPr id="1069388" name="Line 315">
          <a:extLst>
            <a:ext uri="{FF2B5EF4-FFF2-40B4-BE49-F238E27FC236}">
              <a16:creationId xmlns:a16="http://schemas.microsoft.com/office/drawing/2014/main" id="{00000000-0008-0000-0C00-00004C511000}"/>
            </a:ext>
          </a:extLst>
        </xdr:cNvPr>
        <xdr:cNvSpPr>
          <a:spLocks noChangeShapeType="1"/>
        </xdr:cNvSpPr>
      </xdr:nvSpPr>
      <xdr:spPr bwMode="auto">
        <a:xfrm>
          <a:off x="78571725" y="33813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115</xdr:col>
      <xdr:colOff>0</xdr:colOff>
      <xdr:row>14</xdr:row>
      <xdr:rowOff>0</xdr:rowOff>
    </xdr:from>
    <xdr:to>
      <xdr:col>115</xdr:col>
      <xdr:colOff>76200</xdr:colOff>
      <xdr:row>14</xdr:row>
      <xdr:rowOff>9525</xdr:rowOff>
    </xdr:to>
    <xdr:sp macro="" textlink="">
      <xdr:nvSpPr>
        <xdr:cNvPr id="1069389" name="Line 316">
          <a:extLst>
            <a:ext uri="{FF2B5EF4-FFF2-40B4-BE49-F238E27FC236}">
              <a16:creationId xmlns:a16="http://schemas.microsoft.com/office/drawing/2014/main" id="{00000000-0008-0000-0C00-00004D511000}"/>
            </a:ext>
          </a:extLst>
        </xdr:cNvPr>
        <xdr:cNvSpPr>
          <a:spLocks noChangeShapeType="1"/>
        </xdr:cNvSpPr>
      </xdr:nvSpPr>
      <xdr:spPr bwMode="auto">
        <a:xfrm>
          <a:off x="7849552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66675</xdr:colOff>
      <xdr:row>14</xdr:row>
      <xdr:rowOff>9525</xdr:rowOff>
    </xdr:from>
    <xdr:to>
      <xdr:col>115</xdr:col>
      <xdr:colOff>66675</xdr:colOff>
      <xdr:row>17</xdr:row>
      <xdr:rowOff>19050</xdr:rowOff>
    </xdr:to>
    <xdr:sp macro="" textlink="">
      <xdr:nvSpPr>
        <xdr:cNvPr id="1069390" name="Line 317">
          <a:extLst>
            <a:ext uri="{FF2B5EF4-FFF2-40B4-BE49-F238E27FC236}">
              <a16:creationId xmlns:a16="http://schemas.microsoft.com/office/drawing/2014/main" id="{00000000-0008-0000-0C00-00004E511000}"/>
            </a:ext>
          </a:extLst>
        </xdr:cNvPr>
        <xdr:cNvSpPr>
          <a:spLocks noChangeShapeType="1"/>
        </xdr:cNvSpPr>
      </xdr:nvSpPr>
      <xdr:spPr bwMode="auto">
        <a:xfrm>
          <a:off x="7856220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9525</xdr:colOff>
      <xdr:row>17</xdr:row>
      <xdr:rowOff>0</xdr:rowOff>
    </xdr:from>
    <xdr:to>
      <xdr:col>115</xdr:col>
      <xdr:colOff>66675</xdr:colOff>
      <xdr:row>17</xdr:row>
      <xdr:rowOff>9525</xdr:rowOff>
    </xdr:to>
    <xdr:sp macro="" textlink="">
      <xdr:nvSpPr>
        <xdr:cNvPr id="1069391" name="Line 318">
          <a:extLst>
            <a:ext uri="{FF2B5EF4-FFF2-40B4-BE49-F238E27FC236}">
              <a16:creationId xmlns:a16="http://schemas.microsoft.com/office/drawing/2014/main" id="{00000000-0008-0000-0C00-00004F511000}"/>
            </a:ext>
          </a:extLst>
        </xdr:cNvPr>
        <xdr:cNvSpPr>
          <a:spLocks noChangeShapeType="1"/>
        </xdr:cNvSpPr>
      </xdr:nvSpPr>
      <xdr:spPr bwMode="auto">
        <a:xfrm flipV="1">
          <a:off x="7850505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76200</xdr:colOff>
      <xdr:row>13</xdr:row>
      <xdr:rowOff>171450</xdr:rowOff>
    </xdr:from>
    <xdr:to>
      <xdr:col>116</xdr:col>
      <xdr:colOff>9525</xdr:colOff>
      <xdr:row>15</xdr:row>
      <xdr:rowOff>38100</xdr:rowOff>
    </xdr:to>
    <xdr:sp macro="" textlink="">
      <xdr:nvSpPr>
        <xdr:cNvPr id="1069392" name="Line 319">
          <a:extLst>
            <a:ext uri="{FF2B5EF4-FFF2-40B4-BE49-F238E27FC236}">
              <a16:creationId xmlns:a16="http://schemas.microsoft.com/office/drawing/2014/main" id="{00000000-0008-0000-0C00-000050511000}"/>
            </a:ext>
          </a:extLst>
        </xdr:cNvPr>
        <xdr:cNvSpPr>
          <a:spLocks noChangeShapeType="1"/>
        </xdr:cNvSpPr>
      </xdr:nvSpPr>
      <xdr:spPr bwMode="auto">
        <a:xfrm flipV="1">
          <a:off x="78571725" y="3124200"/>
          <a:ext cx="342900" cy="22860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112</xdr:col>
      <xdr:colOff>0</xdr:colOff>
      <xdr:row>14</xdr:row>
      <xdr:rowOff>0</xdr:rowOff>
    </xdr:from>
    <xdr:to>
      <xdr:col>112</xdr:col>
      <xdr:colOff>76200</xdr:colOff>
      <xdr:row>14</xdr:row>
      <xdr:rowOff>9525</xdr:rowOff>
    </xdr:to>
    <xdr:sp macro="" textlink="">
      <xdr:nvSpPr>
        <xdr:cNvPr id="1069393" name="Line 320">
          <a:extLst>
            <a:ext uri="{FF2B5EF4-FFF2-40B4-BE49-F238E27FC236}">
              <a16:creationId xmlns:a16="http://schemas.microsoft.com/office/drawing/2014/main" id="{00000000-0008-0000-0C00-000051511000}"/>
            </a:ext>
          </a:extLst>
        </xdr:cNvPr>
        <xdr:cNvSpPr>
          <a:spLocks noChangeShapeType="1"/>
        </xdr:cNvSpPr>
      </xdr:nvSpPr>
      <xdr:spPr bwMode="auto">
        <a:xfrm>
          <a:off x="7640002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112</xdr:col>
      <xdr:colOff>66675</xdr:colOff>
      <xdr:row>14</xdr:row>
      <xdr:rowOff>9525</xdr:rowOff>
    </xdr:from>
    <xdr:to>
      <xdr:col>112</xdr:col>
      <xdr:colOff>66675</xdr:colOff>
      <xdr:row>17</xdr:row>
      <xdr:rowOff>19050</xdr:rowOff>
    </xdr:to>
    <xdr:sp macro="" textlink="">
      <xdr:nvSpPr>
        <xdr:cNvPr id="1069394" name="Line 321">
          <a:extLst>
            <a:ext uri="{FF2B5EF4-FFF2-40B4-BE49-F238E27FC236}">
              <a16:creationId xmlns:a16="http://schemas.microsoft.com/office/drawing/2014/main" id="{00000000-0008-0000-0C00-000052511000}"/>
            </a:ext>
          </a:extLst>
        </xdr:cNvPr>
        <xdr:cNvSpPr>
          <a:spLocks noChangeShapeType="1"/>
        </xdr:cNvSpPr>
      </xdr:nvSpPr>
      <xdr:spPr bwMode="auto">
        <a:xfrm>
          <a:off x="7646670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112</xdr:col>
      <xdr:colOff>9525</xdr:colOff>
      <xdr:row>17</xdr:row>
      <xdr:rowOff>0</xdr:rowOff>
    </xdr:from>
    <xdr:to>
      <xdr:col>112</xdr:col>
      <xdr:colOff>66675</xdr:colOff>
      <xdr:row>17</xdr:row>
      <xdr:rowOff>9525</xdr:rowOff>
    </xdr:to>
    <xdr:sp macro="" textlink="">
      <xdr:nvSpPr>
        <xdr:cNvPr id="1069395" name="Line 322">
          <a:extLst>
            <a:ext uri="{FF2B5EF4-FFF2-40B4-BE49-F238E27FC236}">
              <a16:creationId xmlns:a16="http://schemas.microsoft.com/office/drawing/2014/main" id="{00000000-0008-0000-0C00-000053511000}"/>
            </a:ext>
          </a:extLst>
        </xdr:cNvPr>
        <xdr:cNvSpPr>
          <a:spLocks noChangeShapeType="1"/>
        </xdr:cNvSpPr>
      </xdr:nvSpPr>
      <xdr:spPr bwMode="auto">
        <a:xfrm flipV="1">
          <a:off x="7640955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109</xdr:col>
      <xdr:colOff>0</xdr:colOff>
      <xdr:row>20</xdr:row>
      <xdr:rowOff>0</xdr:rowOff>
    </xdr:from>
    <xdr:to>
      <xdr:col>109</xdr:col>
      <xdr:colOff>76200</xdr:colOff>
      <xdr:row>20</xdr:row>
      <xdr:rowOff>9525</xdr:rowOff>
    </xdr:to>
    <xdr:sp macro="" textlink="">
      <xdr:nvSpPr>
        <xdr:cNvPr id="1069396" name="Line 323">
          <a:extLst>
            <a:ext uri="{FF2B5EF4-FFF2-40B4-BE49-F238E27FC236}">
              <a16:creationId xmlns:a16="http://schemas.microsoft.com/office/drawing/2014/main" id="{00000000-0008-0000-0C00-000054511000}"/>
            </a:ext>
          </a:extLst>
        </xdr:cNvPr>
        <xdr:cNvSpPr>
          <a:spLocks noChangeShapeType="1"/>
        </xdr:cNvSpPr>
      </xdr:nvSpPr>
      <xdr:spPr bwMode="auto">
        <a:xfrm>
          <a:off x="7423785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109</xdr:col>
      <xdr:colOff>66675</xdr:colOff>
      <xdr:row>20</xdr:row>
      <xdr:rowOff>9525</xdr:rowOff>
    </xdr:from>
    <xdr:to>
      <xdr:col>109</xdr:col>
      <xdr:colOff>66675</xdr:colOff>
      <xdr:row>23</xdr:row>
      <xdr:rowOff>19050</xdr:rowOff>
    </xdr:to>
    <xdr:sp macro="" textlink="">
      <xdr:nvSpPr>
        <xdr:cNvPr id="1069397" name="Line 324">
          <a:extLst>
            <a:ext uri="{FF2B5EF4-FFF2-40B4-BE49-F238E27FC236}">
              <a16:creationId xmlns:a16="http://schemas.microsoft.com/office/drawing/2014/main" id="{00000000-0008-0000-0C00-000055511000}"/>
            </a:ext>
          </a:extLst>
        </xdr:cNvPr>
        <xdr:cNvSpPr>
          <a:spLocks noChangeShapeType="1"/>
        </xdr:cNvSpPr>
      </xdr:nvSpPr>
      <xdr:spPr bwMode="auto">
        <a:xfrm>
          <a:off x="7430452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109</xdr:col>
      <xdr:colOff>9525</xdr:colOff>
      <xdr:row>23</xdr:row>
      <xdr:rowOff>0</xdr:rowOff>
    </xdr:from>
    <xdr:to>
      <xdr:col>109</xdr:col>
      <xdr:colOff>66675</xdr:colOff>
      <xdr:row>23</xdr:row>
      <xdr:rowOff>9525</xdr:rowOff>
    </xdr:to>
    <xdr:sp macro="" textlink="">
      <xdr:nvSpPr>
        <xdr:cNvPr id="1069398" name="Line 325">
          <a:extLst>
            <a:ext uri="{FF2B5EF4-FFF2-40B4-BE49-F238E27FC236}">
              <a16:creationId xmlns:a16="http://schemas.microsoft.com/office/drawing/2014/main" id="{00000000-0008-0000-0C00-000056511000}"/>
            </a:ext>
          </a:extLst>
        </xdr:cNvPr>
        <xdr:cNvSpPr>
          <a:spLocks noChangeShapeType="1"/>
        </xdr:cNvSpPr>
      </xdr:nvSpPr>
      <xdr:spPr bwMode="auto">
        <a:xfrm flipV="1">
          <a:off x="742473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112</xdr:col>
      <xdr:colOff>0</xdr:colOff>
      <xdr:row>20</xdr:row>
      <xdr:rowOff>0</xdr:rowOff>
    </xdr:from>
    <xdr:to>
      <xdr:col>112</xdr:col>
      <xdr:colOff>76200</xdr:colOff>
      <xdr:row>20</xdr:row>
      <xdr:rowOff>9525</xdr:rowOff>
    </xdr:to>
    <xdr:sp macro="" textlink="">
      <xdr:nvSpPr>
        <xdr:cNvPr id="1069399" name="Line 326">
          <a:extLst>
            <a:ext uri="{FF2B5EF4-FFF2-40B4-BE49-F238E27FC236}">
              <a16:creationId xmlns:a16="http://schemas.microsoft.com/office/drawing/2014/main" id="{00000000-0008-0000-0C00-000057511000}"/>
            </a:ext>
          </a:extLst>
        </xdr:cNvPr>
        <xdr:cNvSpPr>
          <a:spLocks noChangeShapeType="1"/>
        </xdr:cNvSpPr>
      </xdr:nvSpPr>
      <xdr:spPr bwMode="auto">
        <a:xfrm>
          <a:off x="7640002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112</xdr:col>
      <xdr:colOff>66675</xdr:colOff>
      <xdr:row>20</xdr:row>
      <xdr:rowOff>9525</xdr:rowOff>
    </xdr:from>
    <xdr:to>
      <xdr:col>112</xdr:col>
      <xdr:colOff>66675</xdr:colOff>
      <xdr:row>23</xdr:row>
      <xdr:rowOff>19050</xdr:rowOff>
    </xdr:to>
    <xdr:sp macro="" textlink="">
      <xdr:nvSpPr>
        <xdr:cNvPr id="1069400" name="Line 327">
          <a:extLst>
            <a:ext uri="{FF2B5EF4-FFF2-40B4-BE49-F238E27FC236}">
              <a16:creationId xmlns:a16="http://schemas.microsoft.com/office/drawing/2014/main" id="{00000000-0008-0000-0C00-000058511000}"/>
            </a:ext>
          </a:extLst>
        </xdr:cNvPr>
        <xdr:cNvSpPr>
          <a:spLocks noChangeShapeType="1"/>
        </xdr:cNvSpPr>
      </xdr:nvSpPr>
      <xdr:spPr bwMode="auto">
        <a:xfrm>
          <a:off x="7646670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112</xdr:col>
      <xdr:colOff>9525</xdr:colOff>
      <xdr:row>23</xdr:row>
      <xdr:rowOff>0</xdr:rowOff>
    </xdr:from>
    <xdr:to>
      <xdr:col>112</xdr:col>
      <xdr:colOff>66675</xdr:colOff>
      <xdr:row>23</xdr:row>
      <xdr:rowOff>9525</xdr:rowOff>
    </xdr:to>
    <xdr:sp macro="" textlink="">
      <xdr:nvSpPr>
        <xdr:cNvPr id="1069401" name="Line 328">
          <a:extLst>
            <a:ext uri="{FF2B5EF4-FFF2-40B4-BE49-F238E27FC236}">
              <a16:creationId xmlns:a16="http://schemas.microsoft.com/office/drawing/2014/main" id="{00000000-0008-0000-0C00-000059511000}"/>
            </a:ext>
          </a:extLst>
        </xdr:cNvPr>
        <xdr:cNvSpPr>
          <a:spLocks noChangeShapeType="1"/>
        </xdr:cNvSpPr>
      </xdr:nvSpPr>
      <xdr:spPr bwMode="auto">
        <a:xfrm flipV="1">
          <a:off x="7640955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0</xdr:colOff>
      <xdr:row>20</xdr:row>
      <xdr:rowOff>0</xdr:rowOff>
    </xdr:from>
    <xdr:to>
      <xdr:col>115</xdr:col>
      <xdr:colOff>76200</xdr:colOff>
      <xdr:row>20</xdr:row>
      <xdr:rowOff>9525</xdr:rowOff>
    </xdr:to>
    <xdr:sp macro="" textlink="">
      <xdr:nvSpPr>
        <xdr:cNvPr id="1069402" name="Line 329">
          <a:extLst>
            <a:ext uri="{FF2B5EF4-FFF2-40B4-BE49-F238E27FC236}">
              <a16:creationId xmlns:a16="http://schemas.microsoft.com/office/drawing/2014/main" id="{00000000-0008-0000-0C00-00005A511000}"/>
            </a:ext>
          </a:extLst>
        </xdr:cNvPr>
        <xdr:cNvSpPr>
          <a:spLocks noChangeShapeType="1"/>
        </xdr:cNvSpPr>
      </xdr:nvSpPr>
      <xdr:spPr bwMode="auto">
        <a:xfrm>
          <a:off x="7849552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66675</xdr:colOff>
      <xdr:row>20</xdr:row>
      <xdr:rowOff>9525</xdr:rowOff>
    </xdr:from>
    <xdr:to>
      <xdr:col>115</xdr:col>
      <xdr:colOff>66675</xdr:colOff>
      <xdr:row>23</xdr:row>
      <xdr:rowOff>19050</xdr:rowOff>
    </xdr:to>
    <xdr:sp macro="" textlink="">
      <xdr:nvSpPr>
        <xdr:cNvPr id="1069403" name="Line 330">
          <a:extLst>
            <a:ext uri="{FF2B5EF4-FFF2-40B4-BE49-F238E27FC236}">
              <a16:creationId xmlns:a16="http://schemas.microsoft.com/office/drawing/2014/main" id="{00000000-0008-0000-0C00-00005B511000}"/>
            </a:ext>
          </a:extLst>
        </xdr:cNvPr>
        <xdr:cNvSpPr>
          <a:spLocks noChangeShapeType="1"/>
        </xdr:cNvSpPr>
      </xdr:nvSpPr>
      <xdr:spPr bwMode="auto">
        <a:xfrm>
          <a:off x="7856220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9525</xdr:colOff>
      <xdr:row>23</xdr:row>
      <xdr:rowOff>0</xdr:rowOff>
    </xdr:from>
    <xdr:to>
      <xdr:col>115</xdr:col>
      <xdr:colOff>66675</xdr:colOff>
      <xdr:row>23</xdr:row>
      <xdr:rowOff>9525</xdr:rowOff>
    </xdr:to>
    <xdr:sp macro="" textlink="">
      <xdr:nvSpPr>
        <xdr:cNvPr id="1069404" name="Line 331">
          <a:extLst>
            <a:ext uri="{FF2B5EF4-FFF2-40B4-BE49-F238E27FC236}">
              <a16:creationId xmlns:a16="http://schemas.microsoft.com/office/drawing/2014/main" id="{00000000-0008-0000-0C00-00005C511000}"/>
            </a:ext>
          </a:extLst>
        </xdr:cNvPr>
        <xdr:cNvSpPr>
          <a:spLocks noChangeShapeType="1"/>
        </xdr:cNvSpPr>
      </xdr:nvSpPr>
      <xdr:spPr bwMode="auto">
        <a:xfrm flipV="1">
          <a:off x="7850505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0</xdr:colOff>
      <xdr:row>20</xdr:row>
      <xdr:rowOff>0</xdr:rowOff>
    </xdr:from>
    <xdr:to>
      <xdr:col>115</xdr:col>
      <xdr:colOff>76200</xdr:colOff>
      <xdr:row>20</xdr:row>
      <xdr:rowOff>9525</xdr:rowOff>
    </xdr:to>
    <xdr:sp macro="" textlink="">
      <xdr:nvSpPr>
        <xdr:cNvPr id="1069405" name="Line 332">
          <a:extLst>
            <a:ext uri="{FF2B5EF4-FFF2-40B4-BE49-F238E27FC236}">
              <a16:creationId xmlns:a16="http://schemas.microsoft.com/office/drawing/2014/main" id="{00000000-0008-0000-0C00-00005D511000}"/>
            </a:ext>
          </a:extLst>
        </xdr:cNvPr>
        <xdr:cNvSpPr>
          <a:spLocks noChangeShapeType="1"/>
        </xdr:cNvSpPr>
      </xdr:nvSpPr>
      <xdr:spPr bwMode="auto">
        <a:xfrm>
          <a:off x="7849552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66675</xdr:colOff>
      <xdr:row>20</xdr:row>
      <xdr:rowOff>9525</xdr:rowOff>
    </xdr:from>
    <xdr:to>
      <xdr:col>115</xdr:col>
      <xdr:colOff>66675</xdr:colOff>
      <xdr:row>23</xdr:row>
      <xdr:rowOff>19050</xdr:rowOff>
    </xdr:to>
    <xdr:sp macro="" textlink="">
      <xdr:nvSpPr>
        <xdr:cNvPr id="1069406" name="Line 333">
          <a:extLst>
            <a:ext uri="{FF2B5EF4-FFF2-40B4-BE49-F238E27FC236}">
              <a16:creationId xmlns:a16="http://schemas.microsoft.com/office/drawing/2014/main" id="{00000000-0008-0000-0C00-00005E511000}"/>
            </a:ext>
          </a:extLst>
        </xdr:cNvPr>
        <xdr:cNvSpPr>
          <a:spLocks noChangeShapeType="1"/>
        </xdr:cNvSpPr>
      </xdr:nvSpPr>
      <xdr:spPr bwMode="auto">
        <a:xfrm>
          <a:off x="7856220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9525</xdr:colOff>
      <xdr:row>23</xdr:row>
      <xdr:rowOff>0</xdr:rowOff>
    </xdr:from>
    <xdr:to>
      <xdr:col>115</xdr:col>
      <xdr:colOff>66675</xdr:colOff>
      <xdr:row>23</xdr:row>
      <xdr:rowOff>9525</xdr:rowOff>
    </xdr:to>
    <xdr:sp macro="" textlink="">
      <xdr:nvSpPr>
        <xdr:cNvPr id="1069407" name="Line 334">
          <a:extLst>
            <a:ext uri="{FF2B5EF4-FFF2-40B4-BE49-F238E27FC236}">
              <a16:creationId xmlns:a16="http://schemas.microsoft.com/office/drawing/2014/main" id="{00000000-0008-0000-0C00-00005F511000}"/>
            </a:ext>
          </a:extLst>
        </xdr:cNvPr>
        <xdr:cNvSpPr>
          <a:spLocks noChangeShapeType="1"/>
        </xdr:cNvSpPr>
      </xdr:nvSpPr>
      <xdr:spPr bwMode="auto">
        <a:xfrm flipV="1">
          <a:off x="7850505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76200</xdr:colOff>
      <xdr:row>21</xdr:row>
      <xdr:rowOff>66675</xdr:rowOff>
    </xdr:from>
    <xdr:to>
      <xdr:col>116</xdr:col>
      <xdr:colOff>9525</xdr:colOff>
      <xdr:row>23</xdr:row>
      <xdr:rowOff>19050</xdr:rowOff>
    </xdr:to>
    <xdr:sp macro="" textlink="">
      <xdr:nvSpPr>
        <xdr:cNvPr id="1069408" name="Line 335">
          <a:extLst>
            <a:ext uri="{FF2B5EF4-FFF2-40B4-BE49-F238E27FC236}">
              <a16:creationId xmlns:a16="http://schemas.microsoft.com/office/drawing/2014/main" id="{00000000-0008-0000-0C00-000060511000}"/>
            </a:ext>
          </a:extLst>
        </xdr:cNvPr>
        <xdr:cNvSpPr>
          <a:spLocks noChangeShapeType="1"/>
        </xdr:cNvSpPr>
      </xdr:nvSpPr>
      <xdr:spPr bwMode="auto">
        <a:xfrm>
          <a:off x="78571725" y="44672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115</xdr:col>
      <xdr:colOff>0</xdr:colOff>
      <xdr:row>20</xdr:row>
      <xdr:rowOff>0</xdr:rowOff>
    </xdr:from>
    <xdr:to>
      <xdr:col>115</xdr:col>
      <xdr:colOff>76200</xdr:colOff>
      <xdr:row>20</xdr:row>
      <xdr:rowOff>9525</xdr:rowOff>
    </xdr:to>
    <xdr:sp macro="" textlink="">
      <xdr:nvSpPr>
        <xdr:cNvPr id="1069409" name="Line 336">
          <a:extLst>
            <a:ext uri="{FF2B5EF4-FFF2-40B4-BE49-F238E27FC236}">
              <a16:creationId xmlns:a16="http://schemas.microsoft.com/office/drawing/2014/main" id="{00000000-0008-0000-0C00-000061511000}"/>
            </a:ext>
          </a:extLst>
        </xdr:cNvPr>
        <xdr:cNvSpPr>
          <a:spLocks noChangeShapeType="1"/>
        </xdr:cNvSpPr>
      </xdr:nvSpPr>
      <xdr:spPr bwMode="auto">
        <a:xfrm>
          <a:off x="7849552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66675</xdr:colOff>
      <xdr:row>20</xdr:row>
      <xdr:rowOff>9525</xdr:rowOff>
    </xdr:from>
    <xdr:to>
      <xdr:col>115</xdr:col>
      <xdr:colOff>66675</xdr:colOff>
      <xdr:row>23</xdr:row>
      <xdr:rowOff>19050</xdr:rowOff>
    </xdr:to>
    <xdr:sp macro="" textlink="">
      <xdr:nvSpPr>
        <xdr:cNvPr id="1069410" name="Line 337">
          <a:extLst>
            <a:ext uri="{FF2B5EF4-FFF2-40B4-BE49-F238E27FC236}">
              <a16:creationId xmlns:a16="http://schemas.microsoft.com/office/drawing/2014/main" id="{00000000-0008-0000-0C00-000062511000}"/>
            </a:ext>
          </a:extLst>
        </xdr:cNvPr>
        <xdr:cNvSpPr>
          <a:spLocks noChangeShapeType="1"/>
        </xdr:cNvSpPr>
      </xdr:nvSpPr>
      <xdr:spPr bwMode="auto">
        <a:xfrm>
          <a:off x="7856220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9525</xdr:colOff>
      <xdr:row>23</xdr:row>
      <xdr:rowOff>0</xdr:rowOff>
    </xdr:from>
    <xdr:to>
      <xdr:col>115</xdr:col>
      <xdr:colOff>66675</xdr:colOff>
      <xdr:row>23</xdr:row>
      <xdr:rowOff>9525</xdr:rowOff>
    </xdr:to>
    <xdr:sp macro="" textlink="">
      <xdr:nvSpPr>
        <xdr:cNvPr id="1069411" name="Line 338">
          <a:extLst>
            <a:ext uri="{FF2B5EF4-FFF2-40B4-BE49-F238E27FC236}">
              <a16:creationId xmlns:a16="http://schemas.microsoft.com/office/drawing/2014/main" id="{00000000-0008-0000-0C00-000063511000}"/>
            </a:ext>
          </a:extLst>
        </xdr:cNvPr>
        <xdr:cNvSpPr>
          <a:spLocks noChangeShapeType="1"/>
        </xdr:cNvSpPr>
      </xdr:nvSpPr>
      <xdr:spPr bwMode="auto">
        <a:xfrm flipV="1">
          <a:off x="7850505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76200</xdr:colOff>
      <xdr:row>19</xdr:row>
      <xdr:rowOff>161925</xdr:rowOff>
    </xdr:from>
    <xdr:to>
      <xdr:col>116</xdr:col>
      <xdr:colOff>0</xdr:colOff>
      <xdr:row>21</xdr:row>
      <xdr:rowOff>47625</xdr:rowOff>
    </xdr:to>
    <xdr:sp macro="" textlink="">
      <xdr:nvSpPr>
        <xdr:cNvPr id="1069412" name="Line 339">
          <a:extLst>
            <a:ext uri="{FF2B5EF4-FFF2-40B4-BE49-F238E27FC236}">
              <a16:creationId xmlns:a16="http://schemas.microsoft.com/office/drawing/2014/main" id="{00000000-0008-0000-0C00-000064511000}"/>
            </a:ext>
          </a:extLst>
        </xdr:cNvPr>
        <xdr:cNvSpPr>
          <a:spLocks noChangeShapeType="1"/>
        </xdr:cNvSpPr>
      </xdr:nvSpPr>
      <xdr:spPr bwMode="auto">
        <a:xfrm flipV="1">
          <a:off x="78571725" y="4200525"/>
          <a:ext cx="333375"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112</xdr:col>
      <xdr:colOff>0</xdr:colOff>
      <xdr:row>20</xdr:row>
      <xdr:rowOff>0</xdr:rowOff>
    </xdr:from>
    <xdr:to>
      <xdr:col>112</xdr:col>
      <xdr:colOff>76200</xdr:colOff>
      <xdr:row>20</xdr:row>
      <xdr:rowOff>9525</xdr:rowOff>
    </xdr:to>
    <xdr:sp macro="" textlink="">
      <xdr:nvSpPr>
        <xdr:cNvPr id="1069413" name="Line 340">
          <a:extLst>
            <a:ext uri="{FF2B5EF4-FFF2-40B4-BE49-F238E27FC236}">
              <a16:creationId xmlns:a16="http://schemas.microsoft.com/office/drawing/2014/main" id="{00000000-0008-0000-0C00-000065511000}"/>
            </a:ext>
          </a:extLst>
        </xdr:cNvPr>
        <xdr:cNvSpPr>
          <a:spLocks noChangeShapeType="1"/>
        </xdr:cNvSpPr>
      </xdr:nvSpPr>
      <xdr:spPr bwMode="auto">
        <a:xfrm>
          <a:off x="7640002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112</xdr:col>
      <xdr:colOff>66675</xdr:colOff>
      <xdr:row>20</xdr:row>
      <xdr:rowOff>9525</xdr:rowOff>
    </xdr:from>
    <xdr:to>
      <xdr:col>112</xdr:col>
      <xdr:colOff>66675</xdr:colOff>
      <xdr:row>23</xdr:row>
      <xdr:rowOff>19050</xdr:rowOff>
    </xdr:to>
    <xdr:sp macro="" textlink="">
      <xdr:nvSpPr>
        <xdr:cNvPr id="1069414" name="Line 341">
          <a:extLst>
            <a:ext uri="{FF2B5EF4-FFF2-40B4-BE49-F238E27FC236}">
              <a16:creationId xmlns:a16="http://schemas.microsoft.com/office/drawing/2014/main" id="{00000000-0008-0000-0C00-000066511000}"/>
            </a:ext>
          </a:extLst>
        </xdr:cNvPr>
        <xdr:cNvSpPr>
          <a:spLocks noChangeShapeType="1"/>
        </xdr:cNvSpPr>
      </xdr:nvSpPr>
      <xdr:spPr bwMode="auto">
        <a:xfrm>
          <a:off x="7646670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112</xdr:col>
      <xdr:colOff>9525</xdr:colOff>
      <xdr:row>23</xdr:row>
      <xdr:rowOff>0</xdr:rowOff>
    </xdr:from>
    <xdr:to>
      <xdr:col>112</xdr:col>
      <xdr:colOff>66675</xdr:colOff>
      <xdr:row>23</xdr:row>
      <xdr:rowOff>9525</xdr:rowOff>
    </xdr:to>
    <xdr:sp macro="" textlink="">
      <xdr:nvSpPr>
        <xdr:cNvPr id="1069415" name="Line 342">
          <a:extLst>
            <a:ext uri="{FF2B5EF4-FFF2-40B4-BE49-F238E27FC236}">
              <a16:creationId xmlns:a16="http://schemas.microsoft.com/office/drawing/2014/main" id="{00000000-0008-0000-0C00-000067511000}"/>
            </a:ext>
          </a:extLst>
        </xdr:cNvPr>
        <xdr:cNvSpPr>
          <a:spLocks noChangeShapeType="1"/>
        </xdr:cNvSpPr>
      </xdr:nvSpPr>
      <xdr:spPr bwMode="auto">
        <a:xfrm flipV="1">
          <a:off x="7640955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109</xdr:col>
      <xdr:colOff>0</xdr:colOff>
      <xdr:row>26</xdr:row>
      <xdr:rowOff>0</xdr:rowOff>
    </xdr:from>
    <xdr:to>
      <xdr:col>109</xdr:col>
      <xdr:colOff>76200</xdr:colOff>
      <xdr:row>26</xdr:row>
      <xdr:rowOff>9525</xdr:rowOff>
    </xdr:to>
    <xdr:sp macro="" textlink="">
      <xdr:nvSpPr>
        <xdr:cNvPr id="1069416" name="Line 343">
          <a:extLst>
            <a:ext uri="{FF2B5EF4-FFF2-40B4-BE49-F238E27FC236}">
              <a16:creationId xmlns:a16="http://schemas.microsoft.com/office/drawing/2014/main" id="{00000000-0008-0000-0C00-000068511000}"/>
            </a:ext>
          </a:extLst>
        </xdr:cNvPr>
        <xdr:cNvSpPr>
          <a:spLocks noChangeShapeType="1"/>
        </xdr:cNvSpPr>
      </xdr:nvSpPr>
      <xdr:spPr bwMode="auto">
        <a:xfrm>
          <a:off x="7423785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109</xdr:col>
      <xdr:colOff>57150</xdr:colOff>
      <xdr:row>26</xdr:row>
      <xdr:rowOff>0</xdr:rowOff>
    </xdr:from>
    <xdr:to>
      <xdr:col>109</xdr:col>
      <xdr:colOff>57150</xdr:colOff>
      <xdr:row>29</xdr:row>
      <xdr:rowOff>9525</xdr:rowOff>
    </xdr:to>
    <xdr:sp macro="" textlink="">
      <xdr:nvSpPr>
        <xdr:cNvPr id="1069417" name="Line 344">
          <a:extLst>
            <a:ext uri="{FF2B5EF4-FFF2-40B4-BE49-F238E27FC236}">
              <a16:creationId xmlns:a16="http://schemas.microsoft.com/office/drawing/2014/main" id="{00000000-0008-0000-0C00-000069511000}"/>
            </a:ext>
          </a:extLst>
        </xdr:cNvPr>
        <xdr:cNvSpPr>
          <a:spLocks noChangeShapeType="1"/>
        </xdr:cNvSpPr>
      </xdr:nvSpPr>
      <xdr:spPr bwMode="auto">
        <a:xfrm flipH="1">
          <a:off x="74295000" y="5305425"/>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109</xdr:col>
      <xdr:colOff>9525</xdr:colOff>
      <xdr:row>29</xdr:row>
      <xdr:rowOff>0</xdr:rowOff>
    </xdr:from>
    <xdr:to>
      <xdr:col>109</xdr:col>
      <xdr:colOff>66675</xdr:colOff>
      <xdr:row>29</xdr:row>
      <xdr:rowOff>9525</xdr:rowOff>
    </xdr:to>
    <xdr:sp macro="" textlink="">
      <xdr:nvSpPr>
        <xdr:cNvPr id="1069418" name="Line 345">
          <a:extLst>
            <a:ext uri="{FF2B5EF4-FFF2-40B4-BE49-F238E27FC236}">
              <a16:creationId xmlns:a16="http://schemas.microsoft.com/office/drawing/2014/main" id="{00000000-0008-0000-0C00-00006A511000}"/>
            </a:ext>
          </a:extLst>
        </xdr:cNvPr>
        <xdr:cNvSpPr>
          <a:spLocks noChangeShapeType="1"/>
        </xdr:cNvSpPr>
      </xdr:nvSpPr>
      <xdr:spPr bwMode="auto">
        <a:xfrm flipV="1">
          <a:off x="7424737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112</xdr:col>
      <xdr:colOff>0</xdr:colOff>
      <xdr:row>26</xdr:row>
      <xdr:rowOff>0</xdr:rowOff>
    </xdr:from>
    <xdr:to>
      <xdr:col>112</xdr:col>
      <xdr:colOff>76200</xdr:colOff>
      <xdr:row>26</xdr:row>
      <xdr:rowOff>9525</xdr:rowOff>
    </xdr:to>
    <xdr:sp macro="" textlink="">
      <xdr:nvSpPr>
        <xdr:cNvPr id="1069419" name="Line 346">
          <a:extLst>
            <a:ext uri="{FF2B5EF4-FFF2-40B4-BE49-F238E27FC236}">
              <a16:creationId xmlns:a16="http://schemas.microsoft.com/office/drawing/2014/main" id="{00000000-0008-0000-0C00-00006B511000}"/>
            </a:ext>
          </a:extLst>
        </xdr:cNvPr>
        <xdr:cNvSpPr>
          <a:spLocks noChangeShapeType="1"/>
        </xdr:cNvSpPr>
      </xdr:nvSpPr>
      <xdr:spPr bwMode="auto">
        <a:xfrm>
          <a:off x="7640002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112</xdr:col>
      <xdr:colOff>66675</xdr:colOff>
      <xdr:row>26</xdr:row>
      <xdr:rowOff>9525</xdr:rowOff>
    </xdr:from>
    <xdr:to>
      <xdr:col>112</xdr:col>
      <xdr:colOff>66675</xdr:colOff>
      <xdr:row>29</xdr:row>
      <xdr:rowOff>19050</xdr:rowOff>
    </xdr:to>
    <xdr:sp macro="" textlink="">
      <xdr:nvSpPr>
        <xdr:cNvPr id="1069420" name="Line 347">
          <a:extLst>
            <a:ext uri="{FF2B5EF4-FFF2-40B4-BE49-F238E27FC236}">
              <a16:creationId xmlns:a16="http://schemas.microsoft.com/office/drawing/2014/main" id="{00000000-0008-0000-0C00-00006C511000}"/>
            </a:ext>
          </a:extLst>
        </xdr:cNvPr>
        <xdr:cNvSpPr>
          <a:spLocks noChangeShapeType="1"/>
        </xdr:cNvSpPr>
      </xdr:nvSpPr>
      <xdr:spPr bwMode="auto">
        <a:xfrm>
          <a:off x="7646670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112</xdr:col>
      <xdr:colOff>9525</xdr:colOff>
      <xdr:row>29</xdr:row>
      <xdr:rowOff>0</xdr:rowOff>
    </xdr:from>
    <xdr:to>
      <xdr:col>112</xdr:col>
      <xdr:colOff>66675</xdr:colOff>
      <xdr:row>29</xdr:row>
      <xdr:rowOff>9525</xdr:rowOff>
    </xdr:to>
    <xdr:sp macro="" textlink="">
      <xdr:nvSpPr>
        <xdr:cNvPr id="1069421" name="Line 348">
          <a:extLst>
            <a:ext uri="{FF2B5EF4-FFF2-40B4-BE49-F238E27FC236}">
              <a16:creationId xmlns:a16="http://schemas.microsoft.com/office/drawing/2014/main" id="{00000000-0008-0000-0C00-00006D511000}"/>
            </a:ext>
          </a:extLst>
        </xdr:cNvPr>
        <xdr:cNvSpPr>
          <a:spLocks noChangeShapeType="1"/>
        </xdr:cNvSpPr>
      </xdr:nvSpPr>
      <xdr:spPr bwMode="auto">
        <a:xfrm flipV="1">
          <a:off x="7640955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0</xdr:colOff>
      <xdr:row>26</xdr:row>
      <xdr:rowOff>0</xdr:rowOff>
    </xdr:from>
    <xdr:to>
      <xdr:col>115</xdr:col>
      <xdr:colOff>76200</xdr:colOff>
      <xdr:row>26</xdr:row>
      <xdr:rowOff>9525</xdr:rowOff>
    </xdr:to>
    <xdr:sp macro="" textlink="">
      <xdr:nvSpPr>
        <xdr:cNvPr id="1069422" name="Line 349">
          <a:extLst>
            <a:ext uri="{FF2B5EF4-FFF2-40B4-BE49-F238E27FC236}">
              <a16:creationId xmlns:a16="http://schemas.microsoft.com/office/drawing/2014/main" id="{00000000-0008-0000-0C00-00006E511000}"/>
            </a:ext>
          </a:extLst>
        </xdr:cNvPr>
        <xdr:cNvSpPr>
          <a:spLocks noChangeShapeType="1"/>
        </xdr:cNvSpPr>
      </xdr:nvSpPr>
      <xdr:spPr bwMode="auto">
        <a:xfrm>
          <a:off x="7849552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66675</xdr:colOff>
      <xdr:row>26</xdr:row>
      <xdr:rowOff>9525</xdr:rowOff>
    </xdr:from>
    <xdr:to>
      <xdr:col>115</xdr:col>
      <xdr:colOff>66675</xdr:colOff>
      <xdr:row>29</xdr:row>
      <xdr:rowOff>19050</xdr:rowOff>
    </xdr:to>
    <xdr:sp macro="" textlink="">
      <xdr:nvSpPr>
        <xdr:cNvPr id="1069423" name="Line 350">
          <a:extLst>
            <a:ext uri="{FF2B5EF4-FFF2-40B4-BE49-F238E27FC236}">
              <a16:creationId xmlns:a16="http://schemas.microsoft.com/office/drawing/2014/main" id="{00000000-0008-0000-0C00-00006F511000}"/>
            </a:ext>
          </a:extLst>
        </xdr:cNvPr>
        <xdr:cNvSpPr>
          <a:spLocks noChangeShapeType="1"/>
        </xdr:cNvSpPr>
      </xdr:nvSpPr>
      <xdr:spPr bwMode="auto">
        <a:xfrm>
          <a:off x="7856220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9525</xdr:colOff>
      <xdr:row>29</xdr:row>
      <xdr:rowOff>0</xdr:rowOff>
    </xdr:from>
    <xdr:to>
      <xdr:col>115</xdr:col>
      <xdr:colOff>66675</xdr:colOff>
      <xdr:row>29</xdr:row>
      <xdr:rowOff>9525</xdr:rowOff>
    </xdr:to>
    <xdr:sp macro="" textlink="">
      <xdr:nvSpPr>
        <xdr:cNvPr id="1069424" name="Line 351">
          <a:extLst>
            <a:ext uri="{FF2B5EF4-FFF2-40B4-BE49-F238E27FC236}">
              <a16:creationId xmlns:a16="http://schemas.microsoft.com/office/drawing/2014/main" id="{00000000-0008-0000-0C00-000070511000}"/>
            </a:ext>
          </a:extLst>
        </xdr:cNvPr>
        <xdr:cNvSpPr>
          <a:spLocks noChangeShapeType="1"/>
        </xdr:cNvSpPr>
      </xdr:nvSpPr>
      <xdr:spPr bwMode="auto">
        <a:xfrm flipV="1">
          <a:off x="7850505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0</xdr:colOff>
      <xdr:row>26</xdr:row>
      <xdr:rowOff>0</xdr:rowOff>
    </xdr:from>
    <xdr:to>
      <xdr:col>115</xdr:col>
      <xdr:colOff>76200</xdr:colOff>
      <xdr:row>26</xdr:row>
      <xdr:rowOff>9525</xdr:rowOff>
    </xdr:to>
    <xdr:sp macro="" textlink="">
      <xdr:nvSpPr>
        <xdr:cNvPr id="1069425" name="Line 352">
          <a:extLst>
            <a:ext uri="{FF2B5EF4-FFF2-40B4-BE49-F238E27FC236}">
              <a16:creationId xmlns:a16="http://schemas.microsoft.com/office/drawing/2014/main" id="{00000000-0008-0000-0C00-000071511000}"/>
            </a:ext>
          </a:extLst>
        </xdr:cNvPr>
        <xdr:cNvSpPr>
          <a:spLocks noChangeShapeType="1"/>
        </xdr:cNvSpPr>
      </xdr:nvSpPr>
      <xdr:spPr bwMode="auto">
        <a:xfrm>
          <a:off x="7849552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66675</xdr:colOff>
      <xdr:row>26</xdr:row>
      <xdr:rowOff>9525</xdr:rowOff>
    </xdr:from>
    <xdr:to>
      <xdr:col>115</xdr:col>
      <xdr:colOff>66675</xdr:colOff>
      <xdr:row>29</xdr:row>
      <xdr:rowOff>19050</xdr:rowOff>
    </xdr:to>
    <xdr:sp macro="" textlink="">
      <xdr:nvSpPr>
        <xdr:cNvPr id="1069426" name="Line 353">
          <a:extLst>
            <a:ext uri="{FF2B5EF4-FFF2-40B4-BE49-F238E27FC236}">
              <a16:creationId xmlns:a16="http://schemas.microsoft.com/office/drawing/2014/main" id="{00000000-0008-0000-0C00-000072511000}"/>
            </a:ext>
          </a:extLst>
        </xdr:cNvPr>
        <xdr:cNvSpPr>
          <a:spLocks noChangeShapeType="1"/>
        </xdr:cNvSpPr>
      </xdr:nvSpPr>
      <xdr:spPr bwMode="auto">
        <a:xfrm>
          <a:off x="7856220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9525</xdr:colOff>
      <xdr:row>29</xdr:row>
      <xdr:rowOff>0</xdr:rowOff>
    </xdr:from>
    <xdr:to>
      <xdr:col>115</xdr:col>
      <xdr:colOff>66675</xdr:colOff>
      <xdr:row>29</xdr:row>
      <xdr:rowOff>9525</xdr:rowOff>
    </xdr:to>
    <xdr:sp macro="" textlink="">
      <xdr:nvSpPr>
        <xdr:cNvPr id="1069427" name="Line 354">
          <a:extLst>
            <a:ext uri="{FF2B5EF4-FFF2-40B4-BE49-F238E27FC236}">
              <a16:creationId xmlns:a16="http://schemas.microsoft.com/office/drawing/2014/main" id="{00000000-0008-0000-0C00-000073511000}"/>
            </a:ext>
          </a:extLst>
        </xdr:cNvPr>
        <xdr:cNvSpPr>
          <a:spLocks noChangeShapeType="1"/>
        </xdr:cNvSpPr>
      </xdr:nvSpPr>
      <xdr:spPr bwMode="auto">
        <a:xfrm flipV="1">
          <a:off x="7850505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66675</xdr:colOff>
      <xdr:row>27</xdr:row>
      <xdr:rowOff>114300</xdr:rowOff>
    </xdr:from>
    <xdr:to>
      <xdr:col>116</xdr:col>
      <xdr:colOff>0</xdr:colOff>
      <xdr:row>29</xdr:row>
      <xdr:rowOff>0</xdr:rowOff>
    </xdr:to>
    <xdr:sp macro="" textlink="">
      <xdr:nvSpPr>
        <xdr:cNvPr id="1069428" name="Line 355">
          <a:extLst>
            <a:ext uri="{FF2B5EF4-FFF2-40B4-BE49-F238E27FC236}">
              <a16:creationId xmlns:a16="http://schemas.microsoft.com/office/drawing/2014/main" id="{00000000-0008-0000-0C00-000074511000}"/>
            </a:ext>
          </a:extLst>
        </xdr:cNvPr>
        <xdr:cNvSpPr>
          <a:spLocks noChangeShapeType="1"/>
        </xdr:cNvSpPr>
      </xdr:nvSpPr>
      <xdr:spPr bwMode="auto">
        <a:xfrm>
          <a:off x="78562200" y="5600700"/>
          <a:ext cx="342900" cy="2476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115</xdr:col>
      <xdr:colOff>0</xdr:colOff>
      <xdr:row>26</xdr:row>
      <xdr:rowOff>0</xdr:rowOff>
    </xdr:from>
    <xdr:to>
      <xdr:col>115</xdr:col>
      <xdr:colOff>76200</xdr:colOff>
      <xdr:row>26</xdr:row>
      <xdr:rowOff>9525</xdr:rowOff>
    </xdr:to>
    <xdr:sp macro="" textlink="">
      <xdr:nvSpPr>
        <xdr:cNvPr id="1069429" name="Line 356">
          <a:extLst>
            <a:ext uri="{FF2B5EF4-FFF2-40B4-BE49-F238E27FC236}">
              <a16:creationId xmlns:a16="http://schemas.microsoft.com/office/drawing/2014/main" id="{00000000-0008-0000-0C00-000075511000}"/>
            </a:ext>
          </a:extLst>
        </xdr:cNvPr>
        <xdr:cNvSpPr>
          <a:spLocks noChangeShapeType="1"/>
        </xdr:cNvSpPr>
      </xdr:nvSpPr>
      <xdr:spPr bwMode="auto">
        <a:xfrm>
          <a:off x="7849552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9525</xdr:colOff>
      <xdr:row>29</xdr:row>
      <xdr:rowOff>0</xdr:rowOff>
    </xdr:from>
    <xdr:to>
      <xdr:col>115</xdr:col>
      <xdr:colOff>66675</xdr:colOff>
      <xdr:row>29</xdr:row>
      <xdr:rowOff>9525</xdr:rowOff>
    </xdr:to>
    <xdr:sp macro="" textlink="">
      <xdr:nvSpPr>
        <xdr:cNvPr id="1069430" name="Line 358">
          <a:extLst>
            <a:ext uri="{FF2B5EF4-FFF2-40B4-BE49-F238E27FC236}">
              <a16:creationId xmlns:a16="http://schemas.microsoft.com/office/drawing/2014/main" id="{00000000-0008-0000-0C00-000076511000}"/>
            </a:ext>
          </a:extLst>
        </xdr:cNvPr>
        <xdr:cNvSpPr>
          <a:spLocks noChangeShapeType="1"/>
        </xdr:cNvSpPr>
      </xdr:nvSpPr>
      <xdr:spPr bwMode="auto">
        <a:xfrm flipV="1">
          <a:off x="7850505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66675</xdr:colOff>
      <xdr:row>25</xdr:row>
      <xdr:rowOff>161925</xdr:rowOff>
    </xdr:from>
    <xdr:to>
      <xdr:col>115</xdr:col>
      <xdr:colOff>400050</xdr:colOff>
      <xdr:row>27</xdr:row>
      <xdr:rowOff>114300</xdr:rowOff>
    </xdr:to>
    <xdr:sp macro="" textlink="">
      <xdr:nvSpPr>
        <xdr:cNvPr id="1069431" name="Line 359">
          <a:extLst>
            <a:ext uri="{FF2B5EF4-FFF2-40B4-BE49-F238E27FC236}">
              <a16:creationId xmlns:a16="http://schemas.microsoft.com/office/drawing/2014/main" id="{00000000-0008-0000-0C00-000077511000}"/>
            </a:ext>
          </a:extLst>
        </xdr:cNvPr>
        <xdr:cNvSpPr>
          <a:spLocks noChangeShapeType="1"/>
        </xdr:cNvSpPr>
      </xdr:nvSpPr>
      <xdr:spPr bwMode="auto">
        <a:xfrm flipV="1">
          <a:off x="78562200" y="5286375"/>
          <a:ext cx="333375" cy="3143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112</xdr:col>
      <xdr:colOff>0</xdr:colOff>
      <xdr:row>26</xdr:row>
      <xdr:rowOff>0</xdr:rowOff>
    </xdr:from>
    <xdr:to>
      <xdr:col>112</xdr:col>
      <xdr:colOff>76200</xdr:colOff>
      <xdr:row>26</xdr:row>
      <xdr:rowOff>9525</xdr:rowOff>
    </xdr:to>
    <xdr:sp macro="" textlink="">
      <xdr:nvSpPr>
        <xdr:cNvPr id="1069432" name="Line 360">
          <a:extLst>
            <a:ext uri="{FF2B5EF4-FFF2-40B4-BE49-F238E27FC236}">
              <a16:creationId xmlns:a16="http://schemas.microsoft.com/office/drawing/2014/main" id="{00000000-0008-0000-0C00-000078511000}"/>
            </a:ext>
          </a:extLst>
        </xdr:cNvPr>
        <xdr:cNvSpPr>
          <a:spLocks noChangeShapeType="1"/>
        </xdr:cNvSpPr>
      </xdr:nvSpPr>
      <xdr:spPr bwMode="auto">
        <a:xfrm>
          <a:off x="7640002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112</xdr:col>
      <xdr:colOff>57150</xdr:colOff>
      <xdr:row>26</xdr:row>
      <xdr:rowOff>9525</xdr:rowOff>
    </xdr:from>
    <xdr:to>
      <xdr:col>112</xdr:col>
      <xdr:colOff>66675</xdr:colOff>
      <xdr:row>29</xdr:row>
      <xdr:rowOff>0</xdr:rowOff>
    </xdr:to>
    <xdr:sp macro="" textlink="">
      <xdr:nvSpPr>
        <xdr:cNvPr id="1069433" name="Line 361">
          <a:extLst>
            <a:ext uri="{FF2B5EF4-FFF2-40B4-BE49-F238E27FC236}">
              <a16:creationId xmlns:a16="http://schemas.microsoft.com/office/drawing/2014/main" id="{00000000-0008-0000-0C00-000079511000}"/>
            </a:ext>
          </a:extLst>
        </xdr:cNvPr>
        <xdr:cNvSpPr>
          <a:spLocks noChangeShapeType="1"/>
        </xdr:cNvSpPr>
      </xdr:nvSpPr>
      <xdr:spPr bwMode="auto">
        <a:xfrm flipH="1">
          <a:off x="76457175" y="5314950"/>
          <a:ext cx="9525"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112</xdr:col>
      <xdr:colOff>9525</xdr:colOff>
      <xdr:row>29</xdr:row>
      <xdr:rowOff>0</xdr:rowOff>
    </xdr:from>
    <xdr:to>
      <xdr:col>112</xdr:col>
      <xdr:colOff>66675</xdr:colOff>
      <xdr:row>29</xdr:row>
      <xdr:rowOff>9525</xdr:rowOff>
    </xdr:to>
    <xdr:sp macro="" textlink="">
      <xdr:nvSpPr>
        <xdr:cNvPr id="1069434" name="Line 362">
          <a:extLst>
            <a:ext uri="{FF2B5EF4-FFF2-40B4-BE49-F238E27FC236}">
              <a16:creationId xmlns:a16="http://schemas.microsoft.com/office/drawing/2014/main" id="{00000000-0008-0000-0C00-00007A511000}"/>
            </a:ext>
          </a:extLst>
        </xdr:cNvPr>
        <xdr:cNvSpPr>
          <a:spLocks noChangeShapeType="1"/>
        </xdr:cNvSpPr>
      </xdr:nvSpPr>
      <xdr:spPr bwMode="auto">
        <a:xfrm flipV="1">
          <a:off x="7640955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109</xdr:col>
      <xdr:colOff>66675</xdr:colOff>
      <xdr:row>27</xdr:row>
      <xdr:rowOff>85725</xdr:rowOff>
    </xdr:from>
    <xdr:to>
      <xdr:col>110</xdr:col>
      <xdr:colOff>9525</xdr:colOff>
      <xdr:row>32</xdr:row>
      <xdr:rowOff>19050</xdr:rowOff>
    </xdr:to>
    <xdr:sp macro="" textlink="">
      <xdr:nvSpPr>
        <xdr:cNvPr id="1069435" name="Line 363">
          <a:extLst>
            <a:ext uri="{FF2B5EF4-FFF2-40B4-BE49-F238E27FC236}">
              <a16:creationId xmlns:a16="http://schemas.microsoft.com/office/drawing/2014/main" id="{00000000-0008-0000-0C00-00007B511000}"/>
            </a:ext>
          </a:extLst>
        </xdr:cNvPr>
        <xdr:cNvSpPr>
          <a:spLocks noChangeShapeType="1"/>
        </xdr:cNvSpPr>
      </xdr:nvSpPr>
      <xdr:spPr bwMode="auto">
        <a:xfrm>
          <a:off x="74304525" y="5572125"/>
          <a:ext cx="39052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112</xdr:col>
      <xdr:colOff>57150</xdr:colOff>
      <xdr:row>27</xdr:row>
      <xdr:rowOff>76200</xdr:rowOff>
    </xdr:from>
    <xdr:to>
      <xdr:col>112</xdr:col>
      <xdr:colOff>400050</xdr:colOff>
      <xdr:row>32</xdr:row>
      <xdr:rowOff>28575</xdr:rowOff>
    </xdr:to>
    <xdr:sp macro="" textlink="">
      <xdr:nvSpPr>
        <xdr:cNvPr id="1069436" name="Line 364">
          <a:extLst>
            <a:ext uri="{FF2B5EF4-FFF2-40B4-BE49-F238E27FC236}">
              <a16:creationId xmlns:a16="http://schemas.microsoft.com/office/drawing/2014/main" id="{00000000-0008-0000-0C00-00007C511000}"/>
            </a:ext>
          </a:extLst>
        </xdr:cNvPr>
        <xdr:cNvSpPr>
          <a:spLocks noChangeShapeType="1"/>
        </xdr:cNvSpPr>
      </xdr:nvSpPr>
      <xdr:spPr bwMode="auto">
        <a:xfrm>
          <a:off x="76457175" y="5562600"/>
          <a:ext cx="342900" cy="8572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109</xdr:col>
      <xdr:colOff>66675</xdr:colOff>
      <xdr:row>11</xdr:row>
      <xdr:rowOff>28575</xdr:rowOff>
    </xdr:from>
    <xdr:to>
      <xdr:col>109</xdr:col>
      <xdr:colOff>428625</xdr:colOff>
      <xdr:row>15</xdr:row>
      <xdr:rowOff>95250</xdr:rowOff>
    </xdr:to>
    <xdr:sp macro="" textlink="">
      <xdr:nvSpPr>
        <xdr:cNvPr id="1069437" name="Line 388">
          <a:extLst>
            <a:ext uri="{FF2B5EF4-FFF2-40B4-BE49-F238E27FC236}">
              <a16:creationId xmlns:a16="http://schemas.microsoft.com/office/drawing/2014/main" id="{00000000-0008-0000-0C00-00007D511000}"/>
            </a:ext>
          </a:extLst>
        </xdr:cNvPr>
        <xdr:cNvSpPr>
          <a:spLocks noChangeShapeType="1"/>
        </xdr:cNvSpPr>
      </xdr:nvSpPr>
      <xdr:spPr bwMode="auto">
        <a:xfrm flipV="1">
          <a:off x="74304525" y="2619375"/>
          <a:ext cx="361950" cy="7905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109</xdr:col>
      <xdr:colOff>66675</xdr:colOff>
      <xdr:row>15</xdr:row>
      <xdr:rowOff>95250</xdr:rowOff>
    </xdr:from>
    <xdr:to>
      <xdr:col>110</xdr:col>
      <xdr:colOff>0</xdr:colOff>
      <xdr:row>19</xdr:row>
      <xdr:rowOff>171450</xdr:rowOff>
    </xdr:to>
    <xdr:sp macro="" textlink="">
      <xdr:nvSpPr>
        <xdr:cNvPr id="1069438" name="Line 389">
          <a:extLst>
            <a:ext uri="{FF2B5EF4-FFF2-40B4-BE49-F238E27FC236}">
              <a16:creationId xmlns:a16="http://schemas.microsoft.com/office/drawing/2014/main" id="{00000000-0008-0000-0C00-00007E511000}"/>
            </a:ext>
          </a:extLst>
        </xdr:cNvPr>
        <xdr:cNvSpPr>
          <a:spLocks noChangeShapeType="1"/>
        </xdr:cNvSpPr>
      </xdr:nvSpPr>
      <xdr:spPr bwMode="auto">
        <a:xfrm>
          <a:off x="74304525" y="3409950"/>
          <a:ext cx="3810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109</xdr:col>
      <xdr:colOff>66675</xdr:colOff>
      <xdr:row>21</xdr:row>
      <xdr:rowOff>57150</xdr:rowOff>
    </xdr:from>
    <xdr:to>
      <xdr:col>110</xdr:col>
      <xdr:colOff>0</xdr:colOff>
      <xdr:row>26</xdr:row>
      <xdr:rowOff>19050</xdr:rowOff>
    </xdr:to>
    <xdr:sp macro="" textlink="">
      <xdr:nvSpPr>
        <xdr:cNvPr id="1069439" name="Line 390">
          <a:extLst>
            <a:ext uri="{FF2B5EF4-FFF2-40B4-BE49-F238E27FC236}">
              <a16:creationId xmlns:a16="http://schemas.microsoft.com/office/drawing/2014/main" id="{00000000-0008-0000-0C00-00007F511000}"/>
            </a:ext>
          </a:extLst>
        </xdr:cNvPr>
        <xdr:cNvSpPr>
          <a:spLocks noChangeShapeType="1"/>
        </xdr:cNvSpPr>
      </xdr:nvSpPr>
      <xdr:spPr bwMode="auto">
        <a:xfrm>
          <a:off x="74304525" y="4457700"/>
          <a:ext cx="38100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109</xdr:col>
      <xdr:colOff>66675</xdr:colOff>
      <xdr:row>16</xdr:row>
      <xdr:rowOff>152400</xdr:rowOff>
    </xdr:from>
    <xdr:to>
      <xdr:col>109</xdr:col>
      <xdr:colOff>438150</xdr:colOff>
      <xdr:row>21</xdr:row>
      <xdr:rowOff>85725</xdr:rowOff>
    </xdr:to>
    <xdr:sp macro="" textlink="">
      <xdr:nvSpPr>
        <xdr:cNvPr id="1069440" name="Line 391">
          <a:extLst>
            <a:ext uri="{FF2B5EF4-FFF2-40B4-BE49-F238E27FC236}">
              <a16:creationId xmlns:a16="http://schemas.microsoft.com/office/drawing/2014/main" id="{00000000-0008-0000-0C00-000080511000}"/>
            </a:ext>
          </a:extLst>
        </xdr:cNvPr>
        <xdr:cNvSpPr>
          <a:spLocks noChangeShapeType="1"/>
        </xdr:cNvSpPr>
      </xdr:nvSpPr>
      <xdr:spPr bwMode="auto">
        <a:xfrm flipV="1">
          <a:off x="74304525" y="3648075"/>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109</xdr:col>
      <xdr:colOff>66675</xdr:colOff>
      <xdr:row>22</xdr:row>
      <xdr:rowOff>152400</xdr:rowOff>
    </xdr:from>
    <xdr:to>
      <xdr:col>110</xdr:col>
      <xdr:colOff>0</xdr:colOff>
      <xdr:row>27</xdr:row>
      <xdr:rowOff>76200</xdr:rowOff>
    </xdr:to>
    <xdr:sp macro="" textlink="">
      <xdr:nvSpPr>
        <xdr:cNvPr id="1069441" name="Line 392">
          <a:extLst>
            <a:ext uri="{FF2B5EF4-FFF2-40B4-BE49-F238E27FC236}">
              <a16:creationId xmlns:a16="http://schemas.microsoft.com/office/drawing/2014/main" id="{00000000-0008-0000-0C00-000081511000}"/>
            </a:ext>
          </a:extLst>
        </xdr:cNvPr>
        <xdr:cNvSpPr>
          <a:spLocks noChangeShapeType="1"/>
        </xdr:cNvSpPr>
      </xdr:nvSpPr>
      <xdr:spPr bwMode="auto">
        <a:xfrm flipV="1">
          <a:off x="74304525" y="4733925"/>
          <a:ext cx="381000" cy="8286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112</xdr:col>
      <xdr:colOff>76200</xdr:colOff>
      <xdr:row>11</xdr:row>
      <xdr:rowOff>19050</xdr:rowOff>
    </xdr:from>
    <xdr:to>
      <xdr:col>112</xdr:col>
      <xdr:colOff>400050</xdr:colOff>
      <xdr:row>15</xdr:row>
      <xdr:rowOff>57150</xdr:rowOff>
    </xdr:to>
    <xdr:sp macro="" textlink="">
      <xdr:nvSpPr>
        <xdr:cNvPr id="1069442" name="Line 394">
          <a:extLst>
            <a:ext uri="{FF2B5EF4-FFF2-40B4-BE49-F238E27FC236}">
              <a16:creationId xmlns:a16="http://schemas.microsoft.com/office/drawing/2014/main" id="{00000000-0008-0000-0C00-000082511000}"/>
            </a:ext>
          </a:extLst>
        </xdr:cNvPr>
        <xdr:cNvSpPr>
          <a:spLocks noChangeShapeType="1"/>
        </xdr:cNvSpPr>
      </xdr:nvSpPr>
      <xdr:spPr bwMode="auto">
        <a:xfrm flipV="1">
          <a:off x="76476225" y="2609850"/>
          <a:ext cx="323850" cy="762000"/>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112</xdr:col>
      <xdr:colOff>76200</xdr:colOff>
      <xdr:row>16</xdr:row>
      <xdr:rowOff>171450</xdr:rowOff>
    </xdr:from>
    <xdr:to>
      <xdr:col>113</xdr:col>
      <xdr:colOff>0</xdr:colOff>
      <xdr:row>21</xdr:row>
      <xdr:rowOff>57150</xdr:rowOff>
    </xdr:to>
    <xdr:sp macro="" textlink="">
      <xdr:nvSpPr>
        <xdr:cNvPr id="1069443" name="Line 395">
          <a:extLst>
            <a:ext uri="{FF2B5EF4-FFF2-40B4-BE49-F238E27FC236}">
              <a16:creationId xmlns:a16="http://schemas.microsoft.com/office/drawing/2014/main" id="{00000000-0008-0000-0C00-000083511000}"/>
            </a:ext>
          </a:extLst>
        </xdr:cNvPr>
        <xdr:cNvSpPr>
          <a:spLocks noChangeShapeType="1"/>
        </xdr:cNvSpPr>
      </xdr:nvSpPr>
      <xdr:spPr bwMode="auto">
        <a:xfrm flipV="1">
          <a:off x="76476225" y="3667125"/>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112</xdr:col>
      <xdr:colOff>66675</xdr:colOff>
      <xdr:row>22</xdr:row>
      <xdr:rowOff>142875</xdr:rowOff>
    </xdr:from>
    <xdr:to>
      <xdr:col>113</xdr:col>
      <xdr:colOff>0</xdr:colOff>
      <xdr:row>27</xdr:row>
      <xdr:rowOff>66675</xdr:rowOff>
    </xdr:to>
    <xdr:sp macro="" textlink="">
      <xdr:nvSpPr>
        <xdr:cNvPr id="1069444" name="Line 396">
          <a:extLst>
            <a:ext uri="{FF2B5EF4-FFF2-40B4-BE49-F238E27FC236}">
              <a16:creationId xmlns:a16="http://schemas.microsoft.com/office/drawing/2014/main" id="{00000000-0008-0000-0C00-000084511000}"/>
            </a:ext>
          </a:extLst>
        </xdr:cNvPr>
        <xdr:cNvSpPr>
          <a:spLocks noChangeShapeType="1"/>
        </xdr:cNvSpPr>
      </xdr:nvSpPr>
      <xdr:spPr bwMode="auto">
        <a:xfrm flipV="1">
          <a:off x="76466700" y="4724400"/>
          <a:ext cx="342900" cy="8286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112</xdr:col>
      <xdr:colOff>66675</xdr:colOff>
      <xdr:row>15</xdr:row>
      <xdr:rowOff>85725</xdr:rowOff>
    </xdr:from>
    <xdr:to>
      <xdr:col>113</xdr:col>
      <xdr:colOff>0</xdr:colOff>
      <xdr:row>20</xdr:row>
      <xdr:rowOff>9525</xdr:rowOff>
    </xdr:to>
    <xdr:sp macro="" textlink="">
      <xdr:nvSpPr>
        <xdr:cNvPr id="1069445" name="Line 398">
          <a:extLst>
            <a:ext uri="{FF2B5EF4-FFF2-40B4-BE49-F238E27FC236}">
              <a16:creationId xmlns:a16="http://schemas.microsoft.com/office/drawing/2014/main" id="{00000000-0008-0000-0C00-000085511000}"/>
            </a:ext>
          </a:extLst>
        </xdr:cNvPr>
        <xdr:cNvSpPr>
          <a:spLocks noChangeShapeType="1"/>
        </xdr:cNvSpPr>
      </xdr:nvSpPr>
      <xdr:spPr bwMode="auto">
        <a:xfrm>
          <a:off x="76466700" y="3400425"/>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112</xdr:col>
      <xdr:colOff>76200</xdr:colOff>
      <xdr:row>21</xdr:row>
      <xdr:rowOff>57150</xdr:rowOff>
    </xdr:from>
    <xdr:to>
      <xdr:col>113</xdr:col>
      <xdr:colOff>0</xdr:colOff>
      <xdr:row>26</xdr:row>
      <xdr:rowOff>28575</xdr:rowOff>
    </xdr:to>
    <xdr:sp macro="" textlink="">
      <xdr:nvSpPr>
        <xdr:cNvPr id="1069446" name="Line 399">
          <a:extLst>
            <a:ext uri="{FF2B5EF4-FFF2-40B4-BE49-F238E27FC236}">
              <a16:creationId xmlns:a16="http://schemas.microsoft.com/office/drawing/2014/main" id="{00000000-0008-0000-0C00-000086511000}"/>
            </a:ext>
          </a:extLst>
        </xdr:cNvPr>
        <xdr:cNvSpPr>
          <a:spLocks noChangeShapeType="1"/>
        </xdr:cNvSpPr>
      </xdr:nvSpPr>
      <xdr:spPr bwMode="auto">
        <a:xfrm>
          <a:off x="76476225" y="4457700"/>
          <a:ext cx="333375" cy="8763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109</xdr:col>
      <xdr:colOff>0</xdr:colOff>
      <xdr:row>32</xdr:row>
      <xdr:rowOff>0</xdr:rowOff>
    </xdr:from>
    <xdr:to>
      <xdr:col>109</xdr:col>
      <xdr:colOff>76200</xdr:colOff>
      <xdr:row>32</xdr:row>
      <xdr:rowOff>9525</xdr:rowOff>
    </xdr:to>
    <xdr:sp macro="" textlink="">
      <xdr:nvSpPr>
        <xdr:cNvPr id="1069447" name="Line 343">
          <a:extLst>
            <a:ext uri="{FF2B5EF4-FFF2-40B4-BE49-F238E27FC236}">
              <a16:creationId xmlns:a16="http://schemas.microsoft.com/office/drawing/2014/main" id="{00000000-0008-0000-0C00-000087511000}"/>
            </a:ext>
          </a:extLst>
        </xdr:cNvPr>
        <xdr:cNvSpPr>
          <a:spLocks noChangeShapeType="1"/>
        </xdr:cNvSpPr>
      </xdr:nvSpPr>
      <xdr:spPr bwMode="auto">
        <a:xfrm>
          <a:off x="7423785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112</xdr:col>
      <xdr:colOff>0</xdr:colOff>
      <xdr:row>32</xdr:row>
      <xdr:rowOff>0</xdr:rowOff>
    </xdr:from>
    <xdr:to>
      <xdr:col>112</xdr:col>
      <xdr:colOff>76200</xdr:colOff>
      <xdr:row>32</xdr:row>
      <xdr:rowOff>9525</xdr:rowOff>
    </xdr:to>
    <xdr:sp macro="" textlink="">
      <xdr:nvSpPr>
        <xdr:cNvPr id="1069448" name="Line 346">
          <a:extLst>
            <a:ext uri="{FF2B5EF4-FFF2-40B4-BE49-F238E27FC236}">
              <a16:creationId xmlns:a16="http://schemas.microsoft.com/office/drawing/2014/main" id="{00000000-0008-0000-0C00-000088511000}"/>
            </a:ext>
          </a:extLst>
        </xdr:cNvPr>
        <xdr:cNvSpPr>
          <a:spLocks noChangeShapeType="1"/>
        </xdr:cNvSpPr>
      </xdr:nvSpPr>
      <xdr:spPr bwMode="auto">
        <a:xfrm>
          <a:off x="7640002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0</xdr:colOff>
      <xdr:row>32</xdr:row>
      <xdr:rowOff>0</xdr:rowOff>
    </xdr:from>
    <xdr:to>
      <xdr:col>115</xdr:col>
      <xdr:colOff>76200</xdr:colOff>
      <xdr:row>32</xdr:row>
      <xdr:rowOff>9525</xdr:rowOff>
    </xdr:to>
    <xdr:sp macro="" textlink="">
      <xdr:nvSpPr>
        <xdr:cNvPr id="1069449" name="Line 349">
          <a:extLst>
            <a:ext uri="{FF2B5EF4-FFF2-40B4-BE49-F238E27FC236}">
              <a16:creationId xmlns:a16="http://schemas.microsoft.com/office/drawing/2014/main" id="{00000000-0008-0000-0C00-000089511000}"/>
            </a:ext>
          </a:extLst>
        </xdr:cNvPr>
        <xdr:cNvSpPr>
          <a:spLocks noChangeShapeType="1"/>
        </xdr:cNvSpPr>
      </xdr:nvSpPr>
      <xdr:spPr bwMode="auto">
        <a:xfrm>
          <a:off x="7849552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0</xdr:colOff>
      <xdr:row>32</xdr:row>
      <xdr:rowOff>0</xdr:rowOff>
    </xdr:from>
    <xdr:to>
      <xdr:col>115</xdr:col>
      <xdr:colOff>76200</xdr:colOff>
      <xdr:row>32</xdr:row>
      <xdr:rowOff>9525</xdr:rowOff>
    </xdr:to>
    <xdr:sp macro="" textlink="">
      <xdr:nvSpPr>
        <xdr:cNvPr id="1069450" name="Line 352">
          <a:extLst>
            <a:ext uri="{FF2B5EF4-FFF2-40B4-BE49-F238E27FC236}">
              <a16:creationId xmlns:a16="http://schemas.microsoft.com/office/drawing/2014/main" id="{00000000-0008-0000-0C00-00008A511000}"/>
            </a:ext>
          </a:extLst>
        </xdr:cNvPr>
        <xdr:cNvSpPr>
          <a:spLocks noChangeShapeType="1"/>
        </xdr:cNvSpPr>
      </xdr:nvSpPr>
      <xdr:spPr bwMode="auto">
        <a:xfrm>
          <a:off x="7849552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0</xdr:colOff>
      <xdr:row>32</xdr:row>
      <xdr:rowOff>0</xdr:rowOff>
    </xdr:from>
    <xdr:to>
      <xdr:col>115</xdr:col>
      <xdr:colOff>76200</xdr:colOff>
      <xdr:row>32</xdr:row>
      <xdr:rowOff>9525</xdr:rowOff>
    </xdr:to>
    <xdr:sp macro="" textlink="">
      <xdr:nvSpPr>
        <xdr:cNvPr id="1069451" name="Line 356">
          <a:extLst>
            <a:ext uri="{FF2B5EF4-FFF2-40B4-BE49-F238E27FC236}">
              <a16:creationId xmlns:a16="http://schemas.microsoft.com/office/drawing/2014/main" id="{00000000-0008-0000-0C00-00008B511000}"/>
            </a:ext>
          </a:extLst>
        </xdr:cNvPr>
        <xdr:cNvSpPr>
          <a:spLocks noChangeShapeType="1"/>
        </xdr:cNvSpPr>
      </xdr:nvSpPr>
      <xdr:spPr bwMode="auto">
        <a:xfrm>
          <a:off x="7849552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66675</xdr:colOff>
      <xdr:row>32</xdr:row>
      <xdr:rowOff>0</xdr:rowOff>
    </xdr:from>
    <xdr:to>
      <xdr:col>115</xdr:col>
      <xdr:colOff>400050</xdr:colOff>
      <xdr:row>33</xdr:row>
      <xdr:rowOff>114300</xdr:rowOff>
    </xdr:to>
    <xdr:sp macro="" textlink="">
      <xdr:nvSpPr>
        <xdr:cNvPr id="1069452" name="Line 359">
          <a:extLst>
            <a:ext uri="{FF2B5EF4-FFF2-40B4-BE49-F238E27FC236}">
              <a16:creationId xmlns:a16="http://schemas.microsoft.com/office/drawing/2014/main" id="{00000000-0008-0000-0C00-00008C511000}"/>
            </a:ext>
          </a:extLst>
        </xdr:cNvPr>
        <xdr:cNvSpPr>
          <a:spLocks noChangeShapeType="1"/>
        </xdr:cNvSpPr>
      </xdr:nvSpPr>
      <xdr:spPr bwMode="auto">
        <a:xfrm flipV="1">
          <a:off x="78562200" y="6391275"/>
          <a:ext cx="333375" cy="2952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112</xdr:col>
      <xdr:colOff>0</xdr:colOff>
      <xdr:row>32</xdr:row>
      <xdr:rowOff>0</xdr:rowOff>
    </xdr:from>
    <xdr:to>
      <xdr:col>112</xdr:col>
      <xdr:colOff>76200</xdr:colOff>
      <xdr:row>32</xdr:row>
      <xdr:rowOff>9525</xdr:rowOff>
    </xdr:to>
    <xdr:sp macro="" textlink="">
      <xdr:nvSpPr>
        <xdr:cNvPr id="1069453" name="Line 360">
          <a:extLst>
            <a:ext uri="{FF2B5EF4-FFF2-40B4-BE49-F238E27FC236}">
              <a16:creationId xmlns:a16="http://schemas.microsoft.com/office/drawing/2014/main" id="{00000000-0008-0000-0C00-00008D511000}"/>
            </a:ext>
          </a:extLst>
        </xdr:cNvPr>
        <xdr:cNvSpPr>
          <a:spLocks noChangeShapeType="1"/>
        </xdr:cNvSpPr>
      </xdr:nvSpPr>
      <xdr:spPr bwMode="auto">
        <a:xfrm>
          <a:off x="7640002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109</xdr:col>
      <xdr:colOff>9525</xdr:colOff>
      <xdr:row>35</xdr:row>
      <xdr:rowOff>0</xdr:rowOff>
    </xdr:from>
    <xdr:to>
      <xdr:col>109</xdr:col>
      <xdr:colOff>66675</xdr:colOff>
      <xdr:row>35</xdr:row>
      <xdr:rowOff>9525</xdr:rowOff>
    </xdr:to>
    <xdr:sp macro="" textlink="">
      <xdr:nvSpPr>
        <xdr:cNvPr id="1069454" name="Line 345">
          <a:extLst>
            <a:ext uri="{FF2B5EF4-FFF2-40B4-BE49-F238E27FC236}">
              <a16:creationId xmlns:a16="http://schemas.microsoft.com/office/drawing/2014/main" id="{00000000-0008-0000-0C00-00008E511000}"/>
            </a:ext>
          </a:extLst>
        </xdr:cNvPr>
        <xdr:cNvSpPr>
          <a:spLocks noChangeShapeType="1"/>
        </xdr:cNvSpPr>
      </xdr:nvSpPr>
      <xdr:spPr bwMode="auto">
        <a:xfrm flipV="1">
          <a:off x="7424737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112</xdr:col>
      <xdr:colOff>9525</xdr:colOff>
      <xdr:row>35</xdr:row>
      <xdr:rowOff>0</xdr:rowOff>
    </xdr:from>
    <xdr:to>
      <xdr:col>112</xdr:col>
      <xdr:colOff>66675</xdr:colOff>
      <xdr:row>35</xdr:row>
      <xdr:rowOff>9525</xdr:rowOff>
    </xdr:to>
    <xdr:sp macro="" textlink="">
      <xdr:nvSpPr>
        <xdr:cNvPr id="1069455" name="Line 348">
          <a:extLst>
            <a:ext uri="{FF2B5EF4-FFF2-40B4-BE49-F238E27FC236}">
              <a16:creationId xmlns:a16="http://schemas.microsoft.com/office/drawing/2014/main" id="{00000000-0008-0000-0C00-00008F511000}"/>
            </a:ext>
          </a:extLst>
        </xdr:cNvPr>
        <xdr:cNvSpPr>
          <a:spLocks noChangeShapeType="1"/>
        </xdr:cNvSpPr>
      </xdr:nvSpPr>
      <xdr:spPr bwMode="auto">
        <a:xfrm flipV="1">
          <a:off x="7640955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9525</xdr:colOff>
      <xdr:row>35</xdr:row>
      <xdr:rowOff>0</xdr:rowOff>
    </xdr:from>
    <xdr:to>
      <xdr:col>115</xdr:col>
      <xdr:colOff>66675</xdr:colOff>
      <xdr:row>35</xdr:row>
      <xdr:rowOff>9525</xdr:rowOff>
    </xdr:to>
    <xdr:sp macro="" textlink="">
      <xdr:nvSpPr>
        <xdr:cNvPr id="1069456" name="Line 351">
          <a:extLst>
            <a:ext uri="{FF2B5EF4-FFF2-40B4-BE49-F238E27FC236}">
              <a16:creationId xmlns:a16="http://schemas.microsoft.com/office/drawing/2014/main" id="{00000000-0008-0000-0C00-000090511000}"/>
            </a:ext>
          </a:extLst>
        </xdr:cNvPr>
        <xdr:cNvSpPr>
          <a:spLocks noChangeShapeType="1"/>
        </xdr:cNvSpPr>
      </xdr:nvSpPr>
      <xdr:spPr bwMode="auto">
        <a:xfrm flipV="1">
          <a:off x="7850505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9525</xdr:colOff>
      <xdr:row>35</xdr:row>
      <xdr:rowOff>0</xdr:rowOff>
    </xdr:from>
    <xdr:to>
      <xdr:col>115</xdr:col>
      <xdr:colOff>66675</xdr:colOff>
      <xdr:row>35</xdr:row>
      <xdr:rowOff>9525</xdr:rowOff>
    </xdr:to>
    <xdr:sp macro="" textlink="">
      <xdr:nvSpPr>
        <xdr:cNvPr id="1069457" name="Line 354">
          <a:extLst>
            <a:ext uri="{FF2B5EF4-FFF2-40B4-BE49-F238E27FC236}">
              <a16:creationId xmlns:a16="http://schemas.microsoft.com/office/drawing/2014/main" id="{00000000-0008-0000-0C00-000091511000}"/>
            </a:ext>
          </a:extLst>
        </xdr:cNvPr>
        <xdr:cNvSpPr>
          <a:spLocks noChangeShapeType="1"/>
        </xdr:cNvSpPr>
      </xdr:nvSpPr>
      <xdr:spPr bwMode="auto">
        <a:xfrm flipV="1">
          <a:off x="7850505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66675</xdr:colOff>
      <xdr:row>33</xdr:row>
      <xdr:rowOff>114300</xdr:rowOff>
    </xdr:from>
    <xdr:to>
      <xdr:col>116</xdr:col>
      <xdr:colOff>0</xdr:colOff>
      <xdr:row>34</xdr:row>
      <xdr:rowOff>171450</xdr:rowOff>
    </xdr:to>
    <xdr:sp macro="" textlink="">
      <xdr:nvSpPr>
        <xdr:cNvPr id="1069458" name="Line 355">
          <a:extLst>
            <a:ext uri="{FF2B5EF4-FFF2-40B4-BE49-F238E27FC236}">
              <a16:creationId xmlns:a16="http://schemas.microsoft.com/office/drawing/2014/main" id="{00000000-0008-0000-0C00-000092511000}"/>
            </a:ext>
          </a:extLst>
        </xdr:cNvPr>
        <xdr:cNvSpPr>
          <a:spLocks noChangeShapeType="1"/>
        </xdr:cNvSpPr>
      </xdr:nvSpPr>
      <xdr:spPr bwMode="auto">
        <a:xfrm>
          <a:off x="78562200" y="6686550"/>
          <a:ext cx="342900" cy="2381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115</xdr:col>
      <xdr:colOff>9525</xdr:colOff>
      <xdr:row>35</xdr:row>
      <xdr:rowOff>0</xdr:rowOff>
    </xdr:from>
    <xdr:to>
      <xdr:col>115</xdr:col>
      <xdr:colOff>66675</xdr:colOff>
      <xdr:row>35</xdr:row>
      <xdr:rowOff>9525</xdr:rowOff>
    </xdr:to>
    <xdr:sp macro="" textlink="">
      <xdr:nvSpPr>
        <xdr:cNvPr id="1069459" name="Line 358">
          <a:extLst>
            <a:ext uri="{FF2B5EF4-FFF2-40B4-BE49-F238E27FC236}">
              <a16:creationId xmlns:a16="http://schemas.microsoft.com/office/drawing/2014/main" id="{00000000-0008-0000-0C00-000093511000}"/>
            </a:ext>
          </a:extLst>
        </xdr:cNvPr>
        <xdr:cNvSpPr>
          <a:spLocks noChangeShapeType="1"/>
        </xdr:cNvSpPr>
      </xdr:nvSpPr>
      <xdr:spPr bwMode="auto">
        <a:xfrm flipV="1">
          <a:off x="7850505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112</xdr:col>
      <xdr:colOff>9525</xdr:colOff>
      <xdr:row>35</xdr:row>
      <xdr:rowOff>0</xdr:rowOff>
    </xdr:from>
    <xdr:to>
      <xdr:col>112</xdr:col>
      <xdr:colOff>66675</xdr:colOff>
      <xdr:row>35</xdr:row>
      <xdr:rowOff>9525</xdr:rowOff>
    </xdr:to>
    <xdr:sp macro="" textlink="">
      <xdr:nvSpPr>
        <xdr:cNvPr id="1069460" name="Line 362">
          <a:extLst>
            <a:ext uri="{FF2B5EF4-FFF2-40B4-BE49-F238E27FC236}">
              <a16:creationId xmlns:a16="http://schemas.microsoft.com/office/drawing/2014/main" id="{00000000-0008-0000-0C00-000094511000}"/>
            </a:ext>
          </a:extLst>
        </xdr:cNvPr>
        <xdr:cNvSpPr>
          <a:spLocks noChangeShapeType="1"/>
        </xdr:cNvSpPr>
      </xdr:nvSpPr>
      <xdr:spPr bwMode="auto">
        <a:xfrm flipV="1">
          <a:off x="7640955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109</xdr:col>
      <xdr:colOff>66675</xdr:colOff>
      <xdr:row>33</xdr:row>
      <xdr:rowOff>85725</xdr:rowOff>
    </xdr:from>
    <xdr:to>
      <xdr:col>110</xdr:col>
      <xdr:colOff>9525</xdr:colOff>
      <xdr:row>35</xdr:row>
      <xdr:rowOff>0</xdr:rowOff>
    </xdr:to>
    <xdr:sp macro="" textlink="">
      <xdr:nvSpPr>
        <xdr:cNvPr id="1069461" name="Line 363">
          <a:extLst>
            <a:ext uri="{FF2B5EF4-FFF2-40B4-BE49-F238E27FC236}">
              <a16:creationId xmlns:a16="http://schemas.microsoft.com/office/drawing/2014/main" id="{00000000-0008-0000-0C00-000095511000}"/>
            </a:ext>
          </a:extLst>
        </xdr:cNvPr>
        <xdr:cNvSpPr>
          <a:spLocks noChangeShapeType="1"/>
        </xdr:cNvSpPr>
      </xdr:nvSpPr>
      <xdr:spPr bwMode="auto">
        <a:xfrm>
          <a:off x="74304525" y="6657975"/>
          <a:ext cx="390525" cy="276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112</xdr:col>
      <xdr:colOff>57150</xdr:colOff>
      <xdr:row>33</xdr:row>
      <xdr:rowOff>76200</xdr:rowOff>
    </xdr:from>
    <xdr:to>
      <xdr:col>113</xdr:col>
      <xdr:colOff>0</xdr:colOff>
      <xdr:row>35</xdr:row>
      <xdr:rowOff>0</xdr:rowOff>
    </xdr:to>
    <xdr:sp macro="" textlink="">
      <xdr:nvSpPr>
        <xdr:cNvPr id="1069462" name="Line 364">
          <a:extLst>
            <a:ext uri="{FF2B5EF4-FFF2-40B4-BE49-F238E27FC236}">
              <a16:creationId xmlns:a16="http://schemas.microsoft.com/office/drawing/2014/main" id="{00000000-0008-0000-0C00-000096511000}"/>
            </a:ext>
          </a:extLst>
        </xdr:cNvPr>
        <xdr:cNvSpPr>
          <a:spLocks noChangeShapeType="1"/>
        </xdr:cNvSpPr>
      </xdr:nvSpPr>
      <xdr:spPr bwMode="auto">
        <a:xfrm>
          <a:off x="76457175" y="6648450"/>
          <a:ext cx="352425" cy="2857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109</xdr:col>
      <xdr:colOff>85725</xdr:colOff>
      <xdr:row>31</xdr:row>
      <xdr:rowOff>142875</xdr:rowOff>
    </xdr:from>
    <xdr:to>
      <xdr:col>109</xdr:col>
      <xdr:colOff>85725</xdr:colOff>
      <xdr:row>35</xdr:row>
      <xdr:rowOff>19050</xdr:rowOff>
    </xdr:to>
    <xdr:sp macro="" textlink="">
      <xdr:nvSpPr>
        <xdr:cNvPr id="1069463" name="Line 344">
          <a:extLst>
            <a:ext uri="{FF2B5EF4-FFF2-40B4-BE49-F238E27FC236}">
              <a16:creationId xmlns:a16="http://schemas.microsoft.com/office/drawing/2014/main" id="{00000000-0008-0000-0C00-000097511000}"/>
            </a:ext>
          </a:extLst>
        </xdr:cNvPr>
        <xdr:cNvSpPr>
          <a:spLocks noChangeShapeType="1"/>
        </xdr:cNvSpPr>
      </xdr:nvSpPr>
      <xdr:spPr bwMode="auto">
        <a:xfrm flipH="1">
          <a:off x="74323575" y="6353175"/>
          <a:ext cx="0" cy="600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112</xdr:col>
      <xdr:colOff>66675</xdr:colOff>
      <xdr:row>31</xdr:row>
      <xdr:rowOff>142875</xdr:rowOff>
    </xdr:from>
    <xdr:to>
      <xdr:col>112</xdr:col>
      <xdr:colOff>66675</xdr:colOff>
      <xdr:row>35</xdr:row>
      <xdr:rowOff>19050</xdr:rowOff>
    </xdr:to>
    <xdr:sp macro="" textlink="">
      <xdr:nvSpPr>
        <xdr:cNvPr id="1069464" name="Line 344">
          <a:extLst>
            <a:ext uri="{FF2B5EF4-FFF2-40B4-BE49-F238E27FC236}">
              <a16:creationId xmlns:a16="http://schemas.microsoft.com/office/drawing/2014/main" id="{00000000-0008-0000-0C00-000098511000}"/>
            </a:ext>
          </a:extLst>
        </xdr:cNvPr>
        <xdr:cNvSpPr>
          <a:spLocks noChangeShapeType="1"/>
        </xdr:cNvSpPr>
      </xdr:nvSpPr>
      <xdr:spPr bwMode="auto">
        <a:xfrm flipH="1">
          <a:off x="76466700" y="6353175"/>
          <a:ext cx="0" cy="600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115</xdr:col>
      <xdr:colOff>85725</xdr:colOff>
      <xdr:row>31</xdr:row>
      <xdr:rowOff>152400</xdr:rowOff>
    </xdr:from>
    <xdr:to>
      <xdr:col>115</xdr:col>
      <xdr:colOff>85725</xdr:colOff>
      <xdr:row>35</xdr:row>
      <xdr:rowOff>28575</xdr:rowOff>
    </xdr:to>
    <xdr:sp macro="" textlink="">
      <xdr:nvSpPr>
        <xdr:cNvPr id="1069465" name="Line 344">
          <a:extLst>
            <a:ext uri="{FF2B5EF4-FFF2-40B4-BE49-F238E27FC236}">
              <a16:creationId xmlns:a16="http://schemas.microsoft.com/office/drawing/2014/main" id="{00000000-0008-0000-0C00-000099511000}"/>
            </a:ext>
          </a:extLst>
        </xdr:cNvPr>
        <xdr:cNvSpPr>
          <a:spLocks noChangeShapeType="1"/>
        </xdr:cNvSpPr>
      </xdr:nvSpPr>
      <xdr:spPr bwMode="auto">
        <a:xfrm flipH="1">
          <a:off x="78581250" y="6362700"/>
          <a:ext cx="0" cy="600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109</xdr:col>
      <xdr:colOff>66675</xdr:colOff>
      <xdr:row>28</xdr:row>
      <xdr:rowOff>152400</xdr:rowOff>
    </xdr:from>
    <xdr:to>
      <xdr:col>110</xdr:col>
      <xdr:colOff>0</xdr:colOff>
      <xdr:row>33</xdr:row>
      <xdr:rowOff>76200</xdr:rowOff>
    </xdr:to>
    <xdr:sp macro="" textlink="">
      <xdr:nvSpPr>
        <xdr:cNvPr id="1069466" name="Line 392">
          <a:extLst>
            <a:ext uri="{FF2B5EF4-FFF2-40B4-BE49-F238E27FC236}">
              <a16:creationId xmlns:a16="http://schemas.microsoft.com/office/drawing/2014/main" id="{00000000-0008-0000-0C00-00009A511000}"/>
            </a:ext>
          </a:extLst>
        </xdr:cNvPr>
        <xdr:cNvSpPr>
          <a:spLocks noChangeShapeType="1"/>
        </xdr:cNvSpPr>
      </xdr:nvSpPr>
      <xdr:spPr bwMode="auto">
        <a:xfrm flipV="1">
          <a:off x="74304525" y="5819775"/>
          <a:ext cx="381000" cy="8286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112</xdr:col>
      <xdr:colOff>66675</xdr:colOff>
      <xdr:row>29</xdr:row>
      <xdr:rowOff>0</xdr:rowOff>
    </xdr:from>
    <xdr:to>
      <xdr:col>113</xdr:col>
      <xdr:colOff>0</xdr:colOff>
      <xdr:row>33</xdr:row>
      <xdr:rowOff>76200</xdr:rowOff>
    </xdr:to>
    <xdr:sp macro="" textlink="">
      <xdr:nvSpPr>
        <xdr:cNvPr id="1069467" name="Line 392">
          <a:extLst>
            <a:ext uri="{FF2B5EF4-FFF2-40B4-BE49-F238E27FC236}">
              <a16:creationId xmlns:a16="http://schemas.microsoft.com/office/drawing/2014/main" id="{00000000-0008-0000-0C00-00009B511000}"/>
            </a:ext>
          </a:extLst>
        </xdr:cNvPr>
        <xdr:cNvSpPr>
          <a:spLocks noChangeShapeType="1"/>
        </xdr:cNvSpPr>
      </xdr:nvSpPr>
      <xdr:spPr bwMode="auto">
        <a:xfrm flipV="1">
          <a:off x="76466700" y="5848350"/>
          <a:ext cx="3429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125</xdr:col>
      <xdr:colOff>0</xdr:colOff>
      <xdr:row>8</xdr:row>
      <xdr:rowOff>0</xdr:rowOff>
    </xdr:from>
    <xdr:to>
      <xdr:col>125</xdr:col>
      <xdr:colOff>76200</xdr:colOff>
      <xdr:row>8</xdr:row>
      <xdr:rowOff>9525</xdr:rowOff>
    </xdr:to>
    <xdr:sp macro="" textlink="">
      <xdr:nvSpPr>
        <xdr:cNvPr id="1069468" name="Line 1">
          <a:extLst>
            <a:ext uri="{FF2B5EF4-FFF2-40B4-BE49-F238E27FC236}">
              <a16:creationId xmlns:a16="http://schemas.microsoft.com/office/drawing/2014/main" id="{00000000-0008-0000-0C00-00009C511000}"/>
            </a:ext>
          </a:extLst>
        </xdr:cNvPr>
        <xdr:cNvSpPr>
          <a:spLocks noChangeShapeType="1"/>
        </xdr:cNvSpPr>
      </xdr:nvSpPr>
      <xdr:spPr bwMode="auto">
        <a:xfrm>
          <a:off x="854202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66675</xdr:colOff>
      <xdr:row>8</xdr:row>
      <xdr:rowOff>9525</xdr:rowOff>
    </xdr:from>
    <xdr:to>
      <xdr:col>125</xdr:col>
      <xdr:colOff>66675</xdr:colOff>
      <xdr:row>11</xdr:row>
      <xdr:rowOff>19050</xdr:rowOff>
    </xdr:to>
    <xdr:sp macro="" textlink="">
      <xdr:nvSpPr>
        <xdr:cNvPr id="1069469" name="Line 2">
          <a:extLst>
            <a:ext uri="{FF2B5EF4-FFF2-40B4-BE49-F238E27FC236}">
              <a16:creationId xmlns:a16="http://schemas.microsoft.com/office/drawing/2014/main" id="{00000000-0008-0000-0C00-00009D511000}"/>
            </a:ext>
          </a:extLst>
        </xdr:cNvPr>
        <xdr:cNvSpPr>
          <a:spLocks noChangeShapeType="1"/>
        </xdr:cNvSpPr>
      </xdr:nvSpPr>
      <xdr:spPr bwMode="auto">
        <a:xfrm>
          <a:off x="854868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9525</xdr:colOff>
      <xdr:row>11</xdr:row>
      <xdr:rowOff>0</xdr:rowOff>
    </xdr:from>
    <xdr:to>
      <xdr:col>125</xdr:col>
      <xdr:colOff>66675</xdr:colOff>
      <xdr:row>11</xdr:row>
      <xdr:rowOff>9525</xdr:rowOff>
    </xdr:to>
    <xdr:sp macro="" textlink="">
      <xdr:nvSpPr>
        <xdr:cNvPr id="1069470" name="Line 3">
          <a:extLst>
            <a:ext uri="{FF2B5EF4-FFF2-40B4-BE49-F238E27FC236}">
              <a16:creationId xmlns:a16="http://schemas.microsoft.com/office/drawing/2014/main" id="{00000000-0008-0000-0C00-00009E511000}"/>
            </a:ext>
          </a:extLst>
        </xdr:cNvPr>
        <xdr:cNvSpPr>
          <a:spLocks noChangeShapeType="1"/>
        </xdr:cNvSpPr>
      </xdr:nvSpPr>
      <xdr:spPr bwMode="auto">
        <a:xfrm flipV="1">
          <a:off x="854297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122</xdr:col>
      <xdr:colOff>0</xdr:colOff>
      <xdr:row>8</xdr:row>
      <xdr:rowOff>0</xdr:rowOff>
    </xdr:from>
    <xdr:to>
      <xdr:col>122</xdr:col>
      <xdr:colOff>76200</xdr:colOff>
      <xdr:row>8</xdr:row>
      <xdr:rowOff>9525</xdr:rowOff>
    </xdr:to>
    <xdr:sp macro="" textlink="">
      <xdr:nvSpPr>
        <xdr:cNvPr id="1069471" name="Line 4">
          <a:extLst>
            <a:ext uri="{FF2B5EF4-FFF2-40B4-BE49-F238E27FC236}">
              <a16:creationId xmlns:a16="http://schemas.microsoft.com/office/drawing/2014/main" id="{00000000-0008-0000-0C00-00009F511000}"/>
            </a:ext>
          </a:extLst>
        </xdr:cNvPr>
        <xdr:cNvSpPr>
          <a:spLocks noChangeShapeType="1"/>
        </xdr:cNvSpPr>
      </xdr:nvSpPr>
      <xdr:spPr bwMode="auto">
        <a:xfrm>
          <a:off x="8325802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122</xdr:col>
      <xdr:colOff>66675</xdr:colOff>
      <xdr:row>8</xdr:row>
      <xdr:rowOff>9525</xdr:rowOff>
    </xdr:from>
    <xdr:to>
      <xdr:col>122</xdr:col>
      <xdr:colOff>66675</xdr:colOff>
      <xdr:row>11</xdr:row>
      <xdr:rowOff>19050</xdr:rowOff>
    </xdr:to>
    <xdr:sp macro="" textlink="">
      <xdr:nvSpPr>
        <xdr:cNvPr id="1069472" name="Line 5">
          <a:extLst>
            <a:ext uri="{FF2B5EF4-FFF2-40B4-BE49-F238E27FC236}">
              <a16:creationId xmlns:a16="http://schemas.microsoft.com/office/drawing/2014/main" id="{00000000-0008-0000-0C00-0000A0511000}"/>
            </a:ext>
          </a:extLst>
        </xdr:cNvPr>
        <xdr:cNvSpPr>
          <a:spLocks noChangeShapeType="1"/>
        </xdr:cNvSpPr>
      </xdr:nvSpPr>
      <xdr:spPr bwMode="auto">
        <a:xfrm>
          <a:off x="8332470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122</xdr:col>
      <xdr:colOff>9525</xdr:colOff>
      <xdr:row>11</xdr:row>
      <xdr:rowOff>0</xdr:rowOff>
    </xdr:from>
    <xdr:to>
      <xdr:col>122</xdr:col>
      <xdr:colOff>66675</xdr:colOff>
      <xdr:row>11</xdr:row>
      <xdr:rowOff>9525</xdr:rowOff>
    </xdr:to>
    <xdr:sp macro="" textlink="">
      <xdr:nvSpPr>
        <xdr:cNvPr id="1069473" name="Line 6">
          <a:extLst>
            <a:ext uri="{FF2B5EF4-FFF2-40B4-BE49-F238E27FC236}">
              <a16:creationId xmlns:a16="http://schemas.microsoft.com/office/drawing/2014/main" id="{00000000-0008-0000-0C00-0000A1511000}"/>
            </a:ext>
          </a:extLst>
        </xdr:cNvPr>
        <xdr:cNvSpPr>
          <a:spLocks noChangeShapeType="1"/>
        </xdr:cNvSpPr>
      </xdr:nvSpPr>
      <xdr:spPr bwMode="auto">
        <a:xfrm flipV="1">
          <a:off x="8326755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0</xdr:colOff>
      <xdr:row>8</xdr:row>
      <xdr:rowOff>0</xdr:rowOff>
    </xdr:from>
    <xdr:to>
      <xdr:col>128</xdr:col>
      <xdr:colOff>76200</xdr:colOff>
      <xdr:row>8</xdr:row>
      <xdr:rowOff>9525</xdr:rowOff>
    </xdr:to>
    <xdr:sp macro="" textlink="">
      <xdr:nvSpPr>
        <xdr:cNvPr id="1069474" name="Line 16">
          <a:extLst>
            <a:ext uri="{FF2B5EF4-FFF2-40B4-BE49-F238E27FC236}">
              <a16:creationId xmlns:a16="http://schemas.microsoft.com/office/drawing/2014/main" id="{00000000-0008-0000-0C00-0000A2511000}"/>
            </a:ext>
          </a:extLst>
        </xdr:cNvPr>
        <xdr:cNvSpPr>
          <a:spLocks noChangeShapeType="1"/>
        </xdr:cNvSpPr>
      </xdr:nvSpPr>
      <xdr:spPr bwMode="auto">
        <a:xfrm>
          <a:off x="875157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66675</xdr:colOff>
      <xdr:row>8</xdr:row>
      <xdr:rowOff>9525</xdr:rowOff>
    </xdr:from>
    <xdr:to>
      <xdr:col>128</xdr:col>
      <xdr:colOff>66675</xdr:colOff>
      <xdr:row>11</xdr:row>
      <xdr:rowOff>19050</xdr:rowOff>
    </xdr:to>
    <xdr:sp macro="" textlink="">
      <xdr:nvSpPr>
        <xdr:cNvPr id="1069475" name="Line 17">
          <a:extLst>
            <a:ext uri="{FF2B5EF4-FFF2-40B4-BE49-F238E27FC236}">
              <a16:creationId xmlns:a16="http://schemas.microsoft.com/office/drawing/2014/main" id="{00000000-0008-0000-0C00-0000A3511000}"/>
            </a:ext>
          </a:extLst>
        </xdr:cNvPr>
        <xdr:cNvSpPr>
          <a:spLocks noChangeShapeType="1"/>
        </xdr:cNvSpPr>
      </xdr:nvSpPr>
      <xdr:spPr bwMode="auto">
        <a:xfrm>
          <a:off x="875823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9525</xdr:colOff>
      <xdr:row>11</xdr:row>
      <xdr:rowOff>0</xdr:rowOff>
    </xdr:from>
    <xdr:to>
      <xdr:col>128</xdr:col>
      <xdr:colOff>66675</xdr:colOff>
      <xdr:row>11</xdr:row>
      <xdr:rowOff>9525</xdr:rowOff>
    </xdr:to>
    <xdr:sp macro="" textlink="">
      <xdr:nvSpPr>
        <xdr:cNvPr id="1069476" name="Line 18">
          <a:extLst>
            <a:ext uri="{FF2B5EF4-FFF2-40B4-BE49-F238E27FC236}">
              <a16:creationId xmlns:a16="http://schemas.microsoft.com/office/drawing/2014/main" id="{00000000-0008-0000-0C00-0000A4511000}"/>
            </a:ext>
          </a:extLst>
        </xdr:cNvPr>
        <xdr:cNvSpPr>
          <a:spLocks noChangeShapeType="1"/>
        </xdr:cNvSpPr>
      </xdr:nvSpPr>
      <xdr:spPr bwMode="auto">
        <a:xfrm flipV="1">
          <a:off x="875252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66675</xdr:colOff>
      <xdr:row>8</xdr:row>
      <xdr:rowOff>9525</xdr:rowOff>
    </xdr:from>
    <xdr:to>
      <xdr:col>126</xdr:col>
      <xdr:colOff>0</xdr:colOff>
      <xdr:row>9</xdr:row>
      <xdr:rowOff>66675</xdr:rowOff>
    </xdr:to>
    <xdr:sp macro="" textlink="">
      <xdr:nvSpPr>
        <xdr:cNvPr id="1069477" name="Line 64">
          <a:extLst>
            <a:ext uri="{FF2B5EF4-FFF2-40B4-BE49-F238E27FC236}">
              <a16:creationId xmlns:a16="http://schemas.microsoft.com/office/drawing/2014/main" id="{00000000-0008-0000-0C00-0000A5511000}"/>
            </a:ext>
          </a:extLst>
        </xdr:cNvPr>
        <xdr:cNvSpPr>
          <a:spLocks noChangeShapeType="1"/>
        </xdr:cNvSpPr>
      </xdr:nvSpPr>
      <xdr:spPr bwMode="auto">
        <a:xfrm flipV="1">
          <a:off x="85486875" y="2057400"/>
          <a:ext cx="342900" cy="2381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125</xdr:col>
      <xdr:colOff>66675</xdr:colOff>
      <xdr:row>9</xdr:row>
      <xdr:rowOff>76200</xdr:rowOff>
    </xdr:from>
    <xdr:to>
      <xdr:col>126</xdr:col>
      <xdr:colOff>0</xdr:colOff>
      <xdr:row>13</xdr:row>
      <xdr:rowOff>0</xdr:rowOff>
    </xdr:to>
    <xdr:sp macro="" textlink="">
      <xdr:nvSpPr>
        <xdr:cNvPr id="1069478" name="Line 66">
          <a:extLst>
            <a:ext uri="{FF2B5EF4-FFF2-40B4-BE49-F238E27FC236}">
              <a16:creationId xmlns:a16="http://schemas.microsoft.com/office/drawing/2014/main" id="{00000000-0008-0000-0C00-0000A6511000}"/>
            </a:ext>
          </a:extLst>
        </xdr:cNvPr>
        <xdr:cNvSpPr>
          <a:spLocks noChangeShapeType="1"/>
        </xdr:cNvSpPr>
      </xdr:nvSpPr>
      <xdr:spPr bwMode="auto">
        <a:xfrm>
          <a:off x="85486875" y="2305050"/>
          <a:ext cx="342900" cy="6477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128</xdr:col>
      <xdr:colOff>0</xdr:colOff>
      <xdr:row>8</xdr:row>
      <xdr:rowOff>0</xdr:rowOff>
    </xdr:from>
    <xdr:to>
      <xdr:col>128</xdr:col>
      <xdr:colOff>76200</xdr:colOff>
      <xdr:row>8</xdr:row>
      <xdr:rowOff>9525</xdr:rowOff>
    </xdr:to>
    <xdr:sp macro="" textlink="">
      <xdr:nvSpPr>
        <xdr:cNvPr id="1069479" name="Line 99">
          <a:extLst>
            <a:ext uri="{FF2B5EF4-FFF2-40B4-BE49-F238E27FC236}">
              <a16:creationId xmlns:a16="http://schemas.microsoft.com/office/drawing/2014/main" id="{00000000-0008-0000-0C00-0000A7511000}"/>
            </a:ext>
          </a:extLst>
        </xdr:cNvPr>
        <xdr:cNvSpPr>
          <a:spLocks noChangeShapeType="1"/>
        </xdr:cNvSpPr>
      </xdr:nvSpPr>
      <xdr:spPr bwMode="auto">
        <a:xfrm>
          <a:off x="875157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66675</xdr:colOff>
      <xdr:row>8</xdr:row>
      <xdr:rowOff>9525</xdr:rowOff>
    </xdr:from>
    <xdr:to>
      <xdr:col>128</xdr:col>
      <xdr:colOff>66675</xdr:colOff>
      <xdr:row>11</xdr:row>
      <xdr:rowOff>19050</xdr:rowOff>
    </xdr:to>
    <xdr:sp macro="" textlink="">
      <xdr:nvSpPr>
        <xdr:cNvPr id="1069480" name="Line 100">
          <a:extLst>
            <a:ext uri="{FF2B5EF4-FFF2-40B4-BE49-F238E27FC236}">
              <a16:creationId xmlns:a16="http://schemas.microsoft.com/office/drawing/2014/main" id="{00000000-0008-0000-0C00-0000A8511000}"/>
            </a:ext>
          </a:extLst>
        </xdr:cNvPr>
        <xdr:cNvSpPr>
          <a:spLocks noChangeShapeType="1"/>
        </xdr:cNvSpPr>
      </xdr:nvSpPr>
      <xdr:spPr bwMode="auto">
        <a:xfrm>
          <a:off x="875823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9525</xdr:colOff>
      <xdr:row>11</xdr:row>
      <xdr:rowOff>0</xdr:rowOff>
    </xdr:from>
    <xdr:to>
      <xdr:col>128</xdr:col>
      <xdr:colOff>66675</xdr:colOff>
      <xdr:row>11</xdr:row>
      <xdr:rowOff>9525</xdr:rowOff>
    </xdr:to>
    <xdr:sp macro="" textlink="">
      <xdr:nvSpPr>
        <xdr:cNvPr id="1069481" name="Line 101">
          <a:extLst>
            <a:ext uri="{FF2B5EF4-FFF2-40B4-BE49-F238E27FC236}">
              <a16:creationId xmlns:a16="http://schemas.microsoft.com/office/drawing/2014/main" id="{00000000-0008-0000-0C00-0000A9511000}"/>
            </a:ext>
          </a:extLst>
        </xdr:cNvPr>
        <xdr:cNvSpPr>
          <a:spLocks noChangeShapeType="1"/>
        </xdr:cNvSpPr>
      </xdr:nvSpPr>
      <xdr:spPr bwMode="auto">
        <a:xfrm flipV="1">
          <a:off x="875252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0</xdr:colOff>
      <xdr:row>8</xdr:row>
      <xdr:rowOff>0</xdr:rowOff>
    </xdr:from>
    <xdr:to>
      <xdr:col>128</xdr:col>
      <xdr:colOff>76200</xdr:colOff>
      <xdr:row>8</xdr:row>
      <xdr:rowOff>9525</xdr:rowOff>
    </xdr:to>
    <xdr:sp macro="" textlink="">
      <xdr:nvSpPr>
        <xdr:cNvPr id="1069482" name="Line 110">
          <a:extLst>
            <a:ext uri="{FF2B5EF4-FFF2-40B4-BE49-F238E27FC236}">
              <a16:creationId xmlns:a16="http://schemas.microsoft.com/office/drawing/2014/main" id="{00000000-0008-0000-0C00-0000AA511000}"/>
            </a:ext>
          </a:extLst>
        </xdr:cNvPr>
        <xdr:cNvSpPr>
          <a:spLocks noChangeShapeType="1"/>
        </xdr:cNvSpPr>
      </xdr:nvSpPr>
      <xdr:spPr bwMode="auto">
        <a:xfrm>
          <a:off x="875157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66675</xdr:colOff>
      <xdr:row>8</xdr:row>
      <xdr:rowOff>9525</xdr:rowOff>
    </xdr:from>
    <xdr:to>
      <xdr:col>128</xdr:col>
      <xdr:colOff>66675</xdr:colOff>
      <xdr:row>11</xdr:row>
      <xdr:rowOff>19050</xdr:rowOff>
    </xdr:to>
    <xdr:sp macro="" textlink="">
      <xdr:nvSpPr>
        <xdr:cNvPr id="1069483" name="Line 111">
          <a:extLst>
            <a:ext uri="{FF2B5EF4-FFF2-40B4-BE49-F238E27FC236}">
              <a16:creationId xmlns:a16="http://schemas.microsoft.com/office/drawing/2014/main" id="{00000000-0008-0000-0C00-0000AB511000}"/>
            </a:ext>
          </a:extLst>
        </xdr:cNvPr>
        <xdr:cNvSpPr>
          <a:spLocks noChangeShapeType="1"/>
        </xdr:cNvSpPr>
      </xdr:nvSpPr>
      <xdr:spPr bwMode="auto">
        <a:xfrm>
          <a:off x="875823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9525</xdr:colOff>
      <xdr:row>11</xdr:row>
      <xdr:rowOff>0</xdr:rowOff>
    </xdr:from>
    <xdr:to>
      <xdr:col>128</xdr:col>
      <xdr:colOff>66675</xdr:colOff>
      <xdr:row>11</xdr:row>
      <xdr:rowOff>9525</xdr:rowOff>
    </xdr:to>
    <xdr:sp macro="" textlink="">
      <xdr:nvSpPr>
        <xdr:cNvPr id="1069484" name="Line 112">
          <a:extLst>
            <a:ext uri="{FF2B5EF4-FFF2-40B4-BE49-F238E27FC236}">
              <a16:creationId xmlns:a16="http://schemas.microsoft.com/office/drawing/2014/main" id="{00000000-0008-0000-0C00-0000AC511000}"/>
            </a:ext>
          </a:extLst>
        </xdr:cNvPr>
        <xdr:cNvSpPr>
          <a:spLocks noChangeShapeType="1"/>
        </xdr:cNvSpPr>
      </xdr:nvSpPr>
      <xdr:spPr bwMode="auto">
        <a:xfrm flipV="1">
          <a:off x="875252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0</xdr:colOff>
      <xdr:row>8</xdr:row>
      <xdr:rowOff>0</xdr:rowOff>
    </xdr:from>
    <xdr:to>
      <xdr:col>128</xdr:col>
      <xdr:colOff>76200</xdr:colOff>
      <xdr:row>8</xdr:row>
      <xdr:rowOff>9525</xdr:rowOff>
    </xdr:to>
    <xdr:sp macro="" textlink="">
      <xdr:nvSpPr>
        <xdr:cNvPr id="1069485" name="Line 113">
          <a:extLst>
            <a:ext uri="{FF2B5EF4-FFF2-40B4-BE49-F238E27FC236}">
              <a16:creationId xmlns:a16="http://schemas.microsoft.com/office/drawing/2014/main" id="{00000000-0008-0000-0C00-0000AD511000}"/>
            </a:ext>
          </a:extLst>
        </xdr:cNvPr>
        <xdr:cNvSpPr>
          <a:spLocks noChangeShapeType="1"/>
        </xdr:cNvSpPr>
      </xdr:nvSpPr>
      <xdr:spPr bwMode="auto">
        <a:xfrm>
          <a:off x="875157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66675</xdr:colOff>
      <xdr:row>8</xdr:row>
      <xdr:rowOff>9525</xdr:rowOff>
    </xdr:from>
    <xdr:to>
      <xdr:col>128</xdr:col>
      <xdr:colOff>66675</xdr:colOff>
      <xdr:row>11</xdr:row>
      <xdr:rowOff>19050</xdr:rowOff>
    </xdr:to>
    <xdr:sp macro="" textlink="">
      <xdr:nvSpPr>
        <xdr:cNvPr id="1069486" name="Line 114">
          <a:extLst>
            <a:ext uri="{FF2B5EF4-FFF2-40B4-BE49-F238E27FC236}">
              <a16:creationId xmlns:a16="http://schemas.microsoft.com/office/drawing/2014/main" id="{00000000-0008-0000-0C00-0000AE511000}"/>
            </a:ext>
          </a:extLst>
        </xdr:cNvPr>
        <xdr:cNvSpPr>
          <a:spLocks noChangeShapeType="1"/>
        </xdr:cNvSpPr>
      </xdr:nvSpPr>
      <xdr:spPr bwMode="auto">
        <a:xfrm>
          <a:off x="875823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9525</xdr:colOff>
      <xdr:row>11</xdr:row>
      <xdr:rowOff>0</xdr:rowOff>
    </xdr:from>
    <xdr:to>
      <xdr:col>128</xdr:col>
      <xdr:colOff>66675</xdr:colOff>
      <xdr:row>11</xdr:row>
      <xdr:rowOff>9525</xdr:rowOff>
    </xdr:to>
    <xdr:sp macro="" textlink="">
      <xdr:nvSpPr>
        <xdr:cNvPr id="1069487" name="Line 115">
          <a:extLst>
            <a:ext uri="{FF2B5EF4-FFF2-40B4-BE49-F238E27FC236}">
              <a16:creationId xmlns:a16="http://schemas.microsoft.com/office/drawing/2014/main" id="{00000000-0008-0000-0C00-0000AF511000}"/>
            </a:ext>
          </a:extLst>
        </xdr:cNvPr>
        <xdr:cNvSpPr>
          <a:spLocks noChangeShapeType="1"/>
        </xdr:cNvSpPr>
      </xdr:nvSpPr>
      <xdr:spPr bwMode="auto">
        <a:xfrm flipV="1">
          <a:off x="875252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76200</xdr:colOff>
      <xdr:row>8</xdr:row>
      <xdr:rowOff>0</xdr:rowOff>
    </xdr:from>
    <xdr:to>
      <xdr:col>128</xdr:col>
      <xdr:colOff>400050</xdr:colOff>
      <xdr:row>9</xdr:row>
      <xdr:rowOff>57150</xdr:rowOff>
    </xdr:to>
    <xdr:sp macro="" textlink="">
      <xdr:nvSpPr>
        <xdr:cNvPr id="1069488" name="Line 116">
          <a:extLst>
            <a:ext uri="{FF2B5EF4-FFF2-40B4-BE49-F238E27FC236}">
              <a16:creationId xmlns:a16="http://schemas.microsoft.com/office/drawing/2014/main" id="{00000000-0008-0000-0C00-0000B0511000}"/>
            </a:ext>
          </a:extLst>
        </xdr:cNvPr>
        <xdr:cNvSpPr>
          <a:spLocks noChangeShapeType="1"/>
        </xdr:cNvSpPr>
      </xdr:nvSpPr>
      <xdr:spPr bwMode="auto">
        <a:xfrm flipV="1">
          <a:off x="87591900" y="2047875"/>
          <a:ext cx="3238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128</xdr:col>
      <xdr:colOff>76200</xdr:colOff>
      <xdr:row>9</xdr:row>
      <xdr:rowOff>66675</xdr:rowOff>
    </xdr:from>
    <xdr:to>
      <xdr:col>129</xdr:col>
      <xdr:colOff>0</xdr:colOff>
      <xdr:row>11</xdr:row>
      <xdr:rowOff>19050</xdr:rowOff>
    </xdr:to>
    <xdr:sp macro="" textlink="">
      <xdr:nvSpPr>
        <xdr:cNvPr id="1069489" name="Line 117">
          <a:extLst>
            <a:ext uri="{FF2B5EF4-FFF2-40B4-BE49-F238E27FC236}">
              <a16:creationId xmlns:a16="http://schemas.microsoft.com/office/drawing/2014/main" id="{00000000-0008-0000-0C00-0000B1511000}"/>
            </a:ext>
          </a:extLst>
        </xdr:cNvPr>
        <xdr:cNvSpPr>
          <a:spLocks noChangeShapeType="1"/>
        </xdr:cNvSpPr>
      </xdr:nvSpPr>
      <xdr:spPr bwMode="auto">
        <a:xfrm>
          <a:off x="87591900" y="2295525"/>
          <a:ext cx="333375"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122</xdr:col>
      <xdr:colOff>66675</xdr:colOff>
      <xdr:row>7</xdr:row>
      <xdr:rowOff>133350</xdr:rowOff>
    </xdr:from>
    <xdr:to>
      <xdr:col>123</xdr:col>
      <xdr:colOff>0</xdr:colOff>
      <xdr:row>9</xdr:row>
      <xdr:rowOff>66675</xdr:rowOff>
    </xdr:to>
    <xdr:sp macro="" textlink="">
      <xdr:nvSpPr>
        <xdr:cNvPr id="1069490" name="Line 146">
          <a:extLst>
            <a:ext uri="{FF2B5EF4-FFF2-40B4-BE49-F238E27FC236}">
              <a16:creationId xmlns:a16="http://schemas.microsoft.com/office/drawing/2014/main" id="{00000000-0008-0000-0C00-0000B2511000}"/>
            </a:ext>
          </a:extLst>
        </xdr:cNvPr>
        <xdr:cNvSpPr>
          <a:spLocks noChangeShapeType="1"/>
        </xdr:cNvSpPr>
      </xdr:nvSpPr>
      <xdr:spPr bwMode="auto">
        <a:xfrm flipV="1">
          <a:off x="83324700" y="2000250"/>
          <a:ext cx="38100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122</xdr:col>
      <xdr:colOff>66675</xdr:colOff>
      <xdr:row>9</xdr:row>
      <xdr:rowOff>66675</xdr:rowOff>
    </xdr:from>
    <xdr:to>
      <xdr:col>123</xdr:col>
      <xdr:colOff>19050</xdr:colOff>
      <xdr:row>13</xdr:row>
      <xdr:rowOff>0</xdr:rowOff>
    </xdr:to>
    <xdr:sp macro="" textlink="">
      <xdr:nvSpPr>
        <xdr:cNvPr id="1069491" name="Line 147">
          <a:extLst>
            <a:ext uri="{FF2B5EF4-FFF2-40B4-BE49-F238E27FC236}">
              <a16:creationId xmlns:a16="http://schemas.microsoft.com/office/drawing/2014/main" id="{00000000-0008-0000-0C00-0000B3511000}"/>
            </a:ext>
          </a:extLst>
        </xdr:cNvPr>
        <xdr:cNvSpPr>
          <a:spLocks noChangeShapeType="1"/>
        </xdr:cNvSpPr>
      </xdr:nvSpPr>
      <xdr:spPr bwMode="auto">
        <a:xfrm>
          <a:off x="83324700" y="2295525"/>
          <a:ext cx="400050" cy="657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125</xdr:col>
      <xdr:colOff>76200</xdr:colOff>
      <xdr:row>16</xdr:row>
      <xdr:rowOff>0</xdr:rowOff>
    </xdr:from>
    <xdr:to>
      <xdr:col>125</xdr:col>
      <xdr:colOff>76200</xdr:colOff>
      <xdr:row>16</xdr:row>
      <xdr:rowOff>0</xdr:rowOff>
    </xdr:to>
    <xdr:sp macro="" textlink="">
      <xdr:nvSpPr>
        <xdr:cNvPr id="1069492" name="Line 176">
          <a:extLst>
            <a:ext uri="{FF2B5EF4-FFF2-40B4-BE49-F238E27FC236}">
              <a16:creationId xmlns:a16="http://schemas.microsoft.com/office/drawing/2014/main" id="{00000000-0008-0000-0C00-0000B4511000}"/>
            </a:ext>
          </a:extLst>
        </xdr:cNvPr>
        <xdr:cNvSpPr>
          <a:spLocks noChangeShapeType="1"/>
        </xdr:cNvSpPr>
      </xdr:nvSpPr>
      <xdr:spPr bwMode="auto">
        <a:xfrm>
          <a:off x="85496400" y="349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76200</xdr:colOff>
      <xdr:row>16</xdr:row>
      <xdr:rowOff>0</xdr:rowOff>
    </xdr:from>
    <xdr:to>
      <xdr:col>125</xdr:col>
      <xdr:colOff>76200</xdr:colOff>
      <xdr:row>16</xdr:row>
      <xdr:rowOff>0</xdr:rowOff>
    </xdr:to>
    <xdr:sp macro="" textlink="">
      <xdr:nvSpPr>
        <xdr:cNvPr id="1069493" name="Line 210">
          <a:extLst>
            <a:ext uri="{FF2B5EF4-FFF2-40B4-BE49-F238E27FC236}">
              <a16:creationId xmlns:a16="http://schemas.microsoft.com/office/drawing/2014/main" id="{00000000-0008-0000-0C00-0000B5511000}"/>
            </a:ext>
          </a:extLst>
        </xdr:cNvPr>
        <xdr:cNvSpPr>
          <a:spLocks noChangeShapeType="1"/>
        </xdr:cNvSpPr>
      </xdr:nvSpPr>
      <xdr:spPr bwMode="auto">
        <a:xfrm>
          <a:off x="85496400" y="349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122</xdr:col>
      <xdr:colOff>0</xdr:colOff>
      <xdr:row>14</xdr:row>
      <xdr:rowOff>0</xdr:rowOff>
    </xdr:from>
    <xdr:to>
      <xdr:col>122</xdr:col>
      <xdr:colOff>76200</xdr:colOff>
      <xdr:row>14</xdr:row>
      <xdr:rowOff>9525</xdr:rowOff>
    </xdr:to>
    <xdr:sp macro="" textlink="">
      <xdr:nvSpPr>
        <xdr:cNvPr id="1069494" name="Line 323">
          <a:extLst>
            <a:ext uri="{FF2B5EF4-FFF2-40B4-BE49-F238E27FC236}">
              <a16:creationId xmlns:a16="http://schemas.microsoft.com/office/drawing/2014/main" id="{00000000-0008-0000-0C00-0000B6511000}"/>
            </a:ext>
          </a:extLst>
        </xdr:cNvPr>
        <xdr:cNvSpPr>
          <a:spLocks noChangeShapeType="1"/>
        </xdr:cNvSpPr>
      </xdr:nvSpPr>
      <xdr:spPr bwMode="auto">
        <a:xfrm>
          <a:off x="8325802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122</xdr:col>
      <xdr:colOff>66675</xdr:colOff>
      <xdr:row>14</xdr:row>
      <xdr:rowOff>9525</xdr:rowOff>
    </xdr:from>
    <xdr:to>
      <xdr:col>122</xdr:col>
      <xdr:colOff>66675</xdr:colOff>
      <xdr:row>17</xdr:row>
      <xdr:rowOff>19050</xdr:rowOff>
    </xdr:to>
    <xdr:sp macro="" textlink="">
      <xdr:nvSpPr>
        <xdr:cNvPr id="1069495" name="Line 324">
          <a:extLst>
            <a:ext uri="{FF2B5EF4-FFF2-40B4-BE49-F238E27FC236}">
              <a16:creationId xmlns:a16="http://schemas.microsoft.com/office/drawing/2014/main" id="{00000000-0008-0000-0C00-0000B7511000}"/>
            </a:ext>
          </a:extLst>
        </xdr:cNvPr>
        <xdr:cNvSpPr>
          <a:spLocks noChangeShapeType="1"/>
        </xdr:cNvSpPr>
      </xdr:nvSpPr>
      <xdr:spPr bwMode="auto">
        <a:xfrm>
          <a:off x="8332470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122</xdr:col>
      <xdr:colOff>9525</xdr:colOff>
      <xdr:row>17</xdr:row>
      <xdr:rowOff>0</xdr:rowOff>
    </xdr:from>
    <xdr:to>
      <xdr:col>122</xdr:col>
      <xdr:colOff>66675</xdr:colOff>
      <xdr:row>17</xdr:row>
      <xdr:rowOff>9525</xdr:rowOff>
    </xdr:to>
    <xdr:sp macro="" textlink="">
      <xdr:nvSpPr>
        <xdr:cNvPr id="1069496" name="Line 325">
          <a:extLst>
            <a:ext uri="{FF2B5EF4-FFF2-40B4-BE49-F238E27FC236}">
              <a16:creationId xmlns:a16="http://schemas.microsoft.com/office/drawing/2014/main" id="{00000000-0008-0000-0C00-0000B8511000}"/>
            </a:ext>
          </a:extLst>
        </xdr:cNvPr>
        <xdr:cNvSpPr>
          <a:spLocks noChangeShapeType="1"/>
        </xdr:cNvSpPr>
      </xdr:nvSpPr>
      <xdr:spPr bwMode="auto">
        <a:xfrm flipV="1">
          <a:off x="8326755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0</xdr:colOff>
      <xdr:row>14</xdr:row>
      <xdr:rowOff>0</xdr:rowOff>
    </xdr:from>
    <xdr:to>
      <xdr:col>125</xdr:col>
      <xdr:colOff>76200</xdr:colOff>
      <xdr:row>14</xdr:row>
      <xdr:rowOff>9525</xdr:rowOff>
    </xdr:to>
    <xdr:sp macro="" textlink="">
      <xdr:nvSpPr>
        <xdr:cNvPr id="1069497" name="Line 326">
          <a:extLst>
            <a:ext uri="{FF2B5EF4-FFF2-40B4-BE49-F238E27FC236}">
              <a16:creationId xmlns:a16="http://schemas.microsoft.com/office/drawing/2014/main" id="{00000000-0008-0000-0C00-0000B9511000}"/>
            </a:ext>
          </a:extLst>
        </xdr:cNvPr>
        <xdr:cNvSpPr>
          <a:spLocks noChangeShapeType="1"/>
        </xdr:cNvSpPr>
      </xdr:nvSpPr>
      <xdr:spPr bwMode="auto">
        <a:xfrm>
          <a:off x="854202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66675</xdr:colOff>
      <xdr:row>14</xdr:row>
      <xdr:rowOff>9525</xdr:rowOff>
    </xdr:from>
    <xdr:to>
      <xdr:col>125</xdr:col>
      <xdr:colOff>66675</xdr:colOff>
      <xdr:row>17</xdr:row>
      <xdr:rowOff>19050</xdr:rowOff>
    </xdr:to>
    <xdr:sp macro="" textlink="">
      <xdr:nvSpPr>
        <xdr:cNvPr id="1069498" name="Line 327">
          <a:extLst>
            <a:ext uri="{FF2B5EF4-FFF2-40B4-BE49-F238E27FC236}">
              <a16:creationId xmlns:a16="http://schemas.microsoft.com/office/drawing/2014/main" id="{00000000-0008-0000-0C00-0000BA511000}"/>
            </a:ext>
          </a:extLst>
        </xdr:cNvPr>
        <xdr:cNvSpPr>
          <a:spLocks noChangeShapeType="1"/>
        </xdr:cNvSpPr>
      </xdr:nvSpPr>
      <xdr:spPr bwMode="auto">
        <a:xfrm>
          <a:off x="854868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9525</xdr:colOff>
      <xdr:row>17</xdr:row>
      <xdr:rowOff>0</xdr:rowOff>
    </xdr:from>
    <xdr:to>
      <xdr:col>125</xdr:col>
      <xdr:colOff>66675</xdr:colOff>
      <xdr:row>17</xdr:row>
      <xdr:rowOff>9525</xdr:rowOff>
    </xdr:to>
    <xdr:sp macro="" textlink="">
      <xdr:nvSpPr>
        <xdr:cNvPr id="1069499" name="Line 328">
          <a:extLst>
            <a:ext uri="{FF2B5EF4-FFF2-40B4-BE49-F238E27FC236}">
              <a16:creationId xmlns:a16="http://schemas.microsoft.com/office/drawing/2014/main" id="{00000000-0008-0000-0C00-0000BB511000}"/>
            </a:ext>
          </a:extLst>
        </xdr:cNvPr>
        <xdr:cNvSpPr>
          <a:spLocks noChangeShapeType="1"/>
        </xdr:cNvSpPr>
      </xdr:nvSpPr>
      <xdr:spPr bwMode="auto">
        <a:xfrm flipV="1">
          <a:off x="854297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0</xdr:colOff>
      <xdr:row>14</xdr:row>
      <xdr:rowOff>0</xdr:rowOff>
    </xdr:from>
    <xdr:to>
      <xdr:col>128</xdr:col>
      <xdr:colOff>76200</xdr:colOff>
      <xdr:row>14</xdr:row>
      <xdr:rowOff>9525</xdr:rowOff>
    </xdr:to>
    <xdr:sp macro="" textlink="">
      <xdr:nvSpPr>
        <xdr:cNvPr id="1069500" name="Line 329">
          <a:extLst>
            <a:ext uri="{FF2B5EF4-FFF2-40B4-BE49-F238E27FC236}">
              <a16:creationId xmlns:a16="http://schemas.microsoft.com/office/drawing/2014/main" id="{00000000-0008-0000-0C00-0000BC511000}"/>
            </a:ext>
          </a:extLst>
        </xdr:cNvPr>
        <xdr:cNvSpPr>
          <a:spLocks noChangeShapeType="1"/>
        </xdr:cNvSpPr>
      </xdr:nvSpPr>
      <xdr:spPr bwMode="auto">
        <a:xfrm>
          <a:off x="875157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66675</xdr:colOff>
      <xdr:row>14</xdr:row>
      <xdr:rowOff>9525</xdr:rowOff>
    </xdr:from>
    <xdr:to>
      <xdr:col>128</xdr:col>
      <xdr:colOff>66675</xdr:colOff>
      <xdr:row>17</xdr:row>
      <xdr:rowOff>19050</xdr:rowOff>
    </xdr:to>
    <xdr:sp macro="" textlink="">
      <xdr:nvSpPr>
        <xdr:cNvPr id="1069501" name="Line 330">
          <a:extLst>
            <a:ext uri="{FF2B5EF4-FFF2-40B4-BE49-F238E27FC236}">
              <a16:creationId xmlns:a16="http://schemas.microsoft.com/office/drawing/2014/main" id="{00000000-0008-0000-0C00-0000BD511000}"/>
            </a:ext>
          </a:extLst>
        </xdr:cNvPr>
        <xdr:cNvSpPr>
          <a:spLocks noChangeShapeType="1"/>
        </xdr:cNvSpPr>
      </xdr:nvSpPr>
      <xdr:spPr bwMode="auto">
        <a:xfrm>
          <a:off x="875823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9525</xdr:colOff>
      <xdr:row>17</xdr:row>
      <xdr:rowOff>0</xdr:rowOff>
    </xdr:from>
    <xdr:to>
      <xdr:col>128</xdr:col>
      <xdr:colOff>66675</xdr:colOff>
      <xdr:row>17</xdr:row>
      <xdr:rowOff>9525</xdr:rowOff>
    </xdr:to>
    <xdr:sp macro="" textlink="">
      <xdr:nvSpPr>
        <xdr:cNvPr id="1069502" name="Line 331">
          <a:extLst>
            <a:ext uri="{FF2B5EF4-FFF2-40B4-BE49-F238E27FC236}">
              <a16:creationId xmlns:a16="http://schemas.microsoft.com/office/drawing/2014/main" id="{00000000-0008-0000-0C00-0000BE511000}"/>
            </a:ext>
          </a:extLst>
        </xdr:cNvPr>
        <xdr:cNvSpPr>
          <a:spLocks noChangeShapeType="1"/>
        </xdr:cNvSpPr>
      </xdr:nvSpPr>
      <xdr:spPr bwMode="auto">
        <a:xfrm flipV="1">
          <a:off x="875252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0</xdr:colOff>
      <xdr:row>14</xdr:row>
      <xdr:rowOff>0</xdr:rowOff>
    </xdr:from>
    <xdr:to>
      <xdr:col>128</xdr:col>
      <xdr:colOff>76200</xdr:colOff>
      <xdr:row>14</xdr:row>
      <xdr:rowOff>9525</xdr:rowOff>
    </xdr:to>
    <xdr:sp macro="" textlink="">
      <xdr:nvSpPr>
        <xdr:cNvPr id="1069503" name="Line 332">
          <a:extLst>
            <a:ext uri="{FF2B5EF4-FFF2-40B4-BE49-F238E27FC236}">
              <a16:creationId xmlns:a16="http://schemas.microsoft.com/office/drawing/2014/main" id="{00000000-0008-0000-0C00-0000BF511000}"/>
            </a:ext>
          </a:extLst>
        </xdr:cNvPr>
        <xdr:cNvSpPr>
          <a:spLocks noChangeShapeType="1"/>
        </xdr:cNvSpPr>
      </xdr:nvSpPr>
      <xdr:spPr bwMode="auto">
        <a:xfrm>
          <a:off x="875157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66675</xdr:colOff>
      <xdr:row>14</xdr:row>
      <xdr:rowOff>9525</xdr:rowOff>
    </xdr:from>
    <xdr:to>
      <xdr:col>128</xdr:col>
      <xdr:colOff>66675</xdr:colOff>
      <xdr:row>17</xdr:row>
      <xdr:rowOff>19050</xdr:rowOff>
    </xdr:to>
    <xdr:sp macro="" textlink="">
      <xdr:nvSpPr>
        <xdr:cNvPr id="1069504" name="Line 333">
          <a:extLst>
            <a:ext uri="{FF2B5EF4-FFF2-40B4-BE49-F238E27FC236}">
              <a16:creationId xmlns:a16="http://schemas.microsoft.com/office/drawing/2014/main" id="{00000000-0008-0000-0C00-0000C0511000}"/>
            </a:ext>
          </a:extLst>
        </xdr:cNvPr>
        <xdr:cNvSpPr>
          <a:spLocks noChangeShapeType="1"/>
        </xdr:cNvSpPr>
      </xdr:nvSpPr>
      <xdr:spPr bwMode="auto">
        <a:xfrm>
          <a:off x="875823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9525</xdr:colOff>
      <xdr:row>17</xdr:row>
      <xdr:rowOff>0</xdr:rowOff>
    </xdr:from>
    <xdr:to>
      <xdr:col>128</xdr:col>
      <xdr:colOff>66675</xdr:colOff>
      <xdr:row>17</xdr:row>
      <xdr:rowOff>9525</xdr:rowOff>
    </xdr:to>
    <xdr:sp macro="" textlink="">
      <xdr:nvSpPr>
        <xdr:cNvPr id="1069505" name="Line 334">
          <a:extLst>
            <a:ext uri="{FF2B5EF4-FFF2-40B4-BE49-F238E27FC236}">
              <a16:creationId xmlns:a16="http://schemas.microsoft.com/office/drawing/2014/main" id="{00000000-0008-0000-0C00-0000C1511000}"/>
            </a:ext>
          </a:extLst>
        </xdr:cNvPr>
        <xdr:cNvSpPr>
          <a:spLocks noChangeShapeType="1"/>
        </xdr:cNvSpPr>
      </xdr:nvSpPr>
      <xdr:spPr bwMode="auto">
        <a:xfrm flipV="1">
          <a:off x="875252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76200</xdr:colOff>
      <xdr:row>15</xdr:row>
      <xdr:rowOff>66675</xdr:rowOff>
    </xdr:from>
    <xdr:to>
      <xdr:col>129</xdr:col>
      <xdr:colOff>9525</xdr:colOff>
      <xdr:row>17</xdr:row>
      <xdr:rowOff>19050</xdr:rowOff>
    </xdr:to>
    <xdr:sp macro="" textlink="">
      <xdr:nvSpPr>
        <xdr:cNvPr id="1069506" name="Line 335">
          <a:extLst>
            <a:ext uri="{FF2B5EF4-FFF2-40B4-BE49-F238E27FC236}">
              <a16:creationId xmlns:a16="http://schemas.microsoft.com/office/drawing/2014/main" id="{00000000-0008-0000-0C00-0000C2511000}"/>
            </a:ext>
          </a:extLst>
        </xdr:cNvPr>
        <xdr:cNvSpPr>
          <a:spLocks noChangeShapeType="1"/>
        </xdr:cNvSpPr>
      </xdr:nvSpPr>
      <xdr:spPr bwMode="auto">
        <a:xfrm>
          <a:off x="87591900" y="33813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128</xdr:col>
      <xdr:colOff>0</xdr:colOff>
      <xdr:row>14</xdr:row>
      <xdr:rowOff>0</xdr:rowOff>
    </xdr:from>
    <xdr:to>
      <xdr:col>128</xdr:col>
      <xdr:colOff>76200</xdr:colOff>
      <xdr:row>14</xdr:row>
      <xdr:rowOff>9525</xdr:rowOff>
    </xdr:to>
    <xdr:sp macro="" textlink="">
      <xdr:nvSpPr>
        <xdr:cNvPr id="1069507" name="Line 336">
          <a:extLst>
            <a:ext uri="{FF2B5EF4-FFF2-40B4-BE49-F238E27FC236}">
              <a16:creationId xmlns:a16="http://schemas.microsoft.com/office/drawing/2014/main" id="{00000000-0008-0000-0C00-0000C3511000}"/>
            </a:ext>
          </a:extLst>
        </xdr:cNvPr>
        <xdr:cNvSpPr>
          <a:spLocks noChangeShapeType="1"/>
        </xdr:cNvSpPr>
      </xdr:nvSpPr>
      <xdr:spPr bwMode="auto">
        <a:xfrm>
          <a:off x="875157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66675</xdr:colOff>
      <xdr:row>14</xdr:row>
      <xdr:rowOff>9525</xdr:rowOff>
    </xdr:from>
    <xdr:to>
      <xdr:col>128</xdr:col>
      <xdr:colOff>66675</xdr:colOff>
      <xdr:row>17</xdr:row>
      <xdr:rowOff>19050</xdr:rowOff>
    </xdr:to>
    <xdr:sp macro="" textlink="">
      <xdr:nvSpPr>
        <xdr:cNvPr id="1069508" name="Line 337">
          <a:extLst>
            <a:ext uri="{FF2B5EF4-FFF2-40B4-BE49-F238E27FC236}">
              <a16:creationId xmlns:a16="http://schemas.microsoft.com/office/drawing/2014/main" id="{00000000-0008-0000-0C00-0000C4511000}"/>
            </a:ext>
          </a:extLst>
        </xdr:cNvPr>
        <xdr:cNvSpPr>
          <a:spLocks noChangeShapeType="1"/>
        </xdr:cNvSpPr>
      </xdr:nvSpPr>
      <xdr:spPr bwMode="auto">
        <a:xfrm>
          <a:off x="875823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9525</xdr:colOff>
      <xdr:row>17</xdr:row>
      <xdr:rowOff>0</xdr:rowOff>
    </xdr:from>
    <xdr:to>
      <xdr:col>128</xdr:col>
      <xdr:colOff>66675</xdr:colOff>
      <xdr:row>17</xdr:row>
      <xdr:rowOff>9525</xdr:rowOff>
    </xdr:to>
    <xdr:sp macro="" textlink="">
      <xdr:nvSpPr>
        <xdr:cNvPr id="1069509" name="Line 338">
          <a:extLst>
            <a:ext uri="{FF2B5EF4-FFF2-40B4-BE49-F238E27FC236}">
              <a16:creationId xmlns:a16="http://schemas.microsoft.com/office/drawing/2014/main" id="{00000000-0008-0000-0C00-0000C5511000}"/>
            </a:ext>
          </a:extLst>
        </xdr:cNvPr>
        <xdr:cNvSpPr>
          <a:spLocks noChangeShapeType="1"/>
        </xdr:cNvSpPr>
      </xdr:nvSpPr>
      <xdr:spPr bwMode="auto">
        <a:xfrm flipV="1">
          <a:off x="875252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76200</xdr:colOff>
      <xdr:row>13</xdr:row>
      <xdr:rowOff>161925</xdr:rowOff>
    </xdr:from>
    <xdr:to>
      <xdr:col>129</xdr:col>
      <xdr:colOff>0</xdr:colOff>
      <xdr:row>15</xdr:row>
      <xdr:rowOff>47625</xdr:rowOff>
    </xdr:to>
    <xdr:sp macro="" textlink="">
      <xdr:nvSpPr>
        <xdr:cNvPr id="1069510" name="Line 339">
          <a:extLst>
            <a:ext uri="{FF2B5EF4-FFF2-40B4-BE49-F238E27FC236}">
              <a16:creationId xmlns:a16="http://schemas.microsoft.com/office/drawing/2014/main" id="{00000000-0008-0000-0C00-0000C6511000}"/>
            </a:ext>
          </a:extLst>
        </xdr:cNvPr>
        <xdr:cNvSpPr>
          <a:spLocks noChangeShapeType="1"/>
        </xdr:cNvSpPr>
      </xdr:nvSpPr>
      <xdr:spPr bwMode="auto">
        <a:xfrm flipV="1">
          <a:off x="87591900" y="3114675"/>
          <a:ext cx="333375"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125</xdr:col>
      <xdr:colOff>0</xdr:colOff>
      <xdr:row>14</xdr:row>
      <xdr:rowOff>0</xdr:rowOff>
    </xdr:from>
    <xdr:to>
      <xdr:col>125</xdr:col>
      <xdr:colOff>76200</xdr:colOff>
      <xdr:row>14</xdr:row>
      <xdr:rowOff>9525</xdr:rowOff>
    </xdr:to>
    <xdr:sp macro="" textlink="">
      <xdr:nvSpPr>
        <xdr:cNvPr id="1069511" name="Line 340">
          <a:extLst>
            <a:ext uri="{FF2B5EF4-FFF2-40B4-BE49-F238E27FC236}">
              <a16:creationId xmlns:a16="http://schemas.microsoft.com/office/drawing/2014/main" id="{00000000-0008-0000-0C00-0000C7511000}"/>
            </a:ext>
          </a:extLst>
        </xdr:cNvPr>
        <xdr:cNvSpPr>
          <a:spLocks noChangeShapeType="1"/>
        </xdr:cNvSpPr>
      </xdr:nvSpPr>
      <xdr:spPr bwMode="auto">
        <a:xfrm>
          <a:off x="854202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66675</xdr:colOff>
      <xdr:row>14</xdr:row>
      <xdr:rowOff>9525</xdr:rowOff>
    </xdr:from>
    <xdr:to>
      <xdr:col>125</xdr:col>
      <xdr:colOff>66675</xdr:colOff>
      <xdr:row>17</xdr:row>
      <xdr:rowOff>19050</xdr:rowOff>
    </xdr:to>
    <xdr:sp macro="" textlink="">
      <xdr:nvSpPr>
        <xdr:cNvPr id="1069512" name="Line 341">
          <a:extLst>
            <a:ext uri="{FF2B5EF4-FFF2-40B4-BE49-F238E27FC236}">
              <a16:creationId xmlns:a16="http://schemas.microsoft.com/office/drawing/2014/main" id="{00000000-0008-0000-0C00-0000C8511000}"/>
            </a:ext>
          </a:extLst>
        </xdr:cNvPr>
        <xdr:cNvSpPr>
          <a:spLocks noChangeShapeType="1"/>
        </xdr:cNvSpPr>
      </xdr:nvSpPr>
      <xdr:spPr bwMode="auto">
        <a:xfrm>
          <a:off x="854868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9525</xdr:colOff>
      <xdr:row>17</xdr:row>
      <xdr:rowOff>0</xdr:rowOff>
    </xdr:from>
    <xdr:to>
      <xdr:col>125</xdr:col>
      <xdr:colOff>66675</xdr:colOff>
      <xdr:row>17</xdr:row>
      <xdr:rowOff>9525</xdr:rowOff>
    </xdr:to>
    <xdr:sp macro="" textlink="">
      <xdr:nvSpPr>
        <xdr:cNvPr id="1069513" name="Line 342">
          <a:extLst>
            <a:ext uri="{FF2B5EF4-FFF2-40B4-BE49-F238E27FC236}">
              <a16:creationId xmlns:a16="http://schemas.microsoft.com/office/drawing/2014/main" id="{00000000-0008-0000-0C00-0000C9511000}"/>
            </a:ext>
          </a:extLst>
        </xdr:cNvPr>
        <xdr:cNvSpPr>
          <a:spLocks noChangeShapeType="1"/>
        </xdr:cNvSpPr>
      </xdr:nvSpPr>
      <xdr:spPr bwMode="auto">
        <a:xfrm flipV="1">
          <a:off x="854297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122</xdr:col>
      <xdr:colOff>0</xdr:colOff>
      <xdr:row>20</xdr:row>
      <xdr:rowOff>0</xdr:rowOff>
    </xdr:from>
    <xdr:to>
      <xdr:col>122</xdr:col>
      <xdr:colOff>76200</xdr:colOff>
      <xdr:row>20</xdr:row>
      <xdr:rowOff>9525</xdr:rowOff>
    </xdr:to>
    <xdr:sp macro="" textlink="">
      <xdr:nvSpPr>
        <xdr:cNvPr id="1069514" name="Line 343">
          <a:extLst>
            <a:ext uri="{FF2B5EF4-FFF2-40B4-BE49-F238E27FC236}">
              <a16:creationId xmlns:a16="http://schemas.microsoft.com/office/drawing/2014/main" id="{00000000-0008-0000-0C00-0000CA511000}"/>
            </a:ext>
          </a:extLst>
        </xdr:cNvPr>
        <xdr:cNvSpPr>
          <a:spLocks noChangeShapeType="1"/>
        </xdr:cNvSpPr>
      </xdr:nvSpPr>
      <xdr:spPr bwMode="auto">
        <a:xfrm>
          <a:off x="8325802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122</xdr:col>
      <xdr:colOff>57150</xdr:colOff>
      <xdr:row>20</xdr:row>
      <xdr:rowOff>0</xdr:rowOff>
    </xdr:from>
    <xdr:to>
      <xdr:col>122</xdr:col>
      <xdr:colOff>57150</xdr:colOff>
      <xdr:row>23</xdr:row>
      <xdr:rowOff>9525</xdr:rowOff>
    </xdr:to>
    <xdr:sp macro="" textlink="">
      <xdr:nvSpPr>
        <xdr:cNvPr id="1069515" name="Line 344">
          <a:extLst>
            <a:ext uri="{FF2B5EF4-FFF2-40B4-BE49-F238E27FC236}">
              <a16:creationId xmlns:a16="http://schemas.microsoft.com/office/drawing/2014/main" id="{00000000-0008-0000-0C00-0000CB511000}"/>
            </a:ext>
          </a:extLst>
        </xdr:cNvPr>
        <xdr:cNvSpPr>
          <a:spLocks noChangeShapeType="1"/>
        </xdr:cNvSpPr>
      </xdr:nvSpPr>
      <xdr:spPr bwMode="auto">
        <a:xfrm flipH="1">
          <a:off x="83315175" y="4219575"/>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122</xdr:col>
      <xdr:colOff>9525</xdr:colOff>
      <xdr:row>23</xdr:row>
      <xdr:rowOff>0</xdr:rowOff>
    </xdr:from>
    <xdr:to>
      <xdr:col>122</xdr:col>
      <xdr:colOff>66675</xdr:colOff>
      <xdr:row>23</xdr:row>
      <xdr:rowOff>9525</xdr:rowOff>
    </xdr:to>
    <xdr:sp macro="" textlink="">
      <xdr:nvSpPr>
        <xdr:cNvPr id="1069516" name="Line 345">
          <a:extLst>
            <a:ext uri="{FF2B5EF4-FFF2-40B4-BE49-F238E27FC236}">
              <a16:creationId xmlns:a16="http://schemas.microsoft.com/office/drawing/2014/main" id="{00000000-0008-0000-0C00-0000CC511000}"/>
            </a:ext>
          </a:extLst>
        </xdr:cNvPr>
        <xdr:cNvSpPr>
          <a:spLocks noChangeShapeType="1"/>
        </xdr:cNvSpPr>
      </xdr:nvSpPr>
      <xdr:spPr bwMode="auto">
        <a:xfrm flipV="1">
          <a:off x="8326755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0</xdr:colOff>
      <xdr:row>20</xdr:row>
      <xdr:rowOff>0</xdr:rowOff>
    </xdr:from>
    <xdr:to>
      <xdr:col>125</xdr:col>
      <xdr:colOff>76200</xdr:colOff>
      <xdr:row>20</xdr:row>
      <xdr:rowOff>9525</xdr:rowOff>
    </xdr:to>
    <xdr:sp macro="" textlink="">
      <xdr:nvSpPr>
        <xdr:cNvPr id="1069517" name="Line 346">
          <a:extLst>
            <a:ext uri="{FF2B5EF4-FFF2-40B4-BE49-F238E27FC236}">
              <a16:creationId xmlns:a16="http://schemas.microsoft.com/office/drawing/2014/main" id="{00000000-0008-0000-0C00-0000CD511000}"/>
            </a:ext>
          </a:extLst>
        </xdr:cNvPr>
        <xdr:cNvSpPr>
          <a:spLocks noChangeShapeType="1"/>
        </xdr:cNvSpPr>
      </xdr:nvSpPr>
      <xdr:spPr bwMode="auto">
        <a:xfrm>
          <a:off x="854202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66675</xdr:colOff>
      <xdr:row>20</xdr:row>
      <xdr:rowOff>9525</xdr:rowOff>
    </xdr:from>
    <xdr:to>
      <xdr:col>125</xdr:col>
      <xdr:colOff>66675</xdr:colOff>
      <xdr:row>23</xdr:row>
      <xdr:rowOff>19050</xdr:rowOff>
    </xdr:to>
    <xdr:sp macro="" textlink="">
      <xdr:nvSpPr>
        <xdr:cNvPr id="1069518" name="Line 347">
          <a:extLst>
            <a:ext uri="{FF2B5EF4-FFF2-40B4-BE49-F238E27FC236}">
              <a16:creationId xmlns:a16="http://schemas.microsoft.com/office/drawing/2014/main" id="{00000000-0008-0000-0C00-0000CE511000}"/>
            </a:ext>
          </a:extLst>
        </xdr:cNvPr>
        <xdr:cNvSpPr>
          <a:spLocks noChangeShapeType="1"/>
        </xdr:cNvSpPr>
      </xdr:nvSpPr>
      <xdr:spPr bwMode="auto">
        <a:xfrm>
          <a:off x="8548687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9525</xdr:colOff>
      <xdr:row>23</xdr:row>
      <xdr:rowOff>0</xdr:rowOff>
    </xdr:from>
    <xdr:to>
      <xdr:col>125</xdr:col>
      <xdr:colOff>66675</xdr:colOff>
      <xdr:row>23</xdr:row>
      <xdr:rowOff>9525</xdr:rowOff>
    </xdr:to>
    <xdr:sp macro="" textlink="">
      <xdr:nvSpPr>
        <xdr:cNvPr id="1069519" name="Line 348">
          <a:extLst>
            <a:ext uri="{FF2B5EF4-FFF2-40B4-BE49-F238E27FC236}">
              <a16:creationId xmlns:a16="http://schemas.microsoft.com/office/drawing/2014/main" id="{00000000-0008-0000-0C00-0000CF511000}"/>
            </a:ext>
          </a:extLst>
        </xdr:cNvPr>
        <xdr:cNvSpPr>
          <a:spLocks noChangeShapeType="1"/>
        </xdr:cNvSpPr>
      </xdr:nvSpPr>
      <xdr:spPr bwMode="auto">
        <a:xfrm flipV="1">
          <a:off x="854297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0</xdr:colOff>
      <xdr:row>20</xdr:row>
      <xdr:rowOff>0</xdr:rowOff>
    </xdr:from>
    <xdr:to>
      <xdr:col>128</xdr:col>
      <xdr:colOff>76200</xdr:colOff>
      <xdr:row>20</xdr:row>
      <xdr:rowOff>9525</xdr:rowOff>
    </xdr:to>
    <xdr:sp macro="" textlink="">
      <xdr:nvSpPr>
        <xdr:cNvPr id="1069520" name="Line 349">
          <a:extLst>
            <a:ext uri="{FF2B5EF4-FFF2-40B4-BE49-F238E27FC236}">
              <a16:creationId xmlns:a16="http://schemas.microsoft.com/office/drawing/2014/main" id="{00000000-0008-0000-0C00-0000D0511000}"/>
            </a:ext>
          </a:extLst>
        </xdr:cNvPr>
        <xdr:cNvSpPr>
          <a:spLocks noChangeShapeType="1"/>
        </xdr:cNvSpPr>
      </xdr:nvSpPr>
      <xdr:spPr bwMode="auto">
        <a:xfrm>
          <a:off x="875157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66675</xdr:colOff>
      <xdr:row>20</xdr:row>
      <xdr:rowOff>9525</xdr:rowOff>
    </xdr:from>
    <xdr:to>
      <xdr:col>128</xdr:col>
      <xdr:colOff>66675</xdr:colOff>
      <xdr:row>23</xdr:row>
      <xdr:rowOff>19050</xdr:rowOff>
    </xdr:to>
    <xdr:sp macro="" textlink="">
      <xdr:nvSpPr>
        <xdr:cNvPr id="1069521" name="Line 350">
          <a:extLst>
            <a:ext uri="{FF2B5EF4-FFF2-40B4-BE49-F238E27FC236}">
              <a16:creationId xmlns:a16="http://schemas.microsoft.com/office/drawing/2014/main" id="{00000000-0008-0000-0C00-0000D1511000}"/>
            </a:ext>
          </a:extLst>
        </xdr:cNvPr>
        <xdr:cNvSpPr>
          <a:spLocks noChangeShapeType="1"/>
        </xdr:cNvSpPr>
      </xdr:nvSpPr>
      <xdr:spPr bwMode="auto">
        <a:xfrm>
          <a:off x="8758237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9525</xdr:colOff>
      <xdr:row>23</xdr:row>
      <xdr:rowOff>0</xdr:rowOff>
    </xdr:from>
    <xdr:to>
      <xdr:col>128</xdr:col>
      <xdr:colOff>66675</xdr:colOff>
      <xdr:row>23</xdr:row>
      <xdr:rowOff>9525</xdr:rowOff>
    </xdr:to>
    <xdr:sp macro="" textlink="">
      <xdr:nvSpPr>
        <xdr:cNvPr id="1069522" name="Line 351">
          <a:extLst>
            <a:ext uri="{FF2B5EF4-FFF2-40B4-BE49-F238E27FC236}">
              <a16:creationId xmlns:a16="http://schemas.microsoft.com/office/drawing/2014/main" id="{00000000-0008-0000-0C00-0000D2511000}"/>
            </a:ext>
          </a:extLst>
        </xdr:cNvPr>
        <xdr:cNvSpPr>
          <a:spLocks noChangeShapeType="1"/>
        </xdr:cNvSpPr>
      </xdr:nvSpPr>
      <xdr:spPr bwMode="auto">
        <a:xfrm flipV="1">
          <a:off x="875252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0</xdr:colOff>
      <xdr:row>20</xdr:row>
      <xdr:rowOff>0</xdr:rowOff>
    </xdr:from>
    <xdr:to>
      <xdr:col>128</xdr:col>
      <xdr:colOff>76200</xdr:colOff>
      <xdr:row>20</xdr:row>
      <xdr:rowOff>9525</xdr:rowOff>
    </xdr:to>
    <xdr:sp macro="" textlink="">
      <xdr:nvSpPr>
        <xdr:cNvPr id="1069523" name="Line 352">
          <a:extLst>
            <a:ext uri="{FF2B5EF4-FFF2-40B4-BE49-F238E27FC236}">
              <a16:creationId xmlns:a16="http://schemas.microsoft.com/office/drawing/2014/main" id="{00000000-0008-0000-0C00-0000D3511000}"/>
            </a:ext>
          </a:extLst>
        </xdr:cNvPr>
        <xdr:cNvSpPr>
          <a:spLocks noChangeShapeType="1"/>
        </xdr:cNvSpPr>
      </xdr:nvSpPr>
      <xdr:spPr bwMode="auto">
        <a:xfrm>
          <a:off x="875157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66675</xdr:colOff>
      <xdr:row>20</xdr:row>
      <xdr:rowOff>9525</xdr:rowOff>
    </xdr:from>
    <xdr:to>
      <xdr:col>128</xdr:col>
      <xdr:colOff>66675</xdr:colOff>
      <xdr:row>23</xdr:row>
      <xdr:rowOff>19050</xdr:rowOff>
    </xdr:to>
    <xdr:sp macro="" textlink="">
      <xdr:nvSpPr>
        <xdr:cNvPr id="1069524" name="Line 353">
          <a:extLst>
            <a:ext uri="{FF2B5EF4-FFF2-40B4-BE49-F238E27FC236}">
              <a16:creationId xmlns:a16="http://schemas.microsoft.com/office/drawing/2014/main" id="{00000000-0008-0000-0C00-0000D4511000}"/>
            </a:ext>
          </a:extLst>
        </xdr:cNvPr>
        <xdr:cNvSpPr>
          <a:spLocks noChangeShapeType="1"/>
        </xdr:cNvSpPr>
      </xdr:nvSpPr>
      <xdr:spPr bwMode="auto">
        <a:xfrm>
          <a:off x="8758237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9525</xdr:colOff>
      <xdr:row>23</xdr:row>
      <xdr:rowOff>0</xdr:rowOff>
    </xdr:from>
    <xdr:to>
      <xdr:col>128</xdr:col>
      <xdr:colOff>66675</xdr:colOff>
      <xdr:row>23</xdr:row>
      <xdr:rowOff>9525</xdr:rowOff>
    </xdr:to>
    <xdr:sp macro="" textlink="">
      <xdr:nvSpPr>
        <xdr:cNvPr id="1069525" name="Line 354">
          <a:extLst>
            <a:ext uri="{FF2B5EF4-FFF2-40B4-BE49-F238E27FC236}">
              <a16:creationId xmlns:a16="http://schemas.microsoft.com/office/drawing/2014/main" id="{00000000-0008-0000-0C00-0000D5511000}"/>
            </a:ext>
          </a:extLst>
        </xdr:cNvPr>
        <xdr:cNvSpPr>
          <a:spLocks noChangeShapeType="1"/>
        </xdr:cNvSpPr>
      </xdr:nvSpPr>
      <xdr:spPr bwMode="auto">
        <a:xfrm flipV="1">
          <a:off x="875252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66675</xdr:colOff>
      <xdr:row>21</xdr:row>
      <xdr:rowOff>114300</xdr:rowOff>
    </xdr:from>
    <xdr:to>
      <xdr:col>129</xdr:col>
      <xdr:colOff>0</xdr:colOff>
      <xdr:row>23</xdr:row>
      <xdr:rowOff>0</xdr:rowOff>
    </xdr:to>
    <xdr:sp macro="" textlink="">
      <xdr:nvSpPr>
        <xdr:cNvPr id="1069526" name="Line 355">
          <a:extLst>
            <a:ext uri="{FF2B5EF4-FFF2-40B4-BE49-F238E27FC236}">
              <a16:creationId xmlns:a16="http://schemas.microsoft.com/office/drawing/2014/main" id="{00000000-0008-0000-0C00-0000D6511000}"/>
            </a:ext>
          </a:extLst>
        </xdr:cNvPr>
        <xdr:cNvSpPr>
          <a:spLocks noChangeShapeType="1"/>
        </xdr:cNvSpPr>
      </xdr:nvSpPr>
      <xdr:spPr bwMode="auto">
        <a:xfrm>
          <a:off x="87582375" y="4514850"/>
          <a:ext cx="342900" cy="2476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128</xdr:col>
      <xdr:colOff>0</xdr:colOff>
      <xdr:row>20</xdr:row>
      <xdr:rowOff>0</xdr:rowOff>
    </xdr:from>
    <xdr:to>
      <xdr:col>128</xdr:col>
      <xdr:colOff>76200</xdr:colOff>
      <xdr:row>20</xdr:row>
      <xdr:rowOff>9525</xdr:rowOff>
    </xdr:to>
    <xdr:sp macro="" textlink="">
      <xdr:nvSpPr>
        <xdr:cNvPr id="1069527" name="Line 356">
          <a:extLst>
            <a:ext uri="{FF2B5EF4-FFF2-40B4-BE49-F238E27FC236}">
              <a16:creationId xmlns:a16="http://schemas.microsoft.com/office/drawing/2014/main" id="{00000000-0008-0000-0C00-0000D7511000}"/>
            </a:ext>
          </a:extLst>
        </xdr:cNvPr>
        <xdr:cNvSpPr>
          <a:spLocks noChangeShapeType="1"/>
        </xdr:cNvSpPr>
      </xdr:nvSpPr>
      <xdr:spPr bwMode="auto">
        <a:xfrm>
          <a:off x="875157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9525</xdr:colOff>
      <xdr:row>23</xdr:row>
      <xdr:rowOff>0</xdr:rowOff>
    </xdr:from>
    <xdr:to>
      <xdr:col>128</xdr:col>
      <xdr:colOff>66675</xdr:colOff>
      <xdr:row>23</xdr:row>
      <xdr:rowOff>9525</xdr:rowOff>
    </xdr:to>
    <xdr:sp macro="" textlink="">
      <xdr:nvSpPr>
        <xdr:cNvPr id="1069528" name="Line 358">
          <a:extLst>
            <a:ext uri="{FF2B5EF4-FFF2-40B4-BE49-F238E27FC236}">
              <a16:creationId xmlns:a16="http://schemas.microsoft.com/office/drawing/2014/main" id="{00000000-0008-0000-0C00-0000D8511000}"/>
            </a:ext>
          </a:extLst>
        </xdr:cNvPr>
        <xdr:cNvSpPr>
          <a:spLocks noChangeShapeType="1"/>
        </xdr:cNvSpPr>
      </xdr:nvSpPr>
      <xdr:spPr bwMode="auto">
        <a:xfrm flipV="1">
          <a:off x="875252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66675</xdr:colOff>
      <xdr:row>19</xdr:row>
      <xdr:rowOff>161925</xdr:rowOff>
    </xdr:from>
    <xdr:to>
      <xdr:col>128</xdr:col>
      <xdr:colOff>400050</xdr:colOff>
      <xdr:row>21</xdr:row>
      <xdr:rowOff>114300</xdr:rowOff>
    </xdr:to>
    <xdr:sp macro="" textlink="">
      <xdr:nvSpPr>
        <xdr:cNvPr id="1069529" name="Line 359">
          <a:extLst>
            <a:ext uri="{FF2B5EF4-FFF2-40B4-BE49-F238E27FC236}">
              <a16:creationId xmlns:a16="http://schemas.microsoft.com/office/drawing/2014/main" id="{00000000-0008-0000-0C00-0000D9511000}"/>
            </a:ext>
          </a:extLst>
        </xdr:cNvPr>
        <xdr:cNvSpPr>
          <a:spLocks noChangeShapeType="1"/>
        </xdr:cNvSpPr>
      </xdr:nvSpPr>
      <xdr:spPr bwMode="auto">
        <a:xfrm flipV="1">
          <a:off x="87582375" y="4200525"/>
          <a:ext cx="333375" cy="3143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125</xdr:col>
      <xdr:colOff>0</xdr:colOff>
      <xdr:row>20</xdr:row>
      <xdr:rowOff>0</xdr:rowOff>
    </xdr:from>
    <xdr:to>
      <xdr:col>125</xdr:col>
      <xdr:colOff>76200</xdr:colOff>
      <xdr:row>20</xdr:row>
      <xdr:rowOff>9525</xdr:rowOff>
    </xdr:to>
    <xdr:sp macro="" textlink="">
      <xdr:nvSpPr>
        <xdr:cNvPr id="1069530" name="Line 360">
          <a:extLst>
            <a:ext uri="{FF2B5EF4-FFF2-40B4-BE49-F238E27FC236}">
              <a16:creationId xmlns:a16="http://schemas.microsoft.com/office/drawing/2014/main" id="{00000000-0008-0000-0C00-0000DA511000}"/>
            </a:ext>
          </a:extLst>
        </xdr:cNvPr>
        <xdr:cNvSpPr>
          <a:spLocks noChangeShapeType="1"/>
        </xdr:cNvSpPr>
      </xdr:nvSpPr>
      <xdr:spPr bwMode="auto">
        <a:xfrm>
          <a:off x="854202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57150</xdr:colOff>
      <xdr:row>20</xdr:row>
      <xdr:rowOff>9525</xdr:rowOff>
    </xdr:from>
    <xdr:to>
      <xdr:col>125</xdr:col>
      <xdr:colOff>66675</xdr:colOff>
      <xdr:row>23</xdr:row>
      <xdr:rowOff>0</xdr:rowOff>
    </xdr:to>
    <xdr:sp macro="" textlink="">
      <xdr:nvSpPr>
        <xdr:cNvPr id="1069531" name="Line 361">
          <a:extLst>
            <a:ext uri="{FF2B5EF4-FFF2-40B4-BE49-F238E27FC236}">
              <a16:creationId xmlns:a16="http://schemas.microsoft.com/office/drawing/2014/main" id="{00000000-0008-0000-0C00-0000DB511000}"/>
            </a:ext>
          </a:extLst>
        </xdr:cNvPr>
        <xdr:cNvSpPr>
          <a:spLocks noChangeShapeType="1"/>
        </xdr:cNvSpPr>
      </xdr:nvSpPr>
      <xdr:spPr bwMode="auto">
        <a:xfrm flipH="1">
          <a:off x="85477350" y="4229100"/>
          <a:ext cx="9525"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9525</xdr:colOff>
      <xdr:row>23</xdr:row>
      <xdr:rowOff>0</xdr:rowOff>
    </xdr:from>
    <xdr:to>
      <xdr:col>125</xdr:col>
      <xdr:colOff>66675</xdr:colOff>
      <xdr:row>23</xdr:row>
      <xdr:rowOff>9525</xdr:rowOff>
    </xdr:to>
    <xdr:sp macro="" textlink="">
      <xdr:nvSpPr>
        <xdr:cNvPr id="1069532" name="Line 362">
          <a:extLst>
            <a:ext uri="{FF2B5EF4-FFF2-40B4-BE49-F238E27FC236}">
              <a16:creationId xmlns:a16="http://schemas.microsoft.com/office/drawing/2014/main" id="{00000000-0008-0000-0C00-0000DC511000}"/>
            </a:ext>
          </a:extLst>
        </xdr:cNvPr>
        <xdr:cNvSpPr>
          <a:spLocks noChangeShapeType="1"/>
        </xdr:cNvSpPr>
      </xdr:nvSpPr>
      <xdr:spPr bwMode="auto">
        <a:xfrm flipV="1">
          <a:off x="854297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122</xdr:col>
      <xdr:colOff>66675</xdr:colOff>
      <xdr:row>21</xdr:row>
      <xdr:rowOff>85725</xdr:rowOff>
    </xdr:from>
    <xdr:to>
      <xdr:col>123</xdr:col>
      <xdr:colOff>9525</xdr:colOff>
      <xdr:row>26</xdr:row>
      <xdr:rowOff>19050</xdr:rowOff>
    </xdr:to>
    <xdr:sp macro="" textlink="">
      <xdr:nvSpPr>
        <xdr:cNvPr id="1069533" name="Line 363">
          <a:extLst>
            <a:ext uri="{FF2B5EF4-FFF2-40B4-BE49-F238E27FC236}">
              <a16:creationId xmlns:a16="http://schemas.microsoft.com/office/drawing/2014/main" id="{00000000-0008-0000-0C00-0000DD511000}"/>
            </a:ext>
          </a:extLst>
        </xdr:cNvPr>
        <xdr:cNvSpPr>
          <a:spLocks noChangeShapeType="1"/>
        </xdr:cNvSpPr>
      </xdr:nvSpPr>
      <xdr:spPr bwMode="auto">
        <a:xfrm>
          <a:off x="83324700" y="4486275"/>
          <a:ext cx="39052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125</xdr:col>
      <xdr:colOff>57150</xdr:colOff>
      <xdr:row>21</xdr:row>
      <xdr:rowOff>76200</xdr:rowOff>
    </xdr:from>
    <xdr:to>
      <xdr:col>125</xdr:col>
      <xdr:colOff>400050</xdr:colOff>
      <xdr:row>26</xdr:row>
      <xdr:rowOff>28575</xdr:rowOff>
    </xdr:to>
    <xdr:sp macro="" textlink="">
      <xdr:nvSpPr>
        <xdr:cNvPr id="1069534" name="Line 364">
          <a:extLst>
            <a:ext uri="{FF2B5EF4-FFF2-40B4-BE49-F238E27FC236}">
              <a16:creationId xmlns:a16="http://schemas.microsoft.com/office/drawing/2014/main" id="{00000000-0008-0000-0C00-0000DE511000}"/>
            </a:ext>
          </a:extLst>
        </xdr:cNvPr>
        <xdr:cNvSpPr>
          <a:spLocks noChangeShapeType="1"/>
        </xdr:cNvSpPr>
      </xdr:nvSpPr>
      <xdr:spPr bwMode="auto">
        <a:xfrm>
          <a:off x="85477350" y="4476750"/>
          <a:ext cx="342900" cy="8572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122</xdr:col>
      <xdr:colOff>66675</xdr:colOff>
      <xdr:row>15</xdr:row>
      <xdr:rowOff>57150</xdr:rowOff>
    </xdr:from>
    <xdr:to>
      <xdr:col>123</xdr:col>
      <xdr:colOff>0</xdr:colOff>
      <xdr:row>20</xdr:row>
      <xdr:rowOff>19050</xdr:rowOff>
    </xdr:to>
    <xdr:sp macro="" textlink="">
      <xdr:nvSpPr>
        <xdr:cNvPr id="1069535" name="Line 390">
          <a:extLst>
            <a:ext uri="{FF2B5EF4-FFF2-40B4-BE49-F238E27FC236}">
              <a16:creationId xmlns:a16="http://schemas.microsoft.com/office/drawing/2014/main" id="{00000000-0008-0000-0C00-0000DF511000}"/>
            </a:ext>
          </a:extLst>
        </xdr:cNvPr>
        <xdr:cNvSpPr>
          <a:spLocks noChangeShapeType="1"/>
        </xdr:cNvSpPr>
      </xdr:nvSpPr>
      <xdr:spPr bwMode="auto">
        <a:xfrm>
          <a:off x="83324700" y="3371850"/>
          <a:ext cx="38100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122</xdr:col>
      <xdr:colOff>66675</xdr:colOff>
      <xdr:row>11</xdr:row>
      <xdr:rowOff>28575</xdr:rowOff>
    </xdr:from>
    <xdr:to>
      <xdr:col>123</xdr:col>
      <xdr:colOff>19050</xdr:colOff>
      <xdr:row>15</xdr:row>
      <xdr:rowOff>85725</xdr:rowOff>
    </xdr:to>
    <xdr:sp macro="" textlink="">
      <xdr:nvSpPr>
        <xdr:cNvPr id="1069536" name="Line 391">
          <a:extLst>
            <a:ext uri="{FF2B5EF4-FFF2-40B4-BE49-F238E27FC236}">
              <a16:creationId xmlns:a16="http://schemas.microsoft.com/office/drawing/2014/main" id="{00000000-0008-0000-0C00-0000E0511000}"/>
            </a:ext>
          </a:extLst>
        </xdr:cNvPr>
        <xdr:cNvSpPr>
          <a:spLocks noChangeShapeType="1"/>
        </xdr:cNvSpPr>
      </xdr:nvSpPr>
      <xdr:spPr bwMode="auto">
        <a:xfrm flipV="1">
          <a:off x="83324700" y="2619375"/>
          <a:ext cx="400050" cy="781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122</xdr:col>
      <xdr:colOff>66675</xdr:colOff>
      <xdr:row>16</xdr:row>
      <xdr:rowOff>152400</xdr:rowOff>
    </xdr:from>
    <xdr:to>
      <xdr:col>123</xdr:col>
      <xdr:colOff>0</xdr:colOff>
      <xdr:row>21</xdr:row>
      <xdr:rowOff>76200</xdr:rowOff>
    </xdr:to>
    <xdr:sp macro="" textlink="">
      <xdr:nvSpPr>
        <xdr:cNvPr id="1069537" name="Line 392">
          <a:extLst>
            <a:ext uri="{FF2B5EF4-FFF2-40B4-BE49-F238E27FC236}">
              <a16:creationId xmlns:a16="http://schemas.microsoft.com/office/drawing/2014/main" id="{00000000-0008-0000-0C00-0000E1511000}"/>
            </a:ext>
          </a:extLst>
        </xdr:cNvPr>
        <xdr:cNvSpPr>
          <a:spLocks noChangeShapeType="1"/>
        </xdr:cNvSpPr>
      </xdr:nvSpPr>
      <xdr:spPr bwMode="auto">
        <a:xfrm flipV="1">
          <a:off x="83324700" y="3648075"/>
          <a:ext cx="381000" cy="8286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125</xdr:col>
      <xdr:colOff>76200</xdr:colOff>
      <xdr:row>11</xdr:row>
      <xdr:rowOff>28575</xdr:rowOff>
    </xdr:from>
    <xdr:to>
      <xdr:col>126</xdr:col>
      <xdr:colOff>0</xdr:colOff>
      <xdr:row>15</xdr:row>
      <xdr:rowOff>57150</xdr:rowOff>
    </xdr:to>
    <xdr:sp macro="" textlink="">
      <xdr:nvSpPr>
        <xdr:cNvPr id="1069538" name="Line 395">
          <a:extLst>
            <a:ext uri="{FF2B5EF4-FFF2-40B4-BE49-F238E27FC236}">
              <a16:creationId xmlns:a16="http://schemas.microsoft.com/office/drawing/2014/main" id="{00000000-0008-0000-0C00-0000E2511000}"/>
            </a:ext>
          </a:extLst>
        </xdr:cNvPr>
        <xdr:cNvSpPr>
          <a:spLocks noChangeShapeType="1"/>
        </xdr:cNvSpPr>
      </xdr:nvSpPr>
      <xdr:spPr bwMode="auto">
        <a:xfrm flipV="1">
          <a:off x="85496400" y="2619375"/>
          <a:ext cx="333375" cy="7524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125</xdr:col>
      <xdr:colOff>66675</xdr:colOff>
      <xdr:row>16</xdr:row>
      <xdr:rowOff>142875</xdr:rowOff>
    </xdr:from>
    <xdr:to>
      <xdr:col>126</xdr:col>
      <xdr:colOff>0</xdr:colOff>
      <xdr:row>21</xdr:row>
      <xdr:rowOff>66675</xdr:rowOff>
    </xdr:to>
    <xdr:sp macro="" textlink="">
      <xdr:nvSpPr>
        <xdr:cNvPr id="1069539" name="Line 396">
          <a:extLst>
            <a:ext uri="{FF2B5EF4-FFF2-40B4-BE49-F238E27FC236}">
              <a16:creationId xmlns:a16="http://schemas.microsoft.com/office/drawing/2014/main" id="{00000000-0008-0000-0C00-0000E3511000}"/>
            </a:ext>
          </a:extLst>
        </xdr:cNvPr>
        <xdr:cNvSpPr>
          <a:spLocks noChangeShapeType="1"/>
        </xdr:cNvSpPr>
      </xdr:nvSpPr>
      <xdr:spPr bwMode="auto">
        <a:xfrm flipV="1">
          <a:off x="85486875" y="3638550"/>
          <a:ext cx="342900" cy="8286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125</xdr:col>
      <xdr:colOff>76200</xdr:colOff>
      <xdr:row>15</xdr:row>
      <xdr:rowOff>57150</xdr:rowOff>
    </xdr:from>
    <xdr:to>
      <xdr:col>126</xdr:col>
      <xdr:colOff>0</xdr:colOff>
      <xdr:row>20</xdr:row>
      <xdr:rowOff>28575</xdr:rowOff>
    </xdr:to>
    <xdr:sp macro="" textlink="">
      <xdr:nvSpPr>
        <xdr:cNvPr id="1069540" name="Line 399">
          <a:extLst>
            <a:ext uri="{FF2B5EF4-FFF2-40B4-BE49-F238E27FC236}">
              <a16:creationId xmlns:a16="http://schemas.microsoft.com/office/drawing/2014/main" id="{00000000-0008-0000-0C00-0000E4511000}"/>
            </a:ext>
          </a:extLst>
        </xdr:cNvPr>
        <xdr:cNvSpPr>
          <a:spLocks noChangeShapeType="1"/>
        </xdr:cNvSpPr>
      </xdr:nvSpPr>
      <xdr:spPr bwMode="auto">
        <a:xfrm>
          <a:off x="85496400" y="3371850"/>
          <a:ext cx="333375" cy="8763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122</xdr:col>
      <xdr:colOff>0</xdr:colOff>
      <xdr:row>26</xdr:row>
      <xdr:rowOff>0</xdr:rowOff>
    </xdr:from>
    <xdr:to>
      <xdr:col>122</xdr:col>
      <xdr:colOff>76200</xdr:colOff>
      <xdr:row>26</xdr:row>
      <xdr:rowOff>9525</xdr:rowOff>
    </xdr:to>
    <xdr:sp macro="" textlink="">
      <xdr:nvSpPr>
        <xdr:cNvPr id="1069541" name="Line 343">
          <a:extLst>
            <a:ext uri="{FF2B5EF4-FFF2-40B4-BE49-F238E27FC236}">
              <a16:creationId xmlns:a16="http://schemas.microsoft.com/office/drawing/2014/main" id="{00000000-0008-0000-0C00-0000E5511000}"/>
            </a:ext>
          </a:extLst>
        </xdr:cNvPr>
        <xdr:cNvSpPr>
          <a:spLocks noChangeShapeType="1"/>
        </xdr:cNvSpPr>
      </xdr:nvSpPr>
      <xdr:spPr bwMode="auto">
        <a:xfrm>
          <a:off x="8325802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0</xdr:colOff>
      <xdr:row>26</xdr:row>
      <xdr:rowOff>0</xdr:rowOff>
    </xdr:from>
    <xdr:to>
      <xdr:col>125</xdr:col>
      <xdr:colOff>76200</xdr:colOff>
      <xdr:row>26</xdr:row>
      <xdr:rowOff>9525</xdr:rowOff>
    </xdr:to>
    <xdr:sp macro="" textlink="">
      <xdr:nvSpPr>
        <xdr:cNvPr id="1069542" name="Line 346">
          <a:extLst>
            <a:ext uri="{FF2B5EF4-FFF2-40B4-BE49-F238E27FC236}">
              <a16:creationId xmlns:a16="http://schemas.microsoft.com/office/drawing/2014/main" id="{00000000-0008-0000-0C00-0000E6511000}"/>
            </a:ext>
          </a:extLst>
        </xdr:cNvPr>
        <xdr:cNvSpPr>
          <a:spLocks noChangeShapeType="1"/>
        </xdr:cNvSpPr>
      </xdr:nvSpPr>
      <xdr:spPr bwMode="auto">
        <a:xfrm>
          <a:off x="8542020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0</xdr:colOff>
      <xdr:row>26</xdr:row>
      <xdr:rowOff>0</xdr:rowOff>
    </xdr:from>
    <xdr:to>
      <xdr:col>128</xdr:col>
      <xdr:colOff>76200</xdr:colOff>
      <xdr:row>26</xdr:row>
      <xdr:rowOff>9525</xdr:rowOff>
    </xdr:to>
    <xdr:sp macro="" textlink="">
      <xdr:nvSpPr>
        <xdr:cNvPr id="1069543" name="Line 349">
          <a:extLst>
            <a:ext uri="{FF2B5EF4-FFF2-40B4-BE49-F238E27FC236}">
              <a16:creationId xmlns:a16="http://schemas.microsoft.com/office/drawing/2014/main" id="{00000000-0008-0000-0C00-0000E7511000}"/>
            </a:ext>
          </a:extLst>
        </xdr:cNvPr>
        <xdr:cNvSpPr>
          <a:spLocks noChangeShapeType="1"/>
        </xdr:cNvSpPr>
      </xdr:nvSpPr>
      <xdr:spPr bwMode="auto">
        <a:xfrm>
          <a:off x="8751570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0</xdr:colOff>
      <xdr:row>26</xdr:row>
      <xdr:rowOff>0</xdr:rowOff>
    </xdr:from>
    <xdr:to>
      <xdr:col>128</xdr:col>
      <xdr:colOff>76200</xdr:colOff>
      <xdr:row>26</xdr:row>
      <xdr:rowOff>9525</xdr:rowOff>
    </xdr:to>
    <xdr:sp macro="" textlink="">
      <xdr:nvSpPr>
        <xdr:cNvPr id="1069544" name="Line 352">
          <a:extLst>
            <a:ext uri="{FF2B5EF4-FFF2-40B4-BE49-F238E27FC236}">
              <a16:creationId xmlns:a16="http://schemas.microsoft.com/office/drawing/2014/main" id="{00000000-0008-0000-0C00-0000E8511000}"/>
            </a:ext>
          </a:extLst>
        </xdr:cNvPr>
        <xdr:cNvSpPr>
          <a:spLocks noChangeShapeType="1"/>
        </xdr:cNvSpPr>
      </xdr:nvSpPr>
      <xdr:spPr bwMode="auto">
        <a:xfrm>
          <a:off x="8751570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0</xdr:colOff>
      <xdr:row>26</xdr:row>
      <xdr:rowOff>0</xdr:rowOff>
    </xdr:from>
    <xdr:to>
      <xdr:col>128</xdr:col>
      <xdr:colOff>76200</xdr:colOff>
      <xdr:row>26</xdr:row>
      <xdr:rowOff>9525</xdr:rowOff>
    </xdr:to>
    <xdr:sp macro="" textlink="">
      <xdr:nvSpPr>
        <xdr:cNvPr id="1069545" name="Line 356">
          <a:extLst>
            <a:ext uri="{FF2B5EF4-FFF2-40B4-BE49-F238E27FC236}">
              <a16:creationId xmlns:a16="http://schemas.microsoft.com/office/drawing/2014/main" id="{00000000-0008-0000-0C00-0000E9511000}"/>
            </a:ext>
          </a:extLst>
        </xdr:cNvPr>
        <xdr:cNvSpPr>
          <a:spLocks noChangeShapeType="1"/>
        </xdr:cNvSpPr>
      </xdr:nvSpPr>
      <xdr:spPr bwMode="auto">
        <a:xfrm>
          <a:off x="8751570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66675</xdr:colOff>
      <xdr:row>26</xdr:row>
      <xdr:rowOff>0</xdr:rowOff>
    </xdr:from>
    <xdr:to>
      <xdr:col>128</xdr:col>
      <xdr:colOff>400050</xdr:colOff>
      <xdr:row>27</xdr:row>
      <xdr:rowOff>114300</xdr:rowOff>
    </xdr:to>
    <xdr:sp macro="" textlink="">
      <xdr:nvSpPr>
        <xdr:cNvPr id="1069546" name="Line 359">
          <a:extLst>
            <a:ext uri="{FF2B5EF4-FFF2-40B4-BE49-F238E27FC236}">
              <a16:creationId xmlns:a16="http://schemas.microsoft.com/office/drawing/2014/main" id="{00000000-0008-0000-0C00-0000EA511000}"/>
            </a:ext>
          </a:extLst>
        </xdr:cNvPr>
        <xdr:cNvSpPr>
          <a:spLocks noChangeShapeType="1"/>
        </xdr:cNvSpPr>
      </xdr:nvSpPr>
      <xdr:spPr bwMode="auto">
        <a:xfrm flipV="1">
          <a:off x="87582375" y="5305425"/>
          <a:ext cx="333375" cy="2952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125</xdr:col>
      <xdr:colOff>0</xdr:colOff>
      <xdr:row>26</xdr:row>
      <xdr:rowOff>0</xdr:rowOff>
    </xdr:from>
    <xdr:to>
      <xdr:col>125</xdr:col>
      <xdr:colOff>76200</xdr:colOff>
      <xdr:row>26</xdr:row>
      <xdr:rowOff>9525</xdr:rowOff>
    </xdr:to>
    <xdr:sp macro="" textlink="">
      <xdr:nvSpPr>
        <xdr:cNvPr id="1069547" name="Line 360">
          <a:extLst>
            <a:ext uri="{FF2B5EF4-FFF2-40B4-BE49-F238E27FC236}">
              <a16:creationId xmlns:a16="http://schemas.microsoft.com/office/drawing/2014/main" id="{00000000-0008-0000-0C00-0000EB511000}"/>
            </a:ext>
          </a:extLst>
        </xdr:cNvPr>
        <xdr:cNvSpPr>
          <a:spLocks noChangeShapeType="1"/>
        </xdr:cNvSpPr>
      </xdr:nvSpPr>
      <xdr:spPr bwMode="auto">
        <a:xfrm>
          <a:off x="8542020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122</xdr:col>
      <xdr:colOff>9525</xdr:colOff>
      <xdr:row>29</xdr:row>
      <xdr:rowOff>0</xdr:rowOff>
    </xdr:from>
    <xdr:to>
      <xdr:col>122</xdr:col>
      <xdr:colOff>66675</xdr:colOff>
      <xdr:row>29</xdr:row>
      <xdr:rowOff>9525</xdr:rowOff>
    </xdr:to>
    <xdr:sp macro="" textlink="">
      <xdr:nvSpPr>
        <xdr:cNvPr id="1069548" name="Line 345">
          <a:extLst>
            <a:ext uri="{FF2B5EF4-FFF2-40B4-BE49-F238E27FC236}">
              <a16:creationId xmlns:a16="http://schemas.microsoft.com/office/drawing/2014/main" id="{00000000-0008-0000-0C00-0000EC511000}"/>
            </a:ext>
          </a:extLst>
        </xdr:cNvPr>
        <xdr:cNvSpPr>
          <a:spLocks noChangeShapeType="1"/>
        </xdr:cNvSpPr>
      </xdr:nvSpPr>
      <xdr:spPr bwMode="auto">
        <a:xfrm flipV="1">
          <a:off x="8326755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9525</xdr:colOff>
      <xdr:row>29</xdr:row>
      <xdr:rowOff>0</xdr:rowOff>
    </xdr:from>
    <xdr:to>
      <xdr:col>125</xdr:col>
      <xdr:colOff>66675</xdr:colOff>
      <xdr:row>29</xdr:row>
      <xdr:rowOff>9525</xdr:rowOff>
    </xdr:to>
    <xdr:sp macro="" textlink="">
      <xdr:nvSpPr>
        <xdr:cNvPr id="1069549" name="Line 348">
          <a:extLst>
            <a:ext uri="{FF2B5EF4-FFF2-40B4-BE49-F238E27FC236}">
              <a16:creationId xmlns:a16="http://schemas.microsoft.com/office/drawing/2014/main" id="{00000000-0008-0000-0C00-0000ED511000}"/>
            </a:ext>
          </a:extLst>
        </xdr:cNvPr>
        <xdr:cNvSpPr>
          <a:spLocks noChangeShapeType="1"/>
        </xdr:cNvSpPr>
      </xdr:nvSpPr>
      <xdr:spPr bwMode="auto">
        <a:xfrm flipV="1">
          <a:off x="8542972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9525</xdr:colOff>
      <xdr:row>29</xdr:row>
      <xdr:rowOff>0</xdr:rowOff>
    </xdr:from>
    <xdr:to>
      <xdr:col>128</xdr:col>
      <xdr:colOff>66675</xdr:colOff>
      <xdr:row>29</xdr:row>
      <xdr:rowOff>9525</xdr:rowOff>
    </xdr:to>
    <xdr:sp macro="" textlink="">
      <xdr:nvSpPr>
        <xdr:cNvPr id="1069550" name="Line 351">
          <a:extLst>
            <a:ext uri="{FF2B5EF4-FFF2-40B4-BE49-F238E27FC236}">
              <a16:creationId xmlns:a16="http://schemas.microsoft.com/office/drawing/2014/main" id="{00000000-0008-0000-0C00-0000EE511000}"/>
            </a:ext>
          </a:extLst>
        </xdr:cNvPr>
        <xdr:cNvSpPr>
          <a:spLocks noChangeShapeType="1"/>
        </xdr:cNvSpPr>
      </xdr:nvSpPr>
      <xdr:spPr bwMode="auto">
        <a:xfrm flipV="1">
          <a:off x="8752522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9525</xdr:colOff>
      <xdr:row>29</xdr:row>
      <xdr:rowOff>0</xdr:rowOff>
    </xdr:from>
    <xdr:to>
      <xdr:col>128</xdr:col>
      <xdr:colOff>66675</xdr:colOff>
      <xdr:row>29</xdr:row>
      <xdr:rowOff>9525</xdr:rowOff>
    </xdr:to>
    <xdr:sp macro="" textlink="">
      <xdr:nvSpPr>
        <xdr:cNvPr id="1069551" name="Line 354">
          <a:extLst>
            <a:ext uri="{FF2B5EF4-FFF2-40B4-BE49-F238E27FC236}">
              <a16:creationId xmlns:a16="http://schemas.microsoft.com/office/drawing/2014/main" id="{00000000-0008-0000-0C00-0000EF511000}"/>
            </a:ext>
          </a:extLst>
        </xdr:cNvPr>
        <xdr:cNvSpPr>
          <a:spLocks noChangeShapeType="1"/>
        </xdr:cNvSpPr>
      </xdr:nvSpPr>
      <xdr:spPr bwMode="auto">
        <a:xfrm flipV="1">
          <a:off x="8752522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66675</xdr:colOff>
      <xdr:row>27</xdr:row>
      <xdr:rowOff>114300</xdr:rowOff>
    </xdr:from>
    <xdr:to>
      <xdr:col>129</xdr:col>
      <xdr:colOff>0</xdr:colOff>
      <xdr:row>28</xdr:row>
      <xdr:rowOff>171450</xdr:rowOff>
    </xdr:to>
    <xdr:sp macro="" textlink="">
      <xdr:nvSpPr>
        <xdr:cNvPr id="1069552" name="Line 355">
          <a:extLst>
            <a:ext uri="{FF2B5EF4-FFF2-40B4-BE49-F238E27FC236}">
              <a16:creationId xmlns:a16="http://schemas.microsoft.com/office/drawing/2014/main" id="{00000000-0008-0000-0C00-0000F0511000}"/>
            </a:ext>
          </a:extLst>
        </xdr:cNvPr>
        <xdr:cNvSpPr>
          <a:spLocks noChangeShapeType="1"/>
        </xdr:cNvSpPr>
      </xdr:nvSpPr>
      <xdr:spPr bwMode="auto">
        <a:xfrm>
          <a:off x="87582375" y="5600700"/>
          <a:ext cx="342900" cy="2381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128</xdr:col>
      <xdr:colOff>9525</xdr:colOff>
      <xdr:row>29</xdr:row>
      <xdr:rowOff>0</xdr:rowOff>
    </xdr:from>
    <xdr:to>
      <xdr:col>128</xdr:col>
      <xdr:colOff>66675</xdr:colOff>
      <xdr:row>29</xdr:row>
      <xdr:rowOff>9525</xdr:rowOff>
    </xdr:to>
    <xdr:sp macro="" textlink="">
      <xdr:nvSpPr>
        <xdr:cNvPr id="1069553" name="Line 358">
          <a:extLst>
            <a:ext uri="{FF2B5EF4-FFF2-40B4-BE49-F238E27FC236}">
              <a16:creationId xmlns:a16="http://schemas.microsoft.com/office/drawing/2014/main" id="{00000000-0008-0000-0C00-0000F1511000}"/>
            </a:ext>
          </a:extLst>
        </xdr:cNvPr>
        <xdr:cNvSpPr>
          <a:spLocks noChangeShapeType="1"/>
        </xdr:cNvSpPr>
      </xdr:nvSpPr>
      <xdr:spPr bwMode="auto">
        <a:xfrm flipV="1">
          <a:off x="8752522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9525</xdr:colOff>
      <xdr:row>29</xdr:row>
      <xdr:rowOff>0</xdr:rowOff>
    </xdr:from>
    <xdr:to>
      <xdr:col>125</xdr:col>
      <xdr:colOff>66675</xdr:colOff>
      <xdr:row>29</xdr:row>
      <xdr:rowOff>9525</xdr:rowOff>
    </xdr:to>
    <xdr:sp macro="" textlink="">
      <xdr:nvSpPr>
        <xdr:cNvPr id="1069554" name="Line 362">
          <a:extLst>
            <a:ext uri="{FF2B5EF4-FFF2-40B4-BE49-F238E27FC236}">
              <a16:creationId xmlns:a16="http://schemas.microsoft.com/office/drawing/2014/main" id="{00000000-0008-0000-0C00-0000F2511000}"/>
            </a:ext>
          </a:extLst>
        </xdr:cNvPr>
        <xdr:cNvSpPr>
          <a:spLocks noChangeShapeType="1"/>
        </xdr:cNvSpPr>
      </xdr:nvSpPr>
      <xdr:spPr bwMode="auto">
        <a:xfrm flipV="1">
          <a:off x="8542972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122</xdr:col>
      <xdr:colOff>66675</xdr:colOff>
      <xdr:row>27</xdr:row>
      <xdr:rowOff>85725</xdr:rowOff>
    </xdr:from>
    <xdr:to>
      <xdr:col>123</xdr:col>
      <xdr:colOff>9525</xdr:colOff>
      <xdr:row>29</xdr:row>
      <xdr:rowOff>0</xdr:rowOff>
    </xdr:to>
    <xdr:sp macro="" textlink="">
      <xdr:nvSpPr>
        <xdr:cNvPr id="1069555" name="Line 363">
          <a:extLst>
            <a:ext uri="{FF2B5EF4-FFF2-40B4-BE49-F238E27FC236}">
              <a16:creationId xmlns:a16="http://schemas.microsoft.com/office/drawing/2014/main" id="{00000000-0008-0000-0C00-0000F3511000}"/>
            </a:ext>
          </a:extLst>
        </xdr:cNvPr>
        <xdr:cNvSpPr>
          <a:spLocks noChangeShapeType="1"/>
        </xdr:cNvSpPr>
      </xdr:nvSpPr>
      <xdr:spPr bwMode="auto">
        <a:xfrm>
          <a:off x="83324700" y="5572125"/>
          <a:ext cx="390525" cy="276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125</xdr:col>
      <xdr:colOff>57150</xdr:colOff>
      <xdr:row>27</xdr:row>
      <xdr:rowOff>76200</xdr:rowOff>
    </xdr:from>
    <xdr:to>
      <xdr:col>126</xdr:col>
      <xdr:colOff>0</xdr:colOff>
      <xdr:row>29</xdr:row>
      <xdr:rowOff>0</xdr:rowOff>
    </xdr:to>
    <xdr:sp macro="" textlink="">
      <xdr:nvSpPr>
        <xdr:cNvPr id="1069556" name="Line 364">
          <a:extLst>
            <a:ext uri="{FF2B5EF4-FFF2-40B4-BE49-F238E27FC236}">
              <a16:creationId xmlns:a16="http://schemas.microsoft.com/office/drawing/2014/main" id="{00000000-0008-0000-0C00-0000F4511000}"/>
            </a:ext>
          </a:extLst>
        </xdr:cNvPr>
        <xdr:cNvSpPr>
          <a:spLocks noChangeShapeType="1"/>
        </xdr:cNvSpPr>
      </xdr:nvSpPr>
      <xdr:spPr bwMode="auto">
        <a:xfrm>
          <a:off x="85477350" y="5562600"/>
          <a:ext cx="352425" cy="2857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122</xdr:col>
      <xdr:colOff>85725</xdr:colOff>
      <xdr:row>25</xdr:row>
      <xdr:rowOff>142875</xdr:rowOff>
    </xdr:from>
    <xdr:to>
      <xdr:col>122</xdr:col>
      <xdr:colOff>85725</xdr:colOff>
      <xdr:row>29</xdr:row>
      <xdr:rowOff>19050</xdr:rowOff>
    </xdr:to>
    <xdr:sp macro="" textlink="">
      <xdr:nvSpPr>
        <xdr:cNvPr id="1069557" name="Line 344">
          <a:extLst>
            <a:ext uri="{FF2B5EF4-FFF2-40B4-BE49-F238E27FC236}">
              <a16:creationId xmlns:a16="http://schemas.microsoft.com/office/drawing/2014/main" id="{00000000-0008-0000-0C00-0000F5511000}"/>
            </a:ext>
          </a:extLst>
        </xdr:cNvPr>
        <xdr:cNvSpPr>
          <a:spLocks noChangeShapeType="1"/>
        </xdr:cNvSpPr>
      </xdr:nvSpPr>
      <xdr:spPr bwMode="auto">
        <a:xfrm flipH="1">
          <a:off x="83343750" y="5267325"/>
          <a:ext cx="0" cy="600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66675</xdr:colOff>
      <xdr:row>25</xdr:row>
      <xdr:rowOff>142875</xdr:rowOff>
    </xdr:from>
    <xdr:to>
      <xdr:col>125</xdr:col>
      <xdr:colOff>66675</xdr:colOff>
      <xdr:row>29</xdr:row>
      <xdr:rowOff>19050</xdr:rowOff>
    </xdr:to>
    <xdr:sp macro="" textlink="">
      <xdr:nvSpPr>
        <xdr:cNvPr id="1069558" name="Line 344">
          <a:extLst>
            <a:ext uri="{FF2B5EF4-FFF2-40B4-BE49-F238E27FC236}">
              <a16:creationId xmlns:a16="http://schemas.microsoft.com/office/drawing/2014/main" id="{00000000-0008-0000-0C00-0000F6511000}"/>
            </a:ext>
          </a:extLst>
        </xdr:cNvPr>
        <xdr:cNvSpPr>
          <a:spLocks noChangeShapeType="1"/>
        </xdr:cNvSpPr>
      </xdr:nvSpPr>
      <xdr:spPr bwMode="auto">
        <a:xfrm flipH="1">
          <a:off x="85486875" y="5267325"/>
          <a:ext cx="0" cy="600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128</xdr:col>
      <xdr:colOff>85725</xdr:colOff>
      <xdr:row>25</xdr:row>
      <xdr:rowOff>152400</xdr:rowOff>
    </xdr:from>
    <xdr:to>
      <xdr:col>128</xdr:col>
      <xdr:colOff>85725</xdr:colOff>
      <xdr:row>29</xdr:row>
      <xdr:rowOff>28575</xdr:rowOff>
    </xdr:to>
    <xdr:sp macro="" textlink="">
      <xdr:nvSpPr>
        <xdr:cNvPr id="1069559" name="Line 344">
          <a:extLst>
            <a:ext uri="{FF2B5EF4-FFF2-40B4-BE49-F238E27FC236}">
              <a16:creationId xmlns:a16="http://schemas.microsoft.com/office/drawing/2014/main" id="{00000000-0008-0000-0C00-0000F7511000}"/>
            </a:ext>
          </a:extLst>
        </xdr:cNvPr>
        <xdr:cNvSpPr>
          <a:spLocks noChangeShapeType="1"/>
        </xdr:cNvSpPr>
      </xdr:nvSpPr>
      <xdr:spPr bwMode="auto">
        <a:xfrm flipH="1">
          <a:off x="87601425" y="5276850"/>
          <a:ext cx="0" cy="600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122</xdr:col>
      <xdr:colOff>66675</xdr:colOff>
      <xdr:row>22</xdr:row>
      <xdr:rowOff>152400</xdr:rowOff>
    </xdr:from>
    <xdr:to>
      <xdr:col>123</xdr:col>
      <xdr:colOff>0</xdr:colOff>
      <xdr:row>27</xdr:row>
      <xdr:rowOff>76200</xdr:rowOff>
    </xdr:to>
    <xdr:sp macro="" textlink="">
      <xdr:nvSpPr>
        <xdr:cNvPr id="1069560" name="Line 392">
          <a:extLst>
            <a:ext uri="{FF2B5EF4-FFF2-40B4-BE49-F238E27FC236}">
              <a16:creationId xmlns:a16="http://schemas.microsoft.com/office/drawing/2014/main" id="{00000000-0008-0000-0C00-0000F8511000}"/>
            </a:ext>
          </a:extLst>
        </xdr:cNvPr>
        <xdr:cNvSpPr>
          <a:spLocks noChangeShapeType="1"/>
        </xdr:cNvSpPr>
      </xdr:nvSpPr>
      <xdr:spPr bwMode="auto">
        <a:xfrm flipV="1">
          <a:off x="83324700" y="4733925"/>
          <a:ext cx="381000" cy="8286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125</xdr:col>
      <xdr:colOff>66675</xdr:colOff>
      <xdr:row>23</xdr:row>
      <xdr:rowOff>0</xdr:rowOff>
    </xdr:from>
    <xdr:to>
      <xdr:col>126</xdr:col>
      <xdr:colOff>0</xdr:colOff>
      <xdr:row>27</xdr:row>
      <xdr:rowOff>76200</xdr:rowOff>
    </xdr:to>
    <xdr:sp macro="" textlink="">
      <xdr:nvSpPr>
        <xdr:cNvPr id="1069561" name="Line 392">
          <a:extLst>
            <a:ext uri="{FF2B5EF4-FFF2-40B4-BE49-F238E27FC236}">
              <a16:creationId xmlns:a16="http://schemas.microsoft.com/office/drawing/2014/main" id="{00000000-0008-0000-0C00-0000F9511000}"/>
            </a:ext>
          </a:extLst>
        </xdr:cNvPr>
        <xdr:cNvSpPr>
          <a:spLocks noChangeShapeType="1"/>
        </xdr:cNvSpPr>
      </xdr:nvSpPr>
      <xdr:spPr bwMode="auto">
        <a:xfrm flipV="1">
          <a:off x="85486875" y="4762500"/>
          <a:ext cx="3429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138</xdr:col>
      <xdr:colOff>0</xdr:colOff>
      <xdr:row>8</xdr:row>
      <xdr:rowOff>0</xdr:rowOff>
    </xdr:from>
    <xdr:to>
      <xdr:col>138</xdr:col>
      <xdr:colOff>76200</xdr:colOff>
      <xdr:row>8</xdr:row>
      <xdr:rowOff>9525</xdr:rowOff>
    </xdr:to>
    <xdr:sp macro="" textlink="">
      <xdr:nvSpPr>
        <xdr:cNvPr id="1069562" name="Line 1">
          <a:extLst>
            <a:ext uri="{FF2B5EF4-FFF2-40B4-BE49-F238E27FC236}">
              <a16:creationId xmlns:a16="http://schemas.microsoft.com/office/drawing/2014/main" id="{00000000-0008-0000-0C00-0000FA511000}"/>
            </a:ext>
          </a:extLst>
        </xdr:cNvPr>
        <xdr:cNvSpPr>
          <a:spLocks noChangeShapeType="1"/>
        </xdr:cNvSpPr>
      </xdr:nvSpPr>
      <xdr:spPr bwMode="auto">
        <a:xfrm>
          <a:off x="944880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138</xdr:col>
      <xdr:colOff>66675</xdr:colOff>
      <xdr:row>8</xdr:row>
      <xdr:rowOff>9525</xdr:rowOff>
    </xdr:from>
    <xdr:to>
      <xdr:col>138</xdr:col>
      <xdr:colOff>66675</xdr:colOff>
      <xdr:row>11</xdr:row>
      <xdr:rowOff>19050</xdr:rowOff>
    </xdr:to>
    <xdr:sp macro="" textlink="">
      <xdr:nvSpPr>
        <xdr:cNvPr id="1069563" name="Line 2">
          <a:extLst>
            <a:ext uri="{FF2B5EF4-FFF2-40B4-BE49-F238E27FC236}">
              <a16:creationId xmlns:a16="http://schemas.microsoft.com/office/drawing/2014/main" id="{00000000-0008-0000-0C00-0000FB511000}"/>
            </a:ext>
          </a:extLst>
        </xdr:cNvPr>
        <xdr:cNvSpPr>
          <a:spLocks noChangeShapeType="1"/>
        </xdr:cNvSpPr>
      </xdr:nvSpPr>
      <xdr:spPr bwMode="auto">
        <a:xfrm>
          <a:off x="945546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138</xdr:col>
      <xdr:colOff>9525</xdr:colOff>
      <xdr:row>11</xdr:row>
      <xdr:rowOff>0</xdr:rowOff>
    </xdr:from>
    <xdr:to>
      <xdr:col>138</xdr:col>
      <xdr:colOff>66675</xdr:colOff>
      <xdr:row>11</xdr:row>
      <xdr:rowOff>9525</xdr:rowOff>
    </xdr:to>
    <xdr:sp macro="" textlink="">
      <xdr:nvSpPr>
        <xdr:cNvPr id="1069564" name="Line 3">
          <a:extLst>
            <a:ext uri="{FF2B5EF4-FFF2-40B4-BE49-F238E27FC236}">
              <a16:creationId xmlns:a16="http://schemas.microsoft.com/office/drawing/2014/main" id="{00000000-0008-0000-0C00-0000FC511000}"/>
            </a:ext>
          </a:extLst>
        </xdr:cNvPr>
        <xdr:cNvSpPr>
          <a:spLocks noChangeShapeType="1"/>
        </xdr:cNvSpPr>
      </xdr:nvSpPr>
      <xdr:spPr bwMode="auto">
        <a:xfrm flipV="1">
          <a:off x="944975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135</xdr:col>
      <xdr:colOff>0</xdr:colOff>
      <xdr:row>8</xdr:row>
      <xdr:rowOff>0</xdr:rowOff>
    </xdr:from>
    <xdr:to>
      <xdr:col>135</xdr:col>
      <xdr:colOff>76200</xdr:colOff>
      <xdr:row>8</xdr:row>
      <xdr:rowOff>9525</xdr:rowOff>
    </xdr:to>
    <xdr:sp macro="" textlink="">
      <xdr:nvSpPr>
        <xdr:cNvPr id="1069565" name="Line 4">
          <a:extLst>
            <a:ext uri="{FF2B5EF4-FFF2-40B4-BE49-F238E27FC236}">
              <a16:creationId xmlns:a16="http://schemas.microsoft.com/office/drawing/2014/main" id="{00000000-0008-0000-0C00-0000FD511000}"/>
            </a:ext>
          </a:extLst>
        </xdr:cNvPr>
        <xdr:cNvSpPr>
          <a:spLocks noChangeShapeType="1"/>
        </xdr:cNvSpPr>
      </xdr:nvSpPr>
      <xdr:spPr bwMode="auto">
        <a:xfrm>
          <a:off x="9232582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135</xdr:col>
      <xdr:colOff>66675</xdr:colOff>
      <xdr:row>8</xdr:row>
      <xdr:rowOff>9525</xdr:rowOff>
    </xdr:from>
    <xdr:to>
      <xdr:col>135</xdr:col>
      <xdr:colOff>66675</xdr:colOff>
      <xdr:row>11</xdr:row>
      <xdr:rowOff>19050</xdr:rowOff>
    </xdr:to>
    <xdr:sp macro="" textlink="">
      <xdr:nvSpPr>
        <xdr:cNvPr id="1069566" name="Line 5">
          <a:extLst>
            <a:ext uri="{FF2B5EF4-FFF2-40B4-BE49-F238E27FC236}">
              <a16:creationId xmlns:a16="http://schemas.microsoft.com/office/drawing/2014/main" id="{00000000-0008-0000-0C00-0000FE511000}"/>
            </a:ext>
          </a:extLst>
        </xdr:cNvPr>
        <xdr:cNvSpPr>
          <a:spLocks noChangeShapeType="1"/>
        </xdr:cNvSpPr>
      </xdr:nvSpPr>
      <xdr:spPr bwMode="auto">
        <a:xfrm>
          <a:off x="9239250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135</xdr:col>
      <xdr:colOff>9525</xdr:colOff>
      <xdr:row>11</xdr:row>
      <xdr:rowOff>0</xdr:rowOff>
    </xdr:from>
    <xdr:to>
      <xdr:col>135</xdr:col>
      <xdr:colOff>66675</xdr:colOff>
      <xdr:row>11</xdr:row>
      <xdr:rowOff>9525</xdr:rowOff>
    </xdr:to>
    <xdr:sp macro="" textlink="">
      <xdr:nvSpPr>
        <xdr:cNvPr id="1069567" name="Line 6">
          <a:extLst>
            <a:ext uri="{FF2B5EF4-FFF2-40B4-BE49-F238E27FC236}">
              <a16:creationId xmlns:a16="http://schemas.microsoft.com/office/drawing/2014/main" id="{00000000-0008-0000-0C00-0000FF511000}"/>
            </a:ext>
          </a:extLst>
        </xdr:cNvPr>
        <xdr:cNvSpPr>
          <a:spLocks noChangeShapeType="1"/>
        </xdr:cNvSpPr>
      </xdr:nvSpPr>
      <xdr:spPr bwMode="auto">
        <a:xfrm flipV="1">
          <a:off x="9233535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141</xdr:col>
      <xdr:colOff>0</xdr:colOff>
      <xdr:row>8</xdr:row>
      <xdr:rowOff>0</xdr:rowOff>
    </xdr:from>
    <xdr:to>
      <xdr:col>141</xdr:col>
      <xdr:colOff>76200</xdr:colOff>
      <xdr:row>8</xdr:row>
      <xdr:rowOff>9525</xdr:rowOff>
    </xdr:to>
    <xdr:sp macro="" textlink="">
      <xdr:nvSpPr>
        <xdr:cNvPr id="1069568" name="Line 16">
          <a:extLst>
            <a:ext uri="{FF2B5EF4-FFF2-40B4-BE49-F238E27FC236}">
              <a16:creationId xmlns:a16="http://schemas.microsoft.com/office/drawing/2014/main" id="{00000000-0008-0000-0C00-000000521000}"/>
            </a:ext>
          </a:extLst>
        </xdr:cNvPr>
        <xdr:cNvSpPr>
          <a:spLocks noChangeShapeType="1"/>
        </xdr:cNvSpPr>
      </xdr:nvSpPr>
      <xdr:spPr bwMode="auto">
        <a:xfrm>
          <a:off x="965835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141</xdr:col>
      <xdr:colOff>66675</xdr:colOff>
      <xdr:row>8</xdr:row>
      <xdr:rowOff>9525</xdr:rowOff>
    </xdr:from>
    <xdr:to>
      <xdr:col>141</xdr:col>
      <xdr:colOff>66675</xdr:colOff>
      <xdr:row>11</xdr:row>
      <xdr:rowOff>19050</xdr:rowOff>
    </xdr:to>
    <xdr:sp macro="" textlink="">
      <xdr:nvSpPr>
        <xdr:cNvPr id="1069569" name="Line 17">
          <a:extLst>
            <a:ext uri="{FF2B5EF4-FFF2-40B4-BE49-F238E27FC236}">
              <a16:creationId xmlns:a16="http://schemas.microsoft.com/office/drawing/2014/main" id="{00000000-0008-0000-0C00-000001521000}"/>
            </a:ext>
          </a:extLst>
        </xdr:cNvPr>
        <xdr:cNvSpPr>
          <a:spLocks noChangeShapeType="1"/>
        </xdr:cNvSpPr>
      </xdr:nvSpPr>
      <xdr:spPr bwMode="auto">
        <a:xfrm>
          <a:off x="966501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141</xdr:col>
      <xdr:colOff>9525</xdr:colOff>
      <xdr:row>11</xdr:row>
      <xdr:rowOff>0</xdr:rowOff>
    </xdr:from>
    <xdr:to>
      <xdr:col>141</xdr:col>
      <xdr:colOff>66675</xdr:colOff>
      <xdr:row>11</xdr:row>
      <xdr:rowOff>9525</xdr:rowOff>
    </xdr:to>
    <xdr:sp macro="" textlink="">
      <xdr:nvSpPr>
        <xdr:cNvPr id="1069570" name="Line 18">
          <a:extLst>
            <a:ext uri="{FF2B5EF4-FFF2-40B4-BE49-F238E27FC236}">
              <a16:creationId xmlns:a16="http://schemas.microsoft.com/office/drawing/2014/main" id="{00000000-0008-0000-0C00-000002521000}"/>
            </a:ext>
          </a:extLst>
        </xdr:cNvPr>
        <xdr:cNvSpPr>
          <a:spLocks noChangeShapeType="1"/>
        </xdr:cNvSpPr>
      </xdr:nvSpPr>
      <xdr:spPr bwMode="auto">
        <a:xfrm flipV="1">
          <a:off x="965930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138</xdr:col>
      <xdr:colOff>66675</xdr:colOff>
      <xdr:row>8</xdr:row>
      <xdr:rowOff>9525</xdr:rowOff>
    </xdr:from>
    <xdr:to>
      <xdr:col>139</xdr:col>
      <xdr:colOff>0</xdr:colOff>
      <xdr:row>9</xdr:row>
      <xdr:rowOff>66675</xdr:rowOff>
    </xdr:to>
    <xdr:sp macro="" textlink="">
      <xdr:nvSpPr>
        <xdr:cNvPr id="1069571" name="Line 64">
          <a:extLst>
            <a:ext uri="{FF2B5EF4-FFF2-40B4-BE49-F238E27FC236}">
              <a16:creationId xmlns:a16="http://schemas.microsoft.com/office/drawing/2014/main" id="{00000000-0008-0000-0C00-000003521000}"/>
            </a:ext>
          </a:extLst>
        </xdr:cNvPr>
        <xdr:cNvSpPr>
          <a:spLocks noChangeShapeType="1"/>
        </xdr:cNvSpPr>
      </xdr:nvSpPr>
      <xdr:spPr bwMode="auto">
        <a:xfrm flipV="1">
          <a:off x="94554675" y="2057400"/>
          <a:ext cx="342900" cy="2381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138</xdr:col>
      <xdr:colOff>66675</xdr:colOff>
      <xdr:row>9</xdr:row>
      <xdr:rowOff>76200</xdr:rowOff>
    </xdr:from>
    <xdr:to>
      <xdr:col>139</xdr:col>
      <xdr:colOff>0</xdr:colOff>
      <xdr:row>13</xdr:row>
      <xdr:rowOff>0</xdr:rowOff>
    </xdr:to>
    <xdr:sp macro="" textlink="">
      <xdr:nvSpPr>
        <xdr:cNvPr id="1069572" name="Line 66">
          <a:extLst>
            <a:ext uri="{FF2B5EF4-FFF2-40B4-BE49-F238E27FC236}">
              <a16:creationId xmlns:a16="http://schemas.microsoft.com/office/drawing/2014/main" id="{00000000-0008-0000-0C00-000004521000}"/>
            </a:ext>
          </a:extLst>
        </xdr:cNvPr>
        <xdr:cNvSpPr>
          <a:spLocks noChangeShapeType="1"/>
        </xdr:cNvSpPr>
      </xdr:nvSpPr>
      <xdr:spPr bwMode="auto">
        <a:xfrm>
          <a:off x="94554675" y="2305050"/>
          <a:ext cx="342900" cy="6477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141</xdr:col>
      <xdr:colOff>0</xdr:colOff>
      <xdr:row>8</xdr:row>
      <xdr:rowOff>0</xdr:rowOff>
    </xdr:from>
    <xdr:to>
      <xdr:col>141</xdr:col>
      <xdr:colOff>76200</xdr:colOff>
      <xdr:row>8</xdr:row>
      <xdr:rowOff>9525</xdr:rowOff>
    </xdr:to>
    <xdr:sp macro="" textlink="">
      <xdr:nvSpPr>
        <xdr:cNvPr id="1069573" name="Line 99">
          <a:extLst>
            <a:ext uri="{FF2B5EF4-FFF2-40B4-BE49-F238E27FC236}">
              <a16:creationId xmlns:a16="http://schemas.microsoft.com/office/drawing/2014/main" id="{00000000-0008-0000-0C00-000005521000}"/>
            </a:ext>
          </a:extLst>
        </xdr:cNvPr>
        <xdr:cNvSpPr>
          <a:spLocks noChangeShapeType="1"/>
        </xdr:cNvSpPr>
      </xdr:nvSpPr>
      <xdr:spPr bwMode="auto">
        <a:xfrm>
          <a:off x="965835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141</xdr:col>
      <xdr:colOff>66675</xdr:colOff>
      <xdr:row>8</xdr:row>
      <xdr:rowOff>9525</xdr:rowOff>
    </xdr:from>
    <xdr:to>
      <xdr:col>141</xdr:col>
      <xdr:colOff>66675</xdr:colOff>
      <xdr:row>11</xdr:row>
      <xdr:rowOff>19050</xdr:rowOff>
    </xdr:to>
    <xdr:sp macro="" textlink="">
      <xdr:nvSpPr>
        <xdr:cNvPr id="1069574" name="Line 100">
          <a:extLst>
            <a:ext uri="{FF2B5EF4-FFF2-40B4-BE49-F238E27FC236}">
              <a16:creationId xmlns:a16="http://schemas.microsoft.com/office/drawing/2014/main" id="{00000000-0008-0000-0C00-000006521000}"/>
            </a:ext>
          </a:extLst>
        </xdr:cNvPr>
        <xdr:cNvSpPr>
          <a:spLocks noChangeShapeType="1"/>
        </xdr:cNvSpPr>
      </xdr:nvSpPr>
      <xdr:spPr bwMode="auto">
        <a:xfrm>
          <a:off x="966501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141</xdr:col>
      <xdr:colOff>9525</xdr:colOff>
      <xdr:row>11</xdr:row>
      <xdr:rowOff>0</xdr:rowOff>
    </xdr:from>
    <xdr:to>
      <xdr:col>141</xdr:col>
      <xdr:colOff>66675</xdr:colOff>
      <xdr:row>11</xdr:row>
      <xdr:rowOff>9525</xdr:rowOff>
    </xdr:to>
    <xdr:sp macro="" textlink="">
      <xdr:nvSpPr>
        <xdr:cNvPr id="1069575" name="Line 101">
          <a:extLst>
            <a:ext uri="{FF2B5EF4-FFF2-40B4-BE49-F238E27FC236}">
              <a16:creationId xmlns:a16="http://schemas.microsoft.com/office/drawing/2014/main" id="{00000000-0008-0000-0C00-000007521000}"/>
            </a:ext>
          </a:extLst>
        </xdr:cNvPr>
        <xdr:cNvSpPr>
          <a:spLocks noChangeShapeType="1"/>
        </xdr:cNvSpPr>
      </xdr:nvSpPr>
      <xdr:spPr bwMode="auto">
        <a:xfrm flipV="1">
          <a:off x="965930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141</xdr:col>
      <xdr:colOff>0</xdr:colOff>
      <xdr:row>8</xdr:row>
      <xdr:rowOff>0</xdr:rowOff>
    </xdr:from>
    <xdr:to>
      <xdr:col>141</xdr:col>
      <xdr:colOff>76200</xdr:colOff>
      <xdr:row>8</xdr:row>
      <xdr:rowOff>9525</xdr:rowOff>
    </xdr:to>
    <xdr:sp macro="" textlink="">
      <xdr:nvSpPr>
        <xdr:cNvPr id="1069576" name="Line 110">
          <a:extLst>
            <a:ext uri="{FF2B5EF4-FFF2-40B4-BE49-F238E27FC236}">
              <a16:creationId xmlns:a16="http://schemas.microsoft.com/office/drawing/2014/main" id="{00000000-0008-0000-0C00-000008521000}"/>
            </a:ext>
          </a:extLst>
        </xdr:cNvPr>
        <xdr:cNvSpPr>
          <a:spLocks noChangeShapeType="1"/>
        </xdr:cNvSpPr>
      </xdr:nvSpPr>
      <xdr:spPr bwMode="auto">
        <a:xfrm>
          <a:off x="965835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141</xdr:col>
      <xdr:colOff>66675</xdr:colOff>
      <xdr:row>8</xdr:row>
      <xdr:rowOff>9525</xdr:rowOff>
    </xdr:from>
    <xdr:to>
      <xdr:col>141</xdr:col>
      <xdr:colOff>66675</xdr:colOff>
      <xdr:row>11</xdr:row>
      <xdr:rowOff>19050</xdr:rowOff>
    </xdr:to>
    <xdr:sp macro="" textlink="">
      <xdr:nvSpPr>
        <xdr:cNvPr id="1069577" name="Line 111">
          <a:extLst>
            <a:ext uri="{FF2B5EF4-FFF2-40B4-BE49-F238E27FC236}">
              <a16:creationId xmlns:a16="http://schemas.microsoft.com/office/drawing/2014/main" id="{00000000-0008-0000-0C00-000009521000}"/>
            </a:ext>
          </a:extLst>
        </xdr:cNvPr>
        <xdr:cNvSpPr>
          <a:spLocks noChangeShapeType="1"/>
        </xdr:cNvSpPr>
      </xdr:nvSpPr>
      <xdr:spPr bwMode="auto">
        <a:xfrm>
          <a:off x="966501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141</xdr:col>
      <xdr:colOff>9525</xdr:colOff>
      <xdr:row>11</xdr:row>
      <xdr:rowOff>0</xdr:rowOff>
    </xdr:from>
    <xdr:to>
      <xdr:col>141</xdr:col>
      <xdr:colOff>66675</xdr:colOff>
      <xdr:row>11</xdr:row>
      <xdr:rowOff>9525</xdr:rowOff>
    </xdr:to>
    <xdr:sp macro="" textlink="">
      <xdr:nvSpPr>
        <xdr:cNvPr id="1069578" name="Line 112">
          <a:extLst>
            <a:ext uri="{FF2B5EF4-FFF2-40B4-BE49-F238E27FC236}">
              <a16:creationId xmlns:a16="http://schemas.microsoft.com/office/drawing/2014/main" id="{00000000-0008-0000-0C00-00000A521000}"/>
            </a:ext>
          </a:extLst>
        </xdr:cNvPr>
        <xdr:cNvSpPr>
          <a:spLocks noChangeShapeType="1"/>
        </xdr:cNvSpPr>
      </xdr:nvSpPr>
      <xdr:spPr bwMode="auto">
        <a:xfrm flipV="1">
          <a:off x="965930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141</xdr:col>
      <xdr:colOff>0</xdr:colOff>
      <xdr:row>8</xdr:row>
      <xdr:rowOff>0</xdr:rowOff>
    </xdr:from>
    <xdr:to>
      <xdr:col>141</xdr:col>
      <xdr:colOff>76200</xdr:colOff>
      <xdr:row>8</xdr:row>
      <xdr:rowOff>9525</xdr:rowOff>
    </xdr:to>
    <xdr:sp macro="" textlink="">
      <xdr:nvSpPr>
        <xdr:cNvPr id="1069579" name="Line 113">
          <a:extLst>
            <a:ext uri="{FF2B5EF4-FFF2-40B4-BE49-F238E27FC236}">
              <a16:creationId xmlns:a16="http://schemas.microsoft.com/office/drawing/2014/main" id="{00000000-0008-0000-0C00-00000B521000}"/>
            </a:ext>
          </a:extLst>
        </xdr:cNvPr>
        <xdr:cNvSpPr>
          <a:spLocks noChangeShapeType="1"/>
        </xdr:cNvSpPr>
      </xdr:nvSpPr>
      <xdr:spPr bwMode="auto">
        <a:xfrm>
          <a:off x="965835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141</xdr:col>
      <xdr:colOff>66675</xdr:colOff>
      <xdr:row>8</xdr:row>
      <xdr:rowOff>9525</xdr:rowOff>
    </xdr:from>
    <xdr:to>
      <xdr:col>141</xdr:col>
      <xdr:colOff>66675</xdr:colOff>
      <xdr:row>11</xdr:row>
      <xdr:rowOff>19050</xdr:rowOff>
    </xdr:to>
    <xdr:sp macro="" textlink="">
      <xdr:nvSpPr>
        <xdr:cNvPr id="1069580" name="Line 114">
          <a:extLst>
            <a:ext uri="{FF2B5EF4-FFF2-40B4-BE49-F238E27FC236}">
              <a16:creationId xmlns:a16="http://schemas.microsoft.com/office/drawing/2014/main" id="{00000000-0008-0000-0C00-00000C521000}"/>
            </a:ext>
          </a:extLst>
        </xdr:cNvPr>
        <xdr:cNvSpPr>
          <a:spLocks noChangeShapeType="1"/>
        </xdr:cNvSpPr>
      </xdr:nvSpPr>
      <xdr:spPr bwMode="auto">
        <a:xfrm>
          <a:off x="966501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141</xdr:col>
      <xdr:colOff>9525</xdr:colOff>
      <xdr:row>11</xdr:row>
      <xdr:rowOff>0</xdr:rowOff>
    </xdr:from>
    <xdr:to>
      <xdr:col>141</xdr:col>
      <xdr:colOff>66675</xdr:colOff>
      <xdr:row>11</xdr:row>
      <xdr:rowOff>9525</xdr:rowOff>
    </xdr:to>
    <xdr:sp macro="" textlink="">
      <xdr:nvSpPr>
        <xdr:cNvPr id="1069581" name="Line 115">
          <a:extLst>
            <a:ext uri="{FF2B5EF4-FFF2-40B4-BE49-F238E27FC236}">
              <a16:creationId xmlns:a16="http://schemas.microsoft.com/office/drawing/2014/main" id="{00000000-0008-0000-0C00-00000D521000}"/>
            </a:ext>
          </a:extLst>
        </xdr:cNvPr>
        <xdr:cNvSpPr>
          <a:spLocks noChangeShapeType="1"/>
        </xdr:cNvSpPr>
      </xdr:nvSpPr>
      <xdr:spPr bwMode="auto">
        <a:xfrm flipV="1">
          <a:off x="965930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141</xdr:col>
      <xdr:colOff>76200</xdr:colOff>
      <xdr:row>8</xdr:row>
      <xdr:rowOff>0</xdr:rowOff>
    </xdr:from>
    <xdr:to>
      <xdr:col>141</xdr:col>
      <xdr:colOff>400050</xdr:colOff>
      <xdr:row>9</xdr:row>
      <xdr:rowOff>57150</xdr:rowOff>
    </xdr:to>
    <xdr:sp macro="" textlink="">
      <xdr:nvSpPr>
        <xdr:cNvPr id="1069582" name="Line 116">
          <a:extLst>
            <a:ext uri="{FF2B5EF4-FFF2-40B4-BE49-F238E27FC236}">
              <a16:creationId xmlns:a16="http://schemas.microsoft.com/office/drawing/2014/main" id="{00000000-0008-0000-0C00-00000E521000}"/>
            </a:ext>
          </a:extLst>
        </xdr:cNvPr>
        <xdr:cNvSpPr>
          <a:spLocks noChangeShapeType="1"/>
        </xdr:cNvSpPr>
      </xdr:nvSpPr>
      <xdr:spPr bwMode="auto">
        <a:xfrm flipV="1">
          <a:off x="96659700" y="2047875"/>
          <a:ext cx="3238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141</xdr:col>
      <xdr:colOff>76200</xdr:colOff>
      <xdr:row>9</xdr:row>
      <xdr:rowOff>66675</xdr:rowOff>
    </xdr:from>
    <xdr:to>
      <xdr:col>142</xdr:col>
      <xdr:colOff>0</xdr:colOff>
      <xdr:row>11</xdr:row>
      <xdr:rowOff>19050</xdr:rowOff>
    </xdr:to>
    <xdr:sp macro="" textlink="">
      <xdr:nvSpPr>
        <xdr:cNvPr id="1069583" name="Line 117">
          <a:extLst>
            <a:ext uri="{FF2B5EF4-FFF2-40B4-BE49-F238E27FC236}">
              <a16:creationId xmlns:a16="http://schemas.microsoft.com/office/drawing/2014/main" id="{00000000-0008-0000-0C00-00000F521000}"/>
            </a:ext>
          </a:extLst>
        </xdr:cNvPr>
        <xdr:cNvSpPr>
          <a:spLocks noChangeShapeType="1"/>
        </xdr:cNvSpPr>
      </xdr:nvSpPr>
      <xdr:spPr bwMode="auto">
        <a:xfrm>
          <a:off x="96659700" y="2295525"/>
          <a:ext cx="333375"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135</xdr:col>
      <xdr:colOff>66675</xdr:colOff>
      <xdr:row>7</xdr:row>
      <xdr:rowOff>133350</xdr:rowOff>
    </xdr:from>
    <xdr:to>
      <xdr:col>136</xdr:col>
      <xdr:colOff>0</xdr:colOff>
      <xdr:row>9</xdr:row>
      <xdr:rowOff>66675</xdr:rowOff>
    </xdr:to>
    <xdr:sp macro="" textlink="">
      <xdr:nvSpPr>
        <xdr:cNvPr id="1069584" name="Line 146">
          <a:extLst>
            <a:ext uri="{FF2B5EF4-FFF2-40B4-BE49-F238E27FC236}">
              <a16:creationId xmlns:a16="http://schemas.microsoft.com/office/drawing/2014/main" id="{00000000-0008-0000-0C00-000010521000}"/>
            </a:ext>
          </a:extLst>
        </xdr:cNvPr>
        <xdr:cNvSpPr>
          <a:spLocks noChangeShapeType="1"/>
        </xdr:cNvSpPr>
      </xdr:nvSpPr>
      <xdr:spPr bwMode="auto">
        <a:xfrm flipV="1">
          <a:off x="92392500" y="2000250"/>
          <a:ext cx="38100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135</xdr:col>
      <xdr:colOff>66675</xdr:colOff>
      <xdr:row>9</xdr:row>
      <xdr:rowOff>66675</xdr:rowOff>
    </xdr:from>
    <xdr:to>
      <xdr:col>136</xdr:col>
      <xdr:colOff>19050</xdr:colOff>
      <xdr:row>13</xdr:row>
      <xdr:rowOff>0</xdr:rowOff>
    </xdr:to>
    <xdr:sp macro="" textlink="">
      <xdr:nvSpPr>
        <xdr:cNvPr id="1069585" name="Line 147">
          <a:extLst>
            <a:ext uri="{FF2B5EF4-FFF2-40B4-BE49-F238E27FC236}">
              <a16:creationId xmlns:a16="http://schemas.microsoft.com/office/drawing/2014/main" id="{00000000-0008-0000-0C00-000011521000}"/>
            </a:ext>
          </a:extLst>
        </xdr:cNvPr>
        <xdr:cNvSpPr>
          <a:spLocks noChangeShapeType="1"/>
        </xdr:cNvSpPr>
      </xdr:nvSpPr>
      <xdr:spPr bwMode="auto">
        <a:xfrm>
          <a:off x="92392500" y="2295525"/>
          <a:ext cx="400050" cy="657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135</xdr:col>
      <xdr:colOff>0</xdr:colOff>
      <xdr:row>14</xdr:row>
      <xdr:rowOff>0</xdr:rowOff>
    </xdr:from>
    <xdr:to>
      <xdr:col>135</xdr:col>
      <xdr:colOff>76200</xdr:colOff>
      <xdr:row>14</xdr:row>
      <xdr:rowOff>9525</xdr:rowOff>
    </xdr:to>
    <xdr:sp macro="" textlink="">
      <xdr:nvSpPr>
        <xdr:cNvPr id="1069586" name="Line 343">
          <a:extLst>
            <a:ext uri="{FF2B5EF4-FFF2-40B4-BE49-F238E27FC236}">
              <a16:creationId xmlns:a16="http://schemas.microsoft.com/office/drawing/2014/main" id="{00000000-0008-0000-0C00-000012521000}"/>
            </a:ext>
          </a:extLst>
        </xdr:cNvPr>
        <xdr:cNvSpPr>
          <a:spLocks noChangeShapeType="1"/>
        </xdr:cNvSpPr>
      </xdr:nvSpPr>
      <xdr:spPr bwMode="auto">
        <a:xfrm>
          <a:off x="9232582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135</xdr:col>
      <xdr:colOff>57150</xdr:colOff>
      <xdr:row>14</xdr:row>
      <xdr:rowOff>0</xdr:rowOff>
    </xdr:from>
    <xdr:to>
      <xdr:col>135</xdr:col>
      <xdr:colOff>57150</xdr:colOff>
      <xdr:row>17</xdr:row>
      <xdr:rowOff>9525</xdr:rowOff>
    </xdr:to>
    <xdr:sp macro="" textlink="">
      <xdr:nvSpPr>
        <xdr:cNvPr id="1069587" name="Line 344">
          <a:extLst>
            <a:ext uri="{FF2B5EF4-FFF2-40B4-BE49-F238E27FC236}">
              <a16:creationId xmlns:a16="http://schemas.microsoft.com/office/drawing/2014/main" id="{00000000-0008-0000-0C00-000013521000}"/>
            </a:ext>
          </a:extLst>
        </xdr:cNvPr>
        <xdr:cNvSpPr>
          <a:spLocks noChangeShapeType="1"/>
        </xdr:cNvSpPr>
      </xdr:nvSpPr>
      <xdr:spPr bwMode="auto">
        <a:xfrm flipH="1">
          <a:off x="92382975" y="3133725"/>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135</xdr:col>
      <xdr:colOff>9525</xdr:colOff>
      <xdr:row>17</xdr:row>
      <xdr:rowOff>0</xdr:rowOff>
    </xdr:from>
    <xdr:to>
      <xdr:col>135</xdr:col>
      <xdr:colOff>66675</xdr:colOff>
      <xdr:row>17</xdr:row>
      <xdr:rowOff>9525</xdr:rowOff>
    </xdr:to>
    <xdr:sp macro="" textlink="">
      <xdr:nvSpPr>
        <xdr:cNvPr id="1069588" name="Line 345">
          <a:extLst>
            <a:ext uri="{FF2B5EF4-FFF2-40B4-BE49-F238E27FC236}">
              <a16:creationId xmlns:a16="http://schemas.microsoft.com/office/drawing/2014/main" id="{00000000-0008-0000-0C00-000014521000}"/>
            </a:ext>
          </a:extLst>
        </xdr:cNvPr>
        <xdr:cNvSpPr>
          <a:spLocks noChangeShapeType="1"/>
        </xdr:cNvSpPr>
      </xdr:nvSpPr>
      <xdr:spPr bwMode="auto">
        <a:xfrm flipV="1">
          <a:off x="9233535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138</xdr:col>
      <xdr:colOff>0</xdr:colOff>
      <xdr:row>14</xdr:row>
      <xdr:rowOff>0</xdr:rowOff>
    </xdr:from>
    <xdr:to>
      <xdr:col>138</xdr:col>
      <xdr:colOff>76200</xdr:colOff>
      <xdr:row>14</xdr:row>
      <xdr:rowOff>9525</xdr:rowOff>
    </xdr:to>
    <xdr:sp macro="" textlink="">
      <xdr:nvSpPr>
        <xdr:cNvPr id="1069589" name="Line 346">
          <a:extLst>
            <a:ext uri="{FF2B5EF4-FFF2-40B4-BE49-F238E27FC236}">
              <a16:creationId xmlns:a16="http://schemas.microsoft.com/office/drawing/2014/main" id="{00000000-0008-0000-0C00-000015521000}"/>
            </a:ext>
          </a:extLst>
        </xdr:cNvPr>
        <xdr:cNvSpPr>
          <a:spLocks noChangeShapeType="1"/>
        </xdr:cNvSpPr>
      </xdr:nvSpPr>
      <xdr:spPr bwMode="auto">
        <a:xfrm>
          <a:off x="944880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138</xdr:col>
      <xdr:colOff>66675</xdr:colOff>
      <xdr:row>14</xdr:row>
      <xdr:rowOff>9525</xdr:rowOff>
    </xdr:from>
    <xdr:to>
      <xdr:col>138</xdr:col>
      <xdr:colOff>66675</xdr:colOff>
      <xdr:row>17</xdr:row>
      <xdr:rowOff>19050</xdr:rowOff>
    </xdr:to>
    <xdr:sp macro="" textlink="">
      <xdr:nvSpPr>
        <xdr:cNvPr id="1069590" name="Line 347">
          <a:extLst>
            <a:ext uri="{FF2B5EF4-FFF2-40B4-BE49-F238E27FC236}">
              <a16:creationId xmlns:a16="http://schemas.microsoft.com/office/drawing/2014/main" id="{00000000-0008-0000-0C00-000016521000}"/>
            </a:ext>
          </a:extLst>
        </xdr:cNvPr>
        <xdr:cNvSpPr>
          <a:spLocks noChangeShapeType="1"/>
        </xdr:cNvSpPr>
      </xdr:nvSpPr>
      <xdr:spPr bwMode="auto">
        <a:xfrm>
          <a:off x="945546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138</xdr:col>
      <xdr:colOff>9525</xdr:colOff>
      <xdr:row>17</xdr:row>
      <xdr:rowOff>0</xdr:rowOff>
    </xdr:from>
    <xdr:to>
      <xdr:col>138</xdr:col>
      <xdr:colOff>66675</xdr:colOff>
      <xdr:row>17</xdr:row>
      <xdr:rowOff>9525</xdr:rowOff>
    </xdr:to>
    <xdr:sp macro="" textlink="">
      <xdr:nvSpPr>
        <xdr:cNvPr id="1069591" name="Line 348">
          <a:extLst>
            <a:ext uri="{FF2B5EF4-FFF2-40B4-BE49-F238E27FC236}">
              <a16:creationId xmlns:a16="http://schemas.microsoft.com/office/drawing/2014/main" id="{00000000-0008-0000-0C00-000017521000}"/>
            </a:ext>
          </a:extLst>
        </xdr:cNvPr>
        <xdr:cNvSpPr>
          <a:spLocks noChangeShapeType="1"/>
        </xdr:cNvSpPr>
      </xdr:nvSpPr>
      <xdr:spPr bwMode="auto">
        <a:xfrm flipV="1">
          <a:off x="944975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141</xdr:col>
      <xdr:colOff>0</xdr:colOff>
      <xdr:row>14</xdr:row>
      <xdr:rowOff>0</xdr:rowOff>
    </xdr:from>
    <xdr:to>
      <xdr:col>141</xdr:col>
      <xdr:colOff>76200</xdr:colOff>
      <xdr:row>14</xdr:row>
      <xdr:rowOff>9525</xdr:rowOff>
    </xdr:to>
    <xdr:sp macro="" textlink="">
      <xdr:nvSpPr>
        <xdr:cNvPr id="1069592" name="Line 349">
          <a:extLst>
            <a:ext uri="{FF2B5EF4-FFF2-40B4-BE49-F238E27FC236}">
              <a16:creationId xmlns:a16="http://schemas.microsoft.com/office/drawing/2014/main" id="{00000000-0008-0000-0C00-000018521000}"/>
            </a:ext>
          </a:extLst>
        </xdr:cNvPr>
        <xdr:cNvSpPr>
          <a:spLocks noChangeShapeType="1"/>
        </xdr:cNvSpPr>
      </xdr:nvSpPr>
      <xdr:spPr bwMode="auto">
        <a:xfrm>
          <a:off x="965835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141</xdr:col>
      <xdr:colOff>66675</xdr:colOff>
      <xdr:row>14</xdr:row>
      <xdr:rowOff>9525</xdr:rowOff>
    </xdr:from>
    <xdr:to>
      <xdr:col>141</xdr:col>
      <xdr:colOff>66675</xdr:colOff>
      <xdr:row>17</xdr:row>
      <xdr:rowOff>19050</xdr:rowOff>
    </xdr:to>
    <xdr:sp macro="" textlink="">
      <xdr:nvSpPr>
        <xdr:cNvPr id="1069593" name="Line 350">
          <a:extLst>
            <a:ext uri="{FF2B5EF4-FFF2-40B4-BE49-F238E27FC236}">
              <a16:creationId xmlns:a16="http://schemas.microsoft.com/office/drawing/2014/main" id="{00000000-0008-0000-0C00-000019521000}"/>
            </a:ext>
          </a:extLst>
        </xdr:cNvPr>
        <xdr:cNvSpPr>
          <a:spLocks noChangeShapeType="1"/>
        </xdr:cNvSpPr>
      </xdr:nvSpPr>
      <xdr:spPr bwMode="auto">
        <a:xfrm>
          <a:off x="966501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141</xdr:col>
      <xdr:colOff>9525</xdr:colOff>
      <xdr:row>17</xdr:row>
      <xdr:rowOff>0</xdr:rowOff>
    </xdr:from>
    <xdr:to>
      <xdr:col>141</xdr:col>
      <xdr:colOff>66675</xdr:colOff>
      <xdr:row>17</xdr:row>
      <xdr:rowOff>9525</xdr:rowOff>
    </xdr:to>
    <xdr:sp macro="" textlink="">
      <xdr:nvSpPr>
        <xdr:cNvPr id="1069594" name="Line 351">
          <a:extLst>
            <a:ext uri="{FF2B5EF4-FFF2-40B4-BE49-F238E27FC236}">
              <a16:creationId xmlns:a16="http://schemas.microsoft.com/office/drawing/2014/main" id="{00000000-0008-0000-0C00-00001A521000}"/>
            </a:ext>
          </a:extLst>
        </xdr:cNvPr>
        <xdr:cNvSpPr>
          <a:spLocks noChangeShapeType="1"/>
        </xdr:cNvSpPr>
      </xdr:nvSpPr>
      <xdr:spPr bwMode="auto">
        <a:xfrm flipV="1">
          <a:off x="965930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141</xdr:col>
      <xdr:colOff>0</xdr:colOff>
      <xdr:row>14</xdr:row>
      <xdr:rowOff>0</xdr:rowOff>
    </xdr:from>
    <xdr:to>
      <xdr:col>141</xdr:col>
      <xdr:colOff>76200</xdr:colOff>
      <xdr:row>14</xdr:row>
      <xdr:rowOff>9525</xdr:rowOff>
    </xdr:to>
    <xdr:sp macro="" textlink="">
      <xdr:nvSpPr>
        <xdr:cNvPr id="1069595" name="Line 352">
          <a:extLst>
            <a:ext uri="{FF2B5EF4-FFF2-40B4-BE49-F238E27FC236}">
              <a16:creationId xmlns:a16="http://schemas.microsoft.com/office/drawing/2014/main" id="{00000000-0008-0000-0C00-00001B521000}"/>
            </a:ext>
          </a:extLst>
        </xdr:cNvPr>
        <xdr:cNvSpPr>
          <a:spLocks noChangeShapeType="1"/>
        </xdr:cNvSpPr>
      </xdr:nvSpPr>
      <xdr:spPr bwMode="auto">
        <a:xfrm>
          <a:off x="965835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141</xdr:col>
      <xdr:colOff>66675</xdr:colOff>
      <xdr:row>14</xdr:row>
      <xdr:rowOff>9525</xdr:rowOff>
    </xdr:from>
    <xdr:to>
      <xdr:col>141</xdr:col>
      <xdr:colOff>66675</xdr:colOff>
      <xdr:row>17</xdr:row>
      <xdr:rowOff>19050</xdr:rowOff>
    </xdr:to>
    <xdr:sp macro="" textlink="">
      <xdr:nvSpPr>
        <xdr:cNvPr id="1069596" name="Line 353">
          <a:extLst>
            <a:ext uri="{FF2B5EF4-FFF2-40B4-BE49-F238E27FC236}">
              <a16:creationId xmlns:a16="http://schemas.microsoft.com/office/drawing/2014/main" id="{00000000-0008-0000-0C00-00001C521000}"/>
            </a:ext>
          </a:extLst>
        </xdr:cNvPr>
        <xdr:cNvSpPr>
          <a:spLocks noChangeShapeType="1"/>
        </xdr:cNvSpPr>
      </xdr:nvSpPr>
      <xdr:spPr bwMode="auto">
        <a:xfrm>
          <a:off x="966501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141</xdr:col>
      <xdr:colOff>9525</xdr:colOff>
      <xdr:row>17</xdr:row>
      <xdr:rowOff>0</xdr:rowOff>
    </xdr:from>
    <xdr:to>
      <xdr:col>141</xdr:col>
      <xdr:colOff>66675</xdr:colOff>
      <xdr:row>17</xdr:row>
      <xdr:rowOff>9525</xdr:rowOff>
    </xdr:to>
    <xdr:sp macro="" textlink="">
      <xdr:nvSpPr>
        <xdr:cNvPr id="1069597" name="Line 354">
          <a:extLst>
            <a:ext uri="{FF2B5EF4-FFF2-40B4-BE49-F238E27FC236}">
              <a16:creationId xmlns:a16="http://schemas.microsoft.com/office/drawing/2014/main" id="{00000000-0008-0000-0C00-00001D521000}"/>
            </a:ext>
          </a:extLst>
        </xdr:cNvPr>
        <xdr:cNvSpPr>
          <a:spLocks noChangeShapeType="1"/>
        </xdr:cNvSpPr>
      </xdr:nvSpPr>
      <xdr:spPr bwMode="auto">
        <a:xfrm flipV="1">
          <a:off x="965930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141</xdr:col>
      <xdr:colOff>66675</xdr:colOff>
      <xdr:row>15</xdr:row>
      <xdr:rowOff>114300</xdr:rowOff>
    </xdr:from>
    <xdr:to>
      <xdr:col>142</xdr:col>
      <xdr:colOff>0</xdr:colOff>
      <xdr:row>17</xdr:row>
      <xdr:rowOff>0</xdr:rowOff>
    </xdr:to>
    <xdr:sp macro="" textlink="">
      <xdr:nvSpPr>
        <xdr:cNvPr id="1069598" name="Line 355">
          <a:extLst>
            <a:ext uri="{FF2B5EF4-FFF2-40B4-BE49-F238E27FC236}">
              <a16:creationId xmlns:a16="http://schemas.microsoft.com/office/drawing/2014/main" id="{00000000-0008-0000-0C00-00001E521000}"/>
            </a:ext>
          </a:extLst>
        </xdr:cNvPr>
        <xdr:cNvSpPr>
          <a:spLocks noChangeShapeType="1"/>
        </xdr:cNvSpPr>
      </xdr:nvSpPr>
      <xdr:spPr bwMode="auto">
        <a:xfrm>
          <a:off x="96650175" y="3429000"/>
          <a:ext cx="342900" cy="2476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141</xdr:col>
      <xdr:colOff>0</xdr:colOff>
      <xdr:row>14</xdr:row>
      <xdr:rowOff>0</xdr:rowOff>
    </xdr:from>
    <xdr:to>
      <xdr:col>141</xdr:col>
      <xdr:colOff>76200</xdr:colOff>
      <xdr:row>14</xdr:row>
      <xdr:rowOff>9525</xdr:rowOff>
    </xdr:to>
    <xdr:sp macro="" textlink="">
      <xdr:nvSpPr>
        <xdr:cNvPr id="1069599" name="Line 356">
          <a:extLst>
            <a:ext uri="{FF2B5EF4-FFF2-40B4-BE49-F238E27FC236}">
              <a16:creationId xmlns:a16="http://schemas.microsoft.com/office/drawing/2014/main" id="{00000000-0008-0000-0C00-00001F521000}"/>
            </a:ext>
          </a:extLst>
        </xdr:cNvPr>
        <xdr:cNvSpPr>
          <a:spLocks noChangeShapeType="1"/>
        </xdr:cNvSpPr>
      </xdr:nvSpPr>
      <xdr:spPr bwMode="auto">
        <a:xfrm>
          <a:off x="965835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141</xdr:col>
      <xdr:colOff>9525</xdr:colOff>
      <xdr:row>17</xdr:row>
      <xdr:rowOff>0</xdr:rowOff>
    </xdr:from>
    <xdr:to>
      <xdr:col>141</xdr:col>
      <xdr:colOff>66675</xdr:colOff>
      <xdr:row>17</xdr:row>
      <xdr:rowOff>9525</xdr:rowOff>
    </xdr:to>
    <xdr:sp macro="" textlink="">
      <xdr:nvSpPr>
        <xdr:cNvPr id="1069600" name="Line 358">
          <a:extLst>
            <a:ext uri="{FF2B5EF4-FFF2-40B4-BE49-F238E27FC236}">
              <a16:creationId xmlns:a16="http://schemas.microsoft.com/office/drawing/2014/main" id="{00000000-0008-0000-0C00-000020521000}"/>
            </a:ext>
          </a:extLst>
        </xdr:cNvPr>
        <xdr:cNvSpPr>
          <a:spLocks noChangeShapeType="1"/>
        </xdr:cNvSpPr>
      </xdr:nvSpPr>
      <xdr:spPr bwMode="auto">
        <a:xfrm flipV="1">
          <a:off x="965930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141</xdr:col>
      <xdr:colOff>66675</xdr:colOff>
      <xdr:row>13</xdr:row>
      <xdr:rowOff>161925</xdr:rowOff>
    </xdr:from>
    <xdr:to>
      <xdr:col>141</xdr:col>
      <xdr:colOff>400050</xdr:colOff>
      <xdr:row>15</xdr:row>
      <xdr:rowOff>114300</xdr:rowOff>
    </xdr:to>
    <xdr:sp macro="" textlink="">
      <xdr:nvSpPr>
        <xdr:cNvPr id="1069601" name="Line 359">
          <a:extLst>
            <a:ext uri="{FF2B5EF4-FFF2-40B4-BE49-F238E27FC236}">
              <a16:creationId xmlns:a16="http://schemas.microsoft.com/office/drawing/2014/main" id="{00000000-0008-0000-0C00-000021521000}"/>
            </a:ext>
          </a:extLst>
        </xdr:cNvPr>
        <xdr:cNvSpPr>
          <a:spLocks noChangeShapeType="1"/>
        </xdr:cNvSpPr>
      </xdr:nvSpPr>
      <xdr:spPr bwMode="auto">
        <a:xfrm flipV="1">
          <a:off x="96650175" y="3114675"/>
          <a:ext cx="333375" cy="3143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138</xdr:col>
      <xdr:colOff>0</xdr:colOff>
      <xdr:row>14</xdr:row>
      <xdr:rowOff>0</xdr:rowOff>
    </xdr:from>
    <xdr:to>
      <xdr:col>138</xdr:col>
      <xdr:colOff>76200</xdr:colOff>
      <xdr:row>14</xdr:row>
      <xdr:rowOff>9525</xdr:rowOff>
    </xdr:to>
    <xdr:sp macro="" textlink="">
      <xdr:nvSpPr>
        <xdr:cNvPr id="1069602" name="Line 360">
          <a:extLst>
            <a:ext uri="{FF2B5EF4-FFF2-40B4-BE49-F238E27FC236}">
              <a16:creationId xmlns:a16="http://schemas.microsoft.com/office/drawing/2014/main" id="{00000000-0008-0000-0C00-000022521000}"/>
            </a:ext>
          </a:extLst>
        </xdr:cNvPr>
        <xdr:cNvSpPr>
          <a:spLocks noChangeShapeType="1"/>
        </xdr:cNvSpPr>
      </xdr:nvSpPr>
      <xdr:spPr bwMode="auto">
        <a:xfrm>
          <a:off x="944880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138</xdr:col>
      <xdr:colOff>57150</xdr:colOff>
      <xdr:row>14</xdr:row>
      <xdr:rowOff>9525</xdr:rowOff>
    </xdr:from>
    <xdr:to>
      <xdr:col>138</xdr:col>
      <xdr:colOff>66675</xdr:colOff>
      <xdr:row>17</xdr:row>
      <xdr:rowOff>0</xdr:rowOff>
    </xdr:to>
    <xdr:sp macro="" textlink="">
      <xdr:nvSpPr>
        <xdr:cNvPr id="1069603" name="Line 361">
          <a:extLst>
            <a:ext uri="{FF2B5EF4-FFF2-40B4-BE49-F238E27FC236}">
              <a16:creationId xmlns:a16="http://schemas.microsoft.com/office/drawing/2014/main" id="{00000000-0008-0000-0C00-000023521000}"/>
            </a:ext>
          </a:extLst>
        </xdr:cNvPr>
        <xdr:cNvSpPr>
          <a:spLocks noChangeShapeType="1"/>
        </xdr:cNvSpPr>
      </xdr:nvSpPr>
      <xdr:spPr bwMode="auto">
        <a:xfrm flipH="1">
          <a:off x="94545150" y="3143250"/>
          <a:ext cx="9525"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138</xdr:col>
      <xdr:colOff>9525</xdr:colOff>
      <xdr:row>17</xdr:row>
      <xdr:rowOff>0</xdr:rowOff>
    </xdr:from>
    <xdr:to>
      <xdr:col>138</xdr:col>
      <xdr:colOff>66675</xdr:colOff>
      <xdr:row>17</xdr:row>
      <xdr:rowOff>9525</xdr:rowOff>
    </xdr:to>
    <xdr:sp macro="" textlink="">
      <xdr:nvSpPr>
        <xdr:cNvPr id="1069604" name="Line 362">
          <a:extLst>
            <a:ext uri="{FF2B5EF4-FFF2-40B4-BE49-F238E27FC236}">
              <a16:creationId xmlns:a16="http://schemas.microsoft.com/office/drawing/2014/main" id="{00000000-0008-0000-0C00-000024521000}"/>
            </a:ext>
          </a:extLst>
        </xdr:cNvPr>
        <xdr:cNvSpPr>
          <a:spLocks noChangeShapeType="1"/>
        </xdr:cNvSpPr>
      </xdr:nvSpPr>
      <xdr:spPr bwMode="auto">
        <a:xfrm flipV="1">
          <a:off x="944975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135</xdr:col>
      <xdr:colOff>66675</xdr:colOff>
      <xdr:row>15</xdr:row>
      <xdr:rowOff>85725</xdr:rowOff>
    </xdr:from>
    <xdr:to>
      <xdr:col>136</xdr:col>
      <xdr:colOff>9525</xdr:colOff>
      <xdr:row>20</xdr:row>
      <xdr:rowOff>19050</xdr:rowOff>
    </xdr:to>
    <xdr:sp macro="" textlink="">
      <xdr:nvSpPr>
        <xdr:cNvPr id="1069605" name="Line 363">
          <a:extLst>
            <a:ext uri="{FF2B5EF4-FFF2-40B4-BE49-F238E27FC236}">
              <a16:creationId xmlns:a16="http://schemas.microsoft.com/office/drawing/2014/main" id="{00000000-0008-0000-0C00-000025521000}"/>
            </a:ext>
          </a:extLst>
        </xdr:cNvPr>
        <xdr:cNvSpPr>
          <a:spLocks noChangeShapeType="1"/>
        </xdr:cNvSpPr>
      </xdr:nvSpPr>
      <xdr:spPr bwMode="auto">
        <a:xfrm>
          <a:off x="92392500" y="3400425"/>
          <a:ext cx="39052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138</xdr:col>
      <xdr:colOff>57150</xdr:colOff>
      <xdr:row>15</xdr:row>
      <xdr:rowOff>76200</xdr:rowOff>
    </xdr:from>
    <xdr:to>
      <xdr:col>138</xdr:col>
      <xdr:colOff>400050</xdr:colOff>
      <xdr:row>20</xdr:row>
      <xdr:rowOff>28575</xdr:rowOff>
    </xdr:to>
    <xdr:sp macro="" textlink="">
      <xdr:nvSpPr>
        <xdr:cNvPr id="1069606" name="Line 364">
          <a:extLst>
            <a:ext uri="{FF2B5EF4-FFF2-40B4-BE49-F238E27FC236}">
              <a16:creationId xmlns:a16="http://schemas.microsoft.com/office/drawing/2014/main" id="{00000000-0008-0000-0C00-000026521000}"/>
            </a:ext>
          </a:extLst>
        </xdr:cNvPr>
        <xdr:cNvSpPr>
          <a:spLocks noChangeShapeType="1"/>
        </xdr:cNvSpPr>
      </xdr:nvSpPr>
      <xdr:spPr bwMode="auto">
        <a:xfrm>
          <a:off x="94545150" y="3390900"/>
          <a:ext cx="342900" cy="8572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135</xdr:col>
      <xdr:colOff>66675</xdr:colOff>
      <xdr:row>11</xdr:row>
      <xdr:rowOff>9525</xdr:rowOff>
    </xdr:from>
    <xdr:to>
      <xdr:col>135</xdr:col>
      <xdr:colOff>438150</xdr:colOff>
      <xdr:row>15</xdr:row>
      <xdr:rowOff>76200</xdr:rowOff>
    </xdr:to>
    <xdr:sp macro="" textlink="">
      <xdr:nvSpPr>
        <xdr:cNvPr id="1069607" name="Line 392">
          <a:extLst>
            <a:ext uri="{FF2B5EF4-FFF2-40B4-BE49-F238E27FC236}">
              <a16:creationId xmlns:a16="http://schemas.microsoft.com/office/drawing/2014/main" id="{00000000-0008-0000-0C00-000027521000}"/>
            </a:ext>
          </a:extLst>
        </xdr:cNvPr>
        <xdr:cNvSpPr>
          <a:spLocks noChangeShapeType="1"/>
        </xdr:cNvSpPr>
      </xdr:nvSpPr>
      <xdr:spPr bwMode="auto">
        <a:xfrm flipV="1">
          <a:off x="92392500" y="2600325"/>
          <a:ext cx="371475" cy="7905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138</xdr:col>
      <xdr:colOff>66675</xdr:colOff>
      <xdr:row>11</xdr:row>
      <xdr:rowOff>0</xdr:rowOff>
    </xdr:from>
    <xdr:to>
      <xdr:col>138</xdr:col>
      <xdr:colOff>400050</xdr:colOff>
      <xdr:row>15</xdr:row>
      <xdr:rowOff>66675</xdr:rowOff>
    </xdr:to>
    <xdr:sp macro="" textlink="">
      <xdr:nvSpPr>
        <xdr:cNvPr id="1069608" name="Line 396">
          <a:extLst>
            <a:ext uri="{FF2B5EF4-FFF2-40B4-BE49-F238E27FC236}">
              <a16:creationId xmlns:a16="http://schemas.microsoft.com/office/drawing/2014/main" id="{00000000-0008-0000-0C00-000028521000}"/>
            </a:ext>
          </a:extLst>
        </xdr:cNvPr>
        <xdr:cNvSpPr>
          <a:spLocks noChangeShapeType="1"/>
        </xdr:cNvSpPr>
      </xdr:nvSpPr>
      <xdr:spPr bwMode="auto">
        <a:xfrm flipV="1">
          <a:off x="94554675" y="2590800"/>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135</xdr:col>
      <xdr:colOff>0</xdr:colOff>
      <xdr:row>20</xdr:row>
      <xdr:rowOff>0</xdr:rowOff>
    </xdr:from>
    <xdr:to>
      <xdr:col>135</xdr:col>
      <xdr:colOff>76200</xdr:colOff>
      <xdr:row>20</xdr:row>
      <xdr:rowOff>9525</xdr:rowOff>
    </xdr:to>
    <xdr:sp macro="" textlink="">
      <xdr:nvSpPr>
        <xdr:cNvPr id="1069609" name="Line 343">
          <a:extLst>
            <a:ext uri="{FF2B5EF4-FFF2-40B4-BE49-F238E27FC236}">
              <a16:creationId xmlns:a16="http://schemas.microsoft.com/office/drawing/2014/main" id="{00000000-0008-0000-0C00-000029521000}"/>
            </a:ext>
          </a:extLst>
        </xdr:cNvPr>
        <xdr:cNvSpPr>
          <a:spLocks noChangeShapeType="1"/>
        </xdr:cNvSpPr>
      </xdr:nvSpPr>
      <xdr:spPr bwMode="auto">
        <a:xfrm>
          <a:off x="9232582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138</xdr:col>
      <xdr:colOff>0</xdr:colOff>
      <xdr:row>20</xdr:row>
      <xdr:rowOff>0</xdr:rowOff>
    </xdr:from>
    <xdr:to>
      <xdr:col>138</xdr:col>
      <xdr:colOff>76200</xdr:colOff>
      <xdr:row>20</xdr:row>
      <xdr:rowOff>9525</xdr:rowOff>
    </xdr:to>
    <xdr:sp macro="" textlink="">
      <xdr:nvSpPr>
        <xdr:cNvPr id="1069610" name="Line 346">
          <a:extLst>
            <a:ext uri="{FF2B5EF4-FFF2-40B4-BE49-F238E27FC236}">
              <a16:creationId xmlns:a16="http://schemas.microsoft.com/office/drawing/2014/main" id="{00000000-0008-0000-0C00-00002A521000}"/>
            </a:ext>
          </a:extLst>
        </xdr:cNvPr>
        <xdr:cNvSpPr>
          <a:spLocks noChangeShapeType="1"/>
        </xdr:cNvSpPr>
      </xdr:nvSpPr>
      <xdr:spPr bwMode="auto">
        <a:xfrm>
          <a:off x="944880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141</xdr:col>
      <xdr:colOff>0</xdr:colOff>
      <xdr:row>20</xdr:row>
      <xdr:rowOff>0</xdr:rowOff>
    </xdr:from>
    <xdr:to>
      <xdr:col>141</xdr:col>
      <xdr:colOff>76200</xdr:colOff>
      <xdr:row>20</xdr:row>
      <xdr:rowOff>9525</xdr:rowOff>
    </xdr:to>
    <xdr:sp macro="" textlink="">
      <xdr:nvSpPr>
        <xdr:cNvPr id="1069611" name="Line 349">
          <a:extLst>
            <a:ext uri="{FF2B5EF4-FFF2-40B4-BE49-F238E27FC236}">
              <a16:creationId xmlns:a16="http://schemas.microsoft.com/office/drawing/2014/main" id="{00000000-0008-0000-0C00-00002B521000}"/>
            </a:ext>
          </a:extLst>
        </xdr:cNvPr>
        <xdr:cNvSpPr>
          <a:spLocks noChangeShapeType="1"/>
        </xdr:cNvSpPr>
      </xdr:nvSpPr>
      <xdr:spPr bwMode="auto">
        <a:xfrm>
          <a:off x="965835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141</xdr:col>
      <xdr:colOff>0</xdr:colOff>
      <xdr:row>20</xdr:row>
      <xdr:rowOff>0</xdr:rowOff>
    </xdr:from>
    <xdr:to>
      <xdr:col>141</xdr:col>
      <xdr:colOff>76200</xdr:colOff>
      <xdr:row>20</xdr:row>
      <xdr:rowOff>9525</xdr:rowOff>
    </xdr:to>
    <xdr:sp macro="" textlink="">
      <xdr:nvSpPr>
        <xdr:cNvPr id="1069612" name="Line 352">
          <a:extLst>
            <a:ext uri="{FF2B5EF4-FFF2-40B4-BE49-F238E27FC236}">
              <a16:creationId xmlns:a16="http://schemas.microsoft.com/office/drawing/2014/main" id="{00000000-0008-0000-0C00-00002C521000}"/>
            </a:ext>
          </a:extLst>
        </xdr:cNvPr>
        <xdr:cNvSpPr>
          <a:spLocks noChangeShapeType="1"/>
        </xdr:cNvSpPr>
      </xdr:nvSpPr>
      <xdr:spPr bwMode="auto">
        <a:xfrm>
          <a:off x="965835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141</xdr:col>
      <xdr:colOff>0</xdr:colOff>
      <xdr:row>20</xdr:row>
      <xdr:rowOff>0</xdr:rowOff>
    </xdr:from>
    <xdr:to>
      <xdr:col>141</xdr:col>
      <xdr:colOff>76200</xdr:colOff>
      <xdr:row>20</xdr:row>
      <xdr:rowOff>9525</xdr:rowOff>
    </xdr:to>
    <xdr:sp macro="" textlink="">
      <xdr:nvSpPr>
        <xdr:cNvPr id="1069613" name="Line 356">
          <a:extLst>
            <a:ext uri="{FF2B5EF4-FFF2-40B4-BE49-F238E27FC236}">
              <a16:creationId xmlns:a16="http://schemas.microsoft.com/office/drawing/2014/main" id="{00000000-0008-0000-0C00-00002D521000}"/>
            </a:ext>
          </a:extLst>
        </xdr:cNvPr>
        <xdr:cNvSpPr>
          <a:spLocks noChangeShapeType="1"/>
        </xdr:cNvSpPr>
      </xdr:nvSpPr>
      <xdr:spPr bwMode="auto">
        <a:xfrm>
          <a:off x="965835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141</xdr:col>
      <xdr:colOff>66675</xdr:colOff>
      <xdr:row>20</xdr:row>
      <xdr:rowOff>0</xdr:rowOff>
    </xdr:from>
    <xdr:to>
      <xdr:col>141</xdr:col>
      <xdr:colOff>400050</xdr:colOff>
      <xdr:row>21</xdr:row>
      <xdr:rowOff>114300</xdr:rowOff>
    </xdr:to>
    <xdr:sp macro="" textlink="">
      <xdr:nvSpPr>
        <xdr:cNvPr id="1069614" name="Line 359">
          <a:extLst>
            <a:ext uri="{FF2B5EF4-FFF2-40B4-BE49-F238E27FC236}">
              <a16:creationId xmlns:a16="http://schemas.microsoft.com/office/drawing/2014/main" id="{00000000-0008-0000-0C00-00002E521000}"/>
            </a:ext>
          </a:extLst>
        </xdr:cNvPr>
        <xdr:cNvSpPr>
          <a:spLocks noChangeShapeType="1"/>
        </xdr:cNvSpPr>
      </xdr:nvSpPr>
      <xdr:spPr bwMode="auto">
        <a:xfrm flipV="1">
          <a:off x="96650175" y="4219575"/>
          <a:ext cx="333375" cy="2952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138</xdr:col>
      <xdr:colOff>0</xdr:colOff>
      <xdr:row>20</xdr:row>
      <xdr:rowOff>0</xdr:rowOff>
    </xdr:from>
    <xdr:to>
      <xdr:col>138</xdr:col>
      <xdr:colOff>76200</xdr:colOff>
      <xdr:row>20</xdr:row>
      <xdr:rowOff>9525</xdr:rowOff>
    </xdr:to>
    <xdr:sp macro="" textlink="">
      <xdr:nvSpPr>
        <xdr:cNvPr id="1069615" name="Line 360">
          <a:extLst>
            <a:ext uri="{FF2B5EF4-FFF2-40B4-BE49-F238E27FC236}">
              <a16:creationId xmlns:a16="http://schemas.microsoft.com/office/drawing/2014/main" id="{00000000-0008-0000-0C00-00002F521000}"/>
            </a:ext>
          </a:extLst>
        </xdr:cNvPr>
        <xdr:cNvSpPr>
          <a:spLocks noChangeShapeType="1"/>
        </xdr:cNvSpPr>
      </xdr:nvSpPr>
      <xdr:spPr bwMode="auto">
        <a:xfrm>
          <a:off x="944880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135</xdr:col>
      <xdr:colOff>9525</xdr:colOff>
      <xdr:row>23</xdr:row>
      <xdr:rowOff>0</xdr:rowOff>
    </xdr:from>
    <xdr:to>
      <xdr:col>135</xdr:col>
      <xdr:colOff>66675</xdr:colOff>
      <xdr:row>23</xdr:row>
      <xdr:rowOff>9525</xdr:rowOff>
    </xdr:to>
    <xdr:sp macro="" textlink="">
      <xdr:nvSpPr>
        <xdr:cNvPr id="1069616" name="Line 345">
          <a:extLst>
            <a:ext uri="{FF2B5EF4-FFF2-40B4-BE49-F238E27FC236}">
              <a16:creationId xmlns:a16="http://schemas.microsoft.com/office/drawing/2014/main" id="{00000000-0008-0000-0C00-000030521000}"/>
            </a:ext>
          </a:extLst>
        </xdr:cNvPr>
        <xdr:cNvSpPr>
          <a:spLocks noChangeShapeType="1"/>
        </xdr:cNvSpPr>
      </xdr:nvSpPr>
      <xdr:spPr bwMode="auto">
        <a:xfrm flipV="1">
          <a:off x="9233535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138</xdr:col>
      <xdr:colOff>9525</xdr:colOff>
      <xdr:row>23</xdr:row>
      <xdr:rowOff>0</xdr:rowOff>
    </xdr:from>
    <xdr:to>
      <xdr:col>138</xdr:col>
      <xdr:colOff>66675</xdr:colOff>
      <xdr:row>23</xdr:row>
      <xdr:rowOff>9525</xdr:rowOff>
    </xdr:to>
    <xdr:sp macro="" textlink="">
      <xdr:nvSpPr>
        <xdr:cNvPr id="1069617" name="Line 348">
          <a:extLst>
            <a:ext uri="{FF2B5EF4-FFF2-40B4-BE49-F238E27FC236}">
              <a16:creationId xmlns:a16="http://schemas.microsoft.com/office/drawing/2014/main" id="{00000000-0008-0000-0C00-000031521000}"/>
            </a:ext>
          </a:extLst>
        </xdr:cNvPr>
        <xdr:cNvSpPr>
          <a:spLocks noChangeShapeType="1"/>
        </xdr:cNvSpPr>
      </xdr:nvSpPr>
      <xdr:spPr bwMode="auto">
        <a:xfrm flipV="1">
          <a:off x="944975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141</xdr:col>
      <xdr:colOff>9525</xdr:colOff>
      <xdr:row>23</xdr:row>
      <xdr:rowOff>0</xdr:rowOff>
    </xdr:from>
    <xdr:to>
      <xdr:col>141</xdr:col>
      <xdr:colOff>66675</xdr:colOff>
      <xdr:row>23</xdr:row>
      <xdr:rowOff>9525</xdr:rowOff>
    </xdr:to>
    <xdr:sp macro="" textlink="">
      <xdr:nvSpPr>
        <xdr:cNvPr id="1069618" name="Line 351">
          <a:extLst>
            <a:ext uri="{FF2B5EF4-FFF2-40B4-BE49-F238E27FC236}">
              <a16:creationId xmlns:a16="http://schemas.microsoft.com/office/drawing/2014/main" id="{00000000-0008-0000-0C00-000032521000}"/>
            </a:ext>
          </a:extLst>
        </xdr:cNvPr>
        <xdr:cNvSpPr>
          <a:spLocks noChangeShapeType="1"/>
        </xdr:cNvSpPr>
      </xdr:nvSpPr>
      <xdr:spPr bwMode="auto">
        <a:xfrm flipV="1">
          <a:off x="965930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141</xdr:col>
      <xdr:colOff>9525</xdr:colOff>
      <xdr:row>23</xdr:row>
      <xdr:rowOff>0</xdr:rowOff>
    </xdr:from>
    <xdr:to>
      <xdr:col>141</xdr:col>
      <xdr:colOff>66675</xdr:colOff>
      <xdr:row>23</xdr:row>
      <xdr:rowOff>9525</xdr:rowOff>
    </xdr:to>
    <xdr:sp macro="" textlink="">
      <xdr:nvSpPr>
        <xdr:cNvPr id="1069619" name="Line 354">
          <a:extLst>
            <a:ext uri="{FF2B5EF4-FFF2-40B4-BE49-F238E27FC236}">
              <a16:creationId xmlns:a16="http://schemas.microsoft.com/office/drawing/2014/main" id="{00000000-0008-0000-0C00-000033521000}"/>
            </a:ext>
          </a:extLst>
        </xdr:cNvPr>
        <xdr:cNvSpPr>
          <a:spLocks noChangeShapeType="1"/>
        </xdr:cNvSpPr>
      </xdr:nvSpPr>
      <xdr:spPr bwMode="auto">
        <a:xfrm flipV="1">
          <a:off x="965930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141</xdr:col>
      <xdr:colOff>66675</xdr:colOff>
      <xdr:row>21</xdr:row>
      <xdr:rowOff>114300</xdr:rowOff>
    </xdr:from>
    <xdr:to>
      <xdr:col>142</xdr:col>
      <xdr:colOff>0</xdr:colOff>
      <xdr:row>22</xdr:row>
      <xdr:rowOff>171450</xdr:rowOff>
    </xdr:to>
    <xdr:sp macro="" textlink="">
      <xdr:nvSpPr>
        <xdr:cNvPr id="1069620" name="Line 355">
          <a:extLst>
            <a:ext uri="{FF2B5EF4-FFF2-40B4-BE49-F238E27FC236}">
              <a16:creationId xmlns:a16="http://schemas.microsoft.com/office/drawing/2014/main" id="{00000000-0008-0000-0C00-000034521000}"/>
            </a:ext>
          </a:extLst>
        </xdr:cNvPr>
        <xdr:cNvSpPr>
          <a:spLocks noChangeShapeType="1"/>
        </xdr:cNvSpPr>
      </xdr:nvSpPr>
      <xdr:spPr bwMode="auto">
        <a:xfrm>
          <a:off x="96650175" y="4514850"/>
          <a:ext cx="342900" cy="2381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141</xdr:col>
      <xdr:colOff>9525</xdr:colOff>
      <xdr:row>23</xdr:row>
      <xdr:rowOff>0</xdr:rowOff>
    </xdr:from>
    <xdr:to>
      <xdr:col>141</xdr:col>
      <xdr:colOff>66675</xdr:colOff>
      <xdr:row>23</xdr:row>
      <xdr:rowOff>9525</xdr:rowOff>
    </xdr:to>
    <xdr:sp macro="" textlink="">
      <xdr:nvSpPr>
        <xdr:cNvPr id="1069621" name="Line 358">
          <a:extLst>
            <a:ext uri="{FF2B5EF4-FFF2-40B4-BE49-F238E27FC236}">
              <a16:creationId xmlns:a16="http://schemas.microsoft.com/office/drawing/2014/main" id="{00000000-0008-0000-0C00-000035521000}"/>
            </a:ext>
          </a:extLst>
        </xdr:cNvPr>
        <xdr:cNvSpPr>
          <a:spLocks noChangeShapeType="1"/>
        </xdr:cNvSpPr>
      </xdr:nvSpPr>
      <xdr:spPr bwMode="auto">
        <a:xfrm flipV="1">
          <a:off x="965930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138</xdr:col>
      <xdr:colOff>9525</xdr:colOff>
      <xdr:row>23</xdr:row>
      <xdr:rowOff>0</xdr:rowOff>
    </xdr:from>
    <xdr:to>
      <xdr:col>138</xdr:col>
      <xdr:colOff>66675</xdr:colOff>
      <xdr:row>23</xdr:row>
      <xdr:rowOff>9525</xdr:rowOff>
    </xdr:to>
    <xdr:sp macro="" textlink="">
      <xdr:nvSpPr>
        <xdr:cNvPr id="1069622" name="Line 362">
          <a:extLst>
            <a:ext uri="{FF2B5EF4-FFF2-40B4-BE49-F238E27FC236}">
              <a16:creationId xmlns:a16="http://schemas.microsoft.com/office/drawing/2014/main" id="{00000000-0008-0000-0C00-000036521000}"/>
            </a:ext>
          </a:extLst>
        </xdr:cNvPr>
        <xdr:cNvSpPr>
          <a:spLocks noChangeShapeType="1"/>
        </xdr:cNvSpPr>
      </xdr:nvSpPr>
      <xdr:spPr bwMode="auto">
        <a:xfrm flipV="1">
          <a:off x="944975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135</xdr:col>
      <xdr:colOff>66675</xdr:colOff>
      <xdr:row>21</xdr:row>
      <xdr:rowOff>85725</xdr:rowOff>
    </xdr:from>
    <xdr:to>
      <xdr:col>136</xdr:col>
      <xdr:colOff>9525</xdr:colOff>
      <xdr:row>23</xdr:row>
      <xdr:rowOff>0</xdr:rowOff>
    </xdr:to>
    <xdr:sp macro="" textlink="">
      <xdr:nvSpPr>
        <xdr:cNvPr id="1069623" name="Line 363">
          <a:extLst>
            <a:ext uri="{FF2B5EF4-FFF2-40B4-BE49-F238E27FC236}">
              <a16:creationId xmlns:a16="http://schemas.microsoft.com/office/drawing/2014/main" id="{00000000-0008-0000-0C00-000037521000}"/>
            </a:ext>
          </a:extLst>
        </xdr:cNvPr>
        <xdr:cNvSpPr>
          <a:spLocks noChangeShapeType="1"/>
        </xdr:cNvSpPr>
      </xdr:nvSpPr>
      <xdr:spPr bwMode="auto">
        <a:xfrm>
          <a:off x="92392500" y="4486275"/>
          <a:ext cx="390525" cy="276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138</xdr:col>
      <xdr:colOff>57150</xdr:colOff>
      <xdr:row>21</xdr:row>
      <xdr:rowOff>76200</xdr:rowOff>
    </xdr:from>
    <xdr:to>
      <xdr:col>139</xdr:col>
      <xdr:colOff>0</xdr:colOff>
      <xdr:row>23</xdr:row>
      <xdr:rowOff>0</xdr:rowOff>
    </xdr:to>
    <xdr:sp macro="" textlink="">
      <xdr:nvSpPr>
        <xdr:cNvPr id="1069624" name="Line 364">
          <a:extLst>
            <a:ext uri="{FF2B5EF4-FFF2-40B4-BE49-F238E27FC236}">
              <a16:creationId xmlns:a16="http://schemas.microsoft.com/office/drawing/2014/main" id="{00000000-0008-0000-0C00-000038521000}"/>
            </a:ext>
          </a:extLst>
        </xdr:cNvPr>
        <xdr:cNvSpPr>
          <a:spLocks noChangeShapeType="1"/>
        </xdr:cNvSpPr>
      </xdr:nvSpPr>
      <xdr:spPr bwMode="auto">
        <a:xfrm>
          <a:off x="94545150" y="4476750"/>
          <a:ext cx="352425" cy="2857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135</xdr:col>
      <xdr:colOff>85725</xdr:colOff>
      <xdr:row>19</xdr:row>
      <xdr:rowOff>142875</xdr:rowOff>
    </xdr:from>
    <xdr:to>
      <xdr:col>135</xdr:col>
      <xdr:colOff>85725</xdr:colOff>
      <xdr:row>23</xdr:row>
      <xdr:rowOff>19050</xdr:rowOff>
    </xdr:to>
    <xdr:sp macro="" textlink="">
      <xdr:nvSpPr>
        <xdr:cNvPr id="1069625" name="Line 344">
          <a:extLst>
            <a:ext uri="{FF2B5EF4-FFF2-40B4-BE49-F238E27FC236}">
              <a16:creationId xmlns:a16="http://schemas.microsoft.com/office/drawing/2014/main" id="{00000000-0008-0000-0C00-000039521000}"/>
            </a:ext>
          </a:extLst>
        </xdr:cNvPr>
        <xdr:cNvSpPr>
          <a:spLocks noChangeShapeType="1"/>
        </xdr:cNvSpPr>
      </xdr:nvSpPr>
      <xdr:spPr bwMode="auto">
        <a:xfrm flipH="1">
          <a:off x="92411550" y="4181475"/>
          <a:ext cx="0" cy="600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138</xdr:col>
      <xdr:colOff>66675</xdr:colOff>
      <xdr:row>19</xdr:row>
      <xdr:rowOff>142875</xdr:rowOff>
    </xdr:from>
    <xdr:to>
      <xdr:col>138</xdr:col>
      <xdr:colOff>66675</xdr:colOff>
      <xdr:row>23</xdr:row>
      <xdr:rowOff>19050</xdr:rowOff>
    </xdr:to>
    <xdr:sp macro="" textlink="">
      <xdr:nvSpPr>
        <xdr:cNvPr id="1069626" name="Line 344">
          <a:extLst>
            <a:ext uri="{FF2B5EF4-FFF2-40B4-BE49-F238E27FC236}">
              <a16:creationId xmlns:a16="http://schemas.microsoft.com/office/drawing/2014/main" id="{00000000-0008-0000-0C00-00003A521000}"/>
            </a:ext>
          </a:extLst>
        </xdr:cNvPr>
        <xdr:cNvSpPr>
          <a:spLocks noChangeShapeType="1"/>
        </xdr:cNvSpPr>
      </xdr:nvSpPr>
      <xdr:spPr bwMode="auto">
        <a:xfrm flipH="1">
          <a:off x="94554675" y="4181475"/>
          <a:ext cx="0" cy="600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141</xdr:col>
      <xdr:colOff>85725</xdr:colOff>
      <xdr:row>19</xdr:row>
      <xdr:rowOff>152400</xdr:rowOff>
    </xdr:from>
    <xdr:to>
      <xdr:col>141</xdr:col>
      <xdr:colOff>85725</xdr:colOff>
      <xdr:row>23</xdr:row>
      <xdr:rowOff>28575</xdr:rowOff>
    </xdr:to>
    <xdr:sp macro="" textlink="">
      <xdr:nvSpPr>
        <xdr:cNvPr id="1069627" name="Line 344">
          <a:extLst>
            <a:ext uri="{FF2B5EF4-FFF2-40B4-BE49-F238E27FC236}">
              <a16:creationId xmlns:a16="http://schemas.microsoft.com/office/drawing/2014/main" id="{00000000-0008-0000-0C00-00003B521000}"/>
            </a:ext>
          </a:extLst>
        </xdr:cNvPr>
        <xdr:cNvSpPr>
          <a:spLocks noChangeShapeType="1"/>
        </xdr:cNvSpPr>
      </xdr:nvSpPr>
      <xdr:spPr bwMode="auto">
        <a:xfrm flipH="1">
          <a:off x="96669225" y="4191000"/>
          <a:ext cx="0" cy="600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135</xdr:col>
      <xdr:colOff>66675</xdr:colOff>
      <xdr:row>16</xdr:row>
      <xdr:rowOff>152400</xdr:rowOff>
    </xdr:from>
    <xdr:to>
      <xdr:col>136</xdr:col>
      <xdr:colOff>0</xdr:colOff>
      <xdr:row>21</xdr:row>
      <xdr:rowOff>76200</xdr:rowOff>
    </xdr:to>
    <xdr:sp macro="" textlink="">
      <xdr:nvSpPr>
        <xdr:cNvPr id="1069628" name="Line 392">
          <a:extLst>
            <a:ext uri="{FF2B5EF4-FFF2-40B4-BE49-F238E27FC236}">
              <a16:creationId xmlns:a16="http://schemas.microsoft.com/office/drawing/2014/main" id="{00000000-0008-0000-0C00-00003C521000}"/>
            </a:ext>
          </a:extLst>
        </xdr:cNvPr>
        <xdr:cNvSpPr>
          <a:spLocks noChangeShapeType="1"/>
        </xdr:cNvSpPr>
      </xdr:nvSpPr>
      <xdr:spPr bwMode="auto">
        <a:xfrm flipV="1">
          <a:off x="92392500" y="3648075"/>
          <a:ext cx="381000" cy="8286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138</xdr:col>
      <xdr:colOff>66675</xdr:colOff>
      <xdr:row>17</xdr:row>
      <xdr:rowOff>0</xdr:rowOff>
    </xdr:from>
    <xdr:to>
      <xdr:col>139</xdr:col>
      <xdr:colOff>0</xdr:colOff>
      <xdr:row>21</xdr:row>
      <xdr:rowOff>76200</xdr:rowOff>
    </xdr:to>
    <xdr:sp macro="" textlink="">
      <xdr:nvSpPr>
        <xdr:cNvPr id="1069629" name="Line 392">
          <a:extLst>
            <a:ext uri="{FF2B5EF4-FFF2-40B4-BE49-F238E27FC236}">
              <a16:creationId xmlns:a16="http://schemas.microsoft.com/office/drawing/2014/main" id="{00000000-0008-0000-0C00-00003D521000}"/>
            </a:ext>
          </a:extLst>
        </xdr:cNvPr>
        <xdr:cNvSpPr>
          <a:spLocks noChangeShapeType="1"/>
        </xdr:cNvSpPr>
      </xdr:nvSpPr>
      <xdr:spPr bwMode="auto">
        <a:xfrm flipV="1">
          <a:off x="94554675" y="3676650"/>
          <a:ext cx="3429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xdr:row>
      <xdr:rowOff>0</xdr:rowOff>
    </xdr:from>
    <xdr:to>
      <xdr:col>19</xdr:col>
      <xdr:colOff>38100</xdr:colOff>
      <xdr:row>1</xdr:row>
      <xdr:rowOff>438150</xdr:rowOff>
    </xdr:to>
    <xdr:sp macro="[0]!jmk_RETOUR_MENU" textlink="">
      <xdr:nvSpPr>
        <xdr:cNvPr id="1620" name="Rectangle à coins arrondis 1619">
          <a:extLst>
            <a:ext uri="{FF2B5EF4-FFF2-40B4-BE49-F238E27FC236}">
              <a16:creationId xmlns:a16="http://schemas.microsoft.com/office/drawing/2014/main" id="{00000000-0008-0000-0C00-000054060000}"/>
            </a:ext>
          </a:extLst>
        </xdr:cNvPr>
        <xdr:cNvSpPr/>
      </xdr:nvSpPr>
      <xdr:spPr bwMode="auto">
        <a:xfrm>
          <a:off x="10137321" y="381000"/>
          <a:ext cx="800100" cy="43815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 MENUS</a:t>
          </a:r>
        </a:p>
      </xdr:txBody>
    </xdr:sp>
    <xdr:clientData fPrintsWithSheet="0"/>
  </xdr:twoCellAnchor>
  <xdr:twoCellAnchor>
    <xdr:from>
      <xdr:col>17</xdr:col>
      <xdr:colOff>609600</xdr:colOff>
      <xdr:row>2</xdr:row>
      <xdr:rowOff>104774</xdr:rowOff>
    </xdr:from>
    <xdr:to>
      <xdr:col>19</xdr:col>
      <xdr:colOff>295275</xdr:colOff>
      <xdr:row>3</xdr:row>
      <xdr:rowOff>95249</xdr:rowOff>
    </xdr:to>
    <xdr:sp macro="[0]!jmk_imp_feuille" textlink="">
      <xdr:nvSpPr>
        <xdr:cNvPr id="1621" name="Rectangle à coins arrondis 1620">
          <a:extLst>
            <a:ext uri="{FF2B5EF4-FFF2-40B4-BE49-F238E27FC236}">
              <a16:creationId xmlns:a16="http://schemas.microsoft.com/office/drawing/2014/main" id="{00000000-0008-0000-0C00-000055060000}"/>
            </a:ext>
          </a:extLst>
        </xdr:cNvPr>
        <xdr:cNvSpPr/>
      </xdr:nvSpPr>
      <xdr:spPr bwMode="auto">
        <a:xfrm>
          <a:off x="11791950" y="933449"/>
          <a:ext cx="1209675" cy="42862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a:t>
          </a:r>
        </a:p>
      </xdr:txBody>
    </xdr:sp>
    <xdr:clientData fPrintsWithSheet="0"/>
  </xdr:twoCellAnchor>
  <xdr:twoCellAnchor>
    <xdr:from>
      <xdr:col>8</xdr:col>
      <xdr:colOff>0</xdr:colOff>
      <xdr:row>8</xdr:row>
      <xdr:rowOff>0</xdr:rowOff>
    </xdr:from>
    <xdr:to>
      <xdr:col>8</xdr:col>
      <xdr:colOff>76200</xdr:colOff>
      <xdr:row>8</xdr:row>
      <xdr:rowOff>9525</xdr:rowOff>
    </xdr:to>
    <xdr:sp macro="" textlink="">
      <xdr:nvSpPr>
        <xdr:cNvPr id="1553" name="Line 1">
          <a:extLst>
            <a:ext uri="{FF2B5EF4-FFF2-40B4-BE49-F238E27FC236}">
              <a16:creationId xmlns:a16="http://schemas.microsoft.com/office/drawing/2014/main" id="{00000000-0008-0000-0C00-000011060000}"/>
            </a:ext>
          </a:extLst>
        </xdr:cNvPr>
        <xdr:cNvSpPr>
          <a:spLocks noChangeShapeType="1"/>
        </xdr:cNvSpPr>
      </xdr:nvSpPr>
      <xdr:spPr bwMode="auto">
        <a:xfrm>
          <a:off x="3148965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8</xdr:row>
      <xdr:rowOff>9525</xdr:rowOff>
    </xdr:from>
    <xdr:to>
      <xdr:col>8</xdr:col>
      <xdr:colOff>66675</xdr:colOff>
      <xdr:row>11</xdr:row>
      <xdr:rowOff>19050</xdr:rowOff>
    </xdr:to>
    <xdr:sp macro="" textlink="">
      <xdr:nvSpPr>
        <xdr:cNvPr id="1554" name="Line 2">
          <a:extLst>
            <a:ext uri="{FF2B5EF4-FFF2-40B4-BE49-F238E27FC236}">
              <a16:creationId xmlns:a16="http://schemas.microsoft.com/office/drawing/2014/main" id="{00000000-0008-0000-0C00-000012060000}"/>
            </a:ext>
          </a:extLst>
        </xdr:cNvPr>
        <xdr:cNvSpPr>
          <a:spLocks noChangeShapeType="1"/>
        </xdr:cNvSpPr>
      </xdr:nvSpPr>
      <xdr:spPr bwMode="auto">
        <a:xfrm>
          <a:off x="3155632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11</xdr:row>
      <xdr:rowOff>0</xdr:rowOff>
    </xdr:from>
    <xdr:to>
      <xdr:col>8</xdr:col>
      <xdr:colOff>66675</xdr:colOff>
      <xdr:row>11</xdr:row>
      <xdr:rowOff>9525</xdr:rowOff>
    </xdr:to>
    <xdr:sp macro="" textlink="">
      <xdr:nvSpPr>
        <xdr:cNvPr id="1555" name="Line 3">
          <a:extLst>
            <a:ext uri="{FF2B5EF4-FFF2-40B4-BE49-F238E27FC236}">
              <a16:creationId xmlns:a16="http://schemas.microsoft.com/office/drawing/2014/main" id="{00000000-0008-0000-0C00-000013060000}"/>
            </a:ext>
          </a:extLst>
        </xdr:cNvPr>
        <xdr:cNvSpPr>
          <a:spLocks noChangeShapeType="1"/>
        </xdr:cNvSpPr>
      </xdr:nvSpPr>
      <xdr:spPr bwMode="auto">
        <a:xfrm flipV="1">
          <a:off x="3149917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8</xdr:row>
      <xdr:rowOff>0</xdr:rowOff>
    </xdr:from>
    <xdr:to>
      <xdr:col>5</xdr:col>
      <xdr:colOff>76200</xdr:colOff>
      <xdr:row>8</xdr:row>
      <xdr:rowOff>9525</xdr:rowOff>
    </xdr:to>
    <xdr:sp macro="" textlink="">
      <xdr:nvSpPr>
        <xdr:cNvPr id="1556" name="Line 4">
          <a:extLst>
            <a:ext uri="{FF2B5EF4-FFF2-40B4-BE49-F238E27FC236}">
              <a16:creationId xmlns:a16="http://schemas.microsoft.com/office/drawing/2014/main" id="{00000000-0008-0000-0C00-000014060000}"/>
            </a:ext>
          </a:extLst>
        </xdr:cNvPr>
        <xdr:cNvSpPr>
          <a:spLocks noChangeShapeType="1"/>
        </xdr:cNvSpPr>
      </xdr:nvSpPr>
      <xdr:spPr bwMode="auto">
        <a:xfrm>
          <a:off x="2932747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66675</xdr:colOff>
      <xdr:row>8</xdr:row>
      <xdr:rowOff>9525</xdr:rowOff>
    </xdr:from>
    <xdr:to>
      <xdr:col>5</xdr:col>
      <xdr:colOff>66675</xdr:colOff>
      <xdr:row>11</xdr:row>
      <xdr:rowOff>19050</xdr:rowOff>
    </xdr:to>
    <xdr:sp macro="" textlink="">
      <xdr:nvSpPr>
        <xdr:cNvPr id="1557" name="Line 5">
          <a:extLst>
            <a:ext uri="{FF2B5EF4-FFF2-40B4-BE49-F238E27FC236}">
              <a16:creationId xmlns:a16="http://schemas.microsoft.com/office/drawing/2014/main" id="{00000000-0008-0000-0C00-000015060000}"/>
            </a:ext>
          </a:extLst>
        </xdr:cNvPr>
        <xdr:cNvSpPr>
          <a:spLocks noChangeShapeType="1"/>
        </xdr:cNvSpPr>
      </xdr:nvSpPr>
      <xdr:spPr bwMode="auto">
        <a:xfrm>
          <a:off x="2939415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11</xdr:row>
      <xdr:rowOff>0</xdr:rowOff>
    </xdr:from>
    <xdr:to>
      <xdr:col>5</xdr:col>
      <xdr:colOff>66675</xdr:colOff>
      <xdr:row>11</xdr:row>
      <xdr:rowOff>9525</xdr:rowOff>
    </xdr:to>
    <xdr:sp macro="" textlink="">
      <xdr:nvSpPr>
        <xdr:cNvPr id="1558" name="Line 6">
          <a:extLst>
            <a:ext uri="{FF2B5EF4-FFF2-40B4-BE49-F238E27FC236}">
              <a16:creationId xmlns:a16="http://schemas.microsoft.com/office/drawing/2014/main" id="{00000000-0008-0000-0C00-000016060000}"/>
            </a:ext>
          </a:extLst>
        </xdr:cNvPr>
        <xdr:cNvSpPr>
          <a:spLocks noChangeShapeType="1"/>
        </xdr:cNvSpPr>
      </xdr:nvSpPr>
      <xdr:spPr bwMode="auto">
        <a:xfrm flipV="1">
          <a:off x="2933700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14</xdr:row>
      <xdr:rowOff>0</xdr:rowOff>
    </xdr:from>
    <xdr:to>
      <xdr:col>5</xdr:col>
      <xdr:colOff>76200</xdr:colOff>
      <xdr:row>14</xdr:row>
      <xdr:rowOff>9525</xdr:rowOff>
    </xdr:to>
    <xdr:sp macro="" textlink="">
      <xdr:nvSpPr>
        <xdr:cNvPr id="1559" name="Line 10">
          <a:extLst>
            <a:ext uri="{FF2B5EF4-FFF2-40B4-BE49-F238E27FC236}">
              <a16:creationId xmlns:a16="http://schemas.microsoft.com/office/drawing/2014/main" id="{00000000-0008-0000-0C00-000017060000}"/>
            </a:ext>
          </a:extLst>
        </xdr:cNvPr>
        <xdr:cNvSpPr>
          <a:spLocks noChangeShapeType="1"/>
        </xdr:cNvSpPr>
      </xdr:nvSpPr>
      <xdr:spPr bwMode="auto">
        <a:xfrm>
          <a:off x="2932747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66675</xdr:colOff>
      <xdr:row>14</xdr:row>
      <xdr:rowOff>9525</xdr:rowOff>
    </xdr:from>
    <xdr:to>
      <xdr:col>5</xdr:col>
      <xdr:colOff>66675</xdr:colOff>
      <xdr:row>17</xdr:row>
      <xdr:rowOff>19050</xdr:rowOff>
    </xdr:to>
    <xdr:sp macro="" textlink="">
      <xdr:nvSpPr>
        <xdr:cNvPr id="1560" name="Line 11">
          <a:extLst>
            <a:ext uri="{FF2B5EF4-FFF2-40B4-BE49-F238E27FC236}">
              <a16:creationId xmlns:a16="http://schemas.microsoft.com/office/drawing/2014/main" id="{00000000-0008-0000-0C00-000018060000}"/>
            </a:ext>
          </a:extLst>
        </xdr:cNvPr>
        <xdr:cNvSpPr>
          <a:spLocks noChangeShapeType="1"/>
        </xdr:cNvSpPr>
      </xdr:nvSpPr>
      <xdr:spPr bwMode="auto">
        <a:xfrm>
          <a:off x="2939415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17</xdr:row>
      <xdr:rowOff>0</xdr:rowOff>
    </xdr:from>
    <xdr:to>
      <xdr:col>5</xdr:col>
      <xdr:colOff>66675</xdr:colOff>
      <xdr:row>17</xdr:row>
      <xdr:rowOff>9525</xdr:rowOff>
    </xdr:to>
    <xdr:sp macro="" textlink="">
      <xdr:nvSpPr>
        <xdr:cNvPr id="1561" name="Line 12">
          <a:extLst>
            <a:ext uri="{FF2B5EF4-FFF2-40B4-BE49-F238E27FC236}">
              <a16:creationId xmlns:a16="http://schemas.microsoft.com/office/drawing/2014/main" id="{00000000-0008-0000-0C00-000019060000}"/>
            </a:ext>
          </a:extLst>
        </xdr:cNvPr>
        <xdr:cNvSpPr>
          <a:spLocks noChangeShapeType="1"/>
        </xdr:cNvSpPr>
      </xdr:nvSpPr>
      <xdr:spPr bwMode="auto">
        <a:xfrm flipV="1">
          <a:off x="293370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xdr:row>
      <xdr:rowOff>0</xdr:rowOff>
    </xdr:from>
    <xdr:to>
      <xdr:col>11</xdr:col>
      <xdr:colOff>76200</xdr:colOff>
      <xdr:row>8</xdr:row>
      <xdr:rowOff>9525</xdr:rowOff>
    </xdr:to>
    <xdr:sp macro="" textlink="">
      <xdr:nvSpPr>
        <xdr:cNvPr id="1562" name="Line 16">
          <a:extLst>
            <a:ext uri="{FF2B5EF4-FFF2-40B4-BE49-F238E27FC236}">
              <a16:creationId xmlns:a16="http://schemas.microsoft.com/office/drawing/2014/main" id="{00000000-0008-0000-0C00-00001A060000}"/>
            </a:ext>
          </a:extLst>
        </xdr:cNvPr>
        <xdr:cNvSpPr>
          <a:spLocks noChangeShapeType="1"/>
        </xdr:cNvSpPr>
      </xdr:nvSpPr>
      <xdr:spPr bwMode="auto">
        <a:xfrm>
          <a:off x="3358515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8</xdr:row>
      <xdr:rowOff>9525</xdr:rowOff>
    </xdr:from>
    <xdr:to>
      <xdr:col>11</xdr:col>
      <xdr:colOff>66675</xdr:colOff>
      <xdr:row>11</xdr:row>
      <xdr:rowOff>19050</xdr:rowOff>
    </xdr:to>
    <xdr:sp macro="" textlink="">
      <xdr:nvSpPr>
        <xdr:cNvPr id="1563" name="Line 17">
          <a:extLst>
            <a:ext uri="{FF2B5EF4-FFF2-40B4-BE49-F238E27FC236}">
              <a16:creationId xmlns:a16="http://schemas.microsoft.com/office/drawing/2014/main" id="{00000000-0008-0000-0C00-00001B060000}"/>
            </a:ext>
          </a:extLst>
        </xdr:cNvPr>
        <xdr:cNvSpPr>
          <a:spLocks noChangeShapeType="1"/>
        </xdr:cNvSpPr>
      </xdr:nvSpPr>
      <xdr:spPr bwMode="auto">
        <a:xfrm>
          <a:off x="3365182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11</xdr:row>
      <xdr:rowOff>0</xdr:rowOff>
    </xdr:from>
    <xdr:to>
      <xdr:col>11</xdr:col>
      <xdr:colOff>66675</xdr:colOff>
      <xdr:row>11</xdr:row>
      <xdr:rowOff>9525</xdr:rowOff>
    </xdr:to>
    <xdr:sp macro="" textlink="">
      <xdr:nvSpPr>
        <xdr:cNvPr id="1564" name="Line 18">
          <a:extLst>
            <a:ext uri="{FF2B5EF4-FFF2-40B4-BE49-F238E27FC236}">
              <a16:creationId xmlns:a16="http://schemas.microsoft.com/office/drawing/2014/main" id="{00000000-0008-0000-0C00-00001C060000}"/>
            </a:ext>
          </a:extLst>
        </xdr:cNvPr>
        <xdr:cNvSpPr>
          <a:spLocks noChangeShapeType="1"/>
        </xdr:cNvSpPr>
      </xdr:nvSpPr>
      <xdr:spPr bwMode="auto">
        <a:xfrm flipV="1">
          <a:off x="3359467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0</xdr:rowOff>
    </xdr:from>
    <xdr:to>
      <xdr:col>8</xdr:col>
      <xdr:colOff>76200</xdr:colOff>
      <xdr:row>14</xdr:row>
      <xdr:rowOff>9525</xdr:rowOff>
    </xdr:to>
    <xdr:sp macro="" textlink="">
      <xdr:nvSpPr>
        <xdr:cNvPr id="1565" name="Line 19">
          <a:extLst>
            <a:ext uri="{FF2B5EF4-FFF2-40B4-BE49-F238E27FC236}">
              <a16:creationId xmlns:a16="http://schemas.microsoft.com/office/drawing/2014/main" id="{00000000-0008-0000-0C00-00001D060000}"/>
            </a:ext>
          </a:extLst>
        </xdr:cNvPr>
        <xdr:cNvSpPr>
          <a:spLocks noChangeShapeType="1"/>
        </xdr:cNvSpPr>
      </xdr:nvSpPr>
      <xdr:spPr bwMode="auto">
        <a:xfrm>
          <a:off x="3148965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14</xdr:row>
      <xdr:rowOff>9525</xdr:rowOff>
    </xdr:from>
    <xdr:to>
      <xdr:col>8</xdr:col>
      <xdr:colOff>66675</xdr:colOff>
      <xdr:row>17</xdr:row>
      <xdr:rowOff>19050</xdr:rowOff>
    </xdr:to>
    <xdr:sp macro="" textlink="">
      <xdr:nvSpPr>
        <xdr:cNvPr id="1566" name="Line 20">
          <a:extLst>
            <a:ext uri="{FF2B5EF4-FFF2-40B4-BE49-F238E27FC236}">
              <a16:creationId xmlns:a16="http://schemas.microsoft.com/office/drawing/2014/main" id="{00000000-0008-0000-0C00-00001E060000}"/>
            </a:ext>
          </a:extLst>
        </xdr:cNvPr>
        <xdr:cNvSpPr>
          <a:spLocks noChangeShapeType="1"/>
        </xdr:cNvSpPr>
      </xdr:nvSpPr>
      <xdr:spPr bwMode="auto">
        <a:xfrm>
          <a:off x="3155632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17</xdr:row>
      <xdr:rowOff>0</xdr:rowOff>
    </xdr:from>
    <xdr:to>
      <xdr:col>8</xdr:col>
      <xdr:colOff>66675</xdr:colOff>
      <xdr:row>17</xdr:row>
      <xdr:rowOff>9525</xdr:rowOff>
    </xdr:to>
    <xdr:sp macro="" textlink="">
      <xdr:nvSpPr>
        <xdr:cNvPr id="1567" name="Line 21">
          <a:extLst>
            <a:ext uri="{FF2B5EF4-FFF2-40B4-BE49-F238E27FC236}">
              <a16:creationId xmlns:a16="http://schemas.microsoft.com/office/drawing/2014/main" id="{00000000-0008-0000-0C00-00001F060000}"/>
            </a:ext>
          </a:extLst>
        </xdr:cNvPr>
        <xdr:cNvSpPr>
          <a:spLocks noChangeShapeType="1"/>
        </xdr:cNvSpPr>
      </xdr:nvSpPr>
      <xdr:spPr bwMode="auto">
        <a:xfrm flipV="1">
          <a:off x="3149917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xdr:row>
      <xdr:rowOff>0</xdr:rowOff>
    </xdr:from>
    <xdr:to>
      <xdr:col>11</xdr:col>
      <xdr:colOff>76200</xdr:colOff>
      <xdr:row>14</xdr:row>
      <xdr:rowOff>9525</xdr:rowOff>
    </xdr:to>
    <xdr:sp macro="" textlink="">
      <xdr:nvSpPr>
        <xdr:cNvPr id="1568" name="Line 25">
          <a:extLst>
            <a:ext uri="{FF2B5EF4-FFF2-40B4-BE49-F238E27FC236}">
              <a16:creationId xmlns:a16="http://schemas.microsoft.com/office/drawing/2014/main" id="{00000000-0008-0000-0C00-000020060000}"/>
            </a:ext>
          </a:extLst>
        </xdr:cNvPr>
        <xdr:cNvSpPr>
          <a:spLocks noChangeShapeType="1"/>
        </xdr:cNvSpPr>
      </xdr:nvSpPr>
      <xdr:spPr bwMode="auto">
        <a:xfrm>
          <a:off x="3358515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14</xdr:row>
      <xdr:rowOff>9525</xdr:rowOff>
    </xdr:from>
    <xdr:to>
      <xdr:col>11</xdr:col>
      <xdr:colOff>66675</xdr:colOff>
      <xdr:row>17</xdr:row>
      <xdr:rowOff>19050</xdr:rowOff>
    </xdr:to>
    <xdr:sp macro="" textlink="">
      <xdr:nvSpPr>
        <xdr:cNvPr id="1569" name="Line 26">
          <a:extLst>
            <a:ext uri="{FF2B5EF4-FFF2-40B4-BE49-F238E27FC236}">
              <a16:creationId xmlns:a16="http://schemas.microsoft.com/office/drawing/2014/main" id="{00000000-0008-0000-0C00-000021060000}"/>
            </a:ext>
          </a:extLst>
        </xdr:cNvPr>
        <xdr:cNvSpPr>
          <a:spLocks noChangeShapeType="1"/>
        </xdr:cNvSpPr>
      </xdr:nvSpPr>
      <xdr:spPr bwMode="auto">
        <a:xfrm>
          <a:off x="3365182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17</xdr:row>
      <xdr:rowOff>0</xdr:rowOff>
    </xdr:from>
    <xdr:to>
      <xdr:col>11</xdr:col>
      <xdr:colOff>66675</xdr:colOff>
      <xdr:row>17</xdr:row>
      <xdr:rowOff>9525</xdr:rowOff>
    </xdr:to>
    <xdr:sp macro="" textlink="">
      <xdr:nvSpPr>
        <xdr:cNvPr id="1570" name="Line 27">
          <a:extLst>
            <a:ext uri="{FF2B5EF4-FFF2-40B4-BE49-F238E27FC236}">
              <a16:creationId xmlns:a16="http://schemas.microsoft.com/office/drawing/2014/main" id="{00000000-0008-0000-0C00-000022060000}"/>
            </a:ext>
          </a:extLst>
        </xdr:cNvPr>
        <xdr:cNvSpPr>
          <a:spLocks noChangeShapeType="1"/>
        </xdr:cNvSpPr>
      </xdr:nvSpPr>
      <xdr:spPr bwMode="auto">
        <a:xfrm flipV="1">
          <a:off x="3359467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20</xdr:row>
      <xdr:rowOff>0</xdr:rowOff>
    </xdr:from>
    <xdr:to>
      <xdr:col>11</xdr:col>
      <xdr:colOff>76200</xdr:colOff>
      <xdr:row>20</xdr:row>
      <xdr:rowOff>9525</xdr:rowOff>
    </xdr:to>
    <xdr:sp macro="" textlink="">
      <xdr:nvSpPr>
        <xdr:cNvPr id="1571" name="Line 28">
          <a:extLst>
            <a:ext uri="{FF2B5EF4-FFF2-40B4-BE49-F238E27FC236}">
              <a16:creationId xmlns:a16="http://schemas.microsoft.com/office/drawing/2014/main" id="{00000000-0008-0000-0C00-000023060000}"/>
            </a:ext>
          </a:extLst>
        </xdr:cNvPr>
        <xdr:cNvSpPr>
          <a:spLocks noChangeShapeType="1"/>
        </xdr:cNvSpPr>
      </xdr:nvSpPr>
      <xdr:spPr bwMode="auto">
        <a:xfrm>
          <a:off x="3358515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20</xdr:row>
      <xdr:rowOff>9525</xdr:rowOff>
    </xdr:from>
    <xdr:to>
      <xdr:col>11</xdr:col>
      <xdr:colOff>66675</xdr:colOff>
      <xdr:row>23</xdr:row>
      <xdr:rowOff>19050</xdr:rowOff>
    </xdr:to>
    <xdr:sp macro="" textlink="">
      <xdr:nvSpPr>
        <xdr:cNvPr id="1572" name="Line 29">
          <a:extLst>
            <a:ext uri="{FF2B5EF4-FFF2-40B4-BE49-F238E27FC236}">
              <a16:creationId xmlns:a16="http://schemas.microsoft.com/office/drawing/2014/main" id="{00000000-0008-0000-0C00-000024060000}"/>
            </a:ext>
          </a:extLst>
        </xdr:cNvPr>
        <xdr:cNvSpPr>
          <a:spLocks noChangeShapeType="1"/>
        </xdr:cNvSpPr>
      </xdr:nvSpPr>
      <xdr:spPr bwMode="auto">
        <a:xfrm>
          <a:off x="3365182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23</xdr:row>
      <xdr:rowOff>0</xdr:rowOff>
    </xdr:from>
    <xdr:to>
      <xdr:col>11</xdr:col>
      <xdr:colOff>66675</xdr:colOff>
      <xdr:row>23</xdr:row>
      <xdr:rowOff>9525</xdr:rowOff>
    </xdr:to>
    <xdr:sp macro="" textlink="">
      <xdr:nvSpPr>
        <xdr:cNvPr id="1573" name="Line 30">
          <a:extLst>
            <a:ext uri="{FF2B5EF4-FFF2-40B4-BE49-F238E27FC236}">
              <a16:creationId xmlns:a16="http://schemas.microsoft.com/office/drawing/2014/main" id="{00000000-0008-0000-0C00-000025060000}"/>
            </a:ext>
          </a:extLst>
        </xdr:cNvPr>
        <xdr:cNvSpPr>
          <a:spLocks noChangeShapeType="1"/>
        </xdr:cNvSpPr>
      </xdr:nvSpPr>
      <xdr:spPr bwMode="auto">
        <a:xfrm flipV="1">
          <a:off x="335946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76200</xdr:colOff>
      <xdr:row>20</xdr:row>
      <xdr:rowOff>9525</xdr:rowOff>
    </xdr:to>
    <xdr:sp macro="" textlink="">
      <xdr:nvSpPr>
        <xdr:cNvPr id="1574" name="Line 31">
          <a:extLst>
            <a:ext uri="{FF2B5EF4-FFF2-40B4-BE49-F238E27FC236}">
              <a16:creationId xmlns:a16="http://schemas.microsoft.com/office/drawing/2014/main" id="{00000000-0008-0000-0C00-000026060000}"/>
            </a:ext>
          </a:extLst>
        </xdr:cNvPr>
        <xdr:cNvSpPr>
          <a:spLocks noChangeShapeType="1"/>
        </xdr:cNvSpPr>
      </xdr:nvSpPr>
      <xdr:spPr bwMode="auto">
        <a:xfrm>
          <a:off x="3148965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20</xdr:row>
      <xdr:rowOff>9525</xdr:rowOff>
    </xdr:from>
    <xdr:to>
      <xdr:col>8</xdr:col>
      <xdr:colOff>66675</xdr:colOff>
      <xdr:row>23</xdr:row>
      <xdr:rowOff>19050</xdr:rowOff>
    </xdr:to>
    <xdr:sp macro="" textlink="">
      <xdr:nvSpPr>
        <xdr:cNvPr id="1575" name="Line 32">
          <a:extLst>
            <a:ext uri="{FF2B5EF4-FFF2-40B4-BE49-F238E27FC236}">
              <a16:creationId xmlns:a16="http://schemas.microsoft.com/office/drawing/2014/main" id="{00000000-0008-0000-0C00-000027060000}"/>
            </a:ext>
          </a:extLst>
        </xdr:cNvPr>
        <xdr:cNvSpPr>
          <a:spLocks noChangeShapeType="1"/>
        </xdr:cNvSpPr>
      </xdr:nvSpPr>
      <xdr:spPr bwMode="auto">
        <a:xfrm>
          <a:off x="3155632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23</xdr:row>
      <xdr:rowOff>0</xdr:rowOff>
    </xdr:from>
    <xdr:to>
      <xdr:col>8</xdr:col>
      <xdr:colOff>66675</xdr:colOff>
      <xdr:row>23</xdr:row>
      <xdr:rowOff>9525</xdr:rowOff>
    </xdr:to>
    <xdr:sp macro="" textlink="">
      <xdr:nvSpPr>
        <xdr:cNvPr id="1576" name="Line 33">
          <a:extLst>
            <a:ext uri="{FF2B5EF4-FFF2-40B4-BE49-F238E27FC236}">
              <a16:creationId xmlns:a16="http://schemas.microsoft.com/office/drawing/2014/main" id="{00000000-0008-0000-0C00-000028060000}"/>
            </a:ext>
          </a:extLst>
        </xdr:cNvPr>
        <xdr:cNvSpPr>
          <a:spLocks noChangeShapeType="1"/>
        </xdr:cNvSpPr>
      </xdr:nvSpPr>
      <xdr:spPr bwMode="auto">
        <a:xfrm flipV="1">
          <a:off x="314991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20</xdr:row>
      <xdr:rowOff>0</xdr:rowOff>
    </xdr:from>
    <xdr:to>
      <xdr:col>5</xdr:col>
      <xdr:colOff>76200</xdr:colOff>
      <xdr:row>20</xdr:row>
      <xdr:rowOff>9525</xdr:rowOff>
    </xdr:to>
    <xdr:sp macro="" textlink="">
      <xdr:nvSpPr>
        <xdr:cNvPr id="1577" name="Line 34">
          <a:extLst>
            <a:ext uri="{FF2B5EF4-FFF2-40B4-BE49-F238E27FC236}">
              <a16:creationId xmlns:a16="http://schemas.microsoft.com/office/drawing/2014/main" id="{00000000-0008-0000-0C00-000029060000}"/>
            </a:ext>
          </a:extLst>
        </xdr:cNvPr>
        <xdr:cNvSpPr>
          <a:spLocks noChangeShapeType="1"/>
        </xdr:cNvSpPr>
      </xdr:nvSpPr>
      <xdr:spPr bwMode="auto">
        <a:xfrm>
          <a:off x="293274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66675</xdr:colOff>
      <xdr:row>20</xdr:row>
      <xdr:rowOff>9525</xdr:rowOff>
    </xdr:from>
    <xdr:to>
      <xdr:col>5</xdr:col>
      <xdr:colOff>66675</xdr:colOff>
      <xdr:row>23</xdr:row>
      <xdr:rowOff>19050</xdr:rowOff>
    </xdr:to>
    <xdr:sp macro="" textlink="">
      <xdr:nvSpPr>
        <xdr:cNvPr id="1578" name="Line 35">
          <a:extLst>
            <a:ext uri="{FF2B5EF4-FFF2-40B4-BE49-F238E27FC236}">
              <a16:creationId xmlns:a16="http://schemas.microsoft.com/office/drawing/2014/main" id="{00000000-0008-0000-0C00-00002A060000}"/>
            </a:ext>
          </a:extLst>
        </xdr:cNvPr>
        <xdr:cNvSpPr>
          <a:spLocks noChangeShapeType="1"/>
        </xdr:cNvSpPr>
      </xdr:nvSpPr>
      <xdr:spPr bwMode="auto">
        <a:xfrm>
          <a:off x="2939415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23</xdr:row>
      <xdr:rowOff>0</xdr:rowOff>
    </xdr:from>
    <xdr:to>
      <xdr:col>5</xdr:col>
      <xdr:colOff>66675</xdr:colOff>
      <xdr:row>23</xdr:row>
      <xdr:rowOff>9525</xdr:rowOff>
    </xdr:to>
    <xdr:sp macro="" textlink="">
      <xdr:nvSpPr>
        <xdr:cNvPr id="1579" name="Line 36">
          <a:extLst>
            <a:ext uri="{FF2B5EF4-FFF2-40B4-BE49-F238E27FC236}">
              <a16:creationId xmlns:a16="http://schemas.microsoft.com/office/drawing/2014/main" id="{00000000-0008-0000-0C00-00002B060000}"/>
            </a:ext>
          </a:extLst>
        </xdr:cNvPr>
        <xdr:cNvSpPr>
          <a:spLocks noChangeShapeType="1"/>
        </xdr:cNvSpPr>
      </xdr:nvSpPr>
      <xdr:spPr bwMode="auto">
        <a:xfrm flipV="1">
          <a:off x="2933700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76200</xdr:colOff>
      <xdr:row>26</xdr:row>
      <xdr:rowOff>9525</xdr:rowOff>
    </xdr:to>
    <xdr:sp macro="" textlink="">
      <xdr:nvSpPr>
        <xdr:cNvPr id="1580" name="Line 37">
          <a:extLst>
            <a:ext uri="{FF2B5EF4-FFF2-40B4-BE49-F238E27FC236}">
              <a16:creationId xmlns:a16="http://schemas.microsoft.com/office/drawing/2014/main" id="{00000000-0008-0000-0C00-00002C060000}"/>
            </a:ext>
          </a:extLst>
        </xdr:cNvPr>
        <xdr:cNvSpPr>
          <a:spLocks noChangeShapeType="1"/>
        </xdr:cNvSpPr>
      </xdr:nvSpPr>
      <xdr:spPr bwMode="auto">
        <a:xfrm>
          <a:off x="2932747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66675</xdr:colOff>
      <xdr:row>26</xdr:row>
      <xdr:rowOff>9525</xdr:rowOff>
    </xdr:from>
    <xdr:to>
      <xdr:col>5</xdr:col>
      <xdr:colOff>66675</xdr:colOff>
      <xdr:row>29</xdr:row>
      <xdr:rowOff>19050</xdr:rowOff>
    </xdr:to>
    <xdr:sp macro="" textlink="">
      <xdr:nvSpPr>
        <xdr:cNvPr id="1581" name="Line 38">
          <a:extLst>
            <a:ext uri="{FF2B5EF4-FFF2-40B4-BE49-F238E27FC236}">
              <a16:creationId xmlns:a16="http://schemas.microsoft.com/office/drawing/2014/main" id="{00000000-0008-0000-0C00-00002D060000}"/>
            </a:ext>
          </a:extLst>
        </xdr:cNvPr>
        <xdr:cNvSpPr>
          <a:spLocks noChangeShapeType="1"/>
        </xdr:cNvSpPr>
      </xdr:nvSpPr>
      <xdr:spPr bwMode="auto">
        <a:xfrm>
          <a:off x="2939415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29</xdr:row>
      <xdr:rowOff>0</xdr:rowOff>
    </xdr:from>
    <xdr:to>
      <xdr:col>5</xdr:col>
      <xdr:colOff>66675</xdr:colOff>
      <xdr:row>29</xdr:row>
      <xdr:rowOff>9525</xdr:rowOff>
    </xdr:to>
    <xdr:sp macro="" textlink="">
      <xdr:nvSpPr>
        <xdr:cNvPr id="1582" name="Line 39">
          <a:extLst>
            <a:ext uri="{FF2B5EF4-FFF2-40B4-BE49-F238E27FC236}">
              <a16:creationId xmlns:a16="http://schemas.microsoft.com/office/drawing/2014/main" id="{00000000-0008-0000-0C00-00002E060000}"/>
            </a:ext>
          </a:extLst>
        </xdr:cNvPr>
        <xdr:cNvSpPr>
          <a:spLocks noChangeShapeType="1"/>
        </xdr:cNvSpPr>
      </xdr:nvSpPr>
      <xdr:spPr bwMode="auto">
        <a:xfrm flipV="1">
          <a:off x="2933700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26</xdr:row>
      <xdr:rowOff>0</xdr:rowOff>
    </xdr:from>
    <xdr:to>
      <xdr:col>8</xdr:col>
      <xdr:colOff>76200</xdr:colOff>
      <xdr:row>26</xdr:row>
      <xdr:rowOff>9525</xdr:rowOff>
    </xdr:to>
    <xdr:sp macro="" textlink="">
      <xdr:nvSpPr>
        <xdr:cNvPr id="1583" name="Line 40">
          <a:extLst>
            <a:ext uri="{FF2B5EF4-FFF2-40B4-BE49-F238E27FC236}">
              <a16:creationId xmlns:a16="http://schemas.microsoft.com/office/drawing/2014/main" id="{00000000-0008-0000-0C00-00002F060000}"/>
            </a:ext>
          </a:extLst>
        </xdr:cNvPr>
        <xdr:cNvSpPr>
          <a:spLocks noChangeShapeType="1"/>
        </xdr:cNvSpPr>
      </xdr:nvSpPr>
      <xdr:spPr bwMode="auto">
        <a:xfrm>
          <a:off x="3148965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26</xdr:row>
      <xdr:rowOff>9525</xdr:rowOff>
    </xdr:from>
    <xdr:to>
      <xdr:col>8</xdr:col>
      <xdr:colOff>66675</xdr:colOff>
      <xdr:row>29</xdr:row>
      <xdr:rowOff>19050</xdr:rowOff>
    </xdr:to>
    <xdr:sp macro="" textlink="">
      <xdr:nvSpPr>
        <xdr:cNvPr id="1584" name="Line 41">
          <a:extLst>
            <a:ext uri="{FF2B5EF4-FFF2-40B4-BE49-F238E27FC236}">
              <a16:creationId xmlns:a16="http://schemas.microsoft.com/office/drawing/2014/main" id="{00000000-0008-0000-0C00-000030060000}"/>
            </a:ext>
          </a:extLst>
        </xdr:cNvPr>
        <xdr:cNvSpPr>
          <a:spLocks noChangeShapeType="1"/>
        </xdr:cNvSpPr>
      </xdr:nvSpPr>
      <xdr:spPr bwMode="auto">
        <a:xfrm>
          <a:off x="3155632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29</xdr:row>
      <xdr:rowOff>0</xdr:rowOff>
    </xdr:from>
    <xdr:to>
      <xdr:col>8</xdr:col>
      <xdr:colOff>66675</xdr:colOff>
      <xdr:row>29</xdr:row>
      <xdr:rowOff>9525</xdr:rowOff>
    </xdr:to>
    <xdr:sp macro="" textlink="">
      <xdr:nvSpPr>
        <xdr:cNvPr id="1585" name="Line 42">
          <a:extLst>
            <a:ext uri="{FF2B5EF4-FFF2-40B4-BE49-F238E27FC236}">
              <a16:creationId xmlns:a16="http://schemas.microsoft.com/office/drawing/2014/main" id="{00000000-0008-0000-0C00-000031060000}"/>
            </a:ext>
          </a:extLst>
        </xdr:cNvPr>
        <xdr:cNvSpPr>
          <a:spLocks noChangeShapeType="1"/>
        </xdr:cNvSpPr>
      </xdr:nvSpPr>
      <xdr:spPr bwMode="auto">
        <a:xfrm flipV="1">
          <a:off x="3149917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26</xdr:row>
      <xdr:rowOff>0</xdr:rowOff>
    </xdr:from>
    <xdr:to>
      <xdr:col>11</xdr:col>
      <xdr:colOff>76200</xdr:colOff>
      <xdr:row>26</xdr:row>
      <xdr:rowOff>9525</xdr:rowOff>
    </xdr:to>
    <xdr:sp macro="" textlink="">
      <xdr:nvSpPr>
        <xdr:cNvPr id="1586" name="Line 43">
          <a:extLst>
            <a:ext uri="{FF2B5EF4-FFF2-40B4-BE49-F238E27FC236}">
              <a16:creationId xmlns:a16="http://schemas.microsoft.com/office/drawing/2014/main" id="{00000000-0008-0000-0C00-000032060000}"/>
            </a:ext>
          </a:extLst>
        </xdr:cNvPr>
        <xdr:cNvSpPr>
          <a:spLocks noChangeShapeType="1"/>
        </xdr:cNvSpPr>
      </xdr:nvSpPr>
      <xdr:spPr bwMode="auto">
        <a:xfrm>
          <a:off x="3358515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26</xdr:row>
      <xdr:rowOff>9525</xdr:rowOff>
    </xdr:from>
    <xdr:to>
      <xdr:col>11</xdr:col>
      <xdr:colOff>66675</xdr:colOff>
      <xdr:row>29</xdr:row>
      <xdr:rowOff>19050</xdr:rowOff>
    </xdr:to>
    <xdr:sp macro="" textlink="">
      <xdr:nvSpPr>
        <xdr:cNvPr id="1587" name="Line 44">
          <a:extLst>
            <a:ext uri="{FF2B5EF4-FFF2-40B4-BE49-F238E27FC236}">
              <a16:creationId xmlns:a16="http://schemas.microsoft.com/office/drawing/2014/main" id="{00000000-0008-0000-0C00-000033060000}"/>
            </a:ext>
          </a:extLst>
        </xdr:cNvPr>
        <xdr:cNvSpPr>
          <a:spLocks noChangeShapeType="1"/>
        </xdr:cNvSpPr>
      </xdr:nvSpPr>
      <xdr:spPr bwMode="auto">
        <a:xfrm>
          <a:off x="3365182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29</xdr:row>
      <xdr:rowOff>0</xdr:rowOff>
    </xdr:from>
    <xdr:to>
      <xdr:col>11</xdr:col>
      <xdr:colOff>66675</xdr:colOff>
      <xdr:row>29</xdr:row>
      <xdr:rowOff>9525</xdr:rowOff>
    </xdr:to>
    <xdr:sp macro="" textlink="">
      <xdr:nvSpPr>
        <xdr:cNvPr id="1588" name="Line 45">
          <a:extLst>
            <a:ext uri="{FF2B5EF4-FFF2-40B4-BE49-F238E27FC236}">
              <a16:creationId xmlns:a16="http://schemas.microsoft.com/office/drawing/2014/main" id="{00000000-0008-0000-0C00-000034060000}"/>
            </a:ext>
          </a:extLst>
        </xdr:cNvPr>
        <xdr:cNvSpPr>
          <a:spLocks noChangeShapeType="1"/>
        </xdr:cNvSpPr>
      </xdr:nvSpPr>
      <xdr:spPr bwMode="auto">
        <a:xfrm flipV="1">
          <a:off x="3359467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32</xdr:row>
      <xdr:rowOff>0</xdr:rowOff>
    </xdr:from>
    <xdr:to>
      <xdr:col>5</xdr:col>
      <xdr:colOff>76200</xdr:colOff>
      <xdr:row>32</xdr:row>
      <xdr:rowOff>9525</xdr:rowOff>
    </xdr:to>
    <xdr:sp macro="" textlink="">
      <xdr:nvSpPr>
        <xdr:cNvPr id="1589" name="Line 46">
          <a:extLst>
            <a:ext uri="{FF2B5EF4-FFF2-40B4-BE49-F238E27FC236}">
              <a16:creationId xmlns:a16="http://schemas.microsoft.com/office/drawing/2014/main" id="{00000000-0008-0000-0C00-000035060000}"/>
            </a:ext>
          </a:extLst>
        </xdr:cNvPr>
        <xdr:cNvSpPr>
          <a:spLocks noChangeShapeType="1"/>
        </xdr:cNvSpPr>
      </xdr:nvSpPr>
      <xdr:spPr bwMode="auto">
        <a:xfrm>
          <a:off x="2932747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35</xdr:row>
      <xdr:rowOff>0</xdr:rowOff>
    </xdr:from>
    <xdr:to>
      <xdr:col>5</xdr:col>
      <xdr:colOff>66675</xdr:colOff>
      <xdr:row>35</xdr:row>
      <xdr:rowOff>9525</xdr:rowOff>
    </xdr:to>
    <xdr:sp macro="" textlink="">
      <xdr:nvSpPr>
        <xdr:cNvPr id="1590" name="Line 48">
          <a:extLst>
            <a:ext uri="{FF2B5EF4-FFF2-40B4-BE49-F238E27FC236}">
              <a16:creationId xmlns:a16="http://schemas.microsoft.com/office/drawing/2014/main" id="{00000000-0008-0000-0C00-000036060000}"/>
            </a:ext>
          </a:extLst>
        </xdr:cNvPr>
        <xdr:cNvSpPr>
          <a:spLocks noChangeShapeType="1"/>
        </xdr:cNvSpPr>
      </xdr:nvSpPr>
      <xdr:spPr bwMode="auto">
        <a:xfrm flipV="1">
          <a:off x="2933700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76200</xdr:colOff>
      <xdr:row>32</xdr:row>
      <xdr:rowOff>9525</xdr:rowOff>
    </xdr:to>
    <xdr:sp macro="" textlink="">
      <xdr:nvSpPr>
        <xdr:cNvPr id="1591" name="Line 49">
          <a:extLst>
            <a:ext uri="{FF2B5EF4-FFF2-40B4-BE49-F238E27FC236}">
              <a16:creationId xmlns:a16="http://schemas.microsoft.com/office/drawing/2014/main" id="{00000000-0008-0000-0C00-000037060000}"/>
            </a:ext>
          </a:extLst>
        </xdr:cNvPr>
        <xdr:cNvSpPr>
          <a:spLocks noChangeShapeType="1"/>
        </xdr:cNvSpPr>
      </xdr:nvSpPr>
      <xdr:spPr bwMode="auto">
        <a:xfrm>
          <a:off x="3148965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32</xdr:row>
      <xdr:rowOff>9525</xdr:rowOff>
    </xdr:from>
    <xdr:to>
      <xdr:col>8</xdr:col>
      <xdr:colOff>66675</xdr:colOff>
      <xdr:row>35</xdr:row>
      <xdr:rowOff>19050</xdr:rowOff>
    </xdr:to>
    <xdr:sp macro="" textlink="">
      <xdr:nvSpPr>
        <xdr:cNvPr id="1592" name="Line 50">
          <a:extLst>
            <a:ext uri="{FF2B5EF4-FFF2-40B4-BE49-F238E27FC236}">
              <a16:creationId xmlns:a16="http://schemas.microsoft.com/office/drawing/2014/main" id="{00000000-0008-0000-0C00-000038060000}"/>
            </a:ext>
          </a:extLst>
        </xdr:cNvPr>
        <xdr:cNvSpPr>
          <a:spLocks noChangeShapeType="1"/>
        </xdr:cNvSpPr>
      </xdr:nvSpPr>
      <xdr:spPr bwMode="auto">
        <a:xfrm>
          <a:off x="3155632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35</xdr:row>
      <xdr:rowOff>0</xdr:rowOff>
    </xdr:from>
    <xdr:to>
      <xdr:col>8</xdr:col>
      <xdr:colOff>66675</xdr:colOff>
      <xdr:row>35</xdr:row>
      <xdr:rowOff>9525</xdr:rowOff>
    </xdr:to>
    <xdr:sp macro="" textlink="">
      <xdr:nvSpPr>
        <xdr:cNvPr id="1593" name="Line 51">
          <a:extLst>
            <a:ext uri="{FF2B5EF4-FFF2-40B4-BE49-F238E27FC236}">
              <a16:creationId xmlns:a16="http://schemas.microsoft.com/office/drawing/2014/main" id="{00000000-0008-0000-0C00-000039060000}"/>
            </a:ext>
          </a:extLst>
        </xdr:cNvPr>
        <xdr:cNvSpPr>
          <a:spLocks noChangeShapeType="1"/>
        </xdr:cNvSpPr>
      </xdr:nvSpPr>
      <xdr:spPr bwMode="auto">
        <a:xfrm flipV="1">
          <a:off x="3149917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76200</xdr:colOff>
      <xdr:row>32</xdr:row>
      <xdr:rowOff>9525</xdr:rowOff>
    </xdr:to>
    <xdr:sp macro="" textlink="">
      <xdr:nvSpPr>
        <xdr:cNvPr id="1594" name="Line 52">
          <a:extLst>
            <a:ext uri="{FF2B5EF4-FFF2-40B4-BE49-F238E27FC236}">
              <a16:creationId xmlns:a16="http://schemas.microsoft.com/office/drawing/2014/main" id="{00000000-0008-0000-0C00-00003A060000}"/>
            </a:ext>
          </a:extLst>
        </xdr:cNvPr>
        <xdr:cNvSpPr>
          <a:spLocks noChangeShapeType="1"/>
        </xdr:cNvSpPr>
      </xdr:nvSpPr>
      <xdr:spPr bwMode="auto">
        <a:xfrm>
          <a:off x="3358515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32</xdr:row>
      <xdr:rowOff>9525</xdr:rowOff>
    </xdr:from>
    <xdr:to>
      <xdr:col>11</xdr:col>
      <xdr:colOff>66675</xdr:colOff>
      <xdr:row>35</xdr:row>
      <xdr:rowOff>19050</xdr:rowOff>
    </xdr:to>
    <xdr:sp macro="" textlink="">
      <xdr:nvSpPr>
        <xdr:cNvPr id="1595" name="Line 53">
          <a:extLst>
            <a:ext uri="{FF2B5EF4-FFF2-40B4-BE49-F238E27FC236}">
              <a16:creationId xmlns:a16="http://schemas.microsoft.com/office/drawing/2014/main" id="{00000000-0008-0000-0C00-00003B060000}"/>
            </a:ext>
          </a:extLst>
        </xdr:cNvPr>
        <xdr:cNvSpPr>
          <a:spLocks noChangeShapeType="1"/>
        </xdr:cNvSpPr>
      </xdr:nvSpPr>
      <xdr:spPr bwMode="auto">
        <a:xfrm>
          <a:off x="3365182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35</xdr:row>
      <xdr:rowOff>0</xdr:rowOff>
    </xdr:from>
    <xdr:to>
      <xdr:col>11</xdr:col>
      <xdr:colOff>66675</xdr:colOff>
      <xdr:row>35</xdr:row>
      <xdr:rowOff>9525</xdr:rowOff>
    </xdr:to>
    <xdr:sp macro="" textlink="">
      <xdr:nvSpPr>
        <xdr:cNvPr id="1596" name="Line 54">
          <a:extLst>
            <a:ext uri="{FF2B5EF4-FFF2-40B4-BE49-F238E27FC236}">
              <a16:creationId xmlns:a16="http://schemas.microsoft.com/office/drawing/2014/main" id="{00000000-0008-0000-0C00-00003C060000}"/>
            </a:ext>
          </a:extLst>
        </xdr:cNvPr>
        <xdr:cNvSpPr>
          <a:spLocks noChangeShapeType="1"/>
        </xdr:cNvSpPr>
      </xdr:nvSpPr>
      <xdr:spPr bwMode="auto">
        <a:xfrm flipV="1">
          <a:off x="3359467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8</xdr:row>
      <xdr:rowOff>9525</xdr:rowOff>
    </xdr:from>
    <xdr:to>
      <xdr:col>9</xdr:col>
      <xdr:colOff>0</xdr:colOff>
      <xdr:row>9</xdr:row>
      <xdr:rowOff>66675</xdr:rowOff>
    </xdr:to>
    <xdr:sp macro="" textlink="">
      <xdr:nvSpPr>
        <xdr:cNvPr id="1597" name="Line 64">
          <a:extLst>
            <a:ext uri="{FF2B5EF4-FFF2-40B4-BE49-F238E27FC236}">
              <a16:creationId xmlns:a16="http://schemas.microsoft.com/office/drawing/2014/main" id="{00000000-0008-0000-0C00-00003D060000}"/>
            </a:ext>
          </a:extLst>
        </xdr:cNvPr>
        <xdr:cNvSpPr>
          <a:spLocks noChangeShapeType="1"/>
        </xdr:cNvSpPr>
      </xdr:nvSpPr>
      <xdr:spPr bwMode="auto">
        <a:xfrm flipV="1">
          <a:off x="31556325" y="2057400"/>
          <a:ext cx="342900" cy="2381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66675</xdr:colOff>
      <xdr:row>9</xdr:row>
      <xdr:rowOff>76200</xdr:rowOff>
    </xdr:from>
    <xdr:to>
      <xdr:col>9</xdr:col>
      <xdr:colOff>0</xdr:colOff>
      <xdr:row>13</xdr:row>
      <xdr:rowOff>0</xdr:rowOff>
    </xdr:to>
    <xdr:sp macro="" textlink="">
      <xdr:nvSpPr>
        <xdr:cNvPr id="1598" name="Line 66">
          <a:extLst>
            <a:ext uri="{FF2B5EF4-FFF2-40B4-BE49-F238E27FC236}">
              <a16:creationId xmlns:a16="http://schemas.microsoft.com/office/drawing/2014/main" id="{00000000-0008-0000-0C00-00003E060000}"/>
            </a:ext>
          </a:extLst>
        </xdr:cNvPr>
        <xdr:cNvSpPr>
          <a:spLocks noChangeShapeType="1"/>
        </xdr:cNvSpPr>
      </xdr:nvSpPr>
      <xdr:spPr bwMode="auto">
        <a:xfrm>
          <a:off x="31556325" y="2305050"/>
          <a:ext cx="342900" cy="6477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76200</xdr:colOff>
      <xdr:row>32</xdr:row>
      <xdr:rowOff>9525</xdr:rowOff>
    </xdr:to>
    <xdr:sp macro="" textlink="">
      <xdr:nvSpPr>
        <xdr:cNvPr id="1599" name="Line 72">
          <a:extLst>
            <a:ext uri="{FF2B5EF4-FFF2-40B4-BE49-F238E27FC236}">
              <a16:creationId xmlns:a16="http://schemas.microsoft.com/office/drawing/2014/main" id="{00000000-0008-0000-0C00-00003F060000}"/>
            </a:ext>
          </a:extLst>
        </xdr:cNvPr>
        <xdr:cNvSpPr>
          <a:spLocks noChangeShapeType="1"/>
        </xdr:cNvSpPr>
      </xdr:nvSpPr>
      <xdr:spPr bwMode="auto">
        <a:xfrm>
          <a:off x="3358515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32</xdr:row>
      <xdr:rowOff>9525</xdr:rowOff>
    </xdr:from>
    <xdr:to>
      <xdr:col>11</xdr:col>
      <xdr:colOff>66675</xdr:colOff>
      <xdr:row>35</xdr:row>
      <xdr:rowOff>19050</xdr:rowOff>
    </xdr:to>
    <xdr:sp macro="" textlink="">
      <xdr:nvSpPr>
        <xdr:cNvPr id="1600" name="Line 73">
          <a:extLst>
            <a:ext uri="{FF2B5EF4-FFF2-40B4-BE49-F238E27FC236}">
              <a16:creationId xmlns:a16="http://schemas.microsoft.com/office/drawing/2014/main" id="{00000000-0008-0000-0C00-000040060000}"/>
            </a:ext>
          </a:extLst>
        </xdr:cNvPr>
        <xdr:cNvSpPr>
          <a:spLocks noChangeShapeType="1"/>
        </xdr:cNvSpPr>
      </xdr:nvSpPr>
      <xdr:spPr bwMode="auto">
        <a:xfrm>
          <a:off x="3365182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35</xdr:row>
      <xdr:rowOff>0</xdr:rowOff>
    </xdr:from>
    <xdr:to>
      <xdr:col>11</xdr:col>
      <xdr:colOff>66675</xdr:colOff>
      <xdr:row>35</xdr:row>
      <xdr:rowOff>9525</xdr:rowOff>
    </xdr:to>
    <xdr:sp macro="" textlink="">
      <xdr:nvSpPr>
        <xdr:cNvPr id="1601" name="Line 74">
          <a:extLst>
            <a:ext uri="{FF2B5EF4-FFF2-40B4-BE49-F238E27FC236}">
              <a16:creationId xmlns:a16="http://schemas.microsoft.com/office/drawing/2014/main" id="{00000000-0008-0000-0C00-000041060000}"/>
            </a:ext>
          </a:extLst>
        </xdr:cNvPr>
        <xdr:cNvSpPr>
          <a:spLocks noChangeShapeType="1"/>
        </xdr:cNvSpPr>
      </xdr:nvSpPr>
      <xdr:spPr bwMode="auto">
        <a:xfrm flipV="1">
          <a:off x="3359467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26</xdr:row>
      <xdr:rowOff>0</xdr:rowOff>
    </xdr:from>
    <xdr:to>
      <xdr:col>11</xdr:col>
      <xdr:colOff>76200</xdr:colOff>
      <xdr:row>26</xdr:row>
      <xdr:rowOff>9525</xdr:rowOff>
    </xdr:to>
    <xdr:sp macro="" textlink="">
      <xdr:nvSpPr>
        <xdr:cNvPr id="1602" name="Line 77">
          <a:extLst>
            <a:ext uri="{FF2B5EF4-FFF2-40B4-BE49-F238E27FC236}">
              <a16:creationId xmlns:a16="http://schemas.microsoft.com/office/drawing/2014/main" id="{00000000-0008-0000-0C00-000042060000}"/>
            </a:ext>
          </a:extLst>
        </xdr:cNvPr>
        <xdr:cNvSpPr>
          <a:spLocks noChangeShapeType="1"/>
        </xdr:cNvSpPr>
      </xdr:nvSpPr>
      <xdr:spPr bwMode="auto">
        <a:xfrm>
          <a:off x="3358515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26</xdr:row>
      <xdr:rowOff>9525</xdr:rowOff>
    </xdr:from>
    <xdr:to>
      <xdr:col>11</xdr:col>
      <xdr:colOff>66675</xdr:colOff>
      <xdr:row>29</xdr:row>
      <xdr:rowOff>19050</xdr:rowOff>
    </xdr:to>
    <xdr:sp macro="" textlink="">
      <xdr:nvSpPr>
        <xdr:cNvPr id="1603" name="Line 78">
          <a:extLst>
            <a:ext uri="{FF2B5EF4-FFF2-40B4-BE49-F238E27FC236}">
              <a16:creationId xmlns:a16="http://schemas.microsoft.com/office/drawing/2014/main" id="{00000000-0008-0000-0C00-000043060000}"/>
            </a:ext>
          </a:extLst>
        </xdr:cNvPr>
        <xdr:cNvSpPr>
          <a:spLocks noChangeShapeType="1"/>
        </xdr:cNvSpPr>
      </xdr:nvSpPr>
      <xdr:spPr bwMode="auto">
        <a:xfrm>
          <a:off x="3365182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29</xdr:row>
      <xdr:rowOff>0</xdr:rowOff>
    </xdr:from>
    <xdr:to>
      <xdr:col>11</xdr:col>
      <xdr:colOff>66675</xdr:colOff>
      <xdr:row>29</xdr:row>
      <xdr:rowOff>9525</xdr:rowOff>
    </xdr:to>
    <xdr:sp macro="" textlink="">
      <xdr:nvSpPr>
        <xdr:cNvPr id="1604" name="Line 79">
          <a:extLst>
            <a:ext uri="{FF2B5EF4-FFF2-40B4-BE49-F238E27FC236}">
              <a16:creationId xmlns:a16="http://schemas.microsoft.com/office/drawing/2014/main" id="{00000000-0008-0000-0C00-000044060000}"/>
            </a:ext>
          </a:extLst>
        </xdr:cNvPr>
        <xdr:cNvSpPr>
          <a:spLocks noChangeShapeType="1"/>
        </xdr:cNvSpPr>
      </xdr:nvSpPr>
      <xdr:spPr bwMode="auto">
        <a:xfrm flipV="1">
          <a:off x="3359467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27</xdr:row>
      <xdr:rowOff>66675</xdr:rowOff>
    </xdr:from>
    <xdr:to>
      <xdr:col>12</xdr:col>
      <xdr:colOff>9525</xdr:colOff>
      <xdr:row>29</xdr:row>
      <xdr:rowOff>19050</xdr:rowOff>
    </xdr:to>
    <xdr:sp macro="" textlink="">
      <xdr:nvSpPr>
        <xdr:cNvPr id="1605" name="Line 81">
          <a:extLst>
            <a:ext uri="{FF2B5EF4-FFF2-40B4-BE49-F238E27FC236}">
              <a16:creationId xmlns:a16="http://schemas.microsoft.com/office/drawing/2014/main" id="{00000000-0008-0000-0C00-000045060000}"/>
            </a:ext>
          </a:extLst>
        </xdr:cNvPr>
        <xdr:cNvSpPr>
          <a:spLocks noChangeShapeType="1"/>
        </xdr:cNvSpPr>
      </xdr:nvSpPr>
      <xdr:spPr bwMode="auto">
        <a:xfrm>
          <a:off x="33661350" y="55530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76200</xdr:colOff>
      <xdr:row>32</xdr:row>
      <xdr:rowOff>9525</xdr:rowOff>
    </xdr:to>
    <xdr:sp macro="" textlink="">
      <xdr:nvSpPr>
        <xdr:cNvPr id="1606" name="Line 86">
          <a:extLst>
            <a:ext uri="{FF2B5EF4-FFF2-40B4-BE49-F238E27FC236}">
              <a16:creationId xmlns:a16="http://schemas.microsoft.com/office/drawing/2014/main" id="{00000000-0008-0000-0C00-000046060000}"/>
            </a:ext>
          </a:extLst>
        </xdr:cNvPr>
        <xdr:cNvSpPr>
          <a:spLocks noChangeShapeType="1"/>
        </xdr:cNvSpPr>
      </xdr:nvSpPr>
      <xdr:spPr bwMode="auto">
        <a:xfrm>
          <a:off x="3358515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32</xdr:row>
      <xdr:rowOff>9525</xdr:rowOff>
    </xdr:from>
    <xdr:to>
      <xdr:col>11</xdr:col>
      <xdr:colOff>76200</xdr:colOff>
      <xdr:row>35</xdr:row>
      <xdr:rowOff>0</xdr:rowOff>
    </xdr:to>
    <xdr:sp macro="" textlink="">
      <xdr:nvSpPr>
        <xdr:cNvPr id="1607" name="Line 87">
          <a:extLst>
            <a:ext uri="{FF2B5EF4-FFF2-40B4-BE49-F238E27FC236}">
              <a16:creationId xmlns:a16="http://schemas.microsoft.com/office/drawing/2014/main" id="{00000000-0008-0000-0C00-000047060000}"/>
            </a:ext>
          </a:extLst>
        </xdr:cNvPr>
        <xdr:cNvSpPr>
          <a:spLocks noChangeShapeType="1"/>
        </xdr:cNvSpPr>
      </xdr:nvSpPr>
      <xdr:spPr bwMode="auto">
        <a:xfrm>
          <a:off x="33651825" y="6400800"/>
          <a:ext cx="9525"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35</xdr:row>
      <xdr:rowOff>0</xdr:rowOff>
    </xdr:from>
    <xdr:to>
      <xdr:col>11</xdr:col>
      <xdr:colOff>66675</xdr:colOff>
      <xdr:row>35</xdr:row>
      <xdr:rowOff>9525</xdr:rowOff>
    </xdr:to>
    <xdr:sp macro="" textlink="">
      <xdr:nvSpPr>
        <xdr:cNvPr id="1608" name="Line 88">
          <a:extLst>
            <a:ext uri="{FF2B5EF4-FFF2-40B4-BE49-F238E27FC236}">
              <a16:creationId xmlns:a16="http://schemas.microsoft.com/office/drawing/2014/main" id="{00000000-0008-0000-0C00-000048060000}"/>
            </a:ext>
          </a:extLst>
        </xdr:cNvPr>
        <xdr:cNvSpPr>
          <a:spLocks noChangeShapeType="1"/>
        </xdr:cNvSpPr>
      </xdr:nvSpPr>
      <xdr:spPr bwMode="auto">
        <a:xfrm flipV="1">
          <a:off x="3359467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31</xdr:row>
      <xdr:rowOff>161925</xdr:rowOff>
    </xdr:from>
    <xdr:to>
      <xdr:col>11</xdr:col>
      <xdr:colOff>400050</xdr:colOff>
      <xdr:row>33</xdr:row>
      <xdr:rowOff>57150</xdr:rowOff>
    </xdr:to>
    <xdr:sp macro="" textlink="">
      <xdr:nvSpPr>
        <xdr:cNvPr id="1609" name="Line 89">
          <a:extLst>
            <a:ext uri="{FF2B5EF4-FFF2-40B4-BE49-F238E27FC236}">
              <a16:creationId xmlns:a16="http://schemas.microsoft.com/office/drawing/2014/main" id="{00000000-0008-0000-0C00-000049060000}"/>
            </a:ext>
          </a:extLst>
        </xdr:cNvPr>
        <xdr:cNvSpPr>
          <a:spLocks noChangeShapeType="1"/>
        </xdr:cNvSpPr>
      </xdr:nvSpPr>
      <xdr:spPr bwMode="auto">
        <a:xfrm flipV="1">
          <a:off x="33651825" y="6372225"/>
          <a:ext cx="333375" cy="2571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26</xdr:row>
      <xdr:rowOff>0</xdr:rowOff>
    </xdr:from>
    <xdr:to>
      <xdr:col>11</xdr:col>
      <xdr:colOff>76200</xdr:colOff>
      <xdr:row>26</xdr:row>
      <xdr:rowOff>9525</xdr:rowOff>
    </xdr:to>
    <xdr:sp macro="" textlink="">
      <xdr:nvSpPr>
        <xdr:cNvPr id="1610" name="Line 90">
          <a:extLst>
            <a:ext uri="{FF2B5EF4-FFF2-40B4-BE49-F238E27FC236}">
              <a16:creationId xmlns:a16="http://schemas.microsoft.com/office/drawing/2014/main" id="{00000000-0008-0000-0C00-00004A060000}"/>
            </a:ext>
          </a:extLst>
        </xdr:cNvPr>
        <xdr:cNvSpPr>
          <a:spLocks noChangeShapeType="1"/>
        </xdr:cNvSpPr>
      </xdr:nvSpPr>
      <xdr:spPr bwMode="auto">
        <a:xfrm>
          <a:off x="3358515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26</xdr:row>
      <xdr:rowOff>9525</xdr:rowOff>
    </xdr:from>
    <xdr:to>
      <xdr:col>11</xdr:col>
      <xdr:colOff>66675</xdr:colOff>
      <xdr:row>29</xdr:row>
      <xdr:rowOff>19050</xdr:rowOff>
    </xdr:to>
    <xdr:sp macro="" textlink="">
      <xdr:nvSpPr>
        <xdr:cNvPr id="1611" name="Line 91">
          <a:extLst>
            <a:ext uri="{FF2B5EF4-FFF2-40B4-BE49-F238E27FC236}">
              <a16:creationId xmlns:a16="http://schemas.microsoft.com/office/drawing/2014/main" id="{00000000-0008-0000-0C00-00004B060000}"/>
            </a:ext>
          </a:extLst>
        </xdr:cNvPr>
        <xdr:cNvSpPr>
          <a:spLocks noChangeShapeType="1"/>
        </xdr:cNvSpPr>
      </xdr:nvSpPr>
      <xdr:spPr bwMode="auto">
        <a:xfrm>
          <a:off x="3365182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29</xdr:row>
      <xdr:rowOff>0</xdr:rowOff>
    </xdr:from>
    <xdr:to>
      <xdr:col>11</xdr:col>
      <xdr:colOff>66675</xdr:colOff>
      <xdr:row>29</xdr:row>
      <xdr:rowOff>9525</xdr:rowOff>
    </xdr:to>
    <xdr:sp macro="" textlink="">
      <xdr:nvSpPr>
        <xdr:cNvPr id="1612" name="Line 92">
          <a:extLst>
            <a:ext uri="{FF2B5EF4-FFF2-40B4-BE49-F238E27FC236}">
              <a16:creationId xmlns:a16="http://schemas.microsoft.com/office/drawing/2014/main" id="{00000000-0008-0000-0C00-00004C060000}"/>
            </a:ext>
          </a:extLst>
        </xdr:cNvPr>
        <xdr:cNvSpPr>
          <a:spLocks noChangeShapeType="1"/>
        </xdr:cNvSpPr>
      </xdr:nvSpPr>
      <xdr:spPr bwMode="auto">
        <a:xfrm flipV="1">
          <a:off x="3359467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25</xdr:row>
      <xdr:rowOff>161925</xdr:rowOff>
    </xdr:from>
    <xdr:to>
      <xdr:col>12</xdr:col>
      <xdr:colOff>0</xdr:colOff>
      <xdr:row>27</xdr:row>
      <xdr:rowOff>47625</xdr:rowOff>
    </xdr:to>
    <xdr:sp macro="" textlink="">
      <xdr:nvSpPr>
        <xdr:cNvPr id="1613" name="Line 93">
          <a:extLst>
            <a:ext uri="{FF2B5EF4-FFF2-40B4-BE49-F238E27FC236}">
              <a16:creationId xmlns:a16="http://schemas.microsoft.com/office/drawing/2014/main" id="{00000000-0008-0000-0C00-00004D060000}"/>
            </a:ext>
          </a:extLst>
        </xdr:cNvPr>
        <xdr:cNvSpPr>
          <a:spLocks noChangeShapeType="1"/>
        </xdr:cNvSpPr>
      </xdr:nvSpPr>
      <xdr:spPr bwMode="auto">
        <a:xfrm flipV="1">
          <a:off x="33651825" y="5286375"/>
          <a:ext cx="342900"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20</xdr:row>
      <xdr:rowOff>0</xdr:rowOff>
    </xdr:from>
    <xdr:to>
      <xdr:col>11</xdr:col>
      <xdr:colOff>76200</xdr:colOff>
      <xdr:row>20</xdr:row>
      <xdr:rowOff>9525</xdr:rowOff>
    </xdr:to>
    <xdr:sp macro="" textlink="">
      <xdr:nvSpPr>
        <xdr:cNvPr id="1614" name="Line 94">
          <a:extLst>
            <a:ext uri="{FF2B5EF4-FFF2-40B4-BE49-F238E27FC236}">
              <a16:creationId xmlns:a16="http://schemas.microsoft.com/office/drawing/2014/main" id="{00000000-0008-0000-0C00-00004E060000}"/>
            </a:ext>
          </a:extLst>
        </xdr:cNvPr>
        <xdr:cNvSpPr>
          <a:spLocks noChangeShapeType="1"/>
        </xdr:cNvSpPr>
      </xdr:nvSpPr>
      <xdr:spPr bwMode="auto">
        <a:xfrm>
          <a:off x="3358515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20</xdr:row>
      <xdr:rowOff>9525</xdr:rowOff>
    </xdr:from>
    <xdr:to>
      <xdr:col>11</xdr:col>
      <xdr:colOff>66675</xdr:colOff>
      <xdr:row>23</xdr:row>
      <xdr:rowOff>19050</xdr:rowOff>
    </xdr:to>
    <xdr:sp macro="" textlink="">
      <xdr:nvSpPr>
        <xdr:cNvPr id="1615" name="Line 95">
          <a:extLst>
            <a:ext uri="{FF2B5EF4-FFF2-40B4-BE49-F238E27FC236}">
              <a16:creationId xmlns:a16="http://schemas.microsoft.com/office/drawing/2014/main" id="{00000000-0008-0000-0C00-00004F060000}"/>
            </a:ext>
          </a:extLst>
        </xdr:cNvPr>
        <xdr:cNvSpPr>
          <a:spLocks noChangeShapeType="1"/>
        </xdr:cNvSpPr>
      </xdr:nvSpPr>
      <xdr:spPr bwMode="auto">
        <a:xfrm>
          <a:off x="3365182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23</xdr:row>
      <xdr:rowOff>0</xdr:rowOff>
    </xdr:from>
    <xdr:to>
      <xdr:col>11</xdr:col>
      <xdr:colOff>66675</xdr:colOff>
      <xdr:row>23</xdr:row>
      <xdr:rowOff>9525</xdr:rowOff>
    </xdr:to>
    <xdr:sp macro="" textlink="">
      <xdr:nvSpPr>
        <xdr:cNvPr id="1616" name="Line 96">
          <a:extLst>
            <a:ext uri="{FF2B5EF4-FFF2-40B4-BE49-F238E27FC236}">
              <a16:creationId xmlns:a16="http://schemas.microsoft.com/office/drawing/2014/main" id="{00000000-0008-0000-0C00-000050060000}"/>
            </a:ext>
          </a:extLst>
        </xdr:cNvPr>
        <xdr:cNvSpPr>
          <a:spLocks noChangeShapeType="1"/>
        </xdr:cNvSpPr>
      </xdr:nvSpPr>
      <xdr:spPr bwMode="auto">
        <a:xfrm flipV="1">
          <a:off x="335946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19</xdr:row>
      <xdr:rowOff>171450</xdr:rowOff>
    </xdr:from>
    <xdr:to>
      <xdr:col>12</xdr:col>
      <xdr:colOff>0</xdr:colOff>
      <xdr:row>21</xdr:row>
      <xdr:rowOff>47625</xdr:rowOff>
    </xdr:to>
    <xdr:sp macro="" textlink="">
      <xdr:nvSpPr>
        <xdr:cNvPr id="1617" name="Line 97">
          <a:extLst>
            <a:ext uri="{FF2B5EF4-FFF2-40B4-BE49-F238E27FC236}">
              <a16:creationId xmlns:a16="http://schemas.microsoft.com/office/drawing/2014/main" id="{00000000-0008-0000-0C00-000051060000}"/>
            </a:ext>
          </a:extLst>
        </xdr:cNvPr>
        <xdr:cNvSpPr>
          <a:spLocks noChangeShapeType="1"/>
        </xdr:cNvSpPr>
      </xdr:nvSpPr>
      <xdr:spPr bwMode="auto">
        <a:xfrm flipV="1">
          <a:off x="33661350" y="4210050"/>
          <a:ext cx="333375"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76200</xdr:colOff>
      <xdr:row>21</xdr:row>
      <xdr:rowOff>66675</xdr:rowOff>
    </xdr:from>
    <xdr:to>
      <xdr:col>12</xdr:col>
      <xdr:colOff>0</xdr:colOff>
      <xdr:row>23</xdr:row>
      <xdr:rowOff>28575</xdr:rowOff>
    </xdr:to>
    <xdr:sp macro="" textlink="">
      <xdr:nvSpPr>
        <xdr:cNvPr id="1618" name="Line 98">
          <a:extLst>
            <a:ext uri="{FF2B5EF4-FFF2-40B4-BE49-F238E27FC236}">
              <a16:creationId xmlns:a16="http://schemas.microsoft.com/office/drawing/2014/main" id="{00000000-0008-0000-0C00-000052060000}"/>
            </a:ext>
          </a:extLst>
        </xdr:cNvPr>
        <xdr:cNvSpPr>
          <a:spLocks noChangeShapeType="1"/>
        </xdr:cNvSpPr>
      </xdr:nvSpPr>
      <xdr:spPr bwMode="auto">
        <a:xfrm>
          <a:off x="33661350" y="4467225"/>
          <a:ext cx="333375" cy="3238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8</xdr:row>
      <xdr:rowOff>0</xdr:rowOff>
    </xdr:from>
    <xdr:to>
      <xdr:col>11</xdr:col>
      <xdr:colOff>76200</xdr:colOff>
      <xdr:row>8</xdr:row>
      <xdr:rowOff>9525</xdr:rowOff>
    </xdr:to>
    <xdr:sp macro="" textlink="">
      <xdr:nvSpPr>
        <xdr:cNvPr id="1619" name="Line 99">
          <a:extLst>
            <a:ext uri="{FF2B5EF4-FFF2-40B4-BE49-F238E27FC236}">
              <a16:creationId xmlns:a16="http://schemas.microsoft.com/office/drawing/2014/main" id="{00000000-0008-0000-0C00-000053060000}"/>
            </a:ext>
          </a:extLst>
        </xdr:cNvPr>
        <xdr:cNvSpPr>
          <a:spLocks noChangeShapeType="1"/>
        </xdr:cNvSpPr>
      </xdr:nvSpPr>
      <xdr:spPr bwMode="auto">
        <a:xfrm>
          <a:off x="3358515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8</xdr:row>
      <xdr:rowOff>9525</xdr:rowOff>
    </xdr:from>
    <xdr:to>
      <xdr:col>11</xdr:col>
      <xdr:colOff>66675</xdr:colOff>
      <xdr:row>11</xdr:row>
      <xdr:rowOff>19050</xdr:rowOff>
    </xdr:to>
    <xdr:sp macro="" textlink="">
      <xdr:nvSpPr>
        <xdr:cNvPr id="1622" name="Line 100">
          <a:extLst>
            <a:ext uri="{FF2B5EF4-FFF2-40B4-BE49-F238E27FC236}">
              <a16:creationId xmlns:a16="http://schemas.microsoft.com/office/drawing/2014/main" id="{00000000-0008-0000-0C00-000056060000}"/>
            </a:ext>
          </a:extLst>
        </xdr:cNvPr>
        <xdr:cNvSpPr>
          <a:spLocks noChangeShapeType="1"/>
        </xdr:cNvSpPr>
      </xdr:nvSpPr>
      <xdr:spPr bwMode="auto">
        <a:xfrm>
          <a:off x="3365182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11</xdr:row>
      <xdr:rowOff>0</xdr:rowOff>
    </xdr:from>
    <xdr:to>
      <xdr:col>11</xdr:col>
      <xdr:colOff>66675</xdr:colOff>
      <xdr:row>11</xdr:row>
      <xdr:rowOff>9525</xdr:rowOff>
    </xdr:to>
    <xdr:sp macro="" textlink="">
      <xdr:nvSpPr>
        <xdr:cNvPr id="1623" name="Line 101">
          <a:extLst>
            <a:ext uri="{FF2B5EF4-FFF2-40B4-BE49-F238E27FC236}">
              <a16:creationId xmlns:a16="http://schemas.microsoft.com/office/drawing/2014/main" id="{00000000-0008-0000-0C00-000057060000}"/>
            </a:ext>
          </a:extLst>
        </xdr:cNvPr>
        <xdr:cNvSpPr>
          <a:spLocks noChangeShapeType="1"/>
        </xdr:cNvSpPr>
      </xdr:nvSpPr>
      <xdr:spPr bwMode="auto">
        <a:xfrm flipV="1">
          <a:off x="3359467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xdr:row>
      <xdr:rowOff>0</xdr:rowOff>
    </xdr:from>
    <xdr:to>
      <xdr:col>11</xdr:col>
      <xdr:colOff>76200</xdr:colOff>
      <xdr:row>14</xdr:row>
      <xdr:rowOff>9525</xdr:rowOff>
    </xdr:to>
    <xdr:sp macro="" textlink="">
      <xdr:nvSpPr>
        <xdr:cNvPr id="1624" name="Line 105">
          <a:extLst>
            <a:ext uri="{FF2B5EF4-FFF2-40B4-BE49-F238E27FC236}">
              <a16:creationId xmlns:a16="http://schemas.microsoft.com/office/drawing/2014/main" id="{00000000-0008-0000-0C00-000058060000}"/>
            </a:ext>
          </a:extLst>
        </xdr:cNvPr>
        <xdr:cNvSpPr>
          <a:spLocks noChangeShapeType="1"/>
        </xdr:cNvSpPr>
      </xdr:nvSpPr>
      <xdr:spPr bwMode="auto">
        <a:xfrm>
          <a:off x="3358515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14</xdr:row>
      <xdr:rowOff>9525</xdr:rowOff>
    </xdr:from>
    <xdr:to>
      <xdr:col>11</xdr:col>
      <xdr:colOff>66675</xdr:colOff>
      <xdr:row>17</xdr:row>
      <xdr:rowOff>19050</xdr:rowOff>
    </xdr:to>
    <xdr:sp macro="" textlink="">
      <xdr:nvSpPr>
        <xdr:cNvPr id="1625" name="Line 106">
          <a:extLst>
            <a:ext uri="{FF2B5EF4-FFF2-40B4-BE49-F238E27FC236}">
              <a16:creationId xmlns:a16="http://schemas.microsoft.com/office/drawing/2014/main" id="{00000000-0008-0000-0C00-000059060000}"/>
            </a:ext>
          </a:extLst>
        </xdr:cNvPr>
        <xdr:cNvSpPr>
          <a:spLocks noChangeShapeType="1"/>
        </xdr:cNvSpPr>
      </xdr:nvSpPr>
      <xdr:spPr bwMode="auto">
        <a:xfrm>
          <a:off x="3365182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17</xdr:row>
      <xdr:rowOff>0</xdr:rowOff>
    </xdr:from>
    <xdr:to>
      <xdr:col>11</xdr:col>
      <xdr:colOff>66675</xdr:colOff>
      <xdr:row>17</xdr:row>
      <xdr:rowOff>9525</xdr:rowOff>
    </xdr:to>
    <xdr:sp macro="" textlink="">
      <xdr:nvSpPr>
        <xdr:cNvPr id="1626" name="Line 107">
          <a:extLst>
            <a:ext uri="{FF2B5EF4-FFF2-40B4-BE49-F238E27FC236}">
              <a16:creationId xmlns:a16="http://schemas.microsoft.com/office/drawing/2014/main" id="{00000000-0008-0000-0C00-00005A060000}"/>
            </a:ext>
          </a:extLst>
        </xdr:cNvPr>
        <xdr:cNvSpPr>
          <a:spLocks noChangeShapeType="1"/>
        </xdr:cNvSpPr>
      </xdr:nvSpPr>
      <xdr:spPr bwMode="auto">
        <a:xfrm flipV="1">
          <a:off x="3359467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13</xdr:row>
      <xdr:rowOff>161925</xdr:rowOff>
    </xdr:from>
    <xdr:to>
      <xdr:col>12</xdr:col>
      <xdr:colOff>0</xdr:colOff>
      <xdr:row>15</xdr:row>
      <xdr:rowOff>47625</xdr:rowOff>
    </xdr:to>
    <xdr:sp macro="" textlink="">
      <xdr:nvSpPr>
        <xdr:cNvPr id="1627" name="Line 108">
          <a:extLst>
            <a:ext uri="{FF2B5EF4-FFF2-40B4-BE49-F238E27FC236}">
              <a16:creationId xmlns:a16="http://schemas.microsoft.com/office/drawing/2014/main" id="{00000000-0008-0000-0C00-00005B060000}"/>
            </a:ext>
          </a:extLst>
        </xdr:cNvPr>
        <xdr:cNvSpPr>
          <a:spLocks noChangeShapeType="1"/>
        </xdr:cNvSpPr>
      </xdr:nvSpPr>
      <xdr:spPr bwMode="auto">
        <a:xfrm flipV="1">
          <a:off x="33651825" y="3114675"/>
          <a:ext cx="342900"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76200</xdr:colOff>
      <xdr:row>15</xdr:row>
      <xdr:rowOff>66675</xdr:rowOff>
    </xdr:from>
    <xdr:to>
      <xdr:col>12</xdr:col>
      <xdr:colOff>0</xdr:colOff>
      <xdr:row>17</xdr:row>
      <xdr:rowOff>19050</xdr:rowOff>
    </xdr:to>
    <xdr:sp macro="" textlink="">
      <xdr:nvSpPr>
        <xdr:cNvPr id="1628" name="Line 109">
          <a:extLst>
            <a:ext uri="{FF2B5EF4-FFF2-40B4-BE49-F238E27FC236}">
              <a16:creationId xmlns:a16="http://schemas.microsoft.com/office/drawing/2014/main" id="{00000000-0008-0000-0C00-00005C060000}"/>
            </a:ext>
          </a:extLst>
        </xdr:cNvPr>
        <xdr:cNvSpPr>
          <a:spLocks noChangeShapeType="1"/>
        </xdr:cNvSpPr>
      </xdr:nvSpPr>
      <xdr:spPr bwMode="auto">
        <a:xfrm>
          <a:off x="33661350" y="3381375"/>
          <a:ext cx="333375"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8</xdr:row>
      <xdr:rowOff>0</xdr:rowOff>
    </xdr:from>
    <xdr:to>
      <xdr:col>11</xdr:col>
      <xdr:colOff>76200</xdr:colOff>
      <xdr:row>8</xdr:row>
      <xdr:rowOff>9525</xdr:rowOff>
    </xdr:to>
    <xdr:sp macro="" textlink="">
      <xdr:nvSpPr>
        <xdr:cNvPr id="1629" name="Line 110">
          <a:extLst>
            <a:ext uri="{FF2B5EF4-FFF2-40B4-BE49-F238E27FC236}">
              <a16:creationId xmlns:a16="http://schemas.microsoft.com/office/drawing/2014/main" id="{00000000-0008-0000-0C00-00005D060000}"/>
            </a:ext>
          </a:extLst>
        </xdr:cNvPr>
        <xdr:cNvSpPr>
          <a:spLocks noChangeShapeType="1"/>
        </xdr:cNvSpPr>
      </xdr:nvSpPr>
      <xdr:spPr bwMode="auto">
        <a:xfrm>
          <a:off x="3358515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8</xdr:row>
      <xdr:rowOff>9525</xdr:rowOff>
    </xdr:from>
    <xdr:to>
      <xdr:col>11</xdr:col>
      <xdr:colOff>66675</xdr:colOff>
      <xdr:row>11</xdr:row>
      <xdr:rowOff>19050</xdr:rowOff>
    </xdr:to>
    <xdr:sp macro="" textlink="">
      <xdr:nvSpPr>
        <xdr:cNvPr id="1630" name="Line 111">
          <a:extLst>
            <a:ext uri="{FF2B5EF4-FFF2-40B4-BE49-F238E27FC236}">
              <a16:creationId xmlns:a16="http://schemas.microsoft.com/office/drawing/2014/main" id="{00000000-0008-0000-0C00-00005E060000}"/>
            </a:ext>
          </a:extLst>
        </xdr:cNvPr>
        <xdr:cNvSpPr>
          <a:spLocks noChangeShapeType="1"/>
        </xdr:cNvSpPr>
      </xdr:nvSpPr>
      <xdr:spPr bwMode="auto">
        <a:xfrm>
          <a:off x="3365182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11</xdr:row>
      <xdr:rowOff>0</xdr:rowOff>
    </xdr:from>
    <xdr:to>
      <xdr:col>11</xdr:col>
      <xdr:colOff>66675</xdr:colOff>
      <xdr:row>11</xdr:row>
      <xdr:rowOff>9525</xdr:rowOff>
    </xdr:to>
    <xdr:sp macro="" textlink="">
      <xdr:nvSpPr>
        <xdr:cNvPr id="1631" name="Line 112">
          <a:extLst>
            <a:ext uri="{FF2B5EF4-FFF2-40B4-BE49-F238E27FC236}">
              <a16:creationId xmlns:a16="http://schemas.microsoft.com/office/drawing/2014/main" id="{00000000-0008-0000-0C00-00005F060000}"/>
            </a:ext>
          </a:extLst>
        </xdr:cNvPr>
        <xdr:cNvSpPr>
          <a:spLocks noChangeShapeType="1"/>
        </xdr:cNvSpPr>
      </xdr:nvSpPr>
      <xdr:spPr bwMode="auto">
        <a:xfrm flipV="1">
          <a:off x="3359467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xdr:row>
      <xdr:rowOff>0</xdr:rowOff>
    </xdr:from>
    <xdr:to>
      <xdr:col>11</xdr:col>
      <xdr:colOff>76200</xdr:colOff>
      <xdr:row>8</xdr:row>
      <xdr:rowOff>9525</xdr:rowOff>
    </xdr:to>
    <xdr:sp macro="" textlink="">
      <xdr:nvSpPr>
        <xdr:cNvPr id="1632" name="Line 113">
          <a:extLst>
            <a:ext uri="{FF2B5EF4-FFF2-40B4-BE49-F238E27FC236}">
              <a16:creationId xmlns:a16="http://schemas.microsoft.com/office/drawing/2014/main" id="{00000000-0008-0000-0C00-000060060000}"/>
            </a:ext>
          </a:extLst>
        </xdr:cNvPr>
        <xdr:cNvSpPr>
          <a:spLocks noChangeShapeType="1"/>
        </xdr:cNvSpPr>
      </xdr:nvSpPr>
      <xdr:spPr bwMode="auto">
        <a:xfrm>
          <a:off x="3358515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8</xdr:row>
      <xdr:rowOff>9525</xdr:rowOff>
    </xdr:from>
    <xdr:to>
      <xdr:col>11</xdr:col>
      <xdr:colOff>66675</xdr:colOff>
      <xdr:row>11</xdr:row>
      <xdr:rowOff>19050</xdr:rowOff>
    </xdr:to>
    <xdr:sp macro="" textlink="">
      <xdr:nvSpPr>
        <xdr:cNvPr id="1633" name="Line 114">
          <a:extLst>
            <a:ext uri="{FF2B5EF4-FFF2-40B4-BE49-F238E27FC236}">
              <a16:creationId xmlns:a16="http://schemas.microsoft.com/office/drawing/2014/main" id="{00000000-0008-0000-0C00-000061060000}"/>
            </a:ext>
          </a:extLst>
        </xdr:cNvPr>
        <xdr:cNvSpPr>
          <a:spLocks noChangeShapeType="1"/>
        </xdr:cNvSpPr>
      </xdr:nvSpPr>
      <xdr:spPr bwMode="auto">
        <a:xfrm>
          <a:off x="3365182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11</xdr:row>
      <xdr:rowOff>0</xdr:rowOff>
    </xdr:from>
    <xdr:to>
      <xdr:col>11</xdr:col>
      <xdr:colOff>66675</xdr:colOff>
      <xdr:row>11</xdr:row>
      <xdr:rowOff>9525</xdr:rowOff>
    </xdr:to>
    <xdr:sp macro="" textlink="">
      <xdr:nvSpPr>
        <xdr:cNvPr id="1634" name="Line 115">
          <a:extLst>
            <a:ext uri="{FF2B5EF4-FFF2-40B4-BE49-F238E27FC236}">
              <a16:creationId xmlns:a16="http://schemas.microsoft.com/office/drawing/2014/main" id="{00000000-0008-0000-0C00-000062060000}"/>
            </a:ext>
          </a:extLst>
        </xdr:cNvPr>
        <xdr:cNvSpPr>
          <a:spLocks noChangeShapeType="1"/>
        </xdr:cNvSpPr>
      </xdr:nvSpPr>
      <xdr:spPr bwMode="auto">
        <a:xfrm flipV="1">
          <a:off x="3359467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8</xdr:row>
      <xdr:rowOff>0</xdr:rowOff>
    </xdr:from>
    <xdr:to>
      <xdr:col>11</xdr:col>
      <xdr:colOff>400050</xdr:colOff>
      <xdr:row>9</xdr:row>
      <xdr:rowOff>57150</xdr:rowOff>
    </xdr:to>
    <xdr:sp macro="" textlink="">
      <xdr:nvSpPr>
        <xdr:cNvPr id="1635" name="Line 116">
          <a:extLst>
            <a:ext uri="{FF2B5EF4-FFF2-40B4-BE49-F238E27FC236}">
              <a16:creationId xmlns:a16="http://schemas.microsoft.com/office/drawing/2014/main" id="{00000000-0008-0000-0C00-000063060000}"/>
            </a:ext>
          </a:extLst>
        </xdr:cNvPr>
        <xdr:cNvSpPr>
          <a:spLocks noChangeShapeType="1"/>
        </xdr:cNvSpPr>
      </xdr:nvSpPr>
      <xdr:spPr bwMode="auto">
        <a:xfrm flipV="1">
          <a:off x="33661350" y="2047875"/>
          <a:ext cx="3238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76200</xdr:colOff>
      <xdr:row>9</xdr:row>
      <xdr:rowOff>66675</xdr:rowOff>
    </xdr:from>
    <xdr:to>
      <xdr:col>12</xdr:col>
      <xdr:colOff>0</xdr:colOff>
      <xdr:row>11</xdr:row>
      <xdr:rowOff>19050</xdr:rowOff>
    </xdr:to>
    <xdr:sp macro="" textlink="">
      <xdr:nvSpPr>
        <xdr:cNvPr id="1636" name="Line 117">
          <a:extLst>
            <a:ext uri="{FF2B5EF4-FFF2-40B4-BE49-F238E27FC236}">
              <a16:creationId xmlns:a16="http://schemas.microsoft.com/office/drawing/2014/main" id="{00000000-0008-0000-0C00-000064060000}"/>
            </a:ext>
          </a:extLst>
        </xdr:cNvPr>
        <xdr:cNvSpPr>
          <a:spLocks noChangeShapeType="1"/>
        </xdr:cNvSpPr>
      </xdr:nvSpPr>
      <xdr:spPr bwMode="auto">
        <a:xfrm>
          <a:off x="33661350" y="2295525"/>
          <a:ext cx="333375"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0</xdr:rowOff>
    </xdr:from>
    <xdr:to>
      <xdr:col>8</xdr:col>
      <xdr:colOff>76200</xdr:colOff>
      <xdr:row>14</xdr:row>
      <xdr:rowOff>9525</xdr:rowOff>
    </xdr:to>
    <xdr:sp macro="" textlink="">
      <xdr:nvSpPr>
        <xdr:cNvPr id="1637" name="Line 126">
          <a:extLst>
            <a:ext uri="{FF2B5EF4-FFF2-40B4-BE49-F238E27FC236}">
              <a16:creationId xmlns:a16="http://schemas.microsoft.com/office/drawing/2014/main" id="{00000000-0008-0000-0C00-000065060000}"/>
            </a:ext>
          </a:extLst>
        </xdr:cNvPr>
        <xdr:cNvSpPr>
          <a:spLocks noChangeShapeType="1"/>
        </xdr:cNvSpPr>
      </xdr:nvSpPr>
      <xdr:spPr bwMode="auto">
        <a:xfrm>
          <a:off x="3148965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14</xdr:row>
      <xdr:rowOff>9525</xdr:rowOff>
    </xdr:from>
    <xdr:to>
      <xdr:col>8</xdr:col>
      <xdr:colOff>66675</xdr:colOff>
      <xdr:row>17</xdr:row>
      <xdr:rowOff>19050</xdr:rowOff>
    </xdr:to>
    <xdr:sp macro="" textlink="">
      <xdr:nvSpPr>
        <xdr:cNvPr id="1638" name="Line 127">
          <a:extLst>
            <a:ext uri="{FF2B5EF4-FFF2-40B4-BE49-F238E27FC236}">
              <a16:creationId xmlns:a16="http://schemas.microsoft.com/office/drawing/2014/main" id="{00000000-0008-0000-0C00-000066060000}"/>
            </a:ext>
          </a:extLst>
        </xdr:cNvPr>
        <xdr:cNvSpPr>
          <a:spLocks noChangeShapeType="1"/>
        </xdr:cNvSpPr>
      </xdr:nvSpPr>
      <xdr:spPr bwMode="auto">
        <a:xfrm>
          <a:off x="3155632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17</xdr:row>
      <xdr:rowOff>0</xdr:rowOff>
    </xdr:from>
    <xdr:to>
      <xdr:col>8</xdr:col>
      <xdr:colOff>66675</xdr:colOff>
      <xdr:row>17</xdr:row>
      <xdr:rowOff>9525</xdr:rowOff>
    </xdr:to>
    <xdr:sp macro="" textlink="">
      <xdr:nvSpPr>
        <xdr:cNvPr id="1639" name="Line 128">
          <a:extLst>
            <a:ext uri="{FF2B5EF4-FFF2-40B4-BE49-F238E27FC236}">
              <a16:creationId xmlns:a16="http://schemas.microsoft.com/office/drawing/2014/main" id="{00000000-0008-0000-0C00-000067060000}"/>
            </a:ext>
          </a:extLst>
        </xdr:cNvPr>
        <xdr:cNvSpPr>
          <a:spLocks noChangeShapeType="1"/>
        </xdr:cNvSpPr>
      </xdr:nvSpPr>
      <xdr:spPr bwMode="auto">
        <a:xfrm flipV="1">
          <a:off x="3149917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76200</xdr:colOff>
      <xdr:row>20</xdr:row>
      <xdr:rowOff>9525</xdr:rowOff>
    </xdr:to>
    <xdr:sp macro="" textlink="">
      <xdr:nvSpPr>
        <xdr:cNvPr id="1640" name="Line 129">
          <a:extLst>
            <a:ext uri="{FF2B5EF4-FFF2-40B4-BE49-F238E27FC236}">
              <a16:creationId xmlns:a16="http://schemas.microsoft.com/office/drawing/2014/main" id="{00000000-0008-0000-0C00-000068060000}"/>
            </a:ext>
          </a:extLst>
        </xdr:cNvPr>
        <xdr:cNvSpPr>
          <a:spLocks noChangeShapeType="1"/>
        </xdr:cNvSpPr>
      </xdr:nvSpPr>
      <xdr:spPr bwMode="auto">
        <a:xfrm>
          <a:off x="3148965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20</xdr:row>
      <xdr:rowOff>9525</xdr:rowOff>
    </xdr:from>
    <xdr:to>
      <xdr:col>8</xdr:col>
      <xdr:colOff>66675</xdr:colOff>
      <xdr:row>23</xdr:row>
      <xdr:rowOff>19050</xdr:rowOff>
    </xdr:to>
    <xdr:sp macro="" textlink="">
      <xdr:nvSpPr>
        <xdr:cNvPr id="1641" name="Line 130">
          <a:extLst>
            <a:ext uri="{FF2B5EF4-FFF2-40B4-BE49-F238E27FC236}">
              <a16:creationId xmlns:a16="http://schemas.microsoft.com/office/drawing/2014/main" id="{00000000-0008-0000-0C00-000069060000}"/>
            </a:ext>
          </a:extLst>
        </xdr:cNvPr>
        <xdr:cNvSpPr>
          <a:spLocks noChangeShapeType="1"/>
        </xdr:cNvSpPr>
      </xdr:nvSpPr>
      <xdr:spPr bwMode="auto">
        <a:xfrm>
          <a:off x="3155632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23</xdr:row>
      <xdr:rowOff>0</xdr:rowOff>
    </xdr:from>
    <xdr:to>
      <xdr:col>8</xdr:col>
      <xdr:colOff>66675</xdr:colOff>
      <xdr:row>23</xdr:row>
      <xdr:rowOff>9525</xdr:rowOff>
    </xdr:to>
    <xdr:sp macro="" textlink="">
      <xdr:nvSpPr>
        <xdr:cNvPr id="1642" name="Line 131">
          <a:extLst>
            <a:ext uri="{FF2B5EF4-FFF2-40B4-BE49-F238E27FC236}">
              <a16:creationId xmlns:a16="http://schemas.microsoft.com/office/drawing/2014/main" id="{00000000-0008-0000-0C00-00006A060000}"/>
            </a:ext>
          </a:extLst>
        </xdr:cNvPr>
        <xdr:cNvSpPr>
          <a:spLocks noChangeShapeType="1"/>
        </xdr:cNvSpPr>
      </xdr:nvSpPr>
      <xdr:spPr bwMode="auto">
        <a:xfrm flipV="1">
          <a:off x="314991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16</xdr:row>
      <xdr:rowOff>171450</xdr:rowOff>
    </xdr:from>
    <xdr:to>
      <xdr:col>9</xdr:col>
      <xdr:colOff>0</xdr:colOff>
      <xdr:row>21</xdr:row>
      <xdr:rowOff>47625</xdr:rowOff>
    </xdr:to>
    <xdr:sp macro="" textlink="">
      <xdr:nvSpPr>
        <xdr:cNvPr id="1643" name="Line 132">
          <a:extLst>
            <a:ext uri="{FF2B5EF4-FFF2-40B4-BE49-F238E27FC236}">
              <a16:creationId xmlns:a16="http://schemas.microsoft.com/office/drawing/2014/main" id="{00000000-0008-0000-0C00-00006B060000}"/>
            </a:ext>
          </a:extLst>
        </xdr:cNvPr>
        <xdr:cNvSpPr>
          <a:spLocks noChangeShapeType="1"/>
        </xdr:cNvSpPr>
      </xdr:nvSpPr>
      <xdr:spPr bwMode="auto">
        <a:xfrm flipV="1">
          <a:off x="31556325" y="3667125"/>
          <a:ext cx="342900" cy="781050"/>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66675</xdr:colOff>
      <xdr:row>15</xdr:row>
      <xdr:rowOff>95250</xdr:rowOff>
    </xdr:from>
    <xdr:to>
      <xdr:col>9</xdr:col>
      <xdr:colOff>0</xdr:colOff>
      <xdr:row>20</xdr:row>
      <xdr:rowOff>28575</xdr:rowOff>
    </xdr:to>
    <xdr:sp macro="" textlink="">
      <xdr:nvSpPr>
        <xdr:cNvPr id="1644" name="Line 133">
          <a:extLst>
            <a:ext uri="{FF2B5EF4-FFF2-40B4-BE49-F238E27FC236}">
              <a16:creationId xmlns:a16="http://schemas.microsoft.com/office/drawing/2014/main" id="{00000000-0008-0000-0C00-00006C060000}"/>
            </a:ext>
          </a:extLst>
        </xdr:cNvPr>
        <xdr:cNvSpPr>
          <a:spLocks noChangeShapeType="1"/>
        </xdr:cNvSpPr>
      </xdr:nvSpPr>
      <xdr:spPr bwMode="auto">
        <a:xfrm>
          <a:off x="31556325" y="3409950"/>
          <a:ext cx="342900" cy="8382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26</xdr:row>
      <xdr:rowOff>0</xdr:rowOff>
    </xdr:from>
    <xdr:to>
      <xdr:col>8</xdr:col>
      <xdr:colOff>76200</xdr:colOff>
      <xdr:row>26</xdr:row>
      <xdr:rowOff>9525</xdr:rowOff>
    </xdr:to>
    <xdr:sp macro="" textlink="">
      <xdr:nvSpPr>
        <xdr:cNvPr id="1645" name="Line 134">
          <a:extLst>
            <a:ext uri="{FF2B5EF4-FFF2-40B4-BE49-F238E27FC236}">
              <a16:creationId xmlns:a16="http://schemas.microsoft.com/office/drawing/2014/main" id="{00000000-0008-0000-0C00-00006D060000}"/>
            </a:ext>
          </a:extLst>
        </xdr:cNvPr>
        <xdr:cNvSpPr>
          <a:spLocks noChangeShapeType="1"/>
        </xdr:cNvSpPr>
      </xdr:nvSpPr>
      <xdr:spPr bwMode="auto">
        <a:xfrm>
          <a:off x="3148965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26</xdr:row>
      <xdr:rowOff>9525</xdr:rowOff>
    </xdr:from>
    <xdr:to>
      <xdr:col>8</xdr:col>
      <xdr:colOff>66675</xdr:colOff>
      <xdr:row>29</xdr:row>
      <xdr:rowOff>19050</xdr:rowOff>
    </xdr:to>
    <xdr:sp macro="" textlink="">
      <xdr:nvSpPr>
        <xdr:cNvPr id="1646" name="Line 135">
          <a:extLst>
            <a:ext uri="{FF2B5EF4-FFF2-40B4-BE49-F238E27FC236}">
              <a16:creationId xmlns:a16="http://schemas.microsoft.com/office/drawing/2014/main" id="{00000000-0008-0000-0C00-00006E060000}"/>
            </a:ext>
          </a:extLst>
        </xdr:cNvPr>
        <xdr:cNvSpPr>
          <a:spLocks noChangeShapeType="1"/>
        </xdr:cNvSpPr>
      </xdr:nvSpPr>
      <xdr:spPr bwMode="auto">
        <a:xfrm>
          <a:off x="3155632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29</xdr:row>
      <xdr:rowOff>0</xdr:rowOff>
    </xdr:from>
    <xdr:to>
      <xdr:col>8</xdr:col>
      <xdr:colOff>66675</xdr:colOff>
      <xdr:row>29</xdr:row>
      <xdr:rowOff>9525</xdr:rowOff>
    </xdr:to>
    <xdr:sp macro="" textlink="">
      <xdr:nvSpPr>
        <xdr:cNvPr id="1647" name="Line 136">
          <a:extLst>
            <a:ext uri="{FF2B5EF4-FFF2-40B4-BE49-F238E27FC236}">
              <a16:creationId xmlns:a16="http://schemas.microsoft.com/office/drawing/2014/main" id="{00000000-0008-0000-0C00-00006F060000}"/>
            </a:ext>
          </a:extLst>
        </xdr:cNvPr>
        <xdr:cNvSpPr>
          <a:spLocks noChangeShapeType="1"/>
        </xdr:cNvSpPr>
      </xdr:nvSpPr>
      <xdr:spPr bwMode="auto">
        <a:xfrm flipV="1">
          <a:off x="3149917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76200</xdr:colOff>
      <xdr:row>32</xdr:row>
      <xdr:rowOff>9525</xdr:rowOff>
    </xdr:to>
    <xdr:sp macro="" textlink="">
      <xdr:nvSpPr>
        <xdr:cNvPr id="1648" name="Line 137">
          <a:extLst>
            <a:ext uri="{FF2B5EF4-FFF2-40B4-BE49-F238E27FC236}">
              <a16:creationId xmlns:a16="http://schemas.microsoft.com/office/drawing/2014/main" id="{00000000-0008-0000-0C00-000070060000}"/>
            </a:ext>
          </a:extLst>
        </xdr:cNvPr>
        <xdr:cNvSpPr>
          <a:spLocks noChangeShapeType="1"/>
        </xdr:cNvSpPr>
      </xdr:nvSpPr>
      <xdr:spPr bwMode="auto">
        <a:xfrm>
          <a:off x="3148965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35</xdr:row>
      <xdr:rowOff>0</xdr:rowOff>
    </xdr:from>
    <xdr:to>
      <xdr:col>8</xdr:col>
      <xdr:colOff>66675</xdr:colOff>
      <xdr:row>35</xdr:row>
      <xdr:rowOff>9525</xdr:rowOff>
    </xdr:to>
    <xdr:sp macro="" textlink="">
      <xdr:nvSpPr>
        <xdr:cNvPr id="1649" name="Line 139">
          <a:extLst>
            <a:ext uri="{FF2B5EF4-FFF2-40B4-BE49-F238E27FC236}">
              <a16:creationId xmlns:a16="http://schemas.microsoft.com/office/drawing/2014/main" id="{00000000-0008-0000-0C00-000071060000}"/>
            </a:ext>
          </a:extLst>
        </xdr:cNvPr>
        <xdr:cNvSpPr>
          <a:spLocks noChangeShapeType="1"/>
        </xdr:cNvSpPr>
      </xdr:nvSpPr>
      <xdr:spPr bwMode="auto">
        <a:xfrm flipV="1">
          <a:off x="3149917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76200</xdr:colOff>
      <xdr:row>29</xdr:row>
      <xdr:rowOff>0</xdr:rowOff>
    </xdr:from>
    <xdr:to>
      <xdr:col>9</xdr:col>
      <xdr:colOff>0</xdr:colOff>
      <xdr:row>33</xdr:row>
      <xdr:rowOff>66675</xdr:rowOff>
    </xdr:to>
    <xdr:sp macro="" textlink="">
      <xdr:nvSpPr>
        <xdr:cNvPr id="1650" name="Line 140">
          <a:extLst>
            <a:ext uri="{FF2B5EF4-FFF2-40B4-BE49-F238E27FC236}">
              <a16:creationId xmlns:a16="http://schemas.microsoft.com/office/drawing/2014/main" id="{00000000-0008-0000-0C00-000072060000}"/>
            </a:ext>
          </a:extLst>
        </xdr:cNvPr>
        <xdr:cNvSpPr>
          <a:spLocks noChangeShapeType="1"/>
        </xdr:cNvSpPr>
      </xdr:nvSpPr>
      <xdr:spPr bwMode="auto">
        <a:xfrm flipV="1">
          <a:off x="31565850" y="5848350"/>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66675</xdr:colOff>
      <xdr:row>27</xdr:row>
      <xdr:rowOff>104775</xdr:rowOff>
    </xdr:from>
    <xdr:to>
      <xdr:col>9</xdr:col>
      <xdr:colOff>0</xdr:colOff>
      <xdr:row>31</xdr:row>
      <xdr:rowOff>161925</xdr:rowOff>
    </xdr:to>
    <xdr:sp macro="" textlink="">
      <xdr:nvSpPr>
        <xdr:cNvPr id="1651" name="Line 141">
          <a:extLst>
            <a:ext uri="{FF2B5EF4-FFF2-40B4-BE49-F238E27FC236}">
              <a16:creationId xmlns:a16="http://schemas.microsoft.com/office/drawing/2014/main" id="{00000000-0008-0000-0C00-000073060000}"/>
            </a:ext>
          </a:extLst>
        </xdr:cNvPr>
        <xdr:cNvSpPr>
          <a:spLocks noChangeShapeType="1"/>
        </xdr:cNvSpPr>
      </xdr:nvSpPr>
      <xdr:spPr bwMode="auto">
        <a:xfrm>
          <a:off x="31556325" y="5591175"/>
          <a:ext cx="342900" cy="7810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66675</xdr:colOff>
      <xdr:row>7</xdr:row>
      <xdr:rowOff>133350</xdr:rowOff>
    </xdr:from>
    <xdr:to>
      <xdr:col>6</xdr:col>
      <xdr:colOff>0</xdr:colOff>
      <xdr:row>9</xdr:row>
      <xdr:rowOff>66675</xdr:rowOff>
    </xdr:to>
    <xdr:sp macro="" textlink="">
      <xdr:nvSpPr>
        <xdr:cNvPr id="1652" name="Line 146">
          <a:extLst>
            <a:ext uri="{FF2B5EF4-FFF2-40B4-BE49-F238E27FC236}">
              <a16:creationId xmlns:a16="http://schemas.microsoft.com/office/drawing/2014/main" id="{00000000-0008-0000-0C00-000074060000}"/>
            </a:ext>
          </a:extLst>
        </xdr:cNvPr>
        <xdr:cNvSpPr>
          <a:spLocks noChangeShapeType="1"/>
        </xdr:cNvSpPr>
      </xdr:nvSpPr>
      <xdr:spPr bwMode="auto">
        <a:xfrm flipV="1">
          <a:off x="29394150" y="2000250"/>
          <a:ext cx="38100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66675</xdr:colOff>
      <xdr:row>9</xdr:row>
      <xdr:rowOff>66675</xdr:rowOff>
    </xdr:from>
    <xdr:to>
      <xdr:col>6</xdr:col>
      <xdr:colOff>19050</xdr:colOff>
      <xdr:row>13</xdr:row>
      <xdr:rowOff>0</xdr:rowOff>
    </xdr:to>
    <xdr:sp macro="" textlink="">
      <xdr:nvSpPr>
        <xdr:cNvPr id="1653" name="Line 147">
          <a:extLst>
            <a:ext uri="{FF2B5EF4-FFF2-40B4-BE49-F238E27FC236}">
              <a16:creationId xmlns:a16="http://schemas.microsoft.com/office/drawing/2014/main" id="{00000000-0008-0000-0C00-000075060000}"/>
            </a:ext>
          </a:extLst>
        </xdr:cNvPr>
        <xdr:cNvSpPr>
          <a:spLocks noChangeShapeType="1"/>
        </xdr:cNvSpPr>
      </xdr:nvSpPr>
      <xdr:spPr bwMode="auto">
        <a:xfrm>
          <a:off x="29394150" y="2295525"/>
          <a:ext cx="400050" cy="657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66675</xdr:colOff>
      <xdr:row>10</xdr:row>
      <xdr:rowOff>152400</xdr:rowOff>
    </xdr:from>
    <xdr:to>
      <xdr:col>6</xdr:col>
      <xdr:colOff>19050</xdr:colOff>
      <xdr:row>15</xdr:row>
      <xdr:rowOff>85725</xdr:rowOff>
    </xdr:to>
    <xdr:sp macro="" textlink="">
      <xdr:nvSpPr>
        <xdr:cNvPr id="1654" name="Line 150">
          <a:extLst>
            <a:ext uri="{FF2B5EF4-FFF2-40B4-BE49-F238E27FC236}">
              <a16:creationId xmlns:a16="http://schemas.microsoft.com/office/drawing/2014/main" id="{00000000-0008-0000-0C00-000076060000}"/>
            </a:ext>
          </a:extLst>
        </xdr:cNvPr>
        <xdr:cNvSpPr>
          <a:spLocks noChangeShapeType="1"/>
        </xdr:cNvSpPr>
      </xdr:nvSpPr>
      <xdr:spPr bwMode="auto">
        <a:xfrm flipV="1">
          <a:off x="29394150" y="2562225"/>
          <a:ext cx="400050"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15</xdr:row>
      <xdr:rowOff>95250</xdr:rowOff>
    </xdr:from>
    <xdr:to>
      <xdr:col>6</xdr:col>
      <xdr:colOff>0</xdr:colOff>
      <xdr:row>20</xdr:row>
      <xdr:rowOff>66675</xdr:rowOff>
    </xdr:to>
    <xdr:sp macro="" textlink="">
      <xdr:nvSpPr>
        <xdr:cNvPr id="1655" name="Line 151">
          <a:extLst>
            <a:ext uri="{FF2B5EF4-FFF2-40B4-BE49-F238E27FC236}">
              <a16:creationId xmlns:a16="http://schemas.microsoft.com/office/drawing/2014/main" id="{00000000-0008-0000-0C00-000077060000}"/>
            </a:ext>
          </a:extLst>
        </xdr:cNvPr>
        <xdr:cNvSpPr>
          <a:spLocks noChangeShapeType="1"/>
        </xdr:cNvSpPr>
      </xdr:nvSpPr>
      <xdr:spPr bwMode="auto">
        <a:xfrm>
          <a:off x="29403675" y="3409950"/>
          <a:ext cx="371475"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16</xdr:row>
      <xdr:rowOff>142875</xdr:rowOff>
    </xdr:from>
    <xdr:to>
      <xdr:col>6</xdr:col>
      <xdr:colOff>9525</xdr:colOff>
      <xdr:row>21</xdr:row>
      <xdr:rowOff>76200</xdr:rowOff>
    </xdr:to>
    <xdr:sp macro="" textlink="">
      <xdr:nvSpPr>
        <xdr:cNvPr id="1656" name="Line 152">
          <a:extLst>
            <a:ext uri="{FF2B5EF4-FFF2-40B4-BE49-F238E27FC236}">
              <a16:creationId xmlns:a16="http://schemas.microsoft.com/office/drawing/2014/main" id="{00000000-0008-0000-0C00-000078060000}"/>
            </a:ext>
          </a:extLst>
        </xdr:cNvPr>
        <xdr:cNvSpPr>
          <a:spLocks noChangeShapeType="1"/>
        </xdr:cNvSpPr>
      </xdr:nvSpPr>
      <xdr:spPr bwMode="auto">
        <a:xfrm flipV="1">
          <a:off x="29403675" y="3638550"/>
          <a:ext cx="381000"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21</xdr:row>
      <xdr:rowOff>76200</xdr:rowOff>
    </xdr:from>
    <xdr:to>
      <xdr:col>5</xdr:col>
      <xdr:colOff>438150</xdr:colOff>
      <xdr:row>25</xdr:row>
      <xdr:rowOff>161925</xdr:rowOff>
    </xdr:to>
    <xdr:sp macro="" textlink="">
      <xdr:nvSpPr>
        <xdr:cNvPr id="1657" name="Line 153">
          <a:extLst>
            <a:ext uri="{FF2B5EF4-FFF2-40B4-BE49-F238E27FC236}">
              <a16:creationId xmlns:a16="http://schemas.microsoft.com/office/drawing/2014/main" id="{00000000-0008-0000-0C00-000079060000}"/>
            </a:ext>
          </a:extLst>
        </xdr:cNvPr>
        <xdr:cNvSpPr>
          <a:spLocks noChangeShapeType="1"/>
        </xdr:cNvSpPr>
      </xdr:nvSpPr>
      <xdr:spPr bwMode="auto">
        <a:xfrm>
          <a:off x="29413200" y="4476750"/>
          <a:ext cx="352425" cy="809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57150</xdr:colOff>
      <xdr:row>22</xdr:row>
      <xdr:rowOff>104775</xdr:rowOff>
    </xdr:from>
    <xdr:to>
      <xdr:col>6</xdr:col>
      <xdr:colOff>9525</xdr:colOff>
      <xdr:row>27</xdr:row>
      <xdr:rowOff>57150</xdr:rowOff>
    </xdr:to>
    <xdr:sp macro="" textlink="">
      <xdr:nvSpPr>
        <xdr:cNvPr id="1658" name="Line 154">
          <a:extLst>
            <a:ext uri="{FF2B5EF4-FFF2-40B4-BE49-F238E27FC236}">
              <a16:creationId xmlns:a16="http://schemas.microsoft.com/office/drawing/2014/main" id="{00000000-0008-0000-0C00-00007A060000}"/>
            </a:ext>
          </a:extLst>
        </xdr:cNvPr>
        <xdr:cNvSpPr>
          <a:spLocks noChangeShapeType="1"/>
        </xdr:cNvSpPr>
      </xdr:nvSpPr>
      <xdr:spPr bwMode="auto">
        <a:xfrm flipV="1">
          <a:off x="29384625" y="4686300"/>
          <a:ext cx="400050" cy="857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57150</xdr:colOff>
      <xdr:row>27</xdr:row>
      <xdr:rowOff>38100</xdr:rowOff>
    </xdr:from>
    <xdr:to>
      <xdr:col>6</xdr:col>
      <xdr:colOff>0</xdr:colOff>
      <xdr:row>32</xdr:row>
      <xdr:rowOff>9525</xdr:rowOff>
    </xdr:to>
    <xdr:sp macro="" textlink="">
      <xdr:nvSpPr>
        <xdr:cNvPr id="1659" name="Line 155">
          <a:extLst>
            <a:ext uri="{FF2B5EF4-FFF2-40B4-BE49-F238E27FC236}">
              <a16:creationId xmlns:a16="http://schemas.microsoft.com/office/drawing/2014/main" id="{00000000-0008-0000-0C00-00007B060000}"/>
            </a:ext>
          </a:extLst>
        </xdr:cNvPr>
        <xdr:cNvSpPr>
          <a:spLocks noChangeShapeType="1"/>
        </xdr:cNvSpPr>
      </xdr:nvSpPr>
      <xdr:spPr bwMode="auto">
        <a:xfrm>
          <a:off x="29384625" y="5524500"/>
          <a:ext cx="390525"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57150</xdr:colOff>
      <xdr:row>28</xdr:row>
      <xdr:rowOff>152400</xdr:rowOff>
    </xdr:from>
    <xdr:to>
      <xdr:col>6</xdr:col>
      <xdr:colOff>9525</xdr:colOff>
      <xdr:row>33</xdr:row>
      <xdr:rowOff>104775</xdr:rowOff>
    </xdr:to>
    <xdr:sp macro="" textlink="">
      <xdr:nvSpPr>
        <xdr:cNvPr id="1660" name="Line 156">
          <a:extLst>
            <a:ext uri="{FF2B5EF4-FFF2-40B4-BE49-F238E27FC236}">
              <a16:creationId xmlns:a16="http://schemas.microsoft.com/office/drawing/2014/main" id="{00000000-0008-0000-0C00-00007C060000}"/>
            </a:ext>
          </a:extLst>
        </xdr:cNvPr>
        <xdr:cNvSpPr>
          <a:spLocks noChangeShapeType="1"/>
        </xdr:cNvSpPr>
      </xdr:nvSpPr>
      <xdr:spPr bwMode="auto">
        <a:xfrm flipV="1">
          <a:off x="29384625" y="5819775"/>
          <a:ext cx="400050" cy="857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57150</xdr:colOff>
      <xdr:row>33</xdr:row>
      <xdr:rowOff>104775</xdr:rowOff>
    </xdr:from>
    <xdr:to>
      <xdr:col>6</xdr:col>
      <xdr:colOff>0</xdr:colOff>
      <xdr:row>37</xdr:row>
      <xdr:rowOff>171450</xdr:rowOff>
    </xdr:to>
    <xdr:sp macro="" textlink="">
      <xdr:nvSpPr>
        <xdr:cNvPr id="1661" name="Line 158">
          <a:extLst>
            <a:ext uri="{FF2B5EF4-FFF2-40B4-BE49-F238E27FC236}">
              <a16:creationId xmlns:a16="http://schemas.microsoft.com/office/drawing/2014/main" id="{00000000-0008-0000-0C00-00007D060000}"/>
            </a:ext>
          </a:extLst>
        </xdr:cNvPr>
        <xdr:cNvSpPr>
          <a:spLocks noChangeShapeType="1"/>
        </xdr:cNvSpPr>
      </xdr:nvSpPr>
      <xdr:spPr bwMode="auto">
        <a:xfrm>
          <a:off x="29384625" y="6677025"/>
          <a:ext cx="390525" cy="7905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66675</xdr:colOff>
      <xdr:row>11</xdr:row>
      <xdr:rowOff>0</xdr:rowOff>
    </xdr:from>
    <xdr:to>
      <xdr:col>9</xdr:col>
      <xdr:colOff>19050</xdr:colOff>
      <xdr:row>15</xdr:row>
      <xdr:rowOff>104775</xdr:rowOff>
    </xdr:to>
    <xdr:sp macro="" textlink="">
      <xdr:nvSpPr>
        <xdr:cNvPr id="1662" name="Line 163">
          <a:extLst>
            <a:ext uri="{FF2B5EF4-FFF2-40B4-BE49-F238E27FC236}">
              <a16:creationId xmlns:a16="http://schemas.microsoft.com/office/drawing/2014/main" id="{00000000-0008-0000-0C00-00007E060000}"/>
            </a:ext>
          </a:extLst>
        </xdr:cNvPr>
        <xdr:cNvSpPr>
          <a:spLocks noChangeShapeType="1"/>
        </xdr:cNvSpPr>
      </xdr:nvSpPr>
      <xdr:spPr bwMode="auto">
        <a:xfrm flipV="1">
          <a:off x="31556325" y="2590800"/>
          <a:ext cx="361950" cy="8286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76200</xdr:colOff>
      <xdr:row>21</xdr:row>
      <xdr:rowOff>76200</xdr:rowOff>
    </xdr:from>
    <xdr:to>
      <xdr:col>9</xdr:col>
      <xdr:colOff>0</xdr:colOff>
      <xdr:row>26</xdr:row>
      <xdr:rowOff>9525</xdr:rowOff>
    </xdr:to>
    <xdr:sp macro="" textlink="">
      <xdr:nvSpPr>
        <xdr:cNvPr id="1663" name="Line 164">
          <a:extLst>
            <a:ext uri="{FF2B5EF4-FFF2-40B4-BE49-F238E27FC236}">
              <a16:creationId xmlns:a16="http://schemas.microsoft.com/office/drawing/2014/main" id="{00000000-0008-0000-0C00-00007F060000}"/>
            </a:ext>
          </a:extLst>
        </xdr:cNvPr>
        <xdr:cNvSpPr>
          <a:spLocks noChangeShapeType="1"/>
        </xdr:cNvSpPr>
      </xdr:nvSpPr>
      <xdr:spPr bwMode="auto">
        <a:xfrm>
          <a:off x="31565850" y="4476750"/>
          <a:ext cx="333375" cy="838200"/>
        </a:xfrm>
        <a:prstGeom prst="line">
          <a:avLst/>
        </a:prstGeom>
        <a:noFill/>
        <a:ln w="19050">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66675</xdr:colOff>
      <xdr:row>22</xdr:row>
      <xdr:rowOff>171450</xdr:rowOff>
    </xdr:from>
    <xdr:to>
      <xdr:col>9</xdr:col>
      <xdr:colOff>0</xdr:colOff>
      <xdr:row>27</xdr:row>
      <xdr:rowOff>114300</xdr:rowOff>
    </xdr:to>
    <xdr:sp macro="" textlink="">
      <xdr:nvSpPr>
        <xdr:cNvPr id="1664" name="Line 165">
          <a:extLst>
            <a:ext uri="{FF2B5EF4-FFF2-40B4-BE49-F238E27FC236}">
              <a16:creationId xmlns:a16="http://schemas.microsoft.com/office/drawing/2014/main" id="{00000000-0008-0000-0C00-000080060000}"/>
            </a:ext>
          </a:extLst>
        </xdr:cNvPr>
        <xdr:cNvSpPr>
          <a:spLocks noChangeShapeType="1"/>
        </xdr:cNvSpPr>
      </xdr:nvSpPr>
      <xdr:spPr bwMode="auto">
        <a:xfrm flipV="1">
          <a:off x="31556325" y="4752975"/>
          <a:ext cx="342900" cy="8477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76200</xdr:colOff>
      <xdr:row>52</xdr:row>
      <xdr:rowOff>0</xdr:rowOff>
    </xdr:from>
    <xdr:to>
      <xdr:col>8</xdr:col>
      <xdr:colOff>76200</xdr:colOff>
      <xdr:row>52</xdr:row>
      <xdr:rowOff>0</xdr:rowOff>
    </xdr:to>
    <xdr:sp macro="" textlink="">
      <xdr:nvSpPr>
        <xdr:cNvPr id="1665" name="Line 176">
          <a:extLst>
            <a:ext uri="{FF2B5EF4-FFF2-40B4-BE49-F238E27FC236}">
              <a16:creationId xmlns:a16="http://schemas.microsoft.com/office/drawing/2014/main" id="{00000000-0008-0000-0C00-000081060000}"/>
            </a:ext>
          </a:extLst>
        </xdr:cNvPr>
        <xdr:cNvSpPr>
          <a:spLocks noChangeShapeType="1"/>
        </xdr:cNvSpPr>
      </xdr:nvSpPr>
      <xdr:spPr bwMode="auto">
        <a:xfrm>
          <a:off x="31565850" y="1001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76200</xdr:colOff>
      <xdr:row>52</xdr:row>
      <xdr:rowOff>0</xdr:rowOff>
    </xdr:from>
    <xdr:to>
      <xdr:col>8</xdr:col>
      <xdr:colOff>76200</xdr:colOff>
      <xdr:row>52</xdr:row>
      <xdr:rowOff>0</xdr:rowOff>
    </xdr:to>
    <xdr:sp macro="" textlink="">
      <xdr:nvSpPr>
        <xdr:cNvPr id="1666" name="Line 210">
          <a:extLst>
            <a:ext uri="{FF2B5EF4-FFF2-40B4-BE49-F238E27FC236}">
              <a16:creationId xmlns:a16="http://schemas.microsoft.com/office/drawing/2014/main" id="{00000000-0008-0000-0C00-000082060000}"/>
            </a:ext>
          </a:extLst>
        </xdr:cNvPr>
        <xdr:cNvSpPr>
          <a:spLocks noChangeShapeType="1"/>
        </xdr:cNvSpPr>
      </xdr:nvSpPr>
      <xdr:spPr bwMode="auto">
        <a:xfrm>
          <a:off x="31565850" y="1001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57150</xdr:colOff>
      <xdr:row>33</xdr:row>
      <xdr:rowOff>76200</xdr:rowOff>
    </xdr:from>
    <xdr:to>
      <xdr:col>8</xdr:col>
      <xdr:colOff>400050</xdr:colOff>
      <xdr:row>38</xdr:row>
      <xdr:rowOff>0</xdr:rowOff>
    </xdr:to>
    <xdr:sp macro="" textlink="">
      <xdr:nvSpPr>
        <xdr:cNvPr id="1667" name="Line 259">
          <a:extLst>
            <a:ext uri="{FF2B5EF4-FFF2-40B4-BE49-F238E27FC236}">
              <a16:creationId xmlns:a16="http://schemas.microsoft.com/office/drawing/2014/main" id="{00000000-0008-0000-0C00-000083060000}"/>
            </a:ext>
          </a:extLst>
        </xdr:cNvPr>
        <xdr:cNvSpPr>
          <a:spLocks noChangeShapeType="1"/>
        </xdr:cNvSpPr>
      </xdr:nvSpPr>
      <xdr:spPr bwMode="auto">
        <a:xfrm>
          <a:off x="31546800" y="6648450"/>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0</xdr:colOff>
      <xdr:row>38</xdr:row>
      <xdr:rowOff>0</xdr:rowOff>
    </xdr:from>
    <xdr:to>
      <xdr:col>5</xdr:col>
      <xdr:colOff>76200</xdr:colOff>
      <xdr:row>38</xdr:row>
      <xdr:rowOff>9525</xdr:rowOff>
    </xdr:to>
    <xdr:sp macro="" textlink="">
      <xdr:nvSpPr>
        <xdr:cNvPr id="1668" name="Line 283">
          <a:extLst>
            <a:ext uri="{FF2B5EF4-FFF2-40B4-BE49-F238E27FC236}">
              <a16:creationId xmlns:a16="http://schemas.microsoft.com/office/drawing/2014/main" id="{00000000-0008-0000-0C00-000084060000}"/>
            </a:ext>
          </a:extLst>
        </xdr:cNvPr>
        <xdr:cNvSpPr>
          <a:spLocks noChangeShapeType="1"/>
        </xdr:cNvSpPr>
      </xdr:nvSpPr>
      <xdr:spPr bwMode="auto">
        <a:xfrm>
          <a:off x="293274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66675</xdr:colOff>
      <xdr:row>38</xdr:row>
      <xdr:rowOff>9525</xdr:rowOff>
    </xdr:from>
    <xdr:to>
      <xdr:col>5</xdr:col>
      <xdr:colOff>66675</xdr:colOff>
      <xdr:row>41</xdr:row>
      <xdr:rowOff>19050</xdr:rowOff>
    </xdr:to>
    <xdr:sp macro="" textlink="">
      <xdr:nvSpPr>
        <xdr:cNvPr id="1669" name="Line 284">
          <a:extLst>
            <a:ext uri="{FF2B5EF4-FFF2-40B4-BE49-F238E27FC236}">
              <a16:creationId xmlns:a16="http://schemas.microsoft.com/office/drawing/2014/main" id="{00000000-0008-0000-0C00-000085060000}"/>
            </a:ext>
          </a:extLst>
        </xdr:cNvPr>
        <xdr:cNvSpPr>
          <a:spLocks noChangeShapeType="1"/>
        </xdr:cNvSpPr>
      </xdr:nvSpPr>
      <xdr:spPr bwMode="auto">
        <a:xfrm>
          <a:off x="29394150"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41</xdr:row>
      <xdr:rowOff>0</xdr:rowOff>
    </xdr:from>
    <xdr:to>
      <xdr:col>5</xdr:col>
      <xdr:colOff>66675</xdr:colOff>
      <xdr:row>41</xdr:row>
      <xdr:rowOff>9525</xdr:rowOff>
    </xdr:to>
    <xdr:sp macro="" textlink="">
      <xdr:nvSpPr>
        <xdr:cNvPr id="1670" name="Line 285">
          <a:extLst>
            <a:ext uri="{FF2B5EF4-FFF2-40B4-BE49-F238E27FC236}">
              <a16:creationId xmlns:a16="http://schemas.microsoft.com/office/drawing/2014/main" id="{00000000-0008-0000-0C00-000086060000}"/>
            </a:ext>
          </a:extLst>
        </xdr:cNvPr>
        <xdr:cNvSpPr>
          <a:spLocks noChangeShapeType="1"/>
        </xdr:cNvSpPr>
      </xdr:nvSpPr>
      <xdr:spPr bwMode="auto">
        <a:xfrm flipV="1">
          <a:off x="293370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38</xdr:row>
      <xdr:rowOff>0</xdr:rowOff>
    </xdr:from>
    <xdr:to>
      <xdr:col>8</xdr:col>
      <xdr:colOff>76200</xdr:colOff>
      <xdr:row>38</xdr:row>
      <xdr:rowOff>9525</xdr:rowOff>
    </xdr:to>
    <xdr:sp macro="" textlink="">
      <xdr:nvSpPr>
        <xdr:cNvPr id="1671" name="Line 286">
          <a:extLst>
            <a:ext uri="{FF2B5EF4-FFF2-40B4-BE49-F238E27FC236}">
              <a16:creationId xmlns:a16="http://schemas.microsoft.com/office/drawing/2014/main" id="{00000000-0008-0000-0C00-000087060000}"/>
            </a:ext>
          </a:extLst>
        </xdr:cNvPr>
        <xdr:cNvSpPr>
          <a:spLocks noChangeShapeType="1"/>
        </xdr:cNvSpPr>
      </xdr:nvSpPr>
      <xdr:spPr bwMode="auto">
        <a:xfrm>
          <a:off x="3148965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38</xdr:row>
      <xdr:rowOff>9525</xdr:rowOff>
    </xdr:from>
    <xdr:to>
      <xdr:col>8</xdr:col>
      <xdr:colOff>66675</xdr:colOff>
      <xdr:row>41</xdr:row>
      <xdr:rowOff>19050</xdr:rowOff>
    </xdr:to>
    <xdr:sp macro="" textlink="">
      <xdr:nvSpPr>
        <xdr:cNvPr id="1672" name="Line 287">
          <a:extLst>
            <a:ext uri="{FF2B5EF4-FFF2-40B4-BE49-F238E27FC236}">
              <a16:creationId xmlns:a16="http://schemas.microsoft.com/office/drawing/2014/main" id="{00000000-0008-0000-0C00-000088060000}"/>
            </a:ext>
          </a:extLst>
        </xdr:cNvPr>
        <xdr:cNvSpPr>
          <a:spLocks noChangeShapeType="1"/>
        </xdr:cNvSpPr>
      </xdr:nvSpPr>
      <xdr:spPr bwMode="auto">
        <a:xfrm>
          <a:off x="3155632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41</xdr:row>
      <xdr:rowOff>0</xdr:rowOff>
    </xdr:from>
    <xdr:to>
      <xdr:col>8</xdr:col>
      <xdr:colOff>66675</xdr:colOff>
      <xdr:row>41</xdr:row>
      <xdr:rowOff>9525</xdr:rowOff>
    </xdr:to>
    <xdr:sp macro="" textlink="">
      <xdr:nvSpPr>
        <xdr:cNvPr id="1673" name="Line 288">
          <a:extLst>
            <a:ext uri="{FF2B5EF4-FFF2-40B4-BE49-F238E27FC236}">
              <a16:creationId xmlns:a16="http://schemas.microsoft.com/office/drawing/2014/main" id="{00000000-0008-0000-0C00-000089060000}"/>
            </a:ext>
          </a:extLst>
        </xdr:cNvPr>
        <xdr:cNvSpPr>
          <a:spLocks noChangeShapeType="1"/>
        </xdr:cNvSpPr>
      </xdr:nvSpPr>
      <xdr:spPr bwMode="auto">
        <a:xfrm flipV="1">
          <a:off x="3149917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38</xdr:row>
      <xdr:rowOff>0</xdr:rowOff>
    </xdr:from>
    <xdr:to>
      <xdr:col>11</xdr:col>
      <xdr:colOff>76200</xdr:colOff>
      <xdr:row>38</xdr:row>
      <xdr:rowOff>9525</xdr:rowOff>
    </xdr:to>
    <xdr:sp macro="" textlink="">
      <xdr:nvSpPr>
        <xdr:cNvPr id="1674" name="Line 289">
          <a:extLst>
            <a:ext uri="{FF2B5EF4-FFF2-40B4-BE49-F238E27FC236}">
              <a16:creationId xmlns:a16="http://schemas.microsoft.com/office/drawing/2014/main" id="{00000000-0008-0000-0C00-00008A060000}"/>
            </a:ext>
          </a:extLst>
        </xdr:cNvPr>
        <xdr:cNvSpPr>
          <a:spLocks noChangeShapeType="1"/>
        </xdr:cNvSpPr>
      </xdr:nvSpPr>
      <xdr:spPr bwMode="auto">
        <a:xfrm>
          <a:off x="3358515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38</xdr:row>
      <xdr:rowOff>9525</xdr:rowOff>
    </xdr:from>
    <xdr:to>
      <xdr:col>11</xdr:col>
      <xdr:colOff>66675</xdr:colOff>
      <xdr:row>41</xdr:row>
      <xdr:rowOff>19050</xdr:rowOff>
    </xdr:to>
    <xdr:sp macro="" textlink="">
      <xdr:nvSpPr>
        <xdr:cNvPr id="1675" name="Line 290">
          <a:extLst>
            <a:ext uri="{FF2B5EF4-FFF2-40B4-BE49-F238E27FC236}">
              <a16:creationId xmlns:a16="http://schemas.microsoft.com/office/drawing/2014/main" id="{00000000-0008-0000-0C00-00008B060000}"/>
            </a:ext>
          </a:extLst>
        </xdr:cNvPr>
        <xdr:cNvSpPr>
          <a:spLocks noChangeShapeType="1"/>
        </xdr:cNvSpPr>
      </xdr:nvSpPr>
      <xdr:spPr bwMode="auto">
        <a:xfrm>
          <a:off x="3365182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41</xdr:row>
      <xdr:rowOff>0</xdr:rowOff>
    </xdr:from>
    <xdr:to>
      <xdr:col>11</xdr:col>
      <xdr:colOff>66675</xdr:colOff>
      <xdr:row>41</xdr:row>
      <xdr:rowOff>9525</xdr:rowOff>
    </xdr:to>
    <xdr:sp macro="" textlink="">
      <xdr:nvSpPr>
        <xdr:cNvPr id="1676" name="Line 291">
          <a:extLst>
            <a:ext uri="{FF2B5EF4-FFF2-40B4-BE49-F238E27FC236}">
              <a16:creationId xmlns:a16="http://schemas.microsoft.com/office/drawing/2014/main" id="{00000000-0008-0000-0C00-00008C060000}"/>
            </a:ext>
          </a:extLst>
        </xdr:cNvPr>
        <xdr:cNvSpPr>
          <a:spLocks noChangeShapeType="1"/>
        </xdr:cNvSpPr>
      </xdr:nvSpPr>
      <xdr:spPr bwMode="auto">
        <a:xfrm flipV="1">
          <a:off x="3359467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38</xdr:row>
      <xdr:rowOff>0</xdr:rowOff>
    </xdr:from>
    <xdr:to>
      <xdr:col>11</xdr:col>
      <xdr:colOff>76200</xdr:colOff>
      <xdr:row>38</xdr:row>
      <xdr:rowOff>9525</xdr:rowOff>
    </xdr:to>
    <xdr:sp macro="" textlink="">
      <xdr:nvSpPr>
        <xdr:cNvPr id="1677" name="Line 292">
          <a:extLst>
            <a:ext uri="{FF2B5EF4-FFF2-40B4-BE49-F238E27FC236}">
              <a16:creationId xmlns:a16="http://schemas.microsoft.com/office/drawing/2014/main" id="{00000000-0008-0000-0C00-00008D060000}"/>
            </a:ext>
          </a:extLst>
        </xdr:cNvPr>
        <xdr:cNvSpPr>
          <a:spLocks noChangeShapeType="1"/>
        </xdr:cNvSpPr>
      </xdr:nvSpPr>
      <xdr:spPr bwMode="auto">
        <a:xfrm>
          <a:off x="3358515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38</xdr:row>
      <xdr:rowOff>9525</xdr:rowOff>
    </xdr:from>
    <xdr:to>
      <xdr:col>11</xdr:col>
      <xdr:colOff>66675</xdr:colOff>
      <xdr:row>41</xdr:row>
      <xdr:rowOff>19050</xdr:rowOff>
    </xdr:to>
    <xdr:sp macro="" textlink="">
      <xdr:nvSpPr>
        <xdr:cNvPr id="1678" name="Line 293">
          <a:extLst>
            <a:ext uri="{FF2B5EF4-FFF2-40B4-BE49-F238E27FC236}">
              <a16:creationId xmlns:a16="http://schemas.microsoft.com/office/drawing/2014/main" id="{00000000-0008-0000-0C00-00008E060000}"/>
            </a:ext>
          </a:extLst>
        </xdr:cNvPr>
        <xdr:cNvSpPr>
          <a:spLocks noChangeShapeType="1"/>
        </xdr:cNvSpPr>
      </xdr:nvSpPr>
      <xdr:spPr bwMode="auto">
        <a:xfrm>
          <a:off x="3365182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41</xdr:row>
      <xdr:rowOff>0</xdr:rowOff>
    </xdr:from>
    <xdr:to>
      <xdr:col>11</xdr:col>
      <xdr:colOff>66675</xdr:colOff>
      <xdr:row>41</xdr:row>
      <xdr:rowOff>9525</xdr:rowOff>
    </xdr:to>
    <xdr:sp macro="" textlink="">
      <xdr:nvSpPr>
        <xdr:cNvPr id="1679" name="Line 294">
          <a:extLst>
            <a:ext uri="{FF2B5EF4-FFF2-40B4-BE49-F238E27FC236}">
              <a16:creationId xmlns:a16="http://schemas.microsoft.com/office/drawing/2014/main" id="{00000000-0008-0000-0C00-00008F060000}"/>
            </a:ext>
          </a:extLst>
        </xdr:cNvPr>
        <xdr:cNvSpPr>
          <a:spLocks noChangeShapeType="1"/>
        </xdr:cNvSpPr>
      </xdr:nvSpPr>
      <xdr:spPr bwMode="auto">
        <a:xfrm flipV="1">
          <a:off x="3359467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39</xdr:row>
      <xdr:rowOff>66675</xdr:rowOff>
    </xdr:from>
    <xdr:to>
      <xdr:col>12</xdr:col>
      <xdr:colOff>9525</xdr:colOff>
      <xdr:row>41</xdr:row>
      <xdr:rowOff>19050</xdr:rowOff>
    </xdr:to>
    <xdr:sp macro="" textlink="">
      <xdr:nvSpPr>
        <xdr:cNvPr id="1680" name="Line 295">
          <a:extLst>
            <a:ext uri="{FF2B5EF4-FFF2-40B4-BE49-F238E27FC236}">
              <a16:creationId xmlns:a16="http://schemas.microsoft.com/office/drawing/2014/main" id="{00000000-0008-0000-0C00-000090060000}"/>
            </a:ext>
          </a:extLst>
        </xdr:cNvPr>
        <xdr:cNvSpPr>
          <a:spLocks noChangeShapeType="1"/>
        </xdr:cNvSpPr>
      </xdr:nvSpPr>
      <xdr:spPr bwMode="auto">
        <a:xfrm>
          <a:off x="33661350" y="77247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38</xdr:row>
      <xdr:rowOff>0</xdr:rowOff>
    </xdr:from>
    <xdr:to>
      <xdr:col>11</xdr:col>
      <xdr:colOff>76200</xdr:colOff>
      <xdr:row>38</xdr:row>
      <xdr:rowOff>9525</xdr:rowOff>
    </xdr:to>
    <xdr:sp macro="" textlink="">
      <xdr:nvSpPr>
        <xdr:cNvPr id="1681" name="Line 296">
          <a:extLst>
            <a:ext uri="{FF2B5EF4-FFF2-40B4-BE49-F238E27FC236}">
              <a16:creationId xmlns:a16="http://schemas.microsoft.com/office/drawing/2014/main" id="{00000000-0008-0000-0C00-000091060000}"/>
            </a:ext>
          </a:extLst>
        </xdr:cNvPr>
        <xdr:cNvSpPr>
          <a:spLocks noChangeShapeType="1"/>
        </xdr:cNvSpPr>
      </xdr:nvSpPr>
      <xdr:spPr bwMode="auto">
        <a:xfrm>
          <a:off x="3358515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38</xdr:row>
      <xdr:rowOff>9525</xdr:rowOff>
    </xdr:from>
    <xdr:to>
      <xdr:col>11</xdr:col>
      <xdr:colOff>66675</xdr:colOff>
      <xdr:row>41</xdr:row>
      <xdr:rowOff>19050</xdr:rowOff>
    </xdr:to>
    <xdr:sp macro="" textlink="">
      <xdr:nvSpPr>
        <xdr:cNvPr id="1682" name="Line 297">
          <a:extLst>
            <a:ext uri="{FF2B5EF4-FFF2-40B4-BE49-F238E27FC236}">
              <a16:creationId xmlns:a16="http://schemas.microsoft.com/office/drawing/2014/main" id="{00000000-0008-0000-0C00-000092060000}"/>
            </a:ext>
          </a:extLst>
        </xdr:cNvPr>
        <xdr:cNvSpPr>
          <a:spLocks noChangeShapeType="1"/>
        </xdr:cNvSpPr>
      </xdr:nvSpPr>
      <xdr:spPr bwMode="auto">
        <a:xfrm>
          <a:off x="3365182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41</xdr:row>
      <xdr:rowOff>0</xdr:rowOff>
    </xdr:from>
    <xdr:to>
      <xdr:col>11</xdr:col>
      <xdr:colOff>66675</xdr:colOff>
      <xdr:row>41</xdr:row>
      <xdr:rowOff>9525</xdr:rowOff>
    </xdr:to>
    <xdr:sp macro="" textlink="">
      <xdr:nvSpPr>
        <xdr:cNvPr id="1683" name="Line 298">
          <a:extLst>
            <a:ext uri="{FF2B5EF4-FFF2-40B4-BE49-F238E27FC236}">
              <a16:creationId xmlns:a16="http://schemas.microsoft.com/office/drawing/2014/main" id="{00000000-0008-0000-0C00-000093060000}"/>
            </a:ext>
          </a:extLst>
        </xdr:cNvPr>
        <xdr:cNvSpPr>
          <a:spLocks noChangeShapeType="1"/>
        </xdr:cNvSpPr>
      </xdr:nvSpPr>
      <xdr:spPr bwMode="auto">
        <a:xfrm flipV="1">
          <a:off x="3359467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57150</xdr:colOff>
      <xdr:row>37</xdr:row>
      <xdr:rowOff>171450</xdr:rowOff>
    </xdr:from>
    <xdr:to>
      <xdr:col>12</xdr:col>
      <xdr:colOff>9525</xdr:colOff>
      <xdr:row>39</xdr:row>
      <xdr:rowOff>47625</xdr:rowOff>
    </xdr:to>
    <xdr:sp macro="" textlink="">
      <xdr:nvSpPr>
        <xdr:cNvPr id="1684" name="Line 299">
          <a:extLst>
            <a:ext uri="{FF2B5EF4-FFF2-40B4-BE49-F238E27FC236}">
              <a16:creationId xmlns:a16="http://schemas.microsoft.com/office/drawing/2014/main" id="{00000000-0008-0000-0C00-000094060000}"/>
            </a:ext>
          </a:extLst>
        </xdr:cNvPr>
        <xdr:cNvSpPr>
          <a:spLocks noChangeShapeType="1"/>
        </xdr:cNvSpPr>
      </xdr:nvSpPr>
      <xdr:spPr bwMode="auto">
        <a:xfrm flipV="1">
          <a:off x="33642300" y="7467600"/>
          <a:ext cx="3619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38</xdr:row>
      <xdr:rowOff>0</xdr:rowOff>
    </xdr:from>
    <xdr:to>
      <xdr:col>8</xdr:col>
      <xdr:colOff>76200</xdr:colOff>
      <xdr:row>38</xdr:row>
      <xdr:rowOff>9525</xdr:rowOff>
    </xdr:to>
    <xdr:sp macro="" textlink="">
      <xdr:nvSpPr>
        <xdr:cNvPr id="1685" name="Line 300">
          <a:extLst>
            <a:ext uri="{FF2B5EF4-FFF2-40B4-BE49-F238E27FC236}">
              <a16:creationId xmlns:a16="http://schemas.microsoft.com/office/drawing/2014/main" id="{00000000-0008-0000-0C00-000095060000}"/>
            </a:ext>
          </a:extLst>
        </xdr:cNvPr>
        <xdr:cNvSpPr>
          <a:spLocks noChangeShapeType="1"/>
        </xdr:cNvSpPr>
      </xdr:nvSpPr>
      <xdr:spPr bwMode="auto">
        <a:xfrm>
          <a:off x="3148965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38</xdr:row>
      <xdr:rowOff>9525</xdr:rowOff>
    </xdr:from>
    <xdr:to>
      <xdr:col>8</xdr:col>
      <xdr:colOff>66675</xdr:colOff>
      <xdr:row>41</xdr:row>
      <xdr:rowOff>19050</xdr:rowOff>
    </xdr:to>
    <xdr:sp macro="" textlink="">
      <xdr:nvSpPr>
        <xdr:cNvPr id="1686" name="Line 301">
          <a:extLst>
            <a:ext uri="{FF2B5EF4-FFF2-40B4-BE49-F238E27FC236}">
              <a16:creationId xmlns:a16="http://schemas.microsoft.com/office/drawing/2014/main" id="{00000000-0008-0000-0C00-000096060000}"/>
            </a:ext>
          </a:extLst>
        </xdr:cNvPr>
        <xdr:cNvSpPr>
          <a:spLocks noChangeShapeType="1"/>
        </xdr:cNvSpPr>
      </xdr:nvSpPr>
      <xdr:spPr bwMode="auto">
        <a:xfrm>
          <a:off x="3155632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41</xdr:row>
      <xdr:rowOff>0</xdr:rowOff>
    </xdr:from>
    <xdr:to>
      <xdr:col>8</xdr:col>
      <xdr:colOff>66675</xdr:colOff>
      <xdr:row>41</xdr:row>
      <xdr:rowOff>9525</xdr:rowOff>
    </xdr:to>
    <xdr:sp macro="" textlink="">
      <xdr:nvSpPr>
        <xdr:cNvPr id="1687" name="Line 302">
          <a:extLst>
            <a:ext uri="{FF2B5EF4-FFF2-40B4-BE49-F238E27FC236}">
              <a16:creationId xmlns:a16="http://schemas.microsoft.com/office/drawing/2014/main" id="{00000000-0008-0000-0C00-000097060000}"/>
            </a:ext>
          </a:extLst>
        </xdr:cNvPr>
        <xdr:cNvSpPr>
          <a:spLocks noChangeShapeType="1"/>
        </xdr:cNvSpPr>
      </xdr:nvSpPr>
      <xdr:spPr bwMode="auto">
        <a:xfrm flipV="1">
          <a:off x="3149917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44</xdr:row>
      <xdr:rowOff>0</xdr:rowOff>
    </xdr:from>
    <xdr:to>
      <xdr:col>5</xdr:col>
      <xdr:colOff>76200</xdr:colOff>
      <xdr:row>44</xdr:row>
      <xdr:rowOff>9525</xdr:rowOff>
    </xdr:to>
    <xdr:sp macro="" textlink="">
      <xdr:nvSpPr>
        <xdr:cNvPr id="1688" name="Line 303">
          <a:extLst>
            <a:ext uri="{FF2B5EF4-FFF2-40B4-BE49-F238E27FC236}">
              <a16:creationId xmlns:a16="http://schemas.microsoft.com/office/drawing/2014/main" id="{00000000-0008-0000-0C00-000098060000}"/>
            </a:ext>
          </a:extLst>
        </xdr:cNvPr>
        <xdr:cNvSpPr>
          <a:spLocks noChangeShapeType="1"/>
        </xdr:cNvSpPr>
      </xdr:nvSpPr>
      <xdr:spPr bwMode="auto">
        <a:xfrm>
          <a:off x="2932747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66675</xdr:colOff>
      <xdr:row>44</xdr:row>
      <xdr:rowOff>9525</xdr:rowOff>
    </xdr:from>
    <xdr:to>
      <xdr:col>5</xdr:col>
      <xdr:colOff>66675</xdr:colOff>
      <xdr:row>47</xdr:row>
      <xdr:rowOff>19050</xdr:rowOff>
    </xdr:to>
    <xdr:sp macro="" textlink="">
      <xdr:nvSpPr>
        <xdr:cNvPr id="1689" name="Line 304">
          <a:extLst>
            <a:ext uri="{FF2B5EF4-FFF2-40B4-BE49-F238E27FC236}">
              <a16:creationId xmlns:a16="http://schemas.microsoft.com/office/drawing/2014/main" id="{00000000-0008-0000-0C00-000099060000}"/>
            </a:ext>
          </a:extLst>
        </xdr:cNvPr>
        <xdr:cNvSpPr>
          <a:spLocks noChangeShapeType="1"/>
        </xdr:cNvSpPr>
      </xdr:nvSpPr>
      <xdr:spPr bwMode="auto">
        <a:xfrm>
          <a:off x="29394150"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47</xdr:row>
      <xdr:rowOff>0</xdr:rowOff>
    </xdr:from>
    <xdr:to>
      <xdr:col>5</xdr:col>
      <xdr:colOff>66675</xdr:colOff>
      <xdr:row>47</xdr:row>
      <xdr:rowOff>9525</xdr:rowOff>
    </xdr:to>
    <xdr:sp macro="" textlink="">
      <xdr:nvSpPr>
        <xdr:cNvPr id="1690" name="Line 305">
          <a:extLst>
            <a:ext uri="{FF2B5EF4-FFF2-40B4-BE49-F238E27FC236}">
              <a16:creationId xmlns:a16="http://schemas.microsoft.com/office/drawing/2014/main" id="{00000000-0008-0000-0C00-00009A060000}"/>
            </a:ext>
          </a:extLst>
        </xdr:cNvPr>
        <xdr:cNvSpPr>
          <a:spLocks noChangeShapeType="1"/>
        </xdr:cNvSpPr>
      </xdr:nvSpPr>
      <xdr:spPr bwMode="auto">
        <a:xfrm flipV="1">
          <a:off x="29337000"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76200</xdr:colOff>
      <xdr:row>44</xdr:row>
      <xdr:rowOff>9525</xdr:rowOff>
    </xdr:to>
    <xdr:sp macro="" textlink="">
      <xdr:nvSpPr>
        <xdr:cNvPr id="1691" name="Line 306">
          <a:extLst>
            <a:ext uri="{FF2B5EF4-FFF2-40B4-BE49-F238E27FC236}">
              <a16:creationId xmlns:a16="http://schemas.microsoft.com/office/drawing/2014/main" id="{00000000-0008-0000-0C00-00009B060000}"/>
            </a:ext>
          </a:extLst>
        </xdr:cNvPr>
        <xdr:cNvSpPr>
          <a:spLocks noChangeShapeType="1"/>
        </xdr:cNvSpPr>
      </xdr:nvSpPr>
      <xdr:spPr bwMode="auto">
        <a:xfrm>
          <a:off x="3148965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44</xdr:row>
      <xdr:rowOff>9525</xdr:rowOff>
    </xdr:from>
    <xdr:to>
      <xdr:col>8</xdr:col>
      <xdr:colOff>66675</xdr:colOff>
      <xdr:row>47</xdr:row>
      <xdr:rowOff>19050</xdr:rowOff>
    </xdr:to>
    <xdr:sp macro="" textlink="">
      <xdr:nvSpPr>
        <xdr:cNvPr id="1692" name="Line 307">
          <a:extLst>
            <a:ext uri="{FF2B5EF4-FFF2-40B4-BE49-F238E27FC236}">
              <a16:creationId xmlns:a16="http://schemas.microsoft.com/office/drawing/2014/main" id="{00000000-0008-0000-0C00-00009C060000}"/>
            </a:ext>
          </a:extLst>
        </xdr:cNvPr>
        <xdr:cNvSpPr>
          <a:spLocks noChangeShapeType="1"/>
        </xdr:cNvSpPr>
      </xdr:nvSpPr>
      <xdr:spPr bwMode="auto">
        <a:xfrm>
          <a:off x="31556325"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47</xdr:row>
      <xdr:rowOff>0</xdr:rowOff>
    </xdr:from>
    <xdr:to>
      <xdr:col>8</xdr:col>
      <xdr:colOff>66675</xdr:colOff>
      <xdr:row>47</xdr:row>
      <xdr:rowOff>9525</xdr:rowOff>
    </xdr:to>
    <xdr:sp macro="" textlink="">
      <xdr:nvSpPr>
        <xdr:cNvPr id="1693" name="Line 308">
          <a:extLst>
            <a:ext uri="{FF2B5EF4-FFF2-40B4-BE49-F238E27FC236}">
              <a16:creationId xmlns:a16="http://schemas.microsoft.com/office/drawing/2014/main" id="{00000000-0008-0000-0C00-00009D060000}"/>
            </a:ext>
          </a:extLst>
        </xdr:cNvPr>
        <xdr:cNvSpPr>
          <a:spLocks noChangeShapeType="1"/>
        </xdr:cNvSpPr>
      </xdr:nvSpPr>
      <xdr:spPr bwMode="auto">
        <a:xfrm flipV="1">
          <a:off x="3149917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0</xdr:rowOff>
    </xdr:from>
    <xdr:to>
      <xdr:col>11</xdr:col>
      <xdr:colOff>76200</xdr:colOff>
      <xdr:row>44</xdr:row>
      <xdr:rowOff>9525</xdr:rowOff>
    </xdr:to>
    <xdr:sp macro="" textlink="">
      <xdr:nvSpPr>
        <xdr:cNvPr id="1694" name="Line 309">
          <a:extLst>
            <a:ext uri="{FF2B5EF4-FFF2-40B4-BE49-F238E27FC236}">
              <a16:creationId xmlns:a16="http://schemas.microsoft.com/office/drawing/2014/main" id="{00000000-0008-0000-0C00-00009E060000}"/>
            </a:ext>
          </a:extLst>
        </xdr:cNvPr>
        <xdr:cNvSpPr>
          <a:spLocks noChangeShapeType="1"/>
        </xdr:cNvSpPr>
      </xdr:nvSpPr>
      <xdr:spPr bwMode="auto">
        <a:xfrm>
          <a:off x="3358515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44</xdr:row>
      <xdr:rowOff>9525</xdr:rowOff>
    </xdr:from>
    <xdr:to>
      <xdr:col>11</xdr:col>
      <xdr:colOff>66675</xdr:colOff>
      <xdr:row>47</xdr:row>
      <xdr:rowOff>19050</xdr:rowOff>
    </xdr:to>
    <xdr:sp macro="" textlink="">
      <xdr:nvSpPr>
        <xdr:cNvPr id="1695" name="Line 310">
          <a:extLst>
            <a:ext uri="{FF2B5EF4-FFF2-40B4-BE49-F238E27FC236}">
              <a16:creationId xmlns:a16="http://schemas.microsoft.com/office/drawing/2014/main" id="{00000000-0008-0000-0C00-00009F060000}"/>
            </a:ext>
          </a:extLst>
        </xdr:cNvPr>
        <xdr:cNvSpPr>
          <a:spLocks noChangeShapeType="1"/>
        </xdr:cNvSpPr>
      </xdr:nvSpPr>
      <xdr:spPr bwMode="auto">
        <a:xfrm>
          <a:off x="33651825"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47</xdr:row>
      <xdr:rowOff>0</xdr:rowOff>
    </xdr:from>
    <xdr:to>
      <xdr:col>11</xdr:col>
      <xdr:colOff>66675</xdr:colOff>
      <xdr:row>47</xdr:row>
      <xdr:rowOff>9525</xdr:rowOff>
    </xdr:to>
    <xdr:sp macro="" textlink="">
      <xdr:nvSpPr>
        <xdr:cNvPr id="1696" name="Line 311">
          <a:extLst>
            <a:ext uri="{FF2B5EF4-FFF2-40B4-BE49-F238E27FC236}">
              <a16:creationId xmlns:a16="http://schemas.microsoft.com/office/drawing/2014/main" id="{00000000-0008-0000-0C00-0000A0060000}"/>
            </a:ext>
          </a:extLst>
        </xdr:cNvPr>
        <xdr:cNvSpPr>
          <a:spLocks noChangeShapeType="1"/>
        </xdr:cNvSpPr>
      </xdr:nvSpPr>
      <xdr:spPr bwMode="auto">
        <a:xfrm flipV="1">
          <a:off x="3359467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0</xdr:rowOff>
    </xdr:from>
    <xdr:to>
      <xdr:col>11</xdr:col>
      <xdr:colOff>76200</xdr:colOff>
      <xdr:row>44</xdr:row>
      <xdr:rowOff>9525</xdr:rowOff>
    </xdr:to>
    <xdr:sp macro="" textlink="">
      <xdr:nvSpPr>
        <xdr:cNvPr id="1697" name="Line 312">
          <a:extLst>
            <a:ext uri="{FF2B5EF4-FFF2-40B4-BE49-F238E27FC236}">
              <a16:creationId xmlns:a16="http://schemas.microsoft.com/office/drawing/2014/main" id="{00000000-0008-0000-0C00-0000A1060000}"/>
            </a:ext>
          </a:extLst>
        </xdr:cNvPr>
        <xdr:cNvSpPr>
          <a:spLocks noChangeShapeType="1"/>
        </xdr:cNvSpPr>
      </xdr:nvSpPr>
      <xdr:spPr bwMode="auto">
        <a:xfrm>
          <a:off x="3358515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44</xdr:row>
      <xdr:rowOff>9525</xdr:rowOff>
    </xdr:from>
    <xdr:to>
      <xdr:col>11</xdr:col>
      <xdr:colOff>66675</xdr:colOff>
      <xdr:row>47</xdr:row>
      <xdr:rowOff>19050</xdr:rowOff>
    </xdr:to>
    <xdr:sp macro="" textlink="">
      <xdr:nvSpPr>
        <xdr:cNvPr id="1698" name="Line 313">
          <a:extLst>
            <a:ext uri="{FF2B5EF4-FFF2-40B4-BE49-F238E27FC236}">
              <a16:creationId xmlns:a16="http://schemas.microsoft.com/office/drawing/2014/main" id="{00000000-0008-0000-0C00-0000A2060000}"/>
            </a:ext>
          </a:extLst>
        </xdr:cNvPr>
        <xdr:cNvSpPr>
          <a:spLocks noChangeShapeType="1"/>
        </xdr:cNvSpPr>
      </xdr:nvSpPr>
      <xdr:spPr bwMode="auto">
        <a:xfrm>
          <a:off x="33651825"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47</xdr:row>
      <xdr:rowOff>0</xdr:rowOff>
    </xdr:from>
    <xdr:to>
      <xdr:col>11</xdr:col>
      <xdr:colOff>66675</xdr:colOff>
      <xdr:row>47</xdr:row>
      <xdr:rowOff>9525</xdr:rowOff>
    </xdr:to>
    <xdr:sp macro="" textlink="">
      <xdr:nvSpPr>
        <xdr:cNvPr id="1699" name="Line 314">
          <a:extLst>
            <a:ext uri="{FF2B5EF4-FFF2-40B4-BE49-F238E27FC236}">
              <a16:creationId xmlns:a16="http://schemas.microsoft.com/office/drawing/2014/main" id="{00000000-0008-0000-0C00-0000A3060000}"/>
            </a:ext>
          </a:extLst>
        </xdr:cNvPr>
        <xdr:cNvSpPr>
          <a:spLocks noChangeShapeType="1"/>
        </xdr:cNvSpPr>
      </xdr:nvSpPr>
      <xdr:spPr bwMode="auto">
        <a:xfrm flipV="1">
          <a:off x="3359467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45</xdr:row>
      <xdr:rowOff>66675</xdr:rowOff>
    </xdr:from>
    <xdr:to>
      <xdr:col>12</xdr:col>
      <xdr:colOff>9525</xdr:colOff>
      <xdr:row>47</xdr:row>
      <xdr:rowOff>19050</xdr:rowOff>
    </xdr:to>
    <xdr:sp macro="" textlink="">
      <xdr:nvSpPr>
        <xdr:cNvPr id="1700" name="Line 315">
          <a:extLst>
            <a:ext uri="{FF2B5EF4-FFF2-40B4-BE49-F238E27FC236}">
              <a16:creationId xmlns:a16="http://schemas.microsoft.com/office/drawing/2014/main" id="{00000000-0008-0000-0C00-0000A4060000}"/>
            </a:ext>
          </a:extLst>
        </xdr:cNvPr>
        <xdr:cNvSpPr>
          <a:spLocks noChangeShapeType="1"/>
        </xdr:cNvSpPr>
      </xdr:nvSpPr>
      <xdr:spPr bwMode="auto">
        <a:xfrm>
          <a:off x="33661350" y="88106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0</xdr:rowOff>
    </xdr:from>
    <xdr:to>
      <xdr:col>11</xdr:col>
      <xdr:colOff>76200</xdr:colOff>
      <xdr:row>44</xdr:row>
      <xdr:rowOff>9525</xdr:rowOff>
    </xdr:to>
    <xdr:sp macro="" textlink="">
      <xdr:nvSpPr>
        <xdr:cNvPr id="1701" name="Line 316">
          <a:extLst>
            <a:ext uri="{FF2B5EF4-FFF2-40B4-BE49-F238E27FC236}">
              <a16:creationId xmlns:a16="http://schemas.microsoft.com/office/drawing/2014/main" id="{00000000-0008-0000-0C00-0000A5060000}"/>
            </a:ext>
          </a:extLst>
        </xdr:cNvPr>
        <xdr:cNvSpPr>
          <a:spLocks noChangeShapeType="1"/>
        </xdr:cNvSpPr>
      </xdr:nvSpPr>
      <xdr:spPr bwMode="auto">
        <a:xfrm>
          <a:off x="3358515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44</xdr:row>
      <xdr:rowOff>9525</xdr:rowOff>
    </xdr:from>
    <xdr:to>
      <xdr:col>11</xdr:col>
      <xdr:colOff>66675</xdr:colOff>
      <xdr:row>47</xdr:row>
      <xdr:rowOff>19050</xdr:rowOff>
    </xdr:to>
    <xdr:sp macro="" textlink="">
      <xdr:nvSpPr>
        <xdr:cNvPr id="1702" name="Line 317">
          <a:extLst>
            <a:ext uri="{FF2B5EF4-FFF2-40B4-BE49-F238E27FC236}">
              <a16:creationId xmlns:a16="http://schemas.microsoft.com/office/drawing/2014/main" id="{00000000-0008-0000-0C00-0000A6060000}"/>
            </a:ext>
          </a:extLst>
        </xdr:cNvPr>
        <xdr:cNvSpPr>
          <a:spLocks noChangeShapeType="1"/>
        </xdr:cNvSpPr>
      </xdr:nvSpPr>
      <xdr:spPr bwMode="auto">
        <a:xfrm>
          <a:off x="33651825"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47</xdr:row>
      <xdr:rowOff>0</xdr:rowOff>
    </xdr:from>
    <xdr:to>
      <xdr:col>11</xdr:col>
      <xdr:colOff>66675</xdr:colOff>
      <xdr:row>47</xdr:row>
      <xdr:rowOff>9525</xdr:rowOff>
    </xdr:to>
    <xdr:sp macro="" textlink="">
      <xdr:nvSpPr>
        <xdr:cNvPr id="1703" name="Line 318">
          <a:extLst>
            <a:ext uri="{FF2B5EF4-FFF2-40B4-BE49-F238E27FC236}">
              <a16:creationId xmlns:a16="http://schemas.microsoft.com/office/drawing/2014/main" id="{00000000-0008-0000-0C00-0000A7060000}"/>
            </a:ext>
          </a:extLst>
        </xdr:cNvPr>
        <xdr:cNvSpPr>
          <a:spLocks noChangeShapeType="1"/>
        </xdr:cNvSpPr>
      </xdr:nvSpPr>
      <xdr:spPr bwMode="auto">
        <a:xfrm flipV="1">
          <a:off x="3359467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43</xdr:row>
      <xdr:rowOff>171450</xdr:rowOff>
    </xdr:from>
    <xdr:to>
      <xdr:col>12</xdr:col>
      <xdr:colOff>9525</xdr:colOff>
      <xdr:row>45</xdr:row>
      <xdr:rowOff>38100</xdr:rowOff>
    </xdr:to>
    <xdr:sp macro="" textlink="">
      <xdr:nvSpPr>
        <xdr:cNvPr id="1704" name="Line 319">
          <a:extLst>
            <a:ext uri="{FF2B5EF4-FFF2-40B4-BE49-F238E27FC236}">
              <a16:creationId xmlns:a16="http://schemas.microsoft.com/office/drawing/2014/main" id="{00000000-0008-0000-0C00-0000A8060000}"/>
            </a:ext>
          </a:extLst>
        </xdr:cNvPr>
        <xdr:cNvSpPr>
          <a:spLocks noChangeShapeType="1"/>
        </xdr:cNvSpPr>
      </xdr:nvSpPr>
      <xdr:spPr bwMode="auto">
        <a:xfrm flipV="1">
          <a:off x="33661350" y="8553450"/>
          <a:ext cx="342900" cy="22860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76200</xdr:colOff>
      <xdr:row>44</xdr:row>
      <xdr:rowOff>9525</xdr:rowOff>
    </xdr:to>
    <xdr:sp macro="" textlink="">
      <xdr:nvSpPr>
        <xdr:cNvPr id="1705" name="Line 320">
          <a:extLst>
            <a:ext uri="{FF2B5EF4-FFF2-40B4-BE49-F238E27FC236}">
              <a16:creationId xmlns:a16="http://schemas.microsoft.com/office/drawing/2014/main" id="{00000000-0008-0000-0C00-0000A9060000}"/>
            </a:ext>
          </a:extLst>
        </xdr:cNvPr>
        <xdr:cNvSpPr>
          <a:spLocks noChangeShapeType="1"/>
        </xdr:cNvSpPr>
      </xdr:nvSpPr>
      <xdr:spPr bwMode="auto">
        <a:xfrm>
          <a:off x="3148965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44</xdr:row>
      <xdr:rowOff>9525</xdr:rowOff>
    </xdr:from>
    <xdr:to>
      <xdr:col>8</xdr:col>
      <xdr:colOff>66675</xdr:colOff>
      <xdr:row>47</xdr:row>
      <xdr:rowOff>19050</xdr:rowOff>
    </xdr:to>
    <xdr:sp macro="" textlink="">
      <xdr:nvSpPr>
        <xdr:cNvPr id="1706" name="Line 321">
          <a:extLst>
            <a:ext uri="{FF2B5EF4-FFF2-40B4-BE49-F238E27FC236}">
              <a16:creationId xmlns:a16="http://schemas.microsoft.com/office/drawing/2014/main" id="{00000000-0008-0000-0C00-0000AA060000}"/>
            </a:ext>
          </a:extLst>
        </xdr:cNvPr>
        <xdr:cNvSpPr>
          <a:spLocks noChangeShapeType="1"/>
        </xdr:cNvSpPr>
      </xdr:nvSpPr>
      <xdr:spPr bwMode="auto">
        <a:xfrm>
          <a:off x="31556325"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47</xdr:row>
      <xdr:rowOff>0</xdr:rowOff>
    </xdr:from>
    <xdr:to>
      <xdr:col>8</xdr:col>
      <xdr:colOff>66675</xdr:colOff>
      <xdr:row>47</xdr:row>
      <xdr:rowOff>9525</xdr:rowOff>
    </xdr:to>
    <xdr:sp macro="" textlink="">
      <xdr:nvSpPr>
        <xdr:cNvPr id="1707" name="Line 322">
          <a:extLst>
            <a:ext uri="{FF2B5EF4-FFF2-40B4-BE49-F238E27FC236}">
              <a16:creationId xmlns:a16="http://schemas.microsoft.com/office/drawing/2014/main" id="{00000000-0008-0000-0C00-0000AB060000}"/>
            </a:ext>
          </a:extLst>
        </xdr:cNvPr>
        <xdr:cNvSpPr>
          <a:spLocks noChangeShapeType="1"/>
        </xdr:cNvSpPr>
      </xdr:nvSpPr>
      <xdr:spPr bwMode="auto">
        <a:xfrm flipV="1">
          <a:off x="3149917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50</xdr:row>
      <xdr:rowOff>0</xdr:rowOff>
    </xdr:from>
    <xdr:to>
      <xdr:col>5</xdr:col>
      <xdr:colOff>76200</xdr:colOff>
      <xdr:row>50</xdr:row>
      <xdr:rowOff>9525</xdr:rowOff>
    </xdr:to>
    <xdr:sp macro="" textlink="">
      <xdr:nvSpPr>
        <xdr:cNvPr id="1708" name="Line 323">
          <a:extLst>
            <a:ext uri="{FF2B5EF4-FFF2-40B4-BE49-F238E27FC236}">
              <a16:creationId xmlns:a16="http://schemas.microsoft.com/office/drawing/2014/main" id="{00000000-0008-0000-0C00-0000AC060000}"/>
            </a:ext>
          </a:extLst>
        </xdr:cNvPr>
        <xdr:cNvSpPr>
          <a:spLocks noChangeShapeType="1"/>
        </xdr:cNvSpPr>
      </xdr:nvSpPr>
      <xdr:spPr bwMode="auto">
        <a:xfrm>
          <a:off x="29327475"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66675</xdr:colOff>
      <xdr:row>50</xdr:row>
      <xdr:rowOff>9525</xdr:rowOff>
    </xdr:from>
    <xdr:to>
      <xdr:col>5</xdr:col>
      <xdr:colOff>66675</xdr:colOff>
      <xdr:row>53</xdr:row>
      <xdr:rowOff>19050</xdr:rowOff>
    </xdr:to>
    <xdr:sp macro="" textlink="">
      <xdr:nvSpPr>
        <xdr:cNvPr id="1709" name="Line 324">
          <a:extLst>
            <a:ext uri="{FF2B5EF4-FFF2-40B4-BE49-F238E27FC236}">
              <a16:creationId xmlns:a16="http://schemas.microsoft.com/office/drawing/2014/main" id="{00000000-0008-0000-0C00-0000AD060000}"/>
            </a:ext>
          </a:extLst>
        </xdr:cNvPr>
        <xdr:cNvSpPr>
          <a:spLocks noChangeShapeType="1"/>
        </xdr:cNvSpPr>
      </xdr:nvSpPr>
      <xdr:spPr bwMode="auto">
        <a:xfrm>
          <a:off x="29394150"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53</xdr:row>
      <xdr:rowOff>0</xdr:rowOff>
    </xdr:from>
    <xdr:to>
      <xdr:col>5</xdr:col>
      <xdr:colOff>66675</xdr:colOff>
      <xdr:row>53</xdr:row>
      <xdr:rowOff>9525</xdr:rowOff>
    </xdr:to>
    <xdr:sp macro="" textlink="">
      <xdr:nvSpPr>
        <xdr:cNvPr id="1710" name="Line 325">
          <a:extLst>
            <a:ext uri="{FF2B5EF4-FFF2-40B4-BE49-F238E27FC236}">
              <a16:creationId xmlns:a16="http://schemas.microsoft.com/office/drawing/2014/main" id="{00000000-0008-0000-0C00-0000AE060000}"/>
            </a:ext>
          </a:extLst>
        </xdr:cNvPr>
        <xdr:cNvSpPr>
          <a:spLocks noChangeShapeType="1"/>
        </xdr:cNvSpPr>
      </xdr:nvSpPr>
      <xdr:spPr bwMode="auto">
        <a:xfrm flipV="1">
          <a:off x="29337000"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50</xdr:row>
      <xdr:rowOff>0</xdr:rowOff>
    </xdr:from>
    <xdr:to>
      <xdr:col>8</xdr:col>
      <xdr:colOff>76200</xdr:colOff>
      <xdr:row>50</xdr:row>
      <xdr:rowOff>9525</xdr:rowOff>
    </xdr:to>
    <xdr:sp macro="" textlink="">
      <xdr:nvSpPr>
        <xdr:cNvPr id="1711" name="Line 326">
          <a:extLst>
            <a:ext uri="{FF2B5EF4-FFF2-40B4-BE49-F238E27FC236}">
              <a16:creationId xmlns:a16="http://schemas.microsoft.com/office/drawing/2014/main" id="{00000000-0008-0000-0C00-0000AF060000}"/>
            </a:ext>
          </a:extLst>
        </xdr:cNvPr>
        <xdr:cNvSpPr>
          <a:spLocks noChangeShapeType="1"/>
        </xdr:cNvSpPr>
      </xdr:nvSpPr>
      <xdr:spPr bwMode="auto">
        <a:xfrm>
          <a:off x="3148965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50</xdr:row>
      <xdr:rowOff>9525</xdr:rowOff>
    </xdr:from>
    <xdr:to>
      <xdr:col>8</xdr:col>
      <xdr:colOff>66675</xdr:colOff>
      <xdr:row>53</xdr:row>
      <xdr:rowOff>19050</xdr:rowOff>
    </xdr:to>
    <xdr:sp macro="" textlink="">
      <xdr:nvSpPr>
        <xdr:cNvPr id="1712" name="Line 327">
          <a:extLst>
            <a:ext uri="{FF2B5EF4-FFF2-40B4-BE49-F238E27FC236}">
              <a16:creationId xmlns:a16="http://schemas.microsoft.com/office/drawing/2014/main" id="{00000000-0008-0000-0C00-0000B0060000}"/>
            </a:ext>
          </a:extLst>
        </xdr:cNvPr>
        <xdr:cNvSpPr>
          <a:spLocks noChangeShapeType="1"/>
        </xdr:cNvSpPr>
      </xdr:nvSpPr>
      <xdr:spPr bwMode="auto">
        <a:xfrm>
          <a:off x="31556325"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53</xdr:row>
      <xdr:rowOff>0</xdr:rowOff>
    </xdr:from>
    <xdr:to>
      <xdr:col>8</xdr:col>
      <xdr:colOff>66675</xdr:colOff>
      <xdr:row>53</xdr:row>
      <xdr:rowOff>9525</xdr:rowOff>
    </xdr:to>
    <xdr:sp macro="" textlink="">
      <xdr:nvSpPr>
        <xdr:cNvPr id="1713" name="Line 328">
          <a:extLst>
            <a:ext uri="{FF2B5EF4-FFF2-40B4-BE49-F238E27FC236}">
              <a16:creationId xmlns:a16="http://schemas.microsoft.com/office/drawing/2014/main" id="{00000000-0008-0000-0C00-0000B1060000}"/>
            </a:ext>
          </a:extLst>
        </xdr:cNvPr>
        <xdr:cNvSpPr>
          <a:spLocks noChangeShapeType="1"/>
        </xdr:cNvSpPr>
      </xdr:nvSpPr>
      <xdr:spPr bwMode="auto">
        <a:xfrm flipV="1">
          <a:off x="3149917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50</xdr:row>
      <xdr:rowOff>0</xdr:rowOff>
    </xdr:from>
    <xdr:to>
      <xdr:col>11</xdr:col>
      <xdr:colOff>76200</xdr:colOff>
      <xdr:row>50</xdr:row>
      <xdr:rowOff>9525</xdr:rowOff>
    </xdr:to>
    <xdr:sp macro="" textlink="">
      <xdr:nvSpPr>
        <xdr:cNvPr id="1714" name="Line 329">
          <a:extLst>
            <a:ext uri="{FF2B5EF4-FFF2-40B4-BE49-F238E27FC236}">
              <a16:creationId xmlns:a16="http://schemas.microsoft.com/office/drawing/2014/main" id="{00000000-0008-0000-0C00-0000B2060000}"/>
            </a:ext>
          </a:extLst>
        </xdr:cNvPr>
        <xdr:cNvSpPr>
          <a:spLocks noChangeShapeType="1"/>
        </xdr:cNvSpPr>
      </xdr:nvSpPr>
      <xdr:spPr bwMode="auto">
        <a:xfrm>
          <a:off x="3358515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50</xdr:row>
      <xdr:rowOff>9525</xdr:rowOff>
    </xdr:from>
    <xdr:to>
      <xdr:col>11</xdr:col>
      <xdr:colOff>66675</xdr:colOff>
      <xdr:row>53</xdr:row>
      <xdr:rowOff>19050</xdr:rowOff>
    </xdr:to>
    <xdr:sp macro="" textlink="">
      <xdr:nvSpPr>
        <xdr:cNvPr id="1715" name="Line 330">
          <a:extLst>
            <a:ext uri="{FF2B5EF4-FFF2-40B4-BE49-F238E27FC236}">
              <a16:creationId xmlns:a16="http://schemas.microsoft.com/office/drawing/2014/main" id="{00000000-0008-0000-0C00-0000B3060000}"/>
            </a:ext>
          </a:extLst>
        </xdr:cNvPr>
        <xdr:cNvSpPr>
          <a:spLocks noChangeShapeType="1"/>
        </xdr:cNvSpPr>
      </xdr:nvSpPr>
      <xdr:spPr bwMode="auto">
        <a:xfrm>
          <a:off x="33651825"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53</xdr:row>
      <xdr:rowOff>0</xdr:rowOff>
    </xdr:from>
    <xdr:to>
      <xdr:col>11</xdr:col>
      <xdr:colOff>66675</xdr:colOff>
      <xdr:row>53</xdr:row>
      <xdr:rowOff>9525</xdr:rowOff>
    </xdr:to>
    <xdr:sp macro="" textlink="">
      <xdr:nvSpPr>
        <xdr:cNvPr id="1716" name="Line 331">
          <a:extLst>
            <a:ext uri="{FF2B5EF4-FFF2-40B4-BE49-F238E27FC236}">
              <a16:creationId xmlns:a16="http://schemas.microsoft.com/office/drawing/2014/main" id="{00000000-0008-0000-0C00-0000B4060000}"/>
            </a:ext>
          </a:extLst>
        </xdr:cNvPr>
        <xdr:cNvSpPr>
          <a:spLocks noChangeShapeType="1"/>
        </xdr:cNvSpPr>
      </xdr:nvSpPr>
      <xdr:spPr bwMode="auto">
        <a:xfrm flipV="1">
          <a:off x="3359467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50</xdr:row>
      <xdr:rowOff>0</xdr:rowOff>
    </xdr:from>
    <xdr:to>
      <xdr:col>11</xdr:col>
      <xdr:colOff>76200</xdr:colOff>
      <xdr:row>50</xdr:row>
      <xdr:rowOff>9525</xdr:rowOff>
    </xdr:to>
    <xdr:sp macro="" textlink="">
      <xdr:nvSpPr>
        <xdr:cNvPr id="1717" name="Line 332">
          <a:extLst>
            <a:ext uri="{FF2B5EF4-FFF2-40B4-BE49-F238E27FC236}">
              <a16:creationId xmlns:a16="http://schemas.microsoft.com/office/drawing/2014/main" id="{00000000-0008-0000-0C00-0000B5060000}"/>
            </a:ext>
          </a:extLst>
        </xdr:cNvPr>
        <xdr:cNvSpPr>
          <a:spLocks noChangeShapeType="1"/>
        </xdr:cNvSpPr>
      </xdr:nvSpPr>
      <xdr:spPr bwMode="auto">
        <a:xfrm>
          <a:off x="3358515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50</xdr:row>
      <xdr:rowOff>9525</xdr:rowOff>
    </xdr:from>
    <xdr:to>
      <xdr:col>11</xdr:col>
      <xdr:colOff>66675</xdr:colOff>
      <xdr:row>53</xdr:row>
      <xdr:rowOff>19050</xdr:rowOff>
    </xdr:to>
    <xdr:sp macro="" textlink="">
      <xdr:nvSpPr>
        <xdr:cNvPr id="1718" name="Line 333">
          <a:extLst>
            <a:ext uri="{FF2B5EF4-FFF2-40B4-BE49-F238E27FC236}">
              <a16:creationId xmlns:a16="http://schemas.microsoft.com/office/drawing/2014/main" id="{00000000-0008-0000-0C00-0000B6060000}"/>
            </a:ext>
          </a:extLst>
        </xdr:cNvPr>
        <xdr:cNvSpPr>
          <a:spLocks noChangeShapeType="1"/>
        </xdr:cNvSpPr>
      </xdr:nvSpPr>
      <xdr:spPr bwMode="auto">
        <a:xfrm>
          <a:off x="33651825"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53</xdr:row>
      <xdr:rowOff>0</xdr:rowOff>
    </xdr:from>
    <xdr:to>
      <xdr:col>11</xdr:col>
      <xdr:colOff>66675</xdr:colOff>
      <xdr:row>53</xdr:row>
      <xdr:rowOff>9525</xdr:rowOff>
    </xdr:to>
    <xdr:sp macro="" textlink="">
      <xdr:nvSpPr>
        <xdr:cNvPr id="1719" name="Line 334">
          <a:extLst>
            <a:ext uri="{FF2B5EF4-FFF2-40B4-BE49-F238E27FC236}">
              <a16:creationId xmlns:a16="http://schemas.microsoft.com/office/drawing/2014/main" id="{00000000-0008-0000-0C00-0000B7060000}"/>
            </a:ext>
          </a:extLst>
        </xdr:cNvPr>
        <xdr:cNvSpPr>
          <a:spLocks noChangeShapeType="1"/>
        </xdr:cNvSpPr>
      </xdr:nvSpPr>
      <xdr:spPr bwMode="auto">
        <a:xfrm flipV="1">
          <a:off x="3359467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51</xdr:row>
      <xdr:rowOff>66675</xdr:rowOff>
    </xdr:from>
    <xdr:to>
      <xdr:col>12</xdr:col>
      <xdr:colOff>9525</xdr:colOff>
      <xdr:row>53</xdr:row>
      <xdr:rowOff>19050</xdr:rowOff>
    </xdr:to>
    <xdr:sp macro="" textlink="">
      <xdr:nvSpPr>
        <xdr:cNvPr id="1720" name="Line 335">
          <a:extLst>
            <a:ext uri="{FF2B5EF4-FFF2-40B4-BE49-F238E27FC236}">
              <a16:creationId xmlns:a16="http://schemas.microsoft.com/office/drawing/2014/main" id="{00000000-0008-0000-0C00-0000B8060000}"/>
            </a:ext>
          </a:extLst>
        </xdr:cNvPr>
        <xdr:cNvSpPr>
          <a:spLocks noChangeShapeType="1"/>
        </xdr:cNvSpPr>
      </xdr:nvSpPr>
      <xdr:spPr bwMode="auto">
        <a:xfrm>
          <a:off x="33661350" y="98964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50</xdr:row>
      <xdr:rowOff>0</xdr:rowOff>
    </xdr:from>
    <xdr:to>
      <xdr:col>11</xdr:col>
      <xdr:colOff>76200</xdr:colOff>
      <xdr:row>50</xdr:row>
      <xdr:rowOff>9525</xdr:rowOff>
    </xdr:to>
    <xdr:sp macro="" textlink="">
      <xdr:nvSpPr>
        <xdr:cNvPr id="1721" name="Line 336">
          <a:extLst>
            <a:ext uri="{FF2B5EF4-FFF2-40B4-BE49-F238E27FC236}">
              <a16:creationId xmlns:a16="http://schemas.microsoft.com/office/drawing/2014/main" id="{00000000-0008-0000-0C00-0000B9060000}"/>
            </a:ext>
          </a:extLst>
        </xdr:cNvPr>
        <xdr:cNvSpPr>
          <a:spLocks noChangeShapeType="1"/>
        </xdr:cNvSpPr>
      </xdr:nvSpPr>
      <xdr:spPr bwMode="auto">
        <a:xfrm>
          <a:off x="3358515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50</xdr:row>
      <xdr:rowOff>9525</xdr:rowOff>
    </xdr:from>
    <xdr:to>
      <xdr:col>11</xdr:col>
      <xdr:colOff>66675</xdr:colOff>
      <xdr:row>53</xdr:row>
      <xdr:rowOff>19050</xdr:rowOff>
    </xdr:to>
    <xdr:sp macro="" textlink="">
      <xdr:nvSpPr>
        <xdr:cNvPr id="1722" name="Line 337">
          <a:extLst>
            <a:ext uri="{FF2B5EF4-FFF2-40B4-BE49-F238E27FC236}">
              <a16:creationId xmlns:a16="http://schemas.microsoft.com/office/drawing/2014/main" id="{00000000-0008-0000-0C00-0000BA060000}"/>
            </a:ext>
          </a:extLst>
        </xdr:cNvPr>
        <xdr:cNvSpPr>
          <a:spLocks noChangeShapeType="1"/>
        </xdr:cNvSpPr>
      </xdr:nvSpPr>
      <xdr:spPr bwMode="auto">
        <a:xfrm>
          <a:off x="33651825"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53</xdr:row>
      <xdr:rowOff>0</xdr:rowOff>
    </xdr:from>
    <xdr:to>
      <xdr:col>11</xdr:col>
      <xdr:colOff>66675</xdr:colOff>
      <xdr:row>53</xdr:row>
      <xdr:rowOff>9525</xdr:rowOff>
    </xdr:to>
    <xdr:sp macro="" textlink="">
      <xdr:nvSpPr>
        <xdr:cNvPr id="1723" name="Line 338">
          <a:extLst>
            <a:ext uri="{FF2B5EF4-FFF2-40B4-BE49-F238E27FC236}">
              <a16:creationId xmlns:a16="http://schemas.microsoft.com/office/drawing/2014/main" id="{00000000-0008-0000-0C00-0000BB060000}"/>
            </a:ext>
          </a:extLst>
        </xdr:cNvPr>
        <xdr:cNvSpPr>
          <a:spLocks noChangeShapeType="1"/>
        </xdr:cNvSpPr>
      </xdr:nvSpPr>
      <xdr:spPr bwMode="auto">
        <a:xfrm flipV="1">
          <a:off x="3359467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49</xdr:row>
      <xdr:rowOff>161925</xdr:rowOff>
    </xdr:from>
    <xdr:to>
      <xdr:col>12</xdr:col>
      <xdr:colOff>0</xdr:colOff>
      <xdr:row>51</xdr:row>
      <xdr:rowOff>47625</xdr:rowOff>
    </xdr:to>
    <xdr:sp macro="" textlink="">
      <xdr:nvSpPr>
        <xdr:cNvPr id="1724" name="Line 339">
          <a:extLst>
            <a:ext uri="{FF2B5EF4-FFF2-40B4-BE49-F238E27FC236}">
              <a16:creationId xmlns:a16="http://schemas.microsoft.com/office/drawing/2014/main" id="{00000000-0008-0000-0C00-0000BC060000}"/>
            </a:ext>
          </a:extLst>
        </xdr:cNvPr>
        <xdr:cNvSpPr>
          <a:spLocks noChangeShapeType="1"/>
        </xdr:cNvSpPr>
      </xdr:nvSpPr>
      <xdr:spPr bwMode="auto">
        <a:xfrm flipV="1">
          <a:off x="33661350" y="9629775"/>
          <a:ext cx="333375"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50</xdr:row>
      <xdr:rowOff>0</xdr:rowOff>
    </xdr:from>
    <xdr:to>
      <xdr:col>8</xdr:col>
      <xdr:colOff>76200</xdr:colOff>
      <xdr:row>50</xdr:row>
      <xdr:rowOff>9525</xdr:rowOff>
    </xdr:to>
    <xdr:sp macro="" textlink="">
      <xdr:nvSpPr>
        <xdr:cNvPr id="1725" name="Line 340">
          <a:extLst>
            <a:ext uri="{FF2B5EF4-FFF2-40B4-BE49-F238E27FC236}">
              <a16:creationId xmlns:a16="http://schemas.microsoft.com/office/drawing/2014/main" id="{00000000-0008-0000-0C00-0000BD060000}"/>
            </a:ext>
          </a:extLst>
        </xdr:cNvPr>
        <xdr:cNvSpPr>
          <a:spLocks noChangeShapeType="1"/>
        </xdr:cNvSpPr>
      </xdr:nvSpPr>
      <xdr:spPr bwMode="auto">
        <a:xfrm>
          <a:off x="3148965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50</xdr:row>
      <xdr:rowOff>9525</xdr:rowOff>
    </xdr:from>
    <xdr:to>
      <xdr:col>8</xdr:col>
      <xdr:colOff>66675</xdr:colOff>
      <xdr:row>53</xdr:row>
      <xdr:rowOff>19050</xdr:rowOff>
    </xdr:to>
    <xdr:sp macro="" textlink="">
      <xdr:nvSpPr>
        <xdr:cNvPr id="1726" name="Line 341">
          <a:extLst>
            <a:ext uri="{FF2B5EF4-FFF2-40B4-BE49-F238E27FC236}">
              <a16:creationId xmlns:a16="http://schemas.microsoft.com/office/drawing/2014/main" id="{00000000-0008-0000-0C00-0000BE060000}"/>
            </a:ext>
          </a:extLst>
        </xdr:cNvPr>
        <xdr:cNvSpPr>
          <a:spLocks noChangeShapeType="1"/>
        </xdr:cNvSpPr>
      </xdr:nvSpPr>
      <xdr:spPr bwMode="auto">
        <a:xfrm>
          <a:off x="31556325"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53</xdr:row>
      <xdr:rowOff>0</xdr:rowOff>
    </xdr:from>
    <xdr:to>
      <xdr:col>8</xdr:col>
      <xdr:colOff>66675</xdr:colOff>
      <xdr:row>53</xdr:row>
      <xdr:rowOff>9525</xdr:rowOff>
    </xdr:to>
    <xdr:sp macro="" textlink="">
      <xdr:nvSpPr>
        <xdr:cNvPr id="1727" name="Line 342">
          <a:extLst>
            <a:ext uri="{FF2B5EF4-FFF2-40B4-BE49-F238E27FC236}">
              <a16:creationId xmlns:a16="http://schemas.microsoft.com/office/drawing/2014/main" id="{00000000-0008-0000-0C00-0000BF060000}"/>
            </a:ext>
          </a:extLst>
        </xdr:cNvPr>
        <xdr:cNvSpPr>
          <a:spLocks noChangeShapeType="1"/>
        </xdr:cNvSpPr>
      </xdr:nvSpPr>
      <xdr:spPr bwMode="auto">
        <a:xfrm flipV="1">
          <a:off x="3149917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56</xdr:row>
      <xdr:rowOff>0</xdr:rowOff>
    </xdr:from>
    <xdr:to>
      <xdr:col>5</xdr:col>
      <xdr:colOff>76200</xdr:colOff>
      <xdr:row>56</xdr:row>
      <xdr:rowOff>9525</xdr:rowOff>
    </xdr:to>
    <xdr:sp macro="" textlink="">
      <xdr:nvSpPr>
        <xdr:cNvPr id="1728" name="Line 343">
          <a:extLst>
            <a:ext uri="{FF2B5EF4-FFF2-40B4-BE49-F238E27FC236}">
              <a16:creationId xmlns:a16="http://schemas.microsoft.com/office/drawing/2014/main" id="{00000000-0008-0000-0C00-0000C0060000}"/>
            </a:ext>
          </a:extLst>
        </xdr:cNvPr>
        <xdr:cNvSpPr>
          <a:spLocks noChangeShapeType="1"/>
        </xdr:cNvSpPr>
      </xdr:nvSpPr>
      <xdr:spPr bwMode="auto">
        <a:xfrm>
          <a:off x="29327475"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57150</xdr:colOff>
      <xdr:row>56</xdr:row>
      <xdr:rowOff>0</xdr:rowOff>
    </xdr:from>
    <xdr:to>
      <xdr:col>5</xdr:col>
      <xdr:colOff>57150</xdr:colOff>
      <xdr:row>59</xdr:row>
      <xdr:rowOff>9525</xdr:rowOff>
    </xdr:to>
    <xdr:sp macro="" textlink="">
      <xdr:nvSpPr>
        <xdr:cNvPr id="1729" name="Line 344">
          <a:extLst>
            <a:ext uri="{FF2B5EF4-FFF2-40B4-BE49-F238E27FC236}">
              <a16:creationId xmlns:a16="http://schemas.microsoft.com/office/drawing/2014/main" id="{00000000-0008-0000-0C00-0000C1060000}"/>
            </a:ext>
          </a:extLst>
        </xdr:cNvPr>
        <xdr:cNvSpPr>
          <a:spLocks noChangeShapeType="1"/>
        </xdr:cNvSpPr>
      </xdr:nvSpPr>
      <xdr:spPr bwMode="auto">
        <a:xfrm flipH="1">
          <a:off x="29384625" y="10734675"/>
          <a:ext cx="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59</xdr:row>
      <xdr:rowOff>0</xdr:rowOff>
    </xdr:from>
    <xdr:to>
      <xdr:col>5</xdr:col>
      <xdr:colOff>66675</xdr:colOff>
      <xdr:row>59</xdr:row>
      <xdr:rowOff>9525</xdr:rowOff>
    </xdr:to>
    <xdr:sp macro="" textlink="">
      <xdr:nvSpPr>
        <xdr:cNvPr id="1730" name="Line 345">
          <a:extLst>
            <a:ext uri="{FF2B5EF4-FFF2-40B4-BE49-F238E27FC236}">
              <a16:creationId xmlns:a16="http://schemas.microsoft.com/office/drawing/2014/main" id="{00000000-0008-0000-0C00-0000C2060000}"/>
            </a:ext>
          </a:extLst>
        </xdr:cNvPr>
        <xdr:cNvSpPr>
          <a:spLocks noChangeShapeType="1"/>
        </xdr:cNvSpPr>
      </xdr:nvSpPr>
      <xdr:spPr bwMode="auto">
        <a:xfrm flipV="1">
          <a:off x="29337000"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76200</xdr:colOff>
      <xdr:row>56</xdr:row>
      <xdr:rowOff>9525</xdr:rowOff>
    </xdr:to>
    <xdr:sp macro="" textlink="">
      <xdr:nvSpPr>
        <xdr:cNvPr id="1731" name="Line 346">
          <a:extLst>
            <a:ext uri="{FF2B5EF4-FFF2-40B4-BE49-F238E27FC236}">
              <a16:creationId xmlns:a16="http://schemas.microsoft.com/office/drawing/2014/main" id="{00000000-0008-0000-0C00-0000C3060000}"/>
            </a:ext>
          </a:extLst>
        </xdr:cNvPr>
        <xdr:cNvSpPr>
          <a:spLocks noChangeShapeType="1"/>
        </xdr:cNvSpPr>
      </xdr:nvSpPr>
      <xdr:spPr bwMode="auto">
        <a:xfrm>
          <a:off x="31489650"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56</xdr:row>
      <xdr:rowOff>9525</xdr:rowOff>
    </xdr:from>
    <xdr:to>
      <xdr:col>8</xdr:col>
      <xdr:colOff>66675</xdr:colOff>
      <xdr:row>59</xdr:row>
      <xdr:rowOff>19050</xdr:rowOff>
    </xdr:to>
    <xdr:sp macro="" textlink="">
      <xdr:nvSpPr>
        <xdr:cNvPr id="1732" name="Line 347">
          <a:extLst>
            <a:ext uri="{FF2B5EF4-FFF2-40B4-BE49-F238E27FC236}">
              <a16:creationId xmlns:a16="http://schemas.microsoft.com/office/drawing/2014/main" id="{00000000-0008-0000-0C00-0000C4060000}"/>
            </a:ext>
          </a:extLst>
        </xdr:cNvPr>
        <xdr:cNvSpPr>
          <a:spLocks noChangeShapeType="1"/>
        </xdr:cNvSpPr>
      </xdr:nvSpPr>
      <xdr:spPr bwMode="auto">
        <a:xfrm>
          <a:off x="31556325" y="10744200"/>
          <a:ext cx="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59</xdr:row>
      <xdr:rowOff>0</xdr:rowOff>
    </xdr:from>
    <xdr:to>
      <xdr:col>8</xdr:col>
      <xdr:colOff>66675</xdr:colOff>
      <xdr:row>59</xdr:row>
      <xdr:rowOff>9525</xdr:rowOff>
    </xdr:to>
    <xdr:sp macro="" textlink="">
      <xdr:nvSpPr>
        <xdr:cNvPr id="1733" name="Line 348">
          <a:extLst>
            <a:ext uri="{FF2B5EF4-FFF2-40B4-BE49-F238E27FC236}">
              <a16:creationId xmlns:a16="http://schemas.microsoft.com/office/drawing/2014/main" id="{00000000-0008-0000-0C00-0000C5060000}"/>
            </a:ext>
          </a:extLst>
        </xdr:cNvPr>
        <xdr:cNvSpPr>
          <a:spLocks noChangeShapeType="1"/>
        </xdr:cNvSpPr>
      </xdr:nvSpPr>
      <xdr:spPr bwMode="auto">
        <a:xfrm flipV="1">
          <a:off x="31499175"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56</xdr:row>
      <xdr:rowOff>0</xdr:rowOff>
    </xdr:from>
    <xdr:to>
      <xdr:col>11</xdr:col>
      <xdr:colOff>76200</xdr:colOff>
      <xdr:row>56</xdr:row>
      <xdr:rowOff>9525</xdr:rowOff>
    </xdr:to>
    <xdr:sp macro="" textlink="">
      <xdr:nvSpPr>
        <xdr:cNvPr id="1734" name="Line 349">
          <a:extLst>
            <a:ext uri="{FF2B5EF4-FFF2-40B4-BE49-F238E27FC236}">
              <a16:creationId xmlns:a16="http://schemas.microsoft.com/office/drawing/2014/main" id="{00000000-0008-0000-0C00-0000C6060000}"/>
            </a:ext>
          </a:extLst>
        </xdr:cNvPr>
        <xdr:cNvSpPr>
          <a:spLocks noChangeShapeType="1"/>
        </xdr:cNvSpPr>
      </xdr:nvSpPr>
      <xdr:spPr bwMode="auto">
        <a:xfrm>
          <a:off x="33585150"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56</xdr:row>
      <xdr:rowOff>9525</xdr:rowOff>
    </xdr:from>
    <xdr:to>
      <xdr:col>11</xdr:col>
      <xdr:colOff>66675</xdr:colOff>
      <xdr:row>59</xdr:row>
      <xdr:rowOff>19050</xdr:rowOff>
    </xdr:to>
    <xdr:sp macro="" textlink="">
      <xdr:nvSpPr>
        <xdr:cNvPr id="1735" name="Line 350">
          <a:extLst>
            <a:ext uri="{FF2B5EF4-FFF2-40B4-BE49-F238E27FC236}">
              <a16:creationId xmlns:a16="http://schemas.microsoft.com/office/drawing/2014/main" id="{00000000-0008-0000-0C00-0000C7060000}"/>
            </a:ext>
          </a:extLst>
        </xdr:cNvPr>
        <xdr:cNvSpPr>
          <a:spLocks noChangeShapeType="1"/>
        </xdr:cNvSpPr>
      </xdr:nvSpPr>
      <xdr:spPr bwMode="auto">
        <a:xfrm>
          <a:off x="33651825" y="10744200"/>
          <a:ext cx="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59</xdr:row>
      <xdr:rowOff>0</xdr:rowOff>
    </xdr:from>
    <xdr:to>
      <xdr:col>11</xdr:col>
      <xdr:colOff>66675</xdr:colOff>
      <xdr:row>59</xdr:row>
      <xdr:rowOff>9525</xdr:rowOff>
    </xdr:to>
    <xdr:sp macro="" textlink="">
      <xdr:nvSpPr>
        <xdr:cNvPr id="1736" name="Line 351">
          <a:extLst>
            <a:ext uri="{FF2B5EF4-FFF2-40B4-BE49-F238E27FC236}">
              <a16:creationId xmlns:a16="http://schemas.microsoft.com/office/drawing/2014/main" id="{00000000-0008-0000-0C00-0000C8060000}"/>
            </a:ext>
          </a:extLst>
        </xdr:cNvPr>
        <xdr:cNvSpPr>
          <a:spLocks noChangeShapeType="1"/>
        </xdr:cNvSpPr>
      </xdr:nvSpPr>
      <xdr:spPr bwMode="auto">
        <a:xfrm flipV="1">
          <a:off x="33594675"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56</xdr:row>
      <xdr:rowOff>0</xdr:rowOff>
    </xdr:from>
    <xdr:to>
      <xdr:col>11</xdr:col>
      <xdr:colOff>76200</xdr:colOff>
      <xdr:row>56</xdr:row>
      <xdr:rowOff>9525</xdr:rowOff>
    </xdr:to>
    <xdr:sp macro="" textlink="">
      <xdr:nvSpPr>
        <xdr:cNvPr id="1737" name="Line 352">
          <a:extLst>
            <a:ext uri="{FF2B5EF4-FFF2-40B4-BE49-F238E27FC236}">
              <a16:creationId xmlns:a16="http://schemas.microsoft.com/office/drawing/2014/main" id="{00000000-0008-0000-0C00-0000C9060000}"/>
            </a:ext>
          </a:extLst>
        </xdr:cNvPr>
        <xdr:cNvSpPr>
          <a:spLocks noChangeShapeType="1"/>
        </xdr:cNvSpPr>
      </xdr:nvSpPr>
      <xdr:spPr bwMode="auto">
        <a:xfrm>
          <a:off x="33585150"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56</xdr:row>
      <xdr:rowOff>9525</xdr:rowOff>
    </xdr:from>
    <xdr:to>
      <xdr:col>11</xdr:col>
      <xdr:colOff>66675</xdr:colOff>
      <xdr:row>59</xdr:row>
      <xdr:rowOff>19050</xdr:rowOff>
    </xdr:to>
    <xdr:sp macro="" textlink="">
      <xdr:nvSpPr>
        <xdr:cNvPr id="1738" name="Line 353">
          <a:extLst>
            <a:ext uri="{FF2B5EF4-FFF2-40B4-BE49-F238E27FC236}">
              <a16:creationId xmlns:a16="http://schemas.microsoft.com/office/drawing/2014/main" id="{00000000-0008-0000-0C00-0000CA060000}"/>
            </a:ext>
          </a:extLst>
        </xdr:cNvPr>
        <xdr:cNvSpPr>
          <a:spLocks noChangeShapeType="1"/>
        </xdr:cNvSpPr>
      </xdr:nvSpPr>
      <xdr:spPr bwMode="auto">
        <a:xfrm>
          <a:off x="33651825" y="10744200"/>
          <a:ext cx="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59</xdr:row>
      <xdr:rowOff>0</xdr:rowOff>
    </xdr:from>
    <xdr:to>
      <xdr:col>11</xdr:col>
      <xdr:colOff>66675</xdr:colOff>
      <xdr:row>59</xdr:row>
      <xdr:rowOff>9525</xdr:rowOff>
    </xdr:to>
    <xdr:sp macro="" textlink="">
      <xdr:nvSpPr>
        <xdr:cNvPr id="1739" name="Line 354">
          <a:extLst>
            <a:ext uri="{FF2B5EF4-FFF2-40B4-BE49-F238E27FC236}">
              <a16:creationId xmlns:a16="http://schemas.microsoft.com/office/drawing/2014/main" id="{00000000-0008-0000-0C00-0000CB060000}"/>
            </a:ext>
          </a:extLst>
        </xdr:cNvPr>
        <xdr:cNvSpPr>
          <a:spLocks noChangeShapeType="1"/>
        </xdr:cNvSpPr>
      </xdr:nvSpPr>
      <xdr:spPr bwMode="auto">
        <a:xfrm flipV="1">
          <a:off x="33594675"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57</xdr:row>
      <xdr:rowOff>114300</xdr:rowOff>
    </xdr:from>
    <xdr:to>
      <xdr:col>12</xdr:col>
      <xdr:colOff>0</xdr:colOff>
      <xdr:row>59</xdr:row>
      <xdr:rowOff>0</xdr:rowOff>
    </xdr:to>
    <xdr:sp macro="" textlink="">
      <xdr:nvSpPr>
        <xdr:cNvPr id="1740" name="Line 355">
          <a:extLst>
            <a:ext uri="{FF2B5EF4-FFF2-40B4-BE49-F238E27FC236}">
              <a16:creationId xmlns:a16="http://schemas.microsoft.com/office/drawing/2014/main" id="{00000000-0008-0000-0C00-0000CC060000}"/>
            </a:ext>
          </a:extLst>
        </xdr:cNvPr>
        <xdr:cNvSpPr>
          <a:spLocks noChangeShapeType="1"/>
        </xdr:cNvSpPr>
      </xdr:nvSpPr>
      <xdr:spPr bwMode="auto">
        <a:xfrm>
          <a:off x="33651825" y="11029950"/>
          <a:ext cx="342900" cy="2286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56</xdr:row>
      <xdr:rowOff>0</xdr:rowOff>
    </xdr:from>
    <xdr:to>
      <xdr:col>11</xdr:col>
      <xdr:colOff>76200</xdr:colOff>
      <xdr:row>56</xdr:row>
      <xdr:rowOff>9525</xdr:rowOff>
    </xdr:to>
    <xdr:sp macro="" textlink="">
      <xdr:nvSpPr>
        <xdr:cNvPr id="1741" name="Line 356">
          <a:extLst>
            <a:ext uri="{FF2B5EF4-FFF2-40B4-BE49-F238E27FC236}">
              <a16:creationId xmlns:a16="http://schemas.microsoft.com/office/drawing/2014/main" id="{00000000-0008-0000-0C00-0000CD060000}"/>
            </a:ext>
          </a:extLst>
        </xdr:cNvPr>
        <xdr:cNvSpPr>
          <a:spLocks noChangeShapeType="1"/>
        </xdr:cNvSpPr>
      </xdr:nvSpPr>
      <xdr:spPr bwMode="auto">
        <a:xfrm>
          <a:off x="33585150"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59</xdr:row>
      <xdr:rowOff>0</xdr:rowOff>
    </xdr:from>
    <xdr:to>
      <xdr:col>11</xdr:col>
      <xdr:colOff>66675</xdr:colOff>
      <xdr:row>59</xdr:row>
      <xdr:rowOff>9525</xdr:rowOff>
    </xdr:to>
    <xdr:sp macro="" textlink="">
      <xdr:nvSpPr>
        <xdr:cNvPr id="1742" name="Line 358">
          <a:extLst>
            <a:ext uri="{FF2B5EF4-FFF2-40B4-BE49-F238E27FC236}">
              <a16:creationId xmlns:a16="http://schemas.microsoft.com/office/drawing/2014/main" id="{00000000-0008-0000-0C00-0000CE060000}"/>
            </a:ext>
          </a:extLst>
        </xdr:cNvPr>
        <xdr:cNvSpPr>
          <a:spLocks noChangeShapeType="1"/>
        </xdr:cNvSpPr>
      </xdr:nvSpPr>
      <xdr:spPr bwMode="auto">
        <a:xfrm flipV="1">
          <a:off x="33594675"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55</xdr:row>
      <xdr:rowOff>161925</xdr:rowOff>
    </xdr:from>
    <xdr:to>
      <xdr:col>11</xdr:col>
      <xdr:colOff>400050</xdr:colOff>
      <xdr:row>57</xdr:row>
      <xdr:rowOff>114300</xdr:rowOff>
    </xdr:to>
    <xdr:sp macro="" textlink="">
      <xdr:nvSpPr>
        <xdr:cNvPr id="1743" name="Line 359">
          <a:extLst>
            <a:ext uri="{FF2B5EF4-FFF2-40B4-BE49-F238E27FC236}">
              <a16:creationId xmlns:a16="http://schemas.microsoft.com/office/drawing/2014/main" id="{00000000-0008-0000-0C00-0000CF060000}"/>
            </a:ext>
          </a:extLst>
        </xdr:cNvPr>
        <xdr:cNvSpPr>
          <a:spLocks noChangeShapeType="1"/>
        </xdr:cNvSpPr>
      </xdr:nvSpPr>
      <xdr:spPr bwMode="auto">
        <a:xfrm flipV="1">
          <a:off x="33651825" y="10715625"/>
          <a:ext cx="333375" cy="3143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76200</xdr:colOff>
      <xdr:row>56</xdr:row>
      <xdr:rowOff>9525</xdr:rowOff>
    </xdr:to>
    <xdr:sp macro="" textlink="">
      <xdr:nvSpPr>
        <xdr:cNvPr id="1744" name="Line 360">
          <a:extLst>
            <a:ext uri="{FF2B5EF4-FFF2-40B4-BE49-F238E27FC236}">
              <a16:creationId xmlns:a16="http://schemas.microsoft.com/office/drawing/2014/main" id="{00000000-0008-0000-0C00-0000D0060000}"/>
            </a:ext>
          </a:extLst>
        </xdr:cNvPr>
        <xdr:cNvSpPr>
          <a:spLocks noChangeShapeType="1"/>
        </xdr:cNvSpPr>
      </xdr:nvSpPr>
      <xdr:spPr bwMode="auto">
        <a:xfrm>
          <a:off x="31489650"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57150</xdr:colOff>
      <xdr:row>56</xdr:row>
      <xdr:rowOff>9525</xdr:rowOff>
    </xdr:from>
    <xdr:to>
      <xdr:col>8</xdr:col>
      <xdr:colOff>66675</xdr:colOff>
      <xdr:row>59</xdr:row>
      <xdr:rowOff>0</xdr:rowOff>
    </xdr:to>
    <xdr:sp macro="" textlink="">
      <xdr:nvSpPr>
        <xdr:cNvPr id="1745" name="Line 361">
          <a:extLst>
            <a:ext uri="{FF2B5EF4-FFF2-40B4-BE49-F238E27FC236}">
              <a16:creationId xmlns:a16="http://schemas.microsoft.com/office/drawing/2014/main" id="{00000000-0008-0000-0C00-0000D1060000}"/>
            </a:ext>
          </a:extLst>
        </xdr:cNvPr>
        <xdr:cNvSpPr>
          <a:spLocks noChangeShapeType="1"/>
        </xdr:cNvSpPr>
      </xdr:nvSpPr>
      <xdr:spPr bwMode="auto">
        <a:xfrm flipH="1">
          <a:off x="31546800" y="10744200"/>
          <a:ext cx="952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59</xdr:row>
      <xdr:rowOff>0</xdr:rowOff>
    </xdr:from>
    <xdr:to>
      <xdr:col>8</xdr:col>
      <xdr:colOff>66675</xdr:colOff>
      <xdr:row>59</xdr:row>
      <xdr:rowOff>9525</xdr:rowOff>
    </xdr:to>
    <xdr:sp macro="" textlink="">
      <xdr:nvSpPr>
        <xdr:cNvPr id="1746" name="Line 362">
          <a:extLst>
            <a:ext uri="{FF2B5EF4-FFF2-40B4-BE49-F238E27FC236}">
              <a16:creationId xmlns:a16="http://schemas.microsoft.com/office/drawing/2014/main" id="{00000000-0008-0000-0C00-0000D2060000}"/>
            </a:ext>
          </a:extLst>
        </xdr:cNvPr>
        <xdr:cNvSpPr>
          <a:spLocks noChangeShapeType="1"/>
        </xdr:cNvSpPr>
      </xdr:nvSpPr>
      <xdr:spPr bwMode="auto">
        <a:xfrm flipV="1">
          <a:off x="31499175"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66675</xdr:colOff>
      <xdr:row>57</xdr:row>
      <xdr:rowOff>85725</xdr:rowOff>
    </xdr:from>
    <xdr:to>
      <xdr:col>6</xdr:col>
      <xdr:colOff>9525</xdr:colOff>
      <xdr:row>62</xdr:row>
      <xdr:rowOff>19050</xdr:rowOff>
    </xdr:to>
    <xdr:sp macro="" textlink="">
      <xdr:nvSpPr>
        <xdr:cNvPr id="1747" name="Line 363">
          <a:extLst>
            <a:ext uri="{FF2B5EF4-FFF2-40B4-BE49-F238E27FC236}">
              <a16:creationId xmlns:a16="http://schemas.microsoft.com/office/drawing/2014/main" id="{00000000-0008-0000-0C00-0000D3060000}"/>
            </a:ext>
          </a:extLst>
        </xdr:cNvPr>
        <xdr:cNvSpPr>
          <a:spLocks noChangeShapeType="1"/>
        </xdr:cNvSpPr>
      </xdr:nvSpPr>
      <xdr:spPr bwMode="auto">
        <a:xfrm>
          <a:off x="29394150" y="11001375"/>
          <a:ext cx="390525" cy="771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57150</xdr:colOff>
      <xdr:row>57</xdr:row>
      <xdr:rowOff>76200</xdr:rowOff>
    </xdr:from>
    <xdr:to>
      <xdr:col>8</xdr:col>
      <xdr:colOff>400050</xdr:colOff>
      <xdr:row>62</xdr:row>
      <xdr:rowOff>28575</xdr:rowOff>
    </xdr:to>
    <xdr:sp macro="" textlink="">
      <xdr:nvSpPr>
        <xdr:cNvPr id="1748" name="Line 364">
          <a:extLst>
            <a:ext uri="{FF2B5EF4-FFF2-40B4-BE49-F238E27FC236}">
              <a16:creationId xmlns:a16="http://schemas.microsoft.com/office/drawing/2014/main" id="{00000000-0008-0000-0C00-0000D4060000}"/>
            </a:ext>
          </a:extLst>
        </xdr:cNvPr>
        <xdr:cNvSpPr>
          <a:spLocks noChangeShapeType="1"/>
        </xdr:cNvSpPr>
      </xdr:nvSpPr>
      <xdr:spPr bwMode="auto">
        <a:xfrm>
          <a:off x="31546800" y="10991850"/>
          <a:ext cx="342900" cy="7905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0</xdr:colOff>
      <xdr:row>32</xdr:row>
      <xdr:rowOff>0</xdr:rowOff>
    </xdr:from>
    <xdr:to>
      <xdr:col>5</xdr:col>
      <xdr:colOff>76200</xdr:colOff>
      <xdr:row>32</xdr:row>
      <xdr:rowOff>9525</xdr:rowOff>
    </xdr:to>
    <xdr:sp macro="" textlink="">
      <xdr:nvSpPr>
        <xdr:cNvPr id="1749" name="Line 365">
          <a:extLst>
            <a:ext uri="{FF2B5EF4-FFF2-40B4-BE49-F238E27FC236}">
              <a16:creationId xmlns:a16="http://schemas.microsoft.com/office/drawing/2014/main" id="{00000000-0008-0000-0C00-0000D5060000}"/>
            </a:ext>
          </a:extLst>
        </xdr:cNvPr>
        <xdr:cNvSpPr>
          <a:spLocks noChangeShapeType="1"/>
        </xdr:cNvSpPr>
      </xdr:nvSpPr>
      <xdr:spPr bwMode="auto">
        <a:xfrm>
          <a:off x="2932747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66675</xdr:colOff>
      <xdr:row>32</xdr:row>
      <xdr:rowOff>9525</xdr:rowOff>
    </xdr:from>
    <xdr:to>
      <xdr:col>5</xdr:col>
      <xdr:colOff>66675</xdr:colOff>
      <xdr:row>35</xdr:row>
      <xdr:rowOff>19050</xdr:rowOff>
    </xdr:to>
    <xdr:sp macro="" textlink="">
      <xdr:nvSpPr>
        <xdr:cNvPr id="1750" name="Line 366">
          <a:extLst>
            <a:ext uri="{FF2B5EF4-FFF2-40B4-BE49-F238E27FC236}">
              <a16:creationId xmlns:a16="http://schemas.microsoft.com/office/drawing/2014/main" id="{00000000-0008-0000-0C00-0000D6060000}"/>
            </a:ext>
          </a:extLst>
        </xdr:cNvPr>
        <xdr:cNvSpPr>
          <a:spLocks noChangeShapeType="1"/>
        </xdr:cNvSpPr>
      </xdr:nvSpPr>
      <xdr:spPr bwMode="auto">
        <a:xfrm>
          <a:off x="2939415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35</xdr:row>
      <xdr:rowOff>0</xdr:rowOff>
    </xdr:from>
    <xdr:to>
      <xdr:col>5</xdr:col>
      <xdr:colOff>66675</xdr:colOff>
      <xdr:row>35</xdr:row>
      <xdr:rowOff>9525</xdr:rowOff>
    </xdr:to>
    <xdr:sp macro="" textlink="">
      <xdr:nvSpPr>
        <xdr:cNvPr id="1751" name="Line 367">
          <a:extLst>
            <a:ext uri="{FF2B5EF4-FFF2-40B4-BE49-F238E27FC236}">
              <a16:creationId xmlns:a16="http://schemas.microsoft.com/office/drawing/2014/main" id="{00000000-0008-0000-0C00-0000D7060000}"/>
            </a:ext>
          </a:extLst>
        </xdr:cNvPr>
        <xdr:cNvSpPr>
          <a:spLocks noChangeShapeType="1"/>
        </xdr:cNvSpPr>
      </xdr:nvSpPr>
      <xdr:spPr bwMode="auto">
        <a:xfrm flipV="1">
          <a:off x="2933700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76200</xdr:colOff>
      <xdr:row>32</xdr:row>
      <xdr:rowOff>9525</xdr:rowOff>
    </xdr:to>
    <xdr:sp macro="" textlink="">
      <xdr:nvSpPr>
        <xdr:cNvPr id="1752" name="Line 368">
          <a:extLst>
            <a:ext uri="{FF2B5EF4-FFF2-40B4-BE49-F238E27FC236}">
              <a16:creationId xmlns:a16="http://schemas.microsoft.com/office/drawing/2014/main" id="{00000000-0008-0000-0C00-0000D8060000}"/>
            </a:ext>
          </a:extLst>
        </xdr:cNvPr>
        <xdr:cNvSpPr>
          <a:spLocks noChangeShapeType="1"/>
        </xdr:cNvSpPr>
      </xdr:nvSpPr>
      <xdr:spPr bwMode="auto">
        <a:xfrm>
          <a:off x="3148965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35</xdr:row>
      <xdr:rowOff>0</xdr:rowOff>
    </xdr:from>
    <xdr:to>
      <xdr:col>8</xdr:col>
      <xdr:colOff>66675</xdr:colOff>
      <xdr:row>35</xdr:row>
      <xdr:rowOff>9525</xdr:rowOff>
    </xdr:to>
    <xdr:sp macro="" textlink="">
      <xdr:nvSpPr>
        <xdr:cNvPr id="1753" name="Line 370">
          <a:extLst>
            <a:ext uri="{FF2B5EF4-FFF2-40B4-BE49-F238E27FC236}">
              <a16:creationId xmlns:a16="http://schemas.microsoft.com/office/drawing/2014/main" id="{00000000-0008-0000-0C00-0000D9060000}"/>
            </a:ext>
          </a:extLst>
        </xdr:cNvPr>
        <xdr:cNvSpPr>
          <a:spLocks noChangeShapeType="1"/>
        </xdr:cNvSpPr>
      </xdr:nvSpPr>
      <xdr:spPr bwMode="auto">
        <a:xfrm flipV="1">
          <a:off x="3149917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76200</xdr:colOff>
      <xdr:row>32</xdr:row>
      <xdr:rowOff>9525</xdr:rowOff>
    </xdr:to>
    <xdr:sp macro="" textlink="">
      <xdr:nvSpPr>
        <xdr:cNvPr id="1754" name="Line 371">
          <a:extLst>
            <a:ext uri="{FF2B5EF4-FFF2-40B4-BE49-F238E27FC236}">
              <a16:creationId xmlns:a16="http://schemas.microsoft.com/office/drawing/2014/main" id="{00000000-0008-0000-0C00-0000DA060000}"/>
            </a:ext>
          </a:extLst>
        </xdr:cNvPr>
        <xdr:cNvSpPr>
          <a:spLocks noChangeShapeType="1"/>
        </xdr:cNvSpPr>
      </xdr:nvSpPr>
      <xdr:spPr bwMode="auto">
        <a:xfrm>
          <a:off x="3358515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32</xdr:row>
      <xdr:rowOff>9525</xdr:rowOff>
    </xdr:from>
    <xdr:to>
      <xdr:col>11</xdr:col>
      <xdr:colOff>66675</xdr:colOff>
      <xdr:row>35</xdr:row>
      <xdr:rowOff>19050</xdr:rowOff>
    </xdr:to>
    <xdr:sp macro="" textlink="">
      <xdr:nvSpPr>
        <xdr:cNvPr id="1755" name="Line 372">
          <a:extLst>
            <a:ext uri="{FF2B5EF4-FFF2-40B4-BE49-F238E27FC236}">
              <a16:creationId xmlns:a16="http://schemas.microsoft.com/office/drawing/2014/main" id="{00000000-0008-0000-0C00-0000DB060000}"/>
            </a:ext>
          </a:extLst>
        </xdr:cNvPr>
        <xdr:cNvSpPr>
          <a:spLocks noChangeShapeType="1"/>
        </xdr:cNvSpPr>
      </xdr:nvSpPr>
      <xdr:spPr bwMode="auto">
        <a:xfrm>
          <a:off x="3365182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35</xdr:row>
      <xdr:rowOff>0</xdr:rowOff>
    </xdr:from>
    <xdr:to>
      <xdr:col>11</xdr:col>
      <xdr:colOff>66675</xdr:colOff>
      <xdr:row>35</xdr:row>
      <xdr:rowOff>9525</xdr:rowOff>
    </xdr:to>
    <xdr:sp macro="" textlink="">
      <xdr:nvSpPr>
        <xdr:cNvPr id="1756" name="Line 373">
          <a:extLst>
            <a:ext uri="{FF2B5EF4-FFF2-40B4-BE49-F238E27FC236}">
              <a16:creationId xmlns:a16="http://schemas.microsoft.com/office/drawing/2014/main" id="{00000000-0008-0000-0C00-0000DC060000}"/>
            </a:ext>
          </a:extLst>
        </xdr:cNvPr>
        <xdr:cNvSpPr>
          <a:spLocks noChangeShapeType="1"/>
        </xdr:cNvSpPr>
      </xdr:nvSpPr>
      <xdr:spPr bwMode="auto">
        <a:xfrm flipV="1">
          <a:off x="3359467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76200</xdr:colOff>
      <xdr:row>32</xdr:row>
      <xdr:rowOff>9525</xdr:rowOff>
    </xdr:to>
    <xdr:sp macro="" textlink="">
      <xdr:nvSpPr>
        <xdr:cNvPr id="1757" name="Line 374">
          <a:extLst>
            <a:ext uri="{FF2B5EF4-FFF2-40B4-BE49-F238E27FC236}">
              <a16:creationId xmlns:a16="http://schemas.microsoft.com/office/drawing/2014/main" id="{00000000-0008-0000-0C00-0000DD060000}"/>
            </a:ext>
          </a:extLst>
        </xdr:cNvPr>
        <xdr:cNvSpPr>
          <a:spLocks noChangeShapeType="1"/>
        </xdr:cNvSpPr>
      </xdr:nvSpPr>
      <xdr:spPr bwMode="auto">
        <a:xfrm>
          <a:off x="3358515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32</xdr:row>
      <xdr:rowOff>9525</xdr:rowOff>
    </xdr:from>
    <xdr:to>
      <xdr:col>11</xdr:col>
      <xdr:colOff>66675</xdr:colOff>
      <xdr:row>35</xdr:row>
      <xdr:rowOff>19050</xdr:rowOff>
    </xdr:to>
    <xdr:sp macro="" textlink="">
      <xdr:nvSpPr>
        <xdr:cNvPr id="1758" name="Line 375">
          <a:extLst>
            <a:ext uri="{FF2B5EF4-FFF2-40B4-BE49-F238E27FC236}">
              <a16:creationId xmlns:a16="http://schemas.microsoft.com/office/drawing/2014/main" id="{00000000-0008-0000-0C00-0000DE060000}"/>
            </a:ext>
          </a:extLst>
        </xdr:cNvPr>
        <xdr:cNvSpPr>
          <a:spLocks noChangeShapeType="1"/>
        </xdr:cNvSpPr>
      </xdr:nvSpPr>
      <xdr:spPr bwMode="auto">
        <a:xfrm>
          <a:off x="3365182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35</xdr:row>
      <xdr:rowOff>0</xdr:rowOff>
    </xdr:from>
    <xdr:to>
      <xdr:col>11</xdr:col>
      <xdr:colOff>66675</xdr:colOff>
      <xdr:row>35</xdr:row>
      <xdr:rowOff>9525</xdr:rowOff>
    </xdr:to>
    <xdr:sp macro="" textlink="">
      <xdr:nvSpPr>
        <xdr:cNvPr id="1759" name="Line 376">
          <a:extLst>
            <a:ext uri="{FF2B5EF4-FFF2-40B4-BE49-F238E27FC236}">
              <a16:creationId xmlns:a16="http://schemas.microsoft.com/office/drawing/2014/main" id="{00000000-0008-0000-0C00-0000DF060000}"/>
            </a:ext>
          </a:extLst>
        </xdr:cNvPr>
        <xdr:cNvSpPr>
          <a:spLocks noChangeShapeType="1"/>
        </xdr:cNvSpPr>
      </xdr:nvSpPr>
      <xdr:spPr bwMode="auto">
        <a:xfrm flipV="1">
          <a:off x="3359467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33</xdr:row>
      <xdr:rowOff>66675</xdr:rowOff>
    </xdr:from>
    <xdr:to>
      <xdr:col>12</xdr:col>
      <xdr:colOff>9525</xdr:colOff>
      <xdr:row>35</xdr:row>
      <xdr:rowOff>19050</xdr:rowOff>
    </xdr:to>
    <xdr:sp macro="" textlink="">
      <xdr:nvSpPr>
        <xdr:cNvPr id="1760" name="Line 377">
          <a:extLst>
            <a:ext uri="{FF2B5EF4-FFF2-40B4-BE49-F238E27FC236}">
              <a16:creationId xmlns:a16="http://schemas.microsoft.com/office/drawing/2014/main" id="{00000000-0008-0000-0C00-0000E0060000}"/>
            </a:ext>
          </a:extLst>
        </xdr:cNvPr>
        <xdr:cNvSpPr>
          <a:spLocks noChangeShapeType="1"/>
        </xdr:cNvSpPr>
      </xdr:nvSpPr>
      <xdr:spPr bwMode="auto">
        <a:xfrm>
          <a:off x="33661350" y="66389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76200</xdr:colOff>
      <xdr:row>32</xdr:row>
      <xdr:rowOff>9525</xdr:rowOff>
    </xdr:to>
    <xdr:sp macro="" textlink="">
      <xdr:nvSpPr>
        <xdr:cNvPr id="1761" name="Line 378">
          <a:extLst>
            <a:ext uri="{FF2B5EF4-FFF2-40B4-BE49-F238E27FC236}">
              <a16:creationId xmlns:a16="http://schemas.microsoft.com/office/drawing/2014/main" id="{00000000-0008-0000-0C00-0000E1060000}"/>
            </a:ext>
          </a:extLst>
        </xdr:cNvPr>
        <xdr:cNvSpPr>
          <a:spLocks noChangeShapeType="1"/>
        </xdr:cNvSpPr>
      </xdr:nvSpPr>
      <xdr:spPr bwMode="auto">
        <a:xfrm>
          <a:off x="3358515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32</xdr:row>
      <xdr:rowOff>9525</xdr:rowOff>
    </xdr:from>
    <xdr:to>
      <xdr:col>11</xdr:col>
      <xdr:colOff>66675</xdr:colOff>
      <xdr:row>35</xdr:row>
      <xdr:rowOff>19050</xdr:rowOff>
    </xdr:to>
    <xdr:sp macro="" textlink="">
      <xdr:nvSpPr>
        <xdr:cNvPr id="1762" name="Line 379">
          <a:extLst>
            <a:ext uri="{FF2B5EF4-FFF2-40B4-BE49-F238E27FC236}">
              <a16:creationId xmlns:a16="http://schemas.microsoft.com/office/drawing/2014/main" id="{00000000-0008-0000-0C00-0000E2060000}"/>
            </a:ext>
          </a:extLst>
        </xdr:cNvPr>
        <xdr:cNvSpPr>
          <a:spLocks noChangeShapeType="1"/>
        </xdr:cNvSpPr>
      </xdr:nvSpPr>
      <xdr:spPr bwMode="auto">
        <a:xfrm>
          <a:off x="3365182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35</xdr:row>
      <xdr:rowOff>0</xdr:rowOff>
    </xdr:from>
    <xdr:to>
      <xdr:col>11</xdr:col>
      <xdr:colOff>66675</xdr:colOff>
      <xdr:row>35</xdr:row>
      <xdr:rowOff>9525</xdr:rowOff>
    </xdr:to>
    <xdr:sp macro="" textlink="">
      <xdr:nvSpPr>
        <xdr:cNvPr id="1763" name="Line 380">
          <a:extLst>
            <a:ext uri="{FF2B5EF4-FFF2-40B4-BE49-F238E27FC236}">
              <a16:creationId xmlns:a16="http://schemas.microsoft.com/office/drawing/2014/main" id="{00000000-0008-0000-0C00-0000E3060000}"/>
            </a:ext>
          </a:extLst>
        </xdr:cNvPr>
        <xdr:cNvSpPr>
          <a:spLocks noChangeShapeType="1"/>
        </xdr:cNvSpPr>
      </xdr:nvSpPr>
      <xdr:spPr bwMode="auto">
        <a:xfrm flipV="1">
          <a:off x="3359467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76200</xdr:colOff>
      <xdr:row>32</xdr:row>
      <xdr:rowOff>9525</xdr:rowOff>
    </xdr:to>
    <xdr:sp macro="" textlink="">
      <xdr:nvSpPr>
        <xdr:cNvPr id="1764" name="Line 382">
          <a:extLst>
            <a:ext uri="{FF2B5EF4-FFF2-40B4-BE49-F238E27FC236}">
              <a16:creationId xmlns:a16="http://schemas.microsoft.com/office/drawing/2014/main" id="{00000000-0008-0000-0C00-0000E4060000}"/>
            </a:ext>
          </a:extLst>
        </xdr:cNvPr>
        <xdr:cNvSpPr>
          <a:spLocks noChangeShapeType="1"/>
        </xdr:cNvSpPr>
      </xdr:nvSpPr>
      <xdr:spPr bwMode="auto">
        <a:xfrm>
          <a:off x="3148965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35</xdr:row>
      <xdr:rowOff>0</xdr:rowOff>
    </xdr:from>
    <xdr:to>
      <xdr:col>8</xdr:col>
      <xdr:colOff>66675</xdr:colOff>
      <xdr:row>35</xdr:row>
      <xdr:rowOff>9525</xdr:rowOff>
    </xdr:to>
    <xdr:sp macro="" textlink="">
      <xdr:nvSpPr>
        <xdr:cNvPr id="1765" name="Line 384">
          <a:extLst>
            <a:ext uri="{FF2B5EF4-FFF2-40B4-BE49-F238E27FC236}">
              <a16:creationId xmlns:a16="http://schemas.microsoft.com/office/drawing/2014/main" id="{00000000-0008-0000-0C00-0000E5060000}"/>
            </a:ext>
          </a:extLst>
        </xdr:cNvPr>
        <xdr:cNvSpPr>
          <a:spLocks noChangeShapeType="1"/>
        </xdr:cNvSpPr>
      </xdr:nvSpPr>
      <xdr:spPr bwMode="auto">
        <a:xfrm flipV="1">
          <a:off x="3149917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66675</xdr:colOff>
      <xdr:row>34</xdr:row>
      <xdr:rowOff>142875</xdr:rowOff>
    </xdr:from>
    <xdr:to>
      <xdr:col>5</xdr:col>
      <xdr:colOff>438150</xdr:colOff>
      <xdr:row>39</xdr:row>
      <xdr:rowOff>76200</xdr:rowOff>
    </xdr:to>
    <xdr:sp macro="" textlink="">
      <xdr:nvSpPr>
        <xdr:cNvPr id="1766" name="Line 386">
          <a:extLst>
            <a:ext uri="{FF2B5EF4-FFF2-40B4-BE49-F238E27FC236}">
              <a16:creationId xmlns:a16="http://schemas.microsoft.com/office/drawing/2014/main" id="{00000000-0008-0000-0C00-0000E6060000}"/>
            </a:ext>
          </a:extLst>
        </xdr:cNvPr>
        <xdr:cNvSpPr>
          <a:spLocks noChangeShapeType="1"/>
        </xdr:cNvSpPr>
      </xdr:nvSpPr>
      <xdr:spPr bwMode="auto">
        <a:xfrm flipV="1">
          <a:off x="29394150" y="6896100"/>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66675</xdr:colOff>
      <xdr:row>39</xdr:row>
      <xdr:rowOff>95250</xdr:rowOff>
    </xdr:from>
    <xdr:to>
      <xdr:col>6</xdr:col>
      <xdr:colOff>0</xdr:colOff>
      <xdr:row>43</xdr:row>
      <xdr:rowOff>171450</xdr:rowOff>
    </xdr:to>
    <xdr:sp macro="" textlink="">
      <xdr:nvSpPr>
        <xdr:cNvPr id="1767" name="Line 387">
          <a:extLst>
            <a:ext uri="{FF2B5EF4-FFF2-40B4-BE49-F238E27FC236}">
              <a16:creationId xmlns:a16="http://schemas.microsoft.com/office/drawing/2014/main" id="{00000000-0008-0000-0C00-0000E7060000}"/>
            </a:ext>
          </a:extLst>
        </xdr:cNvPr>
        <xdr:cNvSpPr>
          <a:spLocks noChangeShapeType="1"/>
        </xdr:cNvSpPr>
      </xdr:nvSpPr>
      <xdr:spPr bwMode="auto">
        <a:xfrm>
          <a:off x="29394150" y="7753350"/>
          <a:ext cx="3810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66675</xdr:colOff>
      <xdr:row>40</xdr:row>
      <xdr:rowOff>161925</xdr:rowOff>
    </xdr:from>
    <xdr:to>
      <xdr:col>5</xdr:col>
      <xdr:colOff>438150</xdr:colOff>
      <xdr:row>45</xdr:row>
      <xdr:rowOff>95250</xdr:rowOff>
    </xdr:to>
    <xdr:sp macro="" textlink="">
      <xdr:nvSpPr>
        <xdr:cNvPr id="1768" name="Line 388">
          <a:extLst>
            <a:ext uri="{FF2B5EF4-FFF2-40B4-BE49-F238E27FC236}">
              <a16:creationId xmlns:a16="http://schemas.microsoft.com/office/drawing/2014/main" id="{00000000-0008-0000-0C00-0000E8060000}"/>
            </a:ext>
          </a:extLst>
        </xdr:cNvPr>
        <xdr:cNvSpPr>
          <a:spLocks noChangeShapeType="1"/>
        </xdr:cNvSpPr>
      </xdr:nvSpPr>
      <xdr:spPr bwMode="auto">
        <a:xfrm flipV="1">
          <a:off x="29394150" y="8001000"/>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66675</xdr:colOff>
      <xdr:row>45</xdr:row>
      <xdr:rowOff>95250</xdr:rowOff>
    </xdr:from>
    <xdr:to>
      <xdr:col>6</xdr:col>
      <xdr:colOff>0</xdr:colOff>
      <xdr:row>49</xdr:row>
      <xdr:rowOff>171450</xdr:rowOff>
    </xdr:to>
    <xdr:sp macro="" textlink="">
      <xdr:nvSpPr>
        <xdr:cNvPr id="1769" name="Line 389">
          <a:extLst>
            <a:ext uri="{FF2B5EF4-FFF2-40B4-BE49-F238E27FC236}">
              <a16:creationId xmlns:a16="http://schemas.microsoft.com/office/drawing/2014/main" id="{00000000-0008-0000-0C00-0000E9060000}"/>
            </a:ext>
          </a:extLst>
        </xdr:cNvPr>
        <xdr:cNvSpPr>
          <a:spLocks noChangeShapeType="1"/>
        </xdr:cNvSpPr>
      </xdr:nvSpPr>
      <xdr:spPr bwMode="auto">
        <a:xfrm>
          <a:off x="29394150" y="8839200"/>
          <a:ext cx="3810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66675</xdr:colOff>
      <xdr:row>51</xdr:row>
      <xdr:rowOff>57150</xdr:rowOff>
    </xdr:from>
    <xdr:to>
      <xdr:col>6</xdr:col>
      <xdr:colOff>0</xdr:colOff>
      <xdr:row>56</xdr:row>
      <xdr:rowOff>19050</xdr:rowOff>
    </xdr:to>
    <xdr:sp macro="" textlink="">
      <xdr:nvSpPr>
        <xdr:cNvPr id="1770" name="Line 390">
          <a:extLst>
            <a:ext uri="{FF2B5EF4-FFF2-40B4-BE49-F238E27FC236}">
              <a16:creationId xmlns:a16="http://schemas.microsoft.com/office/drawing/2014/main" id="{00000000-0008-0000-0C00-0000EA060000}"/>
            </a:ext>
          </a:extLst>
        </xdr:cNvPr>
        <xdr:cNvSpPr>
          <a:spLocks noChangeShapeType="1"/>
        </xdr:cNvSpPr>
      </xdr:nvSpPr>
      <xdr:spPr bwMode="auto">
        <a:xfrm>
          <a:off x="29394150" y="9886950"/>
          <a:ext cx="38100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66675</xdr:colOff>
      <xdr:row>46</xdr:row>
      <xdr:rowOff>152400</xdr:rowOff>
    </xdr:from>
    <xdr:to>
      <xdr:col>5</xdr:col>
      <xdr:colOff>438150</xdr:colOff>
      <xdr:row>51</xdr:row>
      <xdr:rowOff>85725</xdr:rowOff>
    </xdr:to>
    <xdr:sp macro="" textlink="">
      <xdr:nvSpPr>
        <xdr:cNvPr id="1771" name="Line 391">
          <a:extLst>
            <a:ext uri="{FF2B5EF4-FFF2-40B4-BE49-F238E27FC236}">
              <a16:creationId xmlns:a16="http://schemas.microsoft.com/office/drawing/2014/main" id="{00000000-0008-0000-0C00-0000EB060000}"/>
            </a:ext>
          </a:extLst>
        </xdr:cNvPr>
        <xdr:cNvSpPr>
          <a:spLocks noChangeShapeType="1"/>
        </xdr:cNvSpPr>
      </xdr:nvSpPr>
      <xdr:spPr bwMode="auto">
        <a:xfrm flipV="1">
          <a:off x="29394150" y="9077325"/>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66675</xdr:colOff>
      <xdr:row>52</xdr:row>
      <xdr:rowOff>152400</xdr:rowOff>
    </xdr:from>
    <xdr:to>
      <xdr:col>6</xdr:col>
      <xdr:colOff>0</xdr:colOff>
      <xdr:row>57</xdr:row>
      <xdr:rowOff>76200</xdr:rowOff>
    </xdr:to>
    <xdr:sp macro="" textlink="">
      <xdr:nvSpPr>
        <xdr:cNvPr id="1772" name="Line 392">
          <a:extLst>
            <a:ext uri="{FF2B5EF4-FFF2-40B4-BE49-F238E27FC236}">
              <a16:creationId xmlns:a16="http://schemas.microsoft.com/office/drawing/2014/main" id="{00000000-0008-0000-0C00-0000EC060000}"/>
            </a:ext>
          </a:extLst>
        </xdr:cNvPr>
        <xdr:cNvSpPr>
          <a:spLocks noChangeShapeType="1"/>
        </xdr:cNvSpPr>
      </xdr:nvSpPr>
      <xdr:spPr bwMode="auto">
        <a:xfrm flipV="1">
          <a:off x="29394150" y="10163175"/>
          <a:ext cx="381000" cy="8286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76200</xdr:colOff>
      <xdr:row>35</xdr:row>
      <xdr:rowOff>0</xdr:rowOff>
    </xdr:from>
    <xdr:to>
      <xdr:col>9</xdr:col>
      <xdr:colOff>0</xdr:colOff>
      <xdr:row>39</xdr:row>
      <xdr:rowOff>66675</xdr:rowOff>
    </xdr:to>
    <xdr:sp macro="" textlink="">
      <xdr:nvSpPr>
        <xdr:cNvPr id="1773" name="Line 393">
          <a:extLst>
            <a:ext uri="{FF2B5EF4-FFF2-40B4-BE49-F238E27FC236}">
              <a16:creationId xmlns:a16="http://schemas.microsoft.com/office/drawing/2014/main" id="{00000000-0008-0000-0C00-0000ED060000}"/>
            </a:ext>
          </a:extLst>
        </xdr:cNvPr>
        <xdr:cNvSpPr>
          <a:spLocks noChangeShapeType="1"/>
        </xdr:cNvSpPr>
      </xdr:nvSpPr>
      <xdr:spPr bwMode="auto">
        <a:xfrm flipV="1">
          <a:off x="31565850" y="6934200"/>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76200</xdr:colOff>
      <xdr:row>40</xdr:row>
      <xdr:rowOff>171450</xdr:rowOff>
    </xdr:from>
    <xdr:to>
      <xdr:col>9</xdr:col>
      <xdr:colOff>0</xdr:colOff>
      <xdr:row>45</xdr:row>
      <xdr:rowOff>57150</xdr:rowOff>
    </xdr:to>
    <xdr:sp macro="" textlink="">
      <xdr:nvSpPr>
        <xdr:cNvPr id="1774" name="Line 394">
          <a:extLst>
            <a:ext uri="{FF2B5EF4-FFF2-40B4-BE49-F238E27FC236}">
              <a16:creationId xmlns:a16="http://schemas.microsoft.com/office/drawing/2014/main" id="{00000000-0008-0000-0C00-0000EE060000}"/>
            </a:ext>
          </a:extLst>
        </xdr:cNvPr>
        <xdr:cNvSpPr>
          <a:spLocks noChangeShapeType="1"/>
        </xdr:cNvSpPr>
      </xdr:nvSpPr>
      <xdr:spPr bwMode="auto">
        <a:xfrm flipV="1">
          <a:off x="31565850" y="8010525"/>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76200</xdr:colOff>
      <xdr:row>46</xdr:row>
      <xdr:rowOff>171450</xdr:rowOff>
    </xdr:from>
    <xdr:to>
      <xdr:col>9</xdr:col>
      <xdr:colOff>0</xdr:colOff>
      <xdr:row>51</xdr:row>
      <xdr:rowOff>57150</xdr:rowOff>
    </xdr:to>
    <xdr:sp macro="" textlink="">
      <xdr:nvSpPr>
        <xdr:cNvPr id="1775" name="Line 395">
          <a:extLst>
            <a:ext uri="{FF2B5EF4-FFF2-40B4-BE49-F238E27FC236}">
              <a16:creationId xmlns:a16="http://schemas.microsoft.com/office/drawing/2014/main" id="{00000000-0008-0000-0C00-0000EF060000}"/>
            </a:ext>
          </a:extLst>
        </xdr:cNvPr>
        <xdr:cNvSpPr>
          <a:spLocks noChangeShapeType="1"/>
        </xdr:cNvSpPr>
      </xdr:nvSpPr>
      <xdr:spPr bwMode="auto">
        <a:xfrm flipV="1">
          <a:off x="31565850" y="9096375"/>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66675</xdr:colOff>
      <xdr:row>52</xdr:row>
      <xdr:rowOff>142875</xdr:rowOff>
    </xdr:from>
    <xdr:to>
      <xdr:col>9</xdr:col>
      <xdr:colOff>0</xdr:colOff>
      <xdr:row>57</xdr:row>
      <xdr:rowOff>66675</xdr:rowOff>
    </xdr:to>
    <xdr:sp macro="" textlink="">
      <xdr:nvSpPr>
        <xdr:cNvPr id="1776" name="Line 396">
          <a:extLst>
            <a:ext uri="{FF2B5EF4-FFF2-40B4-BE49-F238E27FC236}">
              <a16:creationId xmlns:a16="http://schemas.microsoft.com/office/drawing/2014/main" id="{00000000-0008-0000-0C00-0000F0060000}"/>
            </a:ext>
          </a:extLst>
        </xdr:cNvPr>
        <xdr:cNvSpPr>
          <a:spLocks noChangeShapeType="1"/>
        </xdr:cNvSpPr>
      </xdr:nvSpPr>
      <xdr:spPr bwMode="auto">
        <a:xfrm flipV="1">
          <a:off x="31556325" y="10153650"/>
          <a:ext cx="342900" cy="8286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57150</xdr:colOff>
      <xdr:row>39</xdr:row>
      <xdr:rowOff>76200</xdr:rowOff>
    </xdr:from>
    <xdr:to>
      <xdr:col>8</xdr:col>
      <xdr:colOff>400050</xdr:colOff>
      <xdr:row>44</xdr:row>
      <xdr:rowOff>0</xdr:rowOff>
    </xdr:to>
    <xdr:sp macro="" textlink="">
      <xdr:nvSpPr>
        <xdr:cNvPr id="1777" name="Line 397">
          <a:extLst>
            <a:ext uri="{FF2B5EF4-FFF2-40B4-BE49-F238E27FC236}">
              <a16:creationId xmlns:a16="http://schemas.microsoft.com/office/drawing/2014/main" id="{00000000-0008-0000-0C00-0000F1060000}"/>
            </a:ext>
          </a:extLst>
        </xdr:cNvPr>
        <xdr:cNvSpPr>
          <a:spLocks noChangeShapeType="1"/>
        </xdr:cNvSpPr>
      </xdr:nvSpPr>
      <xdr:spPr bwMode="auto">
        <a:xfrm>
          <a:off x="31546800" y="7734300"/>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66675</xdr:colOff>
      <xdr:row>45</xdr:row>
      <xdr:rowOff>85725</xdr:rowOff>
    </xdr:from>
    <xdr:to>
      <xdr:col>9</xdr:col>
      <xdr:colOff>0</xdr:colOff>
      <xdr:row>50</xdr:row>
      <xdr:rowOff>9525</xdr:rowOff>
    </xdr:to>
    <xdr:sp macro="" textlink="">
      <xdr:nvSpPr>
        <xdr:cNvPr id="1778" name="Line 398">
          <a:extLst>
            <a:ext uri="{FF2B5EF4-FFF2-40B4-BE49-F238E27FC236}">
              <a16:creationId xmlns:a16="http://schemas.microsoft.com/office/drawing/2014/main" id="{00000000-0008-0000-0C00-0000F2060000}"/>
            </a:ext>
          </a:extLst>
        </xdr:cNvPr>
        <xdr:cNvSpPr>
          <a:spLocks noChangeShapeType="1"/>
        </xdr:cNvSpPr>
      </xdr:nvSpPr>
      <xdr:spPr bwMode="auto">
        <a:xfrm>
          <a:off x="31556325" y="8829675"/>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76200</xdr:colOff>
      <xdr:row>51</xdr:row>
      <xdr:rowOff>57150</xdr:rowOff>
    </xdr:from>
    <xdr:to>
      <xdr:col>9</xdr:col>
      <xdr:colOff>0</xdr:colOff>
      <xdr:row>56</xdr:row>
      <xdr:rowOff>28575</xdr:rowOff>
    </xdr:to>
    <xdr:sp macro="" textlink="">
      <xdr:nvSpPr>
        <xdr:cNvPr id="1779" name="Line 399">
          <a:extLst>
            <a:ext uri="{FF2B5EF4-FFF2-40B4-BE49-F238E27FC236}">
              <a16:creationId xmlns:a16="http://schemas.microsoft.com/office/drawing/2014/main" id="{00000000-0008-0000-0C00-0000F3060000}"/>
            </a:ext>
          </a:extLst>
        </xdr:cNvPr>
        <xdr:cNvSpPr>
          <a:spLocks noChangeShapeType="1"/>
        </xdr:cNvSpPr>
      </xdr:nvSpPr>
      <xdr:spPr bwMode="auto">
        <a:xfrm>
          <a:off x="31565850" y="9886950"/>
          <a:ext cx="333375" cy="8763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0</xdr:colOff>
      <xdr:row>62</xdr:row>
      <xdr:rowOff>0</xdr:rowOff>
    </xdr:from>
    <xdr:to>
      <xdr:col>5</xdr:col>
      <xdr:colOff>76200</xdr:colOff>
      <xdr:row>62</xdr:row>
      <xdr:rowOff>9525</xdr:rowOff>
    </xdr:to>
    <xdr:sp macro="" textlink="">
      <xdr:nvSpPr>
        <xdr:cNvPr id="1780" name="Line 343">
          <a:extLst>
            <a:ext uri="{FF2B5EF4-FFF2-40B4-BE49-F238E27FC236}">
              <a16:creationId xmlns:a16="http://schemas.microsoft.com/office/drawing/2014/main" id="{00000000-0008-0000-0C00-0000F4060000}"/>
            </a:ext>
          </a:extLst>
        </xdr:cNvPr>
        <xdr:cNvSpPr>
          <a:spLocks noChangeShapeType="1"/>
        </xdr:cNvSpPr>
      </xdr:nvSpPr>
      <xdr:spPr bwMode="auto">
        <a:xfrm>
          <a:off x="29327475" y="1175385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62</xdr:row>
      <xdr:rowOff>0</xdr:rowOff>
    </xdr:from>
    <xdr:to>
      <xdr:col>8</xdr:col>
      <xdr:colOff>76200</xdr:colOff>
      <xdr:row>62</xdr:row>
      <xdr:rowOff>9525</xdr:rowOff>
    </xdr:to>
    <xdr:sp macro="" textlink="">
      <xdr:nvSpPr>
        <xdr:cNvPr id="1781" name="Line 346">
          <a:extLst>
            <a:ext uri="{FF2B5EF4-FFF2-40B4-BE49-F238E27FC236}">
              <a16:creationId xmlns:a16="http://schemas.microsoft.com/office/drawing/2014/main" id="{00000000-0008-0000-0C00-0000F5060000}"/>
            </a:ext>
          </a:extLst>
        </xdr:cNvPr>
        <xdr:cNvSpPr>
          <a:spLocks noChangeShapeType="1"/>
        </xdr:cNvSpPr>
      </xdr:nvSpPr>
      <xdr:spPr bwMode="auto">
        <a:xfrm>
          <a:off x="31489650" y="1175385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62</xdr:row>
      <xdr:rowOff>0</xdr:rowOff>
    </xdr:from>
    <xdr:to>
      <xdr:col>11</xdr:col>
      <xdr:colOff>76200</xdr:colOff>
      <xdr:row>62</xdr:row>
      <xdr:rowOff>9525</xdr:rowOff>
    </xdr:to>
    <xdr:sp macro="" textlink="">
      <xdr:nvSpPr>
        <xdr:cNvPr id="1782" name="Line 349">
          <a:extLst>
            <a:ext uri="{FF2B5EF4-FFF2-40B4-BE49-F238E27FC236}">
              <a16:creationId xmlns:a16="http://schemas.microsoft.com/office/drawing/2014/main" id="{00000000-0008-0000-0C00-0000F6060000}"/>
            </a:ext>
          </a:extLst>
        </xdr:cNvPr>
        <xdr:cNvSpPr>
          <a:spLocks noChangeShapeType="1"/>
        </xdr:cNvSpPr>
      </xdr:nvSpPr>
      <xdr:spPr bwMode="auto">
        <a:xfrm>
          <a:off x="33585150" y="1175385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62</xdr:row>
      <xdr:rowOff>0</xdr:rowOff>
    </xdr:from>
    <xdr:to>
      <xdr:col>11</xdr:col>
      <xdr:colOff>76200</xdr:colOff>
      <xdr:row>62</xdr:row>
      <xdr:rowOff>9525</xdr:rowOff>
    </xdr:to>
    <xdr:sp macro="" textlink="">
      <xdr:nvSpPr>
        <xdr:cNvPr id="1783" name="Line 352">
          <a:extLst>
            <a:ext uri="{FF2B5EF4-FFF2-40B4-BE49-F238E27FC236}">
              <a16:creationId xmlns:a16="http://schemas.microsoft.com/office/drawing/2014/main" id="{00000000-0008-0000-0C00-0000F7060000}"/>
            </a:ext>
          </a:extLst>
        </xdr:cNvPr>
        <xdr:cNvSpPr>
          <a:spLocks noChangeShapeType="1"/>
        </xdr:cNvSpPr>
      </xdr:nvSpPr>
      <xdr:spPr bwMode="auto">
        <a:xfrm>
          <a:off x="33585150" y="1175385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62</xdr:row>
      <xdr:rowOff>0</xdr:rowOff>
    </xdr:from>
    <xdr:to>
      <xdr:col>11</xdr:col>
      <xdr:colOff>76200</xdr:colOff>
      <xdr:row>62</xdr:row>
      <xdr:rowOff>9525</xdr:rowOff>
    </xdr:to>
    <xdr:sp macro="" textlink="">
      <xdr:nvSpPr>
        <xdr:cNvPr id="1784" name="Line 356">
          <a:extLst>
            <a:ext uri="{FF2B5EF4-FFF2-40B4-BE49-F238E27FC236}">
              <a16:creationId xmlns:a16="http://schemas.microsoft.com/office/drawing/2014/main" id="{00000000-0008-0000-0C00-0000F8060000}"/>
            </a:ext>
          </a:extLst>
        </xdr:cNvPr>
        <xdr:cNvSpPr>
          <a:spLocks noChangeShapeType="1"/>
        </xdr:cNvSpPr>
      </xdr:nvSpPr>
      <xdr:spPr bwMode="auto">
        <a:xfrm>
          <a:off x="33585150" y="1175385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62</xdr:row>
      <xdr:rowOff>0</xdr:rowOff>
    </xdr:from>
    <xdr:to>
      <xdr:col>11</xdr:col>
      <xdr:colOff>400050</xdr:colOff>
      <xdr:row>63</xdr:row>
      <xdr:rowOff>114300</xdr:rowOff>
    </xdr:to>
    <xdr:sp macro="" textlink="">
      <xdr:nvSpPr>
        <xdr:cNvPr id="1785" name="Line 359">
          <a:extLst>
            <a:ext uri="{FF2B5EF4-FFF2-40B4-BE49-F238E27FC236}">
              <a16:creationId xmlns:a16="http://schemas.microsoft.com/office/drawing/2014/main" id="{00000000-0008-0000-0C00-0000F9060000}"/>
            </a:ext>
          </a:extLst>
        </xdr:cNvPr>
        <xdr:cNvSpPr>
          <a:spLocks noChangeShapeType="1"/>
        </xdr:cNvSpPr>
      </xdr:nvSpPr>
      <xdr:spPr bwMode="auto">
        <a:xfrm flipV="1">
          <a:off x="33651825" y="11753850"/>
          <a:ext cx="333375" cy="3143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62</xdr:row>
      <xdr:rowOff>0</xdr:rowOff>
    </xdr:from>
    <xdr:to>
      <xdr:col>8</xdr:col>
      <xdr:colOff>76200</xdr:colOff>
      <xdr:row>62</xdr:row>
      <xdr:rowOff>9525</xdr:rowOff>
    </xdr:to>
    <xdr:sp macro="" textlink="">
      <xdr:nvSpPr>
        <xdr:cNvPr id="1786" name="Line 360">
          <a:extLst>
            <a:ext uri="{FF2B5EF4-FFF2-40B4-BE49-F238E27FC236}">
              <a16:creationId xmlns:a16="http://schemas.microsoft.com/office/drawing/2014/main" id="{00000000-0008-0000-0C00-0000FA060000}"/>
            </a:ext>
          </a:extLst>
        </xdr:cNvPr>
        <xdr:cNvSpPr>
          <a:spLocks noChangeShapeType="1"/>
        </xdr:cNvSpPr>
      </xdr:nvSpPr>
      <xdr:spPr bwMode="auto">
        <a:xfrm>
          <a:off x="31489650" y="1175385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65</xdr:row>
      <xdr:rowOff>0</xdr:rowOff>
    </xdr:from>
    <xdr:to>
      <xdr:col>5</xdr:col>
      <xdr:colOff>66675</xdr:colOff>
      <xdr:row>65</xdr:row>
      <xdr:rowOff>9525</xdr:rowOff>
    </xdr:to>
    <xdr:sp macro="" textlink="">
      <xdr:nvSpPr>
        <xdr:cNvPr id="1787" name="Line 345">
          <a:extLst>
            <a:ext uri="{FF2B5EF4-FFF2-40B4-BE49-F238E27FC236}">
              <a16:creationId xmlns:a16="http://schemas.microsoft.com/office/drawing/2014/main" id="{00000000-0008-0000-0C00-0000FB060000}"/>
            </a:ext>
          </a:extLst>
        </xdr:cNvPr>
        <xdr:cNvSpPr>
          <a:spLocks noChangeShapeType="1"/>
        </xdr:cNvSpPr>
      </xdr:nvSpPr>
      <xdr:spPr bwMode="auto">
        <a:xfrm flipV="1">
          <a:off x="29337000" y="123158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65</xdr:row>
      <xdr:rowOff>0</xdr:rowOff>
    </xdr:from>
    <xdr:to>
      <xdr:col>8</xdr:col>
      <xdr:colOff>66675</xdr:colOff>
      <xdr:row>65</xdr:row>
      <xdr:rowOff>9525</xdr:rowOff>
    </xdr:to>
    <xdr:sp macro="" textlink="">
      <xdr:nvSpPr>
        <xdr:cNvPr id="1788" name="Line 348">
          <a:extLst>
            <a:ext uri="{FF2B5EF4-FFF2-40B4-BE49-F238E27FC236}">
              <a16:creationId xmlns:a16="http://schemas.microsoft.com/office/drawing/2014/main" id="{00000000-0008-0000-0C00-0000FC060000}"/>
            </a:ext>
          </a:extLst>
        </xdr:cNvPr>
        <xdr:cNvSpPr>
          <a:spLocks noChangeShapeType="1"/>
        </xdr:cNvSpPr>
      </xdr:nvSpPr>
      <xdr:spPr bwMode="auto">
        <a:xfrm flipV="1">
          <a:off x="31499175" y="123158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65</xdr:row>
      <xdr:rowOff>0</xdr:rowOff>
    </xdr:from>
    <xdr:to>
      <xdr:col>11</xdr:col>
      <xdr:colOff>66675</xdr:colOff>
      <xdr:row>65</xdr:row>
      <xdr:rowOff>9525</xdr:rowOff>
    </xdr:to>
    <xdr:sp macro="" textlink="">
      <xdr:nvSpPr>
        <xdr:cNvPr id="1789" name="Line 351">
          <a:extLst>
            <a:ext uri="{FF2B5EF4-FFF2-40B4-BE49-F238E27FC236}">
              <a16:creationId xmlns:a16="http://schemas.microsoft.com/office/drawing/2014/main" id="{00000000-0008-0000-0C00-0000FD060000}"/>
            </a:ext>
          </a:extLst>
        </xdr:cNvPr>
        <xdr:cNvSpPr>
          <a:spLocks noChangeShapeType="1"/>
        </xdr:cNvSpPr>
      </xdr:nvSpPr>
      <xdr:spPr bwMode="auto">
        <a:xfrm flipV="1">
          <a:off x="33594675" y="123158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65</xdr:row>
      <xdr:rowOff>0</xdr:rowOff>
    </xdr:from>
    <xdr:to>
      <xdr:col>11</xdr:col>
      <xdr:colOff>66675</xdr:colOff>
      <xdr:row>65</xdr:row>
      <xdr:rowOff>9525</xdr:rowOff>
    </xdr:to>
    <xdr:sp macro="" textlink="">
      <xdr:nvSpPr>
        <xdr:cNvPr id="1790" name="Line 354">
          <a:extLst>
            <a:ext uri="{FF2B5EF4-FFF2-40B4-BE49-F238E27FC236}">
              <a16:creationId xmlns:a16="http://schemas.microsoft.com/office/drawing/2014/main" id="{00000000-0008-0000-0C00-0000FE060000}"/>
            </a:ext>
          </a:extLst>
        </xdr:cNvPr>
        <xdr:cNvSpPr>
          <a:spLocks noChangeShapeType="1"/>
        </xdr:cNvSpPr>
      </xdr:nvSpPr>
      <xdr:spPr bwMode="auto">
        <a:xfrm flipV="1">
          <a:off x="33594675" y="123158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63</xdr:row>
      <xdr:rowOff>114300</xdr:rowOff>
    </xdr:from>
    <xdr:to>
      <xdr:col>12</xdr:col>
      <xdr:colOff>0</xdr:colOff>
      <xdr:row>64</xdr:row>
      <xdr:rowOff>171450</xdr:rowOff>
    </xdr:to>
    <xdr:sp macro="" textlink="">
      <xdr:nvSpPr>
        <xdr:cNvPr id="1791" name="Line 355">
          <a:extLst>
            <a:ext uri="{FF2B5EF4-FFF2-40B4-BE49-F238E27FC236}">
              <a16:creationId xmlns:a16="http://schemas.microsoft.com/office/drawing/2014/main" id="{00000000-0008-0000-0C00-0000FF060000}"/>
            </a:ext>
          </a:extLst>
        </xdr:cNvPr>
        <xdr:cNvSpPr>
          <a:spLocks noChangeShapeType="1"/>
        </xdr:cNvSpPr>
      </xdr:nvSpPr>
      <xdr:spPr bwMode="auto">
        <a:xfrm>
          <a:off x="33651825" y="12068175"/>
          <a:ext cx="342900" cy="2476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9525</xdr:colOff>
      <xdr:row>65</xdr:row>
      <xdr:rowOff>0</xdr:rowOff>
    </xdr:from>
    <xdr:to>
      <xdr:col>11</xdr:col>
      <xdr:colOff>66675</xdr:colOff>
      <xdr:row>65</xdr:row>
      <xdr:rowOff>9525</xdr:rowOff>
    </xdr:to>
    <xdr:sp macro="" textlink="">
      <xdr:nvSpPr>
        <xdr:cNvPr id="1792" name="Line 358">
          <a:extLst>
            <a:ext uri="{FF2B5EF4-FFF2-40B4-BE49-F238E27FC236}">
              <a16:creationId xmlns:a16="http://schemas.microsoft.com/office/drawing/2014/main" id="{00000000-0008-0000-0C00-000000070000}"/>
            </a:ext>
          </a:extLst>
        </xdr:cNvPr>
        <xdr:cNvSpPr>
          <a:spLocks noChangeShapeType="1"/>
        </xdr:cNvSpPr>
      </xdr:nvSpPr>
      <xdr:spPr bwMode="auto">
        <a:xfrm flipV="1">
          <a:off x="33594675" y="123158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65</xdr:row>
      <xdr:rowOff>0</xdr:rowOff>
    </xdr:from>
    <xdr:to>
      <xdr:col>8</xdr:col>
      <xdr:colOff>66675</xdr:colOff>
      <xdr:row>65</xdr:row>
      <xdr:rowOff>9525</xdr:rowOff>
    </xdr:to>
    <xdr:sp macro="" textlink="">
      <xdr:nvSpPr>
        <xdr:cNvPr id="1793" name="Line 362">
          <a:extLst>
            <a:ext uri="{FF2B5EF4-FFF2-40B4-BE49-F238E27FC236}">
              <a16:creationId xmlns:a16="http://schemas.microsoft.com/office/drawing/2014/main" id="{00000000-0008-0000-0C00-000001070000}"/>
            </a:ext>
          </a:extLst>
        </xdr:cNvPr>
        <xdr:cNvSpPr>
          <a:spLocks noChangeShapeType="1"/>
        </xdr:cNvSpPr>
      </xdr:nvSpPr>
      <xdr:spPr bwMode="auto">
        <a:xfrm flipV="1">
          <a:off x="31499175" y="123158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66675</xdr:colOff>
      <xdr:row>63</xdr:row>
      <xdr:rowOff>85725</xdr:rowOff>
    </xdr:from>
    <xdr:to>
      <xdr:col>6</xdr:col>
      <xdr:colOff>9525</xdr:colOff>
      <xdr:row>65</xdr:row>
      <xdr:rowOff>0</xdr:rowOff>
    </xdr:to>
    <xdr:sp macro="" textlink="">
      <xdr:nvSpPr>
        <xdr:cNvPr id="1794" name="Line 363">
          <a:extLst>
            <a:ext uri="{FF2B5EF4-FFF2-40B4-BE49-F238E27FC236}">
              <a16:creationId xmlns:a16="http://schemas.microsoft.com/office/drawing/2014/main" id="{00000000-0008-0000-0C00-000002070000}"/>
            </a:ext>
          </a:extLst>
        </xdr:cNvPr>
        <xdr:cNvSpPr>
          <a:spLocks noChangeShapeType="1"/>
        </xdr:cNvSpPr>
      </xdr:nvSpPr>
      <xdr:spPr bwMode="auto">
        <a:xfrm>
          <a:off x="29394150" y="12039600"/>
          <a:ext cx="390525" cy="276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57150</xdr:colOff>
      <xdr:row>63</xdr:row>
      <xdr:rowOff>76200</xdr:rowOff>
    </xdr:from>
    <xdr:to>
      <xdr:col>9</xdr:col>
      <xdr:colOff>0</xdr:colOff>
      <xdr:row>65</xdr:row>
      <xdr:rowOff>0</xdr:rowOff>
    </xdr:to>
    <xdr:sp macro="" textlink="">
      <xdr:nvSpPr>
        <xdr:cNvPr id="1795" name="Line 364">
          <a:extLst>
            <a:ext uri="{FF2B5EF4-FFF2-40B4-BE49-F238E27FC236}">
              <a16:creationId xmlns:a16="http://schemas.microsoft.com/office/drawing/2014/main" id="{00000000-0008-0000-0C00-000003070000}"/>
            </a:ext>
          </a:extLst>
        </xdr:cNvPr>
        <xdr:cNvSpPr>
          <a:spLocks noChangeShapeType="1"/>
        </xdr:cNvSpPr>
      </xdr:nvSpPr>
      <xdr:spPr bwMode="auto">
        <a:xfrm>
          <a:off x="31546800" y="12030075"/>
          <a:ext cx="352425" cy="2857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61</xdr:row>
      <xdr:rowOff>142875</xdr:rowOff>
    </xdr:from>
    <xdr:to>
      <xdr:col>5</xdr:col>
      <xdr:colOff>85725</xdr:colOff>
      <xdr:row>65</xdr:row>
      <xdr:rowOff>19050</xdr:rowOff>
    </xdr:to>
    <xdr:sp macro="" textlink="">
      <xdr:nvSpPr>
        <xdr:cNvPr id="1796" name="Line 344">
          <a:extLst>
            <a:ext uri="{FF2B5EF4-FFF2-40B4-BE49-F238E27FC236}">
              <a16:creationId xmlns:a16="http://schemas.microsoft.com/office/drawing/2014/main" id="{00000000-0008-0000-0C00-000004070000}"/>
            </a:ext>
          </a:extLst>
        </xdr:cNvPr>
        <xdr:cNvSpPr>
          <a:spLocks noChangeShapeType="1"/>
        </xdr:cNvSpPr>
      </xdr:nvSpPr>
      <xdr:spPr bwMode="auto">
        <a:xfrm flipH="1">
          <a:off x="29413200" y="11734800"/>
          <a:ext cx="0" cy="600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61</xdr:row>
      <xdr:rowOff>142875</xdr:rowOff>
    </xdr:from>
    <xdr:to>
      <xdr:col>8</xdr:col>
      <xdr:colOff>66675</xdr:colOff>
      <xdr:row>65</xdr:row>
      <xdr:rowOff>19050</xdr:rowOff>
    </xdr:to>
    <xdr:sp macro="" textlink="">
      <xdr:nvSpPr>
        <xdr:cNvPr id="1797" name="Line 344">
          <a:extLst>
            <a:ext uri="{FF2B5EF4-FFF2-40B4-BE49-F238E27FC236}">
              <a16:creationId xmlns:a16="http://schemas.microsoft.com/office/drawing/2014/main" id="{00000000-0008-0000-0C00-000005070000}"/>
            </a:ext>
          </a:extLst>
        </xdr:cNvPr>
        <xdr:cNvSpPr>
          <a:spLocks noChangeShapeType="1"/>
        </xdr:cNvSpPr>
      </xdr:nvSpPr>
      <xdr:spPr bwMode="auto">
        <a:xfrm flipH="1">
          <a:off x="31556325" y="11734800"/>
          <a:ext cx="0" cy="600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85725</xdr:colOff>
      <xdr:row>61</xdr:row>
      <xdr:rowOff>152400</xdr:rowOff>
    </xdr:from>
    <xdr:to>
      <xdr:col>11</xdr:col>
      <xdr:colOff>85725</xdr:colOff>
      <xdr:row>65</xdr:row>
      <xdr:rowOff>28575</xdr:rowOff>
    </xdr:to>
    <xdr:sp macro="" textlink="">
      <xdr:nvSpPr>
        <xdr:cNvPr id="1798" name="Line 344">
          <a:extLst>
            <a:ext uri="{FF2B5EF4-FFF2-40B4-BE49-F238E27FC236}">
              <a16:creationId xmlns:a16="http://schemas.microsoft.com/office/drawing/2014/main" id="{00000000-0008-0000-0C00-000006070000}"/>
            </a:ext>
          </a:extLst>
        </xdr:cNvPr>
        <xdr:cNvSpPr>
          <a:spLocks noChangeShapeType="1"/>
        </xdr:cNvSpPr>
      </xdr:nvSpPr>
      <xdr:spPr bwMode="auto">
        <a:xfrm flipH="1">
          <a:off x="33670875" y="11744325"/>
          <a:ext cx="0" cy="600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66675</xdr:colOff>
      <xdr:row>58</xdr:row>
      <xdr:rowOff>152400</xdr:rowOff>
    </xdr:from>
    <xdr:to>
      <xdr:col>6</xdr:col>
      <xdr:colOff>0</xdr:colOff>
      <xdr:row>63</xdr:row>
      <xdr:rowOff>76200</xdr:rowOff>
    </xdr:to>
    <xdr:sp macro="" textlink="">
      <xdr:nvSpPr>
        <xdr:cNvPr id="1799" name="Line 392">
          <a:extLst>
            <a:ext uri="{FF2B5EF4-FFF2-40B4-BE49-F238E27FC236}">
              <a16:creationId xmlns:a16="http://schemas.microsoft.com/office/drawing/2014/main" id="{00000000-0008-0000-0C00-000007070000}"/>
            </a:ext>
          </a:extLst>
        </xdr:cNvPr>
        <xdr:cNvSpPr>
          <a:spLocks noChangeShapeType="1"/>
        </xdr:cNvSpPr>
      </xdr:nvSpPr>
      <xdr:spPr bwMode="auto">
        <a:xfrm flipV="1">
          <a:off x="29394150" y="11249025"/>
          <a:ext cx="381000" cy="781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66675</xdr:colOff>
      <xdr:row>59</xdr:row>
      <xdr:rowOff>0</xdr:rowOff>
    </xdr:from>
    <xdr:to>
      <xdr:col>9</xdr:col>
      <xdr:colOff>0</xdr:colOff>
      <xdr:row>63</xdr:row>
      <xdr:rowOff>76200</xdr:rowOff>
    </xdr:to>
    <xdr:sp macro="" textlink="">
      <xdr:nvSpPr>
        <xdr:cNvPr id="1800" name="Line 392">
          <a:extLst>
            <a:ext uri="{FF2B5EF4-FFF2-40B4-BE49-F238E27FC236}">
              <a16:creationId xmlns:a16="http://schemas.microsoft.com/office/drawing/2014/main" id="{00000000-0008-0000-0C00-000008070000}"/>
            </a:ext>
          </a:extLst>
        </xdr:cNvPr>
        <xdr:cNvSpPr>
          <a:spLocks noChangeShapeType="1"/>
        </xdr:cNvSpPr>
      </xdr:nvSpPr>
      <xdr:spPr bwMode="auto">
        <a:xfrm flipV="1">
          <a:off x="31556325" y="11258550"/>
          <a:ext cx="342900" cy="771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219075</xdr:colOff>
      <xdr:row>0</xdr:row>
      <xdr:rowOff>238125</xdr:rowOff>
    </xdr:from>
    <xdr:to>
      <xdr:col>3</xdr:col>
      <xdr:colOff>885825</xdr:colOff>
      <xdr:row>2</xdr:row>
      <xdr:rowOff>333375</xdr:rowOff>
    </xdr:to>
    <xdr:pic>
      <xdr:nvPicPr>
        <xdr:cNvPr id="1068068" name="Picture 200" descr="Logo UNSS monochrome copie">
          <a:extLst>
            <a:ext uri="{FF2B5EF4-FFF2-40B4-BE49-F238E27FC236}">
              <a16:creationId xmlns:a16="http://schemas.microsoft.com/office/drawing/2014/main" id="{00000000-0008-0000-0D00-0000244C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1050" y="238125"/>
          <a:ext cx="6667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666750</xdr:colOff>
      <xdr:row>122</xdr:row>
      <xdr:rowOff>47625</xdr:rowOff>
    </xdr:from>
    <xdr:to>
      <xdr:col>19</xdr:col>
      <xdr:colOff>742950</xdr:colOff>
      <xdr:row>122</xdr:row>
      <xdr:rowOff>47625</xdr:rowOff>
    </xdr:to>
    <xdr:sp macro="" textlink="">
      <xdr:nvSpPr>
        <xdr:cNvPr id="1068069" name="Line 238">
          <a:extLst>
            <a:ext uri="{FF2B5EF4-FFF2-40B4-BE49-F238E27FC236}">
              <a16:creationId xmlns:a16="http://schemas.microsoft.com/office/drawing/2014/main" id="{00000000-0008-0000-0D00-0000254C1000}"/>
            </a:ext>
          </a:extLst>
        </xdr:cNvPr>
        <xdr:cNvSpPr>
          <a:spLocks noChangeShapeType="1"/>
        </xdr:cNvSpPr>
      </xdr:nvSpPr>
      <xdr:spPr bwMode="auto">
        <a:xfrm>
          <a:off x="13830300" y="21697950"/>
          <a:ext cx="76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0</xdr:colOff>
      <xdr:row>8</xdr:row>
      <xdr:rowOff>0</xdr:rowOff>
    </xdr:from>
    <xdr:to>
      <xdr:col>33</xdr:col>
      <xdr:colOff>76200</xdr:colOff>
      <xdr:row>8</xdr:row>
      <xdr:rowOff>9525</xdr:rowOff>
    </xdr:to>
    <xdr:sp macro="" textlink="">
      <xdr:nvSpPr>
        <xdr:cNvPr id="1068070" name="Line 1">
          <a:extLst>
            <a:ext uri="{FF2B5EF4-FFF2-40B4-BE49-F238E27FC236}">
              <a16:creationId xmlns:a16="http://schemas.microsoft.com/office/drawing/2014/main" id="{00000000-0008-0000-0D00-0000264C1000}"/>
            </a:ext>
          </a:extLst>
        </xdr:cNvPr>
        <xdr:cNvSpPr>
          <a:spLocks noChangeShapeType="1"/>
        </xdr:cNvSpPr>
      </xdr:nvSpPr>
      <xdr:spPr bwMode="auto">
        <a:xfrm>
          <a:off x="2296477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66675</xdr:colOff>
      <xdr:row>8</xdr:row>
      <xdr:rowOff>9525</xdr:rowOff>
    </xdr:from>
    <xdr:to>
      <xdr:col>33</xdr:col>
      <xdr:colOff>66675</xdr:colOff>
      <xdr:row>11</xdr:row>
      <xdr:rowOff>19050</xdr:rowOff>
    </xdr:to>
    <xdr:sp macro="" textlink="">
      <xdr:nvSpPr>
        <xdr:cNvPr id="1068071" name="Line 2">
          <a:extLst>
            <a:ext uri="{FF2B5EF4-FFF2-40B4-BE49-F238E27FC236}">
              <a16:creationId xmlns:a16="http://schemas.microsoft.com/office/drawing/2014/main" id="{00000000-0008-0000-0D00-0000274C1000}"/>
            </a:ext>
          </a:extLst>
        </xdr:cNvPr>
        <xdr:cNvSpPr>
          <a:spLocks noChangeShapeType="1"/>
        </xdr:cNvSpPr>
      </xdr:nvSpPr>
      <xdr:spPr bwMode="auto">
        <a:xfrm>
          <a:off x="2303145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9525</xdr:colOff>
      <xdr:row>11</xdr:row>
      <xdr:rowOff>0</xdr:rowOff>
    </xdr:from>
    <xdr:to>
      <xdr:col>33</xdr:col>
      <xdr:colOff>66675</xdr:colOff>
      <xdr:row>11</xdr:row>
      <xdr:rowOff>9525</xdr:rowOff>
    </xdr:to>
    <xdr:sp macro="" textlink="">
      <xdr:nvSpPr>
        <xdr:cNvPr id="1068072" name="Line 3">
          <a:extLst>
            <a:ext uri="{FF2B5EF4-FFF2-40B4-BE49-F238E27FC236}">
              <a16:creationId xmlns:a16="http://schemas.microsoft.com/office/drawing/2014/main" id="{00000000-0008-0000-0D00-0000284C1000}"/>
            </a:ext>
          </a:extLst>
        </xdr:cNvPr>
        <xdr:cNvSpPr>
          <a:spLocks noChangeShapeType="1"/>
        </xdr:cNvSpPr>
      </xdr:nvSpPr>
      <xdr:spPr bwMode="auto">
        <a:xfrm flipV="1">
          <a:off x="2297430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0</xdr:colOff>
      <xdr:row>8</xdr:row>
      <xdr:rowOff>0</xdr:rowOff>
    </xdr:from>
    <xdr:to>
      <xdr:col>30</xdr:col>
      <xdr:colOff>76200</xdr:colOff>
      <xdr:row>8</xdr:row>
      <xdr:rowOff>9525</xdr:rowOff>
    </xdr:to>
    <xdr:sp macro="" textlink="">
      <xdr:nvSpPr>
        <xdr:cNvPr id="1068073" name="Line 4">
          <a:extLst>
            <a:ext uri="{FF2B5EF4-FFF2-40B4-BE49-F238E27FC236}">
              <a16:creationId xmlns:a16="http://schemas.microsoft.com/office/drawing/2014/main" id="{00000000-0008-0000-0D00-0000294C1000}"/>
            </a:ext>
          </a:extLst>
        </xdr:cNvPr>
        <xdr:cNvSpPr>
          <a:spLocks noChangeShapeType="1"/>
        </xdr:cNvSpPr>
      </xdr:nvSpPr>
      <xdr:spPr bwMode="auto">
        <a:xfrm>
          <a:off x="208026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66675</xdr:colOff>
      <xdr:row>8</xdr:row>
      <xdr:rowOff>9525</xdr:rowOff>
    </xdr:from>
    <xdr:to>
      <xdr:col>30</xdr:col>
      <xdr:colOff>66675</xdr:colOff>
      <xdr:row>11</xdr:row>
      <xdr:rowOff>19050</xdr:rowOff>
    </xdr:to>
    <xdr:sp macro="" textlink="">
      <xdr:nvSpPr>
        <xdr:cNvPr id="1068074" name="Line 5">
          <a:extLst>
            <a:ext uri="{FF2B5EF4-FFF2-40B4-BE49-F238E27FC236}">
              <a16:creationId xmlns:a16="http://schemas.microsoft.com/office/drawing/2014/main" id="{00000000-0008-0000-0D00-00002A4C1000}"/>
            </a:ext>
          </a:extLst>
        </xdr:cNvPr>
        <xdr:cNvSpPr>
          <a:spLocks noChangeShapeType="1"/>
        </xdr:cNvSpPr>
      </xdr:nvSpPr>
      <xdr:spPr bwMode="auto">
        <a:xfrm>
          <a:off x="208692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9525</xdr:colOff>
      <xdr:row>11</xdr:row>
      <xdr:rowOff>0</xdr:rowOff>
    </xdr:from>
    <xdr:to>
      <xdr:col>30</xdr:col>
      <xdr:colOff>66675</xdr:colOff>
      <xdr:row>11</xdr:row>
      <xdr:rowOff>9525</xdr:rowOff>
    </xdr:to>
    <xdr:sp macro="" textlink="">
      <xdr:nvSpPr>
        <xdr:cNvPr id="1068075" name="Line 6">
          <a:extLst>
            <a:ext uri="{FF2B5EF4-FFF2-40B4-BE49-F238E27FC236}">
              <a16:creationId xmlns:a16="http://schemas.microsoft.com/office/drawing/2014/main" id="{00000000-0008-0000-0D00-00002B4C1000}"/>
            </a:ext>
          </a:extLst>
        </xdr:cNvPr>
        <xdr:cNvSpPr>
          <a:spLocks noChangeShapeType="1"/>
        </xdr:cNvSpPr>
      </xdr:nvSpPr>
      <xdr:spPr bwMode="auto">
        <a:xfrm flipV="1">
          <a:off x="208121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0</xdr:rowOff>
    </xdr:from>
    <xdr:to>
      <xdr:col>30</xdr:col>
      <xdr:colOff>76200</xdr:colOff>
      <xdr:row>14</xdr:row>
      <xdr:rowOff>9525</xdr:rowOff>
    </xdr:to>
    <xdr:sp macro="" textlink="">
      <xdr:nvSpPr>
        <xdr:cNvPr id="1068076" name="Line 7">
          <a:extLst>
            <a:ext uri="{FF2B5EF4-FFF2-40B4-BE49-F238E27FC236}">
              <a16:creationId xmlns:a16="http://schemas.microsoft.com/office/drawing/2014/main" id="{00000000-0008-0000-0D00-00002C4C1000}"/>
            </a:ext>
          </a:extLst>
        </xdr:cNvPr>
        <xdr:cNvSpPr>
          <a:spLocks noChangeShapeType="1"/>
        </xdr:cNvSpPr>
      </xdr:nvSpPr>
      <xdr:spPr bwMode="auto">
        <a:xfrm>
          <a:off x="208026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66675</xdr:colOff>
      <xdr:row>14</xdr:row>
      <xdr:rowOff>9525</xdr:rowOff>
    </xdr:from>
    <xdr:to>
      <xdr:col>30</xdr:col>
      <xdr:colOff>66675</xdr:colOff>
      <xdr:row>17</xdr:row>
      <xdr:rowOff>19050</xdr:rowOff>
    </xdr:to>
    <xdr:sp macro="" textlink="">
      <xdr:nvSpPr>
        <xdr:cNvPr id="1068077" name="Line 8">
          <a:extLst>
            <a:ext uri="{FF2B5EF4-FFF2-40B4-BE49-F238E27FC236}">
              <a16:creationId xmlns:a16="http://schemas.microsoft.com/office/drawing/2014/main" id="{00000000-0008-0000-0D00-00002D4C1000}"/>
            </a:ext>
          </a:extLst>
        </xdr:cNvPr>
        <xdr:cNvSpPr>
          <a:spLocks noChangeShapeType="1"/>
        </xdr:cNvSpPr>
      </xdr:nvSpPr>
      <xdr:spPr bwMode="auto">
        <a:xfrm>
          <a:off x="208692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9525</xdr:colOff>
      <xdr:row>17</xdr:row>
      <xdr:rowOff>0</xdr:rowOff>
    </xdr:from>
    <xdr:to>
      <xdr:col>30</xdr:col>
      <xdr:colOff>66675</xdr:colOff>
      <xdr:row>17</xdr:row>
      <xdr:rowOff>9525</xdr:rowOff>
    </xdr:to>
    <xdr:sp macro="" textlink="">
      <xdr:nvSpPr>
        <xdr:cNvPr id="1068078" name="Line 9">
          <a:extLst>
            <a:ext uri="{FF2B5EF4-FFF2-40B4-BE49-F238E27FC236}">
              <a16:creationId xmlns:a16="http://schemas.microsoft.com/office/drawing/2014/main" id="{00000000-0008-0000-0D00-00002E4C1000}"/>
            </a:ext>
          </a:extLst>
        </xdr:cNvPr>
        <xdr:cNvSpPr>
          <a:spLocks noChangeShapeType="1"/>
        </xdr:cNvSpPr>
      </xdr:nvSpPr>
      <xdr:spPr bwMode="auto">
        <a:xfrm flipV="1">
          <a:off x="208121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0</xdr:colOff>
      <xdr:row>20</xdr:row>
      <xdr:rowOff>0</xdr:rowOff>
    </xdr:from>
    <xdr:to>
      <xdr:col>30</xdr:col>
      <xdr:colOff>76200</xdr:colOff>
      <xdr:row>20</xdr:row>
      <xdr:rowOff>9525</xdr:rowOff>
    </xdr:to>
    <xdr:sp macro="" textlink="">
      <xdr:nvSpPr>
        <xdr:cNvPr id="1068079" name="Line 10">
          <a:extLst>
            <a:ext uri="{FF2B5EF4-FFF2-40B4-BE49-F238E27FC236}">
              <a16:creationId xmlns:a16="http://schemas.microsoft.com/office/drawing/2014/main" id="{00000000-0008-0000-0D00-00002F4C1000}"/>
            </a:ext>
          </a:extLst>
        </xdr:cNvPr>
        <xdr:cNvSpPr>
          <a:spLocks noChangeShapeType="1"/>
        </xdr:cNvSpPr>
      </xdr:nvSpPr>
      <xdr:spPr bwMode="auto">
        <a:xfrm>
          <a:off x="208026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66675</xdr:colOff>
      <xdr:row>20</xdr:row>
      <xdr:rowOff>9525</xdr:rowOff>
    </xdr:from>
    <xdr:to>
      <xdr:col>30</xdr:col>
      <xdr:colOff>66675</xdr:colOff>
      <xdr:row>23</xdr:row>
      <xdr:rowOff>19050</xdr:rowOff>
    </xdr:to>
    <xdr:sp macro="" textlink="">
      <xdr:nvSpPr>
        <xdr:cNvPr id="1068080" name="Line 11">
          <a:extLst>
            <a:ext uri="{FF2B5EF4-FFF2-40B4-BE49-F238E27FC236}">
              <a16:creationId xmlns:a16="http://schemas.microsoft.com/office/drawing/2014/main" id="{00000000-0008-0000-0D00-0000304C1000}"/>
            </a:ext>
          </a:extLst>
        </xdr:cNvPr>
        <xdr:cNvSpPr>
          <a:spLocks noChangeShapeType="1"/>
        </xdr:cNvSpPr>
      </xdr:nvSpPr>
      <xdr:spPr bwMode="auto">
        <a:xfrm>
          <a:off x="2086927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9525</xdr:colOff>
      <xdr:row>23</xdr:row>
      <xdr:rowOff>0</xdr:rowOff>
    </xdr:from>
    <xdr:to>
      <xdr:col>30</xdr:col>
      <xdr:colOff>66675</xdr:colOff>
      <xdr:row>23</xdr:row>
      <xdr:rowOff>9525</xdr:rowOff>
    </xdr:to>
    <xdr:sp macro="" textlink="">
      <xdr:nvSpPr>
        <xdr:cNvPr id="1068081" name="Line 12">
          <a:extLst>
            <a:ext uri="{FF2B5EF4-FFF2-40B4-BE49-F238E27FC236}">
              <a16:creationId xmlns:a16="http://schemas.microsoft.com/office/drawing/2014/main" id="{00000000-0008-0000-0D00-0000314C1000}"/>
            </a:ext>
          </a:extLst>
        </xdr:cNvPr>
        <xdr:cNvSpPr>
          <a:spLocks noChangeShapeType="1"/>
        </xdr:cNvSpPr>
      </xdr:nvSpPr>
      <xdr:spPr bwMode="auto">
        <a:xfrm flipV="1">
          <a:off x="208121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0</xdr:colOff>
      <xdr:row>14</xdr:row>
      <xdr:rowOff>0</xdr:rowOff>
    </xdr:from>
    <xdr:to>
      <xdr:col>33</xdr:col>
      <xdr:colOff>76200</xdr:colOff>
      <xdr:row>14</xdr:row>
      <xdr:rowOff>9525</xdr:rowOff>
    </xdr:to>
    <xdr:sp macro="" textlink="">
      <xdr:nvSpPr>
        <xdr:cNvPr id="1068082" name="Line 13">
          <a:extLst>
            <a:ext uri="{FF2B5EF4-FFF2-40B4-BE49-F238E27FC236}">
              <a16:creationId xmlns:a16="http://schemas.microsoft.com/office/drawing/2014/main" id="{00000000-0008-0000-0D00-0000324C1000}"/>
            </a:ext>
          </a:extLst>
        </xdr:cNvPr>
        <xdr:cNvSpPr>
          <a:spLocks noChangeShapeType="1"/>
        </xdr:cNvSpPr>
      </xdr:nvSpPr>
      <xdr:spPr bwMode="auto">
        <a:xfrm>
          <a:off x="2296477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66675</xdr:colOff>
      <xdr:row>14</xdr:row>
      <xdr:rowOff>9525</xdr:rowOff>
    </xdr:from>
    <xdr:to>
      <xdr:col>33</xdr:col>
      <xdr:colOff>66675</xdr:colOff>
      <xdr:row>17</xdr:row>
      <xdr:rowOff>19050</xdr:rowOff>
    </xdr:to>
    <xdr:sp macro="" textlink="">
      <xdr:nvSpPr>
        <xdr:cNvPr id="1068083" name="Line 14">
          <a:extLst>
            <a:ext uri="{FF2B5EF4-FFF2-40B4-BE49-F238E27FC236}">
              <a16:creationId xmlns:a16="http://schemas.microsoft.com/office/drawing/2014/main" id="{00000000-0008-0000-0D00-0000334C1000}"/>
            </a:ext>
          </a:extLst>
        </xdr:cNvPr>
        <xdr:cNvSpPr>
          <a:spLocks noChangeShapeType="1"/>
        </xdr:cNvSpPr>
      </xdr:nvSpPr>
      <xdr:spPr bwMode="auto">
        <a:xfrm>
          <a:off x="2303145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9525</xdr:colOff>
      <xdr:row>17</xdr:row>
      <xdr:rowOff>0</xdr:rowOff>
    </xdr:from>
    <xdr:to>
      <xdr:col>33</xdr:col>
      <xdr:colOff>66675</xdr:colOff>
      <xdr:row>17</xdr:row>
      <xdr:rowOff>9525</xdr:rowOff>
    </xdr:to>
    <xdr:sp macro="" textlink="">
      <xdr:nvSpPr>
        <xdr:cNvPr id="1068084" name="Line 15">
          <a:extLst>
            <a:ext uri="{FF2B5EF4-FFF2-40B4-BE49-F238E27FC236}">
              <a16:creationId xmlns:a16="http://schemas.microsoft.com/office/drawing/2014/main" id="{00000000-0008-0000-0D00-0000344C1000}"/>
            </a:ext>
          </a:extLst>
        </xdr:cNvPr>
        <xdr:cNvSpPr>
          <a:spLocks noChangeShapeType="1"/>
        </xdr:cNvSpPr>
      </xdr:nvSpPr>
      <xdr:spPr bwMode="auto">
        <a:xfrm flipV="1">
          <a:off x="229743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8</xdr:row>
      <xdr:rowOff>0</xdr:rowOff>
    </xdr:from>
    <xdr:to>
      <xdr:col>36</xdr:col>
      <xdr:colOff>76200</xdr:colOff>
      <xdr:row>8</xdr:row>
      <xdr:rowOff>9525</xdr:rowOff>
    </xdr:to>
    <xdr:sp macro="" textlink="">
      <xdr:nvSpPr>
        <xdr:cNvPr id="1068085" name="Line 16">
          <a:extLst>
            <a:ext uri="{FF2B5EF4-FFF2-40B4-BE49-F238E27FC236}">
              <a16:creationId xmlns:a16="http://schemas.microsoft.com/office/drawing/2014/main" id="{00000000-0008-0000-0D00-0000354C1000}"/>
            </a:ext>
          </a:extLst>
        </xdr:cNvPr>
        <xdr:cNvSpPr>
          <a:spLocks noChangeShapeType="1"/>
        </xdr:cNvSpPr>
      </xdr:nvSpPr>
      <xdr:spPr bwMode="auto">
        <a:xfrm>
          <a:off x="2506027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8</xdr:row>
      <xdr:rowOff>9525</xdr:rowOff>
    </xdr:from>
    <xdr:to>
      <xdr:col>36</xdr:col>
      <xdr:colOff>66675</xdr:colOff>
      <xdr:row>11</xdr:row>
      <xdr:rowOff>19050</xdr:rowOff>
    </xdr:to>
    <xdr:sp macro="" textlink="">
      <xdr:nvSpPr>
        <xdr:cNvPr id="1068086" name="Line 17">
          <a:extLst>
            <a:ext uri="{FF2B5EF4-FFF2-40B4-BE49-F238E27FC236}">
              <a16:creationId xmlns:a16="http://schemas.microsoft.com/office/drawing/2014/main" id="{00000000-0008-0000-0D00-0000364C1000}"/>
            </a:ext>
          </a:extLst>
        </xdr:cNvPr>
        <xdr:cNvSpPr>
          <a:spLocks noChangeShapeType="1"/>
        </xdr:cNvSpPr>
      </xdr:nvSpPr>
      <xdr:spPr bwMode="auto">
        <a:xfrm>
          <a:off x="2512695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11</xdr:row>
      <xdr:rowOff>0</xdr:rowOff>
    </xdr:from>
    <xdr:to>
      <xdr:col>36</xdr:col>
      <xdr:colOff>66675</xdr:colOff>
      <xdr:row>11</xdr:row>
      <xdr:rowOff>9525</xdr:rowOff>
    </xdr:to>
    <xdr:sp macro="" textlink="">
      <xdr:nvSpPr>
        <xdr:cNvPr id="1068087" name="Line 18">
          <a:extLst>
            <a:ext uri="{FF2B5EF4-FFF2-40B4-BE49-F238E27FC236}">
              <a16:creationId xmlns:a16="http://schemas.microsoft.com/office/drawing/2014/main" id="{00000000-0008-0000-0D00-0000374C1000}"/>
            </a:ext>
          </a:extLst>
        </xdr:cNvPr>
        <xdr:cNvSpPr>
          <a:spLocks noChangeShapeType="1"/>
        </xdr:cNvSpPr>
      </xdr:nvSpPr>
      <xdr:spPr bwMode="auto">
        <a:xfrm flipV="1">
          <a:off x="2506980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0</xdr:colOff>
      <xdr:row>20</xdr:row>
      <xdr:rowOff>0</xdr:rowOff>
    </xdr:from>
    <xdr:to>
      <xdr:col>33</xdr:col>
      <xdr:colOff>76200</xdr:colOff>
      <xdr:row>20</xdr:row>
      <xdr:rowOff>9525</xdr:rowOff>
    </xdr:to>
    <xdr:sp macro="" textlink="">
      <xdr:nvSpPr>
        <xdr:cNvPr id="1068088" name="Line 19">
          <a:extLst>
            <a:ext uri="{FF2B5EF4-FFF2-40B4-BE49-F238E27FC236}">
              <a16:creationId xmlns:a16="http://schemas.microsoft.com/office/drawing/2014/main" id="{00000000-0008-0000-0D00-0000384C1000}"/>
            </a:ext>
          </a:extLst>
        </xdr:cNvPr>
        <xdr:cNvSpPr>
          <a:spLocks noChangeShapeType="1"/>
        </xdr:cNvSpPr>
      </xdr:nvSpPr>
      <xdr:spPr bwMode="auto">
        <a:xfrm>
          <a:off x="229647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66675</xdr:colOff>
      <xdr:row>20</xdr:row>
      <xdr:rowOff>9525</xdr:rowOff>
    </xdr:from>
    <xdr:to>
      <xdr:col>33</xdr:col>
      <xdr:colOff>66675</xdr:colOff>
      <xdr:row>23</xdr:row>
      <xdr:rowOff>19050</xdr:rowOff>
    </xdr:to>
    <xdr:sp macro="" textlink="">
      <xdr:nvSpPr>
        <xdr:cNvPr id="1068089" name="Line 20">
          <a:extLst>
            <a:ext uri="{FF2B5EF4-FFF2-40B4-BE49-F238E27FC236}">
              <a16:creationId xmlns:a16="http://schemas.microsoft.com/office/drawing/2014/main" id="{00000000-0008-0000-0D00-0000394C1000}"/>
            </a:ext>
          </a:extLst>
        </xdr:cNvPr>
        <xdr:cNvSpPr>
          <a:spLocks noChangeShapeType="1"/>
        </xdr:cNvSpPr>
      </xdr:nvSpPr>
      <xdr:spPr bwMode="auto">
        <a:xfrm>
          <a:off x="2303145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9525</xdr:colOff>
      <xdr:row>23</xdr:row>
      <xdr:rowOff>0</xdr:rowOff>
    </xdr:from>
    <xdr:to>
      <xdr:col>33</xdr:col>
      <xdr:colOff>66675</xdr:colOff>
      <xdr:row>23</xdr:row>
      <xdr:rowOff>9525</xdr:rowOff>
    </xdr:to>
    <xdr:sp macro="" textlink="">
      <xdr:nvSpPr>
        <xdr:cNvPr id="1068090" name="Line 21">
          <a:extLst>
            <a:ext uri="{FF2B5EF4-FFF2-40B4-BE49-F238E27FC236}">
              <a16:creationId xmlns:a16="http://schemas.microsoft.com/office/drawing/2014/main" id="{00000000-0008-0000-0D00-00003A4C1000}"/>
            </a:ext>
          </a:extLst>
        </xdr:cNvPr>
        <xdr:cNvSpPr>
          <a:spLocks noChangeShapeType="1"/>
        </xdr:cNvSpPr>
      </xdr:nvSpPr>
      <xdr:spPr bwMode="auto">
        <a:xfrm flipV="1">
          <a:off x="2297430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14</xdr:row>
      <xdr:rowOff>0</xdr:rowOff>
    </xdr:from>
    <xdr:to>
      <xdr:col>36</xdr:col>
      <xdr:colOff>76200</xdr:colOff>
      <xdr:row>14</xdr:row>
      <xdr:rowOff>9525</xdr:rowOff>
    </xdr:to>
    <xdr:sp macro="" textlink="">
      <xdr:nvSpPr>
        <xdr:cNvPr id="1068091" name="Line 22">
          <a:extLst>
            <a:ext uri="{FF2B5EF4-FFF2-40B4-BE49-F238E27FC236}">
              <a16:creationId xmlns:a16="http://schemas.microsoft.com/office/drawing/2014/main" id="{00000000-0008-0000-0D00-00003B4C1000}"/>
            </a:ext>
          </a:extLst>
        </xdr:cNvPr>
        <xdr:cNvSpPr>
          <a:spLocks noChangeShapeType="1"/>
        </xdr:cNvSpPr>
      </xdr:nvSpPr>
      <xdr:spPr bwMode="auto">
        <a:xfrm>
          <a:off x="2506027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14</xdr:row>
      <xdr:rowOff>9525</xdr:rowOff>
    </xdr:from>
    <xdr:to>
      <xdr:col>36</xdr:col>
      <xdr:colOff>66675</xdr:colOff>
      <xdr:row>17</xdr:row>
      <xdr:rowOff>19050</xdr:rowOff>
    </xdr:to>
    <xdr:sp macro="" textlink="">
      <xdr:nvSpPr>
        <xdr:cNvPr id="1068092" name="Line 23">
          <a:extLst>
            <a:ext uri="{FF2B5EF4-FFF2-40B4-BE49-F238E27FC236}">
              <a16:creationId xmlns:a16="http://schemas.microsoft.com/office/drawing/2014/main" id="{00000000-0008-0000-0D00-00003C4C1000}"/>
            </a:ext>
          </a:extLst>
        </xdr:cNvPr>
        <xdr:cNvSpPr>
          <a:spLocks noChangeShapeType="1"/>
        </xdr:cNvSpPr>
      </xdr:nvSpPr>
      <xdr:spPr bwMode="auto">
        <a:xfrm>
          <a:off x="2512695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17</xdr:row>
      <xdr:rowOff>0</xdr:rowOff>
    </xdr:from>
    <xdr:to>
      <xdr:col>36</xdr:col>
      <xdr:colOff>66675</xdr:colOff>
      <xdr:row>17</xdr:row>
      <xdr:rowOff>9525</xdr:rowOff>
    </xdr:to>
    <xdr:sp macro="" textlink="">
      <xdr:nvSpPr>
        <xdr:cNvPr id="1068093" name="Line 24">
          <a:extLst>
            <a:ext uri="{FF2B5EF4-FFF2-40B4-BE49-F238E27FC236}">
              <a16:creationId xmlns:a16="http://schemas.microsoft.com/office/drawing/2014/main" id="{00000000-0008-0000-0D00-00003D4C1000}"/>
            </a:ext>
          </a:extLst>
        </xdr:cNvPr>
        <xdr:cNvSpPr>
          <a:spLocks noChangeShapeType="1"/>
        </xdr:cNvSpPr>
      </xdr:nvSpPr>
      <xdr:spPr bwMode="auto">
        <a:xfrm flipV="1">
          <a:off x="250698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20</xdr:row>
      <xdr:rowOff>0</xdr:rowOff>
    </xdr:from>
    <xdr:to>
      <xdr:col>36</xdr:col>
      <xdr:colOff>76200</xdr:colOff>
      <xdr:row>20</xdr:row>
      <xdr:rowOff>9525</xdr:rowOff>
    </xdr:to>
    <xdr:sp macro="" textlink="">
      <xdr:nvSpPr>
        <xdr:cNvPr id="1068094" name="Line 25">
          <a:extLst>
            <a:ext uri="{FF2B5EF4-FFF2-40B4-BE49-F238E27FC236}">
              <a16:creationId xmlns:a16="http://schemas.microsoft.com/office/drawing/2014/main" id="{00000000-0008-0000-0D00-00003E4C1000}"/>
            </a:ext>
          </a:extLst>
        </xdr:cNvPr>
        <xdr:cNvSpPr>
          <a:spLocks noChangeShapeType="1"/>
        </xdr:cNvSpPr>
      </xdr:nvSpPr>
      <xdr:spPr bwMode="auto">
        <a:xfrm>
          <a:off x="250602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20</xdr:row>
      <xdr:rowOff>9525</xdr:rowOff>
    </xdr:from>
    <xdr:to>
      <xdr:col>36</xdr:col>
      <xdr:colOff>66675</xdr:colOff>
      <xdr:row>23</xdr:row>
      <xdr:rowOff>19050</xdr:rowOff>
    </xdr:to>
    <xdr:sp macro="" textlink="">
      <xdr:nvSpPr>
        <xdr:cNvPr id="1068095" name="Line 26">
          <a:extLst>
            <a:ext uri="{FF2B5EF4-FFF2-40B4-BE49-F238E27FC236}">
              <a16:creationId xmlns:a16="http://schemas.microsoft.com/office/drawing/2014/main" id="{00000000-0008-0000-0D00-00003F4C1000}"/>
            </a:ext>
          </a:extLst>
        </xdr:cNvPr>
        <xdr:cNvSpPr>
          <a:spLocks noChangeShapeType="1"/>
        </xdr:cNvSpPr>
      </xdr:nvSpPr>
      <xdr:spPr bwMode="auto">
        <a:xfrm>
          <a:off x="2512695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23</xdr:row>
      <xdr:rowOff>0</xdr:rowOff>
    </xdr:from>
    <xdr:to>
      <xdr:col>36</xdr:col>
      <xdr:colOff>66675</xdr:colOff>
      <xdr:row>23</xdr:row>
      <xdr:rowOff>9525</xdr:rowOff>
    </xdr:to>
    <xdr:sp macro="" textlink="">
      <xdr:nvSpPr>
        <xdr:cNvPr id="1068096" name="Line 27">
          <a:extLst>
            <a:ext uri="{FF2B5EF4-FFF2-40B4-BE49-F238E27FC236}">
              <a16:creationId xmlns:a16="http://schemas.microsoft.com/office/drawing/2014/main" id="{00000000-0008-0000-0D00-0000404C1000}"/>
            </a:ext>
          </a:extLst>
        </xdr:cNvPr>
        <xdr:cNvSpPr>
          <a:spLocks noChangeShapeType="1"/>
        </xdr:cNvSpPr>
      </xdr:nvSpPr>
      <xdr:spPr bwMode="auto">
        <a:xfrm flipV="1">
          <a:off x="2506980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26</xdr:row>
      <xdr:rowOff>0</xdr:rowOff>
    </xdr:from>
    <xdr:to>
      <xdr:col>36</xdr:col>
      <xdr:colOff>76200</xdr:colOff>
      <xdr:row>26</xdr:row>
      <xdr:rowOff>9525</xdr:rowOff>
    </xdr:to>
    <xdr:sp macro="" textlink="">
      <xdr:nvSpPr>
        <xdr:cNvPr id="1068097" name="Line 28">
          <a:extLst>
            <a:ext uri="{FF2B5EF4-FFF2-40B4-BE49-F238E27FC236}">
              <a16:creationId xmlns:a16="http://schemas.microsoft.com/office/drawing/2014/main" id="{00000000-0008-0000-0D00-0000414C1000}"/>
            </a:ext>
          </a:extLst>
        </xdr:cNvPr>
        <xdr:cNvSpPr>
          <a:spLocks noChangeShapeType="1"/>
        </xdr:cNvSpPr>
      </xdr:nvSpPr>
      <xdr:spPr bwMode="auto">
        <a:xfrm>
          <a:off x="2506027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26</xdr:row>
      <xdr:rowOff>9525</xdr:rowOff>
    </xdr:from>
    <xdr:to>
      <xdr:col>36</xdr:col>
      <xdr:colOff>66675</xdr:colOff>
      <xdr:row>29</xdr:row>
      <xdr:rowOff>19050</xdr:rowOff>
    </xdr:to>
    <xdr:sp macro="" textlink="">
      <xdr:nvSpPr>
        <xdr:cNvPr id="1068098" name="Line 29">
          <a:extLst>
            <a:ext uri="{FF2B5EF4-FFF2-40B4-BE49-F238E27FC236}">
              <a16:creationId xmlns:a16="http://schemas.microsoft.com/office/drawing/2014/main" id="{00000000-0008-0000-0D00-0000424C1000}"/>
            </a:ext>
          </a:extLst>
        </xdr:cNvPr>
        <xdr:cNvSpPr>
          <a:spLocks noChangeShapeType="1"/>
        </xdr:cNvSpPr>
      </xdr:nvSpPr>
      <xdr:spPr bwMode="auto">
        <a:xfrm>
          <a:off x="2512695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29</xdr:row>
      <xdr:rowOff>0</xdr:rowOff>
    </xdr:from>
    <xdr:to>
      <xdr:col>36</xdr:col>
      <xdr:colOff>66675</xdr:colOff>
      <xdr:row>29</xdr:row>
      <xdr:rowOff>9525</xdr:rowOff>
    </xdr:to>
    <xdr:sp macro="" textlink="">
      <xdr:nvSpPr>
        <xdr:cNvPr id="1068099" name="Line 30">
          <a:extLst>
            <a:ext uri="{FF2B5EF4-FFF2-40B4-BE49-F238E27FC236}">
              <a16:creationId xmlns:a16="http://schemas.microsoft.com/office/drawing/2014/main" id="{00000000-0008-0000-0D00-0000434C1000}"/>
            </a:ext>
          </a:extLst>
        </xdr:cNvPr>
        <xdr:cNvSpPr>
          <a:spLocks noChangeShapeType="1"/>
        </xdr:cNvSpPr>
      </xdr:nvSpPr>
      <xdr:spPr bwMode="auto">
        <a:xfrm flipV="1">
          <a:off x="2506980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0</xdr:colOff>
      <xdr:row>26</xdr:row>
      <xdr:rowOff>0</xdr:rowOff>
    </xdr:from>
    <xdr:to>
      <xdr:col>33</xdr:col>
      <xdr:colOff>76200</xdr:colOff>
      <xdr:row>26</xdr:row>
      <xdr:rowOff>9525</xdr:rowOff>
    </xdr:to>
    <xdr:sp macro="" textlink="">
      <xdr:nvSpPr>
        <xdr:cNvPr id="1068100" name="Line 31">
          <a:extLst>
            <a:ext uri="{FF2B5EF4-FFF2-40B4-BE49-F238E27FC236}">
              <a16:creationId xmlns:a16="http://schemas.microsoft.com/office/drawing/2014/main" id="{00000000-0008-0000-0D00-0000444C1000}"/>
            </a:ext>
          </a:extLst>
        </xdr:cNvPr>
        <xdr:cNvSpPr>
          <a:spLocks noChangeShapeType="1"/>
        </xdr:cNvSpPr>
      </xdr:nvSpPr>
      <xdr:spPr bwMode="auto">
        <a:xfrm>
          <a:off x="2296477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66675</xdr:colOff>
      <xdr:row>26</xdr:row>
      <xdr:rowOff>9525</xdr:rowOff>
    </xdr:from>
    <xdr:to>
      <xdr:col>33</xdr:col>
      <xdr:colOff>66675</xdr:colOff>
      <xdr:row>29</xdr:row>
      <xdr:rowOff>19050</xdr:rowOff>
    </xdr:to>
    <xdr:sp macro="" textlink="">
      <xdr:nvSpPr>
        <xdr:cNvPr id="1068101" name="Line 32">
          <a:extLst>
            <a:ext uri="{FF2B5EF4-FFF2-40B4-BE49-F238E27FC236}">
              <a16:creationId xmlns:a16="http://schemas.microsoft.com/office/drawing/2014/main" id="{00000000-0008-0000-0D00-0000454C1000}"/>
            </a:ext>
          </a:extLst>
        </xdr:cNvPr>
        <xdr:cNvSpPr>
          <a:spLocks noChangeShapeType="1"/>
        </xdr:cNvSpPr>
      </xdr:nvSpPr>
      <xdr:spPr bwMode="auto">
        <a:xfrm>
          <a:off x="2303145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9525</xdr:colOff>
      <xdr:row>29</xdr:row>
      <xdr:rowOff>0</xdr:rowOff>
    </xdr:from>
    <xdr:to>
      <xdr:col>33</xdr:col>
      <xdr:colOff>66675</xdr:colOff>
      <xdr:row>29</xdr:row>
      <xdr:rowOff>9525</xdr:rowOff>
    </xdr:to>
    <xdr:sp macro="" textlink="">
      <xdr:nvSpPr>
        <xdr:cNvPr id="1068102" name="Line 33">
          <a:extLst>
            <a:ext uri="{FF2B5EF4-FFF2-40B4-BE49-F238E27FC236}">
              <a16:creationId xmlns:a16="http://schemas.microsoft.com/office/drawing/2014/main" id="{00000000-0008-0000-0D00-0000464C1000}"/>
            </a:ext>
          </a:extLst>
        </xdr:cNvPr>
        <xdr:cNvSpPr>
          <a:spLocks noChangeShapeType="1"/>
        </xdr:cNvSpPr>
      </xdr:nvSpPr>
      <xdr:spPr bwMode="auto">
        <a:xfrm flipV="1">
          <a:off x="2297430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0</xdr:colOff>
      <xdr:row>26</xdr:row>
      <xdr:rowOff>0</xdr:rowOff>
    </xdr:from>
    <xdr:to>
      <xdr:col>30</xdr:col>
      <xdr:colOff>76200</xdr:colOff>
      <xdr:row>26</xdr:row>
      <xdr:rowOff>9525</xdr:rowOff>
    </xdr:to>
    <xdr:sp macro="" textlink="">
      <xdr:nvSpPr>
        <xdr:cNvPr id="1068103" name="Line 34">
          <a:extLst>
            <a:ext uri="{FF2B5EF4-FFF2-40B4-BE49-F238E27FC236}">
              <a16:creationId xmlns:a16="http://schemas.microsoft.com/office/drawing/2014/main" id="{00000000-0008-0000-0D00-0000474C1000}"/>
            </a:ext>
          </a:extLst>
        </xdr:cNvPr>
        <xdr:cNvSpPr>
          <a:spLocks noChangeShapeType="1"/>
        </xdr:cNvSpPr>
      </xdr:nvSpPr>
      <xdr:spPr bwMode="auto">
        <a:xfrm>
          <a:off x="2080260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66675</xdr:colOff>
      <xdr:row>26</xdr:row>
      <xdr:rowOff>9525</xdr:rowOff>
    </xdr:from>
    <xdr:to>
      <xdr:col>30</xdr:col>
      <xdr:colOff>66675</xdr:colOff>
      <xdr:row>29</xdr:row>
      <xdr:rowOff>19050</xdr:rowOff>
    </xdr:to>
    <xdr:sp macro="" textlink="">
      <xdr:nvSpPr>
        <xdr:cNvPr id="1068104" name="Line 35">
          <a:extLst>
            <a:ext uri="{FF2B5EF4-FFF2-40B4-BE49-F238E27FC236}">
              <a16:creationId xmlns:a16="http://schemas.microsoft.com/office/drawing/2014/main" id="{00000000-0008-0000-0D00-0000484C1000}"/>
            </a:ext>
          </a:extLst>
        </xdr:cNvPr>
        <xdr:cNvSpPr>
          <a:spLocks noChangeShapeType="1"/>
        </xdr:cNvSpPr>
      </xdr:nvSpPr>
      <xdr:spPr bwMode="auto">
        <a:xfrm>
          <a:off x="2086927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9525</xdr:colOff>
      <xdr:row>29</xdr:row>
      <xdr:rowOff>0</xdr:rowOff>
    </xdr:from>
    <xdr:to>
      <xdr:col>30</xdr:col>
      <xdr:colOff>66675</xdr:colOff>
      <xdr:row>29</xdr:row>
      <xdr:rowOff>9525</xdr:rowOff>
    </xdr:to>
    <xdr:sp macro="" textlink="">
      <xdr:nvSpPr>
        <xdr:cNvPr id="1068105" name="Line 36">
          <a:extLst>
            <a:ext uri="{FF2B5EF4-FFF2-40B4-BE49-F238E27FC236}">
              <a16:creationId xmlns:a16="http://schemas.microsoft.com/office/drawing/2014/main" id="{00000000-0008-0000-0D00-0000494C1000}"/>
            </a:ext>
          </a:extLst>
        </xdr:cNvPr>
        <xdr:cNvSpPr>
          <a:spLocks noChangeShapeType="1"/>
        </xdr:cNvSpPr>
      </xdr:nvSpPr>
      <xdr:spPr bwMode="auto">
        <a:xfrm flipV="1">
          <a:off x="2081212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0</xdr:colOff>
      <xdr:row>32</xdr:row>
      <xdr:rowOff>0</xdr:rowOff>
    </xdr:from>
    <xdr:to>
      <xdr:col>30</xdr:col>
      <xdr:colOff>76200</xdr:colOff>
      <xdr:row>32</xdr:row>
      <xdr:rowOff>9525</xdr:rowOff>
    </xdr:to>
    <xdr:sp macro="" textlink="">
      <xdr:nvSpPr>
        <xdr:cNvPr id="1068106" name="Line 37">
          <a:extLst>
            <a:ext uri="{FF2B5EF4-FFF2-40B4-BE49-F238E27FC236}">
              <a16:creationId xmlns:a16="http://schemas.microsoft.com/office/drawing/2014/main" id="{00000000-0008-0000-0D00-00004A4C1000}"/>
            </a:ext>
          </a:extLst>
        </xdr:cNvPr>
        <xdr:cNvSpPr>
          <a:spLocks noChangeShapeType="1"/>
        </xdr:cNvSpPr>
      </xdr:nvSpPr>
      <xdr:spPr bwMode="auto">
        <a:xfrm>
          <a:off x="208026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66675</xdr:colOff>
      <xdr:row>32</xdr:row>
      <xdr:rowOff>9525</xdr:rowOff>
    </xdr:from>
    <xdr:to>
      <xdr:col>30</xdr:col>
      <xdr:colOff>66675</xdr:colOff>
      <xdr:row>35</xdr:row>
      <xdr:rowOff>19050</xdr:rowOff>
    </xdr:to>
    <xdr:sp macro="" textlink="">
      <xdr:nvSpPr>
        <xdr:cNvPr id="1068107" name="Line 38">
          <a:extLst>
            <a:ext uri="{FF2B5EF4-FFF2-40B4-BE49-F238E27FC236}">
              <a16:creationId xmlns:a16="http://schemas.microsoft.com/office/drawing/2014/main" id="{00000000-0008-0000-0D00-00004B4C1000}"/>
            </a:ext>
          </a:extLst>
        </xdr:cNvPr>
        <xdr:cNvSpPr>
          <a:spLocks noChangeShapeType="1"/>
        </xdr:cNvSpPr>
      </xdr:nvSpPr>
      <xdr:spPr bwMode="auto">
        <a:xfrm>
          <a:off x="2086927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9525</xdr:colOff>
      <xdr:row>35</xdr:row>
      <xdr:rowOff>0</xdr:rowOff>
    </xdr:from>
    <xdr:to>
      <xdr:col>30</xdr:col>
      <xdr:colOff>66675</xdr:colOff>
      <xdr:row>35</xdr:row>
      <xdr:rowOff>9525</xdr:rowOff>
    </xdr:to>
    <xdr:sp macro="" textlink="">
      <xdr:nvSpPr>
        <xdr:cNvPr id="1068108" name="Line 39">
          <a:extLst>
            <a:ext uri="{FF2B5EF4-FFF2-40B4-BE49-F238E27FC236}">
              <a16:creationId xmlns:a16="http://schemas.microsoft.com/office/drawing/2014/main" id="{00000000-0008-0000-0D00-00004C4C1000}"/>
            </a:ext>
          </a:extLst>
        </xdr:cNvPr>
        <xdr:cNvSpPr>
          <a:spLocks noChangeShapeType="1"/>
        </xdr:cNvSpPr>
      </xdr:nvSpPr>
      <xdr:spPr bwMode="auto">
        <a:xfrm flipV="1">
          <a:off x="208121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0</xdr:colOff>
      <xdr:row>32</xdr:row>
      <xdr:rowOff>0</xdr:rowOff>
    </xdr:from>
    <xdr:to>
      <xdr:col>33</xdr:col>
      <xdr:colOff>76200</xdr:colOff>
      <xdr:row>32</xdr:row>
      <xdr:rowOff>9525</xdr:rowOff>
    </xdr:to>
    <xdr:sp macro="" textlink="">
      <xdr:nvSpPr>
        <xdr:cNvPr id="1068109" name="Line 40">
          <a:extLst>
            <a:ext uri="{FF2B5EF4-FFF2-40B4-BE49-F238E27FC236}">
              <a16:creationId xmlns:a16="http://schemas.microsoft.com/office/drawing/2014/main" id="{00000000-0008-0000-0D00-00004D4C1000}"/>
            </a:ext>
          </a:extLst>
        </xdr:cNvPr>
        <xdr:cNvSpPr>
          <a:spLocks noChangeShapeType="1"/>
        </xdr:cNvSpPr>
      </xdr:nvSpPr>
      <xdr:spPr bwMode="auto">
        <a:xfrm>
          <a:off x="2296477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66675</xdr:colOff>
      <xdr:row>32</xdr:row>
      <xdr:rowOff>9525</xdr:rowOff>
    </xdr:from>
    <xdr:to>
      <xdr:col>33</xdr:col>
      <xdr:colOff>66675</xdr:colOff>
      <xdr:row>35</xdr:row>
      <xdr:rowOff>19050</xdr:rowOff>
    </xdr:to>
    <xdr:sp macro="" textlink="">
      <xdr:nvSpPr>
        <xdr:cNvPr id="1068110" name="Line 41">
          <a:extLst>
            <a:ext uri="{FF2B5EF4-FFF2-40B4-BE49-F238E27FC236}">
              <a16:creationId xmlns:a16="http://schemas.microsoft.com/office/drawing/2014/main" id="{00000000-0008-0000-0D00-00004E4C1000}"/>
            </a:ext>
          </a:extLst>
        </xdr:cNvPr>
        <xdr:cNvSpPr>
          <a:spLocks noChangeShapeType="1"/>
        </xdr:cNvSpPr>
      </xdr:nvSpPr>
      <xdr:spPr bwMode="auto">
        <a:xfrm>
          <a:off x="2303145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9525</xdr:colOff>
      <xdr:row>35</xdr:row>
      <xdr:rowOff>0</xdr:rowOff>
    </xdr:from>
    <xdr:to>
      <xdr:col>33</xdr:col>
      <xdr:colOff>66675</xdr:colOff>
      <xdr:row>35</xdr:row>
      <xdr:rowOff>9525</xdr:rowOff>
    </xdr:to>
    <xdr:sp macro="" textlink="">
      <xdr:nvSpPr>
        <xdr:cNvPr id="1068111" name="Line 42">
          <a:extLst>
            <a:ext uri="{FF2B5EF4-FFF2-40B4-BE49-F238E27FC236}">
              <a16:creationId xmlns:a16="http://schemas.microsoft.com/office/drawing/2014/main" id="{00000000-0008-0000-0D00-00004F4C1000}"/>
            </a:ext>
          </a:extLst>
        </xdr:cNvPr>
        <xdr:cNvSpPr>
          <a:spLocks noChangeShapeType="1"/>
        </xdr:cNvSpPr>
      </xdr:nvSpPr>
      <xdr:spPr bwMode="auto">
        <a:xfrm flipV="1">
          <a:off x="2297430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32</xdr:row>
      <xdr:rowOff>0</xdr:rowOff>
    </xdr:from>
    <xdr:to>
      <xdr:col>36</xdr:col>
      <xdr:colOff>76200</xdr:colOff>
      <xdr:row>32</xdr:row>
      <xdr:rowOff>9525</xdr:rowOff>
    </xdr:to>
    <xdr:sp macro="" textlink="">
      <xdr:nvSpPr>
        <xdr:cNvPr id="1068112" name="Line 43">
          <a:extLst>
            <a:ext uri="{FF2B5EF4-FFF2-40B4-BE49-F238E27FC236}">
              <a16:creationId xmlns:a16="http://schemas.microsoft.com/office/drawing/2014/main" id="{00000000-0008-0000-0D00-0000504C1000}"/>
            </a:ext>
          </a:extLst>
        </xdr:cNvPr>
        <xdr:cNvSpPr>
          <a:spLocks noChangeShapeType="1"/>
        </xdr:cNvSpPr>
      </xdr:nvSpPr>
      <xdr:spPr bwMode="auto">
        <a:xfrm>
          <a:off x="2506027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32</xdr:row>
      <xdr:rowOff>9525</xdr:rowOff>
    </xdr:from>
    <xdr:to>
      <xdr:col>36</xdr:col>
      <xdr:colOff>66675</xdr:colOff>
      <xdr:row>35</xdr:row>
      <xdr:rowOff>19050</xdr:rowOff>
    </xdr:to>
    <xdr:sp macro="" textlink="">
      <xdr:nvSpPr>
        <xdr:cNvPr id="1068113" name="Line 44">
          <a:extLst>
            <a:ext uri="{FF2B5EF4-FFF2-40B4-BE49-F238E27FC236}">
              <a16:creationId xmlns:a16="http://schemas.microsoft.com/office/drawing/2014/main" id="{00000000-0008-0000-0D00-0000514C1000}"/>
            </a:ext>
          </a:extLst>
        </xdr:cNvPr>
        <xdr:cNvSpPr>
          <a:spLocks noChangeShapeType="1"/>
        </xdr:cNvSpPr>
      </xdr:nvSpPr>
      <xdr:spPr bwMode="auto">
        <a:xfrm>
          <a:off x="2512695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35</xdr:row>
      <xdr:rowOff>0</xdr:rowOff>
    </xdr:from>
    <xdr:to>
      <xdr:col>36</xdr:col>
      <xdr:colOff>66675</xdr:colOff>
      <xdr:row>35</xdr:row>
      <xdr:rowOff>9525</xdr:rowOff>
    </xdr:to>
    <xdr:sp macro="" textlink="">
      <xdr:nvSpPr>
        <xdr:cNvPr id="1068114" name="Line 45">
          <a:extLst>
            <a:ext uri="{FF2B5EF4-FFF2-40B4-BE49-F238E27FC236}">
              <a16:creationId xmlns:a16="http://schemas.microsoft.com/office/drawing/2014/main" id="{00000000-0008-0000-0D00-0000524C1000}"/>
            </a:ext>
          </a:extLst>
        </xdr:cNvPr>
        <xdr:cNvSpPr>
          <a:spLocks noChangeShapeType="1"/>
        </xdr:cNvSpPr>
      </xdr:nvSpPr>
      <xdr:spPr bwMode="auto">
        <a:xfrm flipV="1">
          <a:off x="2506980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0</xdr:colOff>
      <xdr:row>38</xdr:row>
      <xdr:rowOff>0</xdr:rowOff>
    </xdr:from>
    <xdr:to>
      <xdr:col>30</xdr:col>
      <xdr:colOff>76200</xdr:colOff>
      <xdr:row>38</xdr:row>
      <xdr:rowOff>9525</xdr:rowOff>
    </xdr:to>
    <xdr:sp macro="" textlink="">
      <xdr:nvSpPr>
        <xdr:cNvPr id="1068115" name="Line 46">
          <a:extLst>
            <a:ext uri="{FF2B5EF4-FFF2-40B4-BE49-F238E27FC236}">
              <a16:creationId xmlns:a16="http://schemas.microsoft.com/office/drawing/2014/main" id="{00000000-0008-0000-0D00-0000534C1000}"/>
            </a:ext>
          </a:extLst>
        </xdr:cNvPr>
        <xdr:cNvSpPr>
          <a:spLocks noChangeShapeType="1"/>
        </xdr:cNvSpPr>
      </xdr:nvSpPr>
      <xdr:spPr bwMode="auto">
        <a:xfrm>
          <a:off x="2080260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9525</xdr:colOff>
      <xdr:row>41</xdr:row>
      <xdr:rowOff>0</xdr:rowOff>
    </xdr:from>
    <xdr:to>
      <xdr:col>30</xdr:col>
      <xdr:colOff>66675</xdr:colOff>
      <xdr:row>41</xdr:row>
      <xdr:rowOff>9525</xdr:rowOff>
    </xdr:to>
    <xdr:sp macro="" textlink="">
      <xdr:nvSpPr>
        <xdr:cNvPr id="1068116" name="Line 48">
          <a:extLst>
            <a:ext uri="{FF2B5EF4-FFF2-40B4-BE49-F238E27FC236}">
              <a16:creationId xmlns:a16="http://schemas.microsoft.com/office/drawing/2014/main" id="{00000000-0008-0000-0D00-0000544C1000}"/>
            </a:ext>
          </a:extLst>
        </xdr:cNvPr>
        <xdr:cNvSpPr>
          <a:spLocks noChangeShapeType="1"/>
        </xdr:cNvSpPr>
      </xdr:nvSpPr>
      <xdr:spPr bwMode="auto">
        <a:xfrm flipV="1">
          <a:off x="2081212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0</xdr:colOff>
      <xdr:row>38</xdr:row>
      <xdr:rowOff>0</xdr:rowOff>
    </xdr:from>
    <xdr:to>
      <xdr:col>33</xdr:col>
      <xdr:colOff>76200</xdr:colOff>
      <xdr:row>38</xdr:row>
      <xdr:rowOff>9525</xdr:rowOff>
    </xdr:to>
    <xdr:sp macro="" textlink="">
      <xdr:nvSpPr>
        <xdr:cNvPr id="1068117" name="Line 49">
          <a:extLst>
            <a:ext uri="{FF2B5EF4-FFF2-40B4-BE49-F238E27FC236}">
              <a16:creationId xmlns:a16="http://schemas.microsoft.com/office/drawing/2014/main" id="{00000000-0008-0000-0D00-0000554C1000}"/>
            </a:ext>
          </a:extLst>
        </xdr:cNvPr>
        <xdr:cNvSpPr>
          <a:spLocks noChangeShapeType="1"/>
        </xdr:cNvSpPr>
      </xdr:nvSpPr>
      <xdr:spPr bwMode="auto">
        <a:xfrm>
          <a:off x="229647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66675</xdr:colOff>
      <xdr:row>38</xdr:row>
      <xdr:rowOff>9525</xdr:rowOff>
    </xdr:from>
    <xdr:to>
      <xdr:col>33</xdr:col>
      <xdr:colOff>66675</xdr:colOff>
      <xdr:row>41</xdr:row>
      <xdr:rowOff>19050</xdr:rowOff>
    </xdr:to>
    <xdr:sp macro="" textlink="">
      <xdr:nvSpPr>
        <xdr:cNvPr id="1068118" name="Line 50">
          <a:extLst>
            <a:ext uri="{FF2B5EF4-FFF2-40B4-BE49-F238E27FC236}">
              <a16:creationId xmlns:a16="http://schemas.microsoft.com/office/drawing/2014/main" id="{00000000-0008-0000-0D00-0000564C1000}"/>
            </a:ext>
          </a:extLst>
        </xdr:cNvPr>
        <xdr:cNvSpPr>
          <a:spLocks noChangeShapeType="1"/>
        </xdr:cNvSpPr>
      </xdr:nvSpPr>
      <xdr:spPr bwMode="auto">
        <a:xfrm>
          <a:off x="23031450"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9525</xdr:colOff>
      <xdr:row>41</xdr:row>
      <xdr:rowOff>0</xdr:rowOff>
    </xdr:from>
    <xdr:to>
      <xdr:col>33</xdr:col>
      <xdr:colOff>66675</xdr:colOff>
      <xdr:row>41</xdr:row>
      <xdr:rowOff>9525</xdr:rowOff>
    </xdr:to>
    <xdr:sp macro="" textlink="">
      <xdr:nvSpPr>
        <xdr:cNvPr id="1068119" name="Line 51">
          <a:extLst>
            <a:ext uri="{FF2B5EF4-FFF2-40B4-BE49-F238E27FC236}">
              <a16:creationId xmlns:a16="http://schemas.microsoft.com/office/drawing/2014/main" id="{00000000-0008-0000-0D00-0000574C1000}"/>
            </a:ext>
          </a:extLst>
        </xdr:cNvPr>
        <xdr:cNvSpPr>
          <a:spLocks noChangeShapeType="1"/>
        </xdr:cNvSpPr>
      </xdr:nvSpPr>
      <xdr:spPr bwMode="auto">
        <a:xfrm flipV="1">
          <a:off x="229743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38</xdr:row>
      <xdr:rowOff>0</xdr:rowOff>
    </xdr:from>
    <xdr:to>
      <xdr:col>36</xdr:col>
      <xdr:colOff>76200</xdr:colOff>
      <xdr:row>38</xdr:row>
      <xdr:rowOff>9525</xdr:rowOff>
    </xdr:to>
    <xdr:sp macro="" textlink="">
      <xdr:nvSpPr>
        <xdr:cNvPr id="1068120" name="Line 52">
          <a:extLst>
            <a:ext uri="{FF2B5EF4-FFF2-40B4-BE49-F238E27FC236}">
              <a16:creationId xmlns:a16="http://schemas.microsoft.com/office/drawing/2014/main" id="{00000000-0008-0000-0D00-0000584C1000}"/>
            </a:ext>
          </a:extLst>
        </xdr:cNvPr>
        <xdr:cNvSpPr>
          <a:spLocks noChangeShapeType="1"/>
        </xdr:cNvSpPr>
      </xdr:nvSpPr>
      <xdr:spPr bwMode="auto">
        <a:xfrm>
          <a:off x="250602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38</xdr:row>
      <xdr:rowOff>9525</xdr:rowOff>
    </xdr:from>
    <xdr:to>
      <xdr:col>36</xdr:col>
      <xdr:colOff>66675</xdr:colOff>
      <xdr:row>41</xdr:row>
      <xdr:rowOff>19050</xdr:rowOff>
    </xdr:to>
    <xdr:sp macro="" textlink="">
      <xdr:nvSpPr>
        <xdr:cNvPr id="1068121" name="Line 53">
          <a:extLst>
            <a:ext uri="{FF2B5EF4-FFF2-40B4-BE49-F238E27FC236}">
              <a16:creationId xmlns:a16="http://schemas.microsoft.com/office/drawing/2014/main" id="{00000000-0008-0000-0D00-0000594C1000}"/>
            </a:ext>
          </a:extLst>
        </xdr:cNvPr>
        <xdr:cNvSpPr>
          <a:spLocks noChangeShapeType="1"/>
        </xdr:cNvSpPr>
      </xdr:nvSpPr>
      <xdr:spPr bwMode="auto">
        <a:xfrm>
          <a:off x="25126950"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41</xdr:row>
      <xdr:rowOff>0</xdr:rowOff>
    </xdr:from>
    <xdr:to>
      <xdr:col>36</xdr:col>
      <xdr:colOff>66675</xdr:colOff>
      <xdr:row>41</xdr:row>
      <xdr:rowOff>9525</xdr:rowOff>
    </xdr:to>
    <xdr:sp macro="" textlink="">
      <xdr:nvSpPr>
        <xdr:cNvPr id="1068122" name="Line 54">
          <a:extLst>
            <a:ext uri="{FF2B5EF4-FFF2-40B4-BE49-F238E27FC236}">
              <a16:creationId xmlns:a16="http://schemas.microsoft.com/office/drawing/2014/main" id="{00000000-0008-0000-0D00-00005A4C1000}"/>
            </a:ext>
          </a:extLst>
        </xdr:cNvPr>
        <xdr:cNvSpPr>
          <a:spLocks noChangeShapeType="1"/>
        </xdr:cNvSpPr>
      </xdr:nvSpPr>
      <xdr:spPr bwMode="auto">
        <a:xfrm flipV="1">
          <a:off x="250698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66675</xdr:colOff>
      <xdr:row>8</xdr:row>
      <xdr:rowOff>9525</xdr:rowOff>
    </xdr:from>
    <xdr:to>
      <xdr:col>34</xdr:col>
      <xdr:colOff>0</xdr:colOff>
      <xdr:row>9</xdr:row>
      <xdr:rowOff>66675</xdr:rowOff>
    </xdr:to>
    <xdr:sp macro="" textlink="">
      <xdr:nvSpPr>
        <xdr:cNvPr id="1068123" name="Line 64">
          <a:extLst>
            <a:ext uri="{FF2B5EF4-FFF2-40B4-BE49-F238E27FC236}">
              <a16:creationId xmlns:a16="http://schemas.microsoft.com/office/drawing/2014/main" id="{00000000-0008-0000-0D00-00005B4C1000}"/>
            </a:ext>
          </a:extLst>
        </xdr:cNvPr>
        <xdr:cNvSpPr>
          <a:spLocks noChangeShapeType="1"/>
        </xdr:cNvSpPr>
      </xdr:nvSpPr>
      <xdr:spPr bwMode="auto">
        <a:xfrm flipV="1">
          <a:off x="23031450" y="2057400"/>
          <a:ext cx="342900" cy="2381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66675</xdr:colOff>
      <xdr:row>10</xdr:row>
      <xdr:rowOff>171450</xdr:rowOff>
    </xdr:from>
    <xdr:to>
      <xdr:col>34</xdr:col>
      <xdr:colOff>0</xdr:colOff>
      <xdr:row>15</xdr:row>
      <xdr:rowOff>47625</xdr:rowOff>
    </xdr:to>
    <xdr:sp macro="" textlink="">
      <xdr:nvSpPr>
        <xdr:cNvPr id="1068124" name="Line 65">
          <a:extLst>
            <a:ext uri="{FF2B5EF4-FFF2-40B4-BE49-F238E27FC236}">
              <a16:creationId xmlns:a16="http://schemas.microsoft.com/office/drawing/2014/main" id="{00000000-0008-0000-0D00-00005C4C1000}"/>
            </a:ext>
          </a:extLst>
        </xdr:cNvPr>
        <xdr:cNvSpPr>
          <a:spLocks noChangeShapeType="1"/>
        </xdr:cNvSpPr>
      </xdr:nvSpPr>
      <xdr:spPr bwMode="auto">
        <a:xfrm flipV="1">
          <a:off x="23031450" y="2581275"/>
          <a:ext cx="342900" cy="781050"/>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66675</xdr:colOff>
      <xdr:row>9</xdr:row>
      <xdr:rowOff>76200</xdr:rowOff>
    </xdr:from>
    <xdr:to>
      <xdr:col>34</xdr:col>
      <xdr:colOff>0</xdr:colOff>
      <xdr:row>14</xdr:row>
      <xdr:rowOff>9525</xdr:rowOff>
    </xdr:to>
    <xdr:sp macro="" textlink="">
      <xdr:nvSpPr>
        <xdr:cNvPr id="1068125" name="Line 66">
          <a:extLst>
            <a:ext uri="{FF2B5EF4-FFF2-40B4-BE49-F238E27FC236}">
              <a16:creationId xmlns:a16="http://schemas.microsoft.com/office/drawing/2014/main" id="{00000000-0008-0000-0D00-00005D4C1000}"/>
            </a:ext>
          </a:extLst>
        </xdr:cNvPr>
        <xdr:cNvSpPr>
          <a:spLocks noChangeShapeType="1"/>
        </xdr:cNvSpPr>
      </xdr:nvSpPr>
      <xdr:spPr bwMode="auto">
        <a:xfrm>
          <a:off x="23031450" y="2305050"/>
          <a:ext cx="342900" cy="8382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38</xdr:row>
      <xdr:rowOff>0</xdr:rowOff>
    </xdr:from>
    <xdr:to>
      <xdr:col>36</xdr:col>
      <xdr:colOff>76200</xdr:colOff>
      <xdr:row>38</xdr:row>
      <xdr:rowOff>9525</xdr:rowOff>
    </xdr:to>
    <xdr:sp macro="" textlink="">
      <xdr:nvSpPr>
        <xdr:cNvPr id="1068126" name="Line 72">
          <a:extLst>
            <a:ext uri="{FF2B5EF4-FFF2-40B4-BE49-F238E27FC236}">
              <a16:creationId xmlns:a16="http://schemas.microsoft.com/office/drawing/2014/main" id="{00000000-0008-0000-0D00-00005E4C1000}"/>
            </a:ext>
          </a:extLst>
        </xdr:cNvPr>
        <xdr:cNvSpPr>
          <a:spLocks noChangeShapeType="1"/>
        </xdr:cNvSpPr>
      </xdr:nvSpPr>
      <xdr:spPr bwMode="auto">
        <a:xfrm>
          <a:off x="250602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38</xdr:row>
      <xdr:rowOff>9525</xdr:rowOff>
    </xdr:from>
    <xdr:to>
      <xdr:col>36</xdr:col>
      <xdr:colOff>66675</xdr:colOff>
      <xdr:row>41</xdr:row>
      <xdr:rowOff>19050</xdr:rowOff>
    </xdr:to>
    <xdr:sp macro="" textlink="">
      <xdr:nvSpPr>
        <xdr:cNvPr id="1068127" name="Line 73">
          <a:extLst>
            <a:ext uri="{FF2B5EF4-FFF2-40B4-BE49-F238E27FC236}">
              <a16:creationId xmlns:a16="http://schemas.microsoft.com/office/drawing/2014/main" id="{00000000-0008-0000-0D00-00005F4C1000}"/>
            </a:ext>
          </a:extLst>
        </xdr:cNvPr>
        <xdr:cNvSpPr>
          <a:spLocks noChangeShapeType="1"/>
        </xdr:cNvSpPr>
      </xdr:nvSpPr>
      <xdr:spPr bwMode="auto">
        <a:xfrm>
          <a:off x="25126950"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41</xdr:row>
      <xdr:rowOff>0</xdr:rowOff>
    </xdr:from>
    <xdr:to>
      <xdr:col>36</xdr:col>
      <xdr:colOff>66675</xdr:colOff>
      <xdr:row>41</xdr:row>
      <xdr:rowOff>9525</xdr:rowOff>
    </xdr:to>
    <xdr:sp macro="" textlink="">
      <xdr:nvSpPr>
        <xdr:cNvPr id="1068128" name="Line 74">
          <a:extLst>
            <a:ext uri="{FF2B5EF4-FFF2-40B4-BE49-F238E27FC236}">
              <a16:creationId xmlns:a16="http://schemas.microsoft.com/office/drawing/2014/main" id="{00000000-0008-0000-0D00-0000604C1000}"/>
            </a:ext>
          </a:extLst>
        </xdr:cNvPr>
        <xdr:cNvSpPr>
          <a:spLocks noChangeShapeType="1"/>
        </xdr:cNvSpPr>
      </xdr:nvSpPr>
      <xdr:spPr bwMode="auto">
        <a:xfrm flipV="1">
          <a:off x="250698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32</xdr:row>
      <xdr:rowOff>0</xdr:rowOff>
    </xdr:from>
    <xdr:to>
      <xdr:col>36</xdr:col>
      <xdr:colOff>76200</xdr:colOff>
      <xdr:row>32</xdr:row>
      <xdr:rowOff>9525</xdr:rowOff>
    </xdr:to>
    <xdr:sp macro="" textlink="">
      <xdr:nvSpPr>
        <xdr:cNvPr id="1068129" name="Line 77">
          <a:extLst>
            <a:ext uri="{FF2B5EF4-FFF2-40B4-BE49-F238E27FC236}">
              <a16:creationId xmlns:a16="http://schemas.microsoft.com/office/drawing/2014/main" id="{00000000-0008-0000-0D00-0000614C1000}"/>
            </a:ext>
          </a:extLst>
        </xdr:cNvPr>
        <xdr:cNvSpPr>
          <a:spLocks noChangeShapeType="1"/>
        </xdr:cNvSpPr>
      </xdr:nvSpPr>
      <xdr:spPr bwMode="auto">
        <a:xfrm>
          <a:off x="2506027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32</xdr:row>
      <xdr:rowOff>9525</xdr:rowOff>
    </xdr:from>
    <xdr:to>
      <xdr:col>36</xdr:col>
      <xdr:colOff>66675</xdr:colOff>
      <xdr:row>35</xdr:row>
      <xdr:rowOff>19050</xdr:rowOff>
    </xdr:to>
    <xdr:sp macro="" textlink="">
      <xdr:nvSpPr>
        <xdr:cNvPr id="1068130" name="Line 78">
          <a:extLst>
            <a:ext uri="{FF2B5EF4-FFF2-40B4-BE49-F238E27FC236}">
              <a16:creationId xmlns:a16="http://schemas.microsoft.com/office/drawing/2014/main" id="{00000000-0008-0000-0D00-0000624C1000}"/>
            </a:ext>
          </a:extLst>
        </xdr:cNvPr>
        <xdr:cNvSpPr>
          <a:spLocks noChangeShapeType="1"/>
        </xdr:cNvSpPr>
      </xdr:nvSpPr>
      <xdr:spPr bwMode="auto">
        <a:xfrm>
          <a:off x="2512695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35</xdr:row>
      <xdr:rowOff>0</xdr:rowOff>
    </xdr:from>
    <xdr:to>
      <xdr:col>36</xdr:col>
      <xdr:colOff>66675</xdr:colOff>
      <xdr:row>35</xdr:row>
      <xdr:rowOff>9525</xdr:rowOff>
    </xdr:to>
    <xdr:sp macro="" textlink="">
      <xdr:nvSpPr>
        <xdr:cNvPr id="1068131" name="Line 79">
          <a:extLst>
            <a:ext uri="{FF2B5EF4-FFF2-40B4-BE49-F238E27FC236}">
              <a16:creationId xmlns:a16="http://schemas.microsoft.com/office/drawing/2014/main" id="{00000000-0008-0000-0D00-0000634C1000}"/>
            </a:ext>
          </a:extLst>
        </xdr:cNvPr>
        <xdr:cNvSpPr>
          <a:spLocks noChangeShapeType="1"/>
        </xdr:cNvSpPr>
      </xdr:nvSpPr>
      <xdr:spPr bwMode="auto">
        <a:xfrm flipV="1">
          <a:off x="2506980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76200</xdr:colOff>
      <xdr:row>33</xdr:row>
      <xdr:rowOff>66675</xdr:rowOff>
    </xdr:from>
    <xdr:to>
      <xdr:col>37</xdr:col>
      <xdr:colOff>9525</xdr:colOff>
      <xdr:row>35</xdr:row>
      <xdr:rowOff>19050</xdr:rowOff>
    </xdr:to>
    <xdr:sp macro="" textlink="">
      <xdr:nvSpPr>
        <xdr:cNvPr id="1068132" name="Line 81">
          <a:extLst>
            <a:ext uri="{FF2B5EF4-FFF2-40B4-BE49-F238E27FC236}">
              <a16:creationId xmlns:a16="http://schemas.microsoft.com/office/drawing/2014/main" id="{00000000-0008-0000-0D00-0000644C1000}"/>
            </a:ext>
          </a:extLst>
        </xdr:cNvPr>
        <xdr:cNvSpPr>
          <a:spLocks noChangeShapeType="1"/>
        </xdr:cNvSpPr>
      </xdr:nvSpPr>
      <xdr:spPr bwMode="auto">
        <a:xfrm>
          <a:off x="25136475" y="66389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38</xdr:row>
      <xdr:rowOff>0</xdr:rowOff>
    </xdr:from>
    <xdr:to>
      <xdr:col>36</xdr:col>
      <xdr:colOff>76200</xdr:colOff>
      <xdr:row>38</xdr:row>
      <xdr:rowOff>9525</xdr:rowOff>
    </xdr:to>
    <xdr:sp macro="" textlink="">
      <xdr:nvSpPr>
        <xdr:cNvPr id="1068133" name="Line 86">
          <a:extLst>
            <a:ext uri="{FF2B5EF4-FFF2-40B4-BE49-F238E27FC236}">
              <a16:creationId xmlns:a16="http://schemas.microsoft.com/office/drawing/2014/main" id="{00000000-0008-0000-0D00-0000654C1000}"/>
            </a:ext>
          </a:extLst>
        </xdr:cNvPr>
        <xdr:cNvSpPr>
          <a:spLocks noChangeShapeType="1"/>
        </xdr:cNvSpPr>
      </xdr:nvSpPr>
      <xdr:spPr bwMode="auto">
        <a:xfrm>
          <a:off x="250602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38</xdr:row>
      <xdr:rowOff>9525</xdr:rowOff>
    </xdr:from>
    <xdr:to>
      <xdr:col>36</xdr:col>
      <xdr:colOff>76200</xdr:colOff>
      <xdr:row>41</xdr:row>
      <xdr:rowOff>0</xdr:rowOff>
    </xdr:to>
    <xdr:sp macro="" textlink="">
      <xdr:nvSpPr>
        <xdr:cNvPr id="1068134" name="Line 87">
          <a:extLst>
            <a:ext uri="{FF2B5EF4-FFF2-40B4-BE49-F238E27FC236}">
              <a16:creationId xmlns:a16="http://schemas.microsoft.com/office/drawing/2014/main" id="{00000000-0008-0000-0D00-0000664C1000}"/>
            </a:ext>
          </a:extLst>
        </xdr:cNvPr>
        <xdr:cNvSpPr>
          <a:spLocks noChangeShapeType="1"/>
        </xdr:cNvSpPr>
      </xdr:nvSpPr>
      <xdr:spPr bwMode="auto">
        <a:xfrm>
          <a:off x="25126950" y="7486650"/>
          <a:ext cx="9525"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41</xdr:row>
      <xdr:rowOff>0</xdr:rowOff>
    </xdr:from>
    <xdr:to>
      <xdr:col>36</xdr:col>
      <xdr:colOff>66675</xdr:colOff>
      <xdr:row>41</xdr:row>
      <xdr:rowOff>9525</xdr:rowOff>
    </xdr:to>
    <xdr:sp macro="" textlink="">
      <xdr:nvSpPr>
        <xdr:cNvPr id="1068135" name="Line 88">
          <a:extLst>
            <a:ext uri="{FF2B5EF4-FFF2-40B4-BE49-F238E27FC236}">
              <a16:creationId xmlns:a16="http://schemas.microsoft.com/office/drawing/2014/main" id="{00000000-0008-0000-0D00-0000674C1000}"/>
            </a:ext>
          </a:extLst>
        </xdr:cNvPr>
        <xdr:cNvSpPr>
          <a:spLocks noChangeShapeType="1"/>
        </xdr:cNvSpPr>
      </xdr:nvSpPr>
      <xdr:spPr bwMode="auto">
        <a:xfrm flipV="1">
          <a:off x="250698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37</xdr:row>
      <xdr:rowOff>161925</xdr:rowOff>
    </xdr:from>
    <xdr:to>
      <xdr:col>36</xdr:col>
      <xdr:colOff>400050</xdr:colOff>
      <xdr:row>39</xdr:row>
      <xdr:rowOff>57150</xdr:rowOff>
    </xdr:to>
    <xdr:sp macro="" textlink="">
      <xdr:nvSpPr>
        <xdr:cNvPr id="1068136" name="Line 89">
          <a:extLst>
            <a:ext uri="{FF2B5EF4-FFF2-40B4-BE49-F238E27FC236}">
              <a16:creationId xmlns:a16="http://schemas.microsoft.com/office/drawing/2014/main" id="{00000000-0008-0000-0D00-0000684C1000}"/>
            </a:ext>
          </a:extLst>
        </xdr:cNvPr>
        <xdr:cNvSpPr>
          <a:spLocks noChangeShapeType="1"/>
        </xdr:cNvSpPr>
      </xdr:nvSpPr>
      <xdr:spPr bwMode="auto">
        <a:xfrm flipV="1">
          <a:off x="25126950" y="7458075"/>
          <a:ext cx="333375" cy="2571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32</xdr:row>
      <xdr:rowOff>0</xdr:rowOff>
    </xdr:from>
    <xdr:to>
      <xdr:col>36</xdr:col>
      <xdr:colOff>76200</xdr:colOff>
      <xdr:row>32</xdr:row>
      <xdr:rowOff>9525</xdr:rowOff>
    </xdr:to>
    <xdr:sp macro="" textlink="">
      <xdr:nvSpPr>
        <xdr:cNvPr id="1068137" name="Line 90">
          <a:extLst>
            <a:ext uri="{FF2B5EF4-FFF2-40B4-BE49-F238E27FC236}">
              <a16:creationId xmlns:a16="http://schemas.microsoft.com/office/drawing/2014/main" id="{00000000-0008-0000-0D00-0000694C1000}"/>
            </a:ext>
          </a:extLst>
        </xdr:cNvPr>
        <xdr:cNvSpPr>
          <a:spLocks noChangeShapeType="1"/>
        </xdr:cNvSpPr>
      </xdr:nvSpPr>
      <xdr:spPr bwMode="auto">
        <a:xfrm>
          <a:off x="2506027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32</xdr:row>
      <xdr:rowOff>9525</xdr:rowOff>
    </xdr:from>
    <xdr:to>
      <xdr:col>36</xdr:col>
      <xdr:colOff>66675</xdr:colOff>
      <xdr:row>35</xdr:row>
      <xdr:rowOff>19050</xdr:rowOff>
    </xdr:to>
    <xdr:sp macro="" textlink="">
      <xdr:nvSpPr>
        <xdr:cNvPr id="1068138" name="Line 91">
          <a:extLst>
            <a:ext uri="{FF2B5EF4-FFF2-40B4-BE49-F238E27FC236}">
              <a16:creationId xmlns:a16="http://schemas.microsoft.com/office/drawing/2014/main" id="{00000000-0008-0000-0D00-00006A4C1000}"/>
            </a:ext>
          </a:extLst>
        </xdr:cNvPr>
        <xdr:cNvSpPr>
          <a:spLocks noChangeShapeType="1"/>
        </xdr:cNvSpPr>
      </xdr:nvSpPr>
      <xdr:spPr bwMode="auto">
        <a:xfrm>
          <a:off x="2512695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35</xdr:row>
      <xdr:rowOff>0</xdr:rowOff>
    </xdr:from>
    <xdr:to>
      <xdr:col>36</xdr:col>
      <xdr:colOff>66675</xdr:colOff>
      <xdr:row>35</xdr:row>
      <xdr:rowOff>9525</xdr:rowOff>
    </xdr:to>
    <xdr:sp macro="" textlink="">
      <xdr:nvSpPr>
        <xdr:cNvPr id="1068139" name="Line 92">
          <a:extLst>
            <a:ext uri="{FF2B5EF4-FFF2-40B4-BE49-F238E27FC236}">
              <a16:creationId xmlns:a16="http://schemas.microsoft.com/office/drawing/2014/main" id="{00000000-0008-0000-0D00-00006B4C1000}"/>
            </a:ext>
          </a:extLst>
        </xdr:cNvPr>
        <xdr:cNvSpPr>
          <a:spLocks noChangeShapeType="1"/>
        </xdr:cNvSpPr>
      </xdr:nvSpPr>
      <xdr:spPr bwMode="auto">
        <a:xfrm flipV="1">
          <a:off x="2506980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31</xdr:row>
      <xdr:rowOff>161925</xdr:rowOff>
    </xdr:from>
    <xdr:to>
      <xdr:col>37</xdr:col>
      <xdr:colOff>0</xdr:colOff>
      <xdr:row>33</xdr:row>
      <xdr:rowOff>47625</xdr:rowOff>
    </xdr:to>
    <xdr:sp macro="" textlink="">
      <xdr:nvSpPr>
        <xdr:cNvPr id="1068140" name="Line 93">
          <a:extLst>
            <a:ext uri="{FF2B5EF4-FFF2-40B4-BE49-F238E27FC236}">
              <a16:creationId xmlns:a16="http://schemas.microsoft.com/office/drawing/2014/main" id="{00000000-0008-0000-0D00-00006C4C1000}"/>
            </a:ext>
          </a:extLst>
        </xdr:cNvPr>
        <xdr:cNvSpPr>
          <a:spLocks noChangeShapeType="1"/>
        </xdr:cNvSpPr>
      </xdr:nvSpPr>
      <xdr:spPr bwMode="auto">
        <a:xfrm flipV="1">
          <a:off x="25126950" y="6372225"/>
          <a:ext cx="342900"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26</xdr:row>
      <xdr:rowOff>0</xdr:rowOff>
    </xdr:from>
    <xdr:to>
      <xdr:col>36</xdr:col>
      <xdr:colOff>76200</xdr:colOff>
      <xdr:row>26</xdr:row>
      <xdr:rowOff>9525</xdr:rowOff>
    </xdr:to>
    <xdr:sp macro="" textlink="">
      <xdr:nvSpPr>
        <xdr:cNvPr id="1068141" name="Line 94">
          <a:extLst>
            <a:ext uri="{FF2B5EF4-FFF2-40B4-BE49-F238E27FC236}">
              <a16:creationId xmlns:a16="http://schemas.microsoft.com/office/drawing/2014/main" id="{00000000-0008-0000-0D00-00006D4C1000}"/>
            </a:ext>
          </a:extLst>
        </xdr:cNvPr>
        <xdr:cNvSpPr>
          <a:spLocks noChangeShapeType="1"/>
        </xdr:cNvSpPr>
      </xdr:nvSpPr>
      <xdr:spPr bwMode="auto">
        <a:xfrm>
          <a:off x="2506027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26</xdr:row>
      <xdr:rowOff>9525</xdr:rowOff>
    </xdr:from>
    <xdr:to>
      <xdr:col>36</xdr:col>
      <xdr:colOff>66675</xdr:colOff>
      <xdr:row>29</xdr:row>
      <xdr:rowOff>19050</xdr:rowOff>
    </xdr:to>
    <xdr:sp macro="" textlink="">
      <xdr:nvSpPr>
        <xdr:cNvPr id="1068142" name="Line 95">
          <a:extLst>
            <a:ext uri="{FF2B5EF4-FFF2-40B4-BE49-F238E27FC236}">
              <a16:creationId xmlns:a16="http://schemas.microsoft.com/office/drawing/2014/main" id="{00000000-0008-0000-0D00-00006E4C1000}"/>
            </a:ext>
          </a:extLst>
        </xdr:cNvPr>
        <xdr:cNvSpPr>
          <a:spLocks noChangeShapeType="1"/>
        </xdr:cNvSpPr>
      </xdr:nvSpPr>
      <xdr:spPr bwMode="auto">
        <a:xfrm>
          <a:off x="2512695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29</xdr:row>
      <xdr:rowOff>0</xdr:rowOff>
    </xdr:from>
    <xdr:to>
      <xdr:col>36</xdr:col>
      <xdr:colOff>66675</xdr:colOff>
      <xdr:row>29</xdr:row>
      <xdr:rowOff>9525</xdr:rowOff>
    </xdr:to>
    <xdr:sp macro="" textlink="">
      <xdr:nvSpPr>
        <xdr:cNvPr id="1068143" name="Line 96">
          <a:extLst>
            <a:ext uri="{FF2B5EF4-FFF2-40B4-BE49-F238E27FC236}">
              <a16:creationId xmlns:a16="http://schemas.microsoft.com/office/drawing/2014/main" id="{00000000-0008-0000-0D00-00006F4C1000}"/>
            </a:ext>
          </a:extLst>
        </xdr:cNvPr>
        <xdr:cNvSpPr>
          <a:spLocks noChangeShapeType="1"/>
        </xdr:cNvSpPr>
      </xdr:nvSpPr>
      <xdr:spPr bwMode="auto">
        <a:xfrm flipV="1">
          <a:off x="2506980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76200</xdr:colOff>
      <xdr:row>25</xdr:row>
      <xdr:rowOff>171450</xdr:rowOff>
    </xdr:from>
    <xdr:to>
      <xdr:col>37</xdr:col>
      <xdr:colOff>0</xdr:colOff>
      <xdr:row>27</xdr:row>
      <xdr:rowOff>47625</xdr:rowOff>
    </xdr:to>
    <xdr:sp macro="" textlink="">
      <xdr:nvSpPr>
        <xdr:cNvPr id="1068144" name="Line 97">
          <a:extLst>
            <a:ext uri="{FF2B5EF4-FFF2-40B4-BE49-F238E27FC236}">
              <a16:creationId xmlns:a16="http://schemas.microsoft.com/office/drawing/2014/main" id="{00000000-0008-0000-0D00-0000704C1000}"/>
            </a:ext>
          </a:extLst>
        </xdr:cNvPr>
        <xdr:cNvSpPr>
          <a:spLocks noChangeShapeType="1"/>
        </xdr:cNvSpPr>
      </xdr:nvSpPr>
      <xdr:spPr bwMode="auto">
        <a:xfrm flipV="1">
          <a:off x="25136475" y="5295900"/>
          <a:ext cx="333375"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76200</xdr:colOff>
      <xdr:row>27</xdr:row>
      <xdr:rowOff>66675</xdr:rowOff>
    </xdr:from>
    <xdr:to>
      <xdr:col>37</xdr:col>
      <xdr:colOff>0</xdr:colOff>
      <xdr:row>29</xdr:row>
      <xdr:rowOff>28575</xdr:rowOff>
    </xdr:to>
    <xdr:sp macro="" textlink="">
      <xdr:nvSpPr>
        <xdr:cNvPr id="1068145" name="Line 98">
          <a:extLst>
            <a:ext uri="{FF2B5EF4-FFF2-40B4-BE49-F238E27FC236}">
              <a16:creationId xmlns:a16="http://schemas.microsoft.com/office/drawing/2014/main" id="{00000000-0008-0000-0D00-0000714C1000}"/>
            </a:ext>
          </a:extLst>
        </xdr:cNvPr>
        <xdr:cNvSpPr>
          <a:spLocks noChangeShapeType="1"/>
        </xdr:cNvSpPr>
      </xdr:nvSpPr>
      <xdr:spPr bwMode="auto">
        <a:xfrm>
          <a:off x="25136475" y="5553075"/>
          <a:ext cx="333375" cy="3238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8</xdr:row>
      <xdr:rowOff>0</xdr:rowOff>
    </xdr:from>
    <xdr:to>
      <xdr:col>36</xdr:col>
      <xdr:colOff>76200</xdr:colOff>
      <xdr:row>8</xdr:row>
      <xdr:rowOff>9525</xdr:rowOff>
    </xdr:to>
    <xdr:sp macro="" textlink="">
      <xdr:nvSpPr>
        <xdr:cNvPr id="1068146" name="Line 99">
          <a:extLst>
            <a:ext uri="{FF2B5EF4-FFF2-40B4-BE49-F238E27FC236}">
              <a16:creationId xmlns:a16="http://schemas.microsoft.com/office/drawing/2014/main" id="{00000000-0008-0000-0D00-0000724C1000}"/>
            </a:ext>
          </a:extLst>
        </xdr:cNvPr>
        <xdr:cNvSpPr>
          <a:spLocks noChangeShapeType="1"/>
        </xdr:cNvSpPr>
      </xdr:nvSpPr>
      <xdr:spPr bwMode="auto">
        <a:xfrm>
          <a:off x="2506027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8</xdr:row>
      <xdr:rowOff>9525</xdr:rowOff>
    </xdr:from>
    <xdr:to>
      <xdr:col>36</xdr:col>
      <xdr:colOff>66675</xdr:colOff>
      <xdr:row>11</xdr:row>
      <xdr:rowOff>19050</xdr:rowOff>
    </xdr:to>
    <xdr:sp macro="" textlink="">
      <xdr:nvSpPr>
        <xdr:cNvPr id="1068147" name="Line 100">
          <a:extLst>
            <a:ext uri="{FF2B5EF4-FFF2-40B4-BE49-F238E27FC236}">
              <a16:creationId xmlns:a16="http://schemas.microsoft.com/office/drawing/2014/main" id="{00000000-0008-0000-0D00-0000734C1000}"/>
            </a:ext>
          </a:extLst>
        </xdr:cNvPr>
        <xdr:cNvSpPr>
          <a:spLocks noChangeShapeType="1"/>
        </xdr:cNvSpPr>
      </xdr:nvSpPr>
      <xdr:spPr bwMode="auto">
        <a:xfrm>
          <a:off x="2512695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11</xdr:row>
      <xdr:rowOff>0</xdr:rowOff>
    </xdr:from>
    <xdr:to>
      <xdr:col>36</xdr:col>
      <xdr:colOff>66675</xdr:colOff>
      <xdr:row>11</xdr:row>
      <xdr:rowOff>9525</xdr:rowOff>
    </xdr:to>
    <xdr:sp macro="" textlink="">
      <xdr:nvSpPr>
        <xdr:cNvPr id="1068148" name="Line 101">
          <a:extLst>
            <a:ext uri="{FF2B5EF4-FFF2-40B4-BE49-F238E27FC236}">
              <a16:creationId xmlns:a16="http://schemas.microsoft.com/office/drawing/2014/main" id="{00000000-0008-0000-0D00-0000744C1000}"/>
            </a:ext>
          </a:extLst>
        </xdr:cNvPr>
        <xdr:cNvSpPr>
          <a:spLocks noChangeShapeType="1"/>
        </xdr:cNvSpPr>
      </xdr:nvSpPr>
      <xdr:spPr bwMode="auto">
        <a:xfrm flipV="1">
          <a:off x="2506980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14</xdr:row>
      <xdr:rowOff>0</xdr:rowOff>
    </xdr:from>
    <xdr:to>
      <xdr:col>36</xdr:col>
      <xdr:colOff>76200</xdr:colOff>
      <xdr:row>14</xdr:row>
      <xdr:rowOff>9525</xdr:rowOff>
    </xdr:to>
    <xdr:sp macro="" textlink="">
      <xdr:nvSpPr>
        <xdr:cNvPr id="1068149" name="Line 102">
          <a:extLst>
            <a:ext uri="{FF2B5EF4-FFF2-40B4-BE49-F238E27FC236}">
              <a16:creationId xmlns:a16="http://schemas.microsoft.com/office/drawing/2014/main" id="{00000000-0008-0000-0D00-0000754C1000}"/>
            </a:ext>
          </a:extLst>
        </xdr:cNvPr>
        <xdr:cNvSpPr>
          <a:spLocks noChangeShapeType="1"/>
        </xdr:cNvSpPr>
      </xdr:nvSpPr>
      <xdr:spPr bwMode="auto">
        <a:xfrm>
          <a:off x="2506027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14</xdr:row>
      <xdr:rowOff>9525</xdr:rowOff>
    </xdr:from>
    <xdr:to>
      <xdr:col>36</xdr:col>
      <xdr:colOff>66675</xdr:colOff>
      <xdr:row>17</xdr:row>
      <xdr:rowOff>19050</xdr:rowOff>
    </xdr:to>
    <xdr:sp macro="" textlink="">
      <xdr:nvSpPr>
        <xdr:cNvPr id="1068150" name="Line 103">
          <a:extLst>
            <a:ext uri="{FF2B5EF4-FFF2-40B4-BE49-F238E27FC236}">
              <a16:creationId xmlns:a16="http://schemas.microsoft.com/office/drawing/2014/main" id="{00000000-0008-0000-0D00-0000764C1000}"/>
            </a:ext>
          </a:extLst>
        </xdr:cNvPr>
        <xdr:cNvSpPr>
          <a:spLocks noChangeShapeType="1"/>
        </xdr:cNvSpPr>
      </xdr:nvSpPr>
      <xdr:spPr bwMode="auto">
        <a:xfrm>
          <a:off x="2512695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17</xdr:row>
      <xdr:rowOff>0</xdr:rowOff>
    </xdr:from>
    <xdr:to>
      <xdr:col>36</xdr:col>
      <xdr:colOff>66675</xdr:colOff>
      <xdr:row>17</xdr:row>
      <xdr:rowOff>9525</xdr:rowOff>
    </xdr:to>
    <xdr:sp macro="" textlink="">
      <xdr:nvSpPr>
        <xdr:cNvPr id="1068151" name="Line 104">
          <a:extLst>
            <a:ext uri="{FF2B5EF4-FFF2-40B4-BE49-F238E27FC236}">
              <a16:creationId xmlns:a16="http://schemas.microsoft.com/office/drawing/2014/main" id="{00000000-0008-0000-0D00-0000774C1000}"/>
            </a:ext>
          </a:extLst>
        </xdr:cNvPr>
        <xdr:cNvSpPr>
          <a:spLocks noChangeShapeType="1"/>
        </xdr:cNvSpPr>
      </xdr:nvSpPr>
      <xdr:spPr bwMode="auto">
        <a:xfrm flipV="1">
          <a:off x="250698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20</xdr:row>
      <xdr:rowOff>0</xdr:rowOff>
    </xdr:from>
    <xdr:to>
      <xdr:col>36</xdr:col>
      <xdr:colOff>76200</xdr:colOff>
      <xdr:row>20</xdr:row>
      <xdr:rowOff>9525</xdr:rowOff>
    </xdr:to>
    <xdr:sp macro="" textlink="">
      <xdr:nvSpPr>
        <xdr:cNvPr id="1068152" name="Line 105">
          <a:extLst>
            <a:ext uri="{FF2B5EF4-FFF2-40B4-BE49-F238E27FC236}">
              <a16:creationId xmlns:a16="http://schemas.microsoft.com/office/drawing/2014/main" id="{00000000-0008-0000-0D00-0000784C1000}"/>
            </a:ext>
          </a:extLst>
        </xdr:cNvPr>
        <xdr:cNvSpPr>
          <a:spLocks noChangeShapeType="1"/>
        </xdr:cNvSpPr>
      </xdr:nvSpPr>
      <xdr:spPr bwMode="auto">
        <a:xfrm>
          <a:off x="250602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20</xdr:row>
      <xdr:rowOff>9525</xdr:rowOff>
    </xdr:from>
    <xdr:to>
      <xdr:col>36</xdr:col>
      <xdr:colOff>66675</xdr:colOff>
      <xdr:row>23</xdr:row>
      <xdr:rowOff>19050</xdr:rowOff>
    </xdr:to>
    <xdr:sp macro="" textlink="">
      <xdr:nvSpPr>
        <xdr:cNvPr id="1068153" name="Line 106">
          <a:extLst>
            <a:ext uri="{FF2B5EF4-FFF2-40B4-BE49-F238E27FC236}">
              <a16:creationId xmlns:a16="http://schemas.microsoft.com/office/drawing/2014/main" id="{00000000-0008-0000-0D00-0000794C1000}"/>
            </a:ext>
          </a:extLst>
        </xdr:cNvPr>
        <xdr:cNvSpPr>
          <a:spLocks noChangeShapeType="1"/>
        </xdr:cNvSpPr>
      </xdr:nvSpPr>
      <xdr:spPr bwMode="auto">
        <a:xfrm>
          <a:off x="2512695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23</xdr:row>
      <xdr:rowOff>0</xdr:rowOff>
    </xdr:from>
    <xdr:to>
      <xdr:col>36</xdr:col>
      <xdr:colOff>66675</xdr:colOff>
      <xdr:row>23</xdr:row>
      <xdr:rowOff>9525</xdr:rowOff>
    </xdr:to>
    <xdr:sp macro="" textlink="">
      <xdr:nvSpPr>
        <xdr:cNvPr id="1068154" name="Line 107">
          <a:extLst>
            <a:ext uri="{FF2B5EF4-FFF2-40B4-BE49-F238E27FC236}">
              <a16:creationId xmlns:a16="http://schemas.microsoft.com/office/drawing/2014/main" id="{00000000-0008-0000-0D00-00007A4C1000}"/>
            </a:ext>
          </a:extLst>
        </xdr:cNvPr>
        <xdr:cNvSpPr>
          <a:spLocks noChangeShapeType="1"/>
        </xdr:cNvSpPr>
      </xdr:nvSpPr>
      <xdr:spPr bwMode="auto">
        <a:xfrm flipV="1">
          <a:off x="2506980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19</xdr:row>
      <xdr:rowOff>161925</xdr:rowOff>
    </xdr:from>
    <xdr:to>
      <xdr:col>37</xdr:col>
      <xdr:colOff>0</xdr:colOff>
      <xdr:row>21</xdr:row>
      <xdr:rowOff>47625</xdr:rowOff>
    </xdr:to>
    <xdr:sp macro="" textlink="">
      <xdr:nvSpPr>
        <xdr:cNvPr id="1068155" name="Line 108">
          <a:extLst>
            <a:ext uri="{FF2B5EF4-FFF2-40B4-BE49-F238E27FC236}">
              <a16:creationId xmlns:a16="http://schemas.microsoft.com/office/drawing/2014/main" id="{00000000-0008-0000-0D00-00007B4C1000}"/>
            </a:ext>
          </a:extLst>
        </xdr:cNvPr>
        <xdr:cNvSpPr>
          <a:spLocks noChangeShapeType="1"/>
        </xdr:cNvSpPr>
      </xdr:nvSpPr>
      <xdr:spPr bwMode="auto">
        <a:xfrm flipV="1">
          <a:off x="25126950" y="4200525"/>
          <a:ext cx="342900"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76200</xdr:colOff>
      <xdr:row>21</xdr:row>
      <xdr:rowOff>66675</xdr:rowOff>
    </xdr:from>
    <xdr:to>
      <xdr:col>37</xdr:col>
      <xdr:colOff>0</xdr:colOff>
      <xdr:row>23</xdr:row>
      <xdr:rowOff>19050</xdr:rowOff>
    </xdr:to>
    <xdr:sp macro="" textlink="">
      <xdr:nvSpPr>
        <xdr:cNvPr id="1068156" name="Line 109">
          <a:extLst>
            <a:ext uri="{FF2B5EF4-FFF2-40B4-BE49-F238E27FC236}">
              <a16:creationId xmlns:a16="http://schemas.microsoft.com/office/drawing/2014/main" id="{00000000-0008-0000-0D00-00007C4C1000}"/>
            </a:ext>
          </a:extLst>
        </xdr:cNvPr>
        <xdr:cNvSpPr>
          <a:spLocks noChangeShapeType="1"/>
        </xdr:cNvSpPr>
      </xdr:nvSpPr>
      <xdr:spPr bwMode="auto">
        <a:xfrm>
          <a:off x="25136475" y="4467225"/>
          <a:ext cx="333375"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8</xdr:row>
      <xdr:rowOff>0</xdr:rowOff>
    </xdr:from>
    <xdr:to>
      <xdr:col>36</xdr:col>
      <xdr:colOff>76200</xdr:colOff>
      <xdr:row>8</xdr:row>
      <xdr:rowOff>9525</xdr:rowOff>
    </xdr:to>
    <xdr:sp macro="" textlink="">
      <xdr:nvSpPr>
        <xdr:cNvPr id="1068157" name="Line 110">
          <a:extLst>
            <a:ext uri="{FF2B5EF4-FFF2-40B4-BE49-F238E27FC236}">
              <a16:creationId xmlns:a16="http://schemas.microsoft.com/office/drawing/2014/main" id="{00000000-0008-0000-0D00-00007D4C1000}"/>
            </a:ext>
          </a:extLst>
        </xdr:cNvPr>
        <xdr:cNvSpPr>
          <a:spLocks noChangeShapeType="1"/>
        </xdr:cNvSpPr>
      </xdr:nvSpPr>
      <xdr:spPr bwMode="auto">
        <a:xfrm>
          <a:off x="2506027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8</xdr:row>
      <xdr:rowOff>9525</xdr:rowOff>
    </xdr:from>
    <xdr:to>
      <xdr:col>36</xdr:col>
      <xdr:colOff>66675</xdr:colOff>
      <xdr:row>11</xdr:row>
      <xdr:rowOff>19050</xdr:rowOff>
    </xdr:to>
    <xdr:sp macro="" textlink="">
      <xdr:nvSpPr>
        <xdr:cNvPr id="1068158" name="Line 111">
          <a:extLst>
            <a:ext uri="{FF2B5EF4-FFF2-40B4-BE49-F238E27FC236}">
              <a16:creationId xmlns:a16="http://schemas.microsoft.com/office/drawing/2014/main" id="{00000000-0008-0000-0D00-00007E4C1000}"/>
            </a:ext>
          </a:extLst>
        </xdr:cNvPr>
        <xdr:cNvSpPr>
          <a:spLocks noChangeShapeType="1"/>
        </xdr:cNvSpPr>
      </xdr:nvSpPr>
      <xdr:spPr bwMode="auto">
        <a:xfrm>
          <a:off x="2512695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11</xdr:row>
      <xdr:rowOff>0</xdr:rowOff>
    </xdr:from>
    <xdr:to>
      <xdr:col>36</xdr:col>
      <xdr:colOff>66675</xdr:colOff>
      <xdr:row>11</xdr:row>
      <xdr:rowOff>9525</xdr:rowOff>
    </xdr:to>
    <xdr:sp macro="" textlink="">
      <xdr:nvSpPr>
        <xdr:cNvPr id="1068159" name="Line 112">
          <a:extLst>
            <a:ext uri="{FF2B5EF4-FFF2-40B4-BE49-F238E27FC236}">
              <a16:creationId xmlns:a16="http://schemas.microsoft.com/office/drawing/2014/main" id="{00000000-0008-0000-0D00-00007F4C1000}"/>
            </a:ext>
          </a:extLst>
        </xdr:cNvPr>
        <xdr:cNvSpPr>
          <a:spLocks noChangeShapeType="1"/>
        </xdr:cNvSpPr>
      </xdr:nvSpPr>
      <xdr:spPr bwMode="auto">
        <a:xfrm flipV="1">
          <a:off x="2506980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8</xdr:row>
      <xdr:rowOff>0</xdr:rowOff>
    </xdr:from>
    <xdr:to>
      <xdr:col>36</xdr:col>
      <xdr:colOff>76200</xdr:colOff>
      <xdr:row>8</xdr:row>
      <xdr:rowOff>9525</xdr:rowOff>
    </xdr:to>
    <xdr:sp macro="" textlink="">
      <xdr:nvSpPr>
        <xdr:cNvPr id="1068160" name="Line 113">
          <a:extLst>
            <a:ext uri="{FF2B5EF4-FFF2-40B4-BE49-F238E27FC236}">
              <a16:creationId xmlns:a16="http://schemas.microsoft.com/office/drawing/2014/main" id="{00000000-0008-0000-0D00-0000804C1000}"/>
            </a:ext>
          </a:extLst>
        </xdr:cNvPr>
        <xdr:cNvSpPr>
          <a:spLocks noChangeShapeType="1"/>
        </xdr:cNvSpPr>
      </xdr:nvSpPr>
      <xdr:spPr bwMode="auto">
        <a:xfrm>
          <a:off x="2506027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8</xdr:row>
      <xdr:rowOff>9525</xdr:rowOff>
    </xdr:from>
    <xdr:to>
      <xdr:col>36</xdr:col>
      <xdr:colOff>66675</xdr:colOff>
      <xdr:row>11</xdr:row>
      <xdr:rowOff>19050</xdr:rowOff>
    </xdr:to>
    <xdr:sp macro="" textlink="">
      <xdr:nvSpPr>
        <xdr:cNvPr id="1068161" name="Line 114">
          <a:extLst>
            <a:ext uri="{FF2B5EF4-FFF2-40B4-BE49-F238E27FC236}">
              <a16:creationId xmlns:a16="http://schemas.microsoft.com/office/drawing/2014/main" id="{00000000-0008-0000-0D00-0000814C1000}"/>
            </a:ext>
          </a:extLst>
        </xdr:cNvPr>
        <xdr:cNvSpPr>
          <a:spLocks noChangeShapeType="1"/>
        </xdr:cNvSpPr>
      </xdr:nvSpPr>
      <xdr:spPr bwMode="auto">
        <a:xfrm>
          <a:off x="2512695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11</xdr:row>
      <xdr:rowOff>0</xdr:rowOff>
    </xdr:from>
    <xdr:to>
      <xdr:col>36</xdr:col>
      <xdr:colOff>66675</xdr:colOff>
      <xdr:row>11</xdr:row>
      <xdr:rowOff>9525</xdr:rowOff>
    </xdr:to>
    <xdr:sp macro="" textlink="">
      <xdr:nvSpPr>
        <xdr:cNvPr id="1068162" name="Line 115">
          <a:extLst>
            <a:ext uri="{FF2B5EF4-FFF2-40B4-BE49-F238E27FC236}">
              <a16:creationId xmlns:a16="http://schemas.microsoft.com/office/drawing/2014/main" id="{00000000-0008-0000-0D00-0000824C1000}"/>
            </a:ext>
          </a:extLst>
        </xdr:cNvPr>
        <xdr:cNvSpPr>
          <a:spLocks noChangeShapeType="1"/>
        </xdr:cNvSpPr>
      </xdr:nvSpPr>
      <xdr:spPr bwMode="auto">
        <a:xfrm flipV="1">
          <a:off x="2506980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76200</xdr:colOff>
      <xdr:row>8</xdr:row>
      <xdr:rowOff>0</xdr:rowOff>
    </xdr:from>
    <xdr:to>
      <xdr:col>36</xdr:col>
      <xdr:colOff>400050</xdr:colOff>
      <xdr:row>9</xdr:row>
      <xdr:rowOff>57150</xdr:rowOff>
    </xdr:to>
    <xdr:sp macro="" textlink="">
      <xdr:nvSpPr>
        <xdr:cNvPr id="1068163" name="Line 116">
          <a:extLst>
            <a:ext uri="{FF2B5EF4-FFF2-40B4-BE49-F238E27FC236}">
              <a16:creationId xmlns:a16="http://schemas.microsoft.com/office/drawing/2014/main" id="{00000000-0008-0000-0D00-0000834C1000}"/>
            </a:ext>
          </a:extLst>
        </xdr:cNvPr>
        <xdr:cNvSpPr>
          <a:spLocks noChangeShapeType="1"/>
        </xdr:cNvSpPr>
      </xdr:nvSpPr>
      <xdr:spPr bwMode="auto">
        <a:xfrm flipV="1">
          <a:off x="25136475" y="2047875"/>
          <a:ext cx="3238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76200</xdr:colOff>
      <xdr:row>9</xdr:row>
      <xdr:rowOff>66675</xdr:rowOff>
    </xdr:from>
    <xdr:to>
      <xdr:col>37</xdr:col>
      <xdr:colOff>0</xdr:colOff>
      <xdr:row>11</xdr:row>
      <xdr:rowOff>19050</xdr:rowOff>
    </xdr:to>
    <xdr:sp macro="" textlink="">
      <xdr:nvSpPr>
        <xdr:cNvPr id="1068164" name="Line 117">
          <a:extLst>
            <a:ext uri="{FF2B5EF4-FFF2-40B4-BE49-F238E27FC236}">
              <a16:creationId xmlns:a16="http://schemas.microsoft.com/office/drawing/2014/main" id="{00000000-0008-0000-0D00-0000844C1000}"/>
            </a:ext>
          </a:extLst>
        </xdr:cNvPr>
        <xdr:cNvSpPr>
          <a:spLocks noChangeShapeType="1"/>
        </xdr:cNvSpPr>
      </xdr:nvSpPr>
      <xdr:spPr bwMode="auto">
        <a:xfrm>
          <a:off x="25136475" y="2295525"/>
          <a:ext cx="333375"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14</xdr:row>
      <xdr:rowOff>0</xdr:rowOff>
    </xdr:from>
    <xdr:to>
      <xdr:col>36</xdr:col>
      <xdr:colOff>76200</xdr:colOff>
      <xdr:row>14</xdr:row>
      <xdr:rowOff>9525</xdr:rowOff>
    </xdr:to>
    <xdr:sp macro="" textlink="">
      <xdr:nvSpPr>
        <xdr:cNvPr id="1068165" name="Line 118">
          <a:extLst>
            <a:ext uri="{FF2B5EF4-FFF2-40B4-BE49-F238E27FC236}">
              <a16:creationId xmlns:a16="http://schemas.microsoft.com/office/drawing/2014/main" id="{00000000-0008-0000-0D00-0000854C1000}"/>
            </a:ext>
          </a:extLst>
        </xdr:cNvPr>
        <xdr:cNvSpPr>
          <a:spLocks noChangeShapeType="1"/>
        </xdr:cNvSpPr>
      </xdr:nvSpPr>
      <xdr:spPr bwMode="auto">
        <a:xfrm>
          <a:off x="2506027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14</xdr:row>
      <xdr:rowOff>9525</xdr:rowOff>
    </xdr:from>
    <xdr:to>
      <xdr:col>36</xdr:col>
      <xdr:colOff>66675</xdr:colOff>
      <xdr:row>17</xdr:row>
      <xdr:rowOff>19050</xdr:rowOff>
    </xdr:to>
    <xdr:sp macro="" textlink="">
      <xdr:nvSpPr>
        <xdr:cNvPr id="1068166" name="Line 119">
          <a:extLst>
            <a:ext uri="{FF2B5EF4-FFF2-40B4-BE49-F238E27FC236}">
              <a16:creationId xmlns:a16="http://schemas.microsoft.com/office/drawing/2014/main" id="{00000000-0008-0000-0D00-0000864C1000}"/>
            </a:ext>
          </a:extLst>
        </xdr:cNvPr>
        <xdr:cNvSpPr>
          <a:spLocks noChangeShapeType="1"/>
        </xdr:cNvSpPr>
      </xdr:nvSpPr>
      <xdr:spPr bwMode="auto">
        <a:xfrm>
          <a:off x="2512695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17</xdr:row>
      <xdr:rowOff>0</xdr:rowOff>
    </xdr:from>
    <xdr:to>
      <xdr:col>36</xdr:col>
      <xdr:colOff>66675</xdr:colOff>
      <xdr:row>17</xdr:row>
      <xdr:rowOff>9525</xdr:rowOff>
    </xdr:to>
    <xdr:sp macro="" textlink="">
      <xdr:nvSpPr>
        <xdr:cNvPr id="1068167" name="Line 120">
          <a:extLst>
            <a:ext uri="{FF2B5EF4-FFF2-40B4-BE49-F238E27FC236}">
              <a16:creationId xmlns:a16="http://schemas.microsoft.com/office/drawing/2014/main" id="{00000000-0008-0000-0D00-0000874C1000}"/>
            </a:ext>
          </a:extLst>
        </xdr:cNvPr>
        <xdr:cNvSpPr>
          <a:spLocks noChangeShapeType="1"/>
        </xdr:cNvSpPr>
      </xdr:nvSpPr>
      <xdr:spPr bwMode="auto">
        <a:xfrm flipV="1">
          <a:off x="250698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14</xdr:row>
      <xdr:rowOff>0</xdr:rowOff>
    </xdr:from>
    <xdr:to>
      <xdr:col>36</xdr:col>
      <xdr:colOff>76200</xdr:colOff>
      <xdr:row>14</xdr:row>
      <xdr:rowOff>9525</xdr:rowOff>
    </xdr:to>
    <xdr:sp macro="" textlink="">
      <xdr:nvSpPr>
        <xdr:cNvPr id="1068168" name="Line 121">
          <a:extLst>
            <a:ext uri="{FF2B5EF4-FFF2-40B4-BE49-F238E27FC236}">
              <a16:creationId xmlns:a16="http://schemas.microsoft.com/office/drawing/2014/main" id="{00000000-0008-0000-0D00-0000884C1000}"/>
            </a:ext>
          </a:extLst>
        </xdr:cNvPr>
        <xdr:cNvSpPr>
          <a:spLocks noChangeShapeType="1"/>
        </xdr:cNvSpPr>
      </xdr:nvSpPr>
      <xdr:spPr bwMode="auto">
        <a:xfrm>
          <a:off x="2506027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14</xdr:row>
      <xdr:rowOff>9525</xdr:rowOff>
    </xdr:from>
    <xdr:to>
      <xdr:col>36</xdr:col>
      <xdr:colOff>66675</xdr:colOff>
      <xdr:row>17</xdr:row>
      <xdr:rowOff>19050</xdr:rowOff>
    </xdr:to>
    <xdr:sp macro="" textlink="">
      <xdr:nvSpPr>
        <xdr:cNvPr id="1068169" name="Line 122">
          <a:extLst>
            <a:ext uri="{FF2B5EF4-FFF2-40B4-BE49-F238E27FC236}">
              <a16:creationId xmlns:a16="http://schemas.microsoft.com/office/drawing/2014/main" id="{00000000-0008-0000-0D00-0000894C1000}"/>
            </a:ext>
          </a:extLst>
        </xdr:cNvPr>
        <xdr:cNvSpPr>
          <a:spLocks noChangeShapeType="1"/>
        </xdr:cNvSpPr>
      </xdr:nvSpPr>
      <xdr:spPr bwMode="auto">
        <a:xfrm>
          <a:off x="2512695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17</xdr:row>
      <xdr:rowOff>0</xdr:rowOff>
    </xdr:from>
    <xdr:to>
      <xdr:col>36</xdr:col>
      <xdr:colOff>66675</xdr:colOff>
      <xdr:row>17</xdr:row>
      <xdr:rowOff>9525</xdr:rowOff>
    </xdr:to>
    <xdr:sp macro="" textlink="">
      <xdr:nvSpPr>
        <xdr:cNvPr id="1068170" name="Line 123">
          <a:extLst>
            <a:ext uri="{FF2B5EF4-FFF2-40B4-BE49-F238E27FC236}">
              <a16:creationId xmlns:a16="http://schemas.microsoft.com/office/drawing/2014/main" id="{00000000-0008-0000-0D00-00008A4C1000}"/>
            </a:ext>
          </a:extLst>
        </xdr:cNvPr>
        <xdr:cNvSpPr>
          <a:spLocks noChangeShapeType="1"/>
        </xdr:cNvSpPr>
      </xdr:nvSpPr>
      <xdr:spPr bwMode="auto">
        <a:xfrm flipV="1">
          <a:off x="250698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13</xdr:row>
      <xdr:rowOff>152400</xdr:rowOff>
    </xdr:from>
    <xdr:to>
      <xdr:col>37</xdr:col>
      <xdr:colOff>0</xdr:colOff>
      <xdr:row>15</xdr:row>
      <xdr:rowOff>47625</xdr:rowOff>
    </xdr:to>
    <xdr:sp macro="" textlink="">
      <xdr:nvSpPr>
        <xdr:cNvPr id="1068171" name="Line 124">
          <a:extLst>
            <a:ext uri="{FF2B5EF4-FFF2-40B4-BE49-F238E27FC236}">
              <a16:creationId xmlns:a16="http://schemas.microsoft.com/office/drawing/2014/main" id="{00000000-0008-0000-0D00-00008B4C1000}"/>
            </a:ext>
          </a:extLst>
        </xdr:cNvPr>
        <xdr:cNvSpPr>
          <a:spLocks noChangeShapeType="1"/>
        </xdr:cNvSpPr>
      </xdr:nvSpPr>
      <xdr:spPr bwMode="auto">
        <a:xfrm flipV="1">
          <a:off x="25126950" y="3105150"/>
          <a:ext cx="342900" cy="2571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76200</xdr:colOff>
      <xdr:row>15</xdr:row>
      <xdr:rowOff>66675</xdr:rowOff>
    </xdr:from>
    <xdr:to>
      <xdr:col>37</xdr:col>
      <xdr:colOff>19050</xdr:colOff>
      <xdr:row>17</xdr:row>
      <xdr:rowOff>9525</xdr:rowOff>
    </xdr:to>
    <xdr:sp macro="" textlink="">
      <xdr:nvSpPr>
        <xdr:cNvPr id="1068172" name="Line 125">
          <a:extLst>
            <a:ext uri="{FF2B5EF4-FFF2-40B4-BE49-F238E27FC236}">
              <a16:creationId xmlns:a16="http://schemas.microsoft.com/office/drawing/2014/main" id="{00000000-0008-0000-0D00-00008C4C1000}"/>
            </a:ext>
          </a:extLst>
        </xdr:cNvPr>
        <xdr:cNvSpPr>
          <a:spLocks noChangeShapeType="1"/>
        </xdr:cNvSpPr>
      </xdr:nvSpPr>
      <xdr:spPr bwMode="auto">
        <a:xfrm>
          <a:off x="25136475" y="3381375"/>
          <a:ext cx="352425" cy="3048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20</xdr:row>
      <xdr:rowOff>0</xdr:rowOff>
    </xdr:from>
    <xdr:to>
      <xdr:col>33</xdr:col>
      <xdr:colOff>76200</xdr:colOff>
      <xdr:row>20</xdr:row>
      <xdr:rowOff>9525</xdr:rowOff>
    </xdr:to>
    <xdr:sp macro="" textlink="">
      <xdr:nvSpPr>
        <xdr:cNvPr id="1068173" name="Line 126">
          <a:extLst>
            <a:ext uri="{FF2B5EF4-FFF2-40B4-BE49-F238E27FC236}">
              <a16:creationId xmlns:a16="http://schemas.microsoft.com/office/drawing/2014/main" id="{00000000-0008-0000-0D00-00008D4C1000}"/>
            </a:ext>
          </a:extLst>
        </xdr:cNvPr>
        <xdr:cNvSpPr>
          <a:spLocks noChangeShapeType="1"/>
        </xdr:cNvSpPr>
      </xdr:nvSpPr>
      <xdr:spPr bwMode="auto">
        <a:xfrm>
          <a:off x="229647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66675</xdr:colOff>
      <xdr:row>20</xdr:row>
      <xdr:rowOff>9525</xdr:rowOff>
    </xdr:from>
    <xdr:to>
      <xdr:col>33</xdr:col>
      <xdr:colOff>66675</xdr:colOff>
      <xdr:row>23</xdr:row>
      <xdr:rowOff>19050</xdr:rowOff>
    </xdr:to>
    <xdr:sp macro="" textlink="">
      <xdr:nvSpPr>
        <xdr:cNvPr id="1068174" name="Line 127">
          <a:extLst>
            <a:ext uri="{FF2B5EF4-FFF2-40B4-BE49-F238E27FC236}">
              <a16:creationId xmlns:a16="http://schemas.microsoft.com/office/drawing/2014/main" id="{00000000-0008-0000-0D00-00008E4C1000}"/>
            </a:ext>
          </a:extLst>
        </xdr:cNvPr>
        <xdr:cNvSpPr>
          <a:spLocks noChangeShapeType="1"/>
        </xdr:cNvSpPr>
      </xdr:nvSpPr>
      <xdr:spPr bwMode="auto">
        <a:xfrm>
          <a:off x="2303145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9525</xdr:colOff>
      <xdr:row>23</xdr:row>
      <xdr:rowOff>0</xdr:rowOff>
    </xdr:from>
    <xdr:to>
      <xdr:col>33</xdr:col>
      <xdr:colOff>66675</xdr:colOff>
      <xdr:row>23</xdr:row>
      <xdr:rowOff>9525</xdr:rowOff>
    </xdr:to>
    <xdr:sp macro="" textlink="">
      <xdr:nvSpPr>
        <xdr:cNvPr id="1068175" name="Line 128">
          <a:extLst>
            <a:ext uri="{FF2B5EF4-FFF2-40B4-BE49-F238E27FC236}">
              <a16:creationId xmlns:a16="http://schemas.microsoft.com/office/drawing/2014/main" id="{00000000-0008-0000-0D00-00008F4C1000}"/>
            </a:ext>
          </a:extLst>
        </xdr:cNvPr>
        <xdr:cNvSpPr>
          <a:spLocks noChangeShapeType="1"/>
        </xdr:cNvSpPr>
      </xdr:nvSpPr>
      <xdr:spPr bwMode="auto">
        <a:xfrm flipV="1">
          <a:off x="2297430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0</xdr:colOff>
      <xdr:row>26</xdr:row>
      <xdr:rowOff>0</xdr:rowOff>
    </xdr:from>
    <xdr:to>
      <xdr:col>33</xdr:col>
      <xdr:colOff>76200</xdr:colOff>
      <xdr:row>26</xdr:row>
      <xdr:rowOff>9525</xdr:rowOff>
    </xdr:to>
    <xdr:sp macro="" textlink="">
      <xdr:nvSpPr>
        <xdr:cNvPr id="1068176" name="Line 129">
          <a:extLst>
            <a:ext uri="{FF2B5EF4-FFF2-40B4-BE49-F238E27FC236}">
              <a16:creationId xmlns:a16="http://schemas.microsoft.com/office/drawing/2014/main" id="{00000000-0008-0000-0D00-0000904C1000}"/>
            </a:ext>
          </a:extLst>
        </xdr:cNvPr>
        <xdr:cNvSpPr>
          <a:spLocks noChangeShapeType="1"/>
        </xdr:cNvSpPr>
      </xdr:nvSpPr>
      <xdr:spPr bwMode="auto">
        <a:xfrm>
          <a:off x="2296477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66675</xdr:colOff>
      <xdr:row>26</xdr:row>
      <xdr:rowOff>9525</xdr:rowOff>
    </xdr:from>
    <xdr:to>
      <xdr:col>33</xdr:col>
      <xdr:colOff>66675</xdr:colOff>
      <xdr:row>29</xdr:row>
      <xdr:rowOff>19050</xdr:rowOff>
    </xdr:to>
    <xdr:sp macro="" textlink="">
      <xdr:nvSpPr>
        <xdr:cNvPr id="1068177" name="Line 130">
          <a:extLst>
            <a:ext uri="{FF2B5EF4-FFF2-40B4-BE49-F238E27FC236}">
              <a16:creationId xmlns:a16="http://schemas.microsoft.com/office/drawing/2014/main" id="{00000000-0008-0000-0D00-0000914C1000}"/>
            </a:ext>
          </a:extLst>
        </xdr:cNvPr>
        <xdr:cNvSpPr>
          <a:spLocks noChangeShapeType="1"/>
        </xdr:cNvSpPr>
      </xdr:nvSpPr>
      <xdr:spPr bwMode="auto">
        <a:xfrm>
          <a:off x="2303145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9525</xdr:colOff>
      <xdr:row>29</xdr:row>
      <xdr:rowOff>0</xdr:rowOff>
    </xdr:from>
    <xdr:to>
      <xdr:col>33</xdr:col>
      <xdr:colOff>66675</xdr:colOff>
      <xdr:row>29</xdr:row>
      <xdr:rowOff>9525</xdr:rowOff>
    </xdr:to>
    <xdr:sp macro="" textlink="">
      <xdr:nvSpPr>
        <xdr:cNvPr id="1068178" name="Line 131">
          <a:extLst>
            <a:ext uri="{FF2B5EF4-FFF2-40B4-BE49-F238E27FC236}">
              <a16:creationId xmlns:a16="http://schemas.microsoft.com/office/drawing/2014/main" id="{00000000-0008-0000-0D00-0000924C1000}"/>
            </a:ext>
          </a:extLst>
        </xdr:cNvPr>
        <xdr:cNvSpPr>
          <a:spLocks noChangeShapeType="1"/>
        </xdr:cNvSpPr>
      </xdr:nvSpPr>
      <xdr:spPr bwMode="auto">
        <a:xfrm flipV="1">
          <a:off x="2297430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66675</xdr:colOff>
      <xdr:row>22</xdr:row>
      <xdr:rowOff>171450</xdr:rowOff>
    </xdr:from>
    <xdr:to>
      <xdr:col>34</xdr:col>
      <xdr:colOff>0</xdr:colOff>
      <xdr:row>27</xdr:row>
      <xdr:rowOff>47625</xdr:rowOff>
    </xdr:to>
    <xdr:sp macro="" textlink="">
      <xdr:nvSpPr>
        <xdr:cNvPr id="1068179" name="Line 132">
          <a:extLst>
            <a:ext uri="{FF2B5EF4-FFF2-40B4-BE49-F238E27FC236}">
              <a16:creationId xmlns:a16="http://schemas.microsoft.com/office/drawing/2014/main" id="{00000000-0008-0000-0D00-0000934C1000}"/>
            </a:ext>
          </a:extLst>
        </xdr:cNvPr>
        <xdr:cNvSpPr>
          <a:spLocks noChangeShapeType="1"/>
        </xdr:cNvSpPr>
      </xdr:nvSpPr>
      <xdr:spPr bwMode="auto">
        <a:xfrm flipV="1">
          <a:off x="23031450" y="4752975"/>
          <a:ext cx="342900" cy="781050"/>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66675</xdr:colOff>
      <xdr:row>21</xdr:row>
      <xdr:rowOff>95250</xdr:rowOff>
    </xdr:from>
    <xdr:to>
      <xdr:col>34</xdr:col>
      <xdr:colOff>0</xdr:colOff>
      <xdr:row>26</xdr:row>
      <xdr:rowOff>28575</xdr:rowOff>
    </xdr:to>
    <xdr:sp macro="" textlink="">
      <xdr:nvSpPr>
        <xdr:cNvPr id="1068180" name="Line 133">
          <a:extLst>
            <a:ext uri="{FF2B5EF4-FFF2-40B4-BE49-F238E27FC236}">
              <a16:creationId xmlns:a16="http://schemas.microsoft.com/office/drawing/2014/main" id="{00000000-0008-0000-0D00-0000944C1000}"/>
            </a:ext>
          </a:extLst>
        </xdr:cNvPr>
        <xdr:cNvSpPr>
          <a:spLocks noChangeShapeType="1"/>
        </xdr:cNvSpPr>
      </xdr:nvSpPr>
      <xdr:spPr bwMode="auto">
        <a:xfrm>
          <a:off x="23031450" y="4495800"/>
          <a:ext cx="342900" cy="8382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32</xdr:row>
      <xdr:rowOff>0</xdr:rowOff>
    </xdr:from>
    <xdr:to>
      <xdr:col>33</xdr:col>
      <xdr:colOff>76200</xdr:colOff>
      <xdr:row>32</xdr:row>
      <xdr:rowOff>9525</xdr:rowOff>
    </xdr:to>
    <xdr:sp macro="" textlink="">
      <xdr:nvSpPr>
        <xdr:cNvPr id="1068181" name="Line 134">
          <a:extLst>
            <a:ext uri="{FF2B5EF4-FFF2-40B4-BE49-F238E27FC236}">
              <a16:creationId xmlns:a16="http://schemas.microsoft.com/office/drawing/2014/main" id="{00000000-0008-0000-0D00-0000954C1000}"/>
            </a:ext>
          </a:extLst>
        </xdr:cNvPr>
        <xdr:cNvSpPr>
          <a:spLocks noChangeShapeType="1"/>
        </xdr:cNvSpPr>
      </xdr:nvSpPr>
      <xdr:spPr bwMode="auto">
        <a:xfrm>
          <a:off x="2296477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66675</xdr:colOff>
      <xdr:row>32</xdr:row>
      <xdr:rowOff>9525</xdr:rowOff>
    </xdr:from>
    <xdr:to>
      <xdr:col>33</xdr:col>
      <xdr:colOff>66675</xdr:colOff>
      <xdr:row>35</xdr:row>
      <xdr:rowOff>19050</xdr:rowOff>
    </xdr:to>
    <xdr:sp macro="" textlink="">
      <xdr:nvSpPr>
        <xdr:cNvPr id="1068182" name="Line 135">
          <a:extLst>
            <a:ext uri="{FF2B5EF4-FFF2-40B4-BE49-F238E27FC236}">
              <a16:creationId xmlns:a16="http://schemas.microsoft.com/office/drawing/2014/main" id="{00000000-0008-0000-0D00-0000964C1000}"/>
            </a:ext>
          </a:extLst>
        </xdr:cNvPr>
        <xdr:cNvSpPr>
          <a:spLocks noChangeShapeType="1"/>
        </xdr:cNvSpPr>
      </xdr:nvSpPr>
      <xdr:spPr bwMode="auto">
        <a:xfrm>
          <a:off x="2303145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9525</xdr:colOff>
      <xdr:row>35</xdr:row>
      <xdr:rowOff>0</xdr:rowOff>
    </xdr:from>
    <xdr:to>
      <xdr:col>33</xdr:col>
      <xdr:colOff>66675</xdr:colOff>
      <xdr:row>35</xdr:row>
      <xdr:rowOff>9525</xdr:rowOff>
    </xdr:to>
    <xdr:sp macro="" textlink="">
      <xdr:nvSpPr>
        <xdr:cNvPr id="1068183" name="Line 136">
          <a:extLst>
            <a:ext uri="{FF2B5EF4-FFF2-40B4-BE49-F238E27FC236}">
              <a16:creationId xmlns:a16="http://schemas.microsoft.com/office/drawing/2014/main" id="{00000000-0008-0000-0D00-0000974C1000}"/>
            </a:ext>
          </a:extLst>
        </xdr:cNvPr>
        <xdr:cNvSpPr>
          <a:spLocks noChangeShapeType="1"/>
        </xdr:cNvSpPr>
      </xdr:nvSpPr>
      <xdr:spPr bwMode="auto">
        <a:xfrm flipV="1">
          <a:off x="2297430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0</xdr:colOff>
      <xdr:row>38</xdr:row>
      <xdr:rowOff>0</xdr:rowOff>
    </xdr:from>
    <xdr:to>
      <xdr:col>33</xdr:col>
      <xdr:colOff>76200</xdr:colOff>
      <xdr:row>38</xdr:row>
      <xdr:rowOff>9525</xdr:rowOff>
    </xdr:to>
    <xdr:sp macro="" textlink="">
      <xdr:nvSpPr>
        <xdr:cNvPr id="1068184" name="Line 137">
          <a:extLst>
            <a:ext uri="{FF2B5EF4-FFF2-40B4-BE49-F238E27FC236}">
              <a16:creationId xmlns:a16="http://schemas.microsoft.com/office/drawing/2014/main" id="{00000000-0008-0000-0D00-0000984C1000}"/>
            </a:ext>
          </a:extLst>
        </xdr:cNvPr>
        <xdr:cNvSpPr>
          <a:spLocks noChangeShapeType="1"/>
        </xdr:cNvSpPr>
      </xdr:nvSpPr>
      <xdr:spPr bwMode="auto">
        <a:xfrm>
          <a:off x="229647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9525</xdr:colOff>
      <xdr:row>41</xdr:row>
      <xdr:rowOff>0</xdr:rowOff>
    </xdr:from>
    <xdr:to>
      <xdr:col>33</xdr:col>
      <xdr:colOff>66675</xdr:colOff>
      <xdr:row>41</xdr:row>
      <xdr:rowOff>9525</xdr:rowOff>
    </xdr:to>
    <xdr:sp macro="" textlink="">
      <xdr:nvSpPr>
        <xdr:cNvPr id="1068185" name="Line 139">
          <a:extLst>
            <a:ext uri="{FF2B5EF4-FFF2-40B4-BE49-F238E27FC236}">
              <a16:creationId xmlns:a16="http://schemas.microsoft.com/office/drawing/2014/main" id="{00000000-0008-0000-0D00-0000994C1000}"/>
            </a:ext>
          </a:extLst>
        </xdr:cNvPr>
        <xdr:cNvSpPr>
          <a:spLocks noChangeShapeType="1"/>
        </xdr:cNvSpPr>
      </xdr:nvSpPr>
      <xdr:spPr bwMode="auto">
        <a:xfrm flipV="1">
          <a:off x="229743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76200</xdr:colOff>
      <xdr:row>35</xdr:row>
      <xdr:rowOff>0</xdr:rowOff>
    </xdr:from>
    <xdr:to>
      <xdr:col>34</xdr:col>
      <xdr:colOff>0</xdr:colOff>
      <xdr:row>39</xdr:row>
      <xdr:rowOff>66675</xdr:rowOff>
    </xdr:to>
    <xdr:sp macro="" textlink="">
      <xdr:nvSpPr>
        <xdr:cNvPr id="1068186" name="Line 140">
          <a:extLst>
            <a:ext uri="{FF2B5EF4-FFF2-40B4-BE49-F238E27FC236}">
              <a16:creationId xmlns:a16="http://schemas.microsoft.com/office/drawing/2014/main" id="{00000000-0008-0000-0D00-00009A4C1000}"/>
            </a:ext>
          </a:extLst>
        </xdr:cNvPr>
        <xdr:cNvSpPr>
          <a:spLocks noChangeShapeType="1"/>
        </xdr:cNvSpPr>
      </xdr:nvSpPr>
      <xdr:spPr bwMode="auto">
        <a:xfrm flipV="1">
          <a:off x="23040975" y="6934200"/>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66675</xdr:colOff>
      <xdr:row>33</xdr:row>
      <xdr:rowOff>104775</xdr:rowOff>
    </xdr:from>
    <xdr:to>
      <xdr:col>34</xdr:col>
      <xdr:colOff>0</xdr:colOff>
      <xdr:row>37</xdr:row>
      <xdr:rowOff>161925</xdr:rowOff>
    </xdr:to>
    <xdr:sp macro="" textlink="">
      <xdr:nvSpPr>
        <xdr:cNvPr id="1068187" name="Line 141">
          <a:extLst>
            <a:ext uri="{FF2B5EF4-FFF2-40B4-BE49-F238E27FC236}">
              <a16:creationId xmlns:a16="http://schemas.microsoft.com/office/drawing/2014/main" id="{00000000-0008-0000-0D00-00009B4C1000}"/>
            </a:ext>
          </a:extLst>
        </xdr:cNvPr>
        <xdr:cNvSpPr>
          <a:spLocks noChangeShapeType="1"/>
        </xdr:cNvSpPr>
      </xdr:nvSpPr>
      <xdr:spPr bwMode="auto">
        <a:xfrm>
          <a:off x="23031450" y="6677025"/>
          <a:ext cx="342900" cy="7810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66675</xdr:colOff>
      <xdr:row>7</xdr:row>
      <xdr:rowOff>133350</xdr:rowOff>
    </xdr:from>
    <xdr:to>
      <xdr:col>31</xdr:col>
      <xdr:colOff>0</xdr:colOff>
      <xdr:row>9</xdr:row>
      <xdr:rowOff>66675</xdr:rowOff>
    </xdr:to>
    <xdr:sp macro="" textlink="">
      <xdr:nvSpPr>
        <xdr:cNvPr id="1068188" name="Line 146">
          <a:extLst>
            <a:ext uri="{FF2B5EF4-FFF2-40B4-BE49-F238E27FC236}">
              <a16:creationId xmlns:a16="http://schemas.microsoft.com/office/drawing/2014/main" id="{00000000-0008-0000-0D00-00009C4C1000}"/>
            </a:ext>
          </a:extLst>
        </xdr:cNvPr>
        <xdr:cNvSpPr>
          <a:spLocks noChangeShapeType="1"/>
        </xdr:cNvSpPr>
      </xdr:nvSpPr>
      <xdr:spPr bwMode="auto">
        <a:xfrm flipV="1">
          <a:off x="20869275" y="2000250"/>
          <a:ext cx="38100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66675</xdr:colOff>
      <xdr:row>9</xdr:row>
      <xdr:rowOff>66675</xdr:rowOff>
    </xdr:from>
    <xdr:to>
      <xdr:col>31</xdr:col>
      <xdr:colOff>19050</xdr:colOff>
      <xdr:row>13</xdr:row>
      <xdr:rowOff>152400</xdr:rowOff>
    </xdr:to>
    <xdr:sp macro="" textlink="">
      <xdr:nvSpPr>
        <xdr:cNvPr id="1068189" name="Line 147">
          <a:extLst>
            <a:ext uri="{FF2B5EF4-FFF2-40B4-BE49-F238E27FC236}">
              <a16:creationId xmlns:a16="http://schemas.microsoft.com/office/drawing/2014/main" id="{00000000-0008-0000-0D00-00009D4C1000}"/>
            </a:ext>
          </a:extLst>
        </xdr:cNvPr>
        <xdr:cNvSpPr>
          <a:spLocks noChangeShapeType="1"/>
        </xdr:cNvSpPr>
      </xdr:nvSpPr>
      <xdr:spPr bwMode="auto">
        <a:xfrm>
          <a:off x="20869275" y="2295525"/>
          <a:ext cx="400050" cy="809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76200</xdr:colOff>
      <xdr:row>10</xdr:row>
      <xdr:rowOff>85725</xdr:rowOff>
    </xdr:from>
    <xdr:to>
      <xdr:col>31</xdr:col>
      <xdr:colOff>9525</xdr:colOff>
      <xdr:row>15</xdr:row>
      <xdr:rowOff>123825</xdr:rowOff>
    </xdr:to>
    <xdr:sp macro="" textlink="">
      <xdr:nvSpPr>
        <xdr:cNvPr id="1068190" name="Line 148">
          <a:extLst>
            <a:ext uri="{FF2B5EF4-FFF2-40B4-BE49-F238E27FC236}">
              <a16:creationId xmlns:a16="http://schemas.microsoft.com/office/drawing/2014/main" id="{00000000-0008-0000-0D00-00009E4C1000}"/>
            </a:ext>
          </a:extLst>
        </xdr:cNvPr>
        <xdr:cNvSpPr>
          <a:spLocks noChangeShapeType="1"/>
        </xdr:cNvSpPr>
      </xdr:nvSpPr>
      <xdr:spPr bwMode="auto">
        <a:xfrm flipV="1">
          <a:off x="20878800" y="2495550"/>
          <a:ext cx="381000" cy="9429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76200</xdr:colOff>
      <xdr:row>15</xdr:row>
      <xdr:rowOff>114300</xdr:rowOff>
    </xdr:from>
    <xdr:to>
      <xdr:col>31</xdr:col>
      <xdr:colOff>0</xdr:colOff>
      <xdr:row>20</xdr:row>
      <xdr:rowOff>66675</xdr:rowOff>
    </xdr:to>
    <xdr:sp macro="" textlink="">
      <xdr:nvSpPr>
        <xdr:cNvPr id="1068191" name="Line 149">
          <a:extLst>
            <a:ext uri="{FF2B5EF4-FFF2-40B4-BE49-F238E27FC236}">
              <a16:creationId xmlns:a16="http://schemas.microsoft.com/office/drawing/2014/main" id="{00000000-0008-0000-0D00-00009F4C1000}"/>
            </a:ext>
          </a:extLst>
        </xdr:cNvPr>
        <xdr:cNvSpPr>
          <a:spLocks noChangeShapeType="1"/>
        </xdr:cNvSpPr>
      </xdr:nvSpPr>
      <xdr:spPr bwMode="auto">
        <a:xfrm>
          <a:off x="20878800" y="3429000"/>
          <a:ext cx="371475" cy="857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66675</xdr:colOff>
      <xdr:row>16</xdr:row>
      <xdr:rowOff>104775</xdr:rowOff>
    </xdr:from>
    <xdr:to>
      <xdr:col>31</xdr:col>
      <xdr:colOff>9525</xdr:colOff>
      <xdr:row>21</xdr:row>
      <xdr:rowOff>85725</xdr:rowOff>
    </xdr:to>
    <xdr:sp macro="" textlink="">
      <xdr:nvSpPr>
        <xdr:cNvPr id="1068192" name="Line 150">
          <a:extLst>
            <a:ext uri="{FF2B5EF4-FFF2-40B4-BE49-F238E27FC236}">
              <a16:creationId xmlns:a16="http://schemas.microsoft.com/office/drawing/2014/main" id="{00000000-0008-0000-0D00-0000A04C1000}"/>
            </a:ext>
          </a:extLst>
        </xdr:cNvPr>
        <xdr:cNvSpPr>
          <a:spLocks noChangeShapeType="1"/>
        </xdr:cNvSpPr>
      </xdr:nvSpPr>
      <xdr:spPr bwMode="auto">
        <a:xfrm flipV="1">
          <a:off x="20869275" y="3600450"/>
          <a:ext cx="390525" cy="8858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76200</xdr:colOff>
      <xdr:row>21</xdr:row>
      <xdr:rowOff>95250</xdr:rowOff>
    </xdr:from>
    <xdr:to>
      <xdr:col>31</xdr:col>
      <xdr:colOff>0</xdr:colOff>
      <xdr:row>26</xdr:row>
      <xdr:rowOff>66675</xdr:rowOff>
    </xdr:to>
    <xdr:sp macro="" textlink="">
      <xdr:nvSpPr>
        <xdr:cNvPr id="1068193" name="Line 151">
          <a:extLst>
            <a:ext uri="{FF2B5EF4-FFF2-40B4-BE49-F238E27FC236}">
              <a16:creationId xmlns:a16="http://schemas.microsoft.com/office/drawing/2014/main" id="{00000000-0008-0000-0D00-0000A14C1000}"/>
            </a:ext>
          </a:extLst>
        </xdr:cNvPr>
        <xdr:cNvSpPr>
          <a:spLocks noChangeShapeType="1"/>
        </xdr:cNvSpPr>
      </xdr:nvSpPr>
      <xdr:spPr bwMode="auto">
        <a:xfrm>
          <a:off x="20878800" y="4495800"/>
          <a:ext cx="371475"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76200</xdr:colOff>
      <xdr:row>22</xdr:row>
      <xdr:rowOff>142875</xdr:rowOff>
    </xdr:from>
    <xdr:to>
      <xdr:col>31</xdr:col>
      <xdr:colOff>9525</xdr:colOff>
      <xdr:row>27</xdr:row>
      <xdr:rowOff>76200</xdr:rowOff>
    </xdr:to>
    <xdr:sp macro="" textlink="">
      <xdr:nvSpPr>
        <xdr:cNvPr id="1068194" name="Line 152">
          <a:extLst>
            <a:ext uri="{FF2B5EF4-FFF2-40B4-BE49-F238E27FC236}">
              <a16:creationId xmlns:a16="http://schemas.microsoft.com/office/drawing/2014/main" id="{00000000-0008-0000-0D00-0000A24C1000}"/>
            </a:ext>
          </a:extLst>
        </xdr:cNvPr>
        <xdr:cNvSpPr>
          <a:spLocks noChangeShapeType="1"/>
        </xdr:cNvSpPr>
      </xdr:nvSpPr>
      <xdr:spPr bwMode="auto">
        <a:xfrm flipV="1">
          <a:off x="20878800" y="4724400"/>
          <a:ext cx="381000"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xdr:colOff>
      <xdr:row>27</xdr:row>
      <xdr:rowOff>76200</xdr:rowOff>
    </xdr:from>
    <xdr:to>
      <xdr:col>30</xdr:col>
      <xdr:colOff>438150</xdr:colOff>
      <xdr:row>31</xdr:row>
      <xdr:rowOff>161925</xdr:rowOff>
    </xdr:to>
    <xdr:sp macro="" textlink="">
      <xdr:nvSpPr>
        <xdr:cNvPr id="1068195" name="Line 153">
          <a:extLst>
            <a:ext uri="{FF2B5EF4-FFF2-40B4-BE49-F238E27FC236}">
              <a16:creationId xmlns:a16="http://schemas.microsoft.com/office/drawing/2014/main" id="{00000000-0008-0000-0D00-0000A34C1000}"/>
            </a:ext>
          </a:extLst>
        </xdr:cNvPr>
        <xdr:cNvSpPr>
          <a:spLocks noChangeShapeType="1"/>
        </xdr:cNvSpPr>
      </xdr:nvSpPr>
      <xdr:spPr bwMode="auto">
        <a:xfrm>
          <a:off x="20888325" y="5562600"/>
          <a:ext cx="352425" cy="809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57150</xdr:colOff>
      <xdr:row>28</xdr:row>
      <xdr:rowOff>104775</xdr:rowOff>
    </xdr:from>
    <xdr:to>
      <xdr:col>31</xdr:col>
      <xdr:colOff>9525</xdr:colOff>
      <xdr:row>33</xdr:row>
      <xdr:rowOff>57150</xdr:rowOff>
    </xdr:to>
    <xdr:sp macro="" textlink="">
      <xdr:nvSpPr>
        <xdr:cNvPr id="1068196" name="Line 154">
          <a:extLst>
            <a:ext uri="{FF2B5EF4-FFF2-40B4-BE49-F238E27FC236}">
              <a16:creationId xmlns:a16="http://schemas.microsoft.com/office/drawing/2014/main" id="{00000000-0008-0000-0D00-0000A44C1000}"/>
            </a:ext>
          </a:extLst>
        </xdr:cNvPr>
        <xdr:cNvSpPr>
          <a:spLocks noChangeShapeType="1"/>
        </xdr:cNvSpPr>
      </xdr:nvSpPr>
      <xdr:spPr bwMode="auto">
        <a:xfrm flipV="1">
          <a:off x="20859750" y="5772150"/>
          <a:ext cx="400050" cy="857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57150</xdr:colOff>
      <xdr:row>33</xdr:row>
      <xdr:rowOff>38100</xdr:rowOff>
    </xdr:from>
    <xdr:to>
      <xdr:col>31</xdr:col>
      <xdr:colOff>0</xdr:colOff>
      <xdr:row>38</xdr:row>
      <xdr:rowOff>9525</xdr:rowOff>
    </xdr:to>
    <xdr:sp macro="" textlink="">
      <xdr:nvSpPr>
        <xdr:cNvPr id="1068197" name="Line 155">
          <a:extLst>
            <a:ext uri="{FF2B5EF4-FFF2-40B4-BE49-F238E27FC236}">
              <a16:creationId xmlns:a16="http://schemas.microsoft.com/office/drawing/2014/main" id="{00000000-0008-0000-0D00-0000A54C1000}"/>
            </a:ext>
          </a:extLst>
        </xdr:cNvPr>
        <xdr:cNvSpPr>
          <a:spLocks noChangeShapeType="1"/>
        </xdr:cNvSpPr>
      </xdr:nvSpPr>
      <xdr:spPr bwMode="auto">
        <a:xfrm>
          <a:off x="20859750" y="6610350"/>
          <a:ext cx="390525"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57150</xdr:colOff>
      <xdr:row>34</xdr:row>
      <xdr:rowOff>152400</xdr:rowOff>
    </xdr:from>
    <xdr:to>
      <xdr:col>31</xdr:col>
      <xdr:colOff>9525</xdr:colOff>
      <xdr:row>39</xdr:row>
      <xdr:rowOff>104775</xdr:rowOff>
    </xdr:to>
    <xdr:sp macro="" textlink="">
      <xdr:nvSpPr>
        <xdr:cNvPr id="1068198" name="Line 156">
          <a:extLst>
            <a:ext uri="{FF2B5EF4-FFF2-40B4-BE49-F238E27FC236}">
              <a16:creationId xmlns:a16="http://schemas.microsoft.com/office/drawing/2014/main" id="{00000000-0008-0000-0D00-0000A64C1000}"/>
            </a:ext>
          </a:extLst>
        </xdr:cNvPr>
        <xdr:cNvSpPr>
          <a:spLocks noChangeShapeType="1"/>
        </xdr:cNvSpPr>
      </xdr:nvSpPr>
      <xdr:spPr bwMode="auto">
        <a:xfrm flipV="1">
          <a:off x="20859750" y="6905625"/>
          <a:ext cx="400050" cy="857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57150</xdr:colOff>
      <xdr:row>39</xdr:row>
      <xdr:rowOff>104775</xdr:rowOff>
    </xdr:from>
    <xdr:to>
      <xdr:col>31</xdr:col>
      <xdr:colOff>0</xdr:colOff>
      <xdr:row>43</xdr:row>
      <xdr:rowOff>171450</xdr:rowOff>
    </xdr:to>
    <xdr:sp macro="" textlink="">
      <xdr:nvSpPr>
        <xdr:cNvPr id="1068199" name="Line 158">
          <a:extLst>
            <a:ext uri="{FF2B5EF4-FFF2-40B4-BE49-F238E27FC236}">
              <a16:creationId xmlns:a16="http://schemas.microsoft.com/office/drawing/2014/main" id="{00000000-0008-0000-0D00-0000A74C1000}"/>
            </a:ext>
          </a:extLst>
        </xdr:cNvPr>
        <xdr:cNvSpPr>
          <a:spLocks noChangeShapeType="1"/>
        </xdr:cNvSpPr>
      </xdr:nvSpPr>
      <xdr:spPr bwMode="auto">
        <a:xfrm>
          <a:off x="20859750" y="7762875"/>
          <a:ext cx="390525" cy="7905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66675</xdr:colOff>
      <xdr:row>15</xdr:row>
      <xdr:rowOff>76200</xdr:rowOff>
    </xdr:from>
    <xdr:to>
      <xdr:col>34</xdr:col>
      <xdr:colOff>9525</xdr:colOff>
      <xdr:row>20</xdr:row>
      <xdr:rowOff>38100</xdr:rowOff>
    </xdr:to>
    <xdr:sp macro="" textlink="">
      <xdr:nvSpPr>
        <xdr:cNvPr id="1068200" name="Line 162">
          <a:extLst>
            <a:ext uri="{FF2B5EF4-FFF2-40B4-BE49-F238E27FC236}">
              <a16:creationId xmlns:a16="http://schemas.microsoft.com/office/drawing/2014/main" id="{00000000-0008-0000-0D00-0000A84C1000}"/>
            </a:ext>
          </a:extLst>
        </xdr:cNvPr>
        <xdr:cNvSpPr>
          <a:spLocks noChangeShapeType="1"/>
        </xdr:cNvSpPr>
      </xdr:nvSpPr>
      <xdr:spPr bwMode="auto">
        <a:xfrm>
          <a:off x="23031450" y="3390900"/>
          <a:ext cx="352425" cy="866775"/>
        </a:xfrm>
        <a:prstGeom prst="line">
          <a:avLst/>
        </a:prstGeom>
        <a:noFill/>
        <a:ln w="19050">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66675</xdr:colOff>
      <xdr:row>16</xdr:row>
      <xdr:rowOff>161925</xdr:rowOff>
    </xdr:from>
    <xdr:to>
      <xdr:col>34</xdr:col>
      <xdr:colOff>0</xdr:colOff>
      <xdr:row>21</xdr:row>
      <xdr:rowOff>104775</xdr:rowOff>
    </xdr:to>
    <xdr:sp macro="" textlink="">
      <xdr:nvSpPr>
        <xdr:cNvPr id="1068201" name="Line 163">
          <a:extLst>
            <a:ext uri="{FF2B5EF4-FFF2-40B4-BE49-F238E27FC236}">
              <a16:creationId xmlns:a16="http://schemas.microsoft.com/office/drawing/2014/main" id="{00000000-0008-0000-0D00-0000A94C1000}"/>
            </a:ext>
          </a:extLst>
        </xdr:cNvPr>
        <xdr:cNvSpPr>
          <a:spLocks noChangeShapeType="1"/>
        </xdr:cNvSpPr>
      </xdr:nvSpPr>
      <xdr:spPr bwMode="auto">
        <a:xfrm flipV="1">
          <a:off x="23031450" y="3657600"/>
          <a:ext cx="342900" cy="8477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76200</xdr:colOff>
      <xdr:row>27</xdr:row>
      <xdr:rowOff>76200</xdr:rowOff>
    </xdr:from>
    <xdr:to>
      <xdr:col>34</xdr:col>
      <xdr:colOff>0</xdr:colOff>
      <xdr:row>32</xdr:row>
      <xdr:rowOff>9525</xdr:rowOff>
    </xdr:to>
    <xdr:sp macro="" textlink="">
      <xdr:nvSpPr>
        <xdr:cNvPr id="1068202" name="Line 164">
          <a:extLst>
            <a:ext uri="{FF2B5EF4-FFF2-40B4-BE49-F238E27FC236}">
              <a16:creationId xmlns:a16="http://schemas.microsoft.com/office/drawing/2014/main" id="{00000000-0008-0000-0D00-0000AA4C1000}"/>
            </a:ext>
          </a:extLst>
        </xdr:cNvPr>
        <xdr:cNvSpPr>
          <a:spLocks noChangeShapeType="1"/>
        </xdr:cNvSpPr>
      </xdr:nvSpPr>
      <xdr:spPr bwMode="auto">
        <a:xfrm>
          <a:off x="23040975" y="5562600"/>
          <a:ext cx="333375" cy="838200"/>
        </a:xfrm>
        <a:prstGeom prst="line">
          <a:avLst/>
        </a:prstGeom>
        <a:noFill/>
        <a:ln w="19050">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66675</xdr:colOff>
      <xdr:row>28</xdr:row>
      <xdr:rowOff>171450</xdr:rowOff>
    </xdr:from>
    <xdr:to>
      <xdr:col>34</xdr:col>
      <xdr:colOff>0</xdr:colOff>
      <xdr:row>33</xdr:row>
      <xdr:rowOff>114300</xdr:rowOff>
    </xdr:to>
    <xdr:sp macro="" textlink="">
      <xdr:nvSpPr>
        <xdr:cNvPr id="1068203" name="Line 165">
          <a:extLst>
            <a:ext uri="{FF2B5EF4-FFF2-40B4-BE49-F238E27FC236}">
              <a16:creationId xmlns:a16="http://schemas.microsoft.com/office/drawing/2014/main" id="{00000000-0008-0000-0D00-0000AB4C1000}"/>
            </a:ext>
          </a:extLst>
        </xdr:cNvPr>
        <xdr:cNvSpPr>
          <a:spLocks noChangeShapeType="1"/>
        </xdr:cNvSpPr>
      </xdr:nvSpPr>
      <xdr:spPr bwMode="auto">
        <a:xfrm flipV="1">
          <a:off x="23031450" y="5838825"/>
          <a:ext cx="342900" cy="8477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76200</xdr:colOff>
      <xdr:row>58</xdr:row>
      <xdr:rowOff>0</xdr:rowOff>
    </xdr:from>
    <xdr:to>
      <xdr:col>33</xdr:col>
      <xdr:colOff>76200</xdr:colOff>
      <xdr:row>58</xdr:row>
      <xdr:rowOff>0</xdr:rowOff>
    </xdr:to>
    <xdr:sp macro="" textlink="">
      <xdr:nvSpPr>
        <xdr:cNvPr id="1068204" name="Line 176">
          <a:extLst>
            <a:ext uri="{FF2B5EF4-FFF2-40B4-BE49-F238E27FC236}">
              <a16:creationId xmlns:a16="http://schemas.microsoft.com/office/drawing/2014/main" id="{00000000-0008-0000-0D00-0000AC4C1000}"/>
            </a:ext>
          </a:extLst>
        </xdr:cNvPr>
        <xdr:cNvSpPr>
          <a:spLocks noChangeShapeType="1"/>
        </xdr:cNvSpPr>
      </xdr:nvSpPr>
      <xdr:spPr bwMode="auto">
        <a:xfrm>
          <a:off x="23040975" y="11096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76200</xdr:colOff>
      <xdr:row>58</xdr:row>
      <xdr:rowOff>0</xdr:rowOff>
    </xdr:from>
    <xdr:to>
      <xdr:col>33</xdr:col>
      <xdr:colOff>76200</xdr:colOff>
      <xdr:row>58</xdr:row>
      <xdr:rowOff>0</xdr:rowOff>
    </xdr:to>
    <xdr:sp macro="" textlink="">
      <xdr:nvSpPr>
        <xdr:cNvPr id="1068205" name="Line 210">
          <a:extLst>
            <a:ext uri="{FF2B5EF4-FFF2-40B4-BE49-F238E27FC236}">
              <a16:creationId xmlns:a16="http://schemas.microsoft.com/office/drawing/2014/main" id="{00000000-0008-0000-0D00-0000AD4C1000}"/>
            </a:ext>
          </a:extLst>
        </xdr:cNvPr>
        <xdr:cNvSpPr>
          <a:spLocks noChangeShapeType="1"/>
        </xdr:cNvSpPr>
      </xdr:nvSpPr>
      <xdr:spPr bwMode="auto">
        <a:xfrm>
          <a:off x="23040975" y="11096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57150</xdr:colOff>
      <xdr:row>39</xdr:row>
      <xdr:rowOff>76200</xdr:rowOff>
    </xdr:from>
    <xdr:to>
      <xdr:col>33</xdr:col>
      <xdr:colOff>400050</xdr:colOff>
      <xdr:row>44</xdr:row>
      <xdr:rowOff>0</xdr:rowOff>
    </xdr:to>
    <xdr:sp macro="" textlink="">
      <xdr:nvSpPr>
        <xdr:cNvPr id="1068206" name="Line 259">
          <a:extLst>
            <a:ext uri="{FF2B5EF4-FFF2-40B4-BE49-F238E27FC236}">
              <a16:creationId xmlns:a16="http://schemas.microsoft.com/office/drawing/2014/main" id="{00000000-0008-0000-0D00-0000AE4C1000}"/>
            </a:ext>
          </a:extLst>
        </xdr:cNvPr>
        <xdr:cNvSpPr>
          <a:spLocks noChangeShapeType="1"/>
        </xdr:cNvSpPr>
      </xdr:nvSpPr>
      <xdr:spPr bwMode="auto">
        <a:xfrm>
          <a:off x="23021925" y="7734300"/>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44</xdr:row>
      <xdr:rowOff>0</xdr:rowOff>
    </xdr:from>
    <xdr:to>
      <xdr:col>30</xdr:col>
      <xdr:colOff>76200</xdr:colOff>
      <xdr:row>44</xdr:row>
      <xdr:rowOff>9525</xdr:rowOff>
    </xdr:to>
    <xdr:sp macro="" textlink="">
      <xdr:nvSpPr>
        <xdr:cNvPr id="1068207" name="Line 283">
          <a:extLst>
            <a:ext uri="{FF2B5EF4-FFF2-40B4-BE49-F238E27FC236}">
              <a16:creationId xmlns:a16="http://schemas.microsoft.com/office/drawing/2014/main" id="{00000000-0008-0000-0D00-0000AF4C1000}"/>
            </a:ext>
          </a:extLst>
        </xdr:cNvPr>
        <xdr:cNvSpPr>
          <a:spLocks noChangeShapeType="1"/>
        </xdr:cNvSpPr>
      </xdr:nvSpPr>
      <xdr:spPr bwMode="auto">
        <a:xfrm>
          <a:off x="2080260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66675</xdr:colOff>
      <xdr:row>44</xdr:row>
      <xdr:rowOff>9525</xdr:rowOff>
    </xdr:from>
    <xdr:to>
      <xdr:col>30</xdr:col>
      <xdr:colOff>66675</xdr:colOff>
      <xdr:row>47</xdr:row>
      <xdr:rowOff>19050</xdr:rowOff>
    </xdr:to>
    <xdr:sp macro="" textlink="">
      <xdr:nvSpPr>
        <xdr:cNvPr id="1068208" name="Line 284">
          <a:extLst>
            <a:ext uri="{FF2B5EF4-FFF2-40B4-BE49-F238E27FC236}">
              <a16:creationId xmlns:a16="http://schemas.microsoft.com/office/drawing/2014/main" id="{00000000-0008-0000-0D00-0000B04C1000}"/>
            </a:ext>
          </a:extLst>
        </xdr:cNvPr>
        <xdr:cNvSpPr>
          <a:spLocks noChangeShapeType="1"/>
        </xdr:cNvSpPr>
      </xdr:nvSpPr>
      <xdr:spPr bwMode="auto">
        <a:xfrm>
          <a:off x="20869275"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9525</xdr:colOff>
      <xdr:row>47</xdr:row>
      <xdr:rowOff>0</xdr:rowOff>
    </xdr:from>
    <xdr:to>
      <xdr:col>30</xdr:col>
      <xdr:colOff>66675</xdr:colOff>
      <xdr:row>47</xdr:row>
      <xdr:rowOff>9525</xdr:rowOff>
    </xdr:to>
    <xdr:sp macro="" textlink="">
      <xdr:nvSpPr>
        <xdr:cNvPr id="1068209" name="Line 285">
          <a:extLst>
            <a:ext uri="{FF2B5EF4-FFF2-40B4-BE49-F238E27FC236}">
              <a16:creationId xmlns:a16="http://schemas.microsoft.com/office/drawing/2014/main" id="{00000000-0008-0000-0D00-0000B14C1000}"/>
            </a:ext>
          </a:extLst>
        </xdr:cNvPr>
        <xdr:cNvSpPr>
          <a:spLocks noChangeShapeType="1"/>
        </xdr:cNvSpPr>
      </xdr:nvSpPr>
      <xdr:spPr bwMode="auto">
        <a:xfrm flipV="1">
          <a:off x="2081212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0</xdr:colOff>
      <xdr:row>44</xdr:row>
      <xdr:rowOff>0</xdr:rowOff>
    </xdr:from>
    <xdr:to>
      <xdr:col>33</xdr:col>
      <xdr:colOff>76200</xdr:colOff>
      <xdr:row>44</xdr:row>
      <xdr:rowOff>9525</xdr:rowOff>
    </xdr:to>
    <xdr:sp macro="" textlink="">
      <xdr:nvSpPr>
        <xdr:cNvPr id="1068210" name="Line 286">
          <a:extLst>
            <a:ext uri="{FF2B5EF4-FFF2-40B4-BE49-F238E27FC236}">
              <a16:creationId xmlns:a16="http://schemas.microsoft.com/office/drawing/2014/main" id="{00000000-0008-0000-0D00-0000B24C1000}"/>
            </a:ext>
          </a:extLst>
        </xdr:cNvPr>
        <xdr:cNvSpPr>
          <a:spLocks noChangeShapeType="1"/>
        </xdr:cNvSpPr>
      </xdr:nvSpPr>
      <xdr:spPr bwMode="auto">
        <a:xfrm>
          <a:off x="2296477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66675</xdr:colOff>
      <xdr:row>44</xdr:row>
      <xdr:rowOff>9525</xdr:rowOff>
    </xdr:from>
    <xdr:to>
      <xdr:col>33</xdr:col>
      <xdr:colOff>66675</xdr:colOff>
      <xdr:row>47</xdr:row>
      <xdr:rowOff>19050</xdr:rowOff>
    </xdr:to>
    <xdr:sp macro="" textlink="">
      <xdr:nvSpPr>
        <xdr:cNvPr id="1068211" name="Line 287">
          <a:extLst>
            <a:ext uri="{FF2B5EF4-FFF2-40B4-BE49-F238E27FC236}">
              <a16:creationId xmlns:a16="http://schemas.microsoft.com/office/drawing/2014/main" id="{00000000-0008-0000-0D00-0000B34C1000}"/>
            </a:ext>
          </a:extLst>
        </xdr:cNvPr>
        <xdr:cNvSpPr>
          <a:spLocks noChangeShapeType="1"/>
        </xdr:cNvSpPr>
      </xdr:nvSpPr>
      <xdr:spPr bwMode="auto">
        <a:xfrm>
          <a:off x="23031450"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9525</xdr:colOff>
      <xdr:row>47</xdr:row>
      <xdr:rowOff>0</xdr:rowOff>
    </xdr:from>
    <xdr:to>
      <xdr:col>33</xdr:col>
      <xdr:colOff>66675</xdr:colOff>
      <xdr:row>47</xdr:row>
      <xdr:rowOff>9525</xdr:rowOff>
    </xdr:to>
    <xdr:sp macro="" textlink="">
      <xdr:nvSpPr>
        <xdr:cNvPr id="1068212" name="Line 288">
          <a:extLst>
            <a:ext uri="{FF2B5EF4-FFF2-40B4-BE49-F238E27FC236}">
              <a16:creationId xmlns:a16="http://schemas.microsoft.com/office/drawing/2014/main" id="{00000000-0008-0000-0D00-0000B44C1000}"/>
            </a:ext>
          </a:extLst>
        </xdr:cNvPr>
        <xdr:cNvSpPr>
          <a:spLocks noChangeShapeType="1"/>
        </xdr:cNvSpPr>
      </xdr:nvSpPr>
      <xdr:spPr bwMode="auto">
        <a:xfrm flipV="1">
          <a:off x="22974300"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44</xdr:row>
      <xdr:rowOff>0</xdr:rowOff>
    </xdr:from>
    <xdr:to>
      <xdr:col>36</xdr:col>
      <xdr:colOff>76200</xdr:colOff>
      <xdr:row>44</xdr:row>
      <xdr:rowOff>9525</xdr:rowOff>
    </xdr:to>
    <xdr:sp macro="" textlink="">
      <xdr:nvSpPr>
        <xdr:cNvPr id="1068213" name="Line 289">
          <a:extLst>
            <a:ext uri="{FF2B5EF4-FFF2-40B4-BE49-F238E27FC236}">
              <a16:creationId xmlns:a16="http://schemas.microsoft.com/office/drawing/2014/main" id="{00000000-0008-0000-0D00-0000B54C1000}"/>
            </a:ext>
          </a:extLst>
        </xdr:cNvPr>
        <xdr:cNvSpPr>
          <a:spLocks noChangeShapeType="1"/>
        </xdr:cNvSpPr>
      </xdr:nvSpPr>
      <xdr:spPr bwMode="auto">
        <a:xfrm>
          <a:off x="2506027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44</xdr:row>
      <xdr:rowOff>9525</xdr:rowOff>
    </xdr:from>
    <xdr:to>
      <xdr:col>36</xdr:col>
      <xdr:colOff>66675</xdr:colOff>
      <xdr:row>47</xdr:row>
      <xdr:rowOff>19050</xdr:rowOff>
    </xdr:to>
    <xdr:sp macro="" textlink="">
      <xdr:nvSpPr>
        <xdr:cNvPr id="1068214" name="Line 290">
          <a:extLst>
            <a:ext uri="{FF2B5EF4-FFF2-40B4-BE49-F238E27FC236}">
              <a16:creationId xmlns:a16="http://schemas.microsoft.com/office/drawing/2014/main" id="{00000000-0008-0000-0D00-0000B64C1000}"/>
            </a:ext>
          </a:extLst>
        </xdr:cNvPr>
        <xdr:cNvSpPr>
          <a:spLocks noChangeShapeType="1"/>
        </xdr:cNvSpPr>
      </xdr:nvSpPr>
      <xdr:spPr bwMode="auto">
        <a:xfrm>
          <a:off x="25126950"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47</xdr:row>
      <xdr:rowOff>0</xdr:rowOff>
    </xdr:from>
    <xdr:to>
      <xdr:col>36</xdr:col>
      <xdr:colOff>66675</xdr:colOff>
      <xdr:row>47</xdr:row>
      <xdr:rowOff>9525</xdr:rowOff>
    </xdr:to>
    <xdr:sp macro="" textlink="">
      <xdr:nvSpPr>
        <xdr:cNvPr id="1068215" name="Line 291">
          <a:extLst>
            <a:ext uri="{FF2B5EF4-FFF2-40B4-BE49-F238E27FC236}">
              <a16:creationId xmlns:a16="http://schemas.microsoft.com/office/drawing/2014/main" id="{00000000-0008-0000-0D00-0000B74C1000}"/>
            </a:ext>
          </a:extLst>
        </xdr:cNvPr>
        <xdr:cNvSpPr>
          <a:spLocks noChangeShapeType="1"/>
        </xdr:cNvSpPr>
      </xdr:nvSpPr>
      <xdr:spPr bwMode="auto">
        <a:xfrm flipV="1">
          <a:off x="25069800"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44</xdr:row>
      <xdr:rowOff>0</xdr:rowOff>
    </xdr:from>
    <xdr:to>
      <xdr:col>36</xdr:col>
      <xdr:colOff>76200</xdr:colOff>
      <xdr:row>44</xdr:row>
      <xdr:rowOff>9525</xdr:rowOff>
    </xdr:to>
    <xdr:sp macro="" textlink="">
      <xdr:nvSpPr>
        <xdr:cNvPr id="1068216" name="Line 292">
          <a:extLst>
            <a:ext uri="{FF2B5EF4-FFF2-40B4-BE49-F238E27FC236}">
              <a16:creationId xmlns:a16="http://schemas.microsoft.com/office/drawing/2014/main" id="{00000000-0008-0000-0D00-0000B84C1000}"/>
            </a:ext>
          </a:extLst>
        </xdr:cNvPr>
        <xdr:cNvSpPr>
          <a:spLocks noChangeShapeType="1"/>
        </xdr:cNvSpPr>
      </xdr:nvSpPr>
      <xdr:spPr bwMode="auto">
        <a:xfrm>
          <a:off x="2506027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44</xdr:row>
      <xdr:rowOff>9525</xdr:rowOff>
    </xdr:from>
    <xdr:to>
      <xdr:col>36</xdr:col>
      <xdr:colOff>66675</xdr:colOff>
      <xdr:row>47</xdr:row>
      <xdr:rowOff>19050</xdr:rowOff>
    </xdr:to>
    <xdr:sp macro="" textlink="">
      <xdr:nvSpPr>
        <xdr:cNvPr id="1068217" name="Line 293">
          <a:extLst>
            <a:ext uri="{FF2B5EF4-FFF2-40B4-BE49-F238E27FC236}">
              <a16:creationId xmlns:a16="http://schemas.microsoft.com/office/drawing/2014/main" id="{00000000-0008-0000-0D00-0000B94C1000}"/>
            </a:ext>
          </a:extLst>
        </xdr:cNvPr>
        <xdr:cNvSpPr>
          <a:spLocks noChangeShapeType="1"/>
        </xdr:cNvSpPr>
      </xdr:nvSpPr>
      <xdr:spPr bwMode="auto">
        <a:xfrm>
          <a:off x="25126950"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47</xdr:row>
      <xdr:rowOff>0</xdr:rowOff>
    </xdr:from>
    <xdr:to>
      <xdr:col>36</xdr:col>
      <xdr:colOff>66675</xdr:colOff>
      <xdr:row>47</xdr:row>
      <xdr:rowOff>9525</xdr:rowOff>
    </xdr:to>
    <xdr:sp macro="" textlink="">
      <xdr:nvSpPr>
        <xdr:cNvPr id="1068218" name="Line 294">
          <a:extLst>
            <a:ext uri="{FF2B5EF4-FFF2-40B4-BE49-F238E27FC236}">
              <a16:creationId xmlns:a16="http://schemas.microsoft.com/office/drawing/2014/main" id="{00000000-0008-0000-0D00-0000BA4C1000}"/>
            </a:ext>
          </a:extLst>
        </xdr:cNvPr>
        <xdr:cNvSpPr>
          <a:spLocks noChangeShapeType="1"/>
        </xdr:cNvSpPr>
      </xdr:nvSpPr>
      <xdr:spPr bwMode="auto">
        <a:xfrm flipV="1">
          <a:off x="25069800"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76200</xdr:colOff>
      <xdr:row>45</xdr:row>
      <xdr:rowOff>66675</xdr:rowOff>
    </xdr:from>
    <xdr:to>
      <xdr:col>37</xdr:col>
      <xdr:colOff>9525</xdr:colOff>
      <xdr:row>47</xdr:row>
      <xdr:rowOff>19050</xdr:rowOff>
    </xdr:to>
    <xdr:sp macro="" textlink="">
      <xdr:nvSpPr>
        <xdr:cNvPr id="1068219" name="Line 295">
          <a:extLst>
            <a:ext uri="{FF2B5EF4-FFF2-40B4-BE49-F238E27FC236}">
              <a16:creationId xmlns:a16="http://schemas.microsoft.com/office/drawing/2014/main" id="{00000000-0008-0000-0D00-0000BB4C1000}"/>
            </a:ext>
          </a:extLst>
        </xdr:cNvPr>
        <xdr:cNvSpPr>
          <a:spLocks noChangeShapeType="1"/>
        </xdr:cNvSpPr>
      </xdr:nvSpPr>
      <xdr:spPr bwMode="auto">
        <a:xfrm>
          <a:off x="25136475" y="88106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44</xdr:row>
      <xdr:rowOff>0</xdr:rowOff>
    </xdr:from>
    <xdr:to>
      <xdr:col>36</xdr:col>
      <xdr:colOff>76200</xdr:colOff>
      <xdr:row>44</xdr:row>
      <xdr:rowOff>9525</xdr:rowOff>
    </xdr:to>
    <xdr:sp macro="" textlink="">
      <xdr:nvSpPr>
        <xdr:cNvPr id="1068220" name="Line 296">
          <a:extLst>
            <a:ext uri="{FF2B5EF4-FFF2-40B4-BE49-F238E27FC236}">
              <a16:creationId xmlns:a16="http://schemas.microsoft.com/office/drawing/2014/main" id="{00000000-0008-0000-0D00-0000BC4C1000}"/>
            </a:ext>
          </a:extLst>
        </xdr:cNvPr>
        <xdr:cNvSpPr>
          <a:spLocks noChangeShapeType="1"/>
        </xdr:cNvSpPr>
      </xdr:nvSpPr>
      <xdr:spPr bwMode="auto">
        <a:xfrm>
          <a:off x="2506027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44</xdr:row>
      <xdr:rowOff>9525</xdr:rowOff>
    </xdr:from>
    <xdr:to>
      <xdr:col>36</xdr:col>
      <xdr:colOff>66675</xdr:colOff>
      <xdr:row>47</xdr:row>
      <xdr:rowOff>19050</xdr:rowOff>
    </xdr:to>
    <xdr:sp macro="" textlink="">
      <xdr:nvSpPr>
        <xdr:cNvPr id="1068221" name="Line 297">
          <a:extLst>
            <a:ext uri="{FF2B5EF4-FFF2-40B4-BE49-F238E27FC236}">
              <a16:creationId xmlns:a16="http://schemas.microsoft.com/office/drawing/2014/main" id="{00000000-0008-0000-0D00-0000BD4C1000}"/>
            </a:ext>
          </a:extLst>
        </xdr:cNvPr>
        <xdr:cNvSpPr>
          <a:spLocks noChangeShapeType="1"/>
        </xdr:cNvSpPr>
      </xdr:nvSpPr>
      <xdr:spPr bwMode="auto">
        <a:xfrm>
          <a:off x="25126950"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47</xdr:row>
      <xdr:rowOff>0</xdr:rowOff>
    </xdr:from>
    <xdr:to>
      <xdr:col>36</xdr:col>
      <xdr:colOff>66675</xdr:colOff>
      <xdr:row>47</xdr:row>
      <xdr:rowOff>9525</xdr:rowOff>
    </xdr:to>
    <xdr:sp macro="" textlink="">
      <xdr:nvSpPr>
        <xdr:cNvPr id="1068222" name="Line 298">
          <a:extLst>
            <a:ext uri="{FF2B5EF4-FFF2-40B4-BE49-F238E27FC236}">
              <a16:creationId xmlns:a16="http://schemas.microsoft.com/office/drawing/2014/main" id="{00000000-0008-0000-0D00-0000BE4C1000}"/>
            </a:ext>
          </a:extLst>
        </xdr:cNvPr>
        <xdr:cNvSpPr>
          <a:spLocks noChangeShapeType="1"/>
        </xdr:cNvSpPr>
      </xdr:nvSpPr>
      <xdr:spPr bwMode="auto">
        <a:xfrm flipV="1">
          <a:off x="25069800"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57150</xdr:colOff>
      <xdr:row>43</xdr:row>
      <xdr:rowOff>171450</xdr:rowOff>
    </xdr:from>
    <xdr:to>
      <xdr:col>37</xdr:col>
      <xdr:colOff>9525</xdr:colOff>
      <xdr:row>45</xdr:row>
      <xdr:rowOff>47625</xdr:rowOff>
    </xdr:to>
    <xdr:sp macro="" textlink="">
      <xdr:nvSpPr>
        <xdr:cNvPr id="1068223" name="Line 299">
          <a:extLst>
            <a:ext uri="{FF2B5EF4-FFF2-40B4-BE49-F238E27FC236}">
              <a16:creationId xmlns:a16="http://schemas.microsoft.com/office/drawing/2014/main" id="{00000000-0008-0000-0D00-0000BF4C1000}"/>
            </a:ext>
          </a:extLst>
        </xdr:cNvPr>
        <xdr:cNvSpPr>
          <a:spLocks noChangeShapeType="1"/>
        </xdr:cNvSpPr>
      </xdr:nvSpPr>
      <xdr:spPr bwMode="auto">
        <a:xfrm flipV="1">
          <a:off x="25117425" y="8553450"/>
          <a:ext cx="3619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44</xdr:row>
      <xdr:rowOff>0</xdr:rowOff>
    </xdr:from>
    <xdr:to>
      <xdr:col>33</xdr:col>
      <xdr:colOff>76200</xdr:colOff>
      <xdr:row>44</xdr:row>
      <xdr:rowOff>9525</xdr:rowOff>
    </xdr:to>
    <xdr:sp macro="" textlink="">
      <xdr:nvSpPr>
        <xdr:cNvPr id="1068224" name="Line 300">
          <a:extLst>
            <a:ext uri="{FF2B5EF4-FFF2-40B4-BE49-F238E27FC236}">
              <a16:creationId xmlns:a16="http://schemas.microsoft.com/office/drawing/2014/main" id="{00000000-0008-0000-0D00-0000C04C1000}"/>
            </a:ext>
          </a:extLst>
        </xdr:cNvPr>
        <xdr:cNvSpPr>
          <a:spLocks noChangeShapeType="1"/>
        </xdr:cNvSpPr>
      </xdr:nvSpPr>
      <xdr:spPr bwMode="auto">
        <a:xfrm>
          <a:off x="2296477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66675</xdr:colOff>
      <xdr:row>44</xdr:row>
      <xdr:rowOff>9525</xdr:rowOff>
    </xdr:from>
    <xdr:to>
      <xdr:col>33</xdr:col>
      <xdr:colOff>66675</xdr:colOff>
      <xdr:row>47</xdr:row>
      <xdr:rowOff>19050</xdr:rowOff>
    </xdr:to>
    <xdr:sp macro="" textlink="">
      <xdr:nvSpPr>
        <xdr:cNvPr id="1068225" name="Line 301">
          <a:extLst>
            <a:ext uri="{FF2B5EF4-FFF2-40B4-BE49-F238E27FC236}">
              <a16:creationId xmlns:a16="http://schemas.microsoft.com/office/drawing/2014/main" id="{00000000-0008-0000-0D00-0000C14C1000}"/>
            </a:ext>
          </a:extLst>
        </xdr:cNvPr>
        <xdr:cNvSpPr>
          <a:spLocks noChangeShapeType="1"/>
        </xdr:cNvSpPr>
      </xdr:nvSpPr>
      <xdr:spPr bwMode="auto">
        <a:xfrm>
          <a:off x="23031450"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9525</xdr:colOff>
      <xdr:row>47</xdr:row>
      <xdr:rowOff>0</xdr:rowOff>
    </xdr:from>
    <xdr:to>
      <xdr:col>33</xdr:col>
      <xdr:colOff>66675</xdr:colOff>
      <xdr:row>47</xdr:row>
      <xdr:rowOff>9525</xdr:rowOff>
    </xdr:to>
    <xdr:sp macro="" textlink="">
      <xdr:nvSpPr>
        <xdr:cNvPr id="1068226" name="Line 302">
          <a:extLst>
            <a:ext uri="{FF2B5EF4-FFF2-40B4-BE49-F238E27FC236}">
              <a16:creationId xmlns:a16="http://schemas.microsoft.com/office/drawing/2014/main" id="{00000000-0008-0000-0D00-0000C24C1000}"/>
            </a:ext>
          </a:extLst>
        </xdr:cNvPr>
        <xdr:cNvSpPr>
          <a:spLocks noChangeShapeType="1"/>
        </xdr:cNvSpPr>
      </xdr:nvSpPr>
      <xdr:spPr bwMode="auto">
        <a:xfrm flipV="1">
          <a:off x="22974300"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0</xdr:colOff>
      <xdr:row>50</xdr:row>
      <xdr:rowOff>0</xdr:rowOff>
    </xdr:from>
    <xdr:to>
      <xdr:col>30</xdr:col>
      <xdr:colOff>76200</xdr:colOff>
      <xdr:row>50</xdr:row>
      <xdr:rowOff>9525</xdr:rowOff>
    </xdr:to>
    <xdr:sp macro="" textlink="">
      <xdr:nvSpPr>
        <xdr:cNvPr id="1068227" name="Line 303">
          <a:extLst>
            <a:ext uri="{FF2B5EF4-FFF2-40B4-BE49-F238E27FC236}">
              <a16:creationId xmlns:a16="http://schemas.microsoft.com/office/drawing/2014/main" id="{00000000-0008-0000-0D00-0000C34C1000}"/>
            </a:ext>
          </a:extLst>
        </xdr:cNvPr>
        <xdr:cNvSpPr>
          <a:spLocks noChangeShapeType="1"/>
        </xdr:cNvSpPr>
      </xdr:nvSpPr>
      <xdr:spPr bwMode="auto">
        <a:xfrm>
          <a:off x="2080260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66675</xdr:colOff>
      <xdr:row>50</xdr:row>
      <xdr:rowOff>9525</xdr:rowOff>
    </xdr:from>
    <xdr:to>
      <xdr:col>30</xdr:col>
      <xdr:colOff>66675</xdr:colOff>
      <xdr:row>53</xdr:row>
      <xdr:rowOff>19050</xdr:rowOff>
    </xdr:to>
    <xdr:sp macro="" textlink="">
      <xdr:nvSpPr>
        <xdr:cNvPr id="1068228" name="Line 304">
          <a:extLst>
            <a:ext uri="{FF2B5EF4-FFF2-40B4-BE49-F238E27FC236}">
              <a16:creationId xmlns:a16="http://schemas.microsoft.com/office/drawing/2014/main" id="{00000000-0008-0000-0D00-0000C44C1000}"/>
            </a:ext>
          </a:extLst>
        </xdr:cNvPr>
        <xdr:cNvSpPr>
          <a:spLocks noChangeShapeType="1"/>
        </xdr:cNvSpPr>
      </xdr:nvSpPr>
      <xdr:spPr bwMode="auto">
        <a:xfrm>
          <a:off x="20869275"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9525</xdr:colOff>
      <xdr:row>53</xdr:row>
      <xdr:rowOff>0</xdr:rowOff>
    </xdr:from>
    <xdr:to>
      <xdr:col>30</xdr:col>
      <xdr:colOff>66675</xdr:colOff>
      <xdr:row>53</xdr:row>
      <xdr:rowOff>9525</xdr:rowOff>
    </xdr:to>
    <xdr:sp macro="" textlink="">
      <xdr:nvSpPr>
        <xdr:cNvPr id="1068229" name="Line 305">
          <a:extLst>
            <a:ext uri="{FF2B5EF4-FFF2-40B4-BE49-F238E27FC236}">
              <a16:creationId xmlns:a16="http://schemas.microsoft.com/office/drawing/2014/main" id="{00000000-0008-0000-0D00-0000C54C1000}"/>
            </a:ext>
          </a:extLst>
        </xdr:cNvPr>
        <xdr:cNvSpPr>
          <a:spLocks noChangeShapeType="1"/>
        </xdr:cNvSpPr>
      </xdr:nvSpPr>
      <xdr:spPr bwMode="auto">
        <a:xfrm flipV="1">
          <a:off x="2081212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0</xdr:colOff>
      <xdr:row>50</xdr:row>
      <xdr:rowOff>0</xdr:rowOff>
    </xdr:from>
    <xdr:to>
      <xdr:col>33</xdr:col>
      <xdr:colOff>76200</xdr:colOff>
      <xdr:row>50</xdr:row>
      <xdr:rowOff>9525</xdr:rowOff>
    </xdr:to>
    <xdr:sp macro="" textlink="">
      <xdr:nvSpPr>
        <xdr:cNvPr id="1068230" name="Line 306">
          <a:extLst>
            <a:ext uri="{FF2B5EF4-FFF2-40B4-BE49-F238E27FC236}">
              <a16:creationId xmlns:a16="http://schemas.microsoft.com/office/drawing/2014/main" id="{00000000-0008-0000-0D00-0000C64C1000}"/>
            </a:ext>
          </a:extLst>
        </xdr:cNvPr>
        <xdr:cNvSpPr>
          <a:spLocks noChangeShapeType="1"/>
        </xdr:cNvSpPr>
      </xdr:nvSpPr>
      <xdr:spPr bwMode="auto">
        <a:xfrm>
          <a:off x="22964775"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66675</xdr:colOff>
      <xdr:row>50</xdr:row>
      <xdr:rowOff>9525</xdr:rowOff>
    </xdr:from>
    <xdr:to>
      <xdr:col>33</xdr:col>
      <xdr:colOff>66675</xdr:colOff>
      <xdr:row>53</xdr:row>
      <xdr:rowOff>19050</xdr:rowOff>
    </xdr:to>
    <xdr:sp macro="" textlink="">
      <xdr:nvSpPr>
        <xdr:cNvPr id="1068231" name="Line 307">
          <a:extLst>
            <a:ext uri="{FF2B5EF4-FFF2-40B4-BE49-F238E27FC236}">
              <a16:creationId xmlns:a16="http://schemas.microsoft.com/office/drawing/2014/main" id="{00000000-0008-0000-0D00-0000C74C1000}"/>
            </a:ext>
          </a:extLst>
        </xdr:cNvPr>
        <xdr:cNvSpPr>
          <a:spLocks noChangeShapeType="1"/>
        </xdr:cNvSpPr>
      </xdr:nvSpPr>
      <xdr:spPr bwMode="auto">
        <a:xfrm>
          <a:off x="23031450"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9525</xdr:colOff>
      <xdr:row>53</xdr:row>
      <xdr:rowOff>0</xdr:rowOff>
    </xdr:from>
    <xdr:to>
      <xdr:col>33</xdr:col>
      <xdr:colOff>66675</xdr:colOff>
      <xdr:row>53</xdr:row>
      <xdr:rowOff>9525</xdr:rowOff>
    </xdr:to>
    <xdr:sp macro="" textlink="">
      <xdr:nvSpPr>
        <xdr:cNvPr id="1068232" name="Line 308">
          <a:extLst>
            <a:ext uri="{FF2B5EF4-FFF2-40B4-BE49-F238E27FC236}">
              <a16:creationId xmlns:a16="http://schemas.microsoft.com/office/drawing/2014/main" id="{00000000-0008-0000-0D00-0000C84C1000}"/>
            </a:ext>
          </a:extLst>
        </xdr:cNvPr>
        <xdr:cNvSpPr>
          <a:spLocks noChangeShapeType="1"/>
        </xdr:cNvSpPr>
      </xdr:nvSpPr>
      <xdr:spPr bwMode="auto">
        <a:xfrm flipV="1">
          <a:off x="22974300"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50</xdr:row>
      <xdr:rowOff>0</xdr:rowOff>
    </xdr:from>
    <xdr:to>
      <xdr:col>36</xdr:col>
      <xdr:colOff>76200</xdr:colOff>
      <xdr:row>50</xdr:row>
      <xdr:rowOff>9525</xdr:rowOff>
    </xdr:to>
    <xdr:sp macro="" textlink="">
      <xdr:nvSpPr>
        <xdr:cNvPr id="1068233" name="Line 309">
          <a:extLst>
            <a:ext uri="{FF2B5EF4-FFF2-40B4-BE49-F238E27FC236}">
              <a16:creationId xmlns:a16="http://schemas.microsoft.com/office/drawing/2014/main" id="{00000000-0008-0000-0D00-0000C94C1000}"/>
            </a:ext>
          </a:extLst>
        </xdr:cNvPr>
        <xdr:cNvSpPr>
          <a:spLocks noChangeShapeType="1"/>
        </xdr:cNvSpPr>
      </xdr:nvSpPr>
      <xdr:spPr bwMode="auto">
        <a:xfrm>
          <a:off x="25060275"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50</xdr:row>
      <xdr:rowOff>9525</xdr:rowOff>
    </xdr:from>
    <xdr:to>
      <xdr:col>36</xdr:col>
      <xdr:colOff>66675</xdr:colOff>
      <xdr:row>53</xdr:row>
      <xdr:rowOff>19050</xdr:rowOff>
    </xdr:to>
    <xdr:sp macro="" textlink="">
      <xdr:nvSpPr>
        <xdr:cNvPr id="1068234" name="Line 310">
          <a:extLst>
            <a:ext uri="{FF2B5EF4-FFF2-40B4-BE49-F238E27FC236}">
              <a16:creationId xmlns:a16="http://schemas.microsoft.com/office/drawing/2014/main" id="{00000000-0008-0000-0D00-0000CA4C1000}"/>
            </a:ext>
          </a:extLst>
        </xdr:cNvPr>
        <xdr:cNvSpPr>
          <a:spLocks noChangeShapeType="1"/>
        </xdr:cNvSpPr>
      </xdr:nvSpPr>
      <xdr:spPr bwMode="auto">
        <a:xfrm>
          <a:off x="25126950"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53</xdr:row>
      <xdr:rowOff>0</xdr:rowOff>
    </xdr:from>
    <xdr:to>
      <xdr:col>36</xdr:col>
      <xdr:colOff>66675</xdr:colOff>
      <xdr:row>53</xdr:row>
      <xdr:rowOff>9525</xdr:rowOff>
    </xdr:to>
    <xdr:sp macro="" textlink="">
      <xdr:nvSpPr>
        <xdr:cNvPr id="1068235" name="Line 311">
          <a:extLst>
            <a:ext uri="{FF2B5EF4-FFF2-40B4-BE49-F238E27FC236}">
              <a16:creationId xmlns:a16="http://schemas.microsoft.com/office/drawing/2014/main" id="{00000000-0008-0000-0D00-0000CB4C1000}"/>
            </a:ext>
          </a:extLst>
        </xdr:cNvPr>
        <xdr:cNvSpPr>
          <a:spLocks noChangeShapeType="1"/>
        </xdr:cNvSpPr>
      </xdr:nvSpPr>
      <xdr:spPr bwMode="auto">
        <a:xfrm flipV="1">
          <a:off x="25069800"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50</xdr:row>
      <xdr:rowOff>0</xdr:rowOff>
    </xdr:from>
    <xdr:to>
      <xdr:col>36</xdr:col>
      <xdr:colOff>76200</xdr:colOff>
      <xdr:row>50</xdr:row>
      <xdr:rowOff>9525</xdr:rowOff>
    </xdr:to>
    <xdr:sp macro="" textlink="">
      <xdr:nvSpPr>
        <xdr:cNvPr id="1068236" name="Line 312">
          <a:extLst>
            <a:ext uri="{FF2B5EF4-FFF2-40B4-BE49-F238E27FC236}">
              <a16:creationId xmlns:a16="http://schemas.microsoft.com/office/drawing/2014/main" id="{00000000-0008-0000-0D00-0000CC4C1000}"/>
            </a:ext>
          </a:extLst>
        </xdr:cNvPr>
        <xdr:cNvSpPr>
          <a:spLocks noChangeShapeType="1"/>
        </xdr:cNvSpPr>
      </xdr:nvSpPr>
      <xdr:spPr bwMode="auto">
        <a:xfrm>
          <a:off x="25060275"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50</xdr:row>
      <xdr:rowOff>9525</xdr:rowOff>
    </xdr:from>
    <xdr:to>
      <xdr:col>36</xdr:col>
      <xdr:colOff>66675</xdr:colOff>
      <xdr:row>53</xdr:row>
      <xdr:rowOff>19050</xdr:rowOff>
    </xdr:to>
    <xdr:sp macro="" textlink="">
      <xdr:nvSpPr>
        <xdr:cNvPr id="1068237" name="Line 313">
          <a:extLst>
            <a:ext uri="{FF2B5EF4-FFF2-40B4-BE49-F238E27FC236}">
              <a16:creationId xmlns:a16="http://schemas.microsoft.com/office/drawing/2014/main" id="{00000000-0008-0000-0D00-0000CD4C1000}"/>
            </a:ext>
          </a:extLst>
        </xdr:cNvPr>
        <xdr:cNvSpPr>
          <a:spLocks noChangeShapeType="1"/>
        </xdr:cNvSpPr>
      </xdr:nvSpPr>
      <xdr:spPr bwMode="auto">
        <a:xfrm>
          <a:off x="25126950"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53</xdr:row>
      <xdr:rowOff>0</xdr:rowOff>
    </xdr:from>
    <xdr:to>
      <xdr:col>36</xdr:col>
      <xdr:colOff>66675</xdr:colOff>
      <xdr:row>53</xdr:row>
      <xdr:rowOff>9525</xdr:rowOff>
    </xdr:to>
    <xdr:sp macro="" textlink="">
      <xdr:nvSpPr>
        <xdr:cNvPr id="1068238" name="Line 314">
          <a:extLst>
            <a:ext uri="{FF2B5EF4-FFF2-40B4-BE49-F238E27FC236}">
              <a16:creationId xmlns:a16="http://schemas.microsoft.com/office/drawing/2014/main" id="{00000000-0008-0000-0D00-0000CE4C1000}"/>
            </a:ext>
          </a:extLst>
        </xdr:cNvPr>
        <xdr:cNvSpPr>
          <a:spLocks noChangeShapeType="1"/>
        </xdr:cNvSpPr>
      </xdr:nvSpPr>
      <xdr:spPr bwMode="auto">
        <a:xfrm flipV="1">
          <a:off x="25069800"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76200</xdr:colOff>
      <xdr:row>51</xdr:row>
      <xdr:rowOff>66675</xdr:rowOff>
    </xdr:from>
    <xdr:to>
      <xdr:col>37</xdr:col>
      <xdr:colOff>9525</xdr:colOff>
      <xdr:row>53</xdr:row>
      <xdr:rowOff>19050</xdr:rowOff>
    </xdr:to>
    <xdr:sp macro="" textlink="">
      <xdr:nvSpPr>
        <xdr:cNvPr id="1068239" name="Line 315">
          <a:extLst>
            <a:ext uri="{FF2B5EF4-FFF2-40B4-BE49-F238E27FC236}">
              <a16:creationId xmlns:a16="http://schemas.microsoft.com/office/drawing/2014/main" id="{00000000-0008-0000-0D00-0000CF4C1000}"/>
            </a:ext>
          </a:extLst>
        </xdr:cNvPr>
        <xdr:cNvSpPr>
          <a:spLocks noChangeShapeType="1"/>
        </xdr:cNvSpPr>
      </xdr:nvSpPr>
      <xdr:spPr bwMode="auto">
        <a:xfrm>
          <a:off x="25136475" y="98964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50</xdr:row>
      <xdr:rowOff>0</xdr:rowOff>
    </xdr:from>
    <xdr:to>
      <xdr:col>36</xdr:col>
      <xdr:colOff>76200</xdr:colOff>
      <xdr:row>50</xdr:row>
      <xdr:rowOff>9525</xdr:rowOff>
    </xdr:to>
    <xdr:sp macro="" textlink="">
      <xdr:nvSpPr>
        <xdr:cNvPr id="1068240" name="Line 316">
          <a:extLst>
            <a:ext uri="{FF2B5EF4-FFF2-40B4-BE49-F238E27FC236}">
              <a16:creationId xmlns:a16="http://schemas.microsoft.com/office/drawing/2014/main" id="{00000000-0008-0000-0D00-0000D04C1000}"/>
            </a:ext>
          </a:extLst>
        </xdr:cNvPr>
        <xdr:cNvSpPr>
          <a:spLocks noChangeShapeType="1"/>
        </xdr:cNvSpPr>
      </xdr:nvSpPr>
      <xdr:spPr bwMode="auto">
        <a:xfrm>
          <a:off x="25060275"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50</xdr:row>
      <xdr:rowOff>9525</xdr:rowOff>
    </xdr:from>
    <xdr:to>
      <xdr:col>36</xdr:col>
      <xdr:colOff>66675</xdr:colOff>
      <xdr:row>53</xdr:row>
      <xdr:rowOff>19050</xdr:rowOff>
    </xdr:to>
    <xdr:sp macro="" textlink="">
      <xdr:nvSpPr>
        <xdr:cNvPr id="1068241" name="Line 317">
          <a:extLst>
            <a:ext uri="{FF2B5EF4-FFF2-40B4-BE49-F238E27FC236}">
              <a16:creationId xmlns:a16="http://schemas.microsoft.com/office/drawing/2014/main" id="{00000000-0008-0000-0D00-0000D14C1000}"/>
            </a:ext>
          </a:extLst>
        </xdr:cNvPr>
        <xdr:cNvSpPr>
          <a:spLocks noChangeShapeType="1"/>
        </xdr:cNvSpPr>
      </xdr:nvSpPr>
      <xdr:spPr bwMode="auto">
        <a:xfrm>
          <a:off x="25126950"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53</xdr:row>
      <xdr:rowOff>0</xdr:rowOff>
    </xdr:from>
    <xdr:to>
      <xdr:col>36</xdr:col>
      <xdr:colOff>66675</xdr:colOff>
      <xdr:row>53</xdr:row>
      <xdr:rowOff>9525</xdr:rowOff>
    </xdr:to>
    <xdr:sp macro="" textlink="">
      <xdr:nvSpPr>
        <xdr:cNvPr id="1068242" name="Line 318">
          <a:extLst>
            <a:ext uri="{FF2B5EF4-FFF2-40B4-BE49-F238E27FC236}">
              <a16:creationId xmlns:a16="http://schemas.microsoft.com/office/drawing/2014/main" id="{00000000-0008-0000-0D00-0000D24C1000}"/>
            </a:ext>
          </a:extLst>
        </xdr:cNvPr>
        <xdr:cNvSpPr>
          <a:spLocks noChangeShapeType="1"/>
        </xdr:cNvSpPr>
      </xdr:nvSpPr>
      <xdr:spPr bwMode="auto">
        <a:xfrm flipV="1">
          <a:off x="25069800"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76200</xdr:colOff>
      <xdr:row>49</xdr:row>
      <xdr:rowOff>171450</xdr:rowOff>
    </xdr:from>
    <xdr:to>
      <xdr:col>37</xdr:col>
      <xdr:colOff>9525</xdr:colOff>
      <xdr:row>51</xdr:row>
      <xdr:rowOff>38100</xdr:rowOff>
    </xdr:to>
    <xdr:sp macro="" textlink="">
      <xdr:nvSpPr>
        <xdr:cNvPr id="1068243" name="Line 319">
          <a:extLst>
            <a:ext uri="{FF2B5EF4-FFF2-40B4-BE49-F238E27FC236}">
              <a16:creationId xmlns:a16="http://schemas.microsoft.com/office/drawing/2014/main" id="{00000000-0008-0000-0D00-0000D34C1000}"/>
            </a:ext>
          </a:extLst>
        </xdr:cNvPr>
        <xdr:cNvSpPr>
          <a:spLocks noChangeShapeType="1"/>
        </xdr:cNvSpPr>
      </xdr:nvSpPr>
      <xdr:spPr bwMode="auto">
        <a:xfrm flipV="1">
          <a:off x="25136475" y="9639300"/>
          <a:ext cx="342900" cy="22860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50</xdr:row>
      <xdr:rowOff>0</xdr:rowOff>
    </xdr:from>
    <xdr:to>
      <xdr:col>33</xdr:col>
      <xdr:colOff>76200</xdr:colOff>
      <xdr:row>50</xdr:row>
      <xdr:rowOff>9525</xdr:rowOff>
    </xdr:to>
    <xdr:sp macro="" textlink="">
      <xdr:nvSpPr>
        <xdr:cNvPr id="1068244" name="Line 320">
          <a:extLst>
            <a:ext uri="{FF2B5EF4-FFF2-40B4-BE49-F238E27FC236}">
              <a16:creationId xmlns:a16="http://schemas.microsoft.com/office/drawing/2014/main" id="{00000000-0008-0000-0D00-0000D44C1000}"/>
            </a:ext>
          </a:extLst>
        </xdr:cNvPr>
        <xdr:cNvSpPr>
          <a:spLocks noChangeShapeType="1"/>
        </xdr:cNvSpPr>
      </xdr:nvSpPr>
      <xdr:spPr bwMode="auto">
        <a:xfrm>
          <a:off x="22964775"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66675</xdr:colOff>
      <xdr:row>50</xdr:row>
      <xdr:rowOff>9525</xdr:rowOff>
    </xdr:from>
    <xdr:to>
      <xdr:col>33</xdr:col>
      <xdr:colOff>66675</xdr:colOff>
      <xdr:row>53</xdr:row>
      <xdr:rowOff>19050</xdr:rowOff>
    </xdr:to>
    <xdr:sp macro="" textlink="">
      <xdr:nvSpPr>
        <xdr:cNvPr id="1068245" name="Line 321">
          <a:extLst>
            <a:ext uri="{FF2B5EF4-FFF2-40B4-BE49-F238E27FC236}">
              <a16:creationId xmlns:a16="http://schemas.microsoft.com/office/drawing/2014/main" id="{00000000-0008-0000-0D00-0000D54C1000}"/>
            </a:ext>
          </a:extLst>
        </xdr:cNvPr>
        <xdr:cNvSpPr>
          <a:spLocks noChangeShapeType="1"/>
        </xdr:cNvSpPr>
      </xdr:nvSpPr>
      <xdr:spPr bwMode="auto">
        <a:xfrm>
          <a:off x="23031450"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9525</xdr:colOff>
      <xdr:row>53</xdr:row>
      <xdr:rowOff>0</xdr:rowOff>
    </xdr:from>
    <xdr:to>
      <xdr:col>33</xdr:col>
      <xdr:colOff>66675</xdr:colOff>
      <xdr:row>53</xdr:row>
      <xdr:rowOff>9525</xdr:rowOff>
    </xdr:to>
    <xdr:sp macro="" textlink="">
      <xdr:nvSpPr>
        <xdr:cNvPr id="1068246" name="Line 322">
          <a:extLst>
            <a:ext uri="{FF2B5EF4-FFF2-40B4-BE49-F238E27FC236}">
              <a16:creationId xmlns:a16="http://schemas.microsoft.com/office/drawing/2014/main" id="{00000000-0008-0000-0D00-0000D64C1000}"/>
            </a:ext>
          </a:extLst>
        </xdr:cNvPr>
        <xdr:cNvSpPr>
          <a:spLocks noChangeShapeType="1"/>
        </xdr:cNvSpPr>
      </xdr:nvSpPr>
      <xdr:spPr bwMode="auto">
        <a:xfrm flipV="1">
          <a:off x="22974300"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0</xdr:colOff>
      <xdr:row>56</xdr:row>
      <xdr:rowOff>0</xdr:rowOff>
    </xdr:from>
    <xdr:to>
      <xdr:col>30</xdr:col>
      <xdr:colOff>76200</xdr:colOff>
      <xdr:row>56</xdr:row>
      <xdr:rowOff>9525</xdr:rowOff>
    </xdr:to>
    <xdr:sp macro="" textlink="">
      <xdr:nvSpPr>
        <xdr:cNvPr id="1068247" name="Line 323">
          <a:extLst>
            <a:ext uri="{FF2B5EF4-FFF2-40B4-BE49-F238E27FC236}">
              <a16:creationId xmlns:a16="http://schemas.microsoft.com/office/drawing/2014/main" id="{00000000-0008-0000-0D00-0000D74C1000}"/>
            </a:ext>
          </a:extLst>
        </xdr:cNvPr>
        <xdr:cNvSpPr>
          <a:spLocks noChangeShapeType="1"/>
        </xdr:cNvSpPr>
      </xdr:nvSpPr>
      <xdr:spPr bwMode="auto">
        <a:xfrm>
          <a:off x="20802600"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66675</xdr:colOff>
      <xdr:row>56</xdr:row>
      <xdr:rowOff>9525</xdr:rowOff>
    </xdr:from>
    <xdr:to>
      <xdr:col>30</xdr:col>
      <xdr:colOff>66675</xdr:colOff>
      <xdr:row>59</xdr:row>
      <xdr:rowOff>19050</xdr:rowOff>
    </xdr:to>
    <xdr:sp macro="" textlink="">
      <xdr:nvSpPr>
        <xdr:cNvPr id="1068248" name="Line 324">
          <a:extLst>
            <a:ext uri="{FF2B5EF4-FFF2-40B4-BE49-F238E27FC236}">
              <a16:creationId xmlns:a16="http://schemas.microsoft.com/office/drawing/2014/main" id="{00000000-0008-0000-0D00-0000D84C1000}"/>
            </a:ext>
          </a:extLst>
        </xdr:cNvPr>
        <xdr:cNvSpPr>
          <a:spLocks noChangeShapeType="1"/>
        </xdr:cNvSpPr>
      </xdr:nvSpPr>
      <xdr:spPr bwMode="auto">
        <a:xfrm>
          <a:off x="20869275" y="10744200"/>
          <a:ext cx="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9525</xdr:colOff>
      <xdr:row>59</xdr:row>
      <xdr:rowOff>0</xdr:rowOff>
    </xdr:from>
    <xdr:to>
      <xdr:col>30</xdr:col>
      <xdr:colOff>66675</xdr:colOff>
      <xdr:row>59</xdr:row>
      <xdr:rowOff>9525</xdr:rowOff>
    </xdr:to>
    <xdr:sp macro="" textlink="">
      <xdr:nvSpPr>
        <xdr:cNvPr id="1068249" name="Line 325">
          <a:extLst>
            <a:ext uri="{FF2B5EF4-FFF2-40B4-BE49-F238E27FC236}">
              <a16:creationId xmlns:a16="http://schemas.microsoft.com/office/drawing/2014/main" id="{00000000-0008-0000-0D00-0000D94C1000}"/>
            </a:ext>
          </a:extLst>
        </xdr:cNvPr>
        <xdr:cNvSpPr>
          <a:spLocks noChangeShapeType="1"/>
        </xdr:cNvSpPr>
      </xdr:nvSpPr>
      <xdr:spPr bwMode="auto">
        <a:xfrm flipV="1">
          <a:off x="20812125"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0</xdr:colOff>
      <xdr:row>56</xdr:row>
      <xdr:rowOff>0</xdr:rowOff>
    </xdr:from>
    <xdr:to>
      <xdr:col>33</xdr:col>
      <xdr:colOff>76200</xdr:colOff>
      <xdr:row>56</xdr:row>
      <xdr:rowOff>9525</xdr:rowOff>
    </xdr:to>
    <xdr:sp macro="" textlink="">
      <xdr:nvSpPr>
        <xdr:cNvPr id="1068250" name="Line 326">
          <a:extLst>
            <a:ext uri="{FF2B5EF4-FFF2-40B4-BE49-F238E27FC236}">
              <a16:creationId xmlns:a16="http://schemas.microsoft.com/office/drawing/2014/main" id="{00000000-0008-0000-0D00-0000DA4C1000}"/>
            </a:ext>
          </a:extLst>
        </xdr:cNvPr>
        <xdr:cNvSpPr>
          <a:spLocks noChangeShapeType="1"/>
        </xdr:cNvSpPr>
      </xdr:nvSpPr>
      <xdr:spPr bwMode="auto">
        <a:xfrm>
          <a:off x="22964775"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66675</xdr:colOff>
      <xdr:row>56</xdr:row>
      <xdr:rowOff>9525</xdr:rowOff>
    </xdr:from>
    <xdr:to>
      <xdr:col>33</xdr:col>
      <xdr:colOff>66675</xdr:colOff>
      <xdr:row>59</xdr:row>
      <xdr:rowOff>19050</xdr:rowOff>
    </xdr:to>
    <xdr:sp macro="" textlink="">
      <xdr:nvSpPr>
        <xdr:cNvPr id="1068251" name="Line 327">
          <a:extLst>
            <a:ext uri="{FF2B5EF4-FFF2-40B4-BE49-F238E27FC236}">
              <a16:creationId xmlns:a16="http://schemas.microsoft.com/office/drawing/2014/main" id="{00000000-0008-0000-0D00-0000DB4C1000}"/>
            </a:ext>
          </a:extLst>
        </xdr:cNvPr>
        <xdr:cNvSpPr>
          <a:spLocks noChangeShapeType="1"/>
        </xdr:cNvSpPr>
      </xdr:nvSpPr>
      <xdr:spPr bwMode="auto">
        <a:xfrm>
          <a:off x="23031450" y="10744200"/>
          <a:ext cx="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9525</xdr:colOff>
      <xdr:row>59</xdr:row>
      <xdr:rowOff>0</xdr:rowOff>
    </xdr:from>
    <xdr:to>
      <xdr:col>33</xdr:col>
      <xdr:colOff>66675</xdr:colOff>
      <xdr:row>59</xdr:row>
      <xdr:rowOff>9525</xdr:rowOff>
    </xdr:to>
    <xdr:sp macro="" textlink="">
      <xdr:nvSpPr>
        <xdr:cNvPr id="1068252" name="Line 328">
          <a:extLst>
            <a:ext uri="{FF2B5EF4-FFF2-40B4-BE49-F238E27FC236}">
              <a16:creationId xmlns:a16="http://schemas.microsoft.com/office/drawing/2014/main" id="{00000000-0008-0000-0D00-0000DC4C1000}"/>
            </a:ext>
          </a:extLst>
        </xdr:cNvPr>
        <xdr:cNvSpPr>
          <a:spLocks noChangeShapeType="1"/>
        </xdr:cNvSpPr>
      </xdr:nvSpPr>
      <xdr:spPr bwMode="auto">
        <a:xfrm flipV="1">
          <a:off x="22974300"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56</xdr:row>
      <xdr:rowOff>0</xdr:rowOff>
    </xdr:from>
    <xdr:to>
      <xdr:col>36</xdr:col>
      <xdr:colOff>76200</xdr:colOff>
      <xdr:row>56</xdr:row>
      <xdr:rowOff>9525</xdr:rowOff>
    </xdr:to>
    <xdr:sp macro="" textlink="">
      <xdr:nvSpPr>
        <xdr:cNvPr id="1068253" name="Line 329">
          <a:extLst>
            <a:ext uri="{FF2B5EF4-FFF2-40B4-BE49-F238E27FC236}">
              <a16:creationId xmlns:a16="http://schemas.microsoft.com/office/drawing/2014/main" id="{00000000-0008-0000-0D00-0000DD4C1000}"/>
            </a:ext>
          </a:extLst>
        </xdr:cNvPr>
        <xdr:cNvSpPr>
          <a:spLocks noChangeShapeType="1"/>
        </xdr:cNvSpPr>
      </xdr:nvSpPr>
      <xdr:spPr bwMode="auto">
        <a:xfrm>
          <a:off x="25060275"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56</xdr:row>
      <xdr:rowOff>9525</xdr:rowOff>
    </xdr:from>
    <xdr:to>
      <xdr:col>36</xdr:col>
      <xdr:colOff>66675</xdr:colOff>
      <xdr:row>59</xdr:row>
      <xdr:rowOff>19050</xdr:rowOff>
    </xdr:to>
    <xdr:sp macro="" textlink="">
      <xdr:nvSpPr>
        <xdr:cNvPr id="1068254" name="Line 330">
          <a:extLst>
            <a:ext uri="{FF2B5EF4-FFF2-40B4-BE49-F238E27FC236}">
              <a16:creationId xmlns:a16="http://schemas.microsoft.com/office/drawing/2014/main" id="{00000000-0008-0000-0D00-0000DE4C1000}"/>
            </a:ext>
          </a:extLst>
        </xdr:cNvPr>
        <xdr:cNvSpPr>
          <a:spLocks noChangeShapeType="1"/>
        </xdr:cNvSpPr>
      </xdr:nvSpPr>
      <xdr:spPr bwMode="auto">
        <a:xfrm>
          <a:off x="25126950" y="10744200"/>
          <a:ext cx="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59</xdr:row>
      <xdr:rowOff>0</xdr:rowOff>
    </xdr:from>
    <xdr:to>
      <xdr:col>36</xdr:col>
      <xdr:colOff>66675</xdr:colOff>
      <xdr:row>59</xdr:row>
      <xdr:rowOff>9525</xdr:rowOff>
    </xdr:to>
    <xdr:sp macro="" textlink="">
      <xdr:nvSpPr>
        <xdr:cNvPr id="1068255" name="Line 331">
          <a:extLst>
            <a:ext uri="{FF2B5EF4-FFF2-40B4-BE49-F238E27FC236}">
              <a16:creationId xmlns:a16="http://schemas.microsoft.com/office/drawing/2014/main" id="{00000000-0008-0000-0D00-0000DF4C1000}"/>
            </a:ext>
          </a:extLst>
        </xdr:cNvPr>
        <xdr:cNvSpPr>
          <a:spLocks noChangeShapeType="1"/>
        </xdr:cNvSpPr>
      </xdr:nvSpPr>
      <xdr:spPr bwMode="auto">
        <a:xfrm flipV="1">
          <a:off x="25069800"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56</xdr:row>
      <xdr:rowOff>0</xdr:rowOff>
    </xdr:from>
    <xdr:to>
      <xdr:col>36</xdr:col>
      <xdr:colOff>76200</xdr:colOff>
      <xdr:row>56</xdr:row>
      <xdr:rowOff>9525</xdr:rowOff>
    </xdr:to>
    <xdr:sp macro="" textlink="">
      <xdr:nvSpPr>
        <xdr:cNvPr id="1068256" name="Line 332">
          <a:extLst>
            <a:ext uri="{FF2B5EF4-FFF2-40B4-BE49-F238E27FC236}">
              <a16:creationId xmlns:a16="http://schemas.microsoft.com/office/drawing/2014/main" id="{00000000-0008-0000-0D00-0000E04C1000}"/>
            </a:ext>
          </a:extLst>
        </xdr:cNvPr>
        <xdr:cNvSpPr>
          <a:spLocks noChangeShapeType="1"/>
        </xdr:cNvSpPr>
      </xdr:nvSpPr>
      <xdr:spPr bwMode="auto">
        <a:xfrm>
          <a:off x="25060275"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56</xdr:row>
      <xdr:rowOff>9525</xdr:rowOff>
    </xdr:from>
    <xdr:to>
      <xdr:col>36</xdr:col>
      <xdr:colOff>66675</xdr:colOff>
      <xdr:row>59</xdr:row>
      <xdr:rowOff>19050</xdr:rowOff>
    </xdr:to>
    <xdr:sp macro="" textlink="">
      <xdr:nvSpPr>
        <xdr:cNvPr id="1068257" name="Line 333">
          <a:extLst>
            <a:ext uri="{FF2B5EF4-FFF2-40B4-BE49-F238E27FC236}">
              <a16:creationId xmlns:a16="http://schemas.microsoft.com/office/drawing/2014/main" id="{00000000-0008-0000-0D00-0000E14C1000}"/>
            </a:ext>
          </a:extLst>
        </xdr:cNvPr>
        <xdr:cNvSpPr>
          <a:spLocks noChangeShapeType="1"/>
        </xdr:cNvSpPr>
      </xdr:nvSpPr>
      <xdr:spPr bwMode="auto">
        <a:xfrm>
          <a:off x="25126950" y="10744200"/>
          <a:ext cx="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59</xdr:row>
      <xdr:rowOff>0</xdr:rowOff>
    </xdr:from>
    <xdr:to>
      <xdr:col>36</xdr:col>
      <xdr:colOff>66675</xdr:colOff>
      <xdr:row>59</xdr:row>
      <xdr:rowOff>9525</xdr:rowOff>
    </xdr:to>
    <xdr:sp macro="" textlink="">
      <xdr:nvSpPr>
        <xdr:cNvPr id="1068258" name="Line 334">
          <a:extLst>
            <a:ext uri="{FF2B5EF4-FFF2-40B4-BE49-F238E27FC236}">
              <a16:creationId xmlns:a16="http://schemas.microsoft.com/office/drawing/2014/main" id="{00000000-0008-0000-0D00-0000E24C1000}"/>
            </a:ext>
          </a:extLst>
        </xdr:cNvPr>
        <xdr:cNvSpPr>
          <a:spLocks noChangeShapeType="1"/>
        </xdr:cNvSpPr>
      </xdr:nvSpPr>
      <xdr:spPr bwMode="auto">
        <a:xfrm flipV="1">
          <a:off x="25069800"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76200</xdr:colOff>
      <xdr:row>57</xdr:row>
      <xdr:rowOff>66675</xdr:rowOff>
    </xdr:from>
    <xdr:to>
      <xdr:col>37</xdr:col>
      <xdr:colOff>9525</xdr:colOff>
      <xdr:row>59</xdr:row>
      <xdr:rowOff>19050</xdr:rowOff>
    </xdr:to>
    <xdr:sp macro="" textlink="">
      <xdr:nvSpPr>
        <xdr:cNvPr id="1068259" name="Line 335">
          <a:extLst>
            <a:ext uri="{FF2B5EF4-FFF2-40B4-BE49-F238E27FC236}">
              <a16:creationId xmlns:a16="http://schemas.microsoft.com/office/drawing/2014/main" id="{00000000-0008-0000-0D00-0000E34C1000}"/>
            </a:ext>
          </a:extLst>
        </xdr:cNvPr>
        <xdr:cNvSpPr>
          <a:spLocks noChangeShapeType="1"/>
        </xdr:cNvSpPr>
      </xdr:nvSpPr>
      <xdr:spPr bwMode="auto">
        <a:xfrm>
          <a:off x="25136475" y="10982325"/>
          <a:ext cx="342900" cy="2952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56</xdr:row>
      <xdr:rowOff>0</xdr:rowOff>
    </xdr:from>
    <xdr:to>
      <xdr:col>36</xdr:col>
      <xdr:colOff>76200</xdr:colOff>
      <xdr:row>56</xdr:row>
      <xdr:rowOff>9525</xdr:rowOff>
    </xdr:to>
    <xdr:sp macro="" textlink="">
      <xdr:nvSpPr>
        <xdr:cNvPr id="1068260" name="Line 336">
          <a:extLst>
            <a:ext uri="{FF2B5EF4-FFF2-40B4-BE49-F238E27FC236}">
              <a16:creationId xmlns:a16="http://schemas.microsoft.com/office/drawing/2014/main" id="{00000000-0008-0000-0D00-0000E44C1000}"/>
            </a:ext>
          </a:extLst>
        </xdr:cNvPr>
        <xdr:cNvSpPr>
          <a:spLocks noChangeShapeType="1"/>
        </xdr:cNvSpPr>
      </xdr:nvSpPr>
      <xdr:spPr bwMode="auto">
        <a:xfrm>
          <a:off x="25060275"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56</xdr:row>
      <xdr:rowOff>9525</xdr:rowOff>
    </xdr:from>
    <xdr:to>
      <xdr:col>36</xdr:col>
      <xdr:colOff>66675</xdr:colOff>
      <xdr:row>59</xdr:row>
      <xdr:rowOff>19050</xdr:rowOff>
    </xdr:to>
    <xdr:sp macro="" textlink="">
      <xdr:nvSpPr>
        <xdr:cNvPr id="1068261" name="Line 337">
          <a:extLst>
            <a:ext uri="{FF2B5EF4-FFF2-40B4-BE49-F238E27FC236}">
              <a16:creationId xmlns:a16="http://schemas.microsoft.com/office/drawing/2014/main" id="{00000000-0008-0000-0D00-0000E54C1000}"/>
            </a:ext>
          </a:extLst>
        </xdr:cNvPr>
        <xdr:cNvSpPr>
          <a:spLocks noChangeShapeType="1"/>
        </xdr:cNvSpPr>
      </xdr:nvSpPr>
      <xdr:spPr bwMode="auto">
        <a:xfrm>
          <a:off x="25126950" y="10744200"/>
          <a:ext cx="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59</xdr:row>
      <xdr:rowOff>0</xdr:rowOff>
    </xdr:from>
    <xdr:to>
      <xdr:col>36</xdr:col>
      <xdr:colOff>66675</xdr:colOff>
      <xdr:row>59</xdr:row>
      <xdr:rowOff>9525</xdr:rowOff>
    </xdr:to>
    <xdr:sp macro="" textlink="">
      <xdr:nvSpPr>
        <xdr:cNvPr id="1068262" name="Line 338">
          <a:extLst>
            <a:ext uri="{FF2B5EF4-FFF2-40B4-BE49-F238E27FC236}">
              <a16:creationId xmlns:a16="http://schemas.microsoft.com/office/drawing/2014/main" id="{00000000-0008-0000-0D00-0000E64C1000}"/>
            </a:ext>
          </a:extLst>
        </xdr:cNvPr>
        <xdr:cNvSpPr>
          <a:spLocks noChangeShapeType="1"/>
        </xdr:cNvSpPr>
      </xdr:nvSpPr>
      <xdr:spPr bwMode="auto">
        <a:xfrm flipV="1">
          <a:off x="25069800"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76200</xdr:colOff>
      <xdr:row>55</xdr:row>
      <xdr:rowOff>161925</xdr:rowOff>
    </xdr:from>
    <xdr:to>
      <xdr:col>37</xdr:col>
      <xdr:colOff>0</xdr:colOff>
      <xdr:row>57</xdr:row>
      <xdr:rowOff>47625</xdr:rowOff>
    </xdr:to>
    <xdr:sp macro="" textlink="">
      <xdr:nvSpPr>
        <xdr:cNvPr id="1068263" name="Line 339">
          <a:extLst>
            <a:ext uri="{FF2B5EF4-FFF2-40B4-BE49-F238E27FC236}">
              <a16:creationId xmlns:a16="http://schemas.microsoft.com/office/drawing/2014/main" id="{00000000-0008-0000-0D00-0000E74C1000}"/>
            </a:ext>
          </a:extLst>
        </xdr:cNvPr>
        <xdr:cNvSpPr>
          <a:spLocks noChangeShapeType="1"/>
        </xdr:cNvSpPr>
      </xdr:nvSpPr>
      <xdr:spPr bwMode="auto">
        <a:xfrm flipV="1">
          <a:off x="25136475" y="10715625"/>
          <a:ext cx="333375"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56</xdr:row>
      <xdr:rowOff>0</xdr:rowOff>
    </xdr:from>
    <xdr:to>
      <xdr:col>33</xdr:col>
      <xdr:colOff>76200</xdr:colOff>
      <xdr:row>56</xdr:row>
      <xdr:rowOff>9525</xdr:rowOff>
    </xdr:to>
    <xdr:sp macro="" textlink="">
      <xdr:nvSpPr>
        <xdr:cNvPr id="1068264" name="Line 340">
          <a:extLst>
            <a:ext uri="{FF2B5EF4-FFF2-40B4-BE49-F238E27FC236}">
              <a16:creationId xmlns:a16="http://schemas.microsoft.com/office/drawing/2014/main" id="{00000000-0008-0000-0D00-0000E84C1000}"/>
            </a:ext>
          </a:extLst>
        </xdr:cNvPr>
        <xdr:cNvSpPr>
          <a:spLocks noChangeShapeType="1"/>
        </xdr:cNvSpPr>
      </xdr:nvSpPr>
      <xdr:spPr bwMode="auto">
        <a:xfrm>
          <a:off x="22964775"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66675</xdr:colOff>
      <xdr:row>56</xdr:row>
      <xdr:rowOff>9525</xdr:rowOff>
    </xdr:from>
    <xdr:to>
      <xdr:col>33</xdr:col>
      <xdr:colOff>66675</xdr:colOff>
      <xdr:row>59</xdr:row>
      <xdr:rowOff>19050</xdr:rowOff>
    </xdr:to>
    <xdr:sp macro="" textlink="">
      <xdr:nvSpPr>
        <xdr:cNvPr id="1068265" name="Line 341">
          <a:extLst>
            <a:ext uri="{FF2B5EF4-FFF2-40B4-BE49-F238E27FC236}">
              <a16:creationId xmlns:a16="http://schemas.microsoft.com/office/drawing/2014/main" id="{00000000-0008-0000-0D00-0000E94C1000}"/>
            </a:ext>
          </a:extLst>
        </xdr:cNvPr>
        <xdr:cNvSpPr>
          <a:spLocks noChangeShapeType="1"/>
        </xdr:cNvSpPr>
      </xdr:nvSpPr>
      <xdr:spPr bwMode="auto">
        <a:xfrm>
          <a:off x="23031450" y="10744200"/>
          <a:ext cx="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9525</xdr:colOff>
      <xdr:row>59</xdr:row>
      <xdr:rowOff>0</xdr:rowOff>
    </xdr:from>
    <xdr:to>
      <xdr:col>33</xdr:col>
      <xdr:colOff>66675</xdr:colOff>
      <xdr:row>59</xdr:row>
      <xdr:rowOff>9525</xdr:rowOff>
    </xdr:to>
    <xdr:sp macro="" textlink="">
      <xdr:nvSpPr>
        <xdr:cNvPr id="1068266" name="Line 342">
          <a:extLst>
            <a:ext uri="{FF2B5EF4-FFF2-40B4-BE49-F238E27FC236}">
              <a16:creationId xmlns:a16="http://schemas.microsoft.com/office/drawing/2014/main" id="{00000000-0008-0000-0D00-0000EA4C1000}"/>
            </a:ext>
          </a:extLst>
        </xdr:cNvPr>
        <xdr:cNvSpPr>
          <a:spLocks noChangeShapeType="1"/>
        </xdr:cNvSpPr>
      </xdr:nvSpPr>
      <xdr:spPr bwMode="auto">
        <a:xfrm flipV="1">
          <a:off x="22974300"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0</xdr:colOff>
      <xdr:row>62</xdr:row>
      <xdr:rowOff>0</xdr:rowOff>
    </xdr:from>
    <xdr:to>
      <xdr:col>30</xdr:col>
      <xdr:colOff>76200</xdr:colOff>
      <xdr:row>62</xdr:row>
      <xdr:rowOff>9525</xdr:rowOff>
    </xdr:to>
    <xdr:sp macro="" textlink="">
      <xdr:nvSpPr>
        <xdr:cNvPr id="1068267" name="Line 343">
          <a:extLst>
            <a:ext uri="{FF2B5EF4-FFF2-40B4-BE49-F238E27FC236}">
              <a16:creationId xmlns:a16="http://schemas.microsoft.com/office/drawing/2014/main" id="{00000000-0008-0000-0D00-0000EB4C1000}"/>
            </a:ext>
          </a:extLst>
        </xdr:cNvPr>
        <xdr:cNvSpPr>
          <a:spLocks noChangeShapeType="1"/>
        </xdr:cNvSpPr>
      </xdr:nvSpPr>
      <xdr:spPr bwMode="auto">
        <a:xfrm>
          <a:off x="20802600" y="1179195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0</xdr:colOff>
      <xdr:row>68</xdr:row>
      <xdr:rowOff>0</xdr:rowOff>
    </xdr:from>
    <xdr:to>
      <xdr:col>30</xdr:col>
      <xdr:colOff>57150</xdr:colOff>
      <xdr:row>68</xdr:row>
      <xdr:rowOff>9525</xdr:rowOff>
    </xdr:to>
    <xdr:sp macro="" textlink="">
      <xdr:nvSpPr>
        <xdr:cNvPr id="1068268" name="Line 345">
          <a:extLst>
            <a:ext uri="{FF2B5EF4-FFF2-40B4-BE49-F238E27FC236}">
              <a16:creationId xmlns:a16="http://schemas.microsoft.com/office/drawing/2014/main" id="{00000000-0008-0000-0D00-0000EC4C1000}"/>
            </a:ext>
          </a:extLst>
        </xdr:cNvPr>
        <xdr:cNvSpPr>
          <a:spLocks noChangeShapeType="1"/>
        </xdr:cNvSpPr>
      </xdr:nvSpPr>
      <xdr:spPr bwMode="auto">
        <a:xfrm flipV="1">
          <a:off x="20802600" y="128492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95250</xdr:colOff>
      <xdr:row>65</xdr:row>
      <xdr:rowOff>19050</xdr:rowOff>
    </xdr:from>
    <xdr:to>
      <xdr:col>31</xdr:col>
      <xdr:colOff>9525</xdr:colOff>
      <xdr:row>68</xdr:row>
      <xdr:rowOff>19050</xdr:rowOff>
    </xdr:to>
    <xdr:sp macro="" textlink="">
      <xdr:nvSpPr>
        <xdr:cNvPr id="1068269" name="Line 363">
          <a:extLst>
            <a:ext uri="{FF2B5EF4-FFF2-40B4-BE49-F238E27FC236}">
              <a16:creationId xmlns:a16="http://schemas.microsoft.com/office/drawing/2014/main" id="{00000000-0008-0000-0D00-0000ED4C1000}"/>
            </a:ext>
          </a:extLst>
        </xdr:cNvPr>
        <xdr:cNvSpPr>
          <a:spLocks noChangeShapeType="1"/>
        </xdr:cNvSpPr>
      </xdr:nvSpPr>
      <xdr:spPr bwMode="auto">
        <a:xfrm>
          <a:off x="20897850" y="12334875"/>
          <a:ext cx="361950" cy="533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38</xdr:row>
      <xdr:rowOff>0</xdr:rowOff>
    </xdr:from>
    <xdr:to>
      <xdr:col>30</xdr:col>
      <xdr:colOff>76200</xdr:colOff>
      <xdr:row>38</xdr:row>
      <xdr:rowOff>9525</xdr:rowOff>
    </xdr:to>
    <xdr:sp macro="" textlink="">
      <xdr:nvSpPr>
        <xdr:cNvPr id="1068270" name="Line 365">
          <a:extLst>
            <a:ext uri="{FF2B5EF4-FFF2-40B4-BE49-F238E27FC236}">
              <a16:creationId xmlns:a16="http://schemas.microsoft.com/office/drawing/2014/main" id="{00000000-0008-0000-0D00-0000EE4C1000}"/>
            </a:ext>
          </a:extLst>
        </xdr:cNvPr>
        <xdr:cNvSpPr>
          <a:spLocks noChangeShapeType="1"/>
        </xdr:cNvSpPr>
      </xdr:nvSpPr>
      <xdr:spPr bwMode="auto">
        <a:xfrm>
          <a:off x="2080260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66675</xdr:colOff>
      <xdr:row>38</xdr:row>
      <xdr:rowOff>9525</xdr:rowOff>
    </xdr:from>
    <xdr:to>
      <xdr:col>30</xdr:col>
      <xdr:colOff>66675</xdr:colOff>
      <xdr:row>41</xdr:row>
      <xdr:rowOff>19050</xdr:rowOff>
    </xdr:to>
    <xdr:sp macro="" textlink="">
      <xdr:nvSpPr>
        <xdr:cNvPr id="1068271" name="Line 366">
          <a:extLst>
            <a:ext uri="{FF2B5EF4-FFF2-40B4-BE49-F238E27FC236}">
              <a16:creationId xmlns:a16="http://schemas.microsoft.com/office/drawing/2014/main" id="{00000000-0008-0000-0D00-0000EF4C1000}"/>
            </a:ext>
          </a:extLst>
        </xdr:cNvPr>
        <xdr:cNvSpPr>
          <a:spLocks noChangeShapeType="1"/>
        </xdr:cNvSpPr>
      </xdr:nvSpPr>
      <xdr:spPr bwMode="auto">
        <a:xfrm>
          <a:off x="2086927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9525</xdr:colOff>
      <xdr:row>41</xdr:row>
      <xdr:rowOff>0</xdr:rowOff>
    </xdr:from>
    <xdr:to>
      <xdr:col>30</xdr:col>
      <xdr:colOff>66675</xdr:colOff>
      <xdr:row>41</xdr:row>
      <xdr:rowOff>9525</xdr:rowOff>
    </xdr:to>
    <xdr:sp macro="" textlink="">
      <xdr:nvSpPr>
        <xdr:cNvPr id="1068272" name="Line 367">
          <a:extLst>
            <a:ext uri="{FF2B5EF4-FFF2-40B4-BE49-F238E27FC236}">
              <a16:creationId xmlns:a16="http://schemas.microsoft.com/office/drawing/2014/main" id="{00000000-0008-0000-0D00-0000F04C1000}"/>
            </a:ext>
          </a:extLst>
        </xdr:cNvPr>
        <xdr:cNvSpPr>
          <a:spLocks noChangeShapeType="1"/>
        </xdr:cNvSpPr>
      </xdr:nvSpPr>
      <xdr:spPr bwMode="auto">
        <a:xfrm flipV="1">
          <a:off x="2081212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0</xdr:colOff>
      <xdr:row>38</xdr:row>
      <xdr:rowOff>0</xdr:rowOff>
    </xdr:from>
    <xdr:to>
      <xdr:col>33</xdr:col>
      <xdr:colOff>76200</xdr:colOff>
      <xdr:row>38</xdr:row>
      <xdr:rowOff>9525</xdr:rowOff>
    </xdr:to>
    <xdr:sp macro="" textlink="">
      <xdr:nvSpPr>
        <xdr:cNvPr id="1068273" name="Line 368">
          <a:extLst>
            <a:ext uri="{FF2B5EF4-FFF2-40B4-BE49-F238E27FC236}">
              <a16:creationId xmlns:a16="http://schemas.microsoft.com/office/drawing/2014/main" id="{00000000-0008-0000-0D00-0000F14C1000}"/>
            </a:ext>
          </a:extLst>
        </xdr:cNvPr>
        <xdr:cNvSpPr>
          <a:spLocks noChangeShapeType="1"/>
        </xdr:cNvSpPr>
      </xdr:nvSpPr>
      <xdr:spPr bwMode="auto">
        <a:xfrm>
          <a:off x="229647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9525</xdr:colOff>
      <xdr:row>41</xdr:row>
      <xdr:rowOff>0</xdr:rowOff>
    </xdr:from>
    <xdr:to>
      <xdr:col>33</xdr:col>
      <xdr:colOff>66675</xdr:colOff>
      <xdr:row>41</xdr:row>
      <xdr:rowOff>9525</xdr:rowOff>
    </xdr:to>
    <xdr:sp macro="" textlink="">
      <xdr:nvSpPr>
        <xdr:cNvPr id="1068274" name="Line 370">
          <a:extLst>
            <a:ext uri="{FF2B5EF4-FFF2-40B4-BE49-F238E27FC236}">
              <a16:creationId xmlns:a16="http://schemas.microsoft.com/office/drawing/2014/main" id="{00000000-0008-0000-0D00-0000F24C1000}"/>
            </a:ext>
          </a:extLst>
        </xdr:cNvPr>
        <xdr:cNvSpPr>
          <a:spLocks noChangeShapeType="1"/>
        </xdr:cNvSpPr>
      </xdr:nvSpPr>
      <xdr:spPr bwMode="auto">
        <a:xfrm flipV="1">
          <a:off x="229743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38</xdr:row>
      <xdr:rowOff>0</xdr:rowOff>
    </xdr:from>
    <xdr:to>
      <xdr:col>36</xdr:col>
      <xdr:colOff>76200</xdr:colOff>
      <xdr:row>38</xdr:row>
      <xdr:rowOff>9525</xdr:rowOff>
    </xdr:to>
    <xdr:sp macro="" textlink="">
      <xdr:nvSpPr>
        <xdr:cNvPr id="1068275" name="Line 371">
          <a:extLst>
            <a:ext uri="{FF2B5EF4-FFF2-40B4-BE49-F238E27FC236}">
              <a16:creationId xmlns:a16="http://schemas.microsoft.com/office/drawing/2014/main" id="{00000000-0008-0000-0D00-0000F34C1000}"/>
            </a:ext>
          </a:extLst>
        </xdr:cNvPr>
        <xdr:cNvSpPr>
          <a:spLocks noChangeShapeType="1"/>
        </xdr:cNvSpPr>
      </xdr:nvSpPr>
      <xdr:spPr bwMode="auto">
        <a:xfrm>
          <a:off x="250602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38</xdr:row>
      <xdr:rowOff>9525</xdr:rowOff>
    </xdr:from>
    <xdr:to>
      <xdr:col>36</xdr:col>
      <xdr:colOff>66675</xdr:colOff>
      <xdr:row>41</xdr:row>
      <xdr:rowOff>19050</xdr:rowOff>
    </xdr:to>
    <xdr:sp macro="" textlink="">
      <xdr:nvSpPr>
        <xdr:cNvPr id="1068276" name="Line 372">
          <a:extLst>
            <a:ext uri="{FF2B5EF4-FFF2-40B4-BE49-F238E27FC236}">
              <a16:creationId xmlns:a16="http://schemas.microsoft.com/office/drawing/2014/main" id="{00000000-0008-0000-0D00-0000F44C1000}"/>
            </a:ext>
          </a:extLst>
        </xdr:cNvPr>
        <xdr:cNvSpPr>
          <a:spLocks noChangeShapeType="1"/>
        </xdr:cNvSpPr>
      </xdr:nvSpPr>
      <xdr:spPr bwMode="auto">
        <a:xfrm>
          <a:off x="25126950"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41</xdr:row>
      <xdr:rowOff>0</xdr:rowOff>
    </xdr:from>
    <xdr:to>
      <xdr:col>36</xdr:col>
      <xdr:colOff>66675</xdr:colOff>
      <xdr:row>41</xdr:row>
      <xdr:rowOff>9525</xdr:rowOff>
    </xdr:to>
    <xdr:sp macro="" textlink="">
      <xdr:nvSpPr>
        <xdr:cNvPr id="1068277" name="Line 373">
          <a:extLst>
            <a:ext uri="{FF2B5EF4-FFF2-40B4-BE49-F238E27FC236}">
              <a16:creationId xmlns:a16="http://schemas.microsoft.com/office/drawing/2014/main" id="{00000000-0008-0000-0D00-0000F54C1000}"/>
            </a:ext>
          </a:extLst>
        </xdr:cNvPr>
        <xdr:cNvSpPr>
          <a:spLocks noChangeShapeType="1"/>
        </xdr:cNvSpPr>
      </xdr:nvSpPr>
      <xdr:spPr bwMode="auto">
        <a:xfrm flipV="1">
          <a:off x="250698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38</xdr:row>
      <xdr:rowOff>0</xdr:rowOff>
    </xdr:from>
    <xdr:to>
      <xdr:col>36</xdr:col>
      <xdr:colOff>76200</xdr:colOff>
      <xdr:row>38</xdr:row>
      <xdr:rowOff>9525</xdr:rowOff>
    </xdr:to>
    <xdr:sp macro="" textlink="">
      <xdr:nvSpPr>
        <xdr:cNvPr id="1068278" name="Line 374">
          <a:extLst>
            <a:ext uri="{FF2B5EF4-FFF2-40B4-BE49-F238E27FC236}">
              <a16:creationId xmlns:a16="http://schemas.microsoft.com/office/drawing/2014/main" id="{00000000-0008-0000-0D00-0000F64C1000}"/>
            </a:ext>
          </a:extLst>
        </xdr:cNvPr>
        <xdr:cNvSpPr>
          <a:spLocks noChangeShapeType="1"/>
        </xdr:cNvSpPr>
      </xdr:nvSpPr>
      <xdr:spPr bwMode="auto">
        <a:xfrm>
          <a:off x="250602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38</xdr:row>
      <xdr:rowOff>9525</xdr:rowOff>
    </xdr:from>
    <xdr:to>
      <xdr:col>36</xdr:col>
      <xdr:colOff>66675</xdr:colOff>
      <xdr:row>41</xdr:row>
      <xdr:rowOff>19050</xdr:rowOff>
    </xdr:to>
    <xdr:sp macro="" textlink="">
      <xdr:nvSpPr>
        <xdr:cNvPr id="1068279" name="Line 375">
          <a:extLst>
            <a:ext uri="{FF2B5EF4-FFF2-40B4-BE49-F238E27FC236}">
              <a16:creationId xmlns:a16="http://schemas.microsoft.com/office/drawing/2014/main" id="{00000000-0008-0000-0D00-0000F74C1000}"/>
            </a:ext>
          </a:extLst>
        </xdr:cNvPr>
        <xdr:cNvSpPr>
          <a:spLocks noChangeShapeType="1"/>
        </xdr:cNvSpPr>
      </xdr:nvSpPr>
      <xdr:spPr bwMode="auto">
        <a:xfrm>
          <a:off x="25126950"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41</xdr:row>
      <xdr:rowOff>0</xdr:rowOff>
    </xdr:from>
    <xdr:to>
      <xdr:col>36</xdr:col>
      <xdr:colOff>66675</xdr:colOff>
      <xdr:row>41</xdr:row>
      <xdr:rowOff>9525</xdr:rowOff>
    </xdr:to>
    <xdr:sp macro="" textlink="">
      <xdr:nvSpPr>
        <xdr:cNvPr id="1068280" name="Line 376">
          <a:extLst>
            <a:ext uri="{FF2B5EF4-FFF2-40B4-BE49-F238E27FC236}">
              <a16:creationId xmlns:a16="http://schemas.microsoft.com/office/drawing/2014/main" id="{00000000-0008-0000-0D00-0000F84C1000}"/>
            </a:ext>
          </a:extLst>
        </xdr:cNvPr>
        <xdr:cNvSpPr>
          <a:spLocks noChangeShapeType="1"/>
        </xdr:cNvSpPr>
      </xdr:nvSpPr>
      <xdr:spPr bwMode="auto">
        <a:xfrm flipV="1">
          <a:off x="250698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76200</xdr:colOff>
      <xdr:row>39</xdr:row>
      <xdr:rowOff>66675</xdr:rowOff>
    </xdr:from>
    <xdr:to>
      <xdr:col>37</xdr:col>
      <xdr:colOff>9525</xdr:colOff>
      <xdr:row>41</xdr:row>
      <xdr:rowOff>19050</xdr:rowOff>
    </xdr:to>
    <xdr:sp macro="" textlink="">
      <xdr:nvSpPr>
        <xdr:cNvPr id="1068281" name="Line 377">
          <a:extLst>
            <a:ext uri="{FF2B5EF4-FFF2-40B4-BE49-F238E27FC236}">
              <a16:creationId xmlns:a16="http://schemas.microsoft.com/office/drawing/2014/main" id="{00000000-0008-0000-0D00-0000F94C1000}"/>
            </a:ext>
          </a:extLst>
        </xdr:cNvPr>
        <xdr:cNvSpPr>
          <a:spLocks noChangeShapeType="1"/>
        </xdr:cNvSpPr>
      </xdr:nvSpPr>
      <xdr:spPr bwMode="auto">
        <a:xfrm>
          <a:off x="25136475" y="77247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38</xdr:row>
      <xdr:rowOff>0</xdr:rowOff>
    </xdr:from>
    <xdr:to>
      <xdr:col>36</xdr:col>
      <xdr:colOff>76200</xdr:colOff>
      <xdr:row>38</xdr:row>
      <xdr:rowOff>9525</xdr:rowOff>
    </xdr:to>
    <xdr:sp macro="" textlink="">
      <xdr:nvSpPr>
        <xdr:cNvPr id="1068282" name="Line 378">
          <a:extLst>
            <a:ext uri="{FF2B5EF4-FFF2-40B4-BE49-F238E27FC236}">
              <a16:creationId xmlns:a16="http://schemas.microsoft.com/office/drawing/2014/main" id="{00000000-0008-0000-0D00-0000FA4C1000}"/>
            </a:ext>
          </a:extLst>
        </xdr:cNvPr>
        <xdr:cNvSpPr>
          <a:spLocks noChangeShapeType="1"/>
        </xdr:cNvSpPr>
      </xdr:nvSpPr>
      <xdr:spPr bwMode="auto">
        <a:xfrm>
          <a:off x="250602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38</xdr:row>
      <xdr:rowOff>9525</xdr:rowOff>
    </xdr:from>
    <xdr:to>
      <xdr:col>36</xdr:col>
      <xdr:colOff>66675</xdr:colOff>
      <xdr:row>41</xdr:row>
      <xdr:rowOff>19050</xdr:rowOff>
    </xdr:to>
    <xdr:sp macro="" textlink="">
      <xdr:nvSpPr>
        <xdr:cNvPr id="1068283" name="Line 379">
          <a:extLst>
            <a:ext uri="{FF2B5EF4-FFF2-40B4-BE49-F238E27FC236}">
              <a16:creationId xmlns:a16="http://schemas.microsoft.com/office/drawing/2014/main" id="{00000000-0008-0000-0D00-0000FB4C1000}"/>
            </a:ext>
          </a:extLst>
        </xdr:cNvPr>
        <xdr:cNvSpPr>
          <a:spLocks noChangeShapeType="1"/>
        </xdr:cNvSpPr>
      </xdr:nvSpPr>
      <xdr:spPr bwMode="auto">
        <a:xfrm>
          <a:off x="25126950"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41</xdr:row>
      <xdr:rowOff>0</xdr:rowOff>
    </xdr:from>
    <xdr:to>
      <xdr:col>36</xdr:col>
      <xdr:colOff>66675</xdr:colOff>
      <xdr:row>41</xdr:row>
      <xdr:rowOff>9525</xdr:rowOff>
    </xdr:to>
    <xdr:sp macro="" textlink="">
      <xdr:nvSpPr>
        <xdr:cNvPr id="1068284" name="Line 380">
          <a:extLst>
            <a:ext uri="{FF2B5EF4-FFF2-40B4-BE49-F238E27FC236}">
              <a16:creationId xmlns:a16="http://schemas.microsoft.com/office/drawing/2014/main" id="{00000000-0008-0000-0D00-0000FC4C1000}"/>
            </a:ext>
          </a:extLst>
        </xdr:cNvPr>
        <xdr:cNvSpPr>
          <a:spLocks noChangeShapeType="1"/>
        </xdr:cNvSpPr>
      </xdr:nvSpPr>
      <xdr:spPr bwMode="auto">
        <a:xfrm flipV="1">
          <a:off x="250698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0</xdr:colOff>
      <xdr:row>38</xdr:row>
      <xdr:rowOff>0</xdr:rowOff>
    </xdr:from>
    <xdr:to>
      <xdr:col>33</xdr:col>
      <xdr:colOff>76200</xdr:colOff>
      <xdr:row>38</xdr:row>
      <xdr:rowOff>9525</xdr:rowOff>
    </xdr:to>
    <xdr:sp macro="" textlink="">
      <xdr:nvSpPr>
        <xdr:cNvPr id="1068285" name="Line 382">
          <a:extLst>
            <a:ext uri="{FF2B5EF4-FFF2-40B4-BE49-F238E27FC236}">
              <a16:creationId xmlns:a16="http://schemas.microsoft.com/office/drawing/2014/main" id="{00000000-0008-0000-0D00-0000FD4C1000}"/>
            </a:ext>
          </a:extLst>
        </xdr:cNvPr>
        <xdr:cNvSpPr>
          <a:spLocks noChangeShapeType="1"/>
        </xdr:cNvSpPr>
      </xdr:nvSpPr>
      <xdr:spPr bwMode="auto">
        <a:xfrm>
          <a:off x="229647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9525</xdr:colOff>
      <xdr:row>41</xdr:row>
      <xdr:rowOff>0</xdr:rowOff>
    </xdr:from>
    <xdr:to>
      <xdr:col>33</xdr:col>
      <xdr:colOff>66675</xdr:colOff>
      <xdr:row>41</xdr:row>
      <xdr:rowOff>9525</xdr:rowOff>
    </xdr:to>
    <xdr:sp macro="" textlink="">
      <xdr:nvSpPr>
        <xdr:cNvPr id="1068286" name="Line 384">
          <a:extLst>
            <a:ext uri="{FF2B5EF4-FFF2-40B4-BE49-F238E27FC236}">
              <a16:creationId xmlns:a16="http://schemas.microsoft.com/office/drawing/2014/main" id="{00000000-0008-0000-0D00-0000FE4C1000}"/>
            </a:ext>
          </a:extLst>
        </xdr:cNvPr>
        <xdr:cNvSpPr>
          <a:spLocks noChangeShapeType="1"/>
        </xdr:cNvSpPr>
      </xdr:nvSpPr>
      <xdr:spPr bwMode="auto">
        <a:xfrm flipV="1">
          <a:off x="229743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66675</xdr:colOff>
      <xdr:row>40</xdr:row>
      <xdr:rowOff>142875</xdr:rowOff>
    </xdr:from>
    <xdr:to>
      <xdr:col>30</xdr:col>
      <xdr:colOff>438150</xdr:colOff>
      <xdr:row>45</xdr:row>
      <xdr:rowOff>76200</xdr:rowOff>
    </xdr:to>
    <xdr:sp macro="" textlink="">
      <xdr:nvSpPr>
        <xdr:cNvPr id="1068287" name="Line 386">
          <a:extLst>
            <a:ext uri="{FF2B5EF4-FFF2-40B4-BE49-F238E27FC236}">
              <a16:creationId xmlns:a16="http://schemas.microsoft.com/office/drawing/2014/main" id="{00000000-0008-0000-0D00-0000FF4C1000}"/>
            </a:ext>
          </a:extLst>
        </xdr:cNvPr>
        <xdr:cNvSpPr>
          <a:spLocks noChangeShapeType="1"/>
        </xdr:cNvSpPr>
      </xdr:nvSpPr>
      <xdr:spPr bwMode="auto">
        <a:xfrm flipV="1">
          <a:off x="20869275" y="7981950"/>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66675</xdr:colOff>
      <xdr:row>45</xdr:row>
      <xdr:rowOff>95250</xdr:rowOff>
    </xdr:from>
    <xdr:to>
      <xdr:col>31</xdr:col>
      <xdr:colOff>0</xdr:colOff>
      <xdr:row>49</xdr:row>
      <xdr:rowOff>171450</xdr:rowOff>
    </xdr:to>
    <xdr:sp macro="" textlink="">
      <xdr:nvSpPr>
        <xdr:cNvPr id="1068288" name="Line 387">
          <a:extLst>
            <a:ext uri="{FF2B5EF4-FFF2-40B4-BE49-F238E27FC236}">
              <a16:creationId xmlns:a16="http://schemas.microsoft.com/office/drawing/2014/main" id="{00000000-0008-0000-0D00-0000004D1000}"/>
            </a:ext>
          </a:extLst>
        </xdr:cNvPr>
        <xdr:cNvSpPr>
          <a:spLocks noChangeShapeType="1"/>
        </xdr:cNvSpPr>
      </xdr:nvSpPr>
      <xdr:spPr bwMode="auto">
        <a:xfrm>
          <a:off x="20869275" y="8839200"/>
          <a:ext cx="3810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66675</xdr:colOff>
      <xdr:row>46</xdr:row>
      <xdr:rowOff>161925</xdr:rowOff>
    </xdr:from>
    <xdr:to>
      <xdr:col>30</xdr:col>
      <xdr:colOff>438150</xdr:colOff>
      <xdr:row>51</xdr:row>
      <xdr:rowOff>95250</xdr:rowOff>
    </xdr:to>
    <xdr:sp macro="" textlink="">
      <xdr:nvSpPr>
        <xdr:cNvPr id="1068289" name="Line 388">
          <a:extLst>
            <a:ext uri="{FF2B5EF4-FFF2-40B4-BE49-F238E27FC236}">
              <a16:creationId xmlns:a16="http://schemas.microsoft.com/office/drawing/2014/main" id="{00000000-0008-0000-0D00-0000014D1000}"/>
            </a:ext>
          </a:extLst>
        </xdr:cNvPr>
        <xdr:cNvSpPr>
          <a:spLocks noChangeShapeType="1"/>
        </xdr:cNvSpPr>
      </xdr:nvSpPr>
      <xdr:spPr bwMode="auto">
        <a:xfrm flipV="1">
          <a:off x="20869275" y="9086850"/>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66675</xdr:colOff>
      <xdr:row>51</xdr:row>
      <xdr:rowOff>95250</xdr:rowOff>
    </xdr:from>
    <xdr:to>
      <xdr:col>31</xdr:col>
      <xdr:colOff>0</xdr:colOff>
      <xdr:row>55</xdr:row>
      <xdr:rowOff>171450</xdr:rowOff>
    </xdr:to>
    <xdr:sp macro="" textlink="">
      <xdr:nvSpPr>
        <xdr:cNvPr id="1068290" name="Line 389">
          <a:extLst>
            <a:ext uri="{FF2B5EF4-FFF2-40B4-BE49-F238E27FC236}">
              <a16:creationId xmlns:a16="http://schemas.microsoft.com/office/drawing/2014/main" id="{00000000-0008-0000-0D00-0000024D1000}"/>
            </a:ext>
          </a:extLst>
        </xdr:cNvPr>
        <xdr:cNvSpPr>
          <a:spLocks noChangeShapeType="1"/>
        </xdr:cNvSpPr>
      </xdr:nvSpPr>
      <xdr:spPr bwMode="auto">
        <a:xfrm>
          <a:off x="20869275" y="9925050"/>
          <a:ext cx="3810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66675</xdr:colOff>
      <xdr:row>57</xdr:row>
      <xdr:rowOff>57150</xdr:rowOff>
    </xdr:from>
    <xdr:to>
      <xdr:col>31</xdr:col>
      <xdr:colOff>0</xdr:colOff>
      <xdr:row>62</xdr:row>
      <xdr:rowOff>19050</xdr:rowOff>
    </xdr:to>
    <xdr:sp macro="" textlink="">
      <xdr:nvSpPr>
        <xdr:cNvPr id="1068291" name="Line 390">
          <a:extLst>
            <a:ext uri="{FF2B5EF4-FFF2-40B4-BE49-F238E27FC236}">
              <a16:creationId xmlns:a16="http://schemas.microsoft.com/office/drawing/2014/main" id="{00000000-0008-0000-0D00-0000034D1000}"/>
            </a:ext>
          </a:extLst>
        </xdr:cNvPr>
        <xdr:cNvSpPr>
          <a:spLocks noChangeShapeType="1"/>
        </xdr:cNvSpPr>
      </xdr:nvSpPr>
      <xdr:spPr bwMode="auto">
        <a:xfrm>
          <a:off x="20869275" y="10972800"/>
          <a:ext cx="381000"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66675</xdr:colOff>
      <xdr:row>52</xdr:row>
      <xdr:rowOff>152400</xdr:rowOff>
    </xdr:from>
    <xdr:to>
      <xdr:col>30</xdr:col>
      <xdr:colOff>438150</xdr:colOff>
      <xdr:row>57</xdr:row>
      <xdr:rowOff>85725</xdr:rowOff>
    </xdr:to>
    <xdr:sp macro="" textlink="">
      <xdr:nvSpPr>
        <xdr:cNvPr id="1068292" name="Line 391">
          <a:extLst>
            <a:ext uri="{FF2B5EF4-FFF2-40B4-BE49-F238E27FC236}">
              <a16:creationId xmlns:a16="http://schemas.microsoft.com/office/drawing/2014/main" id="{00000000-0008-0000-0D00-0000044D1000}"/>
            </a:ext>
          </a:extLst>
        </xdr:cNvPr>
        <xdr:cNvSpPr>
          <a:spLocks noChangeShapeType="1"/>
        </xdr:cNvSpPr>
      </xdr:nvSpPr>
      <xdr:spPr bwMode="auto">
        <a:xfrm flipV="1">
          <a:off x="20869275" y="10163175"/>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76200</xdr:colOff>
      <xdr:row>58</xdr:row>
      <xdr:rowOff>152400</xdr:rowOff>
    </xdr:from>
    <xdr:to>
      <xdr:col>31</xdr:col>
      <xdr:colOff>0</xdr:colOff>
      <xdr:row>64</xdr:row>
      <xdr:rowOff>161925</xdr:rowOff>
    </xdr:to>
    <xdr:sp macro="" textlink="">
      <xdr:nvSpPr>
        <xdr:cNvPr id="1068293" name="Line 392">
          <a:extLst>
            <a:ext uri="{FF2B5EF4-FFF2-40B4-BE49-F238E27FC236}">
              <a16:creationId xmlns:a16="http://schemas.microsoft.com/office/drawing/2014/main" id="{00000000-0008-0000-0D00-0000054D1000}"/>
            </a:ext>
          </a:extLst>
        </xdr:cNvPr>
        <xdr:cNvSpPr>
          <a:spLocks noChangeShapeType="1"/>
        </xdr:cNvSpPr>
      </xdr:nvSpPr>
      <xdr:spPr bwMode="auto">
        <a:xfrm flipV="1">
          <a:off x="20878800" y="11249025"/>
          <a:ext cx="371475" cy="1066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76200</xdr:colOff>
      <xdr:row>41</xdr:row>
      <xdr:rowOff>0</xdr:rowOff>
    </xdr:from>
    <xdr:to>
      <xdr:col>34</xdr:col>
      <xdr:colOff>0</xdr:colOff>
      <xdr:row>45</xdr:row>
      <xdr:rowOff>66675</xdr:rowOff>
    </xdr:to>
    <xdr:sp macro="" textlink="">
      <xdr:nvSpPr>
        <xdr:cNvPr id="1068294" name="Line 393">
          <a:extLst>
            <a:ext uri="{FF2B5EF4-FFF2-40B4-BE49-F238E27FC236}">
              <a16:creationId xmlns:a16="http://schemas.microsoft.com/office/drawing/2014/main" id="{00000000-0008-0000-0D00-0000064D1000}"/>
            </a:ext>
          </a:extLst>
        </xdr:cNvPr>
        <xdr:cNvSpPr>
          <a:spLocks noChangeShapeType="1"/>
        </xdr:cNvSpPr>
      </xdr:nvSpPr>
      <xdr:spPr bwMode="auto">
        <a:xfrm flipV="1">
          <a:off x="23040975" y="8020050"/>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76200</xdr:colOff>
      <xdr:row>46</xdr:row>
      <xdr:rowOff>171450</xdr:rowOff>
    </xdr:from>
    <xdr:to>
      <xdr:col>34</xdr:col>
      <xdr:colOff>0</xdr:colOff>
      <xdr:row>51</xdr:row>
      <xdr:rowOff>57150</xdr:rowOff>
    </xdr:to>
    <xdr:sp macro="" textlink="">
      <xdr:nvSpPr>
        <xdr:cNvPr id="1068295" name="Line 394">
          <a:extLst>
            <a:ext uri="{FF2B5EF4-FFF2-40B4-BE49-F238E27FC236}">
              <a16:creationId xmlns:a16="http://schemas.microsoft.com/office/drawing/2014/main" id="{00000000-0008-0000-0D00-0000074D1000}"/>
            </a:ext>
          </a:extLst>
        </xdr:cNvPr>
        <xdr:cNvSpPr>
          <a:spLocks noChangeShapeType="1"/>
        </xdr:cNvSpPr>
      </xdr:nvSpPr>
      <xdr:spPr bwMode="auto">
        <a:xfrm flipV="1">
          <a:off x="23040975" y="9096375"/>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76200</xdr:colOff>
      <xdr:row>52</xdr:row>
      <xdr:rowOff>171450</xdr:rowOff>
    </xdr:from>
    <xdr:to>
      <xdr:col>34</xdr:col>
      <xdr:colOff>0</xdr:colOff>
      <xdr:row>57</xdr:row>
      <xdr:rowOff>57150</xdr:rowOff>
    </xdr:to>
    <xdr:sp macro="" textlink="">
      <xdr:nvSpPr>
        <xdr:cNvPr id="1068296" name="Line 395">
          <a:extLst>
            <a:ext uri="{FF2B5EF4-FFF2-40B4-BE49-F238E27FC236}">
              <a16:creationId xmlns:a16="http://schemas.microsoft.com/office/drawing/2014/main" id="{00000000-0008-0000-0D00-0000084D1000}"/>
            </a:ext>
          </a:extLst>
        </xdr:cNvPr>
        <xdr:cNvSpPr>
          <a:spLocks noChangeShapeType="1"/>
        </xdr:cNvSpPr>
      </xdr:nvSpPr>
      <xdr:spPr bwMode="auto">
        <a:xfrm flipV="1">
          <a:off x="23040975" y="10182225"/>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57150</xdr:colOff>
      <xdr:row>45</xdr:row>
      <xdr:rowOff>76200</xdr:rowOff>
    </xdr:from>
    <xdr:to>
      <xdr:col>33</xdr:col>
      <xdr:colOff>400050</xdr:colOff>
      <xdr:row>50</xdr:row>
      <xdr:rowOff>0</xdr:rowOff>
    </xdr:to>
    <xdr:sp macro="" textlink="">
      <xdr:nvSpPr>
        <xdr:cNvPr id="1068297" name="Line 397">
          <a:extLst>
            <a:ext uri="{FF2B5EF4-FFF2-40B4-BE49-F238E27FC236}">
              <a16:creationId xmlns:a16="http://schemas.microsoft.com/office/drawing/2014/main" id="{00000000-0008-0000-0D00-0000094D1000}"/>
            </a:ext>
          </a:extLst>
        </xdr:cNvPr>
        <xdr:cNvSpPr>
          <a:spLocks noChangeShapeType="1"/>
        </xdr:cNvSpPr>
      </xdr:nvSpPr>
      <xdr:spPr bwMode="auto">
        <a:xfrm>
          <a:off x="23021925" y="8820150"/>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66675</xdr:colOff>
      <xdr:row>51</xdr:row>
      <xdr:rowOff>85725</xdr:rowOff>
    </xdr:from>
    <xdr:to>
      <xdr:col>34</xdr:col>
      <xdr:colOff>0</xdr:colOff>
      <xdr:row>56</xdr:row>
      <xdr:rowOff>9525</xdr:rowOff>
    </xdr:to>
    <xdr:sp macro="" textlink="">
      <xdr:nvSpPr>
        <xdr:cNvPr id="1068298" name="Line 398">
          <a:extLst>
            <a:ext uri="{FF2B5EF4-FFF2-40B4-BE49-F238E27FC236}">
              <a16:creationId xmlns:a16="http://schemas.microsoft.com/office/drawing/2014/main" id="{00000000-0008-0000-0D00-00000A4D1000}"/>
            </a:ext>
          </a:extLst>
        </xdr:cNvPr>
        <xdr:cNvSpPr>
          <a:spLocks noChangeShapeType="1"/>
        </xdr:cNvSpPr>
      </xdr:nvSpPr>
      <xdr:spPr bwMode="auto">
        <a:xfrm>
          <a:off x="23031450" y="9915525"/>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76200</xdr:colOff>
      <xdr:row>57</xdr:row>
      <xdr:rowOff>57150</xdr:rowOff>
    </xdr:from>
    <xdr:to>
      <xdr:col>34</xdr:col>
      <xdr:colOff>0</xdr:colOff>
      <xdr:row>62</xdr:row>
      <xdr:rowOff>28575</xdr:rowOff>
    </xdr:to>
    <xdr:sp macro="" textlink="">
      <xdr:nvSpPr>
        <xdr:cNvPr id="1068299" name="Line 399">
          <a:extLst>
            <a:ext uri="{FF2B5EF4-FFF2-40B4-BE49-F238E27FC236}">
              <a16:creationId xmlns:a16="http://schemas.microsoft.com/office/drawing/2014/main" id="{00000000-0008-0000-0D00-00000B4D1000}"/>
            </a:ext>
          </a:extLst>
        </xdr:cNvPr>
        <xdr:cNvSpPr>
          <a:spLocks noChangeShapeType="1"/>
        </xdr:cNvSpPr>
      </xdr:nvSpPr>
      <xdr:spPr bwMode="auto">
        <a:xfrm>
          <a:off x="23040975" y="10972800"/>
          <a:ext cx="333375" cy="8477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76200</xdr:colOff>
      <xdr:row>65</xdr:row>
      <xdr:rowOff>9525</xdr:rowOff>
    </xdr:from>
    <xdr:to>
      <xdr:col>31</xdr:col>
      <xdr:colOff>0</xdr:colOff>
      <xdr:row>65</xdr:row>
      <xdr:rowOff>9525</xdr:rowOff>
    </xdr:to>
    <xdr:sp macro="" textlink="">
      <xdr:nvSpPr>
        <xdr:cNvPr id="1068300" name="Line 392">
          <a:extLst>
            <a:ext uri="{FF2B5EF4-FFF2-40B4-BE49-F238E27FC236}">
              <a16:creationId xmlns:a16="http://schemas.microsoft.com/office/drawing/2014/main" id="{00000000-0008-0000-0D00-00000C4D1000}"/>
            </a:ext>
          </a:extLst>
        </xdr:cNvPr>
        <xdr:cNvSpPr>
          <a:spLocks noChangeShapeType="1"/>
        </xdr:cNvSpPr>
      </xdr:nvSpPr>
      <xdr:spPr bwMode="auto">
        <a:xfrm>
          <a:off x="20878800" y="12325350"/>
          <a:ext cx="3714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62</xdr:row>
      <xdr:rowOff>28575</xdr:rowOff>
    </xdr:from>
    <xdr:to>
      <xdr:col>33</xdr:col>
      <xdr:colOff>76200</xdr:colOff>
      <xdr:row>62</xdr:row>
      <xdr:rowOff>38100</xdr:rowOff>
    </xdr:to>
    <xdr:sp macro="" textlink="">
      <xdr:nvSpPr>
        <xdr:cNvPr id="1068301" name="Line 343">
          <a:extLst>
            <a:ext uri="{FF2B5EF4-FFF2-40B4-BE49-F238E27FC236}">
              <a16:creationId xmlns:a16="http://schemas.microsoft.com/office/drawing/2014/main" id="{00000000-0008-0000-0D00-00000D4D1000}"/>
            </a:ext>
          </a:extLst>
        </xdr:cNvPr>
        <xdr:cNvSpPr>
          <a:spLocks noChangeShapeType="1"/>
        </xdr:cNvSpPr>
      </xdr:nvSpPr>
      <xdr:spPr bwMode="auto">
        <a:xfrm>
          <a:off x="22964775" y="118205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47625</xdr:colOff>
      <xdr:row>65</xdr:row>
      <xdr:rowOff>38100</xdr:rowOff>
    </xdr:from>
    <xdr:to>
      <xdr:col>33</xdr:col>
      <xdr:colOff>400050</xdr:colOff>
      <xdr:row>68</xdr:row>
      <xdr:rowOff>0</xdr:rowOff>
    </xdr:to>
    <xdr:sp macro="" textlink="">
      <xdr:nvSpPr>
        <xdr:cNvPr id="1068302" name="Line 363">
          <a:extLst>
            <a:ext uri="{FF2B5EF4-FFF2-40B4-BE49-F238E27FC236}">
              <a16:creationId xmlns:a16="http://schemas.microsoft.com/office/drawing/2014/main" id="{00000000-0008-0000-0D00-00000E4D1000}"/>
            </a:ext>
          </a:extLst>
        </xdr:cNvPr>
        <xdr:cNvSpPr>
          <a:spLocks noChangeShapeType="1"/>
        </xdr:cNvSpPr>
      </xdr:nvSpPr>
      <xdr:spPr bwMode="auto">
        <a:xfrm>
          <a:off x="23012400" y="12353925"/>
          <a:ext cx="352425" cy="495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57150</xdr:colOff>
      <xdr:row>59</xdr:row>
      <xdr:rowOff>19050</xdr:rowOff>
    </xdr:from>
    <xdr:to>
      <xdr:col>33</xdr:col>
      <xdr:colOff>400050</xdr:colOff>
      <xdr:row>65</xdr:row>
      <xdr:rowOff>28575</xdr:rowOff>
    </xdr:to>
    <xdr:sp macro="" textlink="">
      <xdr:nvSpPr>
        <xdr:cNvPr id="1068303" name="Line 392">
          <a:extLst>
            <a:ext uri="{FF2B5EF4-FFF2-40B4-BE49-F238E27FC236}">
              <a16:creationId xmlns:a16="http://schemas.microsoft.com/office/drawing/2014/main" id="{00000000-0008-0000-0D00-00000F4D1000}"/>
            </a:ext>
          </a:extLst>
        </xdr:cNvPr>
        <xdr:cNvSpPr>
          <a:spLocks noChangeShapeType="1"/>
        </xdr:cNvSpPr>
      </xdr:nvSpPr>
      <xdr:spPr bwMode="auto">
        <a:xfrm flipV="1">
          <a:off x="23021925" y="11277600"/>
          <a:ext cx="342900" cy="1066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76200</xdr:colOff>
      <xdr:row>65</xdr:row>
      <xdr:rowOff>38100</xdr:rowOff>
    </xdr:from>
    <xdr:to>
      <xdr:col>34</xdr:col>
      <xdr:colOff>0</xdr:colOff>
      <xdr:row>65</xdr:row>
      <xdr:rowOff>38100</xdr:rowOff>
    </xdr:to>
    <xdr:sp macro="" textlink="">
      <xdr:nvSpPr>
        <xdr:cNvPr id="1068304" name="Line 392">
          <a:extLst>
            <a:ext uri="{FF2B5EF4-FFF2-40B4-BE49-F238E27FC236}">
              <a16:creationId xmlns:a16="http://schemas.microsoft.com/office/drawing/2014/main" id="{00000000-0008-0000-0D00-0000104D1000}"/>
            </a:ext>
          </a:extLst>
        </xdr:cNvPr>
        <xdr:cNvSpPr>
          <a:spLocks noChangeShapeType="1"/>
        </xdr:cNvSpPr>
      </xdr:nvSpPr>
      <xdr:spPr bwMode="auto">
        <a:xfrm>
          <a:off x="23040975" y="123539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66675</xdr:colOff>
      <xdr:row>62</xdr:row>
      <xdr:rowOff>38100</xdr:rowOff>
    </xdr:from>
    <xdr:to>
      <xdr:col>33</xdr:col>
      <xdr:colOff>66675</xdr:colOff>
      <xdr:row>67</xdr:row>
      <xdr:rowOff>142875</xdr:rowOff>
    </xdr:to>
    <xdr:sp macro="" textlink="">
      <xdr:nvSpPr>
        <xdr:cNvPr id="1068305" name="Line 344">
          <a:extLst>
            <a:ext uri="{FF2B5EF4-FFF2-40B4-BE49-F238E27FC236}">
              <a16:creationId xmlns:a16="http://schemas.microsoft.com/office/drawing/2014/main" id="{00000000-0008-0000-0D00-0000114D1000}"/>
            </a:ext>
          </a:extLst>
        </xdr:cNvPr>
        <xdr:cNvSpPr>
          <a:spLocks noChangeShapeType="1"/>
        </xdr:cNvSpPr>
      </xdr:nvSpPr>
      <xdr:spPr bwMode="auto">
        <a:xfrm flipH="1">
          <a:off x="23031450" y="11830050"/>
          <a:ext cx="0" cy="990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9525</xdr:colOff>
      <xdr:row>68</xdr:row>
      <xdr:rowOff>0</xdr:rowOff>
    </xdr:from>
    <xdr:to>
      <xdr:col>33</xdr:col>
      <xdr:colOff>66675</xdr:colOff>
      <xdr:row>68</xdr:row>
      <xdr:rowOff>9525</xdr:rowOff>
    </xdr:to>
    <xdr:sp macro="" textlink="">
      <xdr:nvSpPr>
        <xdr:cNvPr id="1068306" name="Line 345">
          <a:extLst>
            <a:ext uri="{FF2B5EF4-FFF2-40B4-BE49-F238E27FC236}">
              <a16:creationId xmlns:a16="http://schemas.microsoft.com/office/drawing/2014/main" id="{00000000-0008-0000-0D00-0000124D1000}"/>
            </a:ext>
          </a:extLst>
        </xdr:cNvPr>
        <xdr:cNvSpPr>
          <a:spLocks noChangeShapeType="1"/>
        </xdr:cNvSpPr>
      </xdr:nvSpPr>
      <xdr:spPr bwMode="auto">
        <a:xfrm flipV="1">
          <a:off x="22974300" y="128492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62</xdr:row>
      <xdr:rowOff>0</xdr:rowOff>
    </xdr:from>
    <xdr:to>
      <xdr:col>36</xdr:col>
      <xdr:colOff>76200</xdr:colOff>
      <xdr:row>62</xdr:row>
      <xdr:rowOff>9525</xdr:rowOff>
    </xdr:to>
    <xdr:sp macro="" textlink="">
      <xdr:nvSpPr>
        <xdr:cNvPr id="1068307" name="Line 473">
          <a:extLst>
            <a:ext uri="{FF2B5EF4-FFF2-40B4-BE49-F238E27FC236}">
              <a16:creationId xmlns:a16="http://schemas.microsoft.com/office/drawing/2014/main" id="{00000000-0008-0000-0D00-0000134D1000}"/>
            </a:ext>
          </a:extLst>
        </xdr:cNvPr>
        <xdr:cNvSpPr>
          <a:spLocks noChangeShapeType="1"/>
        </xdr:cNvSpPr>
      </xdr:nvSpPr>
      <xdr:spPr bwMode="auto">
        <a:xfrm>
          <a:off x="25060275" y="1179195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62</xdr:row>
      <xdr:rowOff>9525</xdr:rowOff>
    </xdr:from>
    <xdr:to>
      <xdr:col>36</xdr:col>
      <xdr:colOff>66675</xdr:colOff>
      <xdr:row>65</xdr:row>
      <xdr:rowOff>19050</xdr:rowOff>
    </xdr:to>
    <xdr:sp macro="" textlink="">
      <xdr:nvSpPr>
        <xdr:cNvPr id="1068308" name="Line 474">
          <a:extLst>
            <a:ext uri="{FF2B5EF4-FFF2-40B4-BE49-F238E27FC236}">
              <a16:creationId xmlns:a16="http://schemas.microsoft.com/office/drawing/2014/main" id="{00000000-0008-0000-0D00-0000144D1000}"/>
            </a:ext>
          </a:extLst>
        </xdr:cNvPr>
        <xdr:cNvSpPr>
          <a:spLocks noChangeShapeType="1"/>
        </xdr:cNvSpPr>
      </xdr:nvSpPr>
      <xdr:spPr bwMode="auto">
        <a:xfrm>
          <a:off x="25126950" y="11801475"/>
          <a:ext cx="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62</xdr:row>
      <xdr:rowOff>0</xdr:rowOff>
    </xdr:from>
    <xdr:to>
      <xdr:col>36</xdr:col>
      <xdr:colOff>76200</xdr:colOff>
      <xdr:row>62</xdr:row>
      <xdr:rowOff>9525</xdr:rowOff>
    </xdr:to>
    <xdr:sp macro="" textlink="">
      <xdr:nvSpPr>
        <xdr:cNvPr id="1068309" name="Line 475">
          <a:extLst>
            <a:ext uri="{FF2B5EF4-FFF2-40B4-BE49-F238E27FC236}">
              <a16:creationId xmlns:a16="http://schemas.microsoft.com/office/drawing/2014/main" id="{00000000-0008-0000-0D00-0000154D1000}"/>
            </a:ext>
          </a:extLst>
        </xdr:cNvPr>
        <xdr:cNvSpPr>
          <a:spLocks noChangeShapeType="1"/>
        </xdr:cNvSpPr>
      </xdr:nvSpPr>
      <xdr:spPr bwMode="auto">
        <a:xfrm>
          <a:off x="25060275" y="1179195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62</xdr:row>
      <xdr:rowOff>9525</xdr:rowOff>
    </xdr:from>
    <xdr:to>
      <xdr:col>36</xdr:col>
      <xdr:colOff>66675</xdr:colOff>
      <xdr:row>65</xdr:row>
      <xdr:rowOff>19050</xdr:rowOff>
    </xdr:to>
    <xdr:sp macro="" textlink="">
      <xdr:nvSpPr>
        <xdr:cNvPr id="1068310" name="Line 476">
          <a:extLst>
            <a:ext uri="{FF2B5EF4-FFF2-40B4-BE49-F238E27FC236}">
              <a16:creationId xmlns:a16="http://schemas.microsoft.com/office/drawing/2014/main" id="{00000000-0008-0000-0D00-0000164D1000}"/>
            </a:ext>
          </a:extLst>
        </xdr:cNvPr>
        <xdr:cNvSpPr>
          <a:spLocks noChangeShapeType="1"/>
        </xdr:cNvSpPr>
      </xdr:nvSpPr>
      <xdr:spPr bwMode="auto">
        <a:xfrm>
          <a:off x="25126950" y="11801475"/>
          <a:ext cx="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76200</xdr:colOff>
      <xdr:row>65</xdr:row>
      <xdr:rowOff>19050</xdr:rowOff>
    </xdr:from>
    <xdr:to>
      <xdr:col>37</xdr:col>
      <xdr:colOff>9525</xdr:colOff>
      <xdr:row>68</xdr:row>
      <xdr:rowOff>9525</xdr:rowOff>
    </xdr:to>
    <xdr:sp macro="" textlink="">
      <xdr:nvSpPr>
        <xdr:cNvPr id="1068311" name="Line 477">
          <a:extLst>
            <a:ext uri="{FF2B5EF4-FFF2-40B4-BE49-F238E27FC236}">
              <a16:creationId xmlns:a16="http://schemas.microsoft.com/office/drawing/2014/main" id="{00000000-0008-0000-0D00-0000174D1000}"/>
            </a:ext>
          </a:extLst>
        </xdr:cNvPr>
        <xdr:cNvSpPr>
          <a:spLocks noChangeShapeType="1"/>
        </xdr:cNvSpPr>
      </xdr:nvSpPr>
      <xdr:spPr bwMode="auto">
        <a:xfrm>
          <a:off x="25136475" y="12334875"/>
          <a:ext cx="342900" cy="5238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62</xdr:row>
      <xdr:rowOff>0</xdr:rowOff>
    </xdr:from>
    <xdr:to>
      <xdr:col>36</xdr:col>
      <xdr:colOff>76200</xdr:colOff>
      <xdr:row>62</xdr:row>
      <xdr:rowOff>9525</xdr:rowOff>
    </xdr:to>
    <xdr:sp macro="" textlink="">
      <xdr:nvSpPr>
        <xdr:cNvPr id="1068312" name="Line 478">
          <a:extLst>
            <a:ext uri="{FF2B5EF4-FFF2-40B4-BE49-F238E27FC236}">
              <a16:creationId xmlns:a16="http://schemas.microsoft.com/office/drawing/2014/main" id="{00000000-0008-0000-0D00-0000184D1000}"/>
            </a:ext>
          </a:extLst>
        </xdr:cNvPr>
        <xdr:cNvSpPr>
          <a:spLocks noChangeShapeType="1"/>
        </xdr:cNvSpPr>
      </xdr:nvSpPr>
      <xdr:spPr bwMode="auto">
        <a:xfrm>
          <a:off x="25060275" y="1179195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62</xdr:row>
      <xdr:rowOff>9525</xdr:rowOff>
    </xdr:from>
    <xdr:to>
      <xdr:col>36</xdr:col>
      <xdr:colOff>66675</xdr:colOff>
      <xdr:row>67</xdr:row>
      <xdr:rowOff>152400</xdr:rowOff>
    </xdr:to>
    <xdr:sp macro="" textlink="">
      <xdr:nvSpPr>
        <xdr:cNvPr id="1068313" name="Line 479">
          <a:extLst>
            <a:ext uri="{FF2B5EF4-FFF2-40B4-BE49-F238E27FC236}">
              <a16:creationId xmlns:a16="http://schemas.microsoft.com/office/drawing/2014/main" id="{00000000-0008-0000-0D00-0000194D1000}"/>
            </a:ext>
          </a:extLst>
        </xdr:cNvPr>
        <xdr:cNvSpPr>
          <a:spLocks noChangeShapeType="1"/>
        </xdr:cNvSpPr>
      </xdr:nvSpPr>
      <xdr:spPr bwMode="auto">
        <a:xfrm>
          <a:off x="25126950" y="11801475"/>
          <a:ext cx="0" cy="1028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61</xdr:row>
      <xdr:rowOff>161925</xdr:rowOff>
    </xdr:from>
    <xdr:to>
      <xdr:col>37</xdr:col>
      <xdr:colOff>0</xdr:colOff>
      <xdr:row>65</xdr:row>
      <xdr:rowOff>0</xdr:rowOff>
    </xdr:to>
    <xdr:sp macro="" textlink="">
      <xdr:nvSpPr>
        <xdr:cNvPr id="1068314" name="Line 480">
          <a:extLst>
            <a:ext uri="{FF2B5EF4-FFF2-40B4-BE49-F238E27FC236}">
              <a16:creationId xmlns:a16="http://schemas.microsoft.com/office/drawing/2014/main" id="{00000000-0008-0000-0D00-00001A4D1000}"/>
            </a:ext>
          </a:extLst>
        </xdr:cNvPr>
        <xdr:cNvSpPr>
          <a:spLocks noChangeShapeType="1"/>
        </xdr:cNvSpPr>
      </xdr:nvSpPr>
      <xdr:spPr bwMode="auto">
        <a:xfrm flipV="1">
          <a:off x="25126950" y="11782425"/>
          <a:ext cx="342900" cy="53340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66675</xdr:colOff>
      <xdr:row>65</xdr:row>
      <xdr:rowOff>9525</xdr:rowOff>
    </xdr:from>
    <xdr:to>
      <xdr:col>37</xdr:col>
      <xdr:colOff>0</xdr:colOff>
      <xdr:row>65</xdr:row>
      <xdr:rowOff>9525</xdr:rowOff>
    </xdr:to>
    <xdr:sp macro="" textlink="">
      <xdr:nvSpPr>
        <xdr:cNvPr id="1068315" name="Line 481">
          <a:extLst>
            <a:ext uri="{FF2B5EF4-FFF2-40B4-BE49-F238E27FC236}">
              <a16:creationId xmlns:a16="http://schemas.microsoft.com/office/drawing/2014/main" id="{00000000-0008-0000-0D00-00001B4D1000}"/>
            </a:ext>
          </a:extLst>
        </xdr:cNvPr>
        <xdr:cNvSpPr>
          <a:spLocks noChangeShapeType="1"/>
        </xdr:cNvSpPr>
      </xdr:nvSpPr>
      <xdr:spPr bwMode="auto">
        <a:xfrm>
          <a:off x="25126950" y="12325350"/>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9525</xdr:colOff>
      <xdr:row>67</xdr:row>
      <xdr:rowOff>171450</xdr:rowOff>
    </xdr:from>
    <xdr:to>
      <xdr:col>36</xdr:col>
      <xdr:colOff>66675</xdr:colOff>
      <xdr:row>68</xdr:row>
      <xdr:rowOff>0</xdr:rowOff>
    </xdr:to>
    <xdr:sp macro="" textlink="">
      <xdr:nvSpPr>
        <xdr:cNvPr id="1068316" name="Line 482">
          <a:extLst>
            <a:ext uri="{FF2B5EF4-FFF2-40B4-BE49-F238E27FC236}">
              <a16:creationId xmlns:a16="http://schemas.microsoft.com/office/drawing/2014/main" id="{00000000-0008-0000-0D00-00001C4D1000}"/>
            </a:ext>
          </a:extLst>
        </xdr:cNvPr>
        <xdr:cNvSpPr>
          <a:spLocks noChangeShapeType="1"/>
        </xdr:cNvSpPr>
      </xdr:nvSpPr>
      <xdr:spPr bwMode="auto">
        <a:xfrm flipV="1">
          <a:off x="25069800" y="12849225"/>
          <a:ext cx="57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9525</xdr:colOff>
      <xdr:row>59</xdr:row>
      <xdr:rowOff>0</xdr:rowOff>
    </xdr:from>
    <xdr:to>
      <xdr:col>30</xdr:col>
      <xdr:colOff>66675</xdr:colOff>
      <xdr:row>59</xdr:row>
      <xdr:rowOff>9525</xdr:rowOff>
    </xdr:to>
    <xdr:sp macro="" textlink="">
      <xdr:nvSpPr>
        <xdr:cNvPr id="1068317" name="Line 39">
          <a:extLst>
            <a:ext uri="{FF2B5EF4-FFF2-40B4-BE49-F238E27FC236}">
              <a16:creationId xmlns:a16="http://schemas.microsoft.com/office/drawing/2014/main" id="{00000000-0008-0000-0D00-00001D4D1000}"/>
            </a:ext>
          </a:extLst>
        </xdr:cNvPr>
        <xdr:cNvSpPr>
          <a:spLocks noChangeShapeType="1"/>
        </xdr:cNvSpPr>
      </xdr:nvSpPr>
      <xdr:spPr bwMode="auto">
        <a:xfrm flipV="1">
          <a:off x="20812125"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9525</xdr:colOff>
      <xdr:row>59</xdr:row>
      <xdr:rowOff>0</xdr:rowOff>
    </xdr:from>
    <xdr:to>
      <xdr:col>33</xdr:col>
      <xdr:colOff>66675</xdr:colOff>
      <xdr:row>59</xdr:row>
      <xdr:rowOff>9525</xdr:rowOff>
    </xdr:to>
    <xdr:sp macro="" textlink="">
      <xdr:nvSpPr>
        <xdr:cNvPr id="1068318" name="Line 42">
          <a:extLst>
            <a:ext uri="{FF2B5EF4-FFF2-40B4-BE49-F238E27FC236}">
              <a16:creationId xmlns:a16="http://schemas.microsoft.com/office/drawing/2014/main" id="{00000000-0008-0000-0D00-00001E4D1000}"/>
            </a:ext>
          </a:extLst>
        </xdr:cNvPr>
        <xdr:cNvSpPr>
          <a:spLocks noChangeShapeType="1"/>
        </xdr:cNvSpPr>
      </xdr:nvSpPr>
      <xdr:spPr bwMode="auto">
        <a:xfrm flipV="1">
          <a:off x="22974300"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59</xdr:row>
      <xdr:rowOff>0</xdr:rowOff>
    </xdr:from>
    <xdr:to>
      <xdr:col>36</xdr:col>
      <xdr:colOff>66675</xdr:colOff>
      <xdr:row>59</xdr:row>
      <xdr:rowOff>9525</xdr:rowOff>
    </xdr:to>
    <xdr:sp macro="" textlink="">
      <xdr:nvSpPr>
        <xdr:cNvPr id="1068319" name="Line 45">
          <a:extLst>
            <a:ext uri="{FF2B5EF4-FFF2-40B4-BE49-F238E27FC236}">
              <a16:creationId xmlns:a16="http://schemas.microsoft.com/office/drawing/2014/main" id="{00000000-0008-0000-0D00-00001F4D1000}"/>
            </a:ext>
          </a:extLst>
        </xdr:cNvPr>
        <xdr:cNvSpPr>
          <a:spLocks noChangeShapeType="1"/>
        </xdr:cNvSpPr>
      </xdr:nvSpPr>
      <xdr:spPr bwMode="auto">
        <a:xfrm flipV="1">
          <a:off x="25069800"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59</xdr:row>
      <xdr:rowOff>0</xdr:rowOff>
    </xdr:from>
    <xdr:to>
      <xdr:col>36</xdr:col>
      <xdr:colOff>66675</xdr:colOff>
      <xdr:row>59</xdr:row>
      <xdr:rowOff>9525</xdr:rowOff>
    </xdr:to>
    <xdr:sp macro="" textlink="">
      <xdr:nvSpPr>
        <xdr:cNvPr id="1068320" name="Line 79">
          <a:extLst>
            <a:ext uri="{FF2B5EF4-FFF2-40B4-BE49-F238E27FC236}">
              <a16:creationId xmlns:a16="http://schemas.microsoft.com/office/drawing/2014/main" id="{00000000-0008-0000-0D00-0000204D1000}"/>
            </a:ext>
          </a:extLst>
        </xdr:cNvPr>
        <xdr:cNvSpPr>
          <a:spLocks noChangeShapeType="1"/>
        </xdr:cNvSpPr>
      </xdr:nvSpPr>
      <xdr:spPr bwMode="auto">
        <a:xfrm flipV="1">
          <a:off x="25069800"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76200</xdr:colOff>
      <xdr:row>57</xdr:row>
      <xdr:rowOff>66675</xdr:rowOff>
    </xdr:from>
    <xdr:to>
      <xdr:col>37</xdr:col>
      <xdr:colOff>9525</xdr:colOff>
      <xdr:row>59</xdr:row>
      <xdr:rowOff>19050</xdr:rowOff>
    </xdr:to>
    <xdr:sp macro="" textlink="">
      <xdr:nvSpPr>
        <xdr:cNvPr id="1068321" name="Line 81">
          <a:extLst>
            <a:ext uri="{FF2B5EF4-FFF2-40B4-BE49-F238E27FC236}">
              <a16:creationId xmlns:a16="http://schemas.microsoft.com/office/drawing/2014/main" id="{00000000-0008-0000-0D00-0000214D1000}"/>
            </a:ext>
          </a:extLst>
        </xdr:cNvPr>
        <xdr:cNvSpPr>
          <a:spLocks noChangeShapeType="1"/>
        </xdr:cNvSpPr>
      </xdr:nvSpPr>
      <xdr:spPr bwMode="auto">
        <a:xfrm>
          <a:off x="25136475" y="10982325"/>
          <a:ext cx="342900" cy="2952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9525</xdr:colOff>
      <xdr:row>59</xdr:row>
      <xdr:rowOff>0</xdr:rowOff>
    </xdr:from>
    <xdr:to>
      <xdr:col>36</xdr:col>
      <xdr:colOff>66675</xdr:colOff>
      <xdr:row>59</xdr:row>
      <xdr:rowOff>9525</xdr:rowOff>
    </xdr:to>
    <xdr:sp macro="" textlink="">
      <xdr:nvSpPr>
        <xdr:cNvPr id="1068322" name="Line 92">
          <a:extLst>
            <a:ext uri="{FF2B5EF4-FFF2-40B4-BE49-F238E27FC236}">
              <a16:creationId xmlns:a16="http://schemas.microsoft.com/office/drawing/2014/main" id="{00000000-0008-0000-0D00-0000224D1000}"/>
            </a:ext>
          </a:extLst>
        </xdr:cNvPr>
        <xdr:cNvSpPr>
          <a:spLocks noChangeShapeType="1"/>
        </xdr:cNvSpPr>
      </xdr:nvSpPr>
      <xdr:spPr bwMode="auto">
        <a:xfrm flipV="1">
          <a:off x="25069800"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9525</xdr:colOff>
      <xdr:row>59</xdr:row>
      <xdr:rowOff>0</xdr:rowOff>
    </xdr:from>
    <xdr:to>
      <xdr:col>33</xdr:col>
      <xdr:colOff>66675</xdr:colOff>
      <xdr:row>59</xdr:row>
      <xdr:rowOff>9525</xdr:rowOff>
    </xdr:to>
    <xdr:sp macro="" textlink="">
      <xdr:nvSpPr>
        <xdr:cNvPr id="1068323" name="Line 136">
          <a:extLst>
            <a:ext uri="{FF2B5EF4-FFF2-40B4-BE49-F238E27FC236}">
              <a16:creationId xmlns:a16="http://schemas.microsoft.com/office/drawing/2014/main" id="{00000000-0008-0000-0D00-0000234D1000}"/>
            </a:ext>
          </a:extLst>
        </xdr:cNvPr>
        <xdr:cNvSpPr>
          <a:spLocks noChangeShapeType="1"/>
        </xdr:cNvSpPr>
      </xdr:nvSpPr>
      <xdr:spPr bwMode="auto">
        <a:xfrm flipV="1">
          <a:off x="22974300"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19050</xdr:colOff>
      <xdr:row>61</xdr:row>
      <xdr:rowOff>171450</xdr:rowOff>
    </xdr:from>
    <xdr:to>
      <xdr:col>30</xdr:col>
      <xdr:colOff>95250</xdr:colOff>
      <xdr:row>62</xdr:row>
      <xdr:rowOff>0</xdr:rowOff>
    </xdr:to>
    <xdr:sp macro="" textlink="">
      <xdr:nvSpPr>
        <xdr:cNvPr id="1068324" name="Line 459">
          <a:extLst>
            <a:ext uri="{FF2B5EF4-FFF2-40B4-BE49-F238E27FC236}">
              <a16:creationId xmlns:a16="http://schemas.microsoft.com/office/drawing/2014/main" id="{00000000-0008-0000-0D00-0000244D1000}"/>
            </a:ext>
          </a:extLst>
        </xdr:cNvPr>
        <xdr:cNvSpPr>
          <a:spLocks noChangeShapeType="1"/>
        </xdr:cNvSpPr>
      </xdr:nvSpPr>
      <xdr:spPr bwMode="auto">
        <a:xfrm>
          <a:off x="20821650" y="11791950"/>
          <a:ext cx="76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85725</xdr:colOff>
      <xdr:row>62</xdr:row>
      <xdr:rowOff>0</xdr:rowOff>
    </xdr:from>
    <xdr:to>
      <xdr:col>30</xdr:col>
      <xdr:colOff>85725</xdr:colOff>
      <xdr:row>67</xdr:row>
      <xdr:rowOff>142875</xdr:rowOff>
    </xdr:to>
    <xdr:sp macro="" textlink="">
      <xdr:nvSpPr>
        <xdr:cNvPr id="1068325" name="Line 460">
          <a:extLst>
            <a:ext uri="{FF2B5EF4-FFF2-40B4-BE49-F238E27FC236}">
              <a16:creationId xmlns:a16="http://schemas.microsoft.com/office/drawing/2014/main" id="{00000000-0008-0000-0D00-0000254D1000}"/>
            </a:ext>
          </a:extLst>
        </xdr:cNvPr>
        <xdr:cNvSpPr>
          <a:spLocks noChangeShapeType="1"/>
        </xdr:cNvSpPr>
      </xdr:nvSpPr>
      <xdr:spPr bwMode="auto">
        <a:xfrm>
          <a:off x="20888325" y="11791950"/>
          <a:ext cx="0" cy="1028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9525</xdr:colOff>
      <xdr:row>59</xdr:row>
      <xdr:rowOff>0</xdr:rowOff>
    </xdr:from>
    <xdr:to>
      <xdr:col>33</xdr:col>
      <xdr:colOff>66675</xdr:colOff>
      <xdr:row>59</xdr:row>
      <xdr:rowOff>9525</xdr:rowOff>
    </xdr:to>
    <xdr:sp macro="" textlink="">
      <xdr:nvSpPr>
        <xdr:cNvPr id="1068326" name="Line 464">
          <a:extLst>
            <a:ext uri="{FF2B5EF4-FFF2-40B4-BE49-F238E27FC236}">
              <a16:creationId xmlns:a16="http://schemas.microsoft.com/office/drawing/2014/main" id="{00000000-0008-0000-0D00-0000264D1000}"/>
            </a:ext>
          </a:extLst>
        </xdr:cNvPr>
        <xdr:cNvSpPr>
          <a:spLocks noChangeShapeType="1"/>
        </xdr:cNvSpPr>
      </xdr:nvSpPr>
      <xdr:spPr bwMode="auto">
        <a:xfrm flipV="1">
          <a:off x="22974300" y="112585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62</xdr:row>
      <xdr:rowOff>0</xdr:rowOff>
    </xdr:from>
    <xdr:to>
      <xdr:col>36</xdr:col>
      <xdr:colOff>76200</xdr:colOff>
      <xdr:row>62</xdr:row>
      <xdr:rowOff>9525</xdr:rowOff>
    </xdr:to>
    <xdr:sp macro="" textlink="">
      <xdr:nvSpPr>
        <xdr:cNvPr id="1068327" name="Line 473">
          <a:extLst>
            <a:ext uri="{FF2B5EF4-FFF2-40B4-BE49-F238E27FC236}">
              <a16:creationId xmlns:a16="http://schemas.microsoft.com/office/drawing/2014/main" id="{00000000-0008-0000-0D00-0000274D1000}"/>
            </a:ext>
          </a:extLst>
        </xdr:cNvPr>
        <xdr:cNvSpPr>
          <a:spLocks noChangeShapeType="1"/>
        </xdr:cNvSpPr>
      </xdr:nvSpPr>
      <xdr:spPr bwMode="auto">
        <a:xfrm>
          <a:off x="25060275" y="1179195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62</xdr:row>
      <xdr:rowOff>9525</xdr:rowOff>
    </xdr:from>
    <xdr:to>
      <xdr:col>36</xdr:col>
      <xdr:colOff>66675</xdr:colOff>
      <xdr:row>65</xdr:row>
      <xdr:rowOff>19050</xdr:rowOff>
    </xdr:to>
    <xdr:sp macro="" textlink="">
      <xdr:nvSpPr>
        <xdr:cNvPr id="1068328" name="Line 474">
          <a:extLst>
            <a:ext uri="{FF2B5EF4-FFF2-40B4-BE49-F238E27FC236}">
              <a16:creationId xmlns:a16="http://schemas.microsoft.com/office/drawing/2014/main" id="{00000000-0008-0000-0D00-0000284D1000}"/>
            </a:ext>
          </a:extLst>
        </xdr:cNvPr>
        <xdr:cNvSpPr>
          <a:spLocks noChangeShapeType="1"/>
        </xdr:cNvSpPr>
      </xdr:nvSpPr>
      <xdr:spPr bwMode="auto">
        <a:xfrm>
          <a:off x="25126950" y="11801475"/>
          <a:ext cx="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62</xdr:row>
      <xdr:rowOff>0</xdr:rowOff>
    </xdr:from>
    <xdr:to>
      <xdr:col>36</xdr:col>
      <xdr:colOff>76200</xdr:colOff>
      <xdr:row>62</xdr:row>
      <xdr:rowOff>9525</xdr:rowOff>
    </xdr:to>
    <xdr:sp macro="" textlink="">
      <xdr:nvSpPr>
        <xdr:cNvPr id="1068329" name="Line 475">
          <a:extLst>
            <a:ext uri="{FF2B5EF4-FFF2-40B4-BE49-F238E27FC236}">
              <a16:creationId xmlns:a16="http://schemas.microsoft.com/office/drawing/2014/main" id="{00000000-0008-0000-0D00-0000294D1000}"/>
            </a:ext>
          </a:extLst>
        </xdr:cNvPr>
        <xdr:cNvSpPr>
          <a:spLocks noChangeShapeType="1"/>
        </xdr:cNvSpPr>
      </xdr:nvSpPr>
      <xdr:spPr bwMode="auto">
        <a:xfrm>
          <a:off x="25060275" y="1179195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62</xdr:row>
      <xdr:rowOff>9525</xdr:rowOff>
    </xdr:from>
    <xdr:to>
      <xdr:col>36</xdr:col>
      <xdr:colOff>66675</xdr:colOff>
      <xdr:row>65</xdr:row>
      <xdr:rowOff>19050</xdr:rowOff>
    </xdr:to>
    <xdr:sp macro="" textlink="">
      <xdr:nvSpPr>
        <xdr:cNvPr id="1068330" name="Line 476">
          <a:extLst>
            <a:ext uri="{FF2B5EF4-FFF2-40B4-BE49-F238E27FC236}">
              <a16:creationId xmlns:a16="http://schemas.microsoft.com/office/drawing/2014/main" id="{00000000-0008-0000-0D00-00002A4D1000}"/>
            </a:ext>
          </a:extLst>
        </xdr:cNvPr>
        <xdr:cNvSpPr>
          <a:spLocks noChangeShapeType="1"/>
        </xdr:cNvSpPr>
      </xdr:nvSpPr>
      <xdr:spPr bwMode="auto">
        <a:xfrm>
          <a:off x="25126950" y="11801475"/>
          <a:ext cx="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76200</xdr:colOff>
      <xdr:row>65</xdr:row>
      <xdr:rowOff>19050</xdr:rowOff>
    </xdr:from>
    <xdr:to>
      <xdr:col>37</xdr:col>
      <xdr:colOff>9525</xdr:colOff>
      <xdr:row>68</xdr:row>
      <xdr:rowOff>9525</xdr:rowOff>
    </xdr:to>
    <xdr:sp macro="" textlink="">
      <xdr:nvSpPr>
        <xdr:cNvPr id="1068331" name="Line 477">
          <a:extLst>
            <a:ext uri="{FF2B5EF4-FFF2-40B4-BE49-F238E27FC236}">
              <a16:creationId xmlns:a16="http://schemas.microsoft.com/office/drawing/2014/main" id="{00000000-0008-0000-0D00-00002B4D1000}"/>
            </a:ext>
          </a:extLst>
        </xdr:cNvPr>
        <xdr:cNvSpPr>
          <a:spLocks noChangeShapeType="1"/>
        </xdr:cNvSpPr>
      </xdr:nvSpPr>
      <xdr:spPr bwMode="auto">
        <a:xfrm>
          <a:off x="25136475" y="12334875"/>
          <a:ext cx="342900" cy="5238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62</xdr:row>
      <xdr:rowOff>0</xdr:rowOff>
    </xdr:from>
    <xdr:to>
      <xdr:col>36</xdr:col>
      <xdr:colOff>76200</xdr:colOff>
      <xdr:row>62</xdr:row>
      <xdr:rowOff>9525</xdr:rowOff>
    </xdr:to>
    <xdr:sp macro="" textlink="">
      <xdr:nvSpPr>
        <xdr:cNvPr id="1068332" name="Line 478">
          <a:extLst>
            <a:ext uri="{FF2B5EF4-FFF2-40B4-BE49-F238E27FC236}">
              <a16:creationId xmlns:a16="http://schemas.microsoft.com/office/drawing/2014/main" id="{00000000-0008-0000-0D00-00002C4D1000}"/>
            </a:ext>
          </a:extLst>
        </xdr:cNvPr>
        <xdr:cNvSpPr>
          <a:spLocks noChangeShapeType="1"/>
        </xdr:cNvSpPr>
      </xdr:nvSpPr>
      <xdr:spPr bwMode="auto">
        <a:xfrm>
          <a:off x="25060275" y="1179195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62</xdr:row>
      <xdr:rowOff>9525</xdr:rowOff>
    </xdr:from>
    <xdr:to>
      <xdr:col>36</xdr:col>
      <xdr:colOff>66675</xdr:colOff>
      <xdr:row>67</xdr:row>
      <xdr:rowOff>152400</xdr:rowOff>
    </xdr:to>
    <xdr:sp macro="" textlink="">
      <xdr:nvSpPr>
        <xdr:cNvPr id="1068333" name="Line 479">
          <a:extLst>
            <a:ext uri="{FF2B5EF4-FFF2-40B4-BE49-F238E27FC236}">
              <a16:creationId xmlns:a16="http://schemas.microsoft.com/office/drawing/2014/main" id="{00000000-0008-0000-0D00-00002D4D1000}"/>
            </a:ext>
          </a:extLst>
        </xdr:cNvPr>
        <xdr:cNvSpPr>
          <a:spLocks noChangeShapeType="1"/>
        </xdr:cNvSpPr>
      </xdr:nvSpPr>
      <xdr:spPr bwMode="auto">
        <a:xfrm>
          <a:off x="25126950" y="11801475"/>
          <a:ext cx="0" cy="1028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66675</xdr:colOff>
      <xdr:row>61</xdr:row>
      <xdr:rowOff>161925</xdr:rowOff>
    </xdr:from>
    <xdr:to>
      <xdr:col>37</xdr:col>
      <xdr:colOff>0</xdr:colOff>
      <xdr:row>65</xdr:row>
      <xdr:rowOff>0</xdr:rowOff>
    </xdr:to>
    <xdr:sp macro="" textlink="">
      <xdr:nvSpPr>
        <xdr:cNvPr id="1068334" name="Line 480">
          <a:extLst>
            <a:ext uri="{FF2B5EF4-FFF2-40B4-BE49-F238E27FC236}">
              <a16:creationId xmlns:a16="http://schemas.microsoft.com/office/drawing/2014/main" id="{00000000-0008-0000-0D00-00002E4D1000}"/>
            </a:ext>
          </a:extLst>
        </xdr:cNvPr>
        <xdr:cNvSpPr>
          <a:spLocks noChangeShapeType="1"/>
        </xdr:cNvSpPr>
      </xdr:nvSpPr>
      <xdr:spPr bwMode="auto">
        <a:xfrm flipV="1">
          <a:off x="25126950" y="11782425"/>
          <a:ext cx="342900" cy="53340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66675</xdr:colOff>
      <xdr:row>65</xdr:row>
      <xdr:rowOff>9525</xdr:rowOff>
    </xdr:from>
    <xdr:to>
      <xdr:col>37</xdr:col>
      <xdr:colOff>0</xdr:colOff>
      <xdr:row>65</xdr:row>
      <xdr:rowOff>9525</xdr:rowOff>
    </xdr:to>
    <xdr:sp macro="" textlink="">
      <xdr:nvSpPr>
        <xdr:cNvPr id="1068335" name="Line 481">
          <a:extLst>
            <a:ext uri="{FF2B5EF4-FFF2-40B4-BE49-F238E27FC236}">
              <a16:creationId xmlns:a16="http://schemas.microsoft.com/office/drawing/2014/main" id="{00000000-0008-0000-0D00-00002F4D1000}"/>
            </a:ext>
          </a:extLst>
        </xdr:cNvPr>
        <xdr:cNvSpPr>
          <a:spLocks noChangeShapeType="1"/>
        </xdr:cNvSpPr>
      </xdr:nvSpPr>
      <xdr:spPr bwMode="auto">
        <a:xfrm>
          <a:off x="25126950" y="12325350"/>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9525</xdr:colOff>
      <xdr:row>67</xdr:row>
      <xdr:rowOff>171450</xdr:rowOff>
    </xdr:from>
    <xdr:to>
      <xdr:col>36</xdr:col>
      <xdr:colOff>66675</xdr:colOff>
      <xdr:row>68</xdr:row>
      <xdr:rowOff>0</xdr:rowOff>
    </xdr:to>
    <xdr:sp macro="" textlink="">
      <xdr:nvSpPr>
        <xdr:cNvPr id="1068336" name="Line 482">
          <a:extLst>
            <a:ext uri="{FF2B5EF4-FFF2-40B4-BE49-F238E27FC236}">
              <a16:creationId xmlns:a16="http://schemas.microsoft.com/office/drawing/2014/main" id="{00000000-0008-0000-0D00-0000304D1000}"/>
            </a:ext>
          </a:extLst>
        </xdr:cNvPr>
        <xdr:cNvSpPr>
          <a:spLocks noChangeShapeType="1"/>
        </xdr:cNvSpPr>
      </xdr:nvSpPr>
      <xdr:spPr bwMode="auto">
        <a:xfrm flipV="1">
          <a:off x="25069800" y="12849225"/>
          <a:ext cx="57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0</xdr:colOff>
      <xdr:row>8</xdr:row>
      <xdr:rowOff>0</xdr:rowOff>
    </xdr:from>
    <xdr:to>
      <xdr:col>46</xdr:col>
      <xdr:colOff>76200</xdr:colOff>
      <xdr:row>8</xdr:row>
      <xdr:rowOff>9525</xdr:rowOff>
    </xdr:to>
    <xdr:sp macro="" textlink="">
      <xdr:nvSpPr>
        <xdr:cNvPr id="1068337" name="Line 1">
          <a:extLst>
            <a:ext uri="{FF2B5EF4-FFF2-40B4-BE49-F238E27FC236}">
              <a16:creationId xmlns:a16="http://schemas.microsoft.com/office/drawing/2014/main" id="{00000000-0008-0000-0D00-0000314D1000}"/>
            </a:ext>
          </a:extLst>
        </xdr:cNvPr>
        <xdr:cNvSpPr>
          <a:spLocks noChangeShapeType="1"/>
        </xdr:cNvSpPr>
      </xdr:nvSpPr>
      <xdr:spPr bwMode="auto">
        <a:xfrm>
          <a:off x="318897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66675</xdr:colOff>
      <xdr:row>8</xdr:row>
      <xdr:rowOff>9525</xdr:rowOff>
    </xdr:from>
    <xdr:to>
      <xdr:col>46</xdr:col>
      <xdr:colOff>66675</xdr:colOff>
      <xdr:row>11</xdr:row>
      <xdr:rowOff>19050</xdr:rowOff>
    </xdr:to>
    <xdr:sp macro="" textlink="">
      <xdr:nvSpPr>
        <xdr:cNvPr id="1068338" name="Line 2">
          <a:extLst>
            <a:ext uri="{FF2B5EF4-FFF2-40B4-BE49-F238E27FC236}">
              <a16:creationId xmlns:a16="http://schemas.microsoft.com/office/drawing/2014/main" id="{00000000-0008-0000-0D00-0000324D1000}"/>
            </a:ext>
          </a:extLst>
        </xdr:cNvPr>
        <xdr:cNvSpPr>
          <a:spLocks noChangeShapeType="1"/>
        </xdr:cNvSpPr>
      </xdr:nvSpPr>
      <xdr:spPr bwMode="auto">
        <a:xfrm>
          <a:off x="319563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11</xdr:row>
      <xdr:rowOff>0</xdr:rowOff>
    </xdr:from>
    <xdr:to>
      <xdr:col>46</xdr:col>
      <xdr:colOff>66675</xdr:colOff>
      <xdr:row>11</xdr:row>
      <xdr:rowOff>9525</xdr:rowOff>
    </xdr:to>
    <xdr:sp macro="" textlink="">
      <xdr:nvSpPr>
        <xdr:cNvPr id="1068339" name="Line 3">
          <a:extLst>
            <a:ext uri="{FF2B5EF4-FFF2-40B4-BE49-F238E27FC236}">
              <a16:creationId xmlns:a16="http://schemas.microsoft.com/office/drawing/2014/main" id="{00000000-0008-0000-0D00-0000334D1000}"/>
            </a:ext>
          </a:extLst>
        </xdr:cNvPr>
        <xdr:cNvSpPr>
          <a:spLocks noChangeShapeType="1"/>
        </xdr:cNvSpPr>
      </xdr:nvSpPr>
      <xdr:spPr bwMode="auto">
        <a:xfrm flipV="1">
          <a:off x="318992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0</xdr:colOff>
      <xdr:row>8</xdr:row>
      <xdr:rowOff>0</xdr:rowOff>
    </xdr:from>
    <xdr:to>
      <xdr:col>43</xdr:col>
      <xdr:colOff>76200</xdr:colOff>
      <xdr:row>8</xdr:row>
      <xdr:rowOff>9525</xdr:rowOff>
    </xdr:to>
    <xdr:sp macro="" textlink="">
      <xdr:nvSpPr>
        <xdr:cNvPr id="1068340" name="Line 4">
          <a:extLst>
            <a:ext uri="{FF2B5EF4-FFF2-40B4-BE49-F238E27FC236}">
              <a16:creationId xmlns:a16="http://schemas.microsoft.com/office/drawing/2014/main" id="{00000000-0008-0000-0D00-0000344D1000}"/>
            </a:ext>
          </a:extLst>
        </xdr:cNvPr>
        <xdr:cNvSpPr>
          <a:spLocks noChangeShapeType="1"/>
        </xdr:cNvSpPr>
      </xdr:nvSpPr>
      <xdr:spPr bwMode="auto">
        <a:xfrm>
          <a:off x="2972752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66675</xdr:colOff>
      <xdr:row>8</xdr:row>
      <xdr:rowOff>9525</xdr:rowOff>
    </xdr:from>
    <xdr:to>
      <xdr:col>43</xdr:col>
      <xdr:colOff>66675</xdr:colOff>
      <xdr:row>11</xdr:row>
      <xdr:rowOff>19050</xdr:rowOff>
    </xdr:to>
    <xdr:sp macro="" textlink="">
      <xdr:nvSpPr>
        <xdr:cNvPr id="1068341" name="Line 5">
          <a:extLst>
            <a:ext uri="{FF2B5EF4-FFF2-40B4-BE49-F238E27FC236}">
              <a16:creationId xmlns:a16="http://schemas.microsoft.com/office/drawing/2014/main" id="{00000000-0008-0000-0D00-0000354D1000}"/>
            </a:ext>
          </a:extLst>
        </xdr:cNvPr>
        <xdr:cNvSpPr>
          <a:spLocks noChangeShapeType="1"/>
        </xdr:cNvSpPr>
      </xdr:nvSpPr>
      <xdr:spPr bwMode="auto">
        <a:xfrm>
          <a:off x="2979420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9525</xdr:colOff>
      <xdr:row>11</xdr:row>
      <xdr:rowOff>0</xdr:rowOff>
    </xdr:from>
    <xdr:to>
      <xdr:col>43</xdr:col>
      <xdr:colOff>66675</xdr:colOff>
      <xdr:row>11</xdr:row>
      <xdr:rowOff>9525</xdr:rowOff>
    </xdr:to>
    <xdr:sp macro="" textlink="">
      <xdr:nvSpPr>
        <xdr:cNvPr id="1068342" name="Line 6">
          <a:extLst>
            <a:ext uri="{FF2B5EF4-FFF2-40B4-BE49-F238E27FC236}">
              <a16:creationId xmlns:a16="http://schemas.microsoft.com/office/drawing/2014/main" id="{00000000-0008-0000-0D00-0000364D1000}"/>
            </a:ext>
          </a:extLst>
        </xdr:cNvPr>
        <xdr:cNvSpPr>
          <a:spLocks noChangeShapeType="1"/>
        </xdr:cNvSpPr>
      </xdr:nvSpPr>
      <xdr:spPr bwMode="auto">
        <a:xfrm flipV="1">
          <a:off x="2973705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0</xdr:colOff>
      <xdr:row>14</xdr:row>
      <xdr:rowOff>0</xdr:rowOff>
    </xdr:from>
    <xdr:to>
      <xdr:col>43</xdr:col>
      <xdr:colOff>76200</xdr:colOff>
      <xdr:row>14</xdr:row>
      <xdr:rowOff>9525</xdr:rowOff>
    </xdr:to>
    <xdr:sp macro="" textlink="">
      <xdr:nvSpPr>
        <xdr:cNvPr id="1068343" name="Line 10">
          <a:extLst>
            <a:ext uri="{FF2B5EF4-FFF2-40B4-BE49-F238E27FC236}">
              <a16:creationId xmlns:a16="http://schemas.microsoft.com/office/drawing/2014/main" id="{00000000-0008-0000-0D00-0000374D1000}"/>
            </a:ext>
          </a:extLst>
        </xdr:cNvPr>
        <xdr:cNvSpPr>
          <a:spLocks noChangeShapeType="1"/>
        </xdr:cNvSpPr>
      </xdr:nvSpPr>
      <xdr:spPr bwMode="auto">
        <a:xfrm>
          <a:off x="2972752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66675</xdr:colOff>
      <xdr:row>14</xdr:row>
      <xdr:rowOff>9525</xdr:rowOff>
    </xdr:from>
    <xdr:to>
      <xdr:col>43</xdr:col>
      <xdr:colOff>66675</xdr:colOff>
      <xdr:row>17</xdr:row>
      <xdr:rowOff>19050</xdr:rowOff>
    </xdr:to>
    <xdr:sp macro="" textlink="">
      <xdr:nvSpPr>
        <xdr:cNvPr id="1068344" name="Line 11">
          <a:extLst>
            <a:ext uri="{FF2B5EF4-FFF2-40B4-BE49-F238E27FC236}">
              <a16:creationId xmlns:a16="http://schemas.microsoft.com/office/drawing/2014/main" id="{00000000-0008-0000-0D00-0000384D1000}"/>
            </a:ext>
          </a:extLst>
        </xdr:cNvPr>
        <xdr:cNvSpPr>
          <a:spLocks noChangeShapeType="1"/>
        </xdr:cNvSpPr>
      </xdr:nvSpPr>
      <xdr:spPr bwMode="auto">
        <a:xfrm>
          <a:off x="2979420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9525</xdr:colOff>
      <xdr:row>17</xdr:row>
      <xdr:rowOff>0</xdr:rowOff>
    </xdr:from>
    <xdr:to>
      <xdr:col>43</xdr:col>
      <xdr:colOff>66675</xdr:colOff>
      <xdr:row>17</xdr:row>
      <xdr:rowOff>9525</xdr:rowOff>
    </xdr:to>
    <xdr:sp macro="" textlink="">
      <xdr:nvSpPr>
        <xdr:cNvPr id="1068345" name="Line 12">
          <a:extLst>
            <a:ext uri="{FF2B5EF4-FFF2-40B4-BE49-F238E27FC236}">
              <a16:creationId xmlns:a16="http://schemas.microsoft.com/office/drawing/2014/main" id="{00000000-0008-0000-0D00-0000394D1000}"/>
            </a:ext>
          </a:extLst>
        </xdr:cNvPr>
        <xdr:cNvSpPr>
          <a:spLocks noChangeShapeType="1"/>
        </xdr:cNvSpPr>
      </xdr:nvSpPr>
      <xdr:spPr bwMode="auto">
        <a:xfrm flipV="1">
          <a:off x="2973705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8</xdr:row>
      <xdr:rowOff>0</xdr:rowOff>
    </xdr:from>
    <xdr:to>
      <xdr:col>49</xdr:col>
      <xdr:colOff>76200</xdr:colOff>
      <xdr:row>8</xdr:row>
      <xdr:rowOff>9525</xdr:rowOff>
    </xdr:to>
    <xdr:sp macro="" textlink="">
      <xdr:nvSpPr>
        <xdr:cNvPr id="1068346" name="Line 16">
          <a:extLst>
            <a:ext uri="{FF2B5EF4-FFF2-40B4-BE49-F238E27FC236}">
              <a16:creationId xmlns:a16="http://schemas.microsoft.com/office/drawing/2014/main" id="{00000000-0008-0000-0D00-00003A4D1000}"/>
            </a:ext>
          </a:extLst>
        </xdr:cNvPr>
        <xdr:cNvSpPr>
          <a:spLocks noChangeShapeType="1"/>
        </xdr:cNvSpPr>
      </xdr:nvSpPr>
      <xdr:spPr bwMode="auto">
        <a:xfrm>
          <a:off x="339852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8</xdr:row>
      <xdr:rowOff>9525</xdr:rowOff>
    </xdr:from>
    <xdr:to>
      <xdr:col>49</xdr:col>
      <xdr:colOff>66675</xdr:colOff>
      <xdr:row>11</xdr:row>
      <xdr:rowOff>19050</xdr:rowOff>
    </xdr:to>
    <xdr:sp macro="" textlink="">
      <xdr:nvSpPr>
        <xdr:cNvPr id="1068347" name="Line 17">
          <a:extLst>
            <a:ext uri="{FF2B5EF4-FFF2-40B4-BE49-F238E27FC236}">
              <a16:creationId xmlns:a16="http://schemas.microsoft.com/office/drawing/2014/main" id="{00000000-0008-0000-0D00-00003B4D1000}"/>
            </a:ext>
          </a:extLst>
        </xdr:cNvPr>
        <xdr:cNvSpPr>
          <a:spLocks noChangeShapeType="1"/>
        </xdr:cNvSpPr>
      </xdr:nvSpPr>
      <xdr:spPr bwMode="auto">
        <a:xfrm>
          <a:off x="340518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9525</xdr:colOff>
      <xdr:row>11</xdr:row>
      <xdr:rowOff>0</xdr:rowOff>
    </xdr:from>
    <xdr:to>
      <xdr:col>49</xdr:col>
      <xdr:colOff>66675</xdr:colOff>
      <xdr:row>11</xdr:row>
      <xdr:rowOff>9525</xdr:rowOff>
    </xdr:to>
    <xdr:sp macro="" textlink="">
      <xdr:nvSpPr>
        <xdr:cNvPr id="1068348" name="Line 18">
          <a:extLst>
            <a:ext uri="{FF2B5EF4-FFF2-40B4-BE49-F238E27FC236}">
              <a16:creationId xmlns:a16="http://schemas.microsoft.com/office/drawing/2014/main" id="{00000000-0008-0000-0D00-00003C4D1000}"/>
            </a:ext>
          </a:extLst>
        </xdr:cNvPr>
        <xdr:cNvSpPr>
          <a:spLocks noChangeShapeType="1"/>
        </xdr:cNvSpPr>
      </xdr:nvSpPr>
      <xdr:spPr bwMode="auto">
        <a:xfrm flipV="1">
          <a:off x="339947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0</xdr:colOff>
      <xdr:row>14</xdr:row>
      <xdr:rowOff>0</xdr:rowOff>
    </xdr:from>
    <xdr:to>
      <xdr:col>46</xdr:col>
      <xdr:colOff>76200</xdr:colOff>
      <xdr:row>14</xdr:row>
      <xdr:rowOff>9525</xdr:rowOff>
    </xdr:to>
    <xdr:sp macro="" textlink="">
      <xdr:nvSpPr>
        <xdr:cNvPr id="1068349" name="Line 19">
          <a:extLst>
            <a:ext uri="{FF2B5EF4-FFF2-40B4-BE49-F238E27FC236}">
              <a16:creationId xmlns:a16="http://schemas.microsoft.com/office/drawing/2014/main" id="{00000000-0008-0000-0D00-00003D4D1000}"/>
            </a:ext>
          </a:extLst>
        </xdr:cNvPr>
        <xdr:cNvSpPr>
          <a:spLocks noChangeShapeType="1"/>
        </xdr:cNvSpPr>
      </xdr:nvSpPr>
      <xdr:spPr bwMode="auto">
        <a:xfrm>
          <a:off x="318897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66675</xdr:colOff>
      <xdr:row>14</xdr:row>
      <xdr:rowOff>9525</xdr:rowOff>
    </xdr:from>
    <xdr:to>
      <xdr:col>46</xdr:col>
      <xdr:colOff>66675</xdr:colOff>
      <xdr:row>17</xdr:row>
      <xdr:rowOff>19050</xdr:rowOff>
    </xdr:to>
    <xdr:sp macro="" textlink="">
      <xdr:nvSpPr>
        <xdr:cNvPr id="1068350" name="Line 20">
          <a:extLst>
            <a:ext uri="{FF2B5EF4-FFF2-40B4-BE49-F238E27FC236}">
              <a16:creationId xmlns:a16="http://schemas.microsoft.com/office/drawing/2014/main" id="{00000000-0008-0000-0D00-00003E4D1000}"/>
            </a:ext>
          </a:extLst>
        </xdr:cNvPr>
        <xdr:cNvSpPr>
          <a:spLocks noChangeShapeType="1"/>
        </xdr:cNvSpPr>
      </xdr:nvSpPr>
      <xdr:spPr bwMode="auto">
        <a:xfrm>
          <a:off x="319563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17</xdr:row>
      <xdr:rowOff>0</xdr:rowOff>
    </xdr:from>
    <xdr:to>
      <xdr:col>46</xdr:col>
      <xdr:colOff>66675</xdr:colOff>
      <xdr:row>17</xdr:row>
      <xdr:rowOff>9525</xdr:rowOff>
    </xdr:to>
    <xdr:sp macro="" textlink="">
      <xdr:nvSpPr>
        <xdr:cNvPr id="1068351" name="Line 21">
          <a:extLst>
            <a:ext uri="{FF2B5EF4-FFF2-40B4-BE49-F238E27FC236}">
              <a16:creationId xmlns:a16="http://schemas.microsoft.com/office/drawing/2014/main" id="{00000000-0008-0000-0D00-00003F4D1000}"/>
            </a:ext>
          </a:extLst>
        </xdr:cNvPr>
        <xdr:cNvSpPr>
          <a:spLocks noChangeShapeType="1"/>
        </xdr:cNvSpPr>
      </xdr:nvSpPr>
      <xdr:spPr bwMode="auto">
        <a:xfrm flipV="1">
          <a:off x="318992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14</xdr:row>
      <xdr:rowOff>0</xdr:rowOff>
    </xdr:from>
    <xdr:to>
      <xdr:col>49</xdr:col>
      <xdr:colOff>76200</xdr:colOff>
      <xdr:row>14</xdr:row>
      <xdr:rowOff>9525</xdr:rowOff>
    </xdr:to>
    <xdr:sp macro="" textlink="">
      <xdr:nvSpPr>
        <xdr:cNvPr id="1068352" name="Line 25">
          <a:extLst>
            <a:ext uri="{FF2B5EF4-FFF2-40B4-BE49-F238E27FC236}">
              <a16:creationId xmlns:a16="http://schemas.microsoft.com/office/drawing/2014/main" id="{00000000-0008-0000-0D00-0000404D1000}"/>
            </a:ext>
          </a:extLst>
        </xdr:cNvPr>
        <xdr:cNvSpPr>
          <a:spLocks noChangeShapeType="1"/>
        </xdr:cNvSpPr>
      </xdr:nvSpPr>
      <xdr:spPr bwMode="auto">
        <a:xfrm>
          <a:off x="339852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14</xdr:row>
      <xdr:rowOff>9525</xdr:rowOff>
    </xdr:from>
    <xdr:to>
      <xdr:col>49</xdr:col>
      <xdr:colOff>66675</xdr:colOff>
      <xdr:row>17</xdr:row>
      <xdr:rowOff>19050</xdr:rowOff>
    </xdr:to>
    <xdr:sp macro="" textlink="">
      <xdr:nvSpPr>
        <xdr:cNvPr id="1068353" name="Line 26">
          <a:extLst>
            <a:ext uri="{FF2B5EF4-FFF2-40B4-BE49-F238E27FC236}">
              <a16:creationId xmlns:a16="http://schemas.microsoft.com/office/drawing/2014/main" id="{00000000-0008-0000-0D00-0000414D1000}"/>
            </a:ext>
          </a:extLst>
        </xdr:cNvPr>
        <xdr:cNvSpPr>
          <a:spLocks noChangeShapeType="1"/>
        </xdr:cNvSpPr>
      </xdr:nvSpPr>
      <xdr:spPr bwMode="auto">
        <a:xfrm>
          <a:off x="340518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9525</xdr:colOff>
      <xdr:row>17</xdr:row>
      <xdr:rowOff>0</xdr:rowOff>
    </xdr:from>
    <xdr:to>
      <xdr:col>49</xdr:col>
      <xdr:colOff>66675</xdr:colOff>
      <xdr:row>17</xdr:row>
      <xdr:rowOff>9525</xdr:rowOff>
    </xdr:to>
    <xdr:sp macro="" textlink="">
      <xdr:nvSpPr>
        <xdr:cNvPr id="1068354" name="Line 27">
          <a:extLst>
            <a:ext uri="{FF2B5EF4-FFF2-40B4-BE49-F238E27FC236}">
              <a16:creationId xmlns:a16="http://schemas.microsoft.com/office/drawing/2014/main" id="{00000000-0008-0000-0D00-0000424D1000}"/>
            </a:ext>
          </a:extLst>
        </xdr:cNvPr>
        <xdr:cNvSpPr>
          <a:spLocks noChangeShapeType="1"/>
        </xdr:cNvSpPr>
      </xdr:nvSpPr>
      <xdr:spPr bwMode="auto">
        <a:xfrm flipV="1">
          <a:off x="339947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20</xdr:row>
      <xdr:rowOff>0</xdr:rowOff>
    </xdr:from>
    <xdr:to>
      <xdr:col>49</xdr:col>
      <xdr:colOff>76200</xdr:colOff>
      <xdr:row>20</xdr:row>
      <xdr:rowOff>9525</xdr:rowOff>
    </xdr:to>
    <xdr:sp macro="" textlink="">
      <xdr:nvSpPr>
        <xdr:cNvPr id="1068355" name="Line 28">
          <a:extLst>
            <a:ext uri="{FF2B5EF4-FFF2-40B4-BE49-F238E27FC236}">
              <a16:creationId xmlns:a16="http://schemas.microsoft.com/office/drawing/2014/main" id="{00000000-0008-0000-0D00-0000434D1000}"/>
            </a:ext>
          </a:extLst>
        </xdr:cNvPr>
        <xdr:cNvSpPr>
          <a:spLocks noChangeShapeType="1"/>
        </xdr:cNvSpPr>
      </xdr:nvSpPr>
      <xdr:spPr bwMode="auto">
        <a:xfrm>
          <a:off x="339852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20</xdr:row>
      <xdr:rowOff>9525</xdr:rowOff>
    </xdr:from>
    <xdr:to>
      <xdr:col>49</xdr:col>
      <xdr:colOff>66675</xdr:colOff>
      <xdr:row>23</xdr:row>
      <xdr:rowOff>19050</xdr:rowOff>
    </xdr:to>
    <xdr:sp macro="" textlink="">
      <xdr:nvSpPr>
        <xdr:cNvPr id="1068356" name="Line 29">
          <a:extLst>
            <a:ext uri="{FF2B5EF4-FFF2-40B4-BE49-F238E27FC236}">
              <a16:creationId xmlns:a16="http://schemas.microsoft.com/office/drawing/2014/main" id="{00000000-0008-0000-0D00-0000444D1000}"/>
            </a:ext>
          </a:extLst>
        </xdr:cNvPr>
        <xdr:cNvSpPr>
          <a:spLocks noChangeShapeType="1"/>
        </xdr:cNvSpPr>
      </xdr:nvSpPr>
      <xdr:spPr bwMode="auto">
        <a:xfrm>
          <a:off x="3405187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9525</xdr:colOff>
      <xdr:row>23</xdr:row>
      <xdr:rowOff>0</xdr:rowOff>
    </xdr:from>
    <xdr:to>
      <xdr:col>49</xdr:col>
      <xdr:colOff>66675</xdr:colOff>
      <xdr:row>23</xdr:row>
      <xdr:rowOff>9525</xdr:rowOff>
    </xdr:to>
    <xdr:sp macro="" textlink="">
      <xdr:nvSpPr>
        <xdr:cNvPr id="1068357" name="Line 30">
          <a:extLst>
            <a:ext uri="{FF2B5EF4-FFF2-40B4-BE49-F238E27FC236}">
              <a16:creationId xmlns:a16="http://schemas.microsoft.com/office/drawing/2014/main" id="{00000000-0008-0000-0D00-0000454D1000}"/>
            </a:ext>
          </a:extLst>
        </xdr:cNvPr>
        <xdr:cNvSpPr>
          <a:spLocks noChangeShapeType="1"/>
        </xdr:cNvSpPr>
      </xdr:nvSpPr>
      <xdr:spPr bwMode="auto">
        <a:xfrm flipV="1">
          <a:off x="339947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0</xdr:colOff>
      <xdr:row>20</xdr:row>
      <xdr:rowOff>0</xdr:rowOff>
    </xdr:from>
    <xdr:to>
      <xdr:col>46</xdr:col>
      <xdr:colOff>76200</xdr:colOff>
      <xdr:row>20</xdr:row>
      <xdr:rowOff>9525</xdr:rowOff>
    </xdr:to>
    <xdr:sp macro="" textlink="">
      <xdr:nvSpPr>
        <xdr:cNvPr id="1068358" name="Line 31">
          <a:extLst>
            <a:ext uri="{FF2B5EF4-FFF2-40B4-BE49-F238E27FC236}">
              <a16:creationId xmlns:a16="http://schemas.microsoft.com/office/drawing/2014/main" id="{00000000-0008-0000-0D00-0000464D1000}"/>
            </a:ext>
          </a:extLst>
        </xdr:cNvPr>
        <xdr:cNvSpPr>
          <a:spLocks noChangeShapeType="1"/>
        </xdr:cNvSpPr>
      </xdr:nvSpPr>
      <xdr:spPr bwMode="auto">
        <a:xfrm>
          <a:off x="318897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66675</xdr:colOff>
      <xdr:row>20</xdr:row>
      <xdr:rowOff>9525</xdr:rowOff>
    </xdr:from>
    <xdr:to>
      <xdr:col>46</xdr:col>
      <xdr:colOff>66675</xdr:colOff>
      <xdr:row>23</xdr:row>
      <xdr:rowOff>19050</xdr:rowOff>
    </xdr:to>
    <xdr:sp macro="" textlink="">
      <xdr:nvSpPr>
        <xdr:cNvPr id="1068359" name="Line 32">
          <a:extLst>
            <a:ext uri="{FF2B5EF4-FFF2-40B4-BE49-F238E27FC236}">
              <a16:creationId xmlns:a16="http://schemas.microsoft.com/office/drawing/2014/main" id="{00000000-0008-0000-0D00-0000474D1000}"/>
            </a:ext>
          </a:extLst>
        </xdr:cNvPr>
        <xdr:cNvSpPr>
          <a:spLocks noChangeShapeType="1"/>
        </xdr:cNvSpPr>
      </xdr:nvSpPr>
      <xdr:spPr bwMode="auto">
        <a:xfrm>
          <a:off x="3195637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23</xdr:row>
      <xdr:rowOff>0</xdr:rowOff>
    </xdr:from>
    <xdr:to>
      <xdr:col>46</xdr:col>
      <xdr:colOff>66675</xdr:colOff>
      <xdr:row>23</xdr:row>
      <xdr:rowOff>9525</xdr:rowOff>
    </xdr:to>
    <xdr:sp macro="" textlink="">
      <xdr:nvSpPr>
        <xdr:cNvPr id="1068360" name="Line 33">
          <a:extLst>
            <a:ext uri="{FF2B5EF4-FFF2-40B4-BE49-F238E27FC236}">
              <a16:creationId xmlns:a16="http://schemas.microsoft.com/office/drawing/2014/main" id="{00000000-0008-0000-0D00-0000484D1000}"/>
            </a:ext>
          </a:extLst>
        </xdr:cNvPr>
        <xdr:cNvSpPr>
          <a:spLocks noChangeShapeType="1"/>
        </xdr:cNvSpPr>
      </xdr:nvSpPr>
      <xdr:spPr bwMode="auto">
        <a:xfrm flipV="1">
          <a:off x="318992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0</xdr:colOff>
      <xdr:row>20</xdr:row>
      <xdr:rowOff>0</xdr:rowOff>
    </xdr:from>
    <xdr:to>
      <xdr:col>43</xdr:col>
      <xdr:colOff>76200</xdr:colOff>
      <xdr:row>20</xdr:row>
      <xdr:rowOff>9525</xdr:rowOff>
    </xdr:to>
    <xdr:sp macro="" textlink="">
      <xdr:nvSpPr>
        <xdr:cNvPr id="1068361" name="Line 34">
          <a:extLst>
            <a:ext uri="{FF2B5EF4-FFF2-40B4-BE49-F238E27FC236}">
              <a16:creationId xmlns:a16="http://schemas.microsoft.com/office/drawing/2014/main" id="{00000000-0008-0000-0D00-0000494D1000}"/>
            </a:ext>
          </a:extLst>
        </xdr:cNvPr>
        <xdr:cNvSpPr>
          <a:spLocks noChangeShapeType="1"/>
        </xdr:cNvSpPr>
      </xdr:nvSpPr>
      <xdr:spPr bwMode="auto">
        <a:xfrm>
          <a:off x="2972752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66675</xdr:colOff>
      <xdr:row>20</xdr:row>
      <xdr:rowOff>9525</xdr:rowOff>
    </xdr:from>
    <xdr:to>
      <xdr:col>43</xdr:col>
      <xdr:colOff>66675</xdr:colOff>
      <xdr:row>23</xdr:row>
      <xdr:rowOff>19050</xdr:rowOff>
    </xdr:to>
    <xdr:sp macro="" textlink="">
      <xdr:nvSpPr>
        <xdr:cNvPr id="1068362" name="Line 35">
          <a:extLst>
            <a:ext uri="{FF2B5EF4-FFF2-40B4-BE49-F238E27FC236}">
              <a16:creationId xmlns:a16="http://schemas.microsoft.com/office/drawing/2014/main" id="{00000000-0008-0000-0D00-00004A4D1000}"/>
            </a:ext>
          </a:extLst>
        </xdr:cNvPr>
        <xdr:cNvSpPr>
          <a:spLocks noChangeShapeType="1"/>
        </xdr:cNvSpPr>
      </xdr:nvSpPr>
      <xdr:spPr bwMode="auto">
        <a:xfrm>
          <a:off x="2979420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9525</xdr:colOff>
      <xdr:row>23</xdr:row>
      <xdr:rowOff>0</xdr:rowOff>
    </xdr:from>
    <xdr:to>
      <xdr:col>43</xdr:col>
      <xdr:colOff>66675</xdr:colOff>
      <xdr:row>23</xdr:row>
      <xdr:rowOff>9525</xdr:rowOff>
    </xdr:to>
    <xdr:sp macro="" textlink="">
      <xdr:nvSpPr>
        <xdr:cNvPr id="1068363" name="Line 36">
          <a:extLst>
            <a:ext uri="{FF2B5EF4-FFF2-40B4-BE49-F238E27FC236}">
              <a16:creationId xmlns:a16="http://schemas.microsoft.com/office/drawing/2014/main" id="{00000000-0008-0000-0D00-00004B4D1000}"/>
            </a:ext>
          </a:extLst>
        </xdr:cNvPr>
        <xdr:cNvSpPr>
          <a:spLocks noChangeShapeType="1"/>
        </xdr:cNvSpPr>
      </xdr:nvSpPr>
      <xdr:spPr bwMode="auto">
        <a:xfrm flipV="1">
          <a:off x="2973705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0</xdr:colOff>
      <xdr:row>26</xdr:row>
      <xdr:rowOff>0</xdr:rowOff>
    </xdr:from>
    <xdr:to>
      <xdr:col>43</xdr:col>
      <xdr:colOff>76200</xdr:colOff>
      <xdr:row>26</xdr:row>
      <xdr:rowOff>9525</xdr:rowOff>
    </xdr:to>
    <xdr:sp macro="" textlink="">
      <xdr:nvSpPr>
        <xdr:cNvPr id="1068364" name="Line 37">
          <a:extLst>
            <a:ext uri="{FF2B5EF4-FFF2-40B4-BE49-F238E27FC236}">
              <a16:creationId xmlns:a16="http://schemas.microsoft.com/office/drawing/2014/main" id="{00000000-0008-0000-0D00-00004C4D1000}"/>
            </a:ext>
          </a:extLst>
        </xdr:cNvPr>
        <xdr:cNvSpPr>
          <a:spLocks noChangeShapeType="1"/>
        </xdr:cNvSpPr>
      </xdr:nvSpPr>
      <xdr:spPr bwMode="auto">
        <a:xfrm>
          <a:off x="2972752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66675</xdr:colOff>
      <xdr:row>26</xdr:row>
      <xdr:rowOff>9525</xdr:rowOff>
    </xdr:from>
    <xdr:to>
      <xdr:col>43</xdr:col>
      <xdr:colOff>66675</xdr:colOff>
      <xdr:row>29</xdr:row>
      <xdr:rowOff>19050</xdr:rowOff>
    </xdr:to>
    <xdr:sp macro="" textlink="">
      <xdr:nvSpPr>
        <xdr:cNvPr id="1068365" name="Line 38">
          <a:extLst>
            <a:ext uri="{FF2B5EF4-FFF2-40B4-BE49-F238E27FC236}">
              <a16:creationId xmlns:a16="http://schemas.microsoft.com/office/drawing/2014/main" id="{00000000-0008-0000-0D00-00004D4D1000}"/>
            </a:ext>
          </a:extLst>
        </xdr:cNvPr>
        <xdr:cNvSpPr>
          <a:spLocks noChangeShapeType="1"/>
        </xdr:cNvSpPr>
      </xdr:nvSpPr>
      <xdr:spPr bwMode="auto">
        <a:xfrm>
          <a:off x="2979420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9525</xdr:colOff>
      <xdr:row>29</xdr:row>
      <xdr:rowOff>0</xdr:rowOff>
    </xdr:from>
    <xdr:to>
      <xdr:col>43</xdr:col>
      <xdr:colOff>66675</xdr:colOff>
      <xdr:row>29</xdr:row>
      <xdr:rowOff>9525</xdr:rowOff>
    </xdr:to>
    <xdr:sp macro="" textlink="">
      <xdr:nvSpPr>
        <xdr:cNvPr id="1068366" name="Line 39">
          <a:extLst>
            <a:ext uri="{FF2B5EF4-FFF2-40B4-BE49-F238E27FC236}">
              <a16:creationId xmlns:a16="http://schemas.microsoft.com/office/drawing/2014/main" id="{00000000-0008-0000-0D00-00004E4D1000}"/>
            </a:ext>
          </a:extLst>
        </xdr:cNvPr>
        <xdr:cNvSpPr>
          <a:spLocks noChangeShapeType="1"/>
        </xdr:cNvSpPr>
      </xdr:nvSpPr>
      <xdr:spPr bwMode="auto">
        <a:xfrm flipV="1">
          <a:off x="2973705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0</xdr:colOff>
      <xdr:row>26</xdr:row>
      <xdr:rowOff>0</xdr:rowOff>
    </xdr:from>
    <xdr:to>
      <xdr:col>46</xdr:col>
      <xdr:colOff>76200</xdr:colOff>
      <xdr:row>26</xdr:row>
      <xdr:rowOff>9525</xdr:rowOff>
    </xdr:to>
    <xdr:sp macro="" textlink="">
      <xdr:nvSpPr>
        <xdr:cNvPr id="1068367" name="Line 40">
          <a:extLst>
            <a:ext uri="{FF2B5EF4-FFF2-40B4-BE49-F238E27FC236}">
              <a16:creationId xmlns:a16="http://schemas.microsoft.com/office/drawing/2014/main" id="{00000000-0008-0000-0D00-00004F4D1000}"/>
            </a:ext>
          </a:extLst>
        </xdr:cNvPr>
        <xdr:cNvSpPr>
          <a:spLocks noChangeShapeType="1"/>
        </xdr:cNvSpPr>
      </xdr:nvSpPr>
      <xdr:spPr bwMode="auto">
        <a:xfrm>
          <a:off x="3188970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66675</xdr:colOff>
      <xdr:row>26</xdr:row>
      <xdr:rowOff>9525</xdr:rowOff>
    </xdr:from>
    <xdr:to>
      <xdr:col>46</xdr:col>
      <xdr:colOff>66675</xdr:colOff>
      <xdr:row>29</xdr:row>
      <xdr:rowOff>19050</xdr:rowOff>
    </xdr:to>
    <xdr:sp macro="" textlink="">
      <xdr:nvSpPr>
        <xdr:cNvPr id="1068368" name="Line 41">
          <a:extLst>
            <a:ext uri="{FF2B5EF4-FFF2-40B4-BE49-F238E27FC236}">
              <a16:creationId xmlns:a16="http://schemas.microsoft.com/office/drawing/2014/main" id="{00000000-0008-0000-0D00-0000504D1000}"/>
            </a:ext>
          </a:extLst>
        </xdr:cNvPr>
        <xdr:cNvSpPr>
          <a:spLocks noChangeShapeType="1"/>
        </xdr:cNvSpPr>
      </xdr:nvSpPr>
      <xdr:spPr bwMode="auto">
        <a:xfrm>
          <a:off x="3195637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29</xdr:row>
      <xdr:rowOff>0</xdr:rowOff>
    </xdr:from>
    <xdr:to>
      <xdr:col>46</xdr:col>
      <xdr:colOff>66675</xdr:colOff>
      <xdr:row>29</xdr:row>
      <xdr:rowOff>9525</xdr:rowOff>
    </xdr:to>
    <xdr:sp macro="" textlink="">
      <xdr:nvSpPr>
        <xdr:cNvPr id="1068369" name="Line 42">
          <a:extLst>
            <a:ext uri="{FF2B5EF4-FFF2-40B4-BE49-F238E27FC236}">
              <a16:creationId xmlns:a16="http://schemas.microsoft.com/office/drawing/2014/main" id="{00000000-0008-0000-0D00-0000514D1000}"/>
            </a:ext>
          </a:extLst>
        </xdr:cNvPr>
        <xdr:cNvSpPr>
          <a:spLocks noChangeShapeType="1"/>
        </xdr:cNvSpPr>
      </xdr:nvSpPr>
      <xdr:spPr bwMode="auto">
        <a:xfrm flipV="1">
          <a:off x="3189922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26</xdr:row>
      <xdr:rowOff>0</xdr:rowOff>
    </xdr:from>
    <xdr:to>
      <xdr:col>49</xdr:col>
      <xdr:colOff>76200</xdr:colOff>
      <xdr:row>26</xdr:row>
      <xdr:rowOff>9525</xdr:rowOff>
    </xdr:to>
    <xdr:sp macro="" textlink="">
      <xdr:nvSpPr>
        <xdr:cNvPr id="1068370" name="Line 43">
          <a:extLst>
            <a:ext uri="{FF2B5EF4-FFF2-40B4-BE49-F238E27FC236}">
              <a16:creationId xmlns:a16="http://schemas.microsoft.com/office/drawing/2014/main" id="{00000000-0008-0000-0D00-0000524D1000}"/>
            </a:ext>
          </a:extLst>
        </xdr:cNvPr>
        <xdr:cNvSpPr>
          <a:spLocks noChangeShapeType="1"/>
        </xdr:cNvSpPr>
      </xdr:nvSpPr>
      <xdr:spPr bwMode="auto">
        <a:xfrm>
          <a:off x="3398520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26</xdr:row>
      <xdr:rowOff>9525</xdr:rowOff>
    </xdr:from>
    <xdr:to>
      <xdr:col>49</xdr:col>
      <xdr:colOff>66675</xdr:colOff>
      <xdr:row>29</xdr:row>
      <xdr:rowOff>19050</xdr:rowOff>
    </xdr:to>
    <xdr:sp macro="" textlink="">
      <xdr:nvSpPr>
        <xdr:cNvPr id="1068371" name="Line 44">
          <a:extLst>
            <a:ext uri="{FF2B5EF4-FFF2-40B4-BE49-F238E27FC236}">
              <a16:creationId xmlns:a16="http://schemas.microsoft.com/office/drawing/2014/main" id="{00000000-0008-0000-0D00-0000534D1000}"/>
            </a:ext>
          </a:extLst>
        </xdr:cNvPr>
        <xdr:cNvSpPr>
          <a:spLocks noChangeShapeType="1"/>
        </xdr:cNvSpPr>
      </xdr:nvSpPr>
      <xdr:spPr bwMode="auto">
        <a:xfrm>
          <a:off x="3405187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9525</xdr:colOff>
      <xdr:row>29</xdr:row>
      <xdr:rowOff>0</xdr:rowOff>
    </xdr:from>
    <xdr:to>
      <xdr:col>49</xdr:col>
      <xdr:colOff>66675</xdr:colOff>
      <xdr:row>29</xdr:row>
      <xdr:rowOff>9525</xdr:rowOff>
    </xdr:to>
    <xdr:sp macro="" textlink="">
      <xdr:nvSpPr>
        <xdr:cNvPr id="1068372" name="Line 45">
          <a:extLst>
            <a:ext uri="{FF2B5EF4-FFF2-40B4-BE49-F238E27FC236}">
              <a16:creationId xmlns:a16="http://schemas.microsoft.com/office/drawing/2014/main" id="{00000000-0008-0000-0D00-0000544D1000}"/>
            </a:ext>
          </a:extLst>
        </xdr:cNvPr>
        <xdr:cNvSpPr>
          <a:spLocks noChangeShapeType="1"/>
        </xdr:cNvSpPr>
      </xdr:nvSpPr>
      <xdr:spPr bwMode="auto">
        <a:xfrm flipV="1">
          <a:off x="3399472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0</xdr:colOff>
      <xdr:row>32</xdr:row>
      <xdr:rowOff>0</xdr:rowOff>
    </xdr:from>
    <xdr:to>
      <xdr:col>43</xdr:col>
      <xdr:colOff>76200</xdr:colOff>
      <xdr:row>32</xdr:row>
      <xdr:rowOff>9525</xdr:rowOff>
    </xdr:to>
    <xdr:sp macro="" textlink="">
      <xdr:nvSpPr>
        <xdr:cNvPr id="1068373" name="Line 46">
          <a:extLst>
            <a:ext uri="{FF2B5EF4-FFF2-40B4-BE49-F238E27FC236}">
              <a16:creationId xmlns:a16="http://schemas.microsoft.com/office/drawing/2014/main" id="{00000000-0008-0000-0D00-0000554D1000}"/>
            </a:ext>
          </a:extLst>
        </xdr:cNvPr>
        <xdr:cNvSpPr>
          <a:spLocks noChangeShapeType="1"/>
        </xdr:cNvSpPr>
      </xdr:nvSpPr>
      <xdr:spPr bwMode="auto">
        <a:xfrm>
          <a:off x="2972752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9525</xdr:colOff>
      <xdr:row>35</xdr:row>
      <xdr:rowOff>0</xdr:rowOff>
    </xdr:from>
    <xdr:to>
      <xdr:col>43</xdr:col>
      <xdr:colOff>66675</xdr:colOff>
      <xdr:row>35</xdr:row>
      <xdr:rowOff>9525</xdr:rowOff>
    </xdr:to>
    <xdr:sp macro="" textlink="">
      <xdr:nvSpPr>
        <xdr:cNvPr id="1068374" name="Line 48">
          <a:extLst>
            <a:ext uri="{FF2B5EF4-FFF2-40B4-BE49-F238E27FC236}">
              <a16:creationId xmlns:a16="http://schemas.microsoft.com/office/drawing/2014/main" id="{00000000-0008-0000-0D00-0000564D1000}"/>
            </a:ext>
          </a:extLst>
        </xdr:cNvPr>
        <xdr:cNvSpPr>
          <a:spLocks noChangeShapeType="1"/>
        </xdr:cNvSpPr>
      </xdr:nvSpPr>
      <xdr:spPr bwMode="auto">
        <a:xfrm flipV="1">
          <a:off x="2973705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0</xdr:colOff>
      <xdr:row>32</xdr:row>
      <xdr:rowOff>0</xdr:rowOff>
    </xdr:from>
    <xdr:to>
      <xdr:col>46</xdr:col>
      <xdr:colOff>76200</xdr:colOff>
      <xdr:row>32</xdr:row>
      <xdr:rowOff>9525</xdr:rowOff>
    </xdr:to>
    <xdr:sp macro="" textlink="">
      <xdr:nvSpPr>
        <xdr:cNvPr id="1068375" name="Line 49">
          <a:extLst>
            <a:ext uri="{FF2B5EF4-FFF2-40B4-BE49-F238E27FC236}">
              <a16:creationId xmlns:a16="http://schemas.microsoft.com/office/drawing/2014/main" id="{00000000-0008-0000-0D00-0000574D1000}"/>
            </a:ext>
          </a:extLst>
        </xdr:cNvPr>
        <xdr:cNvSpPr>
          <a:spLocks noChangeShapeType="1"/>
        </xdr:cNvSpPr>
      </xdr:nvSpPr>
      <xdr:spPr bwMode="auto">
        <a:xfrm>
          <a:off x="318897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66675</xdr:colOff>
      <xdr:row>32</xdr:row>
      <xdr:rowOff>9525</xdr:rowOff>
    </xdr:from>
    <xdr:to>
      <xdr:col>46</xdr:col>
      <xdr:colOff>66675</xdr:colOff>
      <xdr:row>35</xdr:row>
      <xdr:rowOff>19050</xdr:rowOff>
    </xdr:to>
    <xdr:sp macro="" textlink="">
      <xdr:nvSpPr>
        <xdr:cNvPr id="1068376" name="Line 50">
          <a:extLst>
            <a:ext uri="{FF2B5EF4-FFF2-40B4-BE49-F238E27FC236}">
              <a16:creationId xmlns:a16="http://schemas.microsoft.com/office/drawing/2014/main" id="{00000000-0008-0000-0D00-0000584D1000}"/>
            </a:ext>
          </a:extLst>
        </xdr:cNvPr>
        <xdr:cNvSpPr>
          <a:spLocks noChangeShapeType="1"/>
        </xdr:cNvSpPr>
      </xdr:nvSpPr>
      <xdr:spPr bwMode="auto">
        <a:xfrm>
          <a:off x="3195637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35</xdr:row>
      <xdr:rowOff>0</xdr:rowOff>
    </xdr:from>
    <xdr:to>
      <xdr:col>46</xdr:col>
      <xdr:colOff>66675</xdr:colOff>
      <xdr:row>35</xdr:row>
      <xdr:rowOff>9525</xdr:rowOff>
    </xdr:to>
    <xdr:sp macro="" textlink="">
      <xdr:nvSpPr>
        <xdr:cNvPr id="1068377" name="Line 51">
          <a:extLst>
            <a:ext uri="{FF2B5EF4-FFF2-40B4-BE49-F238E27FC236}">
              <a16:creationId xmlns:a16="http://schemas.microsoft.com/office/drawing/2014/main" id="{00000000-0008-0000-0D00-0000594D1000}"/>
            </a:ext>
          </a:extLst>
        </xdr:cNvPr>
        <xdr:cNvSpPr>
          <a:spLocks noChangeShapeType="1"/>
        </xdr:cNvSpPr>
      </xdr:nvSpPr>
      <xdr:spPr bwMode="auto">
        <a:xfrm flipV="1">
          <a:off x="318992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32</xdr:row>
      <xdr:rowOff>0</xdr:rowOff>
    </xdr:from>
    <xdr:to>
      <xdr:col>49</xdr:col>
      <xdr:colOff>76200</xdr:colOff>
      <xdr:row>32</xdr:row>
      <xdr:rowOff>9525</xdr:rowOff>
    </xdr:to>
    <xdr:sp macro="" textlink="">
      <xdr:nvSpPr>
        <xdr:cNvPr id="1068378" name="Line 52">
          <a:extLst>
            <a:ext uri="{FF2B5EF4-FFF2-40B4-BE49-F238E27FC236}">
              <a16:creationId xmlns:a16="http://schemas.microsoft.com/office/drawing/2014/main" id="{00000000-0008-0000-0D00-00005A4D1000}"/>
            </a:ext>
          </a:extLst>
        </xdr:cNvPr>
        <xdr:cNvSpPr>
          <a:spLocks noChangeShapeType="1"/>
        </xdr:cNvSpPr>
      </xdr:nvSpPr>
      <xdr:spPr bwMode="auto">
        <a:xfrm>
          <a:off x="339852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32</xdr:row>
      <xdr:rowOff>9525</xdr:rowOff>
    </xdr:from>
    <xdr:to>
      <xdr:col>49</xdr:col>
      <xdr:colOff>66675</xdr:colOff>
      <xdr:row>35</xdr:row>
      <xdr:rowOff>19050</xdr:rowOff>
    </xdr:to>
    <xdr:sp macro="" textlink="">
      <xdr:nvSpPr>
        <xdr:cNvPr id="1068379" name="Line 53">
          <a:extLst>
            <a:ext uri="{FF2B5EF4-FFF2-40B4-BE49-F238E27FC236}">
              <a16:creationId xmlns:a16="http://schemas.microsoft.com/office/drawing/2014/main" id="{00000000-0008-0000-0D00-00005B4D1000}"/>
            </a:ext>
          </a:extLst>
        </xdr:cNvPr>
        <xdr:cNvSpPr>
          <a:spLocks noChangeShapeType="1"/>
        </xdr:cNvSpPr>
      </xdr:nvSpPr>
      <xdr:spPr bwMode="auto">
        <a:xfrm>
          <a:off x="3405187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9525</xdr:colOff>
      <xdr:row>35</xdr:row>
      <xdr:rowOff>0</xdr:rowOff>
    </xdr:from>
    <xdr:to>
      <xdr:col>49</xdr:col>
      <xdr:colOff>66675</xdr:colOff>
      <xdr:row>35</xdr:row>
      <xdr:rowOff>9525</xdr:rowOff>
    </xdr:to>
    <xdr:sp macro="" textlink="">
      <xdr:nvSpPr>
        <xdr:cNvPr id="1068380" name="Line 54">
          <a:extLst>
            <a:ext uri="{FF2B5EF4-FFF2-40B4-BE49-F238E27FC236}">
              <a16:creationId xmlns:a16="http://schemas.microsoft.com/office/drawing/2014/main" id="{00000000-0008-0000-0D00-00005C4D1000}"/>
            </a:ext>
          </a:extLst>
        </xdr:cNvPr>
        <xdr:cNvSpPr>
          <a:spLocks noChangeShapeType="1"/>
        </xdr:cNvSpPr>
      </xdr:nvSpPr>
      <xdr:spPr bwMode="auto">
        <a:xfrm flipV="1">
          <a:off x="339947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66675</xdr:colOff>
      <xdr:row>8</xdr:row>
      <xdr:rowOff>9525</xdr:rowOff>
    </xdr:from>
    <xdr:to>
      <xdr:col>47</xdr:col>
      <xdr:colOff>0</xdr:colOff>
      <xdr:row>9</xdr:row>
      <xdr:rowOff>66675</xdr:rowOff>
    </xdr:to>
    <xdr:sp macro="" textlink="">
      <xdr:nvSpPr>
        <xdr:cNvPr id="1068381" name="Line 64">
          <a:extLst>
            <a:ext uri="{FF2B5EF4-FFF2-40B4-BE49-F238E27FC236}">
              <a16:creationId xmlns:a16="http://schemas.microsoft.com/office/drawing/2014/main" id="{00000000-0008-0000-0D00-00005D4D1000}"/>
            </a:ext>
          </a:extLst>
        </xdr:cNvPr>
        <xdr:cNvSpPr>
          <a:spLocks noChangeShapeType="1"/>
        </xdr:cNvSpPr>
      </xdr:nvSpPr>
      <xdr:spPr bwMode="auto">
        <a:xfrm flipV="1">
          <a:off x="31956375" y="2057400"/>
          <a:ext cx="342900" cy="2381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66675</xdr:colOff>
      <xdr:row>9</xdr:row>
      <xdr:rowOff>76200</xdr:rowOff>
    </xdr:from>
    <xdr:to>
      <xdr:col>47</xdr:col>
      <xdr:colOff>0</xdr:colOff>
      <xdr:row>13</xdr:row>
      <xdr:rowOff>0</xdr:rowOff>
    </xdr:to>
    <xdr:sp macro="" textlink="">
      <xdr:nvSpPr>
        <xdr:cNvPr id="1068382" name="Line 66">
          <a:extLst>
            <a:ext uri="{FF2B5EF4-FFF2-40B4-BE49-F238E27FC236}">
              <a16:creationId xmlns:a16="http://schemas.microsoft.com/office/drawing/2014/main" id="{00000000-0008-0000-0D00-00005E4D1000}"/>
            </a:ext>
          </a:extLst>
        </xdr:cNvPr>
        <xdr:cNvSpPr>
          <a:spLocks noChangeShapeType="1"/>
        </xdr:cNvSpPr>
      </xdr:nvSpPr>
      <xdr:spPr bwMode="auto">
        <a:xfrm>
          <a:off x="31956375" y="2305050"/>
          <a:ext cx="342900" cy="6477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49</xdr:col>
      <xdr:colOff>0</xdr:colOff>
      <xdr:row>32</xdr:row>
      <xdr:rowOff>0</xdr:rowOff>
    </xdr:from>
    <xdr:to>
      <xdr:col>49</xdr:col>
      <xdr:colOff>76200</xdr:colOff>
      <xdr:row>32</xdr:row>
      <xdr:rowOff>9525</xdr:rowOff>
    </xdr:to>
    <xdr:sp macro="" textlink="">
      <xdr:nvSpPr>
        <xdr:cNvPr id="1068383" name="Line 72">
          <a:extLst>
            <a:ext uri="{FF2B5EF4-FFF2-40B4-BE49-F238E27FC236}">
              <a16:creationId xmlns:a16="http://schemas.microsoft.com/office/drawing/2014/main" id="{00000000-0008-0000-0D00-00005F4D1000}"/>
            </a:ext>
          </a:extLst>
        </xdr:cNvPr>
        <xdr:cNvSpPr>
          <a:spLocks noChangeShapeType="1"/>
        </xdr:cNvSpPr>
      </xdr:nvSpPr>
      <xdr:spPr bwMode="auto">
        <a:xfrm>
          <a:off x="339852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32</xdr:row>
      <xdr:rowOff>9525</xdr:rowOff>
    </xdr:from>
    <xdr:to>
      <xdr:col>49</xdr:col>
      <xdr:colOff>66675</xdr:colOff>
      <xdr:row>35</xdr:row>
      <xdr:rowOff>19050</xdr:rowOff>
    </xdr:to>
    <xdr:sp macro="" textlink="">
      <xdr:nvSpPr>
        <xdr:cNvPr id="1068384" name="Line 73">
          <a:extLst>
            <a:ext uri="{FF2B5EF4-FFF2-40B4-BE49-F238E27FC236}">
              <a16:creationId xmlns:a16="http://schemas.microsoft.com/office/drawing/2014/main" id="{00000000-0008-0000-0D00-0000604D1000}"/>
            </a:ext>
          </a:extLst>
        </xdr:cNvPr>
        <xdr:cNvSpPr>
          <a:spLocks noChangeShapeType="1"/>
        </xdr:cNvSpPr>
      </xdr:nvSpPr>
      <xdr:spPr bwMode="auto">
        <a:xfrm>
          <a:off x="3405187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9525</xdr:colOff>
      <xdr:row>35</xdr:row>
      <xdr:rowOff>0</xdr:rowOff>
    </xdr:from>
    <xdr:to>
      <xdr:col>49</xdr:col>
      <xdr:colOff>66675</xdr:colOff>
      <xdr:row>35</xdr:row>
      <xdr:rowOff>9525</xdr:rowOff>
    </xdr:to>
    <xdr:sp macro="" textlink="">
      <xdr:nvSpPr>
        <xdr:cNvPr id="1068385" name="Line 74">
          <a:extLst>
            <a:ext uri="{FF2B5EF4-FFF2-40B4-BE49-F238E27FC236}">
              <a16:creationId xmlns:a16="http://schemas.microsoft.com/office/drawing/2014/main" id="{00000000-0008-0000-0D00-0000614D1000}"/>
            </a:ext>
          </a:extLst>
        </xdr:cNvPr>
        <xdr:cNvSpPr>
          <a:spLocks noChangeShapeType="1"/>
        </xdr:cNvSpPr>
      </xdr:nvSpPr>
      <xdr:spPr bwMode="auto">
        <a:xfrm flipV="1">
          <a:off x="339947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26</xdr:row>
      <xdr:rowOff>0</xdr:rowOff>
    </xdr:from>
    <xdr:to>
      <xdr:col>49</xdr:col>
      <xdr:colOff>76200</xdr:colOff>
      <xdr:row>26</xdr:row>
      <xdr:rowOff>9525</xdr:rowOff>
    </xdr:to>
    <xdr:sp macro="" textlink="">
      <xdr:nvSpPr>
        <xdr:cNvPr id="1068386" name="Line 77">
          <a:extLst>
            <a:ext uri="{FF2B5EF4-FFF2-40B4-BE49-F238E27FC236}">
              <a16:creationId xmlns:a16="http://schemas.microsoft.com/office/drawing/2014/main" id="{00000000-0008-0000-0D00-0000624D1000}"/>
            </a:ext>
          </a:extLst>
        </xdr:cNvPr>
        <xdr:cNvSpPr>
          <a:spLocks noChangeShapeType="1"/>
        </xdr:cNvSpPr>
      </xdr:nvSpPr>
      <xdr:spPr bwMode="auto">
        <a:xfrm>
          <a:off x="3398520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26</xdr:row>
      <xdr:rowOff>9525</xdr:rowOff>
    </xdr:from>
    <xdr:to>
      <xdr:col>49</xdr:col>
      <xdr:colOff>66675</xdr:colOff>
      <xdr:row>29</xdr:row>
      <xdr:rowOff>19050</xdr:rowOff>
    </xdr:to>
    <xdr:sp macro="" textlink="">
      <xdr:nvSpPr>
        <xdr:cNvPr id="1068387" name="Line 78">
          <a:extLst>
            <a:ext uri="{FF2B5EF4-FFF2-40B4-BE49-F238E27FC236}">
              <a16:creationId xmlns:a16="http://schemas.microsoft.com/office/drawing/2014/main" id="{00000000-0008-0000-0D00-0000634D1000}"/>
            </a:ext>
          </a:extLst>
        </xdr:cNvPr>
        <xdr:cNvSpPr>
          <a:spLocks noChangeShapeType="1"/>
        </xdr:cNvSpPr>
      </xdr:nvSpPr>
      <xdr:spPr bwMode="auto">
        <a:xfrm>
          <a:off x="3405187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9525</xdr:colOff>
      <xdr:row>29</xdr:row>
      <xdr:rowOff>0</xdr:rowOff>
    </xdr:from>
    <xdr:to>
      <xdr:col>49</xdr:col>
      <xdr:colOff>66675</xdr:colOff>
      <xdr:row>29</xdr:row>
      <xdr:rowOff>9525</xdr:rowOff>
    </xdr:to>
    <xdr:sp macro="" textlink="">
      <xdr:nvSpPr>
        <xdr:cNvPr id="1068388" name="Line 79">
          <a:extLst>
            <a:ext uri="{FF2B5EF4-FFF2-40B4-BE49-F238E27FC236}">
              <a16:creationId xmlns:a16="http://schemas.microsoft.com/office/drawing/2014/main" id="{00000000-0008-0000-0D00-0000644D1000}"/>
            </a:ext>
          </a:extLst>
        </xdr:cNvPr>
        <xdr:cNvSpPr>
          <a:spLocks noChangeShapeType="1"/>
        </xdr:cNvSpPr>
      </xdr:nvSpPr>
      <xdr:spPr bwMode="auto">
        <a:xfrm flipV="1">
          <a:off x="3399472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76200</xdr:colOff>
      <xdr:row>27</xdr:row>
      <xdr:rowOff>66675</xdr:rowOff>
    </xdr:from>
    <xdr:to>
      <xdr:col>50</xdr:col>
      <xdr:colOff>9525</xdr:colOff>
      <xdr:row>29</xdr:row>
      <xdr:rowOff>19050</xdr:rowOff>
    </xdr:to>
    <xdr:sp macro="" textlink="">
      <xdr:nvSpPr>
        <xdr:cNvPr id="1068389" name="Line 81">
          <a:extLst>
            <a:ext uri="{FF2B5EF4-FFF2-40B4-BE49-F238E27FC236}">
              <a16:creationId xmlns:a16="http://schemas.microsoft.com/office/drawing/2014/main" id="{00000000-0008-0000-0D00-0000654D1000}"/>
            </a:ext>
          </a:extLst>
        </xdr:cNvPr>
        <xdr:cNvSpPr>
          <a:spLocks noChangeShapeType="1"/>
        </xdr:cNvSpPr>
      </xdr:nvSpPr>
      <xdr:spPr bwMode="auto">
        <a:xfrm>
          <a:off x="34061400" y="55530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49</xdr:col>
      <xdr:colOff>0</xdr:colOff>
      <xdr:row>32</xdr:row>
      <xdr:rowOff>0</xdr:rowOff>
    </xdr:from>
    <xdr:to>
      <xdr:col>49</xdr:col>
      <xdr:colOff>76200</xdr:colOff>
      <xdr:row>32</xdr:row>
      <xdr:rowOff>9525</xdr:rowOff>
    </xdr:to>
    <xdr:sp macro="" textlink="">
      <xdr:nvSpPr>
        <xdr:cNvPr id="1068390" name="Line 86">
          <a:extLst>
            <a:ext uri="{FF2B5EF4-FFF2-40B4-BE49-F238E27FC236}">
              <a16:creationId xmlns:a16="http://schemas.microsoft.com/office/drawing/2014/main" id="{00000000-0008-0000-0D00-0000664D1000}"/>
            </a:ext>
          </a:extLst>
        </xdr:cNvPr>
        <xdr:cNvSpPr>
          <a:spLocks noChangeShapeType="1"/>
        </xdr:cNvSpPr>
      </xdr:nvSpPr>
      <xdr:spPr bwMode="auto">
        <a:xfrm>
          <a:off x="339852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32</xdr:row>
      <xdr:rowOff>9525</xdr:rowOff>
    </xdr:from>
    <xdr:to>
      <xdr:col>49</xdr:col>
      <xdr:colOff>76200</xdr:colOff>
      <xdr:row>35</xdr:row>
      <xdr:rowOff>0</xdr:rowOff>
    </xdr:to>
    <xdr:sp macro="" textlink="">
      <xdr:nvSpPr>
        <xdr:cNvPr id="1068391" name="Line 87">
          <a:extLst>
            <a:ext uri="{FF2B5EF4-FFF2-40B4-BE49-F238E27FC236}">
              <a16:creationId xmlns:a16="http://schemas.microsoft.com/office/drawing/2014/main" id="{00000000-0008-0000-0D00-0000674D1000}"/>
            </a:ext>
          </a:extLst>
        </xdr:cNvPr>
        <xdr:cNvSpPr>
          <a:spLocks noChangeShapeType="1"/>
        </xdr:cNvSpPr>
      </xdr:nvSpPr>
      <xdr:spPr bwMode="auto">
        <a:xfrm>
          <a:off x="34051875" y="6400800"/>
          <a:ext cx="9525"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9525</xdr:colOff>
      <xdr:row>35</xdr:row>
      <xdr:rowOff>0</xdr:rowOff>
    </xdr:from>
    <xdr:to>
      <xdr:col>49</xdr:col>
      <xdr:colOff>66675</xdr:colOff>
      <xdr:row>35</xdr:row>
      <xdr:rowOff>9525</xdr:rowOff>
    </xdr:to>
    <xdr:sp macro="" textlink="">
      <xdr:nvSpPr>
        <xdr:cNvPr id="1068392" name="Line 88">
          <a:extLst>
            <a:ext uri="{FF2B5EF4-FFF2-40B4-BE49-F238E27FC236}">
              <a16:creationId xmlns:a16="http://schemas.microsoft.com/office/drawing/2014/main" id="{00000000-0008-0000-0D00-0000684D1000}"/>
            </a:ext>
          </a:extLst>
        </xdr:cNvPr>
        <xdr:cNvSpPr>
          <a:spLocks noChangeShapeType="1"/>
        </xdr:cNvSpPr>
      </xdr:nvSpPr>
      <xdr:spPr bwMode="auto">
        <a:xfrm flipV="1">
          <a:off x="339947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31</xdr:row>
      <xdr:rowOff>161925</xdr:rowOff>
    </xdr:from>
    <xdr:to>
      <xdr:col>49</xdr:col>
      <xdr:colOff>400050</xdr:colOff>
      <xdr:row>33</xdr:row>
      <xdr:rowOff>57150</xdr:rowOff>
    </xdr:to>
    <xdr:sp macro="" textlink="">
      <xdr:nvSpPr>
        <xdr:cNvPr id="1068393" name="Line 89">
          <a:extLst>
            <a:ext uri="{FF2B5EF4-FFF2-40B4-BE49-F238E27FC236}">
              <a16:creationId xmlns:a16="http://schemas.microsoft.com/office/drawing/2014/main" id="{00000000-0008-0000-0D00-0000694D1000}"/>
            </a:ext>
          </a:extLst>
        </xdr:cNvPr>
        <xdr:cNvSpPr>
          <a:spLocks noChangeShapeType="1"/>
        </xdr:cNvSpPr>
      </xdr:nvSpPr>
      <xdr:spPr bwMode="auto">
        <a:xfrm flipV="1">
          <a:off x="34051875" y="6372225"/>
          <a:ext cx="333375" cy="2571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49</xdr:col>
      <xdr:colOff>0</xdr:colOff>
      <xdr:row>26</xdr:row>
      <xdr:rowOff>0</xdr:rowOff>
    </xdr:from>
    <xdr:to>
      <xdr:col>49</xdr:col>
      <xdr:colOff>76200</xdr:colOff>
      <xdr:row>26</xdr:row>
      <xdr:rowOff>9525</xdr:rowOff>
    </xdr:to>
    <xdr:sp macro="" textlink="">
      <xdr:nvSpPr>
        <xdr:cNvPr id="1068394" name="Line 90">
          <a:extLst>
            <a:ext uri="{FF2B5EF4-FFF2-40B4-BE49-F238E27FC236}">
              <a16:creationId xmlns:a16="http://schemas.microsoft.com/office/drawing/2014/main" id="{00000000-0008-0000-0D00-00006A4D1000}"/>
            </a:ext>
          </a:extLst>
        </xdr:cNvPr>
        <xdr:cNvSpPr>
          <a:spLocks noChangeShapeType="1"/>
        </xdr:cNvSpPr>
      </xdr:nvSpPr>
      <xdr:spPr bwMode="auto">
        <a:xfrm>
          <a:off x="3398520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26</xdr:row>
      <xdr:rowOff>9525</xdr:rowOff>
    </xdr:from>
    <xdr:to>
      <xdr:col>49</xdr:col>
      <xdr:colOff>66675</xdr:colOff>
      <xdr:row>29</xdr:row>
      <xdr:rowOff>19050</xdr:rowOff>
    </xdr:to>
    <xdr:sp macro="" textlink="">
      <xdr:nvSpPr>
        <xdr:cNvPr id="1068395" name="Line 91">
          <a:extLst>
            <a:ext uri="{FF2B5EF4-FFF2-40B4-BE49-F238E27FC236}">
              <a16:creationId xmlns:a16="http://schemas.microsoft.com/office/drawing/2014/main" id="{00000000-0008-0000-0D00-00006B4D1000}"/>
            </a:ext>
          </a:extLst>
        </xdr:cNvPr>
        <xdr:cNvSpPr>
          <a:spLocks noChangeShapeType="1"/>
        </xdr:cNvSpPr>
      </xdr:nvSpPr>
      <xdr:spPr bwMode="auto">
        <a:xfrm>
          <a:off x="3405187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9525</xdr:colOff>
      <xdr:row>29</xdr:row>
      <xdr:rowOff>0</xdr:rowOff>
    </xdr:from>
    <xdr:to>
      <xdr:col>49</xdr:col>
      <xdr:colOff>66675</xdr:colOff>
      <xdr:row>29</xdr:row>
      <xdr:rowOff>9525</xdr:rowOff>
    </xdr:to>
    <xdr:sp macro="" textlink="">
      <xdr:nvSpPr>
        <xdr:cNvPr id="1068396" name="Line 92">
          <a:extLst>
            <a:ext uri="{FF2B5EF4-FFF2-40B4-BE49-F238E27FC236}">
              <a16:creationId xmlns:a16="http://schemas.microsoft.com/office/drawing/2014/main" id="{00000000-0008-0000-0D00-00006C4D1000}"/>
            </a:ext>
          </a:extLst>
        </xdr:cNvPr>
        <xdr:cNvSpPr>
          <a:spLocks noChangeShapeType="1"/>
        </xdr:cNvSpPr>
      </xdr:nvSpPr>
      <xdr:spPr bwMode="auto">
        <a:xfrm flipV="1">
          <a:off x="3399472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25</xdr:row>
      <xdr:rowOff>161925</xdr:rowOff>
    </xdr:from>
    <xdr:to>
      <xdr:col>50</xdr:col>
      <xdr:colOff>0</xdr:colOff>
      <xdr:row>27</xdr:row>
      <xdr:rowOff>47625</xdr:rowOff>
    </xdr:to>
    <xdr:sp macro="" textlink="">
      <xdr:nvSpPr>
        <xdr:cNvPr id="1068397" name="Line 93">
          <a:extLst>
            <a:ext uri="{FF2B5EF4-FFF2-40B4-BE49-F238E27FC236}">
              <a16:creationId xmlns:a16="http://schemas.microsoft.com/office/drawing/2014/main" id="{00000000-0008-0000-0D00-00006D4D1000}"/>
            </a:ext>
          </a:extLst>
        </xdr:cNvPr>
        <xdr:cNvSpPr>
          <a:spLocks noChangeShapeType="1"/>
        </xdr:cNvSpPr>
      </xdr:nvSpPr>
      <xdr:spPr bwMode="auto">
        <a:xfrm flipV="1">
          <a:off x="34051875" y="5286375"/>
          <a:ext cx="342900"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49</xdr:col>
      <xdr:colOff>0</xdr:colOff>
      <xdr:row>20</xdr:row>
      <xdr:rowOff>0</xdr:rowOff>
    </xdr:from>
    <xdr:to>
      <xdr:col>49</xdr:col>
      <xdr:colOff>76200</xdr:colOff>
      <xdr:row>20</xdr:row>
      <xdr:rowOff>9525</xdr:rowOff>
    </xdr:to>
    <xdr:sp macro="" textlink="">
      <xdr:nvSpPr>
        <xdr:cNvPr id="1068398" name="Line 94">
          <a:extLst>
            <a:ext uri="{FF2B5EF4-FFF2-40B4-BE49-F238E27FC236}">
              <a16:creationId xmlns:a16="http://schemas.microsoft.com/office/drawing/2014/main" id="{00000000-0008-0000-0D00-00006E4D1000}"/>
            </a:ext>
          </a:extLst>
        </xdr:cNvPr>
        <xdr:cNvSpPr>
          <a:spLocks noChangeShapeType="1"/>
        </xdr:cNvSpPr>
      </xdr:nvSpPr>
      <xdr:spPr bwMode="auto">
        <a:xfrm>
          <a:off x="339852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20</xdr:row>
      <xdr:rowOff>9525</xdr:rowOff>
    </xdr:from>
    <xdr:to>
      <xdr:col>49</xdr:col>
      <xdr:colOff>66675</xdr:colOff>
      <xdr:row>23</xdr:row>
      <xdr:rowOff>19050</xdr:rowOff>
    </xdr:to>
    <xdr:sp macro="" textlink="">
      <xdr:nvSpPr>
        <xdr:cNvPr id="1068399" name="Line 95">
          <a:extLst>
            <a:ext uri="{FF2B5EF4-FFF2-40B4-BE49-F238E27FC236}">
              <a16:creationId xmlns:a16="http://schemas.microsoft.com/office/drawing/2014/main" id="{00000000-0008-0000-0D00-00006F4D1000}"/>
            </a:ext>
          </a:extLst>
        </xdr:cNvPr>
        <xdr:cNvSpPr>
          <a:spLocks noChangeShapeType="1"/>
        </xdr:cNvSpPr>
      </xdr:nvSpPr>
      <xdr:spPr bwMode="auto">
        <a:xfrm>
          <a:off x="3405187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9525</xdr:colOff>
      <xdr:row>23</xdr:row>
      <xdr:rowOff>0</xdr:rowOff>
    </xdr:from>
    <xdr:to>
      <xdr:col>49</xdr:col>
      <xdr:colOff>66675</xdr:colOff>
      <xdr:row>23</xdr:row>
      <xdr:rowOff>9525</xdr:rowOff>
    </xdr:to>
    <xdr:sp macro="" textlink="">
      <xdr:nvSpPr>
        <xdr:cNvPr id="1068400" name="Line 96">
          <a:extLst>
            <a:ext uri="{FF2B5EF4-FFF2-40B4-BE49-F238E27FC236}">
              <a16:creationId xmlns:a16="http://schemas.microsoft.com/office/drawing/2014/main" id="{00000000-0008-0000-0D00-0000704D1000}"/>
            </a:ext>
          </a:extLst>
        </xdr:cNvPr>
        <xdr:cNvSpPr>
          <a:spLocks noChangeShapeType="1"/>
        </xdr:cNvSpPr>
      </xdr:nvSpPr>
      <xdr:spPr bwMode="auto">
        <a:xfrm flipV="1">
          <a:off x="339947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76200</xdr:colOff>
      <xdr:row>19</xdr:row>
      <xdr:rowOff>171450</xdr:rowOff>
    </xdr:from>
    <xdr:to>
      <xdr:col>50</xdr:col>
      <xdr:colOff>0</xdr:colOff>
      <xdr:row>21</xdr:row>
      <xdr:rowOff>47625</xdr:rowOff>
    </xdr:to>
    <xdr:sp macro="" textlink="">
      <xdr:nvSpPr>
        <xdr:cNvPr id="1068401" name="Line 97">
          <a:extLst>
            <a:ext uri="{FF2B5EF4-FFF2-40B4-BE49-F238E27FC236}">
              <a16:creationId xmlns:a16="http://schemas.microsoft.com/office/drawing/2014/main" id="{00000000-0008-0000-0D00-0000714D1000}"/>
            </a:ext>
          </a:extLst>
        </xdr:cNvPr>
        <xdr:cNvSpPr>
          <a:spLocks noChangeShapeType="1"/>
        </xdr:cNvSpPr>
      </xdr:nvSpPr>
      <xdr:spPr bwMode="auto">
        <a:xfrm flipV="1">
          <a:off x="34061400" y="4210050"/>
          <a:ext cx="333375"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49</xdr:col>
      <xdr:colOff>76200</xdr:colOff>
      <xdr:row>21</xdr:row>
      <xdr:rowOff>66675</xdr:rowOff>
    </xdr:from>
    <xdr:to>
      <xdr:col>50</xdr:col>
      <xdr:colOff>0</xdr:colOff>
      <xdr:row>23</xdr:row>
      <xdr:rowOff>28575</xdr:rowOff>
    </xdr:to>
    <xdr:sp macro="" textlink="">
      <xdr:nvSpPr>
        <xdr:cNvPr id="1068402" name="Line 98">
          <a:extLst>
            <a:ext uri="{FF2B5EF4-FFF2-40B4-BE49-F238E27FC236}">
              <a16:creationId xmlns:a16="http://schemas.microsoft.com/office/drawing/2014/main" id="{00000000-0008-0000-0D00-0000724D1000}"/>
            </a:ext>
          </a:extLst>
        </xdr:cNvPr>
        <xdr:cNvSpPr>
          <a:spLocks noChangeShapeType="1"/>
        </xdr:cNvSpPr>
      </xdr:nvSpPr>
      <xdr:spPr bwMode="auto">
        <a:xfrm>
          <a:off x="34061400" y="4467225"/>
          <a:ext cx="333375" cy="3238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49</xdr:col>
      <xdr:colOff>0</xdr:colOff>
      <xdr:row>8</xdr:row>
      <xdr:rowOff>0</xdr:rowOff>
    </xdr:from>
    <xdr:to>
      <xdr:col>49</xdr:col>
      <xdr:colOff>76200</xdr:colOff>
      <xdr:row>8</xdr:row>
      <xdr:rowOff>9525</xdr:rowOff>
    </xdr:to>
    <xdr:sp macro="" textlink="">
      <xdr:nvSpPr>
        <xdr:cNvPr id="1068403" name="Line 99">
          <a:extLst>
            <a:ext uri="{FF2B5EF4-FFF2-40B4-BE49-F238E27FC236}">
              <a16:creationId xmlns:a16="http://schemas.microsoft.com/office/drawing/2014/main" id="{00000000-0008-0000-0D00-0000734D1000}"/>
            </a:ext>
          </a:extLst>
        </xdr:cNvPr>
        <xdr:cNvSpPr>
          <a:spLocks noChangeShapeType="1"/>
        </xdr:cNvSpPr>
      </xdr:nvSpPr>
      <xdr:spPr bwMode="auto">
        <a:xfrm>
          <a:off x="339852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8</xdr:row>
      <xdr:rowOff>9525</xdr:rowOff>
    </xdr:from>
    <xdr:to>
      <xdr:col>49</xdr:col>
      <xdr:colOff>66675</xdr:colOff>
      <xdr:row>11</xdr:row>
      <xdr:rowOff>19050</xdr:rowOff>
    </xdr:to>
    <xdr:sp macro="" textlink="">
      <xdr:nvSpPr>
        <xdr:cNvPr id="1068404" name="Line 100">
          <a:extLst>
            <a:ext uri="{FF2B5EF4-FFF2-40B4-BE49-F238E27FC236}">
              <a16:creationId xmlns:a16="http://schemas.microsoft.com/office/drawing/2014/main" id="{00000000-0008-0000-0D00-0000744D1000}"/>
            </a:ext>
          </a:extLst>
        </xdr:cNvPr>
        <xdr:cNvSpPr>
          <a:spLocks noChangeShapeType="1"/>
        </xdr:cNvSpPr>
      </xdr:nvSpPr>
      <xdr:spPr bwMode="auto">
        <a:xfrm>
          <a:off x="340518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9525</xdr:colOff>
      <xdr:row>11</xdr:row>
      <xdr:rowOff>0</xdr:rowOff>
    </xdr:from>
    <xdr:to>
      <xdr:col>49</xdr:col>
      <xdr:colOff>66675</xdr:colOff>
      <xdr:row>11</xdr:row>
      <xdr:rowOff>9525</xdr:rowOff>
    </xdr:to>
    <xdr:sp macro="" textlink="">
      <xdr:nvSpPr>
        <xdr:cNvPr id="1068405" name="Line 101">
          <a:extLst>
            <a:ext uri="{FF2B5EF4-FFF2-40B4-BE49-F238E27FC236}">
              <a16:creationId xmlns:a16="http://schemas.microsoft.com/office/drawing/2014/main" id="{00000000-0008-0000-0D00-0000754D1000}"/>
            </a:ext>
          </a:extLst>
        </xdr:cNvPr>
        <xdr:cNvSpPr>
          <a:spLocks noChangeShapeType="1"/>
        </xdr:cNvSpPr>
      </xdr:nvSpPr>
      <xdr:spPr bwMode="auto">
        <a:xfrm flipV="1">
          <a:off x="339947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14</xdr:row>
      <xdr:rowOff>0</xdr:rowOff>
    </xdr:from>
    <xdr:to>
      <xdr:col>49</xdr:col>
      <xdr:colOff>76200</xdr:colOff>
      <xdr:row>14</xdr:row>
      <xdr:rowOff>9525</xdr:rowOff>
    </xdr:to>
    <xdr:sp macro="" textlink="">
      <xdr:nvSpPr>
        <xdr:cNvPr id="1068406" name="Line 105">
          <a:extLst>
            <a:ext uri="{FF2B5EF4-FFF2-40B4-BE49-F238E27FC236}">
              <a16:creationId xmlns:a16="http://schemas.microsoft.com/office/drawing/2014/main" id="{00000000-0008-0000-0D00-0000764D1000}"/>
            </a:ext>
          </a:extLst>
        </xdr:cNvPr>
        <xdr:cNvSpPr>
          <a:spLocks noChangeShapeType="1"/>
        </xdr:cNvSpPr>
      </xdr:nvSpPr>
      <xdr:spPr bwMode="auto">
        <a:xfrm>
          <a:off x="339852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14</xdr:row>
      <xdr:rowOff>9525</xdr:rowOff>
    </xdr:from>
    <xdr:to>
      <xdr:col>49</xdr:col>
      <xdr:colOff>66675</xdr:colOff>
      <xdr:row>17</xdr:row>
      <xdr:rowOff>19050</xdr:rowOff>
    </xdr:to>
    <xdr:sp macro="" textlink="">
      <xdr:nvSpPr>
        <xdr:cNvPr id="1068407" name="Line 106">
          <a:extLst>
            <a:ext uri="{FF2B5EF4-FFF2-40B4-BE49-F238E27FC236}">
              <a16:creationId xmlns:a16="http://schemas.microsoft.com/office/drawing/2014/main" id="{00000000-0008-0000-0D00-0000774D1000}"/>
            </a:ext>
          </a:extLst>
        </xdr:cNvPr>
        <xdr:cNvSpPr>
          <a:spLocks noChangeShapeType="1"/>
        </xdr:cNvSpPr>
      </xdr:nvSpPr>
      <xdr:spPr bwMode="auto">
        <a:xfrm>
          <a:off x="340518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9525</xdr:colOff>
      <xdr:row>17</xdr:row>
      <xdr:rowOff>0</xdr:rowOff>
    </xdr:from>
    <xdr:to>
      <xdr:col>49</xdr:col>
      <xdr:colOff>66675</xdr:colOff>
      <xdr:row>17</xdr:row>
      <xdr:rowOff>9525</xdr:rowOff>
    </xdr:to>
    <xdr:sp macro="" textlink="">
      <xdr:nvSpPr>
        <xdr:cNvPr id="1068408" name="Line 107">
          <a:extLst>
            <a:ext uri="{FF2B5EF4-FFF2-40B4-BE49-F238E27FC236}">
              <a16:creationId xmlns:a16="http://schemas.microsoft.com/office/drawing/2014/main" id="{00000000-0008-0000-0D00-0000784D1000}"/>
            </a:ext>
          </a:extLst>
        </xdr:cNvPr>
        <xdr:cNvSpPr>
          <a:spLocks noChangeShapeType="1"/>
        </xdr:cNvSpPr>
      </xdr:nvSpPr>
      <xdr:spPr bwMode="auto">
        <a:xfrm flipV="1">
          <a:off x="339947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13</xdr:row>
      <xdr:rowOff>161925</xdr:rowOff>
    </xdr:from>
    <xdr:to>
      <xdr:col>50</xdr:col>
      <xdr:colOff>0</xdr:colOff>
      <xdr:row>15</xdr:row>
      <xdr:rowOff>47625</xdr:rowOff>
    </xdr:to>
    <xdr:sp macro="" textlink="">
      <xdr:nvSpPr>
        <xdr:cNvPr id="1068409" name="Line 108">
          <a:extLst>
            <a:ext uri="{FF2B5EF4-FFF2-40B4-BE49-F238E27FC236}">
              <a16:creationId xmlns:a16="http://schemas.microsoft.com/office/drawing/2014/main" id="{00000000-0008-0000-0D00-0000794D1000}"/>
            </a:ext>
          </a:extLst>
        </xdr:cNvPr>
        <xdr:cNvSpPr>
          <a:spLocks noChangeShapeType="1"/>
        </xdr:cNvSpPr>
      </xdr:nvSpPr>
      <xdr:spPr bwMode="auto">
        <a:xfrm flipV="1">
          <a:off x="34051875" y="3114675"/>
          <a:ext cx="342900"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49</xdr:col>
      <xdr:colOff>76200</xdr:colOff>
      <xdr:row>15</xdr:row>
      <xdr:rowOff>66675</xdr:rowOff>
    </xdr:from>
    <xdr:to>
      <xdr:col>50</xdr:col>
      <xdr:colOff>0</xdr:colOff>
      <xdr:row>17</xdr:row>
      <xdr:rowOff>19050</xdr:rowOff>
    </xdr:to>
    <xdr:sp macro="" textlink="">
      <xdr:nvSpPr>
        <xdr:cNvPr id="1068410" name="Line 109">
          <a:extLst>
            <a:ext uri="{FF2B5EF4-FFF2-40B4-BE49-F238E27FC236}">
              <a16:creationId xmlns:a16="http://schemas.microsoft.com/office/drawing/2014/main" id="{00000000-0008-0000-0D00-00007A4D1000}"/>
            </a:ext>
          </a:extLst>
        </xdr:cNvPr>
        <xdr:cNvSpPr>
          <a:spLocks noChangeShapeType="1"/>
        </xdr:cNvSpPr>
      </xdr:nvSpPr>
      <xdr:spPr bwMode="auto">
        <a:xfrm>
          <a:off x="34061400" y="3381375"/>
          <a:ext cx="333375"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49</xdr:col>
      <xdr:colOff>0</xdr:colOff>
      <xdr:row>8</xdr:row>
      <xdr:rowOff>0</xdr:rowOff>
    </xdr:from>
    <xdr:to>
      <xdr:col>49</xdr:col>
      <xdr:colOff>76200</xdr:colOff>
      <xdr:row>8</xdr:row>
      <xdr:rowOff>9525</xdr:rowOff>
    </xdr:to>
    <xdr:sp macro="" textlink="">
      <xdr:nvSpPr>
        <xdr:cNvPr id="1068411" name="Line 110">
          <a:extLst>
            <a:ext uri="{FF2B5EF4-FFF2-40B4-BE49-F238E27FC236}">
              <a16:creationId xmlns:a16="http://schemas.microsoft.com/office/drawing/2014/main" id="{00000000-0008-0000-0D00-00007B4D1000}"/>
            </a:ext>
          </a:extLst>
        </xdr:cNvPr>
        <xdr:cNvSpPr>
          <a:spLocks noChangeShapeType="1"/>
        </xdr:cNvSpPr>
      </xdr:nvSpPr>
      <xdr:spPr bwMode="auto">
        <a:xfrm>
          <a:off x="339852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8</xdr:row>
      <xdr:rowOff>9525</xdr:rowOff>
    </xdr:from>
    <xdr:to>
      <xdr:col>49</xdr:col>
      <xdr:colOff>66675</xdr:colOff>
      <xdr:row>11</xdr:row>
      <xdr:rowOff>19050</xdr:rowOff>
    </xdr:to>
    <xdr:sp macro="" textlink="">
      <xdr:nvSpPr>
        <xdr:cNvPr id="1068412" name="Line 111">
          <a:extLst>
            <a:ext uri="{FF2B5EF4-FFF2-40B4-BE49-F238E27FC236}">
              <a16:creationId xmlns:a16="http://schemas.microsoft.com/office/drawing/2014/main" id="{00000000-0008-0000-0D00-00007C4D1000}"/>
            </a:ext>
          </a:extLst>
        </xdr:cNvPr>
        <xdr:cNvSpPr>
          <a:spLocks noChangeShapeType="1"/>
        </xdr:cNvSpPr>
      </xdr:nvSpPr>
      <xdr:spPr bwMode="auto">
        <a:xfrm>
          <a:off x="340518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9525</xdr:colOff>
      <xdr:row>11</xdr:row>
      <xdr:rowOff>0</xdr:rowOff>
    </xdr:from>
    <xdr:to>
      <xdr:col>49</xdr:col>
      <xdr:colOff>66675</xdr:colOff>
      <xdr:row>11</xdr:row>
      <xdr:rowOff>9525</xdr:rowOff>
    </xdr:to>
    <xdr:sp macro="" textlink="">
      <xdr:nvSpPr>
        <xdr:cNvPr id="1068413" name="Line 112">
          <a:extLst>
            <a:ext uri="{FF2B5EF4-FFF2-40B4-BE49-F238E27FC236}">
              <a16:creationId xmlns:a16="http://schemas.microsoft.com/office/drawing/2014/main" id="{00000000-0008-0000-0D00-00007D4D1000}"/>
            </a:ext>
          </a:extLst>
        </xdr:cNvPr>
        <xdr:cNvSpPr>
          <a:spLocks noChangeShapeType="1"/>
        </xdr:cNvSpPr>
      </xdr:nvSpPr>
      <xdr:spPr bwMode="auto">
        <a:xfrm flipV="1">
          <a:off x="339947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8</xdr:row>
      <xdr:rowOff>0</xdr:rowOff>
    </xdr:from>
    <xdr:to>
      <xdr:col>49</xdr:col>
      <xdr:colOff>76200</xdr:colOff>
      <xdr:row>8</xdr:row>
      <xdr:rowOff>9525</xdr:rowOff>
    </xdr:to>
    <xdr:sp macro="" textlink="">
      <xdr:nvSpPr>
        <xdr:cNvPr id="1068414" name="Line 113">
          <a:extLst>
            <a:ext uri="{FF2B5EF4-FFF2-40B4-BE49-F238E27FC236}">
              <a16:creationId xmlns:a16="http://schemas.microsoft.com/office/drawing/2014/main" id="{00000000-0008-0000-0D00-00007E4D1000}"/>
            </a:ext>
          </a:extLst>
        </xdr:cNvPr>
        <xdr:cNvSpPr>
          <a:spLocks noChangeShapeType="1"/>
        </xdr:cNvSpPr>
      </xdr:nvSpPr>
      <xdr:spPr bwMode="auto">
        <a:xfrm>
          <a:off x="339852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8</xdr:row>
      <xdr:rowOff>9525</xdr:rowOff>
    </xdr:from>
    <xdr:to>
      <xdr:col>49</xdr:col>
      <xdr:colOff>66675</xdr:colOff>
      <xdr:row>11</xdr:row>
      <xdr:rowOff>19050</xdr:rowOff>
    </xdr:to>
    <xdr:sp macro="" textlink="">
      <xdr:nvSpPr>
        <xdr:cNvPr id="1068415" name="Line 114">
          <a:extLst>
            <a:ext uri="{FF2B5EF4-FFF2-40B4-BE49-F238E27FC236}">
              <a16:creationId xmlns:a16="http://schemas.microsoft.com/office/drawing/2014/main" id="{00000000-0008-0000-0D00-00007F4D1000}"/>
            </a:ext>
          </a:extLst>
        </xdr:cNvPr>
        <xdr:cNvSpPr>
          <a:spLocks noChangeShapeType="1"/>
        </xdr:cNvSpPr>
      </xdr:nvSpPr>
      <xdr:spPr bwMode="auto">
        <a:xfrm>
          <a:off x="340518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9525</xdr:colOff>
      <xdr:row>11</xdr:row>
      <xdr:rowOff>0</xdr:rowOff>
    </xdr:from>
    <xdr:to>
      <xdr:col>49</xdr:col>
      <xdr:colOff>66675</xdr:colOff>
      <xdr:row>11</xdr:row>
      <xdr:rowOff>9525</xdr:rowOff>
    </xdr:to>
    <xdr:sp macro="" textlink="">
      <xdr:nvSpPr>
        <xdr:cNvPr id="1068416" name="Line 115">
          <a:extLst>
            <a:ext uri="{FF2B5EF4-FFF2-40B4-BE49-F238E27FC236}">
              <a16:creationId xmlns:a16="http://schemas.microsoft.com/office/drawing/2014/main" id="{00000000-0008-0000-0D00-0000804D1000}"/>
            </a:ext>
          </a:extLst>
        </xdr:cNvPr>
        <xdr:cNvSpPr>
          <a:spLocks noChangeShapeType="1"/>
        </xdr:cNvSpPr>
      </xdr:nvSpPr>
      <xdr:spPr bwMode="auto">
        <a:xfrm flipV="1">
          <a:off x="339947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76200</xdr:colOff>
      <xdr:row>8</xdr:row>
      <xdr:rowOff>0</xdr:rowOff>
    </xdr:from>
    <xdr:to>
      <xdr:col>49</xdr:col>
      <xdr:colOff>400050</xdr:colOff>
      <xdr:row>9</xdr:row>
      <xdr:rowOff>57150</xdr:rowOff>
    </xdr:to>
    <xdr:sp macro="" textlink="">
      <xdr:nvSpPr>
        <xdr:cNvPr id="1068417" name="Line 116">
          <a:extLst>
            <a:ext uri="{FF2B5EF4-FFF2-40B4-BE49-F238E27FC236}">
              <a16:creationId xmlns:a16="http://schemas.microsoft.com/office/drawing/2014/main" id="{00000000-0008-0000-0D00-0000814D1000}"/>
            </a:ext>
          </a:extLst>
        </xdr:cNvPr>
        <xdr:cNvSpPr>
          <a:spLocks noChangeShapeType="1"/>
        </xdr:cNvSpPr>
      </xdr:nvSpPr>
      <xdr:spPr bwMode="auto">
        <a:xfrm flipV="1">
          <a:off x="34061400" y="2047875"/>
          <a:ext cx="3238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49</xdr:col>
      <xdr:colOff>76200</xdr:colOff>
      <xdr:row>9</xdr:row>
      <xdr:rowOff>66675</xdr:rowOff>
    </xdr:from>
    <xdr:to>
      <xdr:col>50</xdr:col>
      <xdr:colOff>0</xdr:colOff>
      <xdr:row>11</xdr:row>
      <xdr:rowOff>19050</xdr:rowOff>
    </xdr:to>
    <xdr:sp macro="" textlink="">
      <xdr:nvSpPr>
        <xdr:cNvPr id="1068418" name="Line 117">
          <a:extLst>
            <a:ext uri="{FF2B5EF4-FFF2-40B4-BE49-F238E27FC236}">
              <a16:creationId xmlns:a16="http://schemas.microsoft.com/office/drawing/2014/main" id="{00000000-0008-0000-0D00-0000824D1000}"/>
            </a:ext>
          </a:extLst>
        </xdr:cNvPr>
        <xdr:cNvSpPr>
          <a:spLocks noChangeShapeType="1"/>
        </xdr:cNvSpPr>
      </xdr:nvSpPr>
      <xdr:spPr bwMode="auto">
        <a:xfrm>
          <a:off x="34061400" y="2295525"/>
          <a:ext cx="333375"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14</xdr:row>
      <xdr:rowOff>0</xdr:rowOff>
    </xdr:from>
    <xdr:to>
      <xdr:col>46</xdr:col>
      <xdr:colOff>76200</xdr:colOff>
      <xdr:row>14</xdr:row>
      <xdr:rowOff>9525</xdr:rowOff>
    </xdr:to>
    <xdr:sp macro="" textlink="">
      <xdr:nvSpPr>
        <xdr:cNvPr id="1068419" name="Line 126">
          <a:extLst>
            <a:ext uri="{FF2B5EF4-FFF2-40B4-BE49-F238E27FC236}">
              <a16:creationId xmlns:a16="http://schemas.microsoft.com/office/drawing/2014/main" id="{00000000-0008-0000-0D00-0000834D1000}"/>
            </a:ext>
          </a:extLst>
        </xdr:cNvPr>
        <xdr:cNvSpPr>
          <a:spLocks noChangeShapeType="1"/>
        </xdr:cNvSpPr>
      </xdr:nvSpPr>
      <xdr:spPr bwMode="auto">
        <a:xfrm>
          <a:off x="318897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66675</xdr:colOff>
      <xdr:row>14</xdr:row>
      <xdr:rowOff>9525</xdr:rowOff>
    </xdr:from>
    <xdr:to>
      <xdr:col>46</xdr:col>
      <xdr:colOff>66675</xdr:colOff>
      <xdr:row>17</xdr:row>
      <xdr:rowOff>19050</xdr:rowOff>
    </xdr:to>
    <xdr:sp macro="" textlink="">
      <xdr:nvSpPr>
        <xdr:cNvPr id="1068420" name="Line 127">
          <a:extLst>
            <a:ext uri="{FF2B5EF4-FFF2-40B4-BE49-F238E27FC236}">
              <a16:creationId xmlns:a16="http://schemas.microsoft.com/office/drawing/2014/main" id="{00000000-0008-0000-0D00-0000844D1000}"/>
            </a:ext>
          </a:extLst>
        </xdr:cNvPr>
        <xdr:cNvSpPr>
          <a:spLocks noChangeShapeType="1"/>
        </xdr:cNvSpPr>
      </xdr:nvSpPr>
      <xdr:spPr bwMode="auto">
        <a:xfrm>
          <a:off x="319563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17</xdr:row>
      <xdr:rowOff>0</xdr:rowOff>
    </xdr:from>
    <xdr:to>
      <xdr:col>46</xdr:col>
      <xdr:colOff>66675</xdr:colOff>
      <xdr:row>17</xdr:row>
      <xdr:rowOff>9525</xdr:rowOff>
    </xdr:to>
    <xdr:sp macro="" textlink="">
      <xdr:nvSpPr>
        <xdr:cNvPr id="1068421" name="Line 128">
          <a:extLst>
            <a:ext uri="{FF2B5EF4-FFF2-40B4-BE49-F238E27FC236}">
              <a16:creationId xmlns:a16="http://schemas.microsoft.com/office/drawing/2014/main" id="{00000000-0008-0000-0D00-0000854D1000}"/>
            </a:ext>
          </a:extLst>
        </xdr:cNvPr>
        <xdr:cNvSpPr>
          <a:spLocks noChangeShapeType="1"/>
        </xdr:cNvSpPr>
      </xdr:nvSpPr>
      <xdr:spPr bwMode="auto">
        <a:xfrm flipV="1">
          <a:off x="318992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0</xdr:colOff>
      <xdr:row>20</xdr:row>
      <xdr:rowOff>0</xdr:rowOff>
    </xdr:from>
    <xdr:to>
      <xdr:col>46</xdr:col>
      <xdr:colOff>76200</xdr:colOff>
      <xdr:row>20</xdr:row>
      <xdr:rowOff>9525</xdr:rowOff>
    </xdr:to>
    <xdr:sp macro="" textlink="">
      <xdr:nvSpPr>
        <xdr:cNvPr id="1068422" name="Line 129">
          <a:extLst>
            <a:ext uri="{FF2B5EF4-FFF2-40B4-BE49-F238E27FC236}">
              <a16:creationId xmlns:a16="http://schemas.microsoft.com/office/drawing/2014/main" id="{00000000-0008-0000-0D00-0000864D1000}"/>
            </a:ext>
          </a:extLst>
        </xdr:cNvPr>
        <xdr:cNvSpPr>
          <a:spLocks noChangeShapeType="1"/>
        </xdr:cNvSpPr>
      </xdr:nvSpPr>
      <xdr:spPr bwMode="auto">
        <a:xfrm>
          <a:off x="318897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66675</xdr:colOff>
      <xdr:row>20</xdr:row>
      <xdr:rowOff>9525</xdr:rowOff>
    </xdr:from>
    <xdr:to>
      <xdr:col>46</xdr:col>
      <xdr:colOff>66675</xdr:colOff>
      <xdr:row>23</xdr:row>
      <xdr:rowOff>19050</xdr:rowOff>
    </xdr:to>
    <xdr:sp macro="" textlink="">
      <xdr:nvSpPr>
        <xdr:cNvPr id="1068423" name="Line 130">
          <a:extLst>
            <a:ext uri="{FF2B5EF4-FFF2-40B4-BE49-F238E27FC236}">
              <a16:creationId xmlns:a16="http://schemas.microsoft.com/office/drawing/2014/main" id="{00000000-0008-0000-0D00-0000874D1000}"/>
            </a:ext>
          </a:extLst>
        </xdr:cNvPr>
        <xdr:cNvSpPr>
          <a:spLocks noChangeShapeType="1"/>
        </xdr:cNvSpPr>
      </xdr:nvSpPr>
      <xdr:spPr bwMode="auto">
        <a:xfrm>
          <a:off x="3195637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23</xdr:row>
      <xdr:rowOff>0</xdr:rowOff>
    </xdr:from>
    <xdr:to>
      <xdr:col>46</xdr:col>
      <xdr:colOff>66675</xdr:colOff>
      <xdr:row>23</xdr:row>
      <xdr:rowOff>9525</xdr:rowOff>
    </xdr:to>
    <xdr:sp macro="" textlink="">
      <xdr:nvSpPr>
        <xdr:cNvPr id="1068424" name="Line 131">
          <a:extLst>
            <a:ext uri="{FF2B5EF4-FFF2-40B4-BE49-F238E27FC236}">
              <a16:creationId xmlns:a16="http://schemas.microsoft.com/office/drawing/2014/main" id="{00000000-0008-0000-0D00-0000884D1000}"/>
            </a:ext>
          </a:extLst>
        </xdr:cNvPr>
        <xdr:cNvSpPr>
          <a:spLocks noChangeShapeType="1"/>
        </xdr:cNvSpPr>
      </xdr:nvSpPr>
      <xdr:spPr bwMode="auto">
        <a:xfrm flipV="1">
          <a:off x="318992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66675</xdr:colOff>
      <xdr:row>16</xdr:row>
      <xdr:rowOff>171450</xdr:rowOff>
    </xdr:from>
    <xdr:to>
      <xdr:col>47</xdr:col>
      <xdr:colOff>0</xdr:colOff>
      <xdr:row>21</xdr:row>
      <xdr:rowOff>47625</xdr:rowOff>
    </xdr:to>
    <xdr:sp macro="" textlink="">
      <xdr:nvSpPr>
        <xdr:cNvPr id="1068425" name="Line 132">
          <a:extLst>
            <a:ext uri="{FF2B5EF4-FFF2-40B4-BE49-F238E27FC236}">
              <a16:creationId xmlns:a16="http://schemas.microsoft.com/office/drawing/2014/main" id="{00000000-0008-0000-0D00-0000894D1000}"/>
            </a:ext>
          </a:extLst>
        </xdr:cNvPr>
        <xdr:cNvSpPr>
          <a:spLocks noChangeShapeType="1"/>
        </xdr:cNvSpPr>
      </xdr:nvSpPr>
      <xdr:spPr bwMode="auto">
        <a:xfrm flipV="1">
          <a:off x="31956375" y="3667125"/>
          <a:ext cx="342900" cy="781050"/>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66675</xdr:colOff>
      <xdr:row>15</xdr:row>
      <xdr:rowOff>95250</xdr:rowOff>
    </xdr:from>
    <xdr:to>
      <xdr:col>47</xdr:col>
      <xdr:colOff>0</xdr:colOff>
      <xdr:row>20</xdr:row>
      <xdr:rowOff>28575</xdr:rowOff>
    </xdr:to>
    <xdr:sp macro="" textlink="">
      <xdr:nvSpPr>
        <xdr:cNvPr id="1068426" name="Line 133">
          <a:extLst>
            <a:ext uri="{FF2B5EF4-FFF2-40B4-BE49-F238E27FC236}">
              <a16:creationId xmlns:a16="http://schemas.microsoft.com/office/drawing/2014/main" id="{00000000-0008-0000-0D00-00008A4D1000}"/>
            </a:ext>
          </a:extLst>
        </xdr:cNvPr>
        <xdr:cNvSpPr>
          <a:spLocks noChangeShapeType="1"/>
        </xdr:cNvSpPr>
      </xdr:nvSpPr>
      <xdr:spPr bwMode="auto">
        <a:xfrm>
          <a:off x="31956375" y="3409950"/>
          <a:ext cx="342900" cy="8382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26</xdr:row>
      <xdr:rowOff>0</xdr:rowOff>
    </xdr:from>
    <xdr:to>
      <xdr:col>46</xdr:col>
      <xdr:colOff>76200</xdr:colOff>
      <xdr:row>26</xdr:row>
      <xdr:rowOff>9525</xdr:rowOff>
    </xdr:to>
    <xdr:sp macro="" textlink="">
      <xdr:nvSpPr>
        <xdr:cNvPr id="1068427" name="Line 134">
          <a:extLst>
            <a:ext uri="{FF2B5EF4-FFF2-40B4-BE49-F238E27FC236}">
              <a16:creationId xmlns:a16="http://schemas.microsoft.com/office/drawing/2014/main" id="{00000000-0008-0000-0D00-00008B4D1000}"/>
            </a:ext>
          </a:extLst>
        </xdr:cNvPr>
        <xdr:cNvSpPr>
          <a:spLocks noChangeShapeType="1"/>
        </xdr:cNvSpPr>
      </xdr:nvSpPr>
      <xdr:spPr bwMode="auto">
        <a:xfrm>
          <a:off x="3188970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66675</xdr:colOff>
      <xdr:row>26</xdr:row>
      <xdr:rowOff>9525</xdr:rowOff>
    </xdr:from>
    <xdr:to>
      <xdr:col>46</xdr:col>
      <xdr:colOff>66675</xdr:colOff>
      <xdr:row>29</xdr:row>
      <xdr:rowOff>19050</xdr:rowOff>
    </xdr:to>
    <xdr:sp macro="" textlink="">
      <xdr:nvSpPr>
        <xdr:cNvPr id="1068428" name="Line 135">
          <a:extLst>
            <a:ext uri="{FF2B5EF4-FFF2-40B4-BE49-F238E27FC236}">
              <a16:creationId xmlns:a16="http://schemas.microsoft.com/office/drawing/2014/main" id="{00000000-0008-0000-0D00-00008C4D1000}"/>
            </a:ext>
          </a:extLst>
        </xdr:cNvPr>
        <xdr:cNvSpPr>
          <a:spLocks noChangeShapeType="1"/>
        </xdr:cNvSpPr>
      </xdr:nvSpPr>
      <xdr:spPr bwMode="auto">
        <a:xfrm>
          <a:off x="3195637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29</xdr:row>
      <xdr:rowOff>0</xdr:rowOff>
    </xdr:from>
    <xdr:to>
      <xdr:col>46</xdr:col>
      <xdr:colOff>66675</xdr:colOff>
      <xdr:row>29</xdr:row>
      <xdr:rowOff>9525</xdr:rowOff>
    </xdr:to>
    <xdr:sp macro="" textlink="">
      <xdr:nvSpPr>
        <xdr:cNvPr id="1068429" name="Line 136">
          <a:extLst>
            <a:ext uri="{FF2B5EF4-FFF2-40B4-BE49-F238E27FC236}">
              <a16:creationId xmlns:a16="http://schemas.microsoft.com/office/drawing/2014/main" id="{00000000-0008-0000-0D00-00008D4D1000}"/>
            </a:ext>
          </a:extLst>
        </xdr:cNvPr>
        <xdr:cNvSpPr>
          <a:spLocks noChangeShapeType="1"/>
        </xdr:cNvSpPr>
      </xdr:nvSpPr>
      <xdr:spPr bwMode="auto">
        <a:xfrm flipV="1">
          <a:off x="3189922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0</xdr:colOff>
      <xdr:row>32</xdr:row>
      <xdr:rowOff>0</xdr:rowOff>
    </xdr:from>
    <xdr:to>
      <xdr:col>46</xdr:col>
      <xdr:colOff>76200</xdr:colOff>
      <xdr:row>32</xdr:row>
      <xdr:rowOff>9525</xdr:rowOff>
    </xdr:to>
    <xdr:sp macro="" textlink="">
      <xdr:nvSpPr>
        <xdr:cNvPr id="1068430" name="Line 137">
          <a:extLst>
            <a:ext uri="{FF2B5EF4-FFF2-40B4-BE49-F238E27FC236}">
              <a16:creationId xmlns:a16="http://schemas.microsoft.com/office/drawing/2014/main" id="{00000000-0008-0000-0D00-00008E4D1000}"/>
            </a:ext>
          </a:extLst>
        </xdr:cNvPr>
        <xdr:cNvSpPr>
          <a:spLocks noChangeShapeType="1"/>
        </xdr:cNvSpPr>
      </xdr:nvSpPr>
      <xdr:spPr bwMode="auto">
        <a:xfrm>
          <a:off x="318897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35</xdr:row>
      <xdr:rowOff>0</xdr:rowOff>
    </xdr:from>
    <xdr:to>
      <xdr:col>46</xdr:col>
      <xdr:colOff>66675</xdr:colOff>
      <xdr:row>35</xdr:row>
      <xdr:rowOff>9525</xdr:rowOff>
    </xdr:to>
    <xdr:sp macro="" textlink="">
      <xdr:nvSpPr>
        <xdr:cNvPr id="1068431" name="Line 139">
          <a:extLst>
            <a:ext uri="{FF2B5EF4-FFF2-40B4-BE49-F238E27FC236}">
              <a16:creationId xmlns:a16="http://schemas.microsoft.com/office/drawing/2014/main" id="{00000000-0008-0000-0D00-00008F4D1000}"/>
            </a:ext>
          </a:extLst>
        </xdr:cNvPr>
        <xdr:cNvSpPr>
          <a:spLocks noChangeShapeType="1"/>
        </xdr:cNvSpPr>
      </xdr:nvSpPr>
      <xdr:spPr bwMode="auto">
        <a:xfrm flipV="1">
          <a:off x="318992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76200</xdr:colOff>
      <xdr:row>29</xdr:row>
      <xdr:rowOff>0</xdr:rowOff>
    </xdr:from>
    <xdr:to>
      <xdr:col>47</xdr:col>
      <xdr:colOff>0</xdr:colOff>
      <xdr:row>33</xdr:row>
      <xdr:rowOff>66675</xdr:rowOff>
    </xdr:to>
    <xdr:sp macro="" textlink="">
      <xdr:nvSpPr>
        <xdr:cNvPr id="1068432" name="Line 140">
          <a:extLst>
            <a:ext uri="{FF2B5EF4-FFF2-40B4-BE49-F238E27FC236}">
              <a16:creationId xmlns:a16="http://schemas.microsoft.com/office/drawing/2014/main" id="{00000000-0008-0000-0D00-0000904D1000}"/>
            </a:ext>
          </a:extLst>
        </xdr:cNvPr>
        <xdr:cNvSpPr>
          <a:spLocks noChangeShapeType="1"/>
        </xdr:cNvSpPr>
      </xdr:nvSpPr>
      <xdr:spPr bwMode="auto">
        <a:xfrm flipV="1">
          <a:off x="31965900" y="5848350"/>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66675</xdr:colOff>
      <xdr:row>27</xdr:row>
      <xdr:rowOff>104775</xdr:rowOff>
    </xdr:from>
    <xdr:to>
      <xdr:col>47</xdr:col>
      <xdr:colOff>0</xdr:colOff>
      <xdr:row>31</xdr:row>
      <xdr:rowOff>161925</xdr:rowOff>
    </xdr:to>
    <xdr:sp macro="" textlink="">
      <xdr:nvSpPr>
        <xdr:cNvPr id="1068433" name="Line 141">
          <a:extLst>
            <a:ext uri="{FF2B5EF4-FFF2-40B4-BE49-F238E27FC236}">
              <a16:creationId xmlns:a16="http://schemas.microsoft.com/office/drawing/2014/main" id="{00000000-0008-0000-0D00-0000914D1000}"/>
            </a:ext>
          </a:extLst>
        </xdr:cNvPr>
        <xdr:cNvSpPr>
          <a:spLocks noChangeShapeType="1"/>
        </xdr:cNvSpPr>
      </xdr:nvSpPr>
      <xdr:spPr bwMode="auto">
        <a:xfrm>
          <a:off x="31956375" y="5591175"/>
          <a:ext cx="342900" cy="7810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66675</xdr:colOff>
      <xdr:row>7</xdr:row>
      <xdr:rowOff>133350</xdr:rowOff>
    </xdr:from>
    <xdr:to>
      <xdr:col>44</xdr:col>
      <xdr:colOff>0</xdr:colOff>
      <xdr:row>9</xdr:row>
      <xdr:rowOff>66675</xdr:rowOff>
    </xdr:to>
    <xdr:sp macro="" textlink="">
      <xdr:nvSpPr>
        <xdr:cNvPr id="1068434" name="Line 146">
          <a:extLst>
            <a:ext uri="{FF2B5EF4-FFF2-40B4-BE49-F238E27FC236}">
              <a16:creationId xmlns:a16="http://schemas.microsoft.com/office/drawing/2014/main" id="{00000000-0008-0000-0D00-0000924D1000}"/>
            </a:ext>
          </a:extLst>
        </xdr:cNvPr>
        <xdr:cNvSpPr>
          <a:spLocks noChangeShapeType="1"/>
        </xdr:cNvSpPr>
      </xdr:nvSpPr>
      <xdr:spPr bwMode="auto">
        <a:xfrm flipV="1">
          <a:off x="29794200" y="2000250"/>
          <a:ext cx="38100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66675</xdr:colOff>
      <xdr:row>9</xdr:row>
      <xdr:rowOff>66675</xdr:rowOff>
    </xdr:from>
    <xdr:to>
      <xdr:col>44</xdr:col>
      <xdr:colOff>19050</xdr:colOff>
      <xdr:row>13</xdr:row>
      <xdr:rowOff>0</xdr:rowOff>
    </xdr:to>
    <xdr:sp macro="" textlink="">
      <xdr:nvSpPr>
        <xdr:cNvPr id="1068435" name="Line 147">
          <a:extLst>
            <a:ext uri="{FF2B5EF4-FFF2-40B4-BE49-F238E27FC236}">
              <a16:creationId xmlns:a16="http://schemas.microsoft.com/office/drawing/2014/main" id="{00000000-0008-0000-0D00-0000934D1000}"/>
            </a:ext>
          </a:extLst>
        </xdr:cNvPr>
        <xdr:cNvSpPr>
          <a:spLocks noChangeShapeType="1"/>
        </xdr:cNvSpPr>
      </xdr:nvSpPr>
      <xdr:spPr bwMode="auto">
        <a:xfrm>
          <a:off x="29794200" y="2295525"/>
          <a:ext cx="400050" cy="657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66675</xdr:colOff>
      <xdr:row>11</xdr:row>
      <xdr:rowOff>28575</xdr:rowOff>
    </xdr:from>
    <xdr:to>
      <xdr:col>43</xdr:col>
      <xdr:colOff>438150</xdr:colOff>
      <xdr:row>15</xdr:row>
      <xdr:rowOff>85725</xdr:rowOff>
    </xdr:to>
    <xdr:sp macro="" textlink="">
      <xdr:nvSpPr>
        <xdr:cNvPr id="1068436" name="Line 150">
          <a:extLst>
            <a:ext uri="{FF2B5EF4-FFF2-40B4-BE49-F238E27FC236}">
              <a16:creationId xmlns:a16="http://schemas.microsoft.com/office/drawing/2014/main" id="{00000000-0008-0000-0D00-0000944D1000}"/>
            </a:ext>
          </a:extLst>
        </xdr:cNvPr>
        <xdr:cNvSpPr>
          <a:spLocks noChangeShapeType="1"/>
        </xdr:cNvSpPr>
      </xdr:nvSpPr>
      <xdr:spPr bwMode="auto">
        <a:xfrm flipV="1">
          <a:off x="29794200" y="2619375"/>
          <a:ext cx="371475" cy="781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76200</xdr:colOff>
      <xdr:row>15</xdr:row>
      <xdr:rowOff>95250</xdr:rowOff>
    </xdr:from>
    <xdr:to>
      <xdr:col>44</xdr:col>
      <xdr:colOff>0</xdr:colOff>
      <xdr:row>20</xdr:row>
      <xdr:rowOff>66675</xdr:rowOff>
    </xdr:to>
    <xdr:sp macro="" textlink="">
      <xdr:nvSpPr>
        <xdr:cNvPr id="1068437" name="Line 151">
          <a:extLst>
            <a:ext uri="{FF2B5EF4-FFF2-40B4-BE49-F238E27FC236}">
              <a16:creationId xmlns:a16="http://schemas.microsoft.com/office/drawing/2014/main" id="{00000000-0008-0000-0D00-0000954D1000}"/>
            </a:ext>
          </a:extLst>
        </xdr:cNvPr>
        <xdr:cNvSpPr>
          <a:spLocks noChangeShapeType="1"/>
        </xdr:cNvSpPr>
      </xdr:nvSpPr>
      <xdr:spPr bwMode="auto">
        <a:xfrm>
          <a:off x="29803725" y="3409950"/>
          <a:ext cx="371475"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76200</xdr:colOff>
      <xdr:row>16</xdr:row>
      <xdr:rowOff>142875</xdr:rowOff>
    </xdr:from>
    <xdr:to>
      <xdr:col>44</xdr:col>
      <xdr:colOff>9525</xdr:colOff>
      <xdr:row>21</xdr:row>
      <xdr:rowOff>76200</xdr:rowOff>
    </xdr:to>
    <xdr:sp macro="" textlink="">
      <xdr:nvSpPr>
        <xdr:cNvPr id="1068438" name="Line 152">
          <a:extLst>
            <a:ext uri="{FF2B5EF4-FFF2-40B4-BE49-F238E27FC236}">
              <a16:creationId xmlns:a16="http://schemas.microsoft.com/office/drawing/2014/main" id="{00000000-0008-0000-0D00-0000964D1000}"/>
            </a:ext>
          </a:extLst>
        </xdr:cNvPr>
        <xdr:cNvSpPr>
          <a:spLocks noChangeShapeType="1"/>
        </xdr:cNvSpPr>
      </xdr:nvSpPr>
      <xdr:spPr bwMode="auto">
        <a:xfrm flipV="1">
          <a:off x="29803725" y="3638550"/>
          <a:ext cx="381000"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xdr:colOff>
      <xdr:row>21</xdr:row>
      <xdr:rowOff>76200</xdr:rowOff>
    </xdr:from>
    <xdr:to>
      <xdr:col>43</xdr:col>
      <xdr:colOff>438150</xdr:colOff>
      <xdr:row>25</xdr:row>
      <xdr:rowOff>161925</xdr:rowOff>
    </xdr:to>
    <xdr:sp macro="" textlink="">
      <xdr:nvSpPr>
        <xdr:cNvPr id="1068439" name="Line 153">
          <a:extLst>
            <a:ext uri="{FF2B5EF4-FFF2-40B4-BE49-F238E27FC236}">
              <a16:creationId xmlns:a16="http://schemas.microsoft.com/office/drawing/2014/main" id="{00000000-0008-0000-0D00-0000974D1000}"/>
            </a:ext>
          </a:extLst>
        </xdr:cNvPr>
        <xdr:cNvSpPr>
          <a:spLocks noChangeShapeType="1"/>
        </xdr:cNvSpPr>
      </xdr:nvSpPr>
      <xdr:spPr bwMode="auto">
        <a:xfrm>
          <a:off x="29813250" y="4476750"/>
          <a:ext cx="352425" cy="809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57150</xdr:colOff>
      <xdr:row>22</xdr:row>
      <xdr:rowOff>104775</xdr:rowOff>
    </xdr:from>
    <xdr:to>
      <xdr:col>44</xdr:col>
      <xdr:colOff>9525</xdr:colOff>
      <xdr:row>27</xdr:row>
      <xdr:rowOff>57150</xdr:rowOff>
    </xdr:to>
    <xdr:sp macro="" textlink="">
      <xdr:nvSpPr>
        <xdr:cNvPr id="1068440" name="Line 154">
          <a:extLst>
            <a:ext uri="{FF2B5EF4-FFF2-40B4-BE49-F238E27FC236}">
              <a16:creationId xmlns:a16="http://schemas.microsoft.com/office/drawing/2014/main" id="{00000000-0008-0000-0D00-0000984D1000}"/>
            </a:ext>
          </a:extLst>
        </xdr:cNvPr>
        <xdr:cNvSpPr>
          <a:spLocks noChangeShapeType="1"/>
        </xdr:cNvSpPr>
      </xdr:nvSpPr>
      <xdr:spPr bwMode="auto">
        <a:xfrm flipV="1">
          <a:off x="29784675" y="4686300"/>
          <a:ext cx="400050" cy="857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57150</xdr:colOff>
      <xdr:row>27</xdr:row>
      <xdr:rowOff>38100</xdr:rowOff>
    </xdr:from>
    <xdr:to>
      <xdr:col>44</xdr:col>
      <xdr:colOff>0</xdr:colOff>
      <xdr:row>32</xdr:row>
      <xdr:rowOff>9525</xdr:rowOff>
    </xdr:to>
    <xdr:sp macro="" textlink="">
      <xdr:nvSpPr>
        <xdr:cNvPr id="1068441" name="Line 155">
          <a:extLst>
            <a:ext uri="{FF2B5EF4-FFF2-40B4-BE49-F238E27FC236}">
              <a16:creationId xmlns:a16="http://schemas.microsoft.com/office/drawing/2014/main" id="{00000000-0008-0000-0D00-0000994D1000}"/>
            </a:ext>
          </a:extLst>
        </xdr:cNvPr>
        <xdr:cNvSpPr>
          <a:spLocks noChangeShapeType="1"/>
        </xdr:cNvSpPr>
      </xdr:nvSpPr>
      <xdr:spPr bwMode="auto">
        <a:xfrm>
          <a:off x="29784675" y="5524500"/>
          <a:ext cx="390525"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57150</xdr:colOff>
      <xdr:row>28</xdr:row>
      <xdr:rowOff>152400</xdr:rowOff>
    </xdr:from>
    <xdr:to>
      <xdr:col>44</xdr:col>
      <xdr:colOff>9525</xdr:colOff>
      <xdr:row>33</xdr:row>
      <xdr:rowOff>104775</xdr:rowOff>
    </xdr:to>
    <xdr:sp macro="" textlink="">
      <xdr:nvSpPr>
        <xdr:cNvPr id="1068442" name="Line 156">
          <a:extLst>
            <a:ext uri="{FF2B5EF4-FFF2-40B4-BE49-F238E27FC236}">
              <a16:creationId xmlns:a16="http://schemas.microsoft.com/office/drawing/2014/main" id="{00000000-0008-0000-0D00-00009A4D1000}"/>
            </a:ext>
          </a:extLst>
        </xdr:cNvPr>
        <xdr:cNvSpPr>
          <a:spLocks noChangeShapeType="1"/>
        </xdr:cNvSpPr>
      </xdr:nvSpPr>
      <xdr:spPr bwMode="auto">
        <a:xfrm flipV="1">
          <a:off x="29784675" y="5819775"/>
          <a:ext cx="400050" cy="857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57150</xdr:colOff>
      <xdr:row>33</xdr:row>
      <xdr:rowOff>104775</xdr:rowOff>
    </xdr:from>
    <xdr:to>
      <xdr:col>44</xdr:col>
      <xdr:colOff>0</xdr:colOff>
      <xdr:row>37</xdr:row>
      <xdr:rowOff>171450</xdr:rowOff>
    </xdr:to>
    <xdr:sp macro="" textlink="">
      <xdr:nvSpPr>
        <xdr:cNvPr id="1068443" name="Line 158">
          <a:extLst>
            <a:ext uri="{FF2B5EF4-FFF2-40B4-BE49-F238E27FC236}">
              <a16:creationId xmlns:a16="http://schemas.microsoft.com/office/drawing/2014/main" id="{00000000-0008-0000-0D00-00009B4D1000}"/>
            </a:ext>
          </a:extLst>
        </xdr:cNvPr>
        <xdr:cNvSpPr>
          <a:spLocks noChangeShapeType="1"/>
        </xdr:cNvSpPr>
      </xdr:nvSpPr>
      <xdr:spPr bwMode="auto">
        <a:xfrm>
          <a:off x="29784675" y="6677025"/>
          <a:ext cx="390525" cy="7905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66675</xdr:colOff>
      <xdr:row>11</xdr:row>
      <xdr:rowOff>57150</xdr:rowOff>
    </xdr:from>
    <xdr:to>
      <xdr:col>47</xdr:col>
      <xdr:colOff>0</xdr:colOff>
      <xdr:row>15</xdr:row>
      <xdr:rowOff>104775</xdr:rowOff>
    </xdr:to>
    <xdr:sp macro="" textlink="">
      <xdr:nvSpPr>
        <xdr:cNvPr id="1068444" name="Line 163">
          <a:extLst>
            <a:ext uri="{FF2B5EF4-FFF2-40B4-BE49-F238E27FC236}">
              <a16:creationId xmlns:a16="http://schemas.microsoft.com/office/drawing/2014/main" id="{00000000-0008-0000-0D00-00009C4D1000}"/>
            </a:ext>
          </a:extLst>
        </xdr:cNvPr>
        <xdr:cNvSpPr>
          <a:spLocks noChangeShapeType="1"/>
        </xdr:cNvSpPr>
      </xdr:nvSpPr>
      <xdr:spPr bwMode="auto">
        <a:xfrm flipV="1">
          <a:off x="31956375" y="2647950"/>
          <a:ext cx="342900" cy="7715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76200</xdr:colOff>
      <xdr:row>21</xdr:row>
      <xdr:rowOff>76200</xdr:rowOff>
    </xdr:from>
    <xdr:to>
      <xdr:col>47</xdr:col>
      <xdr:colOff>0</xdr:colOff>
      <xdr:row>26</xdr:row>
      <xdr:rowOff>9525</xdr:rowOff>
    </xdr:to>
    <xdr:sp macro="" textlink="">
      <xdr:nvSpPr>
        <xdr:cNvPr id="1068445" name="Line 164">
          <a:extLst>
            <a:ext uri="{FF2B5EF4-FFF2-40B4-BE49-F238E27FC236}">
              <a16:creationId xmlns:a16="http://schemas.microsoft.com/office/drawing/2014/main" id="{00000000-0008-0000-0D00-00009D4D1000}"/>
            </a:ext>
          </a:extLst>
        </xdr:cNvPr>
        <xdr:cNvSpPr>
          <a:spLocks noChangeShapeType="1"/>
        </xdr:cNvSpPr>
      </xdr:nvSpPr>
      <xdr:spPr bwMode="auto">
        <a:xfrm>
          <a:off x="31965900" y="4476750"/>
          <a:ext cx="333375" cy="838200"/>
        </a:xfrm>
        <a:prstGeom prst="line">
          <a:avLst/>
        </a:prstGeom>
        <a:noFill/>
        <a:ln w="19050">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66675</xdr:colOff>
      <xdr:row>22</xdr:row>
      <xdr:rowOff>171450</xdr:rowOff>
    </xdr:from>
    <xdr:to>
      <xdr:col>47</xdr:col>
      <xdr:colOff>0</xdr:colOff>
      <xdr:row>27</xdr:row>
      <xdr:rowOff>114300</xdr:rowOff>
    </xdr:to>
    <xdr:sp macro="" textlink="">
      <xdr:nvSpPr>
        <xdr:cNvPr id="1068446" name="Line 165">
          <a:extLst>
            <a:ext uri="{FF2B5EF4-FFF2-40B4-BE49-F238E27FC236}">
              <a16:creationId xmlns:a16="http://schemas.microsoft.com/office/drawing/2014/main" id="{00000000-0008-0000-0D00-00009E4D1000}"/>
            </a:ext>
          </a:extLst>
        </xdr:cNvPr>
        <xdr:cNvSpPr>
          <a:spLocks noChangeShapeType="1"/>
        </xdr:cNvSpPr>
      </xdr:nvSpPr>
      <xdr:spPr bwMode="auto">
        <a:xfrm flipV="1">
          <a:off x="31956375" y="4752975"/>
          <a:ext cx="342900" cy="8477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76200</xdr:colOff>
      <xdr:row>52</xdr:row>
      <xdr:rowOff>0</xdr:rowOff>
    </xdr:from>
    <xdr:to>
      <xdr:col>46</xdr:col>
      <xdr:colOff>76200</xdr:colOff>
      <xdr:row>52</xdr:row>
      <xdr:rowOff>0</xdr:rowOff>
    </xdr:to>
    <xdr:sp macro="" textlink="">
      <xdr:nvSpPr>
        <xdr:cNvPr id="1068447" name="Line 176">
          <a:extLst>
            <a:ext uri="{FF2B5EF4-FFF2-40B4-BE49-F238E27FC236}">
              <a16:creationId xmlns:a16="http://schemas.microsoft.com/office/drawing/2014/main" id="{00000000-0008-0000-0D00-00009F4D1000}"/>
            </a:ext>
          </a:extLst>
        </xdr:cNvPr>
        <xdr:cNvSpPr>
          <a:spLocks noChangeShapeType="1"/>
        </xdr:cNvSpPr>
      </xdr:nvSpPr>
      <xdr:spPr bwMode="auto">
        <a:xfrm>
          <a:off x="31965900" y="1001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76200</xdr:colOff>
      <xdr:row>52</xdr:row>
      <xdr:rowOff>0</xdr:rowOff>
    </xdr:from>
    <xdr:to>
      <xdr:col>46</xdr:col>
      <xdr:colOff>76200</xdr:colOff>
      <xdr:row>52</xdr:row>
      <xdr:rowOff>0</xdr:rowOff>
    </xdr:to>
    <xdr:sp macro="" textlink="">
      <xdr:nvSpPr>
        <xdr:cNvPr id="1068448" name="Line 210">
          <a:extLst>
            <a:ext uri="{FF2B5EF4-FFF2-40B4-BE49-F238E27FC236}">
              <a16:creationId xmlns:a16="http://schemas.microsoft.com/office/drawing/2014/main" id="{00000000-0008-0000-0D00-0000A04D1000}"/>
            </a:ext>
          </a:extLst>
        </xdr:cNvPr>
        <xdr:cNvSpPr>
          <a:spLocks noChangeShapeType="1"/>
        </xdr:cNvSpPr>
      </xdr:nvSpPr>
      <xdr:spPr bwMode="auto">
        <a:xfrm>
          <a:off x="31965900" y="1001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57150</xdr:colOff>
      <xdr:row>33</xdr:row>
      <xdr:rowOff>76200</xdr:rowOff>
    </xdr:from>
    <xdr:to>
      <xdr:col>46</xdr:col>
      <xdr:colOff>400050</xdr:colOff>
      <xdr:row>38</xdr:row>
      <xdr:rowOff>0</xdr:rowOff>
    </xdr:to>
    <xdr:sp macro="" textlink="">
      <xdr:nvSpPr>
        <xdr:cNvPr id="1068449" name="Line 259">
          <a:extLst>
            <a:ext uri="{FF2B5EF4-FFF2-40B4-BE49-F238E27FC236}">
              <a16:creationId xmlns:a16="http://schemas.microsoft.com/office/drawing/2014/main" id="{00000000-0008-0000-0D00-0000A14D1000}"/>
            </a:ext>
          </a:extLst>
        </xdr:cNvPr>
        <xdr:cNvSpPr>
          <a:spLocks noChangeShapeType="1"/>
        </xdr:cNvSpPr>
      </xdr:nvSpPr>
      <xdr:spPr bwMode="auto">
        <a:xfrm>
          <a:off x="31946850" y="6648450"/>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38</xdr:row>
      <xdr:rowOff>0</xdr:rowOff>
    </xdr:from>
    <xdr:to>
      <xdr:col>43</xdr:col>
      <xdr:colOff>76200</xdr:colOff>
      <xdr:row>38</xdr:row>
      <xdr:rowOff>9525</xdr:rowOff>
    </xdr:to>
    <xdr:sp macro="" textlink="">
      <xdr:nvSpPr>
        <xdr:cNvPr id="1068450" name="Line 283">
          <a:extLst>
            <a:ext uri="{FF2B5EF4-FFF2-40B4-BE49-F238E27FC236}">
              <a16:creationId xmlns:a16="http://schemas.microsoft.com/office/drawing/2014/main" id="{00000000-0008-0000-0D00-0000A24D1000}"/>
            </a:ext>
          </a:extLst>
        </xdr:cNvPr>
        <xdr:cNvSpPr>
          <a:spLocks noChangeShapeType="1"/>
        </xdr:cNvSpPr>
      </xdr:nvSpPr>
      <xdr:spPr bwMode="auto">
        <a:xfrm>
          <a:off x="2972752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66675</xdr:colOff>
      <xdr:row>38</xdr:row>
      <xdr:rowOff>9525</xdr:rowOff>
    </xdr:from>
    <xdr:to>
      <xdr:col>43</xdr:col>
      <xdr:colOff>66675</xdr:colOff>
      <xdr:row>41</xdr:row>
      <xdr:rowOff>19050</xdr:rowOff>
    </xdr:to>
    <xdr:sp macro="" textlink="">
      <xdr:nvSpPr>
        <xdr:cNvPr id="1068451" name="Line 284">
          <a:extLst>
            <a:ext uri="{FF2B5EF4-FFF2-40B4-BE49-F238E27FC236}">
              <a16:creationId xmlns:a16="http://schemas.microsoft.com/office/drawing/2014/main" id="{00000000-0008-0000-0D00-0000A34D1000}"/>
            </a:ext>
          </a:extLst>
        </xdr:cNvPr>
        <xdr:cNvSpPr>
          <a:spLocks noChangeShapeType="1"/>
        </xdr:cNvSpPr>
      </xdr:nvSpPr>
      <xdr:spPr bwMode="auto">
        <a:xfrm>
          <a:off x="29794200"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9525</xdr:colOff>
      <xdr:row>41</xdr:row>
      <xdr:rowOff>0</xdr:rowOff>
    </xdr:from>
    <xdr:to>
      <xdr:col>43</xdr:col>
      <xdr:colOff>66675</xdr:colOff>
      <xdr:row>41</xdr:row>
      <xdr:rowOff>9525</xdr:rowOff>
    </xdr:to>
    <xdr:sp macro="" textlink="">
      <xdr:nvSpPr>
        <xdr:cNvPr id="1068452" name="Line 285">
          <a:extLst>
            <a:ext uri="{FF2B5EF4-FFF2-40B4-BE49-F238E27FC236}">
              <a16:creationId xmlns:a16="http://schemas.microsoft.com/office/drawing/2014/main" id="{00000000-0008-0000-0D00-0000A44D1000}"/>
            </a:ext>
          </a:extLst>
        </xdr:cNvPr>
        <xdr:cNvSpPr>
          <a:spLocks noChangeShapeType="1"/>
        </xdr:cNvSpPr>
      </xdr:nvSpPr>
      <xdr:spPr bwMode="auto">
        <a:xfrm flipV="1">
          <a:off x="2973705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0</xdr:colOff>
      <xdr:row>38</xdr:row>
      <xdr:rowOff>0</xdr:rowOff>
    </xdr:from>
    <xdr:to>
      <xdr:col>46</xdr:col>
      <xdr:colOff>76200</xdr:colOff>
      <xdr:row>38</xdr:row>
      <xdr:rowOff>9525</xdr:rowOff>
    </xdr:to>
    <xdr:sp macro="" textlink="">
      <xdr:nvSpPr>
        <xdr:cNvPr id="1068453" name="Line 286">
          <a:extLst>
            <a:ext uri="{FF2B5EF4-FFF2-40B4-BE49-F238E27FC236}">
              <a16:creationId xmlns:a16="http://schemas.microsoft.com/office/drawing/2014/main" id="{00000000-0008-0000-0D00-0000A54D1000}"/>
            </a:ext>
          </a:extLst>
        </xdr:cNvPr>
        <xdr:cNvSpPr>
          <a:spLocks noChangeShapeType="1"/>
        </xdr:cNvSpPr>
      </xdr:nvSpPr>
      <xdr:spPr bwMode="auto">
        <a:xfrm>
          <a:off x="3188970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66675</xdr:colOff>
      <xdr:row>38</xdr:row>
      <xdr:rowOff>9525</xdr:rowOff>
    </xdr:from>
    <xdr:to>
      <xdr:col>46</xdr:col>
      <xdr:colOff>66675</xdr:colOff>
      <xdr:row>41</xdr:row>
      <xdr:rowOff>19050</xdr:rowOff>
    </xdr:to>
    <xdr:sp macro="" textlink="">
      <xdr:nvSpPr>
        <xdr:cNvPr id="1068454" name="Line 287">
          <a:extLst>
            <a:ext uri="{FF2B5EF4-FFF2-40B4-BE49-F238E27FC236}">
              <a16:creationId xmlns:a16="http://schemas.microsoft.com/office/drawing/2014/main" id="{00000000-0008-0000-0D00-0000A64D1000}"/>
            </a:ext>
          </a:extLst>
        </xdr:cNvPr>
        <xdr:cNvSpPr>
          <a:spLocks noChangeShapeType="1"/>
        </xdr:cNvSpPr>
      </xdr:nvSpPr>
      <xdr:spPr bwMode="auto">
        <a:xfrm>
          <a:off x="3195637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41</xdr:row>
      <xdr:rowOff>0</xdr:rowOff>
    </xdr:from>
    <xdr:to>
      <xdr:col>46</xdr:col>
      <xdr:colOff>66675</xdr:colOff>
      <xdr:row>41</xdr:row>
      <xdr:rowOff>9525</xdr:rowOff>
    </xdr:to>
    <xdr:sp macro="" textlink="">
      <xdr:nvSpPr>
        <xdr:cNvPr id="1068455" name="Line 288">
          <a:extLst>
            <a:ext uri="{FF2B5EF4-FFF2-40B4-BE49-F238E27FC236}">
              <a16:creationId xmlns:a16="http://schemas.microsoft.com/office/drawing/2014/main" id="{00000000-0008-0000-0D00-0000A74D1000}"/>
            </a:ext>
          </a:extLst>
        </xdr:cNvPr>
        <xdr:cNvSpPr>
          <a:spLocks noChangeShapeType="1"/>
        </xdr:cNvSpPr>
      </xdr:nvSpPr>
      <xdr:spPr bwMode="auto">
        <a:xfrm flipV="1">
          <a:off x="3189922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38</xdr:row>
      <xdr:rowOff>0</xdr:rowOff>
    </xdr:from>
    <xdr:to>
      <xdr:col>49</xdr:col>
      <xdr:colOff>76200</xdr:colOff>
      <xdr:row>38</xdr:row>
      <xdr:rowOff>9525</xdr:rowOff>
    </xdr:to>
    <xdr:sp macro="" textlink="">
      <xdr:nvSpPr>
        <xdr:cNvPr id="1068456" name="Line 289">
          <a:extLst>
            <a:ext uri="{FF2B5EF4-FFF2-40B4-BE49-F238E27FC236}">
              <a16:creationId xmlns:a16="http://schemas.microsoft.com/office/drawing/2014/main" id="{00000000-0008-0000-0D00-0000A84D1000}"/>
            </a:ext>
          </a:extLst>
        </xdr:cNvPr>
        <xdr:cNvSpPr>
          <a:spLocks noChangeShapeType="1"/>
        </xdr:cNvSpPr>
      </xdr:nvSpPr>
      <xdr:spPr bwMode="auto">
        <a:xfrm>
          <a:off x="3398520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38</xdr:row>
      <xdr:rowOff>9525</xdr:rowOff>
    </xdr:from>
    <xdr:to>
      <xdr:col>49</xdr:col>
      <xdr:colOff>66675</xdr:colOff>
      <xdr:row>41</xdr:row>
      <xdr:rowOff>19050</xdr:rowOff>
    </xdr:to>
    <xdr:sp macro="" textlink="">
      <xdr:nvSpPr>
        <xdr:cNvPr id="1068457" name="Line 290">
          <a:extLst>
            <a:ext uri="{FF2B5EF4-FFF2-40B4-BE49-F238E27FC236}">
              <a16:creationId xmlns:a16="http://schemas.microsoft.com/office/drawing/2014/main" id="{00000000-0008-0000-0D00-0000A94D1000}"/>
            </a:ext>
          </a:extLst>
        </xdr:cNvPr>
        <xdr:cNvSpPr>
          <a:spLocks noChangeShapeType="1"/>
        </xdr:cNvSpPr>
      </xdr:nvSpPr>
      <xdr:spPr bwMode="auto">
        <a:xfrm>
          <a:off x="3405187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9525</xdr:colOff>
      <xdr:row>41</xdr:row>
      <xdr:rowOff>0</xdr:rowOff>
    </xdr:from>
    <xdr:to>
      <xdr:col>49</xdr:col>
      <xdr:colOff>66675</xdr:colOff>
      <xdr:row>41</xdr:row>
      <xdr:rowOff>9525</xdr:rowOff>
    </xdr:to>
    <xdr:sp macro="" textlink="">
      <xdr:nvSpPr>
        <xdr:cNvPr id="1068458" name="Line 291">
          <a:extLst>
            <a:ext uri="{FF2B5EF4-FFF2-40B4-BE49-F238E27FC236}">
              <a16:creationId xmlns:a16="http://schemas.microsoft.com/office/drawing/2014/main" id="{00000000-0008-0000-0D00-0000AA4D1000}"/>
            </a:ext>
          </a:extLst>
        </xdr:cNvPr>
        <xdr:cNvSpPr>
          <a:spLocks noChangeShapeType="1"/>
        </xdr:cNvSpPr>
      </xdr:nvSpPr>
      <xdr:spPr bwMode="auto">
        <a:xfrm flipV="1">
          <a:off x="3399472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38</xdr:row>
      <xdr:rowOff>0</xdr:rowOff>
    </xdr:from>
    <xdr:to>
      <xdr:col>49</xdr:col>
      <xdr:colOff>76200</xdr:colOff>
      <xdr:row>38</xdr:row>
      <xdr:rowOff>9525</xdr:rowOff>
    </xdr:to>
    <xdr:sp macro="" textlink="">
      <xdr:nvSpPr>
        <xdr:cNvPr id="1068459" name="Line 292">
          <a:extLst>
            <a:ext uri="{FF2B5EF4-FFF2-40B4-BE49-F238E27FC236}">
              <a16:creationId xmlns:a16="http://schemas.microsoft.com/office/drawing/2014/main" id="{00000000-0008-0000-0D00-0000AB4D1000}"/>
            </a:ext>
          </a:extLst>
        </xdr:cNvPr>
        <xdr:cNvSpPr>
          <a:spLocks noChangeShapeType="1"/>
        </xdr:cNvSpPr>
      </xdr:nvSpPr>
      <xdr:spPr bwMode="auto">
        <a:xfrm>
          <a:off x="3398520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38</xdr:row>
      <xdr:rowOff>9525</xdr:rowOff>
    </xdr:from>
    <xdr:to>
      <xdr:col>49</xdr:col>
      <xdr:colOff>66675</xdr:colOff>
      <xdr:row>41</xdr:row>
      <xdr:rowOff>19050</xdr:rowOff>
    </xdr:to>
    <xdr:sp macro="" textlink="">
      <xdr:nvSpPr>
        <xdr:cNvPr id="1068460" name="Line 293">
          <a:extLst>
            <a:ext uri="{FF2B5EF4-FFF2-40B4-BE49-F238E27FC236}">
              <a16:creationId xmlns:a16="http://schemas.microsoft.com/office/drawing/2014/main" id="{00000000-0008-0000-0D00-0000AC4D1000}"/>
            </a:ext>
          </a:extLst>
        </xdr:cNvPr>
        <xdr:cNvSpPr>
          <a:spLocks noChangeShapeType="1"/>
        </xdr:cNvSpPr>
      </xdr:nvSpPr>
      <xdr:spPr bwMode="auto">
        <a:xfrm>
          <a:off x="3405187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9525</xdr:colOff>
      <xdr:row>41</xdr:row>
      <xdr:rowOff>0</xdr:rowOff>
    </xdr:from>
    <xdr:to>
      <xdr:col>49</xdr:col>
      <xdr:colOff>66675</xdr:colOff>
      <xdr:row>41</xdr:row>
      <xdr:rowOff>9525</xdr:rowOff>
    </xdr:to>
    <xdr:sp macro="" textlink="">
      <xdr:nvSpPr>
        <xdr:cNvPr id="1068461" name="Line 294">
          <a:extLst>
            <a:ext uri="{FF2B5EF4-FFF2-40B4-BE49-F238E27FC236}">
              <a16:creationId xmlns:a16="http://schemas.microsoft.com/office/drawing/2014/main" id="{00000000-0008-0000-0D00-0000AD4D1000}"/>
            </a:ext>
          </a:extLst>
        </xdr:cNvPr>
        <xdr:cNvSpPr>
          <a:spLocks noChangeShapeType="1"/>
        </xdr:cNvSpPr>
      </xdr:nvSpPr>
      <xdr:spPr bwMode="auto">
        <a:xfrm flipV="1">
          <a:off x="3399472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76200</xdr:colOff>
      <xdr:row>39</xdr:row>
      <xdr:rowOff>66675</xdr:rowOff>
    </xdr:from>
    <xdr:to>
      <xdr:col>50</xdr:col>
      <xdr:colOff>9525</xdr:colOff>
      <xdr:row>41</xdr:row>
      <xdr:rowOff>19050</xdr:rowOff>
    </xdr:to>
    <xdr:sp macro="" textlink="">
      <xdr:nvSpPr>
        <xdr:cNvPr id="1068462" name="Line 295">
          <a:extLst>
            <a:ext uri="{FF2B5EF4-FFF2-40B4-BE49-F238E27FC236}">
              <a16:creationId xmlns:a16="http://schemas.microsoft.com/office/drawing/2014/main" id="{00000000-0008-0000-0D00-0000AE4D1000}"/>
            </a:ext>
          </a:extLst>
        </xdr:cNvPr>
        <xdr:cNvSpPr>
          <a:spLocks noChangeShapeType="1"/>
        </xdr:cNvSpPr>
      </xdr:nvSpPr>
      <xdr:spPr bwMode="auto">
        <a:xfrm>
          <a:off x="34061400" y="77247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49</xdr:col>
      <xdr:colOff>0</xdr:colOff>
      <xdr:row>38</xdr:row>
      <xdr:rowOff>0</xdr:rowOff>
    </xdr:from>
    <xdr:to>
      <xdr:col>49</xdr:col>
      <xdr:colOff>76200</xdr:colOff>
      <xdr:row>38</xdr:row>
      <xdr:rowOff>9525</xdr:rowOff>
    </xdr:to>
    <xdr:sp macro="" textlink="">
      <xdr:nvSpPr>
        <xdr:cNvPr id="1068463" name="Line 296">
          <a:extLst>
            <a:ext uri="{FF2B5EF4-FFF2-40B4-BE49-F238E27FC236}">
              <a16:creationId xmlns:a16="http://schemas.microsoft.com/office/drawing/2014/main" id="{00000000-0008-0000-0D00-0000AF4D1000}"/>
            </a:ext>
          </a:extLst>
        </xdr:cNvPr>
        <xdr:cNvSpPr>
          <a:spLocks noChangeShapeType="1"/>
        </xdr:cNvSpPr>
      </xdr:nvSpPr>
      <xdr:spPr bwMode="auto">
        <a:xfrm>
          <a:off x="3398520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38</xdr:row>
      <xdr:rowOff>9525</xdr:rowOff>
    </xdr:from>
    <xdr:to>
      <xdr:col>49</xdr:col>
      <xdr:colOff>66675</xdr:colOff>
      <xdr:row>41</xdr:row>
      <xdr:rowOff>19050</xdr:rowOff>
    </xdr:to>
    <xdr:sp macro="" textlink="">
      <xdr:nvSpPr>
        <xdr:cNvPr id="1068464" name="Line 297">
          <a:extLst>
            <a:ext uri="{FF2B5EF4-FFF2-40B4-BE49-F238E27FC236}">
              <a16:creationId xmlns:a16="http://schemas.microsoft.com/office/drawing/2014/main" id="{00000000-0008-0000-0D00-0000B04D1000}"/>
            </a:ext>
          </a:extLst>
        </xdr:cNvPr>
        <xdr:cNvSpPr>
          <a:spLocks noChangeShapeType="1"/>
        </xdr:cNvSpPr>
      </xdr:nvSpPr>
      <xdr:spPr bwMode="auto">
        <a:xfrm>
          <a:off x="3405187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9525</xdr:colOff>
      <xdr:row>41</xdr:row>
      <xdr:rowOff>0</xdr:rowOff>
    </xdr:from>
    <xdr:to>
      <xdr:col>49</xdr:col>
      <xdr:colOff>66675</xdr:colOff>
      <xdr:row>41</xdr:row>
      <xdr:rowOff>9525</xdr:rowOff>
    </xdr:to>
    <xdr:sp macro="" textlink="">
      <xdr:nvSpPr>
        <xdr:cNvPr id="1068465" name="Line 298">
          <a:extLst>
            <a:ext uri="{FF2B5EF4-FFF2-40B4-BE49-F238E27FC236}">
              <a16:creationId xmlns:a16="http://schemas.microsoft.com/office/drawing/2014/main" id="{00000000-0008-0000-0D00-0000B14D1000}"/>
            </a:ext>
          </a:extLst>
        </xdr:cNvPr>
        <xdr:cNvSpPr>
          <a:spLocks noChangeShapeType="1"/>
        </xdr:cNvSpPr>
      </xdr:nvSpPr>
      <xdr:spPr bwMode="auto">
        <a:xfrm flipV="1">
          <a:off x="3399472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57150</xdr:colOff>
      <xdr:row>37</xdr:row>
      <xdr:rowOff>171450</xdr:rowOff>
    </xdr:from>
    <xdr:to>
      <xdr:col>50</xdr:col>
      <xdr:colOff>9525</xdr:colOff>
      <xdr:row>39</xdr:row>
      <xdr:rowOff>47625</xdr:rowOff>
    </xdr:to>
    <xdr:sp macro="" textlink="">
      <xdr:nvSpPr>
        <xdr:cNvPr id="1068466" name="Line 299">
          <a:extLst>
            <a:ext uri="{FF2B5EF4-FFF2-40B4-BE49-F238E27FC236}">
              <a16:creationId xmlns:a16="http://schemas.microsoft.com/office/drawing/2014/main" id="{00000000-0008-0000-0D00-0000B24D1000}"/>
            </a:ext>
          </a:extLst>
        </xdr:cNvPr>
        <xdr:cNvSpPr>
          <a:spLocks noChangeShapeType="1"/>
        </xdr:cNvSpPr>
      </xdr:nvSpPr>
      <xdr:spPr bwMode="auto">
        <a:xfrm flipV="1">
          <a:off x="34042350" y="7467600"/>
          <a:ext cx="3619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38</xdr:row>
      <xdr:rowOff>0</xdr:rowOff>
    </xdr:from>
    <xdr:to>
      <xdr:col>46</xdr:col>
      <xdr:colOff>76200</xdr:colOff>
      <xdr:row>38</xdr:row>
      <xdr:rowOff>9525</xdr:rowOff>
    </xdr:to>
    <xdr:sp macro="" textlink="">
      <xdr:nvSpPr>
        <xdr:cNvPr id="1068467" name="Line 300">
          <a:extLst>
            <a:ext uri="{FF2B5EF4-FFF2-40B4-BE49-F238E27FC236}">
              <a16:creationId xmlns:a16="http://schemas.microsoft.com/office/drawing/2014/main" id="{00000000-0008-0000-0D00-0000B34D1000}"/>
            </a:ext>
          </a:extLst>
        </xdr:cNvPr>
        <xdr:cNvSpPr>
          <a:spLocks noChangeShapeType="1"/>
        </xdr:cNvSpPr>
      </xdr:nvSpPr>
      <xdr:spPr bwMode="auto">
        <a:xfrm>
          <a:off x="3188970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66675</xdr:colOff>
      <xdr:row>38</xdr:row>
      <xdr:rowOff>9525</xdr:rowOff>
    </xdr:from>
    <xdr:to>
      <xdr:col>46</xdr:col>
      <xdr:colOff>66675</xdr:colOff>
      <xdr:row>41</xdr:row>
      <xdr:rowOff>19050</xdr:rowOff>
    </xdr:to>
    <xdr:sp macro="" textlink="">
      <xdr:nvSpPr>
        <xdr:cNvPr id="1068468" name="Line 301">
          <a:extLst>
            <a:ext uri="{FF2B5EF4-FFF2-40B4-BE49-F238E27FC236}">
              <a16:creationId xmlns:a16="http://schemas.microsoft.com/office/drawing/2014/main" id="{00000000-0008-0000-0D00-0000B44D1000}"/>
            </a:ext>
          </a:extLst>
        </xdr:cNvPr>
        <xdr:cNvSpPr>
          <a:spLocks noChangeShapeType="1"/>
        </xdr:cNvSpPr>
      </xdr:nvSpPr>
      <xdr:spPr bwMode="auto">
        <a:xfrm>
          <a:off x="3195637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41</xdr:row>
      <xdr:rowOff>0</xdr:rowOff>
    </xdr:from>
    <xdr:to>
      <xdr:col>46</xdr:col>
      <xdr:colOff>66675</xdr:colOff>
      <xdr:row>41</xdr:row>
      <xdr:rowOff>9525</xdr:rowOff>
    </xdr:to>
    <xdr:sp macro="" textlink="">
      <xdr:nvSpPr>
        <xdr:cNvPr id="1068469" name="Line 302">
          <a:extLst>
            <a:ext uri="{FF2B5EF4-FFF2-40B4-BE49-F238E27FC236}">
              <a16:creationId xmlns:a16="http://schemas.microsoft.com/office/drawing/2014/main" id="{00000000-0008-0000-0D00-0000B54D1000}"/>
            </a:ext>
          </a:extLst>
        </xdr:cNvPr>
        <xdr:cNvSpPr>
          <a:spLocks noChangeShapeType="1"/>
        </xdr:cNvSpPr>
      </xdr:nvSpPr>
      <xdr:spPr bwMode="auto">
        <a:xfrm flipV="1">
          <a:off x="3189922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0</xdr:colOff>
      <xdr:row>44</xdr:row>
      <xdr:rowOff>0</xdr:rowOff>
    </xdr:from>
    <xdr:to>
      <xdr:col>43</xdr:col>
      <xdr:colOff>76200</xdr:colOff>
      <xdr:row>44</xdr:row>
      <xdr:rowOff>9525</xdr:rowOff>
    </xdr:to>
    <xdr:sp macro="" textlink="">
      <xdr:nvSpPr>
        <xdr:cNvPr id="1068470" name="Line 303">
          <a:extLst>
            <a:ext uri="{FF2B5EF4-FFF2-40B4-BE49-F238E27FC236}">
              <a16:creationId xmlns:a16="http://schemas.microsoft.com/office/drawing/2014/main" id="{00000000-0008-0000-0D00-0000B64D1000}"/>
            </a:ext>
          </a:extLst>
        </xdr:cNvPr>
        <xdr:cNvSpPr>
          <a:spLocks noChangeShapeType="1"/>
        </xdr:cNvSpPr>
      </xdr:nvSpPr>
      <xdr:spPr bwMode="auto">
        <a:xfrm>
          <a:off x="2972752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66675</xdr:colOff>
      <xdr:row>44</xdr:row>
      <xdr:rowOff>9525</xdr:rowOff>
    </xdr:from>
    <xdr:to>
      <xdr:col>43</xdr:col>
      <xdr:colOff>66675</xdr:colOff>
      <xdr:row>47</xdr:row>
      <xdr:rowOff>19050</xdr:rowOff>
    </xdr:to>
    <xdr:sp macro="" textlink="">
      <xdr:nvSpPr>
        <xdr:cNvPr id="1068471" name="Line 304">
          <a:extLst>
            <a:ext uri="{FF2B5EF4-FFF2-40B4-BE49-F238E27FC236}">
              <a16:creationId xmlns:a16="http://schemas.microsoft.com/office/drawing/2014/main" id="{00000000-0008-0000-0D00-0000B74D1000}"/>
            </a:ext>
          </a:extLst>
        </xdr:cNvPr>
        <xdr:cNvSpPr>
          <a:spLocks noChangeShapeType="1"/>
        </xdr:cNvSpPr>
      </xdr:nvSpPr>
      <xdr:spPr bwMode="auto">
        <a:xfrm>
          <a:off x="29794200"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9525</xdr:colOff>
      <xdr:row>47</xdr:row>
      <xdr:rowOff>0</xdr:rowOff>
    </xdr:from>
    <xdr:to>
      <xdr:col>43</xdr:col>
      <xdr:colOff>66675</xdr:colOff>
      <xdr:row>47</xdr:row>
      <xdr:rowOff>9525</xdr:rowOff>
    </xdr:to>
    <xdr:sp macro="" textlink="">
      <xdr:nvSpPr>
        <xdr:cNvPr id="1068472" name="Line 305">
          <a:extLst>
            <a:ext uri="{FF2B5EF4-FFF2-40B4-BE49-F238E27FC236}">
              <a16:creationId xmlns:a16="http://schemas.microsoft.com/office/drawing/2014/main" id="{00000000-0008-0000-0D00-0000B84D1000}"/>
            </a:ext>
          </a:extLst>
        </xdr:cNvPr>
        <xdr:cNvSpPr>
          <a:spLocks noChangeShapeType="1"/>
        </xdr:cNvSpPr>
      </xdr:nvSpPr>
      <xdr:spPr bwMode="auto">
        <a:xfrm flipV="1">
          <a:off x="29737050"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0</xdr:colOff>
      <xdr:row>44</xdr:row>
      <xdr:rowOff>0</xdr:rowOff>
    </xdr:from>
    <xdr:to>
      <xdr:col>46</xdr:col>
      <xdr:colOff>76200</xdr:colOff>
      <xdr:row>44</xdr:row>
      <xdr:rowOff>9525</xdr:rowOff>
    </xdr:to>
    <xdr:sp macro="" textlink="">
      <xdr:nvSpPr>
        <xdr:cNvPr id="1068473" name="Line 306">
          <a:extLst>
            <a:ext uri="{FF2B5EF4-FFF2-40B4-BE49-F238E27FC236}">
              <a16:creationId xmlns:a16="http://schemas.microsoft.com/office/drawing/2014/main" id="{00000000-0008-0000-0D00-0000B94D1000}"/>
            </a:ext>
          </a:extLst>
        </xdr:cNvPr>
        <xdr:cNvSpPr>
          <a:spLocks noChangeShapeType="1"/>
        </xdr:cNvSpPr>
      </xdr:nvSpPr>
      <xdr:spPr bwMode="auto">
        <a:xfrm>
          <a:off x="3188970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66675</xdr:colOff>
      <xdr:row>44</xdr:row>
      <xdr:rowOff>9525</xdr:rowOff>
    </xdr:from>
    <xdr:to>
      <xdr:col>46</xdr:col>
      <xdr:colOff>66675</xdr:colOff>
      <xdr:row>47</xdr:row>
      <xdr:rowOff>19050</xdr:rowOff>
    </xdr:to>
    <xdr:sp macro="" textlink="">
      <xdr:nvSpPr>
        <xdr:cNvPr id="1068474" name="Line 307">
          <a:extLst>
            <a:ext uri="{FF2B5EF4-FFF2-40B4-BE49-F238E27FC236}">
              <a16:creationId xmlns:a16="http://schemas.microsoft.com/office/drawing/2014/main" id="{00000000-0008-0000-0D00-0000BA4D1000}"/>
            </a:ext>
          </a:extLst>
        </xdr:cNvPr>
        <xdr:cNvSpPr>
          <a:spLocks noChangeShapeType="1"/>
        </xdr:cNvSpPr>
      </xdr:nvSpPr>
      <xdr:spPr bwMode="auto">
        <a:xfrm>
          <a:off x="31956375"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47</xdr:row>
      <xdr:rowOff>0</xdr:rowOff>
    </xdr:from>
    <xdr:to>
      <xdr:col>46</xdr:col>
      <xdr:colOff>66675</xdr:colOff>
      <xdr:row>47</xdr:row>
      <xdr:rowOff>9525</xdr:rowOff>
    </xdr:to>
    <xdr:sp macro="" textlink="">
      <xdr:nvSpPr>
        <xdr:cNvPr id="1068475" name="Line 308">
          <a:extLst>
            <a:ext uri="{FF2B5EF4-FFF2-40B4-BE49-F238E27FC236}">
              <a16:creationId xmlns:a16="http://schemas.microsoft.com/office/drawing/2014/main" id="{00000000-0008-0000-0D00-0000BB4D1000}"/>
            </a:ext>
          </a:extLst>
        </xdr:cNvPr>
        <xdr:cNvSpPr>
          <a:spLocks noChangeShapeType="1"/>
        </xdr:cNvSpPr>
      </xdr:nvSpPr>
      <xdr:spPr bwMode="auto">
        <a:xfrm flipV="1">
          <a:off x="3189922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44</xdr:row>
      <xdr:rowOff>0</xdr:rowOff>
    </xdr:from>
    <xdr:to>
      <xdr:col>49</xdr:col>
      <xdr:colOff>76200</xdr:colOff>
      <xdr:row>44</xdr:row>
      <xdr:rowOff>9525</xdr:rowOff>
    </xdr:to>
    <xdr:sp macro="" textlink="">
      <xdr:nvSpPr>
        <xdr:cNvPr id="1068476" name="Line 309">
          <a:extLst>
            <a:ext uri="{FF2B5EF4-FFF2-40B4-BE49-F238E27FC236}">
              <a16:creationId xmlns:a16="http://schemas.microsoft.com/office/drawing/2014/main" id="{00000000-0008-0000-0D00-0000BC4D1000}"/>
            </a:ext>
          </a:extLst>
        </xdr:cNvPr>
        <xdr:cNvSpPr>
          <a:spLocks noChangeShapeType="1"/>
        </xdr:cNvSpPr>
      </xdr:nvSpPr>
      <xdr:spPr bwMode="auto">
        <a:xfrm>
          <a:off x="3398520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44</xdr:row>
      <xdr:rowOff>9525</xdr:rowOff>
    </xdr:from>
    <xdr:to>
      <xdr:col>49</xdr:col>
      <xdr:colOff>66675</xdr:colOff>
      <xdr:row>47</xdr:row>
      <xdr:rowOff>19050</xdr:rowOff>
    </xdr:to>
    <xdr:sp macro="" textlink="">
      <xdr:nvSpPr>
        <xdr:cNvPr id="1068477" name="Line 310">
          <a:extLst>
            <a:ext uri="{FF2B5EF4-FFF2-40B4-BE49-F238E27FC236}">
              <a16:creationId xmlns:a16="http://schemas.microsoft.com/office/drawing/2014/main" id="{00000000-0008-0000-0D00-0000BD4D1000}"/>
            </a:ext>
          </a:extLst>
        </xdr:cNvPr>
        <xdr:cNvSpPr>
          <a:spLocks noChangeShapeType="1"/>
        </xdr:cNvSpPr>
      </xdr:nvSpPr>
      <xdr:spPr bwMode="auto">
        <a:xfrm>
          <a:off x="34051875"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9525</xdr:colOff>
      <xdr:row>47</xdr:row>
      <xdr:rowOff>0</xdr:rowOff>
    </xdr:from>
    <xdr:to>
      <xdr:col>49</xdr:col>
      <xdr:colOff>66675</xdr:colOff>
      <xdr:row>47</xdr:row>
      <xdr:rowOff>9525</xdr:rowOff>
    </xdr:to>
    <xdr:sp macro="" textlink="">
      <xdr:nvSpPr>
        <xdr:cNvPr id="1068478" name="Line 311">
          <a:extLst>
            <a:ext uri="{FF2B5EF4-FFF2-40B4-BE49-F238E27FC236}">
              <a16:creationId xmlns:a16="http://schemas.microsoft.com/office/drawing/2014/main" id="{00000000-0008-0000-0D00-0000BE4D1000}"/>
            </a:ext>
          </a:extLst>
        </xdr:cNvPr>
        <xdr:cNvSpPr>
          <a:spLocks noChangeShapeType="1"/>
        </xdr:cNvSpPr>
      </xdr:nvSpPr>
      <xdr:spPr bwMode="auto">
        <a:xfrm flipV="1">
          <a:off x="3399472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44</xdr:row>
      <xdr:rowOff>0</xdr:rowOff>
    </xdr:from>
    <xdr:to>
      <xdr:col>49</xdr:col>
      <xdr:colOff>76200</xdr:colOff>
      <xdr:row>44</xdr:row>
      <xdr:rowOff>9525</xdr:rowOff>
    </xdr:to>
    <xdr:sp macro="" textlink="">
      <xdr:nvSpPr>
        <xdr:cNvPr id="1068479" name="Line 312">
          <a:extLst>
            <a:ext uri="{FF2B5EF4-FFF2-40B4-BE49-F238E27FC236}">
              <a16:creationId xmlns:a16="http://schemas.microsoft.com/office/drawing/2014/main" id="{00000000-0008-0000-0D00-0000BF4D1000}"/>
            </a:ext>
          </a:extLst>
        </xdr:cNvPr>
        <xdr:cNvSpPr>
          <a:spLocks noChangeShapeType="1"/>
        </xdr:cNvSpPr>
      </xdr:nvSpPr>
      <xdr:spPr bwMode="auto">
        <a:xfrm>
          <a:off x="3398520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44</xdr:row>
      <xdr:rowOff>9525</xdr:rowOff>
    </xdr:from>
    <xdr:to>
      <xdr:col>49</xdr:col>
      <xdr:colOff>66675</xdr:colOff>
      <xdr:row>47</xdr:row>
      <xdr:rowOff>19050</xdr:rowOff>
    </xdr:to>
    <xdr:sp macro="" textlink="">
      <xdr:nvSpPr>
        <xdr:cNvPr id="1068480" name="Line 313">
          <a:extLst>
            <a:ext uri="{FF2B5EF4-FFF2-40B4-BE49-F238E27FC236}">
              <a16:creationId xmlns:a16="http://schemas.microsoft.com/office/drawing/2014/main" id="{00000000-0008-0000-0D00-0000C04D1000}"/>
            </a:ext>
          </a:extLst>
        </xdr:cNvPr>
        <xdr:cNvSpPr>
          <a:spLocks noChangeShapeType="1"/>
        </xdr:cNvSpPr>
      </xdr:nvSpPr>
      <xdr:spPr bwMode="auto">
        <a:xfrm>
          <a:off x="34051875"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9525</xdr:colOff>
      <xdr:row>47</xdr:row>
      <xdr:rowOff>0</xdr:rowOff>
    </xdr:from>
    <xdr:to>
      <xdr:col>49</xdr:col>
      <xdr:colOff>66675</xdr:colOff>
      <xdr:row>47</xdr:row>
      <xdr:rowOff>9525</xdr:rowOff>
    </xdr:to>
    <xdr:sp macro="" textlink="">
      <xdr:nvSpPr>
        <xdr:cNvPr id="1068481" name="Line 314">
          <a:extLst>
            <a:ext uri="{FF2B5EF4-FFF2-40B4-BE49-F238E27FC236}">
              <a16:creationId xmlns:a16="http://schemas.microsoft.com/office/drawing/2014/main" id="{00000000-0008-0000-0D00-0000C14D1000}"/>
            </a:ext>
          </a:extLst>
        </xdr:cNvPr>
        <xdr:cNvSpPr>
          <a:spLocks noChangeShapeType="1"/>
        </xdr:cNvSpPr>
      </xdr:nvSpPr>
      <xdr:spPr bwMode="auto">
        <a:xfrm flipV="1">
          <a:off x="3399472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76200</xdr:colOff>
      <xdr:row>45</xdr:row>
      <xdr:rowOff>66675</xdr:rowOff>
    </xdr:from>
    <xdr:to>
      <xdr:col>50</xdr:col>
      <xdr:colOff>9525</xdr:colOff>
      <xdr:row>47</xdr:row>
      <xdr:rowOff>19050</xdr:rowOff>
    </xdr:to>
    <xdr:sp macro="" textlink="">
      <xdr:nvSpPr>
        <xdr:cNvPr id="1068482" name="Line 315">
          <a:extLst>
            <a:ext uri="{FF2B5EF4-FFF2-40B4-BE49-F238E27FC236}">
              <a16:creationId xmlns:a16="http://schemas.microsoft.com/office/drawing/2014/main" id="{00000000-0008-0000-0D00-0000C24D1000}"/>
            </a:ext>
          </a:extLst>
        </xdr:cNvPr>
        <xdr:cNvSpPr>
          <a:spLocks noChangeShapeType="1"/>
        </xdr:cNvSpPr>
      </xdr:nvSpPr>
      <xdr:spPr bwMode="auto">
        <a:xfrm>
          <a:off x="34061400" y="88106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49</xdr:col>
      <xdr:colOff>0</xdr:colOff>
      <xdr:row>44</xdr:row>
      <xdr:rowOff>0</xdr:rowOff>
    </xdr:from>
    <xdr:to>
      <xdr:col>49</xdr:col>
      <xdr:colOff>76200</xdr:colOff>
      <xdr:row>44</xdr:row>
      <xdr:rowOff>9525</xdr:rowOff>
    </xdr:to>
    <xdr:sp macro="" textlink="">
      <xdr:nvSpPr>
        <xdr:cNvPr id="1068483" name="Line 316">
          <a:extLst>
            <a:ext uri="{FF2B5EF4-FFF2-40B4-BE49-F238E27FC236}">
              <a16:creationId xmlns:a16="http://schemas.microsoft.com/office/drawing/2014/main" id="{00000000-0008-0000-0D00-0000C34D1000}"/>
            </a:ext>
          </a:extLst>
        </xdr:cNvPr>
        <xdr:cNvSpPr>
          <a:spLocks noChangeShapeType="1"/>
        </xdr:cNvSpPr>
      </xdr:nvSpPr>
      <xdr:spPr bwMode="auto">
        <a:xfrm>
          <a:off x="3398520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44</xdr:row>
      <xdr:rowOff>9525</xdr:rowOff>
    </xdr:from>
    <xdr:to>
      <xdr:col>49</xdr:col>
      <xdr:colOff>66675</xdr:colOff>
      <xdr:row>47</xdr:row>
      <xdr:rowOff>19050</xdr:rowOff>
    </xdr:to>
    <xdr:sp macro="" textlink="">
      <xdr:nvSpPr>
        <xdr:cNvPr id="1068484" name="Line 317">
          <a:extLst>
            <a:ext uri="{FF2B5EF4-FFF2-40B4-BE49-F238E27FC236}">
              <a16:creationId xmlns:a16="http://schemas.microsoft.com/office/drawing/2014/main" id="{00000000-0008-0000-0D00-0000C44D1000}"/>
            </a:ext>
          </a:extLst>
        </xdr:cNvPr>
        <xdr:cNvSpPr>
          <a:spLocks noChangeShapeType="1"/>
        </xdr:cNvSpPr>
      </xdr:nvSpPr>
      <xdr:spPr bwMode="auto">
        <a:xfrm>
          <a:off x="34051875"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9525</xdr:colOff>
      <xdr:row>47</xdr:row>
      <xdr:rowOff>0</xdr:rowOff>
    </xdr:from>
    <xdr:to>
      <xdr:col>49</xdr:col>
      <xdr:colOff>66675</xdr:colOff>
      <xdr:row>47</xdr:row>
      <xdr:rowOff>9525</xdr:rowOff>
    </xdr:to>
    <xdr:sp macro="" textlink="">
      <xdr:nvSpPr>
        <xdr:cNvPr id="1068485" name="Line 318">
          <a:extLst>
            <a:ext uri="{FF2B5EF4-FFF2-40B4-BE49-F238E27FC236}">
              <a16:creationId xmlns:a16="http://schemas.microsoft.com/office/drawing/2014/main" id="{00000000-0008-0000-0D00-0000C54D1000}"/>
            </a:ext>
          </a:extLst>
        </xdr:cNvPr>
        <xdr:cNvSpPr>
          <a:spLocks noChangeShapeType="1"/>
        </xdr:cNvSpPr>
      </xdr:nvSpPr>
      <xdr:spPr bwMode="auto">
        <a:xfrm flipV="1">
          <a:off x="3399472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76200</xdr:colOff>
      <xdr:row>43</xdr:row>
      <xdr:rowOff>171450</xdr:rowOff>
    </xdr:from>
    <xdr:to>
      <xdr:col>50</xdr:col>
      <xdr:colOff>9525</xdr:colOff>
      <xdr:row>45</xdr:row>
      <xdr:rowOff>38100</xdr:rowOff>
    </xdr:to>
    <xdr:sp macro="" textlink="">
      <xdr:nvSpPr>
        <xdr:cNvPr id="1068486" name="Line 319">
          <a:extLst>
            <a:ext uri="{FF2B5EF4-FFF2-40B4-BE49-F238E27FC236}">
              <a16:creationId xmlns:a16="http://schemas.microsoft.com/office/drawing/2014/main" id="{00000000-0008-0000-0D00-0000C64D1000}"/>
            </a:ext>
          </a:extLst>
        </xdr:cNvPr>
        <xdr:cNvSpPr>
          <a:spLocks noChangeShapeType="1"/>
        </xdr:cNvSpPr>
      </xdr:nvSpPr>
      <xdr:spPr bwMode="auto">
        <a:xfrm flipV="1">
          <a:off x="34061400" y="8553450"/>
          <a:ext cx="342900" cy="22860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44</xdr:row>
      <xdr:rowOff>0</xdr:rowOff>
    </xdr:from>
    <xdr:to>
      <xdr:col>46</xdr:col>
      <xdr:colOff>76200</xdr:colOff>
      <xdr:row>44</xdr:row>
      <xdr:rowOff>9525</xdr:rowOff>
    </xdr:to>
    <xdr:sp macro="" textlink="">
      <xdr:nvSpPr>
        <xdr:cNvPr id="1068487" name="Line 320">
          <a:extLst>
            <a:ext uri="{FF2B5EF4-FFF2-40B4-BE49-F238E27FC236}">
              <a16:creationId xmlns:a16="http://schemas.microsoft.com/office/drawing/2014/main" id="{00000000-0008-0000-0D00-0000C74D1000}"/>
            </a:ext>
          </a:extLst>
        </xdr:cNvPr>
        <xdr:cNvSpPr>
          <a:spLocks noChangeShapeType="1"/>
        </xdr:cNvSpPr>
      </xdr:nvSpPr>
      <xdr:spPr bwMode="auto">
        <a:xfrm>
          <a:off x="3188970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66675</xdr:colOff>
      <xdr:row>44</xdr:row>
      <xdr:rowOff>9525</xdr:rowOff>
    </xdr:from>
    <xdr:to>
      <xdr:col>46</xdr:col>
      <xdr:colOff>66675</xdr:colOff>
      <xdr:row>47</xdr:row>
      <xdr:rowOff>19050</xdr:rowOff>
    </xdr:to>
    <xdr:sp macro="" textlink="">
      <xdr:nvSpPr>
        <xdr:cNvPr id="1068488" name="Line 321">
          <a:extLst>
            <a:ext uri="{FF2B5EF4-FFF2-40B4-BE49-F238E27FC236}">
              <a16:creationId xmlns:a16="http://schemas.microsoft.com/office/drawing/2014/main" id="{00000000-0008-0000-0D00-0000C84D1000}"/>
            </a:ext>
          </a:extLst>
        </xdr:cNvPr>
        <xdr:cNvSpPr>
          <a:spLocks noChangeShapeType="1"/>
        </xdr:cNvSpPr>
      </xdr:nvSpPr>
      <xdr:spPr bwMode="auto">
        <a:xfrm>
          <a:off x="31956375"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47</xdr:row>
      <xdr:rowOff>0</xdr:rowOff>
    </xdr:from>
    <xdr:to>
      <xdr:col>46</xdr:col>
      <xdr:colOff>66675</xdr:colOff>
      <xdr:row>47</xdr:row>
      <xdr:rowOff>9525</xdr:rowOff>
    </xdr:to>
    <xdr:sp macro="" textlink="">
      <xdr:nvSpPr>
        <xdr:cNvPr id="1068489" name="Line 322">
          <a:extLst>
            <a:ext uri="{FF2B5EF4-FFF2-40B4-BE49-F238E27FC236}">
              <a16:creationId xmlns:a16="http://schemas.microsoft.com/office/drawing/2014/main" id="{00000000-0008-0000-0D00-0000C94D1000}"/>
            </a:ext>
          </a:extLst>
        </xdr:cNvPr>
        <xdr:cNvSpPr>
          <a:spLocks noChangeShapeType="1"/>
        </xdr:cNvSpPr>
      </xdr:nvSpPr>
      <xdr:spPr bwMode="auto">
        <a:xfrm flipV="1">
          <a:off x="3189922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0</xdr:colOff>
      <xdr:row>50</xdr:row>
      <xdr:rowOff>0</xdr:rowOff>
    </xdr:from>
    <xdr:to>
      <xdr:col>43</xdr:col>
      <xdr:colOff>76200</xdr:colOff>
      <xdr:row>50</xdr:row>
      <xdr:rowOff>9525</xdr:rowOff>
    </xdr:to>
    <xdr:sp macro="" textlink="">
      <xdr:nvSpPr>
        <xdr:cNvPr id="1068490" name="Line 323">
          <a:extLst>
            <a:ext uri="{FF2B5EF4-FFF2-40B4-BE49-F238E27FC236}">
              <a16:creationId xmlns:a16="http://schemas.microsoft.com/office/drawing/2014/main" id="{00000000-0008-0000-0D00-0000CA4D1000}"/>
            </a:ext>
          </a:extLst>
        </xdr:cNvPr>
        <xdr:cNvSpPr>
          <a:spLocks noChangeShapeType="1"/>
        </xdr:cNvSpPr>
      </xdr:nvSpPr>
      <xdr:spPr bwMode="auto">
        <a:xfrm>
          <a:off x="29727525"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66675</xdr:colOff>
      <xdr:row>50</xdr:row>
      <xdr:rowOff>9525</xdr:rowOff>
    </xdr:from>
    <xdr:to>
      <xdr:col>43</xdr:col>
      <xdr:colOff>66675</xdr:colOff>
      <xdr:row>53</xdr:row>
      <xdr:rowOff>19050</xdr:rowOff>
    </xdr:to>
    <xdr:sp macro="" textlink="">
      <xdr:nvSpPr>
        <xdr:cNvPr id="1068491" name="Line 324">
          <a:extLst>
            <a:ext uri="{FF2B5EF4-FFF2-40B4-BE49-F238E27FC236}">
              <a16:creationId xmlns:a16="http://schemas.microsoft.com/office/drawing/2014/main" id="{00000000-0008-0000-0D00-0000CB4D1000}"/>
            </a:ext>
          </a:extLst>
        </xdr:cNvPr>
        <xdr:cNvSpPr>
          <a:spLocks noChangeShapeType="1"/>
        </xdr:cNvSpPr>
      </xdr:nvSpPr>
      <xdr:spPr bwMode="auto">
        <a:xfrm>
          <a:off x="29794200"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9525</xdr:colOff>
      <xdr:row>53</xdr:row>
      <xdr:rowOff>0</xdr:rowOff>
    </xdr:from>
    <xdr:to>
      <xdr:col>43</xdr:col>
      <xdr:colOff>66675</xdr:colOff>
      <xdr:row>53</xdr:row>
      <xdr:rowOff>9525</xdr:rowOff>
    </xdr:to>
    <xdr:sp macro="" textlink="">
      <xdr:nvSpPr>
        <xdr:cNvPr id="1068492" name="Line 325">
          <a:extLst>
            <a:ext uri="{FF2B5EF4-FFF2-40B4-BE49-F238E27FC236}">
              <a16:creationId xmlns:a16="http://schemas.microsoft.com/office/drawing/2014/main" id="{00000000-0008-0000-0D00-0000CC4D1000}"/>
            </a:ext>
          </a:extLst>
        </xdr:cNvPr>
        <xdr:cNvSpPr>
          <a:spLocks noChangeShapeType="1"/>
        </xdr:cNvSpPr>
      </xdr:nvSpPr>
      <xdr:spPr bwMode="auto">
        <a:xfrm flipV="1">
          <a:off x="29737050"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0</xdr:colOff>
      <xdr:row>50</xdr:row>
      <xdr:rowOff>0</xdr:rowOff>
    </xdr:from>
    <xdr:to>
      <xdr:col>46</xdr:col>
      <xdr:colOff>76200</xdr:colOff>
      <xdr:row>50</xdr:row>
      <xdr:rowOff>9525</xdr:rowOff>
    </xdr:to>
    <xdr:sp macro="" textlink="">
      <xdr:nvSpPr>
        <xdr:cNvPr id="1068493" name="Line 326">
          <a:extLst>
            <a:ext uri="{FF2B5EF4-FFF2-40B4-BE49-F238E27FC236}">
              <a16:creationId xmlns:a16="http://schemas.microsoft.com/office/drawing/2014/main" id="{00000000-0008-0000-0D00-0000CD4D1000}"/>
            </a:ext>
          </a:extLst>
        </xdr:cNvPr>
        <xdr:cNvSpPr>
          <a:spLocks noChangeShapeType="1"/>
        </xdr:cNvSpPr>
      </xdr:nvSpPr>
      <xdr:spPr bwMode="auto">
        <a:xfrm>
          <a:off x="3188970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66675</xdr:colOff>
      <xdr:row>50</xdr:row>
      <xdr:rowOff>9525</xdr:rowOff>
    </xdr:from>
    <xdr:to>
      <xdr:col>46</xdr:col>
      <xdr:colOff>66675</xdr:colOff>
      <xdr:row>53</xdr:row>
      <xdr:rowOff>19050</xdr:rowOff>
    </xdr:to>
    <xdr:sp macro="" textlink="">
      <xdr:nvSpPr>
        <xdr:cNvPr id="1068494" name="Line 327">
          <a:extLst>
            <a:ext uri="{FF2B5EF4-FFF2-40B4-BE49-F238E27FC236}">
              <a16:creationId xmlns:a16="http://schemas.microsoft.com/office/drawing/2014/main" id="{00000000-0008-0000-0D00-0000CE4D1000}"/>
            </a:ext>
          </a:extLst>
        </xdr:cNvPr>
        <xdr:cNvSpPr>
          <a:spLocks noChangeShapeType="1"/>
        </xdr:cNvSpPr>
      </xdr:nvSpPr>
      <xdr:spPr bwMode="auto">
        <a:xfrm>
          <a:off x="31956375"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53</xdr:row>
      <xdr:rowOff>0</xdr:rowOff>
    </xdr:from>
    <xdr:to>
      <xdr:col>46</xdr:col>
      <xdr:colOff>66675</xdr:colOff>
      <xdr:row>53</xdr:row>
      <xdr:rowOff>9525</xdr:rowOff>
    </xdr:to>
    <xdr:sp macro="" textlink="">
      <xdr:nvSpPr>
        <xdr:cNvPr id="1068495" name="Line 328">
          <a:extLst>
            <a:ext uri="{FF2B5EF4-FFF2-40B4-BE49-F238E27FC236}">
              <a16:creationId xmlns:a16="http://schemas.microsoft.com/office/drawing/2014/main" id="{00000000-0008-0000-0D00-0000CF4D1000}"/>
            </a:ext>
          </a:extLst>
        </xdr:cNvPr>
        <xdr:cNvSpPr>
          <a:spLocks noChangeShapeType="1"/>
        </xdr:cNvSpPr>
      </xdr:nvSpPr>
      <xdr:spPr bwMode="auto">
        <a:xfrm flipV="1">
          <a:off x="3189922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50</xdr:row>
      <xdr:rowOff>0</xdr:rowOff>
    </xdr:from>
    <xdr:to>
      <xdr:col>49</xdr:col>
      <xdr:colOff>76200</xdr:colOff>
      <xdr:row>50</xdr:row>
      <xdr:rowOff>9525</xdr:rowOff>
    </xdr:to>
    <xdr:sp macro="" textlink="">
      <xdr:nvSpPr>
        <xdr:cNvPr id="1068496" name="Line 329">
          <a:extLst>
            <a:ext uri="{FF2B5EF4-FFF2-40B4-BE49-F238E27FC236}">
              <a16:creationId xmlns:a16="http://schemas.microsoft.com/office/drawing/2014/main" id="{00000000-0008-0000-0D00-0000D04D1000}"/>
            </a:ext>
          </a:extLst>
        </xdr:cNvPr>
        <xdr:cNvSpPr>
          <a:spLocks noChangeShapeType="1"/>
        </xdr:cNvSpPr>
      </xdr:nvSpPr>
      <xdr:spPr bwMode="auto">
        <a:xfrm>
          <a:off x="3398520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50</xdr:row>
      <xdr:rowOff>9525</xdr:rowOff>
    </xdr:from>
    <xdr:to>
      <xdr:col>49</xdr:col>
      <xdr:colOff>66675</xdr:colOff>
      <xdr:row>53</xdr:row>
      <xdr:rowOff>19050</xdr:rowOff>
    </xdr:to>
    <xdr:sp macro="" textlink="">
      <xdr:nvSpPr>
        <xdr:cNvPr id="1068497" name="Line 330">
          <a:extLst>
            <a:ext uri="{FF2B5EF4-FFF2-40B4-BE49-F238E27FC236}">
              <a16:creationId xmlns:a16="http://schemas.microsoft.com/office/drawing/2014/main" id="{00000000-0008-0000-0D00-0000D14D1000}"/>
            </a:ext>
          </a:extLst>
        </xdr:cNvPr>
        <xdr:cNvSpPr>
          <a:spLocks noChangeShapeType="1"/>
        </xdr:cNvSpPr>
      </xdr:nvSpPr>
      <xdr:spPr bwMode="auto">
        <a:xfrm>
          <a:off x="34051875"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9525</xdr:colOff>
      <xdr:row>53</xdr:row>
      <xdr:rowOff>0</xdr:rowOff>
    </xdr:from>
    <xdr:to>
      <xdr:col>49</xdr:col>
      <xdr:colOff>66675</xdr:colOff>
      <xdr:row>53</xdr:row>
      <xdr:rowOff>9525</xdr:rowOff>
    </xdr:to>
    <xdr:sp macro="" textlink="">
      <xdr:nvSpPr>
        <xdr:cNvPr id="1068498" name="Line 331">
          <a:extLst>
            <a:ext uri="{FF2B5EF4-FFF2-40B4-BE49-F238E27FC236}">
              <a16:creationId xmlns:a16="http://schemas.microsoft.com/office/drawing/2014/main" id="{00000000-0008-0000-0D00-0000D24D1000}"/>
            </a:ext>
          </a:extLst>
        </xdr:cNvPr>
        <xdr:cNvSpPr>
          <a:spLocks noChangeShapeType="1"/>
        </xdr:cNvSpPr>
      </xdr:nvSpPr>
      <xdr:spPr bwMode="auto">
        <a:xfrm flipV="1">
          <a:off x="3399472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50</xdr:row>
      <xdr:rowOff>0</xdr:rowOff>
    </xdr:from>
    <xdr:to>
      <xdr:col>49</xdr:col>
      <xdr:colOff>76200</xdr:colOff>
      <xdr:row>50</xdr:row>
      <xdr:rowOff>9525</xdr:rowOff>
    </xdr:to>
    <xdr:sp macro="" textlink="">
      <xdr:nvSpPr>
        <xdr:cNvPr id="1068499" name="Line 332">
          <a:extLst>
            <a:ext uri="{FF2B5EF4-FFF2-40B4-BE49-F238E27FC236}">
              <a16:creationId xmlns:a16="http://schemas.microsoft.com/office/drawing/2014/main" id="{00000000-0008-0000-0D00-0000D34D1000}"/>
            </a:ext>
          </a:extLst>
        </xdr:cNvPr>
        <xdr:cNvSpPr>
          <a:spLocks noChangeShapeType="1"/>
        </xdr:cNvSpPr>
      </xdr:nvSpPr>
      <xdr:spPr bwMode="auto">
        <a:xfrm>
          <a:off x="3398520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50</xdr:row>
      <xdr:rowOff>9525</xdr:rowOff>
    </xdr:from>
    <xdr:to>
      <xdr:col>49</xdr:col>
      <xdr:colOff>66675</xdr:colOff>
      <xdr:row>53</xdr:row>
      <xdr:rowOff>19050</xdr:rowOff>
    </xdr:to>
    <xdr:sp macro="" textlink="">
      <xdr:nvSpPr>
        <xdr:cNvPr id="1068500" name="Line 333">
          <a:extLst>
            <a:ext uri="{FF2B5EF4-FFF2-40B4-BE49-F238E27FC236}">
              <a16:creationId xmlns:a16="http://schemas.microsoft.com/office/drawing/2014/main" id="{00000000-0008-0000-0D00-0000D44D1000}"/>
            </a:ext>
          </a:extLst>
        </xdr:cNvPr>
        <xdr:cNvSpPr>
          <a:spLocks noChangeShapeType="1"/>
        </xdr:cNvSpPr>
      </xdr:nvSpPr>
      <xdr:spPr bwMode="auto">
        <a:xfrm>
          <a:off x="34051875"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9525</xdr:colOff>
      <xdr:row>53</xdr:row>
      <xdr:rowOff>0</xdr:rowOff>
    </xdr:from>
    <xdr:to>
      <xdr:col>49</xdr:col>
      <xdr:colOff>66675</xdr:colOff>
      <xdr:row>53</xdr:row>
      <xdr:rowOff>9525</xdr:rowOff>
    </xdr:to>
    <xdr:sp macro="" textlink="">
      <xdr:nvSpPr>
        <xdr:cNvPr id="1068501" name="Line 334">
          <a:extLst>
            <a:ext uri="{FF2B5EF4-FFF2-40B4-BE49-F238E27FC236}">
              <a16:creationId xmlns:a16="http://schemas.microsoft.com/office/drawing/2014/main" id="{00000000-0008-0000-0D00-0000D54D1000}"/>
            </a:ext>
          </a:extLst>
        </xdr:cNvPr>
        <xdr:cNvSpPr>
          <a:spLocks noChangeShapeType="1"/>
        </xdr:cNvSpPr>
      </xdr:nvSpPr>
      <xdr:spPr bwMode="auto">
        <a:xfrm flipV="1">
          <a:off x="3399472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76200</xdr:colOff>
      <xdr:row>51</xdr:row>
      <xdr:rowOff>66675</xdr:rowOff>
    </xdr:from>
    <xdr:to>
      <xdr:col>50</xdr:col>
      <xdr:colOff>9525</xdr:colOff>
      <xdr:row>53</xdr:row>
      <xdr:rowOff>19050</xdr:rowOff>
    </xdr:to>
    <xdr:sp macro="" textlink="">
      <xdr:nvSpPr>
        <xdr:cNvPr id="1068502" name="Line 335">
          <a:extLst>
            <a:ext uri="{FF2B5EF4-FFF2-40B4-BE49-F238E27FC236}">
              <a16:creationId xmlns:a16="http://schemas.microsoft.com/office/drawing/2014/main" id="{00000000-0008-0000-0D00-0000D64D1000}"/>
            </a:ext>
          </a:extLst>
        </xdr:cNvPr>
        <xdr:cNvSpPr>
          <a:spLocks noChangeShapeType="1"/>
        </xdr:cNvSpPr>
      </xdr:nvSpPr>
      <xdr:spPr bwMode="auto">
        <a:xfrm>
          <a:off x="34061400" y="98964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49</xdr:col>
      <xdr:colOff>0</xdr:colOff>
      <xdr:row>50</xdr:row>
      <xdr:rowOff>0</xdr:rowOff>
    </xdr:from>
    <xdr:to>
      <xdr:col>49</xdr:col>
      <xdr:colOff>76200</xdr:colOff>
      <xdr:row>50</xdr:row>
      <xdr:rowOff>9525</xdr:rowOff>
    </xdr:to>
    <xdr:sp macro="" textlink="">
      <xdr:nvSpPr>
        <xdr:cNvPr id="1068503" name="Line 336">
          <a:extLst>
            <a:ext uri="{FF2B5EF4-FFF2-40B4-BE49-F238E27FC236}">
              <a16:creationId xmlns:a16="http://schemas.microsoft.com/office/drawing/2014/main" id="{00000000-0008-0000-0D00-0000D74D1000}"/>
            </a:ext>
          </a:extLst>
        </xdr:cNvPr>
        <xdr:cNvSpPr>
          <a:spLocks noChangeShapeType="1"/>
        </xdr:cNvSpPr>
      </xdr:nvSpPr>
      <xdr:spPr bwMode="auto">
        <a:xfrm>
          <a:off x="3398520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50</xdr:row>
      <xdr:rowOff>9525</xdr:rowOff>
    </xdr:from>
    <xdr:to>
      <xdr:col>49</xdr:col>
      <xdr:colOff>66675</xdr:colOff>
      <xdr:row>53</xdr:row>
      <xdr:rowOff>19050</xdr:rowOff>
    </xdr:to>
    <xdr:sp macro="" textlink="">
      <xdr:nvSpPr>
        <xdr:cNvPr id="1068504" name="Line 337">
          <a:extLst>
            <a:ext uri="{FF2B5EF4-FFF2-40B4-BE49-F238E27FC236}">
              <a16:creationId xmlns:a16="http://schemas.microsoft.com/office/drawing/2014/main" id="{00000000-0008-0000-0D00-0000D84D1000}"/>
            </a:ext>
          </a:extLst>
        </xdr:cNvPr>
        <xdr:cNvSpPr>
          <a:spLocks noChangeShapeType="1"/>
        </xdr:cNvSpPr>
      </xdr:nvSpPr>
      <xdr:spPr bwMode="auto">
        <a:xfrm>
          <a:off x="34051875"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9525</xdr:colOff>
      <xdr:row>53</xdr:row>
      <xdr:rowOff>0</xdr:rowOff>
    </xdr:from>
    <xdr:to>
      <xdr:col>49</xdr:col>
      <xdr:colOff>66675</xdr:colOff>
      <xdr:row>53</xdr:row>
      <xdr:rowOff>9525</xdr:rowOff>
    </xdr:to>
    <xdr:sp macro="" textlink="">
      <xdr:nvSpPr>
        <xdr:cNvPr id="1068505" name="Line 338">
          <a:extLst>
            <a:ext uri="{FF2B5EF4-FFF2-40B4-BE49-F238E27FC236}">
              <a16:creationId xmlns:a16="http://schemas.microsoft.com/office/drawing/2014/main" id="{00000000-0008-0000-0D00-0000D94D1000}"/>
            </a:ext>
          </a:extLst>
        </xdr:cNvPr>
        <xdr:cNvSpPr>
          <a:spLocks noChangeShapeType="1"/>
        </xdr:cNvSpPr>
      </xdr:nvSpPr>
      <xdr:spPr bwMode="auto">
        <a:xfrm flipV="1">
          <a:off x="3399472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76200</xdr:colOff>
      <xdr:row>49</xdr:row>
      <xdr:rowOff>161925</xdr:rowOff>
    </xdr:from>
    <xdr:to>
      <xdr:col>50</xdr:col>
      <xdr:colOff>0</xdr:colOff>
      <xdr:row>51</xdr:row>
      <xdr:rowOff>47625</xdr:rowOff>
    </xdr:to>
    <xdr:sp macro="" textlink="">
      <xdr:nvSpPr>
        <xdr:cNvPr id="1068506" name="Line 339">
          <a:extLst>
            <a:ext uri="{FF2B5EF4-FFF2-40B4-BE49-F238E27FC236}">
              <a16:creationId xmlns:a16="http://schemas.microsoft.com/office/drawing/2014/main" id="{00000000-0008-0000-0D00-0000DA4D1000}"/>
            </a:ext>
          </a:extLst>
        </xdr:cNvPr>
        <xdr:cNvSpPr>
          <a:spLocks noChangeShapeType="1"/>
        </xdr:cNvSpPr>
      </xdr:nvSpPr>
      <xdr:spPr bwMode="auto">
        <a:xfrm flipV="1">
          <a:off x="34061400" y="9629775"/>
          <a:ext cx="333375"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50</xdr:row>
      <xdr:rowOff>0</xdr:rowOff>
    </xdr:from>
    <xdr:to>
      <xdr:col>46</xdr:col>
      <xdr:colOff>76200</xdr:colOff>
      <xdr:row>50</xdr:row>
      <xdr:rowOff>9525</xdr:rowOff>
    </xdr:to>
    <xdr:sp macro="" textlink="">
      <xdr:nvSpPr>
        <xdr:cNvPr id="1068507" name="Line 340">
          <a:extLst>
            <a:ext uri="{FF2B5EF4-FFF2-40B4-BE49-F238E27FC236}">
              <a16:creationId xmlns:a16="http://schemas.microsoft.com/office/drawing/2014/main" id="{00000000-0008-0000-0D00-0000DB4D1000}"/>
            </a:ext>
          </a:extLst>
        </xdr:cNvPr>
        <xdr:cNvSpPr>
          <a:spLocks noChangeShapeType="1"/>
        </xdr:cNvSpPr>
      </xdr:nvSpPr>
      <xdr:spPr bwMode="auto">
        <a:xfrm>
          <a:off x="3188970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66675</xdr:colOff>
      <xdr:row>50</xdr:row>
      <xdr:rowOff>9525</xdr:rowOff>
    </xdr:from>
    <xdr:to>
      <xdr:col>46</xdr:col>
      <xdr:colOff>66675</xdr:colOff>
      <xdr:row>53</xdr:row>
      <xdr:rowOff>19050</xdr:rowOff>
    </xdr:to>
    <xdr:sp macro="" textlink="">
      <xdr:nvSpPr>
        <xdr:cNvPr id="1068508" name="Line 341">
          <a:extLst>
            <a:ext uri="{FF2B5EF4-FFF2-40B4-BE49-F238E27FC236}">
              <a16:creationId xmlns:a16="http://schemas.microsoft.com/office/drawing/2014/main" id="{00000000-0008-0000-0D00-0000DC4D1000}"/>
            </a:ext>
          </a:extLst>
        </xdr:cNvPr>
        <xdr:cNvSpPr>
          <a:spLocks noChangeShapeType="1"/>
        </xdr:cNvSpPr>
      </xdr:nvSpPr>
      <xdr:spPr bwMode="auto">
        <a:xfrm>
          <a:off x="31956375"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53</xdr:row>
      <xdr:rowOff>0</xdr:rowOff>
    </xdr:from>
    <xdr:to>
      <xdr:col>46</xdr:col>
      <xdr:colOff>66675</xdr:colOff>
      <xdr:row>53</xdr:row>
      <xdr:rowOff>9525</xdr:rowOff>
    </xdr:to>
    <xdr:sp macro="" textlink="">
      <xdr:nvSpPr>
        <xdr:cNvPr id="1068509" name="Line 342">
          <a:extLst>
            <a:ext uri="{FF2B5EF4-FFF2-40B4-BE49-F238E27FC236}">
              <a16:creationId xmlns:a16="http://schemas.microsoft.com/office/drawing/2014/main" id="{00000000-0008-0000-0D00-0000DD4D1000}"/>
            </a:ext>
          </a:extLst>
        </xdr:cNvPr>
        <xdr:cNvSpPr>
          <a:spLocks noChangeShapeType="1"/>
        </xdr:cNvSpPr>
      </xdr:nvSpPr>
      <xdr:spPr bwMode="auto">
        <a:xfrm flipV="1">
          <a:off x="3189922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0</xdr:colOff>
      <xdr:row>56</xdr:row>
      <xdr:rowOff>0</xdr:rowOff>
    </xdr:from>
    <xdr:to>
      <xdr:col>43</xdr:col>
      <xdr:colOff>76200</xdr:colOff>
      <xdr:row>56</xdr:row>
      <xdr:rowOff>9525</xdr:rowOff>
    </xdr:to>
    <xdr:sp macro="" textlink="">
      <xdr:nvSpPr>
        <xdr:cNvPr id="1068510" name="Line 343">
          <a:extLst>
            <a:ext uri="{FF2B5EF4-FFF2-40B4-BE49-F238E27FC236}">
              <a16:creationId xmlns:a16="http://schemas.microsoft.com/office/drawing/2014/main" id="{00000000-0008-0000-0D00-0000DE4D1000}"/>
            </a:ext>
          </a:extLst>
        </xdr:cNvPr>
        <xdr:cNvSpPr>
          <a:spLocks noChangeShapeType="1"/>
        </xdr:cNvSpPr>
      </xdr:nvSpPr>
      <xdr:spPr bwMode="auto">
        <a:xfrm>
          <a:off x="29727525"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95250</xdr:colOff>
      <xdr:row>59</xdr:row>
      <xdr:rowOff>19050</xdr:rowOff>
    </xdr:from>
    <xdr:to>
      <xdr:col>44</xdr:col>
      <xdr:colOff>9525</xdr:colOff>
      <xdr:row>62</xdr:row>
      <xdr:rowOff>19050</xdr:rowOff>
    </xdr:to>
    <xdr:sp macro="" textlink="">
      <xdr:nvSpPr>
        <xdr:cNvPr id="1068511" name="Line 363">
          <a:extLst>
            <a:ext uri="{FF2B5EF4-FFF2-40B4-BE49-F238E27FC236}">
              <a16:creationId xmlns:a16="http://schemas.microsoft.com/office/drawing/2014/main" id="{00000000-0008-0000-0D00-0000DF4D1000}"/>
            </a:ext>
          </a:extLst>
        </xdr:cNvPr>
        <xdr:cNvSpPr>
          <a:spLocks noChangeShapeType="1"/>
        </xdr:cNvSpPr>
      </xdr:nvSpPr>
      <xdr:spPr bwMode="auto">
        <a:xfrm>
          <a:off x="29822775" y="11277600"/>
          <a:ext cx="361950" cy="533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32</xdr:row>
      <xdr:rowOff>0</xdr:rowOff>
    </xdr:from>
    <xdr:to>
      <xdr:col>43</xdr:col>
      <xdr:colOff>76200</xdr:colOff>
      <xdr:row>32</xdr:row>
      <xdr:rowOff>9525</xdr:rowOff>
    </xdr:to>
    <xdr:sp macro="" textlink="">
      <xdr:nvSpPr>
        <xdr:cNvPr id="1068512" name="Line 365">
          <a:extLst>
            <a:ext uri="{FF2B5EF4-FFF2-40B4-BE49-F238E27FC236}">
              <a16:creationId xmlns:a16="http://schemas.microsoft.com/office/drawing/2014/main" id="{00000000-0008-0000-0D00-0000E04D1000}"/>
            </a:ext>
          </a:extLst>
        </xdr:cNvPr>
        <xdr:cNvSpPr>
          <a:spLocks noChangeShapeType="1"/>
        </xdr:cNvSpPr>
      </xdr:nvSpPr>
      <xdr:spPr bwMode="auto">
        <a:xfrm>
          <a:off x="2972752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66675</xdr:colOff>
      <xdr:row>32</xdr:row>
      <xdr:rowOff>9525</xdr:rowOff>
    </xdr:from>
    <xdr:to>
      <xdr:col>43</xdr:col>
      <xdr:colOff>66675</xdr:colOff>
      <xdr:row>35</xdr:row>
      <xdr:rowOff>19050</xdr:rowOff>
    </xdr:to>
    <xdr:sp macro="" textlink="">
      <xdr:nvSpPr>
        <xdr:cNvPr id="1068513" name="Line 366">
          <a:extLst>
            <a:ext uri="{FF2B5EF4-FFF2-40B4-BE49-F238E27FC236}">
              <a16:creationId xmlns:a16="http://schemas.microsoft.com/office/drawing/2014/main" id="{00000000-0008-0000-0D00-0000E14D1000}"/>
            </a:ext>
          </a:extLst>
        </xdr:cNvPr>
        <xdr:cNvSpPr>
          <a:spLocks noChangeShapeType="1"/>
        </xdr:cNvSpPr>
      </xdr:nvSpPr>
      <xdr:spPr bwMode="auto">
        <a:xfrm>
          <a:off x="2979420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9525</xdr:colOff>
      <xdr:row>35</xdr:row>
      <xdr:rowOff>0</xdr:rowOff>
    </xdr:from>
    <xdr:to>
      <xdr:col>43</xdr:col>
      <xdr:colOff>66675</xdr:colOff>
      <xdr:row>35</xdr:row>
      <xdr:rowOff>9525</xdr:rowOff>
    </xdr:to>
    <xdr:sp macro="" textlink="">
      <xdr:nvSpPr>
        <xdr:cNvPr id="1068514" name="Line 367">
          <a:extLst>
            <a:ext uri="{FF2B5EF4-FFF2-40B4-BE49-F238E27FC236}">
              <a16:creationId xmlns:a16="http://schemas.microsoft.com/office/drawing/2014/main" id="{00000000-0008-0000-0D00-0000E24D1000}"/>
            </a:ext>
          </a:extLst>
        </xdr:cNvPr>
        <xdr:cNvSpPr>
          <a:spLocks noChangeShapeType="1"/>
        </xdr:cNvSpPr>
      </xdr:nvSpPr>
      <xdr:spPr bwMode="auto">
        <a:xfrm flipV="1">
          <a:off x="2973705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0</xdr:colOff>
      <xdr:row>32</xdr:row>
      <xdr:rowOff>0</xdr:rowOff>
    </xdr:from>
    <xdr:to>
      <xdr:col>46</xdr:col>
      <xdr:colOff>76200</xdr:colOff>
      <xdr:row>32</xdr:row>
      <xdr:rowOff>9525</xdr:rowOff>
    </xdr:to>
    <xdr:sp macro="" textlink="">
      <xdr:nvSpPr>
        <xdr:cNvPr id="1068515" name="Line 368">
          <a:extLst>
            <a:ext uri="{FF2B5EF4-FFF2-40B4-BE49-F238E27FC236}">
              <a16:creationId xmlns:a16="http://schemas.microsoft.com/office/drawing/2014/main" id="{00000000-0008-0000-0D00-0000E34D1000}"/>
            </a:ext>
          </a:extLst>
        </xdr:cNvPr>
        <xdr:cNvSpPr>
          <a:spLocks noChangeShapeType="1"/>
        </xdr:cNvSpPr>
      </xdr:nvSpPr>
      <xdr:spPr bwMode="auto">
        <a:xfrm>
          <a:off x="318897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35</xdr:row>
      <xdr:rowOff>0</xdr:rowOff>
    </xdr:from>
    <xdr:to>
      <xdr:col>46</xdr:col>
      <xdr:colOff>66675</xdr:colOff>
      <xdr:row>35</xdr:row>
      <xdr:rowOff>9525</xdr:rowOff>
    </xdr:to>
    <xdr:sp macro="" textlink="">
      <xdr:nvSpPr>
        <xdr:cNvPr id="1068516" name="Line 370">
          <a:extLst>
            <a:ext uri="{FF2B5EF4-FFF2-40B4-BE49-F238E27FC236}">
              <a16:creationId xmlns:a16="http://schemas.microsoft.com/office/drawing/2014/main" id="{00000000-0008-0000-0D00-0000E44D1000}"/>
            </a:ext>
          </a:extLst>
        </xdr:cNvPr>
        <xdr:cNvSpPr>
          <a:spLocks noChangeShapeType="1"/>
        </xdr:cNvSpPr>
      </xdr:nvSpPr>
      <xdr:spPr bwMode="auto">
        <a:xfrm flipV="1">
          <a:off x="318992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32</xdr:row>
      <xdr:rowOff>0</xdr:rowOff>
    </xdr:from>
    <xdr:to>
      <xdr:col>49</xdr:col>
      <xdr:colOff>76200</xdr:colOff>
      <xdr:row>32</xdr:row>
      <xdr:rowOff>9525</xdr:rowOff>
    </xdr:to>
    <xdr:sp macro="" textlink="">
      <xdr:nvSpPr>
        <xdr:cNvPr id="1068517" name="Line 371">
          <a:extLst>
            <a:ext uri="{FF2B5EF4-FFF2-40B4-BE49-F238E27FC236}">
              <a16:creationId xmlns:a16="http://schemas.microsoft.com/office/drawing/2014/main" id="{00000000-0008-0000-0D00-0000E54D1000}"/>
            </a:ext>
          </a:extLst>
        </xdr:cNvPr>
        <xdr:cNvSpPr>
          <a:spLocks noChangeShapeType="1"/>
        </xdr:cNvSpPr>
      </xdr:nvSpPr>
      <xdr:spPr bwMode="auto">
        <a:xfrm>
          <a:off x="339852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32</xdr:row>
      <xdr:rowOff>9525</xdr:rowOff>
    </xdr:from>
    <xdr:to>
      <xdr:col>49</xdr:col>
      <xdr:colOff>66675</xdr:colOff>
      <xdr:row>35</xdr:row>
      <xdr:rowOff>19050</xdr:rowOff>
    </xdr:to>
    <xdr:sp macro="" textlink="">
      <xdr:nvSpPr>
        <xdr:cNvPr id="1068518" name="Line 372">
          <a:extLst>
            <a:ext uri="{FF2B5EF4-FFF2-40B4-BE49-F238E27FC236}">
              <a16:creationId xmlns:a16="http://schemas.microsoft.com/office/drawing/2014/main" id="{00000000-0008-0000-0D00-0000E64D1000}"/>
            </a:ext>
          </a:extLst>
        </xdr:cNvPr>
        <xdr:cNvSpPr>
          <a:spLocks noChangeShapeType="1"/>
        </xdr:cNvSpPr>
      </xdr:nvSpPr>
      <xdr:spPr bwMode="auto">
        <a:xfrm>
          <a:off x="3405187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9525</xdr:colOff>
      <xdr:row>35</xdr:row>
      <xdr:rowOff>0</xdr:rowOff>
    </xdr:from>
    <xdr:to>
      <xdr:col>49</xdr:col>
      <xdr:colOff>66675</xdr:colOff>
      <xdr:row>35</xdr:row>
      <xdr:rowOff>9525</xdr:rowOff>
    </xdr:to>
    <xdr:sp macro="" textlink="">
      <xdr:nvSpPr>
        <xdr:cNvPr id="1068519" name="Line 373">
          <a:extLst>
            <a:ext uri="{FF2B5EF4-FFF2-40B4-BE49-F238E27FC236}">
              <a16:creationId xmlns:a16="http://schemas.microsoft.com/office/drawing/2014/main" id="{00000000-0008-0000-0D00-0000E74D1000}"/>
            </a:ext>
          </a:extLst>
        </xdr:cNvPr>
        <xdr:cNvSpPr>
          <a:spLocks noChangeShapeType="1"/>
        </xdr:cNvSpPr>
      </xdr:nvSpPr>
      <xdr:spPr bwMode="auto">
        <a:xfrm flipV="1">
          <a:off x="339947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32</xdr:row>
      <xdr:rowOff>0</xdr:rowOff>
    </xdr:from>
    <xdr:to>
      <xdr:col>49</xdr:col>
      <xdr:colOff>76200</xdr:colOff>
      <xdr:row>32</xdr:row>
      <xdr:rowOff>9525</xdr:rowOff>
    </xdr:to>
    <xdr:sp macro="" textlink="">
      <xdr:nvSpPr>
        <xdr:cNvPr id="1068520" name="Line 374">
          <a:extLst>
            <a:ext uri="{FF2B5EF4-FFF2-40B4-BE49-F238E27FC236}">
              <a16:creationId xmlns:a16="http://schemas.microsoft.com/office/drawing/2014/main" id="{00000000-0008-0000-0D00-0000E84D1000}"/>
            </a:ext>
          </a:extLst>
        </xdr:cNvPr>
        <xdr:cNvSpPr>
          <a:spLocks noChangeShapeType="1"/>
        </xdr:cNvSpPr>
      </xdr:nvSpPr>
      <xdr:spPr bwMode="auto">
        <a:xfrm>
          <a:off x="339852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32</xdr:row>
      <xdr:rowOff>9525</xdr:rowOff>
    </xdr:from>
    <xdr:to>
      <xdr:col>49</xdr:col>
      <xdr:colOff>66675</xdr:colOff>
      <xdr:row>35</xdr:row>
      <xdr:rowOff>19050</xdr:rowOff>
    </xdr:to>
    <xdr:sp macro="" textlink="">
      <xdr:nvSpPr>
        <xdr:cNvPr id="1068521" name="Line 375">
          <a:extLst>
            <a:ext uri="{FF2B5EF4-FFF2-40B4-BE49-F238E27FC236}">
              <a16:creationId xmlns:a16="http://schemas.microsoft.com/office/drawing/2014/main" id="{00000000-0008-0000-0D00-0000E94D1000}"/>
            </a:ext>
          </a:extLst>
        </xdr:cNvPr>
        <xdr:cNvSpPr>
          <a:spLocks noChangeShapeType="1"/>
        </xdr:cNvSpPr>
      </xdr:nvSpPr>
      <xdr:spPr bwMode="auto">
        <a:xfrm>
          <a:off x="3405187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9525</xdr:colOff>
      <xdr:row>35</xdr:row>
      <xdr:rowOff>0</xdr:rowOff>
    </xdr:from>
    <xdr:to>
      <xdr:col>49</xdr:col>
      <xdr:colOff>66675</xdr:colOff>
      <xdr:row>35</xdr:row>
      <xdr:rowOff>9525</xdr:rowOff>
    </xdr:to>
    <xdr:sp macro="" textlink="">
      <xdr:nvSpPr>
        <xdr:cNvPr id="1068522" name="Line 376">
          <a:extLst>
            <a:ext uri="{FF2B5EF4-FFF2-40B4-BE49-F238E27FC236}">
              <a16:creationId xmlns:a16="http://schemas.microsoft.com/office/drawing/2014/main" id="{00000000-0008-0000-0D00-0000EA4D1000}"/>
            </a:ext>
          </a:extLst>
        </xdr:cNvPr>
        <xdr:cNvSpPr>
          <a:spLocks noChangeShapeType="1"/>
        </xdr:cNvSpPr>
      </xdr:nvSpPr>
      <xdr:spPr bwMode="auto">
        <a:xfrm flipV="1">
          <a:off x="339947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76200</xdr:colOff>
      <xdr:row>33</xdr:row>
      <xdr:rowOff>66675</xdr:rowOff>
    </xdr:from>
    <xdr:to>
      <xdr:col>50</xdr:col>
      <xdr:colOff>9525</xdr:colOff>
      <xdr:row>35</xdr:row>
      <xdr:rowOff>19050</xdr:rowOff>
    </xdr:to>
    <xdr:sp macro="" textlink="">
      <xdr:nvSpPr>
        <xdr:cNvPr id="1068523" name="Line 377">
          <a:extLst>
            <a:ext uri="{FF2B5EF4-FFF2-40B4-BE49-F238E27FC236}">
              <a16:creationId xmlns:a16="http://schemas.microsoft.com/office/drawing/2014/main" id="{00000000-0008-0000-0D00-0000EB4D1000}"/>
            </a:ext>
          </a:extLst>
        </xdr:cNvPr>
        <xdr:cNvSpPr>
          <a:spLocks noChangeShapeType="1"/>
        </xdr:cNvSpPr>
      </xdr:nvSpPr>
      <xdr:spPr bwMode="auto">
        <a:xfrm>
          <a:off x="34061400" y="66389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49</xdr:col>
      <xdr:colOff>0</xdr:colOff>
      <xdr:row>32</xdr:row>
      <xdr:rowOff>0</xdr:rowOff>
    </xdr:from>
    <xdr:to>
      <xdr:col>49</xdr:col>
      <xdr:colOff>76200</xdr:colOff>
      <xdr:row>32</xdr:row>
      <xdr:rowOff>9525</xdr:rowOff>
    </xdr:to>
    <xdr:sp macro="" textlink="">
      <xdr:nvSpPr>
        <xdr:cNvPr id="1068524" name="Line 378">
          <a:extLst>
            <a:ext uri="{FF2B5EF4-FFF2-40B4-BE49-F238E27FC236}">
              <a16:creationId xmlns:a16="http://schemas.microsoft.com/office/drawing/2014/main" id="{00000000-0008-0000-0D00-0000EC4D1000}"/>
            </a:ext>
          </a:extLst>
        </xdr:cNvPr>
        <xdr:cNvSpPr>
          <a:spLocks noChangeShapeType="1"/>
        </xdr:cNvSpPr>
      </xdr:nvSpPr>
      <xdr:spPr bwMode="auto">
        <a:xfrm>
          <a:off x="339852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32</xdr:row>
      <xdr:rowOff>9525</xdr:rowOff>
    </xdr:from>
    <xdr:to>
      <xdr:col>49</xdr:col>
      <xdr:colOff>66675</xdr:colOff>
      <xdr:row>35</xdr:row>
      <xdr:rowOff>19050</xdr:rowOff>
    </xdr:to>
    <xdr:sp macro="" textlink="">
      <xdr:nvSpPr>
        <xdr:cNvPr id="1068525" name="Line 379">
          <a:extLst>
            <a:ext uri="{FF2B5EF4-FFF2-40B4-BE49-F238E27FC236}">
              <a16:creationId xmlns:a16="http://schemas.microsoft.com/office/drawing/2014/main" id="{00000000-0008-0000-0D00-0000ED4D1000}"/>
            </a:ext>
          </a:extLst>
        </xdr:cNvPr>
        <xdr:cNvSpPr>
          <a:spLocks noChangeShapeType="1"/>
        </xdr:cNvSpPr>
      </xdr:nvSpPr>
      <xdr:spPr bwMode="auto">
        <a:xfrm>
          <a:off x="3405187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9525</xdr:colOff>
      <xdr:row>35</xdr:row>
      <xdr:rowOff>0</xdr:rowOff>
    </xdr:from>
    <xdr:to>
      <xdr:col>49</xdr:col>
      <xdr:colOff>66675</xdr:colOff>
      <xdr:row>35</xdr:row>
      <xdr:rowOff>9525</xdr:rowOff>
    </xdr:to>
    <xdr:sp macro="" textlink="">
      <xdr:nvSpPr>
        <xdr:cNvPr id="1068526" name="Line 380">
          <a:extLst>
            <a:ext uri="{FF2B5EF4-FFF2-40B4-BE49-F238E27FC236}">
              <a16:creationId xmlns:a16="http://schemas.microsoft.com/office/drawing/2014/main" id="{00000000-0008-0000-0D00-0000EE4D1000}"/>
            </a:ext>
          </a:extLst>
        </xdr:cNvPr>
        <xdr:cNvSpPr>
          <a:spLocks noChangeShapeType="1"/>
        </xdr:cNvSpPr>
      </xdr:nvSpPr>
      <xdr:spPr bwMode="auto">
        <a:xfrm flipV="1">
          <a:off x="339947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0</xdr:colOff>
      <xdr:row>32</xdr:row>
      <xdr:rowOff>0</xdr:rowOff>
    </xdr:from>
    <xdr:to>
      <xdr:col>46</xdr:col>
      <xdr:colOff>76200</xdr:colOff>
      <xdr:row>32</xdr:row>
      <xdr:rowOff>9525</xdr:rowOff>
    </xdr:to>
    <xdr:sp macro="" textlink="">
      <xdr:nvSpPr>
        <xdr:cNvPr id="1068527" name="Line 382">
          <a:extLst>
            <a:ext uri="{FF2B5EF4-FFF2-40B4-BE49-F238E27FC236}">
              <a16:creationId xmlns:a16="http://schemas.microsoft.com/office/drawing/2014/main" id="{00000000-0008-0000-0D00-0000EF4D1000}"/>
            </a:ext>
          </a:extLst>
        </xdr:cNvPr>
        <xdr:cNvSpPr>
          <a:spLocks noChangeShapeType="1"/>
        </xdr:cNvSpPr>
      </xdr:nvSpPr>
      <xdr:spPr bwMode="auto">
        <a:xfrm>
          <a:off x="318897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35</xdr:row>
      <xdr:rowOff>0</xdr:rowOff>
    </xdr:from>
    <xdr:to>
      <xdr:col>46</xdr:col>
      <xdr:colOff>66675</xdr:colOff>
      <xdr:row>35</xdr:row>
      <xdr:rowOff>9525</xdr:rowOff>
    </xdr:to>
    <xdr:sp macro="" textlink="">
      <xdr:nvSpPr>
        <xdr:cNvPr id="1068528" name="Line 384">
          <a:extLst>
            <a:ext uri="{FF2B5EF4-FFF2-40B4-BE49-F238E27FC236}">
              <a16:creationId xmlns:a16="http://schemas.microsoft.com/office/drawing/2014/main" id="{00000000-0008-0000-0D00-0000F04D1000}"/>
            </a:ext>
          </a:extLst>
        </xdr:cNvPr>
        <xdr:cNvSpPr>
          <a:spLocks noChangeShapeType="1"/>
        </xdr:cNvSpPr>
      </xdr:nvSpPr>
      <xdr:spPr bwMode="auto">
        <a:xfrm flipV="1">
          <a:off x="318992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66675</xdr:colOff>
      <xdr:row>34</xdr:row>
      <xdr:rowOff>142875</xdr:rowOff>
    </xdr:from>
    <xdr:to>
      <xdr:col>43</xdr:col>
      <xdr:colOff>438150</xdr:colOff>
      <xdr:row>39</xdr:row>
      <xdr:rowOff>76200</xdr:rowOff>
    </xdr:to>
    <xdr:sp macro="" textlink="">
      <xdr:nvSpPr>
        <xdr:cNvPr id="1068529" name="Line 386">
          <a:extLst>
            <a:ext uri="{FF2B5EF4-FFF2-40B4-BE49-F238E27FC236}">
              <a16:creationId xmlns:a16="http://schemas.microsoft.com/office/drawing/2014/main" id="{00000000-0008-0000-0D00-0000F14D1000}"/>
            </a:ext>
          </a:extLst>
        </xdr:cNvPr>
        <xdr:cNvSpPr>
          <a:spLocks noChangeShapeType="1"/>
        </xdr:cNvSpPr>
      </xdr:nvSpPr>
      <xdr:spPr bwMode="auto">
        <a:xfrm flipV="1">
          <a:off x="29794200" y="6896100"/>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66675</xdr:colOff>
      <xdr:row>39</xdr:row>
      <xdr:rowOff>95250</xdr:rowOff>
    </xdr:from>
    <xdr:to>
      <xdr:col>44</xdr:col>
      <xdr:colOff>0</xdr:colOff>
      <xdr:row>43</xdr:row>
      <xdr:rowOff>171450</xdr:rowOff>
    </xdr:to>
    <xdr:sp macro="" textlink="">
      <xdr:nvSpPr>
        <xdr:cNvPr id="1068530" name="Line 387">
          <a:extLst>
            <a:ext uri="{FF2B5EF4-FFF2-40B4-BE49-F238E27FC236}">
              <a16:creationId xmlns:a16="http://schemas.microsoft.com/office/drawing/2014/main" id="{00000000-0008-0000-0D00-0000F24D1000}"/>
            </a:ext>
          </a:extLst>
        </xdr:cNvPr>
        <xdr:cNvSpPr>
          <a:spLocks noChangeShapeType="1"/>
        </xdr:cNvSpPr>
      </xdr:nvSpPr>
      <xdr:spPr bwMode="auto">
        <a:xfrm>
          <a:off x="29794200" y="7753350"/>
          <a:ext cx="3810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66675</xdr:colOff>
      <xdr:row>40</xdr:row>
      <xdr:rowOff>161925</xdr:rowOff>
    </xdr:from>
    <xdr:to>
      <xdr:col>43</xdr:col>
      <xdr:colOff>438150</xdr:colOff>
      <xdr:row>45</xdr:row>
      <xdr:rowOff>95250</xdr:rowOff>
    </xdr:to>
    <xdr:sp macro="" textlink="">
      <xdr:nvSpPr>
        <xdr:cNvPr id="1068531" name="Line 388">
          <a:extLst>
            <a:ext uri="{FF2B5EF4-FFF2-40B4-BE49-F238E27FC236}">
              <a16:creationId xmlns:a16="http://schemas.microsoft.com/office/drawing/2014/main" id="{00000000-0008-0000-0D00-0000F34D1000}"/>
            </a:ext>
          </a:extLst>
        </xdr:cNvPr>
        <xdr:cNvSpPr>
          <a:spLocks noChangeShapeType="1"/>
        </xdr:cNvSpPr>
      </xdr:nvSpPr>
      <xdr:spPr bwMode="auto">
        <a:xfrm flipV="1">
          <a:off x="29794200" y="8001000"/>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66675</xdr:colOff>
      <xdr:row>45</xdr:row>
      <xdr:rowOff>95250</xdr:rowOff>
    </xdr:from>
    <xdr:to>
      <xdr:col>44</xdr:col>
      <xdr:colOff>0</xdr:colOff>
      <xdr:row>49</xdr:row>
      <xdr:rowOff>171450</xdr:rowOff>
    </xdr:to>
    <xdr:sp macro="" textlink="">
      <xdr:nvSpPr>
        <xdr:cNvPr id="1068532" name="Line 389">
          <a:extLst>
            <a:ext uri="{FF2B5EF4-FFF2-40B4-BE49-F238E27FC236}">
              <a16:creationId xmlns:a16="http://schemas.microsoft.com/office/drawing/2014/main" id="{00000000-0008-0000-0D00-0000F44D1000}"/>
            </a:ext>
          </a:extLst>
        </xdr:cNvPr>
        <xdr:cNvSpPr>
          <a:spLocks noChangeShapeType="1"/>
        </xdr:cNvSpPr>
      </xdr:nvSpPr>
      <xdr:spPr bwMode="auto">
        <a:xfrm>
          <a:off x="29794200" y="8839200"/>
          <a:ext cx="3810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66675</xdr:colOff>
      <xdr:row>51</xdr:row>
      <xdr:rowOff>57150</xdr:rowOff>
    </xdr:from>
    <xdr:to>
      <xdr:col>44</xdr:col>
      <xdr:colOff>0</xdr:colOff>
      <xdr:row>56</xdr:row>
      <xdr:rowOff>19050</xdr:rowOff>
    </xdr:to>
    <xdr:sp macro="" textlink="">
      <xdr:nvSpPr>
        <xdr:cNvPr id="1068533" name="Line 390">
          <a:extLst>
            <a:ext uri="{FF2B5EF4-FFF2-40B4-BE49-F238E27FC236}">
              <a16:creationId xmlns:a16="http://schemas.microsoft.com/office/drawing/2014/main" id="{00000000-0008-0000-0D00-0000F54D1000}"/>
            </a:ext>
          </a:extLst>
        </xdr:cNvPr>
        <xdr:cNvSpPr>
          <a:spLocks noChangeShapeType="1"/>
        </xdr:cNvSpPr>
      </xdr:nvSpPr>
      <xdr:spPr bwMode="auto">
        <a:xfrm>
          <a:off x="29794200" y="9886950"/>
          <a:ext cx="38100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66675</xdr:colOff>
      <xdr:row>46</xdr:row>
      <xdr:rowOff>152400</xdr:rowOff>
    </xdr:from>
    <xdr:to>
      <xdr:col>43</xdr:col>
      <xdr:colOff>438150</xdr:colOff>
      <xdr:row>51</xdr:row>
      <xdr:rowOff>85725</xdr:rowOff>
    </xdr:to>
    <xdr:sp macro="" textlink="">
      <xdr:nvSpPr>
        <xdr:cNvPr id="1068534" name="Line 391">
          <a:extLst>
            <a:ext uri="{FF2B5EF4-FFF2-40B4-BE49-F238E27FC236}">
              <a16:creationId xmlns:a16="http://schemas.microsoft.com/office/drawing/2014/main" id="{00000000-0008-0000-0D00-0000F64D1000}"/>
            </a:ext>
          </a:extLst>
        </xdr:cNvPr>
        <xdr:cNvSpPr>
          <a:spLocks noChangeShapeType="1"/>
        </xdr:cNvSpPr>
      </xdr:nvSpPr>
      <xdr:spPr bwMode="auto">
        <a:xfrm flipV="1">
          <a:off x="29794200" y="9077325"/>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76200</xdr:colOff>
      <xdr:row>52</xdr:row>
      <xdr:rowOff>152400</xdr:rowOff>
    </xdr:from>
    <xdr:to>
      <xdr:col>44</xdr:col>
      <xdr:colOff>0</xdr:colOff>
      <xdr:row>58</xdr:row>
      <xdr:rowOff>161925</xdr:rowOff>
    </xdr:to>
    <xdr:sp macro="" textlink="">
      <xdr:nvSpPr>
        <xdr:cNvPr id="1068535" name="Line 392">
          <a:extLst>
            <a:ext uri="{FF2B5EF4-FFF2-40B4-BE49-F238E27FC236}">
              <a16:creationId xmlns:a16="http://schemas.microsoft.com/office/drawing/2014/main" id="{00000000-0008-0000-0D00-0000F74D1000}"/>
            </a:ext>
          </a:extLst>
        </xdr:cNvPr>
        <xdr:cNvSpPr>
          <a:spLocks noChangeShapeType="1"/>
        </xdr:cNvSpPr>
      </xdr:nvSpPr>
      <xdr:spPr bwMode="auto">
        <a:xfrm flipV="1">
          <a:off x="29803725" y="10163175"/>
          <a:ext cx="371475" cy="1095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76200</xdr:colOff>
      <xdr:row>35</xdr:row>
      <xdr:rowOff>0</xdr:rowOff>
    </xdr:from>
    <xdr:to>
      <xdr:col>47</xdr:col>
      <xdr:colOff>0</xdr:colOff>
      <xdr:row>39</xdr:row>
      <xdr:rowOff>66675</xdr:rowOff>
    </xdr:to>
    <xdr:sp macro="" textlink="">
      <xdr:nvSpPr>
        <xdr:cNvPr id="1068536" name="Line 393">
          <a:extLst>
            <a:ext uri="{FF2B5EF4-FFF2-40B4-BE49-F238E27FC236}">
              <a16:creationId xmlns:a16="http://schemas.microsoft.com/office/drawing/2014/main" id="{00000000-0008-0000-0D00-0000F84D1000}"/>
            </a:ext>
          </a:extLst>
        </xdr:cNvPr>
        <xdr:cNvSpPr>
          <a:spLocks noChangeShapeType="1"/>
        </xdr:cNvSpPr>
      </xdr:nvSpPr>
      <xdr:spPr bwMode="auto">
        <a:xfrm flipV="1">
          <a:off x="31965900" y="6934200"/>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76200</xdr:colOff>
      <xdr:row>40</xdr:row>
      <xdr:rowOff>171450</xdr:rowOff>
    </xdr:from>
    <xdr:to>
      <xdr:col>47</xdr:col>
      <xdr:colOff>0</xdr:colOff>
      <xdr:row>45</xdr:row>
      <xdr:rowOff>57150</xdr:rowOff>
    </xdr:to>
    <xdr:sp macro="" textlink="">
      <xdr:nvSpPr>
        <xdr:cNvPr id="1068537" name="Line 394">
          <a:extLst>
            <a:ext uri="{FF2B5EF4-FFF2-40B4-BE49-F238E27FC236}">
              <a16:creationId xmlns:a16="http://schemas.microsoft.com/office/drawing/2014/main" id="{00000000-0008-0000-0D00-0000F94D1000}"/>
            </a:ext>
          </a:extLst>
        </xdr:cNvPr>
        <xdr:cNvSpPr>
          <a:spLocks noChangeShapeType="1"/>
        </xdr:cNvSpPr>
      </xdr:nvSpPr>
      <xdr:spPr bwMode="auto">
        <a:xfrm flipV="1">
          <a:off x="31965900" y="8010525"/>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76200</xdr:colOff>
      <xdr:row>46</xdr:row>
      <xdr:rowOff>171450</xdr:rowOff>
    </xdr:from>
    <xdr:to>
      <xdr:col>47</xdr:col>
      <xdr:colOff>0</xdr:colOff>
      <xdr:row>51</xdr:row>
      <xdr:rowOff>57150</xdr:rowOff>
    </xdr:to>
    <xdr:sp macro="" textlink="">
      <xdr:nvSpPr>
        <xdr:cNvPr id="1068538" name="Line 395">
          <a:extLst>
            <a:ext uri="{FF2B5EF4-FFF2-40B4-BE49-F238E27FC236}">
              <a16:creationId xmlns:a16="http://schemas.microsoft.com/office/drawing/2014/main" id="{00000000-0008-0000-0D00-0000FA4D1000}"/>
            </a:ext>
          </a:extLst>
        </xdr:cNvPr>
        <xdr:cNvSpPr>
          <a:spLocks noChangeShapeType="1"/>
        </xdr:cNvSpPr>
      </xdr:nvSpPr>
      <xdr:spPr bwMode="auto">
        <a:xfrm flipV="1">
          <a:off x="31965900" y="9096375"/>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57150</xdr:colOff>
      <xdr:row>39</xdr:row>
      <xdr:rowOff>76200</xdr:rowOff>
    </xdr:from>
    <xdr:to>
      <xdr:col>46</xdr:col>
      <xdr:colOff>400050</xdr:colOff>
      <xdr:row>44</xdr:row>
      <xdr:rowOff>0</xdr:rowOff>
    </xdr:to>
    <xdr:sp macro="" textlink="">
      <xdr:nvSpPr>
        <xdr:cNvPr id="1068539" name="Line 397">
          <a:extLst>
            <a:ext uri="{FF2B5EF4-FFF2-40B4-BE49-F238E27FC236}">
              <a16:creationId xmlns:a16="http://schemas.microsoft.com/office/drawing/2014/main" id="{00000000-0008-0000-0D00-0000FB4D1000}"/>
            </a:ext>
          </a:extLst>
        </xdr:cNvPr>
        <xdr:cNvSpPr>
          <a:spLocks noChangeShapeType="1"/>
        </xdr:cNvSpPr>
      </xdr:nvSpPr>
      <xdr:spPr bwMode="auto">
        <a:xfrm>
          <a:off x="31946850" y="7734300"/>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66675</xdr:colOff>
      <xdr:row>45</xdr:row>
      <xdr:rowOff>85725</xdr:rowOff>
    </xdr:from>
    <xdr:to>
      <xdr:col>47</xdr:col>
      <xdr:colOff>0</xdr:colOff>
      <xdr:row>50</xdr:row>
      <xdr:rowOff>9525</xdr:rowOff>
    </xdr:to>
    <xdr:sp macro="" textlink="">
      <xdr:nvSpPr>
        <xdr:cNvPr id="1068540" name="Line 398">
          <a:extLst>
            <a:ext uri="{FF2B5EF4-FFF2-40B4-BE49-F238E27FC236}">
              <a16:creationId xmlns:a16="http://schemas.microsoft.com/office/drawing/2014/main" id="{00000000-0008-0000-0D00-0000FC4D1000}"/>
            </a:ext>
          </a:extLst>
        </xdr:cNvPr>
        <xdr:cNvSpPr>
          <a:spLocks noChangeShapeType="1"/>
        </xdr:cNvSpPr>
      </xdr:nvSpPr>
      <xdr:spPr bwMode="auto">
        <a:xfrm>
          <a:off x="31956375" y="8829675"/>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76200</xdr:colOff>
      <xdr:row>51</xdr:row>
      <xdr:rowOff>57150</xdr:rowOff>
    </xdr:from>
    <xdr:to>
      <xdr:col>47</xdr:col>
      <xdr:colOff>0</xdr:colOff>
      <xdr:row>56</xdr:row>
      <xdr:rowOff>28575</xdr:rowOff>
    </xdr:to>
    <xdr:sp macro="" textlink="">
      <xdr:nvSpPr>
        <xdr:cNvPr id="1068541" name="Line 399">
          <a:extLst>
            <a:ext uri="{FF2B5EF4-FFF2-40B4-BE49-F238E27FC236}">
              <a16:creationId xmlns:a16="http://schemas.microsoft.com/office/drawing/2014/main" id="{00000000-0008-0000-0D00-0000FD4D1000}"/>
            </a:ext>
          </a:extLst>
        </xdr:cNvPr>
        <xdr:cNvSpPr>
          <a:spLocks noChangeShapeType="1"/>
        </xdr:cNvSpPr>
      </xdr:nvSpPr>
      <xdr:spPr bwMode="auto">
        <a:xfrm>
          <a:off x="31965900" y="9886950"/>
          <a:ext cx="333375" cy="8763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76200</xdr:colOff>
      <xdr:row>59</xdr:row>
      <xdr:rowOff>9525</xdr:rowOff>
    </xdr:from>
    <xdr:to>
      <xdr:col>44</xdr:col>
      <xdr:colOff>0</xdr:colOff>
      <xdr:row>59</xdr:row>
      <xdr:rowOff>9525</xdr:rowOff>
    </xdr:to>
    <xdr:sp macro="" textlink="">
      <xdr:nvSpPr>
        <xdr:cNvPr id="1068542" name="Line 392">
          <a:extLst>
            <a:ext uri="{FF2B5EF4-FFF2-40B4-BE49-F238E27FC236}">
              <a16:creationId xmlns:a16="http://schemas.microsoft.com/office/drawing/2014/main" id="{00000000-0008-0000-0D00-0000FE4D1000}"/>
            </a:ext>
          </a:extLst>
        </xdr:cNvPr>
        <xdr:cNvSpPr>
          <a:spLocks noChangeShapeType="1"/>
        </xdr:cNvSpPr>
      </xdr:nvSpPr>
      <xdr:spPr bwMode="auto">
        <a:xfrm>
          <a:off x="29803725" y="11268075"/>
          <a:ext cx="3714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56</xdr:row>
      <xdr:rowOff>28575</xdr:rowOff>
    </xdr:from>
    <xdr:to>
      <xdr:col>46</xdr:col>
      <xdr:colOff>76200</xdr:colOff>
      <xdr:row>56</xdr:row>
      <xdr:rowOff>38100</xdr:rowOff>
    </xdr:to>
    <xdr:sp macro="" textlink="">
      <xdr:nvSpPr>
        <xdr:cNvPr id="1068543" name="Line 343">
          <a:extLst>
            <a:ext uri="{FF2B5EF4-FFF2-40B4-BE49-F238E27FC236}">
              <a16:creationId xmlns:a16="http://schemas.microsoft.com/office/drawing/2014/main" id="{00000000-0008-0000-0D00-0000FF4D1000}"/>
            </a:ext>
          </a:extLst>
        </xdr:cNvPr>
        <xdr:cNvSpPr>
          <a:spLocks noChangeShapeType="1"/>
        </xdr:cNvSpPr>
      </xdr:nvSpPr>
      <xdr:spPr bwMode="auto">
        <a:xfrm>
          <a:off x="31889700" y="1076325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47625</xdr:colOff>
      <xdr:row>59</xdr:row>
      <xdr:rowOff>38100</xdr:rowOff>
    </xdr:from>
    <xdr:to>
      <xdr:col>46</xdr:col>
      <xdr:colOff>400050</xdr:colOff>
      <xdr:row>62</xdr:row>
      <xdr:rowOff>0</xdr:rowOff>
    </xdr:to>
    <xdr:sp macro="" textlink="">
      <xdr:nvSpPr>
        <xdr:cNvPr id="1068544" name="Line 363">
          <a:extLst>
            <a:ext uri="{FF2B5EF4-FFF2-40B4-BE49-F238E27FC236}">
              <a16:creationId xmlns:a16="http://schemas.microsoft.com/office/drawing/2014/main" id="{00000000-0008-0000-0D00-0000004E1000}"/>
            </a:ext>
          </a:extLst>
        </xdr:cNvPr>
        <xdr:cNvSpPr>
          <a:spLocks noChangeShapeType="1"/>
        </xdr:cNvSpPr>
      </xdr:nvSpPr>
      <xdr:spPr bwMode="auto">
        <a:xfrm>
          <a:off x="31937325" y="11296650"/>
          <a:ext cx="352425" cy="495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57150</xdr:colOff>
      <xdr:row>53</xdr:row>
      <xdr:rowOff>19050</xdr:rowOff>
    </xdr:from>
    <xdr:to>
      <xdr:col>46</xdr:col>
      <xdr:colOff>400050</xdr:colOff>
      <xdr:row>59</xdr:row>
      <xdr:rowOff>28575</xdr:rowOff>
    </xdr:to>
    <xdr:sp macro="" textlink="">
      <xdr:nvSpPr>
        <xdr:cNvPr id="1068545" name="Line 392">
          <a:extLst>
            <a:ext uri="{FF2B5EF4-FFF2-40B4-BE49-F238E27FC236}">
              <a16:creationId xmlns:a16="http://schemas.microsoft.com/office/drawing/2014/main" id="{00000000-0008-0000-0D00-0000014E1000}"/>
            </a:ext>
          </a:extLst>
        </xdr:cNvPr>
        <xdr:cNvSpPr>
          <a:spLocks noChangeShapeType="1"/>
        </xdr:cNvSpPr>
      </xdr:nvSpPr>
      <xdr:spPr bwMode="auto">
        <a:xfrm flipV="1">
          <a:off x="31946850" y="10210800"/>
          <a:ext cx="342900" cy="1076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76200</xdr:colOff>
      <xdr:row>59</xdr:row>
      <xdr:rowOff>38100</xdr:rowOff>
    </xdr:from>
    <xdr:to>
      <xdr:col>47</xdr:col>
      <xdr:colOff>0</xdr:colOff>
      <xdr:row>59</xdr:row>
      <xdr:rowOff>38100</xdr:rowOff>
    </xdr:to>
    <xdr:sp macro="" textlink="">
      <xdr:nvSpPr>
        <xdr:cNvPr id="1068546" name="Line 392">
          <a:extLst>
            <a:ext uri="{FF2B5EF4-FFF2-40B4-BE49-F238E27FC236}">
              <a16:creationId xmlns:a16="http://schemas.microsoft.com/office/drawing/2014/main" id="{00000000-0008-0000-0D00-0000024E1000}"/>
            </a:ext>
          </a:extLst>
        </xdr:cNvPr>
        <xdr:cNvSpPr>
          <a:spLocks noChangeShapeType="1"/>
        </xdr:cNvSpPr>
      </xdr:nvSpPr>
      <xdr:spPr bwMode="auto">
        <a:xfrm>
          <a:off x="31965900" y="11296650"/>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66675</xdr:colOff>
      <xdr:row>56</xdr:row>
      <xdr:rowOff>38100</xdr:rowOff>
    </xdr:from>
    <xdr:to>
      <xdr:col>46</xdr:col>
      <xdr:colOff>66675</xdr:colOff>
      <xdr:row>61</xdr:row>
      <xdr:rowOff>142875</xdr:rowOff>
    </xdr:to>
    <xdr:sp macro="" textlink="">
      <xdr:nvSpPr>
        <xdr:cNvPr id="1068547" name="Line 344">
          <a:extLst>
            <a:ext uri="{FF2B5EF4-FFF2-40B4-BE49-F238E27FC236}">
              <a16:creationId xmlns:a16="http://schemas.microsoft.com/office/drawing/2014/main" id="{00000000-0008-0000-0D00-0000034E1000}"/>
            </a:ext>
          </a:extLst>
        </xdr:cNvPr>
        <xdr:cNvSpPr>
          <a:spLocks noChangeShapeType="1"/>
        </xdr:cNvSpPr>
      </xdr:nvSpPr>
      <xdr:spPr bwMode="auto">
        <a:xfrm flipH="1">
          <a:off x="31956375" y="10772775"/>
          <a:ext cx="0" cy="990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62</xdr:row>
      <xdr:rowOff>0</xdr:rowOff>
    </xdr:from>
    <xdr:to>
      <xdr:col>46</xdr:col>
      <xdr:colOff>66675</xdr:colOff>
      <xdr:row>62</xdr:row>
      <xdr:rowOff>9525</xdr:rowOff>
    </xdr:to>
    <xdr:sp macro="" textlink="">
      <xdr:nvSpPr>
        <xdr:cNvPr id="1068548" name="Line 345">
          <a:extLst>
            <a:ext uri="{FF2B5EF4-FFF2-40B4-BE49-F238E27FC236}">
              <a16:creationId xmlns:a16="http://schemas.microsoft.com/office/drawing/2014/main" id="{00000000-0008-0000-0D00-0000044E1000}"/>
            </a:ext>
          </a:extLst>
        </xdr:cNvPr>
        <xdr:cNvSpPr>
          <a:spLocks noChangeShapeType="1"/>
        </xdr:cNvSpPr>
      </xdr:nvSpPr>
      <xdr:spPr bwMode="auto">
        <a:xfrm flipV="1">
          <a:off x="31899225" y="117919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56</xdr:row>
      <xdr:rowOff>0</xdr:rowOff>
    </xdr:from>
    <xdr:to>
      <xdr:col>49</xdr:col>
      <xdr:colOff>76200</xdr:colOff>
      <xdr:row>56</xdr:row>
      <xdr:rowOff>9525</xdr:rowOff>
    </xdr:to>
    <xdr:sp macro="" textlink="">
      <xdr:nvSpPr>
        <xdr:cNvPr id="1068549" name="Line 473">
          <a:extLst>
            <a:ext uri="{FF2B5EF4-FFF2-40B4-BE49-F238E27FC236}">
              <a16:creationId xmlns:a16="http://schemas.microsoft.com/office/drawing/2014/main" id="{00000000-0008-0000-0D00-0000054E1000}"/>
            </a:ext>
          </a:extLst>
        </xdr:cNvPr>
        <xdr:cNvSpPr>
          <a:spLocks noChangeShapeType="1"/>
        </xdr:cNvSpPr>
      </xdr:nvSpPr>
      <xdr:spPr bwMode="auto">
        <a:xfrm>
          <a:off x="33985200"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56</xdr:row>
      <xdr:rowOff>9525</xdr:rowOff>
    </xdr:from>
    <xdr:to>
      <xdr:col>49</xdr:col>
      <xdr:colOff>66675</xdr:colOff>
      <xdr:row>59</xdr:row>
      <xdr:rowOff>19050</xdr:rowOff>
    </xdr:to>
    <xdr:sp macro="" textlink="">
      <xdr:nvSpPr>
        <xdr:cNvPr id="1068550" name="Line 474">
          <a:extLst>
            <a:ext uri="{FF2B5EF4-FFF2-40B4-BE49-F238E27FC236}">
              <a16:creationId xmlns:a16="http://schemas.microsoft.com/office/drawing/2014/main" id="{00000000-0008-0000-0D00-0000064E1000}"/>
            </a:ext>
          </a:extLst>
        </xdr:cNvPr>
        <xdr:cNvSpPr>
          <a:spLocks noChangeShapeType="1"/>
        </xdr:cNvSpPr>
      </xdr:nvSpPr>
      <xdr:spPr bwMode="auto">
        <a:xfrm>
          <a:off x="34051875" y="10744200"/>
          <a:ext cx="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56</xdr:row>
      <xdr:rowOff>0</xdr:rowOff>
    </xdr:from>
    <xdr:to>
      <xdr:col>49</xdr:col>
      <xdr:colOff>76200</xdr:colOff>
      <xdr:row>56</xdr:row>
      <xdr:rowOff>9525</xdr:rowOff>
    </xdr:to>
    <xdr:sp macro="" textlink="">
      <xdr:nvSpPr>
        <xdr:cNvPr id="1068551" name="Line 475">
          <a:extLst>
            <a:ext uri="{FF2B5EF4-FFF2-40B4-BE49-F238E27FC236}">
              <a16:creationId xmlns:a16="http://schemas.microsoft.com/office/drawing/2014/main" id="{00000000-0008-0000-0D00-0000074E1000}"/>
            </a:ext>
          </a:extLst>
        </xdr:cNvPr>
        <xdr:cNvSpPr>
          <a:spLocks noChangeShapeType="1"/>
        </xdr:cNvSpPr>
      </xdr:nvSpPr>
      <xdr:spPr bwMode="auto">
        <a:xfrm>
          <a:off x="33985200"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56</xdr:row>
      <xdr:rowOff>9525</xdr:rowOff>
    </xdr:from>
    <xdr:to>
      <xdr:col>49</xdr:col>
      <xdr:colOff>66675</xdr:colOff>
      <xdr:row>59</xdr:row>
      <xdr:rowOff>19050</xdr:rowOff>
    </xdr:to>
    <xdr:sp macro="" textlink="">
      <xdr:nvSpPr>
        <xdr:cNvPr id="1068552" name="Line 476">
          <a:extLst>
            <a:ext uri="{FF2B5EF4-FFF2-40B4-BE49-F238E27FC236}">
              <a16:creationId xmlns:a16="http://schemas.microsoft.com/office/drawing/2014/main" id="{00000000-0008-0000-0D00-0000084E1000}"/>
            </a:ext>
          </a:extLst>
        </xdr:cNvPr>
        <xdr:cNvSpPr>
          <a:spLocks noChangeShapeType="1"/>
        </xdr:cNvSpPr>
      </xdr:nvSpPr>
      <xdr:spPr bwMode="auto">
        <a:xfrm>
          <a:off x="34051875" y="10744200"/>
          <a:ext cx="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76200</xdr:colOff>
      <xdr:row>59</xdr:row>
      <xdr:rowOff>19050</xdr:rowOff>
    </xdr:from>
    <xdr:to>
      <xdr:col>50</xdr:col>
      <xdr:colOff>9525</xdr:colOff>
      <xdr:row>62</xdr:row>
      <xdr:rowOff>9525</xdr:rowOff>
    </xdr:to>
    <xdr:sp macro="" textlink="">
      <xdr:nvSpPr>
        <xdr:cNvPr id="1068553" name="Line 477">
          <a:extLst>
            <a:ext uri="{FF2B5EF4-FFF2-40B4-BE49-F238E27FC236}">
              <a16:creationId xmlns:a16="http://schemas.microsoft.com/office/drawing/2014/main" id="{00000000-0008-0000-0D00-0000094E1000}"/>
            </a:ext>
          </a:extLst>
        </xdr:cNvPr>
        <xdr:cNvSpPr>
          <a:spLocks noChangeShapeType="1"/>
        </xdr:cNvSpPr>
      </xdr:nvSpPr>
      <xdr:spPr bwMode="auto">
        <a:xfrm>
          <a:off x="34061400" y="11277600"/>
          <a:ext cx="342900" cy="5238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49</xdr:col>
      <xdr:colOff>0</xdr:colOff>
      <xdr:row>56</xdr:row>
      <xdr:rowOff>0</xdr:rowOff>
    </xdr:from>
    <xdr:to>
      <xdr:col>49</xdr:col>
      <xdr:colOff>76200</xdr:colOff>
      <xdr:row>56</xdr:row>
      <xdr:rowOff>9525</xdr:rowOff>
    </xdr:to>
    <xdr:sp macro="" textlink="">
      <xdr:nvSpPr>
        <xdr:cNvPr id="1068554" name="Line 478">
          <a:extLst>
            <a:ext uri="{FF2B5EF4-FFF2-40B4-BE49-F238E27FC236}">
              <a16:creationId xmlns:a16="http://schemas.microsoft.com/office/drawing/2014/main" id="{00000000-0008-0000-0D00-00000A4E1000}"/>
            </a:ext>
          </a:extLst>
        </xdr:cNvPr>
        <xdr:cNvSpPr>
          <a:spLocks noChangeShapeType="1"/>
        </xdr:cNvSpPr>
      </xdr:nvSpPr>
      <xdr:spPr bwMode="auto">
        <a:xfrm>
          <a:off x="33985200"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56</xdr:row>
      <xdr:rowOff>9525</xdr:rowOff>
    </xdr:from>
    <xdr:to>
      <xdr:col>49</xdr:col>
      <xdr:colOff>66675</xdr:colOff>
      <xdr:row>61</xdr:row>
      <xdr:rowOff>152400</xdr:rowOff>
    </xdr:to>
    <xdr:sp macro="" textlink="">
      <xdr:nvSpPr>
        <xdr:cNvPr id="1068555" name="Line 479">
          <a:extLst>
            <a:ext uri="{FF2B5EF4-FFF2-40B4-BE49-F238E27FC236}">
              <a16:creationId xmlns:a16="http://schemas.microsoft.com/office/drawing/2014/main" id="{00000000-0008-0000-0D00-00000B4E1000}"/>
            </a:ext>
          </a:extLst>
        </xdr:cNvPr>
        <xdr:cNvSpPr>
          <a:spLocks noChangeShapeType="1"/>
        </xdr:cNvSpPr>
      </xdr:nvSpPr>
      <xdr:spPr bwMode="auto">
        <a:xfrm>
          <a:off x="34051875" y="10744200"/>
          <a:ext cx="0" cy="1028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55</xdr:row>
      <xdr:rowOff>161925</xdr:rowOff>
    </xdr:from>
    <xdr:to>
      <xdr:col>50</xdr:col>
      <xdr:colOff>0</xdr:colOff>
      <xdr:row>59</xdr:row>
      <xdr:rowOff>0</xdr:rowOff>
    </xdr:to>
    <xdr:sp macro="" textlink="">
      <xdr:nvSpPr>
        <xdr:cNvPr id="1068556" name="Line 480">
          <a:extLst>
            <a:ext uri="{FF2B5EF4-FFF2-40B4-BE49-F238E27FC236}">
              <a16:creationId xmlns:a16="http://schemas.microsoft.com/office/drawing/2014/main" id="{00000000-0008-0000-0D00-00000C4E1000}"/>
            </a:ext>
          </a:extLst>
        </xdr:cNvPr>
        <xdr:cNvSpPr>
          <a:spLocks noChangeShapeType="1"/>
        </xdr:cNvSpPr>
      </xdr:nvSpPr>
      <xdr:spPr bwMode="auto">
        <a:xfrm flipV="1">
          <a:off x="34051875" y="10715625"/>
          <a:ext cx="342900" cy="5429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49</xdr:col>
      <xdr:colOff>66675</xdr:colOff>
      <xdr:row>59</xdr:row>
      <xdr:rowOff>9525</xdr:rowOff>
    </xdr:from>
    <xdr:to>
      <xdr:col>50</xdr:col>
      <xdr:colOff>0</xdr:colOff>
      <xdr:row>59</xdr:row>
      <xdr:rowOff>9525</xdr:rowOff>
    </xdr:to>
    <xdr:sp macro="" textlink="">
      <xdr:nvSpPr>
        <xdr:cNvPr id="1068557" name="Line 481">
          <a:extLst>
            <a:ext uri="{FF2B5EF4-FFF2-40B4-BE49-F238E27FC236}">
              <a16:creationId xmlns:a16="http://schemas.microsoft.com/office/drawing/2014/main" id="{00000000-0008-0000-0D00-00000D4E1000}"/>
            </a:ext>
          </a:extLst>
        </xdr:cNvPr>
        <xdr:cNvSpPr>
          <a:spLocks noChangeShapeType="1"/>
        </xdr:cNvSpPr>
      </xdr:nvSpPr>
      <xdr:spPr bwMode="auto">
        <a:xfrm>
          <a:off x="34051875" y="11268075"/>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49</xdr:col>
      <xdr:colOff>9525</xdr:colOff>
      <xdr:row>61</xdr:row>
      <xdr:rowOff>171450</xdr:rowOff>
    </xdr:from>
    <xdr:to>
      <xdr:col>49</xdr:col>
      <xdr:colOff>66675</xdr:colOff>
      <xdr:row>62</xdr:row>
      <xdr:rowOff>0</xdr:rowOff>
    </xdr:to>
    <xdr:sp macro="" textlink="">
      <xdr:nvSpPr>
        <xdr:cNvPr id="1068558" name="Line 482">
          <a:extLst>
            <a:ext uri="{FF2B5EF4-FFF2-40B4-BE49-F238E27FC236}">
              <a16:creationId xmlns:a16="http://schemas.microsoft.com/office/drawing/2014/main" id="{00000000-0008-0000-0D00-00000E4E1000}"/>
            </a:ext>
          </a:extLst>
        </xdr:cNvPr>
        <xdr:cNvSpPr>
          <a:spLocks noChangeShapeType="1"/>
        </xdr:cNvSpPr>
      </xdr:nvSpPr>
      <xdr:spPr bwMode="auto">
        <a:xfrm flipV="1">
          <a:off x="33994725" y="11791950"/>
          <a:ext cx="57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9525</xdr:colOff>
      <xdr:row>53</xdr:row>
      <xdr:rowOff>0</xdr:rowOff>
    </xdr:from>
    <xdr:to>
      <xdr:col>43</xdr:col>
      <xdr:colOff>66675</xdr:colOff>
      <xdr:row>53</xdr:row>
      <xdr:rowOff>9525</xdr:rowOff>
    </xdr:to>
    <xdr:sp macro="" textlink="">
      <xdr:nvSpPr>
        <xdr:cNvPr id="1068559" name="Line 39">
          <a:extLst>
            <a:ext uri="{FF2B5EF4-FFF2-40B4-BE49-F238E27FC236}">
              <a16:creationId xmlns:a16="http://schemas.microsoft.com/office/drawing/2014/main" id="{00000000-0008-0000-0D00-00000F4E1000}"/>
            </a:ext>
          </a:extLst>
        </xdr:cNvPr>
        <xdr:cNvSpPr>
          <a:spLocks noChangeShapeType="1"/>
        </xdr:cNvSpPr>
      </xdr:nvSpPr>
      <xdr:spPr bwMode="auto">
        <a:xfrm flipV="1">
          <a:off x="29737050"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53</xdr:row>
      <xdr:rowOff>0</xdr:rowOff>
    </xdr:from>
    <xdr:to>
      <xdr:col>46</xdr:col>
      <xdr:colOff>66675</xdr:colOff>
      <xdr:row>53</xdr:row>
      <xdr:rowOff>9525</xdr:rowOff>
    </xdr:to>
    <xdr:sp macro="" textlink="">
      <xdr:nvSpPr>
        <xdr:cNvPr id="1068560" name="Line 42">
          <a:extLst>
            <a:ext uri="{FF2B5EF4-FFF2-40B4-BE49-F238E27FC236}">
              <a16:creationId xmlns:a16="http://schemas.microsoft.com/office/drawing/2014/main" id="{00000000-0008-0000-0D00-0000104E1000}"/>
            </a:ext>
          </a:extLst>
        </xdr:cNvPr>
        <xdr:cNvSpPr>
          <a:spLocks noChangeShapeType="1"/>
        </xdr:cNvSpPr>
      </xdr:nvSpPr>
      <xdr:spPr bwMode="auto">
        <a:xfrm flipV="1">
          <a:off x="3189922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9525</xdr:colOff>
      <xdr:row>53</xdr:row>
      <xdr:rowOff>0</xdr:rowOff>
    </xdr:from>
    <xdr:to>
      <xdr:col>49</xdr:col>
      <xdr:colOff>66675</xdr:colOff>
      <xdr:row>53</xdr:row>
      <xdr:rowOff>9525</xdr:rowOff>
    </xdr:to>
    <xdr:sp macro="" textlink="">
      <xdr:nvSpPr>
        <xdr:cNvPr id="1068561" name="Line 45">
          <a:extLst>
            <a:ext uri="{FF2B5EF4-FFF2-40B4-BE49-F238E27FC236}">
              <a16:creationId xmlns:a16="http://schemas.microsoft.com/office/drawing/2014/main" id="{00000000-0008-0000-0D00-0000114E1000}"/>
            </a:ext>
          </a:extLst>
        </xdr:cNvPr>
        <xdr:cNvSpPr>
          <a:spLocks noChangeShapeType="1"/>
        </xdr:cNvSpPr>
      </xdr:nvSpPr>
      <xdr:spPr bwMode="auto">
        <a:xfrm flipV="1">
          <a:off x="3399472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9525</xdr:colOff>
      <xdr:row>53</xdr:row>
      <xdr:rowOff>0</xdr:rowOff>
    </xdr:from>
    <xdr:to>
      <xdr:col>49</xdr:col>
      <xdr:colOff>66675</xdr:colOff>
      <xdr:row>53</xdr:row>
      <xdr:rowOff>9525</xdr:rowOff>
    </xdr:to>
    <xdr:sp macro="" textlink="">
      <xdr:nvSpPr>
        <xdr:cNvPr id="1068562" name="Line 79">
          <a:extLst>
            <a:ext uri="{FF2B5EF4-FFF2-40B4-BE49-F238E27FC236}">
              <a16:creationId xmlns:a16="http://schemas.microsoft.com/office/drawing/2014/main" id="{00000000-0008-0000-0D00-0000124E1000}"/>
            </a:ext>
          </a:extLst>
        </xdr:cNvPr>
        <xdr:cNvSpPr>
          <a:spLocks noChangeShapeType="1"/>
        </xdr:cNvSpPr>
      </xdr:nvSpPr>
      <xdr:spPr bwMode="auto">
        <a:xfrm flipV="1">
          <a:off x="3399472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76200</xdr:colOff>
      <xdr:row>51</xdr:row>
      <xdr:rowOff>66675</xdr:rowOff>
    </xdr:from>
    <xdr:to>
      <xdr:col>50</xdr:col>
      <xdr:colOff>9525</xdr:colOff>
      <xdr:row>53</xdr:row>
      <xdr:rowOff>19050</xdr:rowOff>
    </xdr:to>
    <xdr:sp macro="" textlink="">
      <xdr:nvSpPr>
        <xdr:cNvPr id="1068563" name="Line 81">
          <a:extLst>
            <a:ext uri="{FF2B5EF4-FFF2-40B4-BE49-F238E27FC236}">
              <a16:creationId xmlns:a16="http://schemas.microsoft.com/office/drawing/2014/main" id="{00000000-0008-0000-0D00-0000134E1000}"/>
            </a:ext>
          </a:extLst>
        </xdr:cNvPr>
        <xdr:cNvSpPr>
          <a:spLocks noChangeShapeType="1"/>
        </xdr:cNvSpPr>
      </xdr:nvSpPr>
      <xdr:spPr bwMode="auto">
        <a:xfrm>
          <a:off x="34061400" y="98964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49</xdr:col>
      <xdr:colOff>9525</xdr:colOff>
      <xdr:row>53</xdr:row>
      <xdr:rowOff>0</xdr:rowOff>
    </xdr:from>
    <xdr:to>
      <xdr:col>49</xdr:col>
      <xdr:colOff>66675</xdr:colOff>
      <xdr:row>53</xdr:row>
      <xdr:rowOff>9525</xdr:rowOff>
    </xdr:to>
    <xdr:sp macro="" textlink="">
      <xdr:nvSpPr>
        <xdr:cNvPr id="1068564" name="Line 92">
          <a:extLst>
            <a:ext uri="{FF2B5EF4-FFF2-40B4-BE49-F238E27FC236}">
              <a16:creationId xmlns:a16="http://schemas.microsoft.com/office/drawing/2014/main" id="{00000000-0008-0000-0D00-0000144E1000}"/>
            </a:ext>
          </a:extLst>
        </xdr:cNvPr>
        <xdr:cNvSpPr>
          <a:spLocks noChangeShapeType="1"/>
        </xdr:cNvSpPr>
      </xdr:nvSpPr>
      <xdr:spPr bwMode="auto">
        <a:xfrm flipV="1">
          <a:off x="3399472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53</xdr:row>
      <xdr:rowOff>0</xdr:rowOff>
    </xdr:from>
    <xdr:to>
      <xdr:col>46</xdr:col>
      <xdr:colOff>66675</xdr:colOff>
      <xdr:row>53</xdr:row>
      <xdr:rowOff>9525</xdr:rowOff>
    </xdr:to>
    <xdr:sp macro="" textlink="">
      <xdr:nvSpPr>
        <xdr:cNvPr id="1068565" name="Line 136">
          <a:extLst>
            <a:ext uri="{FF2B5EF4-FFF2-40B4-BE49-F238E27FC236}">
              <a16:creationId xmlns:a16="http://schemas.microsoft.com/office/drawing/2014/main" id="{00000000-0008-0000-0D00-0000154E1000}"/>
            </a:ext>
          </a:extLst>
        </xdr:cNvPr>
        <xdr:cNvSpPr>
          <a:spLocks noChangeShapeType="1"/>
        </xdr:cNvSpPr>
      </xdr:nvSpPr>
      <xdr:spPr bwMode="auto">
        <a:xfrm flipV="1">
          <a:off x="3189922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85725</xdr:colOff>
      <xdr:row>56</xdr:row>
      <xdr:rowOff>0</xdr:rowOff>
    </xdr:from>
    <xdr:to>
      <xdr:col>43</xdr:col>
      <xdr:colOff>85725</xdr:colOff>
      <xdr:row>61</xdr:row>
      <xdr:rowOff>142875</xdr:rowOff>
    </xdr:to>
    <xdr:sp macro="" textlink="">
      <xdr:nvSpPr>
        <xdr:cNvPr id="1068566" name="Line 460">
          <a:extLst>
            <a:ext uri="{FF2B5EF4-FFF2-40B4-BE49-F238E27FC236}">
              <a16:creationId xmlns:a16="http://schemas.microsoft.com/office/drawing/2014/main" id="{00000000-0008-0000-0D00-0000164E1000}"/>
            </a:ext>
          </a:extLst>
        </xdr:cNvPr>
        <xdr:cNvSpPr>
          <a:spLocks noChangeShapeType="1"/>
        </xdr:cNvSpPr>
      </xdr:nvSpPr>
      <xdr:spPr bwMode="auto">
        <a:xfrm>
          <a:off x="29813250" y="10734675"/>
          <a:ext cx="0" cy="1028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53</xdr:row>
      <xdr:rowOff>0</xdr:rowOff>
    </xdr:from>
    <xdr:to>
      <xdr:col>46</xdr:col>
      <xdr:colOff>66675</xdr:colOff>
      <xdr:row>53</xdr:row>
      <xdr:rowOff>9525</xdr:rowOff>
    </xdr:to>
    <xdr:sp macro="" textlink="">
      <xdr:nvSpPr>
        <xdr:cNvPr id="1068567" name="Line 464">
          <a:extLst>
            <a:ext uri="{FF2B5EF4-FFF2-40B4-BE49-F238E27FC236}">
              <a16:creationId xmlns:a16="http://schemas.microsoft.com/office/drawing/2014/main" id="{00000000-0008-0000-0D00-0000174E1000}"/>
            </a:ext>
          </a:extLst>
        </xdr:cNvPr>
        <xdr:cNvSpPr>
          <a:spLocks noChangeShapeType="1"/>
        </xdr:cNvSpPr>
      </xdr:nvSpPr>
      <xdr:spPr bwMode="auto">
        <a:xfrm flipV="1">
          <a:off x="3189922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56</xdr:row>
      <xdr:rowOff>0</xdr:rowOff>
    </xdr:from>
    <xdr:to>
      <xdr:col>49</xdr:col>
      <xdr:colOff>76200</xdr:colOff>
      <xdr:row>56</xdr:row>
      <xdr:rowOff>9525</xdr:rowOff>
    </xdr:to>
    <xdr:sp macro="" textlink="">
      <xdr:nvSpPr>
        <xdr:cNvPr id="1068568" name="Line 473">
          <a:extLst>
            <a:ext uri="{FF2B5EF4-FFF2-40B4-BE49-F238E27FC236}">
              <a16:creationId xmlns:a16="http://schemas.microsoft.com/office/drawing/2014/main" id="{00000000-0008-0000-0D00-0000184E1000}"/>
            </a:ext>
          </a:extLst>
        </xdr:cNvPr>
        <xdr:cNvSpPr>
          <a:spLocks noChangeShapeType="1"/>
        </xdr:cNvSpPr>
      </xdr:nvSpPr>
      <xdr:spPr bwMode="auto">
        <a:xfrm>
          <a:off x="33985200"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56</xdr:row>
      <xdr:rowOff>9525</xdr:rowOff>
    </xdr:from>
    <xdr:to>
      <xdr:col>49</xdr:col>
      <xdr:colOff>66675</xdr:colOff>
      <xdr:row>59</xdr:row>
      <xdr:rowOff>19050</xdr:rowOff>
    </xdr:to>
    <xdr:sp macro="" textlink="">
      <xdr:nvSpPr>
        <xdr:cNvPr id="1068569" name="Line 474">
          <a:extLst>
            <a:ext uri="{FF2B5EF4-FFF2-40B4-BE49-F238E27FC236}">
              <a16:creationId xmlns:a16="http://schemas.microsoft.com/office/drawing/2014/main" id="{00000000-0008-0000-0D00-0000194E1000}"/>
            </a:ext>
          </a:extLst>
        </xdr:cNvPr>
        <xdr:cNvSpPr>
          <a:spLocks noChangeShapeType="1"/>
        </xdr:cNvSpPr>
      </xdr:nvSpPr>
      <xdr:spPr bwMode="auto">
        <a:xfrm>
          <a:off x="34051875" y="10744200"/>
          <a:ext cx="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0</xdr:colOff>
      <xdr:row>56</xdr:row>
      <xdr:rowOff>0</xdr:rowOff>
    </xdr:from>
    <xdr:to>
      <xdr:col>49</xdr:col>
      <xdr:colOff>76200</xdr:colOff>
      <xdr:row>56</xdr:row>
      <xdr:rowOff>9525</xdr:rowOff>
    </xdr:to>
    <xdr:sp macro="" textlink="">
      <xdr:nvSpPr>
        <xdr:cNvPr id="1068570" name="Line 475">
          <a:extLst>
            <a:ext uri="{FF2B5EF4-FFF2-40B4-BE49-F238E27FC236}">
              <a16:creationId xmlns:a16="http://schemas.microsoft.com/office/drawing/2014/main" id="{00000000-0008-0000-0D00-00001A4E1000}"/>
            </a:ext>
          </a:extLst>
        </xdr:cNvPr>
        <xdr:cNvSpPr>
          <a:spLocks noChangeShapeType="1"/>
        </xdr:cNvSpPr>
      </xdr:nvSpPr>
      <xdr:spPr bwMode="auto">
        <a:xfrm>
          <a:off x="33985200"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56</xdr:row>
      <xdr:rowOff>9525</xdr:rowOff>
    </xdr:from>
    <xdr:to>
      <xdr:col>49</xdr:col>
      <xdr:colOff>66675</xdr:colOff>
      <xdr:row>59</xdr:row>
      <xdr:rowOff>19050</xdr:rowOff>
    </xdr:to>
    <xdr:sp macro="" textlink="">
      <xdr:nvSpPr>
        <xdr:cNvPr id="1068571" name="Line 476">
          <a:extLst>
            <a:ext uri="{FF2B5EF4-FFF2-40B4-BE49-F238E27FC236}">
              <a16:creationId xmlns:a16="http://schemas.microsoft.com/office/drawing/2014/main" id="{00000000-0008-0000-0D00-00001B4E1000}"/>
            </a:ext>
          </a:extLst>
        </xdr:cNvPr>
        <xdr:cNvSpPr>
          <a:spLocks noChangeShapeType="1"/>
        </xdr:cNvSpPr>
      </xdr:nvSpPr>
      <xdr:spPr bwMode="auto">
        <a:xfrm>
          <a:off x="34051875" y="10744200"/>
          <a:ext cx="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76200</xdr:colOff>
      <xdr:row>59</xdr:row>
      <xdr:rowOff>19050</xdr:rowOff>
    </xdr:from>
    <xdr:to>
      <xdr:col>50</xdr:col>
      <xdr:colOff>9525</xdr:colOff>
      <xdr:row>62</xdr:row>
      <xdr:rowOff>9525</xdr:rowOff>
    </xdr:to>
    <xdr:sp macro="" textlink="">
      <xdr:nvSpPr>
        <xdr:cNvPr id="1068572" name="Line 477">
          <a:extLst>
            <a:ext uri="{FF2B5EF4-FFF2-40B4-BE49-F238E27FC236}">
              <a16:creationId xmlns:a16="http://schemas.microsoft.com/office/drawing/2014/main" id="{00000000-0008-0000-0D00-00001C4E1000}"/>
            </a:ext>
          </a:extLst>
        </xdr:cNvPr>
        <xdr:cNvSpPr>
          <a:spLocks noChangeShapeType="1"/>
        </xdr:cNvSpPr>
      </xdr:nvSpPr>
      <xdr:spPr bwMode="auto">
        <a:xfrm>
          <a:off x="34061400" y="11277600"/>
          <a:ext cx="342900" cy="5238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49</xdr:col>
      <xdr:colOff>0</xdr:colOff>
      <xdr:row>56</xdr:row>
      <xdr:rowOff>0</xdr:rowOff>
    </xdr:from>
    <xdr:to>
      <xdr:col>49</xdr:col>
      <xdr:colOff>76200</xdr:colOff>
      <xdr:row>56</xdr:row>
      <xdr:rowOff>9525</xdr:rowOff>
    </xdr:to>
    <xdr:sp macro="" textlink="">
      <xdr:nvSpPr>
        <xdr:cNvPr id="1068573" name="Line 478">
          <a:extLst>
            <a:ext uri="{FF2B5EF4-FFF2-40B4-BE49-F238E27FC236}">
              <a16:creationId xmlns:a16="http://schemas.microsoft.com/office/drawing/2014/main" id="{00000000-0008-0000-0D00-00001D4E1000}"/>
            </a:ext>
          </a:extLst>
        </xdr:cNvPr>
        <xdr:cNvSpPr>
          <a:spLocks noChangeShapeType="1"/>
        </xdr:cNvSpPr>
      </xdr:nvSpPr>
      <xdr:spPr bwMode="auto">
        <a:xfrm>
          <a:off x="33985200"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56</xdr:row>
      <xdr:rowOff>9525</xdr:rowOff>
    </xdr:from>
    <xdr:to>
      <xdr:col>49</xdr:col>
      <xdr:colOff>66675</xdr:colOff>
      <xdr:row>61</xdr:row>
      <xdr:rowOff>152400</xdr:rowOff>
    </xdr:to>
    <xdr:sp macro="" textlink="">
      <xdr:nvSpPr>
        <xdr:cNvPr id="1068574" name="Line 479">
          <a:extLst>
            <a:ext uri="{FF2B5EF4-FFF2-40B4-BE49-F238E27FC236}">
              <a16:creationId xmlns:a16="http://schemas.microsoft.com/office/drawing/2014/main" id="{00000000-0008-0000-0D00-00001E4E1000}"/>
            </a:ext>
          </a:extLst>
        </xdr:cNvPr>
        <xdr:cNvSpPr>
          <a:spLocks noChangeShapeType="1"/>
        </xdr:cNvSpPr>
      </xdr:nvSpPr>
      <xdr:spPr bwMode="auto">
        <a:xfrm>
          <a:off x="34051875" y="10744200"/>
          <a:ext cx="0" cy="1028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66675</xdr:colOff>
      <xdr:row>55</xdr:row>
      <xdr:rowOff>161925</xdr:rowOff>
    </xdr:from>
    <xdr:to>
      <xdr:col>50</xdr:col>
      <xdr:colOff>0</xdr:colOff>
      <xdr:row>59</xdr:row>
      <xdr:rowOff>0</xdr:rowOff>
    </xdr:to>
    <xdr:sp macro="" textlink="">
      <xdr:nvSpPr>
        <xdr:cNvPr id="1068575" name="Line 480">
          <a:extLst>
            <a:ext uri="{FF2B5EF4-FFF2-40B4-BE49-F238E27FC236}">
              <a16:creationId xmlns:a16="http://schemas.microsoft.com/office/drawing/2014/main" id="{00000000-0008-0000-0D00-00001F4E1000}"/>
            </a:ext>
          </a:extLst>
        </xdr:cNvPr>
        <xdr:cNvSpPr>
          <a:spLocks noChangeShapeType="1"/>
        </xdr:cNvSpPr>
      </xdr:nvSpPr>
      <xdr:spPr bwMode="auto">
        <a:xfrm flipV="1">
          <a:off x="34051875" y="10715625"/>
          <a:ext cx="342900" cy="5429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49</xdr:col>
      <xdr:colOff>66675</xdr:colOff>
      <xdr:row>59</xdr:row>
      <xdr:rowOff>9525</xdr:rowOff>
    </xdr:from>
    <xdr:to>
      <xdr:col>50</xdr:col>
      <xdr:colOff>0</xdr:colOff>
      <xdr:row>59</xdr:row>
      <xdr:rowOff>9525</xdr:rowOff>
    </xdr:to>
    <xdr:sp macro="" textlink="">
      <xdr:nvSpPr>
        <xdr:cNvPr id="1068576" name="Line 481">
          <a:extLst>
            <a:ext uri="{FF2B5EF4-FFF2-40B4-BE49-F238E27FC236}">
              <a16:creationId xmlns:a16="http://schemas.microsoft.com/office/drawing/2014/main" id="{00000000-0008-0000-0D00-0000204E1000}"/>
            </a:ext>
          </a:extLst>
        </xdr:cNvPr>
        <xdr:cNvSpPr>
          <a:spLocks noChangeShapeType="1"/>
        </xdr:cNvSpPr>
      </xdr:nvSpPr>
      <xdr:spPr bwMode="auto">
        <a:xfrm>
          <a:off x="34051875" y="11268075"/>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49</xdr:col>
      <xdr:colOff>9525</xdr:colOff>
      <xdr:row>61</xdr:row>
      <xdr:rowOff>171450</xdr:rowOff>
    </xdr:from>
    <xdr:to>
      <xdr:col>49</xdr:col>
      <xdr:colOff>66675</xdr:colOff>
      <xdr:row>62</xdr:row>
      <xdr:rowOff>0</xdr:rowOff>
    </xdr:to>
    <xdr:sp macro="" textlink="">
      <xdr:nvSpPr>
        <xdr:cNvPr id="1068577" name="Line 482">
          <a:extLst>
            <a:ext uri="{FF2B5EF4-FFF2-40B4-BE49-F238E27FC236}">
              <a16:creationId xmlns:a16="http://schemas.microsoft.com/office/drawing/2014/main" id="{00000000-0008-0000-0D00-0000214E1000}"/>
            </a:ext>
          </a:extLst>
        </xdr:cNvPr>
        <xdr:cNvSpPr>
          <a:spLocks noChangeShapeType="1"/>
        </xdr:cNvSpPr>
      </xdr:nvSpPr>
      <xdr:spPr bwMode="auto">
        <a:xfrm flipV="1">
          <a:off x="33994725" y="11791950"/>
          <a:ext cx="57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0</xdr:colOff>
      <xdr:row>8</xdr:row>
      <xdr:rowOff>0</xdr:rowOff>
    </xdr:from>
    <xdr:to>
      <xdr:col>59</xdr:col>
      <xdr:colOff>76200</xdr:colOff>
      <xdr:row>8</xdr:row>
      <xdr:rowOff>9525</xdr:rowOff>
    </xdr:to>
    <xdr:sp macro="" textlink="">
      <xdr:nvSpPr>
        <xdr:cNvPr id="1068578" name="Line 1">
          <a:extLst>
            <a:ext uri="{FF2B5EF4-FFF2-40B4-BE49-F238E27FC236}">
              <a16:creationId xmlns:a16="http://schemas.microsoft.com/office/drawing/2014/main" id="{00000000-0008-0000-0D00-0000224E1000}"/>
            </a:ext>
          </a:extLst>
        </xdr:cNvPr>
        <xdr:cNvSpPr>
          <a:spLocks noChangeShapeType="1"/>
        </xdr:cNvSpPr>
      </xdr:nvSpPr>
      <xdr:spPr bwMode="auto">
        <a:xfrm>
          <a:off x="4070985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66675</xdr:colOff>
      <xdr:row>8</xdr:row>
      <xdr:rowOff>9525</xdr:rowOff>
    </xdr:from>
    <xdr:to>
      <xdr:col>59</xdr:col>
      <xdr:colOff>66675</xdr:colOff>
      <xdr:row>11</xdr:row>
      <xdr:rowOff>19050</xdr:rowOff>
    </xdr:to>
    <xdr:sp macro="" textlink="">
      <xdr:nvSpPr>
        <xdr:cNvPr id="1068579" name="Line 2">
          <a:extLst>
            <a:ext uri="{FF2B5EF4-FFF2-40B4-BE49-F238E27FC236}">
              <a16:creationId xmlns:a16="http://schemas.microsoft.com/office/drawing/2014/main" id="{00000000-0008-0000-0D00-0000234E1000}"/>
            </a:ext>
          </a:extLst>
        </xdr:cNvPr>
        <xdr:cNvSpPr>
          <a:spLocks noChangeShapeType="1"/>
        </xdr:cNvSpPr>
      </xdr:nvSpPr>
      <xdr:spPr bwMode="auto">
        <a:xfrm>
          <a:off x="4077652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9525</xdr:colOff>
      <xdr:row>11</xdr:row>
      <xdr:rowOff>0</xdr:rowOff>
    </xdr:from>
    <xdr:to>
      <xdr:col>59</xdr:col>
      <xdr:colOff>66675</xdr:colOff>
      <xdr:row>11</xdr:row>
      <xdr:rowOff>9525</xdr:rowOff>
    </xdr:to>
    <xdr:sp macro="" textlink="">
      <xdr:nvSpPr>
        <xdr:cNvPr id="1068580" name="Line 3">
          <a:extLst>
            <a:ext uri="{FF2B5EF4-FFF2-40B4-BE49-F238E27FC236}">
              <a16:creationId xmlns:a16="http://schemas.microsoft.com/office/drawing/2014/main" id="{00000000-0008-0000-0D00-0000244E1000}"/>
            </a:ext>
          </a:extLst>
        </xdr:cNvPr>
        <xdr:cNvSpPr>
          <a:spLocks noChangeShapeType="1"/>
        </xdr:cNvSpPr>
      </xdr:nvSpPr>
      <xdr:spPr bwMode="auto">
        <a:xfrm flipV="1">
          <a:off x="4071937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0</xdr:colOff>
      <xdr:row>8</xdr:row>
      <xdr:rowOff>0</xdr:rowOff>
    </xdr:from>
    <xdr:to>
      <xdr:col>56</xdr:col>
      <xdr:colOff>76200</xdr:colOff>
      <xdr:row>8</xdr:row>
      <xdr:rowOff>9525</xdr:rowOff>
    </xdr:to>
    <xdr:sp macro="" textlink="">
      <xdr:nvSpPr>
        <xdr:cNvPr id="1068581" name="Line 4">
          <a:extLst>
            <a:ext uri="{FF2B5EF4-FFF2-40B4-BE49-F238E27FC236}">
              <a16:creationId xmlns:a16="http://schemas.microsoft.com/office/drawing/2014/main" id="{00000000-0008-0000-0D00-0000254E1000}"/>
            </a:ext>
          </a:extLst>
        </xdr:cNvPr>
        <xdr:cNvSpPr>
          <a:spLocks noChangeShapeType="1"/>
        </xdr:cNvSpPr>
      </xdr:nvSpPr>
      <xdr:spPr bwMode="auto">
        <a:xfrm>
          <a:off x="3854767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66675</xdr:colOff>
      <xdr:row>8</xdr:row>
      <xdr:rowOff>9525</xdr:rowOff>
    </xdr:from>
    <xdr:to>
      <xdr:col>56</xdr:col>
      <xdr:colOff>66675</xdr:colOff>
      <xdr:row>11</xdr:row>
      <xdr:rowOff>19050</xdr:rowOff>
    </xdr:to>
    <xdr:sp macro="" textlink="">
      <xdr:nvSpPr>
        <xdr:cNvPr id="1068582" name="Line 5">
          <a:extLst>
            <a:ext uri="{FF2B5EF4-FFF2-40B4-BE49-F238E27FC236}">
              <a16:creationId xmlns:a16="http://schemas.microsoft.com/office/drawing/2014/main" id="{00000000-0008-0000-0D00-0000264E1000}"/>
            </a:ext>
          </a:extLst>
        </xdr:cNvPr>
        <xdr:cNvSpPr>
          <a:spLocks noChangeShapeType="1"/>
        </xdr:cNvSpPr>
      </xdr:nvSpPr>
      <xdr:spPr bwMode="auto">
        <a:xfrm>
          <a:off x="3861435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9525</xdr:colOff>
      <xdr:row>11</xdr:row>
      <xdr:rowOff>0</xdr:rowOff>
    </xdr:from>
    <xdr:to>
      <xdr:col>56</xdr:col>
      <xdr:colOff>66675</xdr:colOff>
      <xdr:row>11</xdr:row>
      <xdr:rowOff>9525</xdr:rowOff>
    </xdr:to>
    <xdr:sp macro="" textlink="">
      <xdr:nvSpPr>
        <xdr:cNvPr id="1068583" name="Line 6">
          <a:extLst>
            <a:ext uri="{FF2B5EF4-FFF2-40B4-BE49-F238E27FC236}">
              <a16:creationId xmlns:a16="http://schemas.microsoft.com/office/drawing/2014/main" id="{00000000-0008-0000-0D00-0000274E1000}"/>
            </a:ext>
          </a:extLst>
        </xdr:cNvPr>
        <xdr:cNvSpPr>
          <a:spLocks noChangeShapeType="1"/>
        </xdr:cNvSpPr>
      </xdr:nvSpPr>
      <xdr:spPr bwMode="auto">
        <a:xfrm flipV="1">
          <a:off x="3855720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8</xdr:row>
      <xdr:rowOff>0</xdr:rowOff>
    </xdr:from>
    <xdr:to>
      <xdr:col>62</xdr:col>
      <xdr:colOff>76200</xdr:colOff>
      <xdr:row>8</xdr:row>
      <xdr:rowOff>9525</xdr:rowOff>
    </xdr:to>
    <xdr:sp macro="" textlink="">
      <xdr:nvSpPr>
        <xdr:cNvPr id="1068584" name="Line 16">
          <a:extLst>
            <a:ext uri="{FF2B5EF4-FFF2-40B4-BE49-F238E27FC236}">
              <a16:creationId xmlns:a16="http://schemas.microsoft.com/office/drawing/2014/main" id="{00000000-0008-0000-0D00-0000284E1000}"/>
            </a:ext>
          </a:extLst>
        </xdr:cNvPr>
        <xdr:cNvSpPr>
          <a:spLocks noChangeShapeType="1"/>
        </xdr:cNvSpPr>
      </xdr:nvSpPr>
      <xdr:spPr bwMode="auto">
        <a:xfrm>
          <a:off x="4280535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8</xdr:row>
      <xdr:rowOff>9525</xdr:rowOff>
    </xdr:from>
    <xdr:to>
      <xdr:col>62</xdr:col>
      <xdr:colOff>66675</xdr:colOff>
      <xdr:row>11</xdr:row>
      <xdr:rowOff>19050</xdr:rowOff>
    </xdr:to>
    <xdr:sp macro="" textlink="">
      <xdr:nvSpPr>
        <xdr:cNvPr id="1068585" name="Line 17">
          <a:extLst>
            <a:ext uri="{FF2B5EF4-FFF2-40B4-BE49-F238E27FC236}">
              <a16:creationId xmlns:a16="http://schemas.microsoft.com/office/drawing/2014/main" id="{00000000-0008-0000-0D00-0000294E1000}"/>
            </a:ext>
          </a:extLst>
        </xdr:cNvPr>
        <xdr:cNvSpPr>
          <a:spLocks noChangeShapeType="1"/>
        </xdr:cNvSpPr>
      </xdr:nvSpPr>
      <xdr:spPr bwMode="auto">
        <a:xfrm>
          <a:off x="4287202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9525</xdr:colOff>
      <xdr:row>11</xdr:row>
      <xdr:rowOff>0</xdr:rowOff>
    </xdr:from>
    <xdr:to>
      <xdr:col>62</xdr:col>
      <xdr:colOff>66675</xdr:colOff>
      <xdr:row>11</xdr:row>
      <xdr:rowOff>9525</xdr:rowOff>
    </xdr:to>
    <xdr:sp macro="" textlink="">
      <xdr:nvSpPr>
        <xdr:cNvPr id="1068586" name="Line 18">
          <a:extLst>
            <a:ext uri="{FF2B5EF4-FFF2-40B4-BE49-F238E27FC236}">
              <a16:creationId xmlns:a16="http://schemas.microsoft.com/office/drawing/2014/main" id="{00000000-0008-0000-0D00-00002A4E1000}"/>
            </a:ext>
          </a:extLst>
        </xdr:cNvPr>
        <xdr:cNvSpPr>
          <a:spLocks noChangeShapeType="1"/>
        </xdr:cNvSpPr>
      </xdr:nvSpPr>
      <xdr:spPr bwMode="auto">
        <a:xfrm flipV="1">
          <a:off x="4281487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14</xdr:row>
      <xdr:rowOff>0</xdr:rowOff>
    </xdr:from>
    <xdr:to>
      <xdr:col>62</xdr:col>
      <xdr:colOff>76200</xdr:colOff>
      <xdr:row>14</xdr:row>
      <xdr:rowOff>9525</xdr:rowOff>
    </xdr:to>
    <xdr:sp macro="" textlink="">
      <xdr:nvSpPr>
        <xdr:cNvPr id="1068587" name="Line 28">
          <a:extLst>
            <a:ext uri="{FF2B5EF4-FFF2-40B4-BE49-F238E27FC236}">
              <a16:creationId xmlns:a16="http://schemas.microsoft.com/office/drawing/2014/main" id="{00000000-0008-0000-0D00-00002B4E1000}"/>
            </a:ext>
          </a:extLst>
        </xdr:cNvPr>
        <xdr:cNvSpPr>
          <a:spLocks noChangeShapeType="1"/>
        </xdr:cNvSpPr>
      </xdr:nvSpPr>
      <xdr:spPr bwMode="auto">
        <a:xfrm>
          <a:off x="4280535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14</xdr:row>
      <xdr:rowOff>9525</xdr:rowOff>
    </xdr:from>
    <xdr:to>
      <xdr:col>62</xdr:col>
      <xdr:colOff>66675</xdr:colOff>
      <xdr:row>17</xdr:row>
      <xdr:rowOff>19050</xdr:rowOff>
    </xdr:to>
    <xdr:sp macro="" textlink="">
      <xdr:nvSpPr>
        <xdr:cNvPr id="1068588" name="Line 29">
          <a:extLst>
            <a:ext uri="{FF2B5EF4-FFF2-40B4-BE49-F238E27FC236}">
              <a16:creationId xmlns:a16="http://schemas.microsoft.com/office/drawing/2014/main" id="{00000000-0008-0000-0D00-00002C4E1000}"/>
            </a:ext>
          </a:extLst>
        </xdr:cNvPr>
        <xdr:cNvSpPr>
          <a:spLocks noChangeShapeType="1"/>
        </xdr:cNvSpPr>
      </xdr:nvSpPr>
      <xdr:spPr bwMode="auto">
        <a:xfrm>
          <a:off x="4287202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9525</xdr:colOff>
      <xdr:row>17</xdr:row>
      <xdr:rowOff>0</xdr:rowOff>
    </xdr:from>
    <xdr:to>
      <xdr:col>62</xdr:col>
      <xdr:colOff>66675</xdr:colOff>
      <xdr:row>17</xdr:row>
      <xdr:rowOff>9525</xdr:rowOff>
    </xdr:to>
    <xdr:sp macro="" textlink="">
      <xdr:nvSpPr>
        <xdr:cNvPr id="1068589" name="Line 30">
          <a:extLst>
            <a:ext uri="{FF2B5EF4-FFF2-40B4-BE49-F238E27FC236}">
              <a16:creationId xmlns:a16="http://schemas.microsoft.com/office/drawing/2014/main" id="{00000000-0008-0000-0D00-00002D4E1000}"/>
            </a:ext>
          </a:extLst>
        </xdr:cNvPr>
        <xdr:cNvSpPr>
          <a:spLocks noChangeShapeType="1"/>
        </xdr:cNvSpPr>
      </xdr:nvSpPr>
      <xdr:spPr bwMode="auto">
        <a:xfrm flipV="1">
          <a:off x="4281487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0</xdr:colOff>
      <xdr:row>14</xdr:row>
      <xdr:rowOff>0</xdr:rowOff>
    </xdr:from>
    <xdr:to>
      <xdr:col>59</xdr:col>
      <xdr:colOff>76200</xdr:colOff>
      <xdr:row>14</xdr:row>
      <xdr:rowOff>9525</xdr:rowOff>
    </xdr:to>
    <xdr:sp macro="" textlink="">
      <xdr:nvSpPr>
        <xdr:cNvPr id="1068590" name="Line 31">
          <a:extLst>
            <a:ext uri="{FF2B5EF4-FFF2-40B4-BE49-F238E27FC236}">
              <a16:creationId xmlns:a16="http://schemas.microsoft.com/office/drawing/2014/main" id="{00000000-0008-0000-0D00-00002E4E1000}"/>
            </a:ext>
          </a:extLst>
        </xdr:cNvPr>
        <xdr:cNvSpPr>
          <a:spLocks noChangeShapeType="1"/>
        </xdr:cNvSpPr>
      </xdr:nvSpPr>
      <xdr:spPr bwMode="auto">
        <a:xfrm>
          <a:off x="4070985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66675</xdr:colOff>
      <xdr:row>14</xdr:row>
      <xdr:rowOff>9525</xdr:rowOff>
    </xdr:from>
    <xdr:to>
      <xdr:col>59</xdr:col>
      <xdr:colOff>66675</xdr:colOff>
      <xdr:row>17</xdr:row>
      <xdr:rowOff>19050</xdr:rowOff>
    </xdr:to>
    <xdr:sp macro="" textlink="">
      <xdr:nvSpPr>
        <xdr:cNvPr id="1068591" name="Line 32">
          <a:extLst>
            <a:ext uri="{FF2B5EF4-FFF2-40B4-BE49-F238E27FC236}">
              <a16:creationId xmlns:a16="http://schemas.microsoft.com/office/drawing/2014/main" id="{00000000-0008-0000-0D00-00002F4E1000}"/>
            </a:ext>
          </a:extLst>
        </xdr:cNvPr>
        <xdr:cNvSpPr>
          <a:spLocks noChangeShapeType="1"/>
        </xdr:cNvSpPr>
      </xdr:nvSpPr>
      <xdr:spPr bwMode="auto">
        <a:xfrm>
          <a:off x="4077652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9525</xdr:colOff>
      <xdr:row>17</xdr:row>
      <xdr:rowOff>0</xdr:rowOff>
    </xdr:from>
    <xdr:to>
      <xdr:col>59</xdr:col>
      <xdr:colOff>66675</xdr:colOff>
      <xdr:row>17</xdr:row>
      <xdr:rowOff>9525</xdr:rowOff>
    </xdr:to>
    <xdr:sp macro="" textlink="">
      <xdr:nvSpPr>
        <xdr:cNvPr id="1068592" name="Line 33">
          <a:extLst>
            <a:ext uri="{FF2B5EF4-FFF2-40B4-BE49-F238E27FC236}">
              <a16:creationId xmlns:a16="http://schemas.microsoft.com/office/drawing/2014/main" id="{00000000-0008-0000-0D00-0000304E1000}"/>
            </a:ext>
          </a:extLst>
        </xdr:cNvPr>
        <xdr:cNvSpPr>
          <a:spLocks noChangeShapeType="1"/>
        </xdr:cNvSpPr>
      </xdr:nvSpPr>
      <xdr:spPr bwMode="auto">
        <a:xfrm flipV="1">
          <a:off x="4071937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0</xdr:colOff>
      <xdr:row>14</xdr:row>
      <xdr:rowOff>0</xdr:rowOff>
    </xdr:from>
    <xdr:to>
      <xdr:col>56</xdr:col>
      <xdr:colOff>76200</xdr:colOff>
      <xdr:row>14</xdr:row>
      <xdr:rowOff>9525</xdr:rowOff>
    </xdr:to>
    <xdr:sp macro="" textlink="">
      <xdr:nvSpPr>
        <xdr:cNvPr id="1068593" name="Line 34">
          <a:extLst>
            <a:ext uri="{FF2B5EF4-FFF2-40B4-BE49-F238E27FC236}">
              <a16:creationId xmlns:a16="http://schemas.microsoft.com/office/drawing/2014/main" id="{00000000-0008-0000-0D00-0000314E1000}"/>
            </a:ext>
          </a:extLst>
        </xdr:cNvPr>
        <xdr:cNvSpPr>
          <a:spLocks noChangeShapeType="1"/>
        </xdr:cNvSpPr>
      </xdr:nvSpPr>
      <xdr:spPr bwMode="auto">
        <a:xfrm>
          <a:off x="3854767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66675</xdr:colOff>
      <xdr:row>14</xdr:row>
      <xdr:rowOff>9525</xdr:rowOff>
    </xdr:from>
    <xdr:to>
      <xdr:col>56</xdr:col>
      <xdr:colOff>66675</xdr:colOff>
      <xdr:row>17</xdr:row>
      <xdr:rowOff>19050</xdr:rowOff>
    </xdr:to>
    <xdr:sp macro="" textlink="">
      <xdr:nvSpPr>
        <xdr:cNvPr id="1068594" name="Line 35">
          <a:extLst>
            <a:ext uri="{FF2B5EF4-FFF2-40B4-BE49-F238E27FC236}">
              <a16:creationId xmlns:a16="http://schemas.microsoft.com/office/drawing/2014/main" id="{00000000-0008-0000-0D00-0000324E1000}"/>
            </a:ext>
          </a:extLst>
        </xdr:cNvPr>
        <xdr:cNvSpPr>
          <a:spLocks noChangeShapeType="1"/>
        </xdr:cNvSpPr>
      </xdr:nvSpPr>
      <xdr:spPr bwMode="auto">
        <a:xfrm>
          <a:off x="3861435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9525</xdr:colOff>
      <xdr:row>17</xdr:row>
      <xdr:rowOff>0</xdr:rowOff>
    </xdr:from>
    <xdr:to>
      <xdr:col>56</xdr:col>
      <xdr:colOff>66675</xdr:colOff>
      <xdr:row>17</xdr:row>
      <xdr:rowOff>9525</xdr:rowOff>
    </xdr:to>
    <xdr:sp macro="" textlink="">
      <xdr:nvSpPr>
        <xdr:cNvPr id="1068595" name="Line 36">
          <a:extLst>
            <a:ext uri="{FF2B5EF4-FFF2-40B4-BE49-F238E27FC236}">
              <a16:creationId xmlns:a16="http://schemas.microsoft.com/office/drawing/2014/main" id="{00000000-0008-0000-0D00-0000334E1000}"/>
            </a:ext>
          </a:extLst>
        </xdr:cNvPr>
        <xdr:cNvSpPr>
          <a:spLocks noChangeShapeType="1"/>
        </xdr:cNvSpPr>
      </xdr:nvSpPr>
      <xdr:spPr bwMode="auto">
        <a:xfrm flipV="1">
          <a:off x="385572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0</xdr:colOff>
      <xdr:row>20</xdr:row>
      <xdr:rowOff>0</xdr:rowOff>
    </xdr:from>
    <xdr:to>
      <xdr:col>56</xdr:col>
      <xdr:colOff>76200</xdr:colOff>
      <xdr:row>20</xdr:row>
      <xdr:rowOff>9525</xdr:rowOff>
    </xdr:to>
    <xdr:sp macro="" textlink="">
      <xdr:nvSpPr>
        <xdr:cNvPr id="1068596" name="Line 37">
          <a:extLst>
            <a:ext uri="{FF2B5EF4-FFF2-40B4-BE49-F238E27FC236}">
              <a16:creationId xmlns:a16="http://schemas.microsoft.com/office/drawing/2014/main" id="{00000000-0008-0000-0D00-0000344E1000}"/>
            </a:ext>
          </a:extLst>
        </xdr:cNvPr>
        <xdr:cNvSpPr>
          <a:spLocks noChangeShapeType="1"/>
        </xdr:cNvSpPr>
      </xdr:nvSpPr>
      <xdr:spPr bwMode="auto">
        <a:xfrm>
          <a:off x="385476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66675</xdr:colOff>
      <xdr:row>20</xdr:row>
      <xdr:rowOff>9525</xdr:rowOff>
    </xdr:from>
    <xdr:to>
      <xdr:col>56</xdr:col>
      <xdr:colOff>66675</xdr:colOff>
      <xdr:row>23</xdr:row>
      <xdr:rowOff>19050</xdr:rowOff>
    </xdr:to>
    <xdr:sp macro="" textlink="">
      <xdr:nvSpPr>
        <xdr:cNvPr id="1068597" name="Line 38">
          <a:extLst>
            <a:ext uri="{FF2B5EF4-FFF2-40B4-BE49-F238E27FC236}">
              <a16:creationId xmlns:a16="http://schemas.microsoft.com/office/drawing/2014/main" id="{00000000-0008-0000-0D00-0000354E1000}"/>
            </a:ext>
          </a:extLst>
        </xdr:cNvPr>
        <xdr:cNvSpPr>
          <a:spLocks noChangeShapeType="1"/>
        </xdr:cNvSpPr>
      </xdr:nvSpPr>
      <xdr:spPr bwMode="auto">
        <a:xfrm>
          <a:off x="3861435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9525</xdr:colOff>
      <xdr:row>23</xdr:row>
      <xdr:rowOff>0</xdr:rowOff>
    </xdr:from>
    <xdr:to>
      <xdr:col>56</xdr:col>
      <xdr:colOff>66675</xdr:colOff>
      <xdr:row>23</xdr:row>
      <xdr:rowOff>9525</xdr:rowOff>
    </xdr:to>
    <xdr:sp macro="" textlink="">
      <xdr:nvSpPr>
        <xdr:cNvPr id="1068598" name="Line 39">
          <a:extLst>
            <a:ext uri="{FF2B5EF4-FFF2-40B4-BE49-F238E27FC236}">
              <a16:creationId xmlns:a16="http://schemas.microsoft.com/office/drawing/2014/main" id="{00000000-0008-0000-0D00-0000364E1000}"/>
            </a:ext>
          </a:extLst>
        </xdr:cNvPr>
        <xdr:cNvSpPr>
          <a:spLocks noChangeShapeType="1"/>
        </xdr:cNvSpPr>
      </xdr:nvSpPr>
      <xdr:spPr bwMode="auto">
        <a:xfrm flipV="1">
          <a:off x="3855720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0</xdr:colOff>
      <xdr:row>20</xdr:row>
      <xdr:rowOff>0</xdr:rowOff>
    </xdr:from>
    <xdr:to>
      <xdr:col>59</xdr:col>
      <xdr:colOff>76200</xdr:colOff>
      <xdr:row>20</xdr:row>
      <xdr:rowOff>9525</xdr:rowOff>
    </xdr:to>
    <xdr:sp macro="" textlink="">
      <xdr:nvSpPr>
        <xdr:cNvPr id="1068599" name="Line 40">
          <a:extLst>
            <a:ext uri="{FF2B5EF4-FFF2-40B4-BE49-F238E27FC236}">
              <a16:creationId xmlns:a16="http://schemas.microsoft.com/office/drawing/2014/main" id="{00000000-0008-0000-0D00-0000374E1000}"/>
            </a:ext>
          </a:extLst>
        </xdr:cNvPr>
        <xdr:cNvSpPr>
          <a:spLocks noChangeShapeType="1"/>
        </xdr:cNvSpPr>
      </xdr:nvSpPr>
      <xdr:spPr bwMode="auto">
        <a:xfrm>
          <a:off x="4070985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66675</xdr:colOff>
      <xdr:row>20</xdr:row>
      <xdr:rowOff>9525</xdr:rowOff>
    </xdr:from>
    <xdr:to>
      <xdr:col>59</xdr:col>
      <xdr:colOff>66675</xdr:colOff>
      <xdr:row>23</xdr:row>
      <xdr:rowOff>19050</xdr:rowOff>
    </xdr:to>
    <xdr:sp macro="" textlink="">
      <xdr:nvSpPr>
        <xdr:cNvPr id="1068600" name="Line 41">
          <a:extLst>
            <a:ext uri="{FF2B5EF4-FFF2-40B4-BE49-F238E27FC236}">
              <a16:creationId xmlns:a16="http://schemas.microsoft.com/office/drawing/2014/main" id="{00000000-0008-0000-0D00-0000384E1000}"/>
            </a:ext>
          </a:extLst>
        </xdr:cNvPr>
        <xdr:cNvSpPr>
          <a:spLocks noChangeShapeType="1"/>
        </xdr:cNvSpPr>
      </xdr:nvSpPr>
      <xdr:spPr bwMode="auto">
        <a:xfrm>
          <a:off x="4077652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9525</xdr:colOff>
      <xdr:row>23</xdr:row>
      <xdr:rowOff>0</xdr:rowOff>
    </xdr:from>
    <xdr:to>
      <xdr:col>59</xdr:col>
      <xdr:colOff>66675</xdr:colOff>
      <xdr:row>23</xdr:row>
      <xdr:rowOff>9525</xdr:rowOff>
    </xdr:to>
    <xdr:sp macro="" textlink="">
      <xdr:nvSpPr>
        <xdr:cNvPr id="1068601" name="Line 42">
          <a:extLst>
            <a:ext uri="{FF2B5EF4-FFF2-40B4-BE49-F238E27FC236}">
              <a16:creationId xmlns:a16="http://schemas.microsoft.com/office/drawing/2014/main" id="{00000000-0008-0000-0D00-0000394E1000}"/>
            </a:ext>
          </a:extLst>
        </xdr:cNvPr>
        <xdr:cNvSpPr>
          <a:spLocks noChangeShapeType="1"/>
        </xdr:cNvSpPr>
      </xdr:nvSpPr>
      <xdr:spPr bwMode="auto">
        <a:xfrm flipV="1">
          <a:off x="407193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20</xdr:row>
      <xdr:rowOff>0</xdr:rowOff>
    </xdr:from>
    <xdr:to>
      <xdr:col>62</xdr:col>
      <xdr:colOff>76200</xdr:colOff>
      <xdr:row>20</xdr:row>
      <xdr:rowOff>9525</xdr:rowOff>
    </xdr:to>
    <xdr:sp macro="" textlink="">
      <xdr:nvSpPr>
        <xdr:cNvPr id="1068602" name="Line 43">
          <a:extLst>
            <a:ext uri="{FF2B5EF4-FFF2-40B4-BE49-F238E27FC236}">
              <a16:creationId xmlns:a16="http://schemas.microsoft.com/office/drawing/2014/main" id="{00000000-0008-0000-0D00-00003A4E1000}"/>
            </a:ext>
          </a:extLst>
        </xdr:cNvPr>
        <xdr:cNvSpPr>
          <a:spLocks noChangeShapeType="1"/>
        </xdr:cNvSpPr>
      </xdr:nvSpPr>
      <xdr:spPr bwMode="auto">
        <a:xfrm>
          <a:off x="4280535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20</xdr:row>
      <xdr:rowOff>9525</xdr:rowOff>
    </xdr:from>
    <xdr:to>
      <xdr:col>62</xdr:col>
      <xdr:colOff>66675</xdr:colOff>
      <xdr:row>23</xdr:row>
      <xdr:rowOff>19050</xdr:rowOff>
    </xdr:to>
    <xdr:sp macro="" textlink="">
      <xdr:nvSpPr>
        <xdr:cNvPr id="1068603" name="Line 44">
          <a:extLst>
            <a:ext uri="{FF2B5EF4-FFF2-40B4-BE49-F238E27FC236}">
              <a16:creationId xmlns:a16="http://schemas.microsoft.com/office/drawing/2014/main" id="{00000000-0008-0000-0D00-00003B4E1000}"/>
            </a:ext>
          </a:extLst>
        </xdr:cNvPr>
        <xdr:cNvSpPr>
          <a:spLocks noChangeShapeType="1"/>
        </xdr:cNvSpPr>
      </xdr:nvSpPr>
      <xdr:spPr bwMode="auto">
        <a:xfrm>
          <a:off x="4287202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9525</xdr:colOff>
      <xdr:row>23</xdr:row>
      <xdr:rowOff>0</xdr:rowOff>
    </xdr:from>
    <xdr:to>
      <xdr:col>62</xdr:col>
      <xdr:colOff>66675</xdr:colOff>
      <xdr:row>23</xdr:row>
      <xdr:rowOff>9525</xdr:rowOff>
    </xdr:to>
    <xdr:sp macro="" textlink="">
      <xdr:nvSpPr>
        <xdr:cNvPr id="1068604" name="Line 45">
          <a:extLst>
            <a:ext uri="{FF2B5EF4-FFF2-40B4-BE49-F238E27FC236}">
              <a16:creationId xmlns:a16="http://schemas.microsoft.com/office/drawing/2014/main" id="{00000000-0008-0000-0D00-00003C4E1000}"/>
            </a:ext>
          </a:extLst>
        </xdr:cNvPr>
        <xdr:cNvSpPr>
          <a:spLocks noChangeShapeType="1"/>
        </xdr:cNvSpPr>
      </xdr:nvSpPr>
      <xdr:spPr bwMode="auto">
        <a:xfrm flipV="1">
          <a:off x="428148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0</xdr:colOff>
      <xdr:row>26</xdr:row>
      <xdr:rowOff>0</xdr:rowOff>
    </xdr:from>
    <xdr:to>
      <xdr:col>56</xdr:col>
      <xdr:colOff>76200</xdr:colOff>
      <xdr:row>26</xdr:row>
      <xdr:rowOff>9525</xdr:rowOff>
    </xdr:to>
    <xdr:sp macro="" textlink="">
      <xdr:nvSpPr>
        <xdr:cNvPr id="1068605" name="Line 46">
          <a:extLst>
            <a:ext uri="{FF2B5EF4-FFF2-40B4-BE49-F238E27FC236}">
              <a16:creationId xmlns:a16="http://schemas.microsoft.com/office/drawing/2014/main" id="{00000000-0008-0000-0D00-00003D4E1000}"/>
            </a:ext>
          </a:extLst>
        </xdr:cNvPr>
        <xdr:cNvSpPr>
          <a:spLocks noChangeShapeType="1"/>
        </xdr:cNvSpPr>
      </xdr:nvSpPr>
      <xdr:spPr bwMode="auto">
        <a:xfrm>
          <a:off x="3854767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9525</xdr:colOff>
      <xdr:row>29</xdr:row>
      <xdr:rowOff>0</xdr:rowOff>
    </xdr:from>
    <xdr:to>
      <xdr:col>56</xdr:col>
      <xdr:colOff>66675</xdr:colOff>
      <xdr:row>29</xdr:row>
      <xdr:rowOff>9525</xdr:rowOff>
    </xdr:to>
    <xdr:sp macro="" textlink="">
      <xdr:nvSpPr>
        <xdr:cNvPr id="1068606" name="Line 48">
          <a:extLst>
            <a:ext uri="{FF2B5EF4-FFF2-40B4-BE49-F238E27FC236}">
              <a16:creationId xmlns:a16="http://schemas.microsoft.com/office/drawing/2014/main" id="{00000000-0008-0000-0D00-00003E4E1000}"/>
            </a:ext>
          </a:extLst>
        </xdr:cNvPr>
        <xdr:cNvSpPr>
          <a:spLocks noChangeShapeType="1"/>
        </xdr:cNvSpPr>
      </xdr:nvSpPr>
      <xdr:spPr bwMode="auto">
        <a:xfrm flipV="1">
          <a:off x="3855720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0</xdr:colOff>
      <xdr:row>26</xdr:row>
      <xdr:rowOff>0</xdr:rowOff>
    </xdr:from>
    <xdr:to>
      <xdr:col>59</xdr:col>
      <xdr:colOff>76200</xdr:colOff>
      <xdr:row>26</xdr:row>
      <xdr:rowOff>9525</xdr:rowOff>
    </xdr:to>
    <xdr:sp macro="" textlink="">
      <xdr:nvSpPr>
        <xdr:cNvPr id="1068607" name="Line 49">
          <a:extLst>
            <a:ext uri="{FF2B5EF4-FFF2-40B4-BE49-F238E27FC236}">
              <a16:creationId xmlns:a16="http://schemas.microsoft.com/office/drawing/2014/main" id="{00000000-0008-0000-0D00-00003F4E1000}"/>
            </a:ext>
          </a:extLst>
        </xdr:cNvPr>
        <xdr:cNvSpPr>
          <a:spLocks noChangeShapeType="1"/>
        </xdr:cNvSpPr>
      </xdr:nvSpPr>
      <xdr:spPr bwMode="auto">
        <a:xfrm>
          <a:off x="4070985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66675</xdr:colOff>
      <xdr:row>26</xdr:row>
      <xdr:rowOff>9525</xdr:rowOff>
    </xdr:from>
    <xdr:to>
      <xdr:col>59</xdr:col>
      <xdr:colOff>66675</xdr:colOff>
      <xdr:row>29</xdr:row>
      <xdr:rowOff>19050</xdr:rowOff>
    </xdr:to>
    <xdr:sp macro="" textlink="">
      <xdr:nvSpPr>
        <xdr:cNvPr id="1068608" name="Line 50">
          <a:extLst>
            <a:ext uri="{FF2B5EF4-FFF2-40B4-BE49-F238E27FC236}">
              <a16:creationId xmlns:a16="http://schemas.microsoft.com/office/drawing/2014/main" id="{00000000-0008-0000-0D00-0000404E1000}"/>
            </a:ext>
          </a:extLst>
        </xdr:cNvPr>
        <xdr:cNvSpPr>
          <a:spLocks noChangeShapeType="1"/>
        </xdr:cNvSpPr>
      </xdr:nvSpPr>
      <xdr:spPr bwMode="auto">
        <a:xfrm>
          <a:off x="4077652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9525</xdr:colOff>
      <xdr:row>29</xdr:row>
      <xdr:rowOff>0</xdr:rowOff>
    </xdr:from>
    <xdr:to>
      <xdr:col>59</xdr:col>
      <xdr:colOff>66675</xdr:colOff>
      <xdr:row>29</xdr:row>
      <xdr:rowOff>9525</xdr:rowOff>
    </xdr:to>
    <xdr:sp macro="" textlink="">
      <xdr:nvSpPr>
        <xdr:cNvPr id="1068609" name="Line 51">
          <a:extLst>
            <a:ext uri="{FF2B5EF4-FFF2-40B4-BE49-F238E27FC236}">
              <a16:creationId xmlns:a16="http://schemas.microsoft.com/office/drawing/2014/main" id="{00000000-0008-0000-0D00-0000414E1000}"/>
            </a:ext>
          </a:extLst>
        </xdr:cNvPr>
        <xdr:cNvSpPr>
          <a:spLocks noChangeShapeType="1"/>
        </xdr:cNvSpPr>
      </xdr:nvSpPr>
      <xdr:spPr bwMode="auto">
        <a:xfrm flipV="1">
          <a:off x="4071937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26</xdr:row>
      <xdr:rowOff>0</xdr:rowOff>
    </xdr:from>
    <xdr:to>
      <xdr:col>62</xdr:col>
      <xdr:colOff>76200</xdr:colOff>
      <xdr:row>26</xdr:row>
      <xdr:rowOff>9525</xdr:rowOff>
    </xdr:to>
    <xdr:sp macro="" textlink="">
      <xdr:nvSpPr>
        <xdr:cNvPr id="1068610" name="Line 52">
          <a:extLst>
            <a:ext uri="{FF2B5EF4-FFF2-40B4-BE49-F238E27FC236}">
              <a16:creationId xmlns:a16="http://schemas.microsoft.com/office/drawing/2014/main" id="{00000000-0008-0000-0D00-0000424E1000}"/>
            </a:ext>
          </a:extLst>
        </xdr:cNvPr>
        <xdr:cNvSpPr>
          <a:spLocks noChangeShapeType="1"/>
        </xdr:cNvSpPr>
      </xdr:nvSpPr>
      <xdr:spPr bwMode="auto">
        <a:xfrm>
          <a:off x="4280535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26</xdr:row>
      <xdr:rowOff>9525</xdr:rowOff>
    </xdr:from>
    <xdr:to>
      <xdr:col>62</xdr:col>
      <xdr:colOff>66675</xdr:colOff>
      <xdr:row>29</xdr:row>
      <xdr:rowOff>19050</xdr:rowOff>
    </xdr:to>
    <xdr:sp macro="" textlink="">
      <xdr:nvSpPr>
        <xdr:cNvPr id="1068611" name="Line 53">
          <a:extLst>
            <a:ext uri="{FF2B5EF4-FFF2-40B4-BE49-F238E27FC236}">
              <a16:creationId xmlns:a16="http://schemas.microsoft.com/office/drawing/2014/main" id="{00000000-0008-0000-0D00-0000434E1000}"/>
            </a:ext>
          </a:extLst>
        </xdr:cNvPr>
        <xdr:cNvSpPr>
          <a:spLocks noChangeShapeType="1"/>
        </xdr:cNvSpPr>
      </xdr:nvSpPr>
      <xdr:spPr bwMode="auto">
        <a:xfrm>
          <a:off x="4287202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9525</xdr:colOff>
      <xdr:row>29</xdr:row>
      <xdr:rowOff>0</xdr:rowOff>
    </xdr:from>
    <xdr:to>
      <xdr:col>62</xdr:col>
      <xdr:colOff>66675</xdr:colOff>
      <xdr:row>29</xdr:row>
      <xdr:rowOff>9525</xdr:rowOff>
    </xdr:to>
    <xdr:sp macro="" textlink="">
      <xdr:nvSpPr>
        <xdr:cNvPr id="1068612" name="Line 54">
          <a:extLst>
            <a:ext uri="{FF2B5EF4-FFF2-40B4-BE49-F238E27FC236}">
              <a16:creationId xmlns:a16="http://schemas.microsoft.com/office/drawing/2014/main" id="{00000000-0008-0000-0D00-0000444E1000}"/>
            </a:ext>
          </a:extLst>
        </xdr:cNvPr>
        <xdr:cNvSpPr>
          <a:spLocks noChangeShapeType="1"/>
        </xdr:cNvSpPr>
      </xdr:nvSpPr>
      <xdr:spPr bwMode="auto">
        <a:xfrm flipV="1">
          <a:off x="4281487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66675</xdr:colOff>
      <xdr:row>8</xdr:row>
      <xdr:rowOff>9525</xdr:rowOff>
    </xdr:from>
    <xdr:to>
      <xdr:col>60</xdr:col>
      <xdr:colOff>0</xdr:colOff>
      <xdr:row>9</xdr:row>
      <xdr:rowOff>66675</xdr:rowOff>
    </xdr:to>
    <xdr:sp macro="" textlink="">
      <xdr:nvSpPr>
        <xdr:cNvPr id="1068613" name="Line 64">
          <a:extLst>
            <a:ext uri="{FF2B5EF4-FFF2-40B4-BE49-F238E27FC236}">
              <a16:creationId xmlns:a16="http://schemas.microsoft.com/office/drawing/2014/main" id="{00000000-0008-0000-0D00-0000454E1000}"/>
            </a:ext>
          </a:extLst>
        </xdr:cNvPr>
        <xdr:cNvSpPr>
          <a:spLocks noChangeShapeType="1"/>
        </xdr:cNvSpPr>
      </xdr:nvSpPr>
      <xdr:spPr bwMode="auto">
        <a:xfrm flipV="1">
          <a:off x="40776525" y="2057400"/>
          <a:ext cx="342900" cy="2381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66675</xdr:colOff>
      <xdr:row>9</xdr:row>
      <xdr:rowOff>76200</xdr:rowOff>
    </xdr:from>
    <xdr:to>
      <xdr:col>60</xdr:col>
      <xdr:colOff>0</xdr:colOff>
      <xdr:row>13</xdr:row>
      <xdr:rowOff>0</xdr:rowOff>
    </xdr:to>
    <xdr:sp macro="" textlink="">
      <xdr:nvSpPr>
        <xdr:cNvPr id="1068614" name="Line 66">
          <a:extLst>
            <a:ext uri="{FF2B5EF4-FFF2-40B4-BE49-F238E27FC236}">
              <a16:creationId xmlns:a16="http://schemas.microsoft.com/office/drawing/2014/main" id="{00000000-0008-0000-0D00-0000464E1000}"/>
            </a:ext>
          </a:extLst>
        </xdr:cNvPr>
        <xdr:cNvSpPr>
          <a:spLocks noChangeShapeType="1"/>
        </xdr:cNvSpPr>
      </xdr:nvSpPr>
      <xdr:spPr bwMode="auto">
        <a:xfrm>
          <a:off x="40776525" y="2305050"/>
          <a:ext cx="342900" cy="6477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62</xdr:col>
      <xdr:colOff>0</xdr:colOff>
      <xdr:row>26</xdr:row>
      <xdr:rowOff>0</xdr:rowOff>
    </xdr:from>
    <xdr:to>
      <xdr:col>62</xdr:col>
      <xdr:colOff>76200</xdr:colOff>
      <xdr:row>26</xdr:row>
      <xdr:rowOff>9525</xdr:rowOff>
    </xdr:to>
    <xdr:sp macro="" textlink="">
      <xdr:nvSpPr>
        <xdr:cNvPr id="1068615" name="Line 72">
          <a:extLst>
            <a:ext uri="{FF2B5EF4-FFF2-40B4-BE49-F238E27FC236}">
              <a16:creationId xmlns:a16="http://schemas.microsoft.com/office/drawing/2014/main" id="{00000000-0008-0000-0D00-0000474E1000}"/>
            </a:ext>
          </a:extLst>
        </xdr:cNvPr>
        <xdr:cNvSpPr>
          <a:spLocks noChangeShapeType="1"/>
        </xdr:cNvSpPr>
      </xdr:nvSpPr>
      <xdr:spPr bwMode="auto">
        <a:xfrm>
          <a:off x="4280535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26</xdr:row>
      <xdr:rowOff>9525</xdr:rowOff>
    </xdr:from>
    <xdr:to>
      <xdr:col>62</xdr:col>
      <xdr:colOff>66675</xdr:colOff>
      <xdr:row>29</xdr:row>
      <xdr:rowOff>19050</xdr:rowOff>
    </xdr:to>
    <xdr:sp macro="" textlink="">
      <xdr:nvSpPr>
        <xdr:cNvPr id="1068616" name="Line 73">
          <a:extLst>
            <a:ext uri="{FF2B5EF4-FFF2-40B4-BE49-F238E27FC236}">
              <a16:creationId xmlns:a16="http://schemas.microsoft.com/office/drawing/2014/main" id="{00000000-0008-0000-0D00-0000484E1000}"/>
            </a:ext>
          </a:extLst>
        </xdr:cNvPr>
        <xdr:cNvSpPr>
          <a:spLocks noChangeShapeType="1"/>
        </xdr:cNvSpPr>
      </xdr:nvSpPr>
      <xdr:spPr bwMode="auto">
        <a:xfrm>
          <a:off x="4287202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9525</xdr:colOff>
      <xdr:row>29</xdr:row>
      <xdr:rowOff>0</xdr:rowOff>
    </xdr:from>
    <xdr:to>
      <xdr:col>62</xdr:col>
      <xdr:colOff>66675</xdr:colOff>
      <xdr:row>29</xdr:row>
      <xdr:rowOff>9525</xdr:rowOff>
    </xdr:to>
    <xdr:sp macro="" textlink="">
      <xdr:nvSpPr>
        <xdr:cNvPr id="1068617" name="Line 74">
          <a:extLst>
            <a:ext uri="{FF2B5EF4-FFF2-40B4-BE49-F238E27FC236}">
              <a16:creationId xmlns:a16="http://schemas.microsoft.com/office/drawing/2014/main" id="{00000000-0008-0000-0D00-0000494E1000}"/>
            </a:ext>
          </a:extLst>
        </xdr:cNvPr>
        <xdr:cNvSpPr>
          <a:spLocks noChangeShapeType="1"/>
        </xdr:cNvSpPr>
      </xdr:nvSpPr>
      <xdr:spPr bwMode="auto">
        <a:xfrm flipV="1">
          <a:off x="4281487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20</xdr:row>
      <xdr:rowOff>0</xdr:rowOff>
    </xdr:from>
    <xdr:to>
      <xdr:col>62</xdr:col>
      <xdr:colOff>76200</xdr:colOff>
      <xdr:row>20</xdr:row>
      <xdr:rowOff>9525</xdr:rowOff>
    </xdr:to>
    <xdr:sp macro="" textlink="">
      <xdr:nvSpPr>
        <xdr:cNvPr id="1068618" name="Line 77">
          <a:extLst>
            <a:ext uri="{FF2B5EF4-FFF2-40B4-BE49-F238E27FC236}">
              <a16:creationId xmlns:a16="http://schemas.microsoft.com/office/drawing/2014/main" id="{00000000-0008-0000-0D00-00004A4E1000}"/>
            </a:ext>
          </a:extLst>
        </xdr:cNvPr>
        <xdr:cNvSpPr>
          <a:spLocks noChangeShapeType="1"/>
        </xdr:cNvSpPr>
      </xdr:nvSpPr>
      <xdr:spPr bwMode="auto">
        <a:xfrm>
          <a:off x="4280535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20</xdr:row>
      <xdr:rowOff>9525</xdr:rowOff>
    </xdr:from>
    <xdr:to>
      <xdr:col>62</xdr:col>
      <xdr:colOff>66675</xdr:colOff>
      <xdr:row>23</xdr:row>
      <xdr:rowOff>19050</xdr:rowOff>
    </xdr:to>
    <xdr:sp macro="" textlink="">
      <xdr:nvSpPr>
        <xdr:cNvPr id="1068619" name="Line 78">
          <a:extLst>
            <a:ext uri="{FF2B5EF4-FFF2-40B4-BE49-F238E27FC236}">
              <a16:creationId xmlns:a16="http://schemas.microsoft.com/office/drawing/2014/main" id="{00000000-0008-0000-0D00-00004B4E1000}"/>
            </a:ext>
          </a:extLst>
        </xdr:cNvPr>
        <xdr:cNvSpPr>
          <a:spLocks noChangeShapeType="1"/>
        </xdr:cNvSpPr>
      </xdr:nvSpPr>
      <xdr:spPr bwMode="auto">
        <a:xfrm>
          <a:off x="4287202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9525</xdr:colOff>
      <xdr:row>23</xdr:row>
      <xdr:rowOff>0</xdr:rowOff>
    </xdr:from>
    <xdr:to>
      <xdr:col>62</xdr:col>
      <xdr:colOff>66675</xdr:colOff>
      <xdr:row>23</xdr:row>
      <xdr:rowOff>9525</xdr:rowOff>
    </xdr:to>
    <xdr:sp macro="" textlink="">
      <xdr:nvSpPr>
        <xdr:cNvPr id="1068620" name="Line 79">
          <a:extLst>
            <a:ext uri="{FF2B5EF4-FFF2-40B4-BE49-F238E27FC236}">
              <a16:creationId xmlns:a16="http://schemas.microsoft.com/office/drawing/2014/main" id="{00000000-0008-0000-0D00-00004C4E1000}"/>
            </a:ext>
          </a:extLst>
        </xdr:cNvPr>
        <xdr:cNvSpPr>
          <a:spLocks noChangeShapeType="1"/>
        </xdr:cNvSpPr>
      </xdr:nvSpPr>
      <xdr:spPr bwMode="auto">
        <a:xfrm flipV="1">
          <a:off x="428148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76200</xdr:colOff>
      <xdr:row>21</xdr:row>
      <xdr:rowOff>66675</xdr:rowOff>
    </xdr:from>
    <xdr:to>
      <xdr:col>63</xdr:col>
      <xdr:colOff>9525</xdr:colOff>
      <xdr:row>23</xdr:row>
      <xdr:rowOff>19050</xdr:rowOff>
    </xdr:to>
    <xdr:sp macro="" textlink="">
      <xdr:nvSpPr>
        <xdr:cNvPr id="1068621" name="Line 81">
          <a:extLst>
            <a:ext uri="{FF2B5EF4-FFF2-40B4-BE49-F238E27FC236}">
              <a16:creationId xmlns:a16="http://schemas.microsoft.com/office/drawing/2014/main" id="{00000000-0008-0000-0D00-00004D4E1000}"/>
            </a:ext>
          </a:extLst>
        </xdr:cNvPr>
        <xdr:cNvSpPr>
          <a:spLocks noChangeShapeType="1"/>
        </xdr:cNvSpPr>
      </xdr:nvSpPr>
      <xdr:spPr bwMode="auto">
        <a:xfrm>
          <a:off x="42881550" y="44672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62</xdr:col>
      <xdr:colOff>0</xdr:colOff>
      <xdr:row>26</xdr:row>
      <xdr:rowOff>0</xdr:rowOff>
    </xdr:from>
    <xdr:to>
      <xdr:col>62</xdr:col>
      <xdr:colOff>76200</xdr:colOff>
      <xdr:row>26</xdr:row>
      <xdr:rowOff>9525</xdr:rowOff>
    </xdr:to>
    <xdr:sp macro="" textlink="">
      <xdr:nvSpPr>
        <xdr:cNvPr id="1068622" name="Line 86">
          <a:extLst>
            <a:ext uri="{FF2B5EF4-FFF2-40B4-BE49-F238E27FC236}">
              <a16:creationId xmlns:a16="http://schemas.microsoft.com/office/drawing/2014/main" id="{00000000-0008-0000-0D00-00004E4E1000}"/>
            </a:ext>
          </a:extLst>
        </xdr:cNvPr>
        <xdr:cNvSpPr>
          <a:spLocks noChangeShapeType="1"/>
        </xdr:cNvSpPr>
      </xdr:nvSpPr>
      <xdr:spPr bwMode="auto">
        <a:xfrm>
          <a:off x="4280535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26</xdr:row>
      <xdr:rowOff>9525</xdr:rowOff>
    </xdr:from>
    <xdr:to>
      <xdr:col>62</xdr:col>
      <xdr:colOff>76200</xdr:colOff>
      <xdr:row>29</xdr:row>
      <xdr:rowOff>0</xdr:rowOff>
    </xdr:to>
    <xdr:sp macro="" textlink="">
      <xdr:nvSpPr>
        <xdr:cNvPr id="1068623" name="Line 87">
          <a:extLst>
            <a:ext uri="{FF2B5EF4-FFF2-40B4-BE49-F238E27FC236}">
              <a16:creationId xmlns:a16="http://schemas.microsoft.com/office/drawing/2014/main" id="{00000000-0008-0000-0D00-00004F4E1000}"/>
            </a:ext>
          </a:extLst>
        </xdr:cNvPr>
        <xdr:cNvSpPr>
          <a:spLocks noChangeShapeType="1"/>
        </xdr:cNvSpPr>
      </xdr:nvSpPr>
      <xdr:spPr bwMode="auto">
        <a:xfrm>
          <a:off x="42872025" y="5314950"/>
          <a:ext cx="9525"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9525</xdr:colOff>
      <xdr:row>29</xdr:row>
      <xdr:rowOff>0</xdr:rowOff>
    </xdr:from>
    <xdr:to>
      <xdr:col>62</xdr:col>
      <xdr:colOff>66675</xdr:colOff>
      <xdr:row>29</xdr:row>
      <xdr:rowOff>9525</xdr:rowOff>
    </xdr:to>
    <xdr:sp macro="" textlink="">
      <xdr:nvSpPr>
        <xdr:cNvPr id="1068624" name="Line 88">
          <a:extLst>
            <a:ext uri="{FF2B5EF4-FFF2-40B4-BE49-F238E27FC236}">
              <a16:creationId xmlns:a16="http://schemas.microsoft.com/office/drawing/2014/main" id="{00000000-0008-0000-0D00-0000504E1000}"/>
            </a:ext>
          </a:extLst>
        </xdr:cNvPr>
        <xdr:cNvSpPr>
          <a:spLocks noChangeShapeType="1"/>
        </xdr:cNvSpPr>
      </xdr:nvSpPr>
      <xdr:spPr bwMode="auto">
        <a:xfrm flipV="1">
          <a:off x="4281487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25</xdr:row>
      <xdr:rowOff>161925</xdr:rowOff>
    </xdr:from>
    <xdr:to>
      <xdr:col>62</xdr:col>
      <xdr:colOff>400050</xdr:colOff>
      <xdr:row>27</xdr:row>
      <xdr:rowOff>57150</xdr:rowOff>
    </xdr:to>
    <xdr:sp macro="" textlink="">
      <xdr:nvSpPr>
        <xdr:cNvPr id="1068625" name="Line 89">
          <a:extLst>
            <a:ext uri="{FF2B5EF4-FFF2-40B4-BE49-F238E27FC236}">
              <a16:creationId xmlns:a16="http://schemas.microsoft.com/office/drawing/2014/main" id="{00000000-0008-0000-0D00-0000514E1000}"/>
            </a:ext>
          </a:extLst>
        </xdr:cNvPr>
        <xdr:cNvSpPr>
          <a:spLocks noChangeShapeType="1"/>
        </xdr:cNvSpPr>
      </xdr:nvSpPr>
      <xdr:spPr bwMode="auto">
        <a:xfrm flipV="1">
          <a:off x="42872025" y="5286375"/>
          <a:ext cx="333375" cy="2571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62</xdr:col>
      <xdr:colOff>0</xdr:colOff>
      <xdr:row>20</xdr:row>
      <xdr:rowOff>0</xdr:rowOff>
    </xdr:from>
    <xdr:to>
      <xdr:col>62</xdr:col>
      <xdr:colOff>76200</xdr:colOff>
      <xdr:row>20</xdr:row>
      <xdr:rowOff>9525</xdr:rowOff>
    </xdr:to>
    <xdr:sp macro="" textlink="">
      <xdr:nvSpPr>
        <xdr:cNvPr id="1068626" name="Line 90">
          <a:extLst>
            <a:ext uri="{FF2B5EF4-FFF2-40B4-BE49-F238E27FC236}">
              <a16:creationId xmlns:a16="http://schemas.microsoft.com/office/drawing/2014/main" id="{00000000-0008-0000-0D00-0000524E1000}"/>
            </a:ext>
          </a:extLst>
        </xdr:cNvPr>
        <xdr:cNvSpPr>
          <a:spLocks noChangeShapeType="1"/>
        </xdr:cNvSpPr>
      </xdr:nvSpPr>
      <xdr:spPr bwMode="auto">
        <a:xfrm>
          <a:off x="4280535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20</xdr:row>
      <xdr:rowOff>9525</xdr:rowOff>
    </xdr:from>
    <xdr:to>
      <xdr:col>62</xdr:col>
      <xdr:colOff>66675</xdr:colOff>
      <xdr:row>23</xdr:row>
      <xdr:rowOff>19050</xdr:rowOff>
    </xdr:to>
    <xdr:sp macro="" textlink="">
      <xdr:nvSpPr>
        <xdr:cNvPr id="1068627" name="Line 91">
          <a:extLst>
            <a:ext uri="{FF2B5EF4-FFF2-40B4-BE49-F238E27FC236}">
              <a16:creationId xmlns:a16="http://schemas.microsoft.com/office/drawing/2014/main" id="{00000000-0008-0000-0D00-0000534E1000}"/>
            </a:ext>
          </a:extLst>
        </xdr:cNvPr>
        <xdr:cNvSpPr>
          <a:spLocks noChangeShapeType="1"/>
        </xdr:cNvSpPr>
      </xdr:nvSpPr>
      <xdr:spPr bwMode="auto">
        <a:xfrm>
          <a:off x="4287202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9525</xdr:colOff>
      <xdr:row>23</xdr:row>
      <xdr:rowOff>0</xdr:rowOff>
    </xdr:from>
    <xdr:to>
      <xdr:col>62</xdr:col>
      <xdr:colOff>66675</xdr:colOff>
      <xdr:row>23</xdr:row>
      <xdr:rowOff>9525</xdr:rowOff>
    </xdr:to>
    <xdr:sp macro="" textlink="">
      <xdr:nvSpPr>
        <xdr:cNvPr id="1068628" name="Line 92">
          <a:extLst>
            <a:ext uri="{FF2B5EF4-FFF2-40B4-BE49-F238E27FC236}">
              <a16:creationId xmlns:a16="http://schemas.microsoft.com/office/drawing/2014/main" id="{00000000-0008-0000-0D00-0000544E1000}"/>
            </a:ext>
          </a:extLst>
        </xdr:cNvPr>
        <xdr:cNvSpPr>
          <a:spLocks noChangeShapeType="1"/>
        </xdr:cNvSpPr>
      </xdr:nvSpPr>
      <xdr:spPr bwMode="auto">
        <a:xfrm flipV="1">
          <a:off x="428148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19</xdr:row>
      <xdr:rowOff>161925</xdr:rowOff>
    </xdr:from>
    <xdr:to>
      <xdr:col>63</xdr:col>
      <xdr:colOff>0</xdr:colOff>
      <xdr:row>21</xdr:row>
      <xdr:rowOff>47625</xdr:rowOff>
    </xdr:to>
    <xdr:sp macro="" textlink="">
      <xdr:nvSpPr>
        <xdr:cNvPr id="1068629" name="Line 93">
          <a:extLst>
            <a:ext uri="{FF2B5EF4-FFF2-40B4-BE49-F238E27FC236}">
              <a16:creationId xmlns:a16="http://schemas.microsoft.com/office/drawing/2014/main" id="{00000000-0008-0000-0D00-0000554E1000}"/>
            </a:ext>
          </a:extLst>
        </xdr:cNvPr>
        <xdr:cNvSpPr>
          <a:spLocks noChangeShapeType="1"/>
        </xdr:cNvSpPr>
      </xdr:nvSpPr>
      <xdr:spPr bwMode="auto">
        <a:xfrm flipV="1">
          <a:off x="42872025" y="4200525"/>
          <a:ext cx="342900"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62</xdr:col>
      <xdr:colOff>0</xdr:colOff>
      <xdr:row>14</xdr:row>
      <xdr:rowOff>0</xdr:rowOff>
    </xdr:from>
    <xdr:to>
      <xdr:col>62</xdr:col>
      <xdr:colOff>76200</xdr:colOff>
      <xdr:row>14</xdr:row>
      <xdr:rowOff>9525</xdr:rowOff>
    </xdr:to>
    <xdr:sp macro="" textlink="">
      <xdr:nvSpPr>
        <xdr:cNvPr id="1068630" name="Line 94">
          <a:extLst>
            <a:ext uri="{FF2B5EF4-FFF2-40B4-BE49-F238E27FC236}">
              <a16:creationId xmlns:a16="http://schemas.microsoft.com/office/drawing/2014/main" id="{00000000-0008-0000-0D00-0000564E1000}"/>
            </a:ext>
          </a:extLst>
        </xdr:cNvPr>
        <xdr:cNvSpPr>
          <a:spLocks noChangeShapeType="1"/>
        </xdr:cNvSpPr>
      </xdr:nvSpPr>
      <xdr:spPr bwMode="auto">
        <a:xfrm>
          <a:off x="4280535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14</xdr:row>
      <xdr:rowOff>9525</xdr:rowOff>
    </xdr:from>
    <xdr:to>
      <xdr:col>62</xdr:col>
      <xdr:colOff>66675</xdr:colOff>
      <xdr:row>17</xdr:row>
      <xdr:rowOff>19050</xdr:rowOff>
    </xdr:to>
    <xdr:sp macro="" textlink="">
      <xdr:nvSpPr>
        <xdr:cNvPr id="1068631" name="Line 95">
          <a:extLst>
            <a:ext uri="{FF2B5EF4-FFF2-40B4-BE49-F238E27FC236}">
              <a16:creationId xmlns:a16="http://schemas.microsoft.com/office/drawing/2014/main" id="{00000000-0008-0000-0D00-0000574E1000}"/>
            </a:ext>
          </a:extLst>
        </xdr:cNvPr>
        <xdr:cNvSpPr>
          <a:spLocks noChangeShapeType="1"/>
        </xdr:cNvSpPr>
      </xdr:nvSpPr>
      <xdr:spPr bwMode="auto">
        <a:xfrm>
          <a:off x="4287202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9525</xdr:colOff>
      <xdr:row>17</xdr:row>
      <xdr:rowOff>0</xdr:rowOff>
    </xdr:from>
    <xdr:to>
      <xdr:col>62</xdr:col>
      <xdr:colOff>66675</xdr:colOff>
      <xdr:row>17</xdr:row>
      <xdr:rowOff>9525</xdr:rowOff>
    </xdr:to>
    <xdr:sp macro="" textlink="">
      <xdr:nvSpPr>
        <xdr:cNvPr id="1068632" name="Line 96">
          <a:extLst>
            <a:ext uri="{FF2B5EF4-FFF2-40B4-BE49-F238E27FC236}">
              <a16:creationId xmlns:a16="http://schemas.microsoft.com/office/drawing/2014/main" id="{00000000-0008-0000-0D00-0000584E1000}"/>
            </a:ext>
          </a:extLst>
        </xdr:cNvPr>
        <xdr:cNvSpPr>
          <a:spLocks noChangeShapeType="1"/>
        </xdr:cNvSpPr>
      </xdr:nvSpPr>
      <xdr:spPr bwMode="auto">
        <a:xfrm flipV="1">
          <a:off x="4281487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76200</xdr:colOff>
      <xdr:row>13</xdr:row>
      <xdr:rowOff>171450</xdr:rowOff>
    </xdr:from>
    <xdr:to>
      <xdr:col>63</xdr:col>
      <xdr:colOff>0</xdr:colOff>
      <xdr:row>15</xdr:row>
      <xdr:rowOff>47625</xdr:rowOff>
    </xdr:to>
    <xdr:sp macro="" textlink="">
      <xdr:nvSpPr>
        <xdr:cNvPr id="1068633" name="Line 97">
          <a:extLst>
            <a:ext uri="{FF2B5EF4-FFF2-40B4-BE49-F238E27FC236}">
              <a16:creationId xmlns:a16="http://schemas.microsoft.com/office/drawing/2014/main" id="{00000000-0008-0000-0D00-0000594E1000}"/>
            </a:ext>
          </a:extLst>
        </xdr:cNvPr>
        <xdr:cNvSpPr>
          <a:spLocks noChangeShapeType="1"/>
        </xdr:cNvSpPr>
      </xdr:nvSpPr>
      <xdr:spPr bwMode="auto">
        <a:xfrm flipV="1">
          <a:off x="42881550" y="3124200"/>
          <a:ext cx="333375"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62</xdr:col>
      <xdr:colOff>76200</xdr:colOff>
      <xdr:row>15</xdr:row>
      <xdr:rowOff>66675</xdr:rowOff>
    </xdr:from>
    <xdr:to>
      <xdr:col>63</xdr:col>
      <xdr:colOff>0</xdr:colOff>
      <xdr:row>17</xdr:row>
      <xdr:rowOff>28575</xdr:rowOff>
    </xdr:to>
    <xdr:sp macro="" textlink="">
      <xdr:nvSpPr>
        <xdr:cNvPr id="1068634" name="Line 98">
          <a:extLst>
            <a:ext uri="{FF2B5EF4-FFF2-40B4-BE49-F238E27FC236}">
              <a16:creationId xmlns:a16="http://schemas.microsoft.com/office/drawing/2014/main" id="{00000000-0008-0000-0D00-00005A4E1000}"/>
            </a:ext>
          </a:extLst>
        </xdr:cNvPr>
        <xdr:cNvSpPr>
          <a:spLocks noChangeShapeType="1"/>
        </xdr:cNvSpPr>
      </xdr:nvSpPr>
      <xdr:spPr bwMode="auto">
        <a:xfrm>
          <a:off x="42881550" y="3381375"/>
          <a:ext cx="333375" cy="3238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62</xdr:col>
      <xdr:colOff>0</xdr:colOff>
      <xdr:row>8</xdr:row>
      <xdr:rowOff>0</xdr:rowOff>
    </xdr:from>
    <xdr:to>
      <xdr:col>62</xdr:col>
      <xdr:colOff>76200</xdr:colOff>
      <xdr:row>8</xdr:row>
      <xdr:rowOff>9525</xdr:rowOff>
    </xdr:to>
    <xdr:sp macro="" textlink="">
      <xdr:nvSpPr>
        <xdr:cNvPr id="1068635" name="Line 99">
          <a:extLst>
            <a:ext uri="{FF2B5EF4-FFF2-40B4-BE49-F238E27FC236}">
              <a16:creationId xmlns:a16="http://schemas.microsoft.com/office/drawing/2014/main" id="{00000000-0008-0000-0D00-00005B4E1000}"/>
            </a:ext>
          </a:extLst>
        </xdr:cNvPr>
        <xdr:cNvSpPr>
          <a:spLocks noChangeShapeType="1"/>
        </xdr:cNvSpPr>
      </xdr:nvSpPr>
      <xdr:spPr bwMode="auto">
        <a:xfrm>
          <a:off x="4280535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8</xdr:row>
      <xdr:rowOff>9525</xdr:rowOff>
    </xdr:from>
    <xdr:to>
      <xdr:col>62</xdr:col>
      <xdr:colOff>66675</xdr:colOff>
      <xdr:row>11</xdr:row>
      <xdr:rowOff>19050</xdr:rowOff>
    </xdr:to>
    <xdr:sp macro="" textlink="">
      <xdr:nvSpPr>
        <xdr:cNvPr id="1068636" name="Line 100">
          <a:extLst>
            <a:ext uri="{FF2B5EF4-FFF2-40B4-BE49-F238E27FC236}">
              <a16:creationId xmlns:a16="http://schemas.microsoft.com/office/drawing/2014/main" id="{00000000-0008-0000-0D00-00005C4E1000}"/>
            </a:ext>
          </a:extLst>
        </xdr:cNvPr>
        <xdr:cNvSpPr>
          <a:spLocks noChangeShapeType="1"/>
        </xdr:cNvSpPr>
      </xdr:nvSpPr>
      <xdr:spPr bwMode="auto">
        <a:xfrm>
          <a:off x="4287202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9525</xdr:colOff>
      <xdr:row>11</xdr:row>
      <xdr:rowOff>0</xdr:rowOff>
    </xdr:from>
    <xdr:to>
      <xdr:col>62</xdr:col>
      <xdr:colOff>66675</xdr:colOff>
      <xdr:row>11</xdr:row>
      <xdr:rowOff>9525</xdr:rowOff>
    </xdr:to>
    <xdr:sp macro="" textlink="">
      <xdr:nvSpPr>
        <xdr:cNvPr id="1068637" name="Line 101">
          <a:extLst>
            <a:ext uri="{FF2B5EF4-FFF2-40B4-BE49-F238E27FC236}">
              <a16:creationId xmlns:a16="http://schemas.microsoft.com/office/drawing/2014/main" id="{00000000-0008-0000-0D00-00005D4E1000}"/>
            </a:ext>
          </a:extLst>
        </xdr:cNvPr>
        <xdr:cNvSpPr>
          <a:spLocks noChangeShapeType="1"/>
        </xdr:cNvSpPr>
      </xdr:nvSpPr>
      <xdr:spPr bwMode="auto">
        <a:xfrm flipV="1">
          <a:off x="4281487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8</xdr:row>
      <xdr:rowOff>0</xdr:rowOff>
    </xdr:from>
    <xdr:to>
      <xdr:col>62</xdr:col>
      <xdr:colOff>76200</xdr:colOff>
      <xdr:row>8</xdr:row>
      <xdr:rowOff>9525</xdr:rowOff>
    </xdr:to>
    <xdr:sp macro="" textlink="">
      <xdr:nvSpPr>
        <xdr:cNvPr id="1068638" name="Line 110">
          <a:extLst>
            <a:ext uri="{FF2B5EF4-FFF2-40B4-BE49-F238E27FC236}">
              <a16:creationId xmlns:a16="http://schemas.microsoft.com/office/drawing/2014/main" id="{00000000-0008-0000-0D00-00005E4E1000}"/>
            </a:ext>
          </a:extLst>
        </xdr:cNvPr>
        <xdr:cNvSpPr>
          <a:spLocks noChangeShapeType="1"/>
        </xdr:cNvSpPr>
      </xdr:nvSpPr>
      <xdr:spPr bwMode="auto">
        <a:xfrm>
          <a:off x="4280535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8</xdr:row>
      <xdr:rowOff>9525</xdr:rowOff>
    </xdr:from>
    <xdr:to>
      <xdr:col>62</xdr:col>
      <xdr:colOff>66675</xdr:colOff>
      <xdr:row>11</xdr:row>
      <xdr:rowOff>19050</xdr:rowOff>
    </xdr:to>
    <xdr:sp macro="" textlink="">
      <xdr:nvSpPr>
        <xdr:cNvPr id="1068639" name="Line 111">
          <a:extLst>
            <a:ext uri="{FF2B5EF4-FFF2-40B4-BE49-F238E27FC236}">
              <a16:creationId xmlns:a16="http://schemas.microsoft.com/office/drawing/2014/main" id="{00000000-0008-0000-0D00-00005F4E1000}"/>
            </a:ext>
          </a:extLst>
        </xdr:cNvPr>
        <xdr:cNvSpPr>
          <a:spLocks noChangeShapeType="1"/>
        </xdr:cNvSpPr>
      </xdr:nvSpPr>
      <xdr:spPr bwMode="auto">
        <a:xfrm>
          <a:off x="4287202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9525</xdr:colOff>
      <xdr:row>11</xdr:row>
      <xdr:rowOff>0</xdr:rowOff>
    </xdr:from>
    <xdr:to>
      <xdr:col>62</xdr:col>
      <xdr:colOff>66675</xdr:colOff>
      <xdr:row>11</xdr:row>
      <xdr:rowOff>9525</xdr:rowOff>
    </xdr:to>
    <xdr:sp macro="" textlink="">
      <xdr:nvSpPr>
        <xdr:cNvPr id="1068640" name="Line 112">
          <a:extLst>
            <a:ext uri="{FF2B5EF4-FFF2-40B4-BE49-F238E27FC236}">
              <a16:creationId xmlns:a16="http://schemas.microsoft.com/office/drawing/2014/main" id="{00000000-0008-0000-0D00-0000604E1000}"/>
            </a:ext>
          </a:extLst>
        </xdr:cNvPr>
        <xdr:cNvSpPr>
          <a:spLocks noChangeShapeType="1"/>
        </xdr:cNvSpPr>
      </xdr:nvSpPr>
      <xdr:spPr bwMode="auto">
        <a:xfrm flipV="1">
          <a:off x="4281487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8</xdr:row>
      <xdr:rowOff>0</xdr:rowOff>
    </xdr:from>
    <xdr:to>
      <xdr:col>62</xdr:col>
      <xdr:colOff>76200</xdr:colOff>
      <xdr:row>8</xdr:row>
      <xdr:rowOff>9525</xdr:rowOff>
    </xdr:to>
    <xdr:sp macro="" textlink="">
      <xdr:nvSpPr>
        <xdr:cNvPr id="1068641" name="Line 113">
          <a:extLst>
            <a:ext uri="{FF2B5EF4-FFF2-40B4-BE49-F238E27FC236}">
              <a16:creationId xmlns:a16="http://schemas.microsoft.com/office/drawing/2014/main" id="{00000000-0008-0000-0D00-0000614E1000}"/>
            </a:ext>
          </a:extLst>
        </xdr:cNvPr>
        <xdr:cNvSpPr>
          <a:spLocks noChangeShapeType="1"/>
        </xdr:cNvSpPr>
      </xdr:nvSpPr>
      <xdr:spPr bwMode="auto">
        <a:xfrm>
          <a:off x="4280535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8</xdr:row>
      <xdr:rowOff>9525</xdr:rowOff>
    </xdr:from>
    <xdr:to>
      <xdr:col>62</xdr:col>
      <xdr:colOff>66675</xdr:colOff>
      <xdr:row>11</xdr:row>
      <xdr:rowOff>19050</xdr:rowOff>
    </xdr:to>
    <xdr:sp macro="" textlink="">
      <xdr:nvSpPr>
        <xdr:cNvPr id="1068642" name="Line 114">
          <a:extLst>
            <a:ext uri="{FF2B5EF4-FFF2-40B4-BE49-F238E27FC236}">
              <a16:creationId xmlns:a16="http://schemas.microsoft.com/office/drawing/2014/main" id="{00000000-0008-0000-0D00-0000624E1000}"/>
            </a:ext>
          </a:extLst>
        </xdr:cNvPr>
        <xdr:cNvSpPr>
          <a:spLocks noChangeShapeType="1"/>
        </xdr:cNvSpPr>
      </xdr:nvSpPr>
      <xdr:spPr bwMode="auto">
        <a:xfrm>
          <a:off x="4287202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9525</xdr:colOff>
      <xdr:row>11</xdr:row>
      <xdr:rowOff>0</xdr:rowOff>
    </xdr:from>
    <xdr:to>
      <xdr:col>62</xdr:col>
      <xdr:colOff>66675</xdr:colOff>
      <xdr:row>11</xdr:row>
      <xdr:rowOff>9525</xdr:rowOff>
    </xdr:to>
    <xdr:sp macro="" textlink="">
      <xdr:nvSpPr>
        <xdr:cNvPr id="1068643" name="Line 115">
          <a:extLst>
            <a:ext uri="{FF2B5EF4-FFF2-40B4-BE49-F238E27FC236}">
              <a16:creationId xmlns:a16="http://schemas.microsoft.com/office/drawing/2014/main" id="{00000000-0008-0000-0D00-0000634E1000}"/>
            </a:ext>
          </a:extLst>
        </xdr:cNvPr>
        <xdr:cNvSpPr>
          <a:spLocks noChangeShapeType="1"/>
        </xdr:cNvSpPr>
      </xdr:nvSpPr>
      <xdr:spPr bwMode="auto">
        <a:xfrm flipV="1">
          <a:off x="4281487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76200</xdr:colOff>
      <xdr:row>8</xdr:row>
      <xdr:rowOff>0</xdr:rowOff>
    </xdr:from>
    <xdr:to>
      <xdr:col>62</xdr:col>
      <xdr:colOff>400050</xdr:colOff>
      <xdr:row>9</xdr:row>
      <xdr:rowOff>57150</xdr:rowOff>
    </xdr:to>
    <xdr:sp macro="" textlink="">
      <xdr:nvSpPr>
        <xdr:cNvPr id="1068644" name="Line 116">
          <a:extLst>
            <a:ext uri="{FF2B5EF4-FFF2-40B4-BE49-F238E27FC236}">
              <a16:creationId xmlns:a16="http://schemas.microsoft.com/office/drawing/2014/main" id="{00000000-0008-0000-0D00-0000644E1000}"/>
            </a:ext>
          </a:extLst>
        </xdr:cNvPr>
        <xdr:cNvSpPr>
          <a:spLocks noChangeShapeType="1"/>
        </xdr:cNvSpPr>
      </xdr:nvSpPr>
      <xdr:spPr bwMode="auto">
        <a:xfrm flipV="1">
          <a:off x="42881550" y="2047875"/>
          <a:ext cx="3238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62</xdr:col>
      <xdr:colOff>76200</xdr:colOff>
      <xdr:row>9</xdr:row>
      <xdr:rowOff>66675</xdr:rowOff>
    </xdr:from>
    <xdr:to>
      <xdr:col>63</xdr:col>
      <xdr:colOff>0</xdr:colOff>
      <xdr:row>11</xdr:row>
      <xdr:rowOff>19050</xdr:rowOff>
    </xdr:to>
    <xdr:sp macro="" textlink="">
      <xdr:nvSpPr>
        <xdr:cNvPr id="1068645" name="Line 117">
          <a:extLst>
            <a:ext uri="{FF2B5EF4-FFF2-40B4-BE49-F238E27FC236}">
              <a16:creationId xmlns:a16="http://schemas.microsoft.com/office/drawing/2014/main" id="{00000000-0008-0000-0D00-0000654E1000}"/>
            </a:ext>
          </a:extLst>
        </xdr:cNvPr>
        <xdr:cNvSpPr>
          <a:spLocks noChangeShapeType="1"/>
        </xdr:cNvSpPr>
      </xdr:nvSpPr>
      <xdr:spPr bwMode="auto">
        <a:xfrm>
          <a:off x="42881550" y="2295525"/>
          <a:ext cx="333375"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0</xdr:colOff>
      <xdr:row>14</xdr:row>
      <xdr:rowOff>0</xdr:rowOff>
    </xdr:from>
    <xdr:to>
      <xdr:col>59</xdr:col>
      <xdr:colOff>76200</xdr:colOff>
      <xdr:row>14</xdr:row>
      <xdr:rowOff>9525</xdr:rowOff>
    </xdr:to>
    <xdr:sp macro="" textlink="">
      <xdr:nvSpPr>
        <xdr:cNvPr id="1068646" name="Line 129">
          <a:extLst>
            <a:ext uri="{FF2B5EF4-FFF2-40B4-BE49-F238E27FC236}">
              <a16:creationId xmlns:a16="http://schemas.microsoft.com/office/drawing/2014/main" id="{00000000-0008-0000-0D00-0000664E1000}"/>
            </a:ext>
          </a:extLst>
        </xdr:cNvPr>
        <xdr:cNvSpPr>
          <a:spLocks noChangeShapeType="1"/>
        </xdr:cNvSpPr>
      </xdr:nvSpPr>
      <xdr:spPr bwMode="auto">
        <a:xfrm>
          <a:off x="4070985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66675</xdr:colOff>
      <xdr:row>14</xdr:row>
      <xdr:rowOff>9525</xdr:rowOff>
    </xdr:from>
    <xdr:to>
      <xdr:col>59</xdr:col>
      <xdr:colOff>66675</xdr:colOff>
      <xdr:row>17</xdr:row>
      <xdr:rowOff>19050</xdr:rowOff>
    </xdr:to>
    <xdr:sp macro="" textlink="">
      <xdr:nvSpPr>
        <xdr:cNvPr id="1068647" name="Line 130">
          <a:extLst>
            <a:ext uri="{FF2B5EF4-FFF2-40B4-BE49-F238E27FC236}">
              <a16:creationId xmlns:a16="http://schemas.microsoft.com/office/drawing/2014/main" id="{00000000-0008-0000-0D00-0000674E1000}"/>
            </a:ext>
          </a:extLst>
        </xdr:cNvPr>
        <xdr:cNvSpPr>
          <a:spLocks noChangeShapeType="1"/>
        </xdr:cNvSpPr>
      </xdr:nvSpPr>
      <xdr:spPr bwMode="auto">
        <a:xfrm>
          <a:off x="4077652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9525</xdr:colOff>
      <xdr:row>17</xdr:row>
      <xdr:rowOff>0</xdr:rowOff>
    </xdr:from>
    <xdr:to>
      <xdr:col>59</xdr:col>
      <xdr:colOff>66675</xdr:colOff>
      <xdr:row>17</xdr:row>
      <xdr:rowOff>9525</xdr:rowOff>
    </xdr:to>
    <xdr:sp macro="" textlink="">
      <xdr:nvSpPr>
        <xdr:cNvPr id="1068648" name="Line 131">
          <a:extLst>
            <a:ext uri="{FF2B5EF4-FFF2-40B4-BE49-F238E27FC236}">
              <a16:creationId xmlns:a16="http://schemas.microsoft.com/office/drawing/2014/main" id="{00000000-0008-0000-0D00-0000684E1000}"/>
            </a:ext>
          </a:extLst>
        </xdr:cNvPr>
        <xdr:cNvSpPr>
          <a:spLocks noChangeShapeType="1"/>
        </xdr:cNvSpPr>
      </xdr:nvSpPr>
      <xdr:spPr bwMode="auto">
        <a:xfrm flipV="1">
          <a:off x="4071937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66675</xdr:colOff>
      <xdr:row>11</xdr:row>
      <xdr:rowOff>9525</xdr:rowOff>
    </xdr:from>
    <xdr:to>
      <xdr:col>59</xdr:col>
      <xdr:colOff>390525</xdr:colOff>
      <xdr:row>15</xdr:row>
      <xdr:rowOff>47625</xdr:rowOff>
    </xdr:to>
    <xdr:sp macro="" textlink="">
      <xdr:nvSpPr>
        <xdr:cNvPr id="1068649" name="Line 132">
          <a:extLst>
            <a:ext uri="{FF2B5EF4-FFF2-40B4-BE49-F238E27FC236}">
              <a16:creationId xmlns:a16="http://schemas.microsoft.com/office/drawing/2014/main" id="{00000000-0008-0000-0D00-0000694E1000}"/>
            </a:ext>
          </a:extLst>
        </xdr:cNvPr>
        <xdr:cNvSpPr>
          <a:spLocks noChangeShapeType="1"/>
        </xdr:cNvSpPr>
      </xdr:nvSpPr>
      <xdr:spPr bwMode="auto">
        <a:xfrm flipV="1">
          <a:off x="40776525" y="2600325"/>
          <a:ext cx="323850" cy="762000"/>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0</xdr:colOff>
      <xdr:row>20</xdr:row>
      <xdr:rowOff>0</xdr:rowOff>
    </xdr:from>
    <xdr:to>
      <xdr:col>59</xdr:col>
      <xdr:colOff>76200</xdr:colOff>
      <xdr:row>20</xdr:row>
      <xdr:rowOff>9525</xdr:rowOff>
    </xdr:to>
    <xdr:sp macro="" textlink="">
      <xdr:nvSpPr>
        <xdr:cNvPr id="1068650" name="Line 134">
          <a:extLst>
            <a:ext uri="{FF2B5EF4-FFF2-40B4-BE49-F238E27FC236}">
              <a16:creationId xmlns:a16="http://schemas.microsoft.com/office/drawing/2014/main" id="{00000000-0008-0000-0D00-00006A4E1000}"/>
            </a:ext>
          </a:extLst>
        </xdr:cNvPr>
        <xdr:cNvSpPr>
          <a:spLocks noChangeShapeType="1"/>
        </xdr:cNvSpPr>
      </xdr:nvSpPr>
      <xdr:spPr bwMode="auto">
        <a:xfrm>
          <a:off x="4070985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66675</xdr:colOff>
      <xdr:row>20</xdr:row>
      <xdr:rowOff>9525</xdr:rowOff>
    </xdr:from>
    <xdr:to>
      <xdr:col>59</xdr:col>
      <xdr:colOff>66675</xdr:colOff>
      <xdr:row>23</xdr:row>
      <xdr:rowOff>19050</xdr:rowOff>
    </xdr:to>
    <xdr:sp macro="" textlink="">
      <xdr:nvSpPr>
        <xdr:cNvPr id="1068651" name="Line 135">
          <a:extLst>
            <a:ext uri="{FF2B5EF4-FFF2-40B4-BE49-F238E27FC236}">
              <a16:creationId xmlns:a16="http://schemas.microsoft.com/office/drawing/2014/main" id="{00000000-0008-0000-0D00-00006B4E1000}"/>
            </a:ext>
          </a:extLst>
        </xdr:cNvPr>
        <xdr:cNvSpPr>
          <a:spLocks noChangeShapeType="1"/>
        </xdr:cNvSpPr>
      </xdr:nvSpPr>
      <xdr:spPr bwMode="auto">
        <a:xfrm>
          <a:off x="4077652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9525</xdr:colOff>
      <xdr:row>23</xdr:row>
      <xdr:rowOff>0</xdr:rowOff>
    </xdr:from>
    <xdr:to>
      <xdr:col>59</xdr:col>
      <xdr:colOff>66675</xdr:colOff>
      <xdr:row>23</xdr:row>
      <xdr:rowOff>9525</xdr:rowOff>
    </xdr:to>
    <xdr:sp macro="" textlink="">
      <xdr:nvSpPr>
        <xdr:cNvPr id="1068652" name="Line 136">
          <a:extLst>
            <a:ext uri="{FF2B5EF4-FFF2-40B4-BE49-F238E27FC236}">
              <a16:creationId xmlns:a16="http://schemas.microsoft.com/office/drawing/2014/main" id="{00000000-0008-0000-0D00-00006C4E1000}"/>
            </a:ext>
          </a:extLst>
        </xdr:cNvPr>
        <xdr:cNvSpPr>
          <a:spLocks noChangeShapeType="1"/>
        </xdr:cNvSpPr>
      </xdr:nvSpPr>
      <xdr:spPr bwMode="auto">
        <a:xfrm flipV="1">
          <a:off x="407193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0</xdr:colOff>
      <xdr:row>26</xdr:row>
      <xdr:rowOff>0</xdr:rowOff>
    </xdr:from>
    <xdr:to>
      <xdr:col>59</xdr:col>
      <xdr:colOff>76200</xdr:colOff>
      <xdr:row>26</xdr:row>
      <xdr:rowOff>9525</xdr:rowOff>
    </xdr:to>
    <xdr:sp macro="" textlink="">
      <xdr:nvSpPr>
        <xdr:cNvPr id="1068653" name="Line 137">
          <a:extLst>
            <a:ext uri="{FF2B5EF4-FFF2-40B4-BE49-F238E27FC236}">
              <a16:creationId xmlns:a16="http://schemas.microsoft.com/office/drawing/2014/main" id="{00000000-0008-0000-0D00-00006D4E1000}"/>
            </a:ext>
          </a:extLst>
        </xdr:cNvPr>
        <xdr:cNvSpPr>
          <a:spLocks noChangeShapeType="1"/>
        </xdr:cNvSpPr>
      </xdr:nvSpPr>
      <xdr:spPr bwMode="auto">
        <a:xfrm>
          <a:off x="4070985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9525</xdr:colOff>
      <xdr:row>29</xdr:row>
      <xdr:rowOff>0</xdr:rowOff>
    </xdr:from>
    <xdr:to>
      <xdr:col>59</xdr:col>
      <xdr:colOff>66675</xdr:colOff>
      <xdr:row>29</xdr:row>
      <xdr:rowOff>9525</xdr:rowOff>
    </xdr:to>
    <xdr:sp macro="" textlink="">
      <xdr:nvSpPr>
        <xdr:cNvPr id="1068654" name="Line 139">
          <a:extLst>
            <a:ext uri="{FF2B5EF4-FFF2-40B4-BE49-F238E27FC236}">
              <a16:creationId xmlns:a16="http://schemas.microsoft.com/office/drawing/2014/main" id="{00000000-0008-0000-0D00-00006E4E1000}"/>
            </a:ext>
          </a:extLst>
        </xdr:cNvPr>
        <xdr:cNvSpPr>
          <a:spLocks noChangeShapeType="1"/>
        </xdr:cNvSpPr>
      </xdr:nvSpPr>
      <xdr:spPr bwMode="auto">
        <a:xfrm flipV="1">
          <a:off x="4071937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76200</xdr:colOff>
      <xdr:row>23</xdr:row>
      <xdr:rowOff>0</xdr:rowOff>
    </xdr:from>
    <xdr:to>
      <xdr:col>60</xdr:col>
      <xdr:colOff>0</xdr:colOff>
      <xdr:row>27</xdr:row>
      <xdr:rowOff>66675</xdr:rowOff>
    </xdr:to>
    <xdr:sp macro="" textlink="">
      <xdr:nvSpPr>
        <xdr:cNvPr id="1068655" name="Line 140">
          <a:extLst>
            <a:ext uri="{FF2B5EF4-FFF2-40B4-BE49-F238E27FC236}">
              <a16:creationId xmlns:a16="http://schemas.microsoft.com/office/drawing/2014/main" id="{00000000-0008-0000-0D00-00006F4E1000}"/>
            </a:ext>
          </a:extLst>
        </xdr:cNvPr>
        <xdr:cNvSpPr>
          <a:spLocks noChangeShapeType="1"/>
        </xdr:cNvSpPr>
      </xdr:nvSpPr>
      <xdr:spPr bwMode="auto">
        <a:xfrm flipV="1">
          <a:off x="40786050" y="4762500"/>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66675</xdr:colOff>
      <xdr:row>21</xdr:row>
      <xdr:rowOff>104775</xdr:rowOff>
    </xdr:from>
    <xdr:to>
      <xdr:col>60</xdr:col>
      <xdr:colOff>0</xdr:colOff>
      <xdr:row>25</xdr:row>
      <xdr:rowOff>161925</xdr:rowOff>
    </xdr:to>
    <xdr:sp macro="" textlink="">
      <xdr:nvSpPr>
        <xdr:cNvPr id="1068656" name="Line 141">
          <a:extLst>
            <a:ext uri="{FF2B5EF4-FFF2-40B4-BE49-F238E27FC236}">
              <a16:creationId xmlns:a16="http://schemas.microsoft.com/office/drawing/2014/main" id="{00000000-0008-0000-0D00-0000704E1000}"/>
            </a:ext>
          </a:extLst>
        </xdr:cNvPr>
        <xdr:cNvSpPr>
          <a:spLocks noChangeShapeType="1"/>
        </xdr:cNvSpPr>
      </xdr:nvSpPr>
      <xdr:spPr bwMode="auto">
        <a:xfrm>
          <a:off x="40776525" y="4505325"/>
          <a:ext cx="342900" cy="7810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56</xdr:col>
      <xdr:colOff>66675</xdr:colOff>
      <xdr:row>7</xdr:row>
      <xdr:rowOff>133350</xdr:rowOff>
    </xdr:from>
    <xdr:to>
      <xdr:col>57</xdr:col>
      <xdr:colOff>0</xdr:colOff>
      <xdr:row>9</xdr:row>
      <xdr:rowOff>66675</xdr:rowOff>
    </xdr:to>
    <xdr:sp macro="" textlink="">
      <xdr:nvSpPr>
        <xdr:cNvPr id="1068657" name="Line 146">
          <a:extLst>
            <a:ext uri="{FF2B5EF4-FFF2-40B4-BE49-F238E27FC236}">
              <a16:creationId xmlns:a16="http://schemas.microsoft.com/office/drawing/2014/main" id="{00000000-0008-0000-0D00-0000714E1000}"/>
            </a:ext>
          </a:extLst>
        </xdr:cNvPr>
        <xdr:cNvSpPr>
          <a:spLocks noChangeShapeType="1"/>
        </xdr:cNvSpPr>
      </xdr:nvSpPr>
      <xdr:spPr bwMode="auto">
        <a:xfrm flipV="1">
          <a:off x="38614350" y="2000250"/>
          <a:ext cx="38100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56</xdr:col>
      <xdr:colOff>66675</xdr:colOff>
      <xdr:row>9</xdr:row>
      <xdr:rowOff>66675</xdr:rowOff>
    </xdr:from>
    <xdr:to>
      <xdr:col>57</xdr:col>
      <xdr:colOff>19050</xdr:colOff>
      <xdr:row>13</xdr:row>
      <xdr:rowOff>0</xdr:rowOff>
    </xdr:to>
    <xdr:sp macro="" textlink="">
      <xdr:nvSpPr>
        <xdr:cNvPr id="1068658" name="Line 147">
          <a:extLst>
            <a:ext uri="{FF2B5EF4-FFF2-40B4-BE49-F238E27FC236}">
              <a16:creationId xmlns:a16="http://schemas.microsoft.com/office/drawing/2014/main" id="{00000000-0008-0000-0D00-0000724E1000}"/>
            </a:ext>
          </a:extLst>
        </xdr:cNvPr>
        <xdr:cNvSpPr>
          <a:spLocks noChangeShapeType="1"/>
        </xdr:cNvSpPr>
      </xdr:nvSpPr>
      <xdr:spPr bwMode="auto">
        <a:xfrm>
          <a:off x="38614350" y="2295525"/>
          <a:ext cx="400050" cy="657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56</xdr:col>
      <xdr:colOff>76200</xdr:colOff>
      <xdr:row>11</xdr:row>
      <xdr:rowOff>9525</xdr:rowOff>
    </xdr:from>
    <xdr:to>
      <xdr:col>56</xdr:col>
      <xdr:colOff>438150</xdr:colOff>
      <xdr:row>15</xdr:row>
      <xdr:rowOff>76200</xdr:rowOff>
    </xdr:to>
    <xdr:sp macro="" textlink="">
      <xdr:nvSpPr>
        <xdr:cNvPr id="1068659" name="Line 152">
          <a:extLst>
            <a:ext uri="{FF2B5EF4-FFF2-40B4-BE49-F238E27FC236}">
              <a16:creationId xmlns:a16="http://schemas.microsoft.com/office/drawing/2014/main" id="{00000000-0008-0000-0D00-0000734E1000}"/>
            </a:ext>
          </a:extLst>
        </xdr:cNvPr>
        <xdr:cNvSpPr>
          <a:spLocks noChangeShapeType="1"/>
        </xdr:cNvSpPr>
      </xdr:nvSpPr>
      <xdr:spPr bwMode="auto">
        <a:xfrm flipV="1">
          <a:off x="38623875" y="2600325"/>
          <a:ext cx="361950" cy="7905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56</xdr:col>
      <xdr:colOff>85725</xdr:colOff>
      <xdr:row>15</xdr:row>
      <xdr:rowOff>76200</xdr:rowOff>
    </xdr:from>
    <xdr:to>
      <xdr:col>56</xdr:col>
      <xdr:colOff>438150</xdr:colOff>
      <xdr:row>19</xdr:row>
      <xdr:rowOff>161925</xdr:rowOff>
    </xdr:to>
    <xdr:sp macro="" textlink="">
      <xdr:nvSpPr>
        <xdr:cNvPr id="1068660" name="Line 153">
          <a:extLst>
            <a:ext uri="{FF2B5EF4-FFF2-40B4-BE49-F238E27FC236}">
              <a16:creationId xmlns:a16="http://schemas.microsoft.com/office/drawing/2014/main" id="{00000000-0008-0000-0D00-0000744E1000}"/>
            </a:ext>
          </a:extLst>
        </xdr:cNvPr>
        <xdr:cNvSpPr>
          <a:spLocks noChangeShapeType="1"/>
        </xdr:cNvSpPr>
      </xdr:nvSpPr>
      <xdr:spPr bwMode="auto">
        <a:xfrm>
          <a:off x="38633400" y="3390900"/>
          <a:ext cx="352425" cy="809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56</xdr:col>
      <xdr:colOff>57150</xdr:colOff>
      <xdr:row>16</xdr:row>
      <xdr:rowOff>104775</xdr:rowOff>
    </xdr:from>
    <xdr:to>
      <xdr:col>57</xdr:col>
      <xdr:colOff>9525</xdr:colOff>
      <xdr:row>21</xdr:row>
      <xdr:rowOff>57150</xdr:rowOff>
    </xdr:to>
    <xdr:sp macro="" textlink="">
      <xdr:nvSpPr>
        <xdr:cNvPr id="1068661" name="Line 154">
          <a:extLst>
            <a:ext uri="{FF2B5EF4-FFF2-40B4-BE49-F238E27FC236}">
              <a16:creationId xmlns:a16="http://schemas.microsoft.com/office/drawing/2014/main" id="{00000000-0008-0000-0D00-0000754E1000}"/>
            </a:ext>
          </a:extLst>
        </xdr:cNvPr>
        <xdr:cNvSpPr>
          <a:spLocks noChangeShapeType="1"/>
        </xdr:cNvSpPr>
      </xdr:nvSpPr>
      <xdr:spPr bwMode="auto">
        <a:xfrm flipV="1">
          <a:off x="38604825" y="3600450"/>
          <a:ext cx="400050" cy="857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56</xdr:col>
      <xdr:colOff>57150</xdr:colOff>
      <xdr:row>21</xdr:row>
      <xdr:rowOff>38100</xdr:rowOff>
    </xdr:from>
    <xdr:to>
      <xdr:col>57</xdr:col>
      <xdr:colOff>0</xdr:colOff>
      <xdr:row>26</xdr:row>
      <xdr:rowOff>9525</xdr:rowOff>
    </xdr:to>
    <xdr:sp macro="" textlink="">
      <xdr:nvSpPr>
        <xdr:cNvPr id="1068662" name="Line 155">
          <a:extLst>
            <a:ext uri="{FF2B5EF4-FFF2-40B4-BE49-F238E27FC236}">
              <a16:creationId xmlns:a16="http://schemas.microsoft.com/office/drawing/2014/main" id="{00000000-0008-0000-0D00-0000764E1000}"/>
            </a:ext>
          </a:extLst>
        </xdr:cNvPr>
        <xdr:cNvSpPr>
          <a:spLocks noChangeShapeType="1"/>
        </xdr:cNvSpPr>
      </xdr:nvSpPr>
      <xdr:spPr bwMode="auto">
        <a:xfrm>
          <a:off x="38604825" y="4438650"/>
          <a:ext cx="390525"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56</xdr:col>
      <xdr:colOff>57150</xdr:colOff>
      <xdr:row>22</xdr:row>
      <xdr:rowOff>152400</xdr:rowOff>
    </xdr:from>
    <xdr:to>
      <xdr:col>57</xdr:col>
      <xdr:colOff>9525</xdr:colOff>
      <xdr:row>27</xdr:row>
      <xdr:rowOff>104775</xdr:rowOff>
    </xdr:to>
    <xdr:sp macro="" textlink="">
      <xdr:nvSpPr>
        <xdr:cNvPr id="1068663" name="Line 156">
          <a:extLst>
            <a:ext uri="{FF2B5EF4-FFF2-40B4-BE49-F238E27FC236}">
              <a16:creationId xmlns:a16="http://schemas.microsoft.com/office/drawing/2014/main" id="{00000000-0008-0000-0D00-0000774E1000}"/>
            </a:ext>
          </a:extLst>
        </xdr:cNvPr>
        <xdr:cNvSpPr>
          <a:spLocks noChangeShapeType="1"/>
        </xdr:cNvSpPr>
      </xdr:nvSpPr>
      <xdr:spPr bwMode="auto">
        <a:xfrm flipV="1">
          <a:off x="38604825" y="4733925"/>
          <a:ext cx="400050" cy="857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56</xdr:col>
      <xdr:colOff>57150</xdr:colOff>
      <xdr:row>27</xdr:row>
      <xdr:rowOff>104775</xdr:rowOff>
    </xdr:from>
    <xdr:to>
      <xdr:col>57</xdr:col>
      <xdr:colOff>0</xdr:colOff>
      <xdr:row>31</xdr:row>
      <xdr:rowOff>171450</xdr:rowOff>
    </xdr:to>
    <xdr:sp macro="" textlink="">
      <xdr:nvSpPr>
        <xdr:cNvPr id="1068664" name="Line 158">
          <a:extLst>
            <a:ext uri="{FF2B5EF4-FFF2-40B4-BE49-F238E27FC236}">
              <a16:creationId xmlns:a16="http://schemas.microsoft.com/office/drawing/2014/main" id="{00000000-0008-0000-0D00-0000784E1000}"/>
            </a:ext>
          </a:extLst>
        </xdr:cNvPr>
        <xdr:cNvSpPr>
          <a:spLocks noChangeShapeType="1"/>
        </xdr:cNvSpPr>
      </xdr:nvSpPr>
      <xdr:spPr bwMode="auto">
        <a:xfrm>
          <a:off x="38604825" y="5591175"/>
          <a:ext cx="390525" cy="7905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76200</xdr:colOff>
      <xdr:row>15</xdr:row>
      <xdr:rowOff>76200</xdr:rowOff>
    </xdr:from>
    <xdr:to>
      <xdr:col>60</xdr:col>
      <xdr:colOff>0</xdr:colOff>
      <xdr:row>20</xdr:row>
      <xdr:rowOff>9525</xdr:rowOff>
    </xdr:to>
    <xdr:sp macro="" textlink="">
      <xdr:nvSpPr>
        <xdr:cNvPr id="1068665" name="Line 164">
          <a:extLst>
            <a:ext uri="{FF2B5EF4-FFF2-40B4-BE49-F238E27FC236}">
              <a16:creationId xmlns:a16="http://schemas.microsoft.com/office/drawing/2014/main" id="{00000000-0008-0000-0D00-0000794E1000}"/>
            </a:ext>
          </a:extLst>
        </xdr:cNvPr>
        <xdr:cNvSpPr>
          <a:spLocks noChangeShapeType="1"/>
        </xdr:cNvSpPr>
      </xdr:nvSpPr>
      <xdr:spPr bwMode="auto">
        <a:xfrm>
          <a:off x="40786050" y="3390900"/>
          <a:ext cx="333375" cy="838200"/>
        </a:xfrm>
        <a:prstGeom prst="line">
          <a:avLst/>
        </a:prstGeom>
        <a:noFill/>
        <a:ln w="19050">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66675</xdr:colOff>
      <xdr:row>16</xdr:row>
      <xdr:rowOff>171450</xdr:rowOff>
    </xdr:from>
    <xdr:to>
      <xdr:col>60</xdr:col>
      <xdr:colOff>0</xdr:colOff>
      <xdr:row>21</xdr:row>
      <xdr:rowOff>114300</xdr:rowOff>
    </xdr:to>
    <xdr:sp macro="" textlink="">
      <xdr:nvSpPr>
        <xdr:cNvPr id="1068666" name="Line 165">
          <a:extLst>
            <a:ext uri="{FF2B5EF4-FFF2-40B4-BE49-F238E27FC236}">
              <a16:creationId xmlns:a16="http://schemas.microsoft.com/office/drawing/2014/main" id="{00000000-0008-0000-0D00-00007A4E1000}"/>
            </a:ext>
          </a:extLst>
        </xdr:cNvPr>
        <xdr:cNvSpPr>
          <a:spLocks noChangeShapeType="1"/>
        </xdr:cNvSpPr>
      </xdr:nvSpPr>
      <xdr:spPr bwMode="auto">
        <a:xfrm flipV="1">
          <a:off x="40776525" y="3667125"/>
          <a:ext cx="342900" cy="8477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76200</xdr:colOff>
      <xdr:row>46</xdr:row>
      <xdr:rowOff>0</xdr:rowOff>
    </xdr:from>
    <xdr:to>
      <xdr:col>59</xdr:col>
      <xdr:colOff>76200</xdr:colOff>
      <xdr:row>46</xdr:row>
      <xdr:rowOff>0</xdr:rowOff>
    </xdr:to>
    <xdr:sp macro="" textlink="">
      <xdr:nvSpPr>
        <xdr:cNvPr id="1068667" name="Line 176">
          <a:extLst>
            <a:ext uri="{FF2B5EF4-FFF2-40B4-BE49-F238E27FC236}">
              <a16:creationId xmlns:a16="http://schemas.microsoft.com/office/drawing/2014/main" id="{00000000-0008-0000-0D00-00007B4E1000}"/>
            </a:ext>
          </a:extLst>
        </xdr:cNvPr>
        <xdr:cNvSpPr>
          <a:spLocks noChangeShapeType="1"/>
        </xdr:cNvSpPr>
      </xdr:nvSpPr>
      <xdr:spPr bwMode="auto">
        <a:xfrm>
          <a:off x="40786050" y="8924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76200</xdr:colOff>
      <xdr:row>46</xdr:row>
      <xdr:rowOff>0</xdr:rowOff>
    </xdr:from>
    <xdr:to>
      <xdr:col>59</xdr:col>
      <xdr:colOff>76200</xdr:colOff>
      <xdr:row>46</xdr:row>
      <xdr:rowOff>0</xdr:rowOff>
    </xdr:to>
    <xdr:sp macro="" textlink="">
      <xdr:nvSpPr>
        <xdr:cNvPr id="1068668" name="Line 210">
          <a:extLst>
            <a:ext uri="{FF2B5EF4-FFF2-40B4-BE49-F238E27FC236}">
              <a16:creationId xmlns:a16="http://schemas.microsoft.com/office/drawing/2014/main" id="{00000000-0008-0000-0D00-00007C4E1000}"/>
            </a:ext>
          </a:extLst>
        </xdr:cNvPr>
        <xdr:cNvSpPr>
          <a:spLocks noChangeShapeType="1"/>
        </xdr:cNvSpPr>
      </xdr:nvSpPr>
      <xdr:spPr bwMode="auto">
        <a:xfrm>
          <a:off x="40786050" y="8924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57150</xdr:colOff>
      <xdr:row>27</xdr:row>
      <xdr:rowOff>76200</xdr:rowOff>
    </xdr:from>
    <xdr:to>
      <xdr:col>59</xdr:col>
      <xdr:colOff>400050</xdr:colOff>
      <xdr:row>32</xdr:row>
      <xdr:rowOff>0</xdr:rowOff>
    </xdr:to>
    <xdr:sp macro="" textlink="">
      <xdr:nvSpPr>
        <xdr:cNvPr id="1068669" name="Line 259">
          <a:extLst>
            <a:ext uri="{FF2B5EF4-FFF2-40B4-BE49-F238E27FC236}">
              <a16:creationId xmlns:a16="http://schemas.microsoft.com/office/drawing/2014/main" id="{00000000-0008-0000-0D00-00007D4E1000}"/>
            </a:ext>
          </a:extLst>
        </xdr:cNvPr>
        <xdr:cNvSpPr>
          <a:spLocks noChangeShapeType="1"/>
        </xdr:cNvSpPr>
      </xdr:nvSpPr>
      <xdr:spPr bwMode="auto">
        <a:xfrm>
          <a:off x="40767000" y="5562600"/>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56</xdr:col>
      <xdr:colOff>0</xdr:colOff>
      <xdr:row>32</xdr:row>
      <xdr:rowOff>0</xdr:rowOff>
    </xdr:from>
    <xdr:to>
      <xdr:col>56</xdr:col>
      <xdr:colOff>76200</xdr:colOff>
      <xdr:row>32</xdr:row>
      <xdr:rowOff>9525</xdr:rowOff>
    </xdr:to>
    <xdr:sp macro="" textlink="">
      <xdr:nvSpPr>
        <xdr:cNvPr id="1068670" name="Line 283">
          <a:extLst>
            <a:ext uri="{FF2B5EF4-FFF2-40B4-BE49-F238E27FC236}">
              <a16:creationId xmlns:a16="http://schemas.microsoft.com/office/drawing/2014/main" id="{00000000-0008-0000-0D00-00007E4E1000}"/>
            </a:ext>
          </a:extLst>
        </xdr:cNvPr>
        <xdr:cNvSpPr>
          <a:spLocks noChangeShapeType="1"/>
        </xdr:cNvSpPr>
      </xdr:nvSpPr>
      <xdr:spPr bwMode="auto">
        <a:xfrm>
          <a:off x="3854767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66675</xdr:colOff>
      <xdr:row>32</xdr:row>
      <xdr:rowOff>9525</xdr:rowOff>
    </xdr:from>
    <xdr:to>
      <xdr:col>56</xdr:col>
      <xdr:colOff>66675</xdr:colOff>
      <xdr:row>35</xdr:row>
      <xdr:rowOff>19050</xdr:rowOff>
    </xdr:to>
    <xdr:sp macro="" textlink="">
      <xdr:nvSpPr>
        <xdr:cNvPr id="1068671" name="Line 284">
          <a:extLst>
            <a:ext uri="{FF2B5EF4-FFF2-40B4-BE49-F238E27FC236}">
              <a16:creationId xmlns:a16="http://schemas.microsoft.com/office/drawing/2014/main" id="{00000000-0008-0000-0D00-00007F4E1000}"/>
            </a:ext>
          </a:extLst>
        </xdr:cNvPr>
        <xdr:cNvSpPr>
          <a:spLocks noChangeShapeType="1"/>
        </xdr:cNvSpPr>
      </xdr:nvSpPr>
      <xdr:spPr bwMode="auto">
        <a:xfrm>
          <a:off x="3861435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9525</xdr:colOff>
      <xdr:row>35</xdr:row>
      <xdr:rowOff>0</xdr:rowOff>
    </xdr:from>
    <xdr:to>
      <xdr:col>56</xdr:col>
      <xdr:colOff>66675</xdr:colOff>
      <xdr:row>35</xdr:row>
      <xdr:rowOff>9525</xdr:rowOff>
    </xdr:to>
    <xdr:sp macro="" textlink="">
      <xdr:nvSpPr>
        <xdr:cNvPr id="1068672" name="Line 285">
          <a:extLst>
            <a:ext uri="{FF2B5EF4-FFF2-40B4-BE49-F238E27FC236}">
              <a16:creationId xmlns:a16="http://schemas.microsoft.com/office/drawing/2014/main" id="{00000000-0008-0000-0D00-0000804E1000}"/>
            </a:ext>
          </a:extLst>
        </xdr:cNvPr>
        <xdr:cNvSpPr>
          <a:spLocks noChangeShapeType="1"/>
        </xdr:cNvSpPr>
      </xdr:nvSpPr>
      <xdr:spPr bwMode="auto">
        <a:xfrm flipV="1">
          <a:off x="3855720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0</xdr:colOff>
      <xdr:row>32</xdr:row>
      <xdr:rowOff>0</xdr:rowOff>
    </xdr:from>
    <xdr:to>
      <xdr:col>59</xdr:col>
      <xdr:colOff>76200</xdr:colOff>
      <xdr:row>32</xdr:row>
      <xdr:rowOff>9525</xdr:rowOff>
    </xdr:to>
    <xdr:sp macro="" textlink="">
      <xdr:nvSpPr>
        <xdr:cNvPr id="1068673" name="Line 286">
          <a:extLst>
            <a:ext uri="{FF2B5EF4-FFF2-40B4-BE49-F238E27FC236}">
              <a16:creationId xmlns:a16="http://schemas.microsoft.com/office/drawing/2014/main" id="{00000000-0008-0000-0D00-0000814E1000}"/>
            </a:ext>
          </a:extLst>
        </xdr:cNvPr>
        <xdr:cNvSpPr>
          <a:spLocks noChangeShapeType="1"/>
        </xdr:cNvSpPr>
      </xdr:nvSpPr>
      <xdr:spPr bwMode="auto">
        <a:xfrm>
          <a:off x="4070985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66675</xdr:colOff>
      <xdr:row>32</xdr:row>
      <xdr:rowOff>9525</xdr:rowOff>
    </xdr:from>
    <xdr:to>
      <xdr:col>59</xdr:col>
      <xdr:colOff>66675</xdr:colOff>
      <xdr:row>35</xdr:row>
      <xdr:rowOff>19050</xdr:rowOff>
    </xdr:to>
    <xdr:sp macro="" textlink="">
      <xdr:nvSpPr>
        <xdr:cNvPr id="1068674" name="Line 287">
          <a:extLst>
            <a:ext uri="{FF2B5EF4-FFF2-40B4-BE49-F238E27FC236}">
              <a16:creationId xmlns:a16="http://schemas.microsoft.com/office/drawing/2014/main" id="{00000000-0008-0000-0D00-0000824E1000}"/>
            </a:ext>
          </a:extLst>
        </xdr:cNvPr>
        <xdr:cNvSpPr>
          <a:spLocks noChangeShapeType="1"/>
        </xdr:cNvSpPr>
      </xdr:nvSpPr>
      <xdr:spPr bwMode="auto">
        <a:xfrm>
          <a:off x="4077652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9525</xdr:colOff>
      <xdr:row>35</xdr:row>
      <xdr:rowOff>0</xdr:rowOff>
    </xdr:from>
    <xdr:to>
      <xdr:col>59</xdr:col>
      <xdr:colOff>66675</xdr:colOff>
      <xdr:row>35</xdr:row>
      <xdr:rowOff>9525</xdr:rowOff>
    </xdr:to>
    <xdr:sp macro="" textlink="">
      <xdr:nvSpPr>
        <xdr:cNvPr id="1068675" name="Line 288">
          <a:extLst>
            <a:ext uri="{FF2B5EF4-FFF2-40B4-BE49-F238E27FC236}">
              <a16:creationId xmlns:a16="http://schemas.microsoft.com/office/drawing/2014/main" id="{00000000-0008-0000-0D00-0000834E1000}"/>
            </a:ext>
          </a:extLst>
        </xdr:cNvPr>
        <xdr:cNvSpPr>
          <a:spLocks noChangeShapeType="1"/>
        </xdr:cNvSpPr>
      </xdr:nvSpPr>
      <xdr:spPr bwMode="auto">
        <a:xfrm flipV="1">
          <a:off x="4071937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32</xdr:row>
      <xdr:rowOff>0</xdr:rowOff>
    </xdr:from>
    <xdr:to>
      <xdr:col>62</xdr:col>
      <xdr:colOff>76200</xdr:colOff>
      <xdr:row>32</xdr:row>
      <xdr:rowOff>9525</xdr:rowOff>
    </xdr:to>
    <xdr:sp macro="" textlink="">
      <xdr:nvSpPr>
        <xdr:cNvPr id="1068676" name="Line 289">
          <a:extLst>
            <a:ext uri="{FF2B5EF4-FFF2-40B4-BE49-F238E27FC236}">
              <a16:creationId xmlns:a16="http://schemas.microsoft.com/office/drawing/2014/main" id="{00000000-0008-0000-0D00-0000844E1000}"/>
            </a:ext>
          </a:extLst>
        </xdr:cNvPr>
        <xdr:cNvSpPr>
          <a:spLocks noChangeShapeType="1"/>
        </xdr:cNvSpPr>
      </xdr:nvSpPr>
      <xdr:spPr bwMode="auto">
        <a:xfrm>
          <a:off x="4280535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32</xdr:row>
      <xdr:rowOff>9525</xdr:rowOff>
    </xdr:from>
    <xdr:to>
      <xdr:col>62</xdr:col>
      <xdr:colOff>66675</xdr:colOff>
      <xdr:row>35</xdr:row>
      <xdr:rowOff>19050</xdr:rowOff>
    </xdr:to>
    <xdr:sp macro="" textlink="">
      <xdr:nvSpPr>
        <xdr:cNvPr id="1068677" name="Line 290">
          <a:extLst>
            <a:ext uri="{FF2B5EF4-FFF2-40B4-BE49-F238E27FC236}">
              <a16:creationId xmlns:a16="http://schemas.microsoft.com/office/drawing/2014/main" id="{00000000-0008-0000-0D00-0000854E1000}"/>
            </a:ext>
          </a:extLst>
        </xdr:cNvPr>
        <xdr:cNvSpPr>
          <a:spLocks noChangeShapeType="1"/>
        </xdr:cNvSpPr>
      </xdr:nvSpPr>
      <xdr:spPr bwMode="auto">
        <a:xfrm>
          <a:off x="4287202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9525</xdr:colOff>
      <xdr:row>35</xdr:row>
      <xdr:rowOff>0</xdr:rowOff>
    </xdr:from>
    <xdr:to>
      <xdr:col>62</xdr:col>
      <xdr:colOff>66675</xdr:colOff>
      <xdr:row>35</xdr:row>
      <xdr:rowOff>9525</xdr:rowOff>
    </xdr:to>
    <xdr:sp macro="" textlink="">
      <xdr:nvSpPr>
        <xdr:cNvPr id="1068678" name="Line 291">
          <a:extLst>
            <a:ext uri="{FF2B5EF4-FFF2-40B4-BE49-F238E27FC236}">
              <a16:creationId xmlns:a16="http://schemas.microsoft.com/office/drawing/2014/main" id="{00000000-0008-0000-0D00-0000864E1000}"/>
            </a:ext>
          </a:extLst>
        </xdr:cNvPr>
        <xdr:cNvSpPr>
          <a:spLocks noChangeShapeType="1"/>
        </xdr:cNvSpPr>
      </xdr:nvSpPr>
      <xdr:spPr bwMode="auto">
        <a:xfrm flipV="1">
          <a:off x="4281487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32</xdr:row>
      <xdr:rowOff>0</xdr:rowOff>
    </xdr:from>
    <xdr:to>
      <xdr:col>62</xdr:col>
      <xdr:colOff>76200</xdr:colOff>
      <xdr:row>32</xdr:row>
      <xdr:rowOff>9525</xdr:rowOff>
    </xdr:to>
    <xdr:sp macro="" textlink="">
      <xdr:nvSpPr>
        <xdr:cNvPr id="1068679" name="Line 292">
          <a:extLst>
            <a:ext uri="{FF2B5EF4-FFF2-40B4-BE49-F238E27FC236}">
              <a16:creationId xmlns:a16="http://schemas.microsoft.com/office/drawing/2014/main" id="{00000000-0008-0000-0D00-0000874E1000}"/>
            </a:ext>
          </a:extLst>
        </xdr:cNvPr>
        <xdr:cNvSpPr>
          <a:spLocks noChangeShapeType="1"/>
        </xdr:cNvSpPr>
      </xdr:nvSpPr>
      <xdr:spPr bwMode="auto">
        <a:xfrm>
          <a:off x="4280535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32</xdr:row>
      <xdr:rowOff>9525</xdr:rowOff>
    </xdr:from>
    <xdr:to>
      <xdr:col>62</xdr:col>
      <xdr:colOff>66675</xdr:colOff>
      <xdr:row>35</xdr:row>
      <xdr:rowOff>19050</xdr:rowOff>
    </xdr:to>
    <xdr:sp macro="" textlink="">
      <xdr:nvSpPr>
        <xdr:cNvPr id="1068680" name="Line 293">
          <a:extLst>
            <a:ext uri="{FF2B5EF4-FFF2-40B4-BE49-F238E27FC236}">
              <a16:creationId xmlns:a16="http://schemas.microsoft.com/office/drawing/2014/main" id="{00000000-0008-0000-0D00-0000884E1000}"/>
            </a:ext>
          </a:extLst>
        </xdr:cNvPr>
        <xdr:cNvSpPr>
          <a:spLocks noChangeShapeType="1"/>
        </xdr:cNvSpPr>
      </xdr:nvSpPr>
      <xdr:spPr bwMode="auto">
        <a:xfrm>
          <a:off x="4287202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9525</xdr:colOff>
      <xdr:row>35</xdr:row>
      <xdr:rowOff>0</xdr:rowOff>
    </xdr:from>
    <xdr:to>
      <xdr:col>62</xdr:col>
      <xdr:colOff>66675</xdr:colOff>
      <xdr:row>35</xdr:row>
      <xdr:rowOff>9525</xdr:rowOff>
    </xdr:to>
    <xdr:sp macro="" textlink="">
      <xdr:nvSpPr>
        <xdr:cNvPr id="1068681" name="Line 294">
          <a:extLst>
            <a:ext uri="{FF2B5EF4-FFF2-40B4-BE49-F238E27FC236}">
              <a16:creationId xmlns:a16="http://schemas.microsoft.com/office/drawing/2014/main" id="{00000000-0008-0000-0D00-0000894E1000}"/>
            </a:ext>
          </a:extLst>
        </xdr:cNvPr>
        <xdr:cNvSpPr>
          <a:spLocks noChangeShapeType="1"/>
        </xdr:cNvSpPr>
      </xdr:nvSpPr>
      <xdr:spPr bwMode="auto">
        <a:xfrm flipV="1">
          <a:off x="4281487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76200</xdr:colOff>
      <xdr:row>33</xdr:row>
      <xdr:rowOff>66675</xdr:rowOff>
    </xdr:from>
    <xdr:to>
      <xdr:col>63</xdr:col>
      <xdr:colOff>9525</xdr:colOff>
      <xdr:row>35</xdr:row>
      <xdr:rowOff>19050</xdr:rowOff>
    </xdr:to>
    <xdr:sp macro="" textlink="">
      <xdr:nvSpPr>
        <xdr:cNvPr id="1068682" name="Line 295">
          <a:extLst>
            <a:ext uri="{FF2B5EF4-FFF2-40B4-BE49-F238E27FC236}">
              <a16:creationId xmlns:a16="http://schemas.microsoft.com/office/drawing/2014/main" id="{00000000-0008-0000-0D00-00008A4E1000}"/>
            </a:ext>
          </a:extLst>
        </xdr:cNvPr>
        <xdr:cNvSpPr>
          <a:spLocks noChangeShapeType="1"/>
        </xdr:cNvSpPr>
      </xdr:nvSpPr>
      <xdr:spPr bwMode="auto">
        <a:xfrm>
          <a:off x="42881550" y="66389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62</xdr:col>
      <xdr:colOff>0</xdr:colOff>
      <xdr:row>32</xdr:row>
      <xdr:rowOff>0</xdr:rowOff>
    </xdr:from>
    <xdr:to>
      <xdr:col>62</xdr:col>
      <xdr:colOff>76200</xdr:colOff>
      <xdr:row>32</xdr:row>
      <xdr:rowOff>9525</xdr:rowOff>
    </xdr:to>
    <xdr:sp macro="" textlink="">
      <xdr:nvSpPr>
        <xdr:cNvPr id="1068683" name="Line 296">
          <a:extLst>
            <a:ext uri="{FF2B5EF4-FFF2-40B4-BE49-F238E27FC236}">
              <a16:creationId xmlns:a16="http://schemas.microsoft.com/office/drawing/2014/main" id="{00000000-0008-0000-0D00-00008B4E1000}"/>
            </a:ext>
          </a:extLst>
        </xdr:cNvPr>
        <xdr:cNvSpPr>
          <a:spLocks noChangeShapeType="1"/>
        </xdr:cNvSpPr>
      </xdr:nvSpPr>
      <xdr:spPr bwMode="auto">
        <a:xfrm>
          <a:off x="4280535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32</xdr:row>
      <xdr:rowOff>9525</xdr:rowOff>
    </xdr:from>
    <xdr:to>
      <xdr:col>62</xdr:col>
      <xdr:colOff>66675</xdr:colOff>
      <xdr:row>35</xdr:row>
      <xdr:rowOff>19050</xdr:rowOff>
    </xdr:to>
    <xdr:sp macro="" textlink="">
      <xdr:nvSpPr>
        <xdr:cNvPr id="1068684" name="Line 297">
          <a:extLst>
            <a:ext uri="{FF2B5EF4-FFF2-40B4-BE49-F238E27FC236}">
              <a16:creationId xmlns:a16="http://schemas.microsoft.com/office/drawing/2014/main" id="{00000000-0008-0000-0D00-00008C4E1000}"/>
            </a:ext>
          </a:extLst>
        </xdr:cNvPr>
        <xdr:cNvSpPr>
          <a:spLocks noChangeShapeType="1"/>
        </xdr:cNvSpPr>
      </xdr:nvSpPr>
      <xdr:spPr bwMode="auto">
        <a:xfrm>
          <a:off x="4287202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9525</xdr:colOff>
      <xdr:row>35</xdr:row>
      <xdr:rowOff>0</xdr:rowOff>
    </xdr:from>
    <xdr:to>
      <xdr:col>62</xdr:col>
      <xdr:colOff>66675</xdr:colOff>
      <xdr:row>35</xdr:row>
      <xdr:rowOff>9525</xdr:rowOff>
    </xdr:to>
    <xdr:sp macro="" textlink="">
      <xdr:nvSpPr>
        <xdr:cNvPr id="1068685" name="Line 298">
          <a:extLst>
            <a:ext uri="{FF2B5EF4-FFF2-40B4-BE49-F238E27FC236}">
              <a16:creationId xmlns:a16="http://schemas.microsoft.com/office/drawing/2014/main" id="{00000000-0008-0000-0D00-00008D4E1000}"/>
            </a:ext>
          </a:extLst>
        </xdr:cNvPr>
        <xdr:cNvSpPr>
          <a:spLocks noChangeShapeType="1"/>
        </xdr:cNvSpPr>
      </xdr:nvSpPr>
      <xdr:spPr bwMode="auto">
        <a:xfrm flipV="1">
          <a:off x="4281487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57150</xdr:colOff>
      <xdr:row>31</xdr:row>
      <xdr:rowOff>171450</xdr:rowOff>
    </xdr:from>
    <xdr:to>
      <xdr:col>63</xdr:col>
      <xdr:colOff>9525</xdr:colOff>
      <xdr:row>33</xdr:row>
      <xdr:rowOff>47625</xdr:rowOff>
    </xdr:to>
    <xdr:sp macro="" textlink="">
      <xdr:nvSpPr>
        <xdr:cNvPr id="1068686" name="Line 299">
          <a:extLst>
            <a:ext uri="{FF2B5EF4-FFF2-40B4-BE49-F238E27FC236}">
              <a16:creationId xmlns:a16="http://schemas.microsoft.com/office/drawing/2014/main" id="{00000000-0008-0000-0D00-00008E4E1000}"/>
            </a:ext>
          </a:extLst>
        </xdr:cNvPr>
        <xdr:cNvSpPr>
          <a:spLocks noChangeShapeType="1"/>
        </xdr:cNvSpPr>
      </xdr:nvSpPr>
      <xdr:spPr bwMode="auto">
        <a:xfrm flipV="1">
          <a:off x="42862500" y="6381750"/>
          <a:ext cx="3619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0</xdr:colOff>
      <xdr:row>32</xdr:row>
      <xdr:rowOff>0</xdr:rowOff>
    </xdr:from>
    <xdr:to>
      <xdr:col>59</xdr:col>
      <xdr:colOff>76200</xdr:colOff>
      <xdr:row>32</xdr:row>
      <xdr:rowOff>9525</xdr:rowOff>
    </xdr:to>
    <xdr:sp macro="" textlink="">
      <xdr:nvSpPr>
        <xdr:cNvPr id="1068687" name="Line 300">
          <a:extLst>
            <a:ext uri="{FF2B5EF4-FFF2-40B4-BE49-F238E27FC236}">
              <a16:creationId xmlns:a16="http://schemas.microsoft.com/office/drawing/2014/main" id="{00000000-0008-0000-0D00-00008F4E1000}"/>
            </a:ext>
          </a:extLst>
        </xdr:cNvPr>
        <xdr:cNvSpPr>
          <a:spLocks noChangeShapeType="1"/>
        </xdr:cNvSpPr>
      </xdr:nvSpPr>
      <xdr:spPr bwMode="auto">
        <a:xfrm>
          <a:off x="4070985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66675</xdr:colOff>
      <xdr:row>32</xdr:row>
      <xdr:rowOff>9525</xdr:rowOff>
    </xdr:from>
    <xdr:to>
      <xdr:col>59</xdr:col>
      <xdr:colOff>66675</xdr:colOff>
      <xdr:row>35</xdr:row>
      <xdr:rowOff>19050</xdr:rowOff>
    </xdr:to>
    <xdr:sp macro="" textlink="">
      <xdr:nvSpPr>
        <xdr:cNvPr id="1068688" name="Line 301">
          <a:extLst>
            <a:ext uri="{FF2B5EF4-FFF2-40B4-BE49-F238E27FC236}">
              <a16:creationId xmlns:a16="http://schemas.microsoft.com/office/drawing/2014/main" id="{00000000-0008-0000-0D00-0000904E1000}"/>
            </a:ext>
          </a:extLst>
        </xdr:cNvPr>
        <xdr:cNvSpPr>
          <a:spLocks noChangeShapeType="1"/>
        </xdr:cNvSpPr>
      </xdr:nvSpPr>
      <xdr:spPr bwMode="auto">
        <a:xfrm>
          <a:off x="4077652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9525</xdr:colOff>
      <xdr:row>35</xdr:row>
      <xdr:rowOff>0</xdr:rowOff>
    </xdr:from>
    <xdr:to>
      <xdr:col>59</xdr:col>
      <xdr:colOff>66675</xdr:colOff>
      <xdr:row>35</xdr:row>
      <xdr:rowOff>9525</xdr:rowOff>
    </xdr:to>
    <xdr:sp macro="" textlink="">
      <xdr:nvSpPr>
        <xdr:cNvPr id="1068689" name="Line 302">
          <a:extLst>
            <a:ext uri="{FF2B5EF4-FFF2-40B4-BE49-F238E27FC236}">
              <a16:creationId xmlns:a16="http://schemas.microsoft.com/office/drawing/2014/main" id="{00000000-0008-0000-0D00-0000914E1000}"/>
            </a:ext>
          </a:extLst>
        </xdr:cNvPr>
        <xdr:cNvSpPr>
          <a:spLocks noChangeShapeType="1"/>
        </xdr:cNvSpPr>
      </xdr:nvSpPr>
      <xdr:spPr bwMode="auto">
        <a:xfrm flipV="1">
          <a:off x="4071937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0</xdr:colOff>
      <xdr:row>38</xdr:row>
      <xdr:rowOff>0</xdr:rowOff>
    </xdr:from>
    <xdr:to>
      <xdr:col>56</xdr:col>
      <xdr:colOff>76200</xdr:colOff>
      <xdr:row>38</xdr:row>
      <xdr:rowOff>9525</xdr:rowOff>
    </xdr:to>
    <xdr:sp macro="" textlink="">
      <xdr:nvSpPr>
        <xdr:cNvPr id="1068690" name="Line 303">
          <a:extLst>
            <a:ext uri="{FF2B5EF4-FFF2-40B4-BE49-F238E27FC236}">
              <a16:creationId xmlns:a16="http://schemas.microsoft.com/office/drawing/2014/main" id="{00000000-0008-0000-0D00-0000924E1000}"/>
            </a:ext>
          </a:extLst>
        </xdr:cNvPr>
        <xdr:cNvSpPr>
          <a:spLocks noChangeShapeType="1"/>
        </xdr:cNvSpPr>
      </xdr:nvSpPr>
      <xdr:spPr bwMode="auto">
        <a:xfrm>
          <a:off x="385476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66675</xdr:colOff>
      <xdr:row>38</xdr:row>
      <xdr:rowOff>9525</xdr:rowOff>
    </xdr:from>
    <xdr:to>
      <xdr:col>56</xdr:col>
      <xdr:colOff>66675</xdr:colOff>
      <xdr:row>41</xdr:row>
      <xdr:rowOff>19050</xdr:rowOff>
    </xdr:to>
    <xdr:sp macro="" textlink="">
      <xdr:nvSpPr>
        <xdr:cNvPr id="1068691" name="Line 304">
          <a:extLst>
            <a:ext uri="{FF2B5EF4-FFF2-40B4-BE49-F238E27FC236}">
              <a16:creationId xmlns:a16="http://schemas.microsoft.com/office/drawing/2014/main" id="{00000000-0008-0000-0D00-0000934E1000}"/>
            </a:ext>
          </a:extLst>
        </xdr:cNvPr>
        <xdr:cNvSpPr>
          <a:spLocks noChangeShapeType="1"/>
        </xdr:cNvSpPr>
      </xdr:nvSpPr>
      <xdr:spPr bwMode="auto">
        <a:xfrm>
          <a:off x="38614350"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9525</xdr:colOff>
      <xdr:row>41</xdr:row>
      <xdr:rowOff>0</xdr:rowOff>
    </xdr:from>
    <xdr:to>
      <xdr:col>56</xdr:col>
      <xdr:colOff>66675</xdr:colOff>
      <xdr:row>41</xdr:row>
      <xdr:rowOff>9525</xdr:rowOff>
    </xdr:to>
    <xdr:sp macro="" textlink="">
      <xdr:nvSpPr>
        <xdr:cNvPr id="1068692" name="Line 305">
          <a:extLst>
            <a:ext uri="{FF2B5EF4-FFF2-40B4-BE49-F238E27FC236}">
              <a16:creationId xmlns:a16="http://schemas.microsoft.com/office/drawing/2014/main" id="{00000000-0008-0000-0D00-0000944E1000}"/>
            </a:ext>
          </a:extLst>
        </xdr:cNvPr>
        <xdr:cNvSpPr>
          <a:spLocks noChangeShapeType="1"/>
        </xdr:cNvSpPr>
      </xdr:nvSpPr>
      <xdr:spPr bwMode="auto">
        <a:xfrm flipV="1">
          <a:off x="385572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0</xdr:colOff>
      <xdr:row>38</xdr:row>
      <xdr:rowOff>0</xdr:rowOff>
    </xdr:from>
    <xdr:to>
      <xdr:col>59</xdr:col>
      <xdr:colOff>76200</xdr:colOff>
      <xdr:row>38</xdr:row>
      <xdr:rowOff>9525</xdr:rowOff>
    </xdr:to>
    <xdr:sp macro="" textlink="">
      <xdr:nvSpPr>
        <xdr:cNvPr id="1068693" name="Line 306">
          <a:extLst>
            <a:ext uri="{FF2B5EF4-FFF2-40B4-BE49-F238E27FC236}">
              <a16:creationId xmlns:a16="http://schemas.microsoft.com/office/drawing/2014/main" id="{00000000-0008-0000-0D00-0000954E1000}"/>
            </a:ext>
          </a:extLst>
        </xdr:cNvPr>
        <xdr:cNvSpPr>
          <a:spLocks noChangeShapeType="1"/>
        </xdr:cNvSpPr>
      </xdr:nvSpPr>
      <xdr:spPr bwMode="auto">
        <a:xfrm>
          <a:off x="4070985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66675</xdr:colOff>
      <xdr:row>38</xdr:row>
      <xdr:rowOff>9525</xdr:rowOff>
    </xdr:from>
    <xdr:to>
      <xdr:col>59</xdr:col>
      <xdr:colOff>66675</xdr:colOff>
      <xdr:row>41</xdr:row>
      <xdr:rowOff>19050</xdr:rowOff>
    </xdr:to>
    <xdr:sp macro="" textlink="">
      <xdr:nvSpPr>
        <xdr:cNvPr id="1068694" name="Line 307">
          <a:extLst>
            <a:ext uri="{FF2B5EF4-FFF2-40B4-BE49-F238E27FC236}">
              <a16:creationId xmlns:a16="http://schemas.microsoft.com/office/drawing/2014/main" id="{00000000-0008-0000-0D00-0000964E1000}"/>
            </a:ext>
          </a:extLst>
        </xdr:cNvPr>
        <xdr:cNvSpPr>
          <a:spLocks noChangeShapeType="1"/>
        </xdr:cNvSpPr>
      </xdr:nvSpPr>
      <xdr:spPr bwMode="auto">
        <a:xfrm>
          <a:off x="4077652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9525</xdr:colOff>
      <xdr:row>41</xdr:row>
      <xdr:rowOff>0</xdr:rowOff>
    </xdr:from>
    <xdr:to>
      <xdr:col>59</xdr:col>
      <xdr:colOff>66675</xdr:colOff>
      <xdr:row>41</xdr:row>
      <xdr:rowOff>9525</xdr:rowOff>
    </xdr:to>
    <xdr:sp macro="" textlink="">
      <xdr:nvSpPr>
        <xdr:cNvPr id="1068695" name="Line 308">
          <a:extLst>
            <a:ext uri="{FF2B5EF4-FFF2-40B4-BE49-F238E27FC236}">
              <a16:creationId xmlns:a16="http://schemas.microsoft.com/office/drawing/2014/main" id="{00000000-0008-0000-0D00-0000974E1000}"/>
            </a:ext>
          </a:extLst>
        </xdr:cNvPr>
        <xdr:cNvSpPr>
          <a:spLocks noChangeShapeType="1"/>
        </xdr:cNvSpPr>
      </xdr:nvSpPr>
      <xdr:spPr bwMode="auto">
        <a:xfrm flipV="1">
          <a:off x="4071937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38</xdr:row>
      <xdr:rowOff>0</xdr:rowOff>
    </xdr:from>
    <xdr:to>
      <xdr:col>62</xdr:col>
      <xdr:colOff>76200</xdr:colOff>
      <xdr:row>38</xdr:row>
      <xdr:rowOff>9525</xdr:rowOff>
    </xdr:to>
    <xdr:sp macro="" textlink="">
      <xdr:nvSpPr>
        <xdr:cNvPr id="1068696" name="Line 309">
          <a:extLst>
            <a:ext uri="{FF2B5EF4-FFF2-40B4-BE49-F238E27FC236}">
              <a16:creationId xmlns:a16="http://schemas.microsoft.com/office/drawing/2014/main" id="{00000000-0008-0000-0D00-0000984E1000}"/>
            </a:ext>
          </a:extLst>
        </xdr:cNvPr>
        <xdr:cNvSpPr>
          <a:spLocks noChangeShapeType="1"/>
        </xdr:cNvSpPr>
      </xdr:nvSpPr>
      <xdr:spPr bwMode="auto">
        <a:xfrm>
          <a:off x="4280535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38</xdr:row>
      <xdr:rowOff>9525</xdr:rowOff>
    </xdr:from>
    <xdr:to>
      <xdr:col>62</xdr:col>
      <xdr:colOff>66675</xdr:colOff>
      <xdr:row>41</xdr:row>
      <xdr:rowOff>19050</xdr:rowOff>
    </xdr:to>
    <xdr:sp macro="" textlink="">
      <xdr:nvSpPr>
        <xdr:cNvPr id="1068697" name="Line 310">
          <a:extLst>
            <a:ext uri="{FF2B5EF4-FFF2-40B4-BE49-F238E27FC236}">
              <a16:creationId xmlns:a16="http://schemas.microsoft.com/office/drawing/2014/main" id="{00000000-0008-0000-0D00-0000994E1000}"/>
            </a:ext>
          </a:extLst>
        </xdr:cNvPr>
        <xdr:cNvSpPr>
          <a:spLocks noChangeShapeType="1"/>
        </xdr:cNvSpPr>
      </xdr:nvSpPr>
      <xdr:spPr bwMode="auto">
        <a:xfrm>
          <a:off x="4287202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9525</xdr:colOff>
      <xdr:row>41</xdr:row>
      <xdr:rowOff>0</xdr:rowOff>
    </xdr:from>
    <xdr:to>
      <xdr:col>62</xdr:col>
      <xdr:colOff>66675</xdr:colOff>
      <xdr:row>41</xdr:row>
      <xdr:rowOff>9525</xdr:rowOff>
    </xdr:to>
    <xdr:sp macro="" textlink="">
      <xdr:nvSpPr>
        <xdr:cNvPr id="1068698" name="Line 311">
          <a:extLst>
            <a:ext uri="{FF2B5EF4-FFF2-40B4-BE49-F238E27FC236}">
              <a16:creationId xmlns:a16="http://schemas.microsoft.com/office/drawing/2014/main" id="{00000000-0008-0000-0D00-00009A4E1000}"/>
            </a:ext>
          </a:extLst>
        </xdr:cNvPr>
        <xdr:cNvSpPr>
          <a:spLocks noChangeShapeType="1"/>
        </xdr:cNvSpPr>
      </xdr:nvSpPr>
      <xdr:spPr bwMode="auto">
        <a:xfrm flipV="1">
          <a:off x="4281487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38</xdr:row>
      <xdr:rowOff>0</xdr:rowOff>
    </xdr:from>
    <xdr:to>
      <xdr:col>62</xdr:col>
      <xdr:colOff>76200</xdr:colOff>
      <xdr:row>38</xdr:row>
      <xdr:rowOff>9525</xdr:rowOff>
    </xdr:to>
    <xdr:sp macro="" textlink="">
      <xdr:nvSpPr>
        <xdr:cNvPr id="1068699" name="Line 312">
          <a:extLst>
            <a:ext uri="{FF2B5EF4-FFF2-40B4-BE49-F238E27FC236}">
              <a16:creationId xmlns:a16="http://schemas.microsoft.com/office/drawing/2014/main" id="{00000000-0008-0000-0D00-00009B4E1000}"/>
            </a:ext>
          </a:extLst>
        </xdr:cNvPr>
        <xdr:cNvSpPr>
          <a:spLocks noChangeShapeType="1"/>
        </xdr:cNvSpPr>
      </xdr:nvSpPr>
      <xdr:spPr bwMode="auto">
        <a:xfrm>
          <a:off x="4280535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38</xdr:row>
      <xdr:rowOff>9525</xdr:rowOff>
    </xdr:from>
    <xdr:to>
      <xdr:col>62</xdr:col>
      <xdr:colOff>66675</xdr:colOff>
      <xdr:row>41</xdr:row>
      <xdr:rowOff>19050</xdr:rowOff>
    </xdr:to>
    <xdr:sp macro="" textlink="">
      <xdr:nvSpPr>
        <xdr:cNvPr id="1068700" name="Line 313">
          <a:extLst>
            <a:ext uri="{FF2B5EF4-FFF2-40B4-BE49-F238E27FC236}">
              <a16:creationId xmlns:a16="http://schemas.microsoft.com/office/drawing/2014/main" id="{00000000-0008-0000-0D00-00009C4E1000}"/>
            </a:ext>
          </a:extLst>
        </xdr:cNvPr>
        <xdr:cNvSpPr>
          <a:spLocks noChangeShapeType="1"/>
        </xdr:cNvSpPr>
      </xdr:nvSpPr>
      <xdr:spPr bwMode="auto">
        <a:xfrm>
          <a:off x="4287202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9525</xdr:colOff>
      <xdr:row>41</xdr:row>
      <xdr:rowOff>0</xdr:rowOff>
    </xdr:from>
    <xdr:to>
      <xdr:col>62</xdr:col>
      <xdr:colOff>66675</xdr:colOff>
      <xdr:row>41</xdr:row>
      <xdr:rowOff>9525</xdr:rowOff>
    </xdr:to>
    <xdr:sp macro="" textlink="">
      <xdr:nvSpPr>
        <xdr:cNvPr id="1068701" name="Line 314">
          <a:extLst>
            <a:ext uri="{FF2B5EF4-FFF2-40B4-BE49-F238E27FC236}">
              <a16:creationId xmlns:a16="http://schemas.microsoft.com/office/drawing/2014/main" id="{00000000-0008-0000-0D00-00009D4E1000}"/>
            </a:ext>
          </a:extLst>
        </xdr:cNvPr>
        <xdr:cNvSpPr>
          <a:spLocks noChangeShapeType="1"/>
        </xdr:cNvSpPr>
      </xdr:nvSpPr>
      <xdr:spPr bwMode="auto">
        <a:xfrm flipV="1">
          <a:off x="4281487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76200</xdr:colOff>
      <xdr:row>39</xdr:row>
      <xdr:rowOff>66675</xdr:rowOff>
    </xdr:from>
    <xdr:to>
      <xdr:col>63</xdr:col>
      <xdr:colOff>9525</xdr:colOff>
      <xdr:row>41</xdr:row>
      <xdr:rowOff>19050</xdr:rowOff>
    </xdr:to>
    <xdr:sp macro="" textlink="">
      <xdr:nvSpPr>
        <xdr:cNvPr id="1068702" name="Line 315">
          <a:extLst>
            <a:ext uri="{FF2B5EF4-FFF2-40B4-BE49-F238E27FC236}">
              <a16:creationId xmlns:a16="http://schemas.microsoft.com/office/drawing/2014/main" id="{00000000-0008-0000-0D00-00009E4E1000}"/>
            </a:ext>
          </a:extLst>
        </xdr:cNvPr>
        <xdr:cNvSpPr>
          <a:spLocks noChangeShapeType="1"/>
        </xdr:cNvSpPr>
      </xdr:nvSpPr>
      <xdr:spPr bwMode="auto">
        <a:xfrm>
          <a:off x="42881550" y="77247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62</xdr:col>
      <xdr:colOff>0</xdr:colOff>
      <xdr:row>38</xdr:row>
      <xdr:rowOff>0</xdr:rowOff>
    </xdr:from>
    <xdr:to>
      <xdr:col>62</xdr:col>
      <xdr:colOff>76200</xdr:colOff>
      <xdr:row>38</xdr:row>
      <xdr:rowOff>9525</xdr:rowOff>
    </xdr:to>
    <xdr:sp macro="" textlink="">
      <xdr:nvSpPr>
        <xdr:cNvPr id="1068703" name="Line 316">
          <a:extLst>
            <a:ext uri="{FF2B5EF4-FFF2-40B4-BE49-F238E27FC236}">
              <a16:creationId xmlns:a16="http://schemas.microsoft.com/office/drawing/2014/main" id="{00000000-0008-0000-0D00-00009F4E1000}"/>
            </a:ext>
          </a:extLst>
        </xdr:cNvPr>
        <xdr:cNvSpPr>
          <a:spLocks noChangeShapeType="1"/>
        </xdr:cNvSpPr>
      </xdr:nvSpPr>
      <xdr:spPr bwMode="auto">
        <a:xfrm>
          <a:off x="4280535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38</xdr:row>
      <xdr:rowOff>9525</xdr:rowOff>
    </xdr:from>
    <xdr:to>
      <xdr:col>62</xdr:col>
      <xdr:colOff>66675</xdr:colOff>
      <xdr:row>41</xdr:row>
      <xdr:rowOff>19050</xdr:rowOff>
    </xdr:to>
    <xdr:sp macro="" textlink="">
      <xdr:nvSpPr>
        <xdr:cNvPr id="1068704" name="Line 317">
          <a:extLst>
            <a:ext uri="{FF2B5EF4-FFF2-40B4-BE49-F238E27FC236}">
              <a16:creationId xmlns:a16="http://schemas.microsoft.com/office/drawing/2014/main" id="{00000000-0008-0000-0D00-0000A04E1000}"/>
            </a:ext>
          </a:extLst>
        </xdr:cNvPr>
        <xdr:cNvSpPr>
          <a:spLocks noChangeShapeType="1"/>
        </xdr:cNvSpPr>
      </xdr:nvSpPr>
      <xdr:spPr bwMode="auto">
        <a:xfrm>
          <a:off x="4287202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9525</xdr:colOff>
      <xdr:row>41</xdr:row>
      <xdr:rowOff>0</xdr:rowOff>
    </xdr:from>
    <xdr:to>
      <xdr:col>62</xdr:col>
      <xdr:colOff>66675</xdr:colOff>
      <xdr:row>41</xdr:row>
      <xdr:rowOff>9525</xdr:rowOff>
    </xdr:to>
    <xdr:sp macro="" textlink="">
      <xdr:nvSpPr>
        <xdr:cNvPr id="1068705" name="Line 318">
          <a:extLst>
            <a:ext uri="{FF2B5EF4-FFF2-40B4-BE49-F238E27FC236}">
              <a16:creationId xmlns:a16="http://schemas.microsoft.com/office/drawing/2014/main" id="{00000000-0008-0000-0D00-0000A14E1000}"/>
            </a:ext>
          </a:extLst>
        </xdr:cNvPr>
        <xdr:cNvSpPr>
          <a:spLocks noChangeShapeType="1"/>
        </xdr:cNvSpPr>
      </xdr:nvSpPr>
      <xdr:spPr bwMode="auto">
        <a:xfrm flipV="1">
          <a:off x="4281487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76200</xdr:colOff>
      <xdr:row>37</xdr:row>
      <xdr:rowOff>171450</xdr:rowOff>
    </xdr:from>
    <xdr:to>
      <xdr:col>63</xdr:col>
      <xdr:colOff>9525</xdr:colOff>
      <xdr:row>39</xdr:row>
      <xdr:rowOff>38100</xdr:rowOff>
    </xdr:to>
    <xdr:sp macro="" textlink="">
      <xdr:nvSpPr>
        <xdr:cNvPr id="1068706" name="Line 319">
          <a:extLst>
            <a:ext uri="{FF2B5EF4-FFF2-40B4-BE49-F238E27FC236}">
              <a16:creationId xmlns:a16="http://schemas.microsoft.com/office/drawing/2014/main" id="{00000000-0008-0000-0D00-0000A24E1000}"/>
            </a:ext>
          </a:extLst>
        </xdr:cNvPr>
        <xdr:cNvSpPr>
          <a:spLocks noChangeShapeType="1"/>
        </xdr:cNvSpPr>
      </xdr:nvSpPr>
      <xdr:spPr bwMode="auto">
        <a:xfrm flipV="1">
          <a:off x="42881550" y="7467600"/>
          <a:ext cx="342900" cy="22860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0</xdr:colOff>
      <xdr:row>38</xdr:row>
      <xdr:rowOff>0</xdr:rowOff>
    </xdr:from>
    <xdr:to>
      <xdr:col>59</xdr:col>
      <xdr:colOff>76200</xdr:colOff>
      <xdr:row>38</xdr:row>
      <xdr:rowOff>9525</xdr:rowOff>
    </xdr:to>
    <xdr:sp macro="" textlink="">
      <xdr:nvSpPr>
        <xdr:cNvPr id="1068707" name="Line 320">
          <a:extLst>
            <a:ext uri="{FF2B5EF4-FFF2-40B4-BE49-F238E27FC236}">
              <a16:creationId xmlns:a16="http://schemas.microsoft.com/office/drawing/2014/main" id="{00000000-0008-0000-0D00-0000A34E1000}"/>
            </a:ext>
          </a:extLst>
        </xdr:cNvPr>
        <xdr:cNvSpPr>
          <a:spLocks noChangeShapeType="1"/>
        </xdr:cNvSpPr>
      </xdr:nvSpPr>
      <xdr:spPr bwMode="auto">
        <a:xfrm>
          <a:off x="4070985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66675</xdr:colOff>
      <xdr:row>38</xdr:row>
      <xdr:rowOff>9525</xdr:rowOff>
    </xdr:from>
    <xdr:to>
      <xdr:col>59</xdr:col>
      <xdr:colOff>66675</xdr:colOff>
      <xdr:row>41</xdr:row>
      <xdr:rowOff>19050</xdr:rowOff>
    </xdr:to>
    <xdr:sp macro="" textlink="">
      <xdr:nvSpPr>
        <xdr:cNvPr id="1068708" name="Line 321">
          <a:extLst>
            <a:ext uri="{FF2B5EF4-FFF2-40B4-BE49-F238E27FC236}">
              <a16:creationId xmlns:a16="http://schemas.microsoft.com/office/drawing/2014/main" id="{00000000-0008-0000-0D00-0000A44E1000}"/>
            </a:ext>
          </a:extLst>
        </xdr:cNvPr>
        <xdr:cNvSpPr>
          <a:spLocks noChangeShapeType="1"/>
        </xdr:cNvSpPr>
      </xdr:nvSpPr>
      <xdr:spPr bwMode="auto">
        <a:xfrm>
          <a:off x="4077652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9525</xdr:colOff>
      <xdr:row>41</xdr:row>
      <xdr:rowOff>0</xdr:rowOff>
    </xdr:from>
    <xdr:to>
      <xdr:col>59</xdr:col>
      <xdr:colOff>66675</xdr:colOff>
      <xdr:row>41</xdr:row>
      <xdr:rowOff>9525</xdr:rowOff>
    </xdr:to>
    <xdr:sp macro="" textlink="">
      <xdr:nvSpPr>
        <xdr:cNvPr id="1068709" name="Line 322">
          <a:extLst>
            <a:ext uri="{FF2B5EF4-FFF2-40B4-BE49-F238E27FC236}">
              <a16:creationId xmlns:a16="http://schemas.microsoft.com/office/drawing/2014/main" id="{00000000-0008-0000-0D00-0000A54E1000}"/>
            </a:ext>
          </a:extLst>
        </xdr:cNvPr>
        <xdr:cNvSpPr>
          <a:spLocks noChangeShapeType="1"/>
        </xdr:cNvSpPr>
      </xdr:nvSpPr>
      <xdr:spPr bwMode="auto">
        <a:xfrm flipV="1">
          <a:off x="4071937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0</xdr:colOff>
      <xdr:row>44</xdr:row>
      <xdr:rowOff>0</xdr:rowOff>
    </xdr:from>
    <xdr:to>
      <xdr:col>56</xdr:col>
      <xdr:colOff>76200</xdr:colOff>
      <xdr:row>44</xdr:row>
      <xdr:rowOff>9525</xdr:rowOff>
    </xdr:to>
    <xdr:sp macro="" textlink="">
      <xdr:nvSpPr>
        <xdr:cNvPr id="1068710" name="Line 323">
          <a:extLst>
            <a:ext uri="{FF2B5EF4-FFF2-40B4-BE49-F238E27FC236}">
              <a16:creationId xmlns:a16="http://schemas.microsoft.com/office/drawing/2014/main" id="{00000000-0008-0000-0D00-0000A64E1000}"/>
            </a:ext>
          </a:extLst>
        </xdr:cNvPr>
        <xdr:cNvSpPr>
          <a:spLocks noChangeShapeType="1"/>
        </xdr:cNvSpPr>
      </xdr:nvSpPr>
      <xdr:spPr bwMode="auto">
        <a:xfrm>
          <a:off x="3854767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66675</xdr:colOff>
      <xdr:row>44</xdr:row>
      <xdr:rowOff>9525</xdr:rowOff>
    </xdr:from>
    <xdr:to>
      <xdr:col>56</xdr:col>
      <xdr:colOff>66675</xdr:colOff>
      <xdr:row>47</xdr:row>
      <xdr:rowOff>19050</xdr:rowOff>
    </xdr:to>
    <xdr:sp macro="" textlink="">
      <xdr:nvSpPr>
        <xdr:cNvPr id="1068711" name="Line 324">
          <a:extLst>
            <a:ext uri="{FF2B5EF4-FFF2-40B4-BE49-F238E27FC236}">
              <a16:creationId xmlns:a16="http://schemas.microsoft.com/office/drawing/2014/main" id="{00000000-0008-0000-0D00-0000A74E1000}"/>
            </a:ext>
          </a:extLst>
        </xdr:cNvPr>
        <xdr:cNvSpPr>
          <a:spLocks noChangeShapeType="1"/>
        </xdr:cNvSpPr>
      </xdr:nvSpPr>
      <xdr:spPr bwMode="auto">
        <a:xfrm>
          <a:off x="38614350"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9525</xdr:colOff>
      <xdr:row>47</xdr:row>
      <xdr:rowOff>0</xdr:rowOff>
    </xdr:from>
    <xdr:to>
      <xdr:col>56</xdr:col>
      <xdr:colOff>66675</xdr:colOff>
      <xdr:row>47</xdr:row>
      <xdr:rowOff>9525</xdr:rowOff>
    </xdr:to>
    <xdr:sp macro="" textlink="">
      <xdr:nvSpPr>
        <xdr:cNvPr id="1068712" name="Line 325">
          <a:extLst>
            <a:ext uri="{FF2B5EF4-FFF2-40B4-BE49-F238E27FC236}">
              <a16:creationId xmlns:a16="http://schemas.microsoft.com/office/drawing/2014/main" id="{00000000-0008-0000-0D00-0000A84E1000}"/>
            </a:ext>
          </a:extLst>
        </xdr:cNvPr>
        <xdr:cNvSpPr>
          <a:spLocks noChangeShapeType="1"/>
        </xdr:cNvSpPr>
      </xdr:nvSpPr>
      <xdr:spPr bwMode="auto">
        <a:xfrm flipV="1">
          <a:off x="38557200"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0</xdr:colOff>
      <xdr:row>44</xdr:row>
      <xdr:rowOff>0</xdr:rowOff>
    </xdr:from>
    <xdr:to>
      <xdr:col>59</xdr:col>
      <xdr:colOff>76200</xdr:colOff>
      <xdr:row>44</xdr:row>
      <xdr:rowOff>9525</xdr:rowOff>
    </xdr:to>
    <xdr:sp macro="" textlink="">
      <xdr:nvSpPr>
        <xdr:cNvPr id="1068713" name="Line 326">
          <a:extLst>
            <a:ext uri="{FF2B5EF4-FFF2-40B4-BE49-F238E27FC236}">
              <a16:creationId xmlns:a16="http://schemas.microsoft.com/office/drawing/2014/main" id="{00000000-0008-0000-0D00-0000A94E1000}"/>
            </a:ext>
          </a:extLst>
        </xdr:cNvPr>
        <xdr:cNvSpPr>
          <a:spLocks noChangeShapeType="1"/>
        </xdr:cNvSpPr>
      </xdr:nvSpPr>
      <xdr:spPr bwMode="auto">
        <a:xfrm>
          <a:off x="4070985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66675</xdr:colOff>
      <xdr:row>44</xdr:row>
      <xdr:rowOff>9525</xdr:rowOff>
    </xdr:from>
    <xdr:to>
      <xdr:col>59</xdr:col>
      <xdr:colOff>66675</xdr:colOff>
      <xdr:row>47</xdr:row>
      <xdr:rowOff>19050</xdr:rowOff>
    </xdr:to>
    <xdr:sp macro="" textlink="">
      <xdr:nvSpPr>
        <xdr:cNvPr id="1068714" name="Line 327">
          <a:extLst>
            <a:ext uri="{FF2B5EF4-FFF2-40B4-BE49-F238E27FC236}">
              <a16:creationId xmlns:a16="http://schemas.microsoft.com/office/drawing/2014/main" id="{00000000-0008-0000-0D00-0000AA4E1000}"/>
            </a:ext>
          </a:extLst>
        </xdr:cNvPr>
        <xdr:cNvSpPr>
          <a:spLocks noChangeShapeType="1"/>
        </xdr:cNvSpPr>
      </xdr:nvSpPr>
      <xdr:spPr bwMode="auto">
        <a:xfrm>
          <a:off x="40776525"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9525</xdr:colOff>
      <xdr:row>47</xdr:row>
      <xdr:rowOff>0</xdr:rowOff>
    </xdr:from>
    <xdr:to>
      <xdr:col>59</xdr:col>
      <xdr:colOff>66675</xdr:colOff>
      <xdr:row>47</xdr:row>
      <xdr:rowOff>9525</xdr:rowOff>
    </xdr:to>
    <xdr:sp macro="" textlink="">
      <xdr:nvSpPr>
        <xdr:cNvPr id="1068715" name="Line 328">
          <a:extLst>
            <a:ext uri="{FF2B5EF4-FFF2-40B4-BE49-F238E27FC236}">
              <a16:creationId xmlns:a16="http://schemas.microsoft.com/office/drawing/2014/main" id="{00000000-0008-0000-0D00-0000AB4E1000}"/>
            </a:ext>
          </a:extLst>
        </xdr:cNvPr>
        <xdr:cNvSpPr>
          <a:spLocks noChangeShapeType="1"/>
        </xdr:cNvSpPr>
      </xdr:nvSpPr>
      <xdr:spPr bwMode="auto">
        <a:xfrm flipV="1">
          <a:off x="4071937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44</xdr:row>
      <xdr:rowOff>0</xdr:rowOff>
    </xdr:from>
    <xdr:to>
      <xdr:col>62</xdr:col>
      <xdr:colOff>76200</xdr:colOff>
      <xdr:row>44</xdr:row>
      <xdr:rowOff>9525</xdr:rowOff>
    </xdr:to>
    <xdr:sp macro="" textlink="">
      <xdr:nvSpPr>
        <xdr:cNvPr id="1068716" name="Line 329">
          <a:extLst>
            <a:ext uri="{FF2B5EF4-FFF2-40B4-BE49-F238E27FC236}">
              <a16:creationId xmlns:a16="http://schemas.microsoft.com/office/drawing/2014/main" id="{00000000-0008-0000-0D00-0000AC4E1000}"/>
            </a:ext>
          </a:extLst>
        </xdr:cNvPr>
        <xdr:cNvSpPr>
          <a:spLocks noChangeShapeType="1"/>
        </xdr:cNvSpPr>
      </xdr:nvSpPr>
      <xdr:spPr bwMode="auto">
        <a:xfrm>
          <a:off x="4280535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44</xdr:row>
      <xdr:rowOff>9525</xdr:rowOff>
    </xdr:from>
    <xdr:to>
      <xdr:col>62</xdr:col>
      <xdr:colOff>66675</xdr:colOff>
      <xdr:row>47</xdr:row>
      <xdr:rowOff>19050</xdr:rowOff>
    </xdr:to>
    <xdr:sp macro="" textlink="">
      <xdr:nvSpPr>
        <xdr:cNvPr id="1068717" name="Line 330">
          <a:extLst>
            <a:ext uri="{FF2B5EF4-FFF2-40B4-BE49-F238E27FC236}">
              <a16:creationId xmlns:a16="http://schemas.microsoft.com/office/drawing/2014/main" id="{00000000-0008-0000-0D00-0000AD4E1000}"/>
            </a:ext>
          </a:extLst>
        </xdr:cNvPr>
        <xdr:cNvSpPr>
          <a:spLocks noChangeShapeType="1"/>
        </xdr:cNvSpPr>
      </xdr:nvSpPr>
      <xdr:spPr bwMode="auto">
        <a:xfrm>
          <a:off x="42872025"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9525</xdr:colOff>
      <xdr:row>47</xdr:row>
      <xdr:rowOff>0</xdr:rowOff>
    </xdr:from>
    <xdr:to>
      <xdr:col>62</xdr:col>
      <xdr:colOff>66675</xdr:colOff>
      <xdr:row>47</xdr:row>
      <xdr:rowOff>9525</xdr:rowOff>
    </xdr:to>
    <xdr:sp macro="" textlink="">
      <xdr:nvSpPr>
        <xdr:cNvPr id="1068718" name="Line 331">
          <a:extLst>
            <a:ext uri="{FF2B5EF4-FFF2-40B4-BE49-F238E27FC236}">
              <a16:creationId xmlns:a16="http://schemas.microsoft.com/office/drawing/2014/main" id="{00000000-0008-0000-0D00-0000AE4E1000}"/>
            </a:ext>
          </a:extLst>
        </xdr:cNvPr>
        <xdr:cNvSpPr>
          <a:spLocks noChangeShapeType="1"/>
        </xdr:cNvSpPr>
      </xdr:nvSpPr>
      <xdr:spPr bwMode="auto">
        <a:xfrm flipV="1">
          <a:off x="4281487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44</xdr:row>
      <xdr:rowOff>0</xdr:rowOff>
    </xdr:from>
    <xdr:to>
      <xdr:col>62</xdr:col>
      <xdr:colOff>76200</xdr:colOff>
      <xdr:row>44</xdr:row>
      <xdr:rowOff>9525</xdr:rowOff>
    </xdr:to>
    <xdr:sp macro="" textlink="">
      <xdr:nvSpPr>
        <xdr:cNvPr id="1068719" name="Line 332">
          <a:extLst>
            <a:ext uri="{FF2B5EF4-FFF2-40B4-BE49-F238E27FC236}">
              <a16:creationId xmlns:a16="http://schemas.microsoft.com/office/drawing/2014/main" id="{00000000-0008-0000-0D00-0000AF4E1000}"/>
            </a:ext>
          </a:extLst>
        </xdr:cNvPr>
        <xdr:cNvSpPr>
          <a:spLocks noChangeShapeType="1"/>
        </xdr:cNvSpPr>
      </xdr:nvSpPr>
      <xdr:spPr bwMode="auto">
        <a:xfrm>
          <a:off x="4280535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44</xdr:row>
      <xdr:rowOff>9525</xdr:rowOff>
    </xdr:from>
    <xdr:to>
      <xdr:col>62</xdr:col>
      <xdr:colOff>66675</xdr:colOff>
      <xdr:row>47</xdr:row>
      <xdr:rowOff>19050</xdr:rowOff>
    </xdr:to>
    <xdr:sp macro="" textlink="">
      <xdr:nvSpPr>
        <xdr:cNvPr id="1068720" name="Line 333">
          <a:extLst>
            <a:ext uri="{FF2B5EF4-FFF2-40B4-BE49-F238E27FC236}">
              <a16:creationId xmlns:a16="http://schemas.microsoft.com/office/drawing/2014/main" id="{00000000-0008-0000-0D00-0000B04E1000}"/>
            </a:ext>
          </a:extLst>
        </xdr:cNvPr>
        <xdr:cNvSpPr>
          <a:spLocks noChangeShapeType="1"/>
        </xdr:cNvSpPr>
      </xdr:nvSpPr>
      <xdr:spPr bwMode="auto">
        <a:xfrm>
          <a:off x="42872025"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9525</xdr:colOff>
      <xdr:row>47</xdr:row>
      <xdr:rowOff>0</xdr:rowOff>
    </xdr:from>
    <xdr:to>
      <xdr:col>62</xdr:col>
      <xdr:colOff>66675</xdr:colOff>
      <xdr:row>47</xdr:row>
      <xdr:rowOff>9525</xdr:rowOff>
    </xdr:to>
    <xdr:sp macro="" textlink="">
      <xdr:nvSpPr>
        <xdr:cNvPr id="1068721" name="Line 334">
          <a:extLst>
            <a:ext uri="{FF2B5EF4-FFF2-40B4-BE49-F238E27FC236}">
              <a16:creationId xmlns:a16="http://schemas.microsoft.com/office/drawing/2014/main" id="{00000000-0008-0000-0D00-0000B14E1000}"/>
            </a:ext>
          </a:extLst>
        </xdr:cNvPr>
        <xdr:cNvSpPr>
          <a:spLocks noChangeShapeType="1"/>
        </xdr:cNvSpPr>
      </xdr:nvSpPr>
      <xdr:spPr bwMode="auto">
        <a:xfrm flipV="1">
          <a:off x="4281487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76200</xdr:colOff>
      <xdr:row>45</xdr:row>
      <xdr:rowOff>66675</xdr:rowOff>
    </xdr:from>
    <xdr:to>
      <xdr:col>63</xdr:col>
      <xdr:colOff>9525</xdr:colOff>
      <xdr:row>47</xdr:row>
      <xdr:rowOff>19050</xdr:rowOff>
    </xdr:to>
    <xdr:sp macro="" textlink="">
      <xdr:nvSpPr>
        <xdr:cNvPr id="1068722" name="Line 335">
          <a:extLst>
            <a:ext uri="{FF2B5EF4-FFF2-40B4-BE49-F238E27FC236}">
              <a16:creationId xmlns:a16="http://schemas.microsoft.com/office/drawing/2014/main" id="{00000000-0008-0000-0D00-0000B24E1000}"/>
            </a:ext>
          </a:extLst>
        </xdr:cNvPr>
        <xdr:cNvSpPr>
          <a:spLocks noChangeShapeType="1"/>
        </xdr:cNvSpPr>
      </xdr:nvSpPr>
      <xdr:spPr bwMode="auto">
        <a:xfrm>
          <a:off x="42881550" y="88106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62</xdr:col>
      <xdr:colOff>0</xdr:colOff>
      <xdr:row>44</xdr:row>
      <xdr:rowOff>0</xdr:rowOff>
    </xdr:from>
    <xdr:to>
      <xdr:col>62</xdr:col>
      <xdr:colOff>76200</xdr:colOff>
      <xdr:row>44</xdr:row>
      <xdr:rowOff>9525</xdr:rowOff>
    </xdr:to>
    <xdr:sp macro="" textlink="">
      <xdr:nvSpPr>
        <xdr:cNvPr id="1068723" name="Line 336">
          <a:extLst>
            <a:ext uri="{FF2B5EF4-FFF2-40B4-BE49-F238E27FC236}">
              <a16:creationId xmlns:a16="http://schemas.microsoft.com/office/drawing/2014/main" id="{00000000-0008-0000-0D00-0000B34E1000}"/>
            </a:ext>
          </a:extLst>
        </xdr:cNvPr>
        <xdr:cNvSpPr>
          <a:spLocks noChangeShapeType="1"/>
        </xdr:cNvSpPr>
      </xdr:nvSpPr>
      <xdr:spPr bwMode="auto">
        <a:xfrm>
          <a:off x="4280535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44</xdr:row>
      <xdr:rowOff>9525</xdr:rowOff>
    </xdr:from>
    <xdr:to>
      <xdr:col>62</xdr:col>
      <xdr:colOff>66675</xdr:colOff>
      <xdr:row>47</xdr:row>
      <xdr:rowOff>19050</xdr:rowOff>
    </xdr:to>
    <xdr:sp macro="" textlink="">
      <xdr:nvSpPr>
        <xdr:cNvPr id="1068724" name="Line 337">
          <a:extLst>
            <a:ext uri="{FF2B5EF4-FFF2-40B4-BE49-F238E27FC236}">
              <a16:creationId xmlns:a16="http://schemas.microsoft.com/office/drawing/2014/main" id="{00000000-0008-0000-0D00-0000B44E1000}"/>
            </a:ext>
          </a:extLst>
        </xdr:cNvPr>
        <xdr:cNvSpPr>
          <a:spLocks noChangeShapeType="1"/>
        </xdr:cNvSpPr>
      </xdr:nvSpPr>
      <xdr:spPr bwMode="auto">
        <a:xfrm>
          <a:off x="42872025"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9525</xdr:colOff>
      <xdr:row>47</xdr:row>
      <xdr:rowOff>0</xdr:rowOff>
    </xdr:from>
    <xdr:to>
      <xdr:col>62</xdr:col>
      <xdr:colOff>66675</xdr:colOff>
      <xdr:row>47</xdr:row>
      <xdr:rowOff>9525</xdr:rowOff>
    </xdr:to>
    <xdr:sp macro="" textlink="">
      <xdr:nvSpPr>
        <xdr:cNvPr id="1068725" name="Line 338">
          <a:extLst>
            <a:ext uri="{FF2B5EF4-FFF2-40B4-BE49-F238E27FC236}">
              <a16:creationId xmlns:a16="http://schemas.microsoft.com/office/drawing/2014/main" id="{00000000-0008-0000-0D00-0000B54E1000}"/>
            </a:ext>
          </a:extLst>
        </xdr:cNvPr>
        <xdr:cNvSpPr>
          <a:spLocks noChangeShapeType="1"/>
        </xdr:cNvSpPr>
      </xdr:nvSpPr>
      <xdr:spPr bwMode="auto">
        <a:xfrm flipV="1">
          <a:off x="4281487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76200</xdr:colOff>
      <xdr:row>43</xdr:row>
      <xdr:rowOff>161925</xdr:rowOff>
    </xdr:from>
    <xdr:to>
      <xdr:col>63</xdr:col>
      <xdr:colOff>0</xdr:colOff>
      <xdr:row>45</xdr:row>
      <xdr:rowOff>47625</xdr:rowOff>
    </xdr:to>
    <xdr:sp macro="" textlink="">
      <xdr:nvSpPr>
        <xdr:cNvPr id="1068726" name="Line 339">
          <a:extLst>
            <a:ext uri="{FF2B5EF4-FFF2-40B4-BE49-F238E27FC236}">
              <a16:creationId xmlns:a16="http://schemas.microsoft.com/office/drawing/2014/main" id="{00000000-0008-0000-0D00-0000B64E1000}"/>
            </a:ext>
          </a:extLst>
        </xdr:cNvPr>
        <xdr:cNvSpPr>
          <a:spLocks noChangeShapeType="1"/>
        </xdr:cNvSpPr>
      </xdr:nvSpPr>
      <xdr:spPr bwMode="auto">
        <a:xfrm flipV="1">
          <a:off x="42881550" y="8543925"/>
          <a:ext cx="333375"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0</xdr:colOff>
      <xdr:row>44</xdr:row>
      <xdr:rowOff>0</xdr:rowOff>
    </xdr:from>
    <xdr:to>
      <xdr:col>59</xdr:col>
      <xdr:colOff>76200</xdr:colOff>
      <xdr:row>44</xdr:row>
      <xdr:rowOff>9525</xdr:rowOff>
    </xdr:to>
    <xdr:sp macro="" textlink="">
      <xdr:nvSpPr>
        <xdr:cNvPr id="1068727" name="Line 340">
          <a:extLst>
            <a:ext uri="{FF2B5EF4-FFF2-40B4-BE49-F238E27FC236}">
              <a16:creationId xmlns:a16="http://schemas.microsoft.com/office/drawing/2014/main" id="{00000000-0008-0000-0D00-0000B74E1000}"/>
            </a:ext>
          </a:extLst>
        </xdr:cNvPr>
        <xdr:cNvSpPr>
          <a:spLocks noChangeShapeType="1"/>
        </xdr:cNvSpPr>
      </xdr:nvSpPr>
      <xdr:spPr bwMode="auto">
        <a:xfrm>
          <a:off x="4070985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66675</xdr:colOff>
      <xdr:row>44</xdr:row>
      <xdr:rowOff>9525</xdr:rowOff>
    </xdr:from>
    <xdr:to>
      <xdr:col>59</xdr:col>
      <xdr:colOff>66675</xdr:colOff>
      <xdr:row>47</xdr:row>
      <xdr:rowOff>19050</xdr:rowOff>
    </xdr:to>
    <xdr:sp macro="" textlink="">
      <xdr:nvSpPr>
        <xdr:cNvPr id="1068728" name="Line 341">
          <a:extLst>
            <a:ext uri="{FF2B5EF4-FFF2-40B4-BE49-F238E27FC236}">
              <a16:creationId xmlns:a16="http://schemas.microsoft.com/office/drawing/2014/main" id="{00000000-0008-0000-0D00-0000B84E1000}"/>
            </a:ext>
          </a:extLst>
        </xdr:cNvPr>
        <xdr:cNvSpPr>
          <a:spLocks noChangeShapeType="1"/>
        </xdr:cNvSpPr>
      </xdr:nvSpPr>
      <xdr:spPr bwMode="auto">
        <a:xfrm>
          <a:off x="40776525"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9525</xdr:colOff>
      <xdr:row>47</xdr:row>
      <xdr:rowOff>0</xdr:rowOff>
    </xdr:from>
    <xdr:to>
      <xdr:col>59</xdr:col>
      <xdr:colOff>66675</xdr:colOff>
      <xdr:row>47</xdr:row>
      <xdr:rowOff>9525</xdr:rowOff>
    </xdr:to>
    <xdr:sp macro="" textlink="">
      <xdr:nvSpPr>
        <xdr:cNvPr id="1068729" name="Line 342">
          <a:extLst>
            <a:ext uri="{FF2B5EF4-FFF2-40B4-BE49-F238E27FC236}">
              <a16:creationId xmlns:a16="http://schemas.microsoft.com/office/drawing/2014/main" id="{00000000-0008-0000-0D00-0000B94E1000}"/>
            </a:ext>
          </a:extLst>
        </xdr:cNvPr>
        <xdr:cNvSpPr>
          <a:spLocks noChangeShapeType="1"/>
        </xdr:cNvSpPr>
      </xdr:nvSpPr>
      <xdr:spPr bwMode="auto">
        <a:xfrm flipV="1">
          <a:off x="4071937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0</xdr:colOff>
      <xdr:row>56</xdr:row>
      <xdr:rowOff>0</xdr:rowOff>
    </xdr:from>
    <xdr:to>
      <xdr:col>56</xdr:col>
      <xdr:colOff>57150</xdr:colOff>
      <xdr:row>56</xdr:row>
      <xdr:rowOff>9525</xdr:rowOff>
    </xdr:to>
    <xdr:sp macro="" textlink="">
      <xdr:nvSpPr>
        <xdr:cNvPr id="1068730" name="Line 345">
          <a:extLst>
            <a:ext uri="{FF2B5EF4-FFF2-40B4-BE49-F238E27FC236}">
              <a16:creationId xmlns:a16="http://schemas.microsoft.com/office/drawing/2014/main" id="{00000000-0008-0000-0D00-0000BA4E1000}"/>
            </a:ext>
          </a:extLst>
        </xdr:cNvPr>
        <xdr:cNvSpPr>
          <a:spLocks noChangeShapeType="1"/>
        </xdr:cNvSpPr>
      </xdr:nvSpPr>
      <xdr:spPr bwMode="auto">
        <a:xfrm flipV="1">
          <a:off x="38547675" y="1073467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95250</xdr:colOff>
      <xdr:row>53</xdr:row>
      <xdr:rowOff>19050</xdr:rowOff>
    </xdr:from>
    <xdr:to>
      <xdr:col>57</xdr:col>
      <xdr:colOff>9525</xdr:colOff>
      <xdr:row>56</xdr:row>
      <xdr:rowOff>19050</xdr:rowOff>
    </xdr:to>
    <xdr:sp macro="" textlink="">
      <xdr:nvSpPr>
        <xdr:cNvPr id="1068731" name="Line 363">
          <a:extLst>
            <a:ext uri="{FF2B5EF4-FFF2-40B4-BE49-F238E27FC236}">
              <a16:creationId xmlns:a16="http://schemas.microsoft.com/office/drawing/2014/main" id="{00000000-0008-0000-0D00-0000BB4E1000}"/>
            </a:ext>
          </a:extLst>
        </xdr:cNvPr>
        <xdr:cNvSpPr>
          <a:spLocks noChangeShapeType="1"/>
        </xdr:cNvSpPr>
      </xdr:nvSpPr>
      <xdr:spPr bwMode="auto">
        <a:xfrm>
          <a:off x="38642925" y="10210800"/>
          <a:ext cx="361950"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56</xdr:col>
      <xdr:colOff>0</xdr:colOff>
      <xdr:row>26</xdr:row>
      <xdr:rowOff>0</xdr:rowOff>
    </xdr:from>
    <xdr:to>
      <xdr:col>56</xdr:col>
      <xdr:colOff>76200</xdr:colOff>
      <xdr:row>26</xdr:row>
      <xdr:rowOff>9525</xdr:rowOff>
    </xdr:to>
    <xdr:sp macro="" textlink="">
      <xdr:nvSpPr>
        <xdr:cNvPr id="1068732" name="Line 365">
          <a:extLst>
            <a:ext uri="{FF2B5EF4-FFF2-40B4-BE49-F238E27FC236}">
              <a16:creationId xmlns:a16="http://schemas.microsoft.com/office/drawing/2014/main" id="{00000000-0008-0000-0D00-0000BC4E1000}"/>
            </a:ext>
          </a:extLst>
        </xdr:cNvPr>
        <xdr:cNvSpPr>
          <a:spLocks noChangeShapeType="1"/>
        </xdr:cNvSpPr>
      </xdr:nvSpPr>
      <xdr:spPr bwMode="auto">
        <a:xfrm>
          <a:off x="3854767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66675</xdr:colOff>
      <xdr:row>26</xdr:row>
      <xdr:rowOff>9525</xdr:rowOff>
    </xdr:from>
    <xdr:to>
      <xdr:col>56</xdr:col>
      <xdr:colOff>66675</xdr:colOff>
      <xdr:row>29</xdr:row>
      <xdr:rowOff>19050</xdr:rowOff>
    </xdr:to>
    <xdr:sp macro="" textlink="">
      <xdr:nvSpPr>
        <xdr:cNvPr id="1068733" name="Line 366">
          <a:extLst>
            <a:ext uri="{FF2B5EF4-FFF2-40B4-BE49-F238E27FC236}">
              <a16:creationId xmlns:a16="http://schemas.microsoft.com/office/drawing/2014/main" id="{00000000-0008-0000-0D00-0000BD4E1000}"/>
            </a:ext>
          </a:extLst>
        </xdr:cNvPr>
        <xdr:cNvSpPr>
          <a:spLocks noChangeShapeType="1"/>
        </xdr:cNvSpPr>
      </xdr:nvSpPr>
      <xdr:spPr bwMode="auto">
        <a:xfrm>
          <a:off x="3861435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9525</xdr:colOff>
      <xdr:row>29</xdr:row>
      <xdr:rowOff>0</xdr:rowOff>
    </xdr:from>
    <xdr:to>
      <xdr:col>56</xdr:col>
      <xdr:colOff>66675</xdr:colOff>
      <xdr:row>29</xdr:row>
      <xdr:rowOff>9525</xdr:rowOff>
    </xdr:to>
    <xdr:sp macro="" textlink="">
      <xdr:nvSpPr>
        <xdr:cNvPr id="1068734" name="Line 367">
          <a:extLst>
            <a:ext uri="{FF2B5EF4-FFF2-40B4-BE49-F238E27FC236}">
              <a16:creationId xmlns:a16="http://schemas.microsoft.com/office/drawing/2014/main" id="{00000000-0008-0000-0D00-0000BE4E1000}"/>
            </a:ext>
          </a:extLst>
        </xdr:cNvPr>
        <xdr:cNvSpPr>
          <a:spLocks noChangeShapeType="1"/>
        </xdr:cNvSpPr>
      </xdr:nvSpPr>
      <xdr:spPr bwMode="auto">
        <a:xfrm flipV="1">
          <a:off x="3855720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0</xdr:colOff>
      <xdr:row>26</xdr:row>
      <xdr:rowOff>0</xdr:rowOff>
    </xdr:from>
    <xdr:to>
      <xdr:col>59</xdr:col>
      <xdr:colOff>76200</xdr:colOff>
      <xdr:row>26</xdr:row>
      <xdr:rowOff>9525</xdr:rowOff>
    </xdr:to>
    <xdr:sp macro="" textlink="">
      <xdr:nvSpPr>
        <xdr:cNvPr id="1068735" name="Line 368">
          <a:extLst>
            <a:ext uri="{FF2B5EF4-FFF2-40B4-BE49-F238E27FC236}">
              <a16:creationId xmlns:a16="http://schemas.microsoft.com/office/drawing/2014/main" id="{00000000-0008-0000-0D00-0000BF4E1000}"/>
            </a:ext>
          </a:extLst>
        </xdr:cNvPr>
        <xdr:cNvSpPr>
          <a:spLocks noChangeShapeType="1"/>
        </xdr:cNvSpPr>
      </xdr:nvSpPr>
      <xdr:spPr bwMode="auto">
        <a:xfrm>
          <a:off x="4070985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9525</xdr:colOff>
      <xdr:row>29</xdr:row>
      <xdr:rowOff>0</xdr:rowOff>
    </xdr:from>
    <xdr:to>
      <xdr:col>59</xdr:col>
      <xdr:colOff>66675</xdr:colOff>
      <xdr:row>29</xdr:row>
      <xdr:rowOff>9525</xdr:rowOff>
    </xdr:to>
    <xdr:sp macro="" textlink="">
      <xdr:nvSpPr>
        <xdr:cNvPr id="1068736" name="Line 370">
          <a:extLst>
            <a:ext uri="{FF2B5EF4-FFF2-40B4-BE49-F238E27FC236}">
              <a16:creationId xmlns:a16="http://schemas.microsoft.com/office/drawing/2014/main" id="{00000000-0008-0000-0D00-0000C04E1000}"/>
            </a:ext>
          </a:extLst>
        </xdr:cNvPr>
        <xdr:cNvSpPr>
          <a:spLocks noChangeShapeType="1"/>
        </xdr:cNvSpPr>
      </xdr:nvSpPr>
      <xdr:spPr bwMode="auto">
        <a:xfrm flipV="1">
          <a:off x="4071937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26</xdr:row>
      <xdr:rowOff>0</xdr:rowOff>
    </xdr:from>
    <xdr:to>
      <xdr:col>62</xdr:col>
      <xdr:colOff>76200</xdr:colOff>
      <xdr:row>26</xdr:row>
      <xdr:rowOff>9525</xdr:rowOff>
    </xdr:to>
    <xdr:sp macro="" textlink="">
      <xdr:nvSpPr>
        <xdr:cNvPr id="1068737" name="Line 371">
          <a:extLst>
            <a:ext uri="{FF2B5EF4-FFF2-40B4-BE49-F238E27FC236}">
              <a16:creationId xmlns:a16="http://schemas.microsoft.com/office/drawing/2014/main" id="{00000000-0008-0000-0D00-0000C14E1000}"/>
            </a:ext>
          </a:extLst>
        </xdr:cNvPr>
        <xdr:cNvSpPr>
          <a:spLocks noChangeShapeType="1"/>
        </xdr:cNvSpPr>
      </xdr:nvSpPr>
      <xdr:spPr bwMode="auto">
        <a:xfrm>
          <a:off x="4280535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26</xdr:row>
      <xdr:rowOff>9525</xdr:rowOff>
    </xdr:from>
    <xdr:to>
      <xdr:col>62</xdr:col>
      <xdr:colOff>66675</xdr:colOff>
      <xdr:row>29</xdr:row>
      <xdr:rowOff>19050</xdr:rowOff>
    </xdr:to>
    <xdr:sp macro="" textlink="">
      <xdr:nvSpPr>
        <xdr:cNvPr id="1068738" name="Line 372">
          <a:extLst>
            <a:ext uri="{FF2B5EF4-FFF2-40B4-BE49-F238E27FC236}">
              <a16:creationId xmlns:a16="http://schemas.microsoft.com/office/drawing/2014/main" id="{00000000-0008-0000-0D00-0000C24E1000}"/>
            </a:ext>
          </a:extLst>
        </xdr:cNvPr>
        <xdr:cNvSpPr>
          <a:spLocks noChangeShapeType="1"/>
        </xdr:cNvSpPr>
      </xdr:nvSpPr>
      <xdr:spPr bwMode="auto">
        <a:xfrm>
          <a:off x="4287202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9525</xdr:colOff>
      <xdr:row>29</xdr:row>
      <xdr:rowOff>0</xdr:rowOff>
    </xdr:from>
    <xdr:to>
      <xdr:col>62</xdr:col>
      <xdr:colOff>66675</xdr:colOff>
      <xdr:row>29</xdr:row>
      <xdr:rowOff>9525</xdr:rowOff>
    </xdr:to>
    <xdr:sp macro="" textlink="">
      <xdr:nvSpPr>
        <xdr:cNvPr id="1068739" name="Line 373">
          <a:extLst>
            <a:ext uri="{FF2B5EF4-FFF2-40B4-BE49-F238E27FC236}">
              <a16:creationId xmlns:a16="http://schemas.microsoft.com/office/drawing/2014/main" id="{00000000-0008-0000-0D00-0000C34E1000}"/>
            </a:ext>
          </a:extLst>
        </xdr:cNvPr>
        <xdr:cNvSpPr>
          <a:spLocks noChangeShapeType="1"/>
        </xdr:cNvSpPr>
      </xdr:nvSpPr>
      <xdr:spPr bwMode="auto">
        <a:xfrm flipV="1">
          <a:off x="4281487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26</xdr:row>
      <xdr:rowOff>0</xdr:rowOff>
    </xdr:from>
    <xdr:to>
      <xdr:col>62</xdr:col>
      <xdr:colOff>76200</xdr:colOff>
      <xdr:row>26</xdr:row>
      <xdr:rowOff>9525</xdr:rowOff>
    </xdr:to>
    <xdr:sp macro="" textlink="">
      <xdr:nvSpPr>
        <xdr:cNvPr id="1068740" name="Line 374">
          <a:extLst>
            <a:ext uri="{FF2B5EF4-FFF2-40B4-BE49-F238E27FC236}">
              <a16:creationId xmlns:a16="http://schemas.microsoft.com/office/drawing/2014/main" id="{00000000-0008-0000-0D00-0000C44E1000}"/>
            </a:ext>
          </a:extLst>
        </xdr:cNvPr>
        <xdr:cNvSpPr>
          <a:spLocks noChangeShapeType="1"/>
        </xdr:cNvSpPr>
      </xdr:nvSpPr>
      <xdr:spPr bwMode="auto">
        <a:xfrm>
          <a:off x="4280535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26</xdr:row>
      <xdr:rowOff>9525</xdr:rowOff>
    </xdr:from>
    <xdr:to>
      <xdr:col>62</xdr:col>
      <xdr:colOff>66675</xdr:colOff>
      <xdr:row>29</xdr:row>
      <xdr:rowOff>19050</xdr:rowOff>
    </xdr:to>
    <xdr:sp macro="" textlink="">
      <xdr:nvSpPr>
        <xdr:cNvPr id="1068741" name="Line 375">
          <a:extLst>
            <a:ext uri="{FF2B5EF4-FFF2-40B4-BE49-F238E27FC236}">
              <a16:creationId xmlns:a16="http://schemas.microsoft.com/office/drawing/2014/main" id="{00000000-0008-0000-0D00-0000C54E1000}"/>
            </a:ext>
          </a:extLst>
        </xdr:cNvPr>
        <xdr:cNvSpPr>
          <a:spLocks noChangeShapeType="1"/>
        </xdr:cNvSpPr>
      </xdr:nvSpPr>
      <xdr:spPr bwMode="auto">
        <a:xfrm>
          <a:off x="4287202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9525</xdr:colOff>
      <xdr:row>29</xdr:row>
      <xdr:rowOff>0</xdr:rowOff>
    </xdr:from>
    <xdr:to>
      <xdr:col>62</xdr:col>
      <xdr:colOff>66675</xdr:colOff>
      <xdr:row>29</xdr:row>
      <xdr:rowOff>9525</xdr:rowOff>
    </xdr:to>
    <xdr:sp macro="" textlink="">
      <xdr:nvSpPr>
        <xdr:cNvPr id="1068742" name="Line 376">
          <a:extLst>
            <a:ext uri="{FF2B5EF4-FFF2-40B4-BE49-F238E27FC236}">
              <a16:creationId xmlns:a16="http://schemas.microsoft.com/office/drawing/2014/main" id="{00000000-0008-0000-0D00-0000C64E1000}"/>
            </a:ext>
          </a:extLst>
        </xdr:cNvPr>
        <xdr:cNvSpPr>
          <a:spLocks noChangeShapeType="1"/>
        </xdr:cNvSpPr>
      </xdr:nvSpPr>
      <xdr:spPr bwMode="auto">
        <a:xfrm flipV="1">
          <a:off x="4281487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76200</xdr:colOff>
      <xdr:row>27</xdr:row>
      <xdr:rowOff>66675</xdr:rowOff>
    </xdr:from>
    <xdr:to>
      <xdr:col>63</xdr:col>
      <xdr:colOff>9525</xdr:colOff>
      <xdr:row>29</xdr:row>
      <xdr:rowOff>19050</xdr:rowOff>
    </xdr:to>
    <xdr:sp macro="" textlink="">
      <xdr:nvSpPr>
        <xdr:cNvPr id="1068743" name="Line 377">
          <a:extLst>
            <a:ext uri="{FF2B5EF4-FFF2-40B4-BE49-F238E27FC236}">
              <a16:creationId xmlns:a16="http://schemas.microsoft.com/office/drawing/2014/main" id="{00000000-0008-0000-0D00-0000C74E1000}"/>
            </a:ext>
          </a:extLst>
        </xdr:cNvPr>
        <xdr:cNvSpPr>
          <a:spLocks noChangeShapeType="1"/>
        </xdr:cNvSpPr>
      </xdr:nvSpPr>
      <xdr:spPr bwMode="auto">
        <a:xfrm>
          <a:off x="42881550" y="55530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62</xdr:col>
      <xdr:colOff>0</xdr:colOff>
      <xdr:row>26</xdr:row>
      <xdr:rowOff>0</xdr:rowOff>
    </xdr:from>
    <xdr:to>
      <xdr:col>62</xdr:col>
      <xdr:colOff>76200</xdr:colOff>
      <xdr:row>26</xdr:row>
      <xdr:rowOff>9525</xdr:rowOff>
    </xdr:to>
    <xdr:sp macro="" textlink="">
      <xdr:nvSpPr>
        <xdr:cNvPr id="1068744" name="Line 378">
          <a:extLst>
            <a:ext uri="{FF2B5EF4-FFF2-40B4-BE49-F238E27FC236}">
              <a16:creationId xmlns:a16="http://schemas.microsoft.com/office/drawing/2014/main" id="{00000000-0008-0000-0D00-0000C84E1000}"/>
            </a:ext>
          </a:extLst>
        </xdr:cNvPr>
        <xdr:cNvSpPr>
          <a:spLocks noChangeShapeType="1"/>
        </xdr:cNvSpPr>
      </xdr:nvSpPr>
      <xdr:spPr bwMode="auto">
        <a:xfrm>
          <a:off x="4280535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26</xdr:row>
      <xdr:rowOff>9525</xdr:rowOff>
    </xdr:from>
    <xdr:to>
      <xdr:col>62</xdr:col>
      <xdr:colOff>66675</xdr:colOff>
      <xdr:row>29</xdr:row>
      <xdr:rowOff>19050</xdr:rowOff>
    </xdr:to>
    <xdr:sp macro="" textlink="">
      <xdr:nvSpPr>
        <xdr:cNvPr id="1068745" name="Line 379">
          <a:extLst>
            <a:ext uri="{FF2B5EF4-FFF2-40B4-BE49-F238E27FC236}">
              <a16:creationId xmlns:a16="http://schemas.microsoft.com/office/drawing/2014/main" id="{00000000-0008-0000-0D00-0000C94E1000}"/>
            </a:ext>
          </a:extLst>
        </xdr:cNvPr>
        <xdr:cNvSpPr>
          <a:spLocks noChangeShapeType="1"/>
        </xdr:cNvSpPr>
      </xdr:nvSpPr>
      <xdr:spPr bwMode="auto">
        <a:xfrm>
          <a:off x="4287202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9525</xdr:colOff>
      <xdr:row>29</xdr:row>
      <xdr:rowOff>0</xdr:rowOff>
    </xdr:from>
    <xdr:to>
      <xdr:col>62</xdr:col>
      <xdr:colOff>66675</xdr:colOff>
      <xdr:row>29</xdr:row>
      <xdr:rowOff>9525</xdr:rowOff>
    </xdr:to>
    <xdr:sp macro="" textlink="">
      <xdr:nvSpPr>
        <xdr:cNvPr id="1068746" name="Line 380">
          <a:extLst>
            <a:ext uri="{FF2B5EF4-FFF2-40B4-BE49-F238E27FC236}">
              <a16:creationId xmlns:a16="http://schemas.microsoft.com/office/drawing/2014/main" id="{00000000-0008-0000-0D00-0000CA4E1000}"/>
            </a:ext>
          </a:extLst>
        </xdr:cNvPr>
        <xdr:cNvSpPr>
          <a:spLocks noChangeShapeType="1"/>
        </xdr:cNvSpPr>
      </xdr:nvSpPr>
      <xdr:spPr bwMode="auto">
        <a:xfrm flipV="1">
          <a:off x="4281487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0</xdr:colOff>
      <xdr:row>26</xdr:row>
      <xdr:rowOff>0</xdr:rowOff>
    </xdr:from>
    <xdr:to>
      <xdr:col>59</xdr:col>
      <xdr:colOff>76200</xdr:colOff>
      <xdr:row>26</xdr:row>
      <xdr:rowOff>9525</xdr:rowOff>
    </xdr:to>
    <xdr:sp macro="" textlink="">
      <xdr:nvSpPr>
        <xdr:cNvPr id="1068747" name="Line 382">
          <a:extLst>
            <a:ext uri="{FF2B5EF4-FFF2-40B4-BE49-F238E27FC236}">
              <a16:creationId xmlns:a16="http://schemas.microsoft.com/office/drawing/2014/main" id="{00000000-0008-0000-0D00-0000CB4E1000}"/>
            </a:ext>
          </a:extLst>
        </xdr:cNvPr>
        <xdr:cNvSpPr>
          <a:spLocks noChangeShapeType="1"/>
        </xdr:cNvSpPr>
      </xdr:nvSpPr>
      <xdr:spPr bwMode="auto">
        <a:xfrm>
          <a:off x="4070985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9525</xdr:colOff>
      <xdr:row>29</xdr:row>
      <xdr:rowOff>0</xdr:rowOff>
    </xdr:from>
    <xdr:to>
      <xdr:col>59</xdr:col>
      <xdr:colOff>66675</xdr:colOff>
      <xdr:row>29</xdr:row>
      <xdr:rowOff>9525</xdr:rowOff>
    </xdr:to>
    <xdr:sp macro="" textlink="">
      <xdr:nvSpPr>
        <xdr:cNvPr id="1068748" name="Line 384">
          <a:extLst>
            <a:ext uri="{FF2B5EF4-FFF2-40B4-BE49-F238E27FC236}">
              <a16:creationId xmlns:a16="http://schemas.microsoft.com/office/drawing/2014/main" id="{00000000-0008-0000-0D00-0000CC4E1000}"/>
            </a:ext>
          </a:extLst>
        </xdr:cNvPr>
        <xdr:cNvSpPr>
          <a:spLocks noChangeShapeType="1"/>
        </xdr:cNvSpPr>
      </xdr:nvSpPr>
      <xdr:spPr bwMode="auto">
        <a:xfrm flipV="1">
          <a:off x="4071937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66675</xdr:colOff>
      <xdr:row>28</xdr:row>
      <xdr:rowOff>142875</xdr:rowOff>
    </xdr:from>
    <xdr:to>
      <xdr:col>56</xdr:col>
      <xdr:colOff>438150</xdr:colOff>
      <xdr:row>33</xdr:row>
      <xdr:rowOff>76200</xdr:rowOff>
    </xdr:to>
    <xdr:sp macro="" textlink="">
      <xdr:nvSpPr>
        <xdr:cNvPr id="1068749" name="Line 386">
          <a:extLst>
            <a:ext uri="{FF2B5EF4-FFF2-40B4-BE49-F238E27FC236}">
              <a16:creationId xmlns:a16="http://schemas.microsoft.com/office/drawing/2014/main" id="{00000000-0008-0000-0D00-0000CD4E1000}"/>
            </a:ext>
          </a:extLst>
        </xdr:cNvPr>
        <xdr:cNvSpPr>
          <a:spLocks noChangeShapeType="1"/>
        </xdr:cNvSpPr>
      </xdr:nvSpPr>
      <xdr:spPr bwMode="auto">
        <a:xfrm flipV="1">
          <a:off x="38614350" y="5810250"/>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56</xdr:col>
      <xdr:colOff>66675</xdr:colOff>
      <xdr:row>33</xdr:row>
      <xdr:rowOff>95250</xdr:rowOff>
    </xdr:from>
    <xdr:to>
      <xdr:col>57</xdr:col>
      <xdr:colOff>0</xdr:colOff>
      <xdr:row>37</xdr:row>
      <xdr:rowOff>171450</xdr:rowOff>
    </xdr:to>
    <xdr:sp macro="" textlink="">
      <xdr:nvSpPr>
        <xdr:cNvPr id="1068750" name="Line 387">
          <a:extLst>
            <a:ext uri="{FF2B5EF4-FFF2-40B4-BE49-F238E27FC236}">
              <a16:creationId xmlns:a16="http://schemas.microsoft.com/office/drawing/2014/main" id="{00000000-0008-0000-0D00-0000CE4E1000}"/>
            </a:ext>
          </a:extLst>
        </xdr:cNvPr>
        <xdr:cNvSpPr>
          <a:spLocks noChangeShapeType="1"/>
        </xdr:cNvSpPr>
      </xdr:nvSpPr>
      <xdr:spPr bwMode="auto">
        <a:xfrm>
          <a:off x="38614350" y="6667500"/>
          <a:ext cx="3810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56</xdr:col>
      <xdr:colOff>66675</xdr:colOff>
      <xdr:row>34</xdr:row>
      <xdr:rowOff>161925</xdr:rowOff>
    </xdr:from>
    <xdr:to>
      <xdr:col>56</xdr:col>
      <xdr:colOff>438150</xdr:colOff>
      <xdr:row>39</xdr:row>
      <xdr:rowOff>95250</xdr:rowOff>
    </xdr:to>
    <xdr:sp macro="" textlink="">
      <xdr:nvSpPr>
        <xdr:cNvPr id="1068751" name="Line 388">
          <a:extLst>
            <a:ext uri="{FF2B5EF4-FFF2-40B4-BE49-F238E27FC236}">
              <a16:creationId xmlns:a16="http://schemas.microsoft.com/office/drawing/2014/main" id="{00000000-0008-0000-0D00-0000CF4E1000}"/>
            </a:ext>
          </a:extLst>
        </xdr:cNvPr>
        <xdr:cNvSpPr>
          <a:spLocks noChangeShapeType="1"/>
        </xdr:cNvSpPr>
      </xdr:nvSpPr>
      <xdr:spPr bwMode="auto">
        <a:xfrm flipV="1">
          <a:off x="38614350" y="6915150"/>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56</xdr:col>
      <xdr:colOff>66675</xdr:colOff>
      <xdr:row>39</xdr:row>
      <xdr:rowOff>95250</xdr:rowOff>
    </xdr:from>
    <xdr:to>
      <xdr:col>57</xdr:col>
      <xdr:colOff>0</xdr:colOff>
      <xdr:row>43</xdr:row>
      <xdr:rowOff>171450</xdr:rowOff>
    </xdr:to>
    <xdr:sp macro="" textlink="">
      <xdr:nvSpPr>
        <xdr:cNvPr id="1068752" name="Line 389">
          <a:extLst>
            <a:ext uri="{FF2B5EF4-FFF2-40B4-BE49-F238E27FC236}">
              <a16:creationId xmlns:a16="http://schemas.microsoft.com/office/drawing/2014/main" id="{00000000-0008-0000-0D00-0000D04E1000}"/>
            </a:ext>
          </a:extLst>
        </xdr:cNvPr>
        <xdr:cNvSpPr>
          <a:spLocks noChangeShapeType="1"/>
        </xdr:cNvSpPr>
      </xdr:nvSpPr>
      <xdr:spPr bwMode="auto">
        <a:xfrm>
          <a:off x="38614350" y="7753350"/>
          <a:ext cx="3810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56</xdr:col>
      <xdr:colOff>66675</xdr:colOff>
      <xdr:row>45</xdr:row>
      <xdr:rowOff>57150</xdr:rowOff>
    </xdr:from>
    <xdr:to>
      <xdr:col>57</xdr:col>
      <xdr:colOff>0</xdr:colOff>
      <xdr:row>50</xdr:row>
      <xdr:rowOff>19050</xdr:rowOff>
    </xdr:to>
    <xdr:sp macro="" textlink="">
      <xdr:nvSpPr>
        <xdr:cNvPr id="1068753" name="Line 390">
          <a:extLst>
            <a:ext uri="{FF2B5EF4-FFF2-40B4-BE49-F238E27FC236}">
              <a16:creationId xmlns:a16="http://schemas.microsoft.com/office/drawing/2014/main" id="{00000000-0008-0000-0D00-0000D14E1000}"/>
            </a:ext>
          </a:extLst>
        </xdr:cNvPr>
        <xdr:cNvSpPr>
          <a:spLocks noChangeShapeType="1"/>
        </xdr:cNvSpPr>
      </xdr:nvSpPr>
      <xdr:spPr bwMode="auto">
        <a:xfrm>
          <a:off x="38614350" y="8801100"/>
          <a:ext cx="38100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56</xdr:col>
      <xdr:colOff>66675</xdr:colOff>
      <xdr:row>40</xdr:row>
      <xdr:rowOff>152400</xdr:rowOff>
    </xdr:from>
    <xdr:to>
      <xdr:col>56</xdr:col>
      <xdr:colOff>438150</xdr:colOff>
      <xdr:row>45</xdr:row>
      <xdr:rowOff>85725</xdr:rowOff>
    </xdr:to>
    <xdr:sp macro="" textlink="">
      <xdr:nvSpPr>
        <xdr:cNvPr id="1068754" name="Line 391">
          <a:extLst>
            <a:ext uri="{FF2B5EF4-FFF2-40B4-BE49-F238E27FC236}">
              <a16:creationId xmlns:a16="http://schemas.microsoft.com/office/drawing/2014/main" id="{00000000-0008-0000-0D00-0000D24E1000}"/>
            </a:ext>
          </a:extLst>
        </xdr:cNvPr>
        <xdr:cNvSpPr>
          <a:spLocks noChangeShapeType="1"/>
        </xdr:cNvSpPr>
      </xdr:nvSpPr>
      <xdr:spPr bwMode="auto">
        <a:xfrm flipV="1">
          <a:off x="38614350" y="7991475"/>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56</xdr:col>
      <xdr:colOff>76200</xdr:colOff>
      <xdr:row>46</xdr:row>
      <xdr:rowOff>152400</xdr:rowOff>
    </xdr:from>
    <xdr:to>
      <xdr:col>57</xdr:col>
      <xdr:colOff>0</xdr:colOff>
      <xdr:row>52</xdr:row>
      <xdr:rowOff>161925</xdr:rowOff>
    </xdr:to>
    <xdr:sp macro="" textlink="">
      <xdr:nvSpPr>
        <xdr:cNvPr id="1068755" name="Line 392">
          <a:extLst>
            <a:ext uri="{FF2B5EF4-FFF2-40B4-BE49-F238E27FC236}">
              <a16:creationId xmlns:a16="http://schemas.microsoft.com/office/drawing/2014/main" id="{00000000-0008-0000-0D00-0000D34E1000}"/>
            </a:ext>
          </a:extLst>
        </xdr:cNvPr>
        <xdr:cNvSpPr>
          <a:spLocks noChangeShapeType="1"/>
        </xdr:cNvSpPr>
      </xdr:nvSpPr>
      <xdr:spPr bwMode="auto">
        <a:xfrm flipV="1">
          <a:off x="38623875" y="9077325"/>
          <a:ext cx="371475" cy="1095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76200</xdr:colOff>
      <xdr:row>29</xdr:row>
      <xdr:rowOff>0</xdr:rowOff>
    </xdr:from>
    <xdr:to>
      <xdr:col>60</xdr:col>
      <xdr:colOff>0</xdr:colOff>
      <xdr:row>33</xdr:row>
      <xdr:rowOff>66675</xdr:rowOff>
    </xdr:to>
    <xdr:sp macro="" textlink="">
      <xdr:nvSpPr>
        <xdr:cNvPr id="1068756" name="Line 393">
          <a:extLst>
            <a:ext uri="{FF2B5EF4-FFF2-40B4-BE49-F238E27FC236}">
              <a16:creationId xmlns:a16="http://schemas.microsoft.com/office/drawing/2014/main" id="{00000000-0008-0000-0D00-0000D44E1000}"/>
            </a:ext>
          </a:extLst>
        </xdr:cNvPr>
        <xdr:cNvSpPr>
          <a:spLocks noChangeShapeType="1"/>
        </xdr:cNvSpPr>
      </xdr:nvSpPr>
      <xdr:spPr bwMode="auto">
        <a:xfrm flipV="1">
          <a:off x="40786050" y="5848350"/>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76200</xdr:colOff>
      <xdr:row>34</xdr:row>
      <xdr:rowOff>171450</xdr:rowOff>
    </xdr:from>
    <xdr:to>
      <xdr:col>60</xdr:col>
      <xdr:colOff>0</xdr:colOff>
      <xdr:row>39</xdr:row>
      <xdr:rowOff>57150</xdr:rowOff>
    </xdr:to>
    <xdr:sp macro="" textlink="">
      <xdr:nvSpPr>
        <xdr:cNvPr id="1068757" name="Line 394">
          <a:extLst>
            <a:ext uri="{FF2B5EF4-FFF2-40B4-BE49-F238E27FC236}">
              <a16:creationId xmlns:a16="http://schemas.microsoft.com/office/drawing/2014/main" id="{00000000-0008-0000-0D00-0000D54E1000}"/>
            </a:ext>
          </a:extLst>
        </xdr:cNvPr>
        <xdr:cNvSpPr>
          <a:spLocks noChangeShapeType="1"/>
        </xdr:cNvSpPr>
      </xdr:nvSpPr>
      <xdr:spPr bwMode="auto">
        <a:xfrm flipV="1">
          <a:off x="40786050" y="6924675"/>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76200</xdr:colOff>
      <xdr:row>40</xdr:row>
      <xdr:rowOff>171450</xdr:rowOff>
    </xdr:from>
    <xdr:to>
      <xdr:col>60</xdr:col>
      <xdr:colOff>0</xdr:colOff>
      <xdr:row>45</xdr:row>
      <xdr:rowOff>57150</xdr:rowOff>
    </xdr:to>
    <xdr:sp macro="" textlink="">
      <xdr:nvSpPr>
        <xdr:cNvPr id="1068758" name="Line 395">
          <a:extLst>
            <a:ext uri="{FF2B5EF4-FFF2-40B4-BE49-F238E27FC236}">
              <a16:creationId xmlns:a16="http://schemas.microsoft.com/office/drawing/2014/main" id="{00000000-0008-0000-0D00-0000D64E1000}"/>
            </a:ext>
          </a:extLst>
        </xdr:cNvPr>
        <xdr:cNvSpPr>
          <a:spLocks noChangeShapeType="1"/>
        </xdr:cNvSpPr>
      </xdr:nvSpPr>
      <xdr:spPr bwMode="auto">
        <a:xfrm flipV="1">
          <a:off x="40786050" y="8010525"/>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57150</xdr:colOff>
      <xdr:row>33</xdr:row>
      <xdr:rowOff>76200</xdr:rowOff>
    </xdr:from>
    <xdr:to>
      <xdr:col>59</xdr:col>
      <xdr:colOff>400050</xdr:colOff>
      <xdr:row>38</xdr:row>
      <xdr:rowOff>0</xdr:rowOff>
    </xdr:to>
    <xdr:sp macro="" textlink="">
      <xdr:nvSpPr>
        <xdr:cNvPr id="1068759" name="Line 397">
          <a:extLst>
            <a:ext uri="{FF2B5EF4-FFF2-40B4-BE49-F238E27FC236}">
              <a16:creationId xmlns:a16="http://schemas.microsoft.com/office/drawing/2014/main" id="{00000000-0008-0000-0D00-0000D74E1000}"/>
            </a:ext>
          </a:extLst>
        </xdr:cNvPr>
        <xdr:cNvSpPr>
          <a:spLocks noChangeShapeType="1"/>
        </xdr:cNvSpPr>
      </xdr:nvSpPr>
      <xdr:spPr bwMode="auto">
        <a:xfrm>
          <a:off x="40767000" y="6648450"/>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66675</xdr:colOff>
      <xdr:row>39</xdr:row>
      <xdr:rowOff>85725</xdr:rowOff>
    </xdr:from>
    <xdr:to>
      <xdr:col>60</xdr:col>
      <xdr:colOff>0</xdr:colOff>
      <xdr:row>44</xdr:row>
      <xdr:rowOff>9525</xdr:rowOff>
    </xdr:to>
    <xdr:sp macro="" textlink="">
      <xdr:nvSpPr>
        <xdr:cNvPr id="1068760" name="Line 398">
          <a:extLst>
            <a:ext uri="{FF2B5EF4-FFF2-40B4-BE49-F238E27FC236}">
              <a16:creationId xmlns:a16="http://schemas.microsoft.com/office/drawing/2014/main" id="{00000000-0008-0000-0D00-0000D84E1000}"/>
            </a:ext>
          </a:extLst>
        </xdr:cNvPr>
        <xdr:cNvSpPr>
          <a:spLocks noChangeShapeType="1"/>
        </xdr:cNvSpPr>
      </xdr:nvSpPr>
      <xdr:spPr bwMode="auto">
        <a:xfrm>
          <a:off x="40776525" y="7743825"/>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76200</xdr:colOff>
      <xdr:row>45</xdr:row>
      <xdr:rowOff>57150</xdr:rowOff>
    </xdr:from>
    <xdr:to>
      <xdr:col>60</xdr:col>
      <xdr:colOff>0</xdr:colOff>
      <xdr:row>50</xdr:row>
      <xdr:rowOff>28575</xdr:rowOff>
    </xdr:to>
    <xdr:sp macro="" textlink="">
      <xdr:nvSpPr>
        <xdr:cNvPr id="1068761" name="Line 399">
          <a:extLst>
            <a:ext uri="{FF2B5EF4-FFF2-40B4-BE49-F238E27FC236}">
              <a16:creationId xmlns:a16="http://schemas.microsoft.com/office/drawing/2014/main" id="{00000000-0008-0000-0D00-0000D94E1000}"/>
            </a:ext>
          </a:extLst>
        </xdr:cNvPr>
        <xdr:cNvSpPr>
          <a:spLocks noChangeShapeType="1"/>
        </xdr:cNvSpPr>
      </xdr:nvSpPr>
      <xdr:spPr bwMode="auto">
        <a:xfrm>
          <a:off x="40786050" y="8801100"/>
          <a:ext cx="333375" cy="8763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56</xdr:col>
      <xdr:colOff>76200</xdr:colOff>
      <xdr:row>53</xdr:row>
      <xdr:rowOff>9525</xdr:rowOff>
    </xdr:from>
    <xdr:to>
      <xdr:col>57</xdr:col>
      <xdr:colOff>0</xdr:colOff>
      <xdr:row>53</xdr:row>
      <xdr:rowOff>9525</xdr:rowOff>
    </xdr:to>
    <xdr:sp macro="" textlink="">
      <xdr:nvSpPr>
        <xdr:cNvPr id="1068762" name="Line 392">
          <a:extLst>
            <a:ext uri="{FF2B5EF4-FFF2-40B4-BE49-F238E27FC236}">
              <a16:creationId xmlns:a16="http://schemas.microsoft.com/office/drawing/2014/main" id="{00000000-0008-0000-0D00-0000DA4E1000}"/>
            </a:ext>
          </a:extLst>
        </xdr:cNvPr>
        <xdr:cNvSpPr>
          <a:spLocks noChangeShapeType="1"/>
        </xdr:cNvSpPr>
      </xdr:nvSpPr>
      <xdr:spPr bwMode="auto">
        <a:xfrm>
          <a:off x="38623875" y="10201275"/>
          <a:ext cx="3714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0</xdr:colOff>
      <xdr:row>50</xdr:row>
      <xdr:rowOff>28575</xdr:rowOff>
    </xdr:from>
    <xdr:to>
      <xdr:col>59</xdr:col>
      <xdr:colOff>76200</xdr:colOff>
      <xdr:row>50</xdr:row>
      <xdr:rowOff>38100</xdr:rowOff>
    </xdr:to>
    <xdr:sp macro="" textlink="">
      <xdr:nvSpPr>
        <xdr:cNvPr id="1068763" name="Line 343">
          <a:extLst>
            <a:ext uri="{FF2B5EF4-FFF2-40B4-BE49-F238E27FC236}">
              <a16:creationId xmlns:a16="http://schemas.microsoft.com/office/drawing/2014/main" id="{00000000-0008-0000-0D00-0000DB4E1000}"/>
            </a:ext>
          </a:extLst>
        </xdr:cNvPr>
        <xdr:cNvSpPr>
          <a:spLocks noChangeShapeType="1"/>
        </xdr:cNvSpPr>
      </xdr:nvSpPr>
      <xdr:spPr bwMode="auto">
        <a:xfrm>
          <a:off x="40709850" y="967740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47625</xdr:colOff>
      <xdr:row>53</xdr:row>
      <xdr:rowOff>38100</xdr:rowOff>
    </xdr:from>
    <xdr:to>
      <xdr:col>59</xdr:col>
      <xdr:colOff>400050</xdr:colOff>
      <xdr:row>56</xdr:row>
      <xdr:rowOff>0</xdr:rowOff>
    </xdr:to>
    <xdr:sp macro="" textlink="">
      <xdr:nvSpPr>
        <xdr:cNvPr id="1068764" name="Line 363">
          <a:extLst>
            <a:ext uri="{FF2B5EF4-FFF2-40B4-BE49-F238E27FC236}">
              <a16:creationId xmlns:a16="http://schemas.microsoft.com/office/drawing/2014/main" id="{00000000-0008-0000-0D00-0000DC4E1000}"/>
            </a:ext>
          </a:extLst>
        </xdr:cNvPr>
        <xdr:cNvSpPr>
          <a:spLocks noChangeShapeType="1"/>
        </xdr:cNvSpPr>
      </xdr:nvSpPr>
      <xdr:spPr bwMode="auto">
        <a:xfrm>
          <a:off x="40757475" y="10229850"/>
          <a:ext cx="352425" cy="5048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57150</xdr:colOff>
      <xdr:row>47</xdr:row>
      <xdr:rowOff>19050</xdr:rowOff>
    </xdr:from>
    <xdr:to>
      <xdr:col>59</xdr:col>
      <xdr:colOff>400050</xdr:colOff>
      <xdr:row>53</xdr:row>
      <xdr:rowOff>28575</xdr:rowOff>
    </xdr:to>
    <xdr:sp macro="" textlink="">
      <xdr:nvSpPr>
        <xdr:cNvPr id="1068765" name="Line 392">
          <a:extLst>
            <a:ext uri="{FF2B5EF4-FFF2-40B4-BE49-F238E27FC236}">
              <a16:creationId xmlns:a16="http://schemas.microsoft.com/office/drawing/2014/main" id="{00000000-0008-0000-0D00-0000DD4E1000}"/>
            </a:ext>
          </a:extLst>
        </xdr:cNvPr>
        <xdr:cNvSpPr>
          <a:spLocks noChangeShapeType="1"/>
        </xdr:cNvSpPr>
      </xdr:nvSpPr>
      <xdr:spPr bwMode="auto">
        <a:xfrm flipV="1">
          <a:off x="40767000" y="9124950"/>
          <a:ext cx="342900" cy="1095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76200</xdr:colOff>
      <xdr:row>53</xdr:row>
      <xdr:rowOff>38100</xdr:rowOff>
    </xdr:from>
    <xdr:to>
      <xdr:col>60</xdr:col>
      <xdr:colOff>0</xdr:colOff>
      <xdr:row>53</xdr:row>
      <xdr:rowOff>38100</xdr:rowOff>
    </xdr:to>
    <xdr:sp macro="" textlink="">
      <xdr:nvSpPr>
        <xdr:cNvPr id="1068766" name="Line 392">
          <a:extLst>
            <a:ext uri="{FF2B5EF4-FFF2-40B4-BE49-F238E27FC236}">
              <a16:creationId xmlns:a16="http://schemas.microsoft.com/office/drawing/2014/main" id="{00000000-0008-0000-0D00-0000DE4E1000}"/>
            </a:ext>
          </a:extLst>
        </xdr:cNvPr>
        <xdr:cNvSpPr>
          <a:spLocks noChangeShapeType="1"/>
        </xdr:cNvSpPr>
      </xdr:nvSpPr>
      <xdr:spPr bwMode="auto">
        <a:xfrm>
          <a:off x="40786050" y="10229850"/>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66675</xdr:colOff>
      <xdr:row>50</xdr:row>
      <xdr:rowOff>38100</xdr:rowOff>
    </xdr:from>
    <xdr:to>
      <xdr:col>59</xdr:col>
      <xdr:colOff>66675</xdr:colOff>
      <xdr:row>55</xdr:row>
      <xdr:rowOff>142875</xdr:rowOff>
    </xdr:to>
    <xdr:sp macro="" textlink="">
      <xdr:nvSpPr>
        <xdr:cNvPr id="1068767" name="Line 344">
          <a:extLst>
            <a:ext uri="{FF2B5EF4-FFF2-40B4-BE49-F238E27FC236}">
              <a16:creationId xmlns:a16="http://schemas.microsoft.com/office/drawing/2014/main" id="{00000000-0008-0000-0D00-0000DF4E1000}"/>
            </a:ext>
          </a:extLst>
        </xdr:cNvPr>
        <xdr:cNvSpPr>
          <a:spLocks noChangeShapeType="1"/>
        </xdr:cNvSpPr>
      </xdr:nvSpPr>
      <xdr:spPr bwMode="auto">
        <a:xfrm flipH="1">
          <a:off x="40776525" y="9686925"/>
          <a:ext cx="0" cy="1009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9525</xdr:colOff>
      <xdr:row>56</xdr:row>
      <xdr:rowOff>0</xdr:rowOff>
    </xdr:from>
    <xdr:to>
      <xdr:col>59</xdr:col>
      <xdr:colOff>66675</xdr:colOff>
      <xdr:row>56</xdr:row>
      <xdr:rowOff>9525</xdr:rowOff>
    </xdr:to>
    <xdr:sp macro="" textlink="">
      <xdr:nvSpPr>
        <xdr:cNvPr id="1068768" name="Line 345">
          <a:extLst>
            <a:ext uri="{FF2B5EF4-FFF2-40B4-BE49-F238E27FC236}">
              <a16:creationId xmlns:a16="http://schemas.microsoft.com/office/drawing/2014/main" id="{00000000-0008-0000-0D00-0000E04E1000}"/>
            </a:ext>
          </a:extLst>
        </xdr:cNvPr>
        <xdr:cNvSpPr>
          <a:spLocks noChangeShapeType="1"/>
        </xdr:cNvSpPr>
      </xdr:nvSpPr>
      <xdr:spPr bwMode="auto">
        <a:xfrm flipV="1">
          <a:off x="40719375" y="1073467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50</xdr:row>
      <xdr:rowOff>0</xdr:rowOff>
    </xdr:from>
    <xdr:to>
      <xdr:col>62</xdr:col>
      <xdr:colOff>76200</xdr:colOff>
      <xdr:row>50</xdr:row>
      <xdr:rowOff>9525</xdr:rowOff>
    </xdr:to>
    <xdr:sp macro="" textlink="">
      <xdr:nvSpPr>
        <xdr:cNvPr id="1068769" name="Line 473">
          <a:extLst>
            <a:ext uri="{FF2B5EF4-FFF2-40B4-BE49-F238E27FC236}">
              <a16:creationId xmlns:a16="http://schemas.microsoft.com/office/drawing/2014/main" id="{00000000-0008-0000-0D00-0000E14E1000}"/>
            </a:ext>
          </a:extLst>
        </xdr:cNvPr>
        <xdr:cNvSpPr>
          <a:spLocks noChangeShapeType="1"/>
        </xdr:cNvSpPr>
      </xdr:nvSpPr>
      <xdr:spPr bwMode="auto">
        <a:xfrm>
          <a:off x="4280535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50</xdr:row>
      <xdr:rowOff>9525</xdr:rowOff>
    </xdr:from>
    <xdr:to>
      <xdr:col>62</xdr:col>
      <xdr:colOff>66675</xdr:colOff>
      <xdr:row>53</xdr:row>
      <xdr:rowOff>19050</xdr:rowOff>
    </xdr:to>
    <xdr:sp macro="" textlink="">
      <xdr:nvSpPr>
        <xdr:cNvPr id="1068770" name="Line 474">
          <a:extLst>
            <a:ext uri="{FF2B5EF4-FFF2-40B4-BE49-F238E27FC236}">
              <a16:creationId xmlns:a16="http://schemas.microsoft.com/office/drawing/2014/main" id="{00000000-0008-0000-0D00-0000E24E1000}"/>
            </a:ext>
          </a:extLst>
        </xdr:cNvPr>
        <xdr:cNvSpPr>
          <a:spLocks noChangeShapeType="1"/>
        </xdr:cNvSpPr>
      </xdr:nvSpPr>
      <xdr:spPr bwMode="auto">
        <a:xfrm>
          <a:off x="42872025"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50</xdr:row>
      <xdr:rowOff>0</xdr:rowOff>
    </xdr:from>
    <xdr:to>
      <xdr:col>62</xdr:col>
      <xdr:colOff>76200</xdr:colOff>
      <xdr:row>50</xdr:row>
      <xdr:rowOff>9525</xdr:rowOff>
    </xdr:to>
    <xdr:sp macro="" textlink="">
      <xdr:nvSpPr>
        <xdr:cNvPr id="1068771" name="Line 475">
          <a:extLst>
            <a:ext uri="{FF2B5EF4-FFF2-40B4-BE49-F238E27FC236}">
              <a16:creationId xmlns:a16="http://schemas.microsoft.com/office/drawing/2014/main" id="{00000000-0008-0000-0D00-0000E34E1000}"/>
            </a:ext>
          </a:extLst>
        </xdr:cNvPr>
        <xdr:cNvSpPr>
          <a:spLocks noChangeShapeType="1"/>
        </xdr:cNvSpPr>
      </xdr:nvSpPr>
      <xdr:spPr bwMode="auto">
        <a:xfrm>
          <a:off x="4280535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50</xdr:row>
      <xdr:rowOff>9525</xdr:rowOff>
    </xdr:from>
    <xdr:to>
      <xdr:col>62</xdr:col>
      <xdr:colOff>66675</xdr:colOff>
      <xdr:row>53</xdr:row>
      <xdr:rowOff>19050</xdr:rowOff>
    </xdr:to>
    <xdr:sp macro="" textlink="">
      <xdr:nvSpPr>
        <xdr:cNvPr id="1068772" name="Line 476">
          <a:extLst>
            <a:ext uri="{FF2B5EF4-FFF2-40B4-BE49-F238E27FC236}">
              <a16:creationId xmlns:a16="http://schemas.microsoft.com/office/drawing/2014/main" id="{00000000-0008-0000-0D00-0000E44E1000}"/>
            </a:ext>
          </a:extLst>
        </xdr:cNvPr>
        <xdr:cNvSpPr>
          <a:spLocks noChangeShapeType="1"/>
        </xdr:cNvSpPr>
      </xdr:nvSpPr>
      <xdr:spPr bwMode="auto">
        <a:xfrm>
          <a:off x="42872025"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76200</xdr:colOff>
      <xdr:row>53</xdr:row>
      <xdr:rowOff>19050</xdr:rowOff>
    </xdr:from>
    <xdr:to>
      <xdr:col>63</xdr:col>
      <xdr:colOff>9525</xdr:colOff>
      <xdr:row>56</xdr:row>
      <xdr:rowOff>9525</xdr:rowOff>
    </xdr:to>
    <xdr:sp macro="" textlink="">
      <xdr:nvSpPr>
        <xdr:cNvPr id="1068773" name="Line 477">
          <a:extLst>
            <a:ext uri="{FF2B5EF4-FFF2-40B4-BE49-F238E27FC236}">
              <a16:creationId xmlns:a16="http://schemas.microsoft.com/office/drawing/2014/main" id="{00000000-0008-0000-0D00-0000E54E1000}"/>
            </a:ext>
          </a:extLst>
        </xdr:cNvPr>
        <xdr:cNvSpPr>
          <a:spLocks noChangeShapeType="1"/>
        </xdr:cNvSpPr>
      </xdr:nvSpPr>
      <xdr:spPr bwMode="auto">
        <a:xfrm>
          <a:off x="42881550" y="10210800"/>
          <a:ext cx="342900" cy="5334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62</xdr:col>
      <xdr:colOff>0</xdr:colOff>
      <xdr:row>50</xdr:row>
      <xdr:rowOff>0</xdr:rowOff>
    </xdr:from>
    <xdr:to>
      <xdr:col>62</xdr:col>
      <xdr:colOff>76200</xdr:colOff>
      <xdr:row>50</xdr:row>
      <xdr:rowOff>9525</xdr:rowOff>
    </xdr:to>
    <xdr:sp macro="" textlink="">
      <xdr:nvSpPr>
        <xdr:cNvPr id="1068774" name="Line 478">
          <a:extLst>
            <a:ext uri="{FF2B5EF4-FFF2-40B4-BE49-F238E27FC236}">
              <a16:creationId xmlns:a16="http://schemas.microsoft.com/office/drawing/2014/main" id="{00000000-0008-0000-0D00-0000E64E1000}"/>
            </a:ext>
          </a:extLst>
        </xdr:cNvPr>
        <xdr:cNvSpPr>
          <a:spLocks noChangeShapeType="1"/>
        </xdr:cNvSpPr>
      </xdr:nvSpPr>
      <xdr:spPr bwMode="auto">
        <a:xfrm>
          <a:off x="4280535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50</xdr:row>
      <xdr:rowOff>9525</xdr:rowOff>
    </xdr:from>
    <xdr:to>
      <xdr:col>62</xdr:col>
      <xdr:colOff>66675</xdr:colOff>
      <xdr:row>55</xdr:row>
      <xdr:rowOff>152400</xdr:rowOff>
    </xdr:to>
    <xdr:sp macro="" textlink="">
      <xdr:nvSpPr>
        <xdr:cNvPr id="1068775" name="Line 479">
          <a:extLst>
            <a:ext uri="{FF2B5EF4-FFF2-40B4-BE49-F238E27FC236}">
              <a16:creationId xmlns:a16="http://schemas.microsoft.com/office/drawing/2014/main" id="{00000000-0008-0000-0D00-0000E74E1000}"/>
            </a:ext>
          </a:extLst>
        </xdr:cNvPr>
        <xdr:cNvSpPr>
          <a:spLocks noChangeShapeType="1"/>
        </xdr:cNvSpPr>
      </xdr:nvSpPr>
      <xdr:spPr bwMode="auto">
        <a:xfrm>
          <a:off x="42872025" y="9658350"/>
          <a:ext cx="0" cy="1047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49</xdr:row>
      <xdr:rowOff>161925</xdr:rowOff>
    </xdr:from>
    <xdr:to>
      <xdr:col>63</xdr:col>
      <xdr:colOff>0</xdr:colOff>
      <xdr:row>53</xdr:row>
      <xdr:rowOff>0</xdr:rowOff>
    </xdr:to>
    <xdr:sp macro="" textlink="">
      <xdr:nvSpPr>
        <xdr:cNvPr id="1068776" name="Line 480">
          <a:extLst>
            <a:ext uri="{FF2B5EF4-FFF2-40B4-BE49-F238E27FC236}">
              <a16:creationId xmlns:a16="http://schemas.microsoft.com/office/drawing/2014/main" id="{00000000-0008-0000-0D00-0000E84E1000}"/>
            </a:ext>
          </a:extLst>
        </xdr:cNvPr>
        <xdr:cNvSpPr>
          <a:spLocks noChangeShapeType="1"/>
        </xdr:cNvSpPr>
      </xdr:nvSpPr>
      <xdr:spPr bwMode="auto">
        <a:xfrm flipV="1">
          <a:off x="42872025" y="9629775"/>
          <a:ext cx="342900" cy="5619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62</xdr:col>
      <xdr:colOff>66675</xdr:colOff>
      <xdr:row>53</xdr:row>
      <xdr:rowOff>9525</xdr:rowOff>
    </xdr:from>
    <xdr:to>
      <xdr:col>63</xdr:col>
      <xdr:colOff>0</xdr:colOff>
      <xdr:row>53</xdr:row>
      <xdr:rowOff>9525</xdr:rowOff>
    </xdr:to>
    <xdr:sp macro="" textlink="">
      <xdr:nvSpPr>
        <xdr:cNvPr id="1068777" name="Line 481">
          <a:extLst>
            <a:ext uri="{FF2B5EF4-FFF2-40B4-BE49-F238E27FC236}">
              <a16:creationId xmlns:a16="http://schemas.microsoft.com/office/drawing/2014/main" id="{00000000-0008-0000-0D00-0000E94E1000}"/>
            </a:ext>
          </a:extLst>
        </xdr:cNvPr>
        <xdr:cNvSpPr>
          <a:spLocks noChangeShapeType="1"/>
        </xdr:cNvSpPr>
      </xdr:nvSpPr>
      <xdr:spPr bwMode="auto">
        <a:xfrm>
          <a:off x="42872025" y="10201275"/>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62</xdr:col>
      <xdr:colOff>9525</xdr:colOff>
      <xdr:row>55</xdr:row>
      <xdr:rowOff>171450</xdr:rowOff>
    </xdr:from>
    <xdr:to>
      <xdr:col>62</xdr:col>
      <xdr:colOff>66675</xdr:colOff>
      <xdr:row>56</xdr:row>
      <xdr:rowOff>0</xdr:rowOff>
    </xdr:to>
    <xdr:sp macro="" textlink="">
      <xdr:nvSpPr>
        <xdr:cNvPr id="1068778" name="Line 482">
          <a:extLst>
            <a:ext uri="{FF2B5EF4-FFF2-40B4-BE49-F238E27FC236}">
              <a16:creationId xmlns:a16="http://schemas.microsoft.com/office/drawing/2014/main" id="{00000000-0008-0000-0D00-0000EA4E1000}"/>
            </a:ext>
          </a:extLst>
        </xdr:cNvPr>
        <xdr:cNvSpPr>
          <a:spLocks noChangeShapeType="1"/>
        </xdr:cNvSpPr>
      </xdr:nvSpPr>
      <xdr:spPr bwMode="auto">
        <a:xfrm flipV="1">
          <a:off x="42814875" y="107251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9525</xdr:colOff>
      <xdr:row>47</xdr:row>
      <xdr:rowOff>0</xdr:rowOff>
    </xdr:from>
    <xdr:to>
      <xdr:col>56</xdr:col>
      <xdr:colOff>66675</xdr:colOff>
      <xdr:row>47</xdr:row>
      <xdr:rowOff>9525</xdr:rowOff>
    </xdr:to>
    <xdr:sp macro="" textlink="">
      <xdr:nvSpPr>
        <xdr:cNvPr id="1068779" name="Line 39">
          <a:extLst>
            <a:ext uri="{FF2B5EF4-FFF2-40B4-BE49-F238E27FC236}">
              <a16:creationId xmlns:a16="http://schemas.microsoft.com/office/drawing/2014/main" id="{00000000-0008-0000-0D00-0000EB4E1000}"/>
            </a:ext>
          </a:extLst>
        </xdr:cNvPr>
        <xdr:cNvSpPr>
          <a:spLocks noChangeShapeType="1"/>
        </xdr:cNvSpPr>
      </xdr:nvSpPr>
      <xdr:spPr bwMode="auto">
        <a:xfrm flipV="1">
          <a:off x="38557200"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9525</xdr:colOff>
      <xdr:row>47</xdr:row>
      <xdr:rowOff>0</xdr:rowOff>
    </xdr:from>
    <xdr:to>
      <xdr:col>59</xdr:col>
      <xdr:colOff>66675</xdr:colOff>
      <xdr:row>47</xdr:row>
      <xdr:rowOff>9525</xdr:rowOff>
    </xdr:to>
    <xdr:sp macro="" textlink="">
      <xdr:nvSpPr>
        <xdr:cNvPr id="1068780" name="Line 42">
          <a:extLst>
            <a:ext uri="{FF2B5EF4-FFF2-40B4-BE49-F238E27FC236}">
              <a16:creationId xmlns:a16="http://schemas.microsoft.com/office/drawing/2014/main" id="{00000000-0008-0000-0D00-0000EC4E1000}"/>
            </a:ext>
          </a:extLst>
        </xdr:cNvPr>
        <xdr:cNvSpPr>
          <a:spLocks noChangeShapeType="1"/>
        </xdr:cNvSpPr>
      </xdr:nvSpPr>
      <xdr:spPr bwMode="auto">
        <a:xfrm flipV="1">
          <a:off x="4071937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9525</xdr:colOff>
      <xdr:row>47</xdr:row>
      <xdr:rowOff>0</xdr:rowOff>
    </xdr:from>
    <xdr:to>
      <xdr:col>62</xdr:col>
      <xdr:colOff>66675</xdr:colOff>
      <xdr:row>47</xdr:row>
      <xdr:rowOff>9525</xdr:rowOff>
    </xdr:to>
    <xdr:sp macro="" textlink="">
      <xdr:nvSpPr>
        <xdr:cNvPr id="1068781" name="Line 45">
          <a:extLst>
            <a:ext uri="{FF2B5EF4-FFF2-40B4-BE49-F238E27FC236}">
              <a16:creationId xmlns:a16="http://schemas.microsoft.com/office/drawing/2014/main" id="{00000000-0008-0000-0D00-0000ED4E1000}"/>
            </a:ext>
          </a:extLst>
        </xdr:cNvPr>
        <xdr:cNvSpPr>
          <a:spLocks noChangeShapeType="1"/>
        </xdr:cNvSpPr>
      </xdr:nvSpPr>
      <xdr:spPr bwMode="auto">
        <a:xfrm flipV="1">
          <a:off x="4281487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9525</xdr:colOff>
      <xdr:row>47</xdr:row>
      <xdr:rowOff>0</xdr:rowOff>
    </xdr:from>
    <xdr:to>
      <xdr:col>62</xdr:col>
      <xdr:colOff>66675</xdr:colOff>
      <xdr:row>47</xdr:row>
      <xdr:rowOff>9525</xdr:rowOff>
    </xdr:to>
    <xdr:sp macro="" textlink="">
      <xdr:nvSpPr>
        <xdr:cNvPr id="1068782" name="Line 79">
          <a:extLst>
            <a:ext uri="{FF2B5EF4-FFF2-40B4-BE49-F238E27FC236}">
              <a16:creationId xmlns:a16="http://schemas.microsoft.com/office/drawing/2014/main" id="{00000000-0008-0000-0D00-0000EE4E1000}"/>
            </a:ext>
          </a:extLst>
        </xdr:cNvPr>
        <xdr:cNvSpPr>
          <a:spLocks noChangeShapeType="1"/>
        </xdr:cNvSpPr>
      </xdr:nvSpPr>
      <xdr:spPr bwMode="auto">
        <a:xfrm flipV="1">
          <a:off x="4281487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76200</xdr:colOff>
      <xdr:row>45</xdr:row>
      <xdr:rowOff>66675</xdr:rowOff>
    </xdr:from>
    <xdr:to>
      <xdr:col>63</xdr:col>
      <xdr:colOff>9525</xdr:colOff>
      <xdr:row>47</xdr:row>
      <xdr:rowOff>19050</xdr:rowOff>
    </xdr:to>
    <xdr:sp macro="" textlink="">
      <xdr:nvSpPr>
        <xdr:cNvPr id="1068783" name="Line 81">
          <a:extLst>
            <a:ext uri="{FF2B5EF4-FFF2-40B4-BE49-F238E27FC236}">
              <a16:creationId xmlns:a16="http://schemas.microsoft.com/office/drawing/2014/main" id="{00000000-0008-0000-0D00-0000EF4E1000}"/>
            </a:ext>
          </a:extLst>
        </xdr:cNvPr>
        <xdr:cNvSpPr>
          <a:spLocks noChangeShapeType="1"/>
        </xdr:cNvSpPr>
      </xdr:nvSpPr>
      <xdr:spPr bwMode="auto">
        <a:xfrm>
          <a:off x="42881550" y="88106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62</xdr:col>
      <xdr:colOff>9525</xdr:colOff>
      <xdr:row>47</xdr:row>
      <xdr:rowOff>0</xdr:rowOff>
    </xdr:from>
    <xdr:to>
      <xdr:col>62</xdr:col>
      <xdr:colOff>66675</xdr:colOff>
      <xdr:row>47</xdr:row>
      <xdr:rowOff>9525</xdr:rowOff>
    </xdr:to>
    <xdr:sp macro="" textlink="">
      <xdr:nvSpPr>
        <xdr:cNvPr id="1068784" name="Line 92">
          <a:extLst>
            <a:ext uri="{FF2B5EF4-FFF2-40B4-BE49-F238E27FC236}">
              <a16:creationId xmlns:a16="http://schemas.microsoft.com/office/drawing/2014/main" id="{00000000-0008-0000-0D00-0000F04E1000}"/>
            </a:ext>
          </a:extLst>
        </xdr:cNvPr>
        <xdr:cNvSpPr>
          <a:spLocks noChangeShapeType="1"/>
        </xdr:cNvSpPr>
      </xdr:nvSpPr>
      <xdr:spPr bwMode="auto">
        <a:xfrm flipV="1">
          <a:off x="4281487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9525</xdr:colOff>
      <xdr:row>47</xdr:row>
      <xdr:rowOff>0</xdr:rowOff>
    </xdr:from>
    <xdr:to>
      <xdr:col>59</xdr:col>
      <xdr:colOff>66675</xdr:colOff>
      <xdr:row>47</xdr:row>
      <xdr:rowOff>9525</xdr:rowOff>
    </xdr:to>
    <xdr:sp macro="" textlink="">
      <xdr:nvSpPr>
        <xdr:cNvPr id="1068785" name="Line 136">
          <a:extLst>
            <a:ext uri="{FF2B5EF4-FFF2-40B4-BE49-F238E27FC236}">
              <a16:creationId xmlns:a16="http://schemas.microsoft.com/office/drawing/2014/main" id="{00000000-0008-0000-0D00-0000F14E1000}"/>
            </a:ext>
          </a:extLst>
        </xdr:cNvPr>
        <xdr:cNvSpPr>
          <a:spLocks noChangeShapeType="1"/>
        </xdr:cNvSpPr>
      </xdr:nvSpPr>
      <xdr:spPr bwMode="auto">
        <a:xfrm flipV="1">
          <a:off x="4071937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19050</xdr:colOff>
      <xdr:row>49</xdr:row>
      <xdr:rowOff>171450</xdr:rowOff>
    </xdr:from>
    <xdr:to>
      <xdr:col>56</xdr:col>
      <xdr:colOff>95250</xdr:colOff>
      <xdr:row>50</xdr:row>
      <xdr:rowOff>0</xdr:rowOff>
    </xdr:to>
    <xdr:sp macro="" textlink="">
      <xdr:nvSpPr>
        <xdr:cNvPr id="1068786" name="Line 459">
          <a:extLst>
            <a:ext uri="{FF2B5EF4-FFF2-40B4-BE49-F238E27FC236}">
              <a16:creationId xmlns:a16="http://schemas.microsoft.com/office/drawing/2014/main" id="{00000000-0008-0000-0D00-0000F24E1000}"/>
            </a:ext>
          </a:extLst>
        </xdr:cNvPr>
        <xdr:cNvSpPr>
          <a:spLocks noChangeShapeType="1"/>
        </xdr:cNvSpPr>
      </xdr:nvSpPr>
      <xdr:spPr bwMode="auto">
        <a:xfrm>
          <a:off x="38566725" y="963930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85725</xdr:colOff>
      <xdr:row>50</xdr:row>
      <xdr:rowOff>0</xdr:rowOff>
    </xdr:from>
    <xdr:to>
      <xdr:col>56</xdr:col>
      <xdr:colOff>85725</xdr:colOff>
      <xdr:row>55</xdr:row>
      <xdr:rowOff>142875</xdr:rowOff>
    </xdr:to>
    <xdr:sp macro="" textlink="">
      <xdr:nvSpPr>
        <xdr:cNvPr id="1068787" name="Line 460">
          <a:extLst>
            <a:ext uri="{FF2B5EF4-FFF2-40B4-BE49-F238E27FC236}">
              <a16:creationId xmlns:a16="http://schemas.microsoft.com/office/drawing/2014/main" id="{00000000-0008-0000-0D00-0000F34E1000}"/>
            </a:ext>
          </a:extLst>
        </xdr:cNvPr>
        <xdr:cNvSpPr>
          <a:spLocks noChangeShapeType="1"/>
        </xdr:cNvSpPr>
      </xdr:nvSpPr>
      <xdr:spPr bwMode="auto">
        <a:xfrm>
          <a:off x="38633400" y="9648825"/>
          <a:ext cx="0" cy="1047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9525</xdr:colOff>
      <xdr:row>47</xdr:row>
      <xdr:rowOff>0</xdr:rowOff>
    </xdr:from>
    <xdr:to>
      <xdr:col>59</xdr:col>
      <xdr:colOff>66675</xdr:colOff>
      <xdr:row>47</xdr:row>
      <xdr:rowOff>9525</xdr:rowOff>
    </xdr:to>
    <xdr:sp macro="" textlink="">
      <xdr:nvSpPr>
        <xdr:cNvPr id="1068788" name="Line 464">
          <a:extLst>
            <a:ext uri="{FF2B5EF4-FFF2-40B4-BE49-F238E27FC236}">
              <a16:creationId xmlns:a16="http://schemas.microsoft.com/office/drawing/2014/main" id="{00000000-0008-0000-0D00-0000F44E1000}"/>
            </a:ext>
          </a:extLst>
        </xdr:cNvPr>
        <xdr:cNvSpPr>
          <a:spLocks noChangeShapeType="1"/>
        </xdr:cNvSpPr>
      </xdr:nvSpPr>
      <xdr:spPr bwMode="auto">
        <a:xfrm flipV="1">
          <a:off x="4071937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50</xdr:row>
      <xdr:rowOff>0</xdr:rowOff>
    </xdr:from>
    <xdr:to>
      <xdr:col>62</xdr:col>
      <xdr:colOff>76200</xdr:colOff>
      <xdr:row>50</xdr:row>
      <xdr:rowOff>9525</xdr:rowOff>
    </xdr:to>
    <xdr:sp macro="" textlink="">
      <xdr:nvSpPr>
        <xdr:cNvPr id="1068789" name="Line 473">
          <a:extLst>
            <a:ext uri="{FF2B5EF4-FFF2-40B4-BE49-F238E27FC236}">
              <a16:creationId xmlns:a16="http://schemas.microsoft.com/office/drawing/2014/main" id="{00000000-0008-0000-0D00-0000F54E1000}"/>
            </a:ext>
          </a:extLst>
        </xdr:cNvPr>
        <xdr:cNvSpPr>
          <a:spLocks noChangeShapeType="1"/>
        </xdr:cNvSpPr>
      </xdr:nvSpPr>
      <xdr:spPr bwMode="auto">
        <a:xfrm>
          <a:off x="4280535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50</xdr:row>
      <xdr:rowOff>9525</xdr:rowOff>
    </xdr:from>
    <xdr:to>
      <xdr:col>62</xdr:col>
      <xdr:colOff>66675</xdr:colOff>
      <xdr:row>53</xdr:row>
      <xdr:rowOff>19050</xdr:rowOff>
    </xdr:to>
    <xdr:sp macro="" textlink="">
      <xdr:nvSpPr>
        <xdr:cNvPr id="1068790" name="Line 474">
          <a:extLst>
            <a:ext uri="{FF2B5EF4-FFF2-40B4-BE49-F238E27FC236}">
              <a16:creationId xmlns:a16="http://schemas.microsoft.com/office/drawing/2014/main" id="{00000000-0008-0000-0D00-0000F64E1000}"/>
            </a:ext>
          </a:extLst>
        </xdr:cNvPr>
        <xdr:cNvSpPr>
          <a:spLocks noChangeShapeType="1"/>
        </xdr:cNvSpPr>
      </xdr:nvSpPr>
      <xdr:spPr bwMode="auto">
        <a:xfrm>
          <a:off x="42872025"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0</xdr:colOff>
      <xdr:row>50</xdr:row>
      <xdr:rowOff>0</xdr:rowOff>
    </xdr:from>
    <xdr:to>
      <xdr:col>62</xdr:col>
      <xdr:colOff>76200</xdr:colOff>
      <xdr:row>50</xdr:row>
      <xdr:rowOff>9525</xdr:rowOff>
    </xdr:to>
    <xdr:sp macro="" textlink="">
      <xdr:nvSpPr>
        <xdr:cNvPr id="1068791" name="Line 475">
          <a:extLst>
            <a:ext uri="{FF2B5EF4-FFF2-40B4-BE49-F238E27FC236}">
              <a16:creationId xmlns:a16="http://schemas.microsoft.com/office/drawing/2014/main" id="{00000000-0008-0000-0D00-0000F74E1000}"/>
            </a:ext>
          </a:extLst>
        </xdr:cNvPr>
        <xdr:cNvSpPr>
          <a:spLocks noChangeShapeType="1"/>
        </xdr:cNvSpPr>
      </xdr:nvSpPr>
      <xdr:spPr bwMode="auto">
        <a:xfrm>
          <a:off x="4280535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50</xdr:row>
      <xdr:rowOff>9525</xdr:rowOff>
    </xdr:from>
    <xdr:to>
      <xdr:col>62</xdr:col>
      <xdr:colOff>66675</xdr:colOff>
      <xdr:row>53</xdr:row>
      <xdr:rowOff>19050</xdr:rowOff>
    </xdr:to>
    <xdr:sp macro="" textlink="">
      <xdr:nvSpPr>
        <xdr:cNvPr id="1068792" name="Line 476">
          <a:extLst>
            <a:ext uri="{FF2B5EF4-FFF2-40B4-BE49-F238E27FC236}">
              <a16:creationId xmlns:a16="http://schemas.microsoft.com/office/drawing/2014/main" id="{00000000-0008-0000-0D00-0000F84E1000}"/>
            </a:ext>
          </a:extLst>
        </xdr:cNvPr>
        <xdr:cNvSpPr>
          <a:spLocks noChangeShapeType="1"/>
        </xdr:cNvSpPr>
      </xdr:nvSpPr>
      <xdr:spPr bwMode="auto">
        <a:xfrm>
          <a:off x="42872025"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76200</xdr:colOff>
      <xdr:row>53</xdr:row>
      <xdr:rowOff>19050</xdr:rowOff>
    </xdr:from>
    <xdr:to>
      <xdr:col>63</xdr:col>
      <xdr:colOff>9525</xdr:colOff>
      <xdr:row>56</xdr:row>
      <xdr:rowOff>9525</xdr:rowOff>
    </xdr:to>
    <xdr:sp macro="" textlink="">
      <xdr:nvSpPr>
        <xdr:cNvPr id="1068793" name="Line 477">
          <a:extLst>
            <a:ext uri="{FF2B5EF4-FFF2-40B4-BE49-F238E27FC236}">
              <a16:creationId xmlns:a16="http://schemas.microsoft.com/office/drawing/2014/main" id="{00000000-0008-0000-0D00-0000F94E1000}"/>
            </a:ext>
          </a:extLst>
        </xdr:cNvPr>
        <xdr:cNvSpPr>
          <a:spLocks noChangeShapeType="1"/>
        </xdr:cNvSpPr>
      </xdr:nvSpPr>
      <xdr:spPr bwMode="auto">
        <a:xfrm>
          <a:off x="42881550" y="10210800"/>
          <a:ext cx="342900" cy="5334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62</xdr:col>
      <xdr:colOff>0</xdr:colOff>
      <xdr:row>50</xdr:row>
      <xdr:rowOff>0</xdr:rowOff>
    </xdr:from>
    <xdr:to>
      <xdr:col>62</xdr:col>
      <xdr:colOff>76200</xdr:colOff>
      <xdr:row>50</xdr:row>
      <xdr:rowOff>9525</xdr:rowOff>
    </xdr:to>
    <xdr:sp macro="" textlink="">
      <xdr:nvSpPr>
        <xdr:cNvPr id="1068794" name="Line 478">
          <a:extLst>
            <a:ext uri="{FF2B5EF4-FFF2-40B4-BE49-F238E27FC236}">
              <a16:creationId xmlns:a16="http://schemas.microsoft.com/office/drawing/2014/main" id="{00000000-0008-0000-0D00-0000FA4E1000}"/>
            </a:ext>
          </a:extLst>
        </xdr:cNvPr>
        <xdr:cNvSpPr>
          <a:spLocks noChangeShapeType="1"/>
        </xdr:cNvSpPr>
      </xdr:nvSpPr>
      <xdr:spPr bwMode="auto">
        <a:xfrm>
          <a:off x="4280535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50</xdr:row>
      <xdr:rowOff>9525</xdr:rowOff>
    </xdr:from>
    <xdr:to>
      <xdr:col>62</xdr:col>
      <xdr:colOff>66675</xdr:colOff>
      <xdr:row>55</xdr:row>
      <xdr:rowOff>152400</xdr:rowOff>
    </xdr:to>
    <xdr:sp macro="" textlink="">
      <xdr:nvSpPr>
        <xdr:cNvPr id="1068795" name="Line 479">
          <a:extLst>
            <a:ext uri="{FF2B5EF4-FFF2-40B4-BE49-F238E27FC236}">
              <a16:creationId xmlns:a16="http://schemas.microsoft.com/office/drawing/2014/main" id="{00000000-0008-0000-0D00-0000FB4E1000}"/>
            </a:ext>
          </a:extLst>
        </xdr:cNvPr>
        <xdr:cNvSpPr>
          <a:spLocks noChangeShapeType="1"/>
        </xdr:cNvSpPr>
      </xdr:nvSpPr>
      <xdr:spPr bwMode="auto">
        <a:xfrm>
          <a:off x="42872025" y="9658350"/>
          <a:ext cx="0" cy="1047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49</xdr:row>
      <xdr:rowOff>161925</xdr:rowOff>
    </xdr:from>
    <xdr:to>
      <xdr:col>63</xdr:col>
      <xdr:colOff>0</xdr:colOff>
      <xdr:row>53</xdr:row>
      <xdr:rowOff>0</xdr:rowOff>
    </xdr:to>
    <xdr:sp macro="" textlink="">
      <xdr:nvSpPr>
        <xdr:cNvPr id="1068796" name="Line 480">
          <a:extLst>
            <a:ext uri="{FF2B5EF4-FFF2-40B4-BE49-F238E27FC236}">
              <a16:creationId xmlns:a16="http://schemas.microsoft.com/office/drawing/2014/main" id="{00000000-0008-0000-0D00-0000FC4E1000}"/>
            </a:ext>
          </a:extLst>
        </xdr:cNvPr>
        <xdr:cNvSpPr>
          <a:spLocks noChangeShapeType="1"/>
        </xdr:cNvSpPr>
      </xdr:nvSpPr>
      <xdr:spPr bwMode="auto">
        <a:xfrm flipV="1">
          <a:off x="42872025" y="9629775"/>
          <a:ext cx="342900" cy="5619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62</xdr:col>
      <xdr:colOff>66675</xdr:colOff>
      <xdr:row>53</xdr:row>
      <xdr:rowOff>9525</xdr:rowOff>
    </xdr:from>
    <xdr:to>
      <xdr:col>63</xdr:col>
      <xdr:colOff>0</xdr:colOff>
      <xdr:row>53</xdr:row>
      <xdr:rowOff>9525</xdr:rowOff>
    </xdr:to>
    <xdr:sp macro="" textlink="">
      <xdr:nvSpPr>
        <xdr:cNvPr id="1068797" name="Line 481">
          <a:extLst>
            <a:ext uri="{FF2B5EF4-FFF2-40B4-BE49-F238E27FC236}">
              <a16:creationId xmlns:a16="http://schemas.microsoft.com/office/drawing/2014/main" id="{00000000-0008-0000-0D00-0000FD4E1000}"/>
            </a:ext>
          </a:extLst>
        </xdr:cNvPr>
        <xdr:cNvSpPr>
          <a:spLocks noChangeShapeType="1"/>
        </xdr:cNvSpPr>
      </xdr:nvSpPr>
      <xdr:spPr bwMode="auto">
        <a:xfrm>
          <a:off x="42872025" y="10201275"/>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62</xdr:col>
      <xdr:colOff>9525</xdr:colOff>
      <xdr:row>55</xdr:row>
      <xdr:rowOff>171450</xdr:rowOff>
    </xdr:from>
    <xdr:to>
      <xdr:col>62</xdr:col>
      <xdr:colOff>66675</xdr:colOff>
      <xdr:row>56</xdr:row>
      <xdr:rowOff>0</xdr:rowOff>
    </xdr:to>
    <xdr:sp macro="" textlink="">
      <xdr:nvSpPr>
        <xdr:cNvPr id="1068798" name="Line 482">
          <a:extLst>
            <a:ext uri="{FF2B5EF4-FFF2-40B4-BE49-F238E27FC236}">
              <a16:creationId xmlns:a16="http://schemas.microsoft.com/office/drawing/2014/main" id="{00000000-0008-0000-0D00-0000FE4E1000}"/>
            </a:ext>
          </a:extLst>
        </xdr:cNvPr>
        <xdr:cNvSpPr>
          <a:spLocks noChangeShapeType="1"/>
        </xdr:cNvSpPr>
      </xdr:nvSpPr>
      <xdr:spPr bwMode="auto">
        <a:xfrm flipV="1">
          <a:off x="42814875" y="107251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0</xdr:colOff>
      <xdr:row>8</xdr:row>
      <xdr:rowOff>0</xdr:rowOff>
    </xdr:from>
    <xdr:to>
      <xdr:col>72</xdr:col>
      <xdr:colOff>76200</xdr:colOff>
      <xdr:row>8</xdr:row>
      <xdr:rowOff>9525</xdr:rowOff>
    </xdr:to>
    <xdr:sp macro="" textlink="">
      <xdr:nvSpPr>
        <xdr:cNvPr id="1068799" name="Line 1">
          <a:extLst>
            <a:ext uri="{FF2B5EF4-FFF2-40B4-BE49-F238E27FC236}">
              <a16:creationId xmlns:a16="http://schemas.microsoft.com/office/drawing/2014/main" id="{00000000-0008-0000-0D00-0000FF4E1000}"/>
            </a:ext>
          </a:extLst>
        </xdr:cNvPr>
        <xdr:cNvSpPr>
          <a:spLocks noChangeShapeType="1"/>
        </xdr:cNvSpPr>
      </xdr:nvSpPr>
      <xdr:spPr bwMode="auto">
        <a:xfrm>
          <a:off x="4997767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66675</xdr:colOff>
      <xdr:row>8</xdr:row>
      <xdr:rowOff>9525</xdr:rowOff>
    </xdr:from>
    <xdr:to>
      <xdr:col>72</xdr:col>
      <xdr:colOff>66675</xdr:colOff>
      <xdr:row>11</xdr:row>
      <xdr:rowOff>19050</xdr:rowOff>
    </xdr:to>
    <xdr:sp macro="" textlink="">
      <xdr:nvSpPr>
        <xdr:cNvPr id="1068800" name="Line 2">
          <a:extLst>
            <a:ext uri="{FF2B5EF4-FFF2-40B4-BE49-F238E27FC236}">
              <a16:creationId xmlns:a16="http://schemas.microsoft.com/office/drawing/2014/main" id="{00000000-0008-0000-0D00-0000004F1000}"/>
            </a:ext>
          </a:extLst>
        </xdr:cNvPr>
        <xdr:cNvSpPr>
          <a:spLocks noChangeShapeType="1"/>
        </xdr:cNvSpPr>
      </xdr:nvSpPr>
      <xdr:spPr bwMode="auto">
        <a:xfrm>
          <a:off x="5004435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9525</xdr:colOff>
      <xdr:row>11</xdr:row>
      <xdr:rowOff>0</xdr:rowOff>
    </xdr:from>
    <xdr:to>
      <xdr:col>72</xdr:col>
      <xdr:colOff>66675</xdr:colOff>
      <xdr:row>11</xdr:row>
      <xdr:rowOff>9525</xdr:rowOff>
    </xdr:to>
    <xdr:sp macro="" textlink="">
      <xdr:nvSpPr>
        <xdr:cNvPr id="1068801" name="Line 3">
          <a:extLst>
            <a:ext uri="{FF2B5EF4-FFF2-40B4-BE49-F238E27FC236}">
              <a16:creationId xmlns:a16="http://schemas.microsoft.com/office/drawing/2014/main" id="{00000000-0008-0000-0D00-0000014F1000}"/>
            </a:ext>
          </a:extLst>
        </xdr:cNvPr>
        <xdr:cNvSpPr>
          <a:spLocks noChangeShapeType="1"/>
        </xdr:cNvSpPr>
      </xdr:nvSpPr>
      <xdr:spPr bwMode="auto">
        <a:xfrm flipV="1">
          <a:off x="4998720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69</xdr:col>
      <xdr:colOff>0</xdr:colOff>
      <xdr:row>8</xdr:row>
      <xdr:rowOff>0</xdr:rowOff>
    </xdr:from>
    <xdr:to>
      <xdr:col>69</xdr:col>
      <xdr:colOff>76200</xdr:colOff>
      <xdr:row>8</xdr:row>
      <xdr:rowOff>9525</xdr:rowOff>
    </xdr:to>
    <xdr:sp macro="" textlink="">
      <xdr:nvSpPr>
        <xdr:cNvPr id="1068802" name="Line 4">
          <a:extLst>
            <a:ext uri="{FF2B5EF4-FFF2-40B4-BE49-F238E27FC236}">
              <a16:creationId xmlns:a16="http://schemas.microsoft.com/office/drawing/2014/main" id="{00000000-0008-0000-0D00-0000024F1000}"/>
            </a:ext>
          </a:extLst>
        </xdr:cNvPr>
        <xdr:cNvSpPr>
          <a:spLocks noChangeShapeType="1"/>
        </xdr:cNvSpPr>
      </xdr:nvSpPr>
      <xdr:spPr bwMode="auto">
        <a:xfrm>
          <a:off x="478155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69</xdr:col>
      <xdr:colOff>66675</xdr:colOff>
      <xdr:row>8</xdr:row>
      <xdr:rowOff>9525</xdr:rowOff>
    </xdr:from>
    <xdr:to>
      <xdr:col>69</xdr:col>
      <xdr:colOff>66675</xdr:colOff>
      <xdr:row>11</xdr:row>
      <xdr:rowOff>19050</xdr:rowOff>
    </xdr:to>
    <xdr:sp macro="" textlink="">
      <xdr:nvSpPr>
        <xdr:cNvPr id="1068803" name="Line 5">
          <a:extLst>
            <a:ext uri="{FF2B5EF4-FFF2-40B4-BE49-F238E27FC236}">
              <a16:creationId xmlns:a16="http://schemas.microsoft.com/office/drawing/2014/main" id="{00000000-0008-0000-0D00-0000034F1000}"/>
            </a:ext>
          </a:extLst>
        </xdr:cNvPr>
        <xdr:cNvSpPr>
          <a:spLocks noChangeShapeType="1"/>
        </xdr:cNvSpPr>
      </xdr:nvSpPr>
      <xdr:spPr bwMode="auto">
        <a:xfrm>
          <a:off x="478821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69</xdr:col>
      <xdr:colOff>9525</xdr:colOff>
      <xdr:row>11</xdr:row>
      <xdr:rowOff>0</xdr:rowOff>
    </xdr:from>
    <xdr:to>
      <xdr:col>69</xdr:col>
      <xdr:colOff>66675</xdr:colOff>
      <xdr:row>11</xdr:row>
      <xdr:rowOff>9525</xdr:rowOff>
    </xdr:to>
    <xdr:sp macro="" textlink="">
      <xdr:nvSpPr>
        <xdr:cNvPr id="1068804" name="Line 6">
          <a:extLst>
            <a:ext uri="{FF2B5EF4-FFF2-40B4-BE49-F238E27FC236}">
              <a16:creationId xmlns:a16="http://schemas.microsoft.com/office/drawing/2014/main" id="{00000000-0008-0000-0D00-0000044F1000}"/>
            </a:ext>
          </a:extLst>
        </xdr:cNvPr>
        <xdr:cNvSpPr>
          <a:spLocks noChangeShapeType="1"/>
        </xdr:cNvSpPr>
      </xdr:nvSpPr>
      <xdr:spPr bwMode="auto">
        <a:xfrm flipV="1">
          <a:off x="478250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0</xdr:colOff>
      <xdr:row>8</xdr:row>
      <xdr:rowOff>0</xdr:rowOff>
    </xdr:from>
    <xdr:to>
      <xdr:col>75</xdr:col>
      <xdr:colOff>76200</xdr:colOff>
      <xdr:row>8</xdr:row>
      <xdr:rowOff>9525</xdr:rowOff>
    </xdr:to>
    <xdr:sp macro="" textlink="">
      <xdr:nvSpPr>
        <xdr:cNvPr id="1068805" name="Line 16">
          <a:extLst>
            <a:ext uri="{FF2B5EF4-FFF2-40B4-BE49-F238E27FC236}">
              <a16:creationId xmlns:a16="http://schemas.microsoft.com/office/drawing/2014/main" id="{00000000-0008-0000-0D00-0000054F1000}"/>
            </a:ext>
          </a:extLst>
        </xdr:cNvPr>
        <xdr:cNvSpPr>
          <a:spLocks noChangeShapeType="1"/>
        </xdr:cNvSpPr>
      </xdr:nvSpPr>
      <xdr:spPr bwMode="auto">
        <a:xfrm>
          <a:off x="5207317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8</xdr:row>
      <xdr:rowOff>9525</xdr:rowOff>
    </xdr:from>
    <xdr:to>
      <xdr:col>75</xdr:col>
      <xdr:colOff>66675</xdr:colOff>
      <xdr:row>11</xdr:row>
      <xdr:rowOff>19050</xdr:rowOff>
    </xdr:to>
    <xdr:sp macro="" textlink="">
      <xdr:nvSpPr>
        <xdr:cNvPr id="1068806" name="Line 17">
          <a:extLst>
            <a:ext uri="{FF2B5EF4-FFF2-40B4-BE49-F238E27FC236}">
              <a16:creationId xmlns:a16="http://schemas.microsoft.com/office/drawing/2014/main" id="{00000000-0008-0000-0D00-0000064F1000}"/>
            </a:ext>
          </a:extLst>
        </xdr:cNvPr>
        <xdr:cNvSpPr>
          <a:spLocks noChangeShapeType="1"/>
        </xdr:cNvSpPr>
      </xdr:nvSpPr>
      <xdr:spPr bwMode="auto">
        <a:xfrm>
          <a:off x="5213985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9525</xdr:colOff>
      <xdr:row>11</xdr:row>
      <xdr:rowOff>0</xdr:rowOff>
    </xdr:from>
    <xdr:to>
      <xdr:col>75</xdr:col>
      <xdr:colOff>66675</xdr:colOff>
      <xdr:row>11</xdr:row>
      <xdr:rowOff>9525</xdr:rowOff>
    </xdr:to>
    <xdr:sp macro="" textlink="">
      <xdr:nvSpPr>
        <xdr:cNvPr id="1068807" name="Line 18">
          <a:extLst>
            <a:ext uri="{FF2B5EF4-FFF2-40B4-BE49-F238E27FC236}">
              <a16:creationId xmlns:a16="http://schemas.microsoft.com/office/drawing/2014/main" id="{00000000-0008-0000-0D00-0000074F1000}"/>
            </a:ext>
          </a:extLst>
        </xdr:cNvPr>
        <xdr:cNvSpPr>
          <a:spLocks noChangeShapeType="1"/>
        </xdr:cNvSpPr>
      </xdr:nvSpPr>
      <xdr:spPr bwMode="auto">
        <a:xfrm flipV="1">
          <a:off x="5208270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69</xdr:col>
      <xdr:colOff>0</xdr:colOff>
      <xdr:row>14</xdr:row>
      <xdr:rowOff>0</xdr:rowOff>
    </xdr:from>
    <xdr:to>
      <xdr:col>69</xdr:col>
      <xdr:colOff>76200</xdr:colOff>
      <xdr:row>14</xdr:row>
      <xdr:rowOff>9525</xdr:rowOff>
    </xdr:to>
    <xdr:sp macro="" textlink="">
      <xdr:nvSpPr>
        <xdr:cNvPr id="1068808" name="Line 37">
          <a:extLst>
            <a:ext uri="{FF2B5EF4-FFF2-40B4-BE49-F238E27FC236}">
              <a16:creationId xmlns:a16="http://schemas.microsoft.com/office/drawing/2014/main" id="{00000000-0008-0000-0D00-0000084F1000}"/>
            </a:ext>
          </a:extLst>
        </xdr:cNvPr>
        <xdr:cNvSpPr>
          <a:spLocks noChangeShapeType="1"/>
        </xdr:cNvSpPr>
      </xdr:nvSpPr>
      <xdr:spPr bwMode="auto">
        <a:xfrm>
          <a:off x="478155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69</xdr:col>
      <xdr:colOff>66675</xdr:colOff>
      <xdr:row>14</xdr:row>
      <xdr:rowOff>9525</xdr:rowOff>
    </xdr:from>
    <xdr:to>
      <xdr:col>69</xdr:col>
      <xdr:colOff>66675</xdr:colOff>
      <xdr:row>17</xdr:row>
      <xdr:rowOff>19050</xdr:rowOff>
    </xdr:to>
    <xdr:sp macro="" textlink="">
      <xdr:nvSpPr>
        <xdr:cNvPr id="1068809" name="Line 38">
          <a:extLst>
            <a:ext uri="{FF2B5EF4-FFF2-40B4-BE49-F238E27FC236}">
              <a16:creationId xmlns:a16="http://schemas.microsoft.com/office/drawing/2014/main" id="{00000000-0008-0000-0D00-0000094F1000}"/>
            </a:ext>
          </a:extLst>
        </xdr:cNvPr>
        <xdr:cNvSpPr>
          <a:spLocks noChangeShapeType="1"/>
        </xdr:cNvSpPr>
      </xdr:nvSpPr>
      <xdr:spPr bwMode="auto">
        <a:xfrm>
          <a:off x="478821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69</xdr:col>
      <xdr:colOff>9525</xdr:colOff>
      <xdr:row>17</xdr:row>
      <xdr:rowOff>0</xdr:rowOff>
    </xdr:from>
    <xdr:to>
      <xdr:col>69</xdr:col>
      <xdr:colOff>66675</xdr:colOff>
      <xdr:row>17</xdr:row>
      <xdr:rowOff>9525</xdr:rowOff>
    </xdr:to>
    <xdr:sp macro="" textlink="">
      <xdr:nvSpPr>
        <xdr:cNvPr id="1068810" name="Line 39">
          <a:extLst>
            <a:ext uri="{FF2B5EF4-FFF2-40B4-BE49-F238E27FC236}">
              <a16:creationId xmlns:a16="http://schemas.microsoft.com/office/drawing/2014/main" id="{00000000-0008-0000-0D00-00000A4F1000}"/>
            </a:ext>
          </a:extLst>
        </xdr:cNvPr>
        <xdr:cNvSpPr>
          <a:spLocks noChangeShapeType="1"/>
        </xdr:cNvSpPr>
      </xdr:nvSpPr>
      <xdr:spPr bwMode="auto">
        <a:xfrm flipV="1">
          <a:off x="478250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0</xdr:colOff>
      <xdr:row>14</xdr:row>
      <xdr:rowOff>0</xdr:rowOff>
    </xdr:from>
    <xdr:to>
      <xdr:col>72</xdr:col>
      <xdr:colOff>76200</xdr:colOff>
      <xdr:row>14</xdr:row>
      <xdr:rowOff>9525</xdr:rowOff>
    </xdr:to>
    <xdr:sp macro="" textlink="">
      <xdr:nvSpPr>
        <xdr:cNvPr id="1068811" name="Line 40">
          <a:extLst>
            <a:ext uri="{FF2B5EF4-FFF2-40B4-BE49-F238E27FC236}">
              <a16:creationId xmlns:a16="http://schemas.microsoft.com/office/drawing/2014/main" id="{00000000-0008-0000-0D00-00000B4F1000}"/>
            </a:ext>
          </a:extLst>
        </xdr:cNvPr>
        <xdr:cNvSpPr>
          <a:spLocks noChangeShapeType="1"/>
        </xdr:cNvSpPr>
      </xdr:nvSpPr>
      <xdr:spPr bwMode="auto">
        <a:xfrm>
          <a:off x="4997767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66675</xdr:colOff>
      <xdr:row>14</xdr:row>
      <xdr:rowOff>9525</xdr:rowOff>
    </xdr:from>
    <xdr:to>
      <xdr:col>72</xdr:col>
      <xdr:colOff>66675</xdr:colOff>
      <xdr:row>17</xdr:row>
      <xdr:rowOff>19050</xdr:rowOff>
    </xdr:to>
    <xdr:sp macro="" textlink="">
      <xdr:nvSpPr>
        <xdr:cNvPr id="1068812" name="Line 41">
          <a:extLst>
            <a:ext uri="{FF2B5EF4-FFF2-40B4-BE49-F238E27FC236}">
              <a16:creationId xmlns:a16="http://schemas.microsoft.com/office/drawing/2014/main" id="{00000000-0008-0000-0D00-00000C4F1000}"/>
            </a:ext>
          </a:extLst>
        </xdr:cNvPr>
        <xdr:cNvSpPr>
          <a:spLocks noChangeShapeType="1"/>
        </xdr:cNvSpPr>
      </xdr:nvSpPr>
      <xdr:spPr bwMode="auto">
        <a:xfrm>
          <a:off x="5004435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9525</xdr:colOff>
      <xdr:row>17</xdr:row>
      <xdr:rowOff>0</xdr:rowOff>
    </xdr:from>
    <xdr:to>
      <xdr:col>72</xdr:col>
      <xdr:colOff>66675</xdr:colOff>
      <xdr:row>17</xdr:row>
      <xdr:rowOff>9525</xdr:rowOff>
    </xdr:to>
    <xdr:sp macro="" textlink="">
      <xdr:nvSpPr>
        <xdr:cNvPr id="1068813" name="Line 42">
          <a:extLst>
            <a:ext uri="{FF2B5EF4-FFF2-40B4-BE49-F238E27FC236}">
              <a16:creationId xmlns:a16="http://schemas.microsoft.com/office/drawing/2014/main" id="{00000000-0008-0000-0D00-00000D4F1000}"/>
            </a:ext>
          </a:extLst>
        </xdr:cNvPr>
        <xdr:cNvSpPr>
          <a:spLocks noChangeShapeType="1"/>
        </xdr:cNvSpPr>
      </xdr:nvSpPr>
      <xdr:spPr bwMode="auto">
        <a:xfrm flipV="1">
          <a:off x="499872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0</xdr:colOff>
      <xdr:row>14</xdr:row>
      <xdr:rowOff>0</xdr:rowOff>
    </xdr:from>
    <xdr:to>
      <xdr:col>75</xdr:col>
      <xdr:colOff>76200</xdr:colOff>
      <xdr:row>14</xdr:row>
      <xdr:rowOff>9525</xdr:rowOff>
    </xdr:to>
    <xdr:sp macro="" textlink="">
      <xdr:nvSpPr>
        <xdr:cNvPr id="1068814" name="Line 43">
          <a:extLst>
            <a:ext uri="{FF2B5EF4-FFF2-40B4-BE49-F238E27FC236}">
              <a16:creationId xmlns:a16="http://schemas.microsoft.com/office/drawing/2014/main" id="{00000000-0008-0000-0D00-00000E4F1000}"/>
            </a:ext>
          </a:extLst>
        </xdr:cNvPr>
        <xdr:cNvSpPr>
          <a:spLocks noChangeShapeType="1"/>
        </xdr:cNvSpPr>
      </xdr:nvSpPr>
      <xdr:spPr bwMode="auto">
        <a:xfrm>
          <a:off x="5207317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14</xdr:row>
      <xdr:rowOff>9525</xdr:rowOff>
    </xdr:from>
    <xdr:to>
      <xdr:col>75</xdr:col>
      <xdr:colOff>66675</xdr:colOff>
      <xdr:row>17</xdr:row>
      <xdr:rowOff>19050</xdr:rowOff>
    </xdr:to>
    <xdr:sp macro="" textlink="">
      <xdr:nvSpPr>
        <xdr:cNvPr id="1068815" name="Line 44">
          <a:extLst>
            <a:ext uri="{FF2B5EF4-FFF2-40B4-BE49-F238E27FC236}">
              <a16:creationId xmlns:a16="http://schemas.microsoft.com/office/drawing/2014/main" id="{00000000-0008-0000-0D00-00000F4F1000}"/>
            </a:ext>
          </a:extLst>
        </xdr:cNvPr>
        <xdr:cNvSpPr>
          <a:spLocks noChangeShapeType="1"/>
        </xdr:cNvSpPr>
      </xdr:nvSpPr>
      <xdr:spPr bwMode="auto">
        <a:xfrm>
          <a:off x="5213985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9525</xdr:colOff>
      <xdr:row>17</xdr:row>
      <xdr:rowOff>0</xdr:rowOff>
    </xdr:from>
    <xdr:to>
      <xdr:col>75</xdr:col>
      <xdr:colOff>66675</xdr:colOff>
      <xdr:row>17</xdr:row>
      <xdr:rowOff>9525</xdr:rowOff>
    </xdr:to>
    <xdr:sp macro="" textlink="">
      <xdr:nvSpPr>
        <xdr:cNvPr id="1068816" name="Line 45">
          <a:extLst>
            <a:ext uri="{FF2B5EF4-FFF2-40B4-BE49-F238E27FC236}">
              <a16:creationId xmlns:a16="http://schemas.microsoft.com/office/drawing/2014/main" id="{00000000-0008-0000-0D00-0000104F1000}"/>
            </a:ext>
          </a:extLst>
        </xdr:cNvPr>
        <xdr:cNvSpPr>
          <a:spLocks noChangeShapeType="1"/>
        </xdr:cNvSpPr>
      </xdr:nvSpPr>
      <xdr:spPr bwMode="auto">
        <a:xfrm flipV="1">
          <a:off x="520827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69</xdr:col>
      <xdr:colOff>0</xdr:colOff>
      <xdr:row>20</xdr:row>
      <xdr:rowOff>0</xdr:rowOff>
    </xdr:from>
    <xdr:to>
      <xdr:col>69</xdr:col>
      <xdr:colOff>76200</xdr:colOff>
      <xdr:row>20</xdr:row>
      <xdr:rowOff>9525</xdr:rowOff>
    </xdr:to>
    <xdr:sp macro="" textlink="">
      <xdr:nvSpPr>
        <xdr:cNvPr id="1068817" name="Line 46">
          <a:extLst>
            <a:ext uri="{FF2B5EF4-FFF2-40B4-BE49-F238E27FC236}">
              <a16:creationId xmlns:a16="http://schemas.microsoft.com/office/drawing/2014/main" id="{00000000-0008-0000-0D00-0000114F1000}"/>
            </a:ext>
          </a:extLst>
        </xdr:cNvPr>
        <xdr:cNvSpPr>
          <a:spLocks noChangeShapeType="1"/>
        </xdr:cNvSpPr>
      </xdr:nvSpPr>
      <xdr:spPr bwMode="auto">
        <a:xfrm>
          <a:off x="478155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69</xdr:col>
      <xdr:colOff>9525</xdr:colOff>
      <xdr:row>23</xdr:row>
      <xdr:rowOff>0</xdr:rowOff>
    </xdr:from>
    <xdr:to>
      <xdr:col>69</xdr:col>
      <xdr:colOff>66675</xdr:colOff>
      <xdr:row>23</xdr:row>
      <xdr:rowOff>9525</xdr:rowOff>
    </xdr:to>
    <xdr:sp macro="" textlink="">
      <xdr:nvSpPr>
        <xdr:cNvPr id="1068818" name="Line 48">
          <a:extLst>
            <a:ext uri="{FF2B5EF4-FFF2-40B4-BE49-F238E27FC236}">
              <a16:creationId xmlns:a16="http://schemas.microsoft.com/office/drawing/2014/main" id="{00000000-0008-0000-0D00-0000124F1000}"/>
            </a:ext>
          </a:extLst>
        </xdr:cNvPr>
        <xdr:cNvSpPr>
          <a:spLocks noChangeShapeType="1"/>
        </xdr:cNvSpPr>
      </xdr:nvSpPr>
      <xdr:spPr bwMode="auto">
        <a:xfrm flipV="1">
          <a:off x="478250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0</xdr:colOff>
      <xdr:row>20</xdr:row>
      <xdr:rowOff>0</xdr:rowOff>
    </xdr:from>
    <xdr:to>
      <xdr:col>72</xdr:col>
      <xdr:colOff>76200</xdr:colOff>
      <xdr:row>20</xdr:row>
      <xdr:rowOff>9525</xdr:rowOff>
    </xdr:to>
    <xdr:sp macro="" textlink="">
      <xdr:nvSpPr>
        <xdr:cNvPr id="1068819" name="Line 49">
          <a:extLst>
            <a:ext uri="{FF2B5EF4-FFF2-40B4-BE49-F238E27FC236}">
              <a16:creationId xmlns:a16="http://schemas.microsoft.com/office/drawing/2014/main" id="{00000000-0008-0000-0D00-0000134F1000}"/>
            </a:ext>
          </a:extLst>
        </xdr:cNvPr>
        <xdr:cNvSpPr>
          <a:spLocks noChangeShapeType="1"/>
        </xdr:cNvSpPr>
      </xdr:nvSpPr>
      <xdr:spPr bwMode="auto">
        <a:xfrm>
          <a:off x="499776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66675</xdr:colOff>
      <xdr:row>20</xdr:row>
      <xdr:rowOff>9525</xdr:rowOff>
    </xdr:from>
    <xdr:to>
      <xdr:col>72</xdr:col>
      <xdr:colOff>66675</xdr:colOff>
      <xdr:row>23</xdr:row>
      <xdr:rowOff>19050</xdr:rowOff>
    </xdr:to>
    <xdr:sp macro="" textlink="">
      <xdr:nvSpPr>
        <xdr:cNvPr id="1068820" name="Line 50">
          <a:extLst>
            <a:ext uri="{FF2B5EF4-FFF2-40B4-BE49-F238E27FC236}">
              <a16:creationId xmlns:a16="http://schemas.microsoft.com/office/drawing/2014/main" id="{00000000-0008-0000-0D00-0000144F1000}"/>
            </a:ext>
          </a:extLst>
        </xdr:cNvPr>
        <xdr:cNvSpPr>
          <a:spLocks noChangeShapeType="1"/>
        </xdr:cNvSpPr>
      </xdr:nvSpPr>
      <xdr:spPr bwMode="auto">
        <a:xfrm>
          <a:off x="5004435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9525</xdr:colOff>
      <xdr:row>23</xdr:row>
      <xdr:rowOff>0</xdr:rowOff>
    </xdr:from>
    <xdr:to>
      <xdr:col>72</xdr:col>
      <xdr:colOff>66675</xdr:colOff>
      <xdr:row>23</xdr:row>
      <xdr:rowOff>9525</xdr:rowOff>
    </xdr:to>
    <xdr:sp macro="" textlink="">
      <xdr:nvSpPr>
        <xdr:cNvPr id="1068821" name="Line 51">
          <a:extLst>
            <a:ext uri="{FF2B5EF4-FFF2-40B4-BE49-F238E27FC236}">
              <a16:creationId xmlns:a16="http://schemas.microsoft.com/office/drawing/2014/main" id="{00000000-0008-0000-0D00-0000154F1000}"/>
            </a:ext>
          </a:extLst>
        </xdr:cNvPr>
        <xdr:cNvSpPr>
          <a:spLocks noChangeShapeType="1"/>
        </xdr:cNvSpPr>
      </xdr:nvSpPr>
      <xdr:spPr bwMode="auto">
        <a:xfrm flipV="1">
          <a:off x="4998720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0</xdr:colOff>
      <xdr:row>20</xdr:row>
      <xdr:rowOff>0</xdr:rowOff>
    </xdr:from>
    <xdr:to>
      <xdr:col>75</xdr:col>
      <xdr:colOff>76200</xdr:colOff>
      <xdr:row>20</xdr:row>
      <xdr:rowOff>9525</xdr:rowOff>
    </xdr:to>
    <xdr:sp macro="" textlink="">
      <xdr:nvSpPr>
        <xdr:cNvPr id="1068822" name="Line 52">
          <a:extLst>
            <a:ext uri="{FF2B5EF4-FFF2-40B4-BE49-F238E27FC236}">
              <a16:creationId xmlns:a16="http://schemas.microsoft.com/office/drawing/2014/main" id="{00000000-0008-0000-0D00-0000164F1000}"/>
            </a:ext>
          </a:extLst>
        </xdr:cNvPr>
        <xdr:cNvSpPr>
          <a:spLocks noChangeShapeType="1"/>
        </xdr:cNvSpPr>
      </xdr:nvSpPr>
      <xdr:spPr bwMode="auto">
        <a:xfrm>
          <a:off x="520731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20</xdr:row>
      <xdr:rowOff>9525</xdr:rowOff>
    </xdr:from>
    <xdr:to>
      <xdr:col>75</xdr:col>
      <xdr:colOff>66675</xdr:colOff>
      <xdr:row>23</xdr:row>
      <xdr:rowOff>19050</xdr:rowOff>
    </xdr:to>
    <xdr:sp macro="" textlink="">
      <xdr:nvSpPr>
        <xdr:cNvPr id="1068823" name="Line 53">
          <a:extLst>
            <a:ext uri="{FF2B5EF4-FFF2-40B4-BE49-F238E27FC236}">
              <a16:creationId xmlns:a16="http://schemas.microsoft.com/office/drawing/2014/main" id="{00000000-0008-0000-0D00-0000174F1000}"/>
            </a:ext>
          </a:extLst>
        </xdr:cNvPr>
        <xdr:cNvSpPr>
          <a:spLocks noChangeShapeType="1"/>
        </xdr:cNvSpPr>
      </xdr:nvSpPr>
      <xdr:spPr bwMode="auto">
        <a:xfrm>
          <a:off x="5213985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9525</xdr:colOff>
      <xdr:row>23</xdr:row>
      <xdr:rowOff>0</xdr:rowOff>
    </xdr:from>
    <xdr:to>
      <xdr:col>75</xdr:col>
      <xdr:colOff>66675</xdr:colOff>
      <xdr:row>23</xdr:row>
      <xdr:rowOff>9525</xdr:rowOff>
    </xdr:to>
    <xdr:sp macro="" textlink="">
      <xdr:nvSpPr>
        <xdr:cNvPr id="1068824" name="Line 54">
          <a:extLst>
            <a:ext uri="{FF2B5EF4-FFF2-40B4-BE49-F238E27FC236}">
              <a16:creationId xmlns:a16="http://schemas.microsoft.com/office/drawing/2014/main" id="{00000000-0008-0000-0D00-0000184F1000}"/>
            </a:ext>
          </a:extLst>
        </xdr:cNvPr>
        <xdr:cNvSpPr>
          <a:spLocks noChangeShapeType="1"/>
        </xdr:cNvSpPr>
      </xdr:nvSpPr>
      <xdr:spPr bwMode="auto">
        <a:xfrm flipV="1">
          <a:off x="5208270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66675</xdr:colOff>
      <xdr:row>8</xdr:row>
      <xdr:rowOff>9525</xdr:rowOff>
    </xdr:from>
    <xdr:to>
      <xdr:col>73</xdr:col>
      <xdr:colOff>0</xdr:colOff>
      <xdr:row>9</xdr:row>
      <xdr:rowOff>66675</xdr:rowOff>
    </xdr:to>
    <xdr:sp macro="" textlink="">
      <xdr:nvSpPr>
        <xdr:cNvPr id="1068825" name="Line 64">
          <a:extLst>
            <a:ext uri="{FF2B5EF4-FFF2-40B4-BE49-F238E27FC236}">
              <a16:creationId xmlns:a16="http://schemas.microsoft.com/office/drawing/2014/main" id="{00000000-0008-0000-0D00-0000194F1000}"/>
            </a:ext>
          </a:extLst>
        </xdr:cNvPr>
        <xdr:cNvSpPr>
          <a:spLocks noChangeShapeType="1"/>
        </xdr:cNvSpPr>
      </xdr:nvSpPr>
      <xdr:spPr bwMode="auto">
        <a:xfrm flipV="1">
          <a:off x="50044350" y="2057400"/>
          <a:ext cx="342900" cy="2381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72</xdr:col>
      <xdr:colOff>66675</xdr:colOff>
      <xdr:row>9</xdr:row>
      <xdr:rowOff>76200</xdr:rowOff>
    </xdr:from>
    <xdr:to>
      <xdr:col>73</xdr:col>
      <xdr:colOff>0</xdr:colOff>
      <xdr:row>13</xdr:row>
      <xdr:rowOff>0</xdr:rowOff>
    </xdr:to>
    <xdr:sp macro="" textlink="">
      <xdr:nvSpPr>
        <xdr:cNvPr id="1068826" name="Line 66">
          <a:extLst>
            <a:ext uri="{FF2B5EF4-FFF2-40B4-BE49-F238E27FC236}">
              <a16:creationId xmlns:a16="http://schemas.microsoft.com/office/drawing/2014/main" id="{00000000-0008-0000-0D00-00001A4F1000}"/>
            </a:ext>
          </a:extLst>
        </xdr:cNvPr>
        <xdr:cNvSpPr>
          <a:spLocks noChangeShapeType="1"/>
        </xdr:cNvSpPr>
      </xdr:nvSpPr>
      <xdr:spPr bwMode="auto">
        <a:xfrm>
          <a:off x="50044350" y="2305050"/>
          <a:ext cx="342900" cy="6477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75</xdr:col>
      <xdr:colOff>0</xdr:colOff>
      <xdr:row>20</xdr:row>
      <xdr:rowOff>0</xdr:rowOff>
    </xdr:from>
    <xdr:to>
      <xdr:col>75</xdr:col>
      <xdr:colOff>76200</xdr:colOff>
      <xdr:row>20</xdr:row>
      <xdr:rowOff>9525</xdr:rowOff>
    </xdr:to>
    <xdr:sp macro="" textlink="">
      <xdr:nvSpPr>
        <xdr:cNvPr id="1068827" name="Line 72">
          <a:extLst>
            <a:ext uri="{FF2B5EF4-FFF2-40B4-BE49-F238E27FC236}">
              <a16:creationId xmlns:a16="http://schemas.microsoft.com/office/drawing/2014/main" id="{00000000-0008-0000-0D00-00001B4F1000}"/>
            </a:ext>
          </a:extLst>
        </xdr:cNvPr>
        <xdr:cNvSpPr>
          <a:spLocks noChangeShapeType="1"/>
        </xdr:cNvSpPr>
      </xdr:nvSpPr>
      <xdr:spPr bwMode="auto">
        <a:xfrm>
          <a:off x="520731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20</xdr:row>
      <xdr:rowOff>9525</xdr:rowOff>
    </xdr:from>
    <xdr:to>
      <xdr:col>75</xdr:col>
      <xdr:colOff>66675</xdr:colOff>
      <xdr:row>23</xdr:row>
      <xdr:rowOff>19050</xdr:rowOff>
    </xdr:to>
    <xdr:sp macro="" textlink="">
      <xdr:nvSpPr>
        <xdr:cNvPr id="1068828" name="Line 73">
          <a:extLst>
            <a:ext uri="{FF2B5EF4-FFF2-40B4-BE49-F238E27FC236}">
              <a16:creationId xmlns:a16="http://schemas.microsoft.com/office/drawing/2014/main" id="{00000000-0008-0000-0D00-00001C4F1000}"/>
            </a:ext>
          </a:extLst>
        </xdr:cNvPr>
        <xdr:cNvSpPr>
          <a:spLocks noChangeShapeType="1"/>
        </xdr:cNvSpPr>
      </xdr:nvSpPr>
      <xdr:spPr bwMode="auto">
        <a:xfrm>
          <a:off x="5213985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9525</xdr:colOff>
      <xdr:row>23</xdr:row>
      <xdr:rowOff>0</xdr:rowOff>
    </xdr:from>
    <xdr:to>
      <xdr:col>75</xdr:col>
      <xdr:colOff>66675</xdr:colOff>
      <xdr:row>23</xdr:row>
      <xdr:rowOff>9525</xdr:rowOff>
    </xdr:to>
    <xdr:sp macro="" textlink="">
      <xdr:nvSpPr>
        <xdr:cNvPr id="1068829" name="Line 74">
          <a:extLst>
            <a:ext uri="{FF2B5EF4-FFF2-40B4-BE49-F238E27FC236}">
              <a16:creationId xmlns:a16="http://schemas.microsoft.com/office/drawing/2014/main" id="{00000000-0008-0000-0D00-00001D4F1000}"/>
            </a:ext>
          </a:extLst>
        </xdr:cNvPr>
        <xdr:cNvSpPr>
          <a:spLocks noChangeShapeType="1"/>
        </xdr:cNvSpPr>
      </xdr:nvSpPr>
      <xdr:spPr bwMode="auto">
        <a:xfrm flipV="1">
          <a:off x="5208270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0</xdr:colOff>
      <xdr:row>14</xdr:row>
      <xdr:rowOff>0</xdr:rowOff>
    </xdr:from>
    <xdr:to>
      <xdr:col>75</xdr:col>
      <xdr:colOff>76200</xdr:colOff>
      <xdr:row>14</xdr:row>
      <xdr:rowOff>9525</xdr:rowOff>
    </xdr:to>
    <xdr:sp macro="" textlink="">
      <xdr:nvSpPr>
        <xdr:cNvPr id="1068830" name="Line 77">
          <a:extLst>
            <a:ext uri="{FF2B5EF4-FFF2-40B4-BE49-F238E27FC236}">
              <a16:creationId xmlns:a16="http://schemas.microsoft.com/office/drawing/2014/main" id="{00000000-0008-0000-0D00-00001E4F1000}"/>
            </a:ext>
          </a:extLst>
        </xdr:cNvPr>
        <xdr:cNvSpPr>
          <a:spLocks noChangeShapeType="1"/>
        </xdr:cNvSpPr>
      </xdr:nvSpPr>
      <xdr:spPr bwMode="auto">
        <a:xfrm>
          <a:off x="5207317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14</xdr:row>
      <xdr:rowOff>9525</xdr:rowOff>
    </xdr:from>
    <xdr:to>
      <xdr:col>75</xdr:col>
      <xdr:colOff>66675</xdr:colOff>
      <xdr:row>17</xdr:row>
      <xdr:rowOff>19050</xdr:rowOff>
    </xdr:to>
    <xdr:sp macro="" textlink="">
      <xdr:nvSpPr>
        <xdr:cNvPr id="1068831" name="Line 78">
          <a:extLst>
            <a:ext uri="{FF2B5EF4-FFF2-40B4-BE49-F238E27FC236}">
              <a16:creationId xmlns:a16="http://schemas.microsoft.com/office/drawing/2014/main" id="{00000000-0008-0000-0D00-00001F4F1000}"/>
            </a:ext>
          </a:extLst>
        </xdr:cNvPr>
        <xdr:cNvSpPr>
          <a:spLocks noChangeShapeType="1"/>
        </xdr:cNvSpPr>
      </xdr:nvSpPr>
      <xdr:spPr bwMode="auto">
        <a:xfrm>
          <a:off x="5213985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9525</xdr:colOff>
      <xdr:row>17</xdr:row>
      <xdr:rowOff>0</xdr:rowOff>
    </xdr:from>
    <xdr:to>
      <xdr:col>75</xdr:col>
      <xdr:colOff>66675</xdr:colOff>
      <xdr:row>17</xdr:row>
      <xdr:rowOff>9525</xdr:rowOff>
    </xdr:to>
    <xdr:sp macro="" textlink="">
      <xdr:nvSpPr>
        <xdr:cNvPr id="1068832" name="Line 79">
          <a:extLst>
            <a:ext uri="{FF2B5EF4-FFF2-40B4-BE49-F238E27FC236}">
              <a16:creationId xmlns:a16="http://schemas.microsoft.com/office/drawing/2014/main" id="{00000000-0008-0000-0D00-0000204F1000}"/>
            </a:ext>
          </a:extLst>
        </xdr:cNvPr>
        <xdr:cNvSpPr>
          <a:spLocks noChangeShapeType="1"/>
        </xdr:cNvSpPr>
      </xdr:nvSpPr>
      <xdr:spPr bwMode="auto">
        <a:xfrm flipV="1">
          <a:off x="520827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76200</xdr:colOff>
      <xdr:row>15</xdr:row>
      <xdr:rowOff>66675</xdr:rowOff>
    </xdr:from>
    <xdr:to>
      <xdr:col>76</xdr:col>
      <xdr:colOff>9525</xdr:colOff>
      <xdr:row>17</xdr:row>
      <xdr:rowOff>19050</xdr:rowOff>
    </xdr:to>
    <xdr:sp macro="" textlink="">
      <xdr:nvSpPr>
        <xdr:cNvPr id="1068833" name="Line 81">
          <a:extLst>
            <a:ext uri="{FF2B5EF4-FFF2-40B4-BE49-F238E27FC236}">
              <a16:creationId xmlns:a16="http://schemas.microsoft.com/office/drawing/2014/main" id="{00000000-0008-0000-0D00-0000214F1000}"/>
            </a:ext>
          </a:extLst>
        </xdr:cNvPr>
        <xdr:cNvSpPr>
          <a:spLocks noChangeShapeType="1"/>
        </xdr:cNvSpPr>
      </xdr:nvSpPr>
      <xdr:spPr bwMode="auto">
        <a:xfrm>
          <a:off x="52149375" y="33813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75</xdr:col>
      <xdr:colOff>0</xdr:colOff>
      <xdr:row>20</xdr:row>
      <xdr:rowOff>0</xdr:rowOff>
    </xdr:from>
    <xdr:to>
      <xdr:col>75</xdr:col>
      <xdr:colOff>76200</xdr:colOff>
      <xdr:row>20</xdr:row>
      <xdr:rowOff>9525</xdr:rowOff>
    </xdr:to>
    <xdr:sp macro="" textlink="">
      <xdr:nvSpPr>
        <xdr:cNvPr id="1068834" name="Line 86">
          <a:extLst>
            <a:ext uri="{FF2B5EF4-FFF2-40B4-BE49-F238E27FC236}">
              <a16:creationId xmlns:a16="http://schemas.microsoft.com/office/drawing/2014/main" id="{00000000-0008-0000-0D00-0000224F1000}"/>
            </a:ext>
          </a:extLst>
        </xdr:cNvPr>
        <xdr:cNvSpPr>
          <a:spLocks noChangeShapeType="1"/>
        </xdr:cNvSpPr>
      </xdr:nvSpPr>
      <xdr:spPr bwMode="auto">
        <a:xfrm>
          <a:off x="520731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20</xdr:row>
      <xdr:rowOff>9525</xdr:rowOff>
    </xdr:from>
    <xdr:to>
      <xdr:col>75</xdr:col>
      <xdr:colOff>76200</xdr:colOff>
      <xdr:row>23</xdr:row>
      <xdr:rowOff>0</xdr:rowOff>
    </xdr:to>
    <xdr:sp macro="" textlink="">
      <xdr:nvSpPr>
        <xdr:cNvPr id="1068835" name="Line 87">
          <a:extLst>
            <a:ext uri="{FF2B5EF4-FFF2-40B4-BE49-F238E27FC236}">
              <a16:creationId xmlns:a16="http://schemas.microsoft.com/office/drawing/2014/main" id="{00000000-0008-0000-0D00-0000234F1000}"/>
            </a:ext>
          </a:extLst>
        </xdr:cNvPr>
        <xdr:cNvSpPr>
          <a:spLocks noChangeShapeType="1"/>
        </xdr:cNvSpPr>
      </xdr:nvSpPr>
      <xdr:spPr bwMode="auto">
        <a:xfrm>
          <a:off x="52139850" y="4229100"/>
          <a:ext cx="9525"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9525</xdr:colOff>
      <xdr:row>23</xdr:row>
      <xdr:rowOff>0</xdr:rowOff>
    </xdr:from>
    <xdr:to>
      <xdr:col>75</xdr:col>
      <xdr:colOff>66675</xdr:colOff>
      <xdr:row>23</xdr:row>
      <xdr:rowOff>9525</xdr:rowOff>
    </xdr:to>
    <xdr:sp macro="" textlink="">
      <xdr:nvSpPr>
        <xdr:cNvPr id="1068836" name="Line 88">
          <a:extLst>
            <a:ext uri="{FF2B5EF4-FFF2-40B4-BE49-F238E27FC236}">
              <a16:creationId xmlns:a16="http://schemas.microsoft.com/office/drawing/2014/main" id="{00000000-0008-0000-0D00-0000244F1000}"/>
            </a:ext>
          </a:extLst>
        </xdr:cNvPr>
        <xdr:cNvSpPr>
          <a:spLocks noChangeShapeType="1"/>
        </xdr:cNvSpPr>
      </xdr:nvSpPr>
      <xdr:spPr bwMode="auto">
        <a:xfrm flipV="1">
          <a:off x="5208270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19</xdr:row>
      <xdr:rowOff>161925</xdr:rowOff>
    </xdr:from>
    <xdr:to>
      <xdr:col>75</xdr:col>
      <xdr:colOff>400050</xdr:colOff>
      <xdr:row>21</xdr:row>
      <xdr:rowOff>57150</xdr:rowOff>
    </xdr:to>
    <xdr:sp macro="" textlink="">
      <xdr:nvSpPr>
        <xdr:cNvPr id="1068837" name="Line 89">
          <a:extLst>
            <a:ext uri="{FF2B5EF4-FFF2-40B4-BE49-F238E27FC236}">
              <a16:creationId xmlns:a16="http://schemas.microsoft.com/office/drawing/2014/main" id="{00000000-0008-0000-0D00-0000254F1000}"/>
            </a:ext>
          </a:extLst>
        </xdr:cNvPr>
        <xdr:cNvSpPr>
          <a:spLocks noChangeShapeType="1"/>
        </xdr:cNvSpPr>
      </xdr:nvSpPr>
      <xdr:spPr bwMode="auto">
        <a:xfrm flipV="1">
          <a:off x="52139850" y="4200525"/>
          <a:ext cx="333375" cy="2571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75</xdr:col>
      <xdr:colOff>0</xdr:colOff>
      <xdr:row>14</xdr:row>
      <xdr:rowOff>0</xdr:rowOff>
    </xdr:from>
    <xdr:to>
      <xdr:col>75</xdr:col>
      <xdr:colOff>76200</xdr:colOff>
      <xdr:row>14</xdr:row>
      <xdr:rowOff>9525</xdr:rowOff>
    </xdr:to>
    <xdr:sp macro="" textlink="">
      <xdr:nvSpPr>
        <xdr:cNvPr id="1068838" name="Line 90">
          <a:extLst>
            <a:ext uri="{FF2B5EF4-FFF2-40B4-BE49-F238E27FC236}">
              <a16:creationId xmlns:a16="http://schemas.microsoft.com/office/drawing/2014/main" id="{00000000-0008-0000-0D00-0000264F1000}"/>
            </a:ext>
          </a:extLst>
        </xdr:cNvPr>
        <xdr:cNvSpPr>
          <a:spLocks noChangeShapeType="1"/>
        </xdr:cNvSpPr>
      </xdr:nvSpPr>
      <xdr:spPr bwMode="auto">
        <a:xfrm>
          <a:off x="5207317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14</xdr:row>
      <xdr:rowOff>9525</xdr:rowOff>
    </xdr:from>
    <xdr:to>
      <xdr:col>75</xdr:col>
      <xdr:colOff>66675</xdr:colOff>
      <xdr:row>17</xdr:row>
      <xdr:rowOff>19050</xdr:rowOff>
    </xdr:to>
    <xdr:sp macro="" textlink="">
      <xdr:nvSpPr>
        <xdr:cNvPr id="1068839" name="Line 91">
          <a:extLst>
            <a:ext uri="{FF2B5EF4-FFF2-40B4-BE49-F238E27FC236}">
              <a16:creationId xmlns:a16="http://schemas.microsoft.com/office/drawing/2014/main" id="{00000000-0008-0000-0D00-0000274F1000}"/>
            </a:ext>
          </a:extLst>
        </xdr:cNvPr>
        <xdr:cNvSpPr>
          <a:spLocks noChangeShapeType="1"/>
        </xdr:cNvSpPr>
      </xdr:nvSpPr>
      <xdr:spPr bwMode="auto">
        <a:xfrm>
          <a:off x="5213985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9525</xdr:colOff>
      <xdr:row>17</xdr:row>
      <xdr:rowOff>0</xdr:rowOff>
    </xdr:from>
    <xdr:to>
      <xdr:col>75</xdr:col>
      <xdr:colOff>66675</xdr:colOff>
      <xdr:row>17</xdr:row>
      <xdr:rowOff>9525</xdr:rowOff>
    </xdr:to>
    <xdr:sp macro="" textlink="">
      <xdr:nvSpPr>
        <xdr:cNvPr id="1068840" name="Line 92">
          <a:extLst>
            <a:ext uri="{FF2B5EF4-FFF2-40B4-BE49-F238E27FC236}">
              <a16:creationId xmlns:a16="http://schemas.microsoft.com/office/drawing/2014/main" id="{00000000-0008-0000-0D00-0000284F1000}"/>
            </a:ext>
          </a:extLst>
        </xdr:cNvPr>
        <xdr:cNvSpPr>
          <a:spLocks noChangeShapeType="1"/>
        </xdr:cNvSpPr>
      </xdr:nvSpPr>
      <xdr:spPr bwMode="auto">
        <a:xfrm flipV="1">
          <a:off x="520827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13</xdr:row>
      <xdr:rowOff>161925</xdr:rowOff>
    </xdr:from>
    <xdr:to>
      <xdr:col>76</xdr:col>
      <xdr:colOff>0</xdr:colOff>
      <xdr:row>15</xdr:row>
      <xdr:rowOff>47625</xdr:rowOff>
    </xdr:to>
    <xdr:sp macro="" textlink="">
      <xdr:nvSpPr>
        <xdr:cNvPr id="1068841" name="Line 93">
          <a:extLst>
            <a:ext uri="{FF2B5EF4-FFF2-40B4-BE49-F238E27FC236}">
              <a16:creationId xmlns:a16="http://schemas.microsoft.com/office/drawing/2014/main" id="{00000000-0008-0000-0D00-0000294F1000}"/>
            </a:ext>
          </a:extLst>
        </xdr:cNvPr>
        <xdr:cNvSpPr>
          <a:spLocks noChangeShapeType="1"/>
        </xdr:cNvSpPr>
      </xdr:nvSpPr>
      <xdr:spPr bwMode="auto">
        <a:xfrm flipV="1">
          <a:off x="52139850" y="3114675"/>
          <a:ext cx="342900"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75</xdr:col>
      <xdr:colOff>0</xdr:colOff>
      <xdr:row>8</xdr:row>
      <xdr:rowOff>0</xdr:rowOff>
    </xdr:from>
    <xdr:to>
      <xdr:col>75</xdr:col>
      <xdr:colOff>76200</xdr:colOff>
      <xdr:row>8</xdr:row>
      <xdr:rowOff>9525</xdr:rowOff>
    </xdr:to>
    <xdr:sp macro="" textlink="">
      <xdr:nvSpPr>
        <xdr:cNvPr id="1068842" name="Line 99">
          <a:extLst>
            <a:ext uri="{FF2B5EF4-FFF2-40B4-BE49-F238E27FC236}">
              <a16:creationId xmlns:a16="http://schemas.microsoft.com/office/drawing/2014/main" id="{00000000-0008-0000-0D00-00002A4F1000}"/>
            </a:ext>
          </a:extLst>
        </xdr:cNvPr>
        <xdr:cNvSpPr>
          <a:spLocks noChangeShapeType="1"/>
        </xdr:cNvSpPr>
      </xdr:nvSpPr>
      <xdr:spPr bwMode="auto">
        <a:xfrm>
          <a:off x="5207317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8</xdr:row>
      <xdr:rowOff>9525</xdr:rowOff>
    </xdr:from>
    <xdr:to>
      <xdr:col>75</xdr:col>
      <xdr:colOff>66675</xdr:colOff>
      <xdr:row>11</xdr:row>
      <xdr:rowOff>19050</xdr:rowOff>
    </xdr:to>
    <xdr:sp macro="" textlink="">
      <xdr:nvSpPr>
        <xdr:cNvPr id="1068843" name="Line 100">
          <a:extLst>
            <a:ext uri="{FF2B5EF4-FFF2-40B4-BE49-F238E27FC236}">
              <a16:creationId xmlns:a16="http://schemas.microsoft.com/office/drawing/2014/main" id="{00000000-0008-0000-0D00-00002B4F1000}"/>
            </a:ext>
          </a:extLst>
        </xdr:cNvPr>
        <xdr:cNvSpPr>
          <a:spLocks noChangeShapeType="1"/>
        </xdr:cNvSpPr>
      </xdr:nvSpPr>
      <xdr:spPr bwMode="auto">
        <a:xfrm>
          <a:off x="5213985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9525</xdr:colOff>
      <xdr:row>11</xdr:row>
      <xdr:rowOff>0</xdr:rowOff>
    </xdr:from>
    <xdr:to>
      <xdr:col>75</xdr:col>
      <xdr:colOff>66675</xdr:colOff>
      <xdr:row>11</xdr:row>
      <xdr:rowOff>9525</xdr:rowOff>
    </xdr:to>
    <xdr:sp macro="" textlink="">
      <xdr:nvSpPr>
        <xdr:cNvPr id="1068844" name="Line 101">
          <a:extLst>
            <a:ext uri="{FF2B5EF4-FFF2-40B4-BE49-F238E27FC236}">
              <a16:creationId xmlns:a16="http://schemas.microsoft.com/office/drawing/2014/main" id="{00000000-0008-0000-0D00-00002C4F1000}"/>
            </a:ext>
          </a:extLst>
        </xdr:cNvPr>
        <xdr:cNvSpPr>
          <a:spLocks noChangeShapeType="1"/>
        </xdr:cNvSpPr>
      </xdr:nvSpPr>
      <xdr:spPr bwMode="auto">
        <a:xfrm flipV="1">
          <a:off x="5208270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0</xdr:colOff>
      <xdr:row>8</xdr:row>
      <xdr:rowOff>0</xdr:rowOff>
    </xdr:from>
    <xdr:to>
      <xdr:col>75</xdr:col>
      <xdr:colOff>76200</xdr:colOff>
      <xdr:row>8</xdr:row>
      <xdr:rowOff>9525</xdr:rowOff>
    </xdr:to>
    <xdr:sp macro="" textlink="">
      <xdr:nvSpPr>
        <xdr:cNvPr id="1068845" name="Line 110">
          <a:extLst>
            <a:ext uri="{FF2B5EF4-FFF2-40B4-BE49-F238E27FC236}">
              <a16:creationId xmlns:a16="http://schemas.microsoft.com/office/drawing/2014/main" id="{00000000-0008-0000-0D00-00002D4F1000}"/>
            </a:ext>
          </a:extLst>
        </xdr:cNvPr>
        <xdr:cNvSpPr>
          <a:spLocks noChangeShapeType="1"/>
        </xdr:cNvSpPr>
      </xdr:nvSpPr>
      <xdr:spPr bwMode="auto">
        <a:xfrm>
          <a:off x="5207317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8</xdr:row>
      <xdr:rowOff>9525</xdr:rowOff>
    </xdr:from>
    <xdr:to>
      <xdr:col>75</xdr:col>
      <xdr:colOff>66675</xdr:colOff>
      <xdr:row>11</xdr:row>
      <xdr:rowOff>19050</xdr:rowOff>
    </xdr:to>
    <xdr:sp macro="" textlink="">
      <xdr:nvSpPr>
        <xdr:cNvPr id="1068846" name="Line 111">
          <a:extLst>
            <a:ext uri="{FF2B5EF4-FFF2-40B4-BE49-F238E27FC236}">
              <a16:creationId xmlns:a16="http://schemas.microsoft.com/office/drawing/2014/main" id="{00000000-0008-0000-0D00-00002E4F1000}"/>
            </a:ext>
          </a:extLst>
        </xdr:cNvPr>
        <xdr:cNvSpPr>
          <a:spLocks noChangeShapeType="1"/>
        </xdr:cNvSpPr>
      </xdr:nvSpPr>
      <xdr:spPr bwMode="auto">
        <a:xfrm>
          <a:off x="5213985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9525</xdr:colOff>
      <xdr:row>11</xdr:row>
      <xdr:rowOff>0</xdr:rowOff>
    </xdr:from>
    <xdr:to>
      <xdr:col>75</xdr:col>
      <xdr:colOff>66675</xdr:colOff>
      <xdr:row>11</xdr:row>
      <xdr:rowOff>9525</xdr:rowOff>
    </xdr:to>
    <xdr:sp macro="" textlink="">
      <xdr:nvSpPr>
        <xdr:cNvPr id="1068847" name="Line 112">
          <a:extLst>
            <a:ext uri="{FF2B5EF4-FFF2-40B4-BE49-F238E27FC236}">
              <a16:creationId xmlns:a16="http://schemas.microsoft.com/office/drawing/2014/main" id="{00000000-0008-0000-0D00-00002F4F1000}"/>
            </a:ext>
          </a:extLst>
        </xdr:cNvPr>
        <xdr:cNvSpPr>
          <a:spLocks noChangeShapeType="1"/>
        </xdr:cNvSpPr>
      </xdr:nvSpPr>
      <xdr:spPr bwMode="auto">
        <a:xfrm flipV="1">
          <a:off x="5208270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0</xdr:colOff>
      <xdr:row>8</xdr:row>
      <xdr:rowOff>0</xdr:rowOff>
    </xdr:from>
    <xdr:to>
      <xdr:col>75</xdr:col>
      <xdr:colOff>76200</xdr:colOff>
      <xdr:row>8</xdr:row>
      <xdr:rowOff>9525</xdr:rowOff>
    </xdr:to>
    <xdr:sp macro="" textlink="">
      <xdr:nvSpPr>
        <xdr:cNvPr id="1068848" name="Line 113">
          <a:extLst>
            <a:ext uri="{FF2B5EF4-FFF2-40B4-BE49-F238E27FC236}">
              <a16:creationId xmlns:a16="http://schemas.microsoft.com/office/drawing/2014/main" id="{00000000-0008-0000-0D00-0000304F1000}"/>
            </a:ext>
          </a:extLst>
        </xdr:cNvPr>
        <xdr:cNvSpPr>
          <a:spLocks noChangeShapeType="1"/>
        </xdr:cNvSpPr>
      </xdr:nvSpPr>
      <xdr:spPr bwMode="auto">
        <a:xfrm>
          <a:off x="5207317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8</xdr:row>
      <xdr:rowOff>9525</xdr:rowOff>
    </xdr:from>
    <xdr:to>
      <xdr:col>75</xdr:col>
      <xdr:colOff>66675</xdr:colOff>
      <xdr:row>11</xdr:row>
      <xdr:rowOff>19050</xdr:rowOff>
    </xdr:to>
    <xdr:sp macro="" textlink="">
      <xdr:nvSpPr>
        <xdr:cNvPr id="1068849" name="Line 114">
          <a:extLst>
            <a:ext uri="{FF2B5EF4-FFF2-40B4-BE49-F238E27FC236}">
              <a16:creationId xmlns:a16="http://schemas.microsoft.com/office/drawing/2014/main" id="{00000000-0008-0000-0D00-0000314F1000}"/>
            </a:ext>
          </a:extLst>
        </xdr:cNvPr>
        <xdr:cNvSpPr>
          <a:spLocks noChangeShapeType="1"/>
        </xdr:cNvSpPr>
      </xdr:nvSpPr>
      <xdr:spPr bwMode="auto">
        <a:xfrm>
          <a:off x="5213985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9525</xdr:colOff>
      <xdr:row>11</xdr:row>
      <xdr:rowOff>0</xdr:rowOff>
    </xdr:from>
    <xdr:to>
      <xdr:col>75</xdr:col>
      <xdr:colOff>66675</xdr:colOff>
      <xdr:row>11</xdr:row>
      <xdr:rowOff>9525</xdr:rowOff>
    </xdr:to>
    <xdr:sp macro="" textlink="">
      <xdr:nvSpPr>
        <xdr:cNvPr id="1068850" name="Line 115">
          <a:extLst>
            <a:ext uri="{FF2B5EF4-FFF2-40B4-BE49-F238E27FC236}">
              <a16:creationId xmlns:a16="http://schemas.microsoft.com/office/drawing/2014/main" id="{00000000-0008-0000-0D00-0000324F1000}"/>
            </a:ext>
          </a:extLst>
        </xdr:cNvPr>
        <xdr:cNvSpPr>
          <a:spLocks noChangeShapeType="1"/>
        </xdr:cNvSpPr>
      </xdr:nvSpPr>
      <xdr:spPr bwMode="auto">
        <a:xfrm flipV="1">
          <a:off x="5208270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76200</xdr:colOff>
      <xdr:row>8</xdr:row>
      <xdr:rowOff>0</xdr:rowOff>
    </xdr:from>
    <xdr:to>
      <xdr:col>75</xdr:col>
      <xdr:colOff>400050</xdr:colOff>
      <xdr:row>9</xdr:row>
      <xdr:rowOff>57150</xdr:rowOff>
    </xdr:to>
    <xdr:sp macro="" textlink="">
      <xdr:nvSpPr>
        <xdr:cNvPr id="1068851" name="Line 116">
          <a:extLst>
            <a:ext uri="{FF2B5EF4-FFF2-40B4-BE49-F238E27FC236}">
              <a16:creationId xmlns:a16="http://schemas.microsoft.com/office/drawing/2014/main" id="{00000000-0008-0000-0D00-0000334F1000}"/>
            </a:ext>
          </a:extLst>
        </xdr:cNvPr>
        <xdr:cNvSpPr>
          <a:spLocks noChangeShapeType="1"/>
        </xdr:cNvSpPr>
      </xdr:nvSpPr>
      <xdr:spPr bwMode="auto">
        <a:xfrm flipV="1">
          <a:off x="52149375" y="2047875"/>
          <a:ext cx="3238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75</xdr:col>
      <xdr:colOff>76200</xdr:colOff>
      <xdr:row>9</xdr:row>
      <xdr:rowOff>66675</xdr:rowOff>
    </xdr:from>
    <xdr:to>
      <xdr:col>76</xdr:col>
      <xdr:colOff>0</xdr:colOff>
      <xdr:row>11</xdr:row>
      <xdr:rowOff>19050</xdr:rowOff>
    </xdr:to>
    <xdr:sp macro="" textlink="">
      <xdr:nvSpPr>
        <xdr:cNvPr id="1068852" name="Line 117">
          <a:extLst>
            <a:ext uri="{FF2B5EF4-FFF2-40B4-BE49-F238E27FC236}">
              <a16:creationId xmlns:a16="http://schemas.microsoft.com/office/drawing/2014/main" id="{00000000-0008-0000-0D00-0000344F1000}"/>
            </a:ext>
          </a:extLst>
        </xdr:cNvPr>
        <xdr:cNvSpPr>
          <a:spLocks noChangeShapeType="1"/>
        </xdr:cNvSpPr>
      </xdr:nvSpPr>
      <xdr:spPr bwMode="auto">
        <a:xfrm>
          <a:off x="52149375" y="2295525"/>
          <a:ext cx="333375"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72</xdr:col>
      <xdr:colOff>0</xdr:colOff>
      <xdr:row>14</xdr:row>
      <xdr:rowOff>0</xdr:rowOff>
    </xdr:from>
    <xdr:to>
      <xdr:col>72</xdr:col>
      <xdr:colOff>76200</xdr:colOff>
      <xdr:row>14</xdr:row>
      <xdr:rowOff>9525</xdr:rowOff>
    </xdr:to>
    <xdr:sp macro="" textlink="">
      <xdr:nvSpPr>
        <xdr:cNvPr id="1068853" name="Line 134">
          <a:extLst>
            <a:ext uri="{FF2B5EF4-FFF2-40B4-BE49-F238E27FC236}">
              <a16:creationId xmlns:a16="http://schemas.microsoft.com/office/drawing/2014/main" id="{00000000-0008-0000-0D00-0000354F1000}"/>
            </a:ext>
          </a:extLst>
        </xdr:cNvPr>
        <xdr:cNvSpPr>
          <a:spLocks noChangeShapeType="1"/>
        </xdr:cNvSpPr>
      </xdr:nvSpPr>
      <xdr:spPr bwMode="auto">
        <a:xfrm>
          <a:off x="4997767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66675</xdr:colOff>
      <xdr:row>14</xdr:row>
      <xdr:rowOff>9525</xdr:rowOff>
    </xdr:from>
    <xdr:to>
      <xdr:col>72</xdr:col>
      <xdr:colOff>66675</xdr:colOff>
      <xdr:row>17</xdr:row>
      <xdr:rowOff>19050</xdr:rowOff>
    </xdr:to>
    <xdr:sp macro="" textlink="">
      <xdr:nvSpPr>
        <xdr:cNvPr id="1068854" name="Line 135">
          <a:extLst>
            <a:ext uri="{FF2B5EF4-FFF2-40B4-BE49-F238E27FC236}">
              <a16:creationId xmlns:a16="http://schemas.microsoft.com/office/drawing/2014/main" id="{00000000-0008-0000-0D00-0000364F1000}"/>
            </a:ext>
          </a:extLst>
        </xdr:cNvPr>
        <xdr:cNvSpPr>
          <a:spLocks noChangeShapeType="1"/>
        </xdr:cNvSpPr>
      </xdr:nvSpPr>
      <xdr:spPr bwMode="auto">
        <a:xfrm>
          <a:off x="5004435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9525</xdr:colOff>
      <xdr:row>17</xdr:row>
      <xdr:rowOff>0</xdr:rowOff>
    </xdr:from>
    <xdr:to>
      <xdr:col>72</xdr:col>
      <xdr:colOff>66675</xdr:colOff>
      <xdr:row>17</xdr:row>
      <xdr:rowOff>9525</xdr:rowOff>
    </xdr:to>
    <xdr:sp macro="" textlink="">
      <xdr:nvSpPr>
        <xdr:cNvPr id="1068855" name="Line 136">
          <a:extLst>
            <a:ext uri="{FF2B5EF4-FFF2-40B4-BE49-F238E27FC236}">
              <a16:creationId xmlns:a16="http://schemas.microsoft.com/office/drawing/2014/main" id="{00000000-0008-0000-0D00-0000374F1000}"/>
            </a:ext>
          </a:extLst>
        </xdr:cNvPr>
        <xdr:cNvSpPr>
          <a:spLocks noChangeShapeType="1"/>
        </xdr:cNvSpPr>
      </xdr:nvSpPr>
      <xdr:spPr bwMode="auto">
        <a:xfrm flipV="1">
          <a:off x="499872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0</xdr:colOff>
      <xdr:row>20</xdr:row>
      <xdr:rowOff>0</xdr:rowOff>
    </xdr:from>
    <xdr:to>
      <xdr:col>72</xdr:col>
      <xdr:colOff>76200</xdr:colOff>
      <xdr:row>20</xdr:row>
      <xdr:rowOff>9525</xdr:rowOff>
    </xdr:to>
    <xdr:sp macro="" textlink="">
      <xdr:nvSpPr>
        <xdr:cNvPr id="1068856" name="Line 137">
          <a:extLst>
            <a:ext uri="{FF2B5EF4-FFF2-40B4-BE49-F238E27FC236}">
              <a16:creationId xmlns:a16="http://schemas.microsoft.com/office/drawing/2014/main" id="{00000000-0008-0000-0D00-0000384F1000}"/>
            </a:ext>
          </a:extLst>
        </xdr:cNvPr>
        <xdr:cNvSpPr>
          <a:spLocks noChangeShapeType="1"/>
        </xdr:cNvSpPr>
      </xdr:nvSpPr>
      <xdr:spPr bwMode="auto">
        <a:xfrm>
          <a:off x="499776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9525</xdr:colOff>
      <xdr:row>23</xdr:row>
      <xdr:rowOff>0</xdr:rowOff>
    </xdr:from>
    <xdr:to>
      <xdr:col>72</xdr:col>
      <xdr:colOff>66675</xdr:colOff>
      <xdr:row>23</xdr:row>
      <xdr:rowOff>9525</xdr:rowOff>
    </xdr:to>
    <xdr:sp macro="" textlink="">
      <xdr:nvSpPr>
        <xdr:cNvPr id="1068857" name="Line 139">
          <a:extLst>
            <a:ext uri="{FF2B5EF4-FFF2-40B4-BE49-F238E27FC236}">
              <a16:creationId xmlns:a16="http://schemas.microsoft.com/office/drawing/2014/main" id="{00000000-0008-0000-0D00-0000394F1000}"/>
            </a:ext>
          </a:extLst>
        </xdr:cNvPr>
        <xdr:cNvSpPr>
          <a:spLocks noChangeShapeType="1"/>
        </xdr:cNvSpPr>
      </xdr:nvSpPr>
      <xdr:spPr bwMode="auto">
        <a:xfrm flipV="1">
          <a:off x="4998720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76200</xdr:colOff>
      <xdr:row>17</xdr:row>
      <xdr:rowOff>0</xdr:rowOff>
    </xdr:from>
    <xdr:to>
      <xdr:col>73</xdr:col>
      <xdr:colOff>0</xdr:colOff>
      <xdr:row>21</xdr:row>
      <xdr:rowOff>66675</xdr:rowOff>
    </xdr:to>
    <xdr:sp macro="" textlink="">
      <xdr:nvSpPr>
        <xdr:cNvPr id="1068858" name="Line 140">
          <a:extLst>
            <a:ext uri="{FF2B5EF4-FFF2-40B4-BE49-F238E27FC236}">
              <a16:creationId xmlns:a16="http://schemas.microsoft.com/office/drawing/2014/main" id="{00000000-0008-0000-0D00-00003A4F1000}"/>
            </a:ext>
          </a:extLst>
        </xdr:cNvPr>
        <xdr:cNvSpPr>
          <a:spLocks noChangeShapeType="1"/>
        </xdr:cNvSpPr>
      </xdr:nvSpPr>
      <xdr:spPr bwMode="auto">
        <a:xfrm flipV="1">
          <a:off x="50053875" y="3676650"/>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72</xdr:col>
      <xdr:colOff>66675</xdr:colOff>
      <xdr:row>15</xdr:row>
      <xdr:rowOff>104775</xdr:rowOff>
    </xdr:from>
    <xdr:to>
      <xdr:col>73</xdr:col>
      <xdr:colOff>0</xdr:colOff>
      <xdr:row>19</xdr:row>
      <xdr:rowOff>161925</xdr:rowOff>
    </xdr:to>
    <xdr:sp macro="" textlink="">
      <xdr:nvSpPr>
        <xdr:cNvPr id="1068859" name="Line 141">
          <a:extLst>
            <a:ext uri="{FF2B5EF4-FFF2-40B4-BE49-F238E27FC236}">
              <a16:creationId xmlns:a16="http://schemas.microsoft.com/office/drawing/2014/main" id="{00000000-0008-0000-0D00-00003B4F1000}"/>
            </a:ext>
          </a:extLst>
        </xdr:cNvPr>
        <xdr:cNvSpPr>
          <a:spLocks noChangeShapeType="1"/>
        </xdr:cNvSpPr>
      </xdr:nvSpPr>
      <xdr:spPr bwMode="auto">
        <a:xfrm>
          <a:off x="50044350" y="3419475"/>
          <a:ext cx="342900" cy="7810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69</xdr:col>
      <xdr:colOff>66675</xdr:colOff>
      <xdr:row>7</xdr:row>
      <xdr:rowOff>133350</xdr:rowOff>
    </xdr:from>
    <xdr:to>
      <xdr:col>70</xdr:col>
      <xdr:colOff>0</xdr:colOff>
      <xdr:row>9</xdr:row>
      <xdr:rowOff>66675</xdr:rowOff>
    </xdr:to>
    <xdr:sp macro="" textlink="">
      <xdr:nvSpPr>
        <xdr:cNvPr id="1068860" name="Line 146">
          <a:extLst>
            <a:ext uri="{FF2B5EF4-FFF2-40B4-BE49-F238E27FC236}">
              <a16:creationId xmlns:a16="http://schemas.microsoft.com/office/drawing/2014/main" id="{00000000-0008-0000-0D00-00003C4F1000}"/>
            </a:ext>
          </a:extLst>
        </xdr:cNvPr>
        <xdr:cNvSpPr>
          <a:spLocks noChangeShapeType="1"/>
        </xdr:cNvSpPr>
      </xdr:nvSpPr>
      <xdr:spPr bwMode="auto">
        <a:xfrm flipV="1">
          <a:off x="47882175" y="2000250"/>
          <a:ext cx="38100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69</xdr:col>
      <xdr:colOff>66675</xdr:colOff>
      <xdr:row>9</xdr:row>
      <xdr:rowOff>66675</xdr:rowOff>
    </xdr:from>
    <xdr:to>
      <xdr:col>70</xdr:col>
      <xdr:colOff>19050</xdr:colOff>
      <xdr:row>13</xdr:row>
      <xdr:rowOff>0</xdr:rowOff>
    </xdr:to>
    <xdr:sp macro="" textlink="">
      <xdr:nvSpPr>
        <xdr:cNvPr id="1068861" name="Line 147">
          <a:extLst>
            <a:ext uri="{FF2B5EF4-FFF2-40B4-BE49-F238E27FC236}">
              <a16:creationId xmlns:a16="http://schemas.microsoft.com/office/drawing/2014/main" id="{00000000-0008-0000-0D00-00003D4F1000}"/>
            </a:ext>
          </a:extLst>
        </xdr:cNvPr>
        <xdr:cNvSpPr>
          <a:spLocks noChangeShapeType="1"/>
        </xdr:cNvSpPr>
      </xdr:nvSpPr>
      <xdr:spPr bwMode="auto">
        <a:xfrm>
          <a:off x="47882175" y="2295525"/>
          <a:ext cx="400050" cy="657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69</xdr:col>
      <xdr:colOff>57150</xdr:colOff>
      <xdr:row>11</xdr:row>
      <xdr:rowOff>28575</xdr:rowOff>
    </xdr:from>
    <xdr:to>
      <xdr:col>69</xdr:col>
      <xdr:colOff>438150</xdr:colOff>
      <xdr:row>15</xdr:row>
      <xdr:rowOff>57150</xdr:rowOff>
    </xdr:to>
    <xdr:sp macro="" textlink="">
      <xdr:nvSpPr>
        <xdr:cNvPr id="1068862" name="Line 154">
          <a:extLst>
            <a:ext uri="{FF2B5EF4-FFF2-40B4-BE49-F238E27FC236}">
              <a16:creationId xmlns:a16="http://schemas.microsoft.com/office/drawing/2014/main" id="{00000000-0008-0000-0D00-00003E4F1000}"/>
            </a:ext>
          </a:extLst>
        </xdr:cNvPr>
        <xdr:cNvSpPr>
          <a:spLocks noChangeShapeType="1"/>
        </xdr:cNvSpPr>
      </xdr:nvSpPr>
      <xdr:spPr bwMode="auto">
        <a:xfrm flipV="1">
          <a:off x="47872650" y="2619375"/>
          <a:ext cx="381000" cy="752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69</xdr:col>
      <xdr:colOff>57150</xdr:colOff>
      <xdr:row>15</xdr:row>
      <xdr:rowOff>38100</xdr:rowOff>
    </xdr:from>
    <xdr:to>
      <xdr:col>70</xdr:col>
      <xdr:colOff>0</xdr:colOff>
      <xdr:row>20</xdr:row>
      <xdr:rowOff>9525</xdr:rowOff>
    </xdr:to>
    <xdr:sp macro="" textlink="">
      <xdr:nvSpPr>
        <xdr:cNvPr id="1068863" name="Line 155">
          <a:extLst>
            <a:ext uri="{FF2B5EF4-FFF2-40B4-BE49-F238E27FC236}">
              <a16:creationId xmlns:a16="http://schemas.microsoft.com/office/drawing/2014/main" id="{00000000-0008-0000-0D00-00003F4F1000}"/>
            </a:ext>
          </a:extLst>
        </xdr:cNvPr>
        <xdr:cNvSpPr>
          <a:spLocks noChangeShapeType="1"/>
        </xdr:cNvSpPr>
      </xdr:nvSpPr>
      <xdr:spPr bwMode="auto">
        <a:xfrm>
          <a:off x="47872650" y="3352800"/>
          <a:ext cx="390525"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69</xdr:col>
      <xdr:colOff>57150</xdr:colOff>
      <xdr:row>16</xdr:row>
      <xdr:rowOff>152400</xdr:rowOff>
    </xdr:from>
    <xdr:to>
      <xdr:col>70</xdr:col>
      <xdr:colOff>9525</xdr:colOff>
      <xdr:row>21</xdr:row>
      <xdr:rowOff>104775</xdr:rowOff>
    </xdr:to>
    <xdr:sp macro="" textlink="">
      <xdr:nvSpPr>
        <xdr:cNvPr id="1068864" name="Line 156">
          <a:extLst>
            <a:ext uri="{FF2B5EF4-FFF2-40B4-BE49-F238E27FC236}">
              <a16:creationId xmlns:a16="http://schemas.microsoft.com/office/drawing/2014/main" id="{00000000-0008-0000-0D00-0000404F1000}"/>
            </a:ext>
          </a:extLst>
        </xdr:cNvPr>
        <xdr:cNvSpPr>
          <a:spLocks noChangeShapeType="1"/>
        </xdr:cNvSpPr>
      </xdr:nvSpPr>
      <xdr:spPr bwMode="auto">
        <a:xfrm flipV="1">
          <a:off x="47872650" y="3648075"/>
          <a:ext cx="400050" cy="857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69</xdr:col>
      <xdr:colOff>57150</xdr:colOff>
      <xdr:row>21</xdr:row>
      <xdr:rowOff>104775</xdr:rowOff>
    </xdr:from>
    <xdr:to>
      <xdr:col>70</xdr:col>
      <xdr:colOff>0</xdr:colOff>
      <xdr:row>25</xdr:row>
      <xdr:rowOff>171450</xdr:rowOff>
    </xdr:to>
    <xdr:sp macro="" textlink="">
      <xdr:nvSpPr>
        <xdr:cNvPr id="1068865" name="Line 158">
          <a:extLst>
            <a:ext uri="{FF2B5EF4-FFF2-40B4-BE49-F238E27FC236}">
              <a16:creationId xmlns:a16="http://schemas.microsoft.com/office/drawing/2014/main" id="{00000000-0008-0000-0D00-0000414F1000}"/>
            </a:ext>
          </a:extLst>
        </xdr:cNvPr>
        <xdr:cNvSpPr>
          <a:spLocks noChangeShapeType="1"/>
        </xdr:cNvSpPr>
      </xdr:nvSpPr>
      <xdr:spPr bwMode="auto">
        <a:xfrm>
          <a:off x="47872650" y="4505325"/>
          <a:ext cx="390525" cy="7905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72</xdr:col>
      <xdr:colOff>66675</xdr:colOff>
      <xdr:row>11</xdr:row>
      <xdr:rowOff>9525</xdr:rowOff>
    </xdr:from>
    <xdr:to>
      <xdr:col>73</xdr:col>
      <xdr:colOff>0</xdr:colOff>
      <xdr:row>15</xdr:row>
      <xdr:rowOff>114300</xdr:rowOff>
    </xdr:to>
    <xdr:sp macro="" textlink="">
      <xdr:nvSpPr>
        <xdr:cNvPr id="1068866" name="Line 165">
          <a:extLst>
            <a:ext uri="{FF2B5EF4-FFF2-40B4-BE49-F238E27FC236}">
              <a16:creationId xmlns:a16="http://schemas.microsoft.com/office/drawing/2014/main" id="{00000000-0008-0000-0D00-0000424F1000}"/>
            </a:ext>
          </a:extLst>
        </xdr:cNvPr>
        <xdr:cNvSpPr>
          <a:spLocks noChangeShapeType="1"/>
        </xdr:cNvSpPr>
      </xdr:nvSpPr>
      <xdr:spPr bwMode="auto">
        <a:xfrm flipV="1">
          <a:off x="50044350" y="2600325"/>
          <a:ext cx="342900" cy="8286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72</xdr:col>
      <xdr:colOff>76200</xdr:colOff>
      <xdr:row>40</xdr:row>
      <xdr:rowOff>0</xdr:rowOff>
    </xdr:from>
    <xdr:to>
      <xdr:col>72</xdr:col>
      <xdr:colOff>76200</xdr:colOff>
      <xdr:row>40</xdr:row>
      <xdr:rowOff>0</xdr:rowOff>
    </xdr:to>
    <xdr:sp macro="" textlink="">
      <xdr:nvSpPr>
        <xdr:cNvPr id="1068867" name="Line 176">
          <a:extLst>
            <a:ext uri="{FF2B5EF4-FFF2-40B4-BE49-F238E27FC236}">
              <a16:creationId xmlns:a16="http://schemas.microsoft.com/office/drawing/2014/main" id="{00000000-0008-0000-0D00-0000434F1000}"/>
            </a:ext>
          </a:extLst>
        </xdr:cNvPr>
        <xdr:cNvSpPr>
          <a:spLocks noChangeShapeType="1"/>
        </xdr:cNvSpPr>
      </xdr:nvSpPr>
      <xdr:spPr bwMode="auto">
        <a:xfrm>
          <a:off x="50053875" y="7839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76200</xdr:colOff>
      <xdr:row>40</xdr:row>
      <xdr:rowOff>0</xdr:rowOff>
    </xdr:from>
    <xdr:to>
      <xdr:col>72</xdr:col>
      <xdr:colOff>76200</xdr:colOff>
      <xdr:row>40</xdr:row>
      <xdr:rowOff>0</xdr:rowOff>
    </xdr:to>
    <xdr:sp macro="" textlink="">
      <xdr:nvSpPr>
        <xdr:cNvPr id="1068868" name="Line 210">
          <a:extLst>
            <a:ext uri="{FF2B5EF4-FFF2-40B4-BE49-F238E27FC236}">
              <a16:creationId xmlns:a16="http://schemas.microsoft.com/office/drawing/2014/main" id="{00000000-0008-0000-0D00-0000444F1000}"/>
            </a:ext>
          </a:extLst>
        </xdr:cNvPr>
        <xdr:cNvSpPr>
          <a:spLocks noChangeShapeType="1"/>
        </xdr:cNvSpPr>
      </xdr:nvSpPr>
      <xdr:spPr bwMode="auto">
        <a:xfrm>
          <a:off x="50053875" y="7839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57150</xdr:colOff>
      <xdr:row>21</xdr:row>
      <xdr:rowOff>76200</xdr:rowOff>
    </xdr:from>
    <xdr:to>
      <xdr:col>72</xdr:col>
      <xdr:colOff>400050</xdr:colOff>
      <xdr:row>26</xdr:row>
      <xdr:rowOff>0</xdr:rowOff>
    </xdr:to>
    <xdr:sp macro="" textlink="">
      <xdr:nvSpPr>
        <xdr:cNvPr id="1068869" name="Line 259">
          <a:extLst>
            <a:ext uri="{FF2B5EF4-FFF2-40B4-BE49-F238E27FC236}">
              <a16:creationId xmlns:a16="http://schemas.microsoft.com/office/drawing/2014/main" id="{00000000-0008-0000-0D00-0000454F1000}"/>
            </a:ext>
          </a:extLst>
        </xdr:cNvPr>
        <xdr:cNvSpPr>
          <a:spLocks noChangeShapeType="1"/>
        </xdr:cNvSpPr>
      </xdr:nvSpPr>
      <xdr:spPr bwMode="auto">
        <a:xfrm>
          <a:off x="50034825" y="4476750"/>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69</xdr:col>
      <xdr:colOff>0</xdr:colOff>
      <xdr:row>26</xdr:row>
      <xdr:rowOff>0</xdr:rowOff>
    </xdr:from>
    <xdr:to>
      <xdr:col>69</xdr:col>
      <xdr:colOff>76200</xdr:colOff>
      <xdr:row>26</xdr:row>
      <xdr:rowOff>9525</xdr:rowOff>
    </xdr:to>
    <xdr:sp macro="" textlink="">
      <xdr:nvSpPr>
        <xdr:cNvPr id="1068870" name="Line 283">
          <a:extLst>
            <a:ext uri="{FF2B5EF4-FFF2-40B4-BE49-F238E27FC236}">
              <a16:creationId xmlns:a16="http://schemas.microsoft.com/office/drawing/2014/main" id="{00000000-0008-0000-0D00-0000464F1000}"/>
            </a:ext>
          </a:extLst>
        </xdr:cNvPr>
        <xdr:cNvSpPr>
          <a:spLocks noChangeShapeType="1"/>
        </xdr:cNvSpPr>
      </xdr:nvSpPr>
      <xdr:spPr bwMode="auto">
        <a:xfrm>
          <a:off x="4781550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69</xdr:col>
      <xdr:colOff>66675</xdr:colOff>
      <xdr:row>26</xdr:row>
      <xdr:rowOff>9525</xdr:rowOff>
    </xdr:from>
    <xdr:to>
      <xdr:col>69</xdr:col>
      <xdr:colOff>66675</xdr:colOff>
      <xdr:row>29</xdr:row>
      <xdr:rowOff>19050</xdr:rowOff>
    </xdr:to>
    <xdr:sp macro="" textlink="">
      <xdr:nvSpPr>
        <xdr:cNvPr id="1068871" name="Line 284">
          <a:extLst>
            <a:ext uri="{FF2B5EF4-FFF2-40B4-BE49-F238E27FC236}">
              <a16:creationId xmlns:a16="http://schemas.microsoft.com/office/drawing/2014/main" id="{00000000-0008-0000-0D00-0000474F1000}"/>
            </a:ext>
          </a:extLst>
        </xdr:cNvPr>
        <xdr:cNvSpPr>
          <a:spLocks noChangeShapeType="1"/>
        </xdr:cNvSpPr>
      </xdr:nvSpPr>
      <xdr:spPr bwMode="auto">
        <a:xfrm>
          <a:off x="4788217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69</xdr:col>
      <xdr:colOff>9525</xdr:colOff>
      <xdr:row>29</xdr:row>
      <xdr:rowOff>0</xdr:rowOff>
    </xdr:from>
    <xdr:to>
      <xdr:col>69</xdr:col>
      <xdr:colOff>66675</xdr:colOff>
      <xdr:row>29</xdr:row>
      <xdr:rowOff>9525</xdr:rowOff>
    </xdr:to>
    <xdr:sp macro="" textlink="">
      <xdr:nvSpPr>
        <xdr:cNvPr id="1068872" name="Line 285">
          <a:extLst>
            <a:ext uri="{FF2B5EF4-FFF2-40B4-BE49-F238E27FC236}">
              <a16:creationId xmlns:a16="http://schemas.microsoft.com/office/drawing/2014/main" id="{00000000-0008-0000-0D00-0000484F1000}"/>
            </a:ext>
          </a:extLst>
        </xdr:cNvPr>
        <xdr:cNvSpPr>
          <a:spLocks noChangeShapeType="1"/>
        </xdr:cNvSpPr>
      </xdr:nvSpPr>
      <xdr:spPr bwMode="auto">
        <a:xfrm flipV="1">
          <a:off x="4782502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0</xdr:colOff>
      <xdr:row>26</xdr:row>
      <xdr:rowOff>0</xdr:rowOff>
    </xdr:from>
    <xdr:to>
      <xdr:col>72</xdr:col>
      <xdr:colOff>76200</xdr:colOff>
      <xdr:row>26</xdr:row>
      <xdr:rowOff>9525</xdr:rowOff>
    </xdr:to>
    <xdr:sp macro="" textlink="">
      <xdr:nvSpPr>
        <xdr:cNvPr id="1068873" name="Line 286">
          <a:extLst>
            <a:ext uri="{FF2B5EF4-FFF2-40B4-BE49-F238E27FC236}">
              <a16:creationId xmlns:a16="http://schemas.microsoft.com/office/drawing/2014/main" id="{00000000-0008-0000-0D00-0000494F1000}"/>
            </a:ext>
          </a:extLst>
        </xdr:cNvPr>
        <xdr:cNvSpPr>
          <a:spLocks noChangeShapeType="1"/>
        </xdr:cNvSpPr>
      </xdr:nvSpPr>
      <xdr:spPr bwMode="auto">
        <a:xfrm>
          <a:off x="4997767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66675</xdr:colOff>
      <xdr:row>26</xdr:row>
      <xdr:rowOff>9525</xdr:rowOff>
    </xdr:from>
    <xdr:to>
      <xdr:col>72</xdr:col>
      <xdr:colOff>66675</xdr:colOff>
      <xdr:row>29</xdr:row>
      <xdr:rowOff>19050</xdr:rowOff>
    </xdr:to>
    <xdr:sp macro="" textlink="">
      <xdr:nvSpPr>
        <xdr:cNvPr id="1068874" name="Line 287">
          <a:extLst>
            <a:ext uri="{FF2B5EF4-FFF2-40B4-BE49-F238E27FC236}">
              <a16:creationId xmlns:a16="http://schemas.microsoft.com/office/drawing/2014/main" id="{00000000-0008-0000-0D00-00004A4F1000}"/>
            </a:ext>
          </a:extLst>
        </xdr:cNvPr>
        <xdr:cNvSpPr>
          <a:spLocks noChangeShapeType="1"/>
        </xdr:cNvSpPr>
      </xdr:nvSpPr>
      <xdr:spPr bwMode="auto">
        <a:xfrm>
          <a:off x="5004435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9525</xdr:colOff>
      <xdr:row>29</xdr:row>
      <xdr:rowOff>0</xdr:rowOff>
    </xdr:from>
    <xdr:to>
      <xdr:col>72</xdr:col>
      <xdr:colOff>66675</xdr:colOff>
      <xdr:row>29</xdr:row>
      <xdr:rowOff>9525</xdr:rowOff>
    </xdr:to>
    <xdr:sp macro="" textlink="">
      <xdr:nvSpPr>
        <xdr:cNvPr id="1068875" name="Line 288">
          <a:extLst>
            <a:ext uri="{FF2B5EF4-FFF2-40B4-BE49-F238E27FC236}">
              <a16:creationId xmlns:a16="http://schemas.microsoft.com/office/drawing/2014/main" id="{00000000-0008-0000-0D00-00004B4F1000}"/>
            </a:ext>
          </a:extLst>
        </xdr:cNvPr>
        <xdr:cNvSpPr>
          <a:spLocks noChangeShapeType="1"/>
        </xdr:cNvSpPr>
      </xdr:nvSpPr>
      <xdr:spPr bwMode="auto">
        <a:xfrm flipV="1">
          <a:off x="4998720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0</xdr:colOff>
      <xdr:row>26</xdr:row>
      <xdr:rowOff>0</xdr:rowOff>
    </xdr:from>
    <xdr:to>
      <xdr:col>75</xdr:col>
      <xdr:colOff>76200</xdr:colOff>
      <xdr:row>26</xdr:row>
      <xdr:rowOff>9525</xdr:rowOff>
    </xdr:to>
    <xdr:sp macro="" textlink="">
      <xdr:nvSpPr>
        <xdr:cNvPr id="1068876" name="Line 289">
          <a:extLst>
            <a:ext uri="{FF2B5EF4-FFF2-40B4-BE49-F238E27FC236}">
              <a16:creationId xmlns:a16="http://schemas.microsoft.com/office/drawing/2014/main" id="{00000000-0008-0000-0D00-00004C4F1000}"/>
            </a:ext>
          </a:extLst>
        </xdr:cNvPr>
        <xdr:cNvSpPr>
          <a:spLocks noChangeShapeType="1"/>
        </xdr:cNvSpPr>
      </xdr:nvSpPr>
      <xdr:spPr bwMode="auto">
        <a:xfrm>
          <a:off x="5207317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26</xdr:row>
      <xdr:rowOff>9525</xdr:rowOff>
    </xdr:from>
    <xdr:to>
      <xdr:col>75</xdr:col>
      <xdr:colOff>66675</xdr:colOff>
      <xdr:row>29</xdr:row>
      <xdr:rowOff>19050</xdr:rowOff>
    </xdr:to>
    <xdr:sp macro="" textlink="">
      <xdr:nvSpPr>
        <xdr:cNvPr id="1068877" name="Line 290">
          <a:extLst>
            <a:ext uri="{FF2B5EF4-FFF2-40B4-BE49-F238E27FC236}">
              <a16:creationId xmlns:a16="http://schemas.microsoft.com/office/drawing/2014/main" id="{00000000-0008-0000-0D00-00004D4F1000}"/>
            </a:ext>
          </a:extLst>
        </xdr:cNvPr>
        <xdr:cNvSpPr>
          <a:spLocks noChangeShapeType="1"/>
        </xdr:cNvSpPr>
      </xdr:nvSpPr>
      <xdr:spPr bwMode="auto">
        <a:xfrm>
          <a:off x="5213985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9525</xdr:colOff>
      <xdr:row>29</xdr:row>
      <xdr:rowOff>0</xdr:rowOff>
    </xdr:from>
    <xdr:to>
      <xdr:col>75</xdr:col>
      <xdr:colOff>66675</xdr:colOff>
      <xdr:row>29</xdr:row>
      <xdr:rowOff>9525</xdr:rowOff>
    </xdr:to>
    <xdr:sp macro="" textlink="">
      <xdr:nvSpPr>
        <xdr:cNvPr id="1068878" name="Line 291">
          <a:extLst>
            <a:ext uri="{FF2B5EF4-FFF2-40B4-BE49-F238E27FC236}">
              <a16:creationId xmlns:a16="http://schemas.microsoft.com/office/drawing/2014/main" id="{00000000-0008-0000-0D00-00004E4F1000}"/>
            </a:ext>
          </a:extLst>
        </xdr:cNvPr>
        <xdr:cNvSpPr>
          <a:spLocks noChangeShapeType="1"/>
        </xdr:cNvSpPr>
      </xdr:nvSpPr>
      <xdr:spPr bwMode="auto">
        <a:xfrm flipV="1">
          <a:off x="5208270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0</xdr:colOff>
      <xdr:row>26</xdr:row>
      <xdr:rowOff>0</xdr:rowOff>
    </xdr:from>
    <xdr:to>
      <xdr:col>75</xdr:col>
      <xdr:colOff>76200</xdr:colOff>
      <xdr:row>26</xdr:row>
      <xdr:rowOff>9525</xdr:rowOff>
    </xdr:to>
    <xdr:sp macro="" textlink="">
      <xdr:nvSpPr>
        <xdr:cNvPr id="1068879" name="Line 292">
          <a:extLst>
            <a:ext uri="{FF2B5EF4-FFF2-40B4-BE49-F238E27FC236}">
              <a16:creationId xmlns:a16="http://schemas.microsoft.com/office/drawing/2014/main" id="{00000000-0008-0000-0D00-00004F4F1000}"/>
            </a:ext>
          </a:extLst>
        </xdr:cNvPr>
        <xdr:cNvSpPr>
          <a:spLocks noChangeShapeType="1"/>
        </xdr:cNvSpPr>
      </xdr:nvSpPr>
      <xdr:spPr bwMode="auto">
        <a:xfrm>
          <a:off x="5207317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26</xdr:row>
      <xdr:rowOff>9525</xdr:rowOff>
    </xdr:from>
    <xdr:to>
      <xdr:col>75</xdr:col>
      <xdr:colOff>66675</xdr:colOff>
      <xdr:row>29</xdr:row>
      <xdr:rowOff>19050</xdr:rowOff>
    </xdr:to>
    <xdr:sp macro="" textlink="">
      <xdr:nvSpPr>
        <xdr:cNvPr id="1068880" name="Line 293">
          <a:extLst>
            <a:ext uri="{FF2B5EF4-FFF2-40B4-BE49-F238E27FC236}">
              <a16:creationId xmlns:a16="http://schemas.microsoft.com/office/drawing/2014/main" id="{00000000-0008-0000-0D00-0000504F1000}"/>
            </a:ext>
          </a:extLst>
        </xdr:cNvPr>
        <xdr:cNvSpPr>
          <a:spLocks noChangeShapeType="1"/>
        </xdr:cNvSpPr>
      </xdr:nvSpPr>
      <xdr:spPr bwMode="auto">
        <a:xfrm>
          <a:off x="5213985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9525</xdr:colOff>
      <xdr:row>29</xdr:row>
      <xdr:rowOff>0</xdr:rowOff>
    </xdr:from>
    <xdr:to>
      <xdr:col>75</xdr:col>
      <xdr:colOff>66675</xdr:colOff>
      <xdr:row>29</xdr:row>
      <xdr:rowOff>9525</xdr:rowOff>
    </xdr:to>
    <xdr:sp macro="" textlink="">
      <xdr:nvSpPr>
        <xdr:cNvPr id="1068881" name="Line 294">
          <a:extLst>
            <a:ext uri="{FF2B5EF4-FFF2-40B4-BE49-F238E27FC236}">
              <a16:creationId xmlns:a16="http://schemas.microsoft.com/office/drawing/2014/main" id="{00000000-0008-0000-0D00-0000514F1000}"/>
            </a:ext>
          </a:extLst>
        </xdr:cNvPr>
        <xdr:cNvSpPr>
          <a:spLocks noChangeShapeType="1"/>
        </xdr:cNvSpPr>
      </xdr:nvSpPr>
      <xdr:spPr bwMode="auto">
        <a:xfrm flipV="1">
          <a:off x="5208270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76200</xdr:colOff>
      <xdr:row>27</xdr:row>
      <xdr:rowOff>66675</xdr:rowOff>
    </xdr:from>
    <xdr:to>
      <xdr:col>76</xdr:col>
      <xdr:colOff>9525</xdr:colOff>
      <xdr:row>29</xdr:row>
      <xdr:rowOff>19050</xdr:rowOff>
    </xdr:to>
    <xdr:sp macro="" textlink="">
      <xdr:nvSpPr>
        <xdr:cNvPr id="1068882" name="Line 295">
          <a:extLst>
            <a:ext uri="{FF2B5EF4-FFF2-40B4-BE49-F238E27FC236}">
              <a16:creationId xmlns:a16="http://schemas.microsoft.com/office/drawing/2014/main" id="{00000000-0008-0000-0D00-0000524F1000}"/>
            </a:ext>
          </a:extLst>
        </xdr:cNvPr>
        <xdr:cNvSpPr>
          <a:spLocks noChangeShapeType="1"/>
        </xdr:cNvSpPr>
      </xdr:nvSpPr>
      <xdr:spPr bwMode="auto">
        <a:xfrm>
          <a:off x="52149375" y="55530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75</xdr:col>
      <xdr:colOff>0</xdr:colOff>
      <xdr:row>26</xdr:row>
      <xdr:rowOff>0</xdr:rowOff>
    </xdr:from>
    <xdr:to>
      <xdr:col>75</xdr:col>
      <xdr:colOff>76200</xdr:colOff>
      <xdr:row>26</xdr:row>
      <xdr:rowOff>9525</xdr:rowOff>
    </xdr:to>
    <xdr:sp macro="" textlink="">
      <xdr:nvSpPr>
        <xdr:cNvPr id="1068883" name="Line 296">
          <a:extLst>
            <a:ext uri="{FF2B5EF4-FFF2-40B4-BE49-F238E27FC236}">
              <a16:creationId xmlns:a16="http://schemas.microsoft.com/office/drawing/2014/main" id="{00000000-0008-0000-0D00-0000534F1000}"/>
            </a:ext>
          </a:extLst>
        </xdr:cNvPr>
        <xdr:cNvSpPr>
          <a:spLocks noChangeShapeType="1"/>
        </xdr:cNvSpPr>
      </xdr:nvSpPr>
      <xdr:spPr bwMode="auto">
        <a:xfrm>
          <a:off x="5207317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26</xdr:row>
      <xdr:rowOff>9525</xdr:rowOff>
    </xdr:from>
    <xdr:to>
      <xdr:col>75</xdr:col>
      <xdr:colOff>66675</xdr:colOff>
      <xdr:row>29</xdr:row>
      <xdr:rowOff>19050</xdr:rowOff>
    </xdr:to>
    <xdr:sp macro="" textlink="">
      <xdr:nvSpPr>
        <xdr:cNvPr id="1068884" name="Line 297">
          <a:extLst>
            <a:ext uri="{FF2B5EF4-FFF2-40B4-BE49-F238E27FC236}">
              <a16:creationId xmlns:a16="http://schemas.microsoft.com/office/drawing/2014/main" id="{00000000-0008-0000-0D00-0000544F1000}"/>
            </a:ext>
          </a:extLst>
        </xdr:cNvPr>
        <xdr:cNvSpPr>
          <a:spLocks noChangeShapeType="1"/>
        </xdr:cNvSpPr>
      </xdr:nvSpPr>
      <xdr:spPr bwMode="auto">
        <a:xfrm>
          <a:off x="5213985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9525</xdr:colOff>
      <xdr:row>29</xdr:row>
      <xdr:rowOff>0</xdr:rowOff>
    </xdr:from>
    <xdr:to>
      <xdr:col>75</xdr:col>
      <xdr:colOff>66675</xdr:colOff>
      <xdr:row>29</xdr:row>
      <xdr:rowOff>9525</xdr:rowOff>
    </xdr:to>
    <xdr:sp macro="" textlink="">
      <xdr:nvSpPr>
        <xdr:cNvPr id="1068885" name="Line 298">
          <a:extLst>
            <a:ext uri="{FF2B5EF4-FFF2-40B4-BE49-F238E27FC236}">
              <a16:creationId xmlns:a16="http://schemas.microsoft.com/office/drawing/2014/main" id="{00000000-0008-0000-0D00-0000554F1000}"/>
            </a:ext>
          </a:extLst>
        </xdr:cNvPr>
        <xdr:cNvSpPr>
          <a:spLocks noChangeShapeType="1"/>
        </xdr:cNvSpPr>
      </xdr:nvSpPr>
      <xdr:spPr bwMode="auto">
        <a:xfrm flipV="1">
          <a:off x="5208270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57150</xdr:colOff>
      <xdr:row>25</xdr:row>
      <xdr:rowOff>171450</xdr:rowOff>
    </xdr:from>
    <xdr:to>
      <xdr:col>76</xdr:col>
      <xdr:colOff>9525</xdr:colOff>
      <xdr:row>27</xdr:row>
      <xdr:rowOff>47625</xdr:rowOff>
    </xdr:to>
    <xdr:sp macro="" textlink="">
      <xdr:nvSpPr>
        <xdr:cNvPr id="1068886" name="Line 299">
          <a:extLst>
            <a:ext uri="{FF2B5EF4-FFF2-40B4-BE49-F238E27FC236}">
              <a16:creationId xmlns:a16="http://schemas.microsoft.com/office/drawing/2014/main" id="{00000000-0008-0000-0D00-0000564F1000}"/>
            </a:ext>
          </a:extLst>
        </xdr:cNvPr>
        <xdr:cNvSpPr>
          <a:spLocks noChangeShapeType="1"/>
        </xdr:cNvSpPr>
      </xdr:nvSpPr>
      <xdr:spPr bwMode="auto">
        <a:xfrm flipV="1">
          <a:off x="52130325" y="5295900"/>
          <a:ext cx="3619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72</xdr:col>
      <xdr:colOff>0</xdr:colOff>
      <xdr:row>26</xdr:row>
      <xdr:rowOff>0</xdr:rowOff>
    </xdr:from>
    <xdr:to>
      <xdr:col>72</xdr:col>
      <xdr:colOff>76200</xdr:colOff>
      <xdr:row>26</xdr:row>
      <xdr:rowOff>9525</xdr:rowOff>
    </xdr:to>
    <xdr:sp macro="" textlink="">
      <xdr:nvSpPr>
        <xdr:cNvPr id="1068887" name="Line 300">
          <a:extLst>
            <a:ext uri="{FF2B5EF4-FFF2-40B4-BE49-F238E27FC236}">
              <a16:creationId xmlns:a16="http://schemas.microsoft.com/office/drawing/2014/main" id="{00000000-0008-0000-0D00-0000574F1000}"/>
            </a:ext>
          </a:extLst>
        </xdr:cNvPr>
        <xdr:cNvSpPr>
          <a:spLocks noChangeShapeType="1"/>
        </xdr:cNvSpPr>
      </xdr:nvSpPr>
      <xdr:spPr bwMode="auto">
        <a:xfrm>
          <a:off x="4997767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66675</xdr:colOff>
      <xdr:row>26</xdr:row>
      <xdr:rowOff>9525</xdr:rowOff>
    </xdr:from>
    <xdr:to>
      <xdr:col>72</xdr:col>
      <xdr:colOff>66675</xdr:colOff>
      <xdr:row>29</xdr:row>
      <xdr:rowOff>19050</xdr:rowOff>
    </xdr:to>
    <xdr:sp macro="" textlink="">
      <xdr:nvSpPr>
        <xdr:cNvPr id="1068888" name="Line 301">
          <a:extLst>
            <a:ext uri="{FF2B5EF4-FFF2-40B4-BE49-F238E27FC236}">
              <a16:creationId xmlns:a16="http://schemas.microsoft.com/office/drawing/2014/main" id="{00000000-0008-0000-0D00-0000584F1000}"/>
            </a:ext>
          </a:extLst>
        </xdr:cNvPr>
        <xdr:cNvSpPr>
          <a:spLocks noChangeShapeType="1"/>
        </xdr:cNvSpPr>
      </xdr:nvSpPr>
      <xdr:spPr bwMode="auto">
        <a:xfrm>
          <a:off x="5004435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9525</xdr:colOff>
      <xdr:row>29</xdr:row>
      <xdr:rowOff>0</xdr:rowOff>
    </xdr:from>
    <xdr:to>
      <xdr:col>72</xdr:col>
      <xdr:colOff>66675</xdr:colOff>
      <xdr:row>29</xdr:row>
      <xdr:rowOff>9525</xdr:rowOff>
    </xdr:to>
    <xdr:sp macro="" textlink="">
      <xdr:nvSpPr>
        <xdr:cNvPr id="1068889" name="Line 302">
          <a:extLst>
            <a:ext uri="{FF2B5EF4-FFF2-40B4-BE49-F238E27FC236}">
              <a16:creationId xmlns:a16="http://schemas.microsoft.com/office/drawing/2014/main" id="{00000000-0008-0000-0D00-0000594F1000}"/>
            </a:ext>
          </a:extLst>
        </xdr:cNvPr>
        <xdr:cNvSpPr>
          <a:spLocks noChangeShapeType="1"/>
        </xdr:cNvSpPr>
      </xdr:nvSpPr>
      <xdr:spPr bwMode="auto">
        <a:xfrm flipV="1">
          <a:off x="4998720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69</xdr:col>
      <xdr:colOff>0</xdr:colOff>
      <xdr:row>32</xdr:row>
      <xdr:rowOff>0</xdr:rowOff>
    </xdr:from>
    <xdr:to>
      <xdr:col>69</xdr:col>
      <xdr:colOff>76200</xdr:colOff>
      <xdr:row>32</xdr:row>
      <xdr:rowOff>9525</xdr:rowOff>
    </xdr:to>
    <xdr:sp macro="" textlink="">
      <xdr:nvSpPr>
        <xdr:cNvPr id="1068890" name="Line 303">
          <a:extLst>
            <a:ext uri="{FF2B5EF4-FFF2-40B4-BE49-F238E27FC236}">
              <a16:creationId xmlns:a16="http://schemas.microsoft.com/office/drawing/2014/main" id="{00000000-0008-0000-0D00-00005A4F1000}"/>
            </a:ext>
          </a:extLst>
        </xdr:cNvPr>
        <xdr:cNvSpPr>
          <a:spLocks noChangeShapeType="1"/>
        </xdr:cNvSpPr>
      </xdr:nvSpPr>
      <xdr:spPr bwMode="auto">
        <a:xfrm>
          <a:off x="478155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69</xdr:col>
      <xdr:colOff>66675</xdr:colOff>
      <xdr:row>32</xdr:row>
      <xdr:rowOff>9525</xdr:rowOff>
    </xdr:from>
    <xdr:to>
      <xdr:col>69</xdr:col>
      <xdr:colOff>66675</xdr:colOff>
      <xdr:row>35</xdr:row>
      <xdr:rowOff>19050</xdr:rowOff>
    </xdr:to>
    <xdr:sp macro="" textlink="">
      <xdr:nvSpPr>
        <xdr:cNvPr id="1068891" name="Line 304">
          <a:extLst>
            <a:ext uri="{FF2B5EF4-FFF2-40B4-BE49-F238E27FC236}">
              <a16:creationId xmlns:a16="http://schemas.microsoft.com/office/drawing/2014/main" id="{00000000-0008-0000-0D00-00005B4F1000}"/>
            </a:ext>
          </a:extLst>
        </xdr:cNvPr>
        <xdr:cNvSpPr>
          <a:spLocks noChangeShapeType="1"/>
        </xdr:cNvSpPr>
      </xdr:nvSpPr>
      <xdr:spPr bwMode="auto">
        <a:xfrm>
          <a:off x="4788217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69</xdr:col>
      <xdr:colOff>9525</xdr:colOff>
      <xdr:row>35</xdr:row>
      <xdr:rowOff>0</xdr:rowOff>
    </xdr:from>
    <xdr:to>
      <xdr:col>69</xdr:col>
      <xdr:colOff>66675</xdr:colOff>
      <xdr:row>35</xdr:row>
      <xdr:rowOff>9525</xdr:rowOff>
    </xdr:to>
    <xdr:sp macro="" textlink="">
      <xdr:nvSpPr>
        <xdr:cNvPr id="1068892" name="Line 305">
          <a:extLst>
            <a:ext uri="{FF2B5EF4-FFF2-40B4-BE49-F238E27FC236}">
              <a16:creationId xmlns:a16="http://schemas.microsoft.com/office/drawing/2014/main" id="{00000000-0008-0000-0D00-00005C4F1000}"/>
            </a:ext>
          </a:extLst>
        </xdr:cNvPr>
        <xdr:cNvSpPr>
          <a:spLocks noChangeShapeType="1"/>
        </xdr:cNvSpPr>
      </xdr:nvSpPr>
      <xdr:spPr bwMode="auto">
        <a:xfrm flipV="1">
          <a:off x="478250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0</xdr:colOff>
      <xdr:row>32</xdr:row>
      <xdr:rowOff>0</xdr:rowOff>
    </xdr:from>
    <xdr:to>
      <xdr:col>72</xdr:col>
      <xdr:colOff>76200</xdr:colOff>
      <xdr:row>32</xdr:row>
      <xdr:rowOff>9525</xdr:rowOff>
    </xdr:to>
    <xdr:sp macro="" textlink="">
      <xdr:nvSpPr>
        <xdr:cNvPr id="1068893" name="Line 306">
          <a:extLst>
            <a:ext uri="{FF2B5EF4-FFF2-40B4-BE49-F238E27FC236}">
              <a16:creationId xmlns:a16="http://schemas.microsoft.com/office/drawing/2014/main" id="{00000000-0008-0000-0D00-00005D4F1000}"/>
            </a:ext>
          </a:extLst>
        </xdr:cNvPr>
        <xdr:cNvSpPr>
          <a:spLocks noChangeShapeType="1"/>
        </xdr:cNvSpPr>
      </xdr:nvSpPr>
      <xdr:spPr bwMode="auto">
        <a:xfrm>
          <a:off x="4997767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66675</xdr:colOff>
      <xdr:row>32</xdr:row>
      <xdr:rowOff>9525</xdr:rowOff>
    </xdr:from>
    <xdr:to>
      <xdr:col>72</xdr:col>
      <xdr:colOff>66675</xdr:colOff>
      <xdr:row>35</xdr:row>
      <xdr:rowOff>19050</xdr:rowOff>
    </xdr:to>
    <xdr:sp macro="" textlink="">
      <xdr:nvSpPr>
        <xdr:cNvPr id="1068894" name="Line 307">
          <a:extLst>
            <a:ext uri="{FF2B5EF4-FFF2-40B4-BE49-F238E27FC236}">
              <a16:creationId xmlns:a16="http://schemas.microsoft.com/office/drawing/2014/main" id="{00000000-0008-0000-0D00-00005E4F1000}"/>
            </a:ext>
          </a:extLst>
        </xdr:cNvPr>
        <xdr:cNvSpPr>
          <a:spLocks noChangeShapeType="1"/>
        </xdr:cNvSpPr>
      </xdr:nvSpPr>
      <xdr:spPr bwMode="auto">
        <a:xfrm>
          <a:off x="5004435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9525</xdr:colOff>
      <xdr:row>35</xdr:row>
      <xdr:rowOff>0</xdr:rowOff>
    </xdr:from>
    <xdr:to>
      <xdr:col>72</xdr:col>
      <xdr:colOff>66675</xdr:colOff>
      <xdr:row>35</xdr:row>
      <xdr:rowOff>9525</xdr:rowOff>
    </xdr:to>
    <xdr:sp macro="" textlink="">
      <xdr:nvSpPr>
        <xdr:cNvPr id="1068895" name="Line 308">
          <a:extLst>
            <a:ext uri="{FF2B5EF4-FFF2-40B4-BE49-F238E27FC236}">
              <a16:creationId xmlns:a16="http://schemas.microsoft.com/office/drawing/2014/main" id="{00000000-0008-0000-0D00-00005F4F1000}"/>
            </a:ext>
          </a:extLst>
        </xdr:cNvPr>
        <xdr:cNvSpPr>
          <a:spLocks noChangeShapeType="1"/>
        </xdr:cNvSpPr>
      </xdr:nvSpPr>
      <xdr:spPr bwMode="auto">
        <a:xfrm flipV="1">
          <a:off x="4998720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0</xdr:colOff>
      <xdr:row>32</xdr:row>
      <xdr:rowOff>0</xdr:rowOff>
    </xdr:from>
    <xdr:to>
      <xdr:col>75</xdr:col>
      <xdr:colOff>76200</xdr:colOff>
      <xdr:row>32</xdr:row>
      <xdr:rowOff>9525</xdr:rowOff>
    </xdr:to>
    <xdr:sp macro="" textlink="">
      <xdr:nvSpPr>
        <xdr:cNvPr id="1068896" name="Line 309">
          <a:extLst>
            <a:ext uri="{FF2B5EF4-FFF2-40B4-BE49-F238E27FC236}">
              <a16:creationId xmlns:a16="http://schemas.microsoft.com/office/drawing/2014/main" id="{00000000-0008-0000-0D00-0000604F1000}"/>
            </a:ext>
          </a:extLst>
        </xdr:cNvPr>
        <xdr:cNvSpPr>
          <a:spLocks noChangeShapeType="1"/>
        </xdr:cNvSpPr>
      </xdr:nvSpPr>
      <xdr:spPr bwMode="auto">
        <a:xfrm>
          <a:off x="5207317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32</xdr:row>
      <xdr:rowOff>9525</xdr:rowOff>
    </xdr:from>
    <xdr:to>
      <xdr:col>75</xdr:col>
      <xdr:colOff>66675</xdr:colOff>
      <xdr:row>35</xdr:row>
      <xdr:rowOff>19050</xdr:rowOff>
    </xdr:to>
    <xdr:sp macro="" textlink="">
      <xdr:nvSpPr>
        <xdr:cNvPr id="1068897" name="Line 310">
          <a:extLst>
            <a:ext uri="{FF2B5EF4-FFF2-40B4-BE49-F238E27FC236}">
              <a16:creationId xmlns:a16="http://schemas.microsoft.com/office/drawing/2014/main" id="{00000000-0008-0000-0D00-0000614F1000}"/>
            </a:ext>
          </a:extLst>
        </xdr:cNvPr>
        <xdr:cNvSpPr>
          <a:spLocks noChangeShapeType="1"/>
        </xdr:cNvSpPr>
      </xdr:nvSpPr>
      <xdr:spPr bwMode="auto">
        <a:xfrm>
          <a:off x="5213985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9525</xdr:colOff>
      <xdr:row>35</xdr:row>
      <xdr:rowOff>0</xdr:rowOff>
    </xdr:from>
    <xdr:to>
      <xdr:col>75</xdr:col>
      <xdr:colOff>66675</xdr:colOff>
      <xdr:row>35</xdr:row>
      <xdr:rowOff>9525</xdr:rowOff>
    </xdr:to>
    <xdr:sp macro="" textlink="">
      <xdr:nvSpPr>
        <xdr:cNvPr id="1068898" name="Line 311">
          <a:extLst>
            <a:ext uri="{FF2B5EF4-FFF2-40B4-BE49-F238E27FC236}">
              <a16:creationId xmlns:a16="http://schemas.microsoft.com/office/drawing/2014/main" id="{00000000-0008-0000-0D00-0000624F1000}"/>
            </a:ext>
          </a:extLst>
        </xdr:cNvPr>
        <xdr:cNvSpPr>
          <a:spLocks noChangeShapeType="1"/>
        </xdr:cNvSpPr>
      </xdr:nvSpPr>
      <xdr:spPr bwMode="auto">
        <a:xfrm flipV="1">
          <a:off x="5208270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0</xdr:colOff>
      <xdr:row>32</xdr:row>
      <xdr:rowOff>0</xdr:rowOff>
    </xdr:from>
    <xdr:to>
      <xdr:col>75</xdr:col>
      <xdr:colOff>76200</xdr:colOff>
      <xdr:row>32</xdr:row>
      <xdr:rowOff>9525</xdr:rowOff>
    </xdr:to>
    <xdr:sp macro="" textlink="">
      <xdr:nvSpPr>
        <xdr:cNvPr id="1068899" name="Line 312">
          <a:extLst>
            <a:ext uri="{FF2B5EF4-FFF2-40B4-BE49-F238E27FC236}">
              <a16:creationId xmlns:a16="http://schemas.microsoft.com/office/drawing/2014/main" id="{00000000-0008-0000-0D00-0000634F1000}"/>
            </a:ext>
          </a:extLst>
        </xdr:cNvPr>
        <xdr:cNvSpPr>
          <a:spLocks noChangeShapeType="1"/>
        </xdr:cNvSpPr>
      </xdr:nvSpPr>
      <xdr:spPr bwMode="auto">
        <a:xfrm>
          <a:off x="5207317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32</xdr:row>
      <xdr:rowOff>9525</xdr:rowOff>
    </xdr:from>
    <xdr:to>
      <xdr:col>75</xdr:col>
      <xdr:colOff>66675</xdr:colOff>
      <xdr:row>35</xdr:row>
      <xdr:rowOff>19050</xdr:rowOff>
    </xdr:to>
    <xdr:sp macro="" textlink="">
      <xdr:nvSpPr>
        <xdr:cNvPr id="1068900" name="Line 313">
          <a:extLst>
            <a:ext uri="{FF2B5EF4-FFF2-40B4-BE49-F238E27FC236}">
              <a16:creationId xmlns:a16="http://schemas.microsoft.com/office/drawing/2014/main" id="{00000000-0008-0000-0D00-0000644F1000}"/>
            </a:ext>
          </a:extLst>
        </xdr:cNvPr>
        <xdr:cNvSpPr>
          <a:spLocks noChangeShapeType="1"/>
        </xdr:cNvSpPr>
      </xdr:nvSpPr>
      <xdr:spPr bwMode="auto">
        <a:xfrm>
          <a:off x="5213985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9525</xdr:colOff>
      <xdr:row>35</xdr:row>
      <xdr:rowOff>0</xdr:rowOff>
    </xdr:from>
    <xdr:to>
      <xdr:col>75</xdr:col>
      <xdr:colOff>66675</xdr:colOff>
      <xdr:row>35</xdr:row>
      <xdr:rowOff>9525</xdr:rowOff>
    </xdr:to>
    <xdr:sp macro="" textlink="">
      <xdr:nvSpPr>
        <xdr:cNvPr id="1068901" name="Line 314">
          <a:extLst>
            <a:ext uri="{FF2B5EF4-FFF2-40B4-BE49-F238E27FC236}">
              <a16:creationId xmlns:a16="http://schemas.microsoft.com/office/drawing/2014/main" id="{00000000-0008-0000-0D00-0000654F1000}"/>
            </a:ext>
          </a:extLst>
        </xdr:cNvPr>
        <xdr:cNvSpPr>
          <a:spLocks noChangeShapeType="1"/>
        </xdr:cNvSpPr>
      </xdr:nvSpPr>
      <xdr:spPr bwMode="auto">
        <a:xfrm flipV="1">
          <a:off x="5208270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76200</xdr:colOff>
      <xdr:row>33</xdr:row>
      <xdr:rowOff>66675</xdr:rowOff>
    </xdr:from>
    <xdr:to>
      <xdr:col>76</xdr:col>
      <xdr:colOff>9525</xdr:colOff>
      <xdr:row>35</xdr:row>
      <xdr:rowOff>19050</xdr:rowOff>
    </xdr:to>
    <xdr:sp macro="" textlink="">
      <xdr:nvSpPr>
        <xdr:cNvPr id="1068902" name="Line 315">
          <a:extLst>
            <a:ext uri="{FF2B5EF4-FFF2-40B4-BE49-F238E27FC236}">
              <a16:creationId xmlns:a16="http://schemas.microsoft.com/office/drawing/2014/main" id="{00000000-0008-0000-0D00-0000664F1000}"/>
            </a:ext>
          </a:extLst>
        </xdr:cNvPr>
        <xdr:cNvSpPr>
          <a:spLocks noChangeShapeType="1"/>
        </xdr:cNvSpPr>
      </xdr:nvSpPr>
      <xdr:spPr bwMode="auto">
        <a:xfrm>
          <a:off x="52149375" y="66389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75</xdr:col>
      <xdr:colOff>0</xdr:colOff>
      <xdr:row>32</xdr:row>
      <xdr:rowOff>0</xdr:rowOff>
    </xdr:from>
    <xdr:to>
      <xdr:col>75</xdr:col>
      <xdr:colOff>76200</xdr:colOff>
      <xdr:row>32</xdr:row>
      <xdr:rowOff>9525</xdr:rowOff>
    </xdr:to>
    <xdr:sp macro="" textlink="">
      <xdr:nvSpPr>
        <xdr:cNvPr id="1068903" name="Line 316">
          <a:extLst>
            <a:ext uri="{FF2B5EF4-FFF2-40B4-BE49-F238E27FC236}">
              <a16:creationId xmlns:a16="http://schemas.microsoft.com/office/drawing/2014/main" id="{00000000-0008-0000-0D00-0000674F1000}"/>
            </a:ext>
          </a:extLst>
        </xdr:cNvPr>
        <xdr:cNvSpPr>
          <a:spLocks noChangeShapeType="1"/>
        </xdr:cNvSpPr>
      </xdr:nvSpPr>
      <xdr:spPr bwMode="auto">
        <a:xfrm>
          <a:off x="5207317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32</xdr:row>
      <xdr:rowOff>9525</xdr:rowOff>
    </xdr:from>
    <xdr:to>
      <xdr:col>75</xdr:col>
      <xdr:colOff>66675</xdr:colOff>
      <xdr:row>35</xdr:row>
      <xdr:rowOff>19050</xdr:rowOff>
    </xdr:to>
    <xdr:sp macro="" textlink="">
      <xdr:nvSpPr>
        <xdr:cNvPr id="1068904" name="Line 317">
          <a:extLst>
            <a:ext uri="{FF2B5EF4-FFF2-40B4-BE49-F238E27FC236}">
              <a16:creationId xmlns:a16="http://schemas.microsoft.com/office/drawing/2014/main" id="{00000000-0008-0000-0D00-0000684F1000}"/>
            </a:ext>
          </a:extLst>
        </xdr:cNvPr>
        <xdr:cNvSpPr>
          <a:spLocks noChangeShapeType="1"/>
        </xdr:cNvSpPr>
      </xdr:nvSpPr>
      <xdr:spPr bwMode="auto">
        <a:xfrm>
          <a:off x="5213985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9525</xdr:colOff>
      <xdr:row>35</xdr:row>
      <xdr:rowOff>0</xdr:rowOff>
    </xdr:from>
    <xdr:to>
      <xdr:col>75</xdr:col>
      <xdr:colOff>66675</xdr:colOff>
      <xdr:row>35</xdr:row>
      <xdr:rowOff>9525</xdr:rowOff>
    </xdr:to>
    <xdr:sp macro="" textlink="">
      <xdr:nvSpPr>
        <xdr:cNvPr id="1068905" name="Line 318">
          <a:extLst>
            <a:ext uri="{FF2B5EF4-FFF2-40B4-BE49-F238E27FC236}">
              <a16:creationId xmlns:a16="http://schemas.microsoft.com/office/drawing/2014/main" id="{00000000-0008-0000-0D00-0000694F1000}"/>
            </a:ext>
          </a:extLst>
        </xdr:cNvPr>
        <xdr:cNvSpPr>
          <a:spLocks noChangeShapeType="1"/>
        </xdr:cNvSpPr>
      </xdr:nvSpPr>
      <xdr:spPr bwMode="auto">
        <a:xfrm flipV="1">
          <a:off x="5208270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76200</xdr:colOff>
      <xdr:row>31</xdr:row>
      <xdr:rowOff>171450</xdr:rowOff>
    </xdr:from>
    <xdr:to>
      <xdr:col>76</xdr:col>
      <xdr:colOff>9525</xdr:colOff>
      <xdr:row>33</xdr:row>
      <xdr:rowOff>38100</xdr:rowOff>
    </xdr:to>
    <xdr:sp macro="" textlink="">
      <xdr:nvSpPr>
        <xdr:cNvPr id="1068906" name="Line 319">
          <a:extLst>
            <a:ext uri="{FF2B5EF4-FFF2-40B4-BE49-F238E27FC236}">
              <a16:creationId xmlns:a16="http://schemas.microsoft.com/office/drawing/2014/main" id="{00000000-0008-0000-0D00-00006A4F1000}"/>
            </a:ext>
          </a:extLst>
        </xdr:cNvPr>
        <xdr:cNvSpPr>
          <a:spLocks noChangeShapeType="1"/>
        </xdr:cNvSpPr>
      </xdr:nvSpPr>
      <xdr:spPr bwMode="auto">
        <a:xfrm flipV="1">
          <a:off x="52149375" y="6381750"/>
          <a:ext cx="342900" cy="22860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72</xdr:col>
      <xdr:colOff>0</xdr:colOff>
      <xdr:row>32</xdr:row>
      <xdr:rowOff>0</xdr:rowOff>
    </xdr:from>
    <xdr:to>
      <xdr:col>72</xdr:col>
      <xdr:colOff>76200</xdr:colOff>
      <xdr:row>32</xdr:row>
      <xdr:rowOff>9525</xdr:rowOff>
    </xdr:to>
    <xdr:sp macro="" textlink="">
      <xdr:nvSpPr>
        <xdr:cNvPr id="1068907" name="Line 320">
          <a:extLst>
            <a:ext uri="{FF2B5EF4-FFF2-40B4-BE49-F238E27FC236}">
              <a16:creationId xmlns:a16="http://schemas.microsoft.com/office/drawing/2014/main" id="{00000000-0008-0000-0D00-00006B4F1000}"/>
            </a:ext>
          </a:extLst>
        </xdr:cNvPr>
        <xdr:cNvSpPr>
          <a:spLocks noChangeShapeType="1"/>
        </xdr:cNvSpPr>
      </xdr:nvSpPr>
      <xdr:spPr bwMode="auto">
        <a:xfrm>
          <a:off x="4997767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66675</xdr:colOff>
      <xdr:row>32</xdr:row>
      <xdr:rowOff>9525</xdr:rowOff>
    </xdr:from>
    <xdr:to>
      <xdr:col>72</xdr:col>
      <xdr:colOff>66675</xdr:colOff>
      <xdr:row>35</xdr:row>
      <xdr:rowOff>19050</xdr:rowOff>
    </xdr:to>
    <xdr:sp macro="" textlink="">
      <xdr:nvSpPr>
        <xdr:cNvPr id="1068908" name="Line 321">
          <a:extLst>
            <a:ext uri="{FF2B5EF4-FFF2-40B4-BE49-F238E27FC236}">
              <a16:creationId xmlns:a16="http://schemas.microsoft.com/office/drawing/2014/main" id="{00000000-0008-0000-0D00-00006C4F1000}"/>
            </a:ext>
          </a:extLst>
        </xdr:cNvPr>
        <xdr:cNvSpPr>
          <a:spLocks noChangeShapeType="1"/>
        </xdr:cNvSpPr>
      </xdr:nvSpPr>
      <xdr:spPr bwMode="auto">
        <a:xfrm>
          <a:off x="5004435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9525</xdr:colOff>
      <xdr:row>35</xdr:row>
      <xdr:rowOff>0</xdr:rowOff>
    </xdr:from>
    <xdr:to>
      <xdr:col>72</xdr:col>
      <xdr:colOff>66675</xdr:colOff>
      <xdr:row>35</xdr:row>
      <xdr:rowOff>9525</xdr:rowOff>
    </xdr:to>
    <xdr:sp macro="" textlink="">
      <xdr:nvSpPr>
        <xdr:cNvPr id="1068909" name="Line 322">
          <a:extLst>
            <a:ext uri="{FF2B5EF4-FFF2-40B4-BE49-F238E27FC236}">
              <a16:creationId xmlns:a16="http://schemas.microsoft.com/office/drawing/2014/main" id="{00000000-0008-0000-0D00-00006D4F1000}"/>
            </a:ext>
          </a:extLst>
        </xdr:cNvPr>
        <xdr:cNvSpPr>
          <a:spLocks noChangeShapeType="1"/>
        </xdr:cNvSpPr>
      </xdr:nvSpPr>
      <xdr:spPr bwMode="auto">
        <a:xfrm flipV="1">
          <a:off x="4998720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69</xdr:col>
      <xdr:colOff>0</xdr:colOff>
      <xdr:row>38</xdr:row>
      <xdr:rowOff>0</xdr:rowOff>
    </xdr:from>
    <xdr:to>
      <xdr:col>69</xdr:col>
      <xdr:colOff>76200</xdr:colOff>
      <xdr:row>38</xdr:row>
      <xdr:rowOff>9525</xdr:rowOff>
    </xdr:to>
    <xdr:sp macro="" textlink="">
      <xdr:nvSpPr>
        <xdr:cNvPr id="1068910" name="Line 323">
          <a:extLst>
            <a:ext uri="{FF2B5EF4-FFF2-40B4-BE49-F238E27FC236}">
              <a16:creationId xmlns:a16="http://schemas.microsoft.com/office/drawing/2014/main" id="{00000000-0008-0000-0D00-00006E4F1000}"/>
            </a:ext>
          </a:extLst>
        </xdr:cNvPr>
        <xdr:cNvSpPr>
          <a:spLocks noChangeShapeType="1"/>
        </xdr:cNvSpPr>
      </xdr:nvSpPr>
      <xdr:spPr bwMode="auto">
        <a:xfrm>
          <a:off x="4781550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69</xdr:col>
      <xdr:colOff>66675</xdr:colOff>
      <xdr:row>38</xdr:row>
      <xdr:rowOff>9525</xdr:rowOff>
    </xdr:from>
    <xdr:to>
      <xdr:col>69</xdr:col>
      <xdr:colOff>66675</xdr:colOff>
      <xdr:row>41</xdr:row>
      <xdr:rowOff>19050</xdr:rowOff>
    </xdr:to>
    <xdr:sp macro="" textlink="">
      <xdr:nvSpPr>
        <xdr:cNvPr id="1068911" name="Line 324">
          <a:extLst>
            <a:ext uri="{FF2B5EF4-FFF2-40B4-BE49-F238E27FC236}">
              <a16:creationId xmlns:a16="http://schemas.microsoft.com/office/drawing/2014/main" id="{00000000-0008-0000-0D00-00006F4F1000}"/>
            </a:ext>
          </a:extLst>
        </xdr:cNvPr>
        <xdr:cNvSpPr>
          <a:spLocks noChangeShapeType="1"/>
        </xdr:cNvSpPr>
      </xdr:nvSpPr>
      <xdr:spPr bwMode="auto">
        <a:xfrm>
          <a:off x="4788217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69</xdr:col>
      <xdr:colOff>9525</xdr:colOff>
      <xdr:row>41</xdr:row>
      <xdr:rowOff>0</xdr:rowOff>
    </xdr:from>
    <xdr:to>
      <xdr:col>69</xdr:col>
      <xdr:colOff>66675</xdr:colOff>
      <xdr:row>41</xdr:row>
      <xdr:rowOff>9525</xdr:rowOff>
    </xdr:to>
    <xdr:sp macro="" textlink="">
      <xdr:nvSpPr>
        <xdr:cNvPr id="1068912" name="Line 325">
          <a:extLst>
            <a:ext uri="{FF2B5EF4-FFF2-40B4-BE49-F238E27FC236}">
              <a16:creationId xmlns:a16="http://schemas.microsoft.com/office/drawing/2014/main" id="{00000000-0008-0000-0D00-0000704F1000}"/>
            </a:ext>
          </a:extLst>
        </xdr:cNvPr>
        <xdr:cNvSpPr>
          <a:spLocks noChangeShapeType="1"/>
        </xdr:cNvSpPr>
      </xdr:nvSpPr>
      <xdr:spPr bwMode="auto">
        <a:xfrm flipV="1">
          <a:off x="4782502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0</xdr:colOff>
      <xdr:row>38</xdr:row>
      <xdr:rowOff>0</xdr:rowOff>
    </xdr:from>
    <xdr:to>
      <xdr:col>72</xdr:col>
      <xdr:colOff>76200</xdr:colOff>
      <xdr:row>38</xdr:row>
      <xdr:rowOff>9525</xdr:rowOff>
    </xdr:to>
    <xdr:sp macro="" textlink="">
      <xdr:nvSpPr>
        <xdr:cNvPr id="1068913" name="Line 326">
          <a:extLst>
            <a:ext uri="{FF2B5EF4-FFF2-40B4-BE49-F238E27FC236}">
              <a16:creationId xmlns:a16="http://schemas.microsoft.com/office/drawing/2014/main" id="{00000000-0008-0000-0D00-0000714F1000}"/>
            </a:ext>
          </a:extLst>
        </xdr:cNvPr>
        <xdr:cNvSpPr>
          <a:spLocks noChangeShapeType="1"/>
        </xdr:cNvSpPr>
      </xdr:nvSpPr>
      <xdr:spPr bwMode="auto">
        <a:xfrm>
          <a:off x="499776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66675</xdr:colOff>
      <xdr:row>38</xdr:row>
      <xdr:rowOff>9525</xdr:rowOff>
    </xdr:from>
    <xdr:to>
      <xdr:col>72</xdr:col>
      <xdr:colOff>66675</xdr:colOff>
      <xdr:row>41</xdr:row>
      <xdr:rowOff>19050</xdr:rowOff>
    </xdr:to>
    <xdr:sp macro="" textlink="">
      <xdr:nvSpPr>
        <xdr:cNvPr id="1068914" name="Line 327">
          <a:extLst>
            <a:ext uri="{FF2B5EF4-FFF2-40B4-BE49-F238E27FC236}">
              <a16:creationId xmlns:a16="http://schemas.microsoft.com/office/drawing/2014/main" id="{00000000-0008-0000-0D00-0000724F1000}"/>
            </a:ext>
          </a:extLst>
        </xdr:cNvPr>
        <xdr:cNvSpPr>
          <a:spLocks noChangeShapeType="1"/>
        </xdr:cNvSpPr>
      </xdr:nvSpPr>
      <xdr:spPr bwMode="auto">
        <a:xfrm>
          <a:off x="50044350"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9525</xdr:colOff>
      <xdr:row>41</xdr:row>
      <xdr:rowOff>0</xdr:rowOff>
    </xdr:from>
    <xdr:to>
      <xdr:col>72</xdr:col>
      <xdr:colOff>66675</xdr:colOff>
      <xdr:row>41</xdr:row>
      <xdr:rowOff>9525</xdr:rowOff>
    </xdr:to>
    <xdr:sp macro="" textlink="">
      <xdr:nvSpPr>
        <xdr:cNvPr id="1068915" name="Line 328">
          <a:extLst>
            <a:ext uri="{FF2B5EF4-FFF2-40B4-BE49-F238E27FC236}">
              <a16:creationId xmlns:a16="http://schemas.microsoft.com/office/drawing/2014/main" id="{00000000-0008-0000-0D00-0000734F1000}"/>
            </a:ext>
          </a:extLst>
        </xdr:cNvPr>
        <xdr:cNvSpPr>
          <a:spLocks noChangeShapeType="1"/>
        </xdr:cNvSpPr>
      </xdr:nvSpPr>
      <xdr:spPr bwMode="auto">
        <a:xfrm flipV="1">
          <a:off x="499872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0</xdr:colOff>
      <xdr:row>38</xdr:row>
      <xdr:rowOff>0</xdr:rowOff>
    </xdr:from>
    <xdr:to>
      <xdr:col>75</xdr:col>
      <xdr:colOff>76200</xdr:colOff>
      <xdr:row>38</xdr:row>
      <xdr:rowOff>9525</xdr:rowOff>
    </xdr:to>
    <xdr:sp macro="" textlink="">
      <xdr:nvSpPr>
        <xdr:cNvPr id="1068916" name="Line 329">
          <a:extLst>
            <a:ext uri="{FF2B5EF4-FFF2-40B4-BE49-F238E27FC236}">
              <a16:creationId xmlns:a16="http://schemas.microsoft.com/office/drawing/2014/main" id="{00000000-0008-0000-0D00-0000744F1000}"/>
            </a:ext>
          </a:extLst>
        </xdr:cNvPr>
        <xdr:cNvSpPr>
          <a:spLocks noChangeShapeType="1"/>
        </xdr:cNvSpPr>
      </xdr:nvSpPr>
      <xdr:spPr bwMode="auto">
        <a:xfrm>
          <a:off x="520731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38</xdr:row>
      <xdr:rowOff>9525</xdr:rowOff>
    </xdr:from>
    <xdr:to>
      <xdr:col>75</xdr:col>
      <xdr:colOff>66675</xdr:colOff>
      <xdr:row>41</xdr:row>
      <xdr:rowOff>19050</xdr:rowOff>
    </xdr:to>
    <xdr:sp macro="" textlink="">
      <xdr:nvSpPr>
        <xdr:cNvPr id="1068917" name="Line 330">
          <a:extLst>
            <a:ext uri="{FF2B5EF4-FFF2-40B4-BE49-F238E27FC236}">
              <a16:creationId xmlns:a16="http://schemas.microsoft.com/office/drawing/2014/main" id="{00000000-0008-0000-0D00-0000754F1000}"/>
            </a:ext>
          </a:extLst>
        </xdr:cNvPr>
        <xdr:cNvSpPr>
          <a:spLocks noChangeShapeType="1"/>
        </xdr:cNvSpPr>
      </xdr:nvSpPr>
      <xdr:spPr bwMode="auto">
        <a:xfrm>
          <a:off x="52139850"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9525</xdr:colOff>
      <xdr:row>41</xdr:row>
      <xdr:rowOff>0</xdr:rowOff>
    </xdr:from>
    <xdr:to>
      <xdr:col>75</xdr:col>
      <xdr:colOff>66675</xdr:colOff>
      <xdr:row>41</xdr:row>
      <xdr:rowOff>9525</xdr:rowOff>
    </xdr:to>
    <xdr:sp macro="" textlink="">
      <xdr:nvSpPr>
        <xdr:cNvPr id="1068918" name="Line 331">
          <a:extLst>
            <a:ext uri="{FF2B5EF4-FFF2-40B4-BE49-F238E27FC236}">
              <a16:creationId xmlns:a16="http://schemas.microsoft.com/office/drawing/2014/main" id="{00000000-0008-0000-0D00-0000764F1000}"/>
            </a:ext>
          </a:extLst>
        </xdr:cNvPr>
        <xdr:cNvSpPr>
          <a:spLocks noChangeShapeType="1"/>
        </xdr:cNvSpPr>
      </xdr:nvSpPr>
      <xdr:spPr bwMode="auto">
        <a:xfrm flipV="1">
          <a:off x="520827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0</xdr:colOff>
      <xdr:row>38</xdr:row>
      <xdr:rowOff>0</xdr:rowOff>
    </xdr:from>
    <xdr:to>
      <xdr:col>75</xdr:col>
      <xdr:colOff>76200</xdr:colOff>
      <xdr:row>38</xdr:row>
      <xdr:rowOff>9525</xdr:rowOff>
    </xdr:to>
    <xdr:sp macro="" textlink="">
      <xdr:nvSpPr>
        <xdr:cNvPr id="1068919" name="Line 332">
          <a:extLst>
            <a:ext uri="{FF2B5EF4-FFF2-40B4-BE49-F238E27FC236}">
              <a16:creationId xmlns:a16="http://schemas.microsoft.com/office/drawing/2014/main" id="{00000000-0008-0000-0D00-0000774F1000}"/>
            </a:ext>
          </a:extLst>
        </xdr:cNvPr>
        <xdr:cNvSpPr>
          <a:spLocks noChangeShapeType="1"/>
        </xdr:cNvSpPr>
      </xdr:nvSpPr>
      <xdr:spPr bwMode="auto">
        <a:xfrm>
          <a:off x="520731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38</xdr:row>
      <xdr:rowOff>9525</xdr:rowOff>
    </xdr:from>
    <xdr:to>
      <xdr:col>75</xdr:col>
      <xdr:colOff>66675</xdr:colOff>
      <xdr:row>41</xdr:row>
      <xdr:rowOff>19050</xdr:rowOff>
    </xdr:to>
    <xdr:sp macro="" textlink="">
      <xdr:nvSpPr>
        <xdr:cNvPr id="1068920" name="Line 333">
          <a:extLst>
            <a:ext uri="{FF2B5EF4-FFF2-40B4-BE49-F238E27FC236}">
              <a16:creationId xmlns:a16="http://schemas.microsoft.com/office/drawing/2014/main" id="{00000000-0008-0000-0D00-0000784F1000}"/>
            </a:ext>
          </a:extLst>
        </xdr:cNvPr>
        <xdr:cNvSpPr>
          <a:spLocks noChangeShapeType="1"/>
        </xdr:cNvSpPr>
      </xdr:nvSpPr>
      <xdr:spPr bwMode="auto">
        <a:xfrm>
          <a:off x="52139850"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9525</xdr:colOff>
      <xdr:row>41</xdr:row>
      <xdr:rowOff>0</xdr:rowOff>
    </xdr:from>
    <xdr:to>
      <xdr:col>75</xdr:col>
      <xdr:colOff>66675</xdr:colOff>
      <xdr:row>41</xdr:row>
      <xdr:rowOff>9525</xdr:rowOff>
    </xdr:to>
    <xdr:sp macro="" textlink="">
      <xdr:nvSpPr>
        <xdr:cNvPr id="1068921" name="Line 334">
          <a:extLst>
            <a:ext uri="{FF2B5EF4-FFF2-40B4-BE49-F238E27FC236}">
              <a16:creationId xmlns:a16="http://schemas.microsoft.com/office/drawing/2014/main" id="{00000000-0008-0000-0D00-0000794F1000}"/>
            </a:ext>
          </a:extLst>
        </xdr:cNvPr>
        <xdr:cNvSpPr>
          <a:spLocks noChangeShapeType="1"/>
        </xdr:cNvSpPr>
      </xdr:nvSpPr>
      <xdr:spPr bwMode="auto">
        <a:xfrm flipV="1">
          <a:off x="520827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76200</xdr:colOff>
      <xdr:row>39</xdr:row>
      <xdr:rowOff>66675</xdr:rowOff>
    </xdr:from>
    <xdr:to>
      <xdr:col>76</xdr:col>
      <xdr:colOff>9525</xdr:colOff>
      <xdr:row>41</xdr:row>
      <xdr:rowOff>19050</xdr:rowOff>
    </xdr:to>
    <xdr:sp macro="" textlink="">
      <xdr:nvSpPr>
        <xdr:cNvPr id="1068922" name="Line 335">
          <a:extLst>
            <a:ext uri="{FF2B5EF4-FFF2-40B4-BE49-F238E27FC236}">
              <a16:creationId xmlns:a16="http://schemas.microsoft.com/office/drawing/2014/main" id="{00000000-0008-0000-0D00-00007A4F1000}"/>
            </a:ext>
          </a:extLst>
        </xdr:cNvPr>
        <xdr:cNvSpPr>
          <a:spLocks noChangeShapeType="1"/>
        </xdr:cNvSpPr>
      </xdr:nvSpPr>
      <xdr:spPr bwMode="auto">
        <a:xfrm>
          <a:off x="52149375" y="77247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75</xdr:col>
      <xdr:colOff>0</xdr:colOff>
      <xdr:row>38</xdr:row>
      <xdr:rowOff>0</xdr:rowOff>
    </xdr:from>
    <xdr:to>
      <xdr:col>75</xdr:col>
      <xdr:colOff>76200</xdr:colOff>
      <xdr:row>38</xdr:row>
      <xdr:rowOff>9525</xdr:rowOff>
    </xdr:to>
    <xdr:sp macro="" textlink="">
      <xdr:nvSpPr>
        <xdr:cNvPr id="1068923" name="Line 336">
          <a:extLst>
            <a:ext uri="{FF2B5EF4-FFF2-40B4-BE49-F238E27FC236}">
              <a16:creationId xmlns:a16="http://schemas.microsoft.com/office/drawing/2014/main" id="{00000000-0008-0000-0D00-00007B4F1000}"/>
            </a:ext>
          </a:extLst>
        </xdr:cNvPr>
        <xdr:cNvSpPr>
          <a:spLocks noChangeShapeType="1"/>
        </xdr:cNvSpPr>
      </xdr:nvSpPr>
      <xdr:spPr bwMode="auto">
        <a:xfrm>
          <a:off x="520731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38</xdr:row>
      <xdr:rowOff>9525</xdr:rowOff>
    </xdr:from>
    <xdr:to>
      <xdr:col>75</xdr:col>
      <xdr:colOff>66675</xdr:colOff>
      <xdr:row>41</xdr:row>
      <xdr:rowOff>19050</xdr:rowOff>
    </xdr:to>
    <xdr:sp macro="" textlink="">
      <xdr:nvSpPr>
        <xdr:cNvPr id="1068924" name="Line 337">
          <a:extLst>
            <a:ext uri="{FF2B5EF4-FFF2-40B4-BE49-F238E27FC236}">
              <a16:creationId xmlns:a16="http://schemas.microsoft.com/office/drawing/2014/main" id="{00000000-0008-0000-0D00-00007C4F1000}"/>
            </a:ext>
          </a:extLst>
        </xdr:cNvPr>
        <xdr:cNvSpPr>
          <a:spLocks noChangeShapeType="1"/>
        </xdr:cNvSpPr>
      </xdr:nvSpPr>
      <xdr:spPr bwMode="auto">
        <a:xfrm>
          <a:off x="52139850"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9525</xdr:colOff>
      <xdr:row>41</xdr:row>
      <xdr:rowOff>0</xdr:rowOff>
    </xdr:from>
    <xdr:to>
      <xdr:col>75</xdr:col>
      <xdr:colOff>66675</xdr:colOff>
      <xdr:row>41</xdr:row>
      <xdr:rowOff>9525</xdr:rowOff>
    </xdr:to>
    <xdr:sp macro="" textlink="">
      <xdr:nvSpPr>
        <xdr:cNvPr id="1068925" name="Line 338">
          <a:extLst>
            <a:ext uri="{FF2B5EF4-FFF2-40B4-BE49-F238E27FC236}">
              <a16:creationId xmlns:a16="http://schemas.microsoft.com/office/drawing/2014/main" id="{00000000-0008-0000-0D00-00007D4F1000}"/>
            </a:ext>
          </a:extLst>
        </xdr:cNvPr>
        <xdr:cNvSpPr>
          <a:spLocks noChangeShapeType="1"/>
        </xdr:cNvSpPr>
      </xdr:nvSpPr>
      <xdr:spPr bwMode="auto">
        <a:xfrm flipV="1">
          <a:off x="520827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76200</xdr:colOff>
      <xdr:row>37</xdr:row>
      <xdr:rowOff>161925</xdr:rowOff>
    </xdr:from>
    <xdr:to>
      <xdr:col>76</xdr:col>
      <xdr:colOff>0</xdr:colOff>
      <xdr:row>39</xdr:row>
      <xdr:rowOff>47625</xdr:rowOff>
    </xdr:to>
    <xdr:sp macro="" textlink="">
      <xdr:nvSpPr>
        <xdr:cNvPr id="1068926" name="Line 339">
          <a:extLst>
            <a:ext uri="{FF2B5EF4-FFF2-40B4-BE49-F238E27FC236}">
              <a16:creationId xmlns:a16="http://schemas.microsoft.com/office/drawing/2014/main" id="{00000000-0008-0000-0D00-00007E4F1000}"/>
            </a:ext>
          </a:extLst>
        </xdr:cNvPr>
        <xdr:cNvSpPr>
          <a:spLocks noChangeShapeType="1"/>
        </xdr:cNvSpPr>
      </xdr:nvSpPr>
      <xdr:spPr bwMode="auto">
        <a:xfrm flipV="1">
          <a:off x="52149375" y="7458075"/>
          <a:ext cx="333375"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72</xdr:col>
      <xdr:colOff>0</xdr:colOff>
      <xdr:row>38</xdr:row>
      <xdr:rowOff>0</xdr:rowOff>
    </xdr:from>
    <xdr:to>
      <xdr:col>72</xdr:col>
      <xdr:colOff>76200</xdr:colOff>
      <xdr:row>38</xdr:row>
      <xdr:rowOff>9525</xdr:rowOff>
    </xdr:to>
    <xdr:sp macro="" textlink="">
      <xdr:nvSpPr>
        <xdr:cNvPr id="1068927" name="Line 340">
          <a:extLst>
            <a:ext uri="{FF2B5EF4-FFF2-40B4-BE49-F238E27FC236}">
              <a16:creationId xmlns:a16="http://schemas.microsoft.com/office/drawing/2014/main" id="{00000000-0008-0000-0D00-00007F4F1000}"/>
            </a:ext>
          </a:extLst>
        </xdr:cNvPr>
        <xdr:cNvSpPr>
          <a:spLocks noChangeShapeType="1"/>
        </xdr:cNvSpPr>
      </xdr:nvSpPr>
      <xdr:spPr bwMode="auto">
        <a:xfrm>
          <a:off x="499776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66675</xdr:colOff>
      <xdr:row>38</xdr:row>
      <xdr:rowOff>9525</xdr:rowOff>
    </xdr:from>
    <xdr:to>
      <xdr:col>72</xdr:col>
      <xdr:colOff>66675</xdr:colOff>
      <xdr:row>41</xdr:row>
      <xdr:rowOff>19050</xdr:rowOff>
    </xdr:to>
    <xdr:sp macro="" textlink="">
      <xdr:nvSpPr>
        <xdr:cNvPr id="1068928" name="Line 341">
          <a:extLst>
            <a:ext uri="{FF2B5EF4-FFF2-40B4-BE49-F238E27FC236}">
              <a16:creationId xmlns:a16="http://schemas.microsoft.com/office/drawing/2014/main" id="{00000000-0008-0000-0D00-0000804F1000}"/>
            </a:ext>
          </a:extLst>
        </xdr:cNvPr>
        <xdr:cNvSpPr>
          <a:spLocks noChangeShapeType="1"/>
        </xdr:cNvSpPr>
      </xdr:nvSpPr>
      <xdr:spPr bwMode="auto">
        <a:xfrm>
          <a:off x="50044350"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9525</xdr:colOff>
      <xdr:row>41</xdr:row>
      <xdr:rowOff>0</xdr:rowOff>
    </xdr:from>
    <xdr:to>
      <xdr:col>72</xdr:col>
      <xdr:colOff>66675</xdr:colOff>
      <xdr:row>41</xdr:row>
      <xdr:rowOff>9525</xdr:rowOff>
    </xdr:to>
    <xdr:sp macro="" textlink="">
      <xdr:nvSpPr>
        <xdr:cNvPr id="1068929" name="Line 342">
          <a:extLst>
            <a:ext uri="{FF2B5EF4-FFF2-40B4-BE49-F238E27FC236}">
              <a16:creationId xmlns:a16="http://schemas.microsoft.com/office/drawing/2014/main" id="{00000000-0008-0000-0D00-0000814F1000}"/>
            </a:ext>
          </a:extLst>
        </xdr:cNvPr>
        <xdr:cNvSpPr>
          <a:spLocks noChangeShapeType="1"/>
        </xdr:cNvSpPr>
      </xdr:nvSpPr>
      <xdr:spPr bwMode="auto">
        <a:xfrm flipV="1">
          <a:off x="499872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69</xdr:col>
      <xdr:colOff>0</xdr:colOff>
      <xdr:row>44</xdr:row>
      <xdr:rowOff>0</xdr:rowOff>
    </xdr:from>
    <xdr:to>
      <xdr:col>69</xdr:col>
      <xdr:colOff>76200</xdr:colOff>
      <xdr:row>44</xdr:row>
      <xdr:rowOff>9525</xdr:rowOff>
    </xdr:to>
    <xdr:sp macro="" textlink="">
      <xdr:nvSpPr>
        <xdr:cNvPr id="1068930" name="Line 343">
          <a:extLst>
            <a:ext uri="{FF2B5EF4-FFF2-40B4-BE49-F238E27FC236}">
              <a16:creationId xmlns:a16="http://schemas.microsoft.com/office/drawing/2014/main" id="{00000000-0008-0000-0D00-0000824F1000}"/>
            </a:ext>
          </a:extLst>
        </xdr:cNvPr>
        <xdr:cNvSpPr>
          <a:spLocks noChangeShapeType="1"/>
        </xdr:cNvSpPr>
      </xdr:nvSpPr>
      <xdr:spPr bwMode="auto">
        <a:xfrm>
          <a:off x="4781550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69</xdr:col>
      <xdr:colOff>0</xdr:colOff>
      <xdr:row>50</xdr:row>
      <xdr:rowOff>0</xdr:rowOff>
    </xdr:from>
    <xdr:to>
      <xdr:col>69</xdr:col>
      <xdr:colOff>57150</xdr:colOff>
      <xdr:row>50</xdr:row>
      <xdr:rowOff>9525</xdr:rowOff>
    </xdr:to>
    <xdr:sp macro="" textlink="">
      <xdr:nvSpPr>
        <xdr:cNvPr id="1068931" name="Line 345">
          <a:extLst>
            <a:ext uri="{FF2B5EF4-FFF2-40B4-BE49-F238E27FC236}">
              <a16:creationId xmlns:a16="http://schemas.microsoft.com/office/drawing/2014/main" id="{00000000-0008-0000-0D00-0000834F1000}"/>
            </a:ext>
          </a:extLst>
        </xdr:cNvPr>
        <xdr:cNvSpPr>
          <a:spLocks noChangeShapeType="1"/>
        </xdr:cNvSpPr>
      </xdr:nvSpPr>
      <xdr:spPr bwMode="auto">
        <a:xfrm flipV="1">
          <a:off x="47815500" y="96488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69</xdr:col>
      <xdr:colOff>95250</xdr:colOff>
      <xdr:row>47</xdr:row>
      <xdr:rowOff>19050</xdr:rowOff>
    </xdr:from>
    <xdr:to>
      <xdr:col>70</xdr:col>
      <xdr:colOff>9525</xdr:colOff>
      <xdr:row>50</xdr:row>
      <xdr:rowOff>19050</xdr:rowOff>
    </xdr:to>
    <xdr:sp macro="" textlink="">
      <xdr:nvSpPr>
        <xdr:cNvPr id="1068932" name="Line 363">
          <a:extLst>
            <a:ext uri="{FF2B5EF4-FFF2-40B4-BE49-F238E27FC236}">
              <a16:creationId xmlns:a16="http://schemas.microsoft.com/office/drawing/2014/main" id="{00000000-0008-0000-0D00-0000844F1000}"/>
            </a:ext>
          </a:extLst>
        </xdr:cNvPr>
        <xdr:cNvSpPr>
          <a:spLocks noChangeShapeType="1"/>
        </xdr:cNvSpPr>
      </xdr:nvSpPr>
      <xdr:spPr bwMode="auto">
        <a:xfrm>
          <a:off x="47910750" y="9124950"/>
          <a:ext cx="361950"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69</xdr:col>
      <xdr:colOff>0</xdr:colOff>
      <xdr:row>20</xdr:row>
      <xdr:rowOff>0</xdr:rowOff>
    </xdr:from>
    <xdr:to>
      <xdr:col>69</xdr:col>
      <xdr:colOff>76200</xdr:colOff>
      <xdr:row>20</xdr:row>
      <xdr:rowOff>9525</xdr:rowOff>
    </xdr:to>
    <xdr:sp macro="" textlink="">
      <xdr:nvSpPr>
        <xdr:cNvPr id="1068933" name="Line 365">
          <a:extLst>
            <a:ext uri="{FF2B5EF4-FFF2-40B4-BE49-F238E27FC236}">
              <a16:creationId xmlns:a16="http://schemas.microsoft.com/office/drawing/2014/main" id="{00000000-0008-0000-0D00-0000854F1000}"/>
            </a:ext>
          </a:extLst>
        </xdr:cNvPr>
        <xdr:cNvSpPr>
          <a:spLocks noChangeShapeType="1"/>
        </xdr:cNvSpPr>
      </xdr:nvSpPr>
      <xdr:spPr bwMode="auto">
        <a:xfrm>
          <a:off x="478155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69</xdr:col>
      <xdr:colOff>66675</xdr:colOff>
      <xdr:row>20</xdr:row>
      <xdr:rowOff>9525</xdr:rowOff>
    </xdr:from>
    <xdr:to>
      <xdr:col>69</xdr:col>
      <xdr:colOff>66675</xdr:colOff>
      <xdr:row>23</xdr:row>
      <xdr:rowOff>19050</xdr:rowOff>
    </xdr:to>
    <xdr:sp macro="" textlink="">
      <xdr:nvSpPr>
        <xdr:cNvPr id="1068934" name="Line 366">
          <a:extLst>
            <a:ext uri="{FF2B5EF4-FFF2-40B4-BE49-F238E27FC236}">
              <a16:creationId xmlns:a16="http://schemas.microsoft.com/office/drawing/2014/main" id="{00000000-0008-0000-0D00-0000864F1000}"/>
            </a:ext>
          </a:extLst>
        </xdr:cNvPr>
        <xdr:cNvSpPr>
          <a:spLocks noChangeShapeType="1"/>
        </xdr:cNvSpPr>
      </xdr:nvSpPr>
      <xdr:spPr bwMode="auto">
        <a:xfrm>
          <a:off x="4788217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69</xdr:col>
      <xdr:colOff>9525</xdr:colOff>
      <xdr:row>23</xdr:row>
      <xdr:rowOff>0</xdr:rowOff>
    </xdr:from>
    <xdr:to>
      <xdr:col>69</xdr:col>
      <xdr:colOff>66675</xdr:colOff>
      <xdr:row>23</xdr:row>
      <xdr:rowOff>9525</xdr:rowOff>
    </xdr:to>
    <xdr:sp macro="" textlink="">
      <xdr:nvSpPr>
        <xdr:cNvPr id="1068935" name="Line 367">
          <a:extLst>
            <a:ext uri="{FF2B5EF4-FFF2-40B4-BE49-F238E27FC236}">
              <a16:creationId xmlns:a16="http://schemas.microsoft.com/office/drawing/2014/main" id="{00000000-0008-0000-0D00-0000874F1000}"/>
            </a:ext>
          </a:extLst>
        </xdr:cNvPr>
        <xdr:cNvSpPr>
          <a:spLocks noChangeShapeType="1"/>
        </xdr:cNvSpPr>
      </xdr:nvSpPr>
      <xdr:spPr bwMode="auto">
        <a:xfrm flipV="1">
          <a:off x="478250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0</xdr:colOff>
      <xdr:row>20</xdr:row>
      <xdr:rowOff>0</xdr:rowOff>
    </xdr:from>
    <xdr:to>
      <xdr:col>72</xdr:col>
      <xdr:colOff>76200</xdr:colOff>
      <xdr:row>20</xdr:row>
      <xdr:rowOff>9525</xdr:rowOff>
    </xdr:to>
    <xdr:sp macro="" textlink="">
      <xdr:nvSpPr>
        <xdr:cNvPr id="1068936" name="Line 368">
          <a:extLst>
            <a:ext uri="{FF2B5EF4-FFF2-40B4-BE49-F238E27FC236}">
              <a16:creationId xmlns:a16="http://schemas.microsoft.com/office/drawing/2014/main" id="{00000000-0008-0000-0D00-0000884F1000}"/>
            </a:ext>
          </a:extLst>
        </xdr:cNvPr>
        <xdr:cNvSpPr>
          <a:spLocks noChangeShapeType="1"/>
        </xdr:cNvSpPr>
      </xdr:nvSpPr>
      <xdr:spPr bwMode="auto">
        <a:xfrm>
          <a:off x="499776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9525</xdr:colOff>
      <xdr:row>23</xdr:row>
      <xdr:rowOff>0</xdr:rowOff>
    </xdr:from>
    <xdr:to>
      <xdr:col>72</xdr:col>
      <xdr:colOff>66675</xdr:colOff>
      <xdr:row>23</xdr:row>
      <xdr:rowOff>9525</xdr:rowOff>
    </xdr:to>
    <xdr:sp macro="" textlink="">
      <xdr:nvSpPr>
        <xdr:cNvPr id="1068937" name="Line 370">
          <a:extLst>
            <a:ext uri="{FF2B5EF4-FFF2-40B4-BE49-F238E27FC236}">
              <a16:creationId xmlns:a16="http://schemas.microsoft.com/office/drawing/2014/main" id="{00000000-0008-0000-0D00-0000894F1000}"/>
            </a:ext>
          </a:extLst>
        </xdr:cNvPr>
        <xdr:cNvSpPr>
          <a:spLocks noChangeShapeType="1"/>
        </xdr:cNvSpPr>
      </xdr:nvSpPr>
      <xdr:spPr bwMode="auto">
        <a:xfrm flipV="1">
          <a:off x="4998720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0</xdr:colOff>
      <xdr:row>20</xdr:row>
      <xdr:rowOff>0</xdr:rowOff>
    </xdr:from>
    <xdr:to>
      <xdr:col>75</xdr:col>
      <xdr:colOff>76200</xdr:colOff>
      <xdr:row>20</xdr:row>
      <xdr:rowOff>9525</xdr:rowOff>
    </xdr:to>
    <xdr:sp macro="" textlink="">
      <xdr:nvSpPr>
        <xdr:cNvPr id="1068938" name="Line 371">
          <a:extLst>
            <a:ext uri="{FF2B5EF4-FFF2-40B4-BE49-F238E27FC236}">
              <a16:creationId xmlns:a16="http://schemas.microsoft.com/office/drawing/2014/main" id="{00000000-0008-0000-0D00-00008A4F1000}"/>
            </a:ext>
          </a:extLst>
        </xdr:cNvPr>
        <xdr:cNvSpPr>
          <a:spLocks noChangeShapeType="1"/>
        </xdr:cNvSpPr>
      </xdr:nvSpPr>
      <xdr:spPr bwMode="auto">
        <a:xfrm>
          <a:off x="520731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20</xdr:row>
      <xdr:rowOff>9525</xdr:rowOff>
    </xdr:from>
    <xdr:to>
      <xdr:col>75</xdr:col>
      <xdr:colOff>66675</xdr:colOff>
      <xdr:row>23</xdr:row>
      <xdr:rowOff>19050</xdr:rowOff>
    </xdr:to>
    <xdr:sp macro="" textlink="">
      <xdr:nvSpPr>
        <xdr:cNvPr id="1068939" name="Line 372">
          <a:extLst>
            <a:ext uri="{FF2B5EF4-FFF2-40B4-BE49-F238E27FC236}">
              <a16:creationId xmlns:a16="http://schemas.microsoft.com/office/drawing/2014/main" id="{00000000-0008-0000-0D00-00008B4F1000}"/>
            </a:ext>
          </a:extLst>
        </xdr:cNvPr>
        <xdr:cNvSpPr>
          <a:spLocks noChangeShapeType="1"/>
        </xdr:cNvSpPr>
      </xdr:nvSpPr>
      <xdr:spPr bwMode="auto">
        <a:xfrm>
          <a:off x="5213985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9525</xdr:colOff>
      <xdr:row>23</xdr:row>
      <xdr:rowOff>0</xdr:rowOff>
    </xdr:from>
    <xdr:to>
      <xdr:col>75</xdr:col>
      <xdr:colOff>66675</xdr:colOff>
      <xdr:row>23</xdr:row>
      <xdr:rowOff>9525</xdr:rowOff>
    </xdr:to>
    <xdr:sp macro="" textlink="">
      <xdr:nvSpPr>
        <xdr:cNvPr id="1068940" name="Line 373">
          <a:extLst>
            <a:ext uri="{FF2B5EF4-FFF2-40B4-BE49-F238E27FC236}">
              <a16:creationId xmlns:a16="http://schemas.microsoft.com/office/drawing/2014/main" id="{00000000-0008-0000-0D00-00008C4F1000}"/>
            </a:ext>
          </a:extLst>
        </xdr:cNvPr>
        <xdr:cNvSpPr>
          <a:spLocks noChangeShapeType="1"/>
        </xdr:cNvSpPr>
      </xdr:nvSpPr>
      <xdr:spPr bwMode="auto">
        <a:xfrm flipV="1">
          <a:off x="5208270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0</xdr:colOff>
      <xdr:row>20</xdr:row>
      <xdr:rowOff>0</xdr:rowOff>
    </xdr:from>
    <xdr:to>
      <xdr:col>75</xdr:col>
      <xdr:colOff>76200</xdr:colOff>
      <xdr:row>20</xdr:row>
      <xdr:rowOff>9525</xdr:rowOff>
    </xdr:to>
    <xdr:sp macro="" textlink="">
      <xdr:nvSpPr>
        <xdr:cNvPr id="1068941" name="Line 374">
          <a:extLst>
            <a:ext uri="{FF2B5EF4-FFF2-40B4-BE49-F238E27FC236}">
              <a16:creationId xmlns:a16="http://schemas.microsoft.com/office/drawing/2014/main" id="{00000000-0008-0000-0D00-00008D4F1000}"/>
            </a:ext>
          </a:extLst>
        </xdr:cNvPr>
        <xdr:cNvSpPr>
          <a:spLocks noChangeShapeType="1"/>
        </xdr:cNvSpPr>
      </xdr:nvSpPr>
      <xdr:spPr bwMode="auto">
        <a:xfrm>
          <a:off x="520731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20</xdr:row>
      <xdr:rowOff>9525</xdr:rowOff>
    </xdr:from>
    <xdr:to>
      <xdr:col>75</xdr:col>
      <xdr:colOff>66675</xdr:colOff>
      <xdr:row>23</xdr:row>
      <xdr:rowOff>19050</xdr:rowOff>
    </xdr:to>
    <xdr:sp macro="" textlink="">
      <xdr:nvSpPr>
        <xdr:cNvPr id="1068942" name="Line 375">
          <a:extLst>
            <a:ext uri="{FF2B5EF4-FFF2-40B4-BE49-F238E27FC236}">
              <a16:creationId xmlns:a16="http://schemas.microsoft.com/office/drawing/2014/main" id="{00000000-0008-0000-0D00-00008E4F1000}"/>
            </a:ext>
          </a:extLst>
        </xdr:cNvPr>
        <xdr:cNvSpPr>
          <a:spLocks noChangeShapeType="1"/>
        </xdr:cNvSpPr>
      </xdr:nvSpPr>
      <xdr:spPr bwMode="auto">
        <a:xfrm>
          <a:off x="5213985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9525</xdr:colOff>
      <xdr:row>23</xdr:row>
      <xdr:rowOff>0</xdr:rowOff>
    </xdr:from>
    <xdr:to>
      <xdr:col>75</xdr:col>
      <xdr:colOff>66675</xdr:colOff>
      <xdr:row>23</xdr:row>
      <xdr:rowOff>9525</xdr:rowOff>
    </xdr:to>
    <xdr:sp macro="" textlink="">
      <xdr:nvSpPr>
        <xdr:cNvPr id="1068943" name="Line 376">
          <a:extLst>
            <a:ext uri="{FF2B5EF4-FFF2-40B4-BE49-F238E27FC236}">
              <a16:creationId xmlns:a16="http://schemas.microsoft.com/office/drawing/2014/main" id="{00000000-0008-0000-0D00-00008F4F1000}"/>
            </a:ext>
          </a:extLst>
        </xdr:cNvPr>
        <xdr:cNvSpPr>
          <a:spLocks noChangeShapeType="1"/>
        </xdr:cNvSpPr>
      </xdr:nvSpPr>
      <xdr:spPr bwMode="auto">
        <a:xfrm flipV="1">
          <a:off x="5208270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76200</xdr:colOff>
      <xdr:row>21</xdr:row>
      <xdr:rowOff>66675</xdr:rowOff>
    </xdr:from>
    <xdr:to>
      <xdr:col>76</xdr:col>
      <xdr:colOff>9525</xdr:colOff>
      <xdr:row>23</xdr:row>
      <xdr:rowOff>19050</xdr:rowOff>
    </xdr:to>
    <xdr:sp macro="" textlink="">
      <xdr:nvSpPr>
        <xdr:cNvPr id="1068944" name="Line 377">
          <a:extLst>
            <a:ext uri="{FF2B5EF4-FFF2-40B4-BE49-F238E27FC236}">
              <a16:creationId xmlns:a16="http://schemas.microsoft.com/office/drawing/2014/main" id="{00000000-0008-0000-0D00-0000904F1000}"/>
            </a:ext>
          </a:extLst>
        </xdr:cNvPr>
        <xdr:cNvSpPr>
          <a:spLocks noChangeShapeType="1"/>
        </xdr:cNvSpPr>
      </xdr:nvSpPr>
      <xdr:spPr bwMode="auto">
        <a:xfrm>
          <a:off x="52149375" y="44672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75</xdr:col>
      <xdr:colOff>0</xdr:colOff>
      <xdr:row>20</xdr:row>
      <xdr:rowOff>0</xdr:rowOff>
    </xdr:from>
    <xdr:to>
      <xdr:col>75</xdr:col>
      <xdr:colOff>76200</xdr:colOff>
      <xdr:row>20</xdr:row>
      <xdr:rowOff>9525</xdr:rowOff>
    </xdr:to>
    <xdr:sp macro="" textlink="">
      <xdr:nvSpPr>
        <xdr:cNvPr id="1068945" name="Line 378">
          <a:extLst>
            <a:ext uri="{FF2B5EF4-FFF2-40B4-BE49-F238E27FC236}">
              <a16:creationId xmlns:a16="http://schemas.microsoft.com/office/drawing/2014/main" id="{00000000-0008-0000-0D00-0000914F1000}"/>
            </a:ext>
          </a:extLst>
        </xdr:cNvPr>
        <xdr:cNvSpPr>
          <a:spLocks noChangeShapeType="1"/>
        </xdr:cNvSpPr>
      </xdr:nvSpPr>
      <xdr:spPr bwMode="auto">
        <a:xfrm>
          <a:off x="520731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20</xdr:row>
      <xdr:rowOff>9525</xdr:rowOff>
    </xdr:from>
    <xdr:to>
      <xdr:col>75</xdr:col>
      <xdr:colOff>66675</xdr:colOff>
      <xdr:row>23</xdr:row>
      <xdr:rowOff>19050</xdr:rowOff>
    </xdr:to>
    <xdr:sp macro="" textlink="">
      <xdr:nvSpPr>
        <xdr:cNvPr id="1068946" name="Line 379">
          <a:extLst>
            <a:ext uri="{FF2B5EF4-FFF2-40B4-BE49-F238E27FC236}">
              <a16:creationId xmlns:a16="http://schemas.microsoft.com/office/drawing/2014/main" id="{00000000-0008-0000-0D00-0000924F1000}"/>
            </a:ext>
          </a:extLst>
        </xdr:cNvPr>
        <xdr:cNvSpPr>
          <a:spLocks noChangeShapeType="1"/>
        </xdr:cNvSpPr>
      </xdr:nvSpPr>
      <xdr:spPr bwMode="auto">
        <a:xfrm>
          <a:off x="5213985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9525</xdr:colOff>
      <xdr:row>23</xdr:row>
      <xdr:rowOff>0</xdr:rowOff>
    </xdr:from>
    <xdr:to>
      <xdr:col>75</xdr:col>
      <xdr:colOff>66675</xdr:colOff>
      <xdr:row>23</xdr:row>
      <xdr:rowOff>9525</xdr:rowOff>
    </xdr:to>
    <xdr:sp macro="" textlink="">
      <xdr:nvSpPr>
        <xdr:cNvPr id="1068947" name="Line 380">
          <a:extLst>
            <a:ext uri="{FF2B5EF4-FFF2-40B4-BE49-F238E27FC236}">
              <a16:creationId xmlns:a16="http://schemas.microsoft.com/office/drawing/2014/main" id="{00000000-0008-0000-0D00-0000934F1000}"/>
            </a:ext>
          </a:extLst>
        </xdr:cNvPr>
        <xdr:cNvSpPr>
          <a:spLocks noChangeShapeType="1"/>
        </xdr:cNvSpPr>
      </xdr:nvSpPr>
      <xdr:spPr bwMode="auto">
        <a:xfrm flipV="1">
          <a:off x="5208270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0</xdr:colOff>
      <xdr:row>20</xdr:row>
      <xdr:rowOff>0</xdr:rowOff>
    </xdr:from>
    <xdr:to>
      <xdr:col>72</xdr:col>
      <xdr:colOff>76200</xdr:colOff>
      <xdr:row>20</xdr:row>
      <xdr:rowOff>9525</xdr:rowOff>
    </xdr:to>
    <xdr:sp macro="" textlink="">
      <xdr:nvSpPr>
        <xdr:cNvPr id="1068948" name="Line 382">
          <a:extLst>
            <a:ext uri="{FF2B5EF4-FFF2-40B4-BE49-F238E27FC236}">
              <a16:creationId xmlns:a16="http://schemas.microsoft.com/office/drawing/2014/main" id="{00000000-0008-0000-0D00-0000944F1000}"/>
            </a:ext>
          </a:extLst>
        </xdr:cNvPr>
        <xdr:cNvSpPr>
          <a:spLocks noChangeShapeType="1"/>
        </xdr:cNvSpPr>
      </xdr:nvSpPr>
      <xdr:spPr bwMode="auto">
        <a:xfrm>
          <a:off x="499776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9525</xdr:colOff>
      <xdr:row>23</xdr:row>
      <xdr:rowOff>0</xdr:rowOff>
    </xdr:from>
    <xdr:to>
      <xdr:col>72</xdr:col>
      <xdr:colOff>66675</xdr:colOff>
      <xdr:row>23</xdr:row>
      <xdr:rowOff>9525</xdr:rowOff>
    </xdr:to>
    <xdr:sp macro="" textlink="">
      <xdr:nvSpPr>
        <xdr:cNvPr id="1068949" name="Line 384">
          <a:extLst>
            <a:ext uri="{FF2B5EF4-FFF2-40B4-BE49-F238E27FC236}">
              <a16:creationId xmlns:a16="http://schemas.microsoft.com/office/drawing/2014/main" id="{00000000-0008-0000-0D00-0000954F1000}"/>
            </a:ext>
          </a:extLst>
        </xdr:cNvPr>
        <xdr:cNvSpPr>
          <a:spLocks noChangeShapeType="1"/>
        </xdr:cNvSpPr>
      </xdr:nvSpPr>
      <xdr:spPr bwMode="auto">
        <a:xfrm flipV="1">
          <a:off x="4998720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69</xdr:col>
      <xdr:colOff>66675</xdr:colOff>
      <xdr:row>22</xdr:row>
      <xdr:rowOff>142875</xdr:rowOff>
    </xdr:from>
    <xdr:to>
      <xdr:col>69</xdr:col>
      <xdr:colOff>438150</xdr:colOff>
      <xdr:row>27</xdr:row>
      <xdr:rowOff>76200</xdr:rowOff>
    </xdr:to>
    <xdr:sp macro="" textlink="">
      <xdr:nvSpPr>
        <xdr:cNvPr id="1068950" name="Line 386">
          <a:extLst>
            <a:ext uri="{FF2B5EF4-FFF2-40B4-BE49-F238E27FC236}">
              <a16:creationId xmlns:a16="http://schemas.microsoft.com/office/drawing/2014/main" id="{00000000-0008-0000-0D00-0000964F1000}"/>
            </a:ext>
          </a:extLst>
        </xdr:cNvPr>
        <xdr:cNvSpPr>
          <a:spLocks noChangeShapeType="1"/>
        </xdr:cNvSpPr>
      </xdr:nvSpPr>
      <xdr:spPr bwMode="auto">
        <a:xfrm flipV="1">
          <a:off x="47882175" y="4724400"/>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69</xdr:col>
      <xdr:colOff>66675</xdr:colOff>
      <xdr:row>27</xdr:row>
      <xdr:rowOff>95250</xdr:rowOff>
    </xdr:from>
    <xdr:to>
      <xdr:col>70</xdr:col>
      <xdr:colOff>0</xdr:colOff>
      <xdr:row>31</xdr:row>
      <xdr:rowOff>171450</xdr:rowOff>
    </xdr:to>
    <xdr:sp macro="" textlink="">
      <xdr:nvSpPr>
        <xdr:cNvPr id="1068951" name="Line 387">
          <a:extLst>
            <a:ext uri="{FF2B5EF4-FFF2-40B4-BE49-F238E27FC236}">
              <a16:creationId xmlns:a16="http://schemas.microsoft.com/office/drawing/2014/main" id="{00000000-0008-0000-0D00-0000974F1000}"/>
            </a:ext>
          </a:extLst>
        </xdr:cNvPr>
        <xdr:cNvSpPr>
          <a:spLocks noChangeShapeType="1"/>
        </xdr:cNvSpPr>
      </xdr:nvSpPr>
      <xdr:spPr bwMode="auto">
        <a:xfrm>
          <a:off x="47882175" y="5581650"/>
          <a:ext cx="3810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69</xdr:col>
      <xdr:colOff>66675</xdr:colOff>
      <xdr:row>28</xdr:row>
      <xdr:rowOff>161925</xdr:rowOff>
    </xdr:from>
    <xdr:to>
      <xdr:col>69</xdr:col>
      <xdr:colOff>438150</xdr:colOff>
      <xdr:row>33</xdr:row>
      <xdr:rowOff>95250</xdr:rowOff>
    </xdr:to>
    <xdr:sp macro="" textlink="">
      <xdr:nvSpPr>
        <xdr:cNvPr id="1068952" name="Line 388">
          <a:extLst>
            <a:ext uri="{FF2B5EF4-FFF2-40B4-BE49-F238E27FC236}">
              <a16:creationId xmlns:a16="http://schemas.microsoft.com/office/drawing/2014/main" id="{00000000-0008-0000-0D00-0000984F1000}"/>
            </a:ext>
          </a:extLst>
        </xdr:cNvPr>
        <xdr:cNvSpPr>
          <a:spLocks noChangeShapeType="1"/>
        </xdr:cNvSpPr>
      </xdr:nvSpPr>
      <xdr:spPr bwMode="auto">
        <a:xfrm flipV="1">
          <a:off x="47882175" y="5829300"/>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69</xdr:col>
      <xdr:colOff>66675</xdr:colOff>
      <xdr:row>33</xdr:row>
      <xdr:rowOff>95250</xdr:rowOff>
    </xdr:from>
    <xdr:to>
      <xdr:col>70</xdr:col>
      <xdr:colOff>0</xdr:colOff>
      <xdr:row>37</xdr:row>
      <xdr:rowOff>171450</xdr:rowOff>
    </xdr:to>
    <xdr:sp macro="" textlink="">
      <xdr:nvSpPr>
        <xdr:cNvPr id="1068953" name="Line 389">
          <a:extLst>
            <a:ext uri="{FF2B5EF4-FFF2-40B4-BE49-F238E27FC236}">
              <a16:creationId xmlns:a16="http://schemas.microsoft.com/office/drawing/2014/main" id="{00000000-0008-0000-0D00-0000994F1000}"/>
            </a:ext>
          </a:extLst>
        </xdr:cNvPr>
        <xdr:cNvSpPr>
          <a:spLocks noChangeShapeType="1"/>
        </xdr:cNvSpPr>
      </xdr:nvSpPr>
      <xdr:spPr bwMode="auto">
        <a:xfrm>
          <a:off x="47882175" y="6667500"/>
          <a:ext cx="3810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69</xdr:col>
      <xdr:colOff>66675</xdr:colOff>
      <xdr:row>39</xdr:row>
      <xdr:rowOff>57150</xdr:rowOff>
    </xdr:from>
    <xdr:to>
      <xdr:col>70</xdr:col>
      <xdr:colOff>0</xdr:colOff>
      <xdr:row>44</xdr:row>
      <xdr:rowOff>19050</xdr:rowOff>
    </xdr:to>
    <xdr:sp macro="" textlink="">
      <xdr:nvSpPr>
        <xdr:cNvPr id="1068954" name="Line 390">
          <a:extLst>
            <a:ext uri="{FF2B5EF4-FFF2-40B4-BE49-F238E27FC236}">
              <a16:creationId xmlns:a16="http://schemas.microsoft.com/office/drawing/2014/main" id="{00000000-0008-0000-0D00-00009A4F1000}"/>
            </a:ext>
          </a:extLst>
        </xdr:cNvPr>
        <xdr:cNvSpPr>
          <a:spLocks noChangeShapeType="1"/>
        </xdr:cNvSpPr>
      </xdr:nvSpPr>
      <xdr:spPr bwMode="auto">
        <a:xfrm>
          <a:off x="47882175" y="7715250"/>
          <a:ext cx="38100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69</xdr:col>
      <xdr:colOff>66675</xdr:colOff>
      <xdr:row>34</xdr:row>
      <xdr:rowOff>152400</xdr:rowOff>
    </xdr:from>
    <xdr:to>
      <xdr:col>69</xdr:col>
      <xdr:colOff>438150</xdr:colOff>
      <xdr:row>39</xdr:row>
      <xdr:rowOff>85725</xdr:rowOff>
    </xdr:to>
    <xdr:sp macro="" textlink="">
      <xdr:nvSpPr>
        <xdr:cNvPr id="1068955" name="Line 391">
          <a:extLst>
            <a:ext uri="{FF2B5EF4-FFF2-40B4-BE49-F238E27FC236}">
              <a16:creationId xmlns:a16="http://schemas.microsoft.com/office/drawing/2014/main" id="{00000000-0008-0000-0D00-00009B4F1000}"/>
            </a:ext>
          </a:extLst>
        </xdr:cNvPr>
        <xdr:cNvSpPr>
          <a:spLocks noChangeShapeType="1"/>
        </xdr:cNvSpPr>
      </xdr:nvSpPr>
      <xdr:spPr bwMode="auto">
        <a:xfrm flipV="1">
          <a:off x="47882175" y="6905625"/>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69</xdr:col>
      <xdr:colOff>76200</xdr:colOff>
      <xdr:row>40</xdr:row>
      <xdr:rowOff>152400</xdr:rowOff>
    </xdr:from>
    <xdr:to>
      <xdr:col>70</xdr:col>
      <xdr:colOff>0</xdr:colOff>
      <xdr:row>46</xdr:row>
      <xdr:rowOff>161925</xdr:rowOff>
    </xdr:to>
    <xdr:sp macro="" textlink="">
      <xdr:nvSpPr>
        <xdr:cNvPr id="1068956" name="Line 392">
          <a:extLst>
            <a:ext uri="{FF2B5EF4-FFF2-40B4-BE49-F238E27FC236}">
              <a16:creationId xmlns:a16="http://schemas.microsoft.com/office/drawing/2014/main" id="{00000000-0008-0000-0D00-00009C4F1000}"/>
            </a:ext>
          </a:extLst>
        </xdr:cNvPr>
        <xdr:cNvSpPr>
          <a:spLocks noChangeShapeType="1"/>
        </xdr:cNvSpPr>
      </xdr:nvSpPr>
      <xdr:spPr bwMode="auto">
        <a:xfrm flipV="1">
          <a:off x="47891700" y="7991475"/>
          <a:ext cx="371475" cy="1095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72</xdr:col>
      <xdr:colOff>76200</xdr:colOff>
      <xdr:row>23</xdr:row>
      <xdr:rowOff>0</xdr:rowOff>
    </xdr:from>
    <xdr:to>
      <xdr:col>73</xdr:col>
      <xdr:colOff>0</xdr:colOff>
      <xdr:row>27</xdr:row>
      <xdr:rowOff>66675</xdr:rowOff>
    </xdr:to>
    <xdr:sp macro="" textlink="">
      <xdr:nvSpPr>
        <xdr:cNvPr id="1068957" name="Line 393">
          <a:extLst>
            <a:ext uri="{FF2B5EF4-FFF2-40B4-BE49-F238E27FC236}">
              <a16:creationId xmlns:a16="http://schemas.microsoft.com/office/drawing/2014/main" id="{00000000-0008-0000-0D00-00009D4F1000}"/>
            </a:ext>
          </a:extLst>
        </xdr:cNvPr>
        <xdr:cNvSpPr>
          <a:spLocks noChangeShapeType="1"/>
        </xdr:cNvSpPr>
      </xdr:nvSpPr>
      <xdr:spPr bwMode="auto">
        <a:xfrm flipV="1">
          <a:off x="50053875" y="4762500"/>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72</xdr:col>
      <xdr:colOff>76200</xdr:colOff>
      <xdr:row>28</xdr:row>
      <xdr:rowOff>171450</xdr:rowOff>
    </xdr:from>
    <xdr:to>
      <xdr:col>73</xdr:col>
      <xdr:colOff>0</xdr:colOff>
      <xdr:row>33</xdr:row>
      <xdr:rowOff>57150</xdr:rowOff>
    </xdr:to>
    <xdr:sp macro="" textlink="">
      <xdr:nvSpPr>
        <xdr:cNvPr id="1068958" name="Line 394">
          <a:extLst>
            <a:ext uri="{FF2B5EF4-FFF2-40B4-BE49-F238E27FC236}">
              <a16:creationId xmlns:a16="http://schemas.microsoft.com/office/drawing/2014/main" id="{00000000-0008-0000-0D00-00009E4F1000}"/>
            </a:ext>
          </a:extLst>
        </xdr:cNvPr>
        <xdr:cNvSpPr>
          <a:spLocks noChangeShapeType="1"/>
        </xdr:cNvSpPr>
      </xdr:nvSpPr>
      <xdr:spPr bwMode="auto">
        <a:xfrm flipV="1">
          <a:off x="50053875" y="5838825"/>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72</xdr:col>
      <xdr:colOff>76200</xdr:colOff>
      <xdr:row>34</xdr:row>
      <xdr:rowOff>171450</xdr:rowOff>
    </xdr:from>
    <xdr:to>
      <xdr:col>73</xdr:col>
      <xdr:colOff>0</xdr:colOff>
      <xdr:row>39</xdr:row>
      <xdr:rowOff>57150</xdr:rowOff>
    </xdr:to>
    <xdr:sp macro="" textlink="">
      <xdr:nvSpPr>
        <xdr:cNvPr id="1068959" name="Line 395">
          <a:extLst>
            <a:ext uri="{FF2B5EF4-FFF2-40B4-BE49-F238E27FC236}">
              <a16:creationId xmlns:a16="http://schemas.microsoft.com/office/drawing/2014/main" id="{00000000-0008-0000-0D00-00009F4F1000}"/>
            </a:ext>
          </a:extLst>
        </xdr:cNvPr>
        <xdr:cNvSpPr>
          <a:spLocks noChangeShapeType="1"/>
        </xdr:cNvSpPr>
      </xdr:nvSpPr>
      <xdr:spPr bwMode="auto">
        <a:xfrm flipV="1">
          <a:off x="50053875" y="6924675"/>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72</xdr:col>
      <xdr:colOff>57150</xdr:colOff>
      <xdr:row>27</xdr:row>
      <xdr:rowOff>76200</xdr:rowOff>
    </xdr:from>
    <xdr:to>
      <xdr:col>72</xdr:col>
      <xdr:colOff>400050</xdr:colOff>
      <xdr:row>32</xdr:row>
      <xdr:rowOff>0</xdr:rowOff>
    </xdr:to>
    <xdr:sp macro="" textlink="">
      <xdr:nvSpPr>
        <xdr:cNvPr id="1068960" name="Line 397">
          <a:extLst>
            <a:ext uri="{FF2B5EF4-FFF2-40B4-BE49-F238E27FC236}">
              <a16:creationId xmlns:a16="http://schemas.microsoft.com/office/drawing/2014/main" id="{00000000-0008-0000-0D00-0000A04F1000}"/>
            </a:ext>
          </a:extLst>
        </xdr:cNvPr>
        <xdr:cNvSpPr>
          <a:spLocks noChangeShapeType="1"/>
        </xdr:cNvSpPr>
      </xdr:nvSpPr>
      <xdr:spPr bwMode="auto">
        <a:xfrm>
          <a:off x="50034825" y="5562600"/>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72</xdr:col>
      <xdr:colOff>66675</xdr:colOff>
      <xdr:row>33</xdr:row>
      <xdr:rowOff>85725</xdr:rowOff>
    </xdr:from>
    <xdr:to>
      <xdr:col>73</xdr:col>
      <xdr:colOff>0</xdr:colOff>
      <xdr:row>38</xdr:row>
      <xdr:rowOff>9525</xdr:rowOff>
    </xdr:to>
    <xdr:sp macro="" textlink="">
      <xdr:nvSpPr>
        <xdr:cNvPr id="1068961" name="Line 398">
          <a:extLst>
            <a:ext uri="{FF2B5EF4-FFF2-40B4-BE49-F238E27FC236}">
              <a16:creationId xmlns:a16="http://schemas.microsoft.com/office/drawing/2014/main" id="{00000000-0008-0000-0D00-0000A14F1000}"/>
            </a:ext>
          </a:extLst>
        </xdr:cNvPr>
        <xdr:cNvSpPr>
          <a:spLocks noChangeShapeType="1"/>
        </xdr:cNvSpPr>
      </xdr:nvSpPr>
      <xdr:spPr bwMode="auto">
        <a:xfrm>
          <a:off x="50044350" y="6657975"/>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72</xdr:col>
      <xdr:colOff>76200</xdr:colOff>
      <xdr:row>39</xdr:row>
      <xdr:rowOff>57150</xdr:rowOff>
    </xdr:from>
    <xdr:to>
      <xdr:col>73</xdr:col>
      <xdr:colOff>0</xdr:colOff>
      <xdr:row>44</xdr:row>
      <xdr:rowOff>28575</xdr:rowOff>
    </xdr:to>
    <xdr:sp macro="" textlink="">
      <xdr:nvSpPr>
        <xdr:cNvPr id="1068962" name="Line 399">
          <a:extLst>
            <a:ext uri="{FF2B5EF4-FFF2-40B4-BE49-F238E27FC236}">
              <a16:creationId xmlns:a16="http://schemas.microsoft.com/office/drawing/2014/main" id="{00000000-0008-0000-0D00-0000A24F1000}"/>
            </a:ext>
          </a:extLst>
        </xdr:cNvPr>
        <xdr:cNvSpPr>
          <a:spLocks noChangeShapeType="1"/>
        </xdr:cNvSpPr>
      </xdr:nvSpPr>
      <xdr:spPr bwMode="auto">
        <a:xfrm>
          <a:off x="50053875" y="7715250"/>
          <a:ext cx="333375" cy="8763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69</xdr:col>
      <xdr:colOff>76200</xdr:colOff>
      <xdr:row>47</xdr:row>
      <xdr:rowOff>9525</xdr:rowOff>
    </xdr:from>
    <xdr:to>
      <xdr:col>70</xdr:col>
      <xdr:colOff>0</xdr:colOff>
      <xdr:row>47</xdr:row>
      <xdr:rowOff>9525</xdr:rowOff>
    </xdr:to>
    <xdr:sp macro="" textlink="">
      <xdr:nvSpPr>
        <xdr:cNvPr id="1068963" name="Line 392">
          <a:extLst>
            <a:ext uri="{FF2B5EF4-FFF2-40B4-BE49-F238E27FC236}">
              <a16:creationId xmlns:a16="http://schemas.microsoft.com/office/drawing/2014/main" id="{00000000-0008-0000-0D00-0000A34F1000}"/>
            </a:ext>
          </a:extLst>
        </xdr:cNvPr>
        <xdr:cNvSpPr>
          <a:spLocks noChangeShapeType="1"/>
        </xdr:cNvSpPr>
      </xdr:nvSpPr>
      <xdr:spPr bwMode="auto">
        <a:xfrm>
          <a:off x="47891700" y="9115425"/>
          <a:ext cx="3714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72</xdr:col>
      <xdr:colOff>0</xdr:colOff>
      <xdr:row>44</xdr:row>
      <xdr:rowOff>28575</xdr:rowOff>
    </xdr:from>
    <xdr:to>
      <xdr:col>72</xdr:col>
      <xdr:colOff>76200</xdr:colOff>
      <xdr:row>44</xdr:row>
      <xdr:rowOff>38100</xdr:rowOff>
    </xdr:to>
    <xdr:sp macro="" textlink="">
      <xdr:nvSpPr>
        <xdr:cNvPr id="1068964" name="Line 343">
          <a:extLst>
            <a:ext uri="{FF2B5EF4-FFF2-40B4-BE49-F238E27FC236}">
              <a16:creationId xmlns:a16="http://schemas.microsoft.com/office/drawing/2014/main" id="{00000000-0008-0000-0D00-0000A44F1000}"/>
            </a:ext>
          </a:extLst>
        </xdr:cNvPr>
        <xdr:cNvSpPr>
          <a:spLocks noChangeShapeType="1"/>
        </xdr:cNvSpPr>
      </xdr:nvSpPr>
      <xdr:spPr bwMode="auto">
        <a:xfrm>
          <a:off x="49977675" y="859155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47625</xdr:colOff>
      <xdr:row>47</xdr:row>
      <xdr:rowOff>38100</xdr:rowOff>
    </xdr:from>
    <xdr:to>
      <xdr:col>72</xdr:col>
      <xdr:colOff>400050</xdr:colOff>
      <xdr:row>50</xdr:row>
      <xdr:rowOff>0</xdr:rowOff>
    </xdr:to>
    <xdr:sp macro="" textlink="">
      <xdr:nvSpPr>
        <xdr:cNvPr id="1068965" name="Line 363">
          <a:extLst>
            <a:ext uri="{FF2B5EF4-FFF2-40B4-BE49-F238E27FC236}">
              <a16:creationId xmlns:a16="http://schemas.microsoft.com/office/drawing/2014/main" id="{00000000-0008-0000-0D00-0000A54F1000}"/>
            </a:ext>
          </a:extLst>
        </xdr:cNvPr>
        <xdr:cNvSpPr>
          <a:spLocks noChangeShapeType="1"/>
        </xdr:cNvSpPr>
      </xdr:nvSpPr>
      <xdr:spPr bwMode="auto">
        <a:xfrm>
          <a:off x="50025300" y="9144000"/>
          <a:ext cx="352425" cy="5048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72</xdr:col>
      <xdr:colOff>57150</xdr:colOff>
      <xdr:row>41</xdr:row>
      <xdr:rowOff>19050</xdr:rowOff>
    </xdr:from>
    <xdr:to>
      <xdr:col>72</xdr:col>
      <xdr:colOff>400050</xdr:colOff>
      <xdr:row>47</xdr:row>
      <xdr:rowOff>28575</xdr:rowOff>
    </xdr:to>
    <xdr:sp macro="" textlink="">
      <xdr:nvSpPr>
        <xdr:cNvPr id="1068966" name="Line 392">
          <a:extLst>
            <a:ext uri="{FF2B5EF4-FFF2-40B4-BE49-F238E27FC236}">
              <a16:creationId xmlns:a16="http://schemas.microsoft.com/office/drawing/2014/main" id="{00000000-0008-0000-0D00-0000A64F1000}"/>
            </a:ext>
          </a:extLst>
        </xdr:cNvPr>
        <xdr:cNvSpPr>
          <a:spLocks noChangeShapeType="1"/>
        </xdr:cNvSpPr>
      </xdr:nvSpPr>
      <xdr:spPr bwMode="auto">
        <a:xfrm flipV="1">
          <a:off x="50034825" y="8039100"/>
          <a:ext cx="342900" cy="1095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72</xdr:col>
      <xdr:colOff>76200</xdr:colOff>
      <xdr:row>47</xdr:row>
      <xdr:rowOff>38100</xdr:rowOff>
    </xdr:from>
    <xdr:to>
      <xdr:col>73</xdr:col>
      <xdr:colOff>0</xdr:colOff>
      <xdr:row>47</xdr:row>
      <xdr:rowOff>38100</xdr:rowOff>
    </xdr:to>
    <xdr:sp macro="" textlink="">
      <xdr:nvSpPr>
        <xdr:cNvPr id="1068967" name="Line 392">
          <a:extLst>
            <a:ext uri="{FF2B5EF4-FFF2-40B4-BE49-F238E27FC236}">
              <a16:creationId xmlns:a16="http://schemas.microsoft.com/office/drawing/2014/main" id="{00000000-0008-0000-0D00-0000A74F1000}"/>
            </a:ext>
          </a:extLst>
        </xdr:cNvPr>
        <xdr:cNvSpPr>
          <a:spLocks noChangeShapeType="1"/>
        </xdr:cNvSpPr>
      </xdr:nvSpPr>
      <xdr:spPr bwMode="auto">
        <a:xfrm>
          <a:off x="50053875" y="9144000"/>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72</xdr:col>
      <xdr:colOff>66675</xdr:colOff>
      <xdr:row>44</xdr:row>
      <xdr:rowOff>38100</xdr:rowOff>
    </xdr:from>
    <xdr:to>
      <xdr:col>72</xdr:col>
      <xdr:colOff>66675</xdr:colOff>
      <xdr:row>49</xdr:row>
      <xdr:rowOff>142875</xdr:rowOff>
    </xdr:to>
    <xdr:sp macro="" textlink="">
      <xdr:nvSpPr>
        <xdr:cNvPr id="1068968" name="Line 344">
          <a:extLst>
            <a:ext uri="{FF2B5EF4-FFF2-40B4-BE49-F238E27FC236}">
              <a16:creationId xmlns:a16="http://schemas.microsoft.com/office/drawing/2014/main" id="{00000000-0008-0000-0D00-0000A84F1000}"/>
            </a:ext>
          </a:extLst>
        </xdr:cNvPr>
        <xdr:cNvSpPr>
          <a:spLocks noChangeShapeType="1"/>
        </xdr:cNvSpPr>
      </xdr:nvSpPr>
      <xdr:spPr bwMode="auto">
        <a:xfrm flipH="1">
          <a:off x="50044350" y="8601075"/>
          <a:ext cx="0" cy="1009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9525</xdr:colOff>
      <xdr:row>50</xdr:row>
      <xdr:rowOff>0</xdr:rowOff>
    </xdr:from>
    <xdr:to>
      <xdr:col>72</xdr:col>
      <xdr:colOff>66675</xdr:colOff>
      <xdr:row>50</xdr:row>
      <xdr:rowOff>9525</xdr:rowOff>
    </xdr:to>
    <xdr:sp macro="" textlink="">
      <xdr:nvSpPr>
        <xdr:cNvPr id="1068969" name="Line 345">
          <a:extLst>
            <a:ext uri="{FF2B5EF4-FFF2-40B4-BE49-F238E27FC236}">
              <a16:creationId xmlns:a16="http://schemas.microsoft.com/office/drawing/2014/main" id="{00000000-0008-0000-0D00-0000A94F1000}"/>
            </a:ext>
          </a:extLst>
        </xdr:cNvPr>
        <xdr:cNvSpPr>
          <a:spLocks noChangeShapeType="1"/>
        </xdr:cNvSpPr>
      </xdr:nvSpPr>
      <xdr:spPr bwMode="auto">
        <a:xfrm flipV="1">
          <a:off x="49987200" y="96488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0</xdr:colOff>
      <xdr:row>44</xdr:row>
      <xdr:rowOff>0</xdr:rowOff>
    </xdr:from>
    <xdr:to>
      <xdr:col>75</xdr:col>
      <xdr:colOff>76200</xdr:colOff>
      <xdr:row>44</xdr:row>
      <xdr:rowOff>9525</xdr:rowOff>
    </xdr:to>
    <xdr:sp macro="" textlink="">
      <xdr:nvSpPr>
        <xdr:cNvPr id="1068970" name="Line 473">
          <a:extLst>
            <a:ext uri="{FF2B5EF4-FFF2-40B4-BE49-F238E27FC236}">
              <a16:creationId xmlns:a16="http://schemas.microsoft.com/office/drawing/2014/main" id="{00000000-0008-0000-0D00-0000AA4F1000}"/>
            </a:ext>
          </a:extLst>
        </xdr:cNvPr>
        <xdr:cNvSpPr>
          <a:spLocks noChangeShapeType="1"/>
        </xdr:cNvSpPr>
      </xdr:nvSpPr>
      <xdr:spPr bwMode="auto">
        <a:xfrm>
          <a:off x="5207317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44</xdr:row>
      <xdr:rowOff>9525</xdr:rowOff>
    </xdr:from>
    <xdr:to>
      <xdr:col>75</xdr:col>
      <xdr:colOff>66675</xdr:colOff>
      <xdr:row>47</xdr:row>
      <xdr:rowOff>19050</xdr:rowOff>
    </xdr:to>
    <xdr:sp macro="" textlink="">
      <xdr:nvSpPr>
        <xdr:cNvPr id="1068971" name="Line 474">
          <a:extLst>
            <a:ext uri="{FF2B5EF4-FFF2-40B4-BE49-F238E27FC236}">
              <a16:creationId xmlns:a16="http://schemas.microsoft.com/office/drawing/2014/main" id="{00000000-0008-0000-0D00-0000AB4F1000}"/>
            </a:ext>
          </a:extLst>
        </xdr:cNvPr>
        <xdr:cNvSpPr>
          <a:spLocks noChangeShapeType="1"/>
        </xdr:cNvSpPr>
      </xdr:nvSpPr>
      <xdr:spPr bwMode="auto">
        <a:xfrm>
          <a:off x="52139850"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0</xdr:colOff>
      <xdr:row>44</xdr:row>
      <xdr:rowOff>0</xdr:rowOff>
    </xdr:from>
    <xdr:to>
      <xdr:col>75</xdr:col>
      <xdr:colOff>76200</xdr:colOff>
      <xdr:row>44</xdr:row>
      <xdr:rowOff>9525</xdr:rowOff>
    </xdr:to>
    <xdr:sp macro="" textlink="">
      <xdr:nvSpPr>
        <xdr:cNvPr id="1068972" name="Line 475">
          <a:extLst>
            <a:ext uri="{FF2B5EF4-FFF2-40B4-BE49-F238E27FC236}">
              <a16:creationId xmlns:a16="http://schemas.microsoft.com/office/drawing/2014/main" id="{00000000-0008-0000-0D00-0000AC4F1000}"/>
            </a:ext>
          </a:extLst>
        </xdr:cNvPr>
        <xdr:cNvSpPr>
          <a:spLocks noChangeShapeType="1"/>
        </xdr:cNvSpPr>
      </xdr:nvSpPr>
      <xdr:spPr bwMode="auto">
        <a:xfrm>
          <a:off x="5207317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44</xdr:row>
      <xdr:rowOff>9525</xdr:rowOff>
    </xdr:from>
    <xdr:to>
      <xdr:col>75</xdr:col>
      <xdr:colOff>66675</xdr:colOff>
      <xdr:row>47</xdr:row>
      <xdr:rowOff>19050</xdr:rowOff>
    </xdr:to>
    <xdr:sp macro="" textlink="">
      <xdr:nvSpPr>
        <xdr:cNvPr id="1068973" name="Line 476">
          <a:extLst>
            <a:ext uri="{FF2B5EF4-FFF2-40B4-BE49-F238E27FC236}">
              <a16:creationId xmlns:a16="http://schemas.microsoft.com/office/drawing/2014/main" id="{00000000-0008-0000-0D00-0000AD4F1000}"/>
            </a:ext>
          </a:extLst>
        </xdr:cNvPr>
        <xdr:cNvSpPr>
          <a:spLocks noChangeShapeType="1"/>
        </xdr:cNvSpPr>
      </xdr:nvSpPr>
      <xdr:spPr bwMode="auto">
        <a:xfrm>
          <a:off x="52139850"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76200</xdr:colOff>
      <xdr:row>47</xdr:row>
      <xdr:rowOff>19050</xdr:rowOff>
    </xdr:from>
    <xdr:to>
      <xdr:col>76</xdr:col>
      <xdr:colOff>9525</xdr:colOff>
      <xdr:row>50</xdr:row>
      <xdr:rowOff>9525</xdr:rowOff>
    </xdr:to>
    <xdr:sp macro="" textlink="">
      <xdr:nvSpPr>
        <xdr:cNvPr id="1068974" name="Line 477">
          <a:extLst>
            <a:ext uri="{FF2B5EF4-FFF2-40B4-BE49-F238E27FC236}">
              <a16:creationId xmlns:a16="http://schemas.microsoft.com/office/drawing/2014/main" id="{00000000-0008-0000-0D00-0000AE4F1000}"/>
            </a:ext>
          </a:extLst>
        </xdr:cNvPr>
        <xdr:cNvSpPr>
          <a:spLocks noChangeShapeType="1"/>
        </xdr:cNvSpPr>
      </xdr:nvSpPr>
      <xdr:spPr bwMode="auto">
        <a:xfrm>
          <a:off x="52149375" y="9124950"/>
          <a:ext cx="342900" cy="5334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75</xdr:col>
      <xdr:colOff>0</xdr:colOff>
      <xdr:row>44</xdr:row>
      <xdr:rowOff>0</xdr:rowOff>
    </xdr:from>
    <xdr:to>
      <xdr:col>75</xdr:col>
      <xdr:colOff>76200</xdr:colOff>
      <xdr:row>44</xdr:row>
      <xdr:rowOff>9525</xdr:rowOff>
    </xdr:to>
    <xdr:sp macro="" textlink="">
      <xdr:nvSpPr>
        <xdr:cNvPr id="1068975" name="Line 478">
          <a:extLst>
            <a:ext uri="{FF2B5EF4-FFF2-40B4-BE49-F238E27FC236}">
              <a16:creationId xmlns:a16="http://schemas.microsoft.com/office/drawing/2014/main" id="{00000000-0008-0000-0D00-0000AF4F1000}"/>
            </a:ext>
          </a:extLst>
        </xdr:cNvPr>
        <xdr:cNvSpPr>
          <a:spLocks noChangeShapeType="1"/>
        </xdr:cNvSpPr>
      </xdr:nvSpPr>
      <xdr:spPr bwMode="auto">
        <a:xfrm>
          <a:off x="5207317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44</xdr:row>
      <xdr:rowOff>9525</xdr:rowOff>
    </xdr:from>
    <xdr:to>
      <xdr:col>75</xdr:col>
      <xdr:colOff>66675</xdr:colOff>
      <xdr:row>49</xdr:row>
      <xdr:rowOff>152400</xdr:rowOff>
    </xdr:to>
    <xdr:sp macro="" textlink="">
      <xdr:nvSpPr>
        <xdr:cNvPr id="1068976" name="Line 479">
          <a:extLst>
            <a:ext uri="{FF2B5EF4-FFF2-40B4-BE49-F238E27FC236}">
              <a16:creationId xmlns:a16="http://schemas.microsoft.com/office/drawing/2014/main" id="{00000000-0008-0000-0D00-0000B04F1000}"/>
            </a:ext>
          </a:extLst>
        </xdr:cNvPr>
        <xdr:cNvSpPr>
          <a:spLocks noChangeShapeType="1"/>
        </xdr:cNvSpPr>
      </xdr:nvSpPr>
      <xdr:spPr bwMode="auto">
        <a:xfrm>
          <a:off x="52139850" y="8572500"/>
          <a:ext cx="0" cy="1047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43</xdr:row>
      <xdr:rowOff>161925</xdr:rowOff>
    </xdr:from>
    <xdr:to>
      <xdr:col>76</xdr:col>
      <xdr:colOff>0</xdr:colOff>
      <xdr:row>47</xdr:row>
      <xdr:rowOff>0</xdr:rowOff>
    </xdr:to>
    <xdr:sp macro="" textlink="">
      <xdr:nvSpPr>
        <xdr:cNvPr id="1068977" name="Line 480">
          <a:extLst>
            <a:ext uri="{FF2B5EF4-FFF2-40B4-BE49-F238E27FC236}">
              <a16:creationId xmlns:a16="http://schemas.microsoft.com/office/drawing/2014/main" id="{00000000-0008-0000-0D00-0000B14F1000}"/>
            </a:ext>
          </a:extLst>
        </xdr:cNvPr>
        <xdr:cNvSpPr>
          <a:spLocks noChangeShapeType="1"/>
        </xdr:cNvSpPr>
      </xdr:nvSpPr>
      <xdr:spPr bwMode="auto">
        <a:xfrm flipV="1">
          <a:off x="52139850" y="8543925"/>
          <a:ext cx="342900" cy="5619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75</xdr:col>
      <xdr:colOff>66675</xdr:colOff>
      <xdr:row>47</xdr:row>
      <xdr:rowOff>9525</xdr:rowOff>
    </xdr:from>
    <xdr:to>
      <xdr:col>76</xdr:col>
      <xdr:colOff>0</xdr:colOff>
      <xdr:row>47</xdr:row>
      <xdr:rowOff>9525</xdr:rowOff>
    </xdr:to>
    <xdr:sp macro="" textlink="">
      <xdr:nvSpPr>
        <xdr:cNvPr id="1068978" name="Line 481">
          <a:extLst>
            <a:ext uri="{FF2B5EF4-FFF2-40B4-BE49-F238E27FC236}">
              <a16:creationId xmlns:a16="http://schemas.microsoft.com/office/drawing/2014/main" id="{00000000-0008-0000-0D00-0000B24F1000}"/>
            </a:ext>
          </a:extLst>
        </xdr:cNvPr>
        <xdr:cNvSpPr>
          <a:spLocks noChangeShapeType="1"/>
        </xdr:cNvSpPr>
      </xdr:nvSpPr>
      <xdr:spPr bwMode="auto">
        <a:xfrm>
          <a:off x="52139850" y="9115425"/>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75</xdr:col>
      <xdr:colOff>9525</xdr:colOff>
      <xdr:row>49</xdr:row>
      <xdr:rowOff>171450</xdr:rowOff>
    </xdr:from>
    <xdr:to>
      <xdr:col>75</xdr:col>
      <xdr:colOff>66675</xdr:colOff>
      <xdr:row>50</xdr:row>
      <xdr:rowOff>0</xdr:rowOff>
    </xdr:to>
    <xdr:sp macro="" textlink="">
      <xdr:nvSpPr>
        <xdr:cNvPr id="1068979" name="Line 482">
          <a:extLst>
            <a:ext uri="{FF2B5EF4-FFF2-40B4-BE49-F238E27FC236}">
              <a16:creationId xmlns:a16="http://schemas.microsoft.com/office/drawing/2014/main" id="{00000000-0008-0000-0D00-0000B34F1000}"/>
            </a:ext>
          </a:extLst>
        </xdr:cNvPr>
        <xdr:cNvSpPr>
          <a:spLocks noChangeShapeType="1"/>
        </xdr:cNvSpPr>
      </xdr:nvSpPr>
      <xdr:spPr bwMode="auto">
        <a:xfrm flipV="1">
          <a:off x="52082700" y="96393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69</xdr:col>
      <xdr:colOff>9525</xdr:colOff>
      <xdr:row>41</xdr:row>
      <xdr:rowOff>0</xdr:rowOff>
    </xdr:from>
    <xdr:to>
      <xdr:col>69</xdr:col>
      <xdr:colOff>66675</xdr:colOff>
      <xdr:row>41</xdr:row>
      <xdr:rowOff>9525</xdr:rowOff>
    </xdr:to>
    <xdr:sp macro="" textlink="">
      <xdr:nvSpPr>
        <xdr:cNvPr id="1068980" name="Line 39">
          <a:extLst>
            <a:ext uri="{FF2B5EF4-FFF2-40B4-BE49-F238E27FC236}">
              <a16:creationId xmlns:a16="http://schemas.microsoft.com/office/drawing/2014/main" id="{00000000-0008-0000-0D00-0000B44F1000}"/>
            </a:ext>
          </a:extLst>
        </xdr:cNvPr>
        <xdr:cNvSpPr>
          <a:spLocks noChangeShapeType="1"/>
        </xdr:cNvSpPr>
      </xdr:nvSpPr>
      <xdr:spPr bwMode="auto">
        <a:xfrm flipV="1">
          <a:off x="4782502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9525</xdr:colOff>
      <xdr:row>41</xdr:row>
      <xdr:rowOff>0</xdr:rowOff>
    </xdr:from>
    <xdr:to>
      <xdr:col>72</xdr:col>
      <xdr:colOff>66675</xdr:colOff>
      <xdr:row>41</xdr:row>
      <xdr:rowOff>9525</xdr:rowOff>
    </xdr:to>
    <xdr:sp macro="" textlink="">
      <xdr:nvSpPr>
        <xdr:cNvPr id="1068981" name="Line 42">
          <a:extLst>
            <a:ext uri="{FF2B5EF4-FFF2-40B4-BE49-F238E27FC236}">
              <a16:creationId xmlns:a16="http://schemas.microsoft.com/office/drawing/2014/main" id="{00000000-0008-0000-0D00-0000B54F1000}"/>
            </a:ext>
          </a:extLst>
        </xdr:cNvPr>
        <xdr:cNvSpPr>
          <a:spLocks noChangeShapeType="1"/>
        </xdr:cNvSpPr>
      </xdr:nvSpPr>
      <xdr:spPr bwMode="auto">
        <a:xfrm flipV="1">
          <a:off x="499872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9525</xdr:colOff>
      <xdr:row>41</xdr:row>
      <xdr:rowOff>0</xdr:rowOff>
    </xdr:from>
    <xdr:to>
      <xdr:col>75</xdr:col>
      <xdr:colOff>66675</xdr:colOff>
      <xdr:row>41</xdr:row>
      <xdr:rowOff>9525</xdr:rowOff>
    </xdr:to>
    <xdr:sp macro="" textlink="">
      <xdr:nvSpPr>
        <xdr:cNvPr id="1068982" name="Line 45">
          <a:extLst>
            <a:ext uri="{FF2B5EF4-FFF2-40B4-BE49-F238E27FC236}">
              <a16:creationId xmlns:a16="http://schemas.microsoft.com/office/drawing/2014/main" id="{00000000-0008-0000-0D00-0000B64F1000}"/>
            </a:ext>
          </a:extLst>
        </xdr:cNvPr>
        <xdr:cNvSpPr>
          <a:spLocks noChangeShapeType="1"/>
        </xdr:cNvSpPr>
      </xdr:nvSpPr>
      <xdr:spPr bwMode="auto">
        <a:xfrm flipV="1">
          <a:off x="520827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9525</xdr:colOff>
      <xdr:row>41</xdr:row>
      <xdr:rowOff>0</xdr:rowOff>
    </xdr:from>
    <xdr:to>
      <xdr:col>75</xdr:col>
      <xdr:colOff>66675</xdr:colOff>
      <xdr:row>41</xdr:row>
      <xdr:rowOff>9525</xdr:rowOff>
    </xdr:to>
    <xdr:sp macro="" textlink="">
      <xdr:nvSpPr>
        <xdr:cNvPr id="1068983" name="Line 79">
          <a:extLst>
            <a:ext uri="{FF2B5EF4-FFF2-40B4-BE49-F238E27FC236}">
              <a16:creationId xmlns:a16="http://schemas.microsoft.com/office/drawing/2014/main" id="{00000000-0008-0000-0D00-0000B74F1000}"/>
            </a:ext>
          </a:extLst>
        </xdr:cNvPr>
        <xdr:cNvSpPr>
          <a:spLocks noChangeShapeType="1"/>
        </xdr:cNvSpPr>
      </xdr:nvSpPr>
      <xdr:spPr bwMode="auto">
        <a:xfrm flipV="1">
          <a:off x="520827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76200</xdr:colOff>
      <xdr:row>39</xdr:row>
      <xdr:rowOff>66675</xdr:rowOff>
    </xdr:from>
    <xdr:to>
      <xdr:col>76</xdr:col>
      <xdr:colOff>9525</xdr:colOff>
      <xdr:row>41</xdr:row>
      <xdr:rowOff>19050</xdr:rowOff>
    </xdr:to>
    <xdr:sp macro="" textlink="">
      <xdr:nvSpPr>
        <xdr:cNvPr id="1068984" name="Line 81">
          <a:extLst>
            <a:ext uri="{FF2B5EF4-FFF2-40B4-BE49-F238E27FC236}">
              <a16:creationId xmlns:a16="http://schemas.microsoft.com/office/drawing/2014/main" id="{00000000-0008-0000-0D00-0000B84F1000}"/>
            </a:ext>
          </a:extLst>
        </xdr:cNvPr>
        <xdr:cNvSpPr>
          <a:spLocks noChangeShapeType="1"/>
        </xdr:cNvSpPr>
      </xdr:nvSpPr>
      <xdr:spPr bwMode="auto">
        <a:xfrm>
          <a:off x="52149375" y="77247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75</xdr:col>
      <xdr:colOff>9525</xdr:colOff>
      <xdr:row>41</xdr:row>
      <xdr:rowOff>0</xdr:rowOff>
    </xdr:from>
    <xdr:to>
      <xdr:col>75</xdr:col>
      <xdr:colOff>66675</xdr:colOff>
      <xdr:row>41</xdr:row>
      <xdr:rowOff>9525</xdr:rowOff>
    </xdr:to>
    <xdr:sp macro="" textlink="">
      <xdr:nvSpPr>
        <xdr:cNvPr id="1068985" name="Line 92">
          <a:extLst>
            <a:ext uri="{FF2B5EF4-FFF2-40B4-BE49-F238E27FC236}">
              <a16:creationId xmlns:a16="http://schemas.microsoft.com/office/drawing/2014/main" id="{00000000-0008-0000-0D00-0000B94F1000}"/>
            </a:ext>
          </a:extLst>
        </xdr:cNvPr>
        <xdr:cNvSpPr>
          <a:spLocks noChangeShapeType="1"/>
        </xdr:cNvSpPr>
      </xdr:nvSpPr>
      <xdr:spPr bwMode="auto">
        <a:xfrm flipV="1">
          <a:off x="520827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9525</xdr:colOff>
      <xdr:row>41</xdr:row>
      <xdr:rowOff>0</xdr:rowOff>
    </xdr:from>
    <xdr:to>
      <xdr:col>72</xdr:col>
      <xdr:colOff>66675</xdr:colOff>
      <xdr:row>41</xdr:row>
      <xdr:rowOff>9525</xdr:rowOff>
    </xdr:to>
    <xdr:sp macro="" textlink="">
      <xdr:nvSpPr>
        <xdr:cNvPr id="1068986" name="Line 136">
          <a:extLst>
            <a:ext uri="{FF2B5EF4-FFF2-40B4-BE49-F238E27FC236}">
              <a16:creationId xmlns:a16="http://schemas.microsoft.com/office/drawing/2014/main" id="{00000000-0008-0000-0D00-0000BA4F1000}"/>
            </a:ext>
          </a:extLst>
        </xdr:cNvPr>
        <xdr:cNvSpPr>
          <a:spLocks noChangeShapeType="1"/>
        </xdr:cNvSpPr>
      </xdr:nvSpPr>
      <xdr:spPr bwMode="auto">
        <a:xfrm flipV="1">
          <a:off x="499872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69</xdr:col>
      <xdr:colOff>85725</xdr:colOff>
      <xdr:row>44</xdr:row>
      <xdr:rowOff>0</xdr:rowOff>
    </xdr:from>
    <xdr:to>
      <xdr:col>69</xdr:col>
      <xdr:colOff>85725</xdr:colOff>
      <xdr:row>49</xdr:row>
      <xdr:rowOff>142875</xdr:rowOff>
    </xdr:to>
    <xdr:sp macro="" textlink="">
      <xdr:nvSpPr>
        <xdr:cNvPr id="1068987" name="Line 460">
          <a:extLst>
            <a:ext uri="{FF2B5EF4-FFF2-40B4-BE49-F238E27FC236}">
              <a16:creationId xmlns:a16="http://schemas.microsoft.com/office/drawing/2014/main" id="{00000000-0008-0000-0D00-0000BB4F1000}"/>
            </a:ext>
          </a:extLst>
        </xdr:cNvPr>
        <xdr:cNvSpPr>
          <a:spLocks noChangeShapeType="1"/>
        </xdr:cNvSpPr>
      </xdr:nvSpPr>
      <xdr:spPr bwMode="auto">
        <a:xfrm>
          <a:off x="47901225" y="8562975"/>
          <a:ext cx="0" cy="1047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9525</xdr:colOff>
      <xdr:row>41</xdr:row>
      <xdr:rowOff>0</xdr:rowOff>
    </xdr:from>
    <xdr:to>
      <xdr:col>72</xdr:col>
      <xdr:colOff>66675</xdr:colOff>
      <xdr:row>41</xdr:row>
      <xdr:rowOff>9525</xdr:rowOff>
    </xdr:to>
    <xdr:sp macro="" textlink="">
      <xdr:nvSpPr>
        <xdr:cNvPr id="1068988" name="Line 464">
          <a:extLst>
            <a:ext uri="{FF2B5EF4-FFF2-40B4-BE49-F238E27FC236}">
              <a16:creationId xmlns:a16="http://schemas.microsoft.com/office/drawing/2014/main" id="{00000000-0008-0000-0D00-0000BC4F1000}"/>
            </a:ext>
          </a:extLst>
        </xdr:cNvPr>
        <xdr:cNvSpPr>
          <a:spLocks noChangeShapeType="1"/>
        </xdr:cNvSpPr>
      </xdr:nvSpPr>
      <xdr:spPr bwMode="auto">
        <a:xfrm flipV="1">
          <a:off x="499872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0</xdr:colOff>
      <xdr:row>44</xdr:row>
      <xdr:rowOff>0</xdr:rowOff>
    </xdr:from>
    <xdr:to>
      <xdr:col>75</xdr:col>
      <xdr:colOff>76200</xdr:colOff>
      <xdr:row>44</xdr:row>
      <xdr:rowOff>9525</xdr:rowOff>
    </xdr:to>
    <xdr:sp macro="" textlink="">
      <xdr:nvSpPr>
        <xdr:cNvPr id="1068989" name="Line 473">
          <a:extLst>
            <a:ext uri="{FF2B5EF4-FFF2-40B4-BE49-F238E27FC236}">
              <a16:creationId xmlns:a16="http://schemas.microsoft.com/office/drawing/2014/main" id="{00000000-0008-0000-0D00-0000BD4F1000}"/>
            </a:ext>
          </a:extLst>
        </xdr:cNvPr>
        <xdr:cNvSpPr>
          <a:spLocks noChangeShapeType="1"/>
        </xdr:cNvSpPr>
      </xdr:nvSpPr>
      <xdr:spPr bwMode="auto">
        <a:xfrm>
          <a:off x="5207317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44</xdr:row>
      <xdr:rowOff>9525</xdr:rowOff>
    </xdr:from>
    <xdr:to>
      <xdr:col>75</xdr:col>
      <xdr:colOff>66675</xdr:colOff>
      <xdr:row>47</xdr:row>
      <xdr:rowOff>19050</xdr:rowOff>
    </xdr:to>
    <xdr:sp macro="" textlink="">
      <xdr:nvSpPr>
        <xdr:cNvPr id="1068990" name="Line 474">
          <a:extLst>
            <a:ext uri="{FF2B5EF4-FFF2-40B4-BE49-F238E27FC236}">
              <a16:creationId xmlns:a16="http://schemas.microsoft.com/office/drawing/2014/main" id="{00000000-0008-0000-0D00-0000BE4F1000}"/>
            </a:ext>
          </a:extLst>
        </xdr:cNvPr>
        <xdr:cNvSpPr>
          <a:spLocks noChangeShapeType="1"/>
        </xdr:cNvSpPr>
      </xdr:nvSpPr>
      <xdr:spPr bwMode="auto">
        <a:xfrm>
          <a:off x="52139850"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0</xdr:colOff>
      <xdr:row>44</xdr:row>
      <xdr:rowOff>0</xdr:rowOff>
    </xdr:from>
    <xdr:to>
      <xdr:col>75</xdr:col>
      <xdr:colOff>76200</xdr:colOff>
      <xdr:row>44</xdr:row>
      <xdr:rowOff>9525</xdr:rowOff>
    </xdr:to>
    <xdr:sp macro="" textlink="">
      <xdr:nvSpPr>
        <xdr:cNvPr id="1068991" name="Line 475">
          <a:extLst>
            <a:ext uri="{FF2B5EF4-FFF2-40B4-BE49-F238E27FC236}">
              <a16:creationId xmlns:a16="http://schemas.microsoft.com/office/drawing/2014/main" id="{00000000-0008-0000-0D00-0000BF4F1000}"/>
            </a:ext>
          </a:extLst>
        </xdr:cNvPr>
        <xdr:cNvSpPr>
          <a:spLocks noChangeShapeType="1"/>
        </xdr:cNvSpPr>
      </xdr:nvSpPr>
      <xdr:spPr bwMode="auto">
        <a:xfrm>
          <a:off x="5207317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44</xdr:row>
      <xdr:rowOff>9525</xdr:rowOff>
    </xdr:from>
    <xdr:to>
      <xdr:col>75</xdr:col>
      <xdr:colOff>66675</xdr:colOff>
      <xdr:row>47</xdr:row>
      <xdr:rowOff>19050</xdr:rowOff>
    </xdr:to>
    <xdr:sp macro="" textlink="">
      <xdr:nvSpPr>
        <xdr:cNvPr id="1068992" name="Line 476">
          <a:extLst>
            <a:ext uri="{FF2B5EF4-FFF2-40B4-BE49-F238E27FC236}">
              <a16:creationId xmlns:a16="http://schemas.microsoft.com/office/drawing/2014/main" id="{00000000-0008-0000-0D00-0000C04F1000}"/>
            </a:ext>
          </a:extLst>
        </xdr:cNvPr>
        <xdr:cNvSpPr>
          <a:spLocks noChangeShapeType="1"/>
        </xdr:cNvSpPr>
      </xdr:nvSpPr>
      <xdr:spPr bwMode="auto">
        <a:xfrm>
          <a:off x="52139850"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76200</xdr:colOff>
      <xdr:row>47</xdr:row>
      <xdr:rowOff>19050</xdr:rowOff>
    </xdr:from>
    <xdr:to>
      <xdr:col>76</xdr:col>
      <xdr:colOff>9525</xdr:colOff>
      <xdr:row>50</xdr:row>
      <xdr:rowOff>9525</xdr:rowOff>
    </xdr:to>
    <xdr:sp macro="" textlink="">
      <xdr:nvSpPr>
        <xdr:cNvPr id="1068993" name="Line 477">
          <a:extLst>
            <a:ext uri="{FF2B5EF4-FFF2-40B4-BE49-F238E27FC236}">
              <a16:creationId xmlns:a16="http://schemas.microsoft.com/office/drawing/2014/main" id="{00000000-0008-0000-0D00-0000C14F1000}"/>
            </a:ext>
          </a:extLst>
        </xdr:cNvPr>
        <xdr:cNvSpPr>
          <a:spLocks noChangeShapeType="1"/>
        </xdr:cNvSpPr>
      </xdr:nvSpPr>
      <xdr:spPr bwMode="auto">
        <a:xfrm>
          <a:off x="52149375" y="9124950"/>
          <a:ext cx="342900" cy="5334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75</xdr:col>
      <xdr:colOff>0</xdr:colOff>
      <xdr:row>44</xdr:row>
      <xdr:rowOff>0</xdr:rowOff>
    </xdr:from>
    <xdr:to>
      <xdr:col>75</xdr:col>
      <xdr:colOff>76200</xdr:colOff>
      <xdr:row>44</xdr:row>
      <xdr:rowOff>9525</xdr:rowOff>
    </xdr:to>
    <xdr:sp macro="" textlink="">
      <xdr:nvSpPr>
        <xdr:cNvPr id="1068994" name="Line 478">
          <a:extLst>
            <a:ext uri="{FF2B5EF4-FFF2-40B4-BE49-F238E27FC236}">
              <a16:creationId xmlns:a16="http://schemas.microsoft.com/office/drawing/2014/main" id="{00000000-0008-0000-0D00-0000C24F1000}"/>
            </a:ext>
          </a:extLst>
        </xdr:cNvPr>
        <xdr:cNvSpPr>
          <a:spLocks noChangeShapeType="1"/>
        </xdr:cNvSpPr>
      </xdr:nvSpPr>
      <xdr:spPr bwMode="auto">
        <a:xfrm>
          <a:off x="5207317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44</xdr:row>
      <xdr:rowOff>9525</xdr:rowOff>
    </xdr:from>
    <xdr:to>
      <xdr:col>75</xdr:col>
      <xdr:colOff>66675</xdr:colOff>
      <xdr:row>49</xdr:row>
      <xdr:rowOff>152400</xdr:rowOff>
    </xdr:to>
    <xdr:sp macro="" textlink="">
      <xdr:nvSpPr>
        <xdr:cNvPr id="1068995" name="Line 479">
          <a:extLst>
            <a:ext uri="{FF2B5EF4-FFF2-40B4-BE49-F238E27FC236}">
              <a16:creationId xmlns:a16="http://schemas.microsoft.com/office/drawing/2014/main" id="{00000000-0008-0000-0D00-0000C34F1000}"/>
            </a:ext>
          </a:extLst>
        </xdr:cNvPr>
        <xdr:cNvSpPr>
          <a:spLocks noChangeShapeType="1"/>
        </xdr:cNvSpPr>
      </xdr:nvSpPr>
      <xdr:spPr bwMode="auto">
        <a:xfrm>
          <a:off x="52139850" y="8572500"/>
          <a:ext cx="0" cy="1047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43</xdr:row>
      <xdr:rowOff>161925</xdr:rowOff>
    </xdr:from>
    <xdr:to>
      <xdr:col>76</xdr:col>
      <xdr:colOff>0</xdr:colOff>
      <xdr:row>47</xdr:row>
      <xdr:rowOff>0</xdr:rowOff>
    </xdr:to>
    <xdr:sp macro="" textlink="">
      <xdr:nvSpPr>
        <xdr:cNvPr id="1068996" name="Line 480">
          <a:extLst>
            <a:ext uri="{FF2B5EF4-FFF2-40B4-BE49-F238E27FC236}">
              <a16:creationId xmlns:a16="http://schemas.microsoft.com/office/drawing/2014/main" id="{00000000-0008-0000-0D00-0000C44F1000}"/>
            </a:ext>
          </a:extLst>
        </xdr:cNvPr>
        <xdr:cNvSpPr>
          <a:spLocks noChangeShapeType="1"/>
        </xdr:cNvSpPr>
      </xdr:nvSpPr>
      <xdr:spPr bwMode="auto">
        <a:xfrm flipV="1">
          <a:off x="52139850" y="8543925"/>
          <a:ext cx="342900" cy="5619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75</xdr:col>
      <xdr:colOff>66675</xdr:colOff>
      <xdr:row>47</xdr:row>
      <xdr:rowOff>9525</xdr:rowOff>
    </xdr:from>
    <xdr:to>
      <xdr:col>76</xdr:col>
      <xdr:colOff>0</xdr:colOff>
      <xdr:row>47</xdr:row>
      <xdr:rowOff>9525</xdr:rowOff>
    </xdr:to>
    <xdr:sp macro="" textlink="">
      <xdr:nvSpPr>
        <xdr:cNvPr id="1068997" name="Line 481">
          <a:extLst>
            <a:ext uri="{FF2B5EF4-FFF2-40B4-BE49-F238E27FC236}">
              <a16:creationId xmlns:a16="http://schemas.microsoft.com/office/drawing/2014/main" id="{00000000-0008-0000-0D00-0000C54F1000}"/>
            </a:ext>
          </a:extLst>
        </xdr:cNvPr>
        <xdr:cNvSpPr>
          <a:spLocks noChangeShapeType="1"/>
        </xdr:cNvSpPr>
      </xdr:nvSpPr>
      <xdr:spPr bwMode="auto">
        <a:xfrm>
          <a:off x="52139850" y="9115425"/>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75</xdr:col>
      <xdr:colOff>9525</xdr:colOff>
      <xdr:row>49</xdr:row>
      <xdr:rowOff>171450</xdr:rowOff>
    </xdr:from>
    <xdr:to>
      <xdr:col>75</xdr:col>
      <xdr:colOff>66675</xdr:colOff>
      <xdr:row>50</xdr:row>
      <xdr:rowOff>0</xdr:rowOff>
    </xdr:to>
    <xdr:sp macro="" textlink="">
      <xdr:nvSpPr>
        <xdr:cNvPr id="1068998" name="Line 482">
          <a:extLst>
            <a:ext uri="{FF2B5EF4-FFF2-40B4-BE49-F238E27FC236}">
              <a16:creationId xmlns:a16="http://schemas.microsoft.com/office/drawing/2014/main" id="{00000000-0008-0000-0D00-0000C64F1000}"/>
            </a:ext>
          </a:extLst>
        </xdr:cNvPr>
        <xdr:cNvSpPr>
          <a:spLocks noChangeShapeType="1"/>
        </xdr:cNvSpPr>
      </xdr:nvSpPr>
      <xdr:spPr bwMode="auto">
        <a:xfrm flipV="1">
          <a:off x="52082700" y="96393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0</xdr:colOff>
      <xdr:row>8</xdr:row>
      <xdr:rowOff>0</xdr:rowOff>
    </xdr:from>
    <xdr:to>
      <xdr:col>85</xdr:col>
      <xdr:colOff>76200</xdr:colOff>
      <xdr:row>8</xdr:row>
      <xdr:rowOff>9525</xdr:rowOff>
    </xdr:to>
    <xdr:sp macro="" textlink="">
      <xdr:nvSpPr>
        <xdr:cNvPr id="1068999" name="Line 1">
          <a:extLst>
            <a:ext uri="{FF2B5EF4-FFF2-40B4-BE49-F238E27FC236}">
              <a16:creationId xmlns:a16="http://schemas.microsoft.com/office/drawing/2014/main" id="{00000000-0008-0000-0D00-0000C74F1000}"/>
            </a:ext>
          </a:extLst>
        </xdr:cNvPr>
        <xdr:cNvSpPr>
          <a:spLocks noChangeShapeType="1"/>
        </xdr:cNvSpPr>
      </xdr:nvSpPr>
      <xdr:spPr bwMode="auto">
        <a:xfrm>
          <a:off x="592455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66675</xdr:colOff>
      <xdr:row>8</xdr:row>
      <xdr:rowOff>9525</xdr:rowOff>
    </xdr:from>
    <xdr:to>
      <xdr:col>85</xdr:col>
      <xdr:colOff>66675</xdr:colOff>
      <xdr:row>11</xdr:row>
      <xdr:rowOff>19050</xdr:rowOff>
    </xdr:to>
    <xdr:sp macro="" textlink="">
      <xdr:nvSpPr>
        <xdr:cNvPr id="1069000" name="Line 2">
          <a:extLst>
            <a:ext uri="{FF2B5EF4-FFF2-40B4-BE49-F238E27FC236}">
              <a16:creationId xmlns:a16="http://schemas.microsoft.com/office/drawing/2014/main" id="{00000000-0008-0000-0D00-0000C84F1000}"/>
            </a:ext>
          </a:extLst>
        </xdr:cNvPr>
        <xdr:cNvSpPr>
          <a:spLocks noChangeShapeType="1"/>
        </xdr:cNvSpPr>
      </xdr:nvSpPr>
      <xdr:spPr bwMode="auto">
        <a:xfrm>
          <a:off x="593121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9525</xdr:colOff>
      <xdr:row>11</xdr:row>
      <xdr:rowOff>0</xdr:rowOff>
    </xdr:from>
    <xdr:to>
      <xdr:col>85</xdr:col>
      <xdr:colOff>66675</xdr:colOff>
      <xdr:row>11</xdr:row>
      <xdr:rowOff>9525</xdr:rowOff>
    </xdr:to>
    <xdr:sp macro="" textlink="">
      <xdr:nvSpPr>
        <xdr:cNvPr id="1069001" name="Line 3">
          <a:extLst>
            <a:ext uri="{FF2B5EF4-FFF2-40B4-BE49-F238E27FC236}">
              <a16:creationId xmlns:a16="http://schemas.microsoft.com/office/drawing/2014/main" id="{00000000-0008-0000-0D00-0000C94F1000}"/>
            </a:ext>
          </a:extLst>
        </xdr:cNvPr>
        <xdr:cNvSpPr>
          <a:spLocks noChangeShapeType="1"/>
        </xdr:cNvSpPr>
      </xdr:nvSpPr>
      <xdr:spPr bwMode="auto">
        <a:xfrm flipV="1">
          <a:off x="592550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0</xdr:colOff>
      <xdr:row>8</xdr:row>
      <xdr:rowOff>0</xdr:rowOff>
    </xdr:from>
    <xdr:to>
      <xdr:col>82</xdr:col>
      <xdr:colOff>76200</xdr:colOff>
      <xdr:row>8</xdr:row>
      <xdr:rowOff>9525</xdr:rowOff>
    </xdr:to>
    <xdr:sp macro="" textlink="">
      <xdr:nvSpPr>
        <xdr:cNvPr id="1069002" name="Line 4">
          <a:extLst>
            <a:ext uri="{FF2B5EF4-FFF2-40B4-BE49-F238E27FC236}">
              <a16:creationId xmlns:a16="http://schemas.microsoft.com/office/drawing/2014/main" id="{00000000-0008-0000-0D00-0000CA4F1000}"/>
            </a:ext>
          </a:extLst>
        </xdr:cNvPr>
        <xdr:cNvSpPr>
          <a:spLocks noChangeShapeType="1"/>
        </xdr:cNvSpPr>
      </xdr:nvSpPr>
      <xdr:spPr bwMode="auto">
        <a:xfrm>
          <a:off x="5708332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66675</xdr:colOff>
      <xdr:row>8</xdr:row>
      <xdr:rowOff>9525</xdr:rowOff>
    </xdr:from>
    <xdr:to>
      <xdr:col>82</xdr:col>
      <xdr:colOff>66675</xdr:colOff>
      <xdr:row>11</xdr:row>
      <xdr:rowOff>19050</xdr:rowOff>
    </xdr:to>
    <xdr:sp macro="" textlink="">
      <xdr:nvSpPr>
        <xdr:cNvPr id="1069003" name="Line 5">
          <a:extLst>
            <a:ext uri="{FF2B5EF4-FFF2-40B4-BE49-F238E27FC236}">
              <a16:creationId xmlns:a16="http://schemas.microsoft.com/office/drawing/2014/main" id="{00000000-0008-0000-0D00-0000CB4F1000}"/>
            </a:ext>
          </a:extLst>
        </xdr:cNvPr>
        <xdr:cNvSpPr>
          <a:spLocks noChangeShapeType="1"/>
        </xdr:cNvSpPr>
      </xdr:nvSpPr>
      <xdr:spPr bwMode="auto">
        <a:xfrm>
          <a:off x="5715000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9525</xdr:colOff>
      <xdr:row>11</xdr:row>
      <xdr:rowOff>0</xdr:rowOff>
    </xdr:from>
    <xdr:to>
      <xdr:col>82</xdr:col>
      <xdr:colOff>66675</xdr:colOff>
      <xdr:row>11</xdr:row>
      <xdr:rowOff>9525</xdr:rowOff>
    </xdr:to>
    <xdr:sp macro="" textlink="">
      <xdr:nvSpPr>
        <xdr:cNvPr id="1069004" name="Line 6">
          <a:extLst>
            <a:ext uri="{FF2B5EF4-FFF2-40B4-BE49-F238E27FC236}">
              <a16:creationId xmlns:a16="http://schemas.microsoft.com/office/drawing/2014/main" id="{00000000-0008-0000-0D00-0000CC4F1000}"/>
            </a:ext>
          </a:extLst>
        </xdr:cNvPr>
        <xdr:cNvSpPr>
          <a:spLocks noChangeShapeType="1"/>
        </xdr:cNvSpPr>
      </xdr:nvSpPr>
      <xdr:spPr bwMode="auto">
        <a:xfrm flipV="1">
          <a:off x="5709285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8</xdr:row>
      <xdr:rowOff>0</xdr:rowOff>
    </xdr:from>
    <xdr:to>
      <xdr:col>88</xdr:col>
      <xdr:colOff>76200</xdr:colOff>
      <xdr:row>8</xdr:row>
      <xdr:rowOff>9525</xdr:rowOff>
    </xdr:to>
    <xdr:sp macro="" textlink="">
      <xdr:nvSpPr>
        <xdr:cNvPr id="1069005" name="Line 16">
          <a:extLst>
            <a:ext uri="{FF2B5EF4-FFF2-40B4-BE49-F238E27FC236}">
              <a16:creationId xmlns:a16="http://schemas.microsoft.com/office/drawing/2014/main" id="{00000000-0008-0000-0D00-0000CD4F1000}"/>
            </a:ext>
          </a:extLst>
        </xdr:cNvPr>
        <xdr:cNvSpPr>
          <a:spLocks noChangeShapeType="1"/>
        </xdr:cNvSpPr>
      </xdr:nvSpPr>
      <xdr:spPr bwMode="auto">
        <a:xfrm>
          <a:off x="613410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66675</xdr:colOff>
      <xdr:row>8</xdr:row>
      <xdr:rowOff>9525</xdr:rowOff>
    </xdr:from>
    <xdr:to>
      <xdr:col>88</xdr:col>
      <xdr:colOff>66675</xdr:colOff>
      <xdr:row>11</xdr:row>
      <xdr:rowOff>19050</xdr:rowOff>
    </xdr:to>
    <xdr:sp macro="" textlink="">
      <xdr:nvSpPr>
        <xdr:cNvPr id="1069006" name="Line 17">
          <a:extLst>
            <a:ext uri="{FF2B5EF4-FFF2-40B4-BE49-F238E27FC236}">
              <a16:creationId xmlns:a16="http://schemas.microsoft.com/office/drawing/2014/main" id="{00000000-0008-0000-0D00-0000CE4F1000}"/>
            </a:ext>
          </a:extLst>
        </xdr:cNvPr>
        <xdr:cNvSpPr>
          <a:spLocks noChangeShapeType="1"/>
        </xdr:cNvSpPr>
      </xdr:nvSpPr>
      <xdr:spPr bwMode="auto">
        <a:xfrm>
          <a:off x="614076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9525</xdr:colOff>
      <xdr:row>11</xdr:row>
      <xdr:rowOff>0</xdr:rowOff>
    </xdr:from>
    <xdr:to>
      <xdr:col>88</xdr:col>
      <xdr:colOff>66675</xdr:colOff>
      <xdr:row>11</xdr:row>
      <xdr:rowOff>9525</xdr:rowOff>
    </xdr:to>
    <xdr:sp macro="" textlink="">
      <xdr:nvSpPr>
        <xdr:cNvPr id="1069007" name="Line 18">
          <a:extLst>
            <a:ext uri="{FF2B5EF4-FFF2-40B4-BE49-F238E27FC236}">
              <a16:creationId xmlns:a16="http://schemas.microsoft.com/office/drawing/2014/main" id="{00000000-0008-0000-0D00-0000CF4F1000}"/>
            </a:ext>
          </a:extLst>
        </xdr:cNvPr>
        <xdr:cNvSpPr>
          <a:spLocks noChangeShapeType="1"/>
        </xdr:cNvSpPr>
      </xdr:nvSpPr>
      <xdr:spPr bwMode="auto">
        <a:xfrm flipV="1">
          <a:off x="613505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0</xdr:colOff>
      <xdr:row>14</xdr:row>
      <xdr:rowOff>0</xdr:rowOff>
    </xdr:from>
    <xdr:to>
      <xdr:col>82</xdr:col>
      <xdr:colOff>76200</xdr:colOff>
      <xdr:row>14</xdr:row>
      <xdr:rowOff>9525</xdr:rowOff>
    </xdr:to>
    <xdr:sp macro="" textlink="">
      <xdr:nvSpPr>
        <xdr:cNvPr id="1069008" name="Line 46">
          <a:extLst>
            <a:ext uri="{FF2B5EF4-FFF2-40B4-BE49-F238E27FC236}">
              <a16:creationId xmlns:a16="http://schemas.microsoft.com/office/drawing/2014/main" id="{00000000-0008-0000-0D00-0000D04F1000}"/>
            </a:ext>
          </a:extLst>
        </xdr:cNvPr>
        <xdr:cNvSpPr>
          <a:spLocks noChangeShapeType="1"/>
        </xdr:cNvSpPr>
      </xdr:nvSpPr>
      <xdr:spPr bwMode="auto">
        <a:xfrm>
          <a:off x="5708332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9525</xdr:colOff>
      <xdr:row>17</xdr:row>
      <xdr:rowOff>0</xdr:rowOff>
    </xdr:from>
    <xdr:to>
      <xdr:col>82</xdr:col>
      <xdr:colOff>66675</xdr:colOff>
      <xdr:row>17</xdr:row>
      <xdr:rowOff>9525</xdr:rowOff>
    </xdr:to>
    <xdr:sp macro="" textlink="">
      <xdr:nvSpPr>
        <xdr:cNvPr id="1069009" name="Line 48">
          <a:extLst>
            <a:ext uri="{FF2B5EF4-FFF2-40B4-BE49-F238E27FC236}">
              <a16:creationId xmlns:a16="http://schemas.microsoft.com/office/drawing/2014/main" id="{00000000-0008-0000-0D00-0000D14F1000}"/>
            </a:ext>
          </a:extLst>
        </xdr:cNvPr>
        <xdr:cNvSpPr>
          <a:spLocks noChangeShapeType="1"/>
        </xdr:cNvSpPr>
      </xdr:nvSpPr>
      <xdr:spPr bwMode="auto">
        <a:xfrm flipV="1">
          <a:off x="5709285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0</xdr:colOff>
      <xdr:row>14</xdr:row>
      <xdr:rowOff>0</xdr:rowOff>
    </xdr:from>
    <xdr:to>
      <xdr:col>85</xdr:col>
      <xdr:colOff>76200</xdr:colOff>
      <xdr:row>14</xdr:row>
      <xdr:rowOff>9525</xdr:rowOff>
    </xdr:to>
    <xdr:sp macro="" textlink="">
      <xdr:nvSpPr>
        <xdr:cNvPr id="1069010" name="Line 49">
          <a:extLst>
            <a:ext uri="{FF2B5EF4-FFF2-40B4-BE49-F238E27FC236}">
              <a16:creationId xmlns:a16="http://schemas.microsoft.com/office/drawing/2014/main" id="{00000000-0008-0000-0D00-0000D24F1000}"/>
            </a:ext>
          </a:extLst>
        </xdr:cNvPr>
        <xdr:cNvSpPr>
          <a:spLocks noChangeShapeType="1"/>
        </xdr:cNvSpPr>
      </xdr:nvSpPr>
      <xdr:spPr bwMode="auto">
        <a:xfrm>
          <a:off x="592455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66675</xdr:colOff>
      <xdr:row>14</xdr:row>
      <xdr:rowOff>9525</xdr:rowOff>
    </xdr:from>
    <xdr:to>
      <xdr:col>85</xdr:col>
      <xdr:colOff>66675</xdr:colOff>
      <xdr:row>17</xdr:row>
      <xdr:rowOff>19050</xdr:rowOff>
    </xdr:to>
    <xdr:sp macro="" textlink="">
      <xdr:nvSpPr>
        <xdr:cNvPr id="1069011" name="Line 50">
          <a:extLst>
            <a:ext uri="{FF2B5EF4-FFF2-40B4-BE49-F238E27FC236}">
              <a16:creationId xmlns:a16="http://schemas.microsoft.com/office/drawing/2014/main" id="{00000000-0008-0000-0D00-0000D34F1000}"/>
            </a:ext>
          </a:extLst>
        </xdr:cNvPr>
        <xdr:cNvSpPr>
          <a:spLocks noChangeShapeType="1"/>
        </xdr:cNvSpPr>
      </xdr:nvSpPr>
      <xdr:spPr bwMode="auto">
        <a:xfrm>
          <a:off x="593121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9525</xdr:colOff>
      <xdr:row>17</xdr:row>
      <xdr:rowOff>0</xdr:rowOff>
    </xdr:from>
    <xdr:to>
      <xdr:col>85</xdr:col>
      <xdr:colOff>66675</xdr:colOff>
      <xdr:row>17</xdr:row>
      <xdr:rowOff>9525</xdr:rowOff>
    </xdr:to>
    <xdr:sp macro="" textlink="">
      <xdr:nvSpPr>
        <xdr:cNvPr id="1069012" name="Line 51">
          <a:extLst>
            <a:ext uri="{FF2B5EF4-FFF2-40B4-BE49-F238E27FC236}">
              <a16:creationId xmlns:a16="http://schemas.microsoft.com/office/drawing/2014/main" id="{00000000-0008-0000-0D00-0000D44F1000}"/>
            </a:ext>
          </a:extLst>
        </xdr:cNvPr>
        <xdr:cNvSpPr>
          <a:spLocks noChangeShapeType="1"/>
        </xdr:cNvSpPr>
      </xdr:nvSpPr>
      <xdr:spPr bwMode="auto">
        <a:xfrm flipV="1">
          <a:off x="592550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14</xdr:row>
      <xdr:rowOff>0</xdr:rowOff>
    </xdr:from>
    <xdr:to>
      <xdr:col>88</xdr:col>
      <xdr:colOff>76200</xdr:colOff>
      <xdr:row>14</xdr:row>
      <xdr:rowOff>9525</xdr:rowOff>
    </xdr:to>
    <xdr:sp macro="" textlink="">
      <xdr:nvSpPr>
        <xdr:cNvPr id="1069013" name="Line 52">
          <a:extLst>
            <a:ext uri="{FF2B5EF4-FFF2-40B4-BE49-F238E27FC236}">
              <a16:creationId xmlns:a16="http://schemas.microsoft.com/office/drawing/2014/main" id="{00000000-0008-0000-0D00-0000D54F1000}"/>
            </a:ext>
          </a:extLst>
        </xdr:cNvPr>
        <xdr:cNvSpPr>
          <a:spLocks noChangeShapeType="1"/>
        </xdr:cNvSpPr>
      </xdr:nvSpPr>
      <xdr:spPr bwMode="auto">
        <a:xfrm>
          <a:off x="613410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66675</xdr:colOff>
      <xdr:row>14</xdr:row>
      <xdr:rowOff>9525</xdr:rowOff>
    </xdr:from>
    <xdr:to>
      <xdr:col>88</xdr:col>
      <xdr:colOff>66675</xdr:colOff>
      <xdr:row>17</xdr:row>
      <xdr:rowOff>19050</xdr:rowOff>
    </xdr:to>
    <xdr:sp macro="" textlink="">
      <xdr:nvSpPr>
        <xdr:cNvPr id="1069014" name="Line 53">
          <a:extLst>
            <a:ext uri="{FF2B5EF4-FFF2-40B4-BE49-F238E27FC236}">
              <a16:creationId xmlns:a16="http://schemas.microsoft.com/office/drawing/2014/main" id="{00000000-0008-0000-0D00-0000D64F1000}"/>
            </a:ext>
          </a:extLst>
        </xdr:cNvPr>
        <xdr:cNvSpPr>
          <a:spLocks noChangeShapeType="1"/>
        </xdr:cNvSpPr>
      </xdr:nvSpPr>
      <xdr:spPr bwMode="auto">
        <a:xfrm>
          <a:off x="614076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9525</xdr:colOff>
      <xdr:row>17</xdr:row>
      <xdr:rowOff>0</xdr:rowOff>
    </xdr:from>
    <xdr:to>
      <xdr:col>88</xdr:col>
      <xdr:colOff>66675</xdr:colOff>
      <xdr:row>17</xdr:row>
      <xdr:rowOff>9525</xdr:rowOff>
    </xdr:to>
    <xdr:sp macro="" textlink="">
      <xdr:nvSpPr>
        <xdr:cNvPr id="1069015" name="Line 54">
          <a:extLst>
            <a:ext uri="{FF2B5EF4-FFF2-40B4-BE49-F238E27FC236}">
              <a16:creationId xmlns:a16="http://schemas.microsoft.com/office/drawing/2014/main" id="{00000000-0008-0000-0D00-0000D74F1000}"/>
            </a:ext>
          </a:extLst>
        </xdr:cNvPr>
        <xdr:cNvSpPr>
          <a:spLocks noChangeShapeType="1"/>
        </xdr:cNvSpPr>
      </xdr:nvSpPr>
      <xdr:spPr bwMode="auto">
        <a:xfrm flipV="1">
          <a:off x="613505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66675</xdr:colOff>
      <xdr:row>8</xdr:row>
      <xdr:rowOff>9525</xdr:rowOff>
    </xdr:from>
    <xdr:to>
      <xdr:col>86</xdr:col>
      <xdr:colOff>0</xdr:colOff>
      <xdr:row>9</xdr:row>
      <xdr:rowOff>66675</xdr:rowOff>
    </xdr:to>
    <xdr:sp macro="" textlink="">
      <xdr:nvSpPr>
        <xdr:cNvPr id="1069016" name="Line 64">
          <a:extLst>
            <a:ext uri="{FF2B5EF4-FFF2-40B4-BE49-F238E27FC236}">
              <a16:creationId xmlns:a16="http://schemas.microsoft.com/office/drawing/2014/main" id="{00000000-0008-0000-0D00-0000D84F1000}"/>
            </a:ext>
          </a:extLst>
        </xdr:cNvPr>
        <xdr:cNvSpPr>
          <a:spLocks noChangeShapeType="1"/>
        </xdr:cNvSpPr>
      </xdr:nvSpPr>
      <xdr:spPr bwMode="auto">
        <a:xfrm flipV="1">
          <a:off x="59312175" y="2057400"/>
          <a:ext cx="342900" cy="2381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85</xdr:col>
      <xdr:colOff>66675</xdr:colOff>
      <xdr:row>9</xdr:row>
      <xdr:rowOff>76200</xdr:rowOff>
    </xdr:from>
    <xdr:to>
      <xdr:col>86</xdr:col>
      <xdr:colOff>0</xdr:colOff>
      <xdr:row>13</xdr:row>
      <xdr:rowOff>0</xdr:rowOff>
    </xdr:to>
    <xdr:sp macro="" textlink="">
      <xdr:nvSpPr>
        <xdr:cNvPr id="1069017" name="Line 66">
          <a:extLst>
            <a:ext uri="{FF2B5EF4-FFF2-40B4-BE49-F238E27FC236}">
              <a16:creationId xmlns:a16="http://schemas.microsoft.com/office/drawing/2014/main" id="{00000000-0008-0000-0D00-0000D94F1000}"/>
            </a:ext>
          </a:extLst>
        </xdr:cNvPr>
        <xdr:cNvSpPr>
          <a:spLocks noChangeShapeType="1"/>
        </xdr:cNvSpPr>
      </xdr:nvSpPr>
      <xdr:spPr bwMode="auto">
        <a:xfrm>
          <a:off x="59312175" y="2305050"/>
          <a:ext cx="342900" cy="6477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88</xdr:col>
      <xdr:colOff>0</xdr:colOff>
      <xdr:row>14</xdr:row>
      <xdr:rowOff>0</xdr:rowOff>
    </xdr:from>
    <xdr:to>
      <xdr:col>88</xdr:col>
      <xdr:colOff>76200</xdr:colOff>
      <xdr:row>14</xdr:row>
      <xdr:rowOff>9525</xdr:rowOff>
    </xdr:to>
    <xdr:sp macro="" textlink="">
      <xdr:nvSpPr>
        <xdr:cNvPr id="1069018" name="Line 72">
          <a:extLst>
            <a:ext uri="{FF2B5EF4-FFF2-40B4-BE49-F238E27FC236}">
              <a16:creationId xmlns:a16="http://schemas.microsoft.com/office/drawing/2014/main" id="{00000000-0008-0000-0D00-0000DA4F1000}"/>
            </a:ext>
          </a:extLst>
        </xdr:cNvPr>
        <xdr:cNvSpPr>
          <a:spLocks noChangeShapeType="1"/>
        </xdr:cNvSpPr>
      </xdr:nvSpPr>
      <xdr:spPr bwMode="auto">
        <a:xfrm>
          <a:off x="613410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66675</xdr:colOff>
      <xdr:row>14</xdr:row>
      <xdr:rowOff>9525</xdr:rowOff>
    </xdr:from>
    <xdr:to>
      <xdr:col>88</xdr:col>
      <xdr:colOff>66675</xdr:colOff>
      <xdr:row>17</xdr:row>
      <xdr:rowOff>19050</xdr:rowOff>
    </xdr:to>
    <xdr:sp macro="" textlink="">
      <xdr:nvSpPr>
        <xdr:cNvPr id="1069019" name="Line 73">
          <a:extLst>
            <a:ext uri="{FF2B5EF4-FFF2-40B4-BE49-F238E27FC236}">
              <a16:creationId xmlns:a16="http://schemas.microsoft.com/office/drawing/2014/main" id="{00000000-0008-0000-0D00-0000DB4F1000}"/>
            </a:ext>
          </a:extLst>
        </xdr:cNvPr>
        <xdr:cNvSpPr>
          <a:spLocks noChangeShapeType="1"/>
        </xdr:cNvSpPr>
      </xdr:nvSpPr>
      <xdr:spPr bwMode="auto">
        <a:xfrm>
          <a:off x="614076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9525</xdr:colOff>
      <xdr:row>17</xdr:row>
      <xdr:rowOff>0</xdr:rowOff>
    </xdr:from>
    <xdr:to>
      <xdr:col>88</xdr:col>
      <xdr:colOff>66675</xdr:colOff>
      <xdr:row>17</xdr:row>
      <xdr:rowOff>9525</xdr:rowOff>
    </xdr:to>
    <xdr:sp macro="" textlink="">
      <xdr:nvSpPr>
        <xdr:cNvPr id="1069020" name="Line 74">
          <a:extLst>
            <a:ext uri="{FF2B5EF4-FFF2-40B4-BE49-F238E27FC236}">
              <a16:creationId xmlns:a16="http://schemas.microsoft.com/office/drawing/2014/main" id="{00000000-0008-0000-0D00-0000DC4F1000}"/>
            </a:ext>
          </a:extLst>
        </xdr:cNvPr>
        <xdr:cNvSpPr>
          <a:spLocks noChangeShapeType="1"/>
        </xdr:cNvSpPr>
      </xdr:nvSpPr>
      <xdr:spPr bwMode="auto">
        <a:xfrm flipV="1">
          <a:off x="613505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14</xdr:row>
      <xdr:rowOff>0</xdr:rowOff>
    </xdr:from>
    <xdr:to>
      <xdr:col>88</xdr:col>
      <xdr:colOff>76200</xdr:colOff>
      <xdr:row>14</xdr:row>
      <xdr:rowOff>9525</xdr:rowOff>
    </xdr:to>
    <xdr:sp macro="" textlink="">
      <xdr:nvSpPr>
        <xdr:cNvPr id="1069021" name="Line 86">
          <a:extLst>
            <a:ext uri="{FF2B5EF4-FFF2-40B4-BE49-F238E27FC236}">
              <a16:creationId xmlns:a16="http://schemas.microsoft.com/office/drawing/2014/main" id="{00000000-0008-0000-0D00-0000DD4F1000}"/>
            </a:ext>
          </a:extLst>
        </xdr:cNvPr>
        <xdr:cNvSpPr>
          <a:spLocks noChangeShapeType="1"/>
        </xdr:cNvSpPr>
      </xdr:nvSpPr>
      <xdr:spPr bwMode="auto">
        <a:xfrm>
          <a:off x="613410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66675</xdr:colOff>
      <xdr:row>14</xdr:row>
      <xdr:rowOff>9525</xdr:rowOff>
    </xdr:from>
    <xdr:to>
      <xdr:col>88</xdr:col>
      <xdr:colOff>76200</xdr:colOff>
      <xdr:row>17</xdr:row>
      <xdr:rowOff>0</xdr:rowOff>
    </xdr:to>
    <xdr:sp macro="" textlink="">
      <xdr:nvSpPr>
        <xdr:cNvPr id="1069022" name="Line 87">
          <a:extLst>
            <a:ext uri="{FF2B5EF4-FFF2-40B4-BE49-F238E27FC236}">
              <a16:creationId xmlns:a16="http://schemas.microsoft.com/office/drawing/2014/main" id="{00000000-0008-0000-0D00-0000DE4F1000}"/>
            </a:ext>
          </a:extLst>
        </xdr:cNvPr>
        <xdr:cNvSpPr>
          <a:spLocks noChangeShapeType="1"/>
        </xdr:cNvSpPr>
      </xdr:nvSpPr>
      <xdr:spPr bwMode="auto">
        <a:xfrm>
          <a:off x="61407675" y="3143250"/>
          <a:ext cx="9525"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9525</xdr:colOff>
      <xdr:row>17</xdr:row>
      <xdr:rowOff>0</xdr:rowOff>
    </xdr:from>
    <xdr:to>
      <xdr:col>88</xdr:col>
      <xdr:colOff>66675</xdr:colOff>
      <xdr:row>17</xdr:row>
      <xdr:rowOff>9525</xdr:rowOff>
    </xdr:to>
    <xdr:sp macro="" textlink="">
      <xdr:nvSpPr>
        <xdr:cNvPr id="1069023" name="Line 88">
          <a:extLst>
            <a:ext uri="{FF2B5EF4-FFF2-40B4-BE49-F238E27FC236}">
              <a16:creationId xmlns:a16="http://schemas.microsoft.com/office/drawing/2014/main" id="{00000000-0008-0000-0D00-0000DF4F1000}"/>
            </a:ext>
          </a:extLst>
        </xdr:cNvPr>
        <xdr:cNvSpPr>
          <a:spLocks noChangeShapeType="1"/>
        </xdr:cNvSpPr>
      </xdr:nvSpPr>
      <xdr:spPr bwMode="auto">
        <a:xfrm flipV="1">
          <a:off x="613505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66675</xdr:colOff>
      <xdr:row>13</xdr:row>
      <xdr:rowOff>161925</xdr:rowOff>
    </xdr:from>
    <xdr:to>
      <xdr:col>88</xdr:col>
      <xdr:colOff>400050</xdr:colOff>
      <xdr:row>15</xdr:row>
      <xdr:rowOff>57150</xdr:rowOff>
    </xdr:to>
    <xdr:sp macro="" textlink="">
      <xdr:nvSpPr>
        <xdr:cNvPr id="1069024" name="Line 89">
          <a:extLst>
            <a:ext uri="{FF2B5EF4-FFF2-40B4-BE49-F238E27FC236}">
              <a16:creationId xmlns:a16="http://schemas.microsoft.com/office/drawing/2014/main" id="{00000000-0008-0000-0D00-0000E04F1000}"/>
            </a:ext>
          </a:extLst>
        </xdr:cNvPr>
        <xdr:cNvSpPr>
          <a:spLocks noChangeShapeType="1"/>
        </xdr:cNvSpPr>
      </xdr:nvSpPr>
      <xdr:spPr bwMode="auto">
        <a:xfrm flipV="1">
          <a:off x="61407675" y="3114675"/>
          <a:ext cx="333375" cy="2571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88</xdr:col>
      <xdr:colOff>0</xdr:colOff>
      <xdr:row>8</xdr:row>
      <xdr:rowOff>0</xdr:rowOff>
    </xdr:from>
    <xdr:to>
      <xdr:col>88</xdr:col>
      <xdr:colOff>76200</xdr:colOff>
      <xdr:row>8</xdr:row>
      <xdr:rowOff>9525</xdr:rowOff>
    </xdr:to>
    <xdr:sp macro="" textlink="">
      <xdr:nvSpPr>
        <xdr:cNvPr id="1069025" name="Line 99">
          <a:extLst>
            <a:ext uri="{FF2B5EF4-FFF2-40B4-BE49-F238E27FC236}">
              <a16:creationId xmlns:a16="http://schemas.microsoft.com/office/drawing/2014/main" id="{00000000-0008-0000-0D00-0000E14F1000}"/>
            </a:ext>
          </a:extLst>
        </xdr:cNvPr>
        <xdr:cNvSpPr>
          <a:spLocks noChangeShapeType="1"/>
        </xdr:cNvSpPr>
      </xdr:nvSpPr>
      <xdr:spPr bwMode="auto">
        <a:xfrm>
          <a:off x="613410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66675</xdr:colOff>
      <xdr:row>8</xdr:row>
      <xdr:rowOff>9525</xdr:rowOff>
    </xdr:from>
    <xdr:to>
      <xdr:col>88</xdr:col>
      <xdr:colOff>66675</xdr:colOff>
      <xdr:row>11</xdr:row>
      <xdr:rowOff>19050</xdr:rowOff>
    </xdr:to>
    <xdr:sp macro="" textlink="">
      <xdr:nvSpPr>
        <xdr:cNvPr id="1069026" name="Line 100">
          <a:extLst>
            <a:ext uri="{FF2B5EF4-FFF2-40B4-BE49-F238E27FC236}">
              <a16:creationId xmlns:a16="http://schemas.microsoft.com/office/drawing/2014/main" id="{00000000-0008-0000-0D00-0000E24F1000}"/>
            </a:ext>
          </a:extLst>
        </xdr:cNvPr>
        <xdr:cNvSpPr>
          <a:spLocks noChangeShapeType="1"/>
        </xdr:cNvSpPr>
      </xdr:nvSpPr>
      <xdr:spPr bwMode="auto">
        <a:xfrm>
          <a:off x="614076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9525</xdr:colOff>
      <xdr:row>11</xdr:row>
      <xdr:rowOff>0</xdr:rowOff>
    </xdr:from>
    <xdr:to>
      <xdr:col>88</xdr:col>
      <xdr:colOff>66675</xdr:colOff>
      <xdr:row>11</xdr:row>
      <xdr:rowOff>9525</xdr:rowOff>
    </xdr:to>
    <xdr:sp macro="" textlink="">
      <xdr:nvSpPr>
        <xdr:cNvPr id="1069027" name="Line 101">
          <a:extLst>
            <a:ext uri="{FF2B5EF4-FFF2-40B4-BE49-F238E27FC236}">
              <a16:creationId xmlns:a16="http://schemas.microsoft.com/office/drawing/2014/main" id="{00000000-0008-0000-0D00-0000E34F1000}"/>
            </a:ext>
          </a:extLst>
        </xdr:cNvPr>
        <xdr:cNvSpPr>
          <a:spLocks noChangeShapeType="1"/>
        </xdr:cNvSpPr>
      </xdr:nvSpPr>
      <xdr:spPr bwMode="auto">
        <a:xfrm flipV="1">
          <a:off x="613505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8</xdr:row>
      <xdr:rowOff>0</xdr:rowOff>
    </xdr:from>
    <xdr:to>
      <xdr:col>88</xdr:col>
      <xdr:colOff>76200</xdr:colOff>
      <xdr:row>8</xdr:row>
      <xdr:rowOff>9525</xdr:rowOff>
    </xdr:to>
    <xdr:sp macro="" textlink="">
      <xdr:nvSpPr>
        <xdr:cNvPr id="1069028" name="Line 110">
          <a:extLst>
            <a:ext uri="{FF2B5EF4-FFF2-40B4-BE49-F238E27FC236}">
              <a16:creationId xmlns:a16="http://schemas.microsoft.com/office/drawing/2014/main" id="{00000000-0008-0000-0D00-0000E44F1000}"/>
            </a:ext>
          </a:extLst>
        </xdr:cNvPr>
        <xdr:cNvSpPr>
          <a:spLocks noChangeShapeType="1"/>
        </xdr:cNvSpPr>
      </xdr:nvSpPr>
      <xdr:spPr bwMode="auto">
        <a:xfrm>
          <a:off x="613410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66675</xdr:colOff>
      <xdr:row>8</xdr:row>
      <xdr:rowOff>9525</xdr:rowOff>
    </xdr:from>
    <xdr:to>
      <xdr:col>88</xdr:col>
      <xdr:colOff>66675</xdr:colOff>
      <xdr:row>11</xdr:row>
      <xdr:rowOff>19050</xdr:rowOff>
    </xdr:to>
    <xdr:sp macro="" textlink="">
      <xdr:nvSpPr>
        <xdr:cNvPr id="1069029" name="Line 111">
          <a:extLst>
            <a:ext uri="{FF2B5EF4-FFF2-40B4-BE49-F238E27FC236}">
              <a16:creationId xmlns:a16="http://schemas.microsoft.com/office/drawing/2014/main" id="{00000000-0008-0000-0D00-0000E54F1000}"/>
            </a:ext>
          </a:extLst>
        </xdr:cNvPr>
        <xdr:cNvSpPr>
          <a:spLocks noChangeShapeType="1"/>
        </xdr:cNvSpPr>
      </xdr:nvSpPr>
      <xdr:spPr bwMode="auto">
        <a:xfrm>
          <a:off x="614076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9525</xdr:colOff>
      <xdr:row>11</xdr:row>
      <xdr:rowOff>0</xdr:rowOff>
    </xdr:from>
    <xdr:to>
      <xdr:col>88</xdr:col>
      <xdr:colOff>66675</xdr:colOff>
      <xdr:row>11</xdr:row>
      <xdr:rowOff>9525</xdr:rowOff>
    </xdr:to>
    <xdr:sp macro="" textlink="">
      <xdr:nvSpPr>
        <xdr:cNvPr id="1069030" name="Line 112">
          <a:extLst>
            <a:ext uri="{FF2B5EF4-FFF2-40B4-BE49-F238E27FC236}">
              <a16:creationId xmlns:a16="http://schemas.microsoft.com/office/drawing/2014/main" id="{00000000-0008-0000-0D00-0000E64F1000}"/>
            </a:ext>
          </a:extLst>
        </xdr:cNvPr>
        <xdr:cNvSpPr>
          <a:spLocks noChangeShapeType="1"/>
        </xdr:cNvSpPr>
      </xdr:nvSpPr>
      <xdr:spPr bwMode="auto">
        <a:xfrm flipV="1">
          <a:off x="613505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8</xdr:row>
      <xdr:rowOff>0</xdr:rowOff>
    </xdr:from>
    <xdr:to>
      <xdr:col>88</xdr:col>
      <xdr:colOff>76200</xdr:colOff>
      <xdr:row>8</xdr:row>
      <xdr:rowOff>9525</xdr:rowOff>
    </xdr:to>
    <xdr:sp macro="" textlink="">
      <xdr:nvSpPr>
        <xdr:cNvPr id="1069031" name="Line 113">
          <a:extLst>
            <a:ext uri="{FF2B5EF4-FFF2-40B4-BE49-F238E27FC236}">
              <a16:creationId xmlns:a16="http://schemas.microsoft.com/office/drawing/2014/main" id="{00000000-0008-0000-0D00-0000E74F1000}"/>
            </a:ext>
          </a:extLst>
        </xdr:cNvPr>
        <xdr:cNvSpPr>
          <a:spLocks noChangeShapeType="1"/>
        </xdr:cNvSpPr>
      </xdr:nvSpPr>
      <xdr:spPr bwMode="auto">
        <a:xfrm>
          <a:off x="613410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66675</xdr:colOff>
      <xdr:row>8</xdr:row>
      <xdr:rowOff>9525</xdr:rowOff>
    </xdr:from>
    <xdr:to>
      <xdr:col>88</xdr:col>
      <xdr:colOff>66675</xdr:colOff>
      <xdr:row>11</xdr:row>
      <xdr:rowOff>19050</xdr:rowOff>
    </xdr:to>
    <xdr:sp macro="" textlink="">
      <xdr:nvSpPr>
        <xdr:cNvPr id="1069032" name="Line 114">
          <a:extLst>
            <a:ext uri="{FF2B5EF4-FFF2-40B4-BE49-F238E27FC236}">
              <a16:creationId xmlns:a16="http://schemas.microsoft.com/office/drawing/2014/main" id="{00000000-0008-0000-0D00-0000E84F1000}"/>
            </a:ext>
          </a:extLst>
        </xdr:cNvPr>
        <xdr:cNvSpPr>
          <a:spLocks noChangeShapeType="1"/>
        </xdr:cNvSpPr>
      </xdr:nvSpPr>
      <xdr:spPr bwMode="auto">
        <a:xfrm>
          <a:off x="614076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9525</xdr:colOff>
      <xdr:row>11</xdr:row>
      <xdr:rowOff>0</xdr:rowOff>
    </xdr:from>
    <xdr:to>
      <xdr:col>88</xdr:col>
      <xdr:colOff>66675</xdr:colOff>
      <xdr:row>11</xdr:row>
      <xdr:rowOff>9525</xdr:rowOff>
    </xdr:to>
    <xdr:sp macro="" textlink="">
      <xdr:nvSpPr>
        <xdr:cNvPr id="1069033" name="Line 115">
          <a:extLst>
            <a:ext uri="{FF2B5EF4-FFF2-40B4-BE49-F238E27FC236}">
              <a16:creationId xmlns:a16="http://schemas.microsoft.com/office/drawing/2014/main" id="{00000000-0008-0000-0D00-0000E94F1000}"/>
            </a:ext>
          </a:extLst>
        </xdr:cNvPr>
        <xdr:cNvSpPr>
          <a:spLocks noChangeShapeType="1"/>
        </xdr:cNvSpPr>
      </xdr:nvSpPr>
      <xdr:spPr bwMode="auto">
        <a:xfrm flipV="1">
          <a:off x="613505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76200</xdr:colOff>
      <xdr:row>8</xdr:row>
      <xdr:rowOff>0</xdr:rowOff>
    </xdr:from>
    <xdr:to>
      <xdr:col>88</xdr:col>
      <xdr:colOff>400050</xdr:colOff>
      <xdr:row>9</xdr:row>
      <xdr:rowOff>57150</xdr:rowOff>
    </xdr:to>
    <xdr:sp macro="" textlink="">
      <xdr:nvSpPr>
        <xdr:cNvPr id="1069034" name="Line 116">
          <a:extLst>
            <a:ext uri="{FF2B5EF4-FFF2-40B4-BE49-F238E27FC236}">
              <a16:creationId xmlns:a16="http://schemas.microsoft.com/office/drawing/2014/main" id="{00000000-0008-0000-0D00-0000EA4F1000}"/>
            </a:ext>
          </a:extLst>
        </xdr:cNvPr>
        <xdr:cNvSpPr>
          <a:spLocks noChangeShapeType="1"/>
        </xdr:cNvSpPr>
      </xdr:nvSpPr>
      <xdr:spPr bwMode="auto">
        <a:xfrm flipV="1">
          <a:off x="61417200" y="2047875"/>
          <a:ext cx="3238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88</xdr:col>
      <xdr:colOff>76200</xdr:colOff>
      <xdr:row>9</xdr:row>
      <xdr:rowOff>66675</xdr:rowOff>
    </xdr:from>
    <xdr:to>
      <xdr:col>89</xdr:col>
      <xdr:colOff>0</xdr:colOff>
      <xdr:row>11</xdr:row>
      <xdr:rowOff>19050</xdr:rowOff>
    </xdr:to>
    <xdr:sp macro="" textlink="">
      <xdr:nvSpPr>
        <xdr:cNvPr id="1069035" name="Line 117">
          <a:extLst>
            <a:ext uri="{FF2B5EF4-FFF2-40B4-BE49-F238E27FC236}">
              <a16:creationId xmlns:a16="http://schemas.microsoft.com/office/drawing/2014/main" id="{00000000-0008-0000-0D00-0000EB4F1000}"/>
            </a:ext>
          </a:extLst>
        </xdr:cNvPr>
        <xdr:cNvSpPr>
          <a:spLocks noChangeShapeType="1"/>
        </xdr:cNvSpPr>
      </xdr:nvSpPr>
      <xdr:spPr bwMode="auto">
        <a:xfrm>
          <a:off x="61417200" y="2295525"/>
          <a:ext cx="333375"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85</xdr:col>
      <xdr:colOff>0</xdr:colOff>
      <xdr:row>14</xdr:row>
      <xdr:rowOff>0</xdr:rowOff>
    </xdr:from>
    <xdr:to>
      <xdr:col>85</xdr:col>
      <xdr:colOff>76200</xdr:colOff>
      <xdr:row>14</xdr:row>
      <xdr:rowOff>9525</xdr:rowOff>
    </xdr:to>
    <xdr:sp macro="" textlink="">
      <xdr:nvSpPr>
        <xdr:cNvPr id="1069036" name="Line 137">
          <a:extLst>
            <a:ext uri="{FF2B5EF4-FFF2-40B4-BE49-F238E27FC236}">
              <a16:creationId xmlns:a16="http://schemas.microsoft.com/office/drawing/2014/main" id="{00000000-0008-0000-0D00-0000EC4F1000}"/>
            </a:ext>
          </a:extLst>
        </xdr:cNvPr>
        <xdr:cNvSpPr>
          <a:spLocks noChangeShapeType="1"/>
        </xdr:cNvSpPr>
      </xdr:nvSpPr>
      <xdr:spPr bwMode="auto">
        <a:xfrm>
          <a:off x="592455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9525</xdr:colOff>
      <xdr:row>17</xdr:row>
      <xdr:rowOff>0</xdr:rowOff>
    </xdr:from>
    <xdr:to>
      <xdr:col>85</xdr:col>
      <xdr:colOff>66675</xdr:colOff>
      <xdr:row>17</xdr:row>
      <xdr:rowOff>9525</xdr:rowOff>
    </xdr:to>
    <xdr:sp macro="" textlink="">
      <xdr:nvSpPr>
        <xdr:cNvPr id="1069037" name="Line 139">
          <a:extLst>
            <a:ext uri="{FF2B5EF4-FFF2-40B4-BE49-F238E27FC236}">
              <a16:creationId xmlns:a16="http://schemas.microsoft.com/office/drawing/2014/main" id="{00000000-0008-0000-0D00-0000ED4F1000}"/>
            </a:ext>
          </a:extLst>
        </xdr:cNvPr>
        <xdr:cNvSpPr>
          <a:spLocks noChangeShapeType="1"/>
        </xdr:cNvSpPr>
      </xdr:nvSpPr>
      <xdr:spPr bwMode="auto">
        <a:xfrm flipV="1">
          <a:off x="592550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76200</xdr:colOff>
      <xdr:row>13</xdr:row>
      <xdr:rowOff>0</xdr:rowOff>
    </xdr:from>
    <xdr:to>
      <xdr:col>86</xdr:col>
      <xdr:colOff>0</xdr:colOff>
      <xdr:row>15</xdr:row>
      <xdr:rowOff>66675</xdr:rowOff>
    </xdr:to>
    <xdr:sp macro="" textlink="">
      <xdr:nvSpPr>
        <xdr:cNvPr id="1069038" name="Line 140">
          <a:extLst>
            <a:ext uri="{FF2B5EF4-FFF2-40B4-BE49-F238E27FC236}">
              <a16:creationId xmlns:a16="http://schemas.microsoft.com/office/drawing/2014/main" id="{00000000-0008-0000-0D00-0000EE4F1000}"/>
            </a:ext>
          </a:extLst>
        </xdr:cNvPr>
        <xdr:cNvSpPr>
          <a:spLocks noChangeShapeType="1"/>
        </xdr:cNvSpPr>
      </xdr:nvSpPr>
      <xdr:spPr bwMode="auto">
        <a:xfrm flipV="1">
          <a:off x="59321700" y="2952750"/>
          <a:ext cx="333375" cy="4286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82</xdr:col>
      <xdr:colOff>66675</xdr:colOff>
      <xdr:row>7</xdr:row>
      <xdr:rowOff>133350</xdr:rowOff>
    </xdr:from>
    <xdr:to>
      <xdr:col>83</xdr:col>
      <xdr:colOff>0</xdr:colOff>
      <xdr:row>9</xdr:row>
      <xdr:rowOff>66675</xdr:rowOff>
    </xdr:to>
    <xdr:sp macro="" textlink="">
      <xdr:nvSpPr>
        <xdr:cNvPr id="1069039" name="Line 146">
          <a:extLst>
            <a:ext uri="{FF2B5EF4-FFF2-40B4-BE49-F238E27FC236}">
              <a16:creationId xmlns:a16="http://schemas.microsoft.com/office/drawing/2014/main" id="{00000000-0008-0000-0D00-0000EF4F1000}"/>
            </a:ext>
          </a:extLst>
        </xdr:cNvPr>
        <xdr:cNvSpPr>
          <a:spLocks noChangeShapeType="1"/>
        </xdr:cNvSpPr>
      </xdr:nvSpPr>
      <xdr:spPr bwMode="auto">
        <a:xfrm flipV="1">
          <a:off x="57150000" y="2000250"/>
          <a:ext cx="38100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82</xdr:col>
      <xdr:colOff>66675</xdr:colOff>
      <xdr:row>9</xdr:row>
      <xdr:rowOff>66675</xdr:rowOff>
    </xdr:from>
    <xdr:to>
      <xdr:col>83</xdr:col>
      <xdr:colOff>19050</xdr:colOff>
      <xdr:row>13</xdr:row>
      <xdr:rowOff>0</xdr:rowOff>
    </xdr:to>
    <xdr:sp macro="" textlink="">
      <xdr:nvSpPr>
        <xdr:cNvPr id="1069040" name="Line 147">
          <a:extLst>
            <a:ext uri="{FF2B5EF4-FFF2-40B4-BE49-F238E27FC236}">
              <a16:creationId xmlns:a16="http://schemas.microsoft.com/office/drawing/2014/main" id="{00000000-0008-0000-0D00-0000F04F1000}"/>
            </a:ext>
          </a:extLst>
        </xdr:cNvPr>
        <xdr:cNvSpPr>
          <a:spLocks noChangeShapeType="1"/>
        </xdr:cNvSpPr>
      </xdr:nvSpPr>
      <xdr:spPr bwMode="auto">
        <a:xfrm>
          <a:off x="57150000" y="2295525"/>
          <a:ext cx="400050" cy="657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82</xdr:col>
      <xdr:colOff>57150</xdr:colOff>
      <xdr:row>13</xdr:row>
      <xdr:rowOff>0</xdr:rowOff>
    </xdr:from>
    <xdr:to>
      <xdr:col>83</xdr:col>
      <xdr:colOff>9525</xdr:colOff>
      <xdr:row>15</xdr:row>
      <xdr:rowOff>104775</xdr:rowOff>
    </xdr:to>
    <xdr:sp macro="" textlink="">
      <xdr:nvSpPr>
        <xdr:cNvPr id="1069041" name="Line 156">
          <a:extLst>
            <a:ext uri="{FF2B5EF4-FFF2-40B4-BE49-F238E27FC236}">
              <a16:creationId xmlns:a16="http://schemas.microsoft.com/office/drawing/2014/main" id="{00000000-0008-0000-0D00-0000F14F1000}"/>
            </a:ext>
          </a:extLst>
        </xdr:cNvPr>
        <xdr:cNvSpPr>
          <a:spLocks noChangeShapeType="1"/>
        </xdr:cNvSpPr>
      </xdr:nvSpPr>
      <xdr:spPr bwMode="auto">
        <a:xfrm flipV="1">
          <a:off x="57140475" y="2952750"/>
          <a:ext cx="400050" cy="4667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82</xdr:col>
      <xdr:colOff>57150</xdr:colOff>
      <xdr:row>15</xdr:row>
      <xdr:rowOff>104775</xdr:rowOff>
    </xdr:from>
    <xdr:to>
      <xdr:col>83</xdr:col>
      <xdr:colOff>0</xdr:colOff>
      <xdr:row>19</xdr:row>
      <xdr:rowOff>171450</xdr:rowOff>
    </xdr:to>
    <xdr:sp macro="" textlink="">
      <xdr:nvSpPr>
        <xdr:cNvPr id="1069042" name="Line 158">
          <a:extLst>
            <a:ext uri="{FF2B5EF4-FFF2-40B4-BE49-F238E27FC236}">
              <a16:creationId xmlns:a16="http://schemas.microsoft.com/office/drawing/2014/main" id="{00000000-0008-0000-0D00-0000F24F1000}"/>
            </a:ext>
          </a:extLst>
        </xdr:cNvPr>
        <xdr:cNvSpPr>
          <a:spLocks noChangeShapeType="1"/>
        </xdr:cNvSpPr>
      </xdr:nvSpPr>
      <xdr:spPr bwMode="auto">
        <a:xfrm>
          <a:off x="57140475" y="3419475"/>
          <a:ext cx="390525" cy="7905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85</xdr:col>
      <xdr:colOff>76200</xdr:colOff>
      <xdr:row>34</xdr:row>
      <xdr:rowOff>0</xdr:rowOff>
    </xdr:from>
    <xdr:to>
      <xdr:col>85</xdr:col>
      <xdr:colOff>76200</xdr:colOff>
      <xdr:row>34</xdr:row>
      <xdr:rowOff>0</xdr:rowOff>
    </xdr:to>
    <xdr:sp macro="" textlink="">
      <xdr:nvSpPr>
        <xdr:cNvPr id="1069043" name="Line 176">
          <a:extLst>
            <a:ext uri="{FF2B5EF4-FFF2-40B4-BE49-F238E27FC236}">
              <a16:creationId xmlns:a16="http://schemas.microsoft.com/office/drawing/2014/main" id="{00000000-0008-0000-0D00-0000F34F1000}"/>
            </a:ext>
          </a:extLst>
        </xdr:cNvPr>
        <xdr:cNvSpPr>
          <a:spLocks noChangeShapeType="1"/>
        </xdr:cNvSpPr>
      </xdr:nvSpPr>
      <xdr:spPr bwMode="auto">
        <a:xfrm>
          <a:off x="59321700" y="6753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76200</xdr:colOff>
      <xdr:row>34</xdr:row>
      <xdr:rowOff>0</xdr:rowOff>
    </xdr:from>
    <xdr:to>
      <xdr:col>85</xdr:col>
      <xdr:colOff>76200</xdr:colOff>
      <xdr:row>34</xdr:row>
      <xdr:rowOff>0</xdr:rowOff>
    </xdr:to>
    <xdr:sp macro="" textlink="">
      <xdr:nvSpPr>
        <xdr:cNvPr id="1069044" name="Line 210">
          <a:extLst>
            <a:ext uri="{FF2B5EF4-FFF2-40B4-BE49-F238E27FC236}">
              <a16:creationId xmlns:a16="http://schemas.microsoft.com/office/drawing/2014/main" id="{00000000-0008-0000-0D00-0000F44F1000}"/>
            </a:ext>
          </a:extLst>
        </xdr:cNvPr>
        <xdr:cNvSpPr>
          <a:spLocks noChangeShapeType="1"/>
        </xdr:cNvSpPr>
      </xdr:nvSpPr>
      <xdr:spPr bwMode="auto">
        <a:xfrm>
          <a:off x="59321700" y="6753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57150</xdr:colOff>
      <xdr:row>15</xdr:row>
      <xdr:rowOff>76200</xdr:rowOff>
    </xdr:from>
    <xdr:to>
      <xdr:col>85</xdr:col>
      <xdr:colOff>400050</xdr:colOff>
      <xdr:row>20</xdr:row>
      <xdr:rowOff>0</xdr:rowOff>
    </xdr:to>
    <xdr:sp macro="" textlink="">
      <xdr:nvSpPr>
        <xdr:cNvPr id="1069045" name="Line 259">
          <a:extLst>
            <a:ext uri="{FF2B5EF4-FFF2-40B4-BE49-F238E27FC236}">
              <a16:creationId xmlns:a16="http://schemas.microsoft.com/office/drawing/2014/main" id="{00000000-0008-0000-0D00-0000F54F1000}"/>
            </a:ext>
          </a:extLst>
        </xdr:cNvPr>
        <xdr:cNvSpPr>
          <a:spLocks noChangeShapeType="1"/>
        </xdr:cNvSpPr>
      </xdr:nvSpPr>
      <xdr:spPr bwMode="auto">
        <a:xfrm>
          <a:off x="59302650" y="3390900"/>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82</xdr:col>
      <xdr:colOff>0</xdr:colOff>
      <xdr:row>20</xdr:row>
      <xdr:rowOff>0</xdr:rowOff>
    </xdr:from>
    <xdr:to>
      <xdr:col>82</xdr:col>
      <xdr:colOff>76200</xdr:colOff>
      <xdr:row>20</xdr:row>
      <xdr:rowOff>9525</xdr:rowOff>
    </xdr:to>
    <xdr:sp macro="" textlink="">
      <xdr:nvSpPr>
        <xdr:cNvPr id="1069046" name="Line 283">
          <a:extLst>
            <a:ext uri="{FF2B5EF4-FFF2-40B4-BE49-F238E27FC236}">
              <a16:creationId xmlns:a16="http://schemas.microsoft.com/office/drawing/2014/main" id="{00000000-0008-0000-0D00-0000F64F1000}"/>
            </a:ext>
          </a:extLst>
        </xdr:cNvPr>
        <xdr:cNvSpPr>
          <a:spLocks noChangeShapeType="1"/>
        </xdr:cNvSpPr>
      </xdr:nvSpPr>
      <xdr:spPr bwMode="auto">
        <a:xfrm>
          <a:off x="5708332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66675</xdr:colOff>
      <xdr:row>20</xdr:row>
      <xdr:rowOff>9525</xdr:rowOff>
    </xdr:from>
    <xdr:to>
      <xdr:col>82</xdr:col>
      <xdr:colOff>66675</xdr:colOff>
      <xdr:row>23</xdr:row>
      <xdr:rowOff>19050</xdr:rowOff>
    </xdr:to>
    <xdr:sp macro="" textlink="">
      <xdr:nvSpPr>
        <xdr:cNvPr id="1069047" name="Line 284">
          <a:extLst>
            <a:ext uri="{FF2B5EF4-FFF2-40B4-BE49-F238E27FC236}">
              <a16:creationId xmlns:a16="http://schemas.microsoft.com/office/drawing/2014/main" id="{00000000-0008-0000-0D00-0000F74F1000}"/>
            </a:ext>
          </a:extLst>
        </xdr:cNvPr>
        <xdr:cNvSpPr>
          <a:spLocks noChangeShapeType="1"/>
        </xdr:cNvSpPr>
      </xdr:nvSpPr>
      <xdr:spPr bwMode="auto">
        <a:xfrm>
          <a:off x="5715000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9525</xdr:colOff>
      <xdr:row>23</xdr:row>
      <xdr:rowOff>0</xdr:rowOff>
    </xdr:from>
    <xdr:to>
      <xdr:col>82</xdr:col>
      <xdr:colOff>66675</xdr:colOff>
      <xdr:row>23</xdr:row>
      <xdr:rowOff>9525</xdr:rowOff>
    </xdr:to>
    <xdr:sp macro="" textlink="">
      <xdr:nvSpPr>
        <xdr:cNvPr id="1069048" name="Line 285">
          <a:extLst>
            <a:ext uri="{FF2B5EF4-FFF2-40B4-BE49-F238E27FC236}">
              <a16:creationId xmlns:a16="http://schemas.microsoft.com/office/drawing/2014/main" id="{00000000-0008-0000-0D00-0000F84F1000}"/>
            </a:ext>
          </a:extLst>
        </xdr:cNvPr>
        <xdr:cNvSpPr>
          <a:spLocks noChangeShapeType="1"/>
        </xdr:cNvSpPr>
      </xdr:nvSpPr>
      <xdr:spPr bwMode="auto">
        <a:xfrm flipV="1">
          <a:off x="5709285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0</xdr:colOff>
      <xdr:row>20</xdr:row>
      <xdr:rowOff>0</xdr:rowOff>
    </xdr:from>
    <xdr:to>
      <xdr:col>85</xdr:col>
      <xdr:colOff>76200</xdr:colOff>
      <xdr:row>20</xdr:row>
      <xdr:rowOff>9525</xdr:rowOff>
    </xdr:to>
    <xdr:sp macro="" textlink="">
      <xdr:nvSpPr>
        <xdr:cNvPr id="1069049" name="Line 286">
          <a:extLst>
            <a:ext uri="{FF2B5EF4-FFF2-40B4-BE49-F238E27FC236}">
              <a16:creationId xmlns:a16="http://schemas.microsoft.com/office/drawing/2014/main" id="{00000000-0008-0000-0D00-0000F94F1000}"/>
            </a:ext>
          </a:extLst>
        </xdr:cNvPr>
        <xdr:cNvSpPr>
          <a:spLocks noChangeShapeType="1"/>
        </xdr:cNvSpPr>
      </xdr:nvSpPr>
      <xdr:spPr bwMode="auto">
        <a:xfrm>
          <a:off x="592455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66675</xdr:colOff>
      <xdr:row>20</xdr:row>
      <xdr:rowOff>9525</xdr:rowOff>
    </xdr:from>
    <xdr:to>
      <xdr:col>85</xdr:col>
      <xdr:colOff>66675</xdr:colOff>
      <xdr:row>23</xdr:row>
      <xdr:rowOff>19050</xdr:rowOff>
    </xdr:to>
    <xdr:sp macro="" textlink="">
      <xdr:nvSpPr>
        <xdr:cNvPr id="1069050" name="Line 287">
          <a:extLst>
            <a:ext uri="{FF2B5EF4-FFF2-40B4-BE49-F238E27FC236}">
              <a16:creationId xmlns:a16="http://schemas.microsoft.com/office/drawing/2014/main" id="{00000000-0008-0000-0D00-0000FA4F1000}"/>
            </a:ext>
          </a:extLst>
        </xdr:cNvPr>
        <xdr:cNvSpPr>
          <a:spLocks noChangeShapeType="1"/>
        </xdr:cNvSpPr>
      </xdr:nvSpPr>
      <xdr:spPr bwMode="auto">
        <a:xfrm>
          <a:off x="5931217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9525</xdr:colOff>
      <xdr:row>23</xdr:row>
      <xdr:rowOff>0</xdr:rowOff>
    </xdr:from>
    <xdr:to>
      <xdr:col>85</xdr:col>
      <xdr:colOff>66675</xdr:colOff>
      <xdr:row>23</xdr:row>
      <xdr:rowOff>9525</xdr:rowOff>
    </xdr:to>
    <xdr:sp macro="" textlink="">
      <xdr:nvSpPr>
        <xdr:cNvPr id="1069051" name="Line 288">
          <a:extLst>
            <a:ext uri="{FF2B5EF4-FFF2-40B4-BE49-F238E27FC236}">
              <a16:creationId xmlns:a16="http://schemas.microsoft.com/office/drawing/2014/main" id="{00000000-0008-0000-0D00-0000FB4F1000}"/>
            </a:ext>
          </a:extLst>
        </xdr:cNvPr>
        <xdr:cNvSpPr>
          <a:spLocks noChangeShapeType="1"/>
        </xdr:cNvSpPr>
      </xdr:nvSpPr>
      <xdr:spPr bwMode="auto">
        <a:xfrm flipV="1">
          <a:off x="592550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20</xdr:row>
      <xdr:rowOff>0</xdr:rowOff>
    </xdr:from>
    <xdr:to>
      <xdr:col>88</xdr:col>
      <xdr:colOff>76200</xdr:colOff>
      <xdr:row>20</xdr:row>
      <xdr:rowOff>9525</xdr:rowOff>
    </xdr:to>
    <xdr:sp macro="" textlink="">
      <xdr:nvSpPr>
        <xdr:cNvPr id="1069052" name="Line 289">
          <a:extLst>
            <a:ext uri="{FF2B5EF4-FFF2-40B4-BE49-F238E27FC236}">
              <a16:creationId xmlns:a16="http://schemas.microsoft.com/office/drawing/2014/main" id="{00000000-0008-0000-0D00-0000FC4F1000}"/>
            </a:ext>
          </a:extLst>
        </xdr:cNvPr>
        <xdr:cNvSpPr>
          <a:spLocks noChangeShapeType="1"/>
        </xdr:cNvSpPr>
      </xdr:nvSpPr>
      <xdr:spPr bwMode="auto">
        <a:xfrm>
          <a:off x="613410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66675</xdr:colOff>
      <xdr:row>20</xdr:row>
      <xdr:rowOff>9525</xdr:rowOff>
    </xdr:from>
    <xdr:to>
      <xdr:col>88</xdr:col>
      <xdr:colOff>66675</xdr:colOff>
      <xdr:row>23</xdr:row>
      <xdr:rowOff>19050</xdr:rowOff>
    </xdr:to>
    <xdr:sp macro="" textlink="">
      <xdr:nvSpPr>
        <xdr:cNvPr id="1069053" name="Line 290">
          <a:extLst>
            <a:ext uri="{FF2B5EF4-FFF2-40B4-BE49-F238E27FC236}">
              <a16:creationId xmlns:a16="http://schemas.microsoft.com/office/drawing/2014/main" id="{00000000-0008-0000-0D00-0000FD4F1000}"/>
            </a:ext>
          </a:extLst>
        </xdr:cNvPr>
        <xdr:cNvSpPr>
          <a:spLocks noChangeShapeType="1"/>
        </xdr:cNvSpPr>
      </xdr:nvSpPr>
      <xdr:spPr bwMode="auto">
        <a:xfrm>
          <a:off x="6140767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9525</xdr:colOff>
      <xdr:row>23</xdr:row>
      <xdr:rowOff>0</xdr:rowOff>
    </xdr:from>
    <xdr:to>
      <xdr:col>88</xdr:col>
      <xdr:colOff>66675</xdr:colOff>
      <xdr:row>23</xdr:row>
      <xdr:rowOff>9525</xdr:rowOff>
    </xdr:to>
    <xdr:sp macro="" textlink="">
      <xdr:nvSpPr>
        <xdr:cNvPr id="1069054" name="Line 291">
          <a:extLst>
            <a:ext uri="{FF2B5EF4-FFF2-40B4-BE49-F238E27FC236}">
              <a16:creationId xmlns:a16="http://schemas.microsoft.com/office/drawing/2014/main" id="{00000000-0008-0000-0D00-0000FE4F1000}"/>
            </a:ext>
          </a:extLst>
        </xdr:cNvPr>
        <xdr:cNvSpPr>
          <a:spLocks noChangeShapeType="1"/>
        </xdr:cNvSpPr>
      </xdr:nvSpPr>
      <xdr:spPr bwMode="auto">
        <a:xfrm flipV="1">
          <a:off x="613505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20</xdr:row>
      <xdr:rowOff>0</xdr:rowOff>
    </xdr:from>
    <xdr:to>
      <xdr:col>88</xdr:col>
      <xdr:colOff>76200</xdr:colOff>
      <xdr:row>20</xdr:row>
      <xdr:rowOff>9525</xdr:rowOff>
    </xdr:to>
    <xdr:sp macro="" textlink="">
      <xdr:nvSpPr>
        <xdr:cNvPr id="1069055" name="Line 292">
          <a:extLst>
            <a:ext uri="{FF2B5EF4-FFF2-40B4-BE49-F238E27FC236}">
              <a16:creationId xmlns:a16="http://schemas.microsoft.com/office/drawing/2014/main" id="{00000000-0008-0000-0D00-0000FF4F1000}"/>
            </a:ext>
          </a:extLst>
        </xdr:cNvPr>
        <xdr:cNvSpPr>
          <a:spLocks noChangeShapeType="1"/>
        </xdr:cNvSpPr>
      </xdr:nvSpPr>
      <xdr:spPr bwMode="auto">
        <a:xfrm>
          <a:off x="613410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66675</xdr:colOff>
      <xdr:row>20</xdr:row>
      <xdr:rowOff>9525</xdr:rowOff>
    </xdr:from>
    <xdr:to>
      <xdr:col>88</xdr:col>
      <xdr:colOff>66675</xdr:colOff>
      <xdr:row>23</xdr:row>
      <xdr:rowOff>19050</xdr:rowOff>
    </xdr:to>
    <xdr:sp macro="" textlink="">
      <xdr:nvSpPr>
        <xdr:cNvPr id="1070080" name="Line 293">
          <a:extLst>
            <a:ext uri="{FF2B5EF4-FFF2-40B4-BE49-F238E27FC236}">
              <a16:creationId xmlns:a16="http://schemas.microsoft.com/office/drawing/2014/main" id="{00000000-0008-0000-0D00-000000541000}"/>
            </a:ext>
          </a:extLst>
        </xdr:cNvPr>
        <xdr:cNvSpPr>
          <a:spLocks noChangeShapeType="1"/>
        </xdr:cNvSpPr>
      </xdr:nvSpPr>
      <xdr:spPr bwMode="auto">
        <a:xfrm>
          <a:off x="6140767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9525</xdr:colOff>
      <xdr:row>23</xdr:row>
      <xdr:rowOff>0</xdr:rowOff>
    </xdr:from>
    <xdr:to>
      <xdr:col>88</xdr:col>
      <xdr:colOff>66675</xdr:colOff>
      <xdr:row>23</xdr:row>
      <xdr:rowOff>9525</xdr:rowOff>
    </xdr:to>
    <xdr:sp macro="" textlink="">
      <xdr:nvSpPr>
        <xdr:cNvPr id="1070081" name="Line 294">
          <a:extLst>
            <a:ext uri="{FF2B5EF4-FFF2-40B4-BE49-F238E27FC236}">
              <a16:creationId xmlns:a16="http://schemas.microsoft.com/office/drawing/2014/main" id="{00000000-0008-0000-0D00-000001541000}"/>
            </a:ext>
          </a:extLst>
        </xdr:cNvPr>
        <xdr:cNvSpPr>
          <a:spLocks noChangeShapeType="1"/>
        </xdr:cNvSpPr>
      </xdr:nvSpPr>
      <xdr:spPr bwMode="auto">
        <a:xfrm flipV="1">
          <a:off x="613505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76200</xdr:colOff>
      <xdr:row>21</xdr:row>
      <xdr:rowOff>66675</xdr:rowOff>
    </xdr:from>
    <xdr:to>
      <xdr:col>89</xdr:col>
      <xdr:colOff>9525</xdr:colOff>
      <xdr:row>23</xdr:row>
      <xdr:rowOff>19050</xdr:rowOff>
    </xdr:to>
    <xdr:sp macro="" textlink="">
      <xdr:nvSpPr>
        <xdr:cNvPr id="1070082" name="Line 295">
          <a:extLst>
            <a:ext uri="{FF2B5EF4-FFF2-40B4-BE49-F238E27FC236}">
              <a16:creationId xmlns:a16="http://schemas.microsoft.com/office/drawing/2014/main" id="{00000000-0008-0000-0D00-000002541000}"/>
            </a:ext>
          </a:extLst>
        </xdr:cNvPr>
        <xdr:cNvSpPr>
          <a:spLocks noChangeShapeType="1"/>
        </xdr:cNvSpPr>
      </xdr:nvSpPr>
      <xdr:spPr bwMode="auto">
        <a:xfrm>
          <a:off x="61417200" y="44672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88</xdr:col>
      <xdr:colOff>0</xdr:colOff>
      <xdr:row>20</xdr:row>
      <xdr:rowOff>0</xdr:rowOff>
    </xdr:from>
    <xdr:to>
      <xdr:col>88</xdr:col>
      <xdr:colOff>76200</xdr:colOff>
      <xdr:row>20</xdr:row>
      <xdr:rowOff>9525</xdr:rowOff>
    </xdr:to>
    <xdr:sp macro="" textlink="">
      <xdr:nvSpPr>
        <xdr:cNvPr id="1070083" name="Line 296">
          <a:extLst>
            <a:ext uri="{FF2B5EF4-FFF2-40B4-BE49-F238E27FC236}">
              <a16:creationId xmlns:a16="http://schemas.microsoft.com/office/drawing/2014/main" id="{00000000-0008-0000-0D00-000003541000}"/>
            </a:ext>
          </a:extLst>
        </xdr:cNvPr>
        <xdr:cNvSpPr>
          <a:spLocks noChangeShapeType="1"/>
        </xdr:cNvSpPr>
      </xdr:nvSpPr>
      <xdr:spPr bwMode="auto">
        <a:xfrm>
          <a:off x="613410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66675</xdr:colOff>
      <xdr:row>20</xdr:row>
      <xdr:rowOff>9525</xdr:rowOff>
    </xdr:from>
    <xdr:to>
      <xdr:col>88</xdr:col>
      <xdr:colOff>66675</xdr:colOff>
      <xdr:row>23</xdr:row>
      <xdr:rowOff>19050</xdr:rowOff>
    </xdr:to>
    <xdr:sp macro="" textlink="">
      <xdr:nvSpPr>
        <xdr:cNvPr id="1070084" name="Line 297">
          <a:extLst>
            <a:ext uri="{FF2B5EF4-FFF2-40B4-BE49-F238E27FC236}">
              <a16:creationId xmlns:a16="http://schemas.microsoft.com/office/drawing/2014/main" id="{00000000-0008-0000-0D00-000004541000}"/>
            </a:ext>
          </a:extLst>
        </xdr:cNvPr>
        <xdr:cNvSpPr>
          <a:spLocks noChangeShapeType="1"/>
        </xdr:cNvSpPr>
      </xdr:nvSpPr>
      <xdr:spPr bwMode="auto">
        <a:xfrm>
          <a:off x="6140767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9525</xdr:colOff>
      <xdr:row>23</xdr:row>
      <xdr:rowOff>0</xdr:rowOff>
    </xdr:from>
    <xdr:to>
      <xdr:col>88</xdr:col>
      <xdr:colOff>66675</xdr:colOff>
      <xdr:row>23</xdr:row>
      <xdr:rowOff>9525</xdr:rowOff>
    </xdr:to>
    <xdr:sp macro="" textlink="">
      <xdr:nvSpPr>
        <xdr:cNvPr id="1070085" name="Line 298">
          <a:extLst>
            <a:ext uri="{FF2B5EF4-FFF2-40B4-BE49-F238E27FC236}">
              <a16:creationId xmlns:a16="http://schemas.microsoft.com/office/drawing/2014/main" id="{00000000-0008-0000-0D00-000005541000}"/>
            </a:ext>
          </a:extLst>
        </xdr:cNvPr>
        <xdr:cNvSpPr>
          <a:spLocks noChangeShapeType="1"/>
        </xdr:cNvSpPr>
      </xdr:nvSpPr>
      <xdr:spPr bwMode="auto">
        <a:xfrm flipV="1">
          <a:off x="613505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57150</xdr:colOff>
      <xdr:row>19</xdr:row>
      <xdr:rowOff>171450</xdr:rowOff>
    </xdr:from>
    <xdr:to>
      <xdr:col>89</xdr:col>
      <xdr:colOff>9525</xdr:colOff>
      <xdr:row>21</xdr:row>
      <xdr:rowOff>47625</xdr:rowOff>
    </xdr:to>
    <xdr:sp macro="" textlink="">
      <xdr:nvSpPr>
        <xdr:cNvPr id="1070086" name="Line 299">
          <a:extLst>
            <a:ext uri="{FF2B5EF4-FFF2-40B4-BE49-F238E27FC236}">
              <a16:creationId xmlns:a16="http://schemas.microsoft.com/office/drawing/2014/main" id="{00000000-0008-0000-0D00-000006541000}"/>
            </a:ext>
          </a:extLst>
        </xdr:cNvPr>
        <xdr:cNvSpPr>
          <a:spLocks noChangeShapeType="1"/>
        </xdr:cNvSpPr>
      </xdr:nvSpPr>
      <xdr:spPr bwMode="auto">
        <a:xfrm flipV="1">
          <a:off x="61398150" y="4210050"/>
          <a:ext cx="3619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85</xdr:col>
      <xdr:colOff>0</xdr:colOff>
      <xdr:row>20</xdr:row>
      <xdr:rowOff>0</xdr:rowOff>
    </xdr:from>
    <xdr:to>
      <xdr:col>85</xdr:col>
      <xdr:colOff>76200</xdr:colOff>
      <xdr:row>20</xdr:row>
      <xdr:rowOff>9525</xdr:rowOff>
    </xdr:to>
    <xdr:sp macro="" textlink="">
      <xdr:nvSpPr>
        <xdr:cNvPr id="1070087" name="Line 300">
          <a:extLst>
            <a:ext uri="{FF2B5EF4-FFF2-40B4-BE49-F238E27FC236}">
              <a16:creationId xmlns:a16="http://schemas.microsoft.com/office/drawing/2014/main" id="{00000000-0008-0000-0D00-000007541000}"/>
            </a:ext>
          </a:extLst>
        </xdr:cNvPr>
        <xdr:cNvSpPr>
          <a:spLocks noChangeShapeType="1"/>
        </xdr:cNvSpPr>
      </xdr:nvSpPr>
      <xdr:spPr bwMode="auto">
        <a:xfrm>
          <a:off x="592455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66675</xdr:colOff>
      <xdr:row>20</xdr:row>
      <xdr:rowOff>9525</xdr:rowOff>
    </xdr:from>
    <xdr:to>
      <xdr:col>85</xdr:col>
      <xdr:colOff>66675</xdr:colOff>
      <xdr:row>23</xdr:row>
      <xdr:rowOff>19050</xdr:rowOff>
    </xdr:to>
    <xdr:sp macro="" textlink="">
      <xdr:nvSpPr>
        <xdr:cNvPr id="1070088" name="Line 301">
          <a:extLst>
            <a:ext uri="{FF2B5EF4-FFF2-40B4-BE49-F238E27FC236}">
              <a16:creationId xmlns:a16="http://schemas.microsoft.com/office/drawing/2014/main" id="{00000000-0008-0000-0D00-000008541000}"/>
            </a:ext>
          </a:extLst>
        </xdr:cNvPr>
        <xdr:cNvSpPr>
          <a:spLocks noChangeShapeType="1"/>
        </xdr:cNvSpPr>
      </xdr:nvSpPr>
      <xdr:spPr bwMode="auto">
        <a:xfrm>
          <a:off x="5931217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9525</xdr:colOff>
      <xdr:row>23</xdr:row>
      <xdr:rowOff>0</xdr:rowOff>
    </xdr:from>
    <xdr:to>
      <xdr:col>85</xdr:col>
      <xdr:colOff>66675</xdr:colOff>
      <xdr:row>23</xdr:row>
      <xdr:rowOff>9525</xdr:rowOff>
    </xdr:to>
    <xdr:sp macro="" textlink="">
      <xdr:nvSpPr>
        <xdr:cNvPr id="1070089" name="Line 302">
          <a:extLst>
            <a:ext uri="{FF2B5EF4-FFF2-40B4-BE49-F238E27FC236}">
              <a16:creationId xmlns:a16="http://schemas.microsoft.com/office/drawing/2014/main" id="{00000000-0008-0000-0D00-000009541000}"/>
            </a:ext>
          </a:extLst>
        </xdr:cNvPr>
        <xdr:cNvSpPr>
          <a:spLocks noChangeShapeType="1"/>
        </xdr:cNvSpPr>
      </xdr:nvSpPr>
      <xdr:spPr bwMode="auto">
        <a:xfrm flipV="1">
          <a:off x="592550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0</xdr:colOff>
      <xdr:row>26</xdr:row>
      <xdr:rowOff>0</xdr:rowOff>
    </xdr:from>
    <xdr:to>
      <xdr:col>82</xdr:col>
      <xdr:colOff>76200</xdr:colOff>
      <xdr:row>26</xdr:row>
      <xdr:rowOff>9525</xdr:rowOff>
    </xdr:to>
    <xdr:sp macro="" textlink="">
      <xdr:nvSpPr>
        <xdr:cNvPr id="1070090" name="Line 303">
          <a:extLst>
            <a:ext uri="{FF2B5EF4-FFF2-40B4-BE49-F238E27FC236}">
              <a16:creationId xmlns:a16="http://schemas.microsoft.com/office/drawing/2014/main" id="{00000000-0008-0000-0D00-00000A541000}"/>
            </a:ext>
          </a:extLst>
        </xdr:cNvPr>
        <xdr:cNvSpPr>
          <a:spLocks noChangeShapeType="1"/>
        </xdr:cNvSpPr>
      </xdr:nvSpPr>
      <xdr:spPr bwMode="auto">
        <a:xfrm>
          <a:off x="5708332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66675</xdr:colOff>
      <xdr:row>26</xdr:row>
      <xdr:rowOff>9525</xdr:rowOff>
    </xdr:from>
    <xdr:to>
      <xdr:col>82</xdr:col>
      <xdr:colOff>66675</xdr:colOff>
      <xdr:row>29</xdr:row>
      <xdr:rowOff>19050</xdr:rowOff>
    </xdr:to>
    <xdr:sp macro="" textlink="">
      <xdr:nvSpPr>
        <xdr:cNvPr id="1070091" name="Line 304">
          <a:extLst>
            <a:ext uri="{FF2B5EF4-FFF2-40B4-BE49-F238E27FC236}">
              <a16:creationId xmlns:a16="http://schemas.microsoft.com/office/drawing/2014/main" id="{00000000-0008-0000-0D00-00000B541000}"/>
            </a:ext>
          </a:extLst>
        </xdr:cNvPr>
        <xdr:cNvSpPr>
          <a:spLocks noChangeShapeType="1"/>
        </xdr:cNvSpPr>
      </xdr:nvSpPr>
      <xdr:spPr bwMode="auto">
        <a:xfrm>
          <a:off x="5715000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9525</xdr:colOff>
      <xdr:row>29</xdr:row>
      <xdr:rowOff>0</xdr:rowOff>
    </xdr:from>
    <xdr:to>
      <xdr:col>82</xdr:col>
      <xdr:colOff>66675</xdr:colOff>
      <xdr:row>29</xdr:row>
      <xdr:rowOff>9525</xdr:rowOff>
    </xdr:to>
    <xdr:sp macro="" textlink="">
      <xdr:nvSpPr>
        <xdr:cNvPr id="1070092" name="Line 305">
          <a:extLst>
            <a:ext uri="{FF2B5EF4-FFF2-40B4-BE49-F238E27FC236}">
              <a16:creationId xmlns:a16="http://schemas.microsoft.com/office/drawing/2014/main" id="{00000000-0008-0000-0D00-00000C541000}"/>
            </a:ext>
          </a:extLst>
        </xdr:cNvPr>
        <xdr:cNvSpPr>
          <a:spLocks noChangeShapeType="1"/>
        </xdr:cNvSpPr>
      </xdr:nvSpPr>
      <xdr:spPr bwMode="auto">
        <a:xfrm flipV="1">
          <a:off x="5709285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0</xdr:colOff>
      <xdr:row>26</xdr:row>
      <xdr:rowOff>0</xdr:rowOff>
    </xdr:from>
    <xdr:to>
      <xdr:col>85</xdr:col>
      <xdr:colOff>76200</xdr:colOff>
      <xdr:row>26</xdr:row>
      <xdr:rowOff>9525</xdr:rowOff>
    </xdr:to>
    <xdr:sp macro="" textlink="">
      <xdr:nvSpPr>
        <xdr:cNvPr id="1070093" name="Line 306">
          <a:extLst>
            <a:ext uri="{FF2B5EF4-FFF2-40B4-BE49-F238E27FC236}">
              <a16:creationId xmlns:a16="http://schemas.microsoft.com/office/drawing/2014/main" id="{00000000-0008-0000-0D00-00000D541000}"/>
            </a:ext>
          </a:extLst>
        </xdr:cNvPr>
        <xdr:cNvSpPr>
          <a:spLocks noChangeShapeType="1"/>
        </xdr:cNvSpPr>
      </xdr:nvSpPr>
      <xdr:spPr bwMode="auto">
        <a:xfrm>
          <a:off x="5924550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66675</xdr:colOff>
      <xdr:row>26</xdr:row>
      <xdr:rowOff>9525</xdr:rowOff>
    </xdr:from>
    <xdr:to>
      <xdr:col>85</xdr:col>
      <xdr:colOff>66675</xdr:colOff>
      <xdr:row>29</xdr:row>
      <xdr:rowOff>19050</xdr:rowOff>
    </xdr:to>
    <xdr:sp macro="" textlink="">
      <xdr:nvSpPr>
        <xdr:cNvPr id="1070094" name="Line 307">
          <a:extLst>
            <a:ext uri="{FF2B5EF4-FFF2-40B4-BE49-F238E27FC236}">
              <a16:creationId xmlns:a16="http://schemas.microsoft.com/office/drawing/2014/main" id="{00000000-0008-0000-0D00-00000E541000}"/>
            </a:ext>
          </a:extLst>
        </xdr:cNvPr>
        <xdr:cNvSpPr>
          <a:spLocks noChangeShapeType="1"/>
        </xdr:cNvSpPr>
      </xdr:nvSpPr>
      <xdr:spPr bwMode="auto">
        <a:xfrm>
          <a:off x="5931217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9525</xdr:colOff>
      <xdr:row>29</xdr:row>
      <xdr:rowOff>0</xdr:rowOff>
    </xdr:from>
    <xdr:to>
      <xdr:col>85</xdr:col>
      <xdr:colOff>66675</xdr:colOff>
      <xdr:row>29</xdr:row>
      <xdr:rowOff>9525</xdr:rowOff>
    </xdr:to>
    <xdr:sp macro="" textlink="">
      <xdr:nvSpPr>
        <xdr:cNvPr id="1070095" name="Line 308">
          <a:extLst>
            <a:ext uri="{FF2B5EF4-FFF2-40B4-BE49-F238E27FC236}">
              <a16:creationId xmlns:a16="http://schemas.microsoft.com/office/drawing/2014/main" id="{00000000-0008-0000-0D00-00000F541000}"/>
            </a:ext>
          </a:extLst>
        </xdr:cNvPr>
        <xdr:cNvSpPr>
          <a:spLocks noChangeShapeType="1"/>
        </xdr:cNvSpPr>
      </xdr:nvSpPr>
      <xdr:spPr bwMode="auto">
        <a:xfrm flipV="1">
          <a:off x="5925502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26</xdr:row>
      <xdr:rowOff>0</xdr:rowOff>
    </xdr:from>
    <xdr:to>
      <xdr:col>88</xdr:col>
      <xdr:colOff>76200</xdr:colOff>
      <xdr:row>26</xdr:row>
      <xdr:rowOff>9525</xdr:rowOff>
    </xdr:to>
    <xdr:sp macro="" textlink="">
      <xdr:nvSpPr>
        <xdr:cNvPr id="1070096" name="Line 309">
          <a:extLst>
            <a:ext uri="{FF2B5EF4-FFF2-40B4-BE49-F238E27FC236}">
              <a16:creationId xmlns:a16="http://schemas.microsoft.com/office/drawing/2014/main" id="{00000000-0008-0000-0D00-000010541000}"/>
            </a:ext>
          </a:extLst>
        </xdr:cNvPr>
        <xdr:cNvSpPr>
          <a:spLocks noChangeShapeType="1"/>
        </xdr:cNvSpPr>
      </xdr:nvSpPr>
      <xdr:spPr bwMode="auto">
        <a:xfrm>
          <a:off x="6134100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66675</xdr:colOff>
      <xdr:row>26</xdr:row>
      <xdr:rowOff>9525</xdr:rowOff>
    </xdr:from>
    <xdr:to>
      <xdr:col>88</xdr:col>
      <xdr:colOff>66675</xdr:colOff>
      <xdr:row>29</xdr:row>
      <xdr:rowOff>19050</xdr:rowOff>
    </xdr:to>
    <xdr:sp macro="" textlink="">
      <xdr:nvSpPr>
        <xdr:cNvPr id="1070097" name="Line 310">
          <a:extLst>
            <a:ext uri="{FF2B5EF4-FFF2-40B4-BE49-F238E27FC236}">
              <a16:creationId xmlns:a16="http://schemas.microsoft.com/office/drawing/2014/main" id="{00000000-0008-0000-0D00-000011541000}"/>
            </a:ext>
          </a:extLst>
        </xdr:cNvPr>
        <xdr:cNvSpPr>
          <a:spLocks noChangeShapeType="1"/>
        </xdr:cNvSpPr>
      </xdr:nvSpPr>
      <xdr:spPr bwMode="auto">
        <a:xfrm>
          <a:off x="6140767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9525</xdr:colOff>
      <xdr:row>29</xdr:row>
      <xdr:rowOff>0</xdr:rowOff>
    </xdr:from>
    <xdr:to>
      <xdr:col>88</xdr:col>
      <xdr:colOff>66675</xdr:colOff>
      <xdr:row>29</xdr:row>
      <xdr:rowOff>9525</xdr:rowOff>
    </xdr:to>
    <xdr:sp macro="" textlink="">
      <xdr:nvSpPr>
        <xdr:cNvPr id="1070098" name="Line 311">
          <a:extLst>
            <a:ext uri="{FF2B5EF4-FFF2-40B4-BE49-F238E27FC236}">
              <a16:creationId xmlns:a16="http://schemas.microsoft.com/office/drawing/2014/main" id="{00000000-0008-0000-0D00-000012541000}"/>
            </a:ext>
          </a:extLst>
        </xdr:cNvPr>
        <xdr:cNvSpPr>
          <a:spLocks noChangeShapeType="1"/>
        </xdr:cNvSpPr>
      </xdr:nvSpPr>
      <xdr:spPr bwMode="auto">
        <a:xfrm flipV="1">
          <a:off x="6135052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26</xdr:row>
      <xdr:rowOff>0</xdr:rowOff>
    </xdr:from>
    <xdr:to>
      <xdr:col>88</xdr:col>
      <xdr:colOff>76200</xdr:colOff>
      <xdr:row>26</xdr:row>
      <xdr:rowOff>9525</xdr:rowOff>
    </xdr:to>
    <xdr:sp macro="" textlink="">
      <xdr:nvSpPr>
        <xdr:cNvPr id="1070099" name="Line 312">
          <a:extLst>
            <a:ext uri="{FF2B5EF4-FFF2-40B4-BE49-F238E27FC236}">
              <a16:creationId xmlns:a16="http://schemas.microsoft.com/office/drawing/2014/main" id="{00000000-0008-0000-0D00-000013541000}"/>
            </a:ext>
          </a:extLst>
        </xdr:cNvPr>
        <xdr:cNvSpPr>
          <a:spLocks noChangeShapeType="1"/>
        </xdr:cNvSpPr>
      </xdr:nvSpPr>
      <xdr:spPr bwMode="auto">
        <a:xfrm>
          <a:off x="6134100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66675</xdr:colOff>
      <xdr:row>26</xdr:row>
      <xdr:rowOff>9525</xdr:rowOff>
    </xdr:from>
    <xdr:to>
      <xdr:col>88</xdr:col>
      <xdr:colOff>66675</xdr:colOff>
      <xdr:row>29</xdr:row>
      <xdr:rowOff>19050</xdr:rowOff>
    </xdr:to>
    <xdr:sp macro="" textlink="">
      <xdr:nvSpPr>
        <xdr:cNvPr id="1070100" name="Line 313">
          <a:extLst>
            <a:ext uri="{FF2B5EF4-FFF2-40B4-BE49-F238E27FC236}">
              <a16:creationId xmlns:a16="http://schemas.microsoft.com/office/drawing/2014/main" id="{00000000-0008-0000-0D00-000014541000}"/>
            </a:ext>
          </a:extLst>
        </xdr:cNvPr>
        <xdr:cNvSpPr>
          <a:spLocks noChangeShapeType="1"/>
        </xdr:cNvSpPr>
      </xdr:nvSpPr>
      <xdr:spPr bwMode="auto">
        <a:xfrm>
          <a:off x="6140767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9525</xdr:colOff>
      <xdr:row>29</xdr:row>
      <xdr:rowOff>0</xdr:rowOff>
    </xdr:from>
    <xdr:to>
      <xdr:col>88</xdr:col>
      <xdr:colOff>66675</xdr:colOff>
      <xdr:row>29</xdr:row>
      <xdr:rowOff>9525</xdr:rowOff>
    </xdr:to>
    <xdr:sp macro="" textlink="">
      <xdr:nvSpPr>
        <xdr:cNvPr id="1070101" name="Line 314">
          <a:extLst>
            <a:ext uri="{FF2B5EF4-FFF2-40B4-BE49-F238E27FC236}">
              <a16:creationId xmlns:a16="http://schemas.microsoft.com/office/drawing/2014/main" id="{00000000-0008-0000-0D00-000015541000}"/>
            </a:ext>
          </a:extLst>
        </xdr:cNvPr>
        <xdr:cNvSpPr>
          <a:spLocks noChangeShapeType="1"/>
        </xdr:cNvSpPr>
      </xdr:nvSpPr>
      <xdr:spPr bwMode="auto">
        <a:xfrm flipV="1">
          <a:off x="6135052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76200</xdr:colOff>
      <xdr:row>27</xdr:row>
      <xdr:rowOff>66675</xdr:rowOff>
    </xdr:from>
    <xdr:to>
      <xdr:col>89</xdr:col>
      <xdr:colOff>9525</xdr:colOff>
      <xdr:row>29</xdr:row>
      <xdr:rowOff>19050</xdr:rowOff>
    </xdr:to>
    <xdr:sp macro="" textlink="">
      <xdr:nvSpPr>
        <xdr:cNvPr id="1070102" name="Line 315">
          <a:extLst>
            <a:ext uri="{FF2B5EF4-FFF2-40B4-BE49-F238E27FC236}">
              <a16:creationId xmlns:a16="http://schemas.microsoft.com/office/drawing/2014/main" id="{00000000-0008-0000-0D00-000016541000}"/>
            </a:ext>
          </a:extLst>
        </xdr:cNvPr>
        <xdr:cNvSpPr>
          <a:spLocks noChangeShapeType="1"/>
        </xdr:cNvSpPr>
      </xdr:nvSpPr>
      <xdr:spPr bwMode="auto">
        <a:xfrm>
          <a:off x="61417200" y="55530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88</xdr:col>
      <xdr:colOff>0</xdr:colOff>
      <xdr:row>26</xdr:row>
      <xdr:rowOff>0</xdr:rowOff>
    </xdr:from>
    <xdr:to>
      <xdr:col>88</xdr:col>
      <xdr:colOff>76200</xdr:colOff>
      <xdr:row>26</xdr:row>
      <xdr:rowOff>9525</xdr:rowOff>
    </xdr:to>
    <xdr:sp macro="" textlink="">
      <xdr:nvSpPr>
        <xdr:cNvPr id="1070103" name="Line 316">
          <a:extLst>
            <a:ext uri="{FF2B5EF4-FFF2-40B4-BE49-F238E27FC236}">
              <a16:creationId xmlns:a16="http://schemas.microsoft.com/office/drawing/2014/main" id="{00000000-0008-0000-0D00-000017541000}"/>
            </a:ext>
          </a:extLst>
        </xdr:cNvPr>
        <xdr:cNvSpPr>
          <a:spLocks noChangeShapeType="1"/>
        </xdr:cNvSpPr>
      </xdr:nvSpPr>
      <xdr:spPr bwMode="auto">
        <a:xfrm>
          <a:off x="6134100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66675</xdr:colOff>
      <xdr:row>26</xdr:row>
      <xdr:rowOff>9525</xdr:rowOff>
    </xdr:from>
    <xdr:to>
      <xdr:col>88</xdr:col>
      <xdr:colOff>66675</xdr:colOff>
      <xdr:row>29</xdr:row>
      <xdr:rowOff>19050</xdr:rowOff>
    </xdr:to>
    <xdr:sp macro="" textlink="">
      <xdr:nvSpPr>
        <xdr:cNvPr id="1070104" name="Line 317">
          <a:extLst>
            <a:ext uri="{FF2B5EF4-FFF2-40B4-BE49-F238E27FC236}">
              <a16:creationId xmlns:a16="http://schemas.microsoft.com/office/drawing/2014/main" id="{00000000-0008-0000-0D00-000018541000}"/>
            </a:ext>
          </a:extLst>
        </xdr:cNvPr>
        <xdr:cNvSpPr>
          <a:spLocks noChangeShapeType="1"/>
        </xdr:cNvSpPr>
      </xdr:nvSpPr>
      <xdr:spPr bwMode="auto">
        <a:xfrm>
          <a:off x="6140767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9525</xdr:colOff>
      <xdr:row>29</xdr:row>
      <xdr:rowOff>0</xdr:rowOff>
    </xdr:from>
    <xdr:to>
      <xdr:col>88</xdr:col>
      <xdr:colOff>66675</xdr:colOff>
      <xdr:row>29</xdr:row>
      <xdr:rowOff>9525</xdr:rowOff>
    </xdr:to>
    <xdr:sp macro="" textlink="">
      <xdr:nvSpPr>
        <xdr:cNvPr id="1070105" name="Line 318">
          <a:extLst>
            <a:ext uri="{FF2B5EF4-FFF2-40B4-BE49-F238E27FC236}">
              <a16:creationId xmlns:a16="http://schemas.microsoft.com/office/drawing/2014/main" id="{00000000-0008-0000-0D00-000019541000}"/>
            </a:ext>
          </a:extLst>
        </xdr:cNvPr>
        <xdr:cNvSpPr>
          <a:spLocks noChangeShapeType="1"/>
        </xdr:cNvSpPr>
      </xdr:nvSpPr>
      <xdr:spPr bwMode="auto">
        <a:xfrm flipV="1">
          <a:off x="6135052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76200</xdr:colOff>
      <xdr:row>25</xdr:row>
      <xdr:rowOff>171450</xdr:rowOff>
    </xdr:from>
    <xdr:to>
      <xdr:col>89</xdr:col>
      <xdr:colOff>9525</xdr:colOff>
      <xdr:row>27</xdr:row>
      <xdr:rowOff>38100</xdr:rowOff>
    </xdr:to>
    <xdr:sp macro="" textlink="">
      <xdr:nvSpPr>
        <xdr:cNvPr id="1070106" name="Line 319">
          <a:extLst>
            <a:ext uri="{FF2B5EF4-FFF2-40B4-BE49-F238E27FC236}">
              <a16:creationId xmlns:a16="http://schemas.microsoft.com/office/drawing/2014/main" id="{00000000-0008-0000-0D00-00001A541000}"/>
            </a:ext>
          </a:extLst>
        </xdr:cNvPr>
        <xdr:cNvSpPr>
          <a:spLocks noChangeShapeType="1"/>
        </xdr:cNvSpPr>
      </xdr:nvSpPr>
      <xdr:spPr bwMode="auto">
        <a:xfrm flipV="1">
          <a:off x="61417200" y="5295900"/>
          <a:ext cx="342900" cy="22860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85</xdr:col>
      <xdr:colOff>0</xdr:colOff>
      <xdr:row>26</xdr:row>
      <xdr:rowOff>0</xdr:rowOff>
    </xdr:from>
    <xdr:to>
      <xdr:col>85</xdr:col>
      <xdr:colOff>76200</xdr:colOff>
      <xdr:row>26</xdr:row>
      <xdr:rowOff>9525</xdr:rowOff>
    </xdr:to>
    <xdr:sp macro="" textlink="">
      <xdr:nvSpPr>
        <xdr:cNvPr id="1070107" name="Line 320">
          <a:extLst>
            <a:ext uri="{FF2B5EF4-FFF2-40B4-BE49-F238E27FC236}">
              <a16:creationId xmlns:a16="http://schemas.microsoft.com/office/drawing/2014/main" id="{00000000-0008-0000-0D00-00001B541000}"/>
            </a:ext>
          </a:extLst>
        </xdr:cNvPr>
        <xdr:cNvSpPr>
          <a:spLocks noChangeShapeType="1"/>
        </xdr:cNvSpPr>
      </xdr:nvSpPr>
      <xdr:spPr bwMode="auto">
        <a:xfrm>
          <a:off x="5924550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66675</xdr:colOff>
      <xdr:row>26</xdr:row>
      <xdr:rowOff>9525</xdr:rowOff>
    </xdr:from>
    <xdr:to>
      <xdr:col>85</xdr:col>
      <xdr:colOff>66675</xdr:colOff>
      <xdr:row>29</xdr:row>
      <xdr:rowOff>19050</xdr:rowOff>
    </xdr:to>
    <xdr:sp macro="" textlink="">
      <xdr:nvSpPr>
        <xdr:cNvPr id="1070108" name="Line 321">
          <a:extLst>
            <a:ext uri="{FF2B5EF4-FFF2-40B4-BE49-F238E27FC236}">
              <a16:creationId xmlns:a16="http://schemas.microsoft.com/office/drawing/2014/main" id="{00000000-0008-0000-0D00-00001C541000}"/>
            </a:ext>
          </a:extLst>
        </xdr:cNvPr>
        <xdr:cNvSpPr>
          <a:spLocks noChangeShapeType="1"/>
        </xdr:cNvSpPr>
      </xdr:nvSpPr>
      <xdr:spPr bwMode="auto">
        <a:xfrm>
          <a:off x="5931217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9525</xdr:colOff>
      <xdr:row>29</xdr:row>
      <xdr:rowOff>0</xdr:rowOff>
    </xdr:from>
    <xdr:to>
      <xdr:col>85</xdr:col>
      <xdr:colOff>66675</xdr:colOff>
      <xdr:row>29</xdr:row>
      <xdr:rowOff>9525</xdr:rowOff>
    </xdr:to>
    <xdr:sp macro="" textlink="">
      <xdr:nvSpPr>
        <xdr:cNvPr id="1070109" name="Line 322">
          <a:extLst>
            <a:ext uri="{FF2B5EF4-FFF2-40B4-BE49-F238E27FC236}">
              <a16:creationId xmlns:a16="http://schemas.microsoft.com/office/drawing/2014/main" id="{00000000-0008-0000-0D00-00001D541000}"/>
            </a:ext>
          </a:extLst>
        </xdr:cNvPr>
        <xdr:cNvSpPr>
          <a:spLocks noChangeShapeType="1"/>
        </xdr:cNvSpPr>
      </xdr:nvSpPr>
      <xdr:spPr bwMode="auto">
        <a:xfrm flipV="1">
          <a:off x="5925502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0</xdr:colOff>
      <xdr:row>32</xdr:row>
      <xdr:rowOff>0</xdr:rowOff>
    </xdr:from>
    <xdr:to>
      <xdr:col>82</xdr:col>
      <xdr:colOff>76200</xdr:colOff>
      <xdr:row>32</xdr:row>
      <xdr:rowOff>9525</xdr:rowOff>
    </xdr:to>
    <xdr:sp macro="" textlink="">
      <xdr:nvSpPr>
        <xdr:cNvPr id="1070110" name="Line 323">
          <a:extLst>
            <a:ext uri="{FF2B5EF4-FFF2-40B4-BE49-F238E27FC236}">
              <a16:creationId xmlns:a16="http://schemas.microsoft.com/office/drawing/2014/main" id="{00000000-0008-0000-0D00-00001E541000}"/>
            </a:ext>
          </a:extLst>
        </xdr:cNvPr>
        <xdr:cNvSpPr>
          <a:spLocks noChangeShapeType="1"/>
        </xdr:cNvSpPr>
      </xdr:nvSpPr>
      <xdr:spPr bwMode="auto">
        <a:xfrm>
          <a:off x="5708332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66675</xdr:colOff>
      <xdr:row>32</xdr:row>
      <xdr:rowOff>9525</xdr:rowOff>
    </xdr:from>
    <xdr:to>
      <xdr:col>82</xdr:col>
      <xdr:colOff>66675</xdr:colOff>
      <xdr:row>35</xdr:row>
      <xdr:rowOff>19050</xdr:rowOff>
    </xdr:to>
    <xdr:sp macro="" textlink="">
      <xdr:nvSpPr>
        <xdr:cNvPr id="1070111" name="Line 324">
          <a:extLst>
            <a:ext uri="{FF2B5EF4-FFF2-40B4-BE49-F238E27FC236}">
              <a16:creationId xmlns:a16="http://schemas.microsoft.com/office/drawing/2014/main" id="{00000000-0008-0000-0D00-00001F541000}"/>
            </a:ext>
          </a:extLst>
        </xdr:cNvPr>
        <xdr:cNvSpPr>
          <a:spLocks noChangeShapeType="1"/>
        </xdr:cNvSpPr>
      </xdr:nvSpPr>
      <xdr:spPr bwMode="auto">
        <a:xfrm>
          <a:off x="5715000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9525</xdr:colOff>
      <xdr:row>35</xdr:row>
      <xdr:rowOff>0</xdr:rowOff>
    </xdr:from>
    <xdr:to>
      <xdr:col>82</xdr:col>
      <xdr:colOff>66675</xdr:colOff>
      <xdr:row>35</xdr:row>
      <xdr:rowOff>9525</xdr:rowOff>
    </xdr:to>
    <xdr:sp macro="" textlink="">
      <xdr:nvSpPr>
        <xdr:cNvPr id="1070112" name="Line 325">
          <a:extLst>
            <a:ext uri="{FF2B5EF4-FFF2-40B4-BE49-F238E27FC236}">
              <a16:creationId xmlns:a16="http://schemas.microsoft.com/office/drawing/2014/main" id="{00000000-0008-0000-0D00-000020541000}"/>
            </a:ext>
          </a:extLst>
        </xdr:cNvPr>
        <xdr:cNvSpPr>
          <a:spLocks noChangeShapeType="1"/>
        </xdr:cNvSpPr>
      </xdr:nvSpPr>
      <xdr:spPr bwMode="auto">
        <a:xfrm flipV="1">
          <a:off x="5709285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0</xdr:colOff>
      <xdr:row>32</xdr:row>
      <xdr:rowOff>0</xdr:rowOff>
    </xdr:from>
    <xdr:to>
      <xdr:col>85</xdr:col>
      <xdr:colOff>76200</xdr:colOff>
      <xdr:row>32</xdr:row>
      <xdr:rowOff>9525</xdr:rowOff>
    </xdr:to>
    <xdr:sp macro="" textlink="">
      <xdr:nvSpPr>
        <xdr:cNvPr id="1070113" name="Line 326">
          <a:extLst>
            <a:ext uri="{FF2B5EF4-FFF2-40B4-BE49-F238E27FC236}">
              <a16:creationId xmlns:a16="http://schemas.microsoft.com/office/drawing/2014/main" id="{00000000-0008-0000-0D00-000021541000}"/>
            </a:ext>
          </a:extLst>
        </xdr:cNvPr>
        <xdr:cNvSpPr>
          <a:spLocks noChangeShapeType="1"/>
        </xdr:cNvSpPr>
      </xdr:nvSpPr>
      <xdr:spPr bwMode="auto">
        <a:xfrm>
          <a:off x="592455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66675</xdr:colOff>
      <xdr:row>32</xdr:row>
      <xdr:rowOff>9525</xdr:rowOff>
    </xdr:from>
    <xdr:to>
      <xdr:col>85</xdr:col>
      <xdr:colOff>66675</xdr:colOff>
      <xdr:row>35</xdr:row>
      <xdr:rowOff>19050</xdr:rowOff>
    </xdr:to>
    <xdr:sp macro="" textlink="">
      <xdr:nvSpPr>
        <xdr:cNvPr id="1070114" name="Line 327">
          <a:extLst>
            <a:ext uri="{FF2B5EF4-FFF2-40B4-BE49-F238E27FC236}">
              <a16:creationId xmlns:a16="http://schemas.microsoft.com/office/drawing/2014/main" id="{00000000-0008-0000-0D00-000022541000}"/>
            </a:ext>
          </a:extLst>
        </xdr:cNvPr>
        <xdr:cNvSpPr>
          <a:spLocks noChangeShapeType="1"/>
        </xdr:cNvSpPr>
      </xdr:nvSpPr>
      <xdr:spPr bwMode="auto">
        <a:xfrm>
          <a:off x="5931217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9525</xdr:colOff>
      <xdr:row>35</xdr:row>
      <xdr:rowOff>0</xdr:rowOff>
    </xdr:from>
    <xdr:to>
      <xdr:col>85</xdr:col>
      <xdr:colOff>66675</xdr:colOff>
      <xdr:row>35</xdr:row>
      <xdr:rowOff>9525</xdr:rowOff>
    </xdr:to>
    <xdr:sp macro="" textlink="">
      <xdr:nvSpPr>
        <xdr:cNvPr id="1070115" name="Line 328">
          <a:extLst>
            <a:ext uri="{FF2B5EF4-FFF2-40B4-BE49-F238E27FC236}">
              <a16:creationId xmlns:a16="http://schemas.microsoft.com/office/drawing/2014/main" id="{00000000-0008-0000-0D00-000023541000}"/>
            </a:ext>
          </a:extLst>
        </xdr:cNvPr>
        <xdr:cNvSpPr>
          <a:spLocks noChangeShapeType="1"/>
        </xdr:cNvSpPr>
      </xdr:nvSpPr>
      <xdr:spPr bwMode="auto">
        <a:xfrm flipV="1">
          <a:off x="592550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32</xdr:row>
      <xdr:rowOff>0</xdr:rowOff>
    </xdr:from>
    <xdr:to>
      <xdr:col>88</xdr:col>
      <xdr:colOff>76200</xdr:colOff>
      <xdr:row>32</xdr:row>
      <xdr:rowOff>9525</xdr:rowOff>
    </xdr:to>
    <xdr:sp macro="" textlink="">
      <xdr:nvSpPr>
        <xdr:cNvPr id="1070116" name="Line 329">
          <a:extLst>
            <a:ext uri="{FF2B5EF4-FFF2-40B4-BE49-F238E27FC236}">
              <a16:creationId xmlns:a16="http://schemas.microsoft.com/office/drawing/2014/main" id="{00000000-0008-0000-0D00-000024541000}"/>
            </a:ext>
          </a:extLst>
        </xdr:cNvPr>
        <xdr:cNvSpPr>
          <a:spLocks noChangeShapeType="1"/>
        </xdr:cNvSpPr>
      </xdr:nvSpPr>
      <xdr:spPr bwMode="auto">
        <a:xfrm>
          <a:off x="613410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66675</xdr:colOff>
      <xdr:row>32</xdr:row>
      <xdr:rowOff>9525</xdr:rowOff>
    </xdr:from>
    <xdr:to>
      <xdr:col>88</xdr:col>
      <xdr:colOff>66675</xdr:colOff>
      <xdr:row>35</xdr:row>
      <xdr:rowOff>19050</xdr:rowOff>
    </xdr:to>
    <xdr:sp macro="" textlink="">
      <xdr:nvSpPr>
        <xdr:cNvPr id="1070117" name="Line 330">
          <a:extLst>
            <a:ext uri="{FF2B5EF4-FFF2-40B4-BE49-F238E27FC236}">
              <a16:creationId xmlns:a16="http://schemas.microsoft.com/office/drawing/2014/main" id="{00000000-0008-0000-0D00-000025541000}"/>
            </a:ext>
          </a:extLst>
        </xdr:cNvPr>
        <xdr:cNvSpPr>
          <a:spLocks noChangeShapeType="1"/>
        </xdr:cNvSpPr>
      </xdr:nvSpPr>
      <xdr:spPr bwMode="auto">
        <a:xfrm>
          <a:off x="6140767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9525</xdr:colOff>
      <xdr:row>35</xdr:row>
      <xdr:rowOff>0</xdr:rowOff>
    </xdr:from>
    <xdr:to>
      <xdr:col>88</xdr:col>
      <xdr:colOff>66675</xdr:colOff>
      <xdr:row>35</xdr:row>
      <xdr:rowOff>9525</xdr:rowOff>
    </xdr:to>
    <xdr:sp macro="" textlink="">
      <xdr:nvSpPr>
        <xdr:cNvPr id="1070118" name="Line 331">
          <a:extLst>
            <a:ext uri="{FF2B5EF4-FFF2-40B4-BE49-F238E27FC236}">
              <a16:creationId xmlns:a16="http://schemas.microsoft.com/office/drawing/2014/main" id="{00000000-0008-0000-0D00-000026541000}"/>
            </a:ext>
          </a:extLst>
        </xdr:cNvPr>
        <xdr:cNvSpPr>
          <a:spLocks noChangeShapeType="1"/>
        </xdr:cNvSpPr>
      </xdr:nvSpPr>
      <xdr:spPr bwMode="auto">
        <a:xfrm flipV="1">
          <a:off x="613505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32</xdr:row>
      <xdr:rowOff>0</xdr:rowOff>
    </xdr:from>
    <xdr:to>
      <xdr:col>88</xdr:col>
      <xdr:colOff>76200</xdr:colOff>
      <xdr:row>32</xdr:row>
      <xdr:rowOff>9525</xdr:rowOff>
    </xdr:to>
    <xdr:sp macro="" textlink="">
      <xdr:nvSpPr>
        <xdr:cNvPr id="1070119" name="Line 332">
          <a:extLst>
            <a:ext uri="{FF2B5EF4-FFF2-40B4-BE49-F238E27FC236}">
              <a16:creationId xmlns:a16="http://schemas.microsoft.com/office/drawing/2014/main" id="{00000000-0008-0000-0D00-000027541000}"/>
            </a:ext>
          </a:extLst>
        </xdr:cNvPr>
        <xdr:cNvSpPr>
          <a:spLocks noChangeShapeType="1"/>
        </xdr:cNvSpPr>
      </xdr:nvSpPr>
      <xdr:spPr bwMode="auto">
        <a:xfrm>
          <a:off x="613410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66675</xdr:colOff>
      <xdr:row>32</xdr:row>
      <xdr:rowOff>9525</xdr:rowOff>
    </xdr:from>
    <xdr:to>
      <xdr:col>88</xdr:col>
      <xdr:colOff>66675</xdr:colOff>
      <xdr:row>35</xdr:row>
      <xdr:rowOff>19050</xdr:rowOff>
    </xdr:to>
    <xdr:sp macro="" textlink="">
      <xdr:nvSpPr>
        <xdr:cNvPr id="1070120" name="Line 333">
          <a:extLst>
            <a:ext uri="{FF2B5EF4-FFF2-40B4-BE49-F238E27FC236}">
              <a16:creationId xmlns:a16="http://schemas.microsoft.com/office/drawing/2014/main" id="{00000000-0008-0000-0D00-000028541000}"/>
            </a:ext>
          </a:extLst>
        </xdr:cNvPr>
        <xdr:cNvSpPr>
          <a:spLocks noChangeShapeType="1"/>
        </xdr:cNvSpPr>
      </xdr:nvSpPr>
      <xdr:spPr bwMode="auto">
        <a:xfrm>
          <a:off x="6140767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9525</xdr:colOff>
      <xdr:row>35</xdr:row>
      <xdr:rowOff>0</xdr:rowOff>
    </xdr:from>
    <xdr:to>
      <xdr:col>88</xdr:col>
      <xdr:colOff>66675</xdr:colOff>
      <xdr:row>35</xdr:row>
      <xdr:rowOff>9525</xdr:rowOff>
    </xdr:to>
    <xdr:sp macro="" textlink="">
      <xdr:nvSpPr>
        <xdr:cNvPr id="1070121" name="Line 334">
          <a:extLst>
            <a:ext uri="{FF2B5EF4-FFF2-40B4-BE49-F238E27FC236}">
              <a16:creationId xmlns:a16="http://schemas.microsoft.com/office/drawing/2014/main" id="{00000000-0008-0000-0D00-000029541000}"/>
            </a:ext>
          </a:extLst>
        </xdr:cNvPr>
        <xdr:cNvSpPr>
          <a:spLocks noChangeShapeType="1"/>
        </xdr:cNvSpPr>
      </xdr:nvSpPr>
      <xdr:spPr bwMode="auto">
        <a:xfrm flipV="1">
          <a:off x="613505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76200</xdr:colOff>
      <xdr:row>33</xdr:row>
      <xdr:rowOff>66675</xdr:rowOff>
    </xdr:from>
    <xdr:to>
      <xdr:col>89</xdr:col>
      <xdr:colOff>9525</xdr:colOff>
      <xdr:row>35</xdr:row>
      <xdr:rowOff>19050</xdr:rowOff>
    </xdr:to>
    <xdr:sp macro="" textlink="">
      <xdr:nvSpPr>
        <xdr:cNvPr id="1070122" name="Line 335">
          <a:extLst>
            <a:ext uri="{FF2B5EF4-FFF2-40B4-BE49-F238E27FC236}">
              <a16:creationId xmlns:a16="http://schemas.microsoft.com/office/drawing/2014/main" id="{00000000-0008-0000-0D00-00002A541000}"/>
            </a:ext>
          </a:extLst>
        </xdr:cNvPr>
        <xdr:cNvSpPr>
          <a:spLocks noChangeShapeType="1"/>
        </xdr:cNvSpPr>
      </xdr:nvSpPr>
      <xdr:spPr bwMode="auto">
        <a:xfrm>
          <a:off x="61417200" y="66389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88</xdr:col>
      <xdr:colOff>0</xdr:colOff>
      <xdr:row>32</xdr:row>
      <xdr:rowOff>0</xdr:rowOff>
    </xdr:from>
    <xdr:to>
      <xdr:col>88</xdr:col>
      <xdr:colOff>76200</xdr:colOff>
      <xdr:row>32</xdr:row>
      <xdr:rowOff>9525</xdr:rowOff>
    </xdr:to>
    <xdr:sp macro="" textlink="">
      <xdr:nvSpPr>
        <xdr:cNvPr id="1070123" name="Line 336">
          <a:extLst>
            <a:ext uri="{FF2B5EF4-FFF2-40B4-BE49-F238E27FC236}">
              <a16:creationId xmlns:a16="http://schemas.microsoft.com/office/drawing/2014/main" id="{00000000-0008-0000-0D00-00002B541000}"/>
            </a:ext>
          </a:extLst>
        </xdr:cNvPr>
        <xdr:cNvSpPr>
          <a:spLocks noChangeShapeType="1"/>
        </xdr:cNvSpPr>
      </xdr:nvSpPr>
      <xdr:spPr bwMode="auto">
        <a:xfrm>
          <a:off x="613410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66675</xdr:colOff>
      <xdr:row>32</xdr:row>
      <xdr:rowOff>9525</xdr:rowOff>
    </xdr:from>
    <xdr:to>
      <xdr:col>88</xdr:col>
      <xdr:colOff>66675</xdr:colOff>
      <xdr:row>35</xdr:row>
      <xdr:rowOff>19050</xdr:rowOff>
    </xdr:to>
    <xdr:sp macro="" textlink="">
      <xdr:nvSpPr>
        <xdr:cNvPr id="1070124" name="Line 337">
          <a:extLst>
            <a:ext uri="{FF2B5EF4-FFF2-40B4-BE49-F238E27FC236}">
              <a16:creationId xmlns:a16="http://schemas.microsoft.com/office/drawing/2014/main" id="{00000000-0008-0000-0D00-00002C541000}"/>
            </a:ext>
          </a:extLst>
        </xdr:cNvPr>
        <xdr:cNvSpPr>
          <a:spLocks noChangeShapeType="1"/>
        </xdr:cNvSpPr>
      </xdr:nvSpPr>
      <xdr:spPr bwMode="auto">
        <a:xfrm>
          <a:off x="6140767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9525</xdr:colOff>
      <xdr:row>35</xdr:row>
      <xdr:rowOff>0</xdr:rowOff>
    </xdr:from>
    <xdr:to>
      <xdr:col>88</xdr:col>
      <xdr:colOff>66675</xdr:colOff>
      <xdr:row>35</xdr:row>
      <xdr:rowOff>9525</xdr:rowOff>
    </xdr:to>
    <xdr:sp macro="" textlink="">
      <xdr:nvSpPr>
        <xdr:cNvPr id="1070125" name="Line 338">
          <a:extLst>
            <a:ext uri="{FF2B5EF4-FFF2-40B4-BE49-F238E27FC236}">
              <a16:creationId xmlns:a16="http://schemas.microsoft.com/office/drawing/2014/main" id="{00000000-0008-0000-0D00-00002D541000}"/>
            </a:ext>
          </a:extLst>
        </xdr:cNvPr>
        <xdr:cNvSpPr>
          <a:spLocks noChangeShapeType="1"/>
        </xdr:cNvSpPr>
      </xdr:nvSpPr>
      <xdr:spPr bwMode="auto">
        <a:xfrm flipV="1">
          <a:off x="613505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76200</xdr:colOff>
      <xdr:row>31</xdr:row>
      <xdr:rowOff>161925</xdr:rowOff>
    </xdr:from>
    <xdr:to>
      <xdr:col>89</xdr:col>
      <xdr:colOff>0</xdr:colOff>
      <xdr:row>33</xdr:row>
      <xdr:rowOff>47625</xdr:rowOff>
    </xdr:to>
    <xdr:sp macro="" textlink="">
      <xdr:nvSpPr>
        <xdr:cNvPr id="1070126" name="Line 339">
          <a:extLst>
            <a:ext uri="{FF2B5EF4-FFF2-40B4-BE49-F238E27FC236}">
              <a16:creationId xmlns:a16="http://schemas.microsoft.com/office/drawing/2014/main" id="{00000000-0008-0000-0D00-00002E541000}"/>
            </a:ext>
          </a:extLst>
        </xdr:cNvPr>
        <xdr:cNvSpPr>
          <a:spLocks noChangeShapeType="1"/>
        </xdr:cNvSpPr>
      </xdr:nvSpPr>
      <xdr:spPr bwMode="auto">
        <a:xfrm flipV="1">
          <a:off x="61417200" y="6372225"/>
          <a:ext cx="333375"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85</xdr:col>
      <xdr:colOff>0</xdr:colOff>
      <xdr:row>32</xdr:row>
      <xdr:rowOff>0</xdr:rowOff>
    </xdr:from>
    <xdr:to>
      <xdr:col>85</xdr:col>
      <xdr:colOff>76200</xdr:colOff>
      <xdr:row>32</xdr:row>
      <xdr:rowOff>9525</xdr:rowOff>
    </xdr:to>
    <xdr:sp macro="" textlink="">
      <xdr:nvSpPr>
        <xdr:cNvPr id="1070127" name="Line 340">
          <a:extLst>
            <a:ext uri="{FF2B5EF4-FFF2-40B4-BE49-F238E27FC236}">
              <a16:creationId xmlns:a16="http://schemas.microsoft.com/office/drawing/2014/main" id="{00000000-0008-0000-0D00-00002F541000}"/>
            </a:ext>
          </a:extLst>
        </xdr:cNvPr>
        <xdr:cNvSpPr>
          <a:spLocks noChangeShapeType="1"/>
        </xdr:cNvSpPr>
      </xdr:nvSpPr>
      <xdr:spPr bwMode="auto">
        <a:xfrm>
          <a:off x="592455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66675</xdr:colOff>
      <xdr:row>32</xdr:row>
      <xdr:rowOff>9525</xdr:rowOff>
    </xdr:from>
    <xdr:to>
      <xdr:col>85</xdr:col>
      <xdr:colOff>66675</xdr:colOff>
      <xdr:row>35</xdr:row>
      <xdr:rowOff>19050</xdr:rowOff>
    </xdr:to>
    <xdr:sp macro="" textlink="">
      <xdr:nvSpPr>
        <xdr:cNvPr id="1070128" name="Line 341">
          <a:extLst>
            <a:ext uri="{FF2B5EF4-FFF2-40B4-BE49-F238E27FC236}">
              <a16:creationId xmlns:a16="http://schemas.microsoft.com/office/drawing/2014/main" id="{00000000-0008-0000-0D00-000030541000}"/>
            </a:ext>
          </a:extLst>
        </xdr:cNvPr>
        <xdr:cNvSpPr>
          <a:spLocks noChangeShapeType="1"/>
        </xdr:cNvSpPr>
      </xdr:nvSpPr>
      <xdr:spPr bwMode="auto">
        <a:xfrm>
          <a:off x="5931217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9525</xdr:colOff>
      <xdr:row>35</xdr:row>
      <xdr:rowOff>0</xdr:rowOff>
    </xdr:from>
    <xdr:to>
      <xdr:col>85</xdr:col>
      <xdr:colOff>66675</xdr:colOff>
      <xdr:row>35</xdr:row>
      <xdr:rowOff>9525</xdr:rowOff>
    </xdr:to>
    <xdr:sp macro="" textlink="">
      <xdr:nvSpPr>
        <xdr:cNvPr id="1070129" name="Line 342">
          <a:extLst>
            <a:ext uri="{FF2B5EF4-FFF2-40B4-BE49-F238E27FC236}">
              <a16:creationId xmlns:a16="http://schemas.microsoft.com/office/drawing/2014/main" id="{00000000-0008-0000-0D00-000031541000}"/>
            </a:ext>
          </a:extLst>
        </xdr:cNvPr>
        <xdr:cNvSpPr>
          <a:spLocks noChangeShapeType="1"/>
        </xdr:cNvSpPr>
      </xdr:nvSpPr>
      <xdr:spPr bwMode="auto">
        <a:xfrm flipV="1">
          <a:off x="592550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0</xdr:colOff>
      <xdr:row>38</xdr:row>
      <xdr:rowOff>0</xdr:rowOff>
    </xdr:from>
    <xdr:to>
      <xdr:col>82</xdr:col>
      <xdr:colOff>76200</xdr:colOff>
      <xdr:row>38</xdr:row>
      <xdr:rowOff>9525</xdr:rowOff>
    </xdr:to>
    <xdr:sp macro="" textlink="">
      <xdr:nvSpPr>
        <xdr:cNvPr id="1070130" name="Line 343">
          <a:extLst>
            <a:ext uri="{FF2B5EF4-FFF2-40B4-BE49-F238E27FC236}">
              <a16:creationId xmlns:a16="http://schemas.microsoft.com/office/drawing/2014/main" id="{00000000-0008-0000-0D00-000032541000}"/>
            </a:ext>
          </a:extLst>
        </xdr:cNvPr>
        <xdr:cNvSpPr>
          <a:spLocks noChangeShapeType="1"/>
        </xdr:cNvSpPr>
      </xdr:nvSpPr>
      <xdr:spPr bwMode="auto">
        <a:xfrm>
          <a:off x="5708332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0</xdr:colOff>
      <xdr:row>44</xdr:row>
      <xdr:rowOff>0</xdr:rowOff>
    </xdr:from>
    <xdr:to>
      <xdr:col>82</xdr:col>
      <xdr:colOff>57150</xdr:colOff>
      <xdr:row>44</xdr:row>
      <xdr:rowOff>9525</xdr:rowOff>
    </xdr:to>
    <xdr:sp macro="" textlink="">
      <xdr:nvSpPr>
        <xdr:cNvPr id="1070131" name="Line 345">
          <a:extLst>
            <a:ext uri="{FF2B5EF4-FFF2-40B4-BE49-F238E27FC236}">
              <a16:creationId xmlns:a16="http://schemas.microsoft.com/office/drawing/2014/main" id="{00000000-0008-0000-0D00-000033541000}"/>
            </a:ext>
          </a:extLst>
        </xdr:cNvPr>
        <xdr:cNvSpPr>
          <a:spLocks noChangeShapeType="1"/>
        </xdr:cNvSpPr>
      </xdr:nvSpPr>
      <xdr:spPr bwMode="auto">
        <a:xfrm flipV="1">
          <a:off x="57083325" y="856297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95250</xdr:colOff>
      <xdr:row>41</xdr:row>
      <xdr:rowOff>19050</xdr:rowOff>
    </xdr:from>
    <xdr:to>
      <xdr:col>83</xdr:col>
      <xdr:colOff>9525</xdr:colOff>
      <xdr:row>44</xdr:row>
      <xdr:rowOff>19050</xdr:rowOff>
    </xdr:to>
    <xdr:sp macro="" textlink="">
      <xdr:nvSpPr>
        <xdr:cNvPr id="1070132" name="Line 363">
          <a:extLst>
            <a:ext uri="{FF2B5EF4-FFF2-40B4-BE49-F238E27FC236}">
              <a16:creationId xmlns:a16="http://schemas.microsoft.com/office/drawing/2014/main" id="{00000000-0008-0000-0D00-000034541000}"/>
            </a:ext>
          </a:extLst>
        </xdr:cNvPr>
        <xdr:cNvSpPr>
          <a:spLocks noChangeShapeType="1"/>
        </xdr:cNvSpPr>
      </xdr:nvSpPr>
      <xdr:spPr bwMode="auto">
        <a:xfrm>
          <a:off x="57178575" y="8039100"/>
          <a:ext cx="361950"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82</xdr:col>
      <xdr:colOff>0</xdr:colOff>
      <xdr:row>14</xdr:row>
      <xdr:rowOff>0</xdr:rowOff>
    </xdr:from>
    <xdr:to>
      <xdr:col>82</xdr:col>
      <xdr:colOff>76200</xdr:colOff>
      <xdr:row>14</xdr:row>
      <xdr:rowOff>9525</xdr:rowOff>
    </xdr:to>
    <xdr:sp macro="" textlink="">
      <xdr:nvSpPr>
        <xdr:cNvPr id="1070133" name="Line 365">
          <a:extLst>
            <a:ext uri="{FF2B5EF4-FFF2-40B4-BE49-F238E27FC236}">
              <a16:creationId xmlns:a16="http://schemas.microsoft.com/office/drawing/2014/main" id="{00000000-0008-0000-0D00-000035541000}"/>
            </a:ext>
          </a:extLst>
        </xdr:cNvPr>
        <xdr:cNvSpPr>
          <a:spLocks noChangeShapeType="1"/>
        </xdr:cNvSpPr>
      </xdr:nvSpPr>
      <xdr:spPr bwMode="auto">
        <a:xfrm>
          <a:off x="5708332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66675</xdr:colOff>
      <xdr:row>14</xdr:row>
      <xdr:rowOff>9525</xdr:rowOff>
    </xdr:from>
    <xdr:to>
      <xdr:col>82</xdr:col>
      <xdr:colOff>66675</xdr:colOff>
      <xdr:row>17</xdr:row>
      <xdr:rowOff>19050</xdr:rowOff>
    </xdr:to>
    <xdr:sp macro="" textlink="">
      <xdr:nvSpPr>
        <xdr:cNvPr id="1070134" name="Line 366">
          <a:extLst>
            <a:ext uri="{FF2B5EF4-FFF2-40B4-BE49-F238E27FC236}">
              <a16:creationId xmlns:a16="http://schemas.microsoft.com/office/drawing/2014/main" id="{00000000-0008-0000-0D00-000036541000}"/>
            </a:ext>
          </a:extLst>
        </xdr:cNvPr>
        <xdr:cNvSpPr>
          <a:spLocks noChangeShapeType="1"/>
        </xdr:cNvSpPr>
      </xdr:nvSpPr>
      <xdr:spPr bwMode="auto">
        <a:xfrm>
          <a:off x="5715000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9525</xdr:colOff>
      <xdr:row>17</xdr:row>
      <xdr:rowOff>0</xdr:rowOff>
    </xdr:from>
    <xdr:to>
      <xdr:col>82</xdr:col>
      <xdr:colOff>66675</xdr:colOff>
      <xdr:row>17</xdr:row>
      <xdr:rowOff>9525</xdr:rowOff>
    </xdr:to>
    <xdr:sp macro="" textlink="">
      <xdr:nvSpPr>
        <xdr:cNvPr id="1070135" name="Line 367">
          <a:extLst>
            <a:ext uri="{FF2B5EF4-FFF2-40B4-BE49-F238E27FC236}">
              <a16:creationId xmlns:a16="http://schemas.microsoft.com/office/drawing/2014/main" id="{00000000-0008-0000-0D00-000037541000}"/>
            </a:ext>
          </a:extLst>
        </xdr:cNvPr>
        <xdr:cNvSpPr>
          <a:spLocks noChangeShapeType="1"/>
        </xdr:cNvSpPr>
      </xdr:nvSpPr>
      <xdr:spPr bwMode="auto">
        <a:xfrm flipV="1">
          <a:off x="5709285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0</xdr:colOff>
      <xdr:row>14</xdr:row>
      <xdr:rowOff>0</xdr:rowOff>
    </xdr:from>
    <xdr:to>
      <xdr:col>85</xdr:col>
      <xdr:colOff>76200</xdr:colOff>
      <xdr:row>14</xdr:row>
      <xdr:rowOff>9525</xdr:rowOff>
    </xdr:to>
    <xdr:sp macro="" textlink="">
      <xdr:nvSpPr>
        <xdr:cNvPr id="1070136" name="Line 368">
          <a:extLst>
            <a:ext uri="{FF2B5EF4-FFF2-40B4-BE49-F238E27FC236}">
              <a16:creationId xmlns:a16="http://schemas.microsoft.com/office/drawing/2014/main" id="{00000000-0008-0000-0D00-000038541000}"/>
            </a:ext>
          </a:extLst>
        </xdr:cNvPr>
        <xdr:cNvSpPr>
          <a:spLocks noChangeShapeType="1"/>
        </xdr:cNvSpPr>
      </xdr:nvSpPr>
      <xdr:spPr bwMode="auto">
        <a:xfrm>
          <a:off x="592455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9525</xdr:colOff>
      <xdr:row>17</xdr:row>
      <xdr:rowOff>0</xdr:rowOff>
    </xdr:from>
    <xdr:to>
      <xdr:col>85</xdr:col>
      <xdr:colOff>66675</xdr:colOff>
      <xdr:row>17</xdr:row>
      <xdr:rowOff>9525</xdr:rowOff>
    </xdr:to>
    <xdr:sp macro="" textlink="">
      <xdr:nvSpPr>
        <xdr:cNvPr id="1070137" name="Line 370">
          <a:extLst>
            <a:ext uri="{FF2B5EF4-FFF2-40B4-BE49-F238E27FC236}">
              <a16:creationId xmlns:a16="http://schemas.microsoft.com/office/drawing/2014/main" id="{00000000-0008-0000-0D00-000039541000}"/>
            </a:ext>
          </a:extLst>
        </xdr:cNvPr>
        <xdr:cNvSpPr>
          <a:spLocks noChangeShapeType="1"/>
        </xdr:cNvSpPr>
      </xdr:nvSpPr>
      <xdr:spPr bwMode="auto">
        <a:xfrm flipV="1">
          <a:off x="592550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14</xdr:row>
      <xdr:rowOff>0</xdr:rowOff>
    </xdr:from>
    <xdr:to>
      <xdr:col>88</xdr:col>
      <xdr:colOff>76200</xdr:colOff>
      <xdr:row>14</xdr:row>
      <xdr:rowOff>9525</xdr:rowOff>
    </xdr:to>
    <xdr:sp macro="" textlink="">
      <xdr:nvSpPr>
        <xdr:cNvPr id="1070138" name="Line 371">
          <a:extLst>
            <a:ext uri="{FF2B5EF4-FFF2-40B4-BE49-F238E27FC236}">
              <a16:creationId xmlns:a16="http://schemas.microsoft.com/office/drawing/2014/main" id="{00000000-0008-0000-0D00-00003A541000}"/>
            </a:ext>
          </a:extLst>
        </xdr:cNvPr>
        <xdr:cNvSpPr>
          <a:spLocks noChangeShapeType="1"/>
        </xdr:cNvSpPr>
      </xdr:nvSpPr>
      <xdr:spPr bwMode="auto">
        <a:xfrm>
          <a:off x="613410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66675</xdr:colOff>
      <xdr:row>14</xdr:row>
      <xdr:rowOff>9525</xdr:rowOff>
    </xdr:from>
    <xdr:to>
      <xdr:col>88</xdr:col>
      <xdr:colOff>66675</xdr:colOff>
      <xdr:row>17</xdr:row>
      <xdr:rowOff>19050</xdr:rowOff>
    </xdr:to>
    <xdr:sp macro="" textlink="">
      <xdr:nvSpPr>
        <xdr:cNvPr id="1070139" name="Line 372">
          <a:extLst>
            <a:ext uri="{FF2B5EF4-FFF2-40B4-BE49-F238E27FC236}">
              <a16:creationId xmlns:a16="http://schemas.microsoft.com/office/drawing/2014/main" id="{00000000-0008-0000-0D00-00003B541000}"/>
            </a:ext>
          </a:extLst>
        </xdr:cNvPr>
        <xdr:cNvSpPr>
          <a:spLocks noChangeShapeType="1"/>
        </xdr:cNvSpPr>
      </xdr:nvSpPr>
      <xdr:spPr bwMode="auto">
        <a:xfrm>
          <a:off x="614076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9525</xdr:colOff>
      <xdr:row>17</xdr:row>
      <xdr:rowOff>0</xdr:rowOff>
    </xdr:from>
    <xdr:to>
      <xdr:col>88</xdr:col>
      <xdr:colOff>66675</xdr:colOff>
      <xdr:row>17</xdr:row>
      <xdr:rowOff>9525</xdr:rowOff>
    </xdr:to>
    <xdr:sp macro="" textlink="">
      <xdr:nvSpPr>
        <xdr:cNvPr id="1070140" name="Line 373">
          <a:extLst>
            <a:ext uri="{FF2B5EF4-FFF2-40B4-BE49-F238E27FC236}">
              <a16:creationId xmlns:a16="http://schemas.microsoft.com/office/drawing/2014/main" id="{00000000-0008-0000-0D00-00003C541000}"/>
            </a:ext>
          </a:extLst>
        </xdr:cNvPr>
        <xdr:cNvSpPr>
          <a:spLocks noChangeShapeType="1"/>
        </xdr:cNvSpPr>
      </xdr:nvSpPr>
      <xdr:spPr bwMode="auto">
        <a:xfrm flipV="1">
          <a:off x="613505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14</xdr:row>
      <xdr:rowOff>0</xdr:rowOff>
    </xdr:from>
    <xdr:to>
      <xdr:col>88</xdr:col>
      <xdr:colOff>76200</xdr:colOff>
      <xdr:row>14</xdr:row>
      <xdr:rowOff>9525</xdr:rowOff>
    </xdr:to>
    <xdr:sp macro="" textlink="">
      <xdr:nvSpPr>
        <xdr:cNvPr id="1070141" name="Line 374">
          <a:extLst>
            <a:ext uri="{FF2B5EF4-FFF2-40B4-BE49-F238E27FC236}">
              <a16:creationId xmlns:a16="http://schemas.microsoft.com/office/drawing/2014/main" id="{00000000-0008-0000-0D00-00003D541000}"/>
            </a:ext>
          </a:extLst>
        </xdr:cNvPr>
        <xdr:cNvSpPr>
          <a:spLocks noChangeShapeType="1"/>
        </xdr:cNvSpPr>
      </xdr:nvSpPr>
      <xdr:spPr bwMode="auto">
        <a:xfrm>
          <a:off x="613410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66675</xdr:colOff>
      <xdr:row>14</xdr:row>
      <xdr:rowOff>9525</xdr:rowOff>
    </xdr:from>
    <xdr:to>
      <xdr:col>88</xdr:col>
      <xdr:colOff>66675</xdr:colOff>
      <xdr:row>17</xdr:row>
      <xdr:rowOff>19050</xdr:rowOff>
    </xdr:to>
    <xdr:sp macro="" textlink="">
      <xdr:nvSpPr>
        <xdr:cNvPr id="1070142" name="Line 375">
          <a:extLst>
            <a:ext uri="{FF2B5EF4-FFF2-40B4-BE49-F238E27FC236}">
              <a16:creationId xmlns:a16="http://schemas.microsoft.com/office/drawing/2014/main" id="{00000000-0008-0000-0D00-00003E541000}"/>
            </a:ext>
          </a:extLst>
        </xdr:cNvPr>
        <xdr:cNvSpPr>
          <a:spLocks noChangeShapeType="1"/>
        </xdr:cNvSpPr>
      </xdr:nvSpPr>
      <xdr:spPr bwMode="auto">
        <a:xfrm>
          <a:off x="614076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9525</xdr:colOff>
      <xdr:row>17</xdr:row>
      <xdr:rowOff>0</xdr:rowOff>
    </xdr:from>
    <xdr:to>
      <xdr:col>88</xdr:col>
      <xdr:colOff>66675</xdr:colOff>
      <xdr:row>17</xdr:row>
      <xdr:rowOff>9525</xdr:rowOff>
    </xdr:to>
    <xdr:sp macro="" textlink="">
      <xdr:nvSpPr>
        <xdr:cNvPr id="1070143" name="Line 376">
          <a:extLst>
            <a:ext uri="{FF2B5EF4-FFF2-40B4-BE49-F238E27FC236}">
              <a16:creationId xmlns:a16="http://schemas.microsoft.com/office/drawing/2014/main" id="{00000000-0008-0000-0D00-00003F541000}"/>
            </a:ext>
          </a:extLst>
        </xdr:cNvPr>
        <xdr:cNvSpPr>
          <a:spLocks noChangeShapeType="1"/>
        </xdr:cNvSpPr>
      </xdr:nvSpPr>
      <xdr:spPr bwMode="auto">
        <a:xfrm flipV="1">
          <a:off x="613505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76200</xdr:colOff>
      <xdr:row>15</xdr:row>
      <xdr:rowOff>66675</xdr:rowOff>
    </xdr:from>
    <xdr:to>
      <xdr:col>89</xdr:col>
      <xdr:colOff>9525</xdr:colOff>
      <xdr:row>17</xdr:row>
      <xdr:rowOff>19050</xdr:rowOff>
    </xdr:to>
    <xdr:sp macro="" textlink="">
      <xdr:nvSpPr>
        <xdr:cNvPr id="1070144" name="Line 377">
          <a:extLst>
            <a:ext uri="{FF2B5EF4-FFF2-40B4-BE49-F238E27FC236}">
              <a16:creationId xmlns:a16="http://schemas.microsoft.com/office/drawing/2014/main" id="{00000000-0008-0000-0D00-000040541000}"/>
            </a:ext>
          </a:extLst>
        </xdr:cNvPr>
        <xdr:cNvSpPr>
          <a:spLocks noChangeShapeType="1"/>
        </xdr:cNvSpPr>
      </xdr:nvSpPr>
      <xdr:spPr bwMode="auto">
        <a:xfrm>
          <a:off x="61417200" y="33813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88</xdr:col>
      <xdr:colOff>0</xdr:colOff>
      <xdr:row>14</xdr:row>
      <xdr:rowOff>0</xdr:rowOff>
    </xdr:from>
    <xdr:to>
      <xdr:col>88</xdr:col>
      <xdr:colOff>76200</xdr:colOff>
      <xdr:row>14</xdr:row>
      <xdr:rowOff>9525</xdr:rowOff>
    </xdr:to>
    <xdr:sp macro="" textlink="">
      <xdr:nvSpPr>
        <xdr:cNvPr id="1070145" name="Line 378">
          <a:extLst>
            <a:ext uri="{FF2B5EF4-FFF2-40B4-BE49-F238E27FC236}">
              <a16:creationId xmlns:a16="http://schemas.microsoft.com/office/drawing/2014/main" id="{00000000-0008-0000-0D00-000041541000}"/>
            </a:ext>
          </a:extLst>
        </xdr:cNvPr>
        <xdr:cNvSpPr>
          <a:spLocks noChangeShapeType="1"/>
        </xdr:cNvSpPr>
      </xdr:nvSpPr>
      <xdr:spPr bwMode="auto">
        <a:xfrm>
          <a:off x="613410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66675</xdr:colOff>
      <xdr:row>14</xdr:row>
      <xdr:rowOff>9525</xdr:rowOff>
    </xdr:from>
    <xdr:to>
      <xdr:col>88</xdr:col>
      <xdr:colOff>66675</xdr:colOff>
      <xdr:row>17</xdr:row>
      <xdr:rowOff>19050</xdr:rowOff>
    </xdr:to>
    <xdr:sp macro="" textlink="">
      <xdr:nvSpPr>
        <xdr:cNvPr id="1070146" name="Line 379">
          <a:extLst>
            <a:ext uri="{FF2B5EF4-FFF2-40B4-BE49-F238E27FC236}">
              <a16:creationId xmlns:a16="http://schemas.microsoft.com/office/drawing/2014/main" id="{00000000-0008-0000-0D00-000042541000}"/>
            </a:ext>
          </a:extLst>
        </xdr:cNvPr>
        <xdr:cNvSpPr>
          <a:spLocks noChangeShapeType="1"/>
        </xdr:cNvSpPr>
      </xdr:nvSpPr>
      <xdr:spPr bwMode="auto">
        <a:xfrm>
          <a:off x="614076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9525</xdr:colOff>
      <xdr:row>17</xdr:row>
      <xdr:rowOff>0</xdr:rowOff>
    </xdr:from>
    <xdr:to>
      <xdr:col>88</xdr:col>
      <xdr:colOff>66675</xdr:colOff>
      <xdr:row>17</xdr:row>
      <xdr:rowOff>9525</xdr:rowOff>
    </xdr:to>
    <xdr:sp macro="" textlink="">
      <xdr:nvSpPr>
        <xdr:cNvPr id="1070147" name="Line 380">
          <a:extLst>
            <a:ext uri="{FF2B5EF4-FFF2-40B4-BE49-F238E27FC236}">
              <a16:creationId xmlns:a16="http://schemas.microsoft.com/office/drawing/2014/main" id="{00000000-0008-0000-0D00-000043541000}"/>
            </a:ext>
          </a:extLst>
        </xdr:cNvPr>
        <xdr:cNvSpPr>
          <a:spLocks noChangeShapeType="1"/>
        </xdr:cNvSpPr>
      </xdr:nvSpPr>
      <xdr:spPr bwMode="auto">
        <a:xfrm flipV="1">
          <a:off x="613505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0</xdr:colOff>
      <xdr:row>14</xdr:row>
      <xdr:rowOff>0</xdr:rowOff>
    </xdr:from>
    <xdr:to>
      <xdr:col>85</xdr:col>
      <xdr:colOff>76200</xdr:colOff>
      <xdr:row>14</xdr:row>
      <xdr:rowOff>9525</xdr:rowOff>
    </xdr:to>
    <xdr:sp macro="" textlink="">
      <xdr:nvSpPr>
        <xdr:cNvPr id="1070148" name="Line 382">
          <a:extLst>
            <a:ext uri="{FF2B5EF4-FFF2-40B4-BE49-F238E27FC236}">
              <a16:creationId xmlns:a16="http://schemas.microsoft.com/office/drawing/2014/main" id="{00000000-0008-0000-0D00-000044541000}"/>
            </a:ext>
          </a:extLst>
        </xdr:cNvPr>
        <xdr:cNvSpPr>
          <a:spLocks noChangeShapeType="1"/>
        </xdr:cNvSpPr>
      </xdr:nvSpPr>
      <xdr:spPr bwMode="auto">
        <a:xfrm>
          <a:off x="592455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9525</xdr:colOff>
      <xdr:row>17</xdr:row>
      <xdr:rowOff>0</xdr:rowOff>
    </xdr:from>
    <xdr:to>
      <xdr:col>85</xdr:col>
      <xdr:colOff>66675</xdr:colOff>
      <xdr:row>17</xdr:row>
      <xdr:rowOff>9525</xdr:rowOff>
    </xdr:to>
    <xdr:sp macro="" textlink="">
      <xdr:nvSpPr>
        <xdr:cNvPr id="1070149" name="Line 384">
          <a:extLst>
            <a:ext uri="{FF2B5EF4-FFF2-40B4-BE49-F238E27FC236}">
              <a16:creationId xmlns:a16="http://schemas.microsoft.com/office/drawing/2014/main" id="{00000000-0008-0000-0D00-000045541000}"/>
            </a:ext>
          </a:extLst>
        </xdr:cNvPr>
        <xdr:cNvSpPr>
          <a:spLocks noChangeShapeType="1"/>
        </xdr:cNvSpPr>
      </xdr:nvSpPr>
      <xdr:spPr bwMode="auto">
        <a:xfrm flipV="1">
          <a:off x="592550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66675</xdr:colOff>
      <xdr:row>16</xdr:row>
      <xdr:rowOff>142875</xdr:rowOff>
    </xdr:from>
    <xdr:to>
      <xdr:col>82</xdr:col>
      <xdr:colOff>438150</xdr:colOff>
      <xdr:row>21</xdr:row>
      <xdr:rowOff>76200</xdr:rowOff>
    </xdr:to>
    <xdr:sp macro="" textlink="">
      <xdr:nvSpPr>
        <xdr:cNvPr id="1070150" name="Line 386">
          <a:extLst>
            <a:ext uri="{FF2B5EF4-FFF2-40B4-BE49-F238E27FC236}">
              <a16:creationId xmlns:a16="http://schemas.microsoft.com/office/drawing/2014/main" id="{00000000-0008-0000-0D00-000046541000}"/>
            </a:ext>
          </a:extLst>
        </xdr:cNvPr>
        <xdr:cNvSpPr>
          <a:spLocks noChangeShapeType="1"/>
        </xdr:cNvSpPr>
      </xdr:nvSpPr>
      <xdr:spPr bwMode="auto">
        <a:xfrm flipV="1">
          <a:off x="57150000" y="3638550"/>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82</xdr:col>
      <xdr:colOff>66675</xdr:colOff>
      <xdr:row>21</xdr:row>
      <xdr:rowOff>95250</xdr:rowOff>
    </xdr:from>
    <xdr:to>
      <xdr:col>83</xdr:col>
      <xdr:colOff>0</xdr:colOff>
      <xdr:row>25</xdr:row>
      <xdr:rowOff>171450</xdr:rowOff>
    </xdr:to>
    <xdr:sp macro="" textlink="">
      <xdr:nvSpPr>
        <xdr:cNvPr id="1070151" name="Line 387">
          <a:extLst>
            <a:ext uri="{FF2B5EF4-FFF2-40B4-BE49-F238E27FC236}">
              <a16:creationId xmlns:a16="http://schemas.microsoft.com/office/drawing/2014/main" id="{00000000-0008-0000-0D00-000047541000}"/>
            </a:ext>
          </a:extLst>
        </xdr:cNvPr>
        <xdr:cNvSpPr>
          <a:spLocks noChangeShapeType="1"/>
        </xdr:cNvSpPr>
      </xdr:nvSpPr>
      <xdr:spPr bwMode="auto">
        <a:xfrm>
          <a:off x="57150000" y="4495800"/>
          <a:ext cx="3810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82</xdr:col>
      <xdr:colOff>66675</xdr:colOff>
      <xdr:row>22</xdr:row>
      <xdr:rowOff>161925</xdr:rowOff>
    </xdr:from>
    <xdr:to>
      <xdr:col>82</xdr:col>
      <xdr:colOff>438150</xdr:colOff>
      <xdr:row>27</xdr:row>
      <xdr:rowOff>95250</xdr:rowOff>
    </xdr:to>
    <xdr:sp macro="" textlink="">
      <xdr:nvSpPr>
        <xdr:cNvPr id="1070152" name="Line 388">
          <a:extLst>
            <a:ext uri="{FF2B5EF4-FFF2-40B4-BE49-F238E27FC236}">
              <a16:creationId xmlns:a16="http://schemas.microsoft.com/office/drawing/2014/main" id="{00000000-0008-0000-0D00-000048541000}"/>
            </a:ext>
          </a:extLst>
        </xdr:cNvPr>
        <xdr:cNvSpPr>
          <a:spLocks noChangeShapeType="1"/>
        </xdr:cNvSpPr>
      </xdr:nvSpPr>
      <xdr:spPr bwMode="auto">
        <a:xfrm flipV="1">
          <a:off x="57150000" y="4743450"/>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82</xdr:col>
      <xdr:colOff>66675</xdr:colOff>
      <xdr:row>27</xdr:row>
      <xdr:rowOff>95250</xdr:rowOff>
    </xdr:from>
    <xdr:to>
      <xdr:col>83</xdr:col>
      <xdr:colOff>0</xdr:colOff>
      <xdr:row>31</xdr:row>
      <xdr:rowOff>171450</xdr:rowOff>
    </xdr:to>
    <xdr:sp macro="" textlink="">
      <xdr:nvSpPr>
        <xdr:cNvPr id="1070153" name="Line 389">
          <a:extLst>
            <a:ext uri="{FF2B5EF4-FFF2-40B4-BE49-F238E27FC236}">
              <a16:creationId xmlns:a16="http://schemas.microsoft.com/office/drawing/2014/main" id="{00000000-0008-0000-0D00-000049541000}"/>
            </a:ext>
          </a:extLst>
        </xdr:cNvPr>
        <xdr:cNvSpPr>
          <a:spLocks noChangeShapeType="1"/>
        </xdr:cNvSpPr>
      </xdr:nvSpPr>
      <xdr:spPr bwMode="auto">
        <a:xfrm>
          <a:off x="57150000" y="5581650"/>
          <a:ext cx="3810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82</xdr:col>
      <xdr:colOff>66675</xdr:colOff>
      <xdr:row>33</xdr:row>
      <xdr:rowOff>57150</xdr:rowOff>
    </xdr:from>
    <xdr:to>
      <xdr:col>83</xdr:col>
      <xdr:colOff>0</xdr:colOff>
      <xdr:row>38</xdr:row>
      <xdr:rowOff>19050</xdr:rowOff>
    </xdr:to>
    <xdr:sp macro="" textlink="">
      <xdr:nvSpPr>
        <xdr:cNvPr id="1070154" name="Line 390">
          <a:extLst>
            <a:ext uri="{FF2B5EF4-FFF2-40B4-BE49-F238E27FC236}">
              <a16:creationId xmlns:a16="http://schemas.microsoft.com/office/drawing/2014/main" id="{00000000-0008-0000-0D00-00004A541000}"/>
            </a:ext>
          </a:extLst>
        </xdr:cNvPr>
        <xdr:cNvSpPr>
          <a:spLocks noChangeShapeType="1"/>
        </xdr:cNvSpPr>
      </xdr:nvSpPr>
      <xdr:spPr bwMode="auto">
        <a:xfrm>
          <a:off x="57150000" y="6629400"/>
          <a:ext cx="38100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82</xdr:col>
      <xdr:colOff>66675</xdr:colOff>
      <xdr:row>28</xdr:row>
      <xdr:rowOff>152400</xdr:rowOff>
    </xdr:from>
    <xdr:to>
      <xdr:col>82</xdr:col>
      <xdr:colOff>438150</xdr:colOff>
      <xdr:row>33</xdr:row>
      <xdr:rowOff>85725</xdr:rowOff>
    </xdr:to>
    <xdr:sp macro="" textlink="">
      <xdr:nvSpPr>
        <xdr:cNvPr id="1070155" name="Line 391">
          <a:extLst>
            <a:ext uri="{FF2B5EF4-FFF2-40B4-BE49-F238E27FC236}">
              <a16:creationId xmlns:a16="http://schemas.microsoft.com/office/drawing/2014/main" id="{00000000-0008-0000-0D00-00004B541000}"/>
            </a:ext>
          </a:extLst>
        </xdr:cNvPr>
        <xdr:cNvSpPr>
          <a:spLocks noChangeShapeType="1"/>
        </xdr:cNvSpPr>
      </xdr:nvSpPr>
      <xdr:spPr bwMode="auto">
        <a:xfrm flipV="1">
          <a:off x="57150000" y="5819775"/>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82</xdr:col>
      <xdr:colOff>76200</xdr:colOff>
      <xdr:row>34</xdr:row>
      <xdr:rowOff>152400</xdr:rowOff>
    </xdr:from>
    <xdr:to>
      <xdr:col>83</xdr:col>
      <xdr:colOff>0</xdr:colOff>
      <xdr:row>40</xdr:row>
      <xdr:rowOff>161925</xdr:rowOff>
    </xdr:to>
    <xdr:sp macro="" textlink="">
      <xdr:nvSpPr>
        <xdr:cNvPr id="1070156" name="Line 392">
          <a:extLst>
            <a:ext uri="{FF2B5EF4-FFF2-40B4-BE49-F238E27FC236}">
              <a16:creationId xmlns:a16="http://schemas.microsoft.com/office/drawing/2014/main" id="{00000000-0008-0000-0D00-00004C541000}"/>
            </a:ext>
          </a:extLst>
        </xdr:cNvPr>
        <xdr:cNvSpPr>
          <a:spLocks noChangeShapeType="1"/>
        </xdr:cNvSpPr>
      </xdr:nvSpPr>
      <xdr:spPr bwMode="auto">
        <a:xfrm flipV="1">
          <a:off x="57159525" y="6905625"/>
          <a:ext cx="371475" cy="1095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85</xdr:col>
      <xdr:colOff>76200</xdr:colOff>
      <xdr:row>17</xdr:row>
      <xdr:rowOff>0</xdr:rowOff>
    </xdr:from>
    <xdr:to>
      <xdr:col>86</xdr:col>
      <xdr:colOff>0</xdr:colOff>
      <xdr:row>21</xdr:row>
      <xdr:rowOff>66675</xdr:rowOff>
    </xdr:to>
    <xdr:sp macro="" textlink="">
      <xdr:nvSpPr>
        <xdr:cNvPr id="1070157" name="Line 393">
          <a:extLst>
            <a:ext uri="{FF2B5EF4-FFF2-40B4-BE49-F238E27FC236}">
              <a16:creationId xmlns:a16="http://schemas.microsoft.com/office/drawing/2014/main" id="{00000000-0008-0000-0D00-00004D541000}"/>
            </a:ext>
          </a:extLst>
        </xdr:cNvPr>
        <xdr:cNvSpPr>
          <a:spLocks noChangeShapeType="1"/>
        </xdr:cNvSpPr>
      </xdr:nvSpPr>
      <xdr:spPr bwMode="auto">
        <a:xfrm flipV="1">
          <a:off x="59321700" y="3676650"/>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85</xdr:col>
      <xdr:colOff>76200</xdr:colOff>
      <xdr:row>22</xdr:row>
      <xdr:rowOff>171450</xdr:rowOff>
    </xdr:from>
    <xdr:to>
      <xdr:col>86</xdr:col>
      <xdr:colOff>0</xdr:colOff>
      <xdr:row>27</xdr:row>
      <xdr:rowOff>57150</xdr:rowOff>
    </xdr:to>
    <xdr:sp macro="" textlink="">
      <xdr:nvSpPr>
        <xdr:cNvPr id="1070158" name="Line 394">
          <a:extLst>
            <a:ext uri="{FF2B5EF4-FFF2-40B4-BE49-F238E27FC236}">
              <a16:creationId xmlns:a16="http://schemas.microsoft.com/office/drawing/2014/main" id="{00000000-0008-0000-0D00-00004E541000}"/>
            </a:ext>
          </a:extLst>
        </xdr:cNvPr>
        <xdr:cNvSpPr>
          <a:spLocks noChangeShapeType="1"/>
        </xdr:cNvSpPr>
      </xdr:nvSpPr>
      <xdr:spPr bwMode="auto">
        <a:xfrm flipV="1">
          <a:off x="59321700" y="4752975"/>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85</xdr:col>
      <xdr:colOff>76200</xdr:colOff>
      <xdr:row>28</xdr:row>
      <xdr:rowOff>171450</xdr:rowOff>
    </xdr:from>
    <xdr:to>
      <xdr:col>86</xdr:col>
      <xdr:colOff>0</xdr:colOff>
      <xdr:row>33</xdr:row>
      <xdr:rowOff>57150</xdr:rowOff>
    </xdr:to>
    <xdr:sp macro="" textlink="">
      <xdr:nvSpPr>
        <xdr:cNvPr id="1070159" name="Line 395">
          <a:extLst>
            <a:ext uri="{FF2B5EF4-FFF2-40B4-BE49-F238E27FC236}">
              <a16:creationId xmlns:a16="http://schemas.microsoft.com/office/drawing/2014/main" id="{00000000-0008-0000-0D00-00004F541000}"/>
            </a:ext>
          </a:extLst>
        </xdr:cNvPr>
        <xdr:cNvSpPr>
          <a:spLocks noChangeShapeType="1"/>
        </xdr:cNvSpPr>
      </xdr:nvSpPr>
      <xdr:spPr bwMode="auto">
        <a:xfrm flipV="1">
          <a:off x="59321700" y="5838825"/>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85</xdr:col>
      <xdr:colOff>57150</xdr:colOff>
      <xdr:row>21</xdr:row>
      <xdr:rowOff>76200</xdr:rowOff>
    </xdr:from>
    <xdr:to>
      <xdr:col>85</xdr:col>
      <xdr:colOff>400050</xdr:colOff>
      <xdr:row>26</xdr:row>
      <xdr:rowOff>0</xdr:rowOff>
    </xdr:to>
    <xdr:sp macro="" textlink="">
      <xdr:nvSpPr>
        <xdr:cNvPr id="1070160" name="Line 397">
          <a:extLst>
            <a:ext uri="{FF2B5EF4-FFF2-40B4-BE49-F238E27FC236}">
              <a16:creationId xmlns:a16="http://schemas.microsoft.com/office/drawing/2014/main" id="{00000000-0008-0000-0D00-000050541000}"/>
            </a:ext>
          </a:extLst>
        </xdr:cNvPr>
        <xdr:cNvSpPr>
          <a:spLocks noChangeShapeType="1"/>
        </xdr:cNvSpPr>
      </xdr:nvSpPr>
      <xdr:spPr bwMode="auto">
        <a:xfrm>
          <a:off x="59302650" y="4476750"/>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85</xdr:col>
      <xdr:colOff>66675</xdr:colOff>
      <xdr:row>27</xdr:row>
      <xdr:rowOff>85725</xdr:rowOff>
    </xdr:from>
    <xdr:to>
      <xdr:col>86</xdr:col>
      <xdr:colOff>0</xdr:colOff>
      <xdr:row>32</xdr:row>
      <xdr:rowOff>9525</xdr:rowOff>
    </xdr:to>
    <xdr:sp macro="" textlink="">
      <xdr:nvSpPr>
        <xdr:cNvPr id="1070161" name="Line 398">
          <a:extLst>
            <a:ext uri="{FF2B5EF4-FFF2-40B4-BE49-F238E27FC236}">
              <a16:creationId xmlns:a16="http://schemas.microsoft.com/office/drawing/2014/main" id="{00000000-0008-0000-0D00-000051541000}"/>
            </a:ext>
          </a:extLst>
        </xdr:cNvPr>
        <xdr:cNvSpPr>
          <a:spLocks noChangeShapeType="1"/>
        </xdr:cNvSpPr>
      </xdr:nvSpPr>
      <xdr:spPr bwMode="auto">
        <a:xfrm>
          <a:off x="59312175" y="5572125"/>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85</xdr:col>
      <xdr:colOff>76200</xdr:colOff>
      <xdr:row>33</xdr:row>
      <xdr:rowOff>57150</xdr:rowOff>
    </xdr:from>
    <xdr:to>
      <xdr:col>86</xdr:col>
      <xdr:colOff>0</xdr:colOff>
      <xdr:row>38</xdr:row>
      <xdr:rowOff>28575</xdr:rowOff>
    </xdr:to>
    <xdr:sp macro="" textlink="">
      <xdr:nvSpPr>
        <xdr:cNvPr id="1070162" name="Line 399">
          <a:extLst>
            <a:ext uri="{FF2B5EF4-FFF2-40B4-BE49-F238E27FC236}">
              <a16:creationId xmlns:a16="http://schemas.microsoft.com/office/drawing/2014/main" id="{00000000-0008-0000-0D00-000052541000}"/>
            </a:ext>
          </a:extLst>
        </xdr:cNvPr>
        <xdr:cNvSpPr>
          <a:spLocks noChangeShapeType="1"/>
        </xdr:cNvSpPr>
      </xdr:nvSpPr>
      <xdr:spPr bwMode="auto">
        <a:xfrm>
          <a:off x="59321700" y="6629400"/>
          <a:ext cx="333375" cy="8763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82</xdr:col>
      <xdr:colOff>76200</xdr:colOff>
      <xdr:row>41</xdr:row>
      <xdr:rowOff>9525</xdr:rowOff>
    </xdr:from>
    <xdr:to>
      <xdr:col>83</xdr:col>
      <xdr:colOff>0</xdr:colOff>
      <xdr:row>41</xdr:row>
      <xdr:rowOff>9525</xdr:rowOff>
    </xdr:to>
    <xdr:sp macro="" textlink="">
      <xdr:nvSpPr>
        <xdr:cNvPr id="1070163" name="Line 392">
          <a:extLst>
            <a:ext uri="{FF2B5EF4-FFF2-40B4-BE49-F238E27FC236}">
              <a16:creationId xmlns:a16="http://schemas.microsoft.com/office/drawing/2014/main" id="{00000000-0008-0000-0D00-000053541000}"/>
            </a:ext>
          </a:extLst>
        </xdr:cNvPr>
        <xdr:cNvSpPr>
          <a:spLocks noChangeShapeType="1"/>
        </xdr:cNvSpPr>
      </xdr:nvSpPr>
      <xdr:spPr bwMode="auto">
        <a:xfrm>
          <a:off x="57159525" y="8029575"/>
          <a:ext cx="3714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85</xdr:col>
      <xdr:colOff>0</xdr:colOff>
      <xdr:row>38</xdr:row>
      <xdr:rowOff>28575</xdr:rowOff>
    </xdr:from>
    <xdr:to>
      <xdr:col>85</xdr:col>
      <xdr:colOff>76200</xdr:colOff>
      <xdr:row>38</xdr:row>
      <xdr:rowOff>38100</xdr:rowOff>
    </xdr:to>
    <xdr:sp macro="" textlink="">
      <xdr:nvSpPr>
        <xdr:cNvPr id="1070164" name="Line 343">
          <a:extLst>
            <a:ext uri="{FF2B5EF4-FFF2-40B4-BE49-F238E27FC236}">
              <a16:creationId xmlns:a16="http://schemas.microsoft.com/office/drawing/2014/main" id="{00000000-0008-0000-0D00-000054541000}"/>
            </a:ext>
          </a:extLst>
        </xdr:cNvPr>
        <xdr:cNvSpPr>
          <a:spLocks noChangeShapeType="1"/>
        </xdr:cNvSpPr>
      </xdr:nvSpPr>
      <xdr:spPr bwMode="auto">
        <a:xfrm>
          <a:off x="59245500" y="750570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47625</xdr:colOff>
      <xdr:row>41</xdr:row>
      <xdr:rowOff>38100</xdr:rowOff>
    </xdr:from>
    <xdr:to>
      <xdr:col>85</xdr:col>
      <xdr:colOff>400050</xdr:colOff>
      <xdr:row>44</xdr:row>
      <xdr:rowOff>0</xdr:rowOff>
    </xdr:to>
    <xdr:sp macro="" textlink="">
      <xdr:nvSpPr>
        <xdr:cNvPr id="1070165" name="Line 363">
          <a:extLst>
            <a:ext uri="{FF2B5EF4-FFF2-40B4-BE49-F238E27FC236}">
              <a16:creationId xmlns:a16="http://schemas.microsoft.com/office/drawing/2014/main" id="{00000000-0008-0000-0D00-000055541000}"/>
            </a:ext>
          </a:extLst>
        </xdr:cNvPr>
        <xdr:cNvSpPr>
          <a:spLocks noChangeShapeType="1"/>
        </xdr:cNvSpPr>
      </xdr:nvSpPr>
      <xdr:spPr bwMode="auto">
        <a:xfrm>
          <a:off x="59293125" y="8058150"/>
          <a:ext cx="352425" cy="5048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85</xdr:col>
      <xdr:colOff>57150</xdr:colOff>
      <xdr:row>35</xdr:row>
      <xdr:rowOff>19050</xdr:rowOff>
    </xdr:from>
    <xdr:to>
      <xdr:col>85</xdr:col>
      <xdr:colOff>400050</xdr:colOff>
      <xdr:row>41</xdr:row>
      <xdr:rowOff>28575</xdr:rowOff>
    </xdr:to>
    <xdr:sp macro="" textlink="">
      <xdr:nvSpPr>
        <xdr:cNvPr id="1070166" name="Line 392">
          <a:extLst>
            <a:ext uri="{FF2B5EF4-FFF2-40B4-BE49-F238E27FC236}">
              <a16:creationId xmlns:a16="http://schemas.microsoft.com/office/drawing/2014/main" id="{00000000-0008-0000-0D00-000056541000}"/>
            </a:ext>
          </a:extLst>
        </xdr:cNvPr>
        <xdr:cNvSpPr>
          <a:spLocks noChangeShapeType="1"/>
        </xdr:cNvSpPr>
      </xdr:nvSpPr>
      <xdr:spPr bwMode="auto">
        <a:xfrm flipV="1">
          <a:off x="59302650" y="6953250"/>
          <a:ext cx="342900" cy="1095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85</xdr:col>
      <xdr:colOff>76200</xdr:colOff>
      <xdr:row>41</xdr:row>
      <xdr:rowOff>38100</xdr:rowOff>
    </xdr:from>
    <xdr:to>
      <xdr:col>86</xdr:col>
      <xdr:colOff>0</xdr:colOff>
      <xdr:row>41</xdr:row>
      <xdr:rowOff>38100</xdr:rowOff>
    </xdr:to>
    <xdr:sp macro="" textlink="">
      <xdr:nvSpPr>
        <xdr:cNvPr id="1070167" name="Line 392">
          <a:extLst>
            <a:ext uri="{FF2B5EF4-FFF2-40B4-BE49-F238E27FC236}">
              <a16:creationId xmlns:a16="http://schemas.microsoft.com/office/drawing/2014/main" id="{00000000-0008-0000-0D00-000057541000}"/>
            </a:ext>
          </a:extLst>
        </xdr:cNvPr>
        <xdr:cNvSpPr>
          <a:spLocks noChangeShapeType="1"/>
        </xdr:cNvSpPr>
      </xdr:nvSpPr>
      <xdr:spPr bwMode="auto">
        <a:xfrm>
          <a:off x="59321700" y="8058150"/>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85</xdr:col>
      <xdr:colOff>66675</xdr:colOff>
      <xdr:row>38</xdr:row>
      <xdr:rowOff>38100</xdr:rowOff>
    </xdr:from>
    <xdr:to>
      <xdr:col>85</xdr:col>
      <xdr:colOff>66675</xdr:colOff>
      <xdr:row>43</xdr:row>
      <xdr:rowOff>142875</xdr:rowOff>
    </xdr:to>
    <xdr:sp macro="" textlink="">
      <xdr:nvSpPr>
        <xdr:cNvPr id="1070168" name="Line 344">
          <a:extLst>
            <a:ext uri="{FF2B5EF4-FFF2-40B4-BE49-F238E27FC236}">
              <a16:creationId xmlns:a16="http://schemas.microsoft.com/office/drawing/2014/main" id="{00000000-0008-0000-0D00-000058541000}"/>
            </a:ext>
          </a:extLst>
        </xdr:cNvPr>
        <xdr:cNvSpPr>
          <a:spLocks noChangeShapeType="1"/>
        </xdr:cNvSpPr>
      </xdr:nvSpPr>
      <xdr:spPr bwMode="auto">
        <a:xfrm flipH="1">
          <a:off x="59312175" y="7515225"/>
          <a:ext cx="0" cy="1009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9525</xdr:colOff>
      <xdr:row>44</xdr:row>
      <xdr:rowOff>0</xdr:rowOff>
    </xdr:from>
    <xdr:to>
      <xdr:col>85</xdr:col>
      <xdr:colOff>66675</xdr:colOff>
      <xdr:row>44</xdr:row>
      <xdr:rowOff>9525</xdr:rowOff>
    </xdr:to>
    <xdr:sp macro="" textlink="">
      <xdr:nvSpPr>
        <xdr:cNvPr id="1070169" name="Line 345">
          <a:extLst>
            <a:ext uri="{FF2B5EF4-FFF2-40B4-BE49-F238E27FC236}">
              <a16:creationId xmlns:a16="http://schemas.microsoft.com/office/drawing/2014/main" id="{00000000-0008-0000-0D00-000059541000}"/>
            </a:ext>
          </a:extLst>
        </xdr:cNvPr>
        <xdr:cNvSpPr>
          <a:spLocks noChangeShapeType="1"/>
        </xdr:cNvSpPr>
      </xdr:nvSpPr>
      <xdr:spPr bwMode="auto">
        <a:xfrm flipV="1">
          <a:off x="59255025" y="856297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38</xdr:row>
      <xdr:rowOff>0</xdr:rowOff>
    </xdr:from>
    <xdr:to>
      <xdr:col>88</xdr:col>
      <xdr:colOff>76200</xdr:colOff>
      <xdr:row>38</xdr:row>
      <xdr:rowOff>9525</xdr:rowOff>
    </xdr:to>
    <xdr:sp macro="" textlink="">
      <xdr:nvSpPr>
        <xdr:cNvPr id="1070170" name="Line 473">
          <a:extLst>
            <a:ext uri="{FF2B5EF4-FFF2-40B4-BE49-F238E27FC236}">
              <a16:creationId xmlns:a16="http://schemas.microsoft.com/office/drawing/2014/main" id="{00000000-0008-0000-0D00-00005A541000}"/>
            </a:ext>
          </a:extLst>
        </xdr:cNvPr>
        <xdr:cNvSpPr>
          <a:spLocks noChangeShapeType="1"/>
        </xdr:cNvSpPr>
      </xdr:nvSpPr>
      <xdr:spPr bwMode="auto">
        <a:xfrm>
          <a:off x="6134100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66675</xdr:colOff>
      <xdr:row>38</xdr:row>
      <xdr:rowOff>9525</xdr:rowOff>
    </xdr:from>
    <xdr:to>
      <xdr:col>88</xdr:col>
      <xdr:colOff>66675</xdr:colOff>
      <xdr:row>41</xdr:row>
      <xdr:rowOff>19050</xdr:rowOff>
    </xdr:to>
    <xdr:sp macro="" textlink="">
      <xdr:nvSpPr>
        <xdr:cNvPr id="1070171" name="Line 474">
          <a:extLst>
            <a:ext uri="{FF2B5EF4-FFF2-40B4-BE49-F238E27FC236}">
              <a16:creationId xmlns:a16="http://schemas.microsoft.com/office/drawing/2014/main" id="{00000000-0008-0000-0D00-00005B541000}"/>
            </a:ext>
          </a:extLst>
        </xdr:cNvPr>
        <xdr:cNvSpPr>
          <a:spLocks noChangeShapeType="1"/>
        </xdr:cNvSpPr>
      </xdr:nvSpPr>
      <xdr:spPr bwMode="auto">
        <a:xfrm>
          <a:off x="6140767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38</xdr:row>
      <xdr:rowOff>0</xdr:rowOff>
    </xdr:from>
    <xdr:to>
      <xdr:col>88</xdr:col>
      <xdr:colOff>76200</xdr:colOff>
      <xdr:row>38</xdr:row>
      <xdr:rowOff>9525</xdr:rowOff>
    </xdr:to>
    <xdr:sp macro="" textlink="">
      <xdr:nvSpPr>
        <xdr:cNvPr id="1070172" name="Line 475">
          <a:extLst>
            <a:ext uri="{FF2B5EF4-FFF2-40B4-BE49-F238E27FC236}">
              <a16:creationId xmlns:a16="http://schemas.microsoft.com/office/drawing/2014/main" id="{00000000-0008-0000-0D00-00005C541000}"/>
            </a:ext>
          </a:extLst>
        </xdr:cNvPr>
        <xdr:cNvSpPr>
          <a:spLocks noChangeShapeType="1"/>
        </xdr:cNvSpPr>
      </xdr:nvSpPr>
      <xdr:spPr bwMode="auto">
        <a:xfrm>
          <a:off x="6134100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66675</xdr:colOff>
      <xdr:row>38</xdr:row>
      <xdr:rowOff>9525</xdr:rowOff>
    </xdr:from>
    <xdr:to>
      <xdr:col>88</xdr:col>
      <xdr:colOff>66675</xdr:colOff>
      <xdr:row>41</xdr:row>
      <xdr:rowOff>19050</xdr:rowOff>
    </xdr:to>
    <xdr:sp macro="" textlink="">
      <xdr:nvSpPr>
        <xdr:cNvPr id="1070173" name="Line 476">
          <a:extLst>
            <a:ext uri="{FF2B5EF4-FFF2-40B4-BE49-F238E27FC236}">
              <a16:creationId xmlns:a16="http://schemas.microsoft.com/office/drawing/2014/main" id="{00000000-0008-0000-0D00-00005D541000}"/>
            </a:ext>
          </a:extLst>
        </xdr:cNvPr>
        <xdr:cNvSpPr>
          <a:spLocks noChangeShapeType="1"/>
        </xdr:cNvSpPr>
      </xdr:nvSpPr>
      <xdr:spPr bwMode="auto">
        <a:xfrm>
          <a:off x="6140767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76200</xdr:colOff>
      <xdr:row>41</xdr:row>
      <xdr:rowOff>19050</xdr:rowOff>
    </xdr:from>
    <xdr:to>
      <xdr:col>89</xdr:col>
      <xdr:colOff>9525</xdr:colOff>
      <xdr:row>44</xdr:row>
      <xdr:rowOff>9525</xdr:rowOff>
    </xdr:to>
    <xdr:sp macro="" textlink="">
      <xdr:nvSpPr>
        <xdr:cNvPr id="1070174" name="Line 477">
          <a:extLst>
            <a:ext uri="{FF2B5EF4-FFF2-40B4-BE49-F238E27FC236}">
              <a16:creationId xmlns:a16="http://schemas.microsoft.com/office/drawing/2014/main" id="{00000000-0008-0000-0D00-00005E541000}"/>
            </a:ext>
          </a:extLst>
        </xdr:cNvPr>
        <xdr:cNvSpPr>
          <a:spLocks noChangeShapeType="1"/>
        </xdr:cNvSpPr>
      </xdr:nvSpPr>
      <xdr:spPr bwMode="auto">
        <a:xfrm>
          <a:off x="61417200" y="8039100"/>
          <a:ext cx="342900" cy="5334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88</xdr:col>
      <xdr:colOff>0</xdr:colOff>
      <xdr:row>38</xdr:row>
      <xdr:rowOff>0</xdr:rowOff>
    </xdr:from>
    <xdr:to>
      <xdr:col>88</xdr:col>
      <xdr:colOff>76200</xdr:colOff>
      <xdr:row>38</xdr:row>
      <xdr:rowOff>9525</xdr:rowOff>
    </xdr:to>
    <xdr:sp macro="" textlink="">
      <xdr:nvSpPr>
        <xdr:cNvPr id="1070175" name="Line 478">
          <a:extLst>
            <a:ext uri="{FF2B5EF4-FFF2-40B4-BE49-F238E27FC236}">
              <a16:creationId xmlns:a16="http://schemas.microsoft.com/office/drawing/2014/main" id="{00000000-0008-0000-0D00-00005F541000}"/>
            </a:ext>
          </a:extLst>
        </xdr:cNvPr>
        <xdr:cNvSpPr>
          <a:spLocks noChangeShapeType="1"/>
        </xdr:cNvSpPr>
      </xdr:nvSpPr>
      <xdr:spPr bwMode="auto">
        <a:xfrm>
          <a:off x="6134100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66675</xdr:colOff>
      <xdr:row>38</xdr:row>
      <xdr:rowOff>9525</xdr:rowOff>
    </xdr:from>
    <xdr:to>
      <xdr:col>88</xdr:col>
      <xdr:colOff>66675</xdr:colOff>
      <xdr:row>43</xdr:row>
      <xdr:rowOff>152400</xdr:rowOff>
    </xdr:to>
    <xdr:sp macro="" textlink="">
      <xdr:nvSpPr>
        <xdr:cNvPr id="1070176" name="Line 479">
          <a:extLst>
            <a:ext uri="{FF2B5EF4-FFF2-40B4-BE49-F238E27FC236}">
              <a16:creationId xmlns:a16="http://schemas.microsoft.com/office/drawing/2014/main" id="{00000000-0008-0000-0D00-000060541000}"/>
            </a:ext>
          </a:extLst>
        </xdr:cNvPr>
        <xdr:cNvSpPr>
          <a:spLocks noChangeShapeType="1"/>
        </xdr:cNvSpPr>
      </xdr:nvSpPr>
      <xdr:spPr bwMode="auto">
        <a:xfrm>
          <a:off x="61407675" y="7486650"/>
          <a:ext cx="0" cy="1047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66675</xdr:colOff>
      <xdr:row>37</xdr:row>
      <xdr:rowOff>161925</xdr:rowOff>
    </xdr:from>
    <xdr:to>
      <xdr:col>89</xdr:col>
      <xdr:colOff>0</xdr:colOff>
      <xdr:row>41</xdr:row>
      <xdr:rowOff>0</xdr:rowOff>
    </xdr:to>
    <xdr:sp macro="" textlink="">
      <xdr:nvSpPr>
        <xdr:cNvPr id="1070177" name="Line 480">
          <a:extLst>
            <a:ext uri="{FF2B5EF4-FFF2-40B4-BE49-F238E27FC236}">
              <a16:creationId xmlns:a16="http://schemas.microsoft.com/office/drawing/2014/main" id="{00000000-0008-0000-0D00-000061541000}"/>
            </a:ext>
          </a:extLst>
        </xdr:cNvPr>
        <xdr:cNvSpPr>
          <a:spLocks noChangeShapeType="1"/>
        </xdr:cNvSpPr>
      </xdr:nvSpPr>
      <xdr:spPr bwMode="auto">
        <a:xfrm flipV="1">
          <a:off x="61407675" y="7458075"/>
          <a:ext cx="342900" cy="5619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88</xdr:col>
      <xdr:colOff>66675</xdr:colOff>
      <xdr:row>41</xdr:row>
      <xdr:rowOff>9525</xdr:rowOff>
    </xdr:from>
    <xdr:to>
      <xdr:col>89</xdr:col>
      <xdr:colOff>0</xdr:colOff>
      <xdr:row>41</xdr:row>
      <xdr:rowOff>9525</xdr:rowOff>
    </xdr:to>
    <xdr:sp macro="" textlink="">
      <xdr:nvSpPr>
        <xdr:cNvPr id="1070178" name="Line 481">
          <a:extLst>
            <a:ext uri="{FF2B5EF4-FFF2-40B4-BE49-F238E27FC236}">
              <a16:creationId xmlns:a16="http://schemas.microsoft.com/office/drawing/2014/main" id="{00000000-0008-0000-0D00-000062541000}"/>
            </a:ext>
          </a:extLst>
        </xdr:cNvPr>
        <xdr:cNvSpPr>
          <a:spLocks noChangeShapeType="1"/>
        </xdr:cNvSpPr>
      </xdr:nvSpPr>
      <xdr:spPr bwMode="auto">
        <a:xfrm>
          <a:off x="61407675" y="8029575"/>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88</xdr:col>
      <xdr:colOff>9525</xdr:colOff>
      <xdr:row>43</xdr:row>
      <xdr:rowOff>171450</xdr:rowOff>
    </xdr:from>
    <xdr:to>
      <xdr:col>88</xdr:col>
      <xdr:colOff>66675</xdr:colOff>
      <xdr:row>44</xdr:row>
      <xdr:rowOff>0</xdr:rowOff>
    </xdr:to>
    <xdr:sp macro="" textlink="">
      <xdr:nvSpPr>
        <xdr:cNvPr id="1070179" name="Line 482">
          <a:extLst>
            <a:ext uri="{FF2B5EF4-FFF2-40B4-BE49-F238E27FC236}">
              <a16:creationId xmlns:a16="http://schemas.microsoft.com/office/drawing/2014/main" id="{00000000-0008-0000-0D00-000063541000}"/>
            </a:ext>
          </a:extLst>
        </xdr:cNvPr>
        <xdr:cNvSpPr>
          <a:spLocks noChangeShapeType="1"/>
        </xdr:cNvSpPr>
      </xdr:nvSpPr>
      <xdr:spPr bwMode="auto">
        <a:xfrm flipV="1">
          <a:off x="61350525" y="85534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9525</xdr:colOff>
      <xdr:row>35</xdr:row>
      <xdr:rowOff>0</xdr:rowOff>
    </xdr:from>
    <xdr:to>
      <xdr:col>82</xdr:col>
      <xdr:colOff>66675</xdr:colOff>
      <xdr:row>35</xdr:row>
      <xdr:rowOff>9525</xdr:rowOff>
    </xdr:to>
    <xdr:sp macro="" textlink="">
      <xdr:nvSpPr>
        <xdr:cNvPr id="1070180" name="Line 39">
          <a:extLst>
            <a:ext uri="{FF2B5EF4-FFF2-40B4-BE49-F238E27FC236}">
              <a16:creationId xmlns:a16="http://schemas.microsoft.com/office/drawing/2014/main" id="{00000000-0008-0000-0D00-000064541000}"/>
            </a:ext>
          </a:extLst>
        </xdr:cNvPr>
        <xdr:cNvSpPr>
          <a:spLocks noChangeShapeType="1"/>
        </xdr:cNvSpPr>
      </xdr:nvSpPr>
      <xdr:spPr bwMode="auto">
        <a:xfrm flipV="1">
          <a:off x="5709285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9525</xdr:colOff>
      <xdr:row>35</xdr:row>
      <xdr:rowOff>0</xdr:rowOff>
    </xdr:from>
    <xdr:to>
      <xdr:col>85</xdr:col>
      <xdr:colOff>66675</xdr:colOff>
      <xdr:row>35</xdr:row>
      <xdr:rowOff>9525</xdr:rowOff>
    </xdr:to>
    <xdr:sp macro="" textlink="">
      <xdr:nvSpPr>
        <xdr:cNvPr id="1070181" name="Line 42">
          <a:extLst>
            <a:ext uri="{FF2B5EF4-FFF2-40B4-BE49-F238E27FC236}">
              <a16:creationId xmlns:a16="http://schemas.microsoft.com/office/drawing/2014/main" id="{00000000-0008-0000-0D00-000065541000}"/>
            </a:ext>
          </a:extLst>
        </xdr:cNvPr>
        <xdr:cNvSpPr>
          <a:spLocks noChangeShapeType="1"/>
        </xdr:cNvSpPr>
      </xdr:nvSpPr>
      <xdr:spPr bwMode="auto">
        <a:xfrm flipV="1">
          <a:off x="592550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9525</xdr:colOff>
      <xdr:row>35</xdr:row>
      <xdr:rowOff>0</xdr:rowOff>
    </xdr:from>
    <xdr:to>
      <xdr:col>88</xdr:col>
      <xdr:colOff>66675</xdr:colOff>
      <xdr:row>35</xdr:row>
      <xdr:rowOff>9525</xdr:rowOff>
    </xdr:to>
    <xdr:sp macro="" textlink="">
      <xdr:nvSpPr>
        <xdr:cNvPr id="1070182" name="Line 45">
          <a:extLst>
            <a:ext uri="{FF2B5EF4-FFF2-40B4-BE49-F238E27FC236}">
              <a16:creationId xmlns:a16="http://schemas.microsoft.com/office/drawing/2014/main" id="{00000000-0008-0000-0D00-000066541000}"/>
            </a:ext>
          </a:extLst>
        </xdr:cNvPr>
        <xdr:cNvSpPr>
          <a:spLocks noChangeShapeType="1"/>
        </xdr:cNvSpPr>
      </xdr:nvSpPr>
      <xdr:spPr bwMode="auto">
        <a:xfrm flipV="1">
          <a:off x="613505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9525</xdr:colOff>
      <xdr:row>35</xdr:row>
      <xdr:rowOff>0</xdr:rowOff>
    </xdr:from>
    <xdr:to>
      <xdr:col>88</xdr:col>
      <xdr:colOff>66675</xdr:colOff>
      <xdr:row>35</xdr:row>
      <xdr:rowOff>9525</xdr:rowOff>
    </xdr:to>
    <xdr:sp macro="" textlink="">
      <xdr:nvSpPr>
        <xdr:cNvPr id="1070183" name="Line 79">
          <a:extLst>
            <a:ext uri="{FF2B5EF4-FFF2-40B4-BE49-F238E27FC236}">
              <a16:creationId xmlns:a16="http://schemas.microsoft.com/office/drawing/2014/main" id="{00000000-0008-0000-0D00-000067541000}"/>
            </a:ext>
          </a:extLst>
        </xdr:cNvPr>
        <xdr:cNvSpPr>
          <a:spLocks noChangeShapeType="1"/>
        </xdr:cNvSpPr>
      </xdr:nvSpPr>
      <xdr:spPr bwMode="auto">
        <a:xfrm flipV="1">
          <a:off x="613505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76200</xdr:colOff>
      <xdr:row>33</xdr:row>
      <xdr:rowOff>66675</xdr:rowOff>
    </xdr:from>
    <xdr:to>
      <xdr:col>89</xdr:col>
      <xdr:colOff>9525</xdr:colOff>
      <xdr:row>35</xdr:row>
      <xdr:rowOff>19050</xdr:rowOff>
    </xdr:to>
    <xdr:sp macro="" textlink="">
      <xdr:nvSpPr>
        <xdr:cNvPr id="1070184" name="Line 81">
          <a:extLst>
            <a:ext uri="{FF2B5EF4-FFF2-40B4-BE49-F238E27FC236}">
              <a16:creationId xmlns:a16="http://schemas.microsoft.com/office/drawing/2014/main" id="{00000000-0008-0000-0D00-000068541000}"/>
            </a:ext>
          </a:extLst>
        </xdr:cNvPr>
        <xdr:cNvSpPr>
          <a:spLocks noChangeShapeType="1"/>
        </xdr:cNvSpPr>
      </xdr:nvSpPr>
      <xdr:spPr bwMode="auto">
        <a:xfrm>
          <a:off x="61417200" y="66389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88</xdr:col>
      <xdr:colOff>9525</xdr:colOff>
      <xdr:row>35</xdr:row>
      <xdr:rowOff>0</xdr:rowOff>
    </xdr:from>
    <xdr:to>
      <xdr:col>88</xdr:col>
      <xdr:colOff>66675</xdr:colOff>
      <xdr:row>35</xdr:row>
      <xdr:rowOff>9525</xdr:rowOff>
    </xdr:to>
    <xdr:sp macro="" textlink="">
      <xdr:nvSpPr>
        <xdr:cNvPr id="1070185" name="Line 92">
          <a:extLst>
            <a:ext uri="{FF2B5EF4-FFF2-40B4-BE49-F238E27FC236}">
              <a16:creationId xmlns:a16="http://schemas.microsoft.com/office/drawing/2014/main" id="{00000000-0008-0000-0D00-000069541000}"/>
            </a:ext>
          </a:extLst>
        </xdr:cNvPr>
        <xdr:cNvSpPr>
          <a:spLocks noChangeShapeType="1"/>
        </xdr:cNvSpPr>
      </xdr:nvSpPr>
      <xdr:spPr bwMode="auto">
        <a:xfrm flipV="1">
          <a:off x="613505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9525</xdr:colOff>
      <xdr:row>35</xdr:row>
      <xdr:rowOff>0</xdr:rowOff>
    </xdr:from>
    <xdr:to>
      <xdr:col>85</xdr:col>
      <xdr:colOff>66675</xdr:colOff>
      <xdr:row>35</xdr:row>
      <xdr:rowOff>9525</xdr:rowOff>
    </xdr:to>
    <xdr:sp macro="" textlink="">
      <xdr:nvSpPr>
        <xdr:cNvPr id="1070186" name="Line 136">
          <a:extLst>
            <a:ext uri="{FF2B5EF4-FFF2-40B4-BE49-F238E27FC236}">
              <a16:creationId xmlns:a16="http://schemas.microsoft.com/office/drawing/2014/main" id="{00000000-0008-0000-0D00-00006A541000}"/>
            </a:ext>
          </a:extLst>
        </xdr:cNvPr>
        <xdr:cNvSpPr>
          <a:spLocks noChangeShapeType="1"/>
        </xdr:cNvSpPr>
      </xdr:nvSpPr>
      <xdr:spPr bwMode="auto">
        <a:xfrm flipV="1">
          <a:off x="592550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85725</xdr:colOff>
      <xdr:row>38</xdr:row>
      <xdr:rowOff>0</xdr:rowOff>
    </xdr:from>
    <xdr:to>
      <xdr:col>82</xdr:col>
      <xdr:colOff>85725</xdr:colOff>
      <xdr:row>43</xdr:row>
      <xdr:rowOff>142875</xdr:rowOff>
    </xdr:to>
    <xdr:sp macro="" textlink="">
      <xdr:nvSpPr>
        <xdr:cNvPr id="1070187" name="Line 460">
          <a:extLst>
            <a:ext uri="{FF2B5EF4-FFF2-40B4-BE49-F238E27FC236}">
              <a16:creationId xmlns:a16="http://schemas.microsoft.com/office/drawing/2014/main" id="{00000000-0008-0000-0D00-00006B541000}"/>
            </a:ext>
          </a:extLst>
        </xdr:cNvPr>
        <xdr:cNvSpPr>
          <a:spLocks noChangeShapeType="1"/>
        </xdr:cNvSpPr>
      </xdr:nvSpPr>
      <xdr:spPr bwMode="auto">
        <a:xfrm>
          <a:off x="57169050" y="7477125"/>
          <a:ext cx="0" cy="1047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85</xdr:col>
      <xdr:colOff>9525</xdr:colOff>
      <xdr:row>35</xdr:row>
      <xdr:rowOff>0</xdr:rowOff>
    </xdr:from>
    <xdr:to>
      <xdr:col>85</xdr:col>
      <xdr:colOff>66675</xdr:colOff>
      <xdr:row>35</xdr:row>
      <xdr:rowOff>9525</xdr:rowOff>
    </xdr:to>
    <xdr:sp macro="" textlink="">
      <xdr:nvSpPr>
        <xdr:cNvPr id="1070188" name="Line 464">
          <a:extLst>
            <a:ext uri="{FF2B5EF4-FFF2-40B4-BE49-F238E27FC236}">
              <a16:creationId xmlns:a16="http://schemas.microsoft.com/office/drawing/2014/main" id="{00000000-0008-0000-0D00-00006C541000}"/>
            </a:ext>
          </a:extLst>
        </xdr:cNvPr>
        <xdr:cNvSpPr>
          <a:spLocks noChangeShapeType="1"/>
        </xdr:cNvSpPr>
      </xdr:nvSpPr>
      <xdr:spPr bwMode="auto">
        <a:xfrm flipV="1">
          <a:off x="592550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38</xdr:row>
      <xdr:rowOff>0</xdr:rowOff>
    </xdr:from>
    <xdr:to>
      <xdr:col>88</xdr:col>
      <xdr:colOff>76200</xdr:colOff>
      <xdr:row>38</xdr:row>
      <xdr:rowOff>9525</xdr:rowOff>
    </xdr:to>
    <xdr:sp macro="" textlink="">
      <xdr:nvSpPr>
        <xdr:cNvPr id="1070189" name="Line 473">
          <a:extLst>
            <a:ext uri="{FF2B5EF4-FFF2-40B4-BE49-F238E27FC236}">
              <a16:creationId xmlns:a16="http://schemas.microsoft.com/office/drawing/2014/main" id="{00000000-0008-0000-0D00-00006D541000}"/>
            </a:ext>
          </a:extLst>
        </xdr:cNvPr>
        <xdr:cNvSpPr>
          <a:spLocks noChangeShapeType="1"/>
        </xdr:cNvSpPr>
      </xdr:nvSpPr>
      <xdr:spPr bwMode="auto">
        <a:xfrm>
          <a:off x="6134100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66675</xdr:colOff>
      <xdr:row>38</xdr:row>
      <xdr:rowOff>9525</xdr:rowOff>
    </xdr:from>
    <xdr:to>
      <xdr:col>88</xdr:col>
      <xdr:colOff>66675</xdr:colOff>
      <xdr:row>41</xdr:row>
      <xdr:rowOff>19050</xdr:rowOff>
    </xdr:to>
    <xdr:sp macro="" textlink="">
      <xdr:nvSpPr>
        <xdr:cNvPr id="1070190" name="Line 474">
          <a:extLst>
            <a:ext uri="{FF2B5EF4-FFF2-40B4-BE49-F238E27FC236}">
              <a16:creationId xmlns:a16="http://schemas.microsoft.com/office/drawing/2014/main" id="{00000000-0008-0000-0D00-00006E541000}"/>
            </a:ext>
          </a:extLst>
        </xdr:cNvPr>
        <xdr:cNvSpPr>
          <a:spLocks noChangeShapeType="1"/>
        </xdr:cNvSpPr>
      </xdr:nvSpPr>
      <xdr:spPr bwMode="auto">
        <a:xfrm>
          <a:off x="6140767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38</xdr:row>
      <xdr:rowOff>0</xdr:rowOff>
    </xdr:from>
    <xdr:to>
      <xdr:col>88</xdr:col>
      <xdr:colOff>76200</xdr:colOff>
      <xdr:row>38</xdr:row>
      <xdr:rowOff>9525</xdr:rowOff>
    </xdr:to>
    <xdr:sp macro="" textlink="">
      <xdr:nvSpPr>
        <xdr:cNvPr id="1070191" name="Line 475">
          <a:extLst>
            <a:ext uri="{FF2B5EF4-FFF2-40B4-BE49-F238E27FC236}">
              <a16:creationId xmlns:a16="http://schemas.microsoft.com/office/drawing/2014/main" id="{00000000-0008-0000-0D00-00006F541000}"/>
            </a:ext>
          </a:extLst>
        </xdr:cNvPr>
        <xdr:cNvSpPr>
          <a:spLocks noChangeShapeType="1"/>
        </xdr:cNvSpPr>
      </xdr:nvSpPr>
      <xdr:spPr bwMode="auto">
        <a:xfrm>
          <a:off x="6134100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66675</xdr:colOff>
      <xdr:row>38</xdr:row>
      <xdr:rowOff>9525</xdr:rowOff>
    </xdr:from>
    <xdr:to>
      <xdr:col>88</xdr:col>
      <xdr:colOff>66675</xdr:colOff>
      <xdr:row>41</xdr:row>
      <xdr:rowOff>19050</xdr:rowOff>
    </xdr:to>
    <xdr:sp macro="" textlink="">
      <xdr:nvSpPr>
        <xdr:cNvPr id="1070192" name="Line 476">
          <a:extLst>
            <a:ext uri="{FF2B5EF4-FFF2-40B4-BE49-F238E27FC236}">
              <a16:creationId xmlns:a16="http://schemas.microsoft.com/office/drawing/2014/main" id="{00000000-0008-0000-0D00-000070541000}"/>
            </a:ext>
          </a:extLst>
        </xdr:cNvPr>
        <xdr:cNvSpPr>
          <a:spLocks noChangeShapeType="1"/>
        </xdr:cNvSpPr>
      </xdr:nvSpPr>
      <xdr:spPr bwMode="auto">
        <a:xfrm>
          <a:off x="6140767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76200</xdr:colOff>
      <xdr:row>41</xdr:row>
      <xdr:rowOff>19050</xdr:rowOff>
    </xdr:from>
    <xdr:to>
      <xdr:col>89</xdr:col>
      <xdr:colOff>9525</xdr:colOff>
      <xdr:row>44</xdr:row>
      <xdr:rowOff>9525</xdr:rowOff>
    </xdr:to>
    <xdr:sp macro="" textlink="">
      <xdr:nvSpPr>
        <xdr:cNvPr id="1070193" name="Line 477">
          <a:extLst>
            <a:ext uri="{FF2B5EF4-FFF2-40B4-BE49-F238E27FC236}">
              <a16:creationId xmlns:a16="http://schemas.microsoft.com/office/drawing/2014/main" id="{00000000-0008-0000-0D00-000071541000}"/>
            </a:ext>
          </a:extLst>
        </xdr:cNvPr>
        <xdr:cNvSpPr>
          <a:spLocks noChangeShapeType="1"/>
        </xdr:cNvSpPr>
      </xdr:nvSpPr>
      <xdr:spPr bwMode="auto">
        <a:xfrm>
          <a:off x="61417200" y="8039100"/>
          <a:ext cx="342900" cy="5334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88</xdr:col>
      <xdr:colOff>0</xdr:colOff>
      <xdr:row>38</xdr:row>
      <xdr:rowOff>0</xdr:rowOff>
    </xdr:from>
    <xdr:to>
      <xdr:col>88</xdr:col>
      <xdr:colOff>76200</xdr:colOff>
      <xdr:row>38</xdr:row>
      <xdr:rowOff>9525</xdr:rowOff>
    </xdr:to>
    <xdr:sp macro="" textlink="">
      <xdr:nvSpPr>
        <xdr:cNvPr id="1070194" name="Line 478">
          <a:extLst>
            <a:ext uri="{FF2B5EF4-FFF2-40B4-BE49-F238E27FC236}">
              <a16:creationId xmlns:a16="http://schemas.microsoft.com/office/drawing/2014/main" id="{00000000-0008-0000-0D00-000072541000}"/>
            </a:ext>
          </a:extLst>
        </xdr:cNvPr>
        <xdr:cNvSpPr>
          <a:spLocks noChangeShapeType="1"/>
        </xdr:cNvSpPr>
      </xdr:nvSpPr>
      <xdr:spPr bwMode="auto">
        <a:xfrm>
          <a:off x="6134100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66675</xdr:colOff>
      <xdr:row>38</xdr:row>
      <xdr:rowOff>9525</xdr:rowOff>
    </xdr:from>
    <xdr:to>
      <xdr:col>88</xdr:col>
      <xdr:colOff>66675</xdr:colOff>
      <xdr:row>43</xdr:row>
      <xdr:rowOff>152400</xdr:rowOff>
    </xdr:to>
    <xdr:sp macro="" textlink="">
      <xdr:nvSpPr>
        <xdr:cNvPr id="1070195" name="Line 479">
          <a:extLst>
            <a:ext uri="{FF2B5EF4-FFF2-40B4-BE49-F238E27FC236}">
              <a16:creationId xmlns:a16="http://schemas.microsoft.com/office/drawing/2014/main" id="{00000000-0008-0000-0D00-000073541000}"/>
            </a:ext>
          </a:extLst>
        </xdr:cNvPr>
        <xdr:cNvSpPr>
          <a:spLocks noChangeShapeType="1"/>
        </xdr:cNvSpPr>
      </xdr:nvSpPr>
      <xdr:spPr bwMode="auto">
        <a:xfrm>
          <a:off x="61407675" y="7486650"/>
          <a:ext cx="0" cy="1047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66675</xdr:colOff>
      <xdr:row>37</xdr:row>
      <xdr:rowOff>161925</xdr:rowOff>
    </xdr:from>
    <xdr:to>
      <xdr:col>89</xdr:col>
      <xdr:colOff>0</xdr:colOff>
      <xdr:row>41</xdr:row>
      <xdr:rowOff>0</xdr:rowOff>
    </xdr:to>
    <xdr:sp macro="" textlink="">
      <xdr:nvSpPr>
        <xdr:cNvPr id="1070196" name="Line 480">
          <a:extLst>
            <a:ext uri="{FF2B5EF4-FFF2-40B4-BE49-F238E27FC236}">
              <a16:creationId xmlns:a16="http://schemas.microsoft.com/office/drawing/2014/main" id="{00000000-0008-0000-0D00-000074541000}"/>
            </a:ext>
          </a:extLst>
        </xdr:cNvPr>
        <xdr:cNvSpPr>
          <a:spLocks noChangeShapeType="1"/>
        </xdr:cNvSpPr>
      </xdr:nvSpPr>
      <xdr:spPr bwMode="auto">
        <a:xfrm flipV="1">
          <a:off x="61407675" y="7458075"/>
          <a:ext cx="342900" cy="5619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88</xdr:col>
      <xdr:colOff>66675</xdr:colOff>
      <xdr:row>41</xdr:row>
      <xdr:rowOff>9525</xdr:rowOff>
    </xdr:from>
    <xdr:to>
      <xdr:col>89</xdr:col>
      <xdr:colOff>0</xdr:colOff>
      <xdr:row>41</xdr:row>
      <xdr:rowOff>9525</xdr:rowOff>
    </xdr:to>
    <xdr:sp macro="" textlink="">
      <xdr:nvSpPr>
        <xdr:cNvPr id="1070197" name="Line 481">
          <a:extLst>
            <a:ext uri="{FF2B5EF4-FFF2-40B4-BE49-F238E27FC236}">
              <a16:creationId xmlns:a16="http://schemas.microsoft.com/office/drawing/2014/main" id="{00000000-0008-0000-0D00-000075541000}"/>
            </a:ext>
          </a:extLst>
        </xdr:cNvPr>
        <xdr:cNvSpPr>
          <a:spLocks noChangeShapeType="1"/>
        </xdr:cNvSpPr>
      </xdr:nvSpPr>
      <xdr:spPr bwMode="auto">
        <a:xfrm>
          <a:off x="61407675" y="8029575"/>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88</xdr:col>
      <xdr:colOff>9525</xdr:colOff>
      <xdr:row>43</xdr:row>
      <xdr:rowOff>171450</xdr:rowOff>
    </xdr:from>
    <xdr:to>
      <xdr:col>88</xdr:col>
      <xdr:colOff>66675</xdr:colOff>
      <xdr:row>44</xdr:row>
      <xdr:rowOff>0</xdr:rowOff>
    </xdr:to>
    <xdr:sp macro="" textlink="">
      <xdr:nvSpPr>
        <xdr:cNvPr id="1070198" name="Line 482">
          <a:extLst>
            <a:ext uri="{FF2B5EF4-FFF2-40B4-BE49-F238E27FC236}">
              <a16:creationId xmlns:a16="http://schemas.microsoft.com/office/drawing/2014/main" id="{00000000-0008-0000-0D00-000076541000}"/>
            </a:ext>
          </a:extLst>
        </xdr:cNvPr>
        <xdr:cNvSpPr>
          <a:spLocks noChangeShapeType="1"/>
        </xdr:cNvSpPr>
      </xdr:nvSpPr>
      <xdr:spPr bwMode="auto">
        <a:xfrm flipV="1">
          <a:off x="61350525" y="85534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98</xdr:col>
      <xdr:colOff>0</xdr:colOff>
      <xdr:row>8</xdr:row>
      <xdr:rowOff>0</xdr:rowOff>
    </xdr:from>
    <xdr:to>
      <xdr:col>98</xdr:col>
      <xdr:colOff>76200</xdr:colOff>
      <xdr:row>8</xdr:row>
      <xdr:rowOff>9525</xdr:rowOff>
    </xdr:to>
    <xdr:sp macro="" textlink="">
      <xdr:nvSpPr>
        <xdr:cNvPr id="1070199" name="Line 1">
          <a:extLst>
            <a:ext uri="{FF2B5EF4-FFF2-40B4-BE49-F238E27FC236}">
              <a16:creationId xmlns:a16="http://schemas.microsoft.com/office/drawing/2014/main" id="{00000000-0008-0000-0D00-000077541000}"/>
            </a:ext>
          </a:extLst>
        </xdr:cNvPr>
        <xdr:cNvSpPr>
          <a:spLocks noChangeShapeType="1"/>
        </xdr:cNvSpPr>
      </xdr:nvSpPr>
      <xdr:spPr bwMode="auto">
        <a:xfrm>
          <a:off x="6851332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98</xdr:col>
      <xdr:colOff>66675</xdr:colOff>
      <xdr:row>8</xdr:row>
      <xdr:rowOff>9525</xdr:rowOff>
    </xdr:from>
    <xdr:to>
      <xdr:col>98</xdr:col>
      <xdr:colOff>66675</xdr:colOff>
      <xdr:row>11</xdr:row>
      <xdr:rowOff>19050</xdr:rowOff>
    </xdr:to>
    <xdr:sp macro="" textlink="">
      <xdr:nvSpPr>
        <xdr:cNvPr id="1070200" name="Line 2">
          <a:extLst>
            <a:ext uri="{FF2B5EF4-FFF2-40B4-BE49-F238E27FC236}">
              <a16:creationId xmlns:a16="http://schemas.microsoft.com/office/drawing/2014/main" id="{00000000-0008-0000-0D00-000078541000}"/>
            </a:ext>
          </a:extLst>
        </xdr:cNvPr>
        <xdr:cNvSpPr>
          <a:spLocks noChangeShapeType="1"/>
        </xdr:cNvSpPr>
      </xdr:nvSpPr>
      <xdr:spPr bwMode="auto">
        <a:xfrm>
          <a:off x="6858000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98</xdr:col>
      <xdr:colOff>9525</xdr:colOff>
      <xdr:row>11</xdr:row>
      <xdr:rowOff>0</xdr:rowOff>
    </xdr:from>
    <xdr:to>
      <xdr:col>98</xdr:col>
      <xdr:colOff>66675</xdr:colOff>
      <xdr:row>11</xdr:row>
      <xdr:rowOff>9525</xdr:rowOff>
    </xdr:to>
    <xdr:sp macro="" textlink="">
      <xdr:nvSpPr>
        <xdr:cNvPr id="1070201" name="Line 3">
          <a:extLst>
            <a:ext uri="{FF2B5EF4-FFF2-40B4-BE49-F238E27FC236}">
              <a16:creationId xmlns:a16="http://schemas.microsoft.com/office/drawing/2014/main" id="{00000000-0008-0000-0D00-000079541000}"/>
            </a:ext>
          </a:extLst>
        </xdr:cNvPr>
        <xdr:cNvSpPr>
          <a:spLocks noChangeShapeType="1"/>
        </xdr:cNvSpPr>
      </xdr:nvSpPr>
      <xdr:spPr bwMode="auto">
        <a:xfrm flipV="1">
          <a:off x="6852285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8</xdr:row>
      <xdr:rowOff>0</xdr:rowOff>
    </xdr:from>
    <xdr:to>
      <xdr:col>95</xdr:col>
      <xdr:colOff>76200</xdr:colOff>
      <xdr:row>8</xdr:row>
      <xdr:rowOff>9525</xdr:rowOff>
    </xdr:to>
    <xdr:sp macro="" textlink="">
      <xdr:nvSpPr>
        <xdr:cNvPr id="1070202" name="Line 4">
          <a:extLst>
            <a:ext uri="{FF2B5EF4-FFF2-40B4-BE49-F238E27FC236}">
              <a16:creationId xmlns:a16="http://schemas.microsoft.com/office/drawing/2014/main" id="{00000000-0008-0000-0D00-00007A541000}"/>
            </a:ext>
          </a:extLst>
        </xdr:cNvPr>
        <xdr:cNvSpPr>
          <a:spLocks noChangeShapeType="1"/>
        </xdr:cNvSpPr>
      </xdr:nvSpPr>
      <xdr:spPr bwMode="auto">
        <a:xfrm>
          <a:off x="6635115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66675</xdr:colOff>
      <xdr:row>8</xdr:row>
      <xdr:rowOff>9525</xdr:rowOff>
    </xdr:from>
    <xdr:to>
      <xdr:col>95</xdr:col>
      <xdr:colOff>66675</xdr:colOff>
      <xdr:row>11</xdr:row>
      <xdr:rowOff>19050</xdr:rowOff>
    </xdr:to>
    <xdr:sp macro="" textlink="">
      <xdr:nvSpPr>
        <xdr:cNvPr id="1070203" name="Line 5">
          <a:extLst>
            <a:ext uri="{FF2B5EF4-FFF2-40B4-BE49-F238E27FC236}">
              <a16:creationId xmlns:a16="http://schemas.microsoft.com/office/drawing/2014/main" id="{00000000-0008-0000-0D00-00007B541000}"/>
            </a:ext>
          </a:extLst>
        </xdr:cNvPr>
        <xdr:cNvSpPr>
          <a:spLocks noChangeShapeType="1"/>
        </xdr:cNvSpPr>
      </xdr:nvSpPr>
      <xdr:spPr bwMode="auto">
        <a:xfrm>
          <a:off x="6641782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9525</xdr:colOff>
      <xdr:row>11</xdr:row>
      <xdr:rowOff>0</xdr:rowOff>
    </xdr:from>
    <xdr:to>
      <xdr:col>95</xdr:col>
      <xdr:colOff>66675</xdr:colOff>
      <xdr:row>11</xdr:row>
      <xdr:rowOff>9525</xdr:rowOff>
    </xdr:to>
    <xdr:sp macro="" textlink="">
      <xdr:nvSpPr>
        <xdr:cNvPr id="1070204" name="Line 6">
          <a:extLst>
            <a:ext uri="{FF2B5EF4-FFF2-40B4-BE49-F238E27FC236}">
              <a16:creationId xmlns:a16="http://schemas.microsoft.com/office/drawing/2014/main" id="{00000000-0008-0000-0D00-00007C541000}"/>
            </a:ext>
          </a:extLst>
        </xdr:cNvPr>
        <xdr:cNvSpPr>
          <a:spLocks noChangeShapeType="1"/>
        </xdr:cNvSpPr>
      </xdr:nvSpPr>
      <xdr:spPr bwMode="auto">
        <a:xfrm flipV="1">
          <a:off x="6636067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0</xdr:colOff>
      <xdr:row>8</xdr:row>
      <xdr:rowOff>0</xdr:rowOff>
    </xdr:from>
    <xdr:to>
      <xdr:col>101</xdr:col>
      <xdr:colOff>76200</xdr:colOff>
      <xdr:row>8</xdr:row>
      <xdr:rowOff>9525</xdr:rowOff>
    </xdr:to>
    <xdr:sp macro="" textlink="">
      <xdr:nvSpPr>
        <xdr:cNvPr id="1070205" name="Line 16">
          <a:extLst>
            <a:ext uri="{FF2B5EF4-FFF2-40B4-BE49-F238E27FC236}">
              <a16:creationId xmlns:a16="http://schemas.microsoft.com/office/drawing/2014/main" id="{00000000-0008-0000-0D00-00007D541000}"/>
            </a:ext>
          </a:extLst>
        </xdr:cNvPr>
        <xdr:cNvSpPr>
          <a:spLocks noChangeShapeType="1"/>
        </xdr:cNvSpPr>
      </xdr:nvSpPr>
      <xdr:spPr bwMode="auto">
        <a:xfrm>
          <a:off x="7060882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66675</xdr:colOff>
      <xdr:row>8</xdr:row>
      <xdr:rowOff>9525</xdr:rowOff>
    </xdr:from>
    <xdr:to>
      <xdr:col>101</xdr:col>
      <xdr:colOff>66675</xdr:colOff>
      <xdr:row>11</xdr:row>
      <xdr:rowOff>19050</xdr:rowOff>
    </xdr:to>
    <xdr:sp macro="" textlink="">
      <xdr:nvSpPr>
        <xdr:cNvPr id="1070206" name="Line 17">
          <a:extLst>
            <a:ext uri="{FF2B5EF4-FFF2-40B4-BE49-F238E27FC236}">
              <a16:creationId xmlns:a16="http://schemas.microsoft.com/office/drawing/2014/main" id="{00000000-0008-0000-0D00-00007E541000}"/>
            </a:ext>
          </a:extLst>
        </xdr:cNvPr>
        <xdr:cNvSpPr>
          <a:spLocks noChangeShapeType="1"/>
        </xdr:cNvSpPr>
      </xdr:nvSpPr>
      <xdr:spPr bwMode="auto">
        <a:xfrm>
          <a:off x="7067550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9525</xdr:colOff>
      <xdr:row>11</xdr:row>
      <xdr:rowOff>0</xdr:rowOff>
    </xdr:from>
    <xdr:to>
      <xdr:col>101</xdr:col>
      <xdr:colOff>66675</xdr:colOff>
      <xdr:row>11</xdr:row>
      <xdr:rowOff>9525</xdr:rowOff>
    </xdr:to>
    <xdr:sp macro="" textlink="">
      <xdr:nvSpPr>
        <xdr:cNvPr id="1070207" name="Line 18">
          <a:extLst>
            <a:ext uri="{FF2B5EF4-FFF2-40B4-BE49-F238E27FC236}">
              <a16:creationId xmlns:a16="http://schemas.microsoft.com/office/drawing/2014/main" id="{00000000-0008-0000-0D00-00007F541000}"/>
            </a:ext>
          </a:extLst>
        </xdr:cNvPr>
        <xdr:cNvSpPr>
          <a:spLocks noChangeShapeType="1"/>
        </xdr:cNvSpPr>
      </xdr:nvSpPr>
      <xdr:spPr bwMode="auto">
        <a:xfrm flipV="1">
          <a:off x="7061835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98</xdr:col>
      <xdr:colOff>66675</xdr:colOff>
      <xdr:row>8</xdr:row>
      <xdr:rowOff>9525</xdr:rowOff>
    </xdr:from>
    <xdr:to>
      <xdr:col>99</xdr:col>
      <xdr:colOff>0</xdr:colOff>
      <xdr:row>9</xdr:row>
      <xdr:rowOff>66675</xdr:rowOff>
    </xdr:to>
    <xdr:sp macro="" textlink="">
      <xdr:nvSpPr>
        <xdr:cNvPr id="1070208" name="Line 64">
          <a:extLst>
            <a:ext uri="{FF2B5EF4-FFF2-40B4-BE49-F238E27FC236}">
              <a16:creationId xmlns:a16="http://schemas.microsoft.com/office/drawing/2014/main" id="{00000000-0008-0000-0D00-000080541000}"/>
            </a:ext>
          </a:extLst>
        </xdr:cNvPr>
        <xdr:cNvSpPr>
          <a:spLocks noChangeShapeType="1"/>
        </xdr:cNvSpPr>
      </xdr:nvSpPr>
      <xdr:spPr bwMode="auto">
        <a:xfrm flipV="1">
          <a:off x="68580000" y="2057400"/>
          <a:ext cx="342900" cy="2381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98</xdr:col>
      <xdr:colOff>66675</xdr:colOff>
      <xdr:row>9</xdr:row>
      <xdr:rowOff>76200</xdr:rowOff>
    </xdr:from>
    <xdr:to>
      <xdr:col>99</xdr:col>
      <xdr:colOff>0</xdr:colOff>
      <xdr:row>13</xdr:row>
      <xdr:rowOff>0</xdr:rowOff>
    </xdr:to>
    <xdr:sp macro="" textlink="">
      <xdr:nvSpPr>
        <xdr:cNvPr id="1070209" name="Line 66">
          <a:extLst>
            <a:ext uri="{FF2B5EF4-FFF2-40B4-BE49-F238E27FC236}">
              <a16:creationId xmlns:a16="http://schemas.microsoft.com/office/drawing/2014/main" id="{00000000-0008-0000-0D00-000081541000}"/>
            </a:ext>
          </a:extLst>
        </xdr:cNvPr>
        <xdr:cNvSpPr>
          <a:spLocks noChangeShapeType="1"/>
        </xdr:cNvSpPr>
      </xdr:nvSpPr>
      <xdr:spPr bwMode="auto">
        <a:xfrm>
          <a:off x="68580000" y="2305050"/>
          <a:ext cx="342900" cy="6477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101</xdr:col>
      <xdr:colOff>0</xdr:colOff>
      <xdr:row>8</xdr:row>
      <xdr:rowOff>0</xdr:rowOff>
    </xdr:from>
    <xdr:to>
      <xdr:col>101</xdr:col>
      <xdr:colOff>76200</xdr:colOff>
      <xdr:row>8</xdr:row>
      <xdr:rowOff>9525</xdr:rowOff>
    </xdr:to>
    <xdr:sp macro="" textlink="">
      <xdr:nvSpPr>
        <xdr:cNvPr id="1070210" name="Line 99">
          <a:extLst>
            <a:ext uri="{FF2B5EF4-FFF2-40B4-BE49-F238E27FC236}">
              <a16:creationId xmlns:a16="http://schemas.microsoft.com/office/drawing/2014/main" id="{00000000-0008-0000-0D00-000082541000}"/>
            </a:ext>
          </a:extLst>
        </xdr:cNvPr>
        <xdr:cNvSpPr>
          <a:spLocks noChangeShapeType="1"/>
        </xdr:cNvSpPr>
      </xdr:nvSpPr>
      <xdr:spPr bwMode="auto">
        <a:xfrm>
          <a:off x="7060882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66675</xdr:colOff>
      <xdr:row>8</xdr:row>
      <xdr:rowOff>9525</xdr:rowOff>
    </xdr:from>
    <xdr:to>
      <xdr:col>101</xdr:col>
      <xdr:colOff>66675</xdr:colOff>
      <xdr:row>11</xdr:row>
      <xdr:rowOff>19050</xdr:rowOff>
    </xdr:to>
    <xdr:sp macro="" textlink="">
      <xdr:nvSpPr>
        <xdr:cNvPr id="1070211" name="Line 100">
          <a:extLst>
            <a:ext uri="{FF2B5EF4-FFF2-40B4-BE49-F238E27FC236}">
              <a16:creationId xmlns:a16="http://schemas.microsoft.com/office/drawing/2014/main" id="{00000000-0008-0000-0D00-000083541000}"/>
            </a:ext>
          </a:extLst>
        </xdr:cNvPr>
        <xdr:cNvSpPr>
          <a:spLocks noChangeShapeType="1"/>
        </xdr:cNvSpPr>
      </xdr:nvSpPr>
      <xdr:spPr bwMode="auto">
        <a:xfrm>
          <a:off x="7067550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9525</xdr:colOff>
      <xdr:row>11</xdr:row>
      <xdr:rowOff>0</xdr:rowOff>
    </xdr:from>
    <xdr:to>
      <xdr:col>101</xdr:col>
      <xdr:colOff>66675</xdr:colOff>
      <xdr:row>11</xdr:row>
      <xdr:rowOff>9525</xdr:rowOff>
    </xdr:to>
    <xdr:sp macro="" textlink="">
      <xdr:nvSpPr>
        <xdr:cNvPr id="1070212" name="Line 101">
          <a:extLst>
            <a:ext uri="{FF2B5EF4-FFF2-40B4-BE49-F238E27FC236}">
              <a16:creationId xmlns:a16="http://schemas.microsoft.com/office/drawing/2014/main" id="{00000000-0008-0000-0D00-000084541000}"/>
            </a:ext>
          </a:extLst>
        </xdr:cNvPr>
        <xdr:cNvSpPr>
          <a:spLocks noChangeShapeType="1"/>
        </xdr:cNvSpPr>
      </xdr:nvSpPr>
      <xdr:spPr bwMode="auto">
        <a:xfrm flipV="1">
          <a:off x="7061835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0</xdr:colOff>
      <xdr:row>8</xdr:row>
      <xdr:rowOff>0</xdr:rowOff>
    </xdr:from>
    <xdr:to>
      <xdr:col>101</xdr:col>
      <xdr:colOff>76200</xdr:colOff>
      <xdr:row>8</xdr:row>
      <xdr:rowOff>9525</xdr:rowOff>
    </xdr:to>
    <xdr:sp macro="" textlink="">
      <xdr:nvSpPr>
        <xdr:cNvPr id="1070213" name="Line 110">
          <a:extLst>
            <a:ext uri="{FF2B5EF4-FFF2-40B4-BE49-F238E27FC236}">
              <a16:creationId xmlns:a16="http://schemas.microsoft.com/office/drawing/2014/main" id="{00000000-0008-0000-0D00-000085541000}"/>
            </a:ext>
          </a:extLst>
        </xdr:cNvPr>
        <xdr:cNvSpPr>
          <a:spLocks noChangeShapeType="1"/>
        </xdr:cNvSpPr>
      </xdr:nvSpPr>
      <xdr:spPr bwMode="auto">
        <a:xfrm>
          <a:off x="7060882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66675</xdr:colOff>
      <xdr:row>8</xdr:row>
      <xdr:rowOff>9525</xdr:rowOff>
    </xdr:from>
    <xdr:to>
      <xdr:col>101</xdr:col>
      <xdr:colOff>66675</xdr:colOff>
      <xdr:row>11</xdr:row>
      <xdr:rowOff>19050</xdr:rowOff>
    </xdr:to>
    <xdr:sp macro="" textlink="">
      <xdr:nvSpPr>
        <xdr:cNvPr id="1070214" name="Line 111">
          <a:extLst>
            <a:ext uri="{FF2B5EF4-FFF2-40B4-BE49-F238E27FC236}">
              <a16:creationId xmlns:a16="http://schemas.microsoft.com/office/drawing/2014/main" id="{00000000-0008-0000-0D00-000086541000}"/>
            </a:ext>
          </a:extLst>
        </xdr:cNvPr>
        <xdr:cNvSpPr>
          <a:spLocks noChangeShapeType="1"/>
        </xdr:cNvSpPr>
      </xdr:nvSpPr>
      <xdr:spPr bwMode="auto">
        <a:xfrm>
          <a:off x="7067550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9525</xdr:colOff>
      <xdr:row>11</xdr:row>
      <xdr:rowOff>0</xdr:rowOff>
    </xdr:from>
    <xdr:to>
      <xdr:col>101</xdr:col>
      <xdr:colOff>66675</xdr:colOff>
      <xdr:row>11</xdr:row>
      <xdr:rowOff>9525</xdr:rowOff>
    </xdr:to>
    <xdr:sp macro="" textlink="">
      <xdr:nvSpPr>
        <xdr:cNvPr id="1070215" name="Line 112">
          <a:extLst>
            <a:ext uri="{FF2B5EF4-FFF2-40B4-BE49-F238E27FC236}">
              <a16:creationId xmlns:a16="http://schemas.microsoft.com/office/drawing/2014/main" id="{00000000-0008-0000-0D00-000087541000}"/>
            </a:ext>
          </a:extLst>
        </xdr:cNvPr>
        <xdr:cNvSpPr>
          <a:spLocks noChangeShapeType="1"/>
        </xdr:cNvSpPr>
      </xdr:nvSpPr>
      <xdr:spPr bwMode="auto">
        <a:xfrm flipV="1">
          <a:off x="7061835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0</xdr:colOff>
      <xdr:row>8</xdr:row>
      <xdr:rowOff>0</xdr:rowOff>
    </xdr:from>
    <xdr:to>
      <xdr:col>101</xdr:col>
      <xdr:colOff>76200</xdr:colOff>
      <xdr:row>8</xdr:row>
      <xdr:rowOff>9525</xdr:rowOff>
    </xdr:to>
    <xdr:sp macro="" textlink="">
      <xdr:nvSpPr>
        <xdr:cNvPr id="1070216" name="Line 113">
          <a:extLst>
            <a:ext uri="{FF2B5EF4-FFF2-40B4-BE49-F238E27FC236}">
              <a16:creationId xmlns:a16="http://schemas.microsoft.com/office/drawing/2014/main" id="{00000000-0008-0000-0D00-000088541000}"/>
            </a:ext>
          </a:extLst>
        </xdr:cNvPr>
        <xdr:cNvSpPr>
          <a:spLocks noChangeShapeType="1"/>
        </xdr:cNvSpPr>
      </xdr:nvSpPr>
      <xdr:spPr bwMode="auto">
        <a:xfrm>
          <a:off x="7060882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66675</xdr:colOff>
      <xdr:row>8</xdr:row>
      <xdr:rowOff>9525</xdr:rowOff>
    </xdr:from>
    <xdr:to>
      <xdr:col>101</xdr:col>
      <xdr:colOff>66675</xdr:colOff>
      <xdr:row>11</xdr:row>
      <xdr:rowOff>19050</xdr:rowOff>
    </xdr:to>
    <xdr:sp macro="" textlink="">
      <xdr:nvSpPr>
        <xdr:cNvPr id="1070217" name="Line 114">
          <a:extLst>
            <a:ext uri="{FF2B5EF4-FFF2-40B4-BE49-F238E27FC236}">
              <a16:creationId xmlns:a16="http://schemas.microsoft.com/office/drawing/2014/main" id="{00000000-0008-0000-0D00-000089541000}"/>
            </a:ext>
          </a:extLst>
        </xdr:cNvPr>
        <xdr:cNvSpPr>
          <a:spLocks noChangeShapeType="1"/>
        </xdr:cNvSpPr>
      </xdr:nvSpPr>
      <xdr:spPr bwMode="auto">
        <a:xfrm>
          <a:off x="7067550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9525</xdr:colOff>
      <xdr:row>11</xdr:row>
      <xdr:rowOff>0</xdr:rowOff>
    </xdr:from>
    <xdr:to>
      <xdr:col>101</xdr:col>
      <xdr:colOff>66675</xdr:colOff>
      <xdr:row>11</xdr:row>
      <xdr:rowOff>9525</xdr:rowOff>
    </xdr:to>
    <xdr:sp macro="" textlink="">
      <xdr:nvSpPr>
        <xdr:cNvPr id="1070218" name="Line 115">
          <a:extLst>
            <a:ext uri="{FF2B5EF4-FFF2-40B4-BE49-F238E27FC236}">
              <a16:creationId xmlns:a16="http://schemas.microsoft.com/office/drawing/2014/main" id="{00000000-0008-0000-0D00-00008A541000}"/>
            </a:ext>
          </a:extLst>
        </xdr:cNvPr>
        <xdr:cNvSpPr>
          <a:spLocks noChangeShapeType="1"/>
        </xdr:cNvSpPr>
      </xdr:nvSpPr>
      <xdr:spPr bwMode="auto">
        <a:xfrm flipV="1">
          <a:off x="7061835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76200</xdr:colOff>
      <xdr:row>8</xdr:row>
      <xdr:rowOff>0</xdr:rowOff>
    </xdr:from>
    <xdr:to>
      <xdr:col>101</xdr:col>
      <xdr:colOff>400050</xdr:colOff>
      <xdr:row>9</xdr:row>
      <xdr:rowOff>57150</xdr:rowOff>
    </xdr:to>
    <xdr:sp macro="" textlink="">
      <xdr:nvSpPr>
        <xdr:cNvPr id="1070219" name="Line 116">
          <a:extLst>
            <a:ext uri="{FF2B5EF4-FFF2-40B4-BE49-F238E27FC236}">
              <a16:creationId xmlns:a16="http://schemas.microsoft.com/office/drawing/2014/main" id="{00000000-0008-0000-0D00-00008B541000}"/>
            </a:ext>
          </a:extLst>
        </xdr:cNvPr>
        <xdr:cNvSpPr>
          <a:spLocks noChangeShapeType="1"/>
        </xdr:cNvSpPr>
      </xdr:nvSpPr>
      <xdr:spPr bwMode="auto">
        <a:xfrm flipV="1">
          <a:off x="70685025" y="2047875"/>
          <a:ext cx="3238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101</xdr:col>
      <xdr:colOff>76200</xdr:colOff>
      <xdr:row>9</xdr:row>
      <xdr:rowOff>66675</xdr:rowOff>
    </xdr:from>
    <xdr:to>
      <xdr:col>102</xdr:col>
      <xdr:colOff>0</xdr:colOff>
      <xdr:row>11</xdr:row>
      <xdr:rowOff>19050</xdr:rowOff>
    </xdr:to>
    <xdr:sp macro="" textlink="">
      <xdr:nvSpPr>
        <xdr:cNvPr id="1070220" name="Line 117">
          <a:extLst>
            <a:ext uri="{FF2B5EF4-FFF2-40B4-BE49-F238E27FC236}">
              <a16:creationId xmlns:a16="http://schemas.microsoft.com/office/drawing/2014/main" id="{00000000-0008-0000-0D00-00008C541000}"/>
            </a:ext>
          </a:extLst>
        </xdr:cNvPr>
        <xdr:cNvSpPr>
          <a:spLocks noChangeShapeType="1"/>
        </xdr:cNvSpPr>
      </xdr:nvSpPr>
      <xdr:spPr bwMode="auto">
        <a:xfrm>
          <a:off x="70685025" y="2295525"/>
          <a:ext cx="333375"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95</xdr:col>
      <xdr:colOff>66675</xdr:colOff>
      <xdr:row>7</xdr:row>
      <xdr:rowOff>133350</xdr:rowOff>
    </xdr:from>
    <xdr:to>
      <xdr:col>96</xdr:col>
      <xdr:colOff>0</xdr:colOff>
      <xdr:row>9</xdr:row>
      <xdr:rowOff>66675</xdr:rowOff>
    </xdr:to>
    <xdr:sp macro="" textlink="">
      <xdr:nvSpPr>
        <xdr:cNvPr id="1070221" name="Line 146">
          <a:extLst>
            <a:ext uri="{FF2B5EF4-FFF2-40B4-BE49-F238E27FC236}">
              <a16:creationId xmlns:a16="http://schemas.microsoft.com/office/drawing/2014/main" id="{00000000-0008-0000-0D00-00008D541000}"/>
            </a:ext>
          </a:extLst>
        </xdr:cNvPr>
        <xdr:cNvSpPr>
          <a:spLocks noChangeShapeType="1"/>
        </xdr:cNvSpPr>
      </xdr:nvSpPr>
      <xdr:spPr bwMode="auto">
        <a:xfrm flipV="1">
          <a:off x="66417825" y="2000250"/>
          <a:ext cx="38100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95</xdr:col>
      <xdr:colOff>66675</xdr:colOff>
      <xdr:row>9</xdr:row>
      <xdr:rowOff>66675</xdr:rowOff>
    </xdr:from>
    <xdr:to>
      <xdr:col>96</xdr:col>
      <xdr:colOff>19050</xdr:colOff>
      <xdr:row>13</xdr:row>
      <xdr:rowOff>0</xdr:rowOff>
    </xdr:to>
    <xdr:sp macro="" textlink="">
      <xdr:nvSpPr>
        <xdr:cNvPr id="1070222" name="Line 147">
          <a:extLst>
            <a:ext uri="{FF2B5EF4-FFF2-40B4-BE49-F238E27FC236}">
              <a16:creationId xmlns:a16="http://schemas.microsoft.com/office/drawing/2014/main" id="{00000000-0008-0000-0D00-00008E541000}"/>
            </a:ext>
          </a:extLst>
        </xdr:cNvPr>
        <xdr:cNvSpPr>
          <a:spLocks noChangeShapeType="1"/>
        </xdr:cNvSpPr>
      </xdr:nvSpPr>
      <xdr:spPr bwMode="auto">
        <a:xfrm>
          <a:off x="66417825" y="2295525"/>
          <a:ext cx="400050" cy="657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98</xdr:col>
      <xdr:colOff>76200</xdr:colOff>
      <xdr:row>28</xdr:row>
      <xdr:rowOff>0</xdr:rowOff>
    </xdr:from>
    <xdr:to>
      <xdr:col>98</xdr:col>
      <xdr:colOff>76200</xdr:colOff>
      <xdr:row>28</xdr:row>
      <xdr:rowOff>0</xdr:rowOff>
    </xdr:to>
    <xdr:sp macro="" textlink="">
      <xdr:nvSpPr>
        <xdr:cNvPr id="1070223" name="Line 176">
          <a:extLst>
            <a:ext uri="{FF2B5EF4-FFF2-40B4-BE49-F238E27FC236}">
              <a16:creationId xmlns:a16="http://schemas.microsoft.com/office/drawing/2014/main" id="{00000000-0008-0000-0D00-00008F541000}"/>
            </a:ext>
          </a:extLst>
        </xdr:cNvPr>
        <xdr:cNvSpPr>
          <a:spLocks noChangeShapeType="1"/>
        </xdr:cNvSpPr>
      </xdr:nvSpPr>
      <xdr:spPr bwMode="auto">
        <a:xfrm>
          <a:off x="68589525" y="5667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98</xdr:col>
      <xdr:colOff>76200</xdr:colOff>
      <xdr:row>28</xdr:row>
      <xdr:rowOff>0</xdr:rowOff>
    </xdr:from>
    <xdr:to>
      <xdr:col>98</xdr:col>
      <xdr:colOff>76200</xdr:colOff>
      <xdr:row>28</xdr:row>
      <xdr:rowOff>0</xdr:rowOff>
    </xdr:to>
    <xdr:sp macro="" textlink="">
      <xdr:nvSpPr>
        <xdr:cNvPr id="1070224" name="Line 210">
          <a:extLst>
            <a:ext uri="{FF2B5EF4-FFF2-40B4-BE49-F238E27FC236}">
              <a16:creationId xmlns:a16="http://schemas.microsoft.com/office/drawing/2014/main" id="{00000000-0008-0000-0D00-000090541000}"/>
            </a:ext>
          </a:extLst>
        </xdr:cNvPr>
        <xdr:cNvSpPr>
          <a:spLocks noChangeShapeType="1"/>
        </xdr:cNvSpPr>
      </xdr:nvSpPr>
      <xdr:spPr bwMode="auto">
        <a:xfrm>
          <a:off x="68589525" y="5667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14</xdr:row>
      <xdr:rowOff>0</xdr:rowOff>
    </xdr:from>
    <xdr:to>
      <xdr:col>95</xdr:col>
      <xdr:colOff>76200</xdr:colOff>
      <xdr:row>14</xdr:row>
      <xdr:rowOff>9525</xdr:rowOff>
    </xdr:to>
    <xdr:sp macro="" textlink="">
      <xdr:nvSpPr>
        <xdr:cNvPr id="1070225" name="Line 283">
          <a:extLst>
            <a:ext uri="{FF2B5EF4-FFF2-40B4-BE49-F238E27FC236}">
              <a16:creationId xmlns:a16="http://schemas.microsoft.com/office/drawing/2014/main" id="{00000000-0008-0000-0D00-000091541000}"/>
            </a:ext>
          </a:extLst>
        </xdr:cNvPr>
        <xdr:cNvSpPr>
          <a:spLocks noChangeShapeType="1"/>
        </xdr:cNvSpPr>
      </xdr:nvSpPr>
      <xdr:spPr bwMode="auto">
        <a:xfrm>
          <a:off x="6635115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66675</xdr:colOff>
      <xdr:row>14</xdr:row>
      <xdr:rowOff>9525</xdr:rowOff>
    </xdr:from>
    <xdr:to>
      <xdr:col>95</xdr:col>
      <xdr:colOff>66675</xdr:colOff>
      <xdr:row>17</xdr:row>
      <xdr:rowOff>19050</xdr:rowOff>
    </xdr:to>
    <xdr:sp macro="" textlink="">
      <xdr:nvSpPr>
        <xdr:cNvPr id="1070226" name="Line 284">
          <a:extLst>
            <a:ext uri="{FF2B5EF4-FFF2-40B4-BE49-F238E27FC236}">
              <a16:creationId xmlns:a16="http://schemas.microsoft.com/office/drawing/2014/main" id="{00000000-0008-0000-0D00-000092541000}"/>
            </a:ext>
          </a:extLst>
        </xdr:cNvPr>
        <xdr:cNvSpPr>
          <a:spLocks noChangeShapeType="1"/>
        </xdr:cNvSpPr>
      </xdr:nvSpPr>
      <xdr:spPr bwMode="auto">
        <a:xfrm>
          <a:off x="6641782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9525</xdr:colOff>
      <xdr:row>17</xdr:row>
      <xdr:rowOff>0</xdr:rowOff>
    </xdr:from>
    <xdr:to>
      <xdr:col>95</xdr:col>
      <xdr:colOff>66675</xdr:colOff>
      <xdr:row>17</xdr:row>
      <xdr:rowOff>9525</xdr:rowOff>
    </xdr:to>
    <xdr:sp macro="" textlink="">
      <xdr:nvSpPr>
        <xdr:cNvPr id="1070227" name="Line 285">
          <a:extLst>
            <a:ext uri="{FF2B5EF4-FFF2-40B4-BE49-F238E27FC236}">
              <a16:creationId xmlns:a16="http://schemas.microsoft.com/office/drawing/2014/main" id="{00000000-0008-0000-0D00-000093541000}"/>
            </a:ext>
          </a:extLst>
        </xdr:cNvPr>
        <xdr:cNvSpPr>
          <a:spLocks noChangeShapeType="1"/>
        </xdr:cNvSpPr>
      </xdr:nvSpPr>
      <xdr:spPr bwMode="auto">
        <a:xfrm flipV="1">
          <a:off x="6636067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98</xdr:col>
      <xdr:colOff>0</xdr:colOff>
      <xdr:row>14</xdr:row>
      <xdr:rowOff>0</xdr:rowOff>
    </xdr:from>
    <xdr:to>
      <xdr:col>98</xdr:col>
      <xdr:colOff>76200</xdr:colOff>
      <xdr:row>14</xdr:row>
      <xdr:rowOff>9525</xdr:rowOff>
    </xdr:to>
    <xdr:sp macro="" textlink="">
      <xdr:nvSpPr>
        <xdr:cNvPr id="1070228" name="Line 286">
          <a:extLst>
            <a:ext uri="{FF2B5EF4-FFF2-40B4-BE49-F238E27FC236}">
              <a16:creationId xmlns:a16="http://schemas.microsoft.com/office/drawing/2014/main" id="{00000000-0008-0000-0D00-000094541000}"/>
            </a:ext>
          </a:extLst>
        </xdr:cNvPr>
        <xdr:cNvSpPr>
          <a:spLocks noChangeShapeType="1"/>
        </xdr:cNvSpPr>
      </xdr:nvSpPr>
      <xdr:spPr bwMode="auto">
        <a:xfrm>
          <a:off x="6851332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98</xdr:col>
      <xdr:colOff>66675</xdr:colOff>
      <xdr:row>14</xdr:row>
      <xdr:rowOff>9525</xdr:rowOff>
    </xdr:from>
    <xdr:to>
      <xdr:col>98</xdr:col>
      <xdr:colOff>66675</xdr:colOff>
      <xdr:row>17</xdr:row>
      <xdr:rowOff>19050</xdr:rowOff>
    </xdr:to>
    <xdr:sp macro="" textlink="">
      <xdr:nvSpPr>
        <xdr:cNvPr id="1070229" name="Line 287">
          <a:extLst>
            <a:ext uri="{FF2B5EF4-FFF2-40B4-BE49-F238E27FC236}">
              <a16:creationId xmlns:a16="http://schemas.microsoft.com/office/drawing/2014/main" id="{00000000-0008-0000-0D00-000095541000}"/>
            </a:ext>
          </a:extLst>
        </xdr:cNvPr>
        <xdr:cNvSpPr>
          <a:spLocks noChangeShapeType="1"/>
        </xdr:cNvSpPr>
      </xdr:nvSpPr>
      <xdr:spPr bwMode="auto">
        <a:xfrm>
          <a:off x="6858000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98</xdr:col>
      <xdr:colOff>9525</xdr:colOff>
      <xdr:row>17</xdr:row>
      <xdr:rowOff>0</xdr:rowOff>
    </xdr:from>
    <xdr:to>
      <xdr:col>98</xdr:col>
      <xdr:colOff>66675</xdr:colOff>
      <xdr:row>17</xdr:row>
      <xdr:rowOff>9525</xdr:rowOff>
    </xdr:to>
    <xdr:sp macro="" textlink="">
      <xdr:nvSpPr>
        <xdr:cNvPr id="1070230" name="Line 288">
          <a:extLst>
            <a:ext uri="{FF2B5EF4-FFF2-40B4-BE49-F238E27FC236}">
              <a16:creationId xmlns:a16="http://schemas.microsoft.com/office/drawing/2014/main" id="{00000000-0008-0000-0D00-000096541000}"/>
            </a:ext>
          </a:extLst>
        </xdr:cNvPr>
        <xdr:cNvSpPr>
          <a:spLocks noChangeShapeType="1"/>
        </xdr:cNvSpPr>
      </xdr:nvSpPr>
      <xdr:spPr bwMode="auto">
        <a:xfrm flipV="1">
          <a:off x="6852285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0</xdr:colOff>
      <xdr:row>14</xdr:row>
      <xdr:rowOff>0</xdr:rowOff>
    </xdr:from>
    <xdr:to>
      <xdr:col>101</xdr:col>
      <xdr:colOff>76200</xdr:colOff>
      <xdr:row>14</xdr:row>
      <xdr:rowOff>9525</xdr:rowOff>
    </xdr:to>
    <xdr:sp macro="" textlink="">
      <xdr:nvSpPr>
        <xdr:cNvPr id="1070231" name="Line 289">
          <a:extLst>
            <a:ext uri="{FF2B5EF4-FFF2-40B4-BE49-F238E27FC236}">
              <a16:creationId xmlns:a16="http://schemas.microsoft.com/office/drawing/2014/main" id="{00000000-0008-0000-0D00-000097541000}"/>
            </a:ext>
          </a:extLst>
        </xdr:cNvPr>
        <xdr:cNvSpPr>
          <a:spLocks noChangeShapeType="1"/>
        </xdr:cNvSpPr>
      </xdr:nvSpPr>
      <xdr:spPr bwMode="auto">
        <a:xfrm>
          <a:off x="7060882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66675</xdr:colOff>
      <xdr:row>14</xdr:row>
      <xdr:rowOff>9525</xdr:rowOff>
    </xdr:from>
    <xdr:to>
      <xdr:col>101</xdr:col>
      <xdr:colOff>66675</xdr:colOff>
      <xdr:row>17</xdr:row>
      <xdr:rowOff>19050</xdr:rowOff>
    </xdr:to>
    <xdr:sp macro="" textlink="">
      <xdr:nvSpPr>
        <xdr:cNvPr id="1070232" name="Line 290">
          <a:extLst>
            <a:ext uri="{FF2B5EF4-FFF2-40B4-BE49-F238E27FC236}">
              <a16:creationId xmlns:a16="http://schemas.microsoft.com/office/drawing/2014/main" id="{00000000-0008-0000-0D00-000098541000}"/>
            </a:ext>
          </a:extLst>
        </xdr:cNvPr>
        <xdr:cNvSpPr>
          <a:spLocks noChangeShapeType="1"/>
        </xdr:cNvSpPr>
      </xdr:nvSpPr>
      <xdr:spPr bwMode="auto">
        <a:xfrm>
          <a:off x="7067550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9525</xdr:colOff>
      <xdr:row>17</xdr:row>
      <xdr:rowOff>0</xdr:rowOff>
    </xdr:from>
    <xdr:to>
      <xdr:col>101</xdr:col>
      <xdr:colOff>66675</xdr:colOff>
      <xdr:row>17</xdr:row>
      <xdr:rowOff>9525</xdr:rowOff>
    </xdr:to>
    <xdr:sp macro="" textlink="">
      <xdr:nvSpPr>
        <xdr:cNvPr id="1070233" name="Line 291">
          <a:extLst>
            <a:ext uri="{FF2B5EF4-FFF2-40B4-BE49-F238E27FC236}">
              <a16:creationId xmlns:a16="http://schemas.microsoft.com/office/drawing/2014/main" id="{00000000-0008-0000-0D00-000099541000}"/>
            </a:ext>
          </a:extLst>
        </xdr:cNvPr>
        <xdr:cNvSpPr>
          <a:spLocks noChangeShapeType="1"/>
        </xdr:cNvSpPr>
      </xdr:nvSpPr>
      <xdr:spPr bwMode="auto">
        <a:xfrm flipV="1">
          <a:off x="7061835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0</xdr:colOff>
      <xdr:row>14</xdr:row>
      <xdr:rowOff>0</xdr:rowOff>
    </xdr:from>
    <xdr:to>
      <xdr:col>101</xdr:col>
      <xdr:colOff>76200</xdr:colOff>
      <xdr:row>14</xdr:row>
      <xdr:rowOff>9525</xdr:rowOff>
    </xdr:to>
    <xdr:sp macro="" textlink="">
      <xdr:nvSpPr>
        <xdr:cNvPr id="1070234" name="Line 292">
          <a:extLst>
            <a:ext uri="{FF2B5EF4-FFF2-40B4-BE49-F238E27FC236}">
              <a16:creationId xmlns:a16="http://schemas.microsoft.com/office/drawing/2014/main" id="{00000000-0008-0000-0D00-00009A541000}"/>
            </a:ext>
          </a:extLst>
        </xdr:cNvPr>
        <xdr:cNvSpPr>
          <a:spLocks noChangeShapeType="1"/>
        </xdr:cNvSpPr>
      </xdr:nvSpPr>
      <xdr:spPr bwMode="auto">
        <a:xfrm>
          <a:off x="7060882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66675</xdr:colOff>
      <xdr:row>14</xdr:row>
      <xdr:rowOff>9525</xdr:rowOff>
    </xdr:from>
    <xdr:to>
      <xdr:col>101</xdr:col>
      <xdr:colOff>66675</xdr:colOff>
      <xdr:row>17</xdr:row>
      <xdr:rowOff>19050</xdr:rowOff>
    </xdr:to>
    <xdr:sp macro="" textlink="">
      <xdr:nvSpPr>
        <xdr:cNvPr id="1070235" name="Line 293">
          <a:extLst>
            <a:ext uri="{FF2B5EF4-FFF2-40B4-BE49-F238E27FC236}">
              <a16:creationId xmlns:a16="http://schemas.microsoft.com/office/drawing/2014/main" id="{00000000-0008-0000-0D00-00009B541000}"/>
            </a:ext>
          </a:extLst>
        </xdr:cNvPr>
        <xdr:cNvSpPr>
          <a:spLocks noChangeShapeType="1"/>
        </xdr:cNvSpPr>
      </xdr:nvSpPr>
      <xdr:spPr bwMode="auto">
        <a:xfrm>
          <a:off x="7067550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9525</xdr:colOff>
      <xdr:row>17</xdr:row>
      <xdr:rowOff>0</xdr:rowOff>
    </xdr:from>
    <xdr:to>
      <xdr:col>101</xdr:col>
      <xdr:colOff>66675</xdr:colOff>
      <xdr:row>17</xdr:row>
      <xdr:rowOff>9525</xdr:rowOff>
    </xdr:to>
    <xdr:sp macro="" textlink="">
      <xdr:nvSpPr>
        <xdr:cNvPr id="1070236" name="Line 294">
          <a:extLst>
            <a:ext uri="{FF2B5EF4-FFF2-40B4-BE49-F238E27FC236}">
              <a16:creationId xmlns:a16="http://schemas.microsoft.com/office/drawing/2014/main" id="{00000000-0008-0000-0D00-00009C541000}"/>
            </a:ext>
          </a:extLst>
        </xdr:cNvPr>
        <xdr:cNvSpPr>
          <a:spLocks noChangeShapeType="1"/>
        </xdr:cNvSpPr>
      </xdr:nvSpPr>
      <xdr:spPr bwMode="auto">
        <a:xfrm flipV="1">
          <a:off x="7061835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76200</xdr:colOff>
      <xdr:row>15</xdr:row>
      <xdr:rowOff>66675</xdr:rowOff>
    </xdr:from>
    <xdr:to>
      <xdr:col>102</xdr:col>
      <xdr:colOff>9525</xdr:colOff>
      <xdr:row>17</xdr:row>
      <xdr:rowOff>19050</xdr:rowOff>
    </xdr:to>
    <xdr:sp macro="" textlink="">
      <xdr:nvSpPr>
        <xdr:cNvPr id="1070237" name="Line 295">
          <a:extLst>
            <a:ext uri="{FF2B5EF4-FFF2-40B4-BE49-F238E27FC236}">
              <a16:creationId xmlns:a16="http://schemas.microsoft.com/office/drawing/2014/main" id="{00000000-0008-0000-0D00-00009D541000}"/>
            </a:ext>
          </a:extLst>
        </xdr:cNvPr>
        <xdr:cNvSpPr>
          <a:spLocks noChangeShapeType="1"/>
        </xdr:cNvSpPr>
      </xdr:nvSpPr>
      <xdr:spPr bwMode="auto">
        <a:xfrm>
          <a:off x="70685025" y="33813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101</xdr:col>
      <xdr:colOff>0</xdr:colOff>
      <xdr:row>14</xdr:row>
      <xdr:rowOff>0</xdr:rowOff>
    </xdr:from>
    <xdr:to>
      <xdr:col>101</xdr:col>
      <xdr:colOff>76200</xdr:colOff>
      <xdr:row>14</xdr:row>
      <xdr:rowOff>9525</xdr:rowOff>
    </xdr:to>
    <xdr:sp macro="" textlink="">
      <xdr:nvSpPr>
        <xdr:cNvPr id="1070238" name="Line 296">
          <a:extLst>
            <a:ext uri="{FF2B5EF4-FFF2-40B4-BE49-F238E27FC236}">
              <a16:creationId xmlns:a16="http://schemas.microsoft.com/office/drawing/2014/main" id="{00000000-0008-0000-0D00-00009E541000}"/>
            </a:ext>
          </a:extLst>
        </xdr:cNvPr>
        <xdr:cNvSpPr>
          <a:spLocks noChangeShapeType="1"/>
        </xdr:cNvSpPr>
      </xdr:nvSpPr>
      <xdr:spPr bwMode="auto">
        <a:xfrm>
          <a:off x="7060882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66675</xdr:colOff>
      <xdr:row>14</xdr:row>
      <xdr:rowOff>9525</xdr:rowOff>
    </xdr:from>
    <xdr:to>
      <xdr:col>101</xdr:col>
      <xdr:colOff>66675</xdr:colOff>
      <xdr:row>17</xdr:row>
      <xdr:rowOff>19050</xdr:rowOff>
    </xdr:to>
    <xdr:sp macro="" textlink="">
      <xdr:nvSpPr>
        <xdr:cNvPr id="1070239" name="Line 297">
          <a:extLst>
            <a:ext uri="{FF2B5EF4-FFF2-40B4-BE49-F238E27FC236}">
              <a16:creationId xmlns:a16="http://schemas.microsoft.com/office/drawing/2014/main" id="{00000000-0008-0000-0D00-00009F541000}"/>
            </a:ext>
          </a:extLst>
        </xdr:cNvPr>
        <xdr:cNvSpPr>
          <a:spLocks noChangeShapeType="1"/>
        </xdr:cNvSpPr>
      </xdr:nvSpPr>
      <xdr:spPr bwMode="auto">
        <a:xfrm>
          <a:off x="7067550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9525</xdr:colOff>
      <xdr:row>17</xdr:row>
      <xdr:rowOff>0</xdr:rowOff>
    </xdr:from>
    <xdr:to>
      <xdr:col>101</xdr:col>
      <xdr:colOff>66675</xdr:colOff>
      <xdr:row>17</xdr:row>
      <xdr:rowOff>9525</xdr:rowOff>
    </xdr:to>
    <xdr:sp macro="" textlink="">
      <xdr:nvSpPr>
        <xdr:cNvPr id="1070240" name="Line 298">
          <a:extLst>
            <a:ext uri="{FF2B5EF4-FFF2-40B4-BE49-F238E27FC236}">
              <a16:creationId xmlns:a16="http://schemas.microsoft.com/office/drawing/2014/main" id="{00000000-0008-0000-0D00-0000A0541000}"/>
            </a:ext>
          </a:extLst>
        </xdr:cNvPr>
        <xdr:cNvSpPr>
          <a:spLocks noChangeShapeType="1"/>
        </xdr:cNvSpPr>
      </xdr:nvSpPr>
      <xdr:spPr bwMode="auto">
        <a:xfrm flipV="1">
          <a:off x="7061835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57150</xdr:colOff>
      <xdr:row>13</xdr:row>
      <xdr:rowOff>171450</xdr:rowOff>
    </xdr:from>
    <xdr:to>
      <xdr:col>102</xdr:col>
      <xdr:colOff>9525</xdr:colOff>
      <xdr:row>15</xdr:row>
      <xdr:rowOff>47625</xdr:rowOff>
    </xdr:to>
    <xdr:sp macro="" textlink="">
      <xdr:nvSpPr>
        <xdr:cNvPr id="1070241" name="Line 299">
          <a:extLst>
            <a:ext uri="{FF2B5EF4-FFF2-40B4-BE49-F238E27FC236}">
              <a16:creationId xmlns:a16="http://schemas.microsoft.com/office/drawing/2014/main" id="{00000000-0008-0000-0D00-0000A1541000}"/>
            </a:ext>
          </a:extLst>
        </xdr:cNvPr>
        <xdr:cNvSpPr>
          <a:spLocks noChangeShapeType="1"/>
        </xdr:cNvSpPr>
      </xdr:nvSpPr>
      <xdr:spPr bwMode="auto">
        <a:xfrm flipV="1">
          <a:off x="70665975" y="3124200"/>
          <a:ext cx="3619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98</xdr:col>
      <xdr:colOff>0</xdr:colOff>
      <xdr:row>14</xdr:row>
      <xdr:rowOff>0</xdr:rowOff>
    </xdr:from>
    <xdr:to>
      <xdr:col>98</xdr:col>
      <xdr:colOff>76200</xdr:colOff>
      <xdr:row>14</xdr:row>
      <xdr:rowOff>9525</xdr:rowOff>
    </xdr:to>
    <xdr:sp macro="" textlink="">
      <xdr:nvSpPr>
        <xdr:cNvPr id="1070242" name="Line 300">
          <a:extLst>
            <a:ext uri="{FF2B5EF4-FFF2-40B4-BE49-F238E27FC236}">
              <a16:creationId xmlns:a16="http://schemas.microsoft.com/office/drawing/2014/main" id="{00000000-0008-0000-0D00-0000A2541000}"/>
            </a:ext>
          </a:extLst>
        </xdr:cNvPr>
        <xdr:cNvSpPr>
          <a:spLocks noChangeShapeType="1"/>
        </xdr:cNvSpPr>
      </xdr:nvSpPr>
      <xdr:spPr bwMode="auto">
        <a:xfrm>
          <a:off x="6851332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98</xdr:col>
      <xdr:colOff>66675</xdr:colOff>
      <xdr:row>14</xdr:row>
      <xdr:rowOff>9525</xdr:rowOff>
    </xdr:from>
    <xdr:to>
      <xdr:col>98</xdr:col>
      <xdr:colOff>66675</xdr:colOff>
      <xdr:row>17</xdr:row>
      <xdr:rowOff>19050</xdr:rowOff>
    </xdr:to>
    <xdr:sp macro="" textlink="">
      <xdr:nvSpPr>
        <xdr:cNvPr id="1070243" name="Line 301">
          <a:extLst>
            <a:ext uri="{FF2B5EF4-FFF2-40B4-BE49-F238E27FC236}">
              <a16:creationId xmlns:a16="http://schemas.microsoft.com/office/drawing/2014/main" id="{00000000-0008-0000-0D00-0000A3541000}"/>
            </a:ext>
          </a:extLst>
        </xdr:cNvPr>
        <xdr:cNvSpPr>
          <a:spLocks noChangeShapeType="1"/>
        </xdr:cNvSpPr>
      </xdr:nvSpPr>
      <xdr:spPr bwMode="auto">
        <a:xfrm>
          <a:off x="6858000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98</xdr:col>
      <xdr:colOff>9525</xdr:colOff>
      <xdr:row>17</xdr:row>
      <xdr:rowOff>0</xdr:rowOff>
    </xdr:from>
    <xdr:to>
      <xdr:col>98</xdr:col>
      <xdr:colOff>66675</xdr:colOff>
      <xdr:row>17</xdr:row>
      <xdr:rowOff>9525</xdr:rowOff>
    </xdr:to>
    <xdr:sp macro="" textlink="">
      <xdr:nvSpPr>
        <xdr:cNvPr id="1070244" name="Line 302">
          <a:extLst>
            <a:ext uri="{FF2B5EF4-FFF2-40B4-BE49-F238E27FC236}">
              <a16:creationId xmlns:a16="http://schemas.microsoft.com/office/drawing/2014/main" id="{00000000-0008-0000-0D00-0000A4541000}"/>
            </a:ext>
          </a:extLst>
        </xdr:cNvPr>
        <xdr:cNvSpPr>
          <a:spLocks noChangeShapeType="1"/>
        </xdr:cNvSpPr>
      </xdr:nvSpPr>
      <xdr:spPr bwMode="auto">
        <a:xfrm flipV="1">
          <a:off x="6852285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20</xdr:row>
      <xdr:rowOff>0</xdr:rowOff>
    </xdr:from>
    <xdr:to>
      <xdr:col>95</xdr:col>
      <xdr:colOff>76200</xdr:colOff>
      <xdr:row>20</xdr:row>
      <xdr:rowOff>9525</xdr:rowOff>
    </xdr:to>
    <xdr:sp macro="" textlink="">
      <xdr:nvSpPr>
        <xdr:cNvPr id="1070245" name="Line 303">
          <a:extLst>
            <a:ext uri="{FF2B5EF4-FFF2-40B4-BE49-F238E27FC236}">
              <a16:creationId xmlns:a16="http://schemas.microsoft.com/office/drawing/2014/main" id="{00000000-0008-0000-0D00-0000A5541000}"/>
            </a:ext>
          </a:extLst>
        </xdr:cNvPr>
        <xdr:cNvSpPr>
          <a:spLocks noChangeShapeType="1"/>
        </xdr:cNvSpPr>
      </xdr:nvSpPr>
      <xdr:spPr bwMode="auto">
        <a:xfrm>
          <a:off x="6635115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66675</xdr:colOff>
      <xdr:row>20</xdr:row>
      <xdr:rowOff>9525</xdr:rowOff>
    </xdr:from>
    <xdr:to>
      <xdr:col>95</xdr:col>
      <xdr:colOff>66675</xdr:colOff>
      <xdr:row>23</xdr:row>
      <xdr:rowOff>19050</xdr:rowOff>
    </xdr:to>
    <xdr:sp macro="" textlink="">
      <xdr:nvSpPr>
        <xdr:cNvPr id="1070246" name="Line 304">
          <a:extLst>
            <a:ext uri="{FF2B5EF4-FFF2-40B4-BE49-F238E27FC236}">
              <a16:creationId xmlns:a16="http://schemas.microsoft.com/office/drawing/2014/main" id="{00000000-0008-0000-0D00-0000A6541000}"/>
            </a:ext>
          </a:extLst>
        </xdr:cNvPr>
        <xdr:cNvSpPr>
          <a:spLocks noChangeShapeType="1"/>
        </xdr:cNvSpPr>
      </xdr:nvSpPr>
      <xdr:spPr bwMode="auto">
        <a:xfrm>
          <a:off x="6641782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9525</xdr:colOff>
      <xdr:row>23</xdr:row>
      <xdr:rowOff>0</xdr:rowOff>
    </xdr:from>
    <xdr:to>
      <xdr:col>95</xdr:col>
      <xdr:colOff>66675</xdr:colOff>
      <xdr:row>23</xdr:row>
      <xdr:rowOff>9525</xdr:rowOff>
    </xdr:to>
    <xdr:sp macro="" textlink="">
      <xdr:nvSpPr>
        <xdr:cNvPr id="1070247" name="Line 305">
          <a:extLst>
            <a:ext uri="{FF2B5EF4-FFF2-40B4-BE49-F238E27FC236}">
              <a16:creationId xmlns:a16="http://schemas.microsoft.com/office/drawing/2014/main" id="{00000000-0008-0000-0D00-0000A7541000}"/>
            </a:ext>
          </a:extLst>
        </xdr:cNvPr>
        <xdr:cNvSpPr>
          <a:spLocks noChangeShapeType="1"/>
        </xdr:cNvSpPr>
      </xdr:nvSpPr>
      <xdr:spPr bwMode="auto">
        <a:xfrm flipV="1">
          <a:off x="663606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98</xdr:col>
      <xdr:colOff>0</xdr:colOff>
      <xdr:row>20</xdr:row>
      <xdr:rowOff>0</xdr:rowOff>
    </xdr:from>
    <xdr:to>
      <xdr:col>98</xdr:col>
      <xdr:colOff>76200</xdr:colOff>
      <xdr:row>20</xdr:row>
      <xdr:rowOff>9525</xdr:rowOff>
    </xdr:to>
    <xdr:sp macro="" textlink="">
      <xdr:nvSpPr>
        <xdr:cNvPr id="1070248" name="Line 306">
          <a:extLst>
            <a:ext uri="{FF2B5EF4-FFF2-40B4-BE49-F238E27FC236}">
              <a16:creationId xmlns:a16="http://schemas.microsoft.com/office/drawing/2014/main" id="{00000000-0008-0000-0D00-0000A8541000}"/>
            </a:ext>
          </a:extLst>
        </xdr:cNvPr>
        <xdr:cNvSpPr>
          <a:spLocks noChangeShapeType="1"/>
        </xdr:cNvSpPr>
      </xdr:nvSpPr>
      <xdr:spPr bwMode="auto">
        <a:xfrm>
          <a:off x="6851332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98</xdr:col>
      <xdr:colOff>66675</xdr:colOff>
      <xdr:row>20</xdr:row>
      <xdr:rowOff>9525</xdr:rowOff>
    </xdr:from>
    <xdr:to>
      <xdr:col>98</xdr:col>
      <xdr:colOff>66675</xdr:colOff>
      <xdr:row>23</xdr:row>
      <xdr:rowOff>19050</xdr:rowOff>
    </xdr:to>
    <xdr:sp macro="" textlink="">
      <xdr:nvSpPr>
        <xdr:cNvPr id="1070249" name="Line 307">
          <a:extLst>
            <a:ext uri="{FF2B5EF4-FFF2-40B4-BE49-F238E27FC236}">
              <a16:creationId xmlns:a16="http://schemas.microsoft.com/office/drawing/2014/main" id="{00000000-0008-0000-0D00-0000A9541000}"/>
            </a:ext>
          </a:extLst>
        </xdr:cNvPr>
        <xdr:cNvSpPr>
          <a:spLocks noChangeShapeType="1"/>
        </xdr:cNvSpPr>
      </xdr:nvSpPr>
      <xdr:spPr bwMode="auto">
        <a:xfrm>
          <a:off x="6858000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98</xdr:col>
      <xdr:colOff>9525</xdr:colOff>
      <xdr:row>23</xdr:row>
      <xdr:rowOff>0</xdr:rowOff>
    </xdr:from>
    <xdr:to>
      <xdr:col>98</xdr:col>
      <xdr:colOff>66675</xdr:colOff>
      <xdr:row>23</xdr:row>
      <xdr:rowOff>9525</xdr:rowOff>
    </xdr:to>
    <xdr:sp macro="" textlink="">
      <xdr:nvSpPr>
        <xdr:cNvPr id="1070250" name="Line 308">
          <a:extLst>
            <a:ext uri="{FF2B5EF4-FFF2-40B4-BE49-F238E27FC236}">
              <a16:creationId xmlns:a16="http://schemas.microsoft.com/office/drawing/2014/main" id="{00000000-0008-0000-0D00-0000AA541000}"/>
            </a:ext>
          </a:extLst>
        </xdr:cNvPr>
        <xdr:cNvSpPr>
          <a:spLocks noChangeShapeType="1"/>
        </xdr:cNvSpPr>
      </xdr:nvSpPr>
      <xdr:spPr bwMode="auto">
        <a:xfrm flipV="1">
          <a:off x="6852285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0</xdr:colOff>
      <xdr:row>20</xdr:row>
      <xdr:rowOff>0</xdr:rowOff>
    </xdr:from>
    <xdr:to>
      <xdr:col>101</xdr:col>
      <xdr:colOff>76200</xdr:colOff>
      <xdr:row>20</xdr:row>
      <xdr:rowOff>9525</xdr:rowOff>
    </xdr:to>
    <xdr:sp macro="" textlink="">
      <xdr:nvSpPr>
        <xdr:cNvPr id="1070251" name="Line 309">
          <a:extLst>
            <a:ext uri="{FF2B5EF4-FFF2-40B4-BE49-F238E27FC236}">
              <a16:creationId xmlns:a16="http://schemas.microsoft.com/office/drawing/2014/main" id="{00000000-0008-0000-0D00-0000AB541000}"/>
            </a:ext>
          </a:extLst>
        </xdr:cNvPr>
        <xdr:cNvSpPr>
          <a:spLocks noChangeShapeType="1"/>
        </xdr:cNvSpPr>
      </xdr:nvSpPr>
      <xdr:spPr bwMode="auto">
        <a:xfrm>
          <a:off x="7060882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66675</xdr:colOff>
      <xdr:row>20</xdr:row>
      <xdr:rowOff>9525</xdr:rowOff>
    </xdr:from>
    <xdr:to>
      <xdr:col>101</xdr:col>
      <xdr:colOff>66675</xdr:colOff>
      <xdr:row>23</xdr:row>
      <xdr:rowOff>19050</xdr:rowOff>
    </xdr:to>
    <xdr:sp macro="" textlink="">
      <xdr:nvSpPr>
        <xdr:cNvPr id="1070252" name="Line 310">
          <a:extLst>
            <a:ext uri="{FF2B5EF4-FFF2-40B4-BE49-F238E27FC236}">
              <a16:creationId xmlns:a16="http://schemas.microsoft.com/office/drawing/2014/main" id="{00000000-0008-0000-0D00-0000AC541000}"/>
            </a:ext>
          </a:extLst>
        </xdr:cNvPr>
        <xdr:cNvSpPr>
          <a:spLocks noChangeShapeType="1"/>
        </xdr:cNvSpPr>
      </xdr:nvSpPr>
      <xdr:spPr bwMode="auto">
        <a:xfrm>
          <a:off x="7067550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9525</xdr:colOff>
      <xdr:row>23</xdr:row>
      <xdr:rowOff>0</xdr:rowOff>
    </xdr:from>
    <xdr:to>
      <xdr:col>101</xdr:col>
      <xdr:colOff>66675</xdr:colOff>
      <xdr:row>23</xdr:row>
      <xdr:rowOff>9525</xdr:rowOff>
    </xdr:to>
    <xdr:sp macro="" textlink="">
      <xdr:nvSpPr>
        <xdr:cNvPr id="1070253" name="Line 311">
          <a:extLst>
            <a:ext uri="{FF2B5EF4-FFF2-40B4-BE49-F238E27FC236}">
              <a16:creationId xmlns:a16="http://schemas.microsoft.com/office/drawing/2014/main" id="{00000000-0008-0000-0D00-0000AD541000}"/>
            </a:ext>
          </a:extLst>
        </xdr:cNvPr>
        <xdr:cNvSpPr>
          <a:spLocks noChangeShapeType="1"/>
        </xdr:cNvSpPr>
      </xdr:nvSpPr>
      <xdr:spPr bwMode="auto">
        <a:xfrm flipV="1">
          <a:off x="7061835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0</xdr:colOff>
      <xdr:row>20</xdr:row>
      <xdr:rowOff>0</xdr:rowOff>
    </xdr:from>
    <xdr:to>
      <xdr:col>101</xdr:col>
      <xdr:colOff>76200</xdr:colOff>
      <xdr:row>20</xdr:row>
      <xdr:rowOff>9525</xdr:rowOff>
    </xdr:to>
    <xdr:sp macro="" textlink="">
      <xdr:nvSpPr>
        <xdr:cNvPr id="1070254" name="Line 312">
          <a:extLst>
            <a:ext uri="{FF2B5EF4-FFF2-40B4-BE49-F238E27FC236}">
              <a16:creationId xmlns:a16="http://schemas.microsoft.com/office/drawing/2014/main" id="{00000000-0008-0000-0D00-0000AE541000}"/>
            </a:ext>
          </a:extLst>
        </xdr:cNvPr>
        <xdr:cNvSpPr>
          <a:spLocks noChangeShapeType="1"/>
        </xdr:cNvSpPr>
      </xdr:nvSpPr>
      <xdr:spPr bwMode="auto">
        <a:xfrm>
          <a:off x="7060882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66675</xdr:colOff>
      <xdr:row>20</xdr:row>
      <xdr:rowOff>9525</xdr:rowOff>
    </xdr:from>
    <xdr:to>
      <xdr:col>101</xdr:col>
      <xdr:colOff>66675</xdr:colOff>
      <xdr:row>23</xdr:row>
      <xdr:rowOff>19050</xdr:rowOff>
    </xdr:to>
    <xdr:sp macro="" textlink="">
      <xdr:nvSpPr>
        <xdr:cNvPr id="1070255" name="Line 313">
          <a:extLst>
            <a:ext uri="{FF2B5EF4-FFF2-40B4-BE49-F238E27FC236}">
              <a16:creationId xmlns:a16="http://schemas.microsoft.com/office/drawing/2014/main" id="{00000000-0008-0000-0D00-0000AF541000}"/>
            </a:ext>
          </a:extLst>
        </xdr:cNvPr>
        <xdr:cNvSpPr>
          <a:spLocks noChangeShapeType="1"/>
        </xdr:cNvSpPr>
      </xdr:nvSpPr>
      <xdr:spPr bwMode="auto">
        <a:xfrm>
          <a:off x="7067550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9525</xdr:colOff>
      <xdr:row>23</xdr:row>
      <xdr:rowOff>0</xdr:rowOff>
    </xdr:from>
    <xdr:to>
      <xdr:col>101</xdr:col>
      <xdr:colOff>66675</xdr:colOff>
      <xdr:row>23</xdr:row>
      <xdr:rowOff>9525</xdr:rowOff>
    </xdr:to>
    <xdr:sp macro="" textlink="">
      <xdr:nvSpPr>
        <xdr:cNvPr id="1070256" name="Line 314">
          <a:extLst>
            <a:ext uri="{FF2B5EF4-FFF2-40B4-BE49-F238E27FC236}">
              <a16:creationId xmlns:a16="http://schemas.microsoft.com/office/drawing/2014/main" id="{00000000-0008-0000-0D00-0000B0541000}"/>
            </a:ext>
          </a:extLst>
        </xdr:cNvPr>
        <xdr:cNvSpPr>
          <a:spLocks noChangeShapeType="1"/>
        </xdr:cNvSpPr>
      </xdr:nvSpPr>
      <xdr:spPr bwMode="auto">
        <a:xfrm flipV="1">
          <a:off x="7061835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76200</xdr:colOff>
      <xdr:row>21</xdr:row>
      <xdr:rowOff>66675</xdr:rowOff>
    </xdr:from>
    <xdr:to>
      <xdr:col>102</xdr:col>
      <xdr:colOff>9525</xdr:colOff>
      <xdr:row>23</xdr:row>
      <xdr:rowOff>19050</xdr:rowOff>
    </xdr:to>
    <xdr:sp macro="" textlink="">
      <xdr:nvSpPr>
        <xdr:cNvPr id="1070257" name="Line 315">
          <a:extLst>
            <a:ext uri="{FF2B5EF4-FFF2-40B4-BE49-F238E27FC236}">
              <a16:creationId xmlns:a16="http://schemas.microsoft.com/office/drawing/2014/main" id="{00000000-0008-0000-0D00-0000B1541000}"/>
            </a:ext>
          </a:extLst>
        </xdr:cNvPr>
        <xdr:cNvSpPr>
          <a:spLocks noChangeShapeType="1"/>
        </xdr:cNvSpPr>
      </xdr:nvSpPr>
      <xdr:spPr bwMode="auto">
        <a:xfrm>
          <a:off x="70685025" y="44672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101</xdr:col>
      <xdr:colOff>0</xdr:colOff>
      <xdr:row>20</xdr:row>
      <xdr:rowOff>0</xdr:rowOff>
    </xdr:from>
    <xdr:to>
      <xdr:col>101</xdr:col>
      <xdr:colOff>76200</xdr:colOff>
      <xdr:row>20</xdr:row>
      <xdr:rowOff>9525</xdr:rowOff>
    </xdr:to>
    <xdr:sp macro="" textlink="">
      <xdr:nvSpPr>
        <xdr:cNvPr id="1070258" name="Line 316">
          <a:extLst>
            <a:ext uri="{FF2B5EF4-FFF2-40B4-BE49-F238E27FC236}">
              <a16:creationId xmlns:a16="http://schemas.microsoft.com/office/drawing/2014/main" id="{00000000-0008-0000-0D00-0000B2541000}"/>
            </a:ext>
          </a:extLst>
        </xdr:cNvPr>
        <xdr:cNvSpPr>
          <a:spLocks noChangeShapeType="1"/>
        </xdr:cNvSpPr>
      </xdr:nvSpPr>
      <xdr:spPr bwMode="auto">
        <a:xfrm>
          <a:off x="7060882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66675</xdr:colOff>
      <xdr:row>20</xdr:row>
      <xdr:rowOff>9525</xdr:rowOff>
    </xdr:from>
    <xdr:to>
      <xdr:col>101</xdr:col>
      <xdr:colOff>66675</xdr:colOff>
      <xdr:row>23</xdr:row>
      <xdr:rowOff>19050</xdr:rowOff>
    </xdr:to>
    <xdr:sp macro="" textlink="">
      <xdr:nvSpPr>
        <xdr:cNvPr id="1070259" name="Line 317">
          <a:extLst>
            <a:ext uri="{FF2B5EF4-FFF2-40B4-BE49-F238E27FC236}">
              <a16:creationId xmlns:a16="http://schemas.microsoft.com/office/drawing/2014/main" id="{00000000-0008-0000-0D00-0000B3541000}"/>
            </a:ext>
          </a:extLst>
        </xdr:cNvPr>
        <xdr:cNvSpPr>
          <a:spLocks noChangeShapeType="1"/>
        </xdr:cNvSpPr>
      </xdr:nvSpPr>
      <xdr:spPr bwMode="auto">
        <a:xfrm>
          <a:off x="7067550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9525</xdr:colOff>
      <xdr:row>23</xdr:row>
      <xdr:rowOff>0</xdr:rowOff>
    </xdr:from>
    <xdr:to>
      <xdr:col>101</xdr:col>
      <xdr:colOff>66675</xdr:colOff>
      <xdr:row>23</xdr:row>
      <xdr:rowOff>9525</xdr:rowOff>
    </xdr:to>
    <xdr:sp macro="" textlink="">
      <xdr:nvSpPr>
        <xdr:cNvPr id="1070260" name="Line 318">
          <a:extLst>
            <a:ext uri="{FF2B5EF4-FFF2-40B4-BE49-F238E27FC236}">
              <a16:creationId xmlns:a16="http://schemas.microsoft.com/office/drawing/2014/main" id="{00000000-0008-0000-0D00-0000B4541000}"/>
            </a:ext>
          </a:extLst>
        </xdr:cNvPr>
        <xdr:cNvSpPr>
          <a:spLocks noChangeShapeType="1"/>
        </xdr:cNvSpPr>
      </xdr:nvSpPr>
      <xdr:spPr bwMode="auto">
        <a:xfrm flipV="1">
          <a:off x="7061835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76200</xdr:colOff>
      <xdr:row>19</xdr:row>
      <xdr:rowOff>171450</xdr:rowOff>
    </xdr:from>
    <xdr:to>
      <xdr:col>102</xdr:col>
      <xdr:colOff>9525</xdr:colOff>
      <xdr:row>21</xdr:row>
      <xdr:rowOff>38100</xdr:rowOff>
    </xdr:to>
    <xdr:sp macro="" textlink="">
      <xdr:nvSpPr>
        <xdr:cNvPr id="1070261" name="Line 319">
          <a:extLst>
            <a:ext uri="{FF2B5EF4-FFF2-40B4-BE49-F238E27FC236}">
              <a16:creationId xmlns:a16="http://schemas.microsoft.com/office/drawing/2014/main" id="{00000000-0008-0000-0D00-0000B5541000}"/>
            </a:ext>
          </a:extLst>
        </xdr:cNvPr>
        <xdr:cNvSpPr>
          <a:spLocks noChangeShapeType="1"/>
        </xdr:cNvSpPr>
      </xdr:nvSpPr>
      <xdr:spPr bwMode="auto">
        <a:xfrm flipV="1">
          <a:off x="70685025" y="4210050"/>
          <a:ext cx="342900" cy="22860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98</xdr:col>
      <xdr:colOff>0</xdr:colOff>
      <xdr:row>20</xdr:row>
      <xdr:rowOff>0</xdr:rowOff>
    </xdr:from>
    <xdr:to>
      <xdr:col>98</xdr:col>
      <xdr:colOff>76200</xdr:colOff>
      <xdr:row>20</xdr:row>
      <xdr:rowOff>9525</xdr:rowOff>
    </xdr:to>
    <xdr:sp macro="" textlink="">
      <xdr:nvSpPr>
        <xdr:cNvPr id="1070262" name="Line 320">
          <a:extLst>
            <a:ext uri="{FF2B5EF4-FFF2-40B4-BE49-F238E27FC236}">
              <a16:creationId xmlns:a16="http://schemas.microsoft.com/office/drawing/2014/main" id="{00000000-0008-0000-0D00-0000B6541000}"/>
            </a:ext>
          </a:extLst>
        </xdr:cNvPr>
        <xdr:cNvSpPr>
          <a:spLocks noChangeShapeType="1"/>
        </xdr:cNvSpPr>
      </xdr:nvSpPr>
      <xdr:spPr bwMode="auto">
        <a:xfrm>
          <a:off x="6851332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98</xdr:col>
      <xdr:colOff>66675</xdr:colOff>
      <xdr:row>20</xdr:row>
      <xdr:rowOff>9525</xdr:rowOff>
    </xdr:from>
    <xdr:to>
      <xdr:col>98</xdr:col>
      <xdr:colOff>66675</xdr:colOff>
      <xdr:row>23</xdr:row>
      <xdr:rowOff>19050</xdr:rowOff>
    </xdr:to>
    <xdr:sp macro="" textlink="">
      <xdr:nvSpPr>
        <xdr:cNvPr id="1070263" name="Line 321">
          <a:extLst>
            <a:ext uri="{FF2B5EF4-FFF2-40B4-BE49-F238E27FC236}">
              <a16:creationId xmlns:a16="http://schemas.microsoft.com/office/drawing/2014/main" id="{00000000-0008-0000-0D00-0000B7541000}"/>
            </a:ext>
          </a:extLst>
        </xdr:cNvPr>
        <xdr:cNvSpPr>
          <a:spLocks noChangeShapeType="1"/>
        </xdr:cNvSpPr>
      </xdr:nvSpPr>
      <xdr:spPr bwMode="auto">
        <a:xfrm>
          <a:off x="6858000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98</xdr:col>
      <xdr:colOff>9525</xdr:colOff>
      <xdr:row>23</xdr:row>
      <xdr:rowOff>0</xdr:rowOff>
    </xdr:from>
    <xdr:to>
      <xdr:col>98</xdr:col>
      <xdr:colOff>66675</xdr:colOff>
      <xdr:row>23</xdr:row>
      <xdr:rowOff>9525</xdr:rowOff>
    </xdr:to>
    <xdr:sp macro="" textlink="">
      <xdr:nvSpPr>
        <xdr:cNvPr id="1070264" name="Line 322">
          <a:extLst>
            <a:ext uri="{FF2B5EF4-FFF2-40B4-BE49-F238E27FC236}">
              <a16:creationId xmlns:a16="http://schemas.microsoft.com/office/drawing/2014/main" id="{00000000-0008-0000-0D00-0000B8541000}"/>
            </a:ext>
          </a:extLst>
        </xdr:cNvPr>
        <xdr:cNvSpPr>
          <a:spLocks noChangeShapeType="1"/>
        </xdr:cNvSpPr>
      </xdr:nvSpPr>
      <xdr:spPr bwMode="auto">
        <a:xfrm flipV="1">
          <a:off x="6852285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26</xdr:row>
      <xdr:rowOff>0</xdr:rowOff>
    </xdr:from>
    <xdr:to>
      <xdr:col>95</xdr:col>
      <xdr:colOff>76200</xdr:colOff>
      <xdr:row>26</xdr:row>
      <xdr:rowOff>9525</xdr:rowOff>
    </xdr:to>
    <xdr:sp macro="" textlink="">
      <xdr:nvSpPr>
        <xdr:cNvPr id="1070265" name="Line 323">
          <a:extLst>
            <a:ext uri="{FF2B5EF4-FFF2-40B4-BE49-F238E27FC236}">
              <a16:creationId xmlns:a16="http://schemas.microsoft.com/office/drawing/2014/main" id="{00000000-0008-0000-0D00-0000B9541000}"/>
            </a:ext>
          </a:extLst>
        </xdr:cNvPr>
        <xdr:cNvSpPr>
          <a:spLocks noChangeShapeType="1"/>
        </xdr:cNvSpPr>
      </xdr:nvSpPr>
      <xdr:spPr bwMode="auto">
        <a:xfrm>
          <a:off x="6635115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66675</xdr:colOff>
      <xdr:row>26</xdr:row>
      <xdr:rowOff>9525</xdr:rowOff>
    </xdr:from>
    <xdr:to>
      <xdr:col>95</xdr:col>
      <xdr:colOff>66675</xdr:colOff>
      <xdr:row>29</xdr:row>
      <xdr:rowOff>19050</xdr:rowOff>
    </xdr:to>
    <xdr:sp macro="" textlink="">
      <xdr:nvSpPr>
        <xdr:cNvPr id="1070266" name="Line 324">
          <a:extLst>
            <a:ext uri="{FF2B5EF4-FFF2-40B4-BE49-F238E27FC236}">
              <a16:creationId xmlns:a16="http://schemas.microsoft.com/office/drawing/2014/main" id="{00000000-0008-0000-0D00-0000BA541000}"/>
            </a:ext>
          </a:extLst>
        </xdr:cNvPr>
        <xdr:cNvSpPr>
          <a:spLocks noChangeShapeType="1"/>
        </xdr:cNvSpPr>
      </xdr:nvSpPr>
      <xdr:spPr bwMode="auto">
        <a:xfrm>
          <a:off x="6641782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9525</xdr:colOff>
      <xdr:row>29</xdr:row>
      <xdr:rowOff>0</xdr:rowOff>
    </xdr:from>
    <xdr:to>
      <xdr:col>95</xdr:col>
      <xdr:colOff>66675</xdr:colOff>
      <xdr:row>29</xdr:row>
      <xdr:rowOff>9525</xdr:rowOff>
    </xdr:to>
    <xdr:sp macro="" textlink="">
      <xdr:nvSpPr>
        <xdr:cNvPr id="1070267" name="Line 325">
          <a:extLst>
            <a:ext uri="{FF2B5EF4-FFF2-40B4-BE49-F238E27FC236}">
              <a16:creationId xmlns:a16="http://schemas.microsoft.com/office/drawing/2014/main" id="{00000000-0008-0000-0D00-0000BB541000}"/>
            </a:ext>
          </a:extLst>
        </xdr:cNvPr>
        <xdr:cNvSpPr>
          <a:spLocks noChangeShapeType="1"/>
        </xdr:cNvSpPr>
      </xdr:nvSpPr>
      <xdr:spPr bwMode="auto">
        <a:xfrm flipV="1">
          <a:off x="6636067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98</xdr:col>
      <xdr:colOff>0</xdr:colOff>
      <xdr:row>26</xdr:row>
      <xdr:rowOff>0</xdr:rowOff>
    </xdr:from>
    <xdr:to>
      <xdr:col>98</xdr:col>
      <xdr:colOff>76200</xdr:colOff>
      <xdr:row>26</xdr:row>
      <xdr:rowOff>9525</xdr:rowOff>
    </xdr:to>
    <xdr:sp macro="" textlink="">
      <xdr:nvSpPr>
        <xdr:cNvPr id="1070268" name="Line 326">
          <a:extLst>
            <a:ext uri="{FF2B5EF4-FFF2-40B4-BE49-F238E27FC236}">
              <a16:creationId xmlns:a16="http://schemas.microsoft.com/office/drawing/2014/main" id="{00000000-0008-0000-0D00-0000BC541000}"/>
            </a:ext>
          </a:extLst>
        </xdr:cNvPr>
        <xdr:cNvSpPr>
          <a:spLocks noChangeShapeType="1"/>
        </xdr:cNvSpPr>
      </xdr:nvSpPr>
      <xdr:spPr bwMode="auto">
        <a:xfrm>
          <a:off x="6851332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98</xdr:col>
      <xdr:colOff>66675</xdr:colOff>
      <xdr:row>26</xdr:row>
      <xdr:rowOff>9525</xdr:rowOff>
    </xdr:from>
    <xdr:to>
      <xdr:col>98</xdr:col>
      <xdr:colOff>66675</xdr:colOff>
      <xdr:row>29</xdr:row>
      <xdr:rowOff>19050</xdr:rowOff>
    </xdr:to>
    <xdr:sp macro="" textlink="">
      <xdr:nvSpPr>
        <xdr:cNvPr id="1070269" name="Line 327">
          <a:extLst>
            <a:ext uri="{FF2B5EF4-FFF2-40B4-BE49-F238E27FC236}">
              <a16:creationId xmlns:a16="http://schemas.microsoft.com/office/drawing/2014/main" id="{00000000-0008-0000-0D00-0000BD541000}"/>
            </a:ext>
          </a:extLst>
        </xdr:cNvPr>
        <xdr:cNvSpPr>
          <a:spLocks noChangeShapeType="1"/>
        </xdr:cNvSpPr>
      </xdr:nvSpPr>
      <xdr:spPr bwMode="auto">
        <a:xfrm>
          <a:off x="6858000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98</xdr:col>
      <xdr:colOff>9525</xdr:colOff>
      <xdr:row>29</xdr:row>
      <xdr:rowOff>0</xdr:rowOff>
    </xdr:from>
    <xdr:to>
      <xdr:col>98</xdr:col>
      <xdr:colOff>66675</xdr:colOff>
      <xdr:row>29</xdr:row>
      <xdr:rowOff>9525</xdr:rowOff>
    </xdr:to>
    <xdr:sp macro="" textlink="">
      <xdr:nvSpPr>
        <xdr:cNvPr id="1070270" name="Line 328">
          <a:extLst>
            <a:ext uri="{FF2B5EF4-FFF2-40B4-BE49-F238E27FC236}">
              <a16:creationId xmlns:a16="http://schemas.microsoft.com/office/drawing/2014/main" id="{00000000-0008-0000-0D00-0000BE541000}"/>
            </a:ext>
          </a:extLst>
        </xdr:cNvPr>
        <xdr:cNvSpPr>
          <a:spLocks noChangeShapeType="1"/>
        </xdr:cNvSpPr>
      </xdr:nvSpPr>
      <xdr:spPr bwMode="auto">
        <a:xfrm flipV="1">
          <a:off x="6852285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0</xdr:colOff>
      <xdr:row>26</xdr:row>
      <xdr:rowOff>0</xdr:rowOff>
    </xdr:from>
    <xdr:to>
      <xdr:col>101</xdr:col>
      <xdr:colOff>76200</xdr:colOff>
      <xdr:row>26</xdr:row>
      <xdr:rowOff>9525</xdr:rowOff>
    </xdr:to>
    <xdr:sp macro="" textlink="">
      <xdr:nvSpPr>
        <xdr:cNvPr id="1070271" name="Line 329">
          <a:extLst>
            <a:ext uri="{FF2B5EF4-FFF2-40B4-BE49-F238E27FC236}">
              <a16:creationId xmlns:a16="http://schemas.microsoft.com/office/drawing/2014/main" id="{00000000-0008-0000-0D00-0000BF541000}"/>
            </a:ext>
          </a:extLst>
        </xdr:cNvPr>
        <xdr:cNvSpPr>
          <a:spLocks noChangeShapeType="1"/>
        </xdr:cNvSpPr>
      </xdr:nvSpPr>
      <xdr:spPr bwMode="auto">
        <a:xfrm>
          <a:off x="7060882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66675</xdr:colOff>
      <xdr:row>26</xdr:row>
      <xdr:rowOff>9525</xdr:rowOff>
    </xdr:from>
    <xdr:to>
      <xdr:col>101</xdr:col>
      <xdr:colOff>66675</xdr:colOff>
      <xdr:row>29</xdr:row>
      <xdr:rowOff>19050</xdr:rowOff>
    </xdr:to>
    <xdr:sp macro="" textlink="">
      <xdr:nvSpPr>
        <xdr:cNvPr id="1070272" name="Line 330">
          <a:extLst>
            <a:ext uri="{FF2B5EF4-FFF2-40B4-BE49-F238E27FC236}">
              <a16:creationId xmlns:a16="http://schemas.microsoft.com/office/drawing/2014/main" id="{00000000-0008-0000-0D00-0000C0541000}"/>
            </a:ext>
          </a:extLst>
        </xdr:cNvPr>
        <xdr:cNvSpPr>
          <a:spLocks noChangeShapeType="1"/>
        </xdr:cNvSpPr>
      </xdr:nvSpPr>
      <xdr:spPr bwMode="auto">
        <a:xfrm>
          <a:off x="7067550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9525</xdr:colOff>
      <xdr:row>29</xdr:row>
      <xdr:rowOff>0</xdr:rowOff>
    </xdr:from>
    <xdr:to>
      <xdr:col>101</xdr:col>
      <xdr:colOff>66675</xdr:colOff>
      <xdr:row>29</xdr:row>
      <xdr:rowOff>9525</xdr:rowOff>
    </xdr:to>
    <xdr:sp macro="" textlink="">
      <xdr:nvSpPr>
        <xdr:cNvPr id="1070273" name="Line 331">
          <a:extLst>
            <a:ext uri="{FF2B5EF4-FFF2-40B4-BE49-F238E27FC236}">
              <a16:creationId xmlns:a16="http://schemas.microsoft.com/office/drawing/2014/main" id="{00000000-0008-0000-0D00-0000C1541000}"/>
            </a:ext>
          </a:extLst>
        </xdr:cNvPr>
        <xdr:cNvSpPr>
          <a:spLocks noChangeShapeType="1"/>
        </xdr:cNvSpPr>
      </xdr:nvSpPr>
      <xdr:spPr bwMode="auto">
        <a:xfrm flipV="1">
          <a:off x="7061835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0</xdr:colOff>
      <xdr:row>26</xdr:row>
      <xdr:rowOff>0</xdr:rowOff>
    </xdr:from>
    <xdr:to>
      <xdr:col>101</xdr:col>
      <xdr:colOff>76200</xdr:colOff>
      <xdr:row>26</xdr:row>
      <xdr:rowOff>9525</xdr:rowOff>
    </xdr:to>
    <xdr:sp macro="" textlink="">
      <xdr:nvSpPr>
        <xdr:cNvPr id="1070274" name="Line 332">
          <a:extLst>
            <a:ext uri="{FF2B5EF4-FFF2-40B4-BE49-F238E27FC236}">
              <a16:creationId xmlns:a16="http://schemas.microsoft.com/office/drawing/2014/main" id="{00000000-0008-0000-0D00-0000C2541000}"/>
            </a:ext>
          </a:extLst>
        </xdr:cNvPr>
        <xdr:cNvSpPr>
          <a:spLocks noChangeShapeType="1"/>
        </xdr:cNvSpPr>
      </xdr:nvSpPr>
      <xdr:spPr bwMode="auto">
        <a:xfrm>
          <a:off x="7060882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66675</xdr:colOff>
      <xdr:row>26</xdr:row>
      <xdr:rowOff>9525</xdr:rowOff>
    </xdr:from>
    <xdr:to>
      <xdr:col>101</xdr:col>
      <xdr:colOff>66675</xdr:colOff>
      <xdr:row>29</xdr:row>
      <xdr:rowOff>19050</xdr:rowOff>
    </xdr:to>
    <xdr:sp macro="" textlink="">
      <xdr:nvSpPr>
        <xdr:cNvPr id="1070275" name="Line 333">
          <a:extLst>
            <a:ext uri="{FF2B5EF4-FFF2-40B4-BE49-F238E27FC236}">
              <a16:creationId xmlns:a16="http://schemas.microsoft.com/office/drawing/2014/main" id="{00000000-0008-0000-0D00-0000C3541000}"/>
            </a:ext>
          </a:extLst>
        </xdr:cNvPr>
        <xdr:cNvSpPr>
          <a:spLocks noChangeShapeType="1"/>
        </xdr:cNvSpPr>
      </xdr:nvSpPr>
      <xdr:spPr bwMode="auto">
        <a:xfrm>
          <a:off x="7067550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9525</xdr:colOff>
      <xdr:row>29</xdr:row>
      <xdr:rowOff>0</xdr:rowOff>
    </xdr:from>
    <xdr:to>
      <xdr:col>101</xdr:col>
      <xdr:colOff>66675</xdr:colOff>
      <xdr:row>29</xdr:row>
      <xdr:rowOff>9525</xdr:rowOff>
    </xdr:to>
    <xdr:sp macro="" textlink="">
      <xdr:nvSpPr>
        <xdr:cNvPr id="1070276" name="Line 334">
          <a:extLst>
            <a:ext uri="{FF2B5EF4-FFF2-40B4-BE49-F238E27FC236}">
              <a16:creationId xmlns:a16="http://schemas.microsoft.com/office/drawing/2014/main" id="{00000000-0008-0000-0D00-0000C4541000}"/>
            </a:ext>
          </a:extLst>
        </xdr:cNvPr>
        <xdr:cNvSpPr>
          <a:spLocks noChangeShapeType="1"/>
        </xdr:cNvSpPr>
      </xdr:nvSpPr>
      <xdr:spPr bwMode="auto">
        <a:xfrm flipV="1">
          <a:off x="7061835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76200</xdr:colOff>
      <xdr:row>27</xdr:row>
      <xdr:rowOff>66675</xdr:rowOff>
    </xdr:from>
    <xdr:to>
      <xdr:col>102</xdr:col>
      <xdr:colOff>9525</xdr:colOff>
      <xdr:row>29</xdr:row>
      <xdr:rowOff>19050</xdr:rowOff>
    </xdr:to>
    <xdr:sp macro="" textlink="">
      <xdr:nvSpPr>
        <xdr:cNvPr id="1070277" name="Line 335">
          <a:extLst>
            <a:ext uri="{FF2B5EF4-FFF2-40B4-BE49-F238E27FC236}">
              <a16:creationId xmlns:a16="http://schemas.microsoft.com/office/drawing/2014/main" id="{00000000-0008-0000-0D00-0000C5541000}"/>
            </a:ext>
          </a:extLst>
        </xdr:cNvPr>
        <xdr:cNvSpPr>
          <a:spLocks noChangeShapeType="1"/>
        </xdr:cNvSpPr>
      </xdr:nvSpPr>
      <xdr:spPr bwMode="auto">
        <a:xfrm>
          <a:off x="70685025" y="55530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101</xdr:col>
      <xdr:colOff>0</xdr:colOff>
      <xdr:row>26</xdr:row>
      <xdr:rowOff>0</xdr:rowOff>
    </xdr:from>
    <xdr:to>
      <xdr:col>101</xdr:col>
      <xdr:colOff>76200</xdr:colOff>
      <xdr:row>26</xdr:row>
      <xdr:rowOff>9525</xdr:rowOff>
    </xdr:to>
    <xdr:sp macro="" textlink="">
      <xdr:nvSpPr>
        <xdr:cNvPr id="1070278" name="Line 336">
          <a:extLst>
            <a:ext uri="{FF2B5EF4-FFF2-40B4-BE49-F238E27FC236}">
              <a16:creationId xmlns:a16="http://schemas.microsoft.com/office/drawing/2014/main" id="{00000000-0008-0000-0D00-0000C6541000}"/>
            </a:ext>
          </a:extLst>
        </xdr:cNvPr>
        <xdr:cNvSpPr>
          <a:spLocks noChangeShapeType="1"/>
        </xdr:cNvSpPr>
      </xdr:nvSpPr>
      <xdr:spPr bwMode="auto">
        <a:xfrm>
          <a:off x="7060882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66675</xdr:colOff>
      <xdr:row>26</xdr:row>
      <xdr:rowOff>9525</xdr:rowOff>
    </xdr:from>
    <xdr:to>
      <xdr:col>101</xdr:col>
      <xdr:colOff>66675</xdr:colOff>
      <xdr:row>29</xdr:row>
      <xdr:rowOff>19050</xdr:rowOff>
    </xdr:to>
    <xdr:sp macro="" textlink="">
      <xdr:nvSpPr>
        <xdr:cNvPr id="1070279" name="Line 337">
          <a:extLst>
            <a:ext uri="{FF2B5EF4-FFF2-40B4-BE49-F238E27FC236}">
              <a16:creationId xmlns:a16="http://schemas.microsoft.com/office/drawing/2014/main" id="{00000000-0008-0000-0D00-0000C7541000}"/>
            </a:ext>
          </a:extLst>
        </xdr:cNvPr>
        <xdr:cNvSpPr>
          <a:spLocks noChangeShapeType="1"/>
        </xdr:cNvSpPr>
      </xdr:nvSpPr>
      <xdr:spPr bwMode="auto">
        <a:xfrm>
          <a:off x="7067550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9525</xdr:colOff>
      <xdr:row>29</xdr:row>
      <xdr:rowOff>0</xdr:rowOff>
    </xdr:from>
    <xdr:to>
      <xdr:col>101</xdr:col>
      <xdr:colOff>66675</xdr:colOff>
      <xdr:row>29</xdr:row>
      <xdr:rowOff>9525</xdr:rowOff>
    </xdr:to>
    <xdr:sp macro="" textlink="">
      <xdr:nvSpPr>
        <xdr:cNvPr id="1070280" name="Line 338">
          <a:extLst>
            <a:ext uri="{FF2B5EF4-FFF2-40B4-BE49-F238E27FC236}">
              <a16:creationId xmlns:a16="http://schemas.microsoft.com/office/drawing/2014/main" id="{00000000-0008-0000-0D00-0000C8541000}"/>
            </a:ext>
          </a:extLst>
        </xdr:cNvPr>
        <xdr:cNvSpPr>
          <a:spLocks noChangeShapeType="1"/>
        </xdr:cNvSpPr>
      </xdr:nvSpPr>
      <xdr:spPr bwMode="auto">
        <a:xfrm flipV="1">
          <a:off x="7061835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76200</xdr:colOff>
      <xdr:row>25</xdr:row>
      <xdr:rowOff>161925</xdr:rowOff>
    </xdr:from>
    <xdr:to>
      <xdr:col>102</xdr:col>
      <xdr:colOff>0</xdr:colOff>
      <xdr:row>27</xdr:row>
      <xdr:rowOff>47625</xdr:rowOff>
    </xdr:to>
    <xdr:sp macro="" textlink="">
      <xdr:nvSpPr>
        <xdr:cNvPr id="1070281" name="Line 339">
          <a:extLst>
            <a:ext uri="{FF2B5EF4-FFF2-40B4-BE49-F238E27FC236}">
              <a16:creationId xmlns:a16="http://schemas.microsoft.com/office/drawing/2014/main" id="{00000000-0008-0000-0D00-0000C9541000}"/>
            </a:ext>
          </a:extLst>
        </xdr:cNvPr>
        <xdr:cNvSpPr>
          <a:spLocks noChangeShapeType="1"/>
        </xdr:cNvSpPr>
      </xdr:nvSpPr>
      <xdr:spPr bwMode="auto">
        <a:xfrm flipV="1">
          <a:off x="70685025" y="5286375"/>
          <a:ext cx="333375"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98</xdr:col>
      <xdr:colOff>0</xdr:colOff>
      <xdr:row>26</xdr:row>
      <xdr:rowOff>0</xdr:rowOff>
    </xdr:from>
    <xdr:to>
      <xdr:col>98</xdr:col>
      <xdr:colOff>76200</xdr:colOff>
      <xdr:row>26</xdr:row>
      <xdr:rowOff>9525</xdr:rowOff>
    </xdr:to>
    <xdr:sp macro="" textlink="">
      <xdr:nvSpPr>
        <xdr:cNvPr id="1070282" name="Line 340">
          <a:extLst>
            <a:ext uri="{FF2B5EF4-FFF2-40B4-BE49-F238E27FC236}">
              <a16:creationId xmlns:a16="http://schemas.microsoft.com/office/drawing/2014/main" id="{00000000-0008-0000-0D00-0000CA541000}"/>
            </a:ext>
          </a:extLst>
        </xdr:cNvPr>
        <xdr:cNvSpPr>
          <a:spLocks noChangeShapeType="1"/>
        </xdr:cNvSpPr>
      </xdr:nvSpPr>
      <xdr:spPr bwMode="auto">
        <a:xfrm>
          <a:off x="6851332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98</xdr:col>
      <xdr:colOff>66675</xdr:colOff>
      <xdr:row>26</xdr:row>
      <xdr:rowOff>9525</xdr:rowOff>
    </xdr:from>
    <xdr:to>
      <xdr:col>98</xdr:col>
      <xdr:colOff>66675</xdr:colOff>
      <xdr:row>29</xdr:row>
      <xdr:rowOff>19050</xdr:rowOff>
    </xdr:to>
    <xdr:sp macro="" textlink="">
      <xdr:nvSpPr>
        <xdr:cNvPr id="1070283" name="Line 341">
          <a:extLst>
            <a:ext uri="{FF2B5EF4-FFF2-40B4-BE49-F238E27FC236}">
              <a16:creationId xmlns:a16="http://schemas.microsoft.com/office/drawing/2014/main" id="{00000000-0008-0000-0D00-0000CB541000}"/>
            </a:ext>
          </a:extLst>
        </xdr:cNvPr>
        <xdr:cNvSpPr>
          <a:spLocks noChangeShapeType="1"/>
        </xdr:cNvSpPr>
      </xdr:nvSpPr>
      <xdr:spPr bwMode="auto">
        <a:xfrm>
          <a:off x="6858000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98</xdr:col>
      <xdr:colOff>9525</xdr:colOff>
      <xdr:row>29</xdr:row>
      <xdr:rowOff>0</xdr:rowOff>
    </xdr:from>
    <xdr:to>
      <xdr:col>98</xdr:col>
      <xdr:colOff>66675</xdr:colOff>
      <xdr:row>29</xdr:row>
      <xdr:rowOff>9525</xdr:rowOff>
    </xdr:to>
    <xdr:sp macro="" textlink="">
      <xdr:nvSpPr>
        <xdr:cNvPr id="1070284" name="Line 342">
          <a:extLst>
            <a:ext uri="{FF2B5EF4-FFF2-40B4-BE49-F238E27FC236}">
              <a16:creationId xmlns:a16="http://schemas.microsoft.com/office/drawing/2014/main" id="{00000000-0008-0000-0D00-0000CC541000}"/>
            </a:ext>
          </a:extLst>
        </xdr:cNvPr>
        <xdr:cNvSpPr>
          <a:spLocks noChangeShapeType="1"/>
        </xdr:cNvSpPr>
      </xdr:nvSpPr>
      <xdr:spPr bwMode="auto">
        <a:xfrm flipV="1">
          <a:off x="6852285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38</xdr:row>
      <xdr:rowOff>0</xdr:rowOff>
    </xdr:from>
    <xdr:to>
      <xdr:col>95</xdr:col>
      <xdr:colOff>57150</xdr:colOff>
      <xdr:row>38</xdr:row>
      <xdr:rowOff>9525</xdr:rowOff>
    </xdr:to>
    <xdr:sp macro="" textlink="">
      <xdr:nvSpPr>
        <xdr:cNvPr id="1070285" name="Line 345">
          <a:extLst>
            <a:ext uri="{FF2B5EF4-FFF2-40B4-BE49-F238E27FC236}">
              <a16:creationId xmlns:a16="http://schemas.microsoft.com/office/drawing/2014/main" id="{00000000-0008-0000-0D00-0000CD541000}"/>
            </a:ext>
          </a:extLst>
        </xdr:cNvPr>
        <xdr:cNvSpPr>
          <a:spLocks noChangeShapeType="1"/>
        </xdr:cNvSpPr>
      </xdr:nvSpPr>
      <xdr:spPr bwMode="auto">
        <a:xfrm flipV="1">
          <a:off x="66351150" y="74771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95250</xdr:colOff>
      <xdr:row>35</xdr:row>
      <xdr:rowOff>19050</xdr:rowOff>
    </xdr:from>
    <xdr:to>
      <xdr:col>96</xdr:col>
      <xdr:colOff>9525</xdr:colOff>
      <xdr:row>38</xdr:row>
      <xdr:rowOff>19050</xdr:rowOff>
    </xdr:to>
    <xdr:sp macro="" textlink="">
      <xdr:nvSpPr>
        <xdr:cNvPr id="1070286" name="Line 363">
          <a:extLst>
            <a:ext uri="{FF2B5EF4-FFF2-40B4-BE49-F238E27FC236}">
              <a16:creationId xmlns:a16="http://schemas.microsoft.com/office/drawing/2014/main" id="{00000000-0008-0000-0D00-0000CE541000}"/>
            </a:ext>
          </a:extLst>
        </xdr:cNvPr>
        <xdr:cNvSpPr>
          <a:spLocks noChangeShapeType="1"/>
        </xdr:cNvSpPr>
      </xdr:nvSpPr>
      <xdr:spPr bwMode="auto">
        <a:xfrm>
          <a:off x="66446400" y="6953250"/>
          <a:ext cx="361950"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95</xdr:col>
      <xdr:colOff>66675</xdr:colOff>
      <xdr:row>11</xdr:row>
      <xdr:rowOff>9525</xdr:rowOff>
    </xdr:from>
    <xdr:to>
      <xdr:col>96</xdr:col>
      <xdr:colOff>0</xdr:colOff>
      <xdr:row>15</xdr:row>
      <xdr:rowOff>76200</xdr:rowOff>
    </xdr:to>
    <xdr:sp macro="" textlink="">
      <xdr:nvSpPr>
        <xdr:cNvPr id="1070287" name="Line 386">
          <a:extLst>
            <a:ext uri="{FF2B5EF4-FFF2-40B4-BE49-F238E27FC236}">
              <a16:creationId xmlns:a16="http://schemas.microsoft.com/office/drawing/2014/main" id="{00000000-0008-0000-0D00-0000CF541000}"/>
            </a:ext>
          </a:extLst>
        </xdr:cNvPr>
        <xdr:cNvSpPr>
          <a:spLocks noChangeShapeType="1"/>
        </xdr:cNvSpPr>
      </xdr:nvSpPr>
      <xdr:spPr bwMode="auto">
        <a:xfrm flipV="1">
          <a:off x="66417825" y="2600325"/>
          <a:ext cx="381000" cy="7905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95</xdr:col>
      <xdr:colOff>66675</xdr:colOff>
      <xdr:row>15</xdr:row>
      <xdr:rowOff>95250</xdr:rowOff>
    </xdr:from>
    <xdr:to>
      <xdr:col>96</xdr:col>
      <xdr:colOff>0</xdr:colOff>
      <xdr:row>19</xdr:row>
      <xdr:rowOff>171450</xdr:rowOff>
    </xdr:to>
    <xdr:sp macro="" textlink="">
      <xdr:nvSpPr>
        <xdr:cNvPr id="1070288" name="Line 387">
          <a:extLst>
            <a:ext uri="{FF2B5EF4-FFF2-40B4-BE49-F238E27FC236}">
              <a16:creationId xmlns:a16="http://schemas.microsoft.com/office/drawing/2014/main" id="{00000000-0008-0000-0D00-0000D0541000}"/>
            </a:ext>
          </a:extLst>
        </xdr:cNvPr>
        <xdr:cNvSpPr>
          <a:spLocks noChangeShapeType="1"/>
        </xdr:cNvSpPr>
      </xdr:nvSpPr>
      <xdr:spPr bwMode="auto">
        <a:xfrm>
          <a:off x="66417825" y="3409950"/>
          <a:ext cx="3810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95</xdr:col>
      <xdr:colOff>66675</xdr:colOff>
      <xdr:row>16</xdr:row>
      <xdr:rowOff>161925</xdr:rowOff>
    </xdr:from>
    <xdr:to>
      <xdr:col>95</xdr:col>
      <xdr:colOff>438150</xdr:colOff>
      <xdr:row>21</xdr:row>
      <xdr:rowOff>95250</xdr:rowOff>
    </xdr:to>
    <xdr:sp macro="" textlink="">
      <xdr:nvSpPr>
        <xdr:cNvPr id="1070289" name="Line 388">
          <a:extLst>
            <a:ext uri="{FF2B5EF4-FFF2-40B4-BE49-F238E27FC236}">
              <a16:creationId xmlns:a16="http://schemas.microsoft.com/office/drawing/2014/main" id="{00000000-0008-0000-0D00-0000D1541000}"/>
            </a:ext>
          </a:extLst>
        </xdr:cNvPr>
        <xdr:cNvSpPr>
          <a:spLocks noChangeShapeType="1"/>
        </xdr:cNvSpPr>
      </xdr:nvSpPr>
      <xdr:spPr bwMode="auto">
        <a:xfrm flipV="1">
          <a:off x="66417825" y="3657600"/>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95</xdr:col>
      <xdr:colOff>66675</xdr:colOff>
      <xdr:row>21</xdr:row>
      <xdr:rowOff>95250</xdr:rowOff>
    </xdr:from>
    <xdr:to>
      <xdr:col>96</xdr:col>
      <xdr:colOff>0</xdr:colOff>
      <xdr:row>25</xdr:row>
      <xdr:rowOff>171450</xdr:rowOff>
    </xdr:to>
    <xdr:sp macro="" textlink="">
      <xdr:nvSpPr>
        <xdr:cNvPr id="1070290" name="Line 389">
          <a:extLst>
            <a:ext uri="{FF2B5EF4-FFF2-40B4-BE49-F238E27FC236}">
              <a16:creationId xmlns:a16="http://schemas.microsoft.com/office/drawing/2014/main" id="{00000000-0008-0000-0D00-0000D2541000}"/>
            </a:ext>
          </a:extLst>
        </xdr:cNvPr>
        <xdr:cNvSpPr>
          <a:spLocks noChangeShapeType="1"/>
        </xdr:cNvSpPr>
      </xdr:nvSpPr>
      <xdr:spPr bwMode="auto">
        <a:xfrm>
          <a:off x="66417825" y="4495800"/>
          <a:ext cx="3810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95</xdr:col>
      <xdr:colOff>66675</xdr:colOff>
      <xdr:row>27</xdr:row>
      <xdr:rowOff>57150</xdr:rowOff>
    </xdr:from>
    <xdr:to>
      <xdr:col>96</xdr:col>
      <xdr:colOff>0</xdr:colOff>
      <xdr:row>32</xdr:row>
      <xdr:rowOff>19050</xdr:rowOff>
    </xdr:to>
    <xdr:sp macro="" textlink="">
      <xdr:nvSpPr>
        <xdr:cNvPr id="1070291" name="Line 390">
          <a:extLst>
            <a:ext uri="{FF2B5EF4-FFF2-40B4-BE49-F238E27FC236}">
              <a16:creationId xmlns:a16="http://schemas.microsoft.com/office/drawing/2014/main" id="{00000000-0008-0000-0D00-0000D3541000}"/>
            </a:ext>
          </a:extLst>
        </xdr:cNvPr>
        <xdr:cNvSpPr>
          <a:spLocks noChangeShapeType="1"/>
        </xdr:cNvSpPr>
      </xdr:nvSpPr>
      <xdr:spPr bwMode="auto">
        <a:xfrm>
          <a:off x="66417825" y="5543550"/>
          <a:ext cx="38100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95</xdr:col>
      <xdr:colOff>66675</xdr:colOff>
      <xdr:row>22</xdr:row>
      <xdr:rowOff>152400</xdr:rowOff>
    </xdr:from>
    <xdr:to>
      <xdr:col>95</xdr:col>
      <xdr:colOff>438150</xdr:colOff>
      <xdr:row>27</xdr:row>
      <xdr:rowOff>85725</xdr:rowOff>
    </xdr:to>
    <xdr:sp macro="" textlink="">
      <xdr:nvSpPr>
        <xdr:cNvPr id="1070292" name="Line 391">
          <a:extLst>
            <a:ext uri="{FF2B5EF4-FFF2-40B4-BE49-F238E27FC236}">
              <a16:creationId xmlns:a16="http://schemas.microsoft.com/office/drawing/2014/main" id="{00000000-0008-0000-0D00-0000D4541000}"/>
            </a:ext>
          </a:extLst>
        </xdr:cNvPr>
        <xdr:cNvSpPr>
          <a:spLocks noChangeShapeType="1"/>
        </xdr:cNvSpPr>
      </xdr:nvSpPr>
      <xdr:spPr bwMode="auto">
        <a:xfrm flipV="1">
          <a:off x="66417825" y="4733925"/>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95</xdr:col>
      <xdr:colOff>76200</xdr:colOff>
      <xdr:row>28</xdr:row>
      <xdr:rowOff>152400</xdr:rowOff>
    </xdr:from>
    <xdr:to>
      <xdr:col>96</xdr:col>
      <xdr:colOff>0</xdr:colOff>
      <xdr:row>34</xdr:row>
      <xdr:rowOff>161925</xdr:rowOff>
    </xdr:to>
    <xdr:sp macro="" textlink="">
      <xdr:nvSpPr>
        <xdr:cNvPr id="1070293" name="Line 392">
          <a:extLst>
            <a:ext uri="{FF2B5EF4-FFF2-40B4-BE49-F238E27FC236}">
              <a16:creationId xmlns:a16="http://schemas.microsoft.com/office/drawing/2014/main" id="{00000000-0008-0000-0D00-0000D5541000}"/>
            </a:ext>
          </a:extLst>
        </xdr:cNvPr>
        <xdr:cNvSpPr>
          <a:spLocks noChangeShapeType="1"/>
        </xdr:cNvSpPr>
      </xdr:nvSpPr>
      <xdr:spPr bwMode="auto">
        <a:xfrm flipV="1">
          <a:off x="66427350" y="5819775"/>
          <a:ext cx="371475" cy="1095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98</xdr:col>
      <xdr:colOff>76200</xdr:colOff>
      <xdr:row>11</xdr:row>
      <xdr:rowOff>0</xdr:rowOff>
    </xdr:from>
    <xdr:to>
      <xdr:col>99</xdr:col>
      <xdr:colOff>0</xdr:colOff>
      <xdr:row>15</xdr:row>
      <xdr:rowOff>66675</xdr:rowOff>
    </xdr:to>
    <xdr:sp macro="" textlink="">
      <xdr:nvSpPr>
        <xdr:cNvPr id="1070294" name="Line 393">
          <a:extLst>
            <a:ext uri="{FF2B5EF4-FFF2-40B4-BE49-F238E27FC236}">
              <a16:creationId xmlns:a16="http://schemas.microsoft.com/office/drawing/2014/main" id="{00000000-0008-0000-0D00-0000D6541000}"/>
            </a:ext>
          </a:extLst>
        </xdr:cNvPr>
        <xdr:cNvSpPr>
          <a:spLocks noChangeShapeType="1"/>
        </xdr:cNvSpPr>
      </xdr:nvSpPr>
      <xdr:spPr bwMode="auto">
        <a:xfrm flipV="1">
          <a:off x="68589525" y="2590800"/>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98</xdr:col>
      <xdr:colOff>76200</xdr:colOff>
      <xdr:row>16</xdr:row>
      <xdr:rowOff>171450</xdr:rowOff>
    </xdr:from>
    <xdr:to>
      <xdr:col>99</xdr:col>
      <xdr:colOff>0</xdr:colOff>
      <xdr:row>21</xdr:row>
      <xdr:rowOff>57150</xdr:rowOff>
    </xdr:to>
    <xdr:sp macro="" textlink="">
      <xdr:nvSpPr>
        <xdr:cNvPr id="1070295" name="Line 394">
          <a:extLst>
            <a:ext uri="{FF2B5EF4-FFF2-40B4-BE49-F238E27FC236}">
              <a16:creationId xmlns:a16="http://schemas.microsoft.com/office/drawing/2014/main" id="{00000000-0008-0000-0D00-0000D7541000}"/>
            </a:ext>
          </a:extLst>
        </xdr:cNvPr>
        <xdr:cNvSpPr>
          <a:spLocks noChangeShapeType="1"/>
        </xdr:cNvSpPr>
      </xdr:nvSpPr>
      <xdr:spPr bwMode="auto">
        <a:xfrm flipV="1">
          <a:off x="68589525" y="3667125"/>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98</xdr:col>
      <xdr:colOff>76200</xdr:colOff>
      <xdr:row>22</xdr:row>
      <xdr:rowOff>171450</xdr:rowOff>
    </xdr:from>
    <xdr:to>
      <xdr:col>99</xdr:col>
      <xdr:colOff>0</xdr:colOff>
      <xdr:row>27</xdr:row>
      <xdr:rowOff>57150</xdr:rowOff>
    </xdr:to>
    <xdr:sp macro="" textlink="">
      <xdr:nvSpPr>
        <xdr:cNvPr id="1070296" name="Line 395">
          <a:extLst>
            <a:ext uri="{FF2B5EF4-FFF2-40B4-BE49-F238E27FC236}">
              <a16:creationId xmlns:a16="http://schemas.microsoft.com/office/drawing/2014/main" id="{00000000-0008-0000-0D00-0000D8541000}"/>
            </a:ext>
          </a:extLst>
        </xdr:cNvPr>
        <xdr:cNvSpPr>
          <a:spLocks noChangeShapeType="1"/>
        </xdr:cNvSpPr>
      </xdr:nvSpPr>
      <xdr:spPr bwMode="auto">
        <a:xfrm flipV="1">
          <a:off x="68589525" y="4752975"/>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98</xdr:col>
      <xdr:colOff>57150</xdr:colOff>
      <xdr:row>15</xdr:row>
      <xdr:rowOff>76200</xdr:rowOff>
    </xdr:from>
    <xdr:to>
      <xdr:col>98</xdr:col>
      <xdr:colOff>400050</xdr:colOff>
      <xdr:row>20</xdr:row>
      <xdr:rowOff>0</xdr:rowOff>
    </xdr:to>
    <xdr:sp macro="" textlink="">
      <xdr:nvSpPr>
        <xdr:cNvPr id="1070297" name="Line 397">
          <a:extLst>
            <a:ext uri="{FF2B5EF4-FFF2-40B4-BE49-F238E27FC236}">
              <a16:creationId xmlns:a16="http://schemas.microsoft.com/office/drawing/2014/main" id="{00000000-0008-0000-0D00-0000D9541000}"/>
            </a:ext>
          </a:extLst>
        </xdr:cNvPr>
        <xdr:cNvSpPr>
          <a:spLocks noChangeShapeType="1"/>
        </xdr:cNvSpPr>
      </xdr:nvSpPr>
      <xdr:spPr bwMode="auto">
        <a:xfrm>
          <a:off x="68570475" y="3390900"/>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98</xdr:col>
      <xdr:colOff>66675</xdr:colOff>
      <xdr:row>21</xdr:row>
      <xdr:rowOff>85725</xdr:rowOff>
    </xdr:from>
    <xdr:to>
      <xdr:col>99</xdr:col>
      <xdr:colOff>0</xdr:colOff>
      <xdr:row>26</xdr:row>
      <xdr:rowOff>9525</xdr:rowOff>
    </xdr:to>
    <xdr:sp macro="" textlink="">
      <xdr:nvSpPr>
        <xdr:cNvPr id="1070298" name="Line 398">
          <a:extLst>
            <a:ext uri="{FF2B5EF4-FFF2-40B4-BE49-F238E27FC236}">
              <a16:creationId xmlns:a16="http://schemas.microsoft.com/office/drawing/2014/main" id="{00000000-0008-0000-0D00-0000DA541000}"/>
            </a:ext>
          </a:extLst>
        </xdr:cNvPr>
        <xdr:cNvSpPr>
          <a:spLocks noChangeShapeType="1"/>
        </xdr:cNvSpPr>
      </xdr:nvSpPr>
      <xdr:spPr bwMode="auto">
        <a:xfrm>
          <a:off x="68580000" y="4486275"/>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98</xdr:col>
      <xdr:colOff>76200</xdr:colOff>
      <xdr:row>27</xdr:row>
      <xdr:rowOff>57150</xdr:rowOff>
    </xdr:from>
    <xdr:to>
      <xdr:col>99</xdr:col>
      <xdr:colOff>0</xdr:colOff>
      <xdr:row>32</xdr:row>
      <xdr:rowOff>28575</xdr:rowOff>
    </xdr:to>
    <xdr:sp macro="" textlink="">
      <xdr:nvSpPr>
        <xdr:cNvPr id="1070299" name="Line 399">
          <a:extLst>
            <a:ext uri="{FF2B5EF4-FFF2-40B4-BE49-F238E27FC236}">
              <a16:creationId xmlns:a16="http://schemas.microsoft.com/office/drawing/2014/main" id="{00000000-0008-0000-0D00-0000DB541000}"/>
            </a:ext>
          </a:extLst>
        </xdr:cNvPr>
        <xdr:cNvSpPr>
          <a:spLocks noChangeShapeType="1"/>
        </xdr:cNvSpPr>
      </xdr:nvSpPr>
      <xdr:spPr bwMode="auto">
        <a:xfrm>
          <a:off x="68589525" y="5543550"/>
          <a:ext cx="333375" cy="8763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95</xdr:col>
      <xdr:colOff>76200</xdr:colOff>
      <xdr:row>35</xdr:row>
      <xdr:rowOff>9525</xdr:rowOff>
    </xdr:from>
    <xdr:to>
      <xdr:col>96</xdr:col>
      <xdr:colOff>0</xdr:colOff>
      <xdr:row>35</xdr:row>
      <xdr:rowOff>9525</xdr:rowOff>
    </xdr:to>
    <xdr:sp macro="" textlink="">
      <xdr:nvSpPr>
        <xdr:cNvPr id="1070300" name="Line 392">
          <a:extLst>
            <a:ext uri="{FF2B5EF4-FFF2-40B4-BE49-F238E27FC236}">
              <a16:creationId xmlns:a16="http://schemas.microsoft.com/office/drawing/2014/main" id="{00000000-0008-0000-0D00-0000DC541000}"/>
            </a:ext>
          </a:extLst>
        </xdr:cNvPr>
        <xdr:cNvSpPr>
          <a:spLocks noChangeShapeType="1"/>
        </xdr:cNvSpPr>
      </xdr:nvSpPr>
      <xdr:spPr bwMode="auto">
        <a:xfrm>
          <a:off x="66427350" y="6943725"/>
          <a:ext cx="3714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98</xdr:col>
      <xdr:colOff>0</xdr:colOff>
      <xdr:row>32</xdr:row>
      <xdr:rowOff>28575</xdr:rowOff>
    </xdr:from>
    <xdr:to>
      <xdr:col>98</xdr:col>
      <xdr:colOff>76200</xdr:colOff>
      <xdr:row>32</xdr:row>
      <xdr:rowOff>38100</xdr:rowOff>
    </xdr:to>
    <xdr:sp macro="" textlink="">
      <xdr:nvSpPr>
        <xdr:cNvPr id="1070301" name="Line 343">
          <a:extLst>
            <a:ext uri="{FF2B5EF4-FFF2-40B4-BE49-F238E27FC236}">
              <a16:creationId xmlns:a16="http://schemas.microsoft.com/office/drawing/2014/main" id="{00000000-0008-0000-0D00-0000DD541000}"/>
            </a:ext>
          </a:extLst>
        </xdr:cNvPr>
        <xdr:cNvSpPr>
          <a:spLocks noChangeShapeType="1"/>
        </xdr:cNvSpPr>
      </xdr:nvSpPr>
      <xdr:spPr bwMode="auto">
        <a:xfrm>
          <a:off x="68513325" y="641985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98</xdr:col>
      <xdr:colOff>47625</xdr:colOff>
      <xdr:row>35</xdr:row>
      <xdr:rowOff>38100</xdr:rowOff>
    </xdr:from>
    <xdr:to>
      <xdr:col>98</xdr:col>
      <xdr:colOff>400050</xdr:colOff>
      <xdr:row>38</xdr:row>
      <xdr:rowOff>0</xdr:rowOff>
    </xdr:to>
    <xdr:sp macro="" textlink="">
      <xdr:nvSpPr>
        <xdr:cNvPr id="1070302" name="Line 363">
          <a:extLst>
            <a:ext uri="{FF2B5EF4-FFF2-40B4-BE49-F238E27FC236}">
              <a16:creationId xmlns:a16="http://schemas.microsoft.com/office/drawing/2014/main" id="{00000000-0008-0000-0D00-0000DE541000}"/>
            </a:ext>
          </a:extLst>
        </xdr:cNvPr>
        <xdr:cNvSpPr>
          <a:spLocks noChangeShapeType="1"/>
        </xdr:cNvSpPr>
      </xdr:nvSpPr>
      <xdr:spPr bwMode="auto">
        <a:xfrm>
          <a:off x="68560950" y="6972300"/>
          <a:ext cx="352425" cy="5048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98</xdr:col>
      <xdr:colOff>57150</xdr:colOff>
      <xdr:row>29</xdr:row>
      <xdr:rowOff>19050</xdr:rowOff>
    </xdr:from>
    <xdr:to>
      <xdr:col>98</xdr:col>
      <xdr:colOff>400050</xdr:colOff>
      <xdr:row>35</xdr:row>
      <xdr:rowOff>28575</xdr:rowOff>
    </xdr:to>
    <xdr:sp macro="" textlink="">
      <xdr:nvSpPr>
        <xdr:cNvPr id="1070303" name="Line 392">
          <a:extLst>
            <a:ext uri="{FF2B5EF4-FFF2-40B4-BE49-F238E27FC236}">
              <a16:creationId xmlns:a16="http://schemas.microsoft.com/office/drawing/2014/main" id="{00000000-0008-0000-0D00-0000DF541000}"/>
            </a:ext>
          </a:extLst>
        </xdr:cNvPr>
        <xdr:cNvSpPr>
          <a:spLocks noChangeShapeType="1"/>
        </xdr:cNvSpPr>
      </xdr:nvSpPr>
      <xdr:spPr bwMode="auto">
        <a:xfrm flipV="1">
          <a:off x="68570475" y="5867400"/>
          <a:ext cx="342900" cy="1095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98</xdr:col>
      <xdr:colOff>76200</xdr:colOff>
      <xdr:row>35</xdr:row>
      <xdr:rowOff>38100</xdr:rowOff>
    </xdr:from>
    <xdr:to>
      <xdr:col>99</xdr:col>
      <xdr:colOff>0</xdr:colOff>
      <xdr:row>35</xdr:row>
      <xdr:rowOff>38100</xdr:rowOff>
    </xdr:to>
    <xdr:sp macro="" textlink="">
      <xdr:nvSpPr>
        <xdr:cNvPr id="1070304" name="Line 392">
          <a:extLst>
            <a:ext uri="{FF2B5EF4-FFF2-40B4-BE49-F238E27FC236}">
              <a16:creationId xmlns:a16="http://schemas.microsoft.com/office/drawing/2014/main" id="{00000000-0008-0000-0D00-0000E0541000}"/>
            </a:ext>
          </a:extLst>
        </xdr:cNvPr>
        <xdr:cNvSpPr>
          <a:spLocks noChangeShapeType="1"/>
        </xdr:cNvSpPr>
      </xdr:nvSpPr>
      <xdr:spPr bwMode="auto">
        <a:xfrm>
          <a:off x="68589525" y="6972300"/>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98</xdr:col>
      <xdr:colOff>66675</xdr:colOff>
      <xdr:row>32</xdr:row>
      <xdr:rowOff>38100</xdr:rowOff>
    </xdr:from>
    <xdr:to>
      <xdr:col>98</xdr:col>
      <xdr:colOff>66675</xdr:colOff>
      <xdr:row>37</xdr:row>
      <xdr:rowOff>142875</xdr:rowOff>
    </xdr:to>
    <xdr:sp macro="" textlink="">
      <xdr:nvSpPr>
        <xdr:cNvPr id="1070305" name="Line 344">
          <a:extLst>
            <a:ext uri="{FF2B5EF4-FFF2-40B4-BE49-F238E27FC236}">
              <a16:creationId xmlns:a16="http://schemas.microsoft.com/office/drawing/2014/main" id="{00000000-0008-0000-0D00-0000E1541000}"/>
            </a:ext>
          </a:extLst>
        </xdr:cNvPr>
        <xdr:cNvSpPr>
          <a:spLocks noChangeShapeType="1"/>
        </xdr:cNvSpPr>
      </xdr:nvSpPr>
      <xdr:spPr bwMode="auto">
        <a:xfrm flipH="1">
          <a:off x="68580000" y="6429375"/>
          <a:ext cx="0" cy="1009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98</xdr:col>
      <xdr:colOff>9525</xdr:colOff>
      <xdr:row>38</xdr:row>
      <xdr:rowOff>0</xdr:rowOff>
    </xdr:from>
    <xdr:to>
      <xdr:col>98</xdr:col>
      <xdr:colOff>66675</xdr:colOff>
      <xdr:row>38</xdr:row>
      <xdr:rowOff>9525</xdr:rowOff>
    </xdr:to>
    <xdr:sp macro="" textlink="">
      <xdr:nvSpPr>
        <xdr:cNvPr id="1070306" name="Line 345">
          <a:extLst>
            <a:ext uri="{FF2B5EF4-FFF2-40B4-BE49-F238E27FC236}">
              <a16:creationId xmlns:a16="http://schemas.microsoft.com/office/drawing/2014/main" id="{00000000-0008-0000-0D00-0000E2541000}"/>
            </a:ext>
          </a:extLst>
        </xdr:cNvPr>
        <xdr:cNvSpPr>
          <a:spLocks noChangeShapeType="1"/>
        </xdr:cNvSpPr>
      </xdr:nvSpPr>
      <xdr:spPr bwMode="auto">
        <a:xfrm flipV="1">
          <a:off x="68522850" y="74771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0</xdr:colOff>
      <xdr:row>32</xdr:row>
      <xdr:rowOff>0</xdr:rowOff>
    </xdr:from>
    <xdr:to>
      <xdr:col>101</xdr:col>
      <xdr:colOff>76200</xdr:colOff>
      <xdr:row>32</xdr:row>
      <xdr:rowOff>9525</xdr:rowOff>
    </xdr:to>
    <xdr:sp macro="" textlink="">
      <xdr:nvSpPr>
        <xdr:cNvPr id="1070307" name="Line 473">
          <a:extLst>
            <a:ext uri="{FF2B5EF4-FFF2-40B4-BE49-F238E27FC236}">
              <a16:creationId xmlns:a16="http://schemas.microsoft.com/office/drawing/2014/main" id="{00000000-0008-0000-0D00-0000E3541000}"/>
            </a:ext>
          </a:extLst>
        </xdr:cNvPr>
        <xdr:cNvSpPr>
          <a:spLocks noChangeShapeType="1"/>
        </xdr:cNvSpPr>
      </xdr:nvSpPr>
      <xdr:spPr bwMode="auto">
        <a:xfrm>
          <a:off x="7060882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66675</xdr:colOff>
      <xdr:row>32</xdr:row>
      <xdr:rowOff>9525</xdr:rowOff>
    </xdr:from>
    <xdr:to>
      <xdr:col>101</xdr:col>
      <xdr:colOff>66675</xdr:colOff>
      <xdr:row>35</xdr:row>
      <xdr:rowOff>19050</xdr:rowOff>
    </xdr:to>
    <xdr:sp macro="" textlink="">
      <xdr:nvSpPr>
        <xdr:cNvPr id="1070308" name="Line 474">
          <a:extLst>
            <a:ext uri="{FF2B5EF4-FFF2-40B4-BE49-F238E27FC236}">
              <a16:creationId xmlns:a16="http://schemas.microsoft.com/office/drawing/2014/main" id="{00000000-0008-0000-0D00-0000E4541000}"/>
            </a:ext>
          </a:extLst>
        </xdr:cNvPr>
        <xdr:cNvSpPr>
          <a:spLocks noChangeShapeType="1"/>
        </xdr:cNvSpPr>
      </xdr:nvSpPr>
      <xdr:spPr bwMode="auto">
        <a:xfrm>
          <a:off x="7067550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0</xdr:colOff>
      <xdr:row>32</xdr:row>
      <xdr:rowOff>0</xdr:rowOff>
    </xdr:from>
    <xdr:to>
      <xdr:col>101</xdr:col>
      <xdr:colOff>76200</xdr:colOff>
      <xdr:row>32</xdr:row>
      <xdr:rowOff>9525</xdr:rowOff>
    </xdr:to>
    <xdr:sp macro="" textlink="">
      <xdr:nvSpPr>
        <xdr:cNvPr id="1070309" name="Line 475">
          <a:extLst>
            <a:ext uri="{FF2B5EF4-FFF2-40B4-BE49-F238E27FC236}">
              <a16:creationId xmlns:a16="http://schemas.microsoft.com/office/drawing/2014/main" id="{00000000-0008-0000-0D00-0000E5541000}"/>
            </a:ext>
          </a:extLst>
        </xdr:cNvPr>
        <xdr:cNvSpPr>
          <a:spLocks noChangeShapeType="1"/>
        </xdr:cNvSpPr>
      </xdr:nvSpPr>
      <xdr:spPr bwMode="auto">
        <a:xfrm>
          <a:off x="7060882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66675</xdr:colOff>
      <xdr:row>32</xdr:row>
      <xdr:rowOff>9525</xdr:rowOff>
    </xdr:from>
    <xdr:to>
      <xdr:col>101</xdr:col>
      <xdr:colOff>66675</xdr:colOff>
      <xdr:row>35</xdr:row>
      <xdr:rowOff>19050</xdr:rowOff>
    </xdr:to>
    <xdr:sp macro="" textlink="">
      <xdr:nvSpPr>
        <xdr:cNvPr id="1070310" name="Line 476">
          <a:extLst>
            <a:ext uri="{FF2B5EF4-FFF2-40B4-BE49-F238E27FC236}">
              <a16:creationId xmlns:a16="http://schemas.microsoft.com/office/drawing/2014/main" id="{00000000-0008-0000-0D00-0000E6541000}"/>
            </a:ext>
          </a:extLst>
        </xdr:cNvPr>
        <xdr:cNvSpPr>
          <a:spLocks noChangeShapeType="1"/>
        </xdr:cNvSpPr>
      </xdr:nvSpPr>
      <xdr:spPr bwMode="auto">
        <a:xfrm>
          <a:off x="7067550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76200</xdr:colOff>
      <xdr:row>35</xdr:row>
      <xdr:rowOff>19050</xdr:rowOff>
    </xdr:from>
    <xdr:to>
      <xdr:col>102</xdr:col>
      <xdr:colOff>9525</xdr:colOff>
      <xdr:row>38</xdr:row>
      <xdr:rowOff>9525</xdr:rowOff>
    </xdr:to>
    <xdr:sp macro="" textlink="">
      <xdr:nvSpPr>
        <xdr:cNvPr id="1070311" name="Line 477">
          <a:extLst>
            <a:ext uri="{FF2B5EF4-FFF2-40B4-BE49-F238E27FC236}">
              <a16:creationId xmlns:a16="http://schemas.microsoft.com/office/drawing/2014/main" id="{00000000-0008-0000-0D00-0000E7541000}"/>
            </a:ext>
          </a:extLst>
        </xdr:cNvPr>
        <xdr:cNvSpPr>
          <a:spLocks noChangeShapeType="1"/>
        </xdr:cNvSpPr>
      </xdr:nvSpPr>
      <xdr:spPr bwMode="auto">
        <a:xfrm>
          <a:off x="70685025" y="6953250"/>
          <a:ext cx="342900" cy="5334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101</xdr:col>
      <xdr:colOff>0</xdr:colOff>
      <xdr:row>32</xdr:row>
      <xdr:rowOff>0</xdr:rowOff>
    </xdr:from>
    <xdr:to>
      <xdr:col>101</xdr:col>
      <xdr:colOff>76200</xdr:colOff>
      <xdr:row>32</xdr:row>
      <xdr:rowOff>9525</xdr:rowOff>
    </xdr:to>
    <xdr:sp macro="" textlink="">
      <xdr:nvSpPr>
        <xdr:cNvPr id="1070312" name="Line 478">
          <a:extLst>
            <a:ext uri="{FF2B5EF4-FFF2-40B4-BE49-F238E27FC236}">
              <a16:creationId xmlns:a16="http://schemas.microsoft.com/office/drawing/2014/main" id="{00000000-0008-0000-0D00-0000E8541000}"/>
            </a:ext>
          </a:extLst>
        </xdr:cNvPr>
        <xdr:cNvSpPr>
          <a:spLocks noChangeShapeType="1"/>
        </xdr:cNvSpPr>
      </xdr:nvSpPr>
      <xdr:spPr bwMode="auto">
        <a:xfrm>
          <a:off x="7060882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66675</xdr:colOff>
      <xdr:row>32</xdr:row>
      <xdr:rowOff>9525</xdr:rowOff>
    </xdr:from>
    <xdr:to>
      <xdr:col>101</xdr:col>
      <xdr:colOff>66675</xdr:colOff>
      <xdr:row>37</xdr:row>
      <xdr:rowOff>152400</xdr:rowOff>
    </xdr:to>
    <xdr:sp macro="" textlink="">
      <xdr:nvSpPr>
        <xdr:cNvPr id="1070313" name="Line 479">
          <a:extLst>
            <a:ext uri="{FF2B5EF4-FFF2-40B4-BE49-F238E27FC236}">
              <a16:creationId xmlns:a16="http://schemas.microsoft.com/office/drawing/2014/main" id="{00000000-0008-0000-0D00-0000E9541000}"/>
            </a:ext>
          </a:extLst>
        </xdr:cNvPr>
        <xdr:cNvSpPr>
          <a:spLocks noChangeShapeType="1"/>
        </xdr:cNvSpPr>
      </xdr:nvSpPr>
      <xdr:spPr bwMode="auto">
        <a:xfrm>
          <a:off x="70675500" y="6400800"/>
          <a:ext cx="0" cy="1047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66675</xdr:colOff>
      <xdr:row>31</xdr:row>
      <xdr:rowOff>161925</xdr:rowOff>
    </xdr:from>
    <xdr:to>
      <xdr:col>102</xdr:col>
      <xdr:colOff>0</xdr:colOff>
      <xdr:row>35</xdr:row>
      <xdr:rowOff>0</xdr:rowOff>
    </xdr:to>
    <xdr:sp macro="" textlink="">
      <xdr:nvSpPr>
        <xdr:cNvPr id="1070314" name="Line 480">
          <a:extLst>
            <a:ext uri="{FF2B5EF4-FFF2-40B4-BE49-F238E27FC236}">
              <a16:creationId xmlns:a16="http://schemas.microsoft.com/office/drawing/2014/main" id="{00000000-0008-0000-0D00-0000EA541000}"/>
            </a:ext>
          </a:extLst>
        </xdr:cNvPr>
        <xdr:cNvSpPr>
          <a:spLocks noChangeShapeType="1"/>
        </xdr:cNvSpPr>
      </xdr:nvSpPr>
      <xdr:spPr bwMode="auto">
        <a:xfrm flipV="1">
          <a:off x="70675500" y="6372225"/>
          <a:ext cx="342900" cy="5619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101</xdr:col>
      <xdr:colOff>66675</xdr:colOff>
      <xdr:row>35</xdr:row>
      <xdr:rowOff>9525</xdr:rowOff>
    </xdr:from>
    <xdr:to>
      <xdr:col>102</xdr:col>
      <xdr:colOff>0</xdr:colOff>
      <xdr:row>35</xdr:row>
      <xdr:rowOff>9525</xdr:rowOff>
    </xdr:to>
    <xdr:sp macro="" textlink="">
      <xdr:nvSpPr>
        <xdr:cNvPr id="1070315" name="Line 481">
          <a:extLst>
            <a:ext uri="{FF2B5EF4-FFF2-40B4-BE49-F238E27FC236}">
              <a16:creationId xmlns:a16="http://schemas.microsoft.com/office/drawing/2014/main" id="{00000000-0008-0000-0D00-0000EB541000}"/>
            </a:ext>
          </a:extLst>
        </xdr:cNvPr>
        <xdr:cNvSpPr>
          <a:spLocks noChangeShapeType="1"/>
        </xdr:cNvSpPr>
      </xdr:nvSpPr>
      <xdr:spPr bwMode="auto">
        <a:xfrm>
          <a:off x="70675500" y="6943725"/>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101</xdr:col>
      <xdr:colOff>9525</xdr:colOff>
      <xdr:row>37</xdr:row>
      <xdr:rowOff>171450</xdr:rowOff>
    </xdr:from>
    <xdr:to>
      <xdr:col>101</xdr:col>
      <xdr:colOff>66675</xdr:colOff>
      <xdr:row>38</xdr:row>
      <xdr:rowOff>0</xdr:rowOff>
    </xdr:to>
    <xdr:sp macro="" textlink="">
      <xdr:nvSpPr>
        <xdr:cNvPr id="1070316" name="Line 482">
          <a:extLst>
            <a:ext uri="{FF2B5EF4-FFF2-40B4-BE49-F238E27FC236}">
              <a16:creationId xmlns:a16="http://schemas.microsoft.com/office/drawing/2014/main" id="{00000000-0008-0000-0D00-0000EC541000}"/>
            </a:ext>
          </a:extLst>
        </xdr:cNvPr>
        <xdr:cNvSpPr>
          <a:spLocks noChangeShapeType="1"/>
        </xdr:cNvSpPr>
      </xdr:nvSpPr>
      <xdr:spPr bwMode="auto">
        <a:xfrm flipV="1">
          <a:off x="70618350" y="74676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9525</xdr:colOff>
      <xdr:row>29</xdr:row>
      <xdr:rowOff>0</xdr:rowOff>
    </xdr:from>
    <xdr:to>
      <xdr:col>95</xdr:col>
      <xdr:colOff>66675</xdr:colOff>
      <xdr:row>29</xdr:row>
      <xdr:rowOff>9525</xdr:rowOff>
    </xdr:to>
    <xdr:sp macro="" textlink="">
      <xdr:nvSpPr>
        <xdr:cNvPr id="1070317" name="Line 39">
          <a:extLst>
            <a:ext uri="{FF2B5EF4-FFF2-40B4-BE49-F238E27FC236}">
              <a16:creationId xmlns:a16="http://schemas.microsoft.com/office/drawing/2014/main" id="{00000000-0008-0000-0D00-0000ED541000}"/>
            </a:ext>
          </a:extLst>
        </xdr:cNvPr>
        <xdr:cNvSpPr>
          <a:spLocks noChangeShapeType="1"/>
        </xdr:cNvSpPr>
      </xdr:nvSpPr>
      <xdr:spPr bwMode="auto">
        <a:xfrm flipV="1">
          <a:off x="6636067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98</xdr:col>
      <xdr:colOff>9525</xdr:colOff>
      <xdr:row>29</xdr:row>
      <xdr:rowOff>0</xdr:rowOff>
    </xdr:from>
    <xdr:to>
      <xdr:col>98</xdr:col>
      <xdr:colOff>66675</xdr:colOff>
      <xdr:row>29</xdr:row>
      <xdr:rowOff>9525</xdr:rowOff>
    </xdr:to>
    <xdr:sp macro="" textlink="">
      <xdr:nvSpPr>
        <xdr:cNvPr id="1070318" name="Line 42">
          <a:extLst>
            <a:ext uri="{FF2B5EF4-FFF2-40B4-BE49-F238E27FC236}">
              <a16:creationId xmlns:a16="http://schemas.microsoft.com/office/drawing/2014/main" id="{00000000-0008-0000-0D00-0000EE541000}"/>
            </a:ext>
          </a:extLst>
        </xdr:cNvPr>
        <xdr:cNvSpPr>
          <a:spLocks noChangeShapeType="1"/>
        </xdr:cNvSpPr>
      </xdr:nvSpPr>
      <xdr:spPr bwMode="auto">
        <a:xfrm flipV="1">
          <a:off x="6852285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9525</xdr:colOff>
      <xdr:row>29</xdr:row>
      <xdr:rowOff>0</xdr:rowOff>
    </xdr:from>
    <xdr:to>
      <xdr:col>101</xdr:col>
      <xdr:colOff>66675</xdr:colOff>
      <xdr:row>29</xdr:row>
      <xdr:rowOff>9525</xdr:rowOff>
    </xdr:to>
    <xdr:sp macro="" textlink="">
      <xdr:nvSpPr>
        <xdr:cNvPr id="1070319" name="Line 45">
          <a:extLst>
            <a:ext uri="{FF2B5EF4-FFF2-40B4-BE49-F238E27FC236}">
              <a16:creationId xmlns:a16="http://schemas.microsoft.com/office/drawing/2014/main" id="{00000000-0008-0000-0D00-0000EF541000}"/>
            </a:ext>
          </a:extLst>
        </xdr:cNvPr>
        <xdr:cNvSpPr>
          <a:spLocks noChangeShapeType="1"/>
        </xdr:cNvSpPr>
      </xdr:nvSpPr>
      <xdr:spPr bwMode="auto">
        <a:xfrm flipV="1">
          <a:off x="7061835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9525</xdr:colOff>
      <xdr:row>29</xdr:row>
      <xdr:rowOff>0</xdr:rowOff>
    </xdr:from>
    <xdr:to>
      <xdr:col>101</xdr:col>
      <xdr:colOff>66675</xdr:colOff>
      <xdr:row>29</xdr:row>
      <xdr:rowOff>9525</xdr:rowOff>
    </xdr:to>
    <xdr:sp macro="" textlink="">
      <xdr:nvSpPr>
        <xdr:cNvPr id="1070320" name="Line 79">
          <a:extLst>
            <a:ext uri="{FF2B5EF4-FFF2-40B4-BE49-F238E27FC236}">
              <a16:creationId xmlns:a16="http://schemas.microsoft.com/office/drawing/2014/main" id="{00000000-0008-0000-0D00-0000F0541000}"/>
            </a:ext>
          </a:extLst>
        </xdr:cNvPr>
        <xdr:cNvSpPr>
          <a:spLocks noChangeShapeType="1"/>
        </xdr:cNvSpPr>
      </xdr:nvSpPr>
      <xdr:spPr bwMode="auto">
        <a:xfrm flipV="1">
          <a:off x="7061835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76200</xdr:colOff>
      <xdr:row>27</xdr:row>
      <xdr:rowOff>66675</xdr:rowOff>
    </xdr:from>
    <xdr:to>
      <xdr:col>102</xdr:col>
      <xdr:colOff>9525</xdr:colOff>
      <xdr:row>29</xdr:row>
      <xdr:rowOff>19050</xdr:rowOff>
    </xdr:to>
    <xdr:sp macro="" textlink="">
      <xdr:nvSpPr>
        <xdr:cNvPr id="1070321" name="Line 81">
          <a:extLst>
            <a:ext uri="{FF2B5EF4-FFF2-40B4-BE49-F238E27FC236}">
              <a16:creationId xmlns:a16="http://schemas.microsoft.com/office/drawing/2014/main" id="{00000000-0008-0000-0D00-0000F1541000}"/>
            </a:ext>
          </a:extLst>
        </xdr:cNvPr>
        <xdr:cNvSpPr>
          <a:spLocks noChangeShapeType="1"/>
        </xdr:cNvSpPr>
      </xdr:nvSpPr>
      <xdr:spPr bwMode="auto">
        <a:xfrm>
          <a:off x="70685025" y="55530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101</xdr:col>
      <xdr:colOff>9525</xdr:colOff>
      <xdr:row>29</xdr:row>
      <xdr:rowOff>0</xdr:rowOff>
    </xdr:from>
    <xdr:to>
      <xdr:col>101</xdr:col>
      <xdr:colOff>66675</xdr:colOff>
      <xdr:row>29</xdr:row>
      <xdr:rowOff>9525</xdr:rowOff>
    </xdr:to>
    <xdr:sp macro="" textlink="">
      <xdr:nvSpPr>
        <xdr:cNvPr id="1070322" name="Line 92">
          <a:extLst>
            <a:ext uri="{FF2B5EF4-FFF2-40B4-BE49-F238E27FC236}">
              <a16:creationId xmlns:a16="http://schemas.microsoft.com/office/drawing/2014/main" id="{00000000-0008-0000-0D00-0000F2541000}"/>
            </a:ext>
          </a:extLst>
        </xdr:cNvPr>
        <xdr:cNvSpPr>
          <a:spLocks noChangeShapeType="1"/>
        </xdr:cNvSpPr>
      </xdr:nvSpPr>
      <xdr:spPr bwMode="auto">
        <a:xfrm flipV="1">
          <a:off x="7061835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98</xdr:col>
      <xdr:colOff>9525</xdr:colOff>
      <xdr:row>29</xdr:row>
      <xdr:rowOff>0</xdr:rowOff>
    </xdr:from>
    <xdr:to>
      <xdr:col>98</xdr:col>
      <xdr:colOff>66675</xdr:colOff>
      <xdr:row>29</xdr:row>
      <xdr:rowOff>9525</xdr:rowOff>
    </xdr:to>
    <xdr:sp macro="" textlink="">
      <xdr:nvSpPr>
        <xdr:cNvPr id="1070323" name="Line 136">
          <a:extLst>
            <a:ext uri="{FF2B5EF4-FFF2-40B4-BE49-F238E27FC236}">
              <a16:creationId xmlns:a16="http://schemas.microsoft.com/office/drawing/2014/main" id="{00000000-0008-0000-0D00-0000F3541000}"/>
            </a:ext>
          </a:extLst>
        </xdr:cNvPr>
        <xdr:cNvSpPr>
          <a:spLocks noChangeShapeType="1"/>
        </xdr:cNvSpPr>
      </xdr:nvSpPr>
      <xdr:spPr bwMode="auto">
        <a:xfrm flipV="1">
          <a:off x="6852285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19050</xdr:colOff>
      <xdr:row>31</xdr:row>
      <xdr:rowOff>171450</xdr:rowOff>
    </xdr:from>
    <xdr:to>
      <xdr:col>95</xdr:col>
      <xdr:colOff>95250</xdr:colOff>
      <xdr:row>32</xdr:row>
      <xdr:rowOff>0</xdr:rowOff>
    </xdr:to>
    <xdr:sp macro="" textlink="">
      <xdr:nvSpPr>
        <xdr:cNvPr id="1070324" name="Line 459">
          <a:extLst>
            <a:ext uri="{FF2B5EF4-FFF2-40B4-BE49-F238E27FC236}">
              <a16:creationId xmlns:a16="http://schemas.microsoft.com/office/drawing/2014/main" id="{00000000-0008-0000-0D00-0000F4541000}"/>
            </a:ext>
          </a:extLst>
        </xdr:cNvPr>
        <xdr:cNvSpPr>
          <a:spLocks noChangeShapeType="1"/>
        </xdr:cNvSpPr>
      </xdr:nvSpPr>
      <xdr:spPr bwMode="auto">
        <a:xfrm>
          <a:off x="66370200" y="638175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85725</xdr:colOff>
      <xdr:row>32</xdr:row>
      <xdr:rowOff>0</xdr:rowOff>
    </xdr:from>
    <xdr:to>
      <xdr:col>95</xdr:col>
      <xdr:colOff>85725</xdr:colOff>
      <xdr:row>37</xdr:row>
      <xdr:rowOff>142875</xdr:rowOff>
    </xdr:to>
    <xdr:sp macro="" textlink="">
      <xdr:nvSpPr>
        <xdr:cNvPr id="1070325" name="Line 460">
          <a:extLst>
            <a:ext uri="{FF2B5EF4-FFF2-40B4-BE49-F238E27FC236}">
              <a16:creationId xmlns:a16="http://schemas.microsoft.com/office/drawing/2014/main" id="{00000000-0008-0000-0D00-0000F5541000}"/>
            </a:ext>
          </a:extLst>
        </xdr:cNvPr>
        <xdr:cNvSpPr>
          <a:spLocks noChangeShapeType="1"/>
        </xdr:cNvSpPr>
      </xdr:nvSpPr>
      <xdr:spPr bwMode="auto">
        <a:xfrm>
          <a:off x="66436875" y="6391275"/>
          <a:ext cx="0" cy="1047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98</xdr:col>
      <xdr:colOff>9525</xdr:colOff>
      <xdr:row>29</xdr:row>
      <xdr:rowOff>0</xdr:rowOff>
    </xdr:from>
    <xdr:to>
      <xdr:col>98</xdr:col>
      <xdr:colOff>66675</xdr:colOff>
      <xdr:row>29</xdr:row>
      <xdr:rowOff>9525</xdr:rowOff>
    </xdr:to>
    <xdr:sp macro="" textlink="">
      <xdr:nvSpPr>
        <xdr:cNvPr id="1070326" name="Line 464">
          <a:extLst>
            <a:ext uri="{FF2B5EF4-FFF2-40B4-BE49-F238E27FC236}">
              <a16:creationId xmlns:a16="http://schemas.microsoft.com/office/drawing/2014/main" id="{00000000-0008-0000-0D00-0000F6541000}"/>
            </a:ext>
          </a:extLst>
        </xdr:cNvPr>
        <xdr:cNvSpPr>
          <a:spLocks noChangeShapeType="1"/>
        </xdr:cNvSpPr>
      </xdr:nvSpPr>
      <xdr:spPr bwMode="auto">
        <a:xfrm flipV="1">
          <a:off x="6852285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0</xdr:colOff>
      <xdr:row>32</xdr:row>
      <xdr:rowOff>0</xdr:rowOff>
    </xdr:from>
    <xdr:to>
      <xdr:col>101</xdr:col>
      <xdr:colOff>76200</xdr:colOff>
      <xdr:row>32</xdr:row>
      <xdr:rowOff>9525</xdr:rowOff>
    </xdr:to>
    <xdr:sp macro="" textlink="">
      <xdr:nvSpPr>
        <xdr:cNvPr id="1070327" name="Line 473">
          <a:extLst>
            <a:ext uri="{FF2B5EF4-FFF2-40B4-BE49-F238E27FC236}">
              <a16:creationId xmlns:a16="http://schemas.microsoft.com/office/drawing/2014/main" id="{00000000-0008-0000-0D00-0000F7541000}"/>
            </a:ext>
          </a:extLst>
        </xdr:cNvPr>
        <xdr:cNvSpPr>
          <a:spLocks noChangeShapeType="1"/>
        </xdr:cNvSpPr>
      </xdr:nvSpPr>
      <xdr:spPr bwMode="auto">
        <a:xfrm>
          <a:off x="7060882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66675</xdr:colOff>
      <xdr:row>32</xdr:row>
      <xdr:rowOff>9525</xdr:rowOff>
    </xdr:from>
    <xdr:to>
      <xdr:col>101</xdr:col>
      <xdr:colOff>66675</xdr:colOff>
      <xdr:row>35</xdr:row>
      <xdr:rowOff>19050</xdr:rowOff>
    </xdr:to>
    <xdr:sp macro="" textlink="">
      <xdr:nvSpPr>
        <xdr:cNvPr id="1070328" name="Line 474">
          <a:extLst>
            <a:ext uri="{FF2B5EF4-FFF2-40B4-BE49-F238E27FC236}">
              <a16:creationId xmlns:a16="http://schemas.microsoft.com/office/drawing/2014/main" id="{00000000-0008-0000-0D00-0000F8541000}"/>
            </a:ext>
          </a:extLst>
        </xdr:cNvPr>
        <xdr:cNvSpPr>
          <a:spLocks noChangeShapeType="1"/>
        </xdr:cNvSpPr>
      </xdr:nvSpPr>
      <xdr:spPr bwMode="auto">
        <a:xfrm>
          <a:off x="7067550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0</xdr:colOff>
      <xdr:row>32</xdr:row>
      <xdr:rowOff>0</xdr:rowOff>
    </xdr:from>
    <xdr:to>
      <xdr:col>101</xdr:col>
      <xdr:colOff>76200</xdr:colOff>
      <xdr:row>32</xdr:row>
      <xdr:rowOff>9525</xdr:rowOff>
    </xdr:to>
    <xdr:sp macro="" textlink="">
      <xdr:nvSpPr>
        <xdr:cNvPr id="1070329" name="Line 475">
          <a:extLst>
            <a:ext uri="{FF2B5EF4-FFF2-40B4-BE49-F238E27FC236}">
              <a16:creationId xmlns:a16="http://schemas.microsoft.com/office/drawing/2014/main" id="{00000000-0008-0000-0D00-0000F9541000}"/>
            </a:ext>
          </a:extLst>
        </xdr:cNvPr>
        <xdr:cNvSpPr>
          <a:spLocks noChangeShapeType="1"/>
        </xdr:cNvSpPr>
      </xdr:nvSpPr>
      <xdr:spPr bwMode="auto">
        <a:xfrm>
          <a:off x="7060882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66675</xdr:colOff>
      <xdr:row>32</xdr:row>
      <xdr:rowOff>9525</xdr:rowOff>
    </xdr:from>
    <xdr:to>
      <xdr:col>101</xdr:col>
      <xdr:colOff>66675</xdr:colOff>
      <xdr:row>35</xdr:row>
      <xdr:rowOff>19050</xdr:rowOff>
    </xdr:to>
    <xdr:sp macro="" textlink="">
      <xdr:nvSpPr>
        <xdr:cNvPr id="1070330" name="Line 476">
          <a:extLst>
            <a:ext uri="{FF2B5EF4-FFF2-40B4-BE49-F238E27FC236}">
              <a16:creationId xmlns:a16="http://schemas.microsoft.com/office/drawing/2014/main" id="{00000000-0008-0000-0D00-0000FA541000}"/>
            </a:ext>
          </a:extLst>
        </xdr:cNvPr>
        <xdr:cNvSpPr>
          <a:spLocks noChangeShapeType="1"/>
        </xdr:cNvSpPr>
      </xdr:nvSpPr>
      <xdr:spPr bwMode="auto">
        <a:xfrm>
          <a:off x="7067550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76200</xdr:colOff>
      <xdr:row>35</xdr:row>
      <xdr:rowOff>19050</xdr:rowOff>
    </xdr:from>
    <xdr:to>
      <xdr:col>102</xdr:col>
      <xdr:colOff>9525</xdr:colOff>
      <xdr:row>38</xdr:row>
      <xdr:rowOff>9525</xdr:rowOff>
    </xdr:to>
    <xdr:sp macro="" textlink="">
      <xdr:nvSpPr>
        <xdr:cNvPr id="1070331" name="Line 477">
          <a:extLst>
            <a:ext uri="{FF2B5EF4-FFF2-40B4-BE49-F238E27FC236}">
              <a16:creationId xmlns:a16="http://schemas.microsoft.com/office/drawing/2014/main" id="{00000000-0008-0000-0D00-0000FB541000}"/>
            </a:ext>
          </a:extLst>
        </xdr:cNvPr>
        <xdr:cNvSpPr>
          <a:spLocks noChangeShapeType="1"/>
        </xdr:cNvSpPr>
      </xdr:nvSpPr>
      <xdr:spPr bwMode="auto">
        <a:xfrm>
          <a:off x="70685025" y="6953250"/>
          <a:ext cx="342900" cy="5334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101</xdr:col>
      <xdr:colOff>0</xdr:colOff>
      <xdr:row>32</xdr:row>
      <xdr:rowOff>0</xdr:rowOff>
    </xdr:from>
    <xdr:to>
      <xdr:col>101</xdr:col>
      <xdr:colOff>76200</xdr:colOff>
      <xdr:row>32</xdr:row>
      <xdr:rowOff>9525</xdr:rowOff>
    </xdr:to>
    <xdr:sp macro="" textlink="">
      <xdr:nvSpPr>
        <xdr:cNvPr id="1070332" name="Line 478">
          <a:extLst>
            <a:ext uri="{FF2B5EF4-FFF2-40B4-BE49-F238E27FC236}">
              <a16:creationId xmlns:a16="http://schemas.microsoft.com/office/drawing/2014/main" id="{00000000-0008-0000-0D00-0000FC541000}"/>
            </a:ext>
          </a:extLst>
        </xdr:cNvPr>
        <xdr:cNvSpPr>
          <a:spLocks noChangeShapeType="1"/>
        </xdr:cNvSpPr>
      </xdr:nvSpPr>
      <xdr:spPr bwMode="auto">
        <a:xfrm>
          <a:off x="7060882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66675</xdr:colOff>
      <xdr:row>32</xdr:row>
      <xdr:rowOff>9525</xdr:rowOff>
    </xdr:from>
    <xdr:to>
      <xdr:col>101</xdr:col>
      <xdr:colOff>66675</xdr:colOff>
      <xdr:row>37</xdr:row>
      <xdr:rowOff>152400</xdr:rowOff>
    </xdr:to>
    <xdr:sp macro="" textlink="">
      <xdr:nvSpPr>
        <xdr:cNvPr id="1070333" name="Line 479">
          <a:extLst>
            <a:ext uri="{FF2B5EF4-FFF2-40B4-BE49-F238E27FC236}">
              <a16:creationId xmlns:a16="http://schemas.microsoft.com/office/drawing/2014/main" id="{00000000-0008-0000-0D00-0000FD541000}"/>
            </a:ext>
          </a:extLst>
        </xdr:cNvPr>
        <xdr:cNvSpPr>
          <a:spLocks noChangeShapeType="1"/>
        </xdr:cNvSpPr>
      </xdr:nvSpPr>
      <xdr:spPr bwMode="auto">
        <a:xfrm>
          <a:off x="70675500" y="6400800"/>
          <a:ext cx="0" cy="1047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66675</xdr:colOff>
      <xdr:row>31</xdr:row>
      <xdr:rowOff>161925</xdr:rowOff>
    </xdr:from>
    <xdr:to>
      <xdr:col>102</xdr:col>
      <xdr:colOff>0</xdr:colOff>
      <xdr:row>35</xdr:row>
      <xdr:rowOff>0</xdr:rowOff>
    </xdr:to>
    <xdr:sp macro="" textlink="">
      <xdr:nvSpPr>
        <xdr:cNvPr id="1070334" name="Line 480">
          <a:extLst>
            <a:ext uri="{FF2B5EF4-FFF2-40B4-BE49-F238E27FC236}">
              <a16:creationId xmlns:a16="http://schemas.microsoft.com/office/drawing/2014/main" id="{00000000-0008-0000-0D00-0000FE541000}"/>
            </a:ext>
          </a:extLst>
        </xdr:cNvPr>
        <xdr:cNvSpPr>
          <a:spLocks noChangeShapeType="1"/>
        </xdr:cNvSpPr>
      </xdr:nvSpPr>
      <xdr:spPr bwMode="auto">
        <a:xfrm flipV="1">
          <a:off x="70675500" y="6372225"/>
          <a:ext cx="342900" cy="5619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101</xdr:col>
      <xdr:colOff>66675</xdr:colOff>
      <xdr:row>35</xdr:row>
      <xdr:rowOff>9525</xdr:rowOff>
    </xdr:from>
    <xdr:to>
      <xdr:col>102</xdr:col>
      <xdr:colOff>0</xdr:colOff>
      <xdr:row>35</xdr:row>
      <xdr:rowOff>9525</xdr:rowOff>
    </xdr:to>
    <xdr:sp macro="" textlink="">
      <xdr:nvSpPr>
        <xdr:cNvPr id="1070335" name="Line 481">
          <a:extLst>
            <a:ext uri="{FF2B5EF4-FFF2-40B4-BE49-F238E27FC236}">
              <a16:creationId xmlns:a16="http://schemas.microsoft.com/office/drawing/2014/main" id="{00000000-0008-0000-0D00-0000FF541000}"/>
            </a:ext>
          </a:extLst>
        </xdr:cNvPr>
        <xdr:cNvSpPr>
          <a:spLocks noChangeShapeType="1"/>
        </xdr:cNvSpPr>
      </xdr:nvSpPr>
      <xdr:spPr bwMode="auto">
        <a:xfrm>
          <a:off x="70675500" y="6943725"/>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101</xdr:col>
      <xdr:colOff>9525</xdr:colOff>
      <xdr:row>37</xdr:row>
      <xdr:rowOff>171450</xdr:rowOff>
    </xdr:from>
    <xdr:to>
      <xdr:col>101</xdr:col>
      <xdr:colOff>66675</xdr:colOff>
      <xdr:row>38</xdr:row>
      <xdr:rowOff>0</xdr:rowOff>
    </xdr:to>
    <xdr:sp macro="" textlink="">
      <xdr:nvSpPr>
        <xdr:cNvPr id="1070336" name="Line 482">
          <a:extLst>
            <a:ext uri="{FF2B5EF4-FFF2-40B4-BE49-F238E27FC236}">
              <a16:creationId xmlns:a16="http://schemas.microsoft.com/office/drawing/2014/main" id="{00000000-0008-0000-0D00-000000551000}"/>
            </a:ext>
          </a:extLst>
        </xdr:cNvPr>
        <xdr:cNvSpPr>
          <a:spLocks noChangeShapeType="1"/>
        </xdr:cNvSpPr>
      </xdr:nvSpPr>
      <xdr:spPr bwMode="auto">
        <a:xfrm flipV="1">
          <a:off x="70618350" y="74676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111</xdr:col>
      <xdr:colOff>0</xdr:colOff>
      <xdr:row>8</xdr:row>
      <xdr:rowOff>0</xdr:rowOff>
    </xdr:from>
    <xdr:to>
      <xdr:col>111</xdr:col>
      <xdr:colOff>76200</xdr:colOff>
      <xdr:row>8</xdr:row>
      <xdr:rowOff>9525</xdr:rowOff>
    </xdr:to>
    <xdr:sp macro="" textlink="">
      <xdr:nvSpPr>
        <xdr:cNvPr id="1070337" name="Line 1">
          <a:extLst>
            <a:ext uri="{FF2B5EF4-FFF2-40B4-BE49-F238E27FC236}">
              <a16:creationId xmlns:a16="http://schemas.microsoft.com/office/drawing/2014/main" id="{00000000-0008-0000-0D00-000001551000}"/>
            </a:ext>
          </a:extLst>
        </xdr:cNvPr>
        <xdr:cNvSpPr>
          <a:spLocks noChangeShapeType="1"/>
        </xdr:cNvSpPr>
      </xdr:nvSpPr>
      <xdr:spPr bwMode="auto">
        <a:xfrm>
          <a:off x="7778115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111</xdr:col>
      <xdr:colOff>66675</xdr:colOff>
      <xdr:row>8</xdr:row>
      <xdr:rowOff>9525</xdr:rowOff>
    </xdr:from>
    <xdr:to>
      <xdr:col>111</xdr:col>
      <xdr:colOff>66675</xdr:colOff>
      <xdr:row>11</xdr:row>
      <xdr:rowOff>19050</xdr:rowOff>
    </xdr:to>
    <xdr:sp macro="" textlink="">
      <xdr:nvSpPr>
        <xdr:cNvPr id="1070338" name="Line 2">
          <a:extLst>
            <a:ext uri="{FF2B5EF4-FFF2-40B4-BE49-F238E27FC236}">
              <a16:creationId xmlns:a16="http://schemas.microsoft.com/office/drawing/2014/main" id="{00000000-0008-0000-0D00-000002551000}"/>
            </a:ext>
          </a:extLst>
        </xdr:cNvPr>
        <xdr:cNvSpPr>
          <a:spLocks noChangeShapeType="1"/>
        </xdr:cNvSpPr>
      </xdr:nvSpPr>
      <xdr:spPr bwMode="auto">
        <a:xfrm>
          <a:off x="7784782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111</xdr:col>
      <xdr:colOff>9525</xdr:colOff>
      <xdr:row>11</xdr:row>
      <xdr:rowOff>0</xdr:rowOff>
    </xdr:from>
    <xdr:to>
      <xdr:col>111</xdr:col>
      <xdr:colOff>66675</xdr:colOff>
      <xdr:row>11</xdr:row>
      <xdr:rowOff>9525</xdr:rowOff>
    </xdr:to>
    <xdr:sp macro="" textlink="">
      <xdr:nvSpPr>
        <xdr:cNvPr id="1070339" name="Line 3">
          <a:extLst>
            <a:ext uri="{FF2B5EF4-FFF2-40B4-BE49-F238E27FC236}">
              <a16:creationId xmlns:a16="http://schemas.microsoft.com/office/drawing/2014/main" id="{00000000-0008-0000-0D00-000003551000}"/>
            </a:ext>
          </a:extLst>
        </xdr:cNvPr>
        <xdr:cNvSpPr>
          <a:spLocks noChangeShapeType="1"/>
        </xdr:cNvSpPr>
      </xdr:nvSpPr>
      <xdr:spPr bwMode="auto">
        <a:xfrm flipV="1">
          <a:off x="7779067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108</xdr:col>
      <xdr:colOff>0</xdr:colOff>
      <xdr:row>8</xdr:row>
      <xdr:rowOff>0</xdr:rowOff>
    </xdr:from>
    <xdr:to>
      <xdr:col>108</xdr:col>
      <xdr:colOff>76200</xdr:colOff>
      <xdr:row>8</xdr:row>
      <xdr:rowOff>9525</xdr:rowOff>
    </xdr:to>
    <xdr:sp macro="" textlink="">
      <xdr:nvSpPr>
        <xdr:cNvPr id="1070340" name="Line 4">
          <a:extLst>
            <a:ext uri="{FF2B5EF4-FFF2-40B4-BE49-F238E27FC236}">
              <a16:creationId xmlns:a16="http://schemas.microsoft.com/office/drawing/2014/main" id="{00000000-0008-0000-0D00-000004551000}"/>
            </a:ext>
          </a:extLst>
        </xdr:cNvPr>
        <xdr:cNvSpPr>
          <a:spLocks noChangeShapeType="1"/>
        </xdr:cNvSpPr>
      </xdr:nvSpPr>
      <xdr:spPr bwMode="auto">
        <a:xfrm>
          <a:off x="7561897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108</xdr:col>
      <xdr:colOff>66675</xdr:colOff>
      <xdr:row>8</xdr:row>
      <xdr:rowOff>9525</xdr:rowOff>
    </xdr:from>
    <xdr:to>
      <xdr:col>108</xdr:col>
      <xdr:colOff>66675</xdr:colOff>
      <xdr:row>11</xdr:row>
      <xdr:rowOff>19050</xdr:rowOff>
    </xdr:to>
    <xdr:sp macro="" textlink="">
      <xdr:nvSpPr>
        <xdr:cNvPr id="1070341" name="Line 5">
          <a:extLst>
            <a:ext uri="{FF2B5EF4-FFF2-40B4-BE49-F238E27FC236}">
              <a16:creationId xmlns:a16="http://schemas.microsoft.com/office/drawing/2014/main" id="{00000000-0008-0000-0D00-000005551000}"/>
            </a:ext>
          </a:extLst>
        </xdr:cNvPr>
        <xdr:cNvSpPr>
          <a:spLocks noChangeShapeType="1"/>
        </xdr:cNvSpPr>
      </xdr:nvSpPr>
      <xdr:spPr bwMode="auto">
        <a:xfrm>
          <a:off x="7568565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108</xdr:col>
      <xdr:colOff>9525</xdr:colOff>
      <xdr:row>11</xdr:row>
      <xdr:rowOff>0</xdr:rowOff>
    </xdr:from>
    <xdr:to>
      <xdr:col>108</xdr:col>
      <xdr:colOff>66675</xdr:colOff>
      <xdr:row>11</xdr:row>
      <xdr:rowOff>9525</xdr:rowOff>
    </xdr:to>
    <xdr:sp macro="" textlink="">
      <xdr:nvSpPr>
        <xdr:cNvPr id="1070342" name="Line 6">
          <a:extLst>
            <a:ext uri="{FF2B5EF4-FFF2-40B4-BE49-F238E27FC236}">
              <a16:creationId xmlns:a16="http://schemas.microsoft.com/office/drawing/2014/main" id="{00000000-0008-0000-0D00-000006551000}"/>
            </a:ext>
          </a:extLst>
        </xdr:cNvPr>
        <xdr:cNvSpPr>
          <a:spLocks noChangeShapeType="1"/>
        </xdr:cNvSpPr>
      </xdr:nvSpPr>
      <xdr:spPr bwMode="auto">
        <a:xfrm flipV="1">
          <a:off x="7562850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0</xdr:colOff>
      <xdr:row>8</xdr:row>
      <xdr:rowOff>0</xdr:rowOff>
    </xdr:from>
    <xdr:to>
      <xdr:col>114</xdr:col>
      <xdr:colOff>76200</xdr:colOff>
      <xdr:row>8</xdr:row>
      <xdr:rowOff>9525</xdr:rowOff>
    </xdr:to>
    <xdr:sp macro="" textlink="">
      <xdr:nvSpPr>
        <xdr:cNvPr id="1070343" name="Line 16">
          <a:extLst>
            <a:ext uri="{FF2B5EF4-FFF2-40B4-BE49-F238E27FC236}">
              <a16:creationId xmlns:a16="http://schemas.microsoft.com/office/drawing/2014/main" id="{00000000-0008-0000-0D00-000007551000}"/>
            </a:ext>
          </a:extLst>
        </xdr:cNvPr>
        <xdr:cNvSpPr>
          <a:spLocks noChangeShapeType="1"/>
        </xdr:cNvSpPr>
      </xdr:nvSpPr>
      <xdr:spPr bwMode="auto">
        <a:xfrm>
          <a:off x="7987665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66675</xdr:colOff>
      <xdr:row>8</xdr:row>
      <xdr:rowOff>9525</xdr:rowOff>
    </xdr:from>
    <xdr:to>
      <xdr:col>114</xdr:col>
      <xdr:colOff>66675</xdr:colOff>
      <xdr:row>11</xdr:row>
      <xdr:rowOff>19050</xdr:rowOff>
    </xdr:to>
    <xdr:sp macro="" textlink="">
      <xdr:nvSpPr>
        <xdr:cNvPr id="1070344" name="Line 17">
          <a:extLst>
            <a:ext uri="{FF2B5EF4-FFF2-40B4-BE49-F238E27FC236}">
              <a16:creationId xmlns:a16="http://schemas.microsoft.com/office/drawing/2014/main" id="{00000000-0008-0000-0D00-000008551000}"/>
            </a:ext>
          </a:extLst>
        </xdr:cNvPr>
        <xdr:cNvSpPr>
          <a:spLocks noChangeShapeType="1"/>
        </xdr:cNvSpPr>
      </xdr:nvSpPr>
      <xdr:spPr bwMode="auto">
        <a:xfrm>
          <a:off x="7994332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9525</xdr:colOff>
      <xdr:row>11</xdr:row>
      <xdr:rowOff>0</xdr:rowOff>
    </xdr:from>
    <xdr:to>
      <xdr:col>114</xdr:col>
      <xdr:colOff>66675</xdr:colOff>
      <xdr:row>11</xdr:row>
      <xdr:rowOff>9525</xdr:rowOff>
    </xdr:to>
    <xdr:sp macro="" textlink="">
      <xdr:nvSpPr>
        <xdr:cNvPr id="1070345" name="Line 18">
          <a:extLst>
            <a:ext uri="{FF2B5EF4-FFF2-40B4-BE49-F238E27FC236}">
              <a16:creationId xmlns:a16="http://schemas.microsoft.com/office/drawing/2014/main" id="{00000000-0008-0000-0D00-000009551000}"/>
            </a:ext>
          </a:extLst>
        </xdr:cNvPr>
        <xdr:cNvSpPr>
          <a:spLocks noChangeShapeType="1"/>
        </xdr:cNvSpPr>
      </xdr:nvSpPr>
      <xdr:spPr bwMode="auto">
        <a:xfrm flipV="1">
          <a:off x="7988617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111</xdr:col>
      <xdr:colOff>66675</xdr:colOff>
      <xdr:row>8</xdr:row>
      <xdr:rowOff>9525</xdr:rowOff>
    </xdr:from>
    <xdr:to>
      <xdr:col>112</xdr:col>
      <xdr:colOff>0</xdr:colOff>
      <xdr:row>9</xdr:row>
      <xdr:rowOff>66675</xdr:rowOff>
    </xdr:to>
    <xdr:sp macro="" textlink="">
      <xdr:nvSpPr>
        <xdr:cNvPr id="1070346" name="Line 64">
          <a:extLst>
            <a:ext uri="{FF2B5EF4-FFF2-40B4-BE49-F238E27FC236}">
              <a16:creationId xmlns:a16="http://schemas.microsoft.com/office/drawing/2014/main" id="{00000000-0008-0000-0D00-00000A551000}"/>
            </a:ext>
          </a:extLst>
        </xdr:cNvPr>
        <xdr:cNvSpPr>
          <a:spLocks noChangeShapeType="1"/>
        </xdr:cNvSpPr>
      </xdr:nvSpPr>
      <xdr:spPr bwMode="auto">
        <a:xfrm flipV="1">
          <a:off x="77847825" y="2057400"/>
          <a:ext cx="342900" cy="2381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111</xdr:col>
      <xdr:colOff>66675</xdr:colOff>
      <xdr:row>9</xdr:row>
      <xdr:rowOff>76200</xdr:rowOff>
    </xdr:from>
    <xdr:to>
      <xdr:col>112</xdr:col>
      <xdr:colOff>0</xdr:colOff>
      <xdr:row>13</xdr:row>
      <xdr:rowOff>0</xdr:rowOff>
    </xdr:to>
    <xdr:sp macro="" textlink="">
      <xdr:nvSpPr>
        <xdr:cNvPr id="1070347" name="Line 66">
          <a:extLst>
            <a:ext uri="{FF2B5EF4-FFF2-40B4-BE49-F238E27FC236}">
              <a16:creationId xmlns:a16="http://schemas.microsoft.com/office/drawing/2014/main" id="{00000000-0008-0000-0D00-00000B551000}"/>
            </a:ext>
          </a:extLst>
        </xdr:cNvPr>
        <xdr:cNvSpPr>
          <a:spLocks noChangeShapeType="1"/>
        </xdr:cNvSpPr>
      </xdr:nvSpPr>
      <xdr:spPr bwMode="auto">
        <a:xfrm>
          <a:off x="77847825" y="2305050"/>
          <a:ext cx="342900" cy="6477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114</xdr:col>
      <xdr:colOff>0</xdr:colOff>
      <xdr:row>8</xdr:row>
      <xdr:rowOff>0</xdr:rowOff>
    </xdr:from>
    <xdr:to>
      <xdr:col>114</xdr:col>
      <xdr:colOff>76200</xdr:colOff>
      <xdr:row>8</xdr:row>
      <xdr:rowOff>9525</xdr:rowOff>
    </xdr:to>
    <xdr:sp macro="" textlink="">
      <xdr:nvSpPr>
        <xdr:cNvPr id="1070348" name="Line 99">
          <a:extLst>
            <a:ext uri="{FF2B5EF4-FFF2-40B4-BE49-F238E27FC236}">
              <a16:creationId xmlns:a16="http://schemas.microsoft.com/office/drawing/2014/main" id="{00000000-0008-0000-0D00-00000C551000}"/>
            </a:ext>
          </a:extLst>
        </xdr:cNvPr>
        <xdr:cNvSpPr>
          <a:spLocks noChangeShapeType="1"/>
        </xdr:cNvSpPr>
      </xdr:nvSpPr>
      <xdr:spPr bwMode="auto">
        <a:xfrm>
          <a:off x="7987665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66675</xdr:colOff>
      <xdr:row>8</xdr:row>
      <xdr:rowOff>9525</xdr:rowOff>
    </xdr:from>
    <xdr:to>
      <xdr:col>114</xdr:col>
      <xdr:colOff>66675</xdr:colOff>
      <xdr:row>11</xdr:row>
      <xdr:rowOff>19050</xdr:rowOff>
    </xdr:to>
    <xdr:sp macro="" textlink="">
      <xdr:nvSpPr>
        <xdr:cNvPr id="1070349" name="Line 100">
          <a:extLst>
            <a:ext uri="{FF2B5EF4-FFF2-40B4-BE49-F238E27FC236}">
              <a16:creationId xmlns:a16="http://schemas.microsoft.com/office/drawing/2014/main" id="{00000000-0008-0000-0D00-00000D551000}"/>
            </a:ext>
          </a:extLst>
        </xdr:cNvPr>
        <xdr:cNvSpPr>
          <a:spLocks noChangeShapeType="1"/>
        </xdr:cNvSpPr>
      </xdr:nvSpPr>
      <xdr:spPr bwMode="auto">
        <a:xfrm>
          <a:off x="7994332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9525</xdr:colOff>
      <xdr:row>11</xdr:row>
      <xdr:rowOff>0</xdr:rowOff>
    </xdr:from>
    <xdr:to>
      <xdr:col>114</xdr:col>
      <xdr:colOff>66675</xdr:colOff>
      <xdr:row>11</xdr:row>
      <xdr:rowOff>9525</xdr:rowOff>
    </xdr:to>
    <xdr:sp macro="" textlink="">
      <xdr:nvSpPr>
        <xdr:cNvPr id="1070350" name="Line 101">
          <a:extLst>
            <a:ext uri="{FF2B5EF4-FFF2-40B4-BE49-F238E27FC236}">
              <a16:creationId xmlns:a16="http://schemas.microsoft.com/office/drawing/2014/main" id="{00000000-0008-0000-0D00-00000E551000}"/>
            </a:ext>
          </a:extLst>
        </xdr:cNvPr>
        <xdr:cNvSpPr>
          <a:spLocks noChangeShapeType="1"/>
        </xdr:cNvSpPr>
      </xdr:nvSpPr>
      <xdr:spPr bwMode="auto">
        <a:xfrm flipV="1">
          <a:off x="7988617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0</xdr:colOff>
      <xdr:row>8</xdr:row>
      <xdr:rowOff>0</xdr:rowOff>
    </xdr:from>
    <xdr:to>
      <xdr:col>114</xdr:col>
      <xdr:colOff>76200</xdr:colOff>
      <xdr:row>8</xdr:row>
      <xdr:rowOff>9525</xdr:rowOff>
    </xdr:to>
    <xdr:sp macro="" textlink="">
      <xdr:nvSpPr>
        <xdr:cNvPr id="1070351" name="Line 110">
          <a:extLst>
            <a:ext uri="{FF2B5EF4-FFF2-40B4-BE49-F238E27FC236}">
              <a16:creationId xmlns:a16="http://schemas.microsoft.com/office/drawing/2014/main" id="{00000000-0008-0000-0D00-00000F551000}"/>
            </a:ext>
          </a:extLst>
        </xdr:cNvPr>
        <xdr:cNvSpPr>
          <a:spLocks noChangeShapeType="1"/>
        </xdr:cNvSpPr>
      </xdr:nvSpPr>
      <xdr:spPr bwMode="auto">
        <a:xfrm>
          <a:off x="7987665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66675</xdr:colOff>
      <xdr:row>8</xdr:row>
      <xdr:rowOff>9525</xdr:rowOff>
    </xdr:from>
    <xdr:to>
      <xdr:col>114</xdr:col>
      <xdr:colOff>66675</xdr:colOff>
      <xdr:row>11</xdr:row>
      <xdr:rowOff>19050</xdr:rowOff>
    </xdr:to>
    <xdr:sp macro="" textlink="">
      <xdr:nvSpPr>
        <xdr:cNvPr id="1070352" name="Line 111">
          <a:extLst>
            <a:ext uri="{FF2B5EF4-FFF2-40B4-BE49-F238E27FC236}">
              <a16:creationId xmlns:a16="http://schemas.microsoft.com/office/drawing/2014/main" id="{00000000-0008-0000-0D00-000010551000}"/>
            </a:ext>
          </a:extLst>
        </xdr:cNvPr>
        <xdr:cNvSpPr>
          <a:spLocks noChangeShapeType="1"/>
        </xdr:cNvSpPr>
      </xdr:nvSpPr>
      <xdr:spPr bwMode="auto">
        <a:xfrm>
          <a:off x="7994332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9525</xdr:colOff>
      <xdr:row>11</xdr:row>
      <xdr:rowOff>0</xdr:rowOff>
    </xdr:from>
    <xdr:to>
      <xdr:col>114</xdr:col>
      <xdr:colOff>66675</xdr:colOff>
      <xdr:row>11</xdr:row>
      <xdr:rowOff>9525</xdr:rowOff>
    </xdr:to>
    <xdr:sp macro="" textlink="">
      <xdr:nvSpPr>
        <xdr:cNvPr id="1070353" name="Line 112">
          <a:extLst>
            <a:ext uri="{FF2B5EF4-FFF2-40B4-BE49-F238E27FC236}">
              <a16:creationId xmlns:a16="http://schemas.microsoft.com/office/drawing/2014/main" id="{00000000-0008-0000-0D00-000011551000}"/>
            </a:ext>
          </a:extLst>
        </xdr:cNvPr>
        <xdr:cNvSpPr>
          <a:spLocks noChangeShapeType="1"/>
        </xdr:cNvSpPr>
      </xdr:nvSpPr>
      <xdr:spPr bwMode="auto">
        <a:xfrm flipV="1">
          <a:off x="7988617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0</xdr:colOff>
      <xdr:row>8</xdr:row>
      <xdr:rowOff>0</xdr:rowOff>
    </xdr:from>
    <xdr:to>
      <xdr:col>114</xdr:col>
      <xdr:colOff>76200</xdr:colOff>
      <xdr:row>8</xdr:row>
      <xdr:rowOff>9525</xdr:rowOff>
    </xdr:to>
    <xdr:sp macro="" textlink="">
      <xdr:nvSpPr>
        <xdr:cNvPr id="1070354" name="Line 113">
          <a:extLst>
            <a:ext uri="{FF2B5EF4-FFF2-40B4-BE49-F238E27FC236}">
              <a16:creationId xmlns:a16="http://schemas.microsoft.com/office/drawing/2014/main" id="{00000000-0008-0000-0D00-000012551000}"/>
            </a:ext>
          </a:extLst>
        </xdr:cNvPr>
        <xdr:cNvSpPr>
          <a:spLocks noChangeShapeType="1"/>
        </xdr:cNvSpPr>
      </xdr:nvSpPr>
      <xdr:spPr bwMode="auto">
        <a:xfrm>
          <a:off x="7987665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66675</xdr:colOff>
      <xdr:row>8</xdr:row>
      <xdr:rowOff>9525</xdr:rowOff>
    </xdr:from>
    <xdr:to>
      <xdr:col>114</xdr:col>
      <xdr:colOff>66675</xdr:colOff>
      <xdr:row>11</xdr:row>
      <xdr:rowOff>19050</xdr:rowOff>
    </xdr:to>
    <xdr:sp macro="" textlink="">
      <xdr:nvSpPr>
        <xdr:cNvPr id="1070355" name="Line 114">
          <a:extLst>
            <a:ext uri="{FF2B5EF4-FFF2-40B4-BE49-F238E27FC236}">
              <a16:creationId xmlns:a16="http://schemas.microsoft.com/office/drawing/2014/main" id="{00000000-0008-0000-0D00-000013551000}"/>
            </a:ext>
          </a:extLst>
        </xdr:cNvPr>
        <xdr:cNvSpPr>
          <a:spLocks noChangeShapeType="1"/>
        </xdr:cNvSpPr>
      </xdr:nvSpPr>
      <xdr:spPr bwMode="auto">
        <a:xfrm>
          <a:off x="7994332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9525</xdr:colOff>
      <xdr:row>11</xdr:row>
      <xdr:rowOff>0</xdr:rowOff>
    </xdr:from>
    <xdr:to>
      <xdr:col>114</xdr:col>
      <xdr:colOff>66675</xdr:colOff>
      <xdr:row>11</xdr:row>
      <xdr:rowOff>9525</xdr:rowOff>
    </xdr:to>
    <xdr:sp macro="" textlink="">
      <xdr:nvSpPr>
        <xdr:cNvPr id="1070356" name="Line 115">
          <a:extLst>
            <a:ext uri="{FF2B5EF4-FFF2-40B4-BE49-F238E27FC236}">
              <a16:creationId xmlns:a16="http://schemas.microsoft.com/office/drawing/2014/main" id="{00000000-0008-0000-0D00-000014551000}"/>
            </a:ext>
          </a:extLst>
        </xdr:cNvPr>
        <xdr:cNvSpPr>
          <a:spLocks noChangeShapeType="1"/>
        </xdr:cNvSpPr>
      </xdr:nvSpPr>
      <xdr:spPr bwMode="auto">
        <a:xfrm flipV="1">
          <a:off x="7988617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76200</xdr:colOff>
      <xdr:row>8</xdr:row>
      <xdr:rowOff>0</xdr:rowOff>
    </xdr:from>
    <xdr:to>
      <xdr:col>114</xdr:col>
      <xdr:colOff>400050</xdr:colOff>
      <xdr:row>9</xdr:row>
      <xdr:rowOff>57150</xdr:rowOff>
    </xdr:to>
    <xdr:sp macro="" textlink="">
      <xdr:nvSpPr>
        <xdr:cNvPr id="1070357" name="Line 116">
          <a:extLst>
            <a:ext uri="{FF2B5EF4-FFF2-40B4-BE49-F238E27FC236}">
              <a16:creationId xmlns:a16="http://schemas.microsoft.com/office/drawing/2014/main" id="{00000000-0008-0000-0D00-000015551000}"/>
            </a:ext>
          </a:extLst>
        </xdr:cNvPr>
        <xdr:cNvSpPr>
          <a:spLocks noChangeShapeType="1"/>
        </xdr:cNvSpPr>
      </xdr:nvSpPr>
      <xdr:spPr bwMode="auto">
        <a:xfrm flipV="1">
          <a:off x="79952850" y="2047875"/>
          <a:ext cx="3238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114</xdr:col>
      <xdr:colOff>76200</xdr:colOff>
      <xdr:row>9</xdr:row>
      <xdr:rowOff>66675</xdr:rowOff>
    </xdr:from>
    <xdr:to>
      <xdr:col>115</xdr:col>
      <xdr:colOff>0</xdr:colOff>
      <xdr:row>11</xdr:row>
      <xdr:rowOff>19050</xdr:rowOff>
    </xdr:to>
    <xdr:sp macro="" textlink="">
      <xdr:nvSpPr>
        <xdr:cNvPr id="1070358" name="Line 117">
          <a:extLst>
            <a:ext uri="{FF2B5EF4-FFF2-40B4-BE49-F238E27FC236}">
              <a16:creationId xmlns:a16="http://schemas.microsoft.com/office/drawing/2014/main" id="{00000000-0008-0000-0D00-000016551000}"/>
            </a:ext>
          </a:extLst>
        </xdr:cNvPr>
        <xdr:cNvSpPr>
          <a:spLocks noChangeShapeType="1"/>
        </xdr:cNvSpPr>
      </xdr:nvSpPr>
      <xdr:spPr bwMode="auto">
        <a:xfrm>
          <a:off x="79952850" y="2295525"/>
          <a:ext cx="333375"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108</xdr:col>
      <xdr:colOff>66675</xdr:colOff>
      <xdr:row>7</xdr:row>
      <xdr:rowOff>133350</xdr:rowOff>
    </xdr:from>
    <xdr:to>
      <xdr:col>109</xdr:col>
      <xdr:colOff>0</xdr:colOff>
      <xdr:row>9</xdr:row>
      <xdr:rowOff>66675</xdr:rowOff>
    </xdr:to>
    <xdr:sp macro="" textlink="">
      <xdr:nvSpPr>
        <xdr:cNvPr id="1070359" name="Line 146">
          <a:extLst>
            <a:ext uri="{FF2B5EF4-FFF2-40B4-BE49-F238E27FC236}">
              <a16:creationId xmlns:a16="http://schemas.microsoft.com/office/drawing/2014/main" id="{00000000-0008-0000-0D00-000017551000}"/>
            </a:ext>
          </a:extLst>
        </xdr:cNvPr>
        <xdr:cNvSpPr>
          <a:spLocks noChangeShapeType="1"/>
        </xdr:cNvSpPr>
      </xdr:nvSpPr>
      <xdr:spPr bwMode="auto">
        <a:xfrm flipV="1">
          <a:off x="75685650" y="2000250"/>
          <a:ext cx="38100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108</xdr:col>
      <xdr:colOff>66675</xdr:colOff>
      <xdr:row>9</xdr:row>
      <xdr:rowOff>66675</xdr:rowOff>
    </xdr:from>
    <xdr:to>
      <xdr:col>109</xdr:col>
      <xdr:colOff>19050</xdr:colOff>
      <xdr:row>13</xdr:row>
      <xdr:rowOff>0</xdr:rowOff>
    </xdr:to>
    <xdr:sp macro="" textlink="">
      <xdr:nvSpPr>
        <xdr:cNvPr id="1070360" name="Line 147">
          <a:extLst>
            <a:ext uri="{FF2B5EF4-FFF2-40B4-BE49-F238E27FC236}">
              <a16:creationId xmlns:a16="http://schemas.microsoft.com/office/drawing/2014/main" id="{00000000-0008-0000-0D00-000018551000}"/>
            </a:ext>
          </a:extLst>
        </xdr:cNvPr>
        <xdr:cNvSpPr>
          <a:spLocks noChangeShapeType="1"/>
        </xdr:cNvSpPr>
      </xdr:nvSpPr>
      <xdr:spPr bwMode="auto">
        <a:xfrm>
          <a:off x="75685650" y="2295525"/>
          <a:ext cx="400050" cy="657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111</xdr:col>
      <xdr:colOff>76200</xdr:colOff>
      <xdr:row>22</xdr:row>
      <xdr:rowOff>0</xdr:rowOff>
    </xdr:from>
    <xdr:to>
      <xdr:col>111</xdr:col>
      <xdr:colOff>76200</xdr:colOff>
      <xdr:row>22</xdr:row>
      <xdr:rowOff>0</xdr:rowOff>
    </xdr:to>
    <xdr:sp macro="" textlink="">
      <xdr:nvSpPr>
        <xdr:cNvPr id="1070361" name="Line 176">
          <a:extLst>
            <a:ext uri="{FF2B5EF4-FFF2-40B4-BE49-F238E27FC236}">
              <a16:creationId xmlns:a16="http://schemas.microsoft.com/office/drawing/2014/main" id="{00000000-0008-0000-0D00-000019551000}"/>
            </a:ext>
          </a:extLst>
        </xdr:cNvPr>
        <xdr:cNvSpPr>
          <a:spLocks noChangeShapeType="1"/>
        </xdr:cNvSpPr>
      </xdr:nvSpPr>
      <xdr:spPr bwMode="auto">
        <a:xfrm>
          <a:off x="77857350" y="4581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111</xdr:col>
      <xdr:colOff>76200</xdr:colOff>
      <xdr:row>22</xdr:row>
      <xdr:rowOff>0</xdr:rowOff>
    </xdr:from>
    <xdr:to>
      <xdr:col>111</xdr:col>
      <xdr:colOff>76200</xdr:colOff>
      <xdr:row>22</xdr:row>
      <xdr:rowOff>0</xdr:rowOff>
    </xdr:to>
    <xdr:sp macro="" textlink="">
      <xdr:nvSpPr>
        <xdr:cNvPr id="1070362" name="Line 210">
          <a:extLst>
            <a:ext uri="{FF2B5EF4-FFF2-40B4-BE49-F238E27FC236}">
              <a16:creationId xmlns:a16="http://schemas.microsoft.com/office/drawing/2014/main" id="{00000000-0008-0000-0D00-00001A551000}"/>
            </a:ext>
          </a:extLst>
        </xdr:cNvPr>
        <xdr:cNvSpPr>
          <a:spLocks noChangeShapeType="1"/>
        </xdr:cNvSpPr>
      </xdr:nvSpPr>
      <xdr:spPr bwMode="auto">
        <a:xfrm>
          <a:off x="77857350" y="4581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108</xdr:col>
      <xdr:colOff>0</xdr:colOff>
      <xdr:row>14</xdr:row>
      <xdr:rowOff>0</xdr:rowOff>
    </xdr:from>
    <xdr:to>
      <xdr:col>108</xdr:col>
      <xdr:colOff>76200</xdr:colOff>
      <xdr:row>14</xdr:row>
      <xdr:rowOff>9525</xdr:rowOff>
    </xdr:to>
    <xdr:sp macro="" textlink="">
      <xdr:nvSpPr>
        <xdr:cNvPr id="1070363" name="Line 303">
          <a:extLst>
            <a:ext uri="{FF2B5EF4-FFF2-40B4-BE49-F238E27FC236}">
              <a16:creationId xmlns:a16="http://schemas.microsoft.com/office/drawing/2014/main" id="{00000000-0008-0000-0D00-00001B551000}"/>
            </a:ext>
          </a:extLst>
        </xdr:cNvPr>
        <xdr:cNvSpPr>
          <a:spLocks noChangeShapeType="1"/>
        </xdr:cNvSpPr>
      </xdr:nvSpPr>
      <xdr:spPr bwMode="auto">
        <a:xfrm>
          <a:off x="7561897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108</xdr:col>
      <xdr:colOff>66675</xdr:colOff>
      <xdr:row>14</xdr:row>
      <xdr:rowOff>9525</xdr:rowOff>
    </xdr:from>
    <xdr:to>
      <xdr:col>108</xdr:col>
      <xdr:colOff>66675</xdr:colOff>
      <xdr:row>17</xdr:row>
      <xdr:rowOff>19050</xdr:rowOff>
    </xdr:to>
    <xdr:sp macro="" textlink="">
      <xdr:nvSpPr>
        <xdr:cNvPr id="1070364" name="Line 304">
          <a:extLst>
            <a:ext uri="{FF2B5EF4-FFF2-40B4-BE49-F238E27FC236}">
              <a16:creationId xmlns:a16="http://schemas.microsoft.com/office/drawing/2014/main" id="{00000000-0008-0000-0D00-00001C551000}"/>
            </a:ext>
          </a:extLst>
        </xdr:cNvPr>
        <xdr:cNvSpPr>
          <a:spLocks noChangeShapeType="1"/>
        </xdr:cNvSpPr>
      </xdr:nvSpPr>
      <xdr:spPr bwMode="auto">
        <a:xfrm>
          <a:off x="7568565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108</xdr:col>
      <xdr:colOff>9525</xdr:colOff>
      <xdr:row>17</xdr:row>
      <xdr:rowOff>0</xdr:rowOff>
    </xdr:from>
    <xdr:to>
      <xdr:col>108</xdr:col>
      <xdr:colOff>66675</xdr:colOff>
      <xdr:row>17</xdr:row>
      <xdr:rowOff>9525</xdr:rowOff>
    </xdr:to>
    <xdr:sp macro="" textlink="">
      <xdr:nvSpPr>
        <xdr:cNvPr id="1070365" name="Line 305">
          <a:extLst>
            <a:ext uri="{FF2B5EF4-FFF2-40B4-BE49-F238E27FC236}">
              <a16:creationId xmlns:a16="http://schemas.microsoft.com/office/drawing/2014/main" id="{00000000-0008-0000-0D00-00001D551000}"/>
            </a:ext>
          </a:extLst>
        </xdr:cNvPr>
        <xdr:cNvSpPr>
          <a:spLocks noChangeShapeType="1"/>
        </xdr:cNvSpPr>
      </xdr:nvSpPr>
      <xdr:spPr bwMode="auto">
        <a:xfrm flipV="1">
          <a:off x="756285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111</xdr:col>
      <xdr:colOff>0</xdr:colOff>
      <xdr:row>14</xdr:row>
      <xdr:rowOff>0</xdr:rowOff>
    </xdr:from>
    <xdr:to>
      <xdr:col>111</xdr:col>
      <xdr:colOff>76200</xdr:colOff>
      <xdr:row>14</xdr:row>
      <xdr:rowOff>9525</xdr:rowOff>
    </xdr:to>
    <xdr:sp macro="" textlink="">
      <xdr:nvSpPr>
        <xdr:cNvPr id="1070366" name="Line 306">
          <a:extLst>
            <a:ext uri="{FF2B5EF4-FFF2-40B4-BE49-F238E27FC236}">
              <a16:creationId xmlns:a16="http://schemas.microsoft.com/office/drawing/2014/main" id="{00000000-0008-0000-0D00-00001E551000}"/>
            </a:ext>
          </a:extLst>
        </xdr:cNvPr>
        <xdr:cNvSpPr>
          <a:spLocks noChangeShapeType="1"/>
        </xdr:cNvSpPr>
      </xdr:nvSpPr>
      <xdr:spPr bwMode="auto">
        <a:xfrm>
          <a:off x="7778115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111</xdr:col>
      <xdr:colOff>66675</xdr:colOff>
      <xdr:row>14</xdr:row>
      <xdr:rowOff>9525</xdr:rowOff>
    </xdr:from>
    <xdr:to>
      <xdr:col>111</xdr:col>
      <xdr:colOff>66675</xdr:colOff>
      <xdr:row>17</xdr:row>
      <xdr:rowOff>19050</xdr:rowOff>
    </xdr:to>
    <xdr:sp macro="" textlink="">
      <xdr:nvSpPr>
        <xdr:cNvPr id="1070367" name="Line 307">
          <a:extLst>
            <a:ext uri="{FF2B5EF4-FFF2-40B4-BE49-F238E27FC236}">
              <a16:creationId xmlns:a16="http://schemas.microsoft.com/office/drawing/2014/main" id="{00000000-0008-0000-0D00-00001F551000}"/>
            </a:ext>
          </a:extLst>
        </xdr:cNvPr>
        <xdr:cNvSpPr>
          <a:spLocks noChangeShapeType="1"/>
        </xdr:cNvSpPr>
      </xdr:nvSpPr>
      <xdr:spPr bwMode="auto">
        <a:xfrm>
          <a:off x="7784782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111</xdr:col>
      <xdr:colOff>9525</xdr:colOff>
      <xdr:row>17</xdr:row>
      <xdr:rowOff>0</xdr:rowOff>
    </xdr:from>
    <xdr:to>
      <xdr:col>111</xdr:col>
      <xdr:colOff>66675</xdr:colOff>
      <xdr:row>17</xdr:row>
      <xdr:rowOff>9525</xdr:rowOff>
    </xdr:to>
    <xdr:sp macro="" textlink="">
      <xdr:nvSpPr>
        <xdr:cNvPr id="1070368" name="Line 308">
          <a:extLst>
            <a:ext uri="{FF2B5EF4-FFF2-40B4-BE49-F238E27FC236}">
              <a16:creationId xmlns:a16="http://schemas.microsoft.com/office/drawing/2014/main" id="{00000000-0008-0000-0D00-000020551000}"/>
            </a:ext>
          </a:extLst>
        </xdr:cNvPr>
        <xdr:cNvSpPr>
          <a:spLocks noChangeShapeType="1"/>
        </xdr:cNvSpPr>
      </xdr:nvSpPr>
      <xdr:spPr bwMode="auto">
        <a:xfrm flipV="1">
          <a:off x="7779067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0</xdr:colOff>
      <xdr:row>14</xdr:row>
      <xdr:rowOff>0</xdr:rowOff>
    </xdr:from>
    <xdr:to>
      <xdr:col>114</xdr:col>
      <xdr:colOff>76200</xdr:colOff>
      <xdr:row>14</xdr:row>
      <xdr:rowOff>9525</xdr:rowOff>
    </xdr:to>
    <xdr:sp macro="" textlink="">
      <xdr:nvSpPr>
        <xdr:cNvPr id="1070369" name="Line 309">
          <a:extLst>
            <a:ext uri="{FF2B5EF4-FFF2-40B4-BE49-F238E27FC236}">
              <a16:creationId xmlns:a16="http://schemas.microsoft.com/office/drawing/2014/main" id="{00000000-0008-0000-0D00-000021551000}"/>
            </a:ext>
          </a:extLst>
        </xdr:cNvPr>
        <xdr:cNvSpPr>
          <a:spLocks noChangeShapeType="1"/>
        </xdr:cNvSpPr>
      </xdr:nvSpPr>
      <xdr:spPr bwMode="auto">
        <a:xfrm>
          <a:off x="7987665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66675</xdr:colOff>
      <xdr:row>14</xdr:row>
      <xdr:rowOff>9525</xdr:rowOff>
    </xdr:from>
    <xdr:to>
      <xdr:col>114</xdr:col>
      <xdr:colOff>66675</xdr:colOff>
      <xdr:row>17</xdr:row>
      <xdr:rowOff>19050</xdr:rowOff>
    </xdr:to>
    <xdr:sp macro="" textlink="">
      <xdr:nvSpPr>
        <xdr:cNvPr id="1070370" name="Line 310">
          <a:extLst>
            <a:ext uri="{FF2B5EF4-FFF2-40B4-BE49-F238E27FC236}">
              <a16:creationId xmlns:a16="http://schemas.microsoft.com/office/drawing/2014/main" id="{00000000-0008-0000-0D00-000022551000}"/>
            </a:ext>
          </a:extLst>
        </xdr:cNvPr>
        <xdr:cNvSpPr>
          <a:spLocks noChangeShapeType="1"/>
        </xdr:cNvSpPr>
      </xdr:nvSpPr>
      <xdr:spPr bwMode="auto">
        <a:xfrm>
          <a:off x="7994332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9525</xdr:colOff>
      <xdr:row>17</xdr:row>
      <xdr:rowOff>0</xdr:rowOff>
    </xdr:from>
    <xdr:to>
      <xdr:col>114</xdr:col>
      <xdr:colOff>66675</xdr:colOff>
      <xdr:row>17</xdr:row>
      <xdr:rowOff>9525</xdr:rowOff>
    </xdr:to>
    <xdr:sp macro="" textlink="">
      <xdr:nvSpPr>
        <xdr:cNvPr id="1070371" name="Line 311">
          <a:extLst>
            <a:ext uri="{FF2B5EF4-FFF2-40B4-BE49-F238E27FC236}">
              <a16:creationId xmlns:a16="http://schemas.microsoft.com/office/drawing/2014/main" id="{00000000-0008-0000-0D00-000023551000}"/>
            </a:ext>
          </a:extLst>
        </xdr:cNvPr>
        <xdr:cNvSpPr>
          <a:spLocks noChangeShapeType="1"/>
        </xdr:cNvSpPr>
      </xdr:nvSpPr>
      <xdr:spPr bwMode="auto">
        <a:xfrm flipV="1">
          <a:off x="7988617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0</xdr:colOff>
      <xdr:row>14</xdr:row>
      <xdr:rowOff>0</xdr:rowOff>
    </xdr:from>
    <xdr:to>
      <xdr:col>114</xdr:col>
      <xdr:colOff>76200</xdr:colOff>
      <xdr:row>14</xdr:row>
      <xdr:rowOff>9525</xdr:rowOff>
    </xdr:to>
    <xdr:sp macro="" textlink="">
      <xdr:nvSpPr>
        <xdr:cNvPr id="1070372" name="Line 312">
          <a:extLst>
            <a:ext uri="{FF2B5EF4-FFF2-40B4-BE49-F238E27FC236}">
              <a16:creationId xmlns:a16="http://schemas.microsoft.com/office/drawing/2014/main" id="{00000000-0008-0000-0D00-000024551000}"/>
            </a:ext>
          </a:extLst>
        </xdr:cNvPr>
        <xdr:cNvSpPr>
          <a:spLocks noChangeShapeType="1"/>
        </xdr:cNvSpPr>
      </xdr:nvSpPr>
      <xdr:spPr bwMode="auto">
        <a:xfrm>
          <a:off x="7987665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66675</xdr:colOff>
      <xdr:row>14</xdr:row>
      <xdr:rowOff>9525</xdr:rowOff>
    </xdr:from>
    <xdr:to>
      <xdr:col>114</xdr:col>
      <xdr:colOff>66675</xdr:colOff>
      <xdr:row>17</xdr:row>
      <xdr:rowOff>19050</xdr:rowOff>
    </xdr:to>
    <xdr:sp macro="" textlink="">
      <xdr:nvSpPr>
        <xdr:cNvPr id="1070373" name="Line 313">
          <a:extLst>
            <a:ext uri="{FF2B5EF4-FFF2-40B4-BE49-F238E27FC236}">
              <a16:creationId xmlns:a16="http://schemas.microsoft.com/office/drawing/2014/main" id="{00000000-0008-0000-0D00-000025551000}"/>
            </a:ext>
          </a:extLst>
        </xdr:cNvPr>
        <xdr:cNvSpPr>
          <a:spLocks noChangeShapeType="1"/>
        </xdr:cNvSpPr>
      </xdr:nvSpPr>
      <xdr:spPr bwMode="auto">
        <a:xfrm>
          <a:off x="7994332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9525</xdr:colOff>
      <xdr:row>17</xdr:row>
      <xdr:rowOff>0</xdr:rowOff>
    </xdr:from>
    <xdr:to>
      <xdr:col>114</xdr:col>
      <xdr:colOff>66675</xdr:colOff>
      <xdr:row>17</xdr:row>
      <xdr:rowOff>9525</xdr:rowOff>
    </xdr:to>
    <xdr:sp macro="" textlink="">
      <xdr:nvSpPr>
        <xdr:cNvPr id="1070374" name="Line 314">
          <a:extLst>
            <a:ext uri="{FF2B5EF4-FFF2-40B4-BE49-F238E27FC236}">
              <a16:creationId xmlns:a16="http://schemas.microsoft.com/office/drawing/2014/main" id="{00000000-0008-0000-0D00-000026551000}"/>
            </a:ext>
          </a:extLst>
        </xdr:cNvPr>
        <xdr:cNvSpPr>
          <a:spLocks noChangeShapeType="1"/>
        </xdr:cNvSpPr>
      </xdr:nvSpPr>
      <xdr:spPr bwMode="auto">
        <a:xfrm flipV="1">
          <a:off x="7988617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76200</xdr:colOff>
      <xdr:row>15</xdr:row>
      <xdr:rowOff>66675</xdr:rowOff>
    </xdr:from>
    <xdr:to>
      <xdr:col>115</xdr:col>
      <xdr:colOff>9525</xdr:colOff>
      <xdr:row>17</xdr:row>
      <xdr:rowOff>19050</xdr:rowOff>
    </xdr:to>
    <xdr:sp macro="" textlink="">
      <xdr:nvSpPr>
        <xdr:cNvPr id="1070375" name="Line 315">
          <a:extLst>
            <a:ext uri="{FF2B5EF4-FFF2-40B4-BE49-F238E27FC236}">
              <a16:creationId xmlns:a16="http://schemas.microsoft.com/office/drawing/2014/main" id="{00000000-0008-0000-0D00-000027551000}"/>
            </a:ext>
          </a:extLst>
        </xdr:cNvPr>
        <xdr:cNvSpPr>
          <a:spLocks noChangeShapeType="1"/>
        </xdr:cNvSpPr>
      </xdr:nvSpPr>
      <xdr:spPr bwMode="auto">
        <a:xfrm>
          <a:off x="79952850" y="33813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114</xdr:col>
      <xdr:colOff>0</xdr:colOff>
      <xdr:row>14</xdr:row>
      <xdr:rowOff>0</xdr:rowOff>
    </xdr:from>
    <xdr:to>
      <xdr:col>114</xdr:col>
      <xdr:colOff>76200</xdr:colOff>
      <xdr:row>14</xdr:row>
      <xdr:rowOff>9525</xdr:rowOff>
    </xdr:to>
    <xdr:sp macro="" textlink="">
      <xdr:nvSpPr>
        <xdr:cNvPr id="1070376" name="Line 316">
          <a:extLst>
            <a:ext uri="{FF2B5EF4-FFF2-40B4-BE49-F238E27FC236}">
              <a16:creationId xmlns:a16="http://schemas.microsoft.com/office/drawing/2014/main" id="{00000000-0008-0000-0D00-000028551000}"/>
            </a:ext>
          </a:extLst>
        </xdr:cNvPr>
        <xdr:cNvSpPr>
          <a:spLocks noChangeShapeType="1"/>
        </xdr:cNvSpPr>
      </xdr:nvSpPr>
      <xdr:spPr bwMode="auto">
        <a:xfrm>
          <a:off x="7987665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66675</xdr:colOff>
      <xdr:row>14</xdr:row>
      <xdr:rowOff>9525</xdr:rowOff>
    </xdr:from>
    <xdr:to>
      <xdr:col>114</xdr:col>
      <xdr:colOff>66675</xdr:colOff>
      <xdr:row>17</xdr:row>
      <xdr:rowOff>19050</xdr:rowOff>
    </xdr:to>
    <xdr:sp macro="" textlink="">
      <xdr:nvSpPr>
        <xdr:cNvPr id="1070377" name="Line 317">
          <a:extLst>
            <a:ext uri="{FF2B5EF4-FFF2-40B4-BE49-F238E27FC236}">
              <a16:creationId xmlns:a16="http://schemas.microsoft.com/office/drawing/2014/main" id="{00000000-0008-0000-0D00-000029551000}"/>
            </a:ext>
          </a:extLst>
        </xdr:cNvPr>
        <xdr:cNvSpPr>
          <a:spLocks noChangeShapeType="1"/>
        </xdr:cNvSpPr>
      </xdr:nvSpPr>
      <xdr:spPr bwMode="auto">
        <a:xfrm>
          <a:off x="7994332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9525</xdr:colOff>
      <xdr:row>17</xdr:row>
      <xdr:rowOff>0</xdr:rowOff>
    </xdr:from>
    <xdr:to>
      <xdr:col>114</xdr:col>
      <xdr:colOff>66675</xdr:colOff>
      <xdr:row>17</xdr:row>
      <xdr:rowOff>9525</xdr:rowOff>
    </xdr:to>
    <xdr:sp macro="" textlink="">
      <xdr:nvSpPr>
        <xdr:cNvPr id="1070378" name="Line 318">
          <a:extLst>
            <a:ext uri="{FF2B5EF4-FFF2-40B4-BE49-F238E27FC236}">
              <a16:creationId xmlns:a16="http://schemas.microsoft.com/office/drawing/2014/main" id="{00000000-0008-0000-0D00-00002A551000}"/>
            </a:ext>
          </a:extLst>
        </xdr:cNvPr>
        <xdr:cNvSpPr>
          <a:spLocks noChangeShapeType="1"/>
        </xdr:cNvSpPr>
      </xdr:nvSpPr>
      <xdr:spPr bwMode="auto">
        <a:xfrm flipV="1">
          <a:off x="7988617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76200</xdr:colOff>
      <xdr:row>13</xdr:row>
      <xdr:rowOff>171450</xdr:rowOff>
    </xdr:from>
    <xdr:to>
      <xdr:col>115</xdr:col>
      <xdr:colOff>9525</xdr:colOff>
      <xdr:row>15</xdr:row>
      <xdr:rowOff>38100</xdr:rowOff>
    </xdr:to>
    <xdr:sp macro="" textlink="">
      <xdr:nvSpPr>
        <xdr:cNvPr id="1070379" name="Line 319">
          <a:extLst>
            <a:ext uri="{FF2B5EF4-FFF2-40B4-BE49-F238E27FC236}">
              <a16:creationId xmlns:a16="http://schemas.microsoft.com/office/drawing/2014/main" id="{00000000-0008-0000-0D00-00002B551000}"/>
            </a:ext>
          </a:extLst>
        </xdr:cNvPr>
        <xdr:cNvSpPr>
          <a:spLocks noChangeShapeType="1"/>
        </xdr:cNvSpPr>
      </xdr:nvSpPr>
      <xdr:spPr bwMode="auto">
        <a:xfrm flipV="1">
          <a:off x="79952850" y="3124200"/>
          <a:ext cx="342900" cy="22860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111</xdr:col>
      <xdr:colOff>0</xdr:colOff>
      <xdr:row>14</xdr:row>
      <xdr:rowOff>0</xdr:rowOff>
    </xdr:from>
    <xdr:to>
      <xdr:col>111</xdr:col>
      <xdr:colOff>76200</xdr:colOff>
      <xdr:row>14</xdr:row>
      <xdr:rowOff>9525</xdr:rowOff>
    </xdr:to>
    <xdr:sp macro="" textlink="">
      <xdr:nvSpPr>
        <xdr:cNvPr id="1070380" name="Line 320">
          <a:extLst>
            <a:ext uri="{FF2B5EF4-FFF2-40B4-BE49-F238E27FC236}">
              <a16:creationId xmlns:a16="http://schemas.microsoft.com/office/drawing/2014/main" id="{00000000-0008-0000-0D00-00002C551000}"/>
            </a:ext>
          </a:extLst>
        </xdr:cNvPr>
        <xdr:cNvSpPr>
          <a:spLocks noChangeShapeType="1"/>
        </xdr:cNvSpPr>
      </xdr:nvSpPr>
      <xdr:spPr bwMode="auto">
        <a:xfrm>
          <a:off x="7778115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111</xdr:col>
      <xdr:colOff>66675</xdr:colOff>
      <xdr:row>14</xdr:row>
      <xdr:rowOff>9525</xdr:rowOff>
    </xdr:from>
    <xdr:to>
      <xdr:col>111</xdr:col>
      <xdr:colOff>66675</xdr:colOff>
      <xdr:row>17</xdr:row>
      <xdr:rowOff>19050</xdr:rowOff>
    </xdr:to>
    <xdr:sp macro="" textlink="">
      <xdr:nvSpPr>
        <xdr:cNvPr id="1070381" name="Line 321">
          <a:extLst>
            <a:ext uri="{FF2B5EF4-FFF2-40B4-BE49-F238E27FC236}">
              <a16:creationId xmlns:a16="http://schemas.microsoft.com/office/drawing/2014/main" id="{00000000-0008-0000-0D00-00002D551000}"/>
            </a:ext>
          </a:extLst>
        </xdr:cNvPr>
        <xdr:cNvSpPr>
          <a:spLocks noChangeShapeType="1"/>
        </xdr:cNvSpPr>
      </xdr:nvSpPr>
      <xdr:spPr bwMode="auto">
        <a:xfrm>
          <a:off x="7784782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111</xdr:col>
      <xdr:colOff>9525</xdr:colOff>
      <xdr:row>17</xdr:row>
      <xdr:rowOff>0</xdr:rowOff>
    </xdr:from>
    <xdr:to>
      <xdr:col>111</xdr:col>
      <xdr:colOff>66675</xdr:colOff>
      <xdr:row>17</xdr:row>
      <xdr:rowOff>9525</xdr:rowOff>
    </xdr:to>
    <xdr:sp macro="" textlink="">
      <xdr:nvSpPr>
        <xdr:cNvPr id="1070382" name="Line 322">
          <a:extLst>
            <a:ext uri="{FF2B5EF4-FFF2-40B4-BE49-F238E27FC236}">
              <a16:creationId xmlns:a16="http://schemas.microsoft.com/office/drawing/2014/main" id="{00000000-0008-0000-0D00-00002E551000}"/>
            </a:ext>
          </a:extLst>
        </xdr:cNvPr>
        <xdr:cNvSpPr>
          <a:spLocks noChangeShapeType="1"/>
        </xdr:cNvSpPr>
      </xdr:nvSpPr>
      <xdr:spPr bwMode="auto">
        <a:xfrm flipV="1">
          <a:off x="7779067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108</xdr:col>
      <xdr:colOff>0</xdr:colOff>
      <xdr:row>20</xdr:row>
      <xdr:rowOff>0</xdr:rowOff>
    </xdr:from>
    <xdr:to>
      <xdr:col>108</xdr:col>
      <xdr:colOff>76200</xdr:colOff>
      <xdr:row>20</xdr:row>
      <xdr:rowOff>9525</xdr:rowOff>
    </xdr:to>
    <xdr:sp macro="" textlink="">
      <xdr:nvSpPr>
        <xdr:cNvPr id="1070383" name="Line 323">
          <a:extLst>
            <a:ext uri="{FF2B5EF4-FFF2-40B4-BE49-F238E27FC236}">
              <a16:creationId xmlns:a16="http://schemas.microsoft.com/office/drawing/2014/main" id="{00000000-0008-0000-0D00-00002F551000}"/>
            </a:ext>
          </a:extLst>
        </xdr:cNvPr>
        <xdr:cNvSpPr>
          <a:spLocks noChangeShapeType="1"/>
        </xdr:cNvSpPr>
      </xdr:nvSpPr>
      <xdr:spPr bwMode="auto">
        <a:xfrm>
          <a:off x="756189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108</xdr:col>
      <xdr:colOff>66675</xdr:colOff>
      <xdr:row>20</xdr:row>
      <xdr:rowOff>9525</xdr:rowOff>
    </xdr:from>
    <xdr:to>
      <xdr:col>108</xdr:col>
      <xdr:colOff>66675</xdr:colOff>
      <xdr:row>23</xdr:row>
      <xdr:rowOff>19050</xdr:rowOff>
    </xdr:to>
    <xdr:sp macro="" textlink="">
      <xdr:nvSpPr>
        <xdr:cNvPr id="1070384" name="Line 324">
          <a:extLst>
            <a:ext uri="{FF2B5EF4-FFF2-40B4-BE49-F238E27FC236}">
              <a16:creationId xmlns:a16="http://schemas.microsoft.com/office/drawing/2014/main" id="{00000000-0008-0000-0D00-000030551000}"/>
            </a:ext>
          </a:extLst>
        </xdr:cNvPr>
        <xdr:cNvSpPr>
          <a:spLocks noChangeShapeType="1"/>
        </xdr:cNvSpPr>
      </xdr:nvSpPr>
      <xdr:spPr bwMode="auto">
        <a:xfrm>
          <a:off x="7568565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108</xdr:col>
      <xdr:colOff>9525</xdr:colOff>
      <xdr:row>23</xdr:row>
      <xdr:rowOff>0</xdr:rowOff>
    </xdr:from>
    <xdr:to>
      <xdr:col>108</xdr:col>
      <xdr:colOff>66675</xdr:colOff>
      <xdr:row>23</xdr:row>
      <xdr:rowOff>9525</xdr:rowOff>
    </xdr:to>
    <xdr:sp macro="" textlink="">
      <xdr:nvSpPr>
        <xdr:cNvPr id="1070385" name="Line 325">
          <a:extLst>
            <a:ext uri="{FF2B5EF4-FFF2-40B4-BE49-F238E27FC236}">
              <a16:creationId xmlns:a16="http://schemas.microsoft.com/office/drawing/2014/main" id="{00000000-0008-0000-0D00-000031551000}"/>
            </a:ext>
          </a:extLst>
        </xdr:cNvPr>
        <xdr:cNvSpPr>
          <a:spLocks noChangeShapeType="1"/>
        </xdr:cNvSpPr>
      </xdr:nvSpPr>
      <xdr:spPr bwMode="auto">
        <a:xfrm flipV="1">
          <a:off x="7562850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111</xdr:col>
      <xdr:colOff>0</xdr:colOff>
      <xdr:row>20</xdr:row>
      <xdr:rowOff>0</xdr:rowOff>
    </xdr:from>
    <xdr:to>
      <xdr:col>111</xdr:col>
      <xdr:colOff>76200</xdr:colOff>
      <xdr:row>20</xdr:row>
      <xdr:rowOff>9525</xdr:rowOff>
    </xdr:to>
    <xdr:sp macro="" textlink="">
      <xdr:nvSpPr>
        <xdr:cNvPr id="1070386" name="Line 326">
          <a:extLst>
            <a:ext uri="{FF2B5EF4-FFF2-40B4-BE49-F238E27FC236}">
              <a16:creationId xmlns:a16="http://schemas.microsoft.com/office/drawing/2014/main" id="{00000000-0008-0000-0D00-000032551000}"/>
            </a:ext>
          </a:extLst>
        </xdr:cNvPr>
        <xdr:cNvSpPr>
          <a:spLocks noChangeShapeType="1"/>
        </xdr:cNvSpPr>
      </xdr:nvSpPr>
      <xdr:spPr bwMode="auto">
        <a:xfrm>
          <a:off x="7778115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111</xdr:col>
      <xdr:colOff>66675</xdr:colOff>
      <xdr:row>20</xdr:row>
      <xdr:rowOff>9525</xdr:rowOff>
    </xdr:from>
    <xdr:to>
      <xdr:col>111</xdr:col>
      <xdr:colOff>66675</xdr:colOff>
      <xdr:row>23</xdr:row>
      <xdr:rowOff>19050</xdr:rowOff>
    </xdr:to>
    <xdr:sp macro="" textlink="">
      <xdr:nvSpPr>
        <xdr:cNvPr id="1070387" name="Line 327">
          <a:extLst>
            <a:ext uri="{FF2B5EF4-FFF2-40B4-BE49-F238E27FC236}">
              <a16:creationId xmlns:a16="http://schemas.microsoft.com/office/drawing/2014/main" id="{00000000-0008-0000-0D00-000033551000}"/>
            </a:ext>
          </a:extLst>
        </xdr:cNvPr>
        <xdr:cNvSpPr>
          <a:spLocks noChangeShapeType="1"/>
        </xdr:cNvSpPr>
      </xdr:nvSpPr>
      <xdr:spPr bwMode="auto">
        <a:xfrm>
          <a:off x="7784782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111</xdr:col>
      <xdr:colOff>9525</xdr:colOff>
      <xdr:row>23</xdr:row>
      <xdr:rowOff>0</xdr:rowOff>
    </xdr:from>
    <xdr:to>
      <xdr:col>111</xdr:col>
      <xdr:colOff>66675</xdr:colOff>
      <xdr:row>23</xdr:row>
      <xdr:rowOff>9525</xdr:rowOff>
    </xdr:to>
    <xdr:sp macro="" textlink="">
      <xdr:nvSpPr>
        <xdr:cNvPr id="1070388" name="Line 328">
          <a:extLst>
            <a:ext uri="{FF2B5EF4-FFF2-40B4-BE49-F238E27FC236}">
              <a16:creationId xmlns:a16="http://schemas.microsoft.com/office/drawing/2014/main" id="{00000000-0008-0000-0D00-000034551000}"/>
            </a:ext>
          </a:extLst>
        </xdr:cNvPr>
        <xdr:cNvSpPr>
          <a:spLocks noChangeShapeType="1"/>
        </xdr:cNvSpPr>
      </xdr:nvSpPr>
      <xdr:spPr bwMode="auto">
        <a:xfrm flipV="1">
          <a:off x="777906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0</xdr:colOff>
      <xdr:row>20</xdr:row>
      <xdr:rowOff>0</xdr:rowOff>
    </xdr:from>
    <xdr:to>
      <xdr:col>114</xdr:col>
      <xdr:colOff>76200</xdr:colOff>
      <xdr:row>20</xdr:row>
      <xdr:rowOff>9525</xdr:rowOff>
    </xdr:to>
    <xdr:sp macro="" textlink="">
      <xdr:nvSpPr>
        <xdr:cNvPr id="1070389" name="Line 329">
          <a:extLst>
            <a:ext uri="{FF2B5EF4-FFF2-40B4-BE49-F238E27FC236}">
              <a16:creationId xmlns:a16="http://schemas.microsoft.com/office/drawing/2014/main" id="{00000000-0008-0000-0D00-000035551000}"/>
            </a:ext>
          </a:extLst>
        </xdr:cNvPr>
        <xdr:cNvSpPr>
          <a:spLocks noChangeShapeType="1"/>
        </xdr:cNvSpPr>
      </xdr:nvSpPr>
      <xdr:spPr bwMode="auto">
        <a:xfrm>
          <a:off x="7987665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66675</xdr:colOff>
      <xdr:row>20</xdr:row>
      <xdr:rowOff>9525</xdr:rowOff>
    </xdr:from>
    <xdr:to>
      <xdr:col>114</xdr:col>
      <xdr:colOff>66675</xdr:colOff>
      <xdr:row>23</xdr:row>
      <xdr:rowOff>19050</xdr:rowOff>
    </xdr:to>
    <xdr:sp macro="" textlink="">
      <xdr:nvSpPr>
        <xdr:cNvPr id="1070390" name="Line 330">
          <a:extLst>
            <a:ext uri="{FF2B5EF4-FFF2-40B4-BE49-F238E27FC236}">
              <a16:creationId xmlns:a16="http://schemas.microsoft.com/office/drawing/2014/main" id="{00000000-0008-0000-0D00-000036551000}"/>
            </a:ext>
          </a:extLst>
        </xdr:cNvPr>
        <xdr:cNvSpPr>
          <a:spLocks noChangeShapeType="1"/>
        </xdr:cNvSpPr>
      </xdr:nvSpPr>
      <xdr:spPr bwMode="auto">
        <a:xfrm>
          <a:off x="7994332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9525</xdr:colOff>
      <xdr:row>23</xdr:row>
      <xdr:rowOff>0</xdr:rowOff>
    </xdr:from>
    <xdr:to>
      <xdr:col>114</xdr:col>
      <xdr:colOff>66675</xdr:colOff>
      <xdr:row>23</xdr:row>
      <xdr:rowOff>9525</xdr:rowOff>
    </xdr:to>
    <xdr:sp macro="" textlink="">
      <xdr:nvSpPr>
        <xdr:cNvPr id="1070391" name="Line 331">
          <a:extLst>
            <a:ext uri="{FF2B5EF4-FFF2-40B4-BE49-F238E27FC236}">
              <a16:creationId xmlns:a16="http://schemas.microsoft.com/office/drawing/2014/main" id="{00000000-0008-0000-0D00-000037551000}"/>
            </a:ext>
          </a:extLst>
        </xdr:cNvPr>
        <xdr:cNvSpPr>
          <a:spLocks noChangeShapeType="1"/>
        </xdr:cNvSpPr>
      </xdr:nvSpPr>
      <xdr:spPr bwMode="auto">
        <a:xfrm flipV="1">
          <a:off x="798861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0</xdr:colOff>
      <xdr:row>20</xdr:row>
      <xdr:rowOff>0</xdr:rowOff>
    </xdr:from>
    <xdr:to>
      <xdr:col>114</xdr:col>
      <xdr:colOff>76200</xdr:colOff>
      <xdr:row>20</xdr:row>
      <xdr:rowOff>9525</xdr:rowOff>
    </xdr:to>
    <xdr:sp macro="" textlink="">
      <xdr:nvSpPr>
        <xdr:cNvPr id="1070392" name="Line 332">
          <a:extLst>
            <a:ext uri="{FF2B5EF4-FFF2-40B4-BE49-F238E27FC236}">
              <a16:creationId xmlns:a16="http://schemas.microsoft.com/office/drawing/2014/main" id="{00000000-0008-0000-0D00-000038551000}"/>
            </a:ext>
          </a:extLst>
        </xdr:cNvPr>
        <xdr:cNvSpPr>
          <a:spLocks noChangeShapeType="1"/>
        </xdr:cNvSpPr>
      </xdr:nvSpPr>
      <xdr:spPr bwMode="auto">
        <a:xfrm>
          <a:off x="7987665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66675</xdr:colOff>
      <xdr:row>20</xdr:row>
      <xdr:rowOff>9525</xdr:rowOff>
    </xdr:from>
    <xdr:to>
      <xdr:col>114</xdr:col>
      <xdr:colOff>66675</xdr:colOff>
      <xdr:row>23</xdr:row>
      <xdr:rowOff>19050</xdr:rowOff>
    </xdr:to>
    <xdr:sp macro="" textlink="">
      <xdr:nvSpPr>
        <xdr:cNvPr id="1070393" name="Line 333">
          <a:extLst>
            <a:ext uri="{FF2B5EF4-FFF2-40B4-BE49-F238E27FC236}">
              <a16:creationId xmlns:a16="http://schemas.microsoft.com/office/drawing/2014/main" id="{00000000-0008-0000-0D00-000039551000}"/>
            </a:ext>
          </a:extLst>
        </xdr:cNvPr>
        <xdr:cNvSpPr>
          <a:spLocks noChangeShapeType="1"/>
        </xdr:cNvSpPr>
      </xdr:nvSpPr>
      <xdr:spPr bwMode="auto">
        <a:xfrm>
          <a:off x="7994332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9525</xdr:colOff>
      <xdr:row>23</xdr:row>
      <xdr:rowOff>0</xdr:rowOff>
    </xdr:from>
    <xdr:to>
      <xdr:col>114</xdr:col>
      <xdr:colOff>66675</xdr:colOff>
      <xdr:row>23</xdr:row>
      <xdr:rowOff>9525</xdr:rowOff>
    </xdr:to>
    <xdr:sp macro="" textlink="">
      <xdr:nvSpPr>
        <xdr:cNvPr id="1070394" name="Line 334">
          <a:extLst>
            <a:ext uri="{FF2B5EF4-FFF2-40B4-BE49-F238E27FC236}">
              <a16:creationId xmlns:a16="http://schemas.microsoft.com/office/drawing/2014/main" id="{00000000-0008-0000-0D00-00003A551000}"/>
            </a:ext>
          </a:extLst>
        </xdr:cNvPr>
        <xdr:cNvSpPr>
          <a:spLocks noChangeShapeType="1"/>
        </xdr:cNvSpPr>
      </xdr:nvSpPr>
      <xdr:spPr bwMode="auto">
        <a:xfrm flipV="1">
          <a:off x="798861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76200</xdr:colOff>
      <xdr:row>21</xdr:row>
      <xdr:rowOff>66675</xdr:rowOff>
    </xdr:from>
    <xdr:to>
      <xdr:col>115</xdr:col>
      <xdr:colOff>9525</xdr:colOff>
      <xdr:row>23</xdr:row>
      <xdr:rowOff>19050</xdr:rowOff>
    </xdr:to>
    <xdr:sp macro="" textlink="">
      <xdr:nvSpPr>
        <xdr:cNvPr id="1070395" name="Line 335">
          <a:extLst>
            <a:ext uri="{FF2B5EF4-FFF2-40B4-BE49-F238E27FC236}">
              <a16:creationId xmlns:a16="http://schemas.microsoft.com/office/drawing/2014/main" id="{00000000-0008-0000-0D00-00003B551000}"/>
            </a:ext>
          </a:extLst>
        </xdr:cNvPr>
        <xdr:cNvSpPr>
          <a:spLocks noChangeShapeType="1"/>
        </xdr:cNvSpPr>
      </xdr:nvSpPr>
      <xdr:spPr bwMode="auto">
        <a:xfrm>
          <a:off x="79952850" y="44672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114</xdr:col>
      <xdr:colOff>0</xdr:colOff>
      <xdr:row>20</xdr:row>
      <xdr:rowOff>0</xdr:rowOff>
    </xdr:from>
    <xdr:to>
      <xdr:col>114</xdr:col>
      <xdr:colOff>76200</xdr:colOff>
      <xdr:row>20</xdr:row>
      <xdr:rowOff>9525</xdr:rowOff>
    </xdr:to>
    <xdr:sp macro="" textlink="">
      <xdr:nvSpPr>
        <xdr:cNvPr id="1070396" name="Line 336">
          <a:extLst>
            <a:ext uri="{FF2B5EF4-FFF2-40B4-BE49-F238E27FC236}">
              <a16:creationId xmlns:a16="http://schemas.microsoft.com/office/drawing/2014/main" id="{00000000-0008-0000-0D00-00003C551000}"/>
            </a:ext>
          </a:extLst>
        </xdr:cNvPr>
        <xdr:cNvSpPr>
          <a:spLocks noChangeShapeType="1"/>
        </xdr:cNvSpPr>
      </xdr:nvSpPr>
      <xdr:spPr bwMode="auto">
        <a:xfrm>
          <a:off x="7987665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66675</xdr:colOff>
      <xdr:row>20</xdr:row>
      <xdr:rowOff>9525</xdr:rowOff>
    </xdr:from>
    <xdr:to>
      <xdr:col>114</xdr:col>
      <xdr:colOff>66675</xdr:colOff>
      <xdr:row>23</xdr:row>
      <xdr:rowOff>19050</xdr:rowOff>
    </xdr:to>
    <xdr:sp macro="" textlink="">
      <xdr:nvSpPr>
        <xdr:cNvPr id="1070397" name="Line 337">
          <a:extLst>
            <a:ext uri="{FF2B5EF4-FFF2-40B4-BE49-F238E27FC236}">
              <a16:creationId xmlns:a16="http://schemas.microsoft.com/office/drawing/2014/main" id="{00000000-0008-0000-0D00-00003D551000}"/>
            </a:ext>
          </a:extLst>
        </xdr:cNvPr>
        <xdr:cNvSpPr>
          <a:spLocks noChangeShapeType="1"/>
        </xdr:cNvSpPr>
      </xdr:nvSpPr>
      <xdr:spPr bwMode="auto">
        <a:xfrm>
          <a:off x="7994332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9525</xdr:colOff>
      <xdr:row>23</xdr:row>
      <xdr:rowOff>0</xdr:rowOff>
    </xdr:from>
    <xdr:to>
      <xdr:col>114</xdr:col>
      <xdr:colOff>66675</xdr:colOff>
      <xdr:row>23</xdr:row>
      <xdr:rowOff>9525</xdr:rowOff>
    </xdr:to>
    <xdr:sp macro="" textlink="">
      <xdr:nvSpPr>
        <xdr:cNvPr id="1070398" name="Line 338">
          <a:extLst>
            <a:ext uri="{FF2B5EF4-FFF2-40B4-BE49-F238E27FC236}">
              <a16:creationId xmlns:a16="http://schemas.microsoft.com/office/drawing/2014/main" id="{00000000-0008-0000-0D00-00003E551000}"/>
            </a:ext>
          </a:extLst>
        </xdr:cNvPr>
        <xdr:cNvSpPr>
          <a:spLocks noChangeShapeType="1"/>
        </xdr:cNvSpPr>
      </xdr:nvSpPr>
      <xdr:spPr bwMode="auto">
        <a:xfrm flipV="1">
          <a:off x="798861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76200</xdr:colOff>
      <xdr:row>19</xdr:row>
      <xdr:rowOff>161925</xdr:rowOff>
    </xdr:from>
    <xdr:to>
      <xdr:col>115</xdr:col>
      <xdr:colOff>0</xdr:colOff>
      <xdr:row>21</xdr:row>
      <xdr:rowOff>47625</xdr:rowOff>
    </xdr:to>
    <xdr:sp macro="" textlink="">
      <xdr:nvSpPr>
        <xdr:cNvPr id="1070399" name="Line 339">
          <a:extLst>
            <a:ext uri="{FF2B5EF4-FFF2-40B4-BE49-F238E27FC236}">
              <a16:creationId xmlns:a16="http://schemas.microsoft.com/office/drawing/2014/main" id="{00000000-0008-0000-0D00-00003F551000}"/>
            </a:ext>
          </a:extLst>
        </xdr:cNvPr>
        <xdr:cNvSpPr>
          <a:spLocks noChangeShapeType="1"/>
        </xdr:cNvSpPr>
      </xdr:nvSpPr>
      <xdr:spPr bwMode="auto">
        <a:xfrm flipV="1">
          <a:off x="79952850" y="4200525"/>
          <a:ext cx="333375"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111</xdr:col>
      <xdr:colOff>0</xdr:colOff>
      <xdr:row>20</xdr:row>
      <xdr:rowOff>0</xdr:rowOff>
    </xdr:from>
    <xdr:to>
      <xdr:col>111</xdr:col>
      <xdr:colOff>76200</xdr:colOff>
      <xdr:row>20</xdr:row>
      <xdr:rowOff>9525</xdr:rowOff>
    </xdr:to>
    <xdr:sp macro="" textlink="">
      <xdr:nvSpPr>
        <xdr:cNvPr id="1070400" name="Line 340">
          <a:extLst>
            <a:ext uri="{FF2B5EF4-FFF2-40B4-BE49-F238E27FC236}">
              <a16:creationId xmlns:a16="http://schemas.microsoft.com/office/drawing/2014/main" id="{00000000-0008-0000-0D00-000040551000}"/>
            </a:ext>
          </a:extLst>
        </xdr:cNvPr>
        <xdr:cNvSpPr>
          <a:spLocks noChangeShapeType="1"/>
        </xdr:cNvSpPr>
      </xdr:nvSpPr>
      <xdr:spPr bwMode="auto">
        <a:xfrm>
          <a:off x="7778115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111</xdr:col>
      <xdr:colOff>66675</xdr:colOff>
      <xdr:row>20</xdr:row>
      <xdr:rowOff>9525</xdr:rowOff>
    </xdr:from>
    <xdr:to>
      <xdr:col>111</xdr:col>
      <xdr:colOff>66675</xdr:colOff>
      <xdr:row>23</xdr:row>
      <xdr:rowOff>19050</xdr:rowOff>
    </xdr:to>
    <xdr:sp macro="" textlink="">
      <xdr:nvSpPr>
        <xdr:cNvPr id="1070401" name="Line 341">
          <a:extLst>
            <a:ext uri="{FF2B5EF4-FFF2-40B4-BE49-F238E27FC236}">
              <a16:creationId xmlns:a16="http://schemas.microsoft.com/office/drawing/2014/main" id="{00000000-0008-0000-0D00-000041551000}"/>
            </a:ext>
          </a:extLst>
        </xdr:cNvPr>
        <xdr:cNvSpPr>
          <a:spLocks noChangeShapeType="1"/>
        </xdr:cNvSpPr>
      </xdr:nvSpPr>
      <xdr:spPr bwMode="auto">
        <a:xfrm>
          <a:off x="7784782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111</xdr:col>
      <xdr:colOff>9525</xdr:colOff>
      <xdr:row>23</xdr:row>
      <xdr:rowOff>0</xdr:rowOff>
    </xdr:from>
    <xdr:to>
      <xdr:col>111</xdr:col>
      <xdr:colOff>66675</xdr:colOff>
      <xdr:row>23</xdr:row>
      <xdr:rowOff>9525</xdr:rowOff>
    </xdr:to>
    <xdr:sp macro="" textlink="">
      <xdr:nvSpPr>
        <xdr:cNvPr id="1070402" name="Line 342">
          <a:extLst>
            <a:ext uri="{FF2B5EF4-FFF2-40B4-BE49-F238E27FC236}">
              <a16:creationId xmlns:a16="http://schemas.microsoft.com/office/drawing/2014/main" id="{00000000-0008-0000-0D00-000042551000}"/>
            </a:ext>
          </a:extLst>
        </xdr:cNvPr>
        <xdr:cNvSpPr>
          <a:spLocks noChangeShapeType="1"/>
        </xdr:cNvSpPr>
      </xdr:nvSpPr>
      <xdr:spPr bwMode="auto">
        <a:xfrm flipV="1">
          <a:off x="777906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108</xdr:col>
      <xdr:colOff>0</xdr:colOff>
      <xdr:row>26</xdr:row>
      <xdr:rowOff>0</xdr:rowOff>
    </xdr:from>
    <xdr:to>
      <xdr:col>108</xdr:col>
      <xdr:colOff>76200</xdr:colOff>
      <xdr:row>26</xdr:row>
      <xdr:rowOff>9525</xdr:rowOff>
    </xdr:to>
    <xdr:sp macro="" textlink="">
      <xdr:nvSpPr>
        <xdr:cNvPr id="1070403" name="Line 343">
          <a:extLst>
            <a:ext uri="{FF2B5EF4-FFF2-40B4-BE49-F238E27FC236}">
              <a16:creationId xmlns:a16="http://schemas.microsoft.com/office/drawing/2014/main" id="{00000000-0008-0000-0D00-000043551000}"/>
            </a:ext>
          </a:extLst>
        </xdr:cNvPr>
        <xdr:cNvSpPr>
          <a:spLocks noChangeShapeType="1"/>
        </xdr:cNvSpPr>
      </xdr:nvSpPr>
      <xdr:spPr bwMode="auto">
        <a:xfrm>
          <a:off x="7561897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108</xdr:col>
      <xdr:colOff>0</xdr:colOff>
      <xdr:row>32</xdr:row>
      <xdr:rowOff>0</xdr:rowOff>
    </xdr:from>
    <xdr:to>
      <xdr:col>108</xdr:col>
      <xdr:colOff>57150</xdr:colOff>
      <xdr:row>32</xdr:row>
      <xdr:rowOff>9525</xdr:rowOff>
    </xdr:to>
    <xdr:sp macro="" textlink="">
      <xdr:nvSpPr>
        <xdr:cNvPr id="1070404" name="Line 345">
          <a:extLst>
            <a:ext uri="{FF2B5EF4-FFF2-40B4-BE49-F238E27FC236}">
              <a16:creationId xmlns:a16="http://schemas.microsoft.com/office/drawing/2014/main" id="{00000000-0008-0000-0D00-000044551000}"/>
            </a:ext>
          </a:extLst>
        </xdr:cNvPr>
        <xdr:cNvSpPr>
          <a:spLocks noChangeShapeType="1"/>
        </xdr:cNvSpPr>
      </xdr:nvSpPr>
      <xdr:spPr bwMode="auto">
        <a:xfrm flipV="1">
          <a:off x="75618975" y="639127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108</xdr:col>
      <xdr:colOff>95250</xdr:colOff>
      <xdr:row>29</xdr:row>
      <xdr:rowOff>19050</xdr:rowOff>
    </xdr:from>
    <xdr:to>
      <xdr:col>109</xdr:col>
      <xdr:colOff>9525</xdr:colOff>
      <xdr:row>32</xdr:row>
      <xdr:rowOff>19050</xdr:rowOff>
    </xdr:to>
    <xdr:sp macro="" textlink="">
      <xdr:nvSpPr>
        <xdr:cNvPr id="1070405" name="Line 363">
          <a:extLst>
            <a:ext uri="{FF2B5EF4-FFF2-40B4-BE49-F238E27FC236}">
              <a16:creationId xmlns:a16="http://schemas.microsoft.com/office/drawing/2014/main" id="{00000000-0008-0000-0D00-000045551000}"/>
            </a:ext>
          </a:extLst>
        </xdr:cNvPr>
        <xdr:cNvSpPr>
          <a:spLocks noChangeShapeType="1"/>
        </xdr:cNvSpPr>
      </xdr:nvSpPr>
      <xdr:spPr bwMode="auto">
        <a:xfrm>
          <a:off x="75714225" y="5867400"/>
          <a:ext cx="361950"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108</xdr:col>
      <xdr:colOff>66675</xdr:colOff>
      <xdr:row>10</xdr:row>
      <xdr:rowOff>180975</xdr:rowOff>
    </xdr:from>
    <xdr:to>
      <xdr:col>108</xdr:col>
      <xdr:colOff>438150</xdr:colOff>
      <xdr:row>15</xdr:row>
      <xdr:rowOff>95250</xdr:rowOff>
    </xdr:to>
    <xdr:sp macro="" textlink="">
      <xdr:nvSpPr>
        <xdr:cNvPr id="1070406" name="Line 388">
          <a:extLst>
            <a:ext uri="{FF2B5EF4-FFF2-40B4-BE49-F238E27FC236}">
              <a16:creationId xmlns:a16="http://schemas.microsoft.com/office/drawing/2014/main" id="{00000000-0008-0000-0D00-000046551000}"/>
            </a:ext>
          </a:extLst>
        </xdr:cNvPr>
        <xdr:cNvSpPr>
          <a:spLocks noChangeShapeType="1"/>
        </xdr:cNvSpPr>
      </xdr:nvSpPr>
      <xdr:spPr bwMode="auto">
        <a:xfrm flipV="1">
          <a:off x="75685650" y="2590800"/>
          <a:ext cx="371475" cy="819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108</xdr:col>
      <xdr:colOff>66675</xdr:colOff>
      <xdr:row>15</xdr:row>
      <xdr:rowOff>95250</xdr:rowOff>
    </xdr:from>
    <xdr:to>
      <xdr:col>109</xdr:col>
      <xdr:colOff>0</xdr:colOff>
      <xdr:row>19</xdr:row>
      <xdr:rowOff>171450</xdr:rowOff>
    </xdr:to>
    <xdr:sp macro="" textlink="">
      <xdr:nvSpPr>
        <xdr:cNvPr id="1070407" name="Line 389">
          <a:extLst>
            <a:ext uri="{FF2B5EF4-FFF2-40B4-BE49-F238E27FC236}">
              <a16:creationId xmlns:a16="http://schemas.microsoft.com/office/drawing/2014/main" id="{00000000-0008-0000-0D00-000047551000}"/>
            </a:ext>
          </a:extLst>
        </xdr:cNvPr>
        <xdr:cNvSpPr>
          <a:spLocks noChangeShapeType="1"/>
        </xdr:cNvSpPr>
      </xdr:nvSpPr>
      <xdr:spPr bwMode="auto">
        <a:xfrm>
          <a:off x="75685650" y="3409950"/>
          <a:ext cx="3810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108</xdr:col>
      <xdr:colOff>66675</xdr:colOff>
      <xdr:row>21</xdr:row>
      <xdr:rowOff>57150</xdr:rowOff>
    </xdr:from>
    <xdr:to>
      <xdr:col>109</xdr:col>
      <xdr:colOff>0</xdr:colOff>
      <xdr:row>26</xdr:row>
      <xdr:rowOff>19050</xdr:rowOff>
    </xdr:to>
    <xdr:sp macro="" textlink="">
      <xdr:nvSpPr>
        <xdr:cNvPr id="1070408" name="Line 390">
          <a:extLst>
            <a:ext uri="{FF2B5EF4-FFF2-40B4-BE49-F238E27FC236}">
              <a16:creationId xmlns:a16="http://schemas.microsoft.com/office/drawing/2014/main" id="{00000000-0008-0000-0D00-000048551000}"/>
            </a:ext>
          </a:extLst>
        </xdr:cNvPr>
        <xdr:cNvSpPr>
          <a:spLocks noChangeShapeType="1"/>
        </xdr:cNvSpPr>
      </xdr:nvSpPr>
      <xdr:spPr bwMode="auto">
        <a:xfrm>
          <a:off x="75685650" y="4457700"/>
          <a:ext cx="38100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108</xdr:col>
      <xdr:colOff>66675</xdr:colOff>
      <xdr:row>16</xdr:row>
      <xdr:rowOff>152400</xdr:rowOff>
    </xdr:from>
    <xdr:to>
      <xdr:col>108</xdr:col>
      <xdr:colOff>438150</xdr:colOff>
      <xdr:row>21</xdr:row>
      <xdr:rowOff>85725</xdr:rowOff>
    </xdr:to>
    <xdr:sp macro="" textlink="">
      <xdr:nvSpPr>
        <xdr:cNvPr id="1070409" name="Line 391">
          <a:extLst>
            <a:ext uri="{FF2B5EF4-FFF2-40B4-BE49-F238E27FC236}">
              <a16:creationId xmlns:a16="http://schemas.microsoft.com/office/drawing/2014/main" id="{00000000-0008-0000-0D00-000049551000}"/>
            </a:ext>
          </a:extLst>
        </xdr:cNvPr>
        <xdr:cNvSpPr>
          <a:spLocks noChangeShapeType="1"/>
        </xdr:cNvSpPr>
      </xdr:nvSpPr>
      <xdr:spPr bwMode="auto">
        <a:xfrm flipV="1">
          <a:off x="75685650" y="3648075"/>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108</xdr:col>
      <xdr:colOff>76200</xdr:colOff>
      <xdr:row>22</xdr:row>
      <xdr:rowOff>152400</xdr:rowOff>
    </xdr:from>
    <xdr:to>
      <xdr:col>109</xdr:col>
      <xdr:colOff>0</xdr:colOff>
      <xdr:row>28</xdr:row>
      <xdr:rowOff>161925</xdr:rowOff>
    </xdr:to>
    <xdr:sp macro="" textlink="">
      <xdr:nvSpPr>
        <xdr:cNvPr id="1070410" name="Line 392">
          <a:extLst>
            <a:ext uri="{FF2B5EF4-FFF2-40B4-BE49-F238E27FC236}">
              <a16:creationId xmlns:a16="http://schemas.microsoft.com/office/drawing/2014/main" id="{00000000-0008-0000-0D00-00004A551000}"/>
            </a:ext>
          </a:extLst>
        </xdr:cNvPr>
        <xdr:cNvSpPr>
          <a:spLocks noChangeShapeType="1"/>
        </xdr:cNvSpPr>
      </xdr:nvSpPr>
      <xdr:spPr bwMode="auto">
        <a:xfrm flipV="1">
          <a:off x="75695175" y="4733925"/>
          <a:ext cx="371475" cy="1095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111</xdr:col>
      <xdr:colOff>76200</xdr:colOff>
      <xdr:row>13</xdr:row>
      <xdr:rowOff>0</xdr:rowOff>
    </xdr:from>
    <xdr:to>
      <xdr:col>112</xdr:col>
      <xdr:colOff>0</xdr:colOff>
      <xdr:row>15</xdr:row>
      <xdr:rowOff>57150</xdr:rowOff>
    </xdr:to>
    <xdr:sp macro="" textlink="">
      <xdr:nvSpPr>
        <xdr:cNvPr id="1070411" name="Line 394">
          <a:extLst>
            <a:ext uri="{FF2B5EF4-FFF2-40B4-BE49-F238E27FC236}">
              <a16:creationId xmlns:a16="http://schemas.microsoft.com/office/drawing/2014/main" id="{00000000-0008-0000-0D00-00004B551000}"/>
            </a:ext>
          </a:extLst>
        </xdr:cNvPr>
        <xdr:cNvSpPr>
          <a:spLocks noChangeShapeType="1"/>
        </xdr:cNvSpPr>
      </xdr:nvSpPr>
      <xdr:spPr bwMode="auto">
        <a:xfrm flipV="1">
          <a:off x="77857350" y="2952750"/>
          <a:ext cx="333375" cy="419100"/>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111</xdr:col>
      <xdr:colOff>76200</xdr:colOff>
      <xdr:row>16</xdr:row>
      <xdr:rowOff>171450</xdr:rowOff>
    </xdr:from>
    <xdr:to>
      <xdr:col>112</xdr:col>
      <xdr:colOff>0</xdr:colOff>
      <xdr:row>21</xdr:row>
      <xdr:rowOff>57150</xdr:rowOff>
    </xdr:to>
    <xdr:sp macro="" textlink="">
      <xdr:nvSpPr>
        <xdr:cNvPr id="1070412" name="Line 395">
          <a:extLst>
            <a:ext uri="{FF2B5EF4-FFF2-40B4-BE49-F238E27FC236}">
              <a16:creationId xmlns:a16="http://schemas.microsoft.com/office/drawing/2014/main" id="{00000000-0008-0000-0D00-00004C551000}"/>
            </a:ext>
          </a:extLst>
        </xdr:cNvPr>
        <xdr:cNvSpPr>
          <a:spLocks noChangeShapeType="1"/>
        </xdr:cNvSpPr>
      </xdr:nvSpPr>
      <xdr:spPr bwMode="auto">
        <a:xfrm flipV="1">
          <a:off x="77857350" y="3667125"/>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111</xdr:col>
      <xdr:colOff>66675</xdr:colOff>
      <xdr:row>15</xdr:row>
      <xdr:rowOff>85725</xdr:rowOff>
    </xdr:from>
    <xdr:to>
      <xdr:col>112</xdr:col>
      <xdr:colOff>0</xdr:colOff>
      <xdr:row>20</xdr:row>
      <xdr:rowOff>9525</xdr:rowOff>
    </xdr:to>
    <xdr:sp macro="" textlink="">
      <xdr:nvSpPr>
        <xdr:cNvPr id="1070413" name="Line 398">
          <a:extLst>
            <a:ext uri="{FF2B5EF4-FFF2-40B4-BE49-F238E27FC236}">
              <a16:creationId xmlns:a16="http://schemas.microsoft.com/office/drawing/2014/main" id="{00000000-0008-0000-0D00-00004D551000}"/>
            </a:ext>
          </a:extLst>
        </xdr:cNvPr>
        <xdr:cNvSpPr>
          <a:spLocks noChangeShapeType="1"/>
        </xdr:cNvSpPr>
      </xdr:nvSpPr>
      <xdr:spPr bwMode="auto">
        <a:xfrm>
          <a:off x="77847825" y="3400425"/>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111</xdr:col>
      <xdr:colOff>76200</xdr:colOff>
      <xdr:row>21</xdr:row>
      <xdr:rowOff>57150</xdr:rowOff>
    </xdr:from>
    <xdr:to>
      <xdr:col>112</xdr:col>
      <xdr:colOff>0</xdr:colOff>
      <xdr:row>26</xdr:row>
      <xdr:rowOff>28575</xdr:rowOff>
    </xdr:to>
    <xdr:sp macro="" textlink="">
      <xdr:nvSpPr>
        <xdr:cNvPr id="1070414" name="Line 399">
          <a:extLst>
            <a:ext uri="{FF2B5EF4-FFF2-40B4-BE49-F238E27FC236}">
              <a16:creationId xmlns:a16="http://schemas.microsoft.com/office/drawing/2014/main" id="{00000000-0008-0000-0D00-00004E551000}"/>
            </a:ext>
          </a:extLst>
        </xdr:cNvPr>
        <xdr:cNvSpPr>
          <a:spLocks noChangeShapeType="1"/>
        </xdr:cNvSpPr>
      </xdr:nvSpPr>
      <xdr:spPr bwMode="auto">
        <a:xfrm>
          <a:off x="77857350" y="4457700"/>
          <a:ext cx="333375" cy="8763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108</xdr:col>
      <xdr:colOff>76200</xdr:colOff>
      <xdr:row>29</xdr:row>
      <xdr:rowOff>9525</xdr:rowOff>
    </xdr:from>
    <xdr:to>
      <xdr:col>109</xdr:col>
      <xdr:colOff>0</xdr:colOff>
      <xdr:row>29</xdr:row>
      <xdr:rowOff>9525</xdr:rowOff>
    </xdr:to>
    <xdr:sp macro="" textlink="">
      <xdr:nvSpPr>
        <xdr:cNvPr id="1070415" name="Line 392">
          <a:extLst>
            <a:ext uri="{FF2B5EF4-FFF2-40B4-BE49-F238E27FC236}">
              <a16:creationId xmlns:a16="http://schemas.microsoft.com/office/drawing/2014/main" id="{00000000-0008-0000-0D00-00004F551000}"/>
            </a:ext>
          </a:extLst>
        </xdr:cNvPr>
        <xdr:cNvSpPr>
          <a:spLocks noChangeShapeType="1"/>
        </xdr:cNvSpPr>
      </xdr:nvSpPr>
      <xdr:spPr bwMode="auto">
        <a:xfrm>
          <a:off x="75695175" y="5857875"/>
          <a:ext cx="3714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111</xdr:col>
      <xdr:colOff>0</xdr:colOff>
      <xdr:row>26</xdr:row>
      <xdr:rowOff>28575</xdr:rowOff>
    </xdr:from>
    <xdr:to>
      <xdr:col>111</xdr:col>
      <xdr:colOff>76200</xdr:colOff>
      <xdr:row>26</xdr:row>
      <xdr:rowOff>38100</xdr:rowOff>
    </xdr:to>
    <xdr:sp macro="" textlink="">
      <xdr:nvSpPr>
        <xdr:cNvPr id="1070416" name="Line 343">
          <a:extLst>
            <a:ext uri="{FF2B5EF4-FFF2-40B4-BE49-F238E27FC236}">
              <a16:creationId xmlns:a16="http://schemas.microsoft.com/office/drawing/2014/main" id="{00000000-0008-0000-0D00-000050551000}"/>
            </a:ext>
          </a:extLst>
        </xdr:cNvPr>
        <xdr:cNvSpPr>
          <a:spLocks noChangeShapeType="1"/>
        </xdr:cNvSpPr>
      </xdr:nvSpPr>
      <xdr:spPr bwMode="auto">
        <a:xfrm>
          <a:off x="77781150" y="533400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111</xdr:col>
      <xdr:colOff>47625</xdr:colOff>
      <xdr:row>29</xdr:row>
      <xdr:rowOff>38100</xdr:rowOff>
    </xdr:from>
    <xdr:to>
      <xdr:col>111</xdr:col>
      <xdr:colOff>400050</xdr:colOff>
      <xdr:row>32</xdr:row>
      <xdr:rowOff>0</xdr:rowOff>
    </xdr:to>
    <xdr:sp macro="" textlink="">
      <xdr:nvSpPr>
        <xdr:cNvPr id="1070417" name="Line 363">
          <a:extLst>
            <a:ext uri="{FF2B5EF4-FFF2-40B4-BE49-F238E27FC236}">
              <a16:creationId xmlns:a16="http://schemas.microsoft.com/office/drawing/2014/main" id="{00000000-0008-0000-0D00-000051551000}"/>
            </a:ext>
          </a:extLst>
        </xdr:cNvPr>
        <xdr:cNvSpPr>
          <a:spLocks noChangeShapeType="1"/>
        </xdr:cNvSpPr>
      </xdr:nvSpPr>
      <xdr:spPr bwMode="auto">
        <a:xfrm>
          <a:off x="77828775" y="5886450"/>
          <a:ext cx="352425" cy="5048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111</xdr:col>
      <xdr:colOff>57150</xdr:colOff>
      <xdr:row>23</xdr:row>
      <xdr:rowOff>19050</xdr:rowOff>
    </xdr:from>
    <xdr:to>
      <xdr:col>111</xdr:col>
      <xdr:colOff>400050</xdr:colOff>
      <xdr:row>29</xdr:row>
      <xdr:rowOff>28575</xdr:rowOff>
    </xdr:to>
    <xdr:sp macro="" textlink="">
      <xdr:nvSpPr>
        <xdr:cNvPr id="1070418" name="Line 392">
          <a:extLst>
            <a:ext uri="{FF2B5EF4-FFF2-40B4-BE49-F238E27FC236}">
              <a16:creationId xmlns:a16="http://schemas.microsoft.com/office/drawing/2014/main" id="{00000000-0008-0000-0D00-000052551000}"/>
            </a:ext>
          </a:extLst>
        </xdr:cNvPr>
        <xdr:cNvSpPr>
          <a:spLocks noChangeShapeType="1"/>
        </xdr:cNvSpPr>
      </xdr:nvSpPr>
      <xdr:spPr bwMode="auto">
        <a:xfrm flipV="1">
          <a:off x="77838300" y="4781550"/>
          <a:ext cx="342900" cy="1095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111</xdr:col>
      <xdr:colOff>76200</xdr:colOff>
      <xdr:row>29</xdr:row>
      <xdr:rowOff>38100</xdr:rowOff>
    </xdr:from>
    <xdr:to>
      <xdr:col>112</xdr:col>
      <xdr:colOff>0</xdr:colOff>
      <xdr:row>29</xdr:row>
      <xdr:rowOff>38100</xdr:rowOff>
    </xdr:to>
    <xdr:sp macro="" textlink="">
      <xdr:nvSpPr>
        <xdr:cNvPr id="1070419" name="Line 392">
          <a:extLst>
            <a:ext uri="{FF2B5EF4-FFF2-40B4-BE49-F238E27FC236}">
              <a16:creationId xmlns:a16="http://schemas.microsoft.com/office/drawing/2014/main" id="{00000000-0008-0000-0D00-000053551000}"/>
            </a:ext>
          </a:extLst>
        </xdr:cNvPr>
        <xdr:cNvSpPr>
          <a:spLocks noChangeShapeType="1"/>
        </xdr:cNvSpPr>
      </xdr:nvSpPr>
      <xdr:spPr bwMode="auto">
        <a:xfrm>
          <a:off x="77857350" y="5886450"/>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111</xdr:col>
      <xdr:colOff>66675</xdr:colOff>
      <xdr:row>26</xdr:row>
      <xdr:rowOff>38100</xdr:rowOff>
    </xdr:from>
    <xdr:to>
      <xdr:col>111</xdr:col>
      <xdr:colOff>66675</xdr:colOff>
      <xdr:row>31</xdr:row>
      <xdr:rowOff>142875</xdr:rowOff>
    </xdr:to>
    <xdr:sp macro="" textlink="">
      <xdr:nvSpPr>
        <xdr:cNvPr id="1070420" name="Line 344">
          <a:extLst>
            <a:ext uri="{FF2B5EF4-FFF2-40B4-BE49-F238E27FC236}">
              <a16:creationId xmlns:a16="http://schemas.microsoft.com/office/drawing/2014/main" id="{00000000-0008-0000-0D00-000054551000}"/>
            </a:ext>
          </a:extLst>
        </xdr:cNvPr>
        <xdr:cNvSpPr>
          <a:spLocks noChangeShapeType="1"/>
        </xdr:cNvSpPr>
      </xdr:nvSpPr>
      <xdr:spPr bwMode="auto">
        <a:xfrm flipH="1">
          <a:off x="77847825" y="5343525"/>
          <a:ext cx="0" cy="1009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111</xdr:col>
      <xdr:colOff>9525</xdr:colOff>
      <xdr:row>32</xdr:row>
      <xdr:rowOff>0</xdr:rowOff>
    </xdr:from>
    <xdr:to>
      <xdr:col>111</xdr:col>
      <xdr:colOff>66675</xdr:colOff>
      <xdr:row>32</xdr:row>
      <xdr:rowOff>9525</xdr:rowOff>
    </xdr:to>
    <xdr:sp macro="" textlink="">
      <xdr:nvSpPr>
        <xdr:cNvPr id="1070421" name="Line 345">
          <a:extLst>
            <a:ext uri="{FF2B5EF4-FFF2-40B4-BE49-F238E27FC236}">
              <a16:creationId xmlns:a16="http://schemas.microsoft.com/office/drawing/2014/main" id="{00000000-0008-0000-0D00-000055551000}"/>
            </a:ext>
          </a:extLst>
        </xdr:cNvPr>
        <xdr:cNvSpPr>
          <a:spLocks noChangeShapeType="1"/>
        </xdr:cNvSpPr>
      </xdr:nvSpPr>
      <xdr:spPr bwMode="auto">
        <a:xfrm flipV="1">
          <a:off x="77790675" y="639127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0</xdr:colOff>
      <xdr:row>26</xdr:row>
      <xdr:rowOff>0</xdr:rowOff>
    </xdr:from>
    <xdr:to>
      <xdr:col>114</xdr:col>
      <xdr:colOff>76200</xdr:colOff>
      <xdr:row>26</xdr:row>
      <xdr:rowOff>9525</xdr:rowOff>
    </xdr:to>
    <xdr:sp macro="" textlink="">
      <xdr:nvSpPr>
        <xdr:cNvPr id="1070422" name="Line 473">
          <a:extLst>
            <a:ext uri="{FF2B5EF4-FFF2-40B4-BE49-F238E27FC236}">
              <a16:creationId xmlns:a16="http://schemas.microsoft.com/office/drawing/2014/main" id="{00000000-0008-0000-0D00-000056551000}"/>
            </a:ext>
          </a:extLst>
        </xdr:cNvPr>
        <xdr:cNvSpPr>
          <a:spLocks noChangeShapeType="1"/>
        </xdr:cNvSpPr>
      </xdr:nvSpPr>
      <xdr:spPr bwMode="auto">
        <a:xfrm>
          <a:off x="7987665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66675</xdr:colOff>
      <xdr:row>26</xdr:row>
      <xdr:rowOff>9525</xdr:rowOff>
    </xdr:from>
    <xdr:to>
      <xdr:col>114</xdr:col>
      <xdr:colOff>66675</xdr:colOff>
      <xdr:row>29</xdr:row>
      <xdr:rowOff>19050</xdr:rowOff>
    </xdr:to>
    <xdr:sp macro="" textlink="">
      <xdr:nvSpPr>
        <xdr:cNvPr id="1070423" name="Line 474">
          <a:extLst>
            <a:ext uri="{FF2B5EF4-FFF2-40B4-BE49-F238E27FC236}">
              <a16:creationId xmlns:a16="http://schemas.microsoft.com/office/drawing/2014/main" id="{00000000-0008-0000-0D00-000057551000}"/>
            </a:ext>
          </a:extLst>
        </xdr:cNvPr>
        <xdr:cNvSpPr>
          <a:spLocks noChangeShapeType="1"/>
        </xdr:cNvSpPr>
      </xdr:nvSpPr>
      <xdr:spPr bwMode="auto">
        <a:xfrm>
          <a:off x="7994332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0</xdr:colOff>
      <xdr:row>26</xdr:row>
      <xdr:rowOff>0</xdr:rowOff>
    </xdr:from>
    <xdr:to>
      <xdr:col>114</xdr:col>
      <xdr:colOff>76200</xdr:colOff>
      <xdr:row>26</xdr:row>
      <xdr:rowOff>9525</xdr:rowOff>
    </xdr:to>
    <xdr:sp macro="" textlink="">
      <xdr:nvSpPr>
        <xdr:cNvPr id="1070424" name="Line 475">
          <a:extLst>
            <a:ext uri="{FF2B5EF4-FFF2-40B4-BE49-F238E27FC236}">
              <a16:creationId xmlns:a16="http://schemas.microsoft.com/office/drawing/2014/main" id="{00000000-0008-0000-0D00-000058551000}"/>
            </a:ext>
          </a:extLst>
        </xdr:cNvPr>
        <xdr:cNvSpPr>
          <a:spLocks noChangeShapeType="1"/>
        </xdr:cNvSpPr>
      </xdr:nvSpPr>
      <xdr:spPr bwMode="auto">
        <a:xfrm>
          <a:off x="7987665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66675</xdr:colOff>
      <xdr:row>26</xdr:row>
      <xdr:rowOff>9525</xdr:rowOff>
    </xdr:from>
    <xdr:to>
      <xdr:col>114</xdr:col>
      <xdr:colOff>66675</xdr:colOff>
      <xdr:row>29</xdr:row>
      <xdr:rowOff>19050</xdr:rowOff>
    </xdr:to>
    <xdr:sp macro="" textlink="">
      <xdr:nvSpPr>
        <xdr:cNvPr id="1070425" name="Line 476">
          <a:extLst>
            <a:ext uri="{FF2B5EF4-FFF2-40B4-BE49-F238E27FC236}">
              <a16:creationId xmlns:a16="http://schemas.microsoft.com/office/drawing/2014/main" id="{00000000-0008-0000-0D00-000059551000}"/>
            </a:ext>
          </a:extLst>
        </xdr:cNvPr>
        <xdr:cNvSpPr>
          <a:spLocks noChangeShapeType="1"/>
        </xdr:cNvSpPr>
      </xdr:nvSpPr>
      <xdr:spPr bwMode="auto">
        <a:xfrm>
          <a:off x="7994332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76200</xdr:colOff>
      <xdr:row>29</xdr:row>
      <xdr:rowOff>19050</xdr:rowOff>
    </xdr:from>
    <xdr:to>
      <xdr:col>115</xdr:col>
      <xdr:colOff>9525</xdr:colOff>
      <xdr:row>32</xdr:row>
      <xdr:rowOff>9525</xdr:rowOff>
    </xdr:to>
    <xdr:sp macro="" textlink="">
      <xdr:nvSpPr>
        <xdr:cNvPr id="1070426" name="Line 477">
          <a:extLst>
            <a:ext uri="{FF2B5EF4-FFF2-40B4-BE49-F238E27FC236}">
              <a16:creationId xmlns:a16="http://schemas.microsoft.com/office/drawing/2014/main" id="{00000000-0008-0000-0D00-00005A551000}"/>
            </a:ext>
          </a:extLst>
        </xdr:cNvPr>
        <xdr:cNvSpPr>
          <a:spLocks noChangeShapeType="1"/>
        </xdr:cNvSpPr>
      </xdr:nvSpPr>
      <xdr:spPr bwMode="auto">
        <a:xfrm>
          <a:off x="79952850" y="5867400"/>
          <a:ext cx="342900" cy="5334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114</xdr:col>
      <xdr:colOff>0</xdr:colOff>
      <xdr:row>26</xdr:row>
      <xdr:rowOff>0</xdr:rowOff>
    </xdr:from>
    <xdr:to>
      <xdr:col>114</xdr:col>
      <xdr:colOff>76200</xdr:colOff>
      <xdr:row>26</xdr:row>
      <xdr:rowOff>9525</xdr:rowOff>
    </xdr:to>
    <xdr:sp macro="" textlink="">
      <xdr:nvSpPr>
        <xdr:cNvPr id="1070427" name="Line 478">
          <a:extLst>
            <a:ext uri="{FF2B5EF4-FFF2-40B4-BE49-F238E27FC236}">
              <a16:creationId xmlns:a16="http://schemas.microsoft.com/office/drawing/2014/main" id="{00000000-0008-0000-0D00-00005B551000}"/>
            </a:ext>
          </a:extLst>
        </xdr:cNvPr>
        <xdr:cNvSpPr>
          <a:spLocks noChangeShapeType="1"/>
        </xdr:cNvSpPr>
      </xdr:nvSpPr>
      <xdr:spPr bwMode="auto">
        <a:xfrm>
          <a:off x="7987665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66675</xdr:colOff>
      <xdr:row>26</xdr:row>
      <xdr:rowOff>9525</xdr:rowOff>
    </xdr:from>
    <xdr:to>
      <xdr:col>114</xdr:col>
      <xdr:colOff>66675</xdr:colOff>
      <xdr:row>31</xdr:row>
      <xdr:rowOff>152400</xdr:rowOff>
    </xdr:to>
    <xdr:sp macro="" textlink="">
      <xdr:nvSpPr>
        <xdr:cNvPr id="1070428" name="Line 479">
          <a:extLst>
            <a:ext uri="{FF2B5EF4-FFF2-40B4-BE49-F238E27FC236}">
              <a16:creationId xmlns:a16="http://schemas.microsoft.com/office/drawing/2014/main" id="{00000000-0008-0000-0D00-00005C551000}"/>
            </a:ext>
          </a:extLst>
        </xdr:cNvPr>
        <xdr:cNvSpPr>
          <a:spLocks noChangeShapeType="1"/>
        </xdr:cNvSpPr>
      </xdr:nvSpPr>
      <xdr:spPr bwMode="auto">
        <a:xfrm>
          <a:off x="79943325" y="5314950"/>
          <a:ext cx="0" cy="1047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66675</xdr:colOff>
      <xdr:row>25</xdr:row>
      <xdr:rowOff>161925</xdr:rowOff>
    </xdr:from>
    <xdr:to>
      <xdr:col>115</xdr:col>
      <xdr:colOff>0</xdr:colOff>
      <xdr:row>29</xdr:row>
      <xdr:rowOff>0</xdr:rowOff>
    </xdr:to>
    <xdr:sp macro="" textlink="">
      <xdr:nvSpPr>
        <xdr:cNvPr id="1070429" name="Line 480">
          <a:extLst>
            <a:ext uri="{FF2B5EF4-FFF2-40B4-BE49-F238E27FC236}">
              <a16:creationId xmlns:a16="http://schemas.microsoft.com/office/drawing/2014/main" id="{00000000-0008-0000-0D00-00005D551000}"/>
            </a:ext>
          </a:extLst>
        </xdr:cNvPr>
        <xdr:cNvSpPr>
          <a:spLocks noChangeShapeType="1"/>
        </xdr:cNvSpPr>
      </xdr:nvSpPr>
      <xdr:spPr bwMode="auto">
        <a:xfrm flipV="1">
          <a:off x="79943325" y="5286375"/>
          <a:ext cx="342900" cy="5619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114</xdr:col>
      <xdr:colOff>66675</xdr:colOff>
      <xdr:row>29</xdr:row>
      <xdr:rowOff>9525</xdr:rowOff>
    </xdr:from>
    <xdr:to>
      <xdr:col>115</xdr:col>
      <xdr:colOff>0</xdr:colOff>
      <xdr:row>29</xdr:row>
      <xdr:rowOff>9525</xdr:rowOff>
    </xdr:to>
    <xdr:sp macro="" textlink="">
      <xdr:nvSpPr>
        <xdr:cNvPr id="1070430" name="Line 481">
          <a:extLst>
            <a:ext uri="{FF2B5EF4-FFF2-40B4-BE49-F238E27FC236}">
              <a16:creationId xmlns:a16="http://schemas.microsoft.com/office/drawing/2014/main" id="{00000000-0008-0000-0D00-00005E551000}"/>
            </a:ext>
          </a:extLst>
        </xdr:cNvPr>
        <xdr:cNvSpPr>
          <a:spLocks noChangeShapeType="1"/>
        </xdr:cNvSpPr>
      </xdr:nvSpPr>
      <xdr:spPr bwMode="auto">
        <a:xfrm>
          <a:off x="79943325" y="5857875"/>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114</xdr:col>
      <xdr:colOff>9525</xdr:colOff>
      <xdr:row>31</xdr:row>
      <xdr:rowOff>171450</xdr:rowOff>
    </xdr:from>
    <xdr:to>
      <xdr:col>114</xdr:col>
      <xdr:colOff>66675</xdr:colOff>
      <xdr:row>32</xdr:row>
      <xdr:rowOff>0</xdr:rowOff>
    </xdr:to>
    <xdr:sp macro="" textlink="">
      <xdr:nvSpPr>
        <xdr:cNvPr id="1070431" name="Line 482">
          <a:extLst>
            <a:ext uri="{FF2B5EF4-FFF2-40B4-BE49-F238E27FC236}">
              <a16:creationId xmlns:a16="http://schemas.microsoft.com/office/drawing/2014/main" id="{00000000-0008-0000-0D00-00005F551000}"/>
            </a:ext>
          </a:extLst>
        </xdr:cNvPr>
        <xdr:cNvSpPr>
          <a:spLocks noChangeShapeType="1"/>
        </xdr:cNvSpPr>
      </xdr:nvSpPr>
      <xdr:spPr bwMode="auto">
        <a:xfrm flipV="1">
          <a:off x="79886175" y="638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108</xdr:col>
      <xdr:colOff>9525</xdr:colOff>
      <xdr:row>23</xdr:row>
      <xdr:rowOff>0</xdr:rowOff>
    </xdr:from>
    <xdr:to>
      <xdr:col>108</xdr:col>
      <xdr:colOff>66675</xdr:colOff>
      <xdr:row>23</xdr:row>
      <xdr:rowOff>9525</xdr:rowOff>
    </xdr:to>
    <xdr:sp macro="" textlink="">
      <xdr:nvSpPr>
        <xdr:cNvPr id="1070432" name="Line 39">
          <a:extLst>
            <a:ext uri="{FF2B5EF4-FFF2-40B4-BE49-F238E27FC236}">
              <a16:creationId xmlns:a16="http://schemas.microsoft.com/office/drawing/2014/main" id="{00000000-0008-0000-0D00-000060551000}"/>
            </a:ext>
          </a:extLst>
        </xdr:cNvPr>
        <xdr:cNvSpPr>
          <a:spLocks noChangeShapeType="1"/>
        </xdr:cNvSpPr>
      </xdr:nvSpPr>
      <xdr:spPr bwMode="auto">
        <a:xfrm flipV="1">
          <a:off x="7562850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111</xdr:col>
      <xdr:colOff>9525</xdr:colOff>
      <xdr:row>23</xdr:row>
      <xdr:rowOff>0</xdr:rowOff>
    </xdr:from>
    <xdr:to>
      <xdr:col>111</xdr:col>
      <xdr:colOff>66675</xdr:colOff>
      <xdr:row>23</xdr:row>
      <xdr:rowOff>9525</xdr:rowOff>
    </xdr:to>
    <xdr:sp macro="" textlink="">
      <xdr:nvSpPr>
        <xdr:cNvPr id="1070433" name="Line 42">
          <a:extLst>
            <a:ext uri="{FF2B5EF4-FFF2-40B4-BE49-F238E27FC236}">
              <a16:creationId xmlns:a16="http://schemas.microsoft.com/office/drawing/2014/main" id="{00000000-0008-0000-0D00-000061551000}"/>
            </a:ext>
          </a:extLst>
        </xdr:cNvPr>
        <xdr:cNvSpPr>
          <a:spLocks noChangeShapeType="1"/>
        </xdr:cNvSpPr>
      </xdr:nvSpPr>
      <xdr:spPr bwMode="auto">
        <a:xfrm flipV="1">
          <a:off x="777906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9525</xdr:colOff>
      <xdr:row>23</xdr:row>
      <xdr:rowOff>0</xdr:rowOff>
    </xdr:from>
    <xdr:to>
      <xdr:col>114</xdr:col>
      <xdr:colOff>66675</xdr:colOff>
      <xdr:row>23</xdr:row>
      <xdr:rowOff>9525</xdr:rowOff>
    </xdr:to>
    <xdr:sp macro="" textlink="">
      <xdr:nvSpPr>
        <xdr:cNvPr id="1070434" name="Line 45">
          <a:extLst>
            <a:ext uri="{FF2B5EF4-FFF2-40B4-BE49-F238E27FC236}">
              <a16:creationId xmlns:a16="http://schemas.microsoft.com/office/drawing/2014/main" id="{00000000-0008-0000-0D00-000062551000}"/>
            </a:ext>
          </a:extLst>
        </xdr:cNvPr>
        <xdr:cNvSpPr>
          <a:spLocks noChangeShapeType="1"/>
        </xdr:cNvSpPr>
      </xdr:nvSpPr>
      <xdr:spPr bwMode="auto">
        <a:xfrm flipV="1">
          <a:off x="798861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9525</xdr:colOff>
      <xdr:row>23</xdr:row>
      <xdr:rowOff>0</xdr:rowOff>
    </xdr:from>
    <xdr:to>
      <xdr:col>114</xdr:col>
      <xdr:colOff>66675</xdr:colOff>
      <xdr:row>23</xdr:row>
      <xdr:rowOff>9525</xdr:rowOff>
    </xdr:to>
    <xdr:sp macro="" textlink="">
      <xdr:nvSpPr>
        <xdr:cNvPr id="1070435" name="Line 79">
          <a:extLst>
            <a:ext uri="{FF2B5EF4-FFF2-40B4-BE49-F238E27FC236}">
              <a16:creationId xmlns:a16="http://schemas.microsoft.com/office/drawing/2014/main" id="{00000000-0008-0000-0D00-000063551000}"/>
            </a:ext>
          </a:extLst>
        </xdr:cNvPr>
        <xdr:cNvSpPr>
          <a:spLocks noChangeShapeType="1"/>
        </xdr:cNvSpPr>
      </xdr:nvSpPr>
      <xdr:spPr bwMode="auto">
        <a:xfrm flipV="1">
          <a:off x="798861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76200</xdr:colOff>
      <xdr:row>21</xdr:row>
      <xdr:rowOff>66675</xdr:rowOff>
    </xdr:from>
    <xdr:to>
      <xdr:col>115</xdr:col>
      <xdr:colOff>9525</xdr:colOff>
      <xdr:row>23</xdr:row>
      <xdr:rowOff>19050</xdr:rowOff>
    </xdr:to>
    <xdr:sp macro="" textlink="">
      <xdr:nvSpPr>
        <xdr:cNvPr id="1070436" name="Line 81">
          <a:extLst>
            <a:ext uri="{FF2B5EF4-FFF2-40B4-BE49-F238E27FC236}">
              <a16:creationId xmlns:a16="http://schemas.microsoft.com/office/drawing/2014/main" id="{00000000-0008-0000-0D00-000064551000}"/>
            </a:ext>
          </a:extLst>
        </xdr:cNvPr>
        <xdr:cNvSpPr>
          <a:spLocks noChangeShapeType="1"/>
        </xdr:cNvSpPr>
      </xdr:nvSpPr>
      <xdr:spPr bwMode="auto">
        <a:xfrm>
          <a:off x="79952850" y="44672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114</xdr:col>
      <xdr:colOff>9525</xdr:colOff>
      <xdr:row>23</xdr:row>
      <xdr:rowOff>0</xdr:rowOff>
    </xdr:from>
    <xdr:to>
      <xdr:col>114</xdr:col>
      <xdr:colOff>66675</xdr:colOff>
      <xdr:row>23</xdr:row>
      <xdr:rowOff>9525</xdr:rowOff>
    </xdr:to>
    <xdr:sp macro="" textlink="">
      <xdr:nvSpPr>
        <xdr:cNvPr id="1070437" name="Line 92">
          <a:extLst>
            <a:ext uri="{FF2B5EF4-FFF2-40B4-BE49-F238E27FC236}">
              <a16:creationId xmlns:a16="http://schemas.microsoft.com/office/drawing/2014/main" id="{00000000-0008-0000-0D00-000065551000}"/>
            </a:ext>
          </a:extLst>
        </xdr:cNvPr>
        <xdr:cNvSpPr>
          <a:spLocks noChangeShapeType="1"/>
        </xdr:cNvSpPr>
      </xdr:nvSpPr>
      <xdr:spPr bwMode="auto">
        <a:xfrm flipV="1">
          <a:off x="798861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111</xdr:col>
      <xdr:colOff>9525</xdr:colOff>
      <xdr:row>23</xdr:row>
      <xdr:rowOff>0</xdr:rowOff>
    </xdr:from>
    <xdr:to>
      <xdr:col>111</xdr:col>
      <xdr:colOff>66675</xdr:colOff>
      <xdr:row>23</xdr:row>
      <xdr:rowOff>9525</xdr:rowOff>
    </xdr:to>
    <xdr:sp macro="" textlink="">
      <xdr:nvSpPr>
        <xdr:cNvPr id="1070438" name="Line 136">
          <a:extLst>
            <a:ext uri="{FF2B5EF4-FFF2-40B4-BE49-F238E27FC236}">
              <a16:creationId xmlns:a16="http://schemas.microsoft.com/office/drawing/2014/main" id="{00000000-0008-0000-0D00-000066551000}"/>
            </a:ext>
          </a:extLst>
        </xdr:cNvPr>
        <xdr:cNvSpPr>
          <a:spLocks noChangeShapeType="1"/>
        </xdr:cNvSpPr>
      </xdr:nvSpPr>
      <xdr:spPr bwMode="auto">
        <a:xfrm flipV="1">
          <a:off x="777906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108</xdr:col>
      <xdr:colOff>85725</xdr:colOff>
      <xdr:row>26</xdr:row>
      <xdr:rowOff>0</xdr:rowOff>
    </xdr:from>
    <xdr:to>
      <xdr:col>108</xdr:col>
      <xdr:colOff>85725</xdr:colOff>
      <xdr:row>31</xdr:row>
      <xdr:rowOff>142875</xdr:rowOff>
    </xdr:to>
    <xdr:sp macro="" textlink="">
      <xdr:nvSpPr>
        <xdr:cNvPr id="1070439" name="Line 460">
          <a:extLst>
            <a:ext uri="{FF2B5EF4-FFF2-40B4-BE49-F238E27FC236}">
              <a16:creationId xmlns:a16="http://schemas.microsoft.com/office/drawing/2014/main" id="{00000000-0008-0000-0D00-000067551000}"/>
            </a:ext>
          </a:extLst>
        </xdr:cNvPr>
        <xdr:cNvSpPr>
          <a:spLocks noChangeShapeType="1"/>
        </xdr:cNvSpPr>
      </xdr:nvSpPr>
      <xdr:spPr bwMode="auto">
        <a:xfrm>
          <a:off x="75704700" y="5305425"/>
          <a:ext cx="0" cy="1047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111</xdr:col>
      <xdr:colOff>9525</xdr:colOff>
      <xdr:row>23</xdr:row>
      <xdr:rowOff>0</xdr:rowOff>
    </xdr:from>
    <xdr:to>
      <xdr:col>111</xdr:col>
      <xdr:colOff>66675</xdr:colOff>
      <xdr:row>23</xdr:row>
      <xdr:rowOff>9525</xdr:rowOff>
    </xdr:to>
    <xdr:sp macro="" textlink="">
      <xdr:nvSpPr>
        <xdr:cNvPr id="1070440" name="Line 464">
          <a:extLst>
            <a:ext uri="{FF2B5EF4-FFF2-40B4-BE49-F238E27FC236}">
              <a16:creationId xmlns:a16="http://schemas.microsoft.com/office/drawing/2014/main" id="{00000000-0008-0000-0D00-000068551000}"/>
            </a:ext>
          </a:extLst>
        </xdr:cNvPr>
        <xdr:cNvSpPr>
          <a:spLocks noChangeShapeType="1"/>
        </xdr:cNvSpPr>
      </xdr:nvSpPr>
      <xdr:spPr bwMode="auto">
        <a:xfrm flipV="1">
          <a:off x="777906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0</xdr:colOff>
      <xdr:row>26</xdr:row>
      <xdr:rowOff>0</xdr:rowOff>
    </xdr:from>
    <xdr:to>
      <xdr:col>114</xdr:col>
      <xdr:colOff>76200</xdr:colOff>
      <xdr:row>26</xdr:row>
      <xdr:rowOff>9525</xdr:rowOff>
    </xdr:to>
    <xdr:sp macro="" textlink="">
      <xdr:nvSpPr>
        <xdr:cNvPr id="1070441" name="Line 473">
          <a:extLst>
            <a:ext uri="{FF2B5EF4-FFF2-40B4-BE49-F238E27FC236}">
              <a16:creationId xmlns:a16="http://schemas.microsoft.com/office/drawing/2014/main" id="{00000000-0008-0000-0D00-000069551000}"/>
            </a:ext>
          </a:extLst>
        </xdr:cNvPr>
        <xdr:cNvSpPr>
          <a:spLocks noChangeShapeType="1"/>
        </xdr:cNvSpPr>
      </xdr:nvSpPr>
      <xdr:spPr bwMode="auto">
        <a:xfrm>
          <a:off x="7987665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66675</xdr:colOff>
      <xdr:row>26</xdr:row>
      <xdr:rowOff>9525</xdr:rowOff>
    </xdr:from>
    <xdr:to>
      <xdr:col>114</xdr:col>
      <xdr:colOff>66675</xdr:colOff>
      <xdr:row>29</xdr:row>
      <xdr:rowOff>19050</xdr:rowOff>
    </xdr:to>
    <xdr:sp macro="" textlink="">
      <xdr:nvSpPr>
        <xdr:cNvPr id="1070442" name="Line 474">
          <a:extLst>
            <a:ext uri="{FF2B5EF4-FFF2-40B4-BE49-F238E27FC236}">
              <a16:creationId xmlns:a16="http://schemas.microsoft.com/office/drawing/2014/main" id="{00000000-0008-0000-0D00-00006A551000}"/>
            </a:ext>
          </a:extLst>
        </xdr:cNvPr>
        <xdr:cNvSpPr>
          <a:spLocks noChangeShapeType="1"/>
        </xdr:cNvSpPr>
      </xdr:nvSpPr>
      <xdr:spPr bwMode="auto">
        <a:xfrm>
          <a:off x="7994332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0</xdr:colOff>
      <xdr:row>26</xdr:row>
      <xdr:rowOff>0</xdr:rowOff>
    </xdr:from>
    <xdr:to>
      <xdr:col>114</xdr:col>
      <xdr:colOff>76200</xdr:colOff>
      <xdr:row>26</xdr:row>
      <xdr:rowOff>9525</xdr:rowOff>
    </xdr:to>
    <xdr:sp macro="" textlink="">
      <xdr:nvSpPr>
        <xdr:cNvPr id="1070443" name="Line 475">
          <a:extLst>
            <a:ext uri="{FF2B5EF4-FFF2-40B4-BE49-F238E27FC236}">
              <a16:creationId xmlns:a16="http://schemas.microsoft.com/office/drawing/2014/main" id="{00000000-0008-0000-0D00-00006B551000}"/>
            </a:ext>
          </a:extLst>
        </xdr:cNvPr>
        <xdr:cNvSpPr>
          <a:spLocks noChangeShapeType="1"/>
        </xdr:cNvSpPr>
      </xdr:nvSpPr>
      <xdr:spPr bwMode="auto">
        <a:xfrm>
          <a:off x="7987665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66675</xdr:colOff>
      <xdr:row>26</xdr:row>
      <xdr:rowOff>9525</xdr:rowOff>
    </xdr:from>
    <xdr:to>
      <xdr:col>114</xdr:col>
      <xdr:colOff>66675</xdr:colOff>
      <xdr:row>29</xdr:row>
      <xdr:rowOff>19050</xdr:rowOff>
    </xdr:to>
    <xdr:sp macro="" textlink="">
      <xdr:nvSpPr>
        <xdr:cNvPr id="1070444" name="Line 476">
          <a:extLst>
            <a:ext uri="{FF2B5EF4-FFF2-40B4-BE49-F238E27FC236}">
              <a16:creationId xmlns:a16="http://schemas.microsoft.com/office/drawing/2014/main" id="{00000000-0008-0000-0D00-00006C551000}"/>
            </a:ext>
          </a:extLst>
        </xdr:cNvPr>
        <xdr:cNvSpPr>
          <a:spLocks noChangeShapeType="1"/>
        </xdr:cNvSpPr>
      </xdr:nvSpPr>
      <xdr:spPr bwMode="auto">
        <a:xfrm>
          <a:off x="7994332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76200</xdr:colOff>
      <xdr:row>29</xdr:row>
      <xdr:rowOff>19050</xdr:rowOff>
    </xdr:from>
    <xdr:to>
      <xdr:col>115</xdr:col>
      <xdr:colOff>9525</xdr:colOff>
      <xdr:row>32</xdr:row>
      <xdr:rowOff>9525</xdr:rowOff>
    </xdr:to>
    <xdr:sp macro="" textlink="">
      <xdr:nvSpPr>
        <xdr:cNvPr id="1070445" name="Line 477">
          <a:extLst>
            <a:ext uri="{FF2B5EF4-FFF2-40B4-BE49-F238E27FC236}">
              <a16:creationId xmlns:a16="http://schemas.microsoft.com/office/drawing/2014/main" id="{00000000-0008-0000-0D00-00006D551000}"/>
            </a:ext>
          </a:extLst>
        </xdr:cNvPr>
        <xdr:cNvSpPr>
          <a:spLocks noChangeShapeType="1"/>
        </xdr:cNvSpPr>
      </xdr:nvSpPr>
      <xdr:spPr bwMode="auto">
        <a:xfrm>
          <a:off x="79952850" y="5867400"/>
          <a:ext cx="342900" cy="5334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114</xdr:col>
      <xdr:colOff>0</xdr:colOff>
      <xdr:row>26</xdr:row>
      <xdr:rowOff>0</xdr:rowOff>
    </xdr:from>
    <xdr:to>
      <xdr:col>114</xdr:col>
      <xdr:colOff>76200</xdr:colOff>
      <xdr:row>26</xdr:row>
      <xdr:rowOff>9525</xdr:rowOff>
    </xdr:to>
    <xdr:sp macro="" textlink="">
      <xdr:nvSpPr>
        <xdr:cNvPr id="1070446" name="Line 478">
          <a:extLst>
            <a:ext uri="{FF2B5EF4-FFF2-40B4-BE49-F238E27FC236}">
              <a16:creationId xmlns:a16="http://schemas.microsoft.com/office/drawing/2014/main" id="{00000000-0008-0000-0D00-00006E551000}"/>
            </a:ext>
          </a:extLst>
        </xdr:cNvPr>
        <xdr:cNvSpPr>
          <a:spLocks noChangeShapeType="1"/>
        </xdr:cNvSpPr>
      </xdr:nvSpPr>
      <xdr:spPr bwMode="auto">
        <a:xfrm>
          <a:off x="7987665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66675</xdr:colOff>
      <xdr:row>26</xdr:row>
      <xdr:rowOff>9525</xdr:rowOff>
    </xdr:from>
    <xdr:to>
      <xdr:col>114</xdr:col>
      <xdr:colOff>66675</xdr:colOff>
      <xdr:row>31</xdr:row>
      <xdr:rowOff>152400</xdr:rowOff>
    </xdr:to>
    <xdr:sp macro="" textlink="">
      <xdr:nvSpPr>
        <xdr:cNvPr id="1070447" name="Line 479">
          <a:extLst>
            <a:ext uri="{FF2B5EF4-FFF2-40B4-BE49-F238E27FC236}">
              <a16:creationId xmlns:a16="http://schemas.microsoft.com/office/drawing/2014/main" id="{00000000-0008-0000-0D00-00006F551000}"/>
            </a:ext>
          </a:extLst>
        </xdr:cNvPr>
        <xdr:cNvSpPr>
          <a:spLocks noChangeShapeType="1"/>
        </xdr:cNvSpPr>
      </xdr:nvSpPr>
      <xdr:spPr bwMode="auto">
        <a:xfrm>
          <a:off x="79943325" y="5314950"/>
          <a:ext cx="0" cy="1047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114</xdr:col>
      <xdr:colOff>66675</xdr:colOff>
      <xdr:row>25</xdr:row>
      <xdr:rowOff>161925</xdr:rowOff>
    </xdr:from>
    <xdr:to>
      <xdr:col>115</xdr:col>
      <xdr:colOff>0</xdr:colOff>
      <xdr:row>29</xdr:row>
      <xdr:rowOff>0</xdr:rowOff>
    </xdr:to>
    <xdr:sp macro="" textlink="">
      <xdr:nvSpPr>
        <xdr:cNvPr id="1070448" name="Line 480">
          <a:extLst>
            <a:ext uri="{FF2B5EF4-FFF2-40B4-BE49-F238E27FC236}">
              <a16:creationId xmlns:a16="http://schemas.microsoft.com/office/drawing/2014/main" id="{00000000-0008-0000-0D00-000070551000}"/>
            </a:ext>
          </a:extLst>
        </xdr:cNvPr>
        <xdr:cNvSpPr>
          <a:spLocks noChangeShapeType="1"/>
        </xdr:cNvSpPr>
      </xdr:nvSpPr>
      <xdr:spPr bwMode="auto">
        <a:xfrm flipV="1">
          <a:off x="79943325" y="5286375"/>
          <a:ext cx="342900" cy="5619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114</xdr:col>
      <xdr:colOff>66675</xdr:colOff>
      <xdr:row>29</xdr:row>
      <xdr:rowOff>9525</xdr:rowOff>
    </xdr:from>
    <xdr:to>
      <xdr:col>115</xdr:col>
      <xdr:colOff>0</xdr:colOff>
      <xdr:row>29</xdr:row>
      <xdr:rowOff>9525</xdr:rowOff>
    </xdr:to>
    <xdr:sp macro="" textlink="">
      <xdr:nvSpPr>
        <xdr:cNvPr id="1070449" name="Line 481">
          <a:extLst>
            <a:ext uri="{FF2B5EF4-FFF2-40B4-BE49-F238E27FC236}">
              <a16:creationId xmlns:a16="http://schemas.microsoft.com/office/drawing/2014/main" id="{00000000-0008-0000-0D00-000071551000}"/>
            </a:ext>
          </a:extLst>
        </xdr:cNvPr>
        <xdr:cNvSpPr>
          <a:spLocks noChangeShapeType="1"/>
        </xdr:cNvSpPr>
      </xdr:nvSpPr>
      <xdr:spPr bwMode="auto">
        <a:xfrm>
          <a:off x="79943325" y="5857875"/>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114</xdr:col>
      <xdr:colOff>9525</xdr:colOff>
      <xdr:row>31</xdr:row>
      <xdr:rowOff>171450</xdr:rowOff>
    </xdr:from>
    <xdr:to>
      <xdr:col>114</xdr:col>
      <xdr:colOff>66675</xdr:colOff>
      <xdr:row>32</xdr:row>
      <xdr:rowOff>0</xdr:rowOff>
    </xdr:to>
    <xdr:sp macro="" textlink="">
      <xdr:nvSpPr>
        <xdr:cNvPr id="1070450" name="Line 482">
          <a:extLst>
            <a:ext uri="{FF2B5EF4-FFF2-40B4-BE49-F238E27FC236}">
              <a16:creationId xmlns:a16="http://schemas.microsoft.com/office/drawing/2014/main" id="{00000000-0008-0000-0D00-000072551000}"/>
            </a:ext>
          </a:extLst>
        </xdr:cNvPr>
        <xdr:cNvSpPr>
          <a:spLocks noChangeShapeType="1"/>
        </xdr:cNvSpPr>
      </xdr:nvSpPr>
      <xdr:spPr bwMode="auto">
        <a:xfrm flipV="1">
          <a:off x="79886175" y="638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0</xdr:colOff>
      <xdr:row>8</xdr:row>
      <xdr:rowOff>0</xdr:rowOff>
    </xdr:from>
    <xdr:to>
      <xdr:col>124</xdr:col>
      <xdr:colOff>76200</xdr:colOff>
      <xdr:row>8</xdr:row>
      <xdr:rowOff>9525</xdr:rowOff>
    </xdr:to>
    <xdr:sp macro="" textlink="">
      <xdr:nvSpPr>
        <xdr:cNvPr id="1070451" name="Line 1">
          <a:extLst>
            <a:ext uri="{FF2B5EF4-FFF2-40B4-BE49-F238E27FC236}">
              <a16:creationId xmlns:a16="http://schemas.microsoft.com/office/drawing/2014/main" id="{00000000-0008-0000-0D00-000073551000}"/>
            </a:ext>
          </a:extLst>
        </xdr:cNvPr>
        <xdr:cNvSpPr>
          <a:spLocks noChangeShapeType="1"/>
        </xdr:cNvSpPr>
      </xdr:nvSpPr>
      <xdr:spPr bwMode="auto">
        <a:xfrm>
          <a:off x="8670607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66675</xdr:colOff>
      <xdr:row>8</xdr:row>
      <xdr:rowOff>9525</xdr:rowOff>
    </xdr:from>
    <xdr:to>
      <xdr:col>124</xdr:col>
      <xdr:colOff>66675</xdr:colOff>
      <xdr:row>11</xdr:row>
      <xdr:rowOff>19050</xdr:rowOff>
    </xdr:to>
    <xdr:sp macro="" textlink="">
      <xdr:nvSpPr>
        <xdr:cNvPr id="1070452" name="Line 2">
          <a:extLst>
            <a:ext uri="{FF2B5EF4-FFF2-40B4-BE49-F238E27FC236}">
              <a16:creationId xmlns:a16="http://schemas.microsoft.com/office/drawing/2014/main" id="{00000000-0008-0000-0D00-000074551000}"/>
            </a:ext>
          </a:extLst>
        </xdr:cNvPr>
        <xdr:cNvSpPr>
          <a:spLocks noChangeShapeType="1"/>
        </xdr:cNvSpPr>
      </xdr:nvSpPr>
      <xdr:spPr bwMode="auto">
        <a:xfrm>
          <a:off x="8677275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9525</xdr:colOff>
      <xdr:row>11</xdr:row>
      <xdr:rowOff>0</xdr:rowOff>
    </xdr:from>
    <xdr:to>
      <xdr:col>124</xdr:col>
      <xdr:colOff>66675</xdr:colOff>
      <xdr:row>11</xdr:row>
      <xdr:rowOff>9525</xdr:rowOff>
    </xdr:to>
    <xdr:sp macro="" textlink="">
      <xdr:nvSpPr>
        <xdr:cNvPr id="1070453" name="Line 3">
          <a:extLst>
            <a:ext uri="{FF2B5EF4-FFF2-40B4-BE49-F238E27FC236}">
              <a16:creationId xmlns:a16="http://schemas.microsoft.com/office/drawing/2014/main" id="{00000000-0008-0000-0D00-000075551000}"/>
            </a:ext>
          </a:extLst>
        </xdr:cNvPr>
        <xdr:cNvSpPr>
          <a:spLocks noChangeShapeType="1"/>
        </xdr:cNvSpPr>
      </xdr:nvSpPr>
      <xdr:spPr bwMode="auto">
        <a:xfrm flipV="1">
          <a:off x="8671560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121</xdr:col>
      <xdr:colOff>0</xdr:colOff>
      <xdr:row>8</xdr:row>
      <xdr:rowOff>0</xdr:rowOff>
    </xdr:from>
    <xdr:to>
      <xdr:col>121</xdr:col>
      <xdr:colOff>76200</xdr:colOff>
      <xdr:row>8</xdr:row>
      <xdr:rowOff>9525</xdr:rowOff>
    </xdr:to>
    <xdr:sp macro="" textlink="">
      <xdr:nvSpPr>
        <xdr:cNvPr id="1070454" name="Line 4">
          <a:extLst>
            <a:ext uri="{FF2B5EF4-FFF2-40B4-BE49-F238E27FC236}">
              <a16:creationId xmlns:a16="http://schemas.microsoft.com/office/drawing/2014/main" id="{00000000-0008-0000-0D00-000076551000}"/>
            </a:ext>
          </a:extLst>
        </xdr:cNvPr>
        <xdr:cNvSpPr>
          <a:spLocks noChangeShapeType="1"/>
        </xdr:cNvSpPr>
      </xdr:nvSpPr>
      <xdr:spPr bwMode="auto">
        <a:xfrm>
          <a:off x="845439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121</xdr:col>
      <xdr:colOff>66675</xdr:colOff>
      <xdr:row>8</xdr:row>
      <xdr:rowOff>9525</xdr:rowOff>
    </xdr:from>
    <xdr:to>
      <xdr:col>121</xdr:col>
      <xdr:colOff>66675</xdr:colOff>
      <xdr:row>11</xdr:row>
      <xdr:rowOff>19050</xdr:rowOff>
    </xdr:to>
    <xdr:sp macro="" textlink="">
      <xdr:nvSpPr>
        <xdr:cNvPr id="1070455" name="Line 5">
          <a:extLst>
            <a:ext uri="{FF2B5EF4-FFF2-40B4-BE49-F238E27FC236}">
              <a16:creationId xmlns:a16="http://schemas.microsoft.com/office/drawing/2014/main" id="{00000000-0008-0000-0D00-000077551000}"/>
            </a:ext>
          </a:extLst>
        </xdr:cNvPr>
        <xdr:cNvSpPr>
          <a:spLocks noChangeShapeType="1"/>
        </xdr:cNvSpPr>
      </xdr:nvSpPr>
      <xdr:spPr bwMode="auto">
        <a:xfrm>
          <a:off x="846105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121</xdr:col>
      <xdr:colOff>9525</xdr:colOff>
      <xdr:row>11</xdr:row>
      <xdr:rowOff>0</xdr:rowOff>
    </xdr:from>
    <xdr:to>
      <xdr:col>121</xdr:col>
      <xdr:colOff>66675</xdr:colOff>
      <xdr:row>11</xdr:row>
      <xdr:rowOff>9525</xdr:rowOff>
    </xdr:to>
    <xdr:sp macro="" textlink="">
      <xdr:nvSpPr>
        <xdr:cNvPr id="1070456" name="Line 6">
          <a:extLst>
            <a:ext uri="{FF2B5EF4-FFF2-40B4-BE49-F238E27FC236}">
              <a16:creationId xmlns:a16="http://schemas.microsoft.com/office/drawing/2014/main" id="{00000000-0008-0000-0D00-000078551000}"/>
            </a:ext>
          </a:extLst>
        </xdr:cNvPr>
        <xdr:cNvSpPr>
          <a:spLocks noChangeShapeType="1"/>
        </xdr:cNvSpPr>
      </xdr:nvSpPr>
      <xdr:spPr bwMode="auto">
        <a:xfrm flipV="1">
          <a:off x="845534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0</xdr:colOff>
      <xdr:row>8</xdr:row>
      <xdr:rowOff>0</xdr:rowOff>
    </xdr:from>
    <xdr:to>
      <xdr:col>127</xdr:col>
      <xdr:colOff>76200</xdr:colOff>
      <xdr:row>8</xdr:row>
      <xdr:rowOff>9525</xdr:rowOff>
    </xdr:to>
    <xdr:sp macro="" textlink="">
      <xdr:nvSpPr>
        <xdr:cNvPr id="1070457" name="Line 16">
          <a:extLst>
            <a:ext uri="{FF2B5EF4-FFF2-40B4-BE49-F238E27FC236}">
              <a16:creationId xmlns:a16="http://schemas.microsoft.com/office/drawing/2014/main" id="{00000000-0008-0000-0D00-000079551000}"/>
            </a:ext>
          </a:extLst>
        </xdr:cNvPr>
        <xdr:cNvSpPr>
          <a:spLocks noChangeShapeType="1"/>
        </xdr:cNvSpPr>
      </xdr:nvSpPr>
      <xdr:spPr bwMode="auto">
        <a:xfrm>
          <a:off x="8880157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66675</xdr:colOff>
      <xdr:row>8</xdr:row>
      <xdr:rowOff>9525</xdr:rowOff>
    </xdr:from>
    <xdr:to>
      <xdr:col>127</xdr:col>
      <xdr:colOff>66675</xdr:colOff>
      <xdr:row>11</xdr:row>
      <xdr:rowOff>19050</xdr:rowOff>
    </xdr:to>
    <xdr:sp macro="" textlink="">
      <xdr:nvSpPr>
        <xdr:cNvPr id="1070458" name="Line 17">
          <a:extLst>
            <a:ext uri="{FF2B5EF4-FFF2-40B4-BE49-F238E27FC236}">
              <a16:creationId xmlns:a16="http://schemas.microsoft.com/office/drawing/2014/main" id="{00000000-0008-0000-0D00-00007A551000}"/>
            </a:ext>
          </a:extLst>
        </xdr:cNvPr>
        <xdr:cNvSpPr>
          <a:spLocks noChangeShapeType="1"/>
        </xdr:cNvSpPr>
      </xdr:nvSpPr>
      <xdr:spPr bwMode="auto">
        <a:xfrm>
          <a:off x="8886825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9525</xdr:colOff>
      <xdr:row>11</xdr:row>
      <xdr:rowOff>0</xdr:rowOff>
    </xdr:from>
    <xdr:to>
      <xdr:col>127</xdr:col>
      <xdr:colOff>66675</xdr:colOff>
      <xdr:row>11</xdr:row>
      <xdr:rowOff>9525</xdr:rowOff>
    </xdr:to>
    <xdr:sp macro="" textlink="">
      <xdr:nvSpPr>
        <xdr:cNvPr id="1070459" name="Line 18">
          <a:extLst>
            <a:ext uri="{FF2B5EF4-FFF2-40B4-BE49-F238E27FC236}">
              <a16:creationId xmlns:a16="http://schemas.microsoft.com/office/drawing/2014/main" id="{00000000-0008-0000-0D00-00007B551000}"/>
            </a:ext>
          </a:extLst>
        </xdr:cNvPr>
        <xdr:cNvSpPr>
          <a:spLocks noChangeShapeType="1"/>
        </xdr:cNvSpPr>
      </xdr:nvSpPr>
      <xdr:spPr bwMode="auto">
        <a:xfrm flipV="1">
          <a:off x="8881110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66675</xdr:colOff>
      <xdr:row>8</xdr:row>
      <xdr:rowOff>9525</xdr:rowOff>
    </xdr:from>
    <xdr:to>
      <xdr:col>125</xdr:col>
      <xdr:colOff>0</xdr:colOff>
      <xdr:row>9</xdr:row>
      <xdr:rowOff>66675</xdr:rowOff>
    </xdr:to>
    <xdr:sp macro="" textlink="">
      <xdr:nvSpPr>
        <xdr:cNvPr id="1070460" name="Line 64">
          <a:extLst>
            <a:ext uri="{FF2B5EF4-FFF2-40B4-BE49-F238E27FC236}">
              <a16:creationId xmlns:a16="http://schemas.microsoft.com/office/drawing/2014/main" id="{00000000-0008-0000-0D00-00007C551000}"/>
            </a:ext>
          </a:extLst>
        </xdr:cNvPr>
        <xdr:cNvSpPr>
          <a:spLocks noChangeShapeType="1"/>
        </xdr:cNvSpPr>
      </xdr:nvSpPr>
      <xdr:spPr bwMode="auto">
        <a:xfrm flipV="1">
          <a:off x="86772750" y="2057400"/>
          <a:ext cx="342900" cy="2381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124</xdr:col>
      <xdr:colOff>66675</xdr:colOff>
      <xdr:row>9</xdr:row>
      <xdr:rowOff>76200</xdr:rowOff>
    </xdr:from>
    <xdr:to>
      <xdr:col>125</xdr:col>
      <xdr:colOff>0</xdr:colOff>
      <xdr:row>13</xdr:row>
      <xdr:rowOff>0</xdr:rowOff>
    </xdr:to>
    <xdr:sp macro="" textlink="">
      <xdr:nvSpPr>
        <xdr:cNvPr id="1070461" name="Line 66">
          <a:extLst>
            <a:ext uri="{FF2B5EF4-FFF2-40B4-BE49-F238E27FC236}">
              <a16:creationId xmlns:a16="http://schemas.microsoft.com/office/drawing/2014/main" id="{00000000-0008-0000-0D00-00007D551000}"/>
            </a:ext>
          </a:extLst>
        </xdr:cNvPr>
        <xdr:cNvSpPr>
          <a:spLocks noChangeShapeType="1"/>
        </xdr:cNvSpPr>
      </xdr:nvSpPr>
      <xdr:spPr bwMode="auto">
        <a:xfrm>
          <a:off x="86772750" y="2305050"/>
          <a:ext cx="342900" cy="6477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127</xdr:col>
      <xdr:colOff>0</xdr:colOff>
      <xdr:row>8</xdr:row>
      <xdr:rowOff>0</xdr:rowOff>
    </xdr:from>
    <xdr:to>
      <xdr:col>127</xdr:col>
      <xdr:colOff>76200</xdr:colOff>
      <xdr:row>8</xdr:row>
      <xdr:rowOff>9525</xdr:rowOff>
    </xdr:to>
    <xdr:sp macro="" textlink="">
      <xdr:nvSpPr>
        <xdr:cNvPr id="1070462" name="Line 99">
          <a:extLst>
            <a:ext uri="{FF2B5EF4-FFF2-40B4-BE49-F238E27FC236}">
              <a16:creationId xmlns:a16="http://schemas.microsoft.com/office/drawing/2014/main" id="{00000000-0008-0000-0D00-00007E551000}"/>
            </a:ext>
          </a:extLst>
        </xdr:cNvPr>
        <xdr:cNvSpPr>
          <a:spLocks noChangeShapeType="1"/>
        </xdr:cNvSpPr>
      </xdr:nvSpPr>
      <xdr:spPr bwMode="auto">
        <a:xfrm>
          <a:off x="8880157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66675</xdr:colOff>
      <xdr:row>8</xdr:row>
      <xdr:rowOff>9525</xdr:rowOff>
    </xdr:from>
    <xdr:to>
      <xdr:col>127</xdr:col>
      <xdr:colOff>66675</xdr:colOff>
      <xdr:row>11</xdr:row>
      <xdr:rowOff>19050</xdr:rowOff>
    </xdr:to>
    <xdr:sp macro="" textlink="">
      <xdr:nvSpPr>
        <xdr:cNvPr id="1070463" name="Line 100">
          <a:extLst>
            <a:ext uri="{FF2B5EF4-FFF2-40B4-BE49-F238E27FC236}">
              <a16:creationId xmlns:a16="http://schemas.microsoft.com/office/drawing/2014/main" id="{00000000-0008-0000-0D00-00007F551000}"/>
            </a:ext>
          </a:extLst>
        </xdr:cNvPr>
        <xdr:cNvSpPr>
          <a:spLocks noChangeShapeType="1"/>
        </xdr:cNvSpPr>
      </xdr:nvSpPr>
      <xdr:spPr bwMode="auto">
        <a:xfrm>
          <a:off x="8886825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9525</xdr:colOff>
      <xdr:row>11</xdr:row>
      <xdr:rowOff>0</xdr:rowOff>
    </xdr:from>
    <xdr:to>
      <xdr:col>127</xdr:col>
      <xdr:colOff>66675</xdr:colOff>
      <xdr:row>11</xdr:row>
      <xdr:rowOff>9525</xdr:rowOff>
    </xdr:to>
    <xdr:sp macro="" textlink="">
      <xdr:nvSpPr>
        <xdr:cNvPr id="1070464" name="Line 101">
          <a:extLst>
            <a:ext uri="{FF2B5EF4-FFF2-40B4-BE49-F238E27FC236}">
              <a16:creationId xmlns:a16="http://schemas.microsoft.com/office/drawing/2014/main" id="{00000000-0008-0000-0D00-000080551000}"/>
            </a:ext>
          </a:extLst>
        </xdr:cNvPr>
        <xdr:cNvSpPr>
          <a:spLocks noChangeShapeType="1"/>
        </xdr:cNvSpPr>
      </xdr:nvSpPr>
      <xdr:spPr bwMode="auto">
        <a:xfrm flipV="1">
          <a:off x="8881110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0</xdr:colOff>
      <xdr:row>8</xdr:row>
      <xdr:rowOff>0</xdr:rowOff>
    </xdr:from>
    <xdr:to>
      <xdr:col>127</xdr:col>
      <xdr:colOff>76200</xdr:colOff>
      <xdr:row>8</xdr:row>
      <xdr:rowOff>9525</xdr:rowOff>
    </xdr:to>
    <xdr:sp macro="" textlink="">
      <xdr:nvSpPr>
        <xdr:cNvPr id="1070465" name="Line 110">
          <a:extLst>
            <a:ext uri="{FF2B5EF4-FFF2-40B4-BE49-F238E27FC236}">
              <a16:creationId xmlns:a16="http://schemas.microsoft.com/office/drawing/2014/main" id="{00000000-0008-0000-0D00-000081551000}"/>
            </a:ext>
          </a:extLst>
        </xdr:cNvPr>
        <xdr:cNvSpPr>
          <a:spLocks noChangeShapeType="1"/>
        </xdr:cNvSpPr>
      </xdr:nvSpPr>
      <xdr:spPr bwMode="auto">
        <a:xfrm>
          <a:off x="8880157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66675</xdr:colOff>
      <xdr:row>8</xdr:row>
      <xdr:rowOff>9525</xdr:rowOff>
    </xdr:from>
    <xdr:to>
      <xdr:col>127</xdr:col>
      <xdr:colOff>66675</xdr:colOff>
      <xdr:row>11</xdr:row>
      <xdr:rowOff>19050</xdr:rowOff>
    </xdr:to>
    <xdr:sp macro="" textlink="">
      <xdr:nvSpPr>
        <xdr:cNvPr id="1070466" name="Line 111">
          <a:extLst>
            <a:ext uri="{FF2B5EF4-FFF2-40B4-BE49-F238E27FC236}">
              <a16:creationId xmlns:a16="http://schemas.microsoft.com/office/drawing/2014/main" id="{00000000-0008-0000-0D00-000082551000}"/>
            </a:ext>
          </a:extLst>
        </xdr:cNvPr>
        <xdr:cNvSpPr>
          <a:spLocks noChangeShapeType="1"/>
        </xdr:cNvSpPr>
      </xdr:nvSpPr>
      <xdr:spPr bwMode="auto">
        <a:xfrm>
          <a:off x="8886825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9525</xdr:colOff>
      <xdr:row>11</xdr:row>
      <xdr:rowOff>0</xdr:rowOff>
    </xdr:from>
    <xdr:to>
      <xdr:col>127</xdr:col>
      <xdr:colOff>66675</xdr:colOff>
      <xdr:row>11</xdr:row>
      <xdr:rowOff>9525</xdr:rowOff>
    </xdr:to>
    <xdr:sp macro="" textlink="">
      <xdr:nvSpPr>
        <xdr:cNvPr id="1070467" name="Line 112">
          <a:extLst>
            <a:ext uri="{FF2B5EF4-FFF2-40B4-BE49-F238E27FC236}">
              <a16:creationId xmlns:a16="http://schemas.microsoft.com/office/drawing/2014/main" id="{00000000-0008-0000-0D00-000083551000}"/>
            </a:ext>
          </a:extLst>
        </xdr:cNvPr>
        <xdr:cNvSpPr>
          <a:spLocks noChangeShapeType="1"/>
        </xdr:cNvSpPr>
      </xdr:nvSpPr>
      <xdr:spPr bwMode="auto">
        <a:xfrm flipV="1">
          <a:off x="8881110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0</xdr:colOff>
      <xdr:row>8</xdr:row>
      <xdr:rowOff>0</xdr:rowOff>
    </xdr:from>
    <xdr:to>
      <xdr:col>127</xdr:col>
      <xdr:colOff>76200</xdr:colOff>
      <xdr:row>8</xdr:row>
      <xdr:rowOff>9525</xdr:rowOff>
    </xdr:to>
    <xdr:sp macro="" textlink="">
      <xdr:nvSpPr>
        <xdr:cNvPr id="1070468" name="Line 113">
          <a:extLst>
            <a:ext uri="{FF2B5EF4-FFF2-40B4-BE49-F238E27FC236}">
              <a16:creationId xmlns:a16="http://schemas.microsoft.com/office/drawing/2014/main" id="{00000000-0008-0000-0D00-000084551000}"/>
            </a:ext>
          </a:extLst>
        </xdr:cNvPr>
        <xdr:cNvSpPr>
          <a:spLocks noChangeShapeType="1"/>
        </xdr:cNvSpPr>
      </xdr:nvSpPr>
      <xdr:spPr bwMode="auto">
        <a:xfrm>
          <a:off x="8880157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66675</xdr:colOff>
      <xdr:row>8</xdr:row>
      <xdr:rowOff>9525</xdr:rowOff>
    </xdr:from>
    <xdr:to>
      <xdr:col>127</xdr:col>
      <xdr:colOff>66675</xdr:colOff>
      <xdr:row>11</xdr:row>
      <xdr:rowOff>19050</xdr:rowOff>
    </xdr:to>
    <xdr:sp macro="" textlink="">
      <xdr:nvSpPr>
        <xdr:cNvPr id="1070469" name="Line 114">
          <a:extLst>
            <a:ext uri="{FF2B5EF4-FFF2-40B4-BE49-F238E27FC236}">
              <a16:creationId xmlns:a16="http://schemas.microsoft.com/office/drawing/2014/main" id="{00000000-0008-0000-0D00-000085551000}"/>
            </a:ext>
          </a:extLst>
        </xdr:cNvPr>
        <xdr:cNvSpPr>
          <a:spLocks noChangeShapeType="1"/>
        </xdr:cNvSpPr>
      </xdr:nvSpPr>
      <xdr:spPr bwMode="auto">
        <a:xfrm>
          <a:off x="8886825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9525</xdr:colOff>
      <xdr:row>11</xdr:row>
      <xdr:rowOff>0</xdr:rowOff>
    </xdr:from>
    <xdr:to>
      <xdr:col>127</xdr:col>
      <xdr:colOff>66675</xdr:colOff>
      <xdr:row>11</xdr:row>
      <xdr:rowOff>9525</xdr:rowOff>
    </xdr:to>
    <xdr:sp macro="" textlink="">
      <xdr:nvSpPr>
        <xdr:cNvPr id="1070470" name="Line 115">
          <a:extLst>
            <a:ext uri="{FF2B5EF4-FFF2-40B4-BE49-F238E27FC236}">
              <a16:creationId xmlns:a16="http://schemas.microsoft.com/office/drawing/2014/main" id="{00000000-0008-0000-0D00-000086551000}"/>
            </a:ext>
          </a:extLst>
        </xdr:cNvPr>
        <xdr:cNvSpPr>
          <a:spLocks noChangeShapeType="1"/>
        </xdr:cNvSpPr>
      </xdr:nvSpPr>
      <xdr:spPr bwMode="auto">
        <a:xfrm flipV="1">
          <a:off x="8881110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76200</xdr:colOff>
      <xdr:row>8</xdr:row>
      <xdr:rowOff>0</xdr:rowOff>
    </xdr:from>
    <xdr:to>
      <xdr:col>127</xdr:col>
      <xdr:colOff>400050</xdr:colOff>
      <xdr:row>9</xdr:row>
      <xdr:rowOff>57150</xdr:rowOff>
    </xdr:to>
    <xdr:sp macro="" textlink="">
      <xdr:nvSpPr>
        <xdr:cNvPr id="1070471" name="Line 116">
          <a:extLst>
            <a:ext uri="{FF2B5EF4-FFF2-40B4-BE49-F238E27FC236}">
              <a16:creationId xmlns:a16="http://schemas.microsoft.com/office/drawing/2014/main" id="{00000000-0008-0000-0D00-000087551000}"/>
            </a:ext>
          </a:extLst>
        </xdr:cNvPr>
        <xdr:cNvSpPr>
          <a:spLocks noChangeShapeType="1"/>
        </xdr:cNvSpPr>
      </xdr:nvSpPr>
      <xdr:spPr bwMode="auto">
        <a:xfrm flipV="1">
          <a:off x="88877775" y="2047875"/>
          <a:ext cx="3238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127</xdr:col>
      <xdr:colOff>76200</xdr:colOff>
      <xdr:row>9</xdr:row>
      <xdr:rowOff>66675</xdr:rowOff>
    </xdr:from>
    <xdr:to>
      <xdr:col>128</xdr:col>
      <xdr:colOff>0</xdr:colOff>
      <xdr:row>11</xdr:row>
      <xdr:rowOff>19050</xdr:rowOff>
    </xdr:to>
    <xdr:sp macro="" textlink="">
      <xdr:nvSpPr>
        <xdr:cNvPr id="1070472" name="Line 117">
          <a:extLst>
            <a:ext uri="{FF2B5EF4-FFF2-40B4-BE49-F238E27FC236}">
              <a16:creationId xmlns:a16="http://schemas.microsoft.com/office/drawing/2014/main" id="{00000000-0008-0000-0D00-000088551000}"/>
            </a:ext>
          </a:extLst>
        </xdr:cNvPr>
        <xdr:cNvSpPr>
          <a:spLocks noChangeShapeType="1"/>
        </xdr:cNvSpPr>
      </xdr:nvSpPr>
      <xdr:spPr bwMode="auto">
        <a:xfrm>
          <a:off x="88877775" y="2295525"/>
          <a:ext cx="333375"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121</xdr:col>
      <xdr:colOff>66675</xdr:colOff>
      <xdr:row>7</xdr:row>
      <xdr:rowOff>133350</xdr:rowOff>
    </xdr:from>
    <xdr:to>
      <xdr:col>122</xdr:col>
      <xdr:colOff>0</xdr:colOff>
      <xdr:row>9</xdr:row>
      <xdr:rowOff>66675</xdr:rowOff>
    </xdr:to>
    <xdr:sp macro="" textlink="">
      <xdr:nvSpPr>
        <xdr:cNvPr id="1070473" name="Line 146">
          <a:extLst>
            <a:ext uri="{FF2B5EF4-FFF2-40B4-BE49-F238E27FC236}">
              <a16:creationId xmlns:a16="http://schemas.microsoft.com/office/drawing/2014/main" id="{00000000-0008-0000-0D00-000089551000}"/>
            </a:ext>
          </a:extLst>
        </xdr:cNvPr>
        <xdr:cNvSpPr>
          <a:spLocks noChangeShapeType="1"/>
        </xdr:cNvSpPr>
      </xdr:nvSpPr>
      <xdr:spPr bwMode="auto">
        <a:xfrm flipV="1">
          <a:off x="84610575" y="2000250"/>
          <a:ext cx="38100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121</xdr:col>
      <xdr:colOff>66675</xdr:colOff>
      <xdr:row>9</xdr:row>
      <xdr:rowOff>66675</xdr:rowOff>
    </xdr:from>
    <xdr:to>
      <xdr:col>122</xdr:col>
      <xdr:colOff>19050</xdr:colOff>
      <xdr:row>13</xdr:row>
      <xdr:rowOff>0</xdr:rowOff>
    </xdr:to>
    <xdr:sp macro="" textlink="">
      <xdr:nvSpPr>
        <xdr:cNvPr id="1070474" name="Line 147">
          <a:extLst>
            <a:ext uri="{FF2B5EF4-FFF2-40B4-BE49-F238E27FC236}">
              <a16:creationId xmlns:a16="http://schemas.microsoft.com/office/drawing/2014/main" id="{00000000-0008-0000-0D00-00008A551000}"/>
            </a:ext>
          </a:extLst>
        </xdr:cNvPr>
        <xdr:cNvSpPr>
          <a:spLocks noChangeShapeType="1"/>
        </xdr:cNvSpPr>
      </xdr:nvSpPr>
      <xdr:spPr bwMode="auto">
        <a:xfrm>
          <a:off x="84610575" y="2295525"/>
          <a:ext cx="400050" cy="657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124</xdr:col>
      <xdr:colOff>76200</xdr:colOff>
      <xdr:row>16</xdr:row>
      <xdr:rowOff>0</xdr:rowOff>
    </xdr:from>
    <xdr:to>
      <xdr:col>124</xdr:col>
      <xdr:colOff>76200</xdr:colOff>
      <xdr:row>16</xdr:row>
      <xdr:rowOff>0</xdr:rowOff>
    </xdr:to>
    <xdr:sp macro="" textlink="">
      <xdr:nvSpPr>
        <xdr:cNvPr id="1070475" name="Line 176">
          <a:extLst>
            <a:ext uri="{FF2B5EF4-FFF2-40B4-BE49-F238E27FC236}">
              <a16:creationId xmlns:a16="http://schemas.microsoft.com/office/drawing/2014/main" id="{00000000-0008-0000-0D00-00008B551000}"/>
            </a:ext>
          </a:extLst>
        </xdr:cNvPr>
        <xdr:cNvSpPr>
          <a:spLocks noChangeShapeType="1"/>
        </xdr:cNvSpPr>
      </xdr:nvSpPr>
      <xdr:spPr bwMode="auto">
        <a:xfrm>
          <a:off x="86782275" y="349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76200</xdr:colOff>
      <xdr:row>16</xdr:row>
      <xdr:rowOff>0</xdr:rowOff>
    </xdr:from>
    <xdr:to>
      <xdr:col>124</xdr:col>
      <xdr:colOff>76200</xdr:colOff>
      <xdr:row>16</xdr:row>
      <xdr:rowOff>0</xdr:rowOff>
    </xdr:to>
    <xdr:sp macro="" textlink="">
      <xdr:nvSpPr>
        <xdr:cNvPr id="1070476" name="Line 210">
          <a:extLst>
            <a:ext uri="{FF2B5EF4-FFF2-40B4-BE49-F238E27FC236}">
              <a16:creationId xmlns:a16="http://schemas.microsoft.com/office/drawing/2014/main" id="{00000000-0008-0000-0D00-00008C551000}"/>
            </a:ext>
          </a:extLst>
        </xdr:cNvPr>
        <xdr:cNvSpPr>
          <a:spLocks noChangeShapeType="1"/>
        </xdr:cNvSpPr>
      </xdr:nvSpPr>
      <xdr:spPr bwMode="auto">
        <a:xfrm>
          <a:off x="86782275" y="349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121</xdr:col>
      <xdr:colOff>0</xdr:colOff>
      <xdr:row>14</xdr:row>
      <xdr:rowOff>0</xdr:rowOff>
    </xdr:from>
    <xdr:to>
      <xdr:col>121</xdr:col>
      <xdr:colOff>76200</xdr:colOff>
      <xdr:row>14</xdr:row>
      <xdr:rowOff>9525</xdr:rowOff>
    </xdr:to>
    <xdr:sp macro="" textlink="">
      <xdr:nvSpPr>
        <xdr:cNvPr id="1070477" name="Line 323">
          <a:extLst>
            <a:ext uri="{FF2B5EF4-FFF2-40B4-BE49-F238E27FC236}">
              <a16:creationId xmlns:a16="http://schemas.microsoft.com/office/drawing/2014/main" id="{00000000-0008-0000-0D00-00008D551000}"/>
            </a:ext>
          </a:extLst>
        </xdr:cNvPr>
        <xdr:cNvSpPr>
          <a:spLocks noChangeShapeType="1"/>
        </xdr:cNvSpPr>
      </xdr:nvSpPr>
      <xdr:spPr bwMode="auto">
        <a:xfrm>
          <a:off x="845439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121</xdr:col>
      <xdr:colOff>66675</xdr:colOff>
      <xdr:row>14</xdr:row>
      <xdr:rowOff>9525</xdr:rowOff>
    </xdr:from>
    <xdr:to>
      <xdr:col>121</xdr:col>
      <xdr:colOff>66675</xdr:colOff>
      <xdr:row>17</xdr:row>
      <xdr:rowOff>19050</xdr:rowOff>
    </xdr:to>
    <xdr:sp macro="" textlink="">
      <xdr:nvSpPr>
        <xdr:cNvPr id="1070478" name="Line 324">
          <a:extLst>
            <a:ext uri="{FF2B5EF4-FFF2-40B4-BE49-F238E27FC236}">
              <a16:creationId xmlns:a16="http://schemas.microsoft.com/office/drawing/2014/main" id="{00000000-0008-0000-0D00-00008E551000}"/>
            </a:ext>
          </a:extLst>
        </xdr:cNvPr>
        <xdr:cNvSpPr>
          <a:spLocks noChangeShapeType="1"/>
        </xdr:cNvSpPr>
      </xdr:nvSpPr>
      <xdr:spPr bwMode="auto">
        <a:xfrm>
          <a:off x="846105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121</xdr:col>
      <xdr:colOff>9525</xdr:colOff>
      <xdr:row>17</xdr:row>
      <xdr:rowOff>0</xdr:rowOff>
    </xdr:from>
    <xdr:to>
      <xdr:col>121</xdr:col>
      <xdr:colOff>66675</xdr:colOff>
      <xdr:row>17</xdr:row>
      <xdr:rowOff>9525</xdr:rowOff>
    </xdr:to>
    <xdr:sp macro="" textlink="">
      <xdr:nvSpPr>
        <xdr:cNvPr id="1070479" name="Line 325">
          <a:extLst>
            <a:ext uri="{FF2B5EF4-FFF2-40B4-BE49-F238E27FC236}">
              <a16:creationId xmlns:a16="http://schemas.microsoft.com/office/drawing/2014/main" id="{00000000-0008-0000-0D00-00008F551000}"/>
            </a:ext>
          </a:extLst>
        </xdr:cNvPr>
        <xdr:cNvSpPr>
          <a:spLocks noChangeShapeType="1"/>
        </xdr:cNvSpPr>
      </xdr:nvSpPr>
      <xdr:spPr bwMode="auto">
        <a:xfrm flipV="1">
          <a:off x="845534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0</xdr:colOff>
      <xdr:row>14</xdr:row>
      <xdr:rowOff>0</xdr:rowOff>
    </xdr:from>
    <xdr:to>
      <xdr:col>124</xdr:col>
      <xdr:colOff>76200</xdr:colOff>
      <xdr:row>14</xdr:row>
      <xdr:rowOff>9525</xdr:rowOff>
    </xdr:to>
    <xdr:sp macro="" textlink="">
      <xdr:nvSpPr>
        <xdr:cNvPr id="1070480" name="Line 326">
          <a:extLst>
            <a:ext uri="{FF2B5EF4-FFF2-40B4-BE49-F238E27FC236}">
              <a16:creationId xmlns:a16="http://schemas.microsoft.com/office/drawing/2014/main" id="{00000000-0008-0000-0D00-000090551000}"/>
            </a:ext>
          </a:extLst>
        </xdr:cNvPr>
        <xdr:cNvSpPr>
          <a:spLocks noChangeShapeType="1"/>
        </xdr:cNvSpPr>
      </xdr:nvSpPr>
      <xdr:spPr bwMode="auto">
        <a:xfrm>
          <a:off x="8670607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66675</xdr:colOff>
      <xdr:row>14</xdr:row>
      <xdr:rowOff>9525</xdr:rowOff>
    </xdr:from>
    <xdr:to>
      <xdr:col>124</xdr:col>
      <xdr:colOff>66675</xdr:colOff>
      <xdr:row>17</xdr:row>
      <xdr:rowOff>19050</xdr:rowOff>
    </xdr:to>
    <xdr:sp macro="" textlink="">
      <xdr:nvSpPr>
        <xdr:cNvPr id="1070481" name="Line 327">
          <a:extLst>
            <a:ext uri="{FF2B5EF4-FFF2-40B4-BE49-F238E27FC236}">
              <a16:creationId xmlns:a16="http://schemas.microsoft.com/office/drawing/2014/main" id="{00000000-0008-0000-0D00-000091551000}"/>
            </a:ext>
          </a:extLst>
        </xdr:cNvPr>
        <xdr:cNvSpPr>
          <a:spLocks noChangeShapeType="1"/>
        </xdr:cNvSpPr>
      </xdr:nvSpPr>
      <xdr:spPr bwMode="auto">
        <a:xfrm>
          <a:off x="8677275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9525</xdr:colOff>
      <xdr:row>17</xdr:row>
      <xdr:rowOff>0</xdr:rowOff>
    </xdr:from>
    <xdr:to>
      <xdr:col>124</xdr:col>
      <xdr:colOff>66675</xdr:colOff>
      <xdr:row>17</xdr:row>
      <xdr:rowOff>9525</xdr:rowOff>
    </xdr:to>
    <xdr:sp macro="" textlink="">
      <xdr:nvSpPr>
        <xdr:cNvPr id="1070482" name="Line 328">
          <a:extLst>
            <a:ext uri="{FF2B5EF4-FFF2-40B4-BE49-F238E27FC236}">
              <a16:creationId xmlns:a16="http://schemas.microsoft.com/office/drawing/2014/main" id="{00000000-0008-0000-0D00-000092551000}"/>
            </a:ext>
          </a:extLst>
        </xdr:cNvPr>
        <xdr:cNvSpPr>
          <a:spLocks noChangeShapeType="1"/>
        </xdr:cNvSpPr>
      </xdr:nvSpPr>
      <xdr:spPr bwMode="auto">
        <a:xfrm flipV="1">
          <a:off x="867156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0</xdr:colOff>
      <xdr:row>14</xdr:row>
      <xdr:rowOff>0</xdr:rowOff>
    </xdr:from>
    <xdr:to>
      <xdr:col>127</xdr:col>
      <xdr:colOff>76200</xdr:colOff>
      <xdr:row>14</xdr:row>
      <xdr:rowOff>9525</xdr:rowOff>
    </xdr:to>
    <xdr:sp macro="" textlink="">
      <xdr:nvSpPr>
        <xdr:cNvPr id="1070483" name="Line 329">
          <a:extLst>
            <a:ext uri="{FF2B5EF4-FFF2-40B4-BE49-F238E27FC236}">
              <a16:creationId xmlns:a16="http://schemas.microsoft.com/office/drawing/2014/main" id="{00000000-0008-0000-0D00-000093551000}"/>
            </a:ext>
          </a:extLst>
        </xdr:cNvPr>
        <xdr:cNvSpPr>
          <a:spLocks noChangeShapeType="1"/>
        </xdr:cNvSpPr>
      </xdr:nvSpPr>
      <xdr:spPr bwMode="auto">
        <a:xfrm>
          <a:off x="8880157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66675</xdr:colOff>
      <xdr:row>14</xdr:row>
      <xdr:rowOff>9525</xdr:rowOff>
    </xdr:from>
    <xdr:to>
      <xdr:col>127</xdr:col>
      <xdr:colOff>66675</xdr:colOff>
      <xdr:row>17</xdr:row>
      <xdr:rowOff>19050</xdr:rowOff>
    </xdr:to>
    <xdr:sp macro="" textlink="">
      <xdr:nvSpPr>
        <xdr:cNvPr id="1070484" name="Line 330">
          <a:extLst>
            <a:ext uri="{FF2B5EF4-FFF2-40B4-BE49-F238E27FC236}">
              <a16:creationId xmlns:a16="http://schemas.microsoft.com/office/drawing/2014/main" id="{00000000-0008-0000-0D00-000094551000}"/>
            </a:ext>
          </a:extLst>
        </xdr:cNvPr>
        <xdr:cNvSpPr>
          <a:spLocks noChangeShapeType="1"/>
        </xdr:cNvSpPr>
      </xdr:nvSpPr>
      <xdr:spPr bwMode="auto">
        <a:xfrm>
          <a:off x="8886825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9525</xdr:colOff>
      <xdr:row>17</xdr:row>
      <xdr:rowOff>0</xdr:rowOff>
    </xdr:from>
    <xdr:to>
      <xdr:col>127</xdr:col>
      <xdr:colOff>66675</xdr:colOff>
      <xdr:row>17</xdr:row>
      <xdr:rowOff>9525</xdr:rowOff>
    </xdr:to>
    <xdr:sp macro="" textlink="">
      <xdr:nvSpPr>
        <xdr:cNvPr id="1070485" name="Line 331">
          <a:extLst>
            <a:ext uri="{FF2B5EF4-FFF2-40B4-BE49-F238E27FC236}">
              <a16:creationId xmlns:a16="http://schemas.microsoft.com/office/drawing/2014/main" id="{00000000-0008-0000-0D00-000095551000}"/>
            </a:ext>
          </a:extLst>
        </xdr:cNvPr>
        <xdr:cNvSpPr>
          <a:spLocks noChangeShapeType="1"/>
        </xdr:cNvSpPr>
      </xdr:nvSpPr>
      <xdr:spPr bwMode="auto">
        <a:xfrm flipV="1">
          <a:off x="888111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0</xdr:colOff>
      <xdr:row>14</xdr:row>
      <xdr:rowOff>0</xdr:rowOff>
    </xdr:from>
    <xdr:to>
      <xdr:col>127</xdr:col>
      <xdr:colOff>76200</xdr:colOff>
      <xdr:row>14</xdr:row>
      <xdr:rowOff>9525</xdr:rowOff>
    </xdr:to>
    <xdr:sp macro="" textlink="">
      <xdr:nvSpPr>
        <xdr:cNvPr id="1070486" name="Line 332">
          <a:extLst>
            <a:ext uri="{FF2B5EF4-FFF2-40B4-BE49-F238E27FC236}">
              <a16:creationId xmlns:a16="http://schemas.microsoft.com/office/drawing/2014/main" id="{00000000-0008-0000-0D00-000096551000}"/>
            </a:ext>
          </a:extLst>
        </xdr:cNvPr>
        <xdr:cNvSpPr>
          <a:spLocks noChangeShapeType="1"/>
        </xdr:cNvSpPr>
      </xdr:nvSpPr>
      <xdr:spPr bwMode="auto">
        <a:xfrm>
          <a:off x="8880157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66675</xdr:colOff>
      <xdr:row>14</xdr:row>
      <xdr:rowOff>9525</xdr:rowOff>
    </xdr:from>
    <xdr:to>
      <xdr:col>127</xdr:col>
      <xdr:colOff>66675</xdr:colOff>
      <xdr:row>17</xdr:row>
      <xdr:rowOff>19050</xdr:rowOff>
    </xdr:to>
    <xdr:sp macro="" textlink="">
      <xdr:nvSpPr>
        <xdr:cNvPr id="1070487" name="Line 333">
          <a:extLst>
            <a:ext uri="{FF2B5EF4-FFF2-40B4-BE49-F238E27FC236}">
              <a16:creationId xmlns:a16="http://schemas.microsoft.com/office/drawing/2014/main" id="{00000000-0008-0000-0D00-000097551000}"/>
            </a:ext>
          </a:extLst>
        </xdr:cNvPr>
        <xdr:cNvSpPr>
          <a:spLocks noChangeShapeType="1"/>
        </xdr:cNvSpPr>
      </xdr:nvSpPr>
      <xdr:spPr bwMode="auto">
        <a:xfrm>
          <a:off x="8886825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9525</xdr:colOff>
      <xdr:row>17</xdr:row>
      <xdr:rowOff>0</xdr:rowOff>
    </xdr:from>
    <xdr:to>
      <xdr:col>127</xdr:col>
      <xdr:colOff>66675</xdr:colOff>
      <xdr:row>17</xdr:row>
      <xdr:rowOff>9525</xdr:rowOff>
    </xdr:to>
    <xdr:sp macro="" textlink="">
      <xdr:nvSpPr>
        <xdr:cNvPr id="1070488" name="Line 334">
          <a:extLst>
            <a:ext uri="{FF2B5EF4-FFF2-40B4-BE49-F238E27FC236}">
              <a16:creationId xmlns:a16="http://schemas.microsoft.com/office/drawing/2014/main" id="{00000000-0008-0000-0D00-000098551000}"/>
            </a:ext>
          </a:extLst>
        </xdr:cNvPr>
        <xdr:cNvSpPr>
          <a:spLocks noChangeShapeType="1"/>
        </xdr:cNvSpPr>
      </xdr:nvSpPr>
      <xdr:spPr bwMode="auto">
        <a:xfrm flipV="1">
          <a:off x="888111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76200</xdr:colOff>
      <xdr:row>15</xdr:row>
      <xdr:rowOff>66675</xdr:rowOff>
    </xdr:from>
    <xdr:to>
      <xdr:col>128</xdr:col>
      <xdr:colOff>9525</xdr:colOff>
      <xdr:row>17</xdr:row>
      <xdr:rowOff>19050</xdr:rowOff>
    </xdr:to>
    <xdr:sp macro="" textlink="">
      <xdr:nvSpPr>
        <xdr:cNvPr id="1070489" name="Line 335">
          <a:extLst>
            <a:ext uri="{FF2B5EF4-FFF2-40B4-BE49-F238E27FC236}">
              <a16:creationId xmlns:a16="http://schemas.microsoft.com/office/drawing/2014/main" id="{00000000-0008-0000-0D00-000099551000}"/>
            </a:ext>
          </a:extLst>
        </xdr:cNvPr>
        <xdr:cNvSpPr>
          <a:spLocks noChangeShapeType="1"/>
        </xdr:cNvSpPr>
      </xdr:nvSpPr>
      <xdr:spPr bwMode="auto">
        <a:xfrm>
          <a:off x="88877775" y="33813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127</xdr:col>
      <xdr:colOff>0</xdr:colOff>
      <xdr:row>14</xdr:row>
      <xdr:rowOff>0</xdr:rowOff>
    </xdr:from>
    <xdr:to>
      <xdr:col>127</xdr:col>
      <xdr:colOff>76200</xdr:colOff>
      <xdr:row>14</xdr:row>
      <xdr:rowOff>9525</xdr:rowOff>
    </xdr:to>
    <xdr:sp macro="" textlink="">
      <xdr:nvSpPr>
        <xdr:cNvPr id="1070490" name="Line 336">
          <a:extLst>
            <a:ext uri="{FF2B5EF4-FFF2-40B4-BE49-F238E27FC236}">
              <a16:creationId xmlns:a16="http://schemas.microsoft.com/office/drawing/2014/main" id="{00000000-0008-0000-0D00-00009A551000}"/>
            </a:ext>
          </a:extLst>
        </xdr:cNvPr>
        <xdr:cNvSpPr>
          <a:spLocks noChangeShapeType="1"/>
        </xdr:cNvSpPr>
      </xdr:nvSpPr>
      <xdr:spPr bwMode="auto">
        <a:xfrm>
          <a:off x="8880157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66675</xdr:colOff>
      <xdr:row>14</xdr:row>
      <xdr:rowOff>9525</xdr:rowOff>
    </xdr:from>
    <xdr:to>
      <xdr:col>127</xdr:col>
      <xdr:colOff>66675</xdr:colOff>
      <xdr:row>17</xdr:row>
      <xdr:rowOff>19050</xdr:rowOff>
    </xdr:to>
    <xdr:sp macro="" textlink="">
      <xdr:nvSpPr>
        <xdr:cNvPr id="1070491" name="Line 337">
          <a:extLst>
            <a:ext uri="{FF2B5EF4-FFF2-40B4-BE49-F238E27FC236}">
              <a16:creationId xmlns:a16="http://schemas.microsoft.com/office/drawing/2014/main" id="{00000000-0008-0000-0D00-00009B551000}"/>
            </a:ext>
          </a:extLst>
        </xdr:cNvPr>
        <xdr:cNvSpPr>
          <a:spLocks noChangeShapeType="1"/>
        </xdr:cNvSpPr>
      </xdr:nvSpPr>
      <xdr:spPr bwMode="auto">
        <a:xfrm>
          <a:off x="8886825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9525</xdr:colOff>
      <xdr:row>17</xdr:row>
      <xdr:rowOff>0</xdr:rowOff>
    </xdr:from>
    <xdr:to>
      <xdr:col>127</xdr:col>
      <xdr:colOff>66675</xdr:colOff>
      <xdr:row>17</xdr:row>
      <xdr:rowOff>9525</xdr:rowOff>
    </xdr:to>
    <xdr:sp macro="" textlink="">
      <xdr:nvSpPr>
        <xdr:cNvPr id="1070492" name="Line 338">
          <a:extLst>
            <a:ext uri="{FF2B5EF4-FFF2-40B4-BE49-F238E27FC236}">
              <a16:creationId xmlns:a16="http://schemas.microsoft.com/office/drawing/2014/main" id="{00000000-0008-0000-0D00-00009C551000}"/>
            </a:ext>
          </a:extLst>
        </xdr:cNvPr>
        <xdr:cNvSpPr>
          <a:spLocks noChangeShapeType="1"/>
        </xdr:cNvSpPr>
      </xdr:nvSpPr>
      <xdr:spPr bwMode="auto">
        <a:xfrm flipV="1">
          <a:off x="888111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76200</xdr:colOff>
      <xdr:row>13</xdr:row>
      <xdr:rowOff>161925</xdr:rowOff>
    </xdr:from>
    <xdr:to>
      <xdr:col>128</xdr:col>
      <xdr:colOff>0</xdr:colOff>
      <xdr:row>15</xdr:row>
      <xdr:rowOff>47625</xdr:rowOff>
    </xdr:to>
    <xdr:sp macro="" textlink="">
      <xdr:nvSpPr>
        <xdr:cNvPr id="1070493" name="Line 339">
          <a:extLst>
            <a:ext uri="{FF2B5EF4-FFF2-40B4-BE49-F238E27FC236}">
              <a16:creationId xmlns:a16="http://schemas.microsoft.com/office/drawing/2014/main" id="{00000000-0008-0000-0D00-00009D551000}"/>
            </a:ext>
          </a:extLst>
        </xdr:cNvPr>
        <xdr:cNvSpPr>
          <a:spLocks noChangeShapeType="1"/>
        </xdr:cNvSpPr>
      </xdr:nvSpPr>
      <xdr:spPr bwMode="auto">
        <a:xfrm flipV="1">
          <a:off x="88877775" y="3114675"/>
          <a:ext cx="333375"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124</xdr:col>
      <xdr:colOff>0</xdr:colOff>
      <xdr:row>14</xdr:row>
      <xdr:rowOff>0</xdr:rowOff>
    </xdr:from>
    <xdr:to>
      <xdr:col>124</xdr:col>
      <xdr:colOff>76200</xdr:colOff>
      <xdr:row>14</xdr:row>
      <xdr:rowOff>9525</xdr:rowOff>
    </xdr:to>
    <xdr:sp macro="" textlink="">
      <xdr:nvSpPr>
        <xdr:cNvPr id="1070494" name="Line 340">
          <a:extLst>
            <a:ext uri="{FF2B5EF4-FFF2-40B4-BE49-F238E27FC236}">
              <a16:creationId xmlns:a16="http://schemas.microsoft.com/office/drawing/2014/main" id="{00000000-0008-0000-0D00-00009E551000}"/>
            </a:ext>
          </a:extLst>
        </xdr:cNvPr>
        <xdr:cNvSpPr>
          <a:spLocks noChangeShapeType="1"/>
        </xdr:cNvSpPr>
      </xdr:nvSpPr>
      <xdr:spPr bwMode="auto">
        <a:xfrm>
          <a:off x="8670607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66675</xdr:colOff>
      <xdr:row>14</xdr:row>
      <xdr:rowOff>9525</xdr:rowOff>
    </xdr:from>
    <xdr:to>
      <xdr:col>124</xdr:col>
      <xdr:colOff>66675</xdr:colOff>
      <xdr:row>17</xdr:row>
      <xdr:rowOff>19050</xdr:rowOff>
    </xdr:to>
    <xdr:sp macro="" textlink="">
      <xdr:nvSpPr>
        <xdr:cNvPr id="1070495" name="Line 341">
          <a:extLst>
            <a:ext uri="{FF2B5EF4-FFF2-40B4-BE49-F238E27FC236}">
              <a16:creationId xmlns:a16="http://schemas.microsoft.com/office/drawing/2014/main" id="{00000000-0008-0000-0D00-00009F551000}"/>
            </a:ext>
          </a:extLst>
        </xdr:cNvPr>
        <xdr:cNvSpPr>
          <a:spLocks noChangeShapeType="1"/>
        </xdr:cNvSpPr>
      </xdr:nvSpPr>
      <xdr:spPr bwMode="auto">
        <a:xfrm>
          <a:off x="8677275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9525</xdr:colOff>
      <xdr:row>17</xdr:row>
      <xdr:rowOff>0</xdr:rowOff>
    </xdr:from>
    <xdr:to>
      <xdr:col>124</xdr:col>
      <xdr:colOff>66675</xdr:colOff>
      <xdr:row>17</xdr:row>
      <xdr:rowOff>9525</xdr:rowOff>
    </xdr:to>
    <xdr:sp macro="" textlink="">
      <xdr:nvSpPr>
        <xdr:cNvPr id="1070496" name="Line 342">
          <a:extLst>
            <a:ext uri="{FF2B5EF4-FFF2-40B4-BE49-F238E27FC236}">
              <a16:creationId xmlns:a16="http://schemas.microsoft.com/office/drawing/2014/main" id="{00000000-0008-0000-0D00-0000A0551000}"/>
            </a:ext>
          </a:extLst>
        </xdr:cNvPr>
        <xdr:cNvSpPr>
          <a:spLocks noChangeShapeType="1"/>
        </xdr:cNvSpPr>
      </xdr:nvSpPr>
      <xdr:spPr bwMode="auto">
        <a:xfrm flipV="1">
          <a:off x="867156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121</xdr:col>
      <xdr:colOff>0</xdr:colOff>
      <xdr:row>20</xdr:row>
      <xdr:rowOff>0</xdr:rowOff>
    </xdr:from>
    <xdr:to>
      <xdr:col>121</xdr:col>
      <xdr:colOff>76200</xdr:colOff>
      <xdr:row>20</xdr:row>
      <xdr:rowOff>9525</xdr:rowOff>
    </xdr:to>
    <xdr:sp macro="" textlink="">
      <xdr:nvSpPr>
        <xdr:cNvPr id="1070497" name="Line 343">
          <a:extLst>
            <a:ext uri="{FF2B5EF4-FFF2-40B4-BE49-F238E27FC236}">
              <a16:creationId xmlns:a16="http://schemas.microsoft.com/office/drawing/2014/main" id="{00000000-0008-0000-0D00-0000A1551000}"/>
            </a:ext>
          </a:extLst>
        </xdr:cNvPr>
        <xdr:cNvSpPr>
          <a:spLocks noChangeShapeType="1"/>
        </xdr:cNvSpPr>
      </xdr:nvSpPr>
      <xdr:spPr bwMode="auto">
        <a:xfrm>
          <a:off x="845439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121</xdr:col>
      <xdr:colOff>0</xdr:colOff>
      <xdr:row>26</xdr:row>
      <xdr:rowOff>0</xdr:rowOff>
    </xdr:from>
    <xdr:to>
      <xdr:col>121</xdr:col>
      <xdr:colOff>57150</xdr:colOff>
      <xdr:row>26</xdr:row>
      <xdr:rowOff>9525</xdr:rowOff>
    </xdr:to>
    <xdr:sp macro="" textlink="">
      <xdr:nvSpPr>
        <xdr:cNvPr id="1070498" name="Line 345">
          <a:extLst>
            <a:ext uri="{FF2B5EF4-FFF2-40B4-BE49-F238E27FC236}">
              <a16:creationId xmlns:a16="http://schemas.microsoft.com/office/drawing/2014/main" id="{00000000-0008-0000-0D00-0000A2551000}"/>
            </a:ext>
          </a:extLst>
        </xdr:cNvPr>
        <xdr:cNvSpPr>
          <a:spLocks noChangeShapeType="1"/>
        </xdr:cNvSpPr>
      </xdr:nvSpPr>
      <xdr:spPr bwMode="auto">
        <a:xfrm flipV="1">
          <a:off x="84543900" y="53054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121</xdr:col>
      <xdr:colOff>95250</xdr:colOff>
      <xdr:row>23</xdr:row>
      <xdr:rowOff>19050</xdr:rowOff>
    </xdr:from>
    <xdr:to>
      <xdr:col>122</xdr:col>
      <xdr:colOff>9525</xdr:colOff>
      <xdr:row>26</xdr:row>
      <xdr:rowOff>19050</xdr:rowOff>
    </xdr:to>
    <xdr:sp macro="" textlink="">
      <xdr:nvSpPr>
        <xdr:cNvPr id="1070499" name="Line 363">
          <a:extLst>
            <a:ext uri="{FF2B5EF4-FFF2-40B4-BE49-F238E27FC236}">
              <a16:creationId xmlns:a16="http://schemas.microsoft.com/office/drawing/2014/main" id="{00000000-0008-0000-0D00-0000A3551000}"/>
            </a:ext>
          </a:extLst>
        </xdr:cNvPr>
        <xdr:cNvSpPr>
          <a:spLocks noChangeShapeType="1"/>
        </xdr:cNvSpPr>
      </xdr:nvSpPr>
      <xdr:spPr bwMode="auto">
        <a:xfrm>
          <a:off x="84639150" y="4781550"/>
          <a:ext cx="361950"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121</xdr:col>
      <xdr:colOff>66675</xdr:colOff>
      <xdr:row>15</xdr:row>
      <xdr:rowOff>57150</xdr:rowOff>
    </xdr:from>
    <xdr:to>
      <xdr:col>122</xdr:col>
      <xdr:colOff>0</xdr:colOff>
      <xdr:row>20</xdr:row>
      <xdr:rowOff>19050</xdr:rowOff>
    </xdr:to>
    <xdr:sp macro="" textlink="">
      <xdr:nvSpPr>
        <xdr:cNvPr id="1070500" name="Line 390">
          <a:extLst>
            <a:ext uri="{FF2B5EF4-FFF2-40B4-BE49-F238E27FC236}">
              <a16:creationId xmlns:a16="http://schemas.microsoft.com/office/drawing/2014/main" id="{00000000-0008-0000-0D00-0000A4551000}"/>
            </a:ext>
          </a:extLst>
        </xdr:cNvPr>
        <xdr:cNvSpPr>
          <a:spLocks noChangeShapeType="1"/>
        </xdr:cNvSpPr>
      </xdr:nvSpPr>
      <xdr:spPr bwMode="auto">
        <a:xfrm>
          <a:off x="84610575" y="3371850"/>
          <a:ext cx="38100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121</xdr:col>
      <xdr:colOff>66675</xdr:colOff>
      <xdr:row>11</xdr:row>
      <xdr:rowOff>0</xdr:rowOff>
    </xdr:from>
    <xdr:to>
      <xdr:col>121</xdr:col>
      <xdr:colOff>438150</xdr:colOff>
      <xdr:row>15</xdr:row>
      <xdr:rowOff>85725</xdr:rowOff>
    </xdr:to>
    <xdr:sp macro="" textlink="">
      <xdr:nvSpPr>
        <xdr:cNvPr id="1070501" name="Line 391">
          <a:extLst>
            <a:ext uri="{FF2B5EF4-FFF2-40B4-BE49-F238E27FC236}">
              <a16:creationId xmlns:a16="http://schemas.microsoft.com/office/drawing/2014/main" id="{00000000-0008-0000-0D00-0000A5551000}"/>
            </a:ext>
          </a:extLst>
        </xdr:cNvPr>
        <xdr:cNvSpPr>
          <a:spLocks noChangeShapeType="1"/>
        </xdr:cNvSpPr>
      </xdr:nvSpPr>
      <xdr:spPr bwMode="auto">
        <a:xfrm flipV="1">
          <a:off x="84610575" y="2590800"/>
          <a:ext cx="371475" cy="809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121</xdr:col>
      <xdr:colOff>76200</xdr:colOff>
      <xdr:row>16</xdr:row>
      <xdr:rowOff>152400</xdr:rowOff>
    </xdr:from>
    <xdr:to>
      <xdr:col>122</xdr:col>
      <xdr:colOff>0</xdr:colOff>
      <xdr:row>22</xdr:row>
      <xdr:rowOff>161925</xdr:rowOff>
    </xdr:to>
    <xdr:sp macro="" textlink="">
      <xdr:nvSpPr>
        <xdr:cNvPr id="1070502" name="Line 392">
          <a:extLst>
            <a:ext uri="{FF2B5EF4-FFF2-40B4-BE49-F238E27FC236}">
              <a16:creationId xmlns:a16="http://schemas.microsoft.com/office/drawing/2014/main" id="{00000000-0008-0000-0D00-0000A6551000}"/>
            </a:ext>
          </a:extLst>
        </xdr:cNvPr>
        <xdr:cNvSpPr>
          <a:spLocks noChangeShapeType="1"/>
        </xdr:cNvSpPr>
      </xdr:nvSpPr>
      <xdr:spPr bwMode="auto">
        <a:xfrm flipV="1">
          <a:off x="84620100" y="3648075"/>
          <a:ext cx="371475" cy="1095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124</xdr:col>
      <xdr:colOff>76200</xdr:colOff>
      <xdr:row>10</xdr:row>
      <xdr:rowOff>152400</xdr:rowOff>
    </xdr:from>
    <xdr:to>
      <xdr:col>124</xdr:col>
      <xdr:colOff>390525</xdr:colOff>
      <xdr:row>15</xdr:row>
      <xdr:rowOff>57150</xdr:rowOff>
    </xdr:to>
    <xdr:sp macro="" textlink="">
      <xdr:nvSpPr>
        <xdr:cNvPr id="1070503" name="Line 395">
          <a:extLst>
            <a:ext uri="{FF2B5EF4-FFF2-40B4-BE49-F238E27FC236}">
              <a16:creationId xmlns:a16="http://schemas.microsoft.com/office/drawing/2014/main" id="{00000000-0008-0000-0D00-0000A7551000}"/>
            </a:ext>
          </a:extLst>
        </xdr:cNvPr>
        <xdr:cNvSpPr>
          <a:spLocks noChangeShapeType="1"/>
        </xdr:cNvSpPr>
      </xdr:nvSpPr>
      <xdr:spPr bwMode="auto">
        <a:xfrm flipV="1">
          <a:off x="86782275" y="2562225"/>
          <a:ext cx="314325" cy="8096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124</xdr:col>
      <xdr:colOff>76200</xdr:colOff>
      <xdr:row>15</xdr:row>
      <xdr:rowOff>57150</xdr:rowOff>
    </xdr:from>
    <xdr:to>
      <xdr:col>125</xdr:col>
      <xdr:colOff>0</xdr:colOff>
      <xdr:row>20</xdr:row>
      <xdr:rowOff>28575</xdr:rowOff>
    </xdr:to>
    <xdr:sp macro="" textlink="">
      <xdr:nvSpPr>
        <xdr:cNvPr id="1070504" name="Line 399">
          <a:extLst>
            <a:ext uri="{FF2B5EF4-FFF2-40B4-BE49-F238E27FC236}">
              <a16:creationId xmlns:a16="http://schemas.microsoft.com/office/drawing/2014/main" id="{00000000-0008-0000-0D00-0000A8551000}"/>
            </a:ext>
          </a:extLst>
        </xdr:cNvPr>
        <xdr:cNvSpPr>
          <a:spLocks noChangeShapeType="1"/>
        </xdr:cNvSpPr>
      </xdr:nvSpPr>
      <xdr:spPr bwMode="auto">
        <a:xfrm>
          <a:off x="86782275" y="3371850"/>
          <a:ext cx="333375" cy="8763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121</xdr:col>
      <xdr:colOff>76200</xdr:colOff>
      <xdr:row>23</xdr:row>
      <xdr:rowOff>9525</xdr:rowOff>
    </xdr:from>
    <xdr:to>
      <xdr:col>122</xdr:col>
      <xdr:colOff>0</xdr:colOff>
      <xdr:row>23</xdr:row>
      <xdr:rowOff>9525</xdr:rowOff>
    </xdr:to>
    <xdr:sp macro="" textlink="">
      <xdr:nvSpPr>
        <xdr:cNvPr id="1070505" name="Line 392">
          <a:extLst>
            <a:ext uri="{FF2B5EF4-FFF2-40B4-BE49-F238E27FC236}">
              <a16:creationId xmlns:a16="http://schemas.microsoft.com/office/drawing/2014/main" id="{00000000-0008-0000-0D00-0000A9551000}"/>
            </a:ext>
          </a:extLst>
        </xdr:cNvPr>
        <xdr:cNvSpPr>
          <a:spLocks noChangeShapeType="1"/>
        </xdr:cNvSpPr>
      </xdr:nvSpPr>
      <xdr:spPr bwMode="auto">
        <a:xfrm>
          <a:off x="84620100" y="4772025"/>
          <a:ext cx="3714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124</xdr:col>
      <xdr:colOff>0</xdr:colOff>
      <xdr:row>20</xdr:row>
      <xdr:rowOff>28575</xdr:rowOff>
    </xdr:from>
    <xdr:to>
      <xdr:col>124</xdr:col>
      <xdr:colOff>76200</xdr:colOff>
      <xdr:row>20</xdr:row>
      <xdr:rowOff>38100</xdr:rowOff>
    </xdr:to>
    <xdr:sp macro="" textlink="">
      <xdr:nvSpPr>
        <xdr:cNvPr id="1070506" name="Line 343">
          <a:extLst>
            <a:ext uri="{FF2B5EF4-FFF2-40B4-BE49-F238E27FC236}">
              <a16:creationId xmlns:a16="http://schemas.microsoft.com/office/drawing/2014/main" id="{00000000-0008-0000-0D00-0000AA551000}"/>
            </a:ext>
          </a:extLst>
        </xdr:cNvPr>
        <xdr:cNvSpPr>
          <a:spLocks noChangeShapeType="1"/>
        </xdr:cNvSpPr>
      </xdr:nvSpPr>
      <xdr:spPr bwMode="auto">
        <a:xfrm>
          <a:off x="86706075" y="424815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47625</xdr:colOff>
      <xdr:row>23</xdr:row>
      <xdr:rowOff>38100</xdr:rowOff>
    </xdr:from>
    <xdr:to>
      <xdr:col>124</xdr:col>
      <xdr:colOff>400050</xdr:colOff>
      <xdr:row>26</xdr:row>
      <xdr:rowOff>0</xdr:rowOff>
    </xdr:to>
    <xdr:sp macro="" textlink="">
      <xdr:nvSpPr>
        <xdr:cNvPr id="1070507" name="Line 363">
          <a:extLst>
            <a:ext uri="{FF2B5EF4-FFF2-40B4-BE49-F238E27FC236}">
              <a16:creationId xmlns:a16="http://schemas.microsoft.com/office/drawing/2014/main" id="{00000000-0008-0000-0D00-0000AB551000}"/>
            </a:ext>
          </a:extLst>
        </xdr:cNvPr>
        <xdr:cNvSpPr>
          <a:spLocks noChangeShapeType="1"/>
        </xdr:cNvSpPr>
      </xdr:nvSpPr>
      <xdr:spPr bwMode="auto">
        <a:xfrm>
          <a:off x="86753700" y="4800600"/>
          <a:ext cx="352425" cy="5048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124</xdr:col>
      <xdr:colOff>57150</xdr:colOff>
      <xdr:row>17</xdr:row>
      <xdr:rowOff>19050</xdr:rowOff>
    </xdr:from>
    <xdr:to>
      <xdr:col>124</xdr:col>
      <xdr:colOff>400050</xdr:colOff>
      <xdr:row>23</xdr:row>
      <xdr:rowOff>28575</xdr:rowOff>
    </xdr:to>
    <xdr:sp macro="" textlink="">
      <xdr:nvSpPr>
        <xdr:cNvPr id="1070508" name="Line 392">
          <a:extLst>
            <a:ext uri="{FF2B5EF4-FFF2-40B4-BE49-F238E27FC236}">
              <a16:creationId xmlns:a16="http://schemas.microsoft.com/office/drawing/2014/main" id="{00000000-0008-0000-0D00-0000AC551000}"/>
            </a:ext>
          </a:extLst>
        </xdr:cNvPr>
        <xdr:cNvSpPr>
          <a:spLocks noChangeShapeType="1"/>
        </xdr:cNvSpPr>
      </xdr:nvSpPr>
      <xdr:spPr bwMode="auto">
        <a:xfrm flipV="1">
          <a:off x="86763225" y="3695700"/>
          <a:ext cx="342900" cy="1095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124</xdr:col>
      <xdr:colOff>76200</xdr:colOff>
      <xdr:row>23</xdr:row>
      <xdr:rowOff>38100</xdr:rowOff>
    </xdr:from>
    <xdr:to>
      <xdr:col>125</xdr:col>
      <xdr:colOff>0</xdr:colOff>
      <xdr:row>23</xdr:row>
      <xdr:rowOff>38100</xdr:rowOff>
    </xdr:to>
    <xdr:sp macro="" textlink="">
      <xdr:nvSpPr>
        <xdr:cNvPr id="1070509" name="Line 392">
          <a:extLst>
            <a:ext uri="{FF2B5EF4-FFF2-40B4-BE49-F238E27FC236}">
              <a16:creationId xmlns:a16="http://schemas.microsoft.com/office/drawing/2014/main" id="{00000000-0008-0000-0D00-0000AD551000}"/>
            </a:ext>
          </a:extLst>
        </xdr:cNvPr>
        <xdr:cNvSpPr>
          <a:spLocks noChangeShapeType="1"/>
        </xdr:cNvSpPr>
      </xdr:nvSpPr>
      <xdr:spPr bwMode="auto">
        <a:xfrm>
          <a:off x="86782275" y="4800600"/>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124</xdr:col>
      <xdr:colOff>66675</xdr:colOff>
      <xdr:row>20</xdr:row>
      <xdr:rowOff>38100</xdr:rowOff>
    </xdr:from>
    <xdr:to>
      <xdr:col>124</xdr:col>
      <xdr:colOff>66675</xdr:colOff>
      <xdr:row>25</xdr:row>
      <xdr:rowOff>142875</xdr:rowOff>
    </xdr:to>
    <xdr:sp macro="" textlink="">
      <xdr:nvSpPr>
        <xdr:cNvPr id="1070510" name="Line 344">
          <a:extLst>
            <a:ext uri="{FF2B5EF4-FFF2-40B4-BE49-F238E27FC236}">
              <a16:creationId xmlns:a16="http://schemas.microsoft.com/office/drawing/2014/main" id="{00000000-0008-0000-0D00-0000AE551000}"/>
            </a:ext>
          </a:extLst>
        </xdr:cNvPr>
        <xdr:cNvSpPr>
          <a:spLocks noChangeShapeType="1"/>
        </xdr:cNvSpPr>
      </xdr:nvSpPr>
      <xdr:spPr bwMode="auto">
        <a:xfrm flipH="1">
          <a:off x="86772750" y="4257675"/>
          <a:ext cx="0" cy="1009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9525</xdr:colOff>
      <xdr:row>26</xdr:row>
      <xdr:rowOff>0</xdr:rowOff>
    </xdr:from>
    <xdr:to>
      <xdr:col>124</xdr:col>
      <xdr:colOff>66675</xdr:colOff>
      <xdr:row>26</xdr:row>
      <xdr:rowOff>9525</xdr:rowOff>
    </xdr:to>
    <xdr:sp macro="" textlink="">
      <xdr:nvSpPr>
        <xdr:cNvPr id="1070511" name="Line 345">
          <a:extLst>
            <a:ext uri="{FF2B5EF4-FFF2-40B4-BE49-F238E27FC236}">
              <a16:creationId xmlns:a16="http://schemas.microsoft.com/office/drawing/2014/main" id="{00000000-0008-0000-0D00-0000AF551000}"/>
            </a:ext>
          </a:extLst>
        </xdr:cNvPr>
        <xdr:cNvSpPr>
          <a:spLocks noChangeShapeType="1"/>
        </xdr:cNvSpPr>
      </xdr:nvSpPr>
      <xdr:spPr bwMode="auto">
        <a:xfrm flipV="1">
          <a:off x="86715600" y="53054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0</xdr:colOff>
      <xdr:row>20</xdr:row>
      <xdr:rowOff>0</xdr:rowOff>
    </xdr:from>
    <xdr:to>
      <xdr:col>127</xdr:col>
      <xdr:colOff>76200</xdr:colOff>
      <xdr:row>20</xdr:row>
      <xdr:rowOff>9525</xdr:rowOff>
    </xdr:to>
    <xdr:sp macro="" textlink="">
      <xdr:nvSpPr>
        <xdr:cNvPr id="1070512" name="Line 473">
          <a:extLst>
            <a:ext uri="{FF2B5EF4-FFF2-40B4-BE49-F238E27FC236}">
              <a16:creationId xmlns:a16="http://schemas.microsoft.com/office/drawing/2014/main" id="{00000000-0008-0000-0D00-0000B0551000}"/>
            </a:ext>
          </a:extLst>
        </xdr:cNvPr>
        <xdr:cNvSpPr>
          <a:spLocks noChangeShapeType="1"/>
        </xdr:cNvSpPr>
      </xdr:nvSpPr>
      <xdr:spPr bwMode="auto">
        <a:xfrm>
          <a:off x="888015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66675</xdr:colOff>
      <xdr:row>20</xdr:row>
      <xdr:rowOff>9525</xdr:rowOff>
    </xdr:from>
    <xdr:to>
      <xdr:col>127</xdr:col>
      <xdr:colOff>66675</xdr:colOff>
      <xdr:row>23</xdr:row>
      <xdr:rowOff>19050</xdr:rowOff>
    </xdr:to>
    <xdr:sp macro="" textlink="">
      <xdr:nvSpPr>
        <xdr:cNvPr id="1070513" name="Line 474">
          <a:extLst>
            <a:ext uri="{FF2B5EF4-FFF2-40B4-BE49-F238E27FC236}">
              <a16:creationId xmlns:a16="http://schemas.microsoft.com/office/drawing/2014/main" id="{00000000-0008-0000-0D00-0000B1551000}"/>
            </a:ext>
          </a:extLst>
        </xdr:cNvPr>
        <xdr:cNvSpPr>
          <a:spLocks noChangeShapeType="1"/>
        </xdr:cNvSpPr>
      </xdr:nvSpPr>
      <xdr:spPr bwMode="auto">
        <a:xfrm>
          <a:off x="8886825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0</xdr:colOff>
      <xdr:row>20</xdr:row>
      <xdr:rowOff>0</xdr:rowOff>
    </xdr:from>
    <xdr:to>
      <xdr:col>127</xdr:col>
      <xdr:colOff>76200</xdr:colOff>
      <xdr:row>20</xdr:row>
      <xdr:rowOff>9525</xdr:rowOff>
    </xdr:to>
    <xdr:sp macro="" textlink="">
      <xdr:nvSpPr>
        <xdr:cNvPr id="1070514" name="Line 475">
          <a:extLst>
            <a:ext uri="{FF2B5EF4-FFF2-40B4-BE49-F238E27FC236}">
              <a16:creationId xmlns:a16="http://schemas.microsoft.com/office/drawing/2014/main" id="{00000000-0008-0000-0D00-0000B2551000}"/>
            </a:ext>
          </a:extLst>
        </xdr:cNvPr>
        <xdr:cNvSpPr>
          <a:spLocks noChangeShapeType="1"/>
        </xdr:cNvSpPr>
      </xdr:nvSpPr>
      <xdr:spPr bwMode="auto">
        <a:xfrm>
          <a:off x="888015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66675</xdr:colOff>
      <xdr:row>20</xdr:row>
      <xdr:rowOff>9525</xdr:rowOff>
    </xdr:from>
    <xdr:to>
      <xdr:col>127</xdr:col>
      <xdr:colOff>66675</xdr:colOff>
      <xdr:row>23</xdr:row>
      <xdr:rowOff>19050</xdr:rowOff>
    </xdr:to>
    <xdr:sp macro="" textlink="">
      <xdr:nvSpPr>
        <xdr:cNvPr id="1070515" name="Line 476">
          <a:extLst>
            <a:ext uri="{FF2B5EF4-FFF2-40B4-BE49-F238E27FC236}">
              <a16:creationId xmlns:a16="http://schemas.microsoft.com/office/drawing/2014/main" id="{00000000-0008-0000-0D00-0000B3551000}"/>
            </a:ext>
          </a:extLst>
        </xdr:cNvPr>
        <xdr:cNvSpPr>
          <a:spLocks noChangeShapeType="1"/>
        </xdr:cNvSpPr>
      </xdr:nvSpPr>
      <xdr:spPr bwMode="auto">
        <a:xfrm>
          <a:off x="8886825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76200</xdr:colOff>
      <xdr:row>23</xdr:row>
      <xdr:rowOff>19050</xdr:rowOff>
    </xdr:from>
    <xdr:to>
      <xdr:col>128</xdr:col>
      <xdr:colOff>9525</xdr:colOff>
      <xdr:row>26</xdr:row>
      <xdr:rowOff>9525</xdr:rowOff>
    </xdr:to>
    <xdr:sp macro="" textlink="">
      <xdr:nvSpPr>
        <xdr:cNvPr id="1070516" name="Line 477">
          <a:extLst>
            <a:ext uri="{FF2B5EF4-FFF2-40B4-BE49-F238E27FC236}">
              <a16:creationId xmlns:a16="http://schemas.microsoft.com/office/drawing/2014/main" id="{00000000-0008-0000-0D00-0000B4551000}"/>
            </a:ext>
          </a:extLst>
        </xdr:cNvPr>
        <xdr:cNvSpPr>
          <a:spLocks noChangeShapeType="1"/>
        </xdr:cNvSpPr>
      </xdr:nvSpPr>
      <xdr:spPr bwMode="auto">
        <a:xfrm>
          <a:off x="88877775" y="4781550"/>
          <a:ext cx="342900" cy="5334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127</xdr:col>
      <xdr:colOff>0</xdr:colOff>
      <xdr:row>20</xdr:row>
      <xdr:rowOff>0</xdr:rowOff>
    </xdr:from>
    <xdr:to>
      <xdr:col>127</xdr:col>
      <xdr:colOff>76200</xdr:colOff>
      <xdr:row>20</xdr:row>
      <xdr:rowOff>9525</xdr:rowOff>
    </xdr:to>
    <xdr:sp macro="" textlink="">
      <xdr:nvSpPr>
        <xdr:cNvPr id="1070517" name="Line 478">
          <a:extLst>
            <a:ext uri="{FF2B5EF4-FFF2-40B4-BE49-F238E27FC236}">
              <a16:creationId xmlns:a16="http://schemas.microsoft.com/office/drawing/2014/main" id="{00000000-0008-0000-0D00-0000B5551000}"/>
            </a:ext>
          </a:extLst>
        </xdr:cNvPr>
        <xdr:cNvSpPr>
          <a:spLocks noChangeShapeType="1"/>
        </xdr:cNvSpPr>
      </xdr:nvSpPr>
      <xdr:spPr bwMode="auto">
        <a:xfrm>
          <a:off x="888015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66675</xdr:colOff>
      <xdr:row>20</xdr:row>
      <xdr:rowOff>9525</xdr:rowOff>
    </xdr:from>
    <xdr:to>
      <xdr:col>127</xdr:col>
      <xdr:colOff>66675</xdr:colOff>
      <xdr:row>25</xdr:row>
      <xdr:rowOff>152400</xdr:rowOff>
    </xdr:to>
    <xdr:sp macro="" textlink="">
      <xdr:nvSpPr>
        <xdr:cNvPr id="1070518" name="Line 479">
          <a:extLst>
            <a:ext uri="{FF2B5EF4-FFF2-40B4-BE49-F238E27FC236}">
              <a16:creationId xmlns:a16="http://schemas.microsoft.com/office/drawing/2014/main" id="{00000000-0008-0000-0D00-0000B6551000}"/>
            </a:ext>
          </a:extLst>
        </xdr:cNvPr>
        <xdr:cNvSpPr>
          <a:spLocks noChangeShapeType="1"/>
        </xdr:cNvSpPr>
      </xdr:nvSpPr>
      <xdr:spPr bwMode="auto">
        <a:xfrm>
          <a:off x="88868250" y="4229100"/>
          <a:ext cx="0" cy="1047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66675</xdr:colOff>
      <xdr:row>19</xdr:row>
      <xdr:rowOff>161925</xdr:rowOff>
    </xdr:from>
    <xdr:to>
      <xdr:col>128</xdr:col>
      <xdr:colOff>0</xdr:colOff>
      <xdr:row>23</xdr:row>
      <xdr:rowOff>0</xdr:rowOff>
    </xdr:to>
    <xdr:sp macro="" textlink="">
      <xdr:nvSpPr>
        <xdr:cNvPr id="1070519" name="Line 480">
          <a:extLst>
            <a:ext uri="{FF2B5EF4-FFF2-40B4-BE49-F238E27FC236}">
              <a16:creationId xmlns:a16="http://schemas.microsoft.com/office/drawing/2014/main" id="{00000000-0008-0000-0D00-0000B7551000}"/>
            </a:ext>
          </a:extLst>
        </xdr:cNvPr>
        <xdr:cNvSpPr>
          <a:spLocks noChangeShapeType="1"/>
        </xdr:cNvSpPr>
      </xdr:nvSpPr>
      <xdr:spPr bwMode="auto">
        <a:xfrm flipV="1">
          <a:off x="88868250" y="4200525"/>
          <a:ext cx="342900" cy="5619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127</xdr:col>
      <xdr:colOff>66675</xdr:colOff>
      <xdr:row>23</xdr:row>
      <xdr:rowOff>9525</xdr:rowOff>
    </xdr:from>
    <xdr:to>
      <xdr:col>128</xdr:col>
      <xdr:colOff>0</xdr:colOff>
      <xdr:row>23</xdr:row>
      <xdr:rowOff>9525</xdr:rowOff>
    </xdr:to>
    <xdr:sp macro="" textlink="">
      <xdr:nvSpPr>
        <xdr:cNvPr id="1070520" name="Line 481">
          <a:extLst>
            <a:ext uri="{FF2B5EF4-FFF2-40B4-BE49-F238E27FC236}">
              <a16:creationId xmlns:a16="http://schemas.microsoft.com/office/drawing/2014/main" id="{00000000-0008-0000-0D00-0000B8551000}"/>
            </a:ext>
          </a:extLst>
        </xdr:cNvPr>
        <xdr:cNvSpPr>
          <a:spLocks noChangeShapeType="1"/>
        </xdr:cNvSpPr>
      </xdr:nvSpPr>
      <xdr:spPr bwMode="auto">
        <a:xfrm>
          <a:off x="88868250" y="4772025"/>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127</xdr:col>
      <xdr:colOff>9525</xdr:colOff>
      <xdr:row>25</xdr:row>
      <xdr:rowOff>171450</xdr:rowOff>
    </xdr:from>
    <xdr:to>
      <xdr:col>127</xdr:col>
      <xdr:colOff>66675</xdr:colOff>
      <xdr:row>26</xdr:row>
      <xdr:rowOff>0</xdr:rowOff>
    </xdr:to>
    <xdr:sp macro="" textlink="">
      <xdr:nvSpPr>
        <xdr:cNvPr id="1070521" name="Line 482">
          <a:extLst>
            <a:ext uri="{FF2B5EF4-FFF2-40B4-BE49-F238E27FC236}">
              <a16:creationId xmlns:a16="http://schemas.microsoft.com/office/drawing/2014/main" id="{00000000-0008-0000-0D00-0000B9551000}"/>
            </a:ext>
          </a:extLst>
        </xdr:cNvPr>
        <xdr:cNvSpPr>
          <a:spLocks noChangeShapeType="1"/>
        </xdr:cNvSpPr>
      </xdr:nvSpPr>
      <xdr:spPr bwMode="auto">
        <a:xfrm flipV="1">
          <a:off x="88811100" y="529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121</xdr:col>
      <xdr:colOff>9525</xdr:colOff>
      <xdr:row>17</xdr:row>
      <xdr:rowOff>0</xdr:rowOff>
    </xdr:from>
    <xdr:to>
      <xdr:col>121</xdr:col>
      <xdr:colOff>66675</xdr:colOff>
      <xdr:row>17</xdr:row>
      <xdr:rowOff>9525</xdr:rowOff>
    </xdr:to>
    <xdr:sp macro="" textlink="">
      <xdr:nvSpPr>
        <xdr:cNvPr id="1070522" name="Line 39">
          <a:extLst>
            <a:ext uri="{FF2B5EF4-FFF2-40B4-BE49-F238E27FC236}">
              <a16:creationId xmlns:a16="http://schemas.microsoft.com/office/drawing/2014/main" id="{00000000-0008-0000-0D00-0000BA551000}"/>
            </a:ext>
          </a:extLst>
        </xdr:cNvPr>
        <xdr:cNvSpPr>
          <a:spLocks noChangeShapeType="1"/>
        </xdr:cNvSpPr>
      </xdr:nvSpPr>
      <xdr:spPr bwMode="auto">
        <a:xfrm flipV="1">
          <a:off x="845534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9525</xdr:colOff>
      <xdr:row>17</xdr:row>
      <xdr:rowOff>0</xdr:rowOff>
    </xdr:from>
    <xdr:to>
      <xdr:col>124</xdr:col>
      <xdr:colOff>66675</xdr:colOff>
      <xdr:row>17</xdr:row>
      <xdr:rowOff>9525</xdr:rowOff>
    </xdr:to>
    <xdr:sp macro="" textlink="">
      <xdr:nvSpPr>
        <xdr:cNvPr id="1070523" name="Line 42">
          <a:extLst>
            <a:ext uri="{FF2B5EF4-FFF2-40B4-BE49-F238E27FC236}">
              <a16:creationId xmlns:a16="http://schemas.microsoft.com/office/drawing/2014/main" id="{00000000-0008-0000-0D00-0000BB551000}"/>
            </a:ext>
          </a:extLst>
        </xdr:cNvPr>
        <xdr:cNvSpPr>
          <a:spLocks noChangeShapeType="1"/>
        </xdr:cNvSpPr>
      </xdr:nvSpPr>
      <xdr:spPr bwMode="auto">
        <a:xfrm flipV="1">
          <a:off x="867156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9525</xdr:colOff>
      <xdr:row>17</xdr:row>
      <xdr:rowOff>0</xdr:rowOff>
    </xdr:from>
    <xdr:to>
      <xdr:col>127</xdr:col>
      <xdr:colOff>66675</xdr:colOff>
      <xdr:row>17</xdr:row>
      <xdr:rowOff>9525</xdr:rowOff>
    </xdr:to>
    <xdr:sp macro="" textlink="">
      <xdr:nvSpPr>
        <xdr:cNvPr id="1070524" name="Line 45">
          <a:extLst>
            <a:ext uri="{FF2B5EF4-FFF2-40B4-BE49-F238E27FC236}">
              <a16:creationId xmlns:a16="http://schemas.microsoft.com/office/drawing/2014/main" id="{00000000-0008-0000-0D00-0000BC551000}"/>
            </a:ext>
          </a:extLst>
        </xdr:cNvPr>
        <xdr:cNvSpPr>
          <a:spLocks noChangeShapeType="1"/>
        </xdr:cNvSpPr>
      </xdr:nvSpPr>
      <xdr:spPr bwMode="auto">
        <a:xfrm flipV="1">
          <a:off x="888111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9525</xdr:colOff>
      <xdr:row>17</xdr:row>
      <xdr:rowOff>0</xdr:rowOff>
    </xdr:from>
    <xdr:to>
      <xdr:col>127</xdr:col>
      <xdr:colOff>66675</xdr:colOff>
      <xdr:row>17</xdr:row>
      <xdr:rowOff>9525</xdr:rowOff>
    </xdr:to>
    <xdr:sp macro="" textlink="">
      <xdr:nvSpPr>
        <xdr:cNvPr id="1070525" name="Line 79">
          <a:extLst>
            <a:ext uri="{FF2B5EF4-FFF2-40B4-BE49-F238E27FC236}">
              <a16:creationId xmlns:a16="http://schemas.microsoft.com/office/drawing/2014/main" id="{00000000-0008-0000-0D00-0000BD551000}"/>
            </a:ext>
          </a:extLst>
        </xdr:cNvPr>
        <xdr:cNvSpPr>
          <a:spLocks noChangeShapeType="1"/>
        </xdr:cNvSpPr>
      </xdr:nvSpPr>
      <xdr:spPr bwMode="auto">
        <a:xfrm flipV="1">
          <a:off x="888111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76200</xdr:colOff>
      <xdr:row>15</xdr:row>
      <xdr:rowOff>66675</xdr:rowOff>
    </xdr:from>
    <xdr:to>
      <xdr:col>128</xdr:col>
      <xdr:colOff>9525</xdr:colOff>
      <xdr:row>17</xdr:row>
      <xdr:rowOff>19050</xdr:rowOff>
    </xdr:to>
    <xdr:sp macro="" textlink="">
      <xdr:nvSpPr>
        <xdr:cNvPr id="1070526" name="Line 81">
          <a:extLst>
            <a:ext uri="{FF2B5EF4-FFF2-40B4-BE49-F238E27FC236}">
              <a16:creationId xmlns:a16="http://schemas.microsoft.com/office/drawing/2014/main" id="{00000000-0008-0000-0D00-0000BE551000}"/>
            </a:ext>
          </a:extLst>
        </xdr:cNvPr>
        <xdr:cNvSpPr>
          <a:spLocks noChangeShapeType="1"/>
        </xdr:cNvSpPr>
      </xdr:nvSpPr>
      <xdr:spPr bwMode="auto">
        <a:xfrm>
          <a:off x="88877775" y="33813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127</xdr:col>
      <xdr:colOff>9525</xdr:colOff>
      <xdr:row>17</xdr:row>
      <xdr:rowOff>0</xdr:rowOff>
    </xdr:from>
    <xdr:to>
      <xdr:col>127</xdr:col>
      <xdr:colOff>66675</xdr:colOff>
      <xdr:row>17</xdr:row>
      <xdr:rowOff>9525</xdr:rowOff>
    </xdr:to>
    <xdr:sp macro="" textlink="">
      <xdr:nvSpPr>
        <xdr:cNvPr id="1070527" name="Line 92">
          <a:extLst>
            <a:ext uri="{FF2B5EF4-FFF2-40B4-BE49-F238E27FC236}">
              <a16:creationId xmlns:a16="http://schemas.microsoft.com/office/drawing/2014/main" id="{00000000-0008-0000-0D00-0000BF551000}"/>
            </a:ext>
          </a:extLst>
        </xdr:cNvPr>
        <xdr:cNvSpPr>
          <a:spLocks noChangeShapeType="1"/>
        </xdr:cNvSpPr>
      </xdr:nvSpPr>
      <xdr:spPr bwMode="auto">
        <a:xfrm flipV="1">
          <a:off x="888111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9525</xdr:colOff>
      <xdr:row>17</xdr:row>
      <xdr:rowOff>0</xdr:rowOff>
    </xdr:from>
    <xdr:to>
      <xdr:col>124</xdr:col>
      <xdr:colOff>66675</xdr:colOff>
      <xdr:row>17</xdr:row>
      <xdr:rowOff>9525</xdr:rowOff>
    </xdr:to>
    <xdr:sp macro="" textlink="">
      <xdr:nvSpPr>
        <xdr:cNvPr id="1070528" name="Line 136">
          <a:extLst>
            <a:ext uri="{FF2B5EF4-FFF2-40B4-BE49-F238E27FC236}">
              <a16:creationId xmlns:a16="http://schemas.microsoft.com/office/drawing/2014/main" id="{00000000-0008-0000-0D00-0000C0551000}"/>
            </a:ext>
          </a:extLst>
        </xdr:cNvPr>
        <xdr:cNvSpPr>
          <a:spLocks noChangeShapeType="1"/>
        </xdr:cNvSpPr>
      </xdr:nvSpPr>
      <xdr:spPr bwMode="auto">
        <a:xfrm flipV="1">
          <a:off x="867156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121</xdr:col>
      <xdr:colOff>85725</xdr:colOff>
      <xdr:row>20</xdr:row>
      <xdr:rowOff>0</xdr:rowOff>
    </xdr:from>
    <xdr:to>
      <xdr:col>121</xdr:col>
      <xdr:colOff>85725</xdr:colOff>
      <xdr:row>25</xdr:row>
      <xdr:rowOff>142875</xdr:rowOff>
    </xdr:to>
    <xdr:sp macro="" textlink="">
      <xdr:nvSpPr>
        <xdr:cNvPr id="1070529" name="Line 460">
          <a:extLst>
            <a:ext uri="{FF2B5EF4-FFF2-40B4-BE49-F238E27FC236}">
              <a16:creationId xmlns:a16="http://schemas.microsoft.com/office/drawing/2014/main" id="{00000000-0008-0000-0D00-0000C1551000}"/>
            </a:ext>
          </a:extLst>
        </xdr:cNvPr>
        <xdr:cNvSpPr>
          <a:spLocks noChangeShapeType="1"/>
        </xdr:cNvSpPr>
      </xdr:nvSpPr>
      <xdr:spPr bwMode="auto">
        <a:xfrm>
          <a:off x="84629625" y="4219575"/>
          <a:ext cx="0" cy="1047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9525</xdr:colOff>
      <xdr:row>17</xdr:row>
      <xdr:rowOff>0</xdr:rowOff>
    </xdr:from>
    <xdr:to>
      <xdr:col>124</xdr:col>
      <xdr:colOff>66675</xdr:colOff>
      <xdr:row>17</xdr:row>
      <xdr:rowOff>9525</xdr:rowOff>
    </xdr:to>
    <xdr:sp macro="" textlink="">
      <xdr:nvSpPr>
        <xdr:cNvPr id="1070530" name="Line 464">
          <a:extLst>
            <a:ext uri="{FF2B5EF4-FFF2-40B4-BE49-F238E27FC236}">
              <a16:creationId xmlns:a16="http://schemas.microsoft.com/office/drawing/2014/main" id="{00000000-0008-0000-0D00-0000C2551000}"/>
            </a:ext>
          </a:extLst>
        </xdr:cNvPr>
        <xdr:cNvSpPr>
          <a:spLocks noChangeShapeType="1"/>
        </xdr:cNvSpPr>
      </xdr:nvSpPr>
      <xdr:spPr bwMode="auto">
        <a:xfrm flipV="1">
          <a:off x="867156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0</xdr:colOff>
      <xdr:row>20</xdr:row>
      <xdr:rowOff>0</xdr:rowOff>
    </xdr:from>
    <xdr:to>
      <xdr:col>127</xdr:col>
      <xdr:colOff>76200</xdr:colOff>
      <xdr:row>20</xdr:row>
      <xdr:rowOff>9525</xdr:rowOff>
    </xdr:to>
    <xdr:sp macro="" textlink="">
      <xdr:nvSpPr>
        <xdr:cNvPr id="1070531" name="Line 473">
          <a:extLst>
            <a:ext uri="{FF2B5EF4-FFF2-40B4-BE49-F238E27FC236}">
              <a16:creationId xmlns:a16="http://schemas.microsoft.com/office/drawing/2014/main" id="{00000000-0008-0000-0D00-0000C3551000}"/>
            </a:ext>
          </a:extLst>
        </xdr:cNvPr>
        <xdr:cNvSpPr>
          <a:spLocks noChangeShapeType="1"/>
        </xdr:cNvSpPr>
      </xdr:nvSpPr>
      <xdr:spPr bwMode="auto">
        <a:xfrm>
          <a:off x="888015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66675</xdr:colOff>
      <xdr:row>20</xdr:row>
      <xdr:rowOff>9525</xdr:rowOff>
    </xdr:from>
    <xdr:to>
      <xdr:col>127</xdr:col>
      <xdr:colOff>66675</xdr:colOff>
      <xdr:row>23</xdr:row>
      <xdr:rowOff>19050</xdr:rowOff>
    </xdr:to>
    <xdr:sp macro="" textlink="">
      <xdr:nvSpPr>
        <xdr:cNvPr id="1070532" name="Line 474">
          <a:extLst>
            <a:ext uri="{FF2B5EF4-FFF2-40B4-BE49-F238E27FC236}">
              <a16:creationId xmlns:a16="http://schemas.microsoft.com/office/drawing/2014/main" id="{00000000-0008-0000-0D00-0000C4551000}"/>
            </a:ext>
          </a:extLst>
        </xdr:cNvPr>
        <xdr:cNvSpPr>
          <a:spLocks noChangeShapeType="1"/>
        </xdr:cNvSpPr>
      </xdr:nvSpPr>
      <xdr:spPr bwMode="auto">
        <a:xfrm>
          <a:off x="8886825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0</xdr:colOff>
      <xdr:row>20</xdr:row>
      <xdr:rowOff>0</xdr:rowOff>
    </xdr:from>
    <xdr:to>
      <xdr:col>127</xdr:col>
      <xdr:colOff>76200</xdr:colOff>
      <xdr:row>20</xdr:row>
      <xdr:rowOff>9525</xdr:rowOff>
    </xdr:to>
    <xdr:sp macro="" textlink="">
      <xdr:nvSpPr>
        <xdr:cNvPr id="1070533" name="Line 475">
          <a:extLst>
            <a:ext uri="{FF2B5EF4-FFF2-40B4-BE49-F238E27FC236}">
              <a16:creationId xmlns:a16="http://schemas.microsoft.com/office/drawing/2014/main" id="{00000000-0008-0000-0D00-0000C5551000}"/>
            </a:ext>
          </a:extLst>
        </xdr:cNvPr>
        <xdr:cNvSpPr>
          <a:spLocks noChangeShapeType="1"/>
        </xdr:cNvSpPr>
      </xdr:nvSpPr>
      <xdr:spPr bwMode="auto">
        <a:xfrm>
          <a:off x="888015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66675</xdr:colOff>
      <xdr:row>20</xdr:row>
      <xdr:rowOff>9525</xdr:rowOff>
    </xdr:from>
    <xdr:to>
      <xdr:col>127</xdr:col>
      <xdr:colOff>66675</xdr:colOff>
      <xdr:row>23</xdr:row>
      <xdr:rowOff>19050</xdr:rowOff>
    </xdr:to>
    <xdr:sp macro="" textlink="">
      <xdr:nvSpPr>
        <xdr:cNvPr id="1070534" name="Line 476">
          <a:extLst>
            <a:ext uri="{FF2B5EF4-FFF2-40B4-BE49-F238E27FC236}">
              <a16:creationId xmlns:a16="http://schemas.microsoft.com/office/drawing/2014/main" id="{00000000-0008-0000-0D00-0000C6551000}"/>
            </a:ext>
          </a:extLst>
        </xdr:cNvPr>
        <xdr:cNvSpPr>
          <a:spLocks noChangeShapeType="1"/>
        </xdr:cNvSpPr>
      </xdr:nvSpPr>
      <xdr:spPr bwMode="auto">
        <a:xfrm>
          <a:off x="8886825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76200</xdr:colOff>
      <xdr:row>23</xdr:row>
      <xdr:rowOff>19050</xdr:rowOff>
    </xdr:from>
    <xdr:to>
      <xdr:col>128</xdr:col>
      <xdr:colOff>9525</xdr:colOff>
      <xdr:row>26</xdr:row>
      <xdr:rowOff>9525</xdr:rowOff>
    </xdr:to>
    <xdr:sp macro="" textlink="">
      <xdr:nvSpPr>
        <xdr:cNvPr id="1070535" name="Line 477">
          <a:extLst>
            <a:ext uri="{FF2B5EF4-FFF2-40B4-BE49-F238E27FC236}">
              <a16:creationId xmlns:a16="http://schemas.microsoft.com/office/drawing/2014/main" id="{00000000-0008-0000-0D00-0000C7551000}"/>
            </a:ext>
          </a:extLst>
        </xdr:cNvPr>
        <xdr:cNvSpPr>
          <a:spLocks noChangeShapeType="1"/>
        </xdr:cNvSpPr>
      </xdr:nvSpPr>
      <xdr:spPr bwMode="auto">
        <a:xfrm>
          <a:off x="88877775" y="4781550"/>
          <a:ext cx="342900" cy="5334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127</xdr:col>
      <xdr:colOff>0</xdr:colOff>
      <xdr:row>20</xdr:row>
      <xdr:rowOff>0</xdr:rowOff>
    </xdr:from>
    <xdr:to>
      <xdr:col>127</xdr:col>
      <xdr:colOff>76200</xdr:colOff>
      <xdr:row>20</xdr:row>
      <xdr:rowOff>9525</xdr:rowOff>
    </xdr:to>
    <xdr:sp macro="" textlink="">
      <xdr:nvSpPr>
        <xdr:cNvPr id="1070536" name="Line 478">
          <a:extLst>
            <a:ext uri="{FF2B5EF4-FFF2-40B4-BE49-F238E27FC236}">
              <a16:creationId xmlns:a16="http://schemas.microsoft.com/office/drawing/2014/main" id="{00000000-0008-0000-0D00-0000C8551000}"/>
            </a:ext>
          </a:extLst>
        </xdr:cNvPr>
        <xdr:cNvSpPr>
          <a:spLocks noChangeShapeType="1"/>
        </xdr:cNvSpPr>
      </xdr:nvSpPr>
      <xdr:spPr bwMode="auto">
        <a:xfrm>
          <a:off x="888015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66675</xdr:colOff>
      <xdr:row>20</xdr:row>
      <xdr:rowOff>9525</xdr:rowOff>
    </xdr:from>
    <xdr:to>
      <xdr:col>127</xdr:col>
      <xdr:colOff>66675</xdr:colOff>
      <xdr:row>25</xdr:row>
      <xdr:rowOff>152400</xdr:rowOff>
    </xdr:to>
    <xdr:sp macro="" textlink="">
      <xdr:nvSpPr>
        <xdr:cNvPr id="1070537" name="Line 479">
          <a:extLst>
            <a:ext uri="{FF2B5EF4-FFF2-40B4-BE49-F238E27FC236}">
              <a16:creationId xmlns:a16="http://schemas.microsoft.com/office/drawing/2014/main" id="{00000000-0008-0000-0D00-0000C9551000}"/>
            </a:ext>
          </a:extLst>
        </xdr:cNvPr>
        <xdr:cNvSpPr>
          <a:spLocks noChangeShapeType="1"/>
        </xdr:cNvSpPr>
      </xdr:nvSpPr>
      <xdr:spPr bwMode="auto">
        <a:xfrm>
          <a:off x="88868250" y="4229100"/>
          <a:ext cx="0" cy="1047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127</xdr:col>
      <xdr:colOff>66675</xdr:colOff>
      <xdr:row>19</xdr:row>
      <xdr:rowOff>161925</xdr:rowOff>
    </xdr:from>
    <xdr:to>
      <xdr:col>128</xdr:col>
      <xdr:colOff>0</xdr:colOff>
      <xdr:row>23</xdr:row>
      <xdr:rowOff>0</xdr:rowOff>
    </xdr:to>
    <xdr:sp macro="" textlink="">
      <xdr:nvSpPr>
        <xdr:cNvPr id="1070538" name="Line 480">
          <a:extLst>
            <a:ext uri="{FF2B5EF4-FFF2-40B4-BE49-F238E27FC236}">
              <a16:creationId xmlns:a16="http://schemas.microsoft.com/office/drawing/2014/main" id="{00000000-0008-0000-0D00-0000CA551000}"/>
            </a:ext>
          </a:extLst>
        </xdr:cNvPr>
        <xdr:cNvSpPr>
          <a:spLocks noChangeShapeType="1"/>
        </xdr:cNvSpPr>
      </xdr:nvSpPr>
      <xdr:spPr bwMode="auto">
        <a:xfrm flipV="1">
          <a:off x="88868250" y="4200525"/>
          <a:ext cx="342900" cy="5619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127</xdr:col>
      <xdr:colOff>66675</xdr:colOff>
      <xdr:row>23</xdr:row>
      <xdr:rowOff>9525</xdr:rowOff>
    </xdr:from>
    <xdr:to>
      <xdr:col>128</xdr:col>
      <xdr:colOff>0</xdr:colOff>
      <xdr:row>23</xdr:row>
      <xdr:rowOff>9525</xdr:rowOff>
    </xdr:to>
    <xdr:sp macro="" textlink="">
      <xdr:nvSpPr>
        <xdr:cNvPr id="1070539" name="Line 481">
          <a:extLst>
            <a:ext uri="{FF2B5EF4-FFF2-40B4-BE49-F238E27FC236}">
              <a16:creationId xmlns:a16="http://schemas.microsoft.com/office/drawing/2014/main" id="{00000000-0008-0000-0D00-0000CB551000}"/>
            </a:ext>
          </a:extLst>
        </xdr:cNvPr>
        <xdr:cNvSpPr>
          <a:spLocks noChangeShapeType="1"/>
        </xdr:cNvSpPr>
      </xdr:nvSpPr>
      <xdr:spPr bwMode="auto">
        <a:xfrm>
          <a:off x="88868250" y="4772025"/>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127</xdr:col>
      <xdr:colOff>9525</xdr:colOff>
      <xdr:row>25</xdr:row>
      <xdr:rowOff>171450</xdr:rowOff>
    </xdr:from>
    <xdr:to>
      <xdr:col>127</xdr:col>
      <xdr:colOff>66675</xdr:colOff>
      <xdr:row>26</xdr:row>
      <xdr:rowOff>0</xdr:rowOff>
    </xdr:to>
    <xdr:sp macro="" textlink="">
      <xdr:nvSpPr>
        <xdr:cNvPr id="1070540" name="Line 482">
          <a:extLst>
            <a:ext uri="{FF2B5EF4-FFF2-40B4-BE49-F238E27FC236}">
              <a16:creationId xmlns:a16="http://schemas.microsoft.com/office/drawing/2014/main" id="{00000000-0008-0000-0D00-0000CC551000}"/>
            </a:ext>
          </a:extLst>
        </xdr:cNvPr>
        <xdr:cNvSpPr>
          <a:spLocks noChangeShapeType="1"/>
        </xdr:cNvSpPr>
      </xdr:nvSpPr>
      <xdr:spPr bwMode="auto">
        <a:xfrm flipV="1">
          <a:off x="88811100" y="529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137</xdr:col>
      <xdr:colOff>0</xdr:colOff>
      <xdr:row>8</xdr:row>
      <xdr:rowOff>0</xdr:rowOff>
    </xdr:from>
    <xdr:to>
      <xdr:col>137</xdr:col>
      <xdr:colOff>76200</xdr:colOff>
      <xdr:row>8</xdr:row>
      <xdr:rowOff>9525</xdr:rowOff>
    </xdr:to>
    <xdr:sp macro="" textlink="">
      <xdr:nvSpPr>
        <xdr:cNvPr id="1070541" name="Line 1">
          <a:extLst>
            <a:ext uri="{FF2B5EF4-FFF2-40B4-BE49-F238E27FC236}">
              <a16:creationId xmlns:a16="http://schemas.microsoft.com/office/drawing/2014/main" id="{00000000-0008-0000-0D00-0000CD551000}"/>
            </a:ext>
          </a:extLst>
        </xdr:cNvPr>
        <xdr:cNvSpPr>
          <a:spLocks noChangeShapeType="1"/>
        </xdr:cNvSpPr>
      </xdr:nvSpPr>
      <xdr:spPr bwMode="auto">
        <a:xfrm>
          <a:off x="959739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137</xdr:col>
      <xdr:colOff>66675</xdr:colOff>
      <xdr:row>8</xdr:row>
      <xdr:rowOff>9525</xdr:rowOff>
    </xdr:from>
    <xdr:to>
      <xdr:col>137</xdr:col>
      <xdr:colOff>66675</xdr:colOff>
      <xdr:row>11</xdr:row>
      <xdr:rowOff>19050</xdr:rowOff>
    </xdr:to>
    <xdr:sp macro="" textlink="">
      <xdr:nvSpPr>
        <xdr:cNvPr id="1070542" name="Line 2">
          <a:extLst>
            <a:ext uri="{FF2B5EF4-FFF2-40B4-BE49-F238E27FC236}">
              <a16:creationId xmlns:a16="http://schemas.microsoft.com/office/drawing/2014/main" id="{00000000-0008-0000-0D00-0000CE551000}"/>
            </a:ext>
          </a:extLst>
        </xdr:cNvPr>
        <xdr:cNvSpPr>
          <a:spLocks noChangeShapeType="1"/>
        </xdr:cNvSpPr>
      </xdr:nvSpPr>
      <xdr:spPr bwMode="auto">
        <a:xfrm>
          <a:off x="960405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137</xdr:col>
      <xdr:colOff>9525</xdr:colOff>
      <xdr:row>11</xdr:row>
      <xdr:rowOff>0</xdr:rowOff>
    </xdr:from>
    <xdr:to>
      <xdr:col>137</xdr:col>
      <xdr:colOff>66675</xdr:colOff>
      <xdr:row>11</xdr:row>
      <xdr:rowOff>9525</xdr:rowOff>
    </xdr:to>
    <xdr:sp macro="" textlink="">
      <xdr:nvSpPr>
        <xdr:cNvPr id="1070543" name="Line 3">
          <a:extLst>
            <a:ext uri="{FF2B5EF4-FFF2-40B4-BE49-F238E27FC236}">
              <a16:creationId xmlns:a16="http://schemas.microsoft.com/office/drawing/2014/main" id="{00000000-0008-0000-0D00-0000CF551000}"/>
            </a:ext>
          </a:extLst>
        </xdr:cNvPr>
        <xdr:cNvSpPr>
          <a:spLocks noChangeShapeType="1"/>
        </xdr:cNvSpPr>
      </xdr:nvSpPr>
      <xdr:spPr bwMode="auto">
        <a:xfrm flipV="1">
          <a:off x="959834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134</xdr:col>
      <xdr:colOff>0</xdr:colOff>
      <xdr:row>8</xdr:row>
      <xdr:rowOff>0</xdr:rowOff>
    </xdr:from>
    <xdr:to>
      <xdr:col>134</xdr:col>
      <xdr:colOff>76200</xdr:colOff>
      <xdr:row>8</xdr:row>
      <xdr:rowOff>9525</xdr:rowOff>
    </xdr:to>
    <xdr:sp macro="" textlink="">
      <xdr:nvSpPr>
        <xdr:cNvPr id="1070544" name="Line 4">
          <a:extLst>
            <a:ext uri="{FF2B5EF4-FFF2-40B4-BE49-F238E27FC236}">
              <a16:creationId xmlns:a16="http://schemas.microsoft.com/office/drawing/2014/main" id="{00000000-0008-0000-0D00-0000D0551000}"/>
            </a:ext>
          </a:extLst>
        </xdr:cNvPr>
        <xdr:cNvSpPr>
          <a:spLocks noChangeShapeType="1"/>
        </xdr:cNvSpPr>
      </xdr:nvSpPr>
      <xdr:spPr bwMode="auto">
        <a:xfrm>
          <a:off x="9381172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134</xdr:col>
      <xdr:colOff>66675</xdr:colOff>
      <xdr:row>8</xdr:row>
      <xdr:rowOff>9525</xdr:rowOff>
    </xdr:from>
    <xdr:to>
      <xdr:col>134</xdr:col>
      <xdr:colOff>66675</xdr:colOff>
      <xdr:row>11</xdr:row>
      <xdr:rowOff>19050</xdr:rowOff>
    </xdr:to>
    <xdr:sp macro="" textlink="">
      <xdr:nvSpPr>
        <xdr:cNvPr id="1070545" name="Line 5">
          <a:extLst>
            <a:ext uri="{FF2B5EF4-FFF2-40B4-BE49-F238E27FC236}">
              <a16:creationId xmlns:a16="http://schemas.microsoft.com/office/drawing/2014/main" id="{00000000-0008-0000-0D00-0000D1551000}"/>
            </a:ext>
          </a:extLst>
        </xdr:cNvPr>
        <xdr:cNvSpPr>
          <a:spLocks noChangeShapeType="1"/>
        </xdr:cNvSpPr>
      </xdr:nvSpPr>
      <xdr:spPr bwMode="auto">
        <a:xfrm>
          <a:off x="9387840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134</xdr:col>
      <xdr:colOff>9525</xdr:colOff>
      <xdr:row>11</xdr:row>
      <xdr:rowOff>0</xdr:rowOff>
    </xdr:from>
    <xdr:to>
      <xdr:col>134</xdr:col>
      <xdr:colOff>66675</xdr:colOff>
      <xdr:row>11</xdr:row>
      <xdr:rowOff>9525</xdr:rowOff>
    </xdr:to>
    <xdr:sp macro="" textlink="">
      <xdr:nvSpPr>
        <xdr:cNvPr id="1070546" name="Line 6">
          <a:extLst>
            <a:ext uri="{FF2B5EF4-FFF2-40B4-BE49-F238E27FC236}">
              <a16:creationId xmlns:a16="http://schemas.microsoft.com/office/drawing/2014/main" id="{00000000-0008-0000-0D00-0000D2551000}"/>
            </a:ext>
          </a:extLst>
        </xdr:cNvPr>
        <xdr:cNvSpPr>
          <a:spLocks noChangeShapeType="1"/>
        </xdr:cNvSpPr>
      </xdr:nvSpPr>
      <xdr:spPr bwMode="auto">
        <a:xfrm flipV="1">
          <a:off x="9382125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140</xdr:col>
      <xdr:colOff>0</xdr:colOff>
      <xdr:row>8</xdr:row>
      <xdr:rowOff>0</xdr:rowOff>
    </xdr:from>
    <xdr:to>
      <xdr:col>140</xdr:col>
      <xdr:colOff>76200</xdr:colOff>
      <xdr:row>8</xdr:row>
      <xdr:rowOff>9525</xdr:rowOff>
    </xdr:to>
    <xdr:sp macro="" textlink="">
      <xdr:nvSpPr>
        <xdr:cNvPr id="1070547" name="Line 16">
          <a:extLst>
            <a:ext uri="{FF2B5EF4-FFF2-40B4-BE49-F238E27FC236}">
              <a16:creationId xmlns:a16="http://schemas.microsoft.com/office/drawing/2014/main" id="{00000000-0008-0000-0D00-0000D3551000}"/>
            </a:ext>
          </a:extLst>
        </xdr:cNvPr>
        <xdr:cNvSpPr>
          <a:spLocks noChangeShapeType="1"/>
        </xdr:cNvSpPr>
      </xdr:nvSpPr>
      <xdr:spPr bwMode="auto">
        <a:xfrm>
          <a:off x="980694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140</xdr:col>
      <xdr:colOff>66675</xdr:colOff>
      <xdr:row>8</xdr:row>
      <xdr:rowOff>9525</xdr:rowOff>
    </xdr:from>
    <xdr:to>
      <xdr:col>140</xdr:col>
      <xdr:colOff>66675</xdr:colOff>
      <xdr:row>11</xdr:row>
      <xdr:rowOff>19050</xdr:rowOff>
    </xdr:to>
    <xdr:sp macro="" textlink="">
      <xdr:nvSpPr>
        <xdr:cNvPr id="1070548" name="Line 17">
          <a:extLst>
            <a:ext uri="{FF2B5EF4-FFF2-40B4-BE49-F238E27FC236}">
              <a16:creationId xmlns:a16="http://schemas.microsoft.com/office/drawing/2014/main" id="{00000000-0008-0000-0D00-0000D4551000}"/>
            </a:ext>
          </a:extLst>
        </xdr:cNvPr>
        <xdr:cNvSpPr>
          <a:spLocks noChangeShapeType="1"/>
        </xdr:cNvSpPr>
      </xdr:nvSpPr>
      <xdr:spPr bwMode="auto">
        <a:xfrm>
          <a:off x="981360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140</xdr:col>
      <xdr:colOff>9525</xdr:colOff>
      <xdr:row>11</xdr:row>
      <xdr:rowOff>0</xdr:rowOff>
    </xdr:from>
    <xdr:to>
      <xdr:col>140</xdr:col>
      <xdr:colOff>66675</xdr:colOff>
      <xdr:row>11</xdr:row>
      <xdr:rowOff>9525</xdr:rowOff>
    </xdr:to>
    <xdr:sp macro="" textlink="">
      <xdr:nvSpPr>
        <xdr:cNvPr id="1070549" name="Line 18">
          <a:extLst>
            <a:ext uri="{FF2B5EF4-FFF2-40B4-BE49-F238E27FC236}">
              <a16:creationId xmlns:a16="http://schemas.microsoft.com/office/drawing/2014/main" id="{00000000-0008-0000-0D00-0000D5551000}"/>
            </a:ext>
          </a:extLst>
        </xdr:cNvPr>
        <xdr:cNvSpPr>
          <a:spLocks noChangeShapeType="1"/>
        </xdr:cNvSpPr>
      </xdr:nvSpPr>
      <xdr:spPr bwMode="auto">
        <a:xfrm flipV="1">
          <a:off x="980789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137</xdr:col>
      <xdr:colOff>66675</xdr:colOff>
      <xdr:row>8</xdr:row>
      <xdr:rowOff>9525</xdr:rowOff>
    </xdr:from>
    <xdr:to>
      <xdr:col>138</xdr:col>
      <xdr:colOff>0</xdr:colOff>
      <xdr:row>9</xdr:row>
      <xdr:rowOff>66675</xdr:rowOff>
    </xdr:to>
    <xdr:sp macro="" textlink="">
      <xdr:nvSpPr>
        <xdr:cNvPr id="1070550" name="Line 64">
          <a:extLst>
            <a:ext uri="{FF2B5EF4-FFF2-40B4-BE49-F238E27FC236}">
              <a16:creationId xmlns:a16="http://schemas.microsoft.com/office/drawing/2014/main" id="{00000000-0008-0000-0D00-0000D6551000}"/>
            </a:ext>
          </a:extLst>
        </xdr:cNvPr>
        <xdr:cNvSpPr>
          <a:spLocks noChangeShapeType="1"/>
        </xdr:cNvSpPr>
      </xdr:nvSpPr>
      <xdr:spPr bwMode="auto">
        <a:xfrm flipV="1">
          <a:off x="96040575" y="2057400"/>
          <a:ext cx="342900" cy="2381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137</xdr:col>
      <xdr:colOff>66675</xdr:colOff>
      <xdr:row>9</xdr:row>
      <xdr:rowOff>76200</xdr:rowOff>
    </xdr:from>
    <xdr:to>
      <xdr:col>138</xdr:col>
      <xdr:colOff>0</xdr:colOff>
      <xdr:row>13</xdr:row>
      <xdr:rowOff>0</xdr:rowOff>
    </xdr:to>
    <xdr:sp macro="" textlink="">
      <xdr:nvSpPr>
        <xdr:cNvPr id="1070551" name="Line 66">
          <a:extLst>
            <a:ext uri="{FF2B5EF4-FFF2-40B4-BE49-F238E27FC236}">
              <a16:creationId xmlns:a16="http://schemas.microsoft.com/office/drawing/2014/main" id="{00000000-0008-0000-0D00-0000D7551000}"/>
            </a:ext>
          </a:extLst>
        </xdr:cNvPr>
        <xdr:cNvSpPr>
          <a:spLocks noChangeShapeType="1"/>
        </xdr:cNvSpPr>
      </xdr:nvSpPr>
      <xdr:spPr bwMode="auto">
        <a:xfrm>
          <a:off x="96040575" y="2305050"/>
          <a:ext cx="342900" cy="6477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140</xdr:col>
      <xdr:colOff>0</xdr:colOff>
      <xdr:row>8</xdr:row>
      <xdr:rowOff>0</xdr:rowOff>
    </xdr:from>
    <xdr:to>
      <xdr:col>140</xdr:col>
      <xdr:colOff>76200</xdr:colOff>
      <xdr:row>8</xdr:row>
      <xdr:rowOff>9525</xdr:rowOff>
    </xdr:to>
    <xdr:sp macro="" textlink="">
      <xdr:nvSpPr>
        <xdr:cNvPr id="1070552" name="Line 99">
          <a:extLst>
            <a:ext uri="{FF2B5EF4-FFF2-40B4-BE49-F238E27FC236}">
              <a16:creationId xmlns:a16="http://schemas.microsoft.com/office/drawing/2014/main" id="{00000000-0008-0000-0D00-0000D8551000}"/>
            </a:ext>
          </a:extLst>
        </xdr:cNvPr>
        <xdr:cNvSpPr>
          <a:spLocks noChangeShapeType="1"/>
        </xdr:cNvSpPr>
      </xdr:nvSpPr>
      <xdr:spPr bwMode="auto">
        <a:xfrm>
          <a:off x="980694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140</xdr:col>
      <xdr:colOff>66675</xdr:colOff>
      <xdr:row>8</xdr:row>
      <xdr:rowOff>9525</xdr:rowOff>
    </xdr:from>
    <xdr:to>
      <xdr:col>140</xdr:col>
      <xdr:colOff>66675</xdr:colOff>
      <xdr:row>11</xdr:row>
      <xdr:rowOff>19050</xdr:rowOff>
    </xdr:to>
    <xdr:sp macro="" textlink="">
      <xdr:nvSpPr>
        <xdr:cNvPr id="1070553" name="Line 100">
          <a:extLst>
            <a:ext uri="{FF2B5EF4-FFF2-40B4-BE49-F238E27FC236}">
              <a16:creationId xmlns:a16="http://schemas.microsoft.com/office/drawing/2014/main" id="{00000000-0008-0000-0D00-0000D9551000}"/>
            </a:ext>
          </a:extLst>
        </xdr:cNvPr>
        <xdr:cNvSpPr>
          <a:spLocks noChangeShapeType="1"/>
        </xdr:cNvSpPr>
      </xdr:nvSpPr>
      <xdr:spPr bwMode="auto">
        <a:xfrm>
          <a:off x="981360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140</xdr:col>
      <xdr:colOff>9525</xdr:colOff>
      <xdr:row>11</xdr:row>
      <xdr:rowOff>0</xdr:rowOff>
    </xdr:from>
    <xdr:to>
      <xdr:col>140</xdr:col>
      <xdr:colOff>66675</xdr:colOff>
      <xdr:row>11</xdr:row>
      <xdr:rowOff>9525</xdr:rowOff>
    </xdr:to>
    <xdr:sp macro="" textlink="">
      <xdr:nvSpPr>
        <xdr:cNvPr id="1070554" name="Line 101">
          <a:extLst>
            <a:ext uri="{FF2B5EF4-FFF2-40B4-BE49-F238E27FC236}">
              <a16:creationId xmlns:a16="http://schemas.microsoft.com/office/drawing/2014/main" id="{00000000-0008-0000-0D00-0000DA551000}"/>
            </a:ext>
          </a:extLst>
        </xdr:cNvPr>
        <xdr:cNvSpPr>
          <a:spLocks noChangeShapeType="1"/>
        </xdr:cNvSpPr>
      </xdr:nvSpPr>
      <xdr:spPr bwMode="auto">
        <a:xfrm flipV="1">
          <a:off x="980789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140</xdr:col>
      <xdr:colOff>0</xdr:colOff>
      <xdr:row>8</xdr:row>
      <xdr:rowOff>0</xdr:rowOff>
    </xdr:from>
    <xdr:to>
      <xdr:col>140</xdr:col>
      <xdr:colOff>76200</xdr:colOff>
      <xdr:row>8</xdr:row>
      <xdr:rowOff>9525</xdr:rowOff>
    </xdr:to>
    <xdr:sp macro="" textlink="">
      <xdr:nvSpPr>
        <xdr:cNvPr id="1070555" name="Line 110">
          <a:extLst>
            <a:ext uri="{FF2B5EF4-FFF2-40B4-BE49-F238E27FC236}">
              <a16:creationId xmlns:a16="http://schemas.microsoft.com/office/drawing/2014/main" id="{00000000-0008-0000-0D00-0000DB551000}"/>
            </a:ext>
          </a:extLst>
        </xdr:cNvPr>
        <xdr:cNvSpPr>
          <a:spLocks noChangeShapeType="1"/>
        </xdr:cNvSpPr>
      </xdr:nvSpPr>
      <xdr:spPr bwMode="auto">
        <a:xfrm>
          <a:off x="980694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140</xdr:col>
      <xdr:colOff>66675</xdr:colOff>
      <xdr:row>8</xdr:row>
      <xdr:rowOff>9525</xdr:rowOff>
    </xdr:from>
    <xdr:to>
      <xdr:col>140</xdr:col>
      <xdr:colOff>66675</xdr:colOff>
      <xdr:row>11</xdr:row>
      <xdr:rowOff>19050</xdr:rowOff>
    </xdr:to>
    <xdr:sp macro="" textlink="">
      <xdr:nvSpPr>
        <xdr:cNvPr id="1070556" name="Line 111">
          <a:extLst>
            <a:ext uri="{FF2B5EF4-FFF2-40B4-BE49-F238E27FC236}">
              <a16:creationId xmlns:a16="http://schemas.microsoft.com/office/drawing/2014/main" id="{00000000-0008-0000-0D00-0000DC551000}"/>
            </a:ext>
          </a:extLst>
        </xdr:cNvPr>
        <xdr:cNvSpPr>
          <a:spLocks noChangeShapeType="1"/>
        </xdr:cNvSpPr>
      </xdr:nvSpPr>
      <xdr:spPr bwMode="auto">
        <a:xfrm>
          <a:off x="981360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140</xdr:col>
      <xdr:colOff>9525</xdr:colOff>
      <xdr:row>11</xdr:row>
      <xdr:rowOff>0</xdr:rowOff>
    </xdr:from>
    <xdr:to>
      <xdr:col>140</xdr:col>
      <xdr:colOff>66675</xdr:colOff>
      <xdr:row>11</xdr:row>
      <xdr:rowOff>9525</xdr:rowOff>
    </xdr:to>
    <xdr:sp macro="" textlink="">
      <xdr:nvSpPr>
        <xdr:cNvPr id="1070557" name="Line 112">
          <a:extLst>
            <a:ext uri="{FF2B5EF4-FFF2-40B4-BE49-F238E27FC236}">
              <a16:creationId xmlns:a16="http://schemas.microsoft.com/office/drawing/2014/main" id="{00000000-0008-0000-0D00-0000DD551000}"/>
            </a:ext>
          </a:extLst>
        </xdr:cNvPr>
        <xdr:cNvSpPr>
          <a:spLocks noChangeShapeType="1"/>
        </xdr:cNvSpPr>
      </xdr:nvSpPr>
      <xdr:spPr bwMode="auto">
        <a:xfrm flipV="1">
          <a:off x="980789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140</xdr:col>
      <xdr:colOff>0</xdr:colOff>
      <xdr:row>8</xdr:row>
      <xdr:rowOff>0</xdr:rowOff>
    </xdr:from>
    <xdr:to>
      <xdr:col>140</xdr:col>
      <xdr:colOff>76200</xdr:colOff>
      <xdr:row>8</xdr:row>
      <xdr:rowOff>9525</xdr:rowOff>
    </xdr:to>
    <xdr:sp macro="" textlink="">
      <xdr:nvSpPr>
        <xdr:cNvPr id="1070558" name="Line 113">
          <a:extLst>
            <a:ext uri="{FF2B5EF4-FFF2-40B4-BE49-F238E27FC236}">
              <a16:creationId xmlns:a16="http://schemas.microsoft.com/office/drawing/2014/main" id="{00000000-0008-0000-0D00-0000DE551000}"/>
            </a:ext>
          </a:extLst>
        </xdr:cNvPr>
        <xdr:cNvSpPr>
          <a:spLocks noChangeShapeType="1"/>
        </xdr:cNvSpPr>
      </xdr:nvSpPr>
      <xdr:spPr bwMode="auto">
        <a:xfrm>
          <a:off x="980694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140</xdr:col>
      <xdr:colOff>66675</xdr:colOff>
      <xdr:row>8</xdr:row>
      <xdr:rowOff>9525</xdr:rowOff>
    </xdr:from>
    <xdr:to>
      <xdr:col>140</xdr:col>
      <xdr:colOff>66675</xdr:colOff>
      <xdr:row>11</xdr:row>
      <xdr:rowOff>19050</xdr:rowOff>
    </xdr:to>
    <xdr:sp macro="" textlink="">
      <xdr:nvSpPr>
        <xdr:cNvPr id="1070559" name="Line 114">
          <a:extLst>
            <a:ext uri="{FF2B5EF4-FFF2-40B4-BE49-F238E27FC236}">
              <a16:creationId xmlns:a16="http://schemas.microsoft.com/office/drawing/2014/main" id="{00000000-0008-0000-0D00-0000DF551000}"/>
            </a:ext>
          </a:extLst>
        </xdr:cNvPr>
        <xdr:cNvSpPr>
          <a:spLocks noChangeShapeType="1"/>
        </xdr:cNvSpPr>
      </xdr:nvSpPr>
      <xdr:spPr bwMode="auto">
        <a:xfrm>
          <a:off x="981360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140</xdr:col>
      <xdr:colOff>9525</xdr:colOff>
      <xdr:row>11</xdr:row>
      <xdr:rowOff>0</xdr:rowOff>
    </xdr:from>
    <xdr:to>
      <xdr:col>140</xdr:col>
      <xdr:colOff>66675</xdr:colOff>
      <xdr:row>11</xdr:row>
      <xdr:rowOff>9525</xdr:rowOff>
    </xdr:to>
    <xdr:sp macro="" textlink="">
      <xdr:nvSpPr>
        <xdr:cNvPr id="1070560" name="Line 115">
          <a:extLst>
            <a:ext uri="{FF2B5EF4-FFF2-40B4-BE49-F238E27FC236}">
              <a16:creationId xmlns:a16="http://schemas.microsoft.com/office/drawing/2014/main" id="{00000000-0008-0000-0D00-0000E0551000}"/>
            </a:ext>
          </a:extLst>
        </xdr:cNvPr>
        <xdr:cNvSpPr>
          <a:spLocks noChangeShapeType="1"/>
        </xdr:cNvSpPr>
      </xdr:nvSpPr>
      <xdr:spPr bwMode="auto">
        <a:xfrm flipV="1">
          <a:off x="980789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140</xdr:col>
      <xdr:colOff>76200</xdr:colOff>
      <xdr:row>8</xdr:row>
      <xdr:rowOff>0</xdr:rowOff>
    </xdr:from>
    <xdr:to>
      <xdr:col>140</xdr:col>
      <xdr:colOff>400050</xdr:colOff>
      <xdr:row>9</xdr:row>
      <xdr:rowOff>57150</xdr:rowOff>
    </xdr:to>
    <xdr:sp macro="" textlink="">
      <xdr:nvSpPr>
        <xdr:cNvPr id="1070561" name="Line 116">
          <a:extLst>
            <a:ext uri="{FF2B5EF4-FFF2-40B4-BE49-F238E27FC236}">
              <a16:creationId xmlns:a16="http://schemas.microsoft.com/office/drawing/2014/main" id="{00000000-0008-0000-0D00-0000E1551000}"/>
            </a:ext>
          </a:extLst>
        </xdr:cNvPr>
        <xdr:cNvSpPr>
          <a:spLocks noChangeShapeType="1"/>
        </xdr:cNvSpPr>
      </xdr:nvSpPr>
      <xdr:spPr bwMode="auto">
        <a:xfrm flipV="1">
          <a:off x="98145600" y="2047875"/>
          <a:ext cx="3238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140</xdr:col>
      <xdr:colOff>76200</xdr:colOff>
      <xdr:row>9</xdr:row>
      <xdr:rowOff>66675</xdr:rowOff>
    </xdr:from>
    <xdr:to>
      <xdr:col>141</xdr:col>
      <xdr:colOff>0</xdr:colOff>
      <xdr:row>11</xdr:row>
      <xdr:rowOff>19050</xdr:rowOff>
    </xdr:to>
    <xdr:sp macro="" textlink="">
      <xdr:nvSpPr>
        <xdr:cNvPr id="1070562" name="Line 117">
          <a:extLst>
            <a:ext uri="{FF2B5EF4-FFF2-40B4-BE49-F238E27FC236}">
              <a16:creationId xmlns:a16="http://schemas.microsoft.com/office/drawing/2014/main" id="{00000000-0008-0000-0D00-0000E2551000}"/>
            </a:ext>
          </a:extLst>
        </xdr:cNvPr>
        <xdr:cNvSpPr>
          <a:spLocks noChangeShapeType="1"/>
        </xdr:cNvSpPr>
      </xdr:nvSpPr>
      <xdr:spPr bwMode="auto">
        <a:xfrm>
          <a:off x="98145600" y="2295525"/>
          <a:ext cx="333375"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134</xdr:col>
      <xdr:colOff>66675</xdr:colOff>
      <xdr:row>7</xdr:row>
      <xdr:rowOff>133350</xdr:rowOff>
    </xdr:from>
    <xdr:to>
      <xdr:col>135</xdr:col>
      <xdr:colOff>0</xdr:colOff>
      <xdr:row>9</xdr:row>
      <xdr:rowOff>66675</xdr:rowOff>
    </xdr:to>
    <xdr:sp macro="" textlink="">
      <xdr:nvSpPr>
        <xdr:cNvPr id="1070563" name="Line 146">
          <a:extLst>
            <a:ext uri="{FF2B5EF4-FFF2-40B4-BE49-F238E27FC236}">
              <a16:creationId xmlns:a16="http://schemas.microsoft.com/office/drawing/2014/main" id="{00000000-0008-0000-0D00-0000E3551000}"/>
            </a:ext>
          </a:extLst>
        </xdr:cNvPr>
        <xdr:cNvSpPr>
          <a:spLocks noChangeShapeType="1"/>
        </xdr:cNvSpPr>
      </xdr:nvSpPr>
      <xdr:spPr bwMode="auto">
        <a:xfrm flipV="1">
          <a:off x="93878400" y="2000250"/>
          <a:ext cx="38100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134</xdr:col>
      <xdr:colOff>66675</xdr:colOff>
      <xdr:row>9</xdr:row>
      <xdr:rowOff>66675</xdr:rowOff>
    </xdr:from>
    <xdr:to>
      <xdr:col>135</xdr:col>
      <xdr:colOff>19050</xdr:colOff>
      <xdr:row>13</xdr:row>
      <xdr:rowOff>0</xdr:rowOff>
    </xdr:to>
    <xdr:sp macro="" textlink="">
      <xdr:nvSpPr>
        <xdr:cNvPr id="1070564" name="Line 147">
          <a:extLst>
            <a:ext uri="{FF2B5EF4-FFF2-40B4-BE49-F238E27FC236}">
              <a16:creationId xmlns:a16="http://schemas.microsoft.com/office/drawing/2014/main" id="{00000000-0008-0000-0D00-0000E4551000}"/>
            </a:ext>
          </a:extLst>
        </xdr:cNvPr>
        <xdr:cNvSpPr>
          <a:spLocks noChangeShapeType="1"/>
        </xdr:cNvSpPr>
      </xdr:nvSpPr>
      <xdr:spPr bwMode="auto">
        <a:xfrm>
          <a:off x="93878400" y="2295525"/>
          <a:ext cx="400050" cy="657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134</xdr:col>
      <xdr:colOff>0</xdr:colOff>
      <xdr:row>14</xdr:row>
      <xdr:rowOff>0</xdr:rowOff>
    </xdr:from>
    <xdr:to>
      <xdr:col>134</xdr:col>
      <xdr:colOff>76200</xdr:colOff>
      <xdr:row>14</xdr:row>
      <xdr:rowOff>9525</xdr:rowOff>
    </xdr:to>
    <xdr:sp macro="" textlink="">
      <xdr:nvSpPr>
        <xdr:cNvPr id="1070565" name="Line 343">
          <a:extLst>
            <a:ext uri="{FF2B5EF4-FFF2-40B4-BE49-F238E27FC236}">
              <a16:creationId xmlns:a16="http://schemas.microsoft.com/office/drawing/2014/main" id="{00000000-0008-0000-0D00-0000E5551000}"/>
            </a:ext>
          </a:extLst>
        </xdr:cNvPr>
        <xdr:cNvSpPr>
          <a:spLocks noChangeShapeType="1"/>
        </xdr:cNvSpPr>
      </xdr:nvSpPr>
      <xdr:spPr bwMode="auto">
        <a:xfrm>
          <a:off x="9381172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134</xdr:col>
      <xdr:colOff>0</xdr:colOff>
      <xdr:row>20</xdr:row>
      <xdr:rowOff>0</xdr:rowOff>
    </xdr:from>
    <xdr:to>
      <xdr:col>134</xdr:col>
      <xdr:colOff>57150</xdr:colOff>
      <xdr:row>20</xdr:row>
      <xdr:rowOff>9525</xdr:rowOff>
    </xdr:to>
    <xdr:sp macro="" textlink="">
      <xdr:nvSpPr>
        <xdr:cNvPr id="1070566" name="Line 345">
          <a:extLst>
            <a:ext uri="{FF2B5EF4-FFF2-40B4-BE49-F238E27FC236}">
              <a16:creationId xmlns:a16="http://schemas.microsoft.com/office/drawing/2014/main" id="{00000000-0008-0000-0D00-0000E6551000}"/>
            </a:ext>
          </a:extLst>
        </xdr:cNvPr>
        <xdr:cNvSpPr>
          <a:spLocks noChangeShapeType="1"/>
        </xdr:cNvSpPr>
      </xdr:nvSpPr>
      <xdr:spPr bwMode="auto">
        <a:xfrm flipV="1">
          <a:off x="93811725" y="421957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134</xdr:col>
      <xdr:colOff>95250</xdr:colOff>
      <xdr:row>17</xdr:row>
      <xdr:rowOff>19050</xdr:rowOff>
    </xdr:from>
    <xdr:to>
      <xdr:col>135</xdr:col>
      <xdr:colOff>9525</xdr:colOff>
      <xdr:row>20</xdr:row>
      <xdr:rowOff>19050</xdr:rowOff>
    </xdr:to>
    <xdr:sp macro="" textlink="">
      <xdr:nvSpPr>
        <xdr:cNvPr id="1070567" name="Line 363">
          <a:extLst>
            <a:ext uri="{FF2B5EF4-FFF2-40B4-BE49-F238E27FC236}">
              <a16:creationId xmlns:a16="http://schemas.microsoft.com/office/drawing/2014/main" id="{00000000-0008-0000-0D00-0000E7551000}"/>
            </a:ext>
          </a:extLst>
        </xdr:cNvPr>
        <xdr:cNvSpPr>
          <a:spLocks noChangeShapeType="1"/>
        </xdr:cNvSpPr>
      </xdr:nvSpPr>
      <xdr:spPr bwMode="auto">
        <a:xfrm>
          <a:off x="93906975" y="3695700"/>
          <a:ext cx="361950"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134</xdr:col>
      <xdr:colOff>76200</xdr:colOff>
      <xdr:row>10</xdr:row>
      <xdr:rowOff>161925</xdr:rowOff>
    </xdr:from>
    <xdr:to>
      <xdr:col>135</xdr:col>
      <xdr:colOff>0</xdr:colOff>
      <xdr:row>16</xdr:row>
      <xdr:rowOff>161925</xdr:rowOff>
    </xdr:to>
    <xdr:sp macro="" textlink="">
      <xdr:nvSpPr>
        <xdr:cNvPr id="1070568" name="Line 392">
          <a:extLst>
            <a:ext uri="{FF2B5EF4-FFF2-40B4-BE49-F238E27FC236}">
              <a16:creationId xmlns:a16="http://schemas.microsoft.com/office/drawing/2014/main" id="{00000000-0008-0000-0D00-0000E8551000}"/>
            </a:ext>
          </a:extLst>
        </xdr:cNvPr>
        <xdr:cNvSpPr>
          <a:spLocks noChangeShapeType="1"/>
        </xdr:cNvSpPr>
      </xdr:nvSpPr>
      <xdr:spPr bwMode="auto">
        <a:xfrm flipV="1">
          <a:off x="93887925" y="2571750"/>
          <a:ext cx="371475" cy="10858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134</xdr:col>
      <xdr:colOff>76200</xdr:colOff>
      <xdr:row>17</xdr:row>
      <xdr:rowOff>9525</xdr:rowOff>
    </xdr:from>
    <xdr:to>
      <xdr:col>135</xdr:col>
      <xdr:colOff>0</xdr:colOff>
      <xdr:row>17</xdr:row>
      <xdr:rowOff>9525</xdr:rowOff>
    </xdr:to>
    <xdr:sp macro="" textlink="">
      <xdr:nvSpPr>
        <xdr:cNvPr id="1070569" name="Line 392">
          <a:extLst>
            <a:ext uri="{FF2B5EF4-FFF2-40B4-BE49-F238E27FC236}">
              <a16:creationId xmlns:a16="http://schemas.microsoft.com/office/drawing/2014/main" id="{00000000-0008-0000-0D00-0000E9551000}"/>
            </a:ext>
          </a:extLst>
        </xdr:cNvPr>
        <xdr:cNvSpPr>
          <a:spLocks noChangeShapeType="1"/>
        </xdr:cNvSpPr>
      </xdr:nvSpPr>
      <xdr:spPr bwMode="auto">
        <a:xfrm>
          <a:off x="93887925" y="3686175"/>
          <a:ext cx="3714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137</xdr:col>
      <xdr:colOff>0</xdr:colOff>
      <xdr:row>14</xdr:row>
      <xdr:rowOff>28575</xdr:rowOff>
    </xdr:from>
    <xdr:to>
      <xdr:col>137</xdr:col>
      <xdr:colOff>76200</xdr:colOff>
      <xdr:row>14</xdr:row>
      <xdr:rowOff>38100</xdr:rowOff>
    </xdr:to>
    <xdr:sp macro="" textlink="">
      <xdr:nvSpPr>
        <xdr:cNvPr id="1070570" name="Line 343">
          <a:extLst>
            <a:ext uri="{FF2B5EF4-FFF2-40B4-BE49-F238E27FC236}">
              <a16:creationId xmlns:a16="http://schemas.microsoft.com/office/drawing/2014/main" id="{00000000-0008-0000-0D00-0000EA551000}"/>
            </a:ext>
          </a:extLst>
        </xdr:cNvPr>
        <xdr:cNvSpPr>
          <a:spLocks noChangeShapeType="1"/>
        </xdr:cNvSpPr>
      </xdr:nvSpPr>
      <xdr:spPr bwMode="auto">
        <a:xfrm>
          <a:off x="95973900" y="316230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137</xdr:col>
      <xdr:colOff>47625</xdr:colOff>
      <xdr:row>17</xdr:row>
      <xdr:rowOff>38100</xdr:rowOff>
    </xdr:from>
    <xdr:to>
      <xdr:col>137</xdr:col>
      <xdr:colOff>400050</xdr:colOff>
      <xdr:row>20</xdr:row>
      <xdr:rowOff>0</xdr:rowOff>
    </xdr:to>
    <xdr:sp macro="" textlink="">
      <xdr:nvSpPr>
        <xdr:cNvPr id="1070571" name="Line 363">
          <a:extLst>
            <a:ext uri="{FF2B5EF4-FFF2-40B4-BE49-F238E27FC236}">
              <a16:creationId xmlns:a16="http://schemas.microsoft.com/office/drawing/2014/main" id="{00000000-0008-0000-0D00-0000EB551000}"/>
            </a:ext>
          </a:extLst>
        </xdr:cNvPr>
        <xdr:cNvSpPr>
          <a:spLocks noChangeShapeType="1"/>
        </xdr:cNvSpPr>
      </xdr:nvSpPr>
      <xdr:spPr bwMode="auto">
        <a:xfrm>
          <a:off x="96021525" y="3714750"/>
          <a:ext cx="352425" cy="5048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137</xdr:col>
      <xdr:colOff>57150</xdr:colOff>
      <xdr:row>11</xdr:row>
      <xdr:rowOff>28575</xdr:rowOff>
    </xdr:from>
    <xdr:to>
      <xdr:col>137</xdr:col>
      <xdr:colOff>390525</xdr:colOff>
      <xdr:row>17</xdr:row>
      <xdr:rowOff>28575</xdr:rowOff>
    </xdr:to>
    <xdr:sp macro="" textlink="">
      <xdr:nvSpPr>
        <xdr:cNvPr id="1070572" name="Line 392">
          <a:extLst>
            <a:ext uri="{FF2B5EF4-FFF2-40B4-BE49-F238E27FC236}">
              <a16:creationId xmlns:a16="http://schemas.microsoft.com/office/drawing/2014/main" id="{00000000-0008-0000-0D00-0000EC551000}"/>
            </a:ext>
          </a:extLst>
        </xdr:cNvPr>
        <xdr:cNvSpPr>
          <a:spLocks noChangeShapeType="1"/>
        </xdr:cNvSpPr>
      </xdr:nvSpPr>
      <xdr:spPr bwMode="auto">
        <a:xfrm flipV="1">
          <a:off x="96031050" y="2619375"/>
          <a:ext cx="333375" cy="10858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137</xdr:col>
      <xdr:colOff>76200</xdr:colOff>
      <xdr:row>17</xdr:row>
      <xdr:rowOff>38100</xdr:rowOff>
    </xdr:from>
    <xdr:to>
      <xdr:col>138</xdr:col>
      <xdr:colOff>0</xdr:colOff>
      <xdr:row>17</xdr:row>
      <xdr:rowOff>38100</xdr:rowOff>
    </xdr:to>
    <xdr:sp macro="" textlink="">
      <xdr:nvSpPr>
        <xdr:cNvPr id="1070573" name="Line 392">
          <a:extLst>
            <a:ext uri="{FF2B5EF4-FFF2-40B4-BE49-F238E27FC236}">
              <a16:creationId xmlns:a16="http://schemas.microsoft.com/office/drawing/2014/main" id="{00000000-0008-0000-0D00-0000ED551000}"/>
            </a:ext>
          </a:extLst>
        </xdr:cNvPr>
        <xdr:cNvSpPr>
          <a:spLocks noChangeShapeType="1"/>
        </xdr:cNvSpPr>
      </xdr:nvSpPr>
      <xdr:spPr bwMode="auto">
        <a:xfrm>
          <a:off x="96050100" y="3714750"/>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137</xdr:col>
      <xdr:colOff>66675</xdr:colOff>
      <xdr:row>14</xdr:row>
      <xdr:rowOff>38100</xdr:rowOff>
    </xdr:from>
    <xdr:to>
      <xdr:col>137</xdr:col>
      <xdr:colOff>66675</xdr:colOff>
      <xdr:row>19</xdr:row>
      <xdr:rowOff>142875</xdr:rowOff>
    </xdr:to>
    <xdr:sp macro="" textlink="">
      <xdr:nvSpPr>
        <xdr:cNvPr id="1070574" name="Line 344">
          <a:extLst>
            <a:ext uri="{FF2B5EF4-FFF2-40B4-BE49-F238E27FC236}">
              <a16:creationId xmlns:a16="http://schemas.microsoft.com/office/drawing/2014/main" id="{00000000-0008-0000-0D00-0000EE551000}"/>
            </a:ext>
          </a:extLst>
        </xdr:cNvPr>
        <xdr:cNvSpPr>
          <a:spLocks noChangeShapeType="1"/>
        </xdr:cNvSpPr>
      </xdr:nvSpPr>
      <xdr:spPr bwMode="auto">
        <a:xfrm flipH="1">
          <a:off x="96040575" y="3171825"/>
          <a:ext cx="0" cy="1009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137</xdr:col>
      <xdr:colOff>9525</xdr:colOff>
      <xdr:row>20</xdr:row>
      <xdr:rowOff>0</xdr:rowOff>
    </xdr:from>
    <xdr:to>
      <xdr:col>137</xdr:col>
      <xdr:colOff>66675</xdr:colOff>
      <xdr:row>20</xdr:row>
      <xdr:rowOff>9525</xdr:rowOff>
    </xdr:to>
    <xdr:sp macro="" textlink="">
      <xdr:nvSpPr>
        <xdr:cNvPr id="1070575" name="Line 345">
          <a:extLst>
            <a:ext uri="{FF2B5EF4-FFF2-40B4-BE49-F238E27FC236}">
              <a16:creationId xmlns:a16="http://schemas.microsoft.com/office/drawing/2014/main" id="{00000000-0008-0000-0D00-0000EF551000}"/>
            </a:ext>
          </a:extLst>
        </xdr:cNvPr>
        <xdr:cNvSpPr>
          <a:spLocks noChangeShapeType="1"/>
        </xdr:cNvSpPr>
      </xdr:nvSpPr>
      <xdr:spPr bwMode="auto">
        <a:xfrm flipV="1">
          <a:off x="95983425" y="421957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140</xdr:col>
      <xdr:colOff>0</xdr:colOff>
      <xdr:row>14</xdr:row>
      <xdr:rowOff>0</xdr:rowOff>
    </xdr:from>
    <xdr:to>
      <xdr:col>140</xdr:col>
      <xdr:colOff>76200</xdr:colOff>
      <xdr:row>14</xdr:row>
      <xdr:rowOff>9525</xdr:rowOff>
    </xdr:to>
    <xdr:sp macro="" textlink="">
      <xdr:nvSpPr>
        <xdr:cNvPr id="1070576" name="Line 473">
          <a:extLst>
            <a:ext uri="{FF2B5EF4-FFF2-40B4-BE49-F238E27FC236}">
              <a16:creationId xmlns:a16="http://schemas.microsoft.com/office/drawing/2014/main" id="{00000000-0008-0000-0D00-0000F0551000}"/>
            </a:ext>
          </a:extLst>
        </xdr:cNvPr>
        <xdr:cNvSpPr>
          <a:spLocks noChangeShapeType="1"/>
        </xdr:cNvSpPr>
      </xdr:nvSpPr>
      <xdr:spPr bwMode="auto">
        <a:xfrm>
          <a:off x="980694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140</xdr:col>
      <xdr:colOff>66675</xdr:colOff>
      <xdr:row>14</xdr:row>
      <xdr:rowOff>9525</xdr:rowOff>
    </xdr:from>
    <xdr:to>
      <xdr:col>140</xdr:col>
      <xdr:colOff>66675</xdr:colOff>
      <xdr:row>17</xdr:row>
      <xdr:rowOff>19050</xdr:rowOff>
    </xdr:to>
    <xdr:sp macro="" textlink="">
      <xdr:nvSpPr>
        <xdr:cNvPr id="1070577" name="Line 474">
          <a:extLst>
            <a:ext uri="{FF2B5EF4-FFF2-40B4-BE49-F238E27FC236}">
              <a16:creationId xmlns:a16="http://schemas.microsoft.com/office/drawing/2014/main" id="{00000000-0008-0000-0D00-0000F1551000}"/>
            </a:ext>
          </a:extLst>
        </xdr:cNvPr>
        <xdr:cNvSpPr>
          <a:spLocks noChangeShapeType="1"/>
        </xdr:cNvSpPr>
      </xdr:nvSpPr>
      <xdr:spPr bwMode="auto">
        <a:xfrm>
          <a:off x="981360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140</xdr:col>
      <xdr:colOff>0</xdr:colOff>
      <xdr:row>14</xdr:row>
      <xdr:rowOff>0</xdr:rowOff>
    </xdr:from>
    <xdr:to>
      <xdr:col>140</xdr:col>
      <xdr:colOff>76200</xdr:colOff>
      <xdr:row>14</xdr:row>
      <xdr:rowOff>9525</xdr:rowOff>
    </xdr:to>
    <xdr:sp macro="" textlink="">
      <xdr:nvSpPr>
        <xdr:cNvPr id="1070578" name="Line 475">
          <a:extLst>
            <a:ext uri="{FF2B5EF4-FFF2-40B4-BE49-F238E27FC236}">
              <a16:creationId xmlns:a16="http://schemas.microsoft.com/office/drawing/2014/main" id="{00000000-0008-0000-0D00-0000F2551000}"/>
            </a:ext>
          </a:extLst>
        </xdr:cNvPr>
        <xdr:cNvSpPr>
          <a:spLocks noChangeShapeType="1"/>
        </xdr:cNvSpPr>
      </xdr:nvSpPr>
      <xdr:spPr bwMode="auto">
        <a:xfrm>
          <a:off x="980694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140</xdr:col>
      <xdr:colOff>66675</xdr:colOff>
      <xdr:row>14</xdr:row>
      <xdr:rowOff>9525</xdr:rowOff>
    </xdr:from>
    <xdr:to>
      <xdr:col>140</xdr:col>
      <xdr:colOff>66675</xdr:colOff>
      <xdr:row>17</xdr:row>
      <xdr:rowOff>19050</xdr:rowOff>
    </xdr:to>
    <xdr:sp macro="" textlink="">
      <xdr:nvSpPr>
        <xdr:cNvPr id="1070579" name="Line 476">
          <a:extLst>
            <a:ext uri="{FF2B5EF4-FFF2-40B4-BE49-F238E27FC236}">
              <a16:creationId xmlns:a16="http://schemas.microsoft.com/office/drawing/2014/main" id="{00000000-0008-0000-0D00-0000F3551000}"/>
            </a:ext>
          </a:extLst>
        </xdr:cNvPr>
        <xdr:cNvSpPr>
          <a:spLocks noChangeShapeType="1"/>
        </xdr:cNvSpPr>
      </xdr:nvSpPr>
      <xdr:spPr bwMode="auto">
        <a:xfrm>
          <a:off x="981360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140</xdr:col>
      <xdr:colOff>76200</xdr:colOff>
      <xdr:row>17</xdr:row>
      <xdr:rowOff>19050</xdr:rowOff>
    </xdr:from>
    <xdr:to>
      <xdr:col>141</xdr:col>
      <xdr:colOff>9525</xdr:colOff>
      <xdr:row>20</xdr:row>
      <xdr:rowOff>9525</xdr:rowOff>
    </xdr:to>
    <xdr:sp macro="" textlink="">
      <xdr:nvSpPr>
        <xdr:cNvPr id="1070580" name="Line 477">
          <a:extLst>
            <a:ext uri="{FF2B5EF4-FFF2-40B4-BE49-F238E27FC236}">
              <a16:creationId xmlns:a16="http://schemas.microsoft.com/office/drawing/2014/main" id="{00000000-0008-0000-0D00-0000F4551000}"/>
            </a:ext>
          </a:extLst>
        </xdr:cNvPr>
        <xdr:cNvSpPr>
          <a:spLocks noChangeShapeType="1"/>
        </xdr:cNvSpPr>
      </xdr:nvSpPr>
      <xdr:spPr bwMode="auto">
        <a:xfrm>
          <a:off x="98145600" y="3695700"/>
          <a:ext cx="342900" cy="5334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140</xdr:col>
      <xdr:colOff>0</xdr:colOff>
      <xdr:row>14</xdr:row>
      <xdr:rowOff>0</xdr:rowOff>
    </xdr:from>
    <xdr:to>
      <xdr:col>140</xdr:col>
      <xdr:colOff>76200</xdr:colOff>
      <xdr:row>14</xdr:row>
      <xdr:rowOff>9525</xdr:rowOff>
    </xdr:to>
    <xdr:sp macro="" textlink="">
      <xdr:nvSpPr>
        <xdr:cNvPr id="1070581" name="Line 478">
          <a:extLst>
            <a:ext uri="{FF2B5EF4-FFF2-40B4-BE49-F238E27FC236}">
              <a16:creationId xmlns:a16="http://schemas.microsoft.com/office/drawing/2014/main" id="{00000000-0008-0000-0D00-0000F5551000}"/>
            </a:ext>
          </a:extLst>
        </xdr:cNvPr>
        <xdr:cNvSpPr>
          <a:spLocks noChangeShapeType="1"/>
        </xdr:cNvSpPr>
      </xdr:nvSpPr>
      <xdr:spPr bwMode="auto">
        <a:xfrm>
          <a:off x="980694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140</xdr:col>
      <xdr:colOff>66675</xdr:colOff>
      <xdr:row>14</xdr:row>
      <xdr:rowOff>9525</xdr:rowOff>
    </xdr:from>
    <xdr:to>
      <xdr:col>140</xdr:col>
      <xdr:colOff>66675</xdr:colOff>
      <xdr:row>19</xdr:row>
      <xdr:rowOff>152400</xdr:rowOff>
    </xdr:to>
    <xdr:sp macro="" textlink="">
      <xdr:nvSpPr>
        <xdr:cNvPr id="1070582" name="Line 479">
          <a:extLst>
            <a:ext uri="{FF2B5EF4-FFF2-40B4-BE49-F238E27FC236}">
              <a16:creationId xmlns:a16="http://schemas.microsoft.com/office/drawing/2014/main" id="{00000000-0008-0000-0D00-0000F6551000}"/>
            </a:ext>
          </a:extLst>
        </xdr:cNvPr>
        <xdr:cNvSpPr>
          <a:spLocks noChangeShapeType="1"/>
        </xdr:cNvSpPr>
      </xdr:nvSpPr>
      <xdr:spPr bwMode="auto">
        <a:xfrm>
          <a:off x="98136075" y="3143250"/>
          <a:ext cx="0" cy="1047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140</xdr:col>
      <xdr:colOff>66675</xdr:colOff>
      <xdr:row>13</xdr:row>
      <xdr:rowOff>161925</xdr:rowOff>
    </xdr:from>
    <xdr:to>
      <xdr:col>141</xdr:col>
      <xdr:colOff>0</xdr:colOff>
      <xdr:row>17</xdr:row>
      <xdr:rowOff>0</xdr:rowOff>
    </xdr:to>
    <xdr:sp macro="" textlink="">
      <xdr:nvSpPr>
        <xdr:cNvPr id="1070583" name="Line 480">
          <a:extLst>
            <a:ext uri="{FF2B5EF4-FFF2-40B4-BE49-F238E27FC236}">
              <a16:creationId xmlns:a16="http://schemas.microsoft.com/office/drawing/2014/main" id="{00000000-0008-0000-0D00-0000F7551000}"/>
            </a:ext>
          </a:extLst>
        </xdr:cNvPr>
        <xdr:cNvSpPr>
          <a:spLocks noChangeShapeType="1"/>
        </xdr:cNvSpPr>
      </xdr:nvSpPr>
      <xdr:spPr bwMode="auto">
        <a:xfrm flipV="1">
          <a:off x="98136075" y="3114675"/>
          <a:ext cx="342900" cy="5619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140</xdr:col>
      <xdr:colOff>66675</xdr:colOff>
      <xdr:row>17</xdr:row>
      <xdr:rowOff>9525</xdr:rowOff>
    </xdr:from>
    <xdr:to>
      <xdr:col>141</xdr:col>
      <xdr:colOff>0</xdr:colOff>
      <xdr:row>17</xdr:row>
      <xdr:rowOff>9525</xdr:rowOff>
    </xdr:to>
    <xdr:sp macro="" textlink="">
      <xdr:nvSpPr>
        <xdr:cNvPr id="1070584" name="Line 481">
          <a:extLst>
            <a:ext uri="{FF2B5EF4-FFF2-40B4-BE49-F238E27FC236}">
              <a16:creationId xmlns:a16="http://schemas.microsoft.com/office/drawing/2014/main" id="{00000000-0008-0000-0D00-0000F8551000}"/>
            </a:ext>
          </a:extLst>
        </xdr:cNvPr>
        <xdr:cNvSpPr>
          <a:spLocks noChangeShapeType="1"/>
        </xdr:cNvSpPr>
      </xdr:nvSpPr>
      <xdr:spPr bwMode="auto">
        <a:xfrm>
          <a:off x="98136075" y="3686175"/>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140</xdr:col>
      <xdr:colOff>9525</xdr:colOff>
      <xdr:row>19</xdr:row>
      <xdr:rowOff>171450</xdr:rowOff>
    </xdr:from>
    <xdr:to>
      <xdr:col>140</xdr:col>
      <xdr:colOff>66675</xdr:colOff>
      <xdr:row>20</xdr:row>
      <xdr:rowOff>0</xdr:rowOff>
    </xdr:to>
    <xdr:sp macro="" textlink="">
      <xdr:nvSpPr>
        <xdr:cNvPr id="1070585" name="Line 482">
          <a:extLst>
            <a:ext uri="{FF2B5EF4-FFF2-40B4-BE49-F238E27FC236}">
              <a16:creationId xmlns:a16="http://schemas.microsoft.com/office/drawing/2014/main" id="{00000000-0008-0000-0D00-0000F9551000}"/>
            </a:ext>
          </a:extLst>
        </xdr:cNvPr>
        <xdr:cNvSpPr>
          <a:spLocks noChangeShapeType="1"/>
        </xdr:cNvSpPr>
      </xdr:nvSpPr>
      <xdr:spPr bwMode="auto">
        <a:xfrm flipV="1">
          <a:off x="98078925" y="421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134</xdr:col>
      <xdr:colOff>19050</xdr:colOff>
      <xdr:row>13</xdr:row>
      <xdr:rowOff>171450</xdr:rowOff>
    </xdr:from>
    <xdr:to>
      <xdr:col>134</xdr:col>
      <xdr:colOff>95250</xdr:colOff>
      <xdr:row>14</xdr:row>
      <xdr:rowOff>0</xdr:rowOff>
    </xdr:to>
    <xdr:sp macro="" textlink="">
      <xdr:nvSpPr>
        <xdr:cNvPr id="1070586" name="Line 459">
          <a:extLst>
            <a:ext uri="{FF2B5EF4-FFF2-40B4-BE49-F238E27FC236}">
              <a16:creationId xmlns:a16="http://schemas.microsoft.com/office/drawing/2014/main" id="{00000000-0008-0000-0D00-0000FA551000}"/>
            </a:ext>
          </a:extLst>
        </xdr:cNvPr>
        <xdr:cNvSpPr>
          <a:spLocks noChangeShapeType="1"/>
        </xdr:cNvSpPr>
      </xdr:nvSpPr>
      <xdr:spPr bwMode="auto">
        <a:xfrm>
          <a:off x="93830775" y="312420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134</xdr:col>
      <xdr:colOff>85725</xdr:colOff>
      <xdr:row>14</xdr:row>
      <xdr:rowOff>0</xdr:rowOff>
    </xdr:from>
    <xdr:to>
      <xdr:col>134</xdr:col>
      <xdr:colOff>85725</xdr:colOff>
      <xdr:row>19</xdr:row>
      <xdr:rowOff>142875</xdr:rowOff>
    </xdr:to>
    <xdr:sp macro="" textlink="">
      <xdr:nvSpPr>
        <xdr:cNvPr id="1070587" name="Line 460">
          <a:extLst>
            <a:ext uri="{FF2B5EF4-FFF2-40B4-BE49-F238E27FC236}">
              <a16:creationId xmlns:a16="http://schemas.microsoft.com/office/drawing/2014/main" id="{00000000-0008-0000-0D00-0000FB551000}"/>
            </a:ext>
          </a:extLst>
        </xdr:cNvPr>
        <xdr:cNvSpPr>
          <a:spLocks noChangeShapeType="1"/>
        </xdr:cNvSpPr>
      </xdr:nvSpPr>
      <xdr:spPr bwMode="auto">
        <a:xfrm>
          <a:off x="93897450" y="3133725"/>
          <a:ext cx="0" cy="1047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140</xdr:col>
      <xdr:colOff>0</xdr:colOff>
      <xdr:row>14</xdr:row>
      <xdr:rowOff>0</xdr:rowOff>
    </xdr:from>
    <xdr:to>
      <xdr:col>140</xdr:col>
      <xdr:colOff>76200</xdr:colOff>
      <xdr:row>14</xdr:row>
      <xdr:rowOff>9525</xdr:rowOff>
    </xdr:to>
    <xdr:sp macro="" textlink="">
      <xdr:nvSpPr>
        <xdr:cNvPr id="1070588" name="Line 473">
          <a:extLst>
            <a:ext uri="{FF2B5EF4-FFF2-40B4-BE49-F238E27FC236}">
              <a16:creationId xmlns:a16="http://schemas.microsoft.com/office/drawing/2014/main" id="{00000000-0008-0000-0D00-0000FC551000}"/>
            </a:ext>
          </a:extLst>
        </xdr:cNvPr>
        <xdr:cNvSpPr>
          <a:spLocks noChangeShapeType="1"/>
        </xdr:cNvSpPr>
      </xdr:nvSpPr>
      <xdr:spPr bwMode="auto">
        <a:xfrm>
          <a:off x="980694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140</xdr:col>
      <xdr:colOff>66675</xdr:colOff>
      <xdr:row>14</xdr:row>
      <xdr:rowOff>9525</xdr:rowOff>
    </xdr:from>
    <xdr:to>
      <xdr:col>140</xdr:col>
      <xdr:colOff>66675</xdr:colOff>
      <xdr:row>17</xdr:row>
      <xdr:rowOff>19050</xdr:rowOff>
    </xdr:to>
    <xdr:sp macro="" textlink="">
      <xdr:nvSpPr>
        <xdr:cNvPr id="1070589" name="Line 474">
          <a:extLst>
            <a:ext uri="{FF2B5EF4-FFF2-40B4-BE49-F238E27FC236}">
              <a16:creationId xmlns:a16="http://schemas.microsoft.com/office/drawing/2014/main" id="{00000000-0008-0000-0D00-0000FD551000}"/>
            </a:ext>
          </a:extLst>
        </xdr:cNvPr>
        <xdr:cNvSpPr>
          <a:spLocks noChangeShapeType="1"/>
        </xdr:cNvSpPr>
      </xdr:nvSpPr>
      <xdr:spPr bwMode="auto">
        <a:xfrm>
          <a:off x="981360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140</xdr:col>
      <xdr:colOff>0</xdr:colOff>
      <xdr:row>14</xdr:row>
      <xdr:rowOff>0</xdr:rowOff>
    </xdr:from>
    <xdr:to>
      <xdr:col>140</xdr:col>
      <xdr:colOff>76200</xdr:colOff>
      <xdr:row>14</xdr:row>
      <xdr:rowOff>9525</xdr:rowOff>
    </xdr:to>
    <xdr:sp macro="" textlink="">
      <xdr:nvSpPr>
        <xdr:cNvPr id="1070590" name="Line 475">
          <a:extLst>
            <a:ext uri="{FF2B5EF4-FFF2-40B4-BE49-F238E27FC236}">
              <a16:creationId xmlns:a16="http://schemas.microsoft.com/office/drawing/2014/main" id="{00000000-0008-0000-0D00-0000FE551000}"/>
            </a:ext>
          </a:extLst>
        </xdr:cNvPr>
        <xdr:cNvSpPr>
          <a:spLocks noChangeShapeType="1"/>
        </xdr:cNvSpPr>
      </xdr:nvSpPr>
      <xdr:spPr bwMode="auto">
        <a:xfrm>
          <a:off x="980694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140</xdr:col>
      <xdr:colOff>66675</xdr:colOff>
      <xdr:row>14</xdr:row>
      <xdr:rowOff>9525</xdr:rowOff>
    </xdr:from>
    <xdr:to>
      <xdr:col>140</xdr:col>
      <xdr:colOff>66675</xdr:colOff>
      <xdr:row>17</xdr:row>
      <xdr:rowOff>19050</xdr:rowOff>
    </xdr:to>
    <xdr:sp macro="" textlink="">
      <xdr:nvSpPr>
        <xdr:cNvPr id="1070591" name="Line 476">
          <a:extLst>
            <a:ext uri="{FF2B5EF4-FFF2-40B4-BE49-F238E27FC236}">
              <a16:creationId xmlns:a16="http://schemas.microsoft.com/office/drawing/2014/main" id="{00000000-0008-0000-0D00-0000FF551000}"/>
            </a:ext>
          </a:extLst>
        </xdr:cNvPr>
        <xdr:cNvSpPr>
          <a:spLocks noChangeShapeType="1"/>
        </xdr:cNvSpPr>
      </xdr:nvSpPr>
      <xdr:spPr bwMode="auto">
        <a:xfrm>
          <a:off x="981360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140</xdr:col>
      <xdr:colOff>76200</xdr:colOff>
      <xdr:row>17</xdr:row>
      <xdr:rowOff>19050</xdr:rowOff>
    </xdr:from>
    <xdr:to>
      <xdr:col>141</xdr:col>
      <xdr:colOff>9525</xdr:colOff>
      <xdr:row>20</xdr:row>
      <xdr:rowOff>9525</xdr:rowOff>
    </xdr:to>
    <xdr:sp macro="" textlink="">
      <xdr:nvSpPr>
        <xdr:cNvPr id="1070592" name="Line 477">
          <a:extLst>
            <a:ext uri="{FF2B5EF4-FFF2-40B4-BE49-F238E27FC236}">
              <a16:creationId xmlns:a16="http://schemas.microsoft.com/office/drawing/2014/main" id="{00000000-0008-0000-0D00-000000561000}"/>
            </a:ext>
          </a:extLst>
        </xdr:cNvPr>
        <xdr:cNvSpPr>
          <a:spLocks noChangeShapeType="1"/>
        </xdr:cNvSpPr>
      </xdr:nvSpPr>
      <xdr:spPr bwMode="auto">
        <a:xfrm>
          <a:off x="98145600" y="3695700"/>
          <a:ext cx="342900" cy="5334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140</xdr:col>
      <xdr:colOff>0</xdr:colOff>
      <xdr:row>14</xdr:row>
      <xdr:rowOff>0</xdr:rowOff>
    </xdr:from>
    <xdr:to>
      <xdr:col>140</xdr:col>
      <xdr:colOff>76200</xdr:colOff>
      <xdr:row>14</xdr:row>
      <xdr:rowOff>9525</xdr:rowOff>
    </xdr:to>
    <xdr:sp macro="" textlink="">
      <xdr:nvSpPr>
        <xdr:cNvPr id="1070593" name="Line 478">
          <a:extLst>
            <a:ext uri="{FF2B5EF4-FFF2-40B4-BE49-F238E27FC236}">
              <a16:creationId xmlns:a16="http://schemas.microsoft.com/office/drawing/2014/main" id="{00000000-0008-0000-0D00-000001561000}"/>
            </a:ext>
          </a:extLst>
        </xdr:cNvPr>
        <xdr:cNvSpPr>
          <a:spLocks noChangeShapeType="1"/>
        </xdr:cNvSpPr>
      </xdr:nvSpPr>
      <xdr:spPr bwMode="auto">
        <a:xfrm>
          <a:off x="980694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140</xdr:col>
      <xdr:colOff>66675</xdr:colOff>
      <xdr:row>14</xdr:row>
      <xdr:rowOff>9525</xdr:rowOff>
    </xdr:from>
    <xdr:to>
      <xdr:col>140</xdr:col>
      <xdr:colOff>66675</xdr:colOff>
      <xdr:row>19</xdr:row>
      <xdr:rowOff>152400</xdr:rowOff>
    </xdr:to>
    <xdr:sp macro="" textlink="">
      <xdr:nvSpPr>
        <xdr:cNvPr id="1070594" name="Line 479">
          <a:extLst>
            <a:ext uri="{FF2B5EF4-FFF2-40B4-BE49-F238E27FC236}">
              <a16:creationId xmlns:a16="http://schemas.microsoft.com/office/drawing/2014/main" id="{00000000-0008-0000-0D00-000002561000}"/>
            </a:ext>
          </a:extLst>
        </xdr:cNvPr>
        <xdr:cNvSpPr>
          <a:spLocks noChangeShapeType="1"/>
        </xdr:cNvSpPr>
      </xdr:nvSpPr>
      <xdr:spPr bwMode="auto">
        <a:xfrm>
          <a:off x="98136075" y="3143250"/>
          <a:ext cx="0" cy="1047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140</xdr:col>
      <xdr:colOff>66675</xdr:colOff>
      <xdr:row>13</xdr:row>
      <xdr:rowOff>161925</xdr:rowOff>
    </xdr:from>
    <xdr:to>
      <xdr:col>141</xdr:col>
      <xdr:colOff>0</xdr:colOff>
      <xdr:row>17</xdr:row>
      <xdr:rowOff>0</xdr:rowOff>
    </xdr:to>
    <xdr:sp macro="" textlink="">
      <xdr:nvSpPr>
        <xdr:cNvPr id="1070595" name="Line 480">
          <a:extLst>
            <a:ext uri="{FF2B5EF4-FFF2-40B4-BE49-F238E27FC236}">
              <a16:creationId xmlns:a16="http://schemas.microsoft.com/office/drawing/2014/main" id="{00000000-0008-0000-0D00-000003561000}"/>
            </a:ext>
          </a:extLst>
        </xdr:cNvPr>
        <xdr:cNvSpPr>
          <a:spLocks noChangeShapeType="1"/>
        </xdr:cNvSpPr>
      </xdr:nvSpPr>
      <xdr:spPr bwMode="auto">
        <a:xfrm flipV="1">
          <a:off x="98136075" y="3114675"/>
          <a:ext cx="342900" cy="5619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140</xdr:col>
      <xdr:colOff>66675</xdr:colOff>
      <xdr:row>17</xdr:row>
      <xdr:rowOff>9525</xdr:rowOff>
    </xdr:from>
    <xdr:to>
      <xdr:col>141</xdr:col>
      <xdr:colOff>0</xdr:colOff>
      <xdr:row>17</xdr:row>
      <xdr:rowOff>9525</xdr:rowOff>
    </xdr:to>
    <xdr:sp macro="" textlink="">
      <xdr:nvSpPr>
        <xdr:cNvPr id="1070596" name="Line 481">
          <a:extLst>
            <a:ext uri="{FF2B5EF4-FFF2-40B4-BE49-F238E27FC236}">
              <a16:creationId xmlns:a16="http://schemas.microsoft.com/office/drawing/2014/main" id="{00000000-0008-0000-0D00-000004561000}"/>
            </a:ext>
          </a:extLst>
        </xdr:cNvPr>
        <xdr:cNvSpPr>
          <a:spLocks noChangeShapeType="1"/>
        </xdr:cNvSpPr>
      </xdr:nvSpPr>
      <xdr:spPr bwMode="auto">
        <a:xfrm>
          <a:off x="98136075" y="3686175"/>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140</xdr:col>
      <xdr:colOff>9525</xdr:colOff>
      <xdr:row>19</xdr:row>
      <xdr:rowOff>171450</xdr:rowOff>
    </xdr:from>
    <xdr:to>
      <xdr:col>140</xdr:col>
      <xdr:colOff>66675</xdr:colOff>
      <xdr:row>20</xdr:row>
      <xdr:rowOff>0</xdr:rowOff>
    </xdr:to>
    <xdr:sp macro="" textlink="">
      <xdr:nvSpPr>
        <xdr:cNvPr id="1070597" name="Line 482">
          <a:extLst>
            <a:ext uri="{FF2B5EF4-FFF2-40B4-BE49-F238E27FC236}">
              <a16:creationId xmlns:a16="http://schemas.microsoft.com/office/drawing/2014/main" id="{00000000-0008-0000-0D00-000005561000}"/>
            </a:ext>
          </a:extLst>
        </xdr:cNvPr>
        <xdr:cNvSpPr>
          <a:spLocks noChangeShapeType="1"/>
        </xdr:cNvSpPr>
      </xdr:nvSpPr>
      <xdr:spPr bwMode="auto">
        <a:xfrm flipV="1">
          <a:off x="98078925" y="421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9525</xdr:colOff>
      <xdr:row>62</xdr:row>
      <xdr:rowOff>0</xdr:rowOff>
    </xdr:from>
    <xdr:to>
      <xdr:col>43</xdr:col>
      <xdr:colOff>66675</xdr:colOff>
      <xdr:row>62</xdr:row>
      <xdr:rowOff>9525</xdr:rowOff>
    </xdr:to>
    <xdr:sp macro="" textlink="">
      <xdr:nvSpPr>
        <xdr:cNvPr id="1070598" name="Line 345">
          <a:extLst>
            <a:ext uri="{FF2B5EF4-FFF2-40B4-BE49-F238E27FC236}">
              <a16:creationId xmlns:a16="http://schemas.microsoft.com/office/drawing/2014/main" id="{00000000-0008-0000-0D00-000006561000}"/>
            </a:ext>
          </a:extLst>
        </xdr:cNvPr>
        <xdr:cNvSpPr>
          <a:spLocks noChangeShapeType="1"/>
        </xdr:cNvSpPr>
      </xdr:nvSpPr>
      <xdr:spPr bwMode="auto">
        <a:xfrm flipV="1">
          <a:off x="29737050" y="117919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121</xdr:col>
      <xdr:colOff>0</xdr:colOff>
      <xdr:row>26</xdr:row>
      <xdr:rowOff>0</xdr:rowOff>
    </xdr:from>
    <xdr:to>
      <xdr:col>121</xdr:col>
      <xdr:colOff>57150</xdr:colOff>
      <xdr:row>26</xdr:row>
      <xdr:rowOff>9525</xdr:rowOff>
    </xdr:to>
    <xdr:sp macro="" textlink="">
      <xdr:nvSpPr>
        <xdr:cNvPr id="1070599" name="Line 345">
          <a:extLst>
            <a:ext uri="{FF2B5EF4-FFF2-40B4-BE49-F238E27FC236}">
              <a16:creationId xmlns:a16="http://schemas.microsoft.com/office/drawing/2014/main" id="{00000000-0008-0000-0D00-000007561000}"/>
            </a:ext>
          </a:extLst>
        </xdr:cNvPr>
        <xdr:cNvSpPr>
          <a:spLocks noChangeShapeType="1"/>
        </xdr:cNvSpPr>
      </xdr:nvSpPr>
      <xdr:spPr bwMode="auto">
        <a:xfrm flipV="1">
          <a:off x="84543900" y="530542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121</xdr:col>
      <xdr:colOff>95250</xdr:colOff>
      <xdr:row>23</xdr:row>
      <xdr:rowOff>19050</xdr:rowOff>
    </xdr:from>
    <xdr:to>
      <xdr:col>122</xdr:col>
      <xdr:colOff>9525</xdr:colOff>
      <xdr:row>26</xdr:row>
      <xdr:rowOff>19050</xdr:rowOff>
    </xdr:to>
    <xdr:sp macro="" textlink="">
      <xdr:nvSpPr>
        <xdr:cNvPr id="1070600" name="Line 363">
          <a:extLst>
            <a:ext uri="{FF2B5EF4-FFF2-40B4-BE49-F238E27FC236}">
              <a16:creationId xmlns:a16="http://schemas.microsoft.com/office/drawing/2014/main" id="{00000000-0008-0000-0D00-000008561000}"/>
            </a:ext>
          </a:extLst>
        </xdr:cNvPr>
        <xdr:cNvSpPr>
          <a:spLocks noChangeShapeType="1"/>
        </xdr:cNvSpPr>
      </xdr:nvSpPr>
      <xdr:spPr bwMode="auto">
        <a:xfrm>
          <a:off x="84639150" y="4781550"/>
          <a:ext cx="361950"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121</xdr:col>
      <xdr:colOff>76200</xdr:colOff>
      <xdr:row>23</xdr:row>
      <xdr:rowOff>9525</xdr:rowOff>
    </xdr:from>
    <xdr:to>
      <xdr:col>122</xdr:col>
      <xdr:colOff>0</xdr:colOff>
      <xdr:row>23</xdr:row>
      <xdr:rowOff>9525</xdr:rowOff>
    </xdr:to>
    <xdr:sp macro="" textlink="">
      <xdr:nvSpPr>
        <xdr:cNvPr id="1070601" name="Line 392">
          <a:extLst>
            <a:ext uri="{FF2B5EF4-FFF2-40B4-BE49-F238E27FC236}">
              <a16:creationId xmlns:a16="http://schemas.microsoft.com/office/drawing/2014/main" id="{00000000-0008-0000-0D00-000009561000}"/>
            </a:ext>
          </a:extLst>
        </xdr:cNvPr>
        <xdr:cNvSpPr>
          <a:spLocks noChangeShapeType="1"/>
        </xdr:cNvSpPr>
      </xdr:nvSpPr>
      <xdr:spPr bwMode="auto">
        <a:xfrm>
          <a:off x="84620100" y="4772025"/>
          <a:ext cx="3714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134</xdr:col>
      <xdr:colOff>0</xdr:colOff>
      <xdr:row>20</xdr:row>
      <xdr:rowOff>0</xdr:rowOff>
    </xdr:from>
    <xdr:to>
      <xdr:col>134</xdr:col>
      <xdr:colOff>57150</xdr:colOff>
      <xdr:row>20</xdr:row>
      <xdr:rowOff>9525</xdr:rowOff>
    </xdr:to>
    <xdr:sp macro="" textlink="">
      <xdr:nvSpPr>
        <xdr:cNvPr id="1070602" name="Line 345">
          <a:extLst>
            <a:ext uri="{FF2B5EF4-FFF2-40B4-BE49-F238E27FC236}">
              <a16:creationId xmlns:a16="http://schemas.microsoft.com/office/drawing/2014/main" id="{00000000-0008-0000-0D00-00000A561000}"/>
            </a:ext>
          </a:extLst>
        </xdr:cNvPr>
        <xdr:cNvSpPr>
          <a:spLocks noChangeShapeType="1"/>
        </xdr:cNvSpPr>
      </xdr:nvSpPr>
      <xdr:spPr bwMode="auto">
        <a:xfrm flipV="1">
          <a:off x="93811725" y="4219575"/>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134</xdr:col>
      <xdr:colOff>95250</xdr:colOff>
      <xdr:row>17</xdr:row>
      <xdr:rowOff>19050</xdr:rowOff>
    </xdr:from>
    <xdr:to>
      <xdr:col>135</xdr:col>
      <xdr:colOff>9525</xdr:colOff>
      <xdr:row>20</xdr:row>
      <xdr:rowOff>19050</xdr:rowOff>
    </xdr:to>
    <xdr:sp macro="" textlink="">
      <xdr:nvSpPr>
        <xdr:cNvPr id="1070603" name="Line 363">
          <a:extLst>
            <a:ext uri="{FF2B5EF4-FFF2-40B4-BE49-F238E27FC236}">
              <a16:creationId xmlns:a16="http://schemas.microsoft.com/office/drawing/2014/main" id="{00000000-0008-0000-0D00-00000B561000}"/>
            </a:ext>
          </a:extLst>
        </xdr:cNvPr>
        <xdr:cNvSpPr>
          <a:spLocks noChangeShapeType="1"/>
        </xdr:cNvSpPr>
      </xdr:nvSpPr>
      <xdr:spPr bwMode="auto">
        <a:xfrm>
          <a:off x="93906975" y="3695700"/>
          <a:ext cx="361950"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134</xdr:col>
      <xdr:colOff>76200</xdr:colOff>
      <xdr:row>17</xdr:row>
      <xdr:rowOff>9525</xdr:rowOff>
    </xdr:from>
    <xdr:to>
      <xdr:col>135</xdr:col>
      <xdr:colOff>0</xdr:colOff>
      <xdr:row>17</xdr:row>
      <xdr:rowOff>9525</xdr:rowOff>
    </xdr:to>
    <xdr:sp macro="" textlink="">
      <xdr:nvSpPr>
        <xdr:cNvPr id="1070604" name="Line 392">
          <a:extLst>
            <a:ext uri="{FF2B5EF4-FFF2-40B4-BE49-F238E27FC236}">
              <a16:creationId xmlns:a16="http://schemas.microsoft.com/office/drawing/2014/main" id="{00000000-0008-0000-0D00-00000C561000}"/>
            </a:ext>
          </a:extLst>
        </xdr:cNvPr>
        <xdr:cNvSpPr>
          <a:spLocks noChangeShapeType="1"/>
        </xdr:cNvSpPr>
      </xdr:nvSpPr>
      <xdr:spPr bwMode="auto">
        <a:xfrm>
          <a:off x="93887925" y="3686175"/>
          <a:ext cx="3714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373269</xdr:colOff>
      <xdr:row>0</xdr:row>
      <xdr:rowOff>358913</xdr:rowOff>
    </xdr:from>
    <xdr:to>
      <xdr:col>16</xdr:col>
      <xdr:colOff>124239</xdr:colOff>
      <xdr:row>1</xdr:row>
      <xdr:rowOff>410541</xdr:rowOff>
    </xdr:to>
    <xdr:sp macro="[0]!jmk_RETOUR_MENU" textlink="">
      <xdr:nvSpPr>
        <xdr:cNvPr id="1758" name="Rectangle à coins arrondis 1757">
          <a:extLst>
            <a:ext uri="{FF2B5EF4-FFF2-40B4-BE49-F238E27FC236}">
              <a16:creationId xmlns:a16="http://schemas.microsoft.com/office/drawing/2014/main" id="{00000000-0008-0000-0D00-0000DE060000}"/>
            </a:ext>
          </a:extLst>
        </xdr:cNvPr>
        <xdr:cNvSpPr/>
      </xdr:nvSpPr>
      <xdr:spPr bwMode="auto">
        <a:xfrm>
          <a:off x="9056204" y="358913"/>
          <a:ext cx="800100" cy="43815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 MENUS</a:t>
          </a:r>
        </a:p>
      </xdr:txBody>
    </xdr:sp>
    <xdr:clientData fPrintsWithSheet="0"/>
  </xdr:twoCellAnchor>
  <xdr:twoCellAnchor>
    <xdr:from>
      <xdr:col>14</xdr:col>
      <xdr:colOff>220869</xdr:colOff>
      <xdr:row>2</xdr:row>
      <xdr:rowOff>83101</xdr:rowOff>
    </xdr:from>
    <xdr:to>
      <xdr:col>16</xdr:col>
      <xdr:colOff>381414</xdr:colOff>
      <xdr:row>3</xdr:row>
      <xdr:rowOff>69987</xdr:rowOff>
    </xdr:to>
    <xdr:sp macro="[0]!jmk_imp_feuille" textlink="">
      <xdr:nvSpPr>
        <xdr:cNvPr id="1759" name="Rectangle à coins arrondis 1758">
          <a:extLst>
            <a:ext uri="{FF2B5EF4-FFF2-40B4-BE49-F238E27FC236}">
              <a16:creationId xmlns:a16="http://schemas.microsoft.com/office/drawing/2014/main" id="{00000000-0008-0000-0D00-0000DF060000}"/>
            </a:ext>
          </a:extLst>
        </xdr:cNvPr>
        <xdr:cNvSpPr/>
      </xdr:nvSpPr>
      <xdr:spPr bwMode="auto">
        <a:xfrm>
          <a:off x="8903804" y="911362"/>
          <a:ext cx="1209675" cy="42862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a:t>
          </a:r>
        </a:p>
      </xdr:txBody>
    </xdr:sp>
    <xdr:clientData fPrintsWithSheet="0"/>
  </xdr:twoCellAnchor>
  <xdr:twoCellAnchor>
    <xdr:from>
      <xdr:col>8</xdr:col>
      <xdr:colOff>0</xdr:colOff>
      <xdr:row>8</xdr:row>
      <xdr:rowOff>0</xdr:rowOff>
    </xdr:from>
    <xdr:to>
      <xdr:col>8</xdr:col>
      <xdr:colOff>76200</xdr:colOff>
      <xdr:row>8</xdr:row>
      <xdr:rowOff>9525</xdr:rowOff>
    </xdr:to>
    <xdr:sp macro="" textlink="">
      <xdr:nvSpPr>
        <xdr:cNvPr id="1070607" name="Line 1">
          <a:extLst>
            <a:ext uri="{FF2B5EF4-FFF2-40B4-BE49-F238E27FC236}">
              <a16:creationId xmlns:a16="http://schemas.microsoft.com/office/drawing/2014/main" id="{00000000-0008-0000-0D00-00000F561000}"/>
            </a:ext>
          </a:extLst>
        </xdr:cNvPr>
        <xdr:cNvSpPr>
          <a:spLocks noChangeShapeType="1"/>
        </xdr:cNvSpPr>
      </xdr:nvSpPr>
      <xdr:spPr bwMode="auto">
        <a:xfrm>
          <a:off x="4410075"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8</xdr:row>
      <xdr:rowOff>9525</xdr:rowOff>
    </xdr:from>
    <xdr:to>
      <xdr:col>8</xdr:col>
      <xdr:colOff>66675</xdr:colOff>
      <xdr:row>11</xdr:row>
      <xdr:rowOff>19050</xdr:rowOff>
    </xdr:to>
    <xdr:sp macro="" textlink="">
      <xdr:nvSpPr>
        <xdr:cNvPr id="1070608" name="Line 2">
          <a:extLst>
            <a:ext uri="{FF2B5EF4-FFF2-40B4-BE49-F238E27FC236}">
              <a16:creationId xmlns:a16="http://schemas.microsoft.com/office/drawing/2014/main" id="{00000000-0008-0000-0D00-000010561000}"/>
            </a:ext>
          </a:extLst>
        </xdr:cNvPr>
        <xdr:cNvSpPr>
          <a:spLocks noChangeShapeType="1"/>
        </xdr:cNvSpPr>
      </xdr:nvSpPr>
      <xdr:spPr bwMode="auto">
        <a:xfrm>
          <a:off x="4476750"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11</xdr:row>
      <xdr:rowOff>0</xdr:rowOff>
    </xdr:from>
    <xdr:to>
      <xdr:col>8</xdr:col>
      <xdr:colOff>66675</xdr:colOff>
      <xdr:row>11</xdr:row>
      <xdr:rowOff>9525</xdr:rowOff>
    </xdr:to>
    <xdr:sp macro="" textlink="">
      <xdr:nvSpPr>
        <xdr:cNvPr id="1070609" name="Line 3">
          <a:extLst>
            <a:ext uri="{FF2B5EF4-FFF2-40B4-BE49-F238E27FC236}">
              <a16:creationId xmlns:a16="http://schemas.microsoft.com/office/drawing/2014/main" id="{00000000-0008-0000-0D00-000011561000}"/>
            </a:ext>
          </a:extLst>
        </xdr:cNvPr>
        <xdr:cNvSpPr>
          <a:spLocks noChangeShapeType="1"/>
        </xdr:cNvSpPr>
      </xdr:nvSpPr>
      <xdr:spPr bwMode="auto">
        <a:xfrm flipV="1">
          <a:off x="4419600"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8</xdr:row>
      <xdr:rowOff>0</xdr:rowOff>
    </xdr:from>
    <xdr:to>
      <xdr:col>5</xdr:col>
      <xdr:colOff>76200</xdr:colOff>
      <xdr:row>8</xdr:row>
      <xdr:rowOff>9525</xdr:rowOff>
    </xdr:to>
    <xdr:sp macro="" textlink="">
      <xdr:nvSpPr>
        <xdr:cNvPr id="1070610" name="Line 4">
          <a:extLst>
            <a:ext uri="{FF2B5EF4-FFF2-40B4-BE49-F238E27FC236}">
              <a16:creationId xmlns:a16="http://schemas.microsoft.com/office/drawing/2014/main" id="{00000000-0008-0000-0D00-000012561000}"/>
            </a:ext>
          </a:extLst>
        </xdr:cNvPr>
        <xdr:cNvSpPr>
          <a:spLocks noChangeShapeType="1"/>
        </xdr:cNvSpPr>
      </xdr:nvSpPr>
      <xdr:spPr bwMode="auto">
        <a:xfrm>
          <a:off x="224790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66675</xdr:colOff>
      <xdr:row>8</xdr:row>
      <xdr:rowOff>9525</xdr:rowOff>
    </xdr:from>
    <xdr:to>
      <xdr:col>5</xdr:col>
      <xdr:colOff>66675</xdr:colOff>
      <xdr:row>11</xdr:row>
      <xdr:rowOff>19050</xdr:rowOff>
    </xdr:to>
    <xdr:sp macro="" textlink="">
      <xdr:nvSpPr>
        <xdr:cNvPr id="1070611" name="Line 5">
          <a:extLst>
            <a:ext uri="{FF2B5EF4-FFF2-40B4-BE49-F238E27FC236}">
              <a16:creationId xmlns:a16="http://schemas.microsoft.com/office/drawing/2014/main" id="{00000000-0008-0000-0D00-000013561000}"/>
            </a:ext>
          </a:extLst>
        </xdr:cNvPr>
        <xdr:cNvSpPr>
          <a:spLocks noChangeShapeType="1"/>
        </xdr:cNvSpPr>
      </xdr:nvSpPr>
      <xdr:spPr bwMode="auto">
        <a:xfrm>
          <a:off x="231457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11</xdr:row>
      <xdr:rowOff>0</xdr:rowOff>
    </xdr:from>
    <xdr:to>
      <xdr:col>5</xdr:col>
      <xdr:colOff>66675</xdr:colOff>
      <xdr:row>11</xdr:row>
      <xdr:rowOff>9525</xdr:rowOff>
    </xdr:to>
    <xdr:sp macro="" textlink="">
      <xdr:nvSpPr>
        <xdr:cNvPr id="1070612" name="Line 6">
          <a:extLst>
            <a:ext uri="{FF2B5EF4-FFF2-40B4-BE49-F238E27FC236}">
              <a16:creationId xmlns:a16="http://schemas.microsoft.com/office/drawing/2014/main" id="{00000000-0008-0000-0D00-000014561000}"/>
            </a:ext>
          </a:extLst>
        </xdr:cNvPr>
        <xdr:cNvSpPr>
          <a:spLocks noChangeShapeType="1"/>
        </xdr:cNvSpPr>
      </xdr:nvSpPr>
      <xdr:spPr bwMode="auto">
        <a:xfrm flipV="1">
          <a:off x="225742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14</xdr:row>
      <xdr:rowOff>0</xdr:rowOff>
    </xdr:from>
    <xdr:to>
      <xdr:col>5</xdr:col>
      <xdr:colOff>76200</xdr:colOff>
      <xdr:row>14</xdr:row>
      <xdr:rowOff>9525</xdr:rowOff>
    </xdr:to>
    <xdr:sp macro="" textlink="">
      <xdr:nvSpPr>
        <xdr:cNvPr id="1070613" name="Line 10">
          <a:extLst>
            <a:ext uri="{FF2B5EF4-FFF2-40B4-BE49-F238E27FC236}">
              <a16:creationId xmlns:a16="http://schemas.microsoft.com/office/drawing/2014/main" id="{00000000-0008-0000-0D00-000015561000}"/>
            </a:ext>
          </a:extLst>
        </xdr:cNvPr>
        <xdr:cNvSpPr>
          <a:spLocks noChangeShapeType="1"/>
        </xdr:cNvSpPr>
      </xdr:nvSpPr>
      <xdr:spPr bwMode="auto">
        <a:xfrm>
          <a:off x="224790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66675</xdr:colOff>
      <xdr:row>14</xdr:row>
      <xdr:rowOff>9525</xdr:rowOff>
    </xdr:from>
    <xdr:to>
      <xdr:col>5</xdr:col>
      <xdr:colOff>66675</xdr:colOff>
      <xdr:row>17</xdr:row>
      <xdr:rowOff>19050</xdr:rowOff>
    </xdr:to>
    <xdr:sp macro="" textlink="">
      <xdr:nvSpPr>
        <xdr:cNvPr id="1070614" name="Line 11">
          <a:extLst>
            <a:ext uri="{FF2B5EF4-FFF2-40B4-BE49-F238E27FC236}">
              <a16:creationId xmlns:a16="http://schemas.microsoft.com/office/drawing/2014/main" id="{00000000-0008-0000-0D00-000016561000}"/>
            </a:ext>
          </a:extLst>
        </xdr:cNvPr>
        <xdr:cNvSpPr>
          <a:spLocks noChangeShapeType="1"/>
        </xdr:cNvSpPr>
      </xdr:nvSpPr>
      <xdr:spPr bwMode="auto">
        <a:xfrm>
          <a:off x="231457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17</xdr:row>
      <xdr:rowOff>0</xdr:rowOff>
    </xdr:from>
    <xdr:to>
      <xdr:col>5</xdr:col>
      <xdr:colOff>66675</xdr:colOff>
      <xdr:row>17</xdr:row>
      <xdr:rowOff>9525</xdr:rowOff>
    </xdr:to>
    <xdr:sp macro="" textlink="">
      <xdr:nvSpPr>
        <xdr:cNvPr id="1070615" name="Line 12">
          <a:extLst>
            <a:ext uri="{FF2B5EF4-FFF2-40B4-BE49-F238E27FC236}">
              <a16:creationId xmlns:a16="http://schemas.microsoft.com/office/drawing/2014/main" id="{00000000-0008-0000-0D00-000017561000}"/>
            </a:ext>
          </a:extLst>
        </xdr:cNvPr>
        <xdr:cNvSpPr>
          <a:spLocks noChangeShapeType="1"/>
        </xdr:cNvSpPr>
      </xdr:nvSpPr>
      <xdr:spPr bwMode="auto">
        <a:xfrm flipV="1">
          <a:off x="225742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xdr:row>
      <xdr:rowOff>0</xdr:rowOff>
    </xdr:from>
    <xdr:to>
      <xdr:col>11</xdr:col>
      <xdr:colOff>76200</xdr:colOff>
      <xdr:row>8</xdr:row>
      <xdr:rowOff>9525</xdr:rowOff>
    </xdr:to>
    <xdr:sp macro="" textlink="">
      <xdr:nvSpPr>
        <xdr:cNvPr id="1070616" name="Line 16">
          <a:extLst>
            <a:ext uri="{FF2B5EF4-FFF2-40B4-BE49-F238E27FC236}">
              <a16:creationId xmlns:a16="http://schemas.microsoft.com/office/drawing/2014/main" id="{00000000-0008-0000-0D00-000018561000}"/>
            </a:ext>
          </a:extLst>
        </xdr:cNvPr>
        <xdr:cNvSpPr>
          <a:spLocks noChangeShapeType="1"/>
        </xdr:cNvSpPr>
      </xdr:nvSpPr>
      <xdr:spPr bwMode="auto">
        <a:xfrm>
          <a:off x="714375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8</xdr:row>
      <xdr:rowOff>9525</xdr:rowOff>
    </xdr:from>
    <xdr:to>
      <xdr:col>11</xdr:col>
      <xdr:colOff>66675</xdr:colOff>
      <xdr:row>11</xdr:row>
      <xdr:rowOff>19050</xdr:rowOff>
    </xdr:to>
    <xdr:sp macro="" textlink="">
      <xdr:nvSpPr>
        <xdr:cNvPr id="1070617" name="Line 17">
          <a:extLst>
            <a:ext uri="{FF2B5EF4-FFF2-40B4-BE49-F238E27FC236}">
              <a16:creationId xmlns:a16="http://schemas.microsoft.com/office/drawing/2014/main" id="{00000000-0008-0000-0D00-000019561000}"/>
            </a:ext>
          </a:extLst>
        </xdr:cNvPr>
        <xdr:cNvSpPr>
          <a:spLocks noChangeShapeType="1"/>
        </xdr:cNvSpPr>
      </xdr:nvSpPr>
      <xdr:spPr bwMode="auto">
        <a:xfrm>
          <a:off x="721042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11</xdr:row>
      <xdr:rowOff>0</xdr:rowOff>
    </xdr:from>
    <xdr:to>
      <xdr:col>11</xdr:col>
      <xdr:colOff>66675</xdr:colOff>
      <xdr:row>11</xdr:row>
      <xdr:rowOff>9525</xdr:rowOff>
    </xdr:to>
    <xdr:sp macro="" textlink="">
      <xdr:nvSpPr>
        <xdr:cNvPr id="1070618" name="Line 18">
          <a:extLst>
            <a:ext uri="{FF2B5EF4-FFF2-40B4-BE49-F238E27FC236}">
              <a16:creationId xmlns:a16="http://schemas.microsoft.com/office/drawing/2014/main" id="{00000000-0008-0000-0D00-00001A561000}"/>
            </a:ext>
          </a:extLst>
        </xdr:cNvPr>
        <xdr:cNvSpPr>
          <a:spLocks noChangeShapeType="1"/>
        </xdr:cNvSpPr>
      </xdr:nvSpPr>
      <xdr:spPr bwMode="auto">
        <a:xfrm flipV="1">
          <a:off x="715327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0</xdr:rowOff>
    </xdr:from>
    <xdr:to>
      <xdr:col>8</xdr:col>
      <xdr:colOff>76200</xdr:colOff>
      <xdr:row>14</xdr:row>
      <xdr:rowOff>9525</xdr:rowOff>
    </xdr:to>
    <xdr:sp macro="" textlink="">
      <xdr:nvSpPr>
        <xdr:cNvPr id="1070619" name="Line 19">
          <a:extLst>
            <a:ext uri="{FF2B5EF4-FFF2-40B4-BE49-F238E27FC236}">
              <a16:creationId xmlns:a16="http://schemas.microsoft.com/office/drawing/2014/main" id="{00000000-0008-0000-0D00-00001B561000}"/>
            </a:ext>
          </a:extLst>
        </xdr:cNvPr>
        <xdr:cNvSpPr>
          <a:spLocks noChangeShapeType="1"/>
        </xdr:cNvSpPr>
      </xdr:nvSpPr>
      <xdr:spPr bwMode="auto">
        <a:xfrm>
          <a:off x="441007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14</xdr:row>
      <xdr:rowOff>9525</xdr:rowOff>
    </xdr:from>
    <xdr:to>
      <xdr:col>8</xdr:col>
      <xdr:colOff>66675</xdr:colOff>
      <xdr:row>17</xdr:row>
      <xdr:rowOff>19050</xdr:rowOff>
    </xdr:to>
    <xdr:sp macro="" textlink="">
      <xdr:nvSpPr>
        <xdr:cNvPr id="1070620" name="Line 20">
          <a:extLst>
            <a:ext uri="{FF2B5EF4-FFF2-40B4-BE49-F238E27FC236}">
              <a16:creationId xmlns:a16="http://schemas.microsoft.com/office/drawing/2014/main" id="{00000000-0008-0000-0D00-00001C561000}"/>
            </a:ext>
          </a:extLst>
        </xdr:cNvPr>
        <xdr:cNvSpPr>
          <a:spLocks noChangeShapeType="1"/>
        </xdr:cNvSpPr>
      </xdr:nvSpPr>
      <xdr:spPr bwMode="auto">
        <a:xfrm>
          <a:off x="447675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17</xdr:row>
      <xdr:rowOff>0</xdr:rowOff>
    </xdr:from>
    <xdr:to>
      <xdr:col>8</xdr:col>
      <xdr:colOff>66675</xdr:colOff>
      <xdr:row>17</xdr:row>
      <xdr:rowOff>9525</xdr:rowOff>
    </xdr:to>
    <xdr:sp macro="" textlink="">
      <xdr:nvSpPr>
        <xdr:cNvPr id="1070621" name="Line 21">
          <a:extLst>
            <a:ext uri="{FF2B5EF4-FFF2-40B4-BE49-F238E27FC236}">
              <a16:creationId xmlns:a16="http://schemas.microsoft.com/office/drawing/2014/main" id="{00000000-0008-0000-0D00-00001D561000}"/>
            </a:ext>
          </a:extLst>
        </xdr:cNvPr>
        <xdr:cNvSpPr>
          <a:spLocks noChangeShapeType="1"/>
        </xdr:cNvSpPr>
      </xdr:nvSpPr>
      <xdr:spPr bwMode="auto">
        <a:xfrm flipV="1">
          <a:off x="44196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xdr:row>
      <xdr:rowOff>0</xdr:rowOff>
    </xdr:from>
    <xdr:to>
      <xdr:col>11</xdr:col>
      <xdr:colOff>76200</xdr:colOff>
      <xdr:row>14</xdr:row>
      <xdr:rowOff>9525</xdr:rowOff>
    </xdr:to>
    <xdr:sp macro="" textlink="">
      <xdr:nvSpPr>
        <xdr:cNvPr id="1070622" name="Line 25">
          <a:extLst>
            <a:ext uri="{FF2B5EF4-FFF2-40B4-BE49-F238E27FC236}">
              <a16:creationId xmlns:a16="http://schemas.microsoft.com/office/drawing/2014/main" id="{00000000-0008-0000-0D00-00001E561000}"/>
            </a:ext>
          </a:extLst>
        </xdr:cNvPr>
        <xdr:cNvSpPr>
          <a:spLocks noChangeShapeType="1"/>
        </xdr:cNvSpPr>
      </xdr:nvSpPr>
      <xdr:spPr bwMode="auto">
        <a:xfrm>
          <a:off x="714375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14</xdr:row>
      <xdr:rowOff>9525</xdr:rowOff>
    </xdr:from>
    <xdr:to>
      <xdr:col>11</xdr:col>
      <xdr:colOff>66675</xdr:colOff>
      <xdr:row>17</xdr:row>
      <xdr:rowOff>19050</xdr:rowOff>
    </xdr:to>
    <xdr:sp macro="" textlink="">
      <xdr:nvSpPr>
        <xdr:cNvPr id="1070623" name="Line 26">
          <a:extLst>
            <a:ext uri="{FF2B5EF4-FFF2-40B4-BE49-F238E27FC236}">
              <a16:creationId xmlns:a16="http://schemas.microsoft.com/office/drawing/2014/main" id="{00000000-0008-0000-0D00-00001F561000}"/>
            </a:ext>
          </a:extLst>
        </xdr:cNvPr>
        <xdr:cNvSpPr>
          <a:spLocks noChangeShapeType="1"/>
        </xdr:cNvSpPr>
      </xdr:nvSpPr>
      <xdr:spPr bwMode="auto">
        <a:xfrm>
          <a:off x="721042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17</xdr:row>
      <xdr:rowOff>0</xdr:rowOff>
    </xdr:from>
    <xdr:to>
      <xdr:col>11</xdr:col>
      <xdr:colOff>66675</xdr:colOff>
      <xdr:row>17</xdr:row>
      <xdr:rowOff>9525</xdr:rowOff>
    </xdr:to>
    <xdr:sp macro="" textlink="">
      <xdr:nvSpPr>
        <xdr:cNvPr id="1070624" name="Line 27">
          <a:extLst>
            <a:ext uri="{FF2B5EF4-FFF2-40B4-BE49-F238E27FC236}">
              <a16:creationId xmlns:a16="http://schemas.microsoft.com/office/drawing/2014/main" id="{00000000-0008-0000-0D00-000020561000}"/>
            </a:ext>
          </a:extLst>
        </xdr:cNvPr>
        <xdr:cNvSpPr>
          <a:spLocks noChangeShapeType="1"/>
        </xdr:cNvSpPr>
      </xdr:nvSpPr>
      <xdr:spPr bwMode="auto">
        <a:xfrm flipV="1">
          <a:off x="715327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20</xdr:row>
      <xdr:rowOff>0</xdr:rowOff>
    </xdr:from>
    <xdr:to>
      <xdr:col>11</xdr:col>
      <xdr:colOff>76200</xdr:colOff>
      <xdr:row>20</xdr:row>
      <xdr:rowOff>9525</xdr:rowOff>
    </xdr:to>
    <xdr:sp macro="" textlink="">
      <xdr:nvSpPr>
        <xdr:cNvPr id="1070625" name="Line 28">
          <a:extLst>
            <a:ext uri="{FF2B5EF4-FFF2-40B4-BE49-F238E27FC236}">
              <a16:creationId xmlns:a16="http://schemas.microsoft.com/office/drawing/2014/main" id="{00000000-0008-0000-0D00-000021561000}"/>
            </a:ext>
          </a:extLst>
        </xdr:cNvPr>
        <xdr:cNvSpPr>
          <a:spLocks noChangeShapeType="1"/>
        </xdr:cNvSpPr>
      </xdr:nvSpPr>
      <xdr:spPr bwMode="auto">
        <a:xfrm>
          <a:off x="714375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20</xdr:row>
      <xdr:rowOff>9525</xdr:rowOff>
    </xdr:from>
    <xdr:to>
      <xdr:col>11</xdr:col>
      <xdr:colOff>66675</xdr:colOff>
      <xdr:row>23</xdr:row>
      <xdr:rowOff>19050</xdr:rowOff>
    </xdr:to>
    <xdr:sp macro="" textlink="">
      <xdr:nvSpPr>
        <xdr:cNvPr id="1070626" name="Line 29">
          <a:extLst>
            <a:ext uri="{FF2B5EF4-FFF2-40B4-BE49-F238E27FC236}">
              <a16:creationId xmlns:a16="http://schemas.microsoft.com/office/drawing/2014/main" id="{00000000-0008-0000-0D00-000022561000}"/>
            </a:ext>
          </a:extLst>
        </xdr:cNvPr>
        <xdr:cNvSpPr>
          <a:spLocks noChangeShapeType="1"/>
        </xdr:cNvSpPr>
      </xdr:nvSpPr>
      <xdr:spPr bwMode="auto">
        <a:xfrm>
          <a:off x="721042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23</xdr:row>
      <xdr:rowOff>0</xdr:rowOff>
    </xdr:from>
    <xdr:to>
      <xdr:col>11</xdr:col>
      <xdr:colOff>66675</xdr:colOff>
      <xdr:row>23</xdr:row>
      <xdr:rowOff>9525</xdr:rowOff>
    </xdr:to>
    <xdr:sp macro="" textlink="">
      <xdr:nvSpPr>
        <xdr:cNvPr id="1070627" name="Line 30">
          <a:extLst>
            <a:ext uri="{FF2B5EF4-FFF2-40B4-BE49-F238E27FC236}">
              <a16:creationId xmlns:a16="http://schemas.microsoft.com/office/drawing/2014/main" id="{00000000-0008-0000-0D00-000023561000}"/>
            </a:ext>
          </a:extLst>
        </xdr:cNvPr>
        <xdr:cNvSpPr>
          <a:spLocks noChangeShapeType="1"/>
        </xdr:cNvSpPr>
      </xdr:nvSpPr>
      <xdr:spPr bwMode="auto">
        <a:xfrm flipV="1">
          <a:off x="71532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76200</xdr:colOff>
      <xdr:row>20</xdr:row>
      <xdr:rowOff>9525</xdr:rowOff>
    </xdr:to>
    <xdr:sp macro="" textlink="">
      <xdr:nvSpPr>
        <xdr:cNvPr id="1070628" name="Line 31">
          <a:extLst>
            <a:ext uri="{FF2B5EF4-FFF2-40B4-BE49-F238E27FC236}">
              <a16:creationId xmlns:a16="http://schemas.microsoft.com/office/drawing/2014/main" id="{00000000-0008-0000-0D00-000024561000}"/>
            </a:ext>
          </a:extLst>
        </xdr:cNvPr>
        <xdr:cNvSpPr>
          <a:spLocks noChangeShapeType="1"/>
        </xdr:cNvSpPr>
      </xdr:nvSpPr>
      <xdr:spPr bwMode="auto">
        <a:xfrm>
          <a:off x="44100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20</xdr:row>
      <xdr:rowOff>9525</xdr:rowOff>
    </xdr:from>
    <xdr:to>
      <xdr:col>8</xdr:col>
      <xdr:colOff>66675</xdr:colOff>
      <xdr:row>23</xdr:row>
      <xdr:rowOff>19050</xdr:rowOff>
    </xdr:to>
    <xdr:sp macro="" textlink="">
      <xdr:nvSpPr>
        <xdr:cNvPr id="1070629" name="Line 32">
          <a:extLst>
            <a:ext uri="{FF2B5EF4-FFF2-40B4-BE49-F238E27FC236}">
              <a16:creationId xmlns:a16="http://schemas.microsoft.com/office/drawing/2014/main" id="{00000000-0008-0000-0D00-000025561000}"/>
            </a:ext>
          </a:extLst>
        </xdr:cNvPr>
        <xdr:cNvSpPr>
          <a:spLocks noChangeShapeType="1"/>
        </xdr:cNvSpPr>
      </xdr:nvSpPr>
      <xdr:spPr bwMode="auto">
        <a:xfrm>
          <a:off x="447675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23</xdr:row>
      <xdr:rowOff>0</xdr:rowOff>
    </xdr:from>
    <xdr:to>
      <xdr:col>8</xdr:col>
      <xdr:colOff>66675</xdr:colOff>
      <xdr:row>23</xdr:row>
      <xdr:rowOff>9525</xdr:rowOff>
    </xdr:to>
    <xdr:sp macro="" textlink="">
      <xdr:nvSpPr>
        <xdr:cNvPr id="1070630" name="Line 33">
          <a:extLst>
            <a:ext uri="{FF2B5EF4-FFF2-40B4-BE49-F238E27FC236}">
              <a16:creationId xmlns:a16="http://schemas.microsoft.com/office/drawing/2014/main" id="{00000000-0008-0000-0D00-000026561000}"/>
            </a:ext>
          </a:extLst>
        </xdr:cNvPr>
        <xdr:cNvSpPr>
          <a:spLocks noChangeShapeType="1"/>
        </xdr:cNvSpPr>
      </xdr:nvSpPr>
      <xdr:spPr bwMode="auto">
        <a:xfrm flipV="1">
          <a:off x="441960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20</xdr:row>
      <xdr:rowOff>0</xdr:rowOff>
    </xdr:from>
    <xdr:to>
      <xdr:col>5</xdr:col>
      <xdr:colOff>76200</xdr:colOff>
      <xdr:row>20</xdr:row>
      <xdr:rowOff>9525</xdr:rowOff>
    </xdr:to>
    <xdr:sp macro="" textlink="">
      <xdr:nvSpPr>
        <xdr:cNvPr id="1070631" name="Line 34">
          <a:extLst>
            <a:ext uri="{FF2B5EF4-FFF2-40B4-BE49-F238E27FC236}">
              <a16:creationId xmlns:a16="http://schemas.microsoft.com/office/drawing/2014/main" id="{00000000-0008-0000-0D00-000027561000}"/>
            </a:ext>
          </a:extLst>
        </xdr:cNvPr>
        <xdr:cNvSpPr>
          <a:spLocks noChangeShapeType="1"/>
        </xdr:cNvSpPr>
      </xdr:nvSpPr>
      <xdr:spPr bwMode="auto">
        <a:xfrm>
          <a:off x="224790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66675</xdr:colOff>
      <xdr:row>20</xdr:row>
      <xdr:rowOff>9525</xdr:rowOff>
    </xdr:from>
    <xdr:to>
      <xdr:col>5</xdr:col>
      <xdr:colOff>66675</xdr:colOff>
      <xdr:row>23</xdr:row>
      <xdr:rowOff>19050</xdr:rowOff>
    </xdr:to>
    <xdr:sp macro="" textlink="">
      <xdr:nvSpPr>
        <xdr:cNvPr id="1070632" name="Line 35">
          <a:extLst>
            <a:ext uri="{FF2B5EF4-FFF2-40B4-BE49-F238E27FC236}">
              <a16:creationId xmlns:a16="http://schemas.microsoft.com/office/drawing/2014/main" id="{00000000-0008-0000-0D00-000028561000}"/>
            </a:ext>
          </a:extLst>
        </xdr:cNvPr>
        <xdr:cNvSpPr>
          <a:spLocks noChangeShapeType="1"/>
        </xdr:cNvSpPr>
      </xdr:nvSpPr>
      <xdr:spPr bwMode="auto">
        <a:xfrm>
          <a:off x="231457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23</xdr:row>
      <xdr:rowOff>0</xdr:rowOff>
    </xdr:from>
    <xdr:to>
      <xdr:col>5</xdr:col>
      <xdr:colOff>66675</xdr:colOff>
      <xdr:row>23</xdr:row>
      <xdr:rowOff>9525</xdr:rowOff>
    </xdr:to>
    <xdr:sp macro="" textlink="">
      <xdr:nvSpPr>
        <xdr:cNvPr id="1070633" name="Line 36">
          <a:extLst>
            <a:ext uri="{FF2B5EF4-FFF2-40B4-BE49-F238E27FC236}">
              <a16:creationId xmlns:a16="http://schemas.microsoft.com/office/drawing/2014/main" id="{00000000-0008-0000-0D00-000029561000}"/>
            </a:ext>
          </a:extLst>
        </xdr:cNvPr>
        <xdr:cNvSpPr>
          <a:spLocks noChangeShapeType="1"/>
        </xdr:cNvSpPr>
      </xdr:nvSpPr>
      <xdr:spPr bwMode="auto">
        <a:xfrm flipV="1">
          <a:off x="225742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26</xdr:row>
      <xdr:rowOff>0</xdr:rowOff>
    </xdr:from>
    <xdr:to>
      <xdr:col>5</xdr:col>
      <xdr:colOff>76200</xdr:colOff>
      <xdr:row>26</xdr:row>
      <xdr:rowOff>9525</xdr:rowOff>
    </xdr:to>
    <xdr:sp macro="" textlink="">
      <xdr:nvSpPr>
        <xdr:cNvPr id="1070634" name="Line 37">
          <a:extLst>
            <a:ext uri="{FF2B5EF4-FFF2-40B4-BE49-F238E27FC236}">
              <a16:creationId xmlns:a16="http://schemas.microsoft.com/office/drawing/2014/main" id="{00000000-0008-0000-0D00-00002A561000}"/>
            </a:ext>
          </a:extLst>
        </xdr:cNvPr>
        <xdr:cNvSpPr>
          <a:spLocks noChangeShapeType="1"/>
        </xdr:cNvSpPr>
      </xdr:nvSpPr>
      <xdr:spPr bwMode="auto">
        <a:xfrm>
          <a:off x="224790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66675</xdr:colOff>
      <xdr:row>26</xdr:row>
      <xdr:rowOff>9525</xdr:rowOff>
    </xdr:from>
    <xdr:to>
      <xdr:col>5</xdr:col>
      <xdr:colOff>66675</xdr:colOff>
      <xdr:row>29</xdr:row>
      <xdr:rowOff>19050</xdr:rowOff>
    </xdr:to>
    <xdr:sp macro="" textlink="">
      <xdr:nvSpPr>
        <xdr:cNvPr id="1070635" name="Line 38">
          <a:extLst>
            <a:ext uri="{FF2B5EF4-FFF2-40B4-BE49-F238E27FC236}">
              <a16:creationId xmlns:a16="http://schemas.microsoft.com/office/drawing/2014/main" id="{00000000-0008-0000-0D00-00002B561000}"/>
            </a:ext>
          </a:extLst>
        </xdr:cNvPr>
        <xdr:cNvSpPr>
          <a:spLocks noChangeShapeType="1"/>
        </xdr:cNvSpPr>
      </xdr:nvSpPr>
      <xdr:spPr bwMode="auto">
        <a:xfrm>
          <a:off x="231457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29</xdr:row>
      <xdr:rowOff>0</xdr:rowOff>
    </xdr:from>
    <xdr:to>
      <xdr:col>5</xdr:col>
      <xdr:colOff>66675</xdr:colOff>
      <xdr:row>29</xdr:row>
      <xdr:rowOff>9525</xdr:rowOff>
    </xdr:to>
    <xdr:sp macro="" textlink="">
      <xdr:nvSpPr>
        <xdr:cNvPr id="1070636" name="Line 39">
          <a:extLst>
            <a:ext uri="{FF2B5EF4-FFF2-40B4-BE49-F238E27FC236}">
              <a16:creationId xmlns:a16="http://schemas.microsoft.com/office/drawing/2014/main" id="{00000000-0008-0000-0D00-00002C561000}"/>
            </a:ext>
          </a:extLst>
        </xdr:cNvPr>
        <xdr:cNvSpPr>
          <a:spLocks noChangeShapeType="1"/>
        </xdr:cNvSpPr>
      </xdr:nvSpPr>
      <xdr:spPr bwMode="auto">
        <a:xfrm flipV="1">
          <a:off x="225742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26</xdr:row>
      <xdr:rowOff>0</xdr:rowOff>
    </xdr:from>
    <xdr:to>
      <xdr:col>8</xdr:col>
      <xdr:colOff>76200</xdr:colOff>
      <xdr:row>26</xdr:row>
      <xdr:rowOff>9525</xdr:rowOff>
    </xdr:to>
    <xdr:sp macro="" textlink="">
      <xdr:nvSpPr>
        <xdr:cNvPr id="1070637" name="Line 40">
          <a:extLst>
            <a:ext uri="{FF2B5EF4-FFF2-40B4-BE49-F238E27FC236}">
              <a16:creationId xmlns:a16="http://schemas.microsoft.com/office/drawing/2014/main" id="{00000000-0008-0000-0D00-00002D561000}"/>
            </a:ext>
          </a:extLst>
        </xdr:cNvPr>
        <xdr:cNvSpPr>
          <a:spLocks noChangeShapeType="1"/>
        </xdr:cNvSpPr>
      </xdr:nvSpPr>
      <xdr:spPr bwMode="auto">
        <a:xfrm>
          <a:off x="441007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26</xdr:row>
      <xdr:rowOff>9525</xdr:rowOff>
    </xdr:from>
    <xdr:to>
      <xdr:col>8</xdr:col>
      <xdr:colOff>66675</xdr:colOff>
      <xdr:row>29</xdr:row>
      <xdr:rowOff>19050</xdr:rowOff>
    </xdr:to>
    <xdr:sp macro="" textlink="">
      <xdr:nvSpPr>
        <xdr:cNvPr id="1070638" name="Line 41">
          <a:extLst>
            <a:ext uri="{FF2B5EF4-FFF2-40B4-BE49-F238E27FC236}">
              <a16:creationId xmlns:a16="http://schemas.microsoft.com/office/drawing/2014/main" id="{00000000-0008-0000-0D00-00002E561000}"/>
            </a:ext>
          </a:extLst>
        </xdr:cNvPr>
        <xdr:cNvSpPr>
          <a:spLocks noChangeShapeType="1"/>
        </xdr:cNvSpPr>
      </xdr:nvSpPr>
      <xdr:spPr bwMode="auto">
        <a:xfrm>
          <a:off x="447675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29</xdr:row>
      <xdr:rowOff>0</xdr:rowOff>
    </xdr:from>
    <xdr:to>
      <xdr:col>8</xdr:col>
      <xdr:colOff>66675</xdr:colOff>
      <xdr:row>29</xdr:row>
      <xdr:rowOff>9525</xdr:rowOff>
    </xdr:to>
    <xdr:sp macro="" textlink="">
      <xdr:nvSpPr>
        <xdr:cNvPr id="1070639" name="Line 42">
          <a:extLst>
            <a:ext uri="{FF2B5EF4-FFF2-40B4-BE49-F238E27FC236}">
              <a16:creationId xmlns:a16="http://schemas.microsoft.com/office/drawing/2014/main" id="{00000000-0008-0000-0D00-00002F561000}"/>
            </a:ext>
          </a:extLst>
        </xdr:cNvPr>
        <xdr:cNvSpPr>
          <a:spLocks noChangeShapeType="1"/>
        </xdr:cNvSpPr>
      </xdr:nvSpPr>
      <xdr:spPr bwMode="auto">
        <a:xfrm flipV="1">
          <a:off x="441960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26</xdr:row>
      <xdr:rowOff>0</xdr:rowOff>
    </xdr:from>
    <xdr:to>
      <xdr:col>11</xdr:col>
      <xdr:colOff>76200</xdr:colOff>
      <xdr:row>26</xdr:row>
      <xdr:rowOff>9525</xdr:rowOff>
    </xdr:to>
    <xdr:sp macro="" textlink="">
      <xdr:nvSpPr>
        <xdr:cNvPr id="1070640" name="Line 43">
          <a:extLst>
            <a:ext uri="{FF2B5EF4-FFF2-40B4-BE49-F238E27FC236}">
              <a16:creationId xmlns:a16="http://schemas.microsoft.com/office/drawing/2014/main" id="{00000000-0008-0000-0D00-000030561000}"/>
            </a:ext>
          </a:extLst>
        </xdr:cNvPr>
        <xdr:cNvSpPr>
          <a:spLocks noChangeShapeType="1"/>
        </xdr:cNvSpPr>
      </xdr:nvSpPr>
      <xdr:spPr bwMode="auto">
        <a:xfrm>
          <a:off x="714375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26</xdr:row>
      <xdr:rowOff>9525</xdr:rowOff>
    </xdr:from>
    <xdr:to>
      <xdr:col>11</xdr:col>
      <xdr:colOff>66675</xdr:colOff>
      <xdr:row>29</xdr:row>
      <xdr:rowOff>19050</xdr:rowOff>
    </xdr:to>
    <xdr:sp macro="" textlink="">
      <xdr:nvSpPr>
        <xdr:cNvPr id="1070641" name="Line 44">
          <a:extLst>
            <a:ext uri="{FF2B5EF4-FFF2-40B4-BE49-F238E27FC236}">
              <a16:creationId xmlns:a16="http://schemas.microsoft.com/office/drawing/2014/main" id="{00000000-0008-0000-0D00-000031561000}"/>
            </a:ext>
          </a:extLst>
        </xdr:cNvPr>
        <xdr:cNvSpPr>
          <a:spLocks noChangeShapeType="1"/>
        </xdr:cNvSpPr>
      </xdr:nvSpPr>
      <xdr:spPr bwMode="auto">
        <a:xfrm>
          <a:off x="721042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29</xdr:row>
      <xdr:rowOff>0</xdr:rowOff>
    </xdr:from>
    <xdr:to>
      <xdr:col>11</xdr:col>
      <xdr:colOff>66675</xdr:colOff>
      <xdr:row>29</xdr:row>
      <xdr:rowOff>9525</xdr:rowOff>
    </xdr:to>
    <xdr:sp macro="" textlink="">
      <xdr:nvSpPr>
        <xdr:cNvPr id="1070642" name="Line 45">
          <a:extLst>
            <a:ext uri="{FF2B5EF4-FFF2-40B4-BE49-F238E27FC236}">
              <a16:creationId xmlns:a16="http://schemas.microsoft.com/office/drawing/2014/main" id="{00000000-0008-0000-0D00-000032561000}"/>
            </a:ext>
          </a:extLst>
        </xdr:cNvPr>
        <xdr:cNvSpPr>
          <a:spLocks noChangeShapeType="1"/>
        </xdr:cNvSpPr>
      </xdr:nvSpPr>
      <xdr:spPr bwMode="auto">
        <a:xfrm flipV="1">
          <a:off x="715327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32</xdr:row>
      <xdr:rowOff>0</xdr:rowOff>
    </xdr:from>
    <xdr:to>
      <xdr:col>5</xdr:col>
      <xdr:colOff>76200</xdr:colOff>
      <xdr:row>32</xdr:row>
      <xdr:rowOff>9525</xdr:rowOff>
    </xdr:to>
    <xdr:sp macro="" textlink="">
      <xdr:nvSpPr>
        <xdr:cNvPr id="1070643" name="Line 46">
          <a:extLst>
            <a:ext uri="{FF2B5EF4-FFF2-40B4-BE49-F238E27FC236}">
              <a16:creationId xmlns:a16="http://schemas.microsoft.com/office/drawing/2014/main" id="{00000000-0008-0000-0D00-000033561000}"/>
            </a:ext>
          </a:extLst>
        </xdr:cNvPr>
        <xdr:cNvSpPr>
          <a:spLocks noChangeShapeType="1"/>
        </xdr:cNvSpPr>
      </xdr:nvSpPr>
      <xdr:spPr bwMode="auto">
        <a:xfrm>
          <a:off x="22479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35</xdr:row>
      <xdr:rowOff>0</xdr:rowOff>
    </xdr:from>
    <xdr:to>
      <xdr:col>5</xdr:col>
      <xdr:colOff>66675</xdr:colOff>
      <xdr:row>35</xdr:row>
      <xdr:rowOff>9525</xdr:rowOff>
    </xdr:to>
    <xdr:sp macro="" textlink="">
      <xdr:nvSpPr>
        <xdr:cNvPr id="1070644" name="Line 48">
          <a:extLst>
            <a:ext uri="{FF2B5EF4-FFF2-40B4-BE49-F238E27FC236}">
              <a16:creationId xmlns:a16="http://schemas.microsoft.com/office/drawing/2014/main" id="{00000000-0008-0000-0D00-000034561000}"/>
            </a:ext>
          </a:extLst>
        </xdr:cNvPr>
        <xdr:cNvSpPr>
          <a:spLocks noChangeShapeType="1"/>
        </xdr:cNvSpPr>
      </xdr:nvSpPr>
      <xdr:spPr bwMode="auto">
        <a:xfrm flipV="1">
          <a:off x="22574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76200</xdr:colOff>
      <xdr:row>32</xdr:row>
      <xdr:rowOff>9525</xdr:rowOff>
    </xdr:to>
    <xdr:sp macro="" textlink="">
      <xdr:nvSpPr>
        <xdr:cNvPr id="1070645" name="Line 49">
          <a:extLst>
            <a:ext uri="{FF2B5EF4-FFF2-40B4-BE49-F238E27FC236}">
              <a16:creationId xmlns:a16="http://schemas.microsoft.com/office/drawing/2014/main" id="{00000000-0008-0000-0D00-000035561000}"/>
            </a:ext>
          </a:extLst>
        </xdr:cNvPr>
        <xdr:cNvSpPr>
          <a:spLocks noChangeShapeType="1"/>
        </xdr:cNvSpPr>
      </xdr:nvSpPr>
      <xdr:spPr bwMode="auto">
        <a:xfrm>
          <a:off x="441007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32</xdr:row>
      <xdr:rowOff>9525</xdr:rowOff>
    </xdr:from>
    <xdr:to>
      <xdr:col>8</xdr:col>
      <xdr:colOff>66675</xdr:colOff>
      <xdr:row>35</xdr:row>
      <xdr:rowOff>19050</xdr:rowOff>
    </xdr:to>
    <xdr:sp macro="" textlink="">
      <xdr:nvSpPr>
        <xdr:cNvPr id="1070646" name="Line 50">
          <a:extLst>
            <a:ext uri="{FF2B5EF4-FFF2-40B4-BE49-F238E27FC236}">
              <a16:creationId xmlns:a16="http://schemas.microsoft.com/office/drawing/2014/main" id="{00000000-0008-0000-0D00-000036561000}"/>
            </a:ext>
          </a:extLst>
        </xdr:cNvPr>
        <xdr:cNvSpPr>
          <a:spLocks noChangeShapeType="1"/>
        </xdr:cNvSpPr>
      </xdr:nvSpPr>
      <xdr:spPr bwMode="auto">
        <a:xfrm>
          <a:off x="4476750"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35</xdr:row>
      <xdr:rowOff>0</xdr:rowOff>
    </xdr:from>
    <xdr:to>
      <xdr:col>8</xdr:col>
      <xdr:colOff>66675</xdr:colOff>
      <xdr:row>35</xdr:row>
      <xdr:rowOff>9525</xdr:rowOff>
    </xdr:to>
    <xdr:sp macro="" textlink="">
      <xdr:nvSpPr>
        <xdr:cNvPr id="1070647" name="Line 51">
          <a:extLst>
            <a:ext uri="{FF2B5EF4-FFF2-40B4-BE49-F238E27FC236}">
              <a16:creationId xmlns:a16="http://schemas.microsoft.com/office/drawing/2014/main" id="{00000000-0008-0000-0D00-000037561000}"/>
            </a:ext>
          </a:extLst>
        </xdr:cNvPr>
        <xdr:cNvSpPr>
          <a:spLocks noChangeShapeType="1"/>
        </xdr:cNvSpPr>
      </xdr:nvSpPr>
      <xdr:spPr bwMode="auto">
        <a:xfrm flipV="1">
          <a:off x="441960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76200</xdr:colOff>
      <xdr:row>32</xdr:row>
      <xdr:rowOff>9525</xdr:rowOff>
    </xdr:to>
    <xdr:sp macro="" textlink="">
      <xdr:nvSpPr>
        <xdr:cNvPr id="1070648" name="Line 52">
          <a:extLst>
            <a:ext uri="{FF2B5EF4-FFF2-40B4-BE49-F238E27FC236}">
              <a16:creationId xmlns:a16="http://schemas.microsoft.com/office/drawing/2014/main" id="{00000000-0008-0000-0D00-000038561000}"/>
            </a:ext>
          </a:extLst>
        </xdr:cNvPr>
        <xdr:cNvSpPr>
          <a:spLocks noChangeShapeType="1"/>
        </xdr:cNvSpPr>
      </xdr:nvSpPr>
      <xdr:spPr bwMode="auto">
        <a:xfrm>
          <a:off x="714375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32</xdr:row>
      <xdr:rowOff>9525</xdr:rowOff>
    </xdr:from>
    <xdr:to>
      <xdr:col>11</xdr:col>
      <xdr:colOff>66675</xdr:colOff>
      <xdr:row>35</xdr:row>
      <xdr:rowOff>19050</xdr:rowOff>
    </xdr:to>
    <xdr:sp macro="" textlink="">
      <xdr:nvSpPr>
        <xdr:cNvPr id="1070649" name="Line 53">
          <a:extLst>
            <a:ext uri="{FF2B5EF4-FFF2-40B4-BE49-F238E27FC236}">
              <a16:creationId xmlns:a16="http://schemas.microsoft.com/office/drawing/2014/main" id="{00000000-0008-0000-0D00-000039561000}"/>
            </a:ext>
          </a:extLst>
        </xdr:cNvPr>
        <xdr:cNvSpPr>
          <a:spLocks noChangeShapeType="1"/>
        </xdr:cNvSpPr>
      </xdr:nvSpPr>
      <xdr:spPr bwMode="auto">
        <a:xfrm>
          <a:off x="721042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35</xdr:row>
      <xdr:rowOff>0</xdr:rowOff>
    </xdr:from>
    <xdr:to>
      <xdr:col>11</xdr:col>
      <xdr:colOff>66675</xdr:colOff>
      <xdr:row>35</xdr:row>
      <xdr:rowOff>9525</xdr:rowOff>
    </xdr:to>
    <xdr:sp macro="" textlink="">
      <xdr:nvSpPr>
        <xdr:cNvPr id="1070650" name="Line 54">
          <a:extLst>
            <a:ext uri="{FF2B5EF4-FFF2-40B4-BE49-F238E27FC236}">
              <a16:creationId xmlns:a16="http://schemas.microsoft.com/office/drawing/2014/main" id="{00000000-0008-0000-0D00-00003A561000}"/>
            </a:ext>
          </a:extLst>
        </xdr:cNvPr>
        <xdr:cNvSpPr>
          <a:spLocks noChangeShapeType="1"/>
        </xdr:cNvSpPr>
      </xdr:nvSpPr>
      <xdr:spPr bwMode="auto">
        <a:xfrm flipV="1">
          <a:off x="715327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8</xdr:row>
      <xdr:rowOff>9525</xdr:rowOff>
    </xdr:from>
    <xdr:to>
      <xdr:col>9</xdr:col>
      <xdr:colOff>0</xdr:colOff>
      <xdr:row>9</xdr:row>
      <xdr:rowOff>66675</xdr:rowOff>
    </xdr:to>
    <xdr:sp macro="" textlink="">
      <xdr:nvSpPr>
        <xdr:cNvPr id="1070651" name="Line 64">
          <a:extLst>
            <a:ext uri="{FF2B5EF4-FFF2-40B4-BE49-F238E27FC236}">
              <a16:creationId xmlns:a16="http://schemas.microsoft.com/office/drawing/2014/main" id="{00000000-0008-0000-0D00-00003B561000}"/>
            </a:ext>
          </a:extLst>
        </xdr:cNvPr>
        <xdr:cNvSpPr>
          <a:spLocks noChangeShapeType="1"/>
        </xdr:cNvSpPr>
      </xdr:nvSpPr>
      <xdr:spPr bwMode="auto">
        <a:xfrm flipV="1">
          <a:off x="4476750" y="2057400"/>
          <a:ext cx="342900" cy="2381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66675</xdr:colOff>
      <xdr:row>9</xdr:row>
      <xdr:rowOff>76200</xdr:rowOff>
    </xdr:from>
    <xdr:to>
      <xdr:col>9</xdr:col>
      <xdr:colOff>0</xdr:colOff>
      <xdr:row>13</xdr:row>
      <xdr:rowOff>0</xdr:rowOff>
    </xdr:to>
    <xdr:sp macro="" textlink="">
      <xdr:nvSpPr>
        <xdr:cNvPr id="1070652" name="Line 66">
          <a:extLst>
            <a:ext uri="{FF2B5EF4-FFF2-40B4-BE49-F238E27FC236}">
              <a16:creationId xmlns:a16="http://schemas.microsoft.com/office/drawing/2014/main" id="{00000000-0008-0000-0D00-00003C561000}"/>
            </a:ext>
          </a:extLst>
        </xdr:cNvPr>
        <xdr:cNvSpPr>
          <a:spLocks noChangeShapeType="1"/>
        </xdr:cNvSpPr>
      </xdr:nvSpPr>
      <xdr:spPr bwMode="auto">
        <a:xfrm>
          <a:off x="4476750" y="2305050"/>
          <a:ext cx="342900" cy="6477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76200</xdr:colOff>
      <xdr:row>32</xdr:row>
      <xdr:rowOff>9525</xdr:rowOff>
    </xdr:to>
    <xdr:sp macro="" textlink="">
      <xdr:nvSpPr>
        <xdr:cNvPr id="1070653" name="Line 72">
          <a:extLst>
            <a:ext uri="{FF2B5EF4-FFF2-40B4-BE49-F238E27FC236}">
              <a16:creationId xmlns:a16="http://schemas.microsoft.com/office/drawing/2014/main" id="{00000000-0008-0000-0D00-00003D561000}"/>
            </a:ext>
          </a:extLst>
        </xdr:cNvPr>
        <xdr:cNvSpPr>
          <a:spLocks noChangeShapeType="1"/>
        </xdr:cNvSpPr>
      </xdr:nvSpPr>
      <xdr:spPr bwMode="auto">
        <a:xfrm>
          <a:off x="714375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32</xdr:row>
      <xdr:rowOff>9525</xdr:rowOff>
    </xdr:from>
    <xdr:to>
      <xdr:col>11</xdr:col>
      <xdr:colOff>66675</xdr:colOff>
      <xdr:row>35</xdr:row>
      <xdr:rowOff>19050</xdr:rowOff>
    </xdr:to>
    <xdr:sp macro="" textlink="">
      <xdr:nvSpPr>
        <xdr:cNvPr id="1070654" name="Line 73">
          <a:extLst>
            <a:ext uri="{FF2B5EF4-FFF2-40B4-BE49-F238E27FC236}">
              <a16:creationId xmlns:a16="http://schemas.microsoft.com/office/drawing/2014/main" id="{00000000-0008-0000-0D00-00003E561000}"/>
            </a:ext>
          </a:extLst>
        </xdr:cNvPr>
        <xdr:cNvSpPr>
          <a:spLocks noChangeShapeType="1"/>
        </xdr:cNvSpPr>
      </xdr:nvSpPr>
      <xdr:spPr bwMode="auto">
        <a:xfrm>
          <a:off x="721042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35</xdr:row>
      <xdr:rowOff>0</xdr:rowOff>
    </xdr:from>
    <xdr:to>
      <xdr:col>11</xdr:col>
      <xdr:colOff>66675</xdr:colOff>
      <xdr:row>35</xdr:row>
      <xdr:rowOff>9525</xdr:rowOff>
    </xdr:to>
    <xdr:sp macro="" textlink="">
      <xdr:nvSpPr>
        <xdr:cNvPr id="1070655" name="Line 74">
          <a:extLst>
            <a:ext uri="{FF2B5EF4-FFF2-40B4-BE49-F238E27FC236}">
              <a16:creationId xmlns:a16="http://schemas.microsoft.com/office/drawing/2014/main" id="{00000000-0008-0000-0D00-00003F561000}"/>
            </a:ext>
          </a:extLst>
        </xdr:cNvPr>
        <xdr:cNvSpPr>
          <a:spLocks noChangeShapeType="1"/>
        </xdr:cNvSpPr>
      </xdr:nvSpPr>
      <xdr:spPr bwMode="auto">
        <a:xfrm flipV="1">
          <a:off x="715327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26</xdr:row>
      <xdr:rowOff>0</xdr:rowOff>
    </xdr:from>
    <xdr:to>
      <xdr:col>11</xdr:col>
      <xdr:colOff>76200</xdr:colOff>
      <xdr:row>26</xdr:row>
      <xdr:rowOff>9525</xdr:rowOff>
    </xdr:to>
    <xdr:sp macro="" textlink="">
      <xdr:nvSpPr>
        <xdr:cNvPr id="1070656" name="Line 77">
          <a:extLst>
            <a:ext uri="{FF2B5EF4-FFF2-40B4-BE49-F238E27FC236}">
              <a16:creationId xmlns:a16="http://schemas.microsoft.com/office/drawing/2014/main" id="{00000000-0008-0000-0D00-000040561000}"/>
            </a:ext>
          </a:extLst>
        </xdr:cNvPr>
        <xdr:cNvSpPr>
          <a:spLocks noChangeShapeType="1"/>
        </xdr:cNvSpPr>
      </xdr:nvSpPr>
      <xdr:spPr bwMode="auto">
        <a:xfrm>
          <a:off x="714375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26</xdr:row>
      <xdr:rowOff>9525</xdr:rowOff>
    </xdr:from>
    <xdr:to>
      <xdr:col>11</xdr:col>
      <xdr:colOff>66675</xdr:colOff>
      <xdr:row>29</xdr:row>
      <xdr:rowOff>19050</xdr:rowOff>
    </xdr:to>
    <xdr:sp macro="" textlink="">
      <xdr:nvSpPr>
        <xdr:cNvPr id="1070657" name="Line 78">
          <a:extLst>
            <a:ext uri="{FF2B5EF4-FFF2-40B4-BE49-F238E27FC236}">
              <a16:creationId xmlns:a16="http://schemas.microsoft.com/office/drawing/2014/main" id="{00000000-0008-0000-0D00-000041561000}"/>
            </a:ext>
          </a:extLst>
        </xdr:cNvPr>
        <xdr:cNvSpPr>
          <a:spLocks noChangeShapeType="1"/>
        </xdr:cNvSpPr>
      </xdr:nvSpPr>
      <xdr:spPr bwMode="auto">
        <a:xfrm>
          <a:off x="721042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29</xdr:row>
      <xdr:rowOff>0</xdr:rowOff>
    </xdr:from>
    <xdr:to>
      <xdr:col>11</xdr:col>
      <xdr:colOff>66675</xdr:colOff>
      <xdr:row>29</xdr:row>
      <xdr:rowOff>9525</xdr:rowOff>
    </xdr:to>
    <xdr:sp macro="" textlink="">
      <xdr:nvSpPr>
        <xdr:cNvPr id="1070658" name="Line 79">
          <a:extLst>
            <a:ext uri="{FF2B5EF4-FFF2-40B4-BE49-F238E27FC236}">
              <a16:creationId xmlns:a16="http://schemas.microsoft.com/office/drawing/2014/main" id="{00000000-0008-0000-0D00-000042561000}"/>
            </a:ext>
          </a:extLst>
        </xdr:cNvPr>
        <xdr:cNvSpPr>
          <a:spLocks noChangeShapeType="1"/>
        </xdr:cNvSpPr>
      </xdr:nvSpPr>
      <xdr:spPr bwMode="auto">
        <a:xfrm flipV="1">
          <a:off x="715327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27</xdr:row>
      <xdr:rowOff>66675</xdr:rowOff>
    </xdr:from>
    <xdr:to>
      <xdr:col>12</xdr:col>
      <xdr:colOff>9525</xdr:colOff>
      <xdr:row>29</xdr:row>
      <xdr:rowOff>19050</xdr:rowOff>
    </xdr:to>
    <xdr:sp macro="" textlink="">
      <xdr:nvSpPr>
        <xdr:cNvPr id="1070659" name="Line 81">
          <a:extLst>
            <a:ext uri="{FF2B5EF4-FFF2-40B4-BE49-F238E27FC236}">
              <a16:creationId xmlns:a16="http://schemas.microsoft.com/office/drawing/2014/main" id="{00000000-0008-0000-0D00-000043561000}"/>
            </a:ext>
          </a:extLst>
        </xdr:cNvPr>
        <xdr:cNvSpPr>
          <a:spLocks noChangeShapeType="1"/>
        </xdr:cNvSpPr>
      </xdr:nvSpPr>
      <xdr:spPr bwMode="auto">
        <a:xfrm>
          <a:off x="7219950" y="55530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76200</xdr:colOff>
      <xdr:row>32</xdr:row>
      <xdr:rowOff>9525</xdr:rowOff>
    </xdr:to>
    <xdr:sp macro="" textlink="">
      <xdr:nvSpPr>
        <xdr:cNvPr id="1070660" name="Line 86">
          <a:extLst>
            <a:ext uri="{FF2B5EF4-FFF2-40B4-BE49-F238E27FC236}">
              <a16:creationId xmlns:a16="http://schemas.microsoft.com/office/drawing/2014/main" id="{00000000-0008-0000-0D00-000044561000}"/>
            </a:ext>
          </a:extLst>
        </xdr:cNvPr>
        <xdr:cNvSpPr>
          <a:spLocks noChangeShapeType="1"/>
        </xdr:cNvSpPr>
      </xdr:nvSpPr>
      <xdr:spPr bwMode="auto">
        <a:xfrm>
          <a:off x="714375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32</xdr:row>
      <xdr:rowOff>9525</xdr:rowOff>
    </xdr:from>
    <xdr:to>
      <xdr:col>11</xdr:col>
      <xdr:colOff>76200</xdr:colOff>
      <xdr:row>35</xdr:row>
      <xdr:rowOff>0</xdr:rowOff>
    </xdr:to>
    <xdr:sp macro="" textlink="">
      <xdr:nvSpPr>
        <xdr:cNvPr id="1070661" name="Line 87">
          <a:extLst>
            <a:ext uri="{FF2B5EF4-FFF2-40B4-BE49-F238E27FC236}">
              <a16:creationId xmlns:a16="http://schemas.microsoft.com/office/drawing/2014/main" id="{00000000-0008-0000-0D00-000045561000}"/>
            </a:ext>
          </a:extLst>
        </xdr:cNvPr>
        <xdr:cNvSpPr>
          <a:spLocks noChangeShapeType="1"/>
        </xdr:cNvSpPr>
      </xdr:nvSpPr>
      <xdr:spPr bwMode="auto">
        <a:xfrm>
          <a:off x="7210425" y="6400800"/>
          <a:ext cx="9525"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35</xdr:row>
      <xdr:rowOff>0</xdr:rowOff>
    </xdr:from>
    <xdr:to>
      <xdr:col>11</xdr:col>
      <xdr:colOff>66675</xdr:colOff>
      <xdr:row>35</xdr:row>
      <xdr:rowOff>9525</xdr:rowOff>
    </xdr:to>
    <xdr:sp macro="" textlink="">
      <xdr:nvSpPr>
        <xdr:cNvPr id="1070662" name="Line 88">
          <a:extLst>
            <a:ext uri="{FF2B5EF4-FFF2-40B4-BE49-F238E27FC236}">
              <a16:creationId xmlns:a16="http://schemas.microsoft.com/office/drawing/2014/main" id="{00000000-0008-0000-0D00-000046561000}"/>
            </a:ext>
          </a:extLst>
        </xdr:cNvPr>
        <xdr:cNvSpPr>
          <a:spLocks noChangeShapeType="1"/>
        </xdr:cNvSpPr>
      </xdr:nvSpPr>
      <xdr:spPr bwMode="auto">
        <a:xfrm flipV="1">
          <a:off x="715327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31</xdr:row>
      <xdr:rowOff>161925</xdr:rowOff>
    </xdr:from>
    <xdr:to>
      <xdr:col>11</xdr:col>
      <xdr:colOff>400050</xdr:colOff>
      <xdr:row>33</xdr:row>
      <xdr:rowOff>57150</xdr:rowOff>
    </xdr:to>
    <xdr:sp macro="" textlink="">
      <xdr:nvSpPr>
        <xdr:cNvPr id="1070663" name="Line 89">
          <a:extLst>
            <a:ext uri="{FF2B5EF4-FFF2-40B4-BE49-F238E27FC236}">
              <a16:creationId xmlns:a16="http://schemas.microsoft.com/office/drawing/2014/main" id="{00000000-0008-0000-0D00-000047561000}"/>
            </a:ext>
          </a:extLst>
        </xdr:cNvPr>
        <xdr:cNvSpPr>
          <a:spLocks noChangeShapeType="1"/>
        </xdr:cNvSpPr>
      </xdr:nvSpPr>
      <xdr:spPr bwMode="auto">
        <a:xfrm flipV="1">
          <a:off x="7210425" y="6372225"/>
          <a:ext cx="333375" cy="25717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26</xdr:row>
      <xdr:rowOff>0</xdr:rowOff>
    </xdr:from>
    <xdr:to>
      <xdr:col>11</xdr:col>
      <xdr:colOff>76200</xdr:colOff>
      <xdr:row>26</xdr:row>
      <xdr:rowOff>9525</xdr:rowOff>
    </xdr:to>
    <xdr:sp macro="" textlink="">
      <xdr:nvSpPr>
        <xdr:cNvPr id="1070664" name="Line 90">
          <a:extLst>
            <a:ext uri="{FF2B5EF4-FFF2-40B4-BE49-F238E27FC236}">
              <a16:creationId xmlns:a16="http://schemas.microsoft.com/office/drawing/2014/main" id="{00000000-0008-0000-0D00-000048561000}"/>
            </a:ext>
          </a:extLst>
        </xdr:cNvPr>
        <xdr:cNvSpPr>
          <a:spLocks noChangeShapeType="1"/>
        </xdr:cNvSpPr>
      </xdr:nvSpPr>
      <xdr:spPr bwMode="auto">
        <a:xfrm>
          <a:off x="7143750"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26</xdr:row>
      <xdr:rowOff>9525</xdr:rowOff>
    </xdr:from>
    <xdr:to>
      <xdr:col>11</xdr:col>
      <xdr:colOff>66675</xdr:colOff>
      <xdr:row>29</xdr:row>
      <xdr:rowOff>19050</xdr:rowOff>
    </xdr:to>
    <xdr:sp macro="" textlink="">
      <xdr:nvSpPr>
        <xdr:cNvPr id="1070665" name="Line 91">
          <a:extLst>
            <a:ext uri="{FF2B5EF4-FFF2-40B4-BE49-F238E27FC236}">
              <a16:creationId xmlns:a16="http://schemas.microsoft.com/office/drawing/2014/main" id="{00000000-0008-0000-0D00-000049561000}"/>
            </a:ext>
          </a:extLst>
        </xdr:cNvPr>
        <xdr:cNvSpPr>
          <a:spLocks noChangeShapeType="1"/>
        </xdr:cNvSpPr>
      </xdr:nvSpPr>
      <xdr:spPr bwMode="auto">
        <a:xfrm>
          <a:off x="7210425"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29</xdr:row>
      <xdr:rowOff>0</xdr:rowOff>
    </xdr:from>
    <xdr:to>
      <xdr:col>11</xdr:col>
      <xdr:colOff>66675</xdr:colOff>
      <xdr:row>29</xdr:row>
      <xdr:rowOff>9525</xdr:rowOff>
    </xdr:to>
    <xdr:sp macro="" textlink="">
      <xdr:nvSpPr>
        <xdr:cNvPr id="1070666" name="Line 92">
          <a:extLst>
            <a:ext uri="{FF2B5EF4-FFF2-40B4-BE49-F238E27FC236}">
              <a16:creationId xmlns:a16="http://schemas.microsoft.com/office/drawing/2014/main" id="{00000000-0008-0000-0D00-00004A561000}"/>
            </a:ext>
          </a:extLst>
        </xdr:cNvPr>
        <xdr:cNvSpPr>
          <a:spLocks noChangeShapeType="1"/>
        </xdr:cNvSpPr>
      </xdr:nvSpPr>
      <xdr:spPr bwMode="auto">
        <a:xfrm flipV="1">
          <a:off x="7153275"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25</xdr:row>
      <xdr:rowOff>161925</xdr:rowOff>
    </xdr:from>
    <xdr:to>
      <xdr:col>12</xdr:col>
      <xdr:colOff>0</xdr:colOff>
      <xdr:row>27</xdr:row>
      <xdr:rowOff>47625</xdr:rowOff>
    </xdr:to>
    <xdr:sp macro="" textlink="">
      <xdr:nvSpPr>
        <xdr:cNvPr id="1070667" name="Line 93">
          <a:extLst>
            <a:ext uri="{FF2B5EF4-FFF2-40B4-BE49-F238E27FC236}">
              <a16:creationId xmlns:a16="http://schemas.microsoft.com/office/drawing/2014/main" id="{00000000-0008-0000-0D00-00004B561000}"/>
            </a:ext>
          </a:extLst>
        </xdr:cNvPr>
        <xdr:cNvSpPr>
          <a:spLocks noChangeShapeType="1"/>
        </xdr:cNvSpPr>
      </xdr:nvSpPr>
      <xdr:spPr bwMode="auto">
        <a:xfrm flipV="1">
          <a:off x="7210425" y="5286375"/>
          <a:ext cx="342900"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20</xdr:row>
      <xdr:rowOff>0</xdr:rowOff>
    </xdr:from>
    <xdr:to>
      <xdr:col>11</xdr:col>
      <xdr:colOff>76200</xdr:colOff>
      <xdr:row>20</xdr:row>
      <xdr:rowOff>9525</xdr:rowOff>
    </xdr:to>
    <xdr:sp macro="" textlink="">
      <xdr:nvSpPr>
        <xdr:cNvPr id="1070668" name="Line 94">
          <a:extLst>
            <a:ext uri="{FF2B5EF4-FFF2-40B4-BE49-F238E27FC236}">
              <a16:creationId xmlns:a16="http://schemas.microsoft.com/office/drawing/2014/main" id="{00000000-0008-0000-0D00-00004C561000}"/>
            </a:ext>
          </a:extLst>
        </xdr:cNvPr>
        <xdr:cNvSpPr>
          <a:spLocks noChangeShapeType="1"/>
        </xdr:cNvSpPr>
      </xdr:nvSpPr>
      <xdr:spPr bwMode="auto">
        <a:xfrm>
          <a:off x="7143750"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20</xdr:row>
      <xdr:rowOff>9525</xdr:rowOff>
    </xdr:from>
    <xdr:to>
      <xdr:col>11</xdr:col>
      <xdr:colOff>66675</xdr:colOff>
      <xdr:row>23</xdr:row>
      <xdr:rowOff>19050</xdr:rowOff>
    </xdr:to>
    <xdr:sp macro="" textlink="">
      <xdr:nvSpPr>
        <xdr:cNvPr id="1070669" name="Line 95">
          <a:extLst>
            <a:ext uri="{FF2B5EF4-FFF2-40B4-BE49-F238E27FC236}">
              <a16:creationId xmlns:a16="http://schemas.microsoft.com/office/drawing/2014/main" id="{00000000-0008-0000-0D00-00004D561000}"/>
            </a:ext>
          </a:extLst>
        </xdr:cNvPr>
        <xdr:cNvSpPr>
          <a:spLocks noChangeShapeType="1"/>
        </xdr:cNvSpPr>
      </xdr:nvSpPr>
      <xdr:spPr bwMode="auto">
        <a:xfrm>
          <a:off x="7210425"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23</xdr:row>
      <xdr:rowOff>0</xdr:rowOff>
    </xdr:from>
    <xdr:to>
      <xdr:col>11</xdr:col>
      <xdr:colOff>66675</xdr:colOff>
      <xdr:row>23</xdr:row>
      <xdr:rowOff>9525</xdr:rowOff>
    </xdr:to>
    <xdr:sp macro="" textlink="">
      <xdr:nvSpPr>
        <xdr:cNvPr id="1070670" name="Line 96">
          <a:extLst>
            <a:ext uri="{FF2B5EF4-FFF2-40B4-BE49-F238E27FC236}">
              <a16:creationId xmlns:a16="http://schemas.microsoft.com/office/drawing/2014/main" id="{00000000-0008-0000-0D00-00004E561000}"/>
            </a:ext>
          </a:extLst>
        </xdr:cNvPr>
        <xdr:cNvSpPr>
          <a:spLocks noChangeShapeType="1"/>
        </xdr:cNvSpPr>
      </xdr:nvSpPr>
      <xdr:spPr bwMode="auto">
        <a:xfrm flipV="1">
          <a:off x="7153275"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19</xdr:row>
      <xdr:rowOff>171450</xdr:rowOff>
    </xdr:from>
    <xdr:to>
      <xdr:col>12</xdr:col>
      <xdr:colOff>0</xdr:colOff>
      <xdr:row>21</xdr:row>
      <xdr:rowOff>47625</xdr:rowOff>
    </xdr:to>
    <xdr:sp macro="" textlink="">
      <xdr:nvSpPr>
        <xdr:cNvPr id="1070671" name="Line 97">
          <a:extLst>
            <a:ext uri="{FF2B5EF4-FFF2-40B4-BE49-F238E27FC236}">
              <a16:creationId xmlns:a16="http://schemas.microsoft.com/office/drawing/2014/main" id="{00000000-0008-0000-0D00-00004F561000}"/>
            </a:ext>
          </a:extLst>
        </xdr:cNvPr>
        <xdr:cNvSpPr>
          <a:spLocks noChangeShapeType="1"/>
        </xdr:cNvSpPr>
      </xdr:nvSpPr>
      <xdr:spPr bwMode="auto">
        <a:xfrm flipV="1">
          <a:off x="7219950" y="4210050"/>
          <a:ext cx="333375"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76200</xdr:colOff>
      <xdr:row>21</xdr:row>
      <xdr:rowOff>66675</xdr:rowOff>
    </xdr:from>
    <xdr:to>
      <xdr:col>12</xdr:col>
      <xdr:colOff>0</xdr:colOff>
      <xdr:row>23</xdr:row>
      <xdr:rowOff>28575</xdr:rowOff>
    </xdr:to>
    <xdr:sp macro="" textlink="">
      <xdr:nvSpPr>
        <xdr:cNvPr id="1070672" name="Line 98">
          <a:extLst>
            <a:ext uri="{FF2B5EF4-FFF2-40B4-BE49-F238E27FC236}">
              <a16:creationId xmlns:a16="http://schemas.microsoft.com/office/drawing/2014/main" id="{00000000-0008-0000-0D00-000050561000}"/>
            </a:ext>
          </a:extLst>
        </xdr:cNvPr>
        <xdr:cNvSpPr>
          <a:spLocks noChangeShapeType="1"/>
        </xdr:cNvSpPr>
      </xdr:nvSpPr>
      <xdr:spPr bwMode="auto">
        <a:xfrm>
          <a:off x="7219950" y="4467225"/>
          <a:ext cx="333375" cy="3238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8</xdr:row>
      <xdr:rowOff>0</xdr:rowOff>
    </xdr:from>
    <xdr:to>
      <xdr:col>11</xdr:col>
      <xdr:colOff>76200</xdr:colOff>
      <xdr:row>8</xdr:row>
      <xdr:rowOff>9525</xdr:rowOff>
    </xdr:to>
    <xdr:sp macro="" textlink="">
      <xdr:nvSpPr>
        <xdr:cNvPr id="1070673" name="Line 99">
          <a:extLst>
            <a:ext uri="{FF2B5EF4-FFF2-40B4-BE49-F238E27FC236}">
              <a16:creationId xmlns:a16="http://schemas.microsoft.com/office/drawing/2014/main" id="{00000000-0008-0000-0D00-000051561000}"/>
            </a:ext>
          </a:extLst>
        </xdr:cNvPr>
        <xdr:cNvSpPr>
          <a:spLocks noChangeShapeType="1"/>
        </xdr:cNvSpPr>
      </xdr:nvSpPr>
      <xdr:spPr bwMode="auto">
        <a:xfrm>
          <a:off x="714375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8</xdr:row>
      <xdr:rowOff>9525</xdr:rowOff>
    </xdr:from>
    <xdr:to>
      <xdr:col>11</xdr:col>
      <xdr:colOff>66675</xdr:colOff>
      <xdr:row>11</xdr:row>
      <xdr:rowOff>19050</xdr:rowOff>
    </xdr:to>
    <xdr:sp macro="" textlink="">
      <xdr:nvSpPr>
        <xdr:cNvPr id="1070674" name="Line 100">
          <a:extLst>
            <a:ext uri="{FF2B5EF4-FFF2-40B4-BE49-F238E27FC236}">
              <a16:creationId xmlns:a16="http://schemas.microsoft.com/office/drawing/2014/main" id="{00000000-0008-0000-0D00-000052561000}"/>
            </a:ext>
          </a:extLst>
        </xdr:cNvPr>
        <xdr:cNvSpPr>
          <a:spLocks noChangeShapeType="1"/>
        </xdr:cNvSpPr>
      </xdr:nvSpPr>
      <xdr:spPr bwMode="auto">
        <a:xfrm>
          <a:off x="721042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11</xdr:row>
      <xdr:rowOff>0</xdr:rowOff>
    </xdr:from>
    <xdr:to>
      <xdr:col>11</xdr:col>
      <xdr:colOff>66675</xdr:colOff>
      <xdr:row>11</xdr:row>
      <xdr:rowOff>9525</xdr:rowOff>
    </xdr:to>
    <xdr:sp macro="" textlink="">
      <xdr:nvSpPr>
        <xdr:cNvPr id="1070675" name="Line 101">
          <a:extLst>
            <a:ext uri="{FF2B5EF4-FFF2-40B4-BE49-F238E27FC236}">
              <a16:creationId xmlns:a16="http://schemas.microsoft.com/office/drawing/2014/main" id="{00000000-0008-0000-0D00-000053561000}"/>
            </a:ext>
          </a:extLst>
        </xdr:cNvPr>
        <xdr:cNvSpPr>
          <a:spLocks noChangeShapeType="1"/>
        </xdr:cNvSpPr>
      </xdr:nvSpPr>
      <xdr:spPr bwMode="auto">
        <a:xfrm flipV="1">
          <a:off x="715327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xdr:row>
      <xdr:rowOff>0</xdr:rowOff>
    </xdr:from>
    <xdr:to>
      <xdr:col>11</xdr:col>
      <xdr:colOff>76200</xdr:colOff>
      <xdr:row>14</xdr:row>
      <xdr:rowOff>9525</xdr:rowOff>
    </xdr:to>
    <xdr:sp macro="" textlink="">
      <xdr:nvSpPr>
        <xdr:cNvPr id="1070676" name="Line 105">
          <a:extLst>
            <a:ext uri="{FF2B5EF4-FFF2-40B4-BE49-F238E27FC236}">
              <a16:creationId xmlns:a16="http://schemas.microsoft.com/office/drawing/2014/main" id="{00000000-0008-0000-0D00-000054561000}"/>
            </a:ext>
          </a:extLst>
        </xdr:cNvPr>
        <xdr:cNvSpPr>
          <a:spLocks noChangeShapeType="1"/>
        </xdr:cNvSpPr>
      </xdr:nvSpPr>
      <xdr:spPr bwMode="auto">
        <a:xfrm>
          <a:off x="7143750"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14</xdr:row>
      <xdr:rowOff>9525</xdr:rowOff>
    </xdr:from>
    <xdr:to>
      <xdr:col>11</xdr:col>
      <xdr:colOff>66675</xdr:colOff>
      <xdr:row>17</xdr:row>
      <xdr:rowOff>19050</xdr:rowOff>
    </xdr:to>
    <xdr:sp macro="" textlink="">
      <xdr:nvSpPr>
        <xdr:cNvPr id="1070677" name="Line 106">
          <a:extLst>
            <a:ext uri="{FF2B5EF4-FFF2-40B4-BE49-F238E27FC236}">
              <a16:creationId xmlns:a16="http://schemas.microsoft.com/office/drawing/2014/main" id="{00000000-0008-0000-0D00-000055561000}"/>
            </a:ext>
          </a:extLst>
        </xdr:cNvPr>
        <xdr:cNvSpPr>
          <a:spLocks noChangeShapeType="1"/>
        </xdr:cNvSpPr>
      </xdr:nvSpPr>
      <xdr:spPr bwMode="auto">
        <a:xfrm>
          <a:off x="7210425"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17</xdr:row>
      <xdr:rowOff>0</xdr:rowOff>
    </xdr:from>
    <xdr:to>
      <xdr:col>11</xdr:col>
      <xdr:colOff>66675</xdr:colOff>
      <xdr:row>17</xdr:row>
      <xdr:rowOff>9525</xdr:rowOff>
    </xdr:to>
    <xdr:sp macro="" textlink="">
      <xdr:nvSpPr>
        <xdr:cNvPr id="1070678" name="Line 107">
          <a:extLst>
            <a:ext uri="{FF2B5EF4-FFF2-40B4-BE49-F238E27FC236}">
              <a16:creationId xmlns:a16="http://schemas.microsoft.com/office/drawing/2014/main" id="{00000000-0008-0000-0D00-000056561000}"/>
            </a:ext>
          </a:extLst>
        </xdr:cNvPr>
        <xdr:cNvSpPr>
          <a:spLocks noChangeShapeType="1"/>
        </xdr:cNvSpPr>
      </xdr:nvSpPr>
      <xdr:spPr bwMode="auto">
        <a:xfrm flipV="1">
          <a:off x="7153275"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13</xdr:row>
      <xdr:rowOff>161925</xdr:rowOff>
    </xdr:from>
    <xdr:to>
      <xdr:col>12</xdr:col>
      <xdr:colOff>0</xdr:colOff>
      <xdr:row>15</xdr:row>
      <xdr:rowOff>47625</xdr:rowOff>
    </xdr:to>
    <xdr:sp macro="" textlink="">
      <xdr:nvSpPr>
        <xdr:cNvPr id="1070679" name="Line 108">
          <a:extLst>
            <a:ext uri="{FF2B5EF4-FFF2-40B4-BE49-F238E27FC236}">
              <a16:creationId xmlns:a16="http://schemas.microsoft.com/office/drawing/2014/main" id="{00000000-0008-0000-0D00-000057561000}"/>
            </a:ext>
          </a:extLst>
        </xdr:cNvPr>
        <xdr:cNvSpPr>
          <a:spLocks noChangeShapeType="1"/>
        </xdr:cNvSpPr>
      </xdr:nvSpPr>
      <xdr:spPr bwMode="auto">
        <a:xfrm flipV="1">
          <a:off x="7210425" y="3114675"/>
          <a:ext cx="342900"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76200</xdr:colOff>
      <xdr:row>15</xdr:row>
      <xdr:rowOff>66675</xdr:rowOff>
    </xdr:from>
    <xdr:to>
      <xdr:col>12</xdr:col>
      <xdr:colOff>0</xdr:colOff>
      <xdr:row>17</xdr:row>
      <xdr:rowOff>19050</xdr:rowOff>
    </xdr:to>
    <xdr:sp macro="" textlink="">
      <xdr:nvSpPr>
        <xdr:cNvPr id="1070680" name="Line 109">
          <a:extLst>
            <a:ext uri="{FF2B5EF4-FFF2-40B4-BE49-F238E27FC236}">
              <a16:creationId xmlns:a16="http://schemas.microsoft.com/office/drawing/2014/main" id="{00000000-0008-0000-0D00-000058561000}"/>
            </a:ext>
          </a:extLst>
        </xdr:cNvPr>
        <xdr:cNvSpPr>
          <a:spLocks noChangeShapeType="1"/>
        </xdr:cNvSpPr>
      </xdr:nvSpPr>
      <xdr:spPr bwMode="auto">
        <a:xfrm>
          <a:off x="7219950" y="3381375"/>
          <a:ext cx="333375"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8</xdr:row>
      <xdr:rowOff>0</xdr:rowOff>
    </xdr:from>
    <xdr:to>
      <xdr:col>11</xdr:col>
      <xdr:colOff>76200</xdr:colOff>
      <xdr:row>8</xdr:row>
      <xdr:rowOff>9525</xdr:rowOff>
    </xdr:to>
    <xdr:sp macro="" textlink="">
      <xdr:nvSpPr>
        <xdr:cNvPr id="1070681" name="Line 110">
          <a:extLst>
            <a:ext uri="{FF2B5EF4-FFF2-40B4-BE49-F238E27FC236}">
              <a16:creationId xmlns:a16="http://schemas.microsoft.com/office/drawing/2014/main" id="{00000000-0008-0000-0D00-000059561000}"/>
            </a:ext>
          </a:extLst>
        </xdr:cNvPr>
        <xdr:cNvSpPr>
          <a:spLocks noChangeShapeType="1"/>
        </xdr:cNvSpPr>
      </xdr:nvSpPr>
      <xdr:spPr bwMode="auto">
        <a:xfrm>
          <a:off x="714375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8</xdr:row>
      <xdr:rowOff>9525</xdr:rowOff>
    </xdr:from>
    <xdr:to>
      <xdr:col>11</xdr:col>
      <xdr:colOff>66675</xdr:colOff>
      <xdr:row>11</xdr:row>
      <xdr:rowOff>19050</xdr:rowOff>
    </xdr:to>
    <xdr:sp macro="" textlink="">
      <xdr:nvSpPr>
        <xdr:cNvPr id="1070682" name="Line 111">
          <a:extLst>
            <a:ext uri="{FF2B5EF4-FFF2-40B4-BE49-F238E27FC236}">
              <a16:creationId xmlns:a16="http://schemas.microsoft.com/office/drawing/2014/main" id="{00000000-0008-0000-0D00-00005A561000}"/>
            </a:ext>
          </a:extLst>
        </xdr:cNvPr>
        <xdr:cNvSpPr>
          <a:spLocks noChangeShapeType="1"/>
        </xdr:cNvSpPr>
      </xdr:nvSpPr>
      <xdr:spPr bwMode="auto">
        <a:xfrm>
          <a:off x="721042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11</xdr:row>
      <xdr:rowOff>0</xdr:rowOff>
    </xdr:from>
    <xdr:to>
      <xdr:col>11</xdr:col>
      <xdr:colOff>66675</xdr:colOff>
      <xdr:row>11</xdr:row>
      <xdr:rowOff>9525</xdr:rowOff>
    </xdr:to>
    <xdr:sp macro="" textlink="">
      <xdr:nvSpPr>
        <xdr:cNvPr id="1070683" name="Line 112">
          <a:extLst>
            <a:ext uri="{FF2B5EF4-FFF2-40B4-BE49-F238E27FC236}">
              <a16:creationId xmlns:a16="http://schemas.microsoft.com/office/drawing/2014/main" id="{00000000-0008-0000-0D00-00005B561000}"/>
            </a:ext>
          </a:extLst>
        </xdr:cNvPr>
        <xdr:cNvSpPr>
          <a:spLocks noChangeShapeType="1"/>
        </xdr:cNvSpPr>
      </xdr:nvSpPr>
      <xdr:spPr bwMode="auto">
        <a:xfrm flipV="1">
          <a:off x="715327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xdr:row>
      <xdr:rowOff>0</xdr:rowOff>
    </xdr:from>
    <xdr:to>
      <xdr:col>11</xdr:col>
      <xdr:colOff>76200</xdr:colOff>
      <xdr:row>8</xdr:row>
      <xdr:rowOff>9525</xdr:rowOff>
    </xdr:to>
    <xdr:sp macro="" textlink="">
      <xdr:nvSpPr>
        <xdr:cNvPr id="1070684" name="Line 113">
          <a:extLst>
            <a:ext uri="{FF2B5EF4-FFF2-40B4-BE49-F238E27FC236}">
              <a16:creationId xmlns:a16="http://schemas.microsoft.com/office/drawing/2014/main" id="{00000000-0008-0000-0D00-00005C561000}"/>
            </a:ext>
          </a:extLst>
        </xdr:cNvPr>
        <xdr:cNvSpPr>
          <a:spLocks noChangeShapeType="1"/>
        </xdr:cNvSpPr>
      </xdr:nvSpPr>
      <xdr:spPr bwMode="auto">
        <a:xfrm>
          <a:off x="7143750" y="20478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8</xdr:row>
      <xdr:rowOff>9525</xdr:rowOff>
    </xdr:from>
    <xdr:to>
      <xdr:col>11</xdr:col>
      <xdr:colOff>66675</xdr:colOff>
      <xdr:row>11</xdr:row>
      <xdr:rowOff>19050</xdr:rowOff>
    </xdr:to>
    <xdr:sp macro="" textlink="">
      <xdr:nvSpPr>
        <xdr:cNvPr id="1070685" name="Line 114">
          <a:extLst>
            <a:ext uri="{FF2B5EF4-FFF2-40B4-BE49-F238E27FC236}">
              <a16:creationId xmlns:a16="http://schemas.microsoft.com/office/drawing/2014/main" id="{00000000-0008-0000-0D00-00005D561000}"/>
            </a:ext>
          </a:extLst>
        </xdr:cNvPr>
        <xdr:cNvSpPr>
          <a:spLocks noChangeShapeType="1"/>
        </xdr:cNvSpPr>
      </xdr:nvSpPr>
      <xdr:spPr bwMode="auto">
        <a:xfrm>
          <a:off x="7210425" y="20574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11</xdr:row>
      <xdr:rowOff>0</xdr:rowOff>
    </xdr:from>
    <xdr:to>
      <xdr:col>11</xdr:col>
      <xdr:colOff>66675</xdr:colOff>
      <xdr:row>11</xdr:row>
      <xdr:rowOff>9525</xdr:rowOff>
    </xdr:to>
    <xdr:sp macro="" textlink="">
      <xdr:nvSpPr>
        <xdr:cNvPr id="1070686" name="Line 115">
          <a:extLst>
            <a:ext uri="{FF2B5EF4-FFF2-40B4-BE49-F238E27FC236}">
              <a16:creationId xmlns:a16="http://schemas.microsoft.com/office/drawing/2014/main" id="{00000000-0008-0000-0D00-00005E561000}"/>
            </a:ext>
          </a:extLst>
        </xdr:cNvPr>
        <xdr:cNvSpPr>
          <a:spLocks noChangeShapeType="1"/>
        </xdr:cNvSpPr>
      </xdr:nvSpPr>
      <xdr:spPr bwMode="auto">
        <a:xfrm flipV="1">
          <a:off x="7153275" y="25908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8</xdr:row>
      <xdr:rowOff>0</xdr:rowOff>
    </xdr:from>
    <xdr:to>
      <xdr:col>11</xdr:col>
      <xdr:colOff>400050</xdr:colOff>
      <xdr:row>9</xdr:row>
      <xdr:rowOff>57150</xdr:rowOff>
    </xdr:to>
    <xdr:sp macro="" textlink="">
      <xdr:nvSpPr>
        <xdr:cNvPr id="1070687" name="Line 116">
          <a:extLst>
            <a:ext uri="{FF2B5EF4-FFF2-40B4-BE49-F238E27FC236}">
              <a16:creationId xmlns:a16="http://schemas.microsoft.com/office/drawing/2014/main" id="{00000000-0008-0000-0D00-00005F561000}"/>
            </a:ext>
          </a:extLst>
        </xdr:cNvPr>
        <xdr:cNvSpPr>
          <a:spLocks noChangeShapeType="1"/>
        </xdr:cNvSpPr>
      </xdr:nvSpPr>
      <xdr:spPr bwMode="auto">
        <a:xfrm flipV="1">
          <a:off x="7219950" y="2047875"/>
          <a:ext cx="3238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76200</xdr:colOff>
      <xdr:row>9</xdr:row>
      <xdr:rowOff>66675</xdr:rowOff>
    </xdr:from>
    <xdr:to>
      <xdr:col>12</xdr:col>
      <xdr:colOff>0</xdr:colOff>
      <xdr:row>11</xdr:row>
      <xdr:rowOff>19050</xdr:rowOff>
    </xdr:to>
    <xdr:sp macro="" textlink="">
      <xdr:nvSpPr>
        <xdr:cNvPr id="1070688" name="Line 117">
          <a:extLst>
            <a:ext uri="{FF2B5EF4-FFF2-40B4-BE49-F238E27FC236}">
              <a16:creationId xmlns:a16="http://schemas.microsoft.com/office/drawing/2014/main" id="{00000000-0008-0000-0D00-000060561000}"/>
            </a:ext>
          </a:extLst>
        </xdr:cNvPr>
        <xdr:cNvSpPr>
          <a:spLocks noChangeShapeType="1"/>
        </xdr:cNvSpPr>
      </xdr:nvSpPr>
      <xdr:spPr bwMode="auto">
        <a:xfrm>
          <a:off x="7219950" y="2295525"/>
          <a:ext cx="333375"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0</xdr:rowOff>
    </xdr:from>
    <xdr:to>
      <xdr:col>8</xdr:col>
      <xdr:colOff>76200</xdr:colOff>
      <xdr:row>14</xdr:row>
      <xdr:rowOff>9525</xdr:rowOff>
    </xdr:to>
    <xdr:sp macro="" textlink="">
      <xdr:nvSpPr>
        <xdr:cNvPr id="1070689" name="Line 126">
          <a:extLst>
            <a:ext uri="{FF2B5EF4-FFF2-40B4-BE49-F238E27FC236}">
              <a16:creationId xmlns:a16="http://schemas.microsoft.com/office/drawing/2014/main" id="{00000000-0008-0000-0D00-000061561000}"/>
            </a:ext>
          </a:extLst>
        </xdr:cNvPr>
        <xdr:cNvSpPr>
          <a:spLocks noChangeShapeType="1"/>
        </xdr:cNvSpPr>
      </xdr:nvSpPr>
      <xdr:spPr bwMode="auto">
        <a:xfrm>
          <a:off x="4410075" y="31337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14</xdr:row>
      <xdr:rowOff>9525</xdr:rowOff>
    </xdr:from>
    <xdr:to>
      <xdr:col>8</xdr:col>
      <xdr:colOff>66675</xdr:colOff>
      <xdr:row>17</xdr:row>
      <xdr:rowOff>19050</xdr:rowOff>
    </xdr:to>
    <xdr:sp macro="" textlink="">
      <xdr:nvSpPr>
        <xdr:cNvPr id="1070690" name="Line 127">
          <a:extLst>
            <a:ext uri="{FF2B5EF4-FFF2-40B4-BE49-F238E27FC236}">
              <a16:creationId xmlns:a16="http://schemas.microsoft.com/office/drawing/2014/main" id="{00000000-0008-0000-0D00-000062561000}"/>
            </a:ext>
          </a:extLst>
        </xdr:cNvPr>
        <xdr:cNvSpPr>
          <a:spLocks noChangeShapeType="1"/>
        </xdr:cNvSpPr>
      </xdr:nvSpPr>
      <xdr:spPr bwMode="auto">
        <a:xfrm>
          <a:off x="4476750" y="31432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17</xdr:row>
      <xdr:rowOff>0</xdr:rowOff>
    </xdr:from>
    <xdr:to>
      <xdr:col>8</xdr:col>
      <xdr:colOff>66675</xdr:colOff>
      <xdr:row>17</xdr:row>
      <xdr:rowOff>9525</xdr:rowOff>
    </xdr:to>
    <xdr:sp macro="" textlink="">
      <xdr:nvSpPr>
        <xdr:cNvPr id="1070691" name="Line 128">
          <a:extLst>
            <a:ext uri="{FF2B5EF4-FFF2-40B4-BE49-F238E27FC236}">
              <a16:creationId xmlns:a16="http://schemas.microsoft.com/office/drawing/2014/main" id="{00000000-0008-0000-0D00-000063561000}"/>
            </a:ext>
          </a:extLst>
        </xdr:cNvPr>
        <xdr:cNvSpPr>
          <a:spLocks noChangeShapeType="1"/>
        </xdr:cNvSpPr>
      </xdr:nvSpPr>
      <xdr:spPr bwMode="auto">
        <a:xfrm flipV="1">
          <a:off x="4419600" y="36766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76200</xdr:colOff>
      <xdr:row>20</xdr:row>
      <xdr:rowOff>9525</xdr:rowOff>
    </xdr:to>
    <xdr:sp macro="" textlink="">
      <xdr:nvSpPr>
        <xdr:cNvPr id="1070692" name="Line 129">
          <a:extLst>
            <a:ext uri="{FF2B5EF4-FFF2-40B4-BE49-F238E27FC236}">
              <a16:creationId xmlns:a16="http://schemas.microsoft.com/office/drawing/2014/main" id="{00000000-0008-0000-0D00-000064561000}"/>
            </a:ext>
          </a:extLst>
        </xdr:cNvPr>
        <xdr:cNvSpPr>
          <a:spLocks noChangeShapeType="1"/>
        </xdr:cNvSpPr>
      </xdr:nvSpPr>
      <xdr:spPr bwMode="auto">
        <a:xfrm>
          <a:off x="4410075" y="42195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20</xdr:row>
      <xdr:rowOff>9525</xdr:rowOff>
    </xdr:from>
    <xdr:to>
      <xdr:col>8</xdr:col>
      <xdr:colOff>66675</xdr:colOff>
      <xdr:row>23</xdr:row>
      <xdr:rowOff>19050</xdr:rowOff>
    </xdr:to>
    <xdr:sp macro="" textlink="">
      <xdr:nvSpPr>
        <xdr:cNvPr id="1070693" name="Line 130">
          <a:extLst>
            <a:ext uri="{FF2B5EF4-FFF2-40B4-BE49-F238E27FC236}">
              <a16:creationId xmlns:a16="http://schemas.microsoft.com/office/drawing/2014/main" id="{00000000-0008-0000-0D00-000065561000}"/>
            </a:ext>
          </a:extLst>
        </xdr:cNvPr>
        <xdr:cNvSpPr>
          <a:spLocks noChangeShapeType="1"/>
        </xdr:cNvSpPr>
      </xdr:nvSpPr>
      <xdr:spPr bwMode="auto">
        <a:xfrm>
          <a:off x="4476750" y="42291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23</xdr:row>
      <xdr:rowOff>0</xdr:rowOff>
    </xdr:from>
    <xdr:to>
      <xdr:col>8</xdr:col>
      <xdr:colOff>66675</xdr:colOff>
      <xdr:row>23</xdr:row>
      <xdr:rowOff>9525</xdr:rowOff>
    </xdr:to>
    <xdr:sp macro="" textlink="">
      <xdr:nvSpPr>
        <xdr:cNvPr id="1070694" name="Line 131">
          <a:extLst>
            <a:ext uri="{FF2B5EF4-FFF2-40B4-BE49-F238E27FC236}">
              <a16:creationId xmlns:a16="http://schemas.microsoft.com/office/drawing/2014/main" id="{00000000-0008-0000-0D00-000066561000}"/>
            </a:ext>
          </a:extLst>
        </xdr:cNvPr>
        <xdr:cNvSpPr>
          <a:spLocks noChangeShapeType="1"/>
        </xdr:cNvSpPr>
      </xdr:nvSpPr>
      <xdr:spPr bwMode="auto">
        <a:xfrm flipV="1">
          <a:off x="4419600" y="47625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16</xdr:row>
      <xdr:rowOff>171450</xdr:rowOff>
    </xdr:from>
    <xdr:to>
      <xdr:col>9</xdr:col>
      <xdr:colOff>0</xdr:colOff>
      <xdr:row>21</xdr:row>
      <xdr:rowOff>47625</xdr:rowOff>
    </xdr:to>
    <xdr:sp macro="" textlink="">
      <xdr:nvSpPr>
        <xdr:cNvPr id="1070695" name="Line 132">
          <a:extLst>
            <a:ext uri="{FF2B5EF4-FFF2-40B4-BE49-F238E27FC236}">
              <a16:creationId xmlns:a16="http://schemas.microsoft.com/office/drawing/2014/main" id="{00000000-0008-0000-0D00-000067561000}"/>
            </a:ext>
          </a:extLst>
        </xdr:cNvPr>
        <xdr:cNvSpPr>
          <a:spLocks noChangeShapeType="1"/>
        </xdr:cNvSpPr>
      </xdr:nvSpPr>
      <xdr:spPr bwMode="auto">
        <a:xfrm flipV="1">
          <a:off x="4476750" y="3667125"/>
          <a:ext cx="342900" cy="781050"/>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66675</xdr:colOff>
      <xdr:row>15</xdr:row>
      <xdr:rowOff>95250</xdr:rowOff>
    </xdr:from>
    <xdr:to>
      <xdr:col>9</xdr:col>
      <xdr:colOff>0</xdr:colOff>
      <xdr:row>20</xdr:row>
      <xdr:rowOff>28575</xdr:rowOff>
    </xdr:to>
    <xdr:sp macro="" textlink="">
      <xdr:nvSpPr>
        <xdr:cNvPr id="1070696" name="Line 133">
          <a:extLst>
            <a:ext uri="{FF2B5EF4-FFF2-40B4-BE49-F238E27FC236}">
              <a16:creationId xmlns:a16="http://schemas.microsoft.com/office/drawing/2014/main" id="{00000000-0008-0000-0D00-000068561000}"/>
            </a:ext>
          </a:extLst>
        </xdr:cNvPr>
        <xdr:cNvSpPr>
          <a:spLocks noChangeShapeType="1"/>
        </xdr:cNvSpPr>
      </xdr:nvSpPr>
      <xdr:spPr bwMode="auto">
        <a:xfrm>
          <a:off x="4476750" y="3409950"/>
          <a:ext cx="342900" cy="8382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26</xdr:row>
      <xdr:rowOff>0</xdr:rowOff>
    </xdr:from>
    <xdr:to>
      <xdr:col>8</xdr:col>
      <xdr:colOff>76200</xdr:colOff>
      <xdr:row>26</xdr:row>
      <xdr:rowOff>9525</xdr:rowOff>
    </xdr:to>
    <xdr:sp macro="" textlink="">
      <xdr:nvSpPr>
        <xdr:cNvPr id="1070697" name="Line 134">
          <a:extLst>
            <a:ext uri="{FF2B5EF4-FFF2-40B4-BE49-F238E27FC236}">
              <a16:creationId xmlns:a16="http://schemas.microsoft.com/office/drawing/2014/main" id="{00000000-0008-0000-0D00-000069561000}"/>
            </a:ext>
          </a:extLst>
        </xdr:cNvPr>
        <xdr:cNvSpPr>
          <a:spLocks noChangeShapeType="1"/>
        </xdr:cNvSpPr>
      </xdr:nvSpPr>
      <xdr:spPr bwMode="auto">
        <a:xfrm>
          <a:off x="4410075" y="53054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26</xdr:row>
      <xdr:rowOff>9525</xdr:rowOff>
    </xdr:from>
    <xdr:to>
      <xdr:col>8</xdr:col>
      <xdr:colOff>66675</xdr:colOff>
      <xdr:row>29</xdr:row>
      <xdr:rowOff>19050</xdr:rowOff>
    </xdr:to>
    <xdr:sp macro="" textlink="">
      <xdr:nvSpPr>
        <xdr:cNvPr id="1070698" name="Line 135">
          <a:extLst>
            <a:ext uri="{FF2B5EF4-FFF2-40B4-BE49-F238E27FC236}">
              <a16:creationId xmlns:a16="http://schemas.microsoft.com/office/drawing/2014/main" id="{00000000-0008-0000-0D00-00006A561000}"/>
            </a:ext>
          </a:extLst>
        </xdr:cNvPr>
        <xdr:cNvSpPr>
          <a:spLocks noChangeShapeType="1"/>
        </xdr:cNvSpPr>
      </xdr:nvSpPr>
      <xdr:spPr bwMode="auto">
        <a:xfrm>
          <a:off x="4476750" y="53149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29</xdr:row>
      <xdr:rowOff>0</xdr:rowOff>
    </xdr:from>
    <xdr:to>
      <xdr:col>8</xdr:col>
      <xdr:colOff>66675</xdr:colOff>
      <xdr:row>29</xdr:row>
      <xdr:rowOff>9525</xdr:rowOff>
    </xdr:to>
    <xdr:sp macro="" textlink="">
      <xdr:nvSpPr>
        <xdr:cNvPr id="1070699" name="Line 136">
          <a:extLst>
            <a:ext uri="{FF2B5EF4-FFF2-40B4-BE49-F238E27FC236}">
              <a16:creationId xmlns:a16="http://schemas.microsoft.com/office/drawing/2014/main" id="{00000000-0008-0000-0D00-00006B561000}"/>
            </a:ext>
          </a:extLst>
        </xdr:cNvPr>
        <xdr:cNvSpPr>
          <a:spLocks noChangeShapeType="1"/>
        </xdr:cNvSpPr>
      </xdr:nvSpPr>
      <xdr:spPr bwMode="auto">
        <a:xfrm flipV="1">
          <a:off x="4419600" y="58483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76200</xdr:colOff>
      <xdr:row>32</xdr:row>
      <xdr:rowOff>9525</xdr:rowOff>
    </xdr:to>
    <xdr:sp macro="" textlink="">
      <xdr:nvSpPr>
        <xdr:cNvPr id="1070700" name="Line 137">
          <a:extLst>
            <a:ext uri="{FF2B5EF4-FFF2-40B4-BE49-F238E27FC236}">
              <a16:creationId xmlns:a16="http://schemas.microsoft.com/office/drawing/2014/main" id="{00000000-0008-0000-0D00-00006C561000}"/>
            </a:ext>
          </a:extLst>
        </xdr:cNvPr>
        <xdr:cNvSpPr>
          <a:spLocks noChangeShapeType="1"/>
        </xdr:cNvSpPr>
      </xdr:nvSpPr>
      <xdr:spPr bwMode="auto">
        <a:xfrm>
          <a:off x="441007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35</xdr:row>
      <xdr:rowOff>0</xdr:rowOff>
    </xdr:from>
    <xdr:to>
      <xdr:col>8</xdr:col>
      <xdr:colOff>66675</xdr:colOff>
      <xdr:row>35</xdr:row>
      <xdr:rowOff>9525</xdr:rowOff>
    </xdr:to>
    <xdr:sp macro="" textlink="">
      <xdr:nvSpPr>
        <xdr:cNvPr id="1070701" name="Line 139">
          <a:extLst>
            <a:ext uri="{FF2B5EF4-FFF2-40B4-BE49-F238E27FC236}">
              <a16:creationId xmlns:a16="http://schemas.microsoft.com/office/drawing/2014/main" id="{00000000-0008-0000-0D00-00006D561000}"/>
            </a:ext>
          </a:extLst>
        </xdr:cNvPr>
        <xdr:cNvSpPr>
          <a:spLocks noChangeShapeType="1"/>
        </xdr:cNvSpPr>
      </xdr:nvSpPr>
      <xdr:spPr bwMode="auto">
        <a:xfrm flipV="1">
          <a:off x="441960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76200</xdr:colOff>
      <xdr:row>29</xdr:row>
      <xdr:rowOff>0</xdr:rowOff>
    </xdr:from>
    <xdr:to>
      <xdr:col>9</xdr:col>
      <xdr:colOff>0</xdr:colOff>
      <xdr:row>33</xdr:row>
      <xdr:rowOff>66675</xdr:rowOff>
    </xdr:to>
    <xdr:sp macro="" textlink="">
      <xdr:nvSpPr>
        <xdr:cNvPr id="1070702" name="Line 140">
          <a:extLst>
            <a:ext uri="{FF2B5EF4-FFF2-40B4-BE49-F238E27FC236}">
              <a16:creationId xmlns:a16="http://schemas.microsoft.com/office/drawing/2014/main" id="{00000000-0008-0000-0D00-00006E561000}"/>
            </a:ext>
          </a:extLst>
        </xdr:cNvPr>
        <xdr:cNvSpPr>
          <a:spLocks noChangeShapeType="1"/>
        </xdr:cNvSpPr>
      </xdr:nvSpPr>
      <xdr:spPr bwMode="auto">
        <a:xfrm flipV="1">
          <a:off x="4486275" y="5848350"/>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66675</xdr:colOff>
      <xdr:row>27</xdr:row>
      <xdr:rowOff>104775</xdr:rowOff>
    </xdr:from>
    <xdr:to>
      <xdr:col>9</xdr:col>
      <xdr:colOff>0</xdr:colOff>
      <xdr:row>31</xdr:row>
      <xdr:rowOff>161925</xdr:rowOff>
    </xdr:to>
    <xdr:sp macro="" textlink="">
      <xdr:nvSpPr>
        <xdr:cNvPr id="1070703" name="Line 141">
          <a:extLst>
            <a:ext uri="{FF2B5EF4-FFF2-40B4-BE49-F238E27FC236}">
              <a16:creationId xmlns:a16="http://schemas.microsoft.com/office/drawing/2014/main" id="{00000000-0008-0000-0D00-00006F561000}"/>
            </a:ext>
          </a:extLst>
        </xdr:cNvPr>
        <xdr:cNvSpPr>
          <a:spLocks noChangeShapeType="1"/>
        </xdr:cNvSpPr>
      </xdr:nvSpPr>
      <xdr:spPr bwMode="auto">
        <a:xfrm>
          <a:off x="4476750" y="5591175"/>
          <a:ext cx="342900" cy="78105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66675</xdr:colOff>
      <xdr:row>7</xdr:row>
      <xdr:rowOff>133350</xdr:rowOff>
    </xdr:from>
    <xdr:to>
      <xdr:col>6</xdr:col>
      <xdr:colOff>0</xdr:colOff>
      <xdr:row>9</xdr:row>
      <xdr:rowOff>66675</xdr:rowOff>
    </xdr:to>
    <xdr:sp macro="" textlink="">
      <xdr:nvSpPr>
        <xdr:cNvPr id="1070704" name="Line 146">
          <a:extLst>
            <a:ext uri="{FF2B5EF4-FFF2-40B4-BE49-F238E27FC236}">
              <a16:creationId xmlns:a16="http://schemas.microsoft.com/office/drawing/2014/main" id="{00000000-0008-0000-0D00-000070561000}"/>
            </a:ext>
          </a:extLst>
        </xdr:cNvPr>
        <xdr:cNvSpPr>
          <a:spLocks noChangeShapeType="1"/>
        </xdr:cNvSpPr>
      </xdr:nvSpPr>
      <xdr:spPr bwMode="auto">
        <a:xfrm flipV="1">
          <a:off x="2314575" y="2000250"/>
          <a:ext cx="38100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66675</xdr:colOff>
      <xdr:row>9</xdr:row>
      <xdr:rowOff>66675</xdr:rowOff>
    </xdr:from>
    <xdr:to>
      <xdr:col>6</xdr:col>
      <xdr:colOff>19050</xdr:colOff>
      <xdr:row>13</xdr:row>
      <xdr:rowOff>0</xdr:rowOff>
    </xdr:to>
    <xdr:sp macro="" textlink="">
      <xdr:nvSpPr>
        <xdr:cNvPr id="1070705" name="Line 147">
          <a:extLst>
            <a:ext uri="{FF2B5EF4-FFF2-40B4-BE49-F238E27FC236}">
              <a16:creationId xmlns:a16="http://schemas.microsoft.com/office/drawing/2014/main" id="{00000000-0008-0000-0D00-000071561000}"/>
            </a:ext>
          </a:extLst>
        </xdr:cNvPr>
        <xdr:cNvSpPr>
          <a:spLocks noChangeShapeType="1"/>
        </xdr:cNvSpPr>
      </xdr:nvSpPr>
      <xdr:spPr bwMode="auto">
        <a:xfrm>
          <a:off x="2314575" y="2295525"/>
          <a:ext cx="400050" cy="657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66675</xdr:colOff>
      <xdr:row>11</xdr:row>
      <xdr:rowOff>28575</xdr:rowOff>
    </xdr:from>
    <xdr:to>
      <xdr:col>5</xdr:col>
      <xdr:colOff>438150</xdr:colOff>
      <xdr:row>15</xdr:row>
      <xdr:rowOff>85725</xdr:rowOff>
    </xdr:to>
    <xdr:sp macro="" textlink="">
      <xdr:nvSpPr>
        <xdr:cNvPr id="1070706" name="Line 150">
          <a:extLst>
            <a:ext uri="{FF2B5EF4-FFF2-40B4-BE49-F238E27FC236}">
              <a16:creationId xmlns:a16="http://schemas.microsoft.com/office/drawing/2014/main" id="{00000000-0008-0000-0D00-000072561000}"/>
            </a:ext>
          </a:extLst>
        </xdr:cNvPr>
        <xdr:cNvSpPr>
          <a:spLocks noChangeShapeType="1"/>
        </xdr:cNvSpPr>
      </xdr:nvSpPr>
      <xdr:spPr bwMode="auto">
        <a:xfrm flipV="1">
          <a:off x="2314575" y="2619375"/>
          <a:ext cx="371475" cy="781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15</xdr:row>
      <xdr:rowOff>95250</xdr:rowOff>
    </xdr:from>
    <xdr:to>
      <xdr:col>6</xdr:col>
      <xdr:colOff>0</xdr:colOff>
      <xdr:row>20</xdr:row>
      <xdr:rowOff>66675</xdr:rowOff>
    </xdr:to>
    <xdr:sp macro="" textlink="">
      <xdr:nvSpPr>
        <xdr:cNvPr id="1070707" name="Line 151">
          <a:extLst>
            <a:ext uri="{FF2B5EF4-FFF2-40B4-BE49-F238E27FC236}">
              <a16:creationId xmlns:a16="http://schemas.microsoft.com/office/drawing/2014/main" id="{00000000-0008-0000-0D00-000073561000}"/>
            </a:ext>
          </a:extLst>
        </xdr:cNvPr>
        <xdr:cNvSpPr>
          <a:spLocks noChangeShapeType="1"/>
        </xdr:cNvSpPr>
      </xdr:nvSpPr>
      <xdr:spPr bwMode="auto">
        <a:xfrm>
          <a:off x="2324100" y="3409950"/>
          <a:ext cx="371475"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16</xdr:row>
      <xdr:rowOff>142875</xdr:rowOff>
    </xdr:from>
    <xdr:to>
      <xdr:col>6</xdr:col>
      <xdr:colOff>9525</xdr:colOff>
      <xdr:row>21</xdr:row>
      <xdr:rowOff>76200</xdr:rowOff>
    </xdr:to>
    <xdr:sp macro="" textlink="">
      <xdr:nvSpPr>
        <xdr:cNvPr id="1070708" name="Line 152">
          <a:extLst>
            <a:ext uri="{FF2B5EF4-FFF2-40B4-BE49-F238E27FC236}">
              <a16:creationId xmlns:a16="http://schemas.microsoft.com/office/drawing/2014/main" id="{00000000-0008-0000-0D00-000074561000}"/>
            </a:ext>
          </a:extLst>
        </xdr:cNvPr>
        <xdr:cNvSpPr>
          <a:spLocks noChangeShapeType="1"/>
        </xdr:cNvSpPr>
      </xdr:nvSpPr>
      <xdr:spPr bwMode="auto">
        <a:xfrm flipV="1">
          <a:off x="2324100" y="3638550"/>
          <a:ext cx="381000"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21</xdr:row>
      <xdr:rowOff>76200</xdr:rowOff>
    </xdr:from>
    <xdr:to>
      <xdr:col>5</xdr:col>
      <xdr:colOff>438150</xdr:colOff>
      <xdr:row>25</xdr:row>
      <xdr:rowOff>161925</xdr:rowOff>
    </xdr:to>
    <xdr:sp macro="" textlink="">
      <xdr:nvSpPr>
        <xdr:cNvPr id="1070709" name="Line 153">
          <a:extLst>
            <a:ext uri="{FF2B5EF4-FFF2-40B4-BE49-F238E27FC236}">
              <a16:creationId xmlns:a16="http://schemas.microsoft.com/office/drawing/2014/main" id="{00000000-0008-0000-0D00-000075561000}"/>
            </a:ext>
          </a:extLst>
        </xdr:cNvPr>
        <xdr:cNvSpPr>
          <a:spLocks noChangeShapeType="1"/>
        </xdr:cNvSpPr>
      </xdr:nvSpPr>
      <xdr:spPr bwMode="auto">
        <a:xfrm>
          <a:off x="2333625" y="4476750"/>
          <a:ext cx="352425" cy="809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57150</xdr:colOff>
      <xdr:row>22</xdr:row>
      <xdr:rowOff>104775</xdr:rowOff>
    </xdr:from>
    <xdr:to>
      <xdr:col>6</xdr:col>
      <xdr:colOff>9525</xdr:colOff>
      <xdr:row>27</xdr:row>
      <xdr:rowOff>57150</xdr:rowOff>
    </xdr:to>
    <xdr:sp macro="" textlink="">
      <xdr:nvSpPr>
        <xdr:cNvPr id="1070710" name="Line 154">
          <a:extLst>
            <a:ext uri="{FF2B5EF4-FFF2-40B4-BE49-F238E27FC236}">
              <a16:creationId xmlns:a16="http://schemas.microsoft.com/office/drawing/2014/main" id="{00000000-0008-0000-0D00-000076561000}"/>
            </a:ext>
          </a:extLst>
        </xdr:cNvPr>
        <xdr:cNvSpPr>
          <a:spLocks noChangeShapeType="1"/>
        </xdr:cNvSpPr>
      </xdr:nvSpPr>
      <xdr:spPr bwMode="auto">
        <a:xfrm flipV="1">
          <a:off x="2305050" y="4686300"/>
          <a:ext cx="400050" cy="857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57150</xdr:colOff>
      <xdr:row>27</xdr:row>
      <xdr:rowOff>38100</xdr:rowOff>
    </xdr:from>
    <xdr:to>
      <xdr:col>6</xdr:col>
      <xdr:colOff>0</xdr:colOff>
      <xdr:row>32</xdr:row>
      <xdr:rowOff>9525</xdr:rowOff>
    </xdr:to>
    <xdr:sp macro="" textlink="">
      <xdr:nvSpPr>
        <xdr:cNvPr id="1070711" name="Line 155">
          <a:extLst>
            <a:ext uri="{FF2B5EF4-FFF2-40B4-BE49-F238E27FC236}">
              <a16:creationId xmlns:a16="http://schemas.microsoft.com/office/drawing/2014/main" id="{00000000-0008-0000-0D00-000077561000}"/>
            </a:ext>
          </a:extLst>
        </xdr:cNvPr>
        <xdr:cNvSpPr>
          <a:spLocks noChangeShapeType="1"/>
        </xdr:cNvSpPr>
      </xdr:nvSpPr>
      <xdr:spPr bwMode="auto">
        <a:xfrm>
          <a:off x="2305050" y="5524500"/>
          <a:ext cx="390525"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57150</xdr:colOff>
      <xdr:row>28</xdr:row>
      <xdr:rowOff>152400</xdr:rowOff>
    </xdr:from>
    <xdr:to>
      <xdr:col>6</xdr:col>
      <xdr:colOff>9525</xdr:colOff>
      <xdr:row>33</xdr:row>
      <xdr:rowOff>104775</xdr:rowOff>
    </xdr:to>
    <xdr:sp macro="" textlink="">
      <xdr:nvSpPr>
        <xdr:cNvPr id="1070712" name="Line 156">
          <a:extLst>
            <a:ext uri="{FF2B5EF4-FFF2-40B4-BE49-F238E27FC236}">
              <a16:creationId xmlns:a16="http://schemas.microsoft.com/office/drawing/2014/main" id="{00000000-0008-0000-0D00-000078561000}"/>
            </a:ext>
          </a:extLst>
        </xdr:cNvPr>
        <xdr:cNvSpPr>
          <a:spLocks noChangeShapeType="1"/>
        </xdr:cNvSpPr>
      </xdr:nvSpPr>
      <xdr:spPr bwMode="auto">
        <a:xfrm flipV="1">
          <a:off x="2305050" y="5819775"/>
          <a:ext cx="400050" cy="857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57150</xdr:colOff>
      <xdr:row>33</xdr:row>
      <xdr:rowOff>104775</xdr:rowOff>
    </xdr:from>
    <xdr:to>
      <xdr:col>6</xdr:col>
      <xdr:colOff>0</xdr:colOff>
      <xdr:row>37</xdr:row>
      <xdr:rowOff>171450</xdr:rowOff>
    </xdr:to>
    <xdr:sp macro="" textlink="">
      <xdr:nvSpPr>
        <xdr:cNvPr id="1070713" name="Line 158">
          <a:extLst>
            <a:ext uri="{FF2B5EF4-FFF2-40B4-BE49-F238E27FC236}">
              <a16:creationId xmlns:a16="http://schemas.microsoft.com/office/drawing/2014/main" id="{00000000-0008-0000-0D00-000079561000}"/>
            </a:ext>
          </a:extLst>
        </xdr:cNvPr>
        <xdr:cNvSpPr>
          <a:spLocks noChangeShapeType="1"/>
        </xdr:cNvSpPr>
      </xdr:nvSpPr>
      <xdr:spPr bwMode="auto">
        <a:xfrm>
          <a:off x="2305050" y="6677025"/>
          <a:ext cx="390525" cy="7905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66675</xdr:colOff>
      <xdr:row>11</xdr:row>
      <xdr:rowOff>57150</xdr:rowOff>
    </xdr:from>
    <xdr:to>
      <xdr:col>9</xdr:col>
      <xdr:colOff>0</xdr:colOff>
      <xdr:row>15</xdr:row>
      <xdr:rowOff>104775</xdr:rowOff>
    </xdr:to>
    <xdr:sp macro="" textlink="">
      <xdr:nvSpPr>
        <xdr:cNvPr id="1070714" name="Line 163">
          <a:extLst>
            <a:ext uri="{FF2B5EF4-FFF2-40B4-BE49-F238E27FC236}">
              <a16:creationId xmlns:a16="http://schemas.microsoft.com/office/drawing/2014/main" id="{00000000-0008-0000-0D00-00007A561000}"/>
            </a:ext>
          </a:extLst>
        </xdr:cNvPr>
        <xdr:cNvSpPr>
          <a:spLocks noChangeShapeType="1"/>
        </xdr:cNvSpPr>
      </xdr:nvSpPr>
      <xdr:spPr bwMode="auto">
        <a:xfrm flipV="1">
          <a:off x="4476750" y="2647950"/>
          <a:ext cx="342900" cy="7715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76200</xdr:colOff>
      <xdr:row>21</xdr:row>
      <xdr:rowOff>76200</xdr:rowOff>
    </xdr:from>
    <xdr:to>
      <xdr:col>9</xdr:col>
      <xdr:colOff>0</xdr:colOff>
      <xdr:row>26</xdr:row>
      <xdr:rowOff>9525</xdr:rowOff>
    </xdr:to>
    <xdr:sp macro="" textlink="">
      <xdr:nvSpPr>
        <xdr:cNvPr id="1070715" name="Line 164">
          <a:extLst>
            <a:ext uri="{FF2B5EF4-FFF2-40B4-BE49-F238E27FC236}">
              <a16:creationId xmlns:a16="http://schemas.microsoft.com/office/drawing/2014/main" id="{00000000-0008-0000-0D00-00007B561000}"/>
            </a:ext>
          </a:extLst>
        </xdr:cNvPr>
        <xdr:cNvSpPr>
          <a:spLocks noChangeShapeType="1"/>
        </xdr:cNvSpPr>
      </xdr:nvSpPr>
      <xdr:spPr bwMode="auto">
        <a:xfrm>
          <a:off x="4486275" y="4476750"/>
          <a:ext cx="333375" cy="838200"/>
        </a:xfrm>
        <a:prstGeom prst="line">
          <a:avLst/>
        </a:prstGeom>
        <a:noFill/>
        <a:ln w="19050">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66675</xdr:colOff>
      <xdr:row>22</xdr:row>
      <xdr:rowOff>171450</xdr:rowOff>
    </xdr:from>
    <xdr:to>
      <xdr:col>9</xdr:col>
      <xdr:colOff>0</xdr:colOff>
      <xdr:row>27</xdr:row>
      <xdr:rowOff>114300</xdr:rowOff>
    </xdr:to>
    <xdr:sp macro="" textlink="">
      <xdr:nvSpPr>
        <xdr:cNvPr id="1070716" name="Line 165">
          <a:extLst>
            <a:ext uri="{FF2B5EF4-FFF2-40B4-BE49-F238E27FC236}">
              <a16:creationId xmlns:a16="http://schemas.microsoft.com/office/drawing/2014/main" id="{00000000-0008-0000-0D00-00007C561000}"/>
            </a:ext>
          </a:extLst>
        </xdr:cNvPr>
        <xdr:cNvSpPr>
          <a:spLocks noChangeShapeType="1"/>
        </xdr:cNvSpPr>
      </xdr:nvSpPr>
      <xdr:spPr bwMode="auto">
        <a:xfrm flipV="1">
          <a:off x="4476750" y="4752975"/>
          <a:ext cx="342900" cy="84772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76200</xdr:colOff>
      <xdr:row>52</xdr:row>
      <xdr:rowOff>0</xdr:rowOff>
    </xdr:from>
    <xdr:to>
      <xdr:col>8</xdr:col>
      <xdr:colOff>76200</xdr:colOff>
      <xdr:row>52</xdr:row>
      <xdr:rowOff>0</xdr:rowOff>
    </xdr:to>
    <xdr:sp macro="" textlink="">
      <xdr:nvSpPr>
        <xdr:cNvPr id="1070717" name="Line 176">
          <a:extLst>
            <a:ext uri="{FF2B5EF4-FFF2-40B4-BE49-F238E27FC236}">
              <a16:creationId xmlns:a16="http://schemas.microsoft.com/office/drawing/2014/main" id="{00000000-0008-0000-0D00-00007D561000}"/>
            </a:ext>
          </a:extLst>
        </xdr:cNvPr>
        <xdr:cNvSpPr>
          <a:spLocks noChangeShapeType="1"/>
        </xdr:cNvSpPr>
      </xdr:nvSpPr>
      <xdr:spPr bwMode="auto">
        <a:xfrm>
          <a:off x="4486275" y="1001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76200</xdr:colOff>
      <xdr:row>52</xdr:row>
      <xdr:rowOff>0</xdr:rowOff>
    </xdr:from>
    <xdr:to>
      <xdr:col>8</xdr:col>
      <xdr:colOff>76200</xdr:colOff>
      <xdr:row>52</xdr:row>
      <xdr:rowOff>0</xdr:rowOff>
    </xdr:to>
    <xdr:sp macro="" textlink="">
      <xdr:nvSpPr>
        <xdr:cNvPr id="1070718" name="Line 210">
          <a:extLst>
            <a:ext uri="{FF2B5EF4-FFF2-40B4-BE49-F238E27FC236}">
              <a16:creationId xmlns:a16="http://schemas.microsoft.com/office/drawing/2014/main" id="{00000000-0008-0000-0D00-00007E561000}"/>
            </a:ext>
          </a:extLst>
        </xdr:cNvPr>
        <xdr:cNvSpPr>
          <a:spLocks noChangeShapeType="1"/>
        </xdr:cNvSpPr>
      </xdr:nvSpPr>
      <xdr:spPr bwMode="auto">
        <a:xfrm>
          <a:off x="4486275" y="1001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57150</xdr:colOff>
      <xdr:row>33</xdr:row>
      <xdr:rowOff>76200</xdr:rowOff>
    </xdr:from>
    <xdr:to>
      <xdr:col>8</xdr:col>
      <xdr:colOff>400050</xdr:colOff>
      <xdr:row>38</xdr:row>
      <xdr:rowOff>0</xdr:rowOff>
    </xdr:to>
    <xdr:sp macro="" textlink="">
      <xdr:nvSpPr>
        <xdr:cNvPr id="1070719" name="Line 259">
          <a:extLst>
            <a:ext uri="{FF2B5EF4-FFF2-40B4-BE49-F238E27FC236}">
              <a16:creationId xmlns:a16="http://schemas.microsoft.com/office/drawing/2014/main" id="{00000000-0008-0000-0D00-00007F561000}"/>
            </a:ext>
          </a:extLst>
        </xdr:cNvPr>
        <xdr:cNvSpPr>
          <a:spLocks noChangeShapeType="1"/>
        </xdr:cNvSpPr>
      </xdr:nvSpPr>
      <xdr:spPr bwMode="auto">
        <a:xfrm>
          <a:off x="4467225" y="6648450"/>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0</xdr:colOff>
      <xdr:row>38</xdr:row>
      <xdr:rowOff>0</xdr:rowOff>
    </xdr:from>
    <xdr:to>
      <xdr:col>5</xdr:col>
      <xdr:colOff>76200</xdr:colOff>
      <xdr:row>38</xdr:row>
      <xdr:rowOff>9525</xdr:rowOff>
    </xdr:to>
    <xdr:sp macro="" textlink="">
      <xdr:nvSpPr>
        <xdr:cNvPr id="1070720" name="Line 283">
          <a:extLst>
            <a:ext uri="{FF2B5EF4-FFF2-40B4-BE49-F238E27FC236}">
              <a16:creationId xmlns:a16="http://schemas.microsoft.com/office/drawing/2014/main" id="{00000000-0008-0000-0D00-000080561000}"/>
            </a:ext>
          </a:extLst>
        </xdr:cNvPr>
        <xdr:cNvSpPr>
          <a:spLocks noChangeShapeType="1"/>
        </xdr:cNvSpPr>
      </xdr:nvSpPr>
      <xdr:spPr bwMode="auto">
        <a:xfrm>
          <a:off x="224790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66675</xdr:colOff>
      <xdr:row>38</xdr:row>
      <xdr:rowOff>9525</xdr:rowOff>
    </xdr:from>
    <xdr:to>
      <xdr:col>5</xdr:col>
      <xdr:colOff>66675</xdr:colOff>
      <xdr:row>41</xdr:row>
      <xdr:rowOff>19050</xdr:rowOff>
    </xdr:to>
    <xdr:sp macro="" textlink="">
      <xdr:nvSpPr>
        <xdr:cNvPr id="1070721" name="Line 284">
          <a:extLst>
            <a:ext uri="{FF2B5EF4-FFF2-40B4-BE49-F238E27FC236}">
              <a16:creationId xmlns:a16="http://schemas.microsoft.com/office/drawing/2014/main" id="{00000000-0008-0000-0D00-000081561000}"/>
            </a:ext>
          </a:extLst>
        </xdr:cNvPr>
        <xdr:cNvSpPr>
          <a:spLocks noChangeShapeType="1"/>
        </xdr:cNvSpPr>
      </xdr:nvSpPr>
      <xdr:spPr bwMode="auto">
        <a:xfrm>
          <a:off x="231457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41</xdr:row>
      <xdr:rowOff>0</xdr:rowOff>
    </xdr:from>
    <xdr:to>
      <xdr:col>5</xdr:col>
      <xdr:colOff>66675</xdr:colOff>
      <xdr:row>41</xdr:row>
      <xdr:rowOff>9525</xdr:rowOff>
    </xdr:to>
    <xdr:sp macro="" textlink="">
      <xdr:nvSpPr>
        <xdr:cNvPr id="1070722" name="Line 285">
          <a:extLst>
            <a:ext uri="{FF2B5EF4-FFF2-40B4-BE49-F238E27FC236}">
              <a16:creationId xmlns:a16="http://schemas.microsoft.com/office/drawing/2014/main" id="{00000000-0008-0000-0D00-000082561000}"/>
            </a:ext>
          </a:extLst>
        </xdr:cNvPr>
        <xdr:cNvSpPr>
          <a:spLocks noChangeShapeType="1"/>
        </xdr:cNvSpPr>
      </xdr:nvSpPr>
      <xdr:spPr bwMode="auto">
        <a:xfrm flipV="1">
          <a:off x="225742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38</xdr:row>
      <xdr:rowOff>0</xdr:rowOff>
    </xdr:from>
    <xdr:to>
      <xdr:col>8</xdr:col>
      <xdr:colOff>76200</xdr:colOff>
      <xdr:row>38</xdr:row>
      <xdr:rowOff>9525</xdr:rowOff>
    </xdr:to>
    <xdr:sp macro="" textlink="">
      <xdr:nvSpPr>
        <xdr:cNvPr id="1070723" name="Line 286">
          <a:extLst>
            <a:ext uri="{FF2B5EF4-FFF2-40B4-BE49-F238E27FC236}">
              <a16:creationId xmlns:a16="http://schemas.microsoft.com/office/drawing/2014/main" id="{00000000-0008-0000-0D00-000083561000}"/>
            </a:ext>
          </a:extLst>
        </xdr:cNvPr>
        <xdr:cNvSpPr>
          <a:spLocks noChangeShapeType="1"/>
        </xdr:cNvSpPr>
      </xdr:nvSpPr>
      <xdr:spPr bwMode="auto">
        <a:xfrm>
          <a:off x="44100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38</xdr:row>
      <xdr:rowOff>9525</xdr:rowOff>
    </xdr:from>
    <xdr:to>
      <xdr:col>8</xdr:col>
      <xdr:colOff>66675</xdr:colOff>
      <xdr:row>41</xdr:row>
      <xdr:rowOff>19050</xdr:rowOff>
    </xdr:to>
    <xdr:sp macro="" textlink="">
      <xdr:nvSpPr>
        <xdr:cNvPr id="1070724" name="Line 287">
          <a:extLst>
            <a:ext uri="{FF2B5EF4-FFF2-40B4-BE49-F238E27FC236}">
              <a16:creationId xmlns:a16="http://schemas.microsoft.com/office/drawing/2014/main" id="{00000000-0008-0000-0D00-000084561000}"/>
            </a:ext>
          </a:extLst>
        </xdr:cNvPr>
        <xdr:cNvSpPr>
          <a:spLocks noChangeShapeType="1"/>
        </xdr:cNvSpPr>
      </xdr:nvSpPr>
      <xdr:spPr bwMode="auto">
        <a:xfrm>
          <a:off x="4476750"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41</xdr:row>
      <xdr:rowOff>0</xdr:rowOff>
    </xdr:from>
    <xdr:to>
      <xdr:col>8</xdr:col>
      <xdr:colOff>66675</xdr:colOff>
      <xdr:row>41</xdr:row>
      <xdr:rowOff>9525</xdr:rowOff>
    </xdr:to>
    <xdr:sp macro="" textlink="">
      <xdr:nvSpPr>
        <xdr:cNvPr id="1070725" name="Line 288">
          <a:extLst>
            <a:ext uri="{FF2B5EF4-FFF2-40B4-BE49-F238E27FC236}">
              <a16:creationId xmlns:a16="http://schemas.microsoft.com/office/drawing/2014/main" id="{00000000-0008-0000-0D00-000085561000}"/>
            </a:ext>
          </a:extLst>
        </xdr:cNvPr>
        <xdr:cNvSpPr>
          <a:spLocks noChangeShapeType="1"/>
        </xdr:cNvSpPr>
      </xdr:nvSpPr>
      <xdr:spPr bwMode="auto">
        <a:xfrm flipV="1">
          <a:off x="44196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38</xdr:row>
      <xdr:rowOff>0</xdr:rowOff>
    </xdr:from>
    <xdr:to>
      <xdr:col>11</xdr:col>
      <xdr:colOff>76200</xdr:colOff>
      <xdr:row>38</xdr:row>
      <xdr:rowOff>9525</xdr:rowOff>
    </xdr:to>
    <xdr:sp macro="" textlink="">
      <xdr:nvSpPr>
        <xdr:cNvPr id="1070726" name="Line 289">
          <a:extLst>
            <a:ext uri="{FF2B5EF4-FFF2-40B4-BE49-F238E27FC236}">
              <a16:creationId xmlns:a16="http://schemas.microsoft.com/office/drawing/2014/main" id="{00000000-0008-0000-0D00-000086561000}"/>
            </a:ext>
          </a:extLst>
        </xdr:cNvPr>
        <xdr:cNvSpPr>
          <a:spLocks noChangeShapeType="1"/>
        </xdr:cNvSpPr>
      </xdr:nvSpPr>
      <xdr:spPr bwMode="auto">
        <a:xfrm>
          <a:off x="714375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38</xdr:row>
      <xdr:rowOff>9525</xdr:rowOff>
    </xdr:from>
    <xdr:to>
      <xdr:col>11</xdr:col>
      <xdr:colOff>66675</xdr:colOff>
      <xdr:row>41</xdr:row>
      <xdr:rowOff>19050</xdr:rowOff>
    </xdr:to>
    <xdr:sp macro="" textlink="">
      <xdr:nvSpPr>
        <xdr:cNvPr id="1070727" name="Line 290">
          <a:extLst>
            <a:ext uri="{FF2B5EF4-FFF2-40B4-BE49-F238E27FC236}">
              <a16:creationId xmlns:a16="http://schemas.microsoft.com/office/drawing/2014/main" id="{00000000-0008-0000-0D00-000087561000}"/>
            </a:ext>
          </a:extLst>
        </xdr:cNvPr>
        <xdr:cNvSpPr>
          <a:spLocks noChangeShapeType="1"/>
        </xdr:cNvSpPr>
      </xdr:nvSpPr>
      <xdr:spPr bwMode="auto">
        <a:xfrm>
          <a:off x="721042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41</xdr:row>
      <xdr:rowOff>0</xdr:rowOff>
    </xdr:from>
    <xdr:to>
      <xdr:col>11</xdr:col>
      <xdr:colOff>66675</xdr:colOff>
      <xdr:row>41</xdr:row>
      <xdr:rowOff>9525</xdr:rowOff>
    </xdr:to>
    <xdr:sp macro="" textlink="">
      <xdr:nvSpPr>
        <xdr:cNvPr id="1070728" name="Line 291">
          <a:extLst>
            <a:ext uri="{FF2B5EF4-FFF2-40B4-BE49-F238E27FC236}">
              <a16:creationId xmlns:a16="http://schemas.microsoft.com/office/drawing/2014/main" id="{00000000-0008-0000-0D00-000088561000}"/>
            </a:ext>
          </a:extLst>
        </xdr:cNvPr>
        <xdr:cNvSpPr>
          <a:spLocks noChangeShapeType="1"/>
        </xdr:cNvSpPr>
      </xdr:nvSpPr>
      <xdr:spPr bwMode="auto">
        <a:xfrm flipV="1">
          <a:off x="715327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38</xdr:row>
      <xdr:rowOff>0</xdr:rowOff>
    </xdr:from>
    <xdr:to>
      <xdr:col>11</xdr:col>
      <xdr:colOff>76200</xdr:colOff>
      <xdr:row>38</xdr:row>
      <xdr:rowOff>9525</xdr:rowOff>
    </xdr:to>
    <xdr:sp macro="" textlink="">
      <xdr:nvSpPr>
        <xdr:cNvPr id="1070729" name="Line 292">
          <a:extLst>
            <a:ext uri="{FF2B5EF4-FFF2-40B4-BE49-F238E27FC236}">
              <a16:creationId xmlns:a16="http://schemas.microsoft.com/office/drawing/2014/main" id="{00000000-0008-0000-0D00-000089561000}"/>
            </a:ext>
          </a:extLst>
        </xdr:cNvPr>
        <xdr:cNvSpPr>
          <a:spLocks noChangeShapeType="1"/>
        </xdr:cNvSpPr>
      </xdr:nvSpPr>
      <xdr:spPr bwMode="auto">
        <a:xfrm>
          <a:off x="714375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38</xdr:row>
      <xdr:rowOff>9525</xdr:rowOff>
    </xdr:from>
    <xdr:to>
      <xdr:col>11</xdr:col>
      <xdr:colOff>66675</xdr:colOff>
      <xdr:row>41</xdr:row>
      <xdr:rowOff>19050</xdr:rowOff>
    </xdr:to>
    <xdr:sp macro="" textlink="">
      <xdr:nvSpPr>
        <xdr:cNvPr id="1070730" name="Line 293">
          <a:extLst>
            <a:ext uri="{FF2B5EF4-FFF2-40B4-BE49-F238E27FC236}">
              <a16:creationId xmlns:a16="http://schemas.microsoft.com/office/drawing/2014/main" id="{00000000-0008-0000-0D00-00008A561000}"/>
            </a:ext>
          </a:extLst>
        </xdr:cNvPr>
        <xdr:cNvSpPr>
          <a:spLocks noChangeShapeType="1"/>
        </xdr:cNvSpPr>
      </xdr:nvSpPr>
      <xdr:spPr bwMode="auto">
        <a:xfrm>
          <a:off x="721042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41</xdr:row>
      <xdr:rowOff>0</xdr:rowOff>
    </xdr:from>
    <xdr:to>
      <xdr:col>11</xdr:col>
      <xdr:colOff>66675</xdr:colOff>
      <xdr:row>41</xdr:row>
      <xdr:rowOff>9525</xdr:rowOff>
    </xdr:to>
    <xdr:sp macro="" textlink="">
      <xdr:nvSpPr>
        <xdr:cNvPr id="1070731" name="Line 294">
          <a:extLst>
            <a:ext uri="{FF2B5EF4-FFF2-40B4-BE49-F238E27FC236}">
              <a16:creationId xmlns:a16="http://schemas.microsoft.com/office/drawing/2014/main" id="{00000000-0008-0000-0D00-00008B561000}"/>
            </a:ext>
          </a:extLst>
        </xdr:cNvPr>
        <xdr:cNvSpPr>
          <a:spLocks noChangeShapeType="1"/>
        </xdr:cNvSpPr>
      </xdr:nvSpPr>
      <xdr:spPr bwMode="auto">
        <a:xfrm flipV="1">
          <a:off x="715327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39</xdr:row>
      <xdr:rowOff>66675</xdr:rowOff>
    </xdr:from>
    <xdr:to>
      <xdr:col>12</xdr:col>
      <xdr:colOff>9525</xdr:colOff>
      <xdr:row>41</xdr:row>
      <xdr:rowOff>19050</xdr:rowOff>
    </xdr:to>
    <xdr:sp macro="" textlink="">
      <xdr:nvSpPr>
        <xdr:cNvPr id="1070732" name="Line 295">
          <a:extLst>
            <a:ext uri="{FF2B5EF4-FFF2-40B4-BE49-F238E27FC236}">
              <a16:creationId xmlns:a16="http://schemas.microsoft.com/office/drawing/2014/main" id="{00000000-0008-0000-0D00-00008C561000}"/>
            </a:ext>
          </a:extLst>
        </xdr:cNvPr>
        <xdr:cNvSpPr>
          <a:spLocks noChangeShapeType="1"/>
        </xdr:cNvSpPr>
      </xdr:nvSpPr>
      <xdr:spPr bwMode="auto">
        <a:xfrm>
          <a:off x="7219950" y="77247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38</xdr:row>
      <xdr:rowOff>0</xdr:rowOff>
    </xdr:from>
    <xdr:to>
      <xdr:col>11</xdr:col>
      <xdr:colOff>76200</xdr:colOff>
      <xdr:row>38</xdr:row>
      <xdr:rowOff>9525</xdr:rowOff>
    </xdr:to>
    <xdr:sp macro="" textlink="">
      <xdr:nvSpPr>
        <xdr:cNvPr id="1070733" name="Line 296">
          <a:extLst>
            <a:ext uri="{FF2B5EF4-FFF2-40B4-BE49-F238E27FC236}">
              <a16:creationId xmlns:a16="http://schemas.microsoft.com/office/drawing/2014/main" id="{00000000-0008-0000-0D00-00008D561000}"/>
            </a:ext>
          </a:extLst>
        </xdr:cNvPr>
        <xdr:cNvSpPr>
          <a:spLocks noChangeShapeType="1"/>
        </xdr:cNvSpPr>
      </xdr:nvSpPr>
      <xdr:spPr bwMode="auto">
        <a:xfrm>
          <a:off x="7143750"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38</xdr:row>
      <xdr:rowOff>9525</xdr:rowOff>
    </xdr:from>
    <xdr:to>
      <xdr:col>11</xdr:col>
      <xdr:colOff>66675</xdr:colOff>
      <xdr:row>41</xdr:row>
      <xdr:rowOff>19050</xdr:rowOff>
    </xdr:to>
    <xdr:sp macro="" textlink="">
      <xdr:nvSpPr>
        <xdr:cNvPr id="1070734" name="Line 297">
          <a:extLst>
            <a:ext uri="{FF2B5EF4-FFF2-40B4-BE49-F238E27FC236}">
              <a16:creationId xmlns:a16="http://schemas.microsoft.com/office/drawing/2014/main" id="{00000000-0008-0000-0D00-00008E561000}"/>
            </a:ext>
          </a:extLst>
        </xdr:cNvPr>
        <xdr:cNvSpPr>
          <a:spLocks noChangeShapeType="1"/>
        </xdr:cNvSpPr>
      </xdr:nvSpPr>
      <xdr:spPr bwMode="auto">
        <a:xfrm>
          <a:off x="7210425"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41</xdr:row>
      <xdr:rowOff>0</xdr:rowOff>
    </xdr:from>
    <xdr:to>
      <xdr:col>11</xdr:col>
      <xdr:colOff>66675</xdr:colOff>
      <xdr:row>41</xdr:row>
      <xdr:rowOff>9525</xdr:rowOff>
    </xdr:to>
    <xdr:sp macro="" textlink="">
      <xdr:nvSpPr>
        <xdr:cNvPr id="1070735" name="Line 298">
          <a:extLst>
            <a:ext uri="{FF2B5EF4-FFF2-40B4-BE49-F238E27FC236}">
              <a16:creationId xmlns:a16="http://schemas.microsoft.com/office/drawing/2014/main" id="{00000000-0008-0000-0D00-00008F561000}"/>
            </a:ext>
          </a:extLst>
        </xdr:cNvPr>
        <xdr:cNvSpPr>
          <a:spLocks noChangeShapeType="1"/>
        </xdr:cNvSpPr>
      </xdr:nvSpPr>
      <xdr:spPr bwMode="auto">
        <a:xfrm flipV="1">
          <a:off x="7153275"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57150</xdr:colOff>
      <xdr:row>37</xdr:row>
      <xdr:rowOff>171450</xdr:rowOff>
    </xdr:from>
    <xdr:to>
      <xdr:col>12</xdr:col>
      <xdr:colOff>9525</xdr:colOff>
      <xdr:row>39</xdr:row>
      <xdr:rowOff>47625</xdr:rowOff>
    </xdr:to>
    <xdr:sp macro="" textlink="">
      <xdr:nvSpPr>
        <xdr:cNvPr id="1070736" name="Line 299">
          <a:extLst>
            <a:ext uri="{FF2B5EF4-FFF2-40B4-BE49-F238E27FC236}">
              <a16:creationId xmlns:a16="http://schemas.microsoft.com/office/drawing/2014/main" id="{00000000-0008-0000-0D00-000090561000}"/>
            </a:ext>
          </a:extLst>
        </xdr:cNvPr>
        <xdr:cNvSpPr>
          <a:spLocks noChangeShapeType="1"/>
        </xdr:cNvSpPr>
      </xdr:nvSpPr>
      <xdr:spPr bwMode="auto">
        <a:xfrm flipV="1">
          <a:off x="7200900" y="7467600"/>
          <a:ext cx="361950" cy="2381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38</xdr:row>
      <xdr:rowOff>0</xdr:rowOff>
    </xdr:from>
    <xdr:to>
      <xdr:col>8</xdr:col>
      <xdr:colOff>76200</xdr:colOff>
      <xdr:row>38</xdr:row>
      <xdr:rowOff>9525</xdr:rowOff>
    </xdr:to>
    <xdr:sp macro="" textlink="">
      <xdr:nvSpPr>
        <xdr:cNvPr id="1070737" name="Line 300">
          <a:extLst>
            <a:ext uri="{FF2B5EF4-FFF2-40B4-BE49-F238E27FC236}">
              <a16:creationId xmlns:a16="http://schemas.microsoft.com/office/drawing/2014/main" id="{00000000-0008-0000-0D00-000091561000}"/>
            </a:ext>
          </a:extLst>
        </xdr:cNvPr>
        <xdr:cNvSpPr>
          <a:spLocks noChangeShapeType="1"/>
        </xdr:cNvSpPr>
      </xdr:nvSpPr>
      <xdr:spPr bwMode="auto">
        <a:xfrm>
          <a:off x="4410075" y="74771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38</xdr:row>
      <xdr:rowOff>9525</xdr:rowOff>
    </xdr:from>
    <xdr:to>
      <xdr:col>8</xdr:col>
      <xdr:colOff>66675</xdr:colOff>
      <xdr:row>41</xdr:row>
      <xdr:rowOff>19050</xdr:rowOff>
    </xdr:to>
    <xdr:sp macro="" textlink="">
      <xdr:nvSpPr>
        <xdr:cNvPr id="1070738" name="Line 301">
          <a:extLst>
            <a:ext uri="{FF2B5EF4-FFF2-40B4-BE49-F238E27FC236}">
              <a16:creationId xmlns:a16="http://schemas.microsoft.com/office/drawing/2014/main" id="{00000000-0008-0000-0D00-000092561000}"/>
            </a:ext>
          </a:extLst>
        </xdr:cNvPr>
        <xdr:cNvSpPr>
          <a:spLocks noChangeShapeType="1"/>
        </xdr:cNvSpPr>
      </xdr:nvSpPr>
      <xdr:spPr bwMode="auto">
        <a:xfrm>
          <a:off x="4476750" y="74866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41</xdr:row>
      <xdr:rowOff>0</xdr:rowOff>
    </xdr:from>
    <xdr:to>
      <xdr:col>8</xdr:col>
      <xdr:colOff>66675</xdr:colOff>
      <xdr:row>41</xdr:row>
      <xdr:rowOff>9525</xdr:rowOff>
    </xdr:to>
    <xdr:sp macro="" textlink="">
      <xdr:nvSpPr>
        <xdr:cNvPr id="1070739" name="Line 302">
          <a:extLst>
            <a:ext uri="{FF2B5EF4-FFF2-40B4-BE49-F238E27FC236}">
              <a16:creationId xmlns:a16="http://schemas.microsoft.com/office/drawing/2014/main" id="{00000000-0008-0000-0D00-000093561000}"/>
            </a:ext>
          </a:extLst>
        </xdr:cNvPr>
        <xdr:cNvSpPr>
          <a:spLocks noChangeShapeType="1"/>
        </xdr:cNvSpPr>
      </xdr:nvSpPr>
      <xdr:spPr bwMode="auto">
        <a:xfrm flipV="1">
          <a:off x="4419600" y="80200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44</xdr:row>
      <xdr:rowOff>0</xdr:rowOff>
    </xdr:from>
    <xdr:to>
      <xdr:col>5</xdr:col>
      <xdr:colOff>76200</xdr:colOff>
      <xdr:row>44</xdr:row>
      <xdr:rowOff>9525</xdr:rowOff>
    </xdr:to>
    <xdr:sp macro="" textlink="">
      <xdr:nvSpPr>
        <xdr:cNvPr id="1070740" name="Line 303">
          <a:extLst>
            <a:ext uri="{FF2B5EF4-FFF2-40B4-BE49-F238E27FC236}">
              <a16:creationId xmlns:a16="http://schemas.microsoft.com/office/drawing/2014/main" id="{00000000-0008-0000-0D00-000094561000}"/>
            </a:ext>
          </a:extLst>
        </xdr:cNvPr>
        <xdr:cNvSpPr>
          <a:spLocks noChangeShapeType="1"/>
        </xdr:cNvSpPr>
      </xdr:nvSpPr>
      <xdr:spPr bwMode="auto">
        <a:xfrm>
          <a:off x="224790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66675</xdr:colOff>
      <xdr:row>44</xdr:row>
      <xdr:rowOff>9525</xdr:rowOff>
    </xdr:from>
    <xdr:to>
      <xdr:col>5</xdr:col>
      <xdr:colOff>66675</xdr:colOff>
      <xdr:row>47</xdr:row>
      <xdr:rowOff>19050</xdr:rowOff>
    </xdr:to>
    <xdr:sp macro="" textlink="">
      <xdr:nvSpPr>
        <xdr:cNvPr id="1070741" name="Line 304">
          <a:extLst>
            <a:ext uri="{FF2B5EF4-FFF2-40B4-BE49-F238E27FC236}">
              <a16:creationId xmlns:a16="http://schemas.microsoft.com/office/drawing/2014/main" id="{00000000-0008-0000-0D00-000095561000}"/>
            </a:ext>
          </a:extLst>
        </xdr:cNvPr>
        <xdr:cNvSpPr>
          <a:spLocks noChangeShapeType="1"/>
        </xdr:cNvSpPr>
      </xdr:nvSpPr>
      <xdr:spPr bwMode="auto">
        <a:xfrm>
          <a:off x="2314575"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47</xdr:row>
      <xdr:rowOff>0</xdr:rowOff>
    </xdr:from>
    <xdr:to>
      <xdr:col>5</xdr:col>
      <xdr:colOff>66675</xdr:colOff>
      <xdr:row>47</xdr:row>
      <xdr:rowOff>9525</xdr:rowOff>
    </xdr:to>
    <xdr:sp macro="" textlink="">
      <xdr:nvSpPr>
        <xdr:cNvPr id="1070742" name="Line 305">
          <a:extLst>
            <a:ext uri="{FF2B5EF4-FFF2-40B4-BE49-F238E27FC236}">
              <a16:creationId xmlns:a16="http://schemas.microsoft.com/office/drawing/2014/main" id="{00000000-0008-0000-0D00-000096561000}"/>
            </a:ext>
          </a:extLst>
        </xdr:cNvPr>
        <xdr:cNvSpPr>
          <a:spLocks noChangeShapeType="1"/>
        </xdr:cNvSpPr>
      </xdr:nvSpPr>
      <xdr:spPr bwMode="auto">
        <a:xfrm flipV="1">
          <a:off x="225742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76200</xdr:colOff>
      <xdr:row>44</xdr:row>
      <xdr:rowOff>9525</xdr:rowOff>
    </xdr:to>
    <xdr:sp macro="" textlink="">
      <xdr:nvSpPr>
        <xdr:cNvPr id="1070743" name="Line 306">
          <a:extLst>
            <a:ext uri="{FF2B5EF4-FFF2-40B4-BE49-F238E27FC236}">
              <a16:creationId xmlns:a16="http://schemas.microsoft.com/office/drawing/2014/main" id="{00000000-0008-0000-0D00-000097561000}"/>
            </a:ext>
          </a:extLst>
        </xdr:cNvPr>
        <xdr:cNvSpPr>
          <a:spLocks noChangeShapeType="1"/>
        </xdr:cNvSpPr>
      </xdr:nvSpPr>
      <xdr:spPr bwMode="auto">
        <a:xfrm>
          <a:off x="441007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44</xdr:row>
      <xdr:rowOff>9525</xdr:rowOff>
    </xdr:from>
    <xdr:to>
      <xdr:col>8</xdr:col>
      <xdr:colOff>66675</xdr:colOff>
      <xdr:row>47</xdr:row>
      <xdr:rowOff>19050</xdr:rowOff>
    </xdr:to>
    <xdr:sp macro="" textlink="">
      <xdr:nvSpPr>
        <xdr:cNvPr id="1070744" name="Line 307">
          <a:extLst>
            <a:ext uri="{FF2B5EF4-FFF2-40B4-BE49-F238E27FC236}">
              <a16:creationId xmlns:a16="http://schemas.microsoft.com/office/drawing/2014/main" id="{00000000-0008-0000-0D00-000098561000}"/>
            </a:ext>
          </a:extLst>
        </xdr:cNvPr>
        <xdr:cNvSpPr>
          <a:spLocks noChangeShapeType="1"/>
        </xdr:cNvSpPr>
      </xdr:nvSpPr>
      <xdr:spPr bwMode="auto">
        <a:xfrm>
          <a:off x="4476750"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47</xdr:row>
      <xdr:rowOff>0</xdr:rowOff>
    </xdr:from>
    <xdr:to>
      <xdr:col>8</xdr:col>
      <xdr:colOff>66675</xdr:colOff>
      <xdr:row>47</xdr:row>
      <xdr:rowOff>9525</xdr:rowOff>
    </xdr:to>
    <xdr:sp macro="" textlink="">
      <xdr:nvSpPr>
        <xdr:cNvPr id="1070745" name="Line 308">
          <a:extLst>
            <a:ext uri="{FF2B5EF4-FFF2-40B4-BE49-F238E27FC236}">
              <a16:creationId xmlns:a16="http://schemas.microsoft.com/office/drawing/2014/main" id="{00000000-0008-0000-0D00-000099561000}"/>
            </a:ext>
          </a:extLst>
        </xdr:cNvPr>
        <xdr:cNvSpPr>
          <a:spLocks noChangeShapeType="1"/>
        </xdr:cNvSpPr>
      </xdr:nvSpPr>
      <xdr:spPr bwMode="auto">
        <a:xfrm flipV="1">
          <a:off x="4419600"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0</xdr:rowOff>
    </xdr:from>
    <xdr:to>
      <xdr:col>11</xdr:col>
      <xdr:colOff>76200</xdr:colOff>
      <xdr:row>44</xdr:row>
      <xdr:rowOff>9525</xdr:rowOff>
    </xdr:to>
    <xdr:sp macro="" textlink="">
      <xdr:nvSpPr>
        <xdr:cNvPr id="1070746" name="Line 309">
          <a:extLst>
            <a:ext uri="{FF2B5EF4-FFF2-40B4-BE49-F238E27FC236}">
              <a16:creationId xmlns:a16="http://schemas.microsoft.com/office/drawing/2014/main" id="{00000000-0008-0000-0D00-00009A561000}"/>
            </a:ext>
          </a:extLst>
        </xdr:cNvPr>
        <xdr:cNvSpPr>
          <a:spLocks noChangeShapeType="1"/>
        </xdr:cNvSpPr>
      </xdr:nvSpPr>
      <xdr:spPr bwMode="auto">
        <a:xfrm>
          <a:off x="714375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44</xdr:row>
      <xdr:rowOff>9525</xdr:rowOff>
    </xdr:from>
    <xdr:to>
      <xdr:col>11</xdr:col>
      <xdr:colOff>66675</xdr:colOff>
      <xdr:row>47</xdr:row>
      <xdr:rowOff>19050</xdr:rowOff>
    </xdr:to>
    <xdr:sp macro="" textlink="">
      <xdr:nvSpPr>
        <xdr:cNvPr id="1070747" name="Line 310">
          <a:extLst>
            <a:ext uri="{FF2B5EF4-FFF2-40B4-BE49-F238E27FC236}">
              <a16:creationId xmlns:a16="http://schemas.microsoft.com/office/drawing/2014/main" id="{00000000-0008-0000-0D00-00009B561000}"/>
            </a:ext>
          </a:extLst>
        </xdr:cNvPr>
        <xdr:cNvSpPr>
          <a:spLocks noChangeShapeType="1"/>
        </xdr:cNvSpPr>
      </xdr:nvSpPr>
      <xdr:spPr bwMode="auto">
        <a:xfrm>
          <a:off x="7210425"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47</xdr:row>
      <xdr:rowOff>0</xdr:rowOff>
    </xdr:from>
    <xdr:to>
      <xdr:col>11</xdr:col>
      <xdr:colOff>66675</xdr:colOff>
      <xdr:row>47</xdr:row>
      <xdr:rowOff>9525</xdr:rowOff>
    </xdr:to>
    <xdr:sp macro="" textlink="">
      <xdr:nvSpPr>
        <xdr:cNvPr id="1070748" name="Line 311">
          <a:extLst>
            <a:ext uri="{FF2B5EF4-FFF2-40B4-BE49-F238E27FC236}">
              <a16:creationId xmlns:a16="http://schemas.microsoft.com/office/drawing/2014/main" id="{00000000-0008-0000-0D00-00009C561000}"/>
            </a:ext>
          </a:extLst>
        </xdr:cNvPr>
        <xdr:cNvSpPr>
          <a:spLocks noChangeShapeType="1"/>
        </xdr:cNvSpPr>
      </xdr:nvSpPr>
      <xdr:spPr bwMode="auto">
        <a:xfrm flipV="1">
          <a:off x="715327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0</xdr:rowOff>
    </xdr:from>
    <xdr:to>
      <xdr:col>11</xdr:col>
      <xdr:colOff>76200</xdr:colOff>
      <xdr:row>44</xdr:row>
      <xdr:rowOff>9525</xdr:rowOff>
    </xdr:to>
    <xdr:sp macro="" textlink="">
      <xdr:nvSpPr>
        <xdr:cNvPr id="1070749" name="Line 312">
          <a:extLst>
            <a:ext uri="{FF2B5EF4-FFF2-40B4-BE49-F238E27FC236}">
              <a16:creationId xmlns:a16="http://schemas.microsoft.com/office/drawing/2014/main" id="{00000000-0008-0000-0D00-00009D561000}"/>
            </a:ext>
          </a:extLst>
        </xdr:cNvPr>
        <xdr:cNvSpPr>
          <a:spLocks noChangeShapeType="1"/>
        </xdr:cNvSpPr>
      </xdr:nvSpPr>
      <xdr:spPr bwMode="auto">
        <a:xfrm>
          <a:off x="714375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44</xdr:row>
      <xdr:rowOff>9525</xdr:rowOff>
    </xdr:from>
    <xdr:to>
      <xdr:col>11</xdr:col>
      <xdr:colOff>66675</xdr:colOff>
      <xdr:row>47</xdr:row>
      <xdr:rowOff>19050</xdr:rowOff>
    </xdr:to>
    <xdr:sp macro="" textlink="">
      <xdr:nvSpPr>
        <xdr:cNvPr id="1070750" name="Line 313">
          <a:extLst>
            <a:ext uri="{FF2B5EF4-FFF2-40B4-BE49-F238E27FC236}">
              <a16:creationId xmlns:a16="http://schemas.microsoft.com/office/drawing/2014/main" id="{00000000-0008-0000-0D00-00009E561000}"/>
            </a:ext>
          </a:extLst>
        </xdr:cNvPr>
        <xdr:cNvSpPr>
          <a:spLocks noChangeShapeType="1"/>
        </xdr:cNvSpPr>
      </xdr:nvSpPr>
      <xdr:spPr bwMode="auto">
        <a:xfrm>
          <a:off x="7210425"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47</xdr:row>
      <xdr:rowOff>0</xdr:rowOff>
    </xdr:from>
    <xdr:to>
      <xdr:col>11</xdr:col>
      <xdr:colOff>66675</xdr:colOff>
      <xdr:row>47</xdr:row>
      <xdr:rowOff>9525</xdr:rowOff>
    </xdr:to>
    <xdr:sp macro="" textlink="">
      <xdr:nvSpPr>
        <xdr:cNvPr id="1070751" name="Line 314">
          <a:extLst>
            <a:ext uri="{FF2B5EF4-FFF2-40B4-BE49-F238E27FC236}">
              <a16:creationId xmlns:a16="http://schemas.microsoft.com/office/drawing/2014/main" id="{00000000-0008-0000-0D00-00009F561000}"/>
            </a:ext>
          </a:extLst>
        </xdr:cNvPr>
        <xdr:cNvSpPr>
          <a:spLocks noChangeShapeType="1"/>
        </xdr:cNvSpPr>
      </xdr:nvSpPr>
      <xdr:spPr bwMode="auto">
        <a:xfrm flipV="1">
          <a:off x="715327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45</xdr:row>
      <xdr:rowOff>66675</xdr:rowOff>
    </xdr:from>
    <xdr:to>
      <xdr:col>12</xdr:col>
      <xdr:colOff>9525</xdr:colOff>
      <xdr:row>47</xdr:row>
      <xdr:rowOff>19050</xdr:rowOff>
    </xdr:to>
    <xdr:sp macro="" textlink="">
      <xdr:nvSpPr>
        <xdr:cNvPr id="1070752" name="Line 315">
          <a:extLst>
            <a:ext uri="{FF2B5EF4-FFF2-40B4-BE49-F238E27FC236}">
              <a16:creationId xmlns:a16="http://schemas.microsoft.com/office/drawing/2014/main" id="{00000000-0008-0000-0D00-0000A0561000}"/>
            </a:ext>
          </a:extLst>
        </xdr:cNvPr>
        <xdr:cNvSpPr>
          <a:spLocks noChangeShapeType="1"/>
        </xdr:cNvSpPr>
      </xdr:nvSpPr>
      <xdr:spPr bwMode="auto">
        <a:xfrm>
          <a:off x="7219950" y="88106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0</xdr:rowOff>
    </xdr:from>
    <xdr:to>
      <xdr:col>11</xdr:col>
      <xdr:colOff>76200</xdr:colOff>
      <xdr:row>44</xdr:row>
      <xdr:rowOff>9525</xdr:rowOff>
    </xdr:to>
    <xdr:sp macro="" textlink="">
      <xdr:nvSpPr>
        <xdr:cNvPr id="1070753" name="Line 316">
          <a:extLst>
            <a:ext uri="{FF2B5EF4-FFF2-40B4-BE49-F238E27FC236}">
              <a16:creationId xmlns:a16="http://schemas.microsoft.com/office/drawing/2014/main" id="{00000000-0008-0000-0D00-0000A1561000}"/>
            </a:ext>
          </a:extLst>
        </xdr:cNvPr>
        <xdr:cNvSpPr>
          <a:spLocks noChangeShapeType="1"/>
        </xdr:cNvSpPr>
      </xdr:nvSpPr>
      <xdr:spPr bwMode="auto">
        <a:xfrm>
          <a:off x="7143750"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44</xdr:row>
      <xdr:rowOff>9525</xdr:rowOff>
    </xdr:from>
    <xdr:to>
      <xdr:col>11</xdr:col>
      <xdr:colOff>66675</xdr:colOff>
      <xdr:row>47</xdr:row>
      <xdr:rowOff>19050</xdr:rowOff>
    </xdr:to>
    <xdr:sp macro="" textlink="">
      <xdr:nvSpPr>
        <xdr:cNvPr id="1070754" name="Line 317">
          <a:extLst>
            <a:ext uri="{FF2B5EF4-FFF2-40B4-BE49-F238E27FC236}">
              <a16:creationId xmlns:a16="http://schemas.microsoft.com/office/drawing/2014/main" id="{00000000-0008-0000-0D00-0000A2561000}"/>
            </a:ext>
          </a:extLst>
        </xdr:cNvPr>
        <xdr:cNvSpPr>
          <a:spLocks noChangeShapeType="1"/>
        </xdr:cNvSpPr>
      </xdr:nvSpPr>
      <xdr:spPr bwMode="auto">
        <a:xfrm>
          <a:off x="7210425"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47</xdr:row>
      <xdr:rowOff>0</xdr:rowOff>
    </xdr:from>
    <xdr:to>
      <xdr:col>11</xdr:col>
      <xdr:colOff>66675</xdr:colOff>
      <xdr:row>47</xdr:row>
      <xdr:rowOff>9525</xdr:rowOff>
    </xdr:to>
    <xdr:sp macro="" textlink="">
      <xdr:nvSpPr>
        <xdr:cNvPr id="1070755" name="Line 318">
          <a:extLst>
            <a:ext uri="{FF2B5EF4-FFF2-40B4-BE49-F238E27FC236}">
              <a16:creationId xmlns:a16="http://schemas.microsoft.com/office/drawing/2014/main" id="{00000000-0008-0000-0D00-0000A3561000}"/>
            </a:ext>
          </a:extLst>
        </xdr:cNvPr>
        <xdr:cNvSpPr>
          <a:spLocks noChangeShapeType="1"/>
        </xdr:cNvSpPr>
      </xdr:nvSpPr>
      <xdr:spPr bwMode="auto">
        <a:xfrm flipV="1">
          <a:off x="7153275"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43</xdr:row>
      <xdr:rowOff>171450</xdr:rowOff>
    </xdr:from>
    <xdr:to>
      <xdr:col>12</xdr:col>
      <xdr:colOff>9525</xdr:colOff>
      <xdr:row>45</xdr:row>
      <xdr:rowOff>38100</xdr:rowOff>
    </xdr:to>
    <xdr:sp macro="" textlink="">
      <xdr:nvSpPr>
        <xdr:cNvPr id="1070756" name="Line 319">
          <a:extLst>
            <a:ext uri="{FF2B5EF4-FFF2-40B4-BE49-F238E27FC236}">
              <a16:creationId xmlns:a16="http://schemas.microsoft.com/office/drawing/2014/main" id="{00000000-0008-0000-0D00-0000A4561000}"/>
            </a:ext>
          </a:extLst>
        </xdr:cNvPr>
        <xdr:cNvSpPr>
          <a:spLocks noChangeShapeType="1"/>
        </xdr:cNvSpPr>
      </xdr:nvSpPr>
      <xdr:spPr bwMode="auto">
        <a:xfrm flipV="1">
          <a:off x="7219950" y="8553450"/>
          <a:ext cx="342900" cy="22860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76200</xdr:colOff>
      <xdr:row>44</xdr:row>
      <xdr:rowOff>9525</xdr:rowOff>
    </xdr:to>
    <xdr:sp macro="" textlink="">
      <xdr:nvSpPr>
        <xdr:cNvPr id="1070757" name="Line 320">
          <a:extLst>
            <a:ext uri="{FF2B5EF4-FFF2-40B4-BE49-F238E27FC236}">
              <a16:creationId xmlns:a16="http://schemas.microsoft.com/office/drawing/2014/main" id="{00000000-0008-0000-0D00-0000A5561000}"/>
            </a:ext>
          </a:extLst>
        </xdr:cNvPr>
        <xdr:cNvSpPr>
          <a:spLocks noChangeShapeType="1"/>
        </xdr:cNvSpPr>
      </xdr:nvSpPr>
      <xdr:spPr bwMode="auto">
        <a:xfrm>
          <a:off x="4410075" y="85629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44</xdr:row>
      <xdr:rowOff>9525</xdr:rowOff>
    </xdr:from>
    <xdr:to>
      <xdr:col>8</xdr:col>
      <xdr:colOff>66675</xdr:colOff>
      <xdr:row>47</xdr:row>
      <xdr:rowOff>19050</xdr:rowOff>
    </xdr:to>
    <xdr:sp macro="" textlink="">
      <xdr:nvSpPr>
        <xdr:cNvPr id="1070758" name="Line 321">
          <a:extLst>
            <a:ext uri="{FF2B5EF4-FFF2-40B4-BE49-F238E27FC236}">
              <a16:creationId xmlns:a16="http://schemas.microsoft.com/office/drawing/2014/main" id="{00000000-0008-0000-0D00-0000A6561000}"/>
            </a:ext>
          </a:extLst>
        </xdr:cNvPr>
        <xdr:cNvSpPr>
          <a:spLocks noChangeShapeType="1"/>
        </xdr:cNvSpPr>
      </xdr:nvSpPr>
      <xdr:spPr bwMode="auto">
        <a:xfrm>
          <a:off x="4476750" y="85725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47</xdr:row>
      <xdr:rowOff>0</xdr:rowOff>
    </xdr:from>
    <xdr:to>
      <xdr:col>8</xdr:col>
      <xdr:colOff>66675</xdr:colOff>
      <xdr:row>47</xdr:row>
      <xdr:rowOff>9525</xdr:rowOff>
    </xdr:to>
    <xdr:sp macro="" textlink="">
      <xdr:nvSpPr>
        <xdr:cNvPr id="1070759" name="Line 322">
          <a:extLst>
            <a:ext uri="{FF2B5EF4-FFF2-40B4-BE49-F238E27FC236}">
              <a16:creationId xmlns:a16="http://schemas.microsoft.com/office/drawing/2014/main" id="{00000000-0008-0000-0D00-0000A7561000}"/>
            </a:ext>
          </a:extLst>
        </xdr:cNvPr>
        <xdr:cNvSpPr>
          <a:spLocks noChangeShapeType="1"/>
        </xdr:cNvSpPr>
      </xdr:nvSpPr>
      <xdr:spPr bwMode="auto">
        <a:xfrm flipV="1">
          <a:off x="4419600" y="91059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50</xdr:row>
      <xdr:rowOff>0</xdr:rowOff>
    </xdr:from>
    <xdr:to>
      <xdr:col>5</xdr:col>
      <xdr:colOff>76200</xdr:colOff>
      <xdr:row>50</xdr:row>
      <xdr:rowOff>9525</xdr:rowOff>
    </xdr:to>
    <xdr:sp macro="" textlink="">
      <xdr:nvSpPr>
        <xdr:cNvPr id="1070760" name="Line 323">
          <a:extLst>
            <a:ext uri="{FF2B5EF4-FFF2-40B4-BE49-F238E27FC236}">
              <a16:creationId xmlns:a16="http://schemas.microsoft.com/office/drawing/2014/main" id="{00000000-0008-0000-0D00-0000A8561000}"/>
            </a:ext>
          </a:extLst>
        </xdr:cNvPr>
        <xdr:cNvSpPr>
          <a:spLocks noChangeShapeType="1"/>
        </xdr:cNvSpPr>
      </xdr:nvSpPr>
      <xdr:spPr bwMode="auto">
        <a:xfrm>
          <a:off x="224790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66675</xdr:colOff>
      <xdr:row>50</xdr:row>
      <xdr:rowOff>9525</xdr:rowOff>
    </xdr:from>
    <xdr:to>
      <xdr:col>5</xdr:col>
      <xdr:colOff>66675</xdr:colOff>
      <xdr:row>53</xdr:row>
      <xdr:rowOff>19050</xdr:rowOff>
    </xdr:to>
    <xdr:sp macro="" textlink="">
      <xdr:nvSpPr>
        <xdr:cNvPr id="1070761" name="Line 324">
          <a:extLst>
            <a:ext uri="{FF2B5EF4-FFF2-40B4-BE49-F238E27FC236}">
              <a16:creationId xmlns:a16="http://schemas.microsoft.com/office/drawing/2014/main" id="{00000000-0008-0000-0D00-0000A9561000}"/>
            </a:ext>
          </a:extLst>
        </xdr:cNvPr>
        <xdr:cNvSpPr>
          <a:spLocks noChangeShapeType="1"/>
        </xdr:cNvSpPr>
      </xdr:nvSpPr>
      <xdr:spPr bwMode="auto">
        <a:xfrm>
          <a:off x="2314575"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53</xdr:row>
      <xdr:rowOff>0</xdr:rowOff>
    </xdr:from>
    <xdr:to>
      <xdr:col>5</xdr:col>
      <xdr:colOff>66675</xdr:colOff>
      <xdr:row>53</xdr:row>
      <xdr:rowOff>9525</xdr:rowOff>
    </xdr:to>
    <xdr:sp macro="" textlink="">
      <xdr:nvSpPr>
        <xdr:cNvPr id="1070762" name="Line 325">
          <a:extLst>
            <a:ext uri="{FF2B5EF4-FFF2-40B4-BE49-F238E27FC236}">
              <a16:creationId xmlns:a16="http://schemas.microsoft.com/office/drawing/2014/main" id="{00000000-0008-0000-0D00-0000AA561000}"/>
            </a:ext>
          </a:extLst>
        </xdr:cNvPr>
        <xdr:cNvSpPr>
          <a:spLocks noChangeShapeType="1"/>
        </xdr:cNvSpPr>
      </xdr:nvSpPr>
      <xdr:spPr bwMode="auto">
        <a:xfrm flipV="1">
          <a:off x="225742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50</xdr:row>
      <xdr:rowOff>0</xdr:rowOff>
    </xdr:from>
    <xdr:to>
      <xdr:col>8</xdr:col>
      <xdr:colOff>76200</xdr:colOff>
      <xdr:row>50</xdr:row>
      <xdr:rowOff>9525</xdr:rowOff>
    </xdr:to>
    <xdr:sp macro="" textlink="">
      <xdr:nvSpPr>
        <xdr:cNvPr id="1070763" name="Line 326">
          <a:extLst>
            <a:ext uri="{FF2B5EF4-FFF2-40B4-BE49-F238E27FC236}">
              <a16:creationId xmlns:a16="http://schemas.microsoft.com/office/drawing/2014/main" id="{00000000-0008-0000-0D00-0000AB561000}"/>
            </a:ext>
          </a:extLst>
        </xdr:cNvPr>
        <xdr:cNvSpPr>
          <a:spLocks noChangeShapeType="1"/>
        </xdr:cNvSpPr>
      </xdr:nvSpPr>
      <xdr:spPr bwMode="auto">
        <a:xfrm>
          <a:off x="4410075"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50</xdr:row>
      <xdr:rowOff>9525</xdr:rowOff>
    </xdr:from>
    <xdr:to>
      <xdr:col>8</xdr:col>
      <xdr:colOff>66675</xdr:colOff>
      <xdr:row>53</xdr:row>
      <xdr:rowOff>19050</xdr:rowOff>
    </xdr:to>
    <xdr:sp macro="" textlink="">
      <xdr:nvSpPr>
        <xdr:cNvPr id="1070764" name="Line 327">
          <a:extLst>
            <a:ext uri="{FF2B5EF4-FFF2-40B4-BE49-F238E27FC236}">
              <a16:creationId xmlns:a16="http://schemas.microsoft.com/office/drawing/2014/main" id="{00000000-0008-0000-0D00-0000AC561000}"/>
            </a:ext>
          </a:extLst>
        </xdr:cNvPr>
        <xdr:cNvSpPr>
          <a:spLocks noChangeShapeType="1"/>
        </xdr:cNvSpPr>
      </xdr:nvSpPr>
      <xdr:spPr bwMode="auto">
        <a:xfrm>
          <a:off x="4476750"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53</xdr:row>
      <xdr:rowOff>0</xdr:rowOff>
    </xdr:from>
    <xdr:to>
      <xdr:col>8</xdr:col>
      <xdr:colOff>66675</xdr:colOff>
      <xdr:row>53</xdr:row>
      <xdr:rowOff>9525</xdr:rowOff>
    </xdr:to>
    <xdr:sp macro="" textlink="">
      <xdr:nvSpPr>
        <xdr:cNvPr id="1070765" name="Line 328">
          <a:extLst>
            <a:ext uri="{FF2B5EF4-FFF2-40B4-BE49-F238E27FC236}">
              <a16:creationId xmlns:a16="http://schemas.microsoft.com/office/drawing/2014/main" id="{00000000-0008-0000-0D00-0000AD561000}"/>
            </a:ext>
          </a:extLst>
        </xdr:cNvPr>
        <xdr:cNvSpPr>
          <a:spLocks noChangeShapeType="1"/>
        </xdr:cNvSpPr>
      </xdr:nvSpPr>
      <xdr:spPr bwMode="auto">
        <a:xfrm flipV="1">
          <a:off x="4419600"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50</xdr:row>
      <xdr:rowOff>0</xdr:rowOff>
    </xdr:from>
    <xdr:to>
      <xdr:col>11</xdr:col>
      <xdr:colOff>76200</xdr:colOff>
      <xdr:row>50</xdr:row>
      <xdr:rowOff>9525</xdr:rowOff>
    </xdr:to>
    <xdr:sp macro="" textlink="">
      <xdr:nvSpPr>
        <xdr:cNvPr id="1070766" name="Line 329">
          <a:extLst>
            <a:ext uri="{FF2B5EF4-FFF2-40B4-BE49-F238E27FC236}">
              <a16:creationId xmlns:a16="http://schemas.microsoft.com/office/drawing/2014/main" id="{00000000-0008-0000-0D00-0000AE561000}"/>
            </a:ext>
          </a:extLst>
        </xdr:cNvPr>
        <xdr:cNvSpPr>
          <a:spLocks noChangeShapeType="1"/>
        </xdr:cNvSpPr>
      </xdr:nvSpPr>
      <xdr:spPr bwMode="auto">
        <a:xfrm>
          <a:off x="714375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50</xdr:row>
      <xdr:rowOff>9525</xdr:rowOff>
    </xdr:from>
    <xdr:to>
      <xdr:col>11</xdr:col>
      <xdr:colOff>66675</xdr:colOff>
      <xdr:row>53</xdr:row>
      <xdr:rowOff>19050</xdr:rowOff>
    </xdr:to>
    <xdr:sp macro="" textlink="">
      <xdr:nvSpPr>
        <xdr:cNvPr id="1070767" name="Line 330">
          <a:extLst>
            <a:ext uri="{FF2B5EF4-FFF2-40B4-BE49-F238E27FC236}">
              <a16:creationId xmlns:a16="http://schemas.microsoft.com/office/drawing/2014/main" id="{00000000-0008-0000-0D00-0000AF561000}"/>
            </a:ext>
          </a:extLst>
        </xdr:cNvPr>
        <xdr:cNvSpPr>
          <a:spLocks noChangeShapeType="1"/>
        </xdr:cNvSpPr>
      </xdr:nvSpPr>
      <xdr:spPr bwMode="auto">
        <a:xfrm>
          <a:off x="7210425"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53</xdr:row>
      <xdr:rowOff>0</xdr:rowOff>
    </xdr:from>
    <xdr:to>
      <xdr:col>11</xdr:col>
      <xdr:colOff>66675</xdr:colOff>
      <xdr:row>53</xdr:row>
      <xdr:rowOff>9525</xdr:rowOff>
    </xdr:to>
    <xdr:sp macro="" textlink="">
      <xdr:nvSpPr>
        <xdr:cNvPr id="1070768" name="Line 331">
          <a:extLst>
            <a:ext uri="{FF2B5EF4-FFF2-40B4-BE49-F238E27FC236}">
              <a16:creationId xmlns:a16="http://schemas.microsoft.com/office/drawing/2014/main" id="{00000000-0008-0000-0D00-0000B0561000}"/>
            </a:ext>
          </a:extLst>
        </xdr:cNvPr>
        <xdr:cNvSpPr>
          <a:spLocks noChangeShapeType="1"/>
        </xdr:cNvSpPr>
      </xdr:nvSpPr>
      <xdr:spPr bwMode="auto">
        <a:xfrm flipV="1">
          <a:off x="715327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50</xdr:row>
      <xdr:rowOff>0</xdr:rowOff>
    </xdr:from>
    <xdr:to>
      <xdr:col>11</xdr:col>
      <xdr:colOff>76200</xdr:colOff>
      <xdr:row>50</xdr:row>
      <xdr:rowOff>9525</xdr:rowOff>
    </xdr:to>
    <xdr:sp macro="" textlink="">
      <xdr:nvSpPr>
        <xdr:cNvPr id="1070769" name="Line 332">
          <a:extLst>
            <a:ext uri="{FF2B5EF4-FFF2-40B4-BE49-F238E27FC236}">
              <a16:creationId xmlns:a16="http://schemas.microsoft.com/office/drawing/2014/main" id="{00000000-0008-0000-0D00-0000B1561000}"/>
            </a:ext>
          </a:extLst>
        </xdr:cNvPr>
        <xdr:cNvSpPr>
          <a:spLocks noChangeShapeType="1"/>
        </xdr:cNvSpPr>
      </xdr:nvSpPr>
      <xdr:spPr bwMode="auto">
        <a:xfrm>
          <a:off x="714375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50</xdr:row>
      <xdr:rowOff>9525</xdr:rowOff>
    </xdr:from>
    <xdr:to>
      <xdr:col>11</xdr:col>
      <xdr:colOff>66675</xdr:colOff>
      <xdr:row>53</xdr:row>
      <xdr:rowOff>19050</xdr:rowOff>
    </xdr:to>
    <xdr:sp macro="" textlink="">
      <xdr:nvSpPr>
        <xdr:cNvPr id="1070770" name="Line 333">
          <a:extLst>
            <a:ext uri="{FF2B5EF4-FFF2-40B4-BE49-F238E27FC236}">
              <a16:creationId xmlns:a16="http://schemas.microsoft.com/office/drawing/2014/main" id="{00000000-0008-0000-0D00-0000B2561000}"/>
            </a:ext>
          </a:extLst>
        </xdr:cNvPr>
        <xdr:cNvSpPr>
          <a:spLocks noChangeShapeType="1"/>
        </xdr:cNvSpPr>
      </xdr:nvSpPr>
      <xdr:spPr bwMode="auto">
        <a:xfrm>
          <a:off x="7210425"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53</xdr:row>
      <xdr:rowOff>0</xdr:rowOff>
    </xdr:from>
    <xdr:to>
      <xdr:col>11</xdr:col>
      <xdr:colOff>66675</xdr:colOff>
      <xdr:row>53</xdr:row>
      <xdr:rowOff>9525</xdr:rowOff>
    </xdr:to>
    <xdr:sp macro="" textlink="">
      <xdr:nvSpPr>
        <xdr:cNvPr id="1070771" name="Line 334">
          <a:extLst>
            <a:ext uri="{FF2B5EF4-FFF2-40B4-BE49-F238E27FC236}">
              <a16:creationId xmlns:a16="http://schemas.microsoft.com/office/drawing/2014/main" id="{00000000-0008-0000-0D00-0000B3561000}"/>
            </a:ext>
          </a:extLst>
        </xdr:cNvPr>
        <xdr:cNvSpPr>
          <a:spLocks noChangeShapeType="1"/>
        </xdr:cNvSpPr>
      </xdr:nvSpPr>
      <xdr:spPr bwMode="auto">
        <a:xfrm flipV="1">
          <a:off x="715327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51</xdr:row>
      <xdr:rowOff>66675</xdr:rowOff>
    </xdr:from>
    <xdr:to>
      <xdr:col>12</xdr:col>
      <xdr:colOff>9525</xdr:colOff>
      <xdr:row>53</xdr:row>
      <xdr:rowOff>19050</xdr:rowOff>
    </xdr:to>
    <xdr:sp macro="" textlink="">
      <xdr:nvSpPr>
        <xdr:cNvPr id="1070772" name="Line 335">
          <a:extLst>
            <a:ext uri="{FF2B5EF4-FFF2-40B4-BE49-F238E27FC236}">
              <a16:creationId xmlns:a16="http://schemas.microsoft.com/office/drawing/2014/main" id="{00000000-0008-0000-0D00-0000B4561000}"/>
            </a:ext>
          </a:extLst>
        </xdr:cNvPr>
        <xdr:cNvSpPr>
          <a:spLocks noChangeShapeType="1"/>
        </xdr:cNvSpPr>
      </xdr:nvSpPr>
      <xdr:spPr bwMode="auto">
        <a:xfrm>
          <a:off x="7219950" y="98964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50</xdr:row>
      <xdr:rowOff>0</xdr:rowOff>
    </xdr:from>
    <xdr:to>
      <xdr:col>11</xdr:col>
      <xdr:colOff>76200</xdr:colOff>
      <xdr:row>50</xdr:row>
      <xdr:rowOff>9525</xdr:rowOff>
    </xdr:to>
    <xdr:sp macro="" textlink="">
      <xdr:nvSpPr>
        <xdr:cNvPr id="1070773" name="Line 336">
          <a:extLst>
            <a:ext uri="{FF2B5EF4-FFF2-40B4-BE49-F238E27FC236}">
              <a16:creationId xmlns:a16="http://schemas.microsoft.com/office/drawing/2014/main" id="{00000000-0008-0000-0D00-0000B5561000}"/>
            </a:ext>
          </a:extLst>
        </xdr:cNvPr>
        <xdr:cNvSpPr>
          <a:spLocks noChangeShapeType="1"/>
        </xdr:cNvSpPr>
      </xdr:nvSpPr>
      <xdr:spPr bwMode="auto">
        <a:xfrm>
          <a:off x="7143750"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50</xdr:row>
      <xdr:rowOff>9525</xdr:rowOff>
    </xdr:from>
    <xdr:to>
      <xdr:col>11</xdr:col>
      <xdr:colOff>66675</xdr:colOff>
      <xdr:row>53</xdr:row>
      <xdr:rowOff>19050</xdr:rowOff>
    </xdr:to>
    <xdr:sp macro="" textlink="">
      <xdr:nvSpPr>
        <xdr:cNvPr id="1070774" name="Line 337">
          <a:extLst>
            <a:ext uri="{FF2B5EF4-FFF2-40B4-BE49-F238E27FC236}">
              <a16:creationId xmlns:a16="http://schemas.microsoft.com/office/drawing/2014/main" id="{00000000-0008-0000-0D00-0000B6561000}"/>
            </a:ext>
          </a:extLst>
        </xdr:cNvPr>
        <xdr:cNvSpPr>
          <a:spLocks noChangeShapeType="1"/>
        </xdr:cNvSpPr>
      </xdr:nvSpPr>
      <xdr:spPr bwMode="auto">
        <a:xfrm>
          <a:off x="7210425"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53</xdr:row>
      <xdr:rowOff>0</xdr:rowOff>
    </xdr:from>
    <xdr:to>
      <xdr:col>11</xdr:col>
      <xdr:colOff>66675</xdr:colOff>
      <xdr:row>53</xdr:row>
      <xdr:rowOff>9525</xdr:rowOff>
    </xdr:to>
    <xdr:sp macro="" textlink="">
      <xdr:nvSpPr>
        <xdr:cNvPr id="1070775" name="Line 338">
          <a:extLst>
            <a:ext uri="{FF2B5EF4-FFF2-40B4-BE49-F238E27FC236}">
              <a16:creationId xmlns:a16="http://schemas.microsoft.com/office/drawing/2014/main" id="{00000000-0008-0000-0D00-0000B7561000}"/>
            </a:ext>
          </a:extLst>
        </xdr:cNvPr>
        <xdr:cNvSpPr>
          <a:spLocks noChangeShapeType="1"/>
        </xdr:cNvSpPr>
      </xdr:nvSpPr>
      <xdr:spPr bwMode="auto">
        <a:xfrm flipV="1">
          <a:off x="715327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49</xdr:row>
      <xdr:rowOff>161925</xdr:rowOff>
    </xdr:from>
    <xdr:to>
      <xdr:col>12</xdr:col>
      <xdr:colOff>0</xdr:colOff>
      <xdr:row>51</xdr:row>
      <xdr:rowOff>47625</xdr:rowOff>
    </xdr:to>
    <xdr:sp macro="" textlink="">
      <xdr:nvSpPr>
        <xdr:cNvPr id="1070776" name="Line 339">
          <a:extLst>
            <a:ext uri="{FF2B5EF4-FFF2-40B4-BE49-F238E27FC236}">
              <a16:creationId xmlns:a16="http://schemas.microsoft.com/office/drawing/2014/main" id="{00000000-0008-0000-0D00-0000B8561000}"/>
            </a:ext>
          </a:extLst>
        </xdr:cNvPr>
        <xdr:cNvSpPr>
          <a:spLocks noChangeShapeType="1"/>
        </xdr:cNvSpPr>
      </xdr:nvSpPr>
      <xdr:spPr bwMode="auto">
        <a:xfrm flipV="1">
          <a:off x="7219950" y="9629775"/>
          <a:ext cx="333375" cy="247650"/>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50</xdr:row>
      <xdr:rowOff>0</xdr:rowOff>
    </xdr:from>
    <xdr:to>
      <xdr:col>8</xdr:col>
      <xdr:colOff>76200</xdr:colOff>
      <xdr:row>50</xdr:row>
      <xdr:rowOff>9525</xdr:rowOff>
    </xdr:to>
    <xdr:sp macro="" textlink="">
      <xdr:nvSpPr>
        <xdr:cNvPr id="1070777" name="Line 340">
          <a:extLst>
            <a:ext uri="{FF2B5EF4-FFF2-40B4-BE49-F238E27FC236}">
              <a16:creationId xmlns:a16="http://schemas.microsoft.com/office/drawing/2014/main" id="{00000000-0008-0000-0D00-0000B9561000}"/>
            </a:ext>
          </a:extLst>
        </xdr:cNvPr>
        <xdr:cNvSpPr>
          <a:spLocks noChangeShapeType="1"/>
        </xdr:cNvSpPr>
      </xdr:nvSpPr>
      <xdr:spPr bwMode="auto">
        <a:xfrm>
          <a:off x="4410075" y="964882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50</xdr:row>
      <xdr:rowOff>9525</xdr:rowOff>
    </xdr:from>
    <xdr:to>
      <xdr:col>8</xdr:col>
      <xdr:colOff>66675</xdr:colOff>
      <xdr:row>53</xdr:row>
      <xdr:rowOff>19050</xdr:rowOff>
    </xdr:to>
    <xdr:sp macro="" textlink="">
      <xdr:nvSpPr>
        <xdr:cNvPr id="1070778" name="Line 341">
          <a:extLst>
            <a:ext uri="{FF2B5EF4-FFF2-40B4-BE49-F238E27FC236}">
              <a16:creationId xmlns:a16="http://schemas.microsoft.com/office/drawing/2014/main" id="{00000000-0008-0000-0D00-0000BA561000}"/>
            </a:ext>
          </a:extLst>
        </xdr:cNvPr>
        <xdr:cNvSpPr>
          <a:spLocks noChangeShapeType="1"/>
        </xdr:cNvSpPr>
      </xdr:nvSpPr>
      <xdr:spPr bwMode="auto">
        <a:xfrm>
          <a:off x="4476750" y="965835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53</xdr:row>
      <xdr:rowOff>0</xdr:rowOff>
    </xdr:from>
    <xdr:to>
      <xdr:col>8</xdr:col>
      <xdr:colOff>66675</xdr:colOff>
      <xdr:row>53</xdr:row>
      <xdr:rowOff>9525</xdr:rowOff>
    </xdr:to>
    <xdr:sp macro="" textlink="">
      <xdr:nvSpPr>
        <xdr:cNvPr id="1070779" name="Line 342">
          <a:extLst>
            <a:ext uri="{FF2B5EF4-FFF2-40B4-BE49-F238E27FC236}">
              <a16:creationId xmlns:a16="http://schemas.microsoft.com/office/drawing/2014/main" id="{00000000-0008-0000-0D00-0000BB561000}"/>
            </a:ext>
          </a:extLst>
        </xdr:cNvPr>
        <xdr:cNvSpPr>
          <a:spLocks noChangeShapeType="1"/>
        </xdr:cNvSpPr>
      </xdr:nvSpPr>
      <xdr:spPr bwMode="auto">
        <a:xfrm flipV="1">
          <a:off x="4419600"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56</xdr:row>
      <xdr:rowOff>0</xdr:rowOff>
    </xdr:from>
    <xdr:to>
      <xdr:col>5</xdr:col>
      <xdr:colOff>76200</xdr:colOff>
      <xdr:row>56</xdr:row>
      <xdr:rowOff>9525</xdr:rowOff>
    </xdr:to>
    <xdr:sp macro="" textlink="">
      <xdr:nvSpPr>
        <xdr:cNvPr id="1070780" name="Line 343">
          <a:extLst>
            <a:ext uri="{FF2B5EF4-FFF2-40B4-BE49-F238E27FC236}">
              <a16:creationId xmlns:a16="http://schemas.microsoft.com/office/drawing/2014/main" id="{00000000-0008-0000-0D00-0000BC561000}"/>
            </a:ext>
          </a:extLst>
        </xdr:cNvPr>
        <xdr:cNvSpPr>
          <a:spLocks noChangeShapeType="1"/>
        </xdr:cNvSpPr>
      </xdr:nvSpPr>
      <xdr:spPr bwMode="auto">
        <a:xfrm>
          <a:off x="2247900"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95250</xdr:colOff>
      <xdr:row>59</xdr:row>
      <xdr:rowOff>19050</xdr:rowOff>
    </xdr:from>
    <xdr:to>
      <xdr:col>6</xdr:col>
      <xdr:colOff>9525</xdr:colOff>
      <xdr:row>62</xdr:row>
      <xdr:rowOff>19050</xdr:rowOff>
    </xdr:to>
    <xdr:sp macro="" textlink="">
      <xdr:nvSpPr>
        <xdr:cNvPr id="1070781" name="Line 363">
          <a:extLst>
            <a:ext uri="{FF2B5EF4-FFF2-40B4-BE49-F238E27FC236}">
              <a16:creationId xmlns:a16="http://schemas.microsoft.com/office/drawing/2014/main" id="{00000000-0008-0000-0D00-0000BD561000}"/>
            </a:ext>
          </a:extLst>
        </xdr:cNvPr>
        <xdr:cNvSpPr>
          <a:spLocks noChangeShapeType="1"/>
        </xdr:cNvSpPr>
      </xdr:nvSpPr>
      <xdr:spPr bwMode="auto">
        <a:xfrm>
          <a:off x="2343150" y="11277600"/>
          <a:ext cx="361950" cy="533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0</xdr:colOff>
      <xdr:row>32</xdr:row>
      <xdr:rowOff>0</xdr:rowOff>
    </xdr:from>
    <xdr:to>
      <xdr:col>5</xdr:col>
      <xdr:colOff>76200</xdr:colOff>
      <xdr:row>32</xdr:row>
      <xdr:rowOff>9525</xdr:rowOff>
    </xdr:to>
    <xdr:sp macro="" textlink="">
      <xdr:nvSpPr>
        <xdr:cNvPr id="1070782" name="Line 365">
          <a:extLst>
            <a:ext uri="{FF2B5EF4-FFF2-40B4-BE49-F238E27FC236}">
              <a16:creationId xmlns:a16="http://schemas.microsoft.com/office/drawing/2014/main" id="{00000000-0008-0000-0D00-0000BE561000}"/>
            </a:ext>
          </a:extLst>
        </xdr:cNvPr>
        <xdr:cNvSpPr>
          <a:spLocks noChangeShapeType="1"/>
        </xdr:cNvSpPr>
      </xdr:nvSpPr>
      <xdr:spPr bwMode="auto">
        <a:xfrm>
          <a:off x="224790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66675</xdr:colOff>
      <xdr:row>32</xdr:row>
      <xdr:rowOff>9525</xdr:rowOff>
    </xdr:from>
    <xdr:to>
      <xdr:col>5</xdr:col>
      <xdr:colOff>66675</xdr:colOff>
      <xdr:row>35</xdr:row>
      <xdr:rowOff>19050</xdr:rowOff>
    </xdr:to>
    <xdr:sp macro="" textlink="">
      <xdr:nvSpPr>
        <xdr:cNvPr id="1070783" name="Line 366">
          <a:extLst>
            <a:ext uri="{FF2B5EF4-FFF2-40B4-BE49-F238E27FC236}">
              <a16:creationId xmlns:a16="http://schemas.microsoft.com/office/drawing/2014/main" id="{00000000-0008-0000-0D00-0000BF561000}"/>
            </a:ext>
          </a:extLst>
        </xdr:cNvPr>
        <xdr:cNvSpPr>
          <a:spLocks noChangeShapeType="1"/>
        </xdr:cNvSpPr>
      </xdr:nvSpPr>
      <xdr:spPr bwMode="auto">
        <a:xfrm>
          <a:off x="231457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35</xdr:row>
      <xdr:rowOff>0</xdr:rowOff>
    </xdr:from>
    <xdr:to>
      <xdr:col>5</xdr:col>
      <xdr:colOff>66675</xdr:colOff>
      <xdr:row>35</xdr:row>
      <xdr:rowOff>9525</xdr:rowOff>
    </xdr:to>
    <xdr:sp macro="" textlink="">
      <xdr:nvSpPr>
        <xdr:cNvPr id="1070784" name="Line 367">
          <a:extLst>
            <a:ext uri="{FF2B5EF4-FFF2-40B4-BE49-F238E27FC236}">
              <a16:creationId xmlns:a16="http://schemas.microsoft.com/office/drawing/2014/main" id="{00000000-0008-0000-0D00-0000C0561000}"/>
            </a:ext>
          </a:extLst>
        </xdr:cNvPr>
        <xdr:cNvSpPr>
          <a:spLocks noChangeShapeType="1"/>
        </xdr:cNvSpPr>
      </xdr:nvSpPr>
      <xdr:spPr bwMode="auto">
        <a:xfrm flipV="1">
          <a:off x="225742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76200</xdr:colOff>
      <xdr:row>32</xdr:row>
      <xdr:rowOff>9525</xdr:rowOff>
    </xdr:to>
    <xdr:sp macro="" textlink="">
      <xdr:nvSpPr>
        <xdr:cNvPr id="1070785" name="Line 368">
          <a:extLst>
            <a:ext uri="{FF2B5EF4-FFF2-40B4-BE49-F238E27FC236}">
              <a16:creationId xmlns:a16="http://schemas.microsoft.com/office/drawing/2014/main" id="{00000000-0008-0000-0D00-0000C1561000}"/>
            </a:ext>
          </a:extLst>
        </xdr:cNvPr>
        <xdr:cNvSpPr>
          <a:spLocks noChangeShapeType="1"/>
        </xdr:cNvSpPr>
      </xdr:nvSpPr>
      <xdr:spPr bwMode="auto">
        <a:xfrm>
          <a:off x="441007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35</xdr:row>
      <xdr:rowOff>0</xdr:rowOff>
    </xdr:from>
    <xdr:to>
      <xdr:col>8</xdr:col>
      <xdr:colOff>66675</xdr:colOff>
      <xdr:row>35</xdr:row>
      <xdr:rowOff>9525</xdr:rowOff>
    </xdr:to>
    <xdr:sp macro="" textlink="">
      <xdr:nvSpPr>
        <xdr:cNvPr id="1070786" name="Line 370">
          <a:extLst>
            <a:ext uri="{FF2B5EF4-FFF2-40B4-BE49-F238E27FC236}">
              <a16:creationId xmlns:a16="http://schemas.microsoft.com/office/drawing/2014/main" id="{00000000-0008-0000-0D00-0000C2561000}"/>
            </a:ext>
          </a:extLst>
        </xdr:cNvPr>
        <xdr:cNvSpPr>
          <a:spLocks noChangeShapeType="1"/>
        </xdr:cNvSpPr>
      </xdr:nvSpPr>
      <xdr:spPr bwMode="auto">
        <a:xfrm flipV="1">
          <a:off x="441960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76200</xdr:colOff>
      <xdr:row>32</xdr:row>
      <xdr:rowOff>9525</xdr:rowOff>
    </xdr:to>
    <xdr:sp macro="" textlink="">
      <xdr:nvSpPr>
        <xdr:cNvPr id="1070787" name="Line 371">
          <a:extLst>
            <a:ext uri="{FF2B5EF4-FFF2-40B4-BE49-F238E27FC236}">
              <a16:creationId xmlns:a16="http://schemas.microsoft.com/office/drawing/2014/main" id="{00000000-0008-0000-0D00-0000C3561000}"/>
            </a:ext>
          </a:extLst>
        </xdr:cNvPr>
        <xdr:cNvSpPr>
          <a:spLocks noChangeShapeType="1"/>
        </xdr:cNvSpPr>
      </xdr:nvSpPr>
      <xdr:spPr bwMode="auto">
        <a:xfrm>
          <a:off x="714375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32</xdr:row>
      <xdr:rowOff>9525</xdr:rowOff>
    </xdr:from>
    <xdr:to>
      <xdr:col>11</xdr:col>
      <xdr:colOff>66675</xdr:colOff>
      <xdr:row>35</xdr:row>
      <xdr:rowOff>19050</xdr:rowOff>
    </xdr:to>
    <xdr:sp macro="" textlink="">
      <xdr:nvSpPr>
        <xdr:cNvPr id="1070788" name="Line 372">
          <a:extLst>
            <a:ext uri="{FF2B5EF4-FFF2-40B4-BE49-F238E27FC236}">
              <a16:creationId xmlns:a16="http://schemas.microsoft.com/office/drawing/2014/main" id="{00000000-0008-0000-0D00-0000C4561000}"/>
            </a:ext>
          </a:extLst>
        </xdr:cNvPr>
        <xdr:cNvSpPr>
          <a:spLocks noChangeShapeType="1"/>
        </xdr:cNvSpPr>
      </xdr:nvSpPr>
      <xdr:spPr bwMode="auto">
        <a:xfrm>
          <a:off x="721042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35</xdr:row>
      <xdr:rowOff>0</xdr:rowOff>
    </xdr:from>
    <xdr:to>
      <xdr:col>11</xdr:col>
      <xdr:colOff>66675</xdr:colOff>
      <xdr:row>35</xdr:row>
      <xdr:rowOff>9525</xdr:rowOff>
    </xdr:to>
    <xdr:sp macro="" textlink="">
      <xdr:nvSpPr>
        <xdr:cNvPr id="1070789" name="Line 373">
          <a:extLst>
            <a:ext uri="{FF2B5EF4-FFF2-40B4-BE49-F238E27FC236}">
              <a16:creationId xmlns:a16="http://schemas.microsoft.com/office/drawing/2014/main" id="{00000000-0008-0000-0D00-0000C5561000}"/>
            </a:ext>
          </a:extLst>
        </xdr:cNvPr>
        <xdr:cNvSpPr>
          <a:spLocks noChangeShapeType="1"/>
        </xdr:cNvSpPr>
      </xdr:nvSpPr>
      <xdr:spPr bwMode="auto">
        <a:xfrm flipV="1">
          <a:off x="715327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76200</xdr:colOff>
      <xdr:row>32</xdr:row>
      <xdr:rowOff>9525</xdr:rowOff>
    </xdr:to>
    <xdr:sp macro="" textlink="">
      <xdr:nvSpPr>
        <xdr:cNvPr id="1070790" name="Line 374">
          <a:extLst>
            <a:ext uri="{FF2B5EF4-FFF2-40B4-BE49-F238E27FC236}">
              <a16:creationId xmlns:a16="http://schemas.microsoft.com/office/drawing/2014/main" id="{00000000-0008-0000-0D00-0000C6561000}"/>
            </a:ext>
          </a:extLst>
        </xdr:cNvPr>
        <xdr:cNvSpPr>
          <a:spLocks noChangeShapeType="1"/>
        </xdr:cNvSpPr>
      </xdr:nvSpPr>
      <xdr:spPr bwMode="auto">
        <a:xfrm>
          <a:off x="714375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32</xdr:row>
      <xdr:rowOff>9525</xdr:rowOff>
    </xdr:from>
    <xdr:to>
      <xdr:col>11</xdr:col>
      <xdr:colOff>66675</xdr:colOff>
      <xdr:row>35</xdr:row>
      <xdr:rowOff>19050</xdr:rowOff>
    </xdr:to>
    <xdr:sp macro="" textlink="">
      <xdr:nvSpPr>
        <xdr:cNvPr id="1070791" name="Line 375">
          <a:extLst>
            <a:ext uri="{FF2B5EF4-FFF2-40B4-BE49-F238E27FC236}">
              <a16:creationId xmlns:a16="http://schemas.microsoft.com/office/drawing/2014/main" id="{00000000-0008-0000-0D00-0000C7561000}"/>
            </a:ext>
          </a:extLst>
        </xdr:cNvPr>
        <xdr:cNvSpPr>
          <a:spLocks noChangeShapeType="1"/>
        </xdr:cNvSpPr>
      </xdr:nvSpPr>
      <xdr:spPr bwMode="auto">
        <a:xfrm>
          <a:off x="721042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35</xdr:row>
      <xdr:rowOff>0</xdr:rowOff>
    </xdr:from>
    <xdr:to>
      <xdr:col>11</xdr:col>
      <xdr:colOff>66675</xdr:colOff>
      <xdr:row>35</xdr:row>
      <xdr:rowOff>9525</xdr:rowOff>
    </xdr:to>
    <xdr:sp macro="" textlink="">
      <xdr:nvSpPr>
        <xdr:cNvPr id="1070792" name="Line 376">
          <a:extLst>
            <a:ext uri="{FF2B5EF4-FFF2-40B4-BE49-F238E27FC236}">
              <a16:creationId xmlns:a16="http://schemas.microsoft.com/office/drawing/2014/main" id="{00000000-0008-0000-0D00-0000C8561000}"/>
            </a:ext>
          </a:extLst>
        </xdr:cNvPr>
        <xdr:cNvSpPr>
          <a:spLocks noChangeShapeType="1"/>
        </xdr:cNvSpPr>
      </xdr:nvSpPr>
      <xdr:spPr bwMode="auto">
        <a:xfrm flipV="1">
          <a:off x="715327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33</xdr:row>
      <xdr:rowOff>66675</xdr:rowOff>
    </xdr:from>
    <xdr:to>
      <xdr:col>12</xdr:col>
      <xdr:colOff>9525</xdr:colOff>
      <xdr:row>35</xdr:row>
      <xdr:rowOff>19050</xdr:rowOff>
    </xdr:to>
    <xdr:sp macro="" textlink="">
      <xdr:nvSpPr>
        <xdr:cNvPr id="1070793" name="Line 377">
          <a:extLst>
            <a:ext uri="{FF2B5EF4-FFF2-40B4-BE49-F238E27FC236}">
              <a16:creationId xmlns:a16="http://schemas.microsoft.com/office/drawing/2014/main" id="{00000000-0008-0000-0D00-0000C9561000}"/>
            </a:ext>
          </a:extLst>
        </xdr:cNvPr>
        <xdr:cNvSpPr>
          <a:spLocks noChangeShapeType="1"/>
        </xdr:cNvSpPr>
      </xdr:nvSpPr>
      <xdr:spPr bwMode="auto">
        <a:xfrm>
          <a:off x="7219950" y="663892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32</xdr:row>
      <xdr:rowOff>0</xdr:rowOff>
    </xdr:from>
    <xdr:to>
      <xdr:col>11</xdr:col>
      <xdr:colOff>76200</xdr:colOff>
      <xdr:row>32</xdr:row>
      <xdr:rowOff>9525</xdr:rowOff>
    </xdr:to>
    <xdr:sp macro="" textlink="">
      <xdr:nvSpPr>
        <xdr:cNvPr id="1070794" name="Line 378">
          <a:extLst>
            <a:ext uri="{FF2B5EF4-FFF2-40B4-BE49-F238E27FC236}">
              <a16:creationId xmlns:a16="http://schemas.microsoft.com/office/drawing/2014/main" id="{00000000-0008-0000-0D00-0000CA561000}"/>
            </a:ext>
          </a:extLst>
        </xdr:cNvPr>
        <xdr:cNvSpPr>
          <a:spLocks noChangeShapeType="1"/>
        </xdr:cNvSpPr>
      </xdr:nvSpPr>
      <xdr:spPr bwMode="auto">
        <a:xfrm>
          <a:off x="7143750"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32</xdr:row>
      <xdr:rowOff>9525</xdr:rowOff>
    </xdr:from>
    <xdr:to>
      <xdr:col>11</xdr:col>
      <xdr:colOff>66675</xdr:colOff>
      <xdr:row>35</xdr:row>
      <xdr:rowOff>19050</xdr:rowOff>
    </xdr:to>
    <xdr:sp macro="" textlink="">
      <xdr:nvSpPr>
        <xdr:cNvPr id="1070795" name="Line 379">
          <a:extLst>
            <a:ext uri="{FF2B5EF4-FFF2-40B4-BE49-F238E27FC236}">
              <a16:creationId xmlns:a16="http://schemas.microsoft.com/office/drawing/2014/main" id="{00000000-0008-0000-0D00-0000CB561000}"/>
            </a:ext>
          </a:extLst>
        </xdr:cNvPr>
        <xdr:cNvSpPr>
          <a:spLocks noChangeShapeType="1"/>
        </xdr:cNvSpPr>
      </xdr:nvSpPr>
      <xdr:spPr bwMode="auto">
        <a:xfrm>
          <a:off x="7210425" y="6400800"/>
          <a:ext cx="0"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35</xdr:row>
      <xdr:rowOff>0</xdr:rowOff>
    </xdr:from>
    <xdr:to>
      <xdr:col>11</xdr:col>
      <xdr:colOff>66675</xdr:colOff>
      <xdr:row>35</xdr:row>
      <xdr:rowOff>9525</xdr:rowOff>
    </xdr:to>
    <xdr:sp macro="" textlink="">
      <xdr:nvSpPr>
        <xdr:cNvPr id="1070796" name="Line 380">
          <a:extLst>
            <a:ext uri="{FF2B5EF4-FFF2-40B4-BE49-F238E27FC236}">
              <a16:creationId xmlns:a16="http://schemas.microsoft.com/office/drawing/2014/main" id="{00000000-0008-0000-0D00-0000CC561000}"/>
            </a:ext>
          </a:extLst>
        </xdr:cNvPr>
        <xdr:cNvSpPr>
          <a:spLocks noChangeShapeType="1"/>
        </xdr:cNvSpPr>
      </xdr:nvSpPr>
      <xdr:spPr bwMode="auto">
        <a:xfrm flipV="1">
          <a:off x="7153275"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76200</xdr:colOff>
      <xdr:row>32</xdr:row>
      <xdr:rowOff>9525</xdr:rowOff>
    </xdr:to>
    <xdr:sp macro="" textlink="">
      <xdr:nvSpPr>
        <xdr:cNvPr id="1070797" name="Line 382">
          <a:extLst>
            <a:ext uri="{FF2B5EF4-FFF2-40B4-BE49-F238E27FC236}">
              <a16:creationId xmlns:a16="http://schemas.microsoft.com/office/drawing/2014/main" id="{00000000-0008-0000-0D00-0000CD561000}"/>
            </a:ext>
          </a:extLst>
        </xdr:cNvPr>
        <xdr:cNvSpPr>
          <a:spLocks noChangeShapeType="1"/>
        </xdr:cNvSpPr>
      </xdr:nvSpPr>
      <xdr:spPr bwMode="auto">
        <a:xfrm>
          <a:off x="4410075" y="63912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35</xdr:row>
      <xdr:rowOff>0</xdr:rowOff>
    </xdr:from>
    <xdr:to>
      <xdr:col>8</xdr:col>
      <xdr:colOff>66675</xdr:colOff>
      <xdr:row>35</xdr:row>
      <xdr:rowOff>9525</xdr:rowOff>
    </xdr:to>
    <xdr:sp macro="" textlink="">
      <xdr:nvSpPr>
        <xdr:cNvPr id="1070798" name="Line 384">
          <a:extLst>
            <a:ext uri="{FF2B5EF4-FFF2-40B4-BE49-F238E27FC236}">
              <a16:creationId xmlns:a16="http://schemas.microsoft.com/office/drawing/2014/main" id="{00000000-0008-0000-0D00-0000CE561000}"/>
            </a:ext>
          </a:extLst>
        </xdr:cNvPr>
        <xdr:cNvSpPr>
          <a:spLocks noChangeShapeType="1"/>
        </xdr:cNvSpPr>
      </xdr:nvSpPr>
      <xdr:spPr bwMode="auto">
        <a:xfrm flipV="1">
          <a:off x="4419600" y="693420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66675</xdr:colOff>
      <xdr:row>34</xdr:row>
      <xdr:rowOff>142875</xdr:rowOff>
    </xdr:from>
    <xdr:to>
      <xdr:col>5</xdr:col>
      <xdr:colOff>438150</xdr:colOff>
      <xdr:row>39</xdr:row>
      <xdr:rowOff>76200</xdr:rowOff>
    </xdr:to>
    <xdr:sp macro="" textlink="">
      <xdr:nvSpPr>
        <xdr:cNvPr id="1070799" name="Line 386">
          <a:extLst>
            <a:ext uri="{FF2B5EF4-FFF2-40B4-BE49-F238E27FC236}">
              <a16:creationId xmlns:a16="http://schemas.microsoft.com/office/drawing/2014/main" id="{00000000-0008-0000-0D00-0000CF561000}"/>
            </a:ext>
          </a:extLst>
        </xdr:cNvPr>
        <xdr:cNvSpPr>
          <a:spLocks noChangeShapeType="1"/>
        </xdr:cNvSpPr>
      </xdr:nvSpPr>
      <xdr:spPr bwMode="auto">
        <a:xfrm flipV="1">
          <a:off x="2314575" y="6896100"/>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66675</xdr:colOff>
      <xdr:row>39</xdr:row>
      <xdr:rowOff>95250</xdr:rowOff>
    </xdr:from>
    <xdr:to>
      <xdr:col>6</xdr:col>
      <xdr:colOff>0</xdr:colOff>
      <xdr:row>43</xdr:row>
      <xdr:rowOff>171450</xdr:rowOff>
    </xdr:to>
    <xdr:sp macro="" textlink="">
      <xdr:nvSpPr>
        <xdr:cNvPr id="1070800" name="Line 387">
          <a:extLst>
            <a:ext uri="{FF2B5EF4-FFF2-40B4-BE49-F238E27FC236}">
              <a16:creationId xmlns:a16="http://schemas.microsoft.com/office/drawing/2014/main" id="{00000000-0008-0000-0D00-0000D0561000}"/>
            </a:ext>
          </a:extLst>
        </xdr:cNvPr>
        <xdr:cNvSpPr>
          <a:spLocks noChangeShapeType="1"/>
        </xdr:cNvSpPr>
      </xdr:nvSpPr>
      <xdr:spPr bwMode="auto">
        <a:xfrm>
          <a:off x="2314575" y="7753350"/>
          <a:ext cx="3810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66675</xdr:colOff>
      <xdr:row>40</xdr:row>
      <xdr:rowOff>161925</xdr:rowOff>
    </xdr:from>
    <xdr:to>
      <xdr:col>5</xdr:col>
      <xdr:colOff>438150</xdr:colOff>
      <xdr:row>45</xdr:row>
      <xdr:rowOff>95250</xdr:rowOff>
    </xdr:to>
    <xdr:sp macro="" textlink="">
      <xdr:nvSpPr>
        <xdr:cNvPr id="1070801" name="Line 388">
          <a:extLst>
            <a:ext uri="{FF2B5EF4-FFF2-40B4-BE49-F238E27FC236}">
              <a16:creationId xmlns:a16="http://schemas.microsoft.com/office/drawing/2014/main" id="{00000000-0008-0000-0D00-0000D1561000}"/>
            </a:ext>
          </a:extLst>
        </xdr:cNvPr>
        <xdr:cNvSpPr>
          <a:spLocks noChangeShapeType="1"/>
        </xdr:cNvSpPr>
      </xdr:nvSpPr>
      <xdr:spPr bwMode="auto">
        <a:xfrm flipV="1">
          <a:off x="2314575" y="8001000"/>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66675</xdr:colOff>
      <xdr:row>45</xdr:row>
      <xdr:rowOff>95250</xdr:rowOff>
    </xdr:from>
    <xdr:to>
      <xdr:col>6</xdr:col>
      <xdr:colOff>0</xdr:colOff>
      <xdr:row>49</xdr:row>
      <xdr:rowOff>171450</xdr:rowOff>
    </xdr:to>
    <xdr:sp macro="" textlink="">
      <xdr:nvSpPr>
        <xdr:cNvPr id="1070802" name="Line 389">
          <a:extLst>
            <a:ext uri="{FF2B5EF4-FFF2-40B4-BE49-F238E27FC236}">
              <a16:creationId xmlns:a16="http://schemas.microsoft.com/office/drawing/2014/main" id="{00000000-0008-0000-0D00-0000D2561000}"/>
            </a:ext>
          </a:extLst>
        </xdr:cNvPr>
        <xdr:cNvSpPr>
          <a:spLocks noChangeShapeType="1"/>
        </xdr:cNvSpPr>
      </xdr:nvSpPr>
      <xdr:spPr bwMode="auto">
        <a:xfrm>
          <a:off x="2314575" y="8839200"/>
          <a:ext cx="38100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66675</xdr:colOff>
      <xdr:row>51</xdr:row>
      <xdr:rowOff>57150</xdr:rowOff>
    </xdr:from>
    <xdr:to>
      <xdr:col>6</xdr:col>
      <xdr:colOff>0</xdr:colOff>
      <xdr:row>56</xdr:row>
      <xdr:rowOff>19050</xdr:rowOff>
    </xdr:to>
    <xdr:sp macro="" textlink="">
      <xdr:nvSpPr>
        <xdr:cNvPr id="1070803" name="Line 390">
          <a:extLst>
            <a:ext uri="{FF2B5EF4-FFF2-40B4-BE49-F238E27FC236}">
              <a16:creationId xmlns:a16="http://schemas.microsoft.com/office/drawing/2014/main" id="{00000000-0008-0000-0D00-0000D3561000}"/>
            </a:ext>
          </a:extLst>
        </xdr:cNvPr>
        <xdr:cNvSpPr>
          <a:spLocks noChangeShapeType="1"/>
        </xdr:cNvSpPr>
      </xdr:nvSpPr>
      <xdr:spPr bwMode="auto">
        <a:xfrm>
          <a:off x="2314575" y="9886950"/>
          <a:ext cx="38100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66675</xdr:colOff>
      <xdr:row>46</xdr:row>
      <xdr:rowOff>152400</xdr:rowOff>
    </xdr:from>
    <xdr:to>
      <xdr:col>5</xdr:col>
      <xdr:colOff>438150</xdr:colOff>
      <xdr:row>51</xdr:row>
      <xdr:rowOff>85725</xdr:rowOff>
    </xdr:to>
    <xdr:sp macro="" textlink="">
      <xdr:nvSpPr>
        <xdr:cNvPr id="1070804" name="Line 391">
          <a:extLst>
            <a:ext uri="{FF2B5EF4-FFF2-40B4-BE49-F238E27FC236}">
              <a16:creationId xmlns:a16="http://schemas.microsoft.com/office/drawing/2014/main" id="{00000000-0008-0000-0D00-0000D4561000}"/>
            </a:ext>
          </a:extLst>
        </xdr:cNvPr>
        <xdr:cNvSpPr>
          <a:spLocks noChangeShapeType="1"/>
        </xdr:cNvSpPr>
      </xdr:nvSpPr>
      <xdr:spPr bwMode="auto">
        <a:xfrm flipV="1">
          <a:off x="2314575" y="9077325"/>
          <a:ext cx="3714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52</xdr:row>
      <xdr:rowOff>152400</xdr:rowOff>
    </xdr:from>
    <xdr:to>
      <xdr:col>6</xdr:col>
      <xdr:colOff>0</xdr:colOff>
      <xdr:row>58</xdr:row>
      <xdr:rowOff>161925</xdr:rowOff>
    </xdr:to>
    <xdr:sp macro="" textlink="">
      <xdr:nvSpPr>
        <xdr:cNvPr id="1070805" name="Line 392">
          <a:extLst>
            <a:ext uri="{FF2B5EF4-FFF2-40B4-BE49-F238E27FC236}">
              <a16:creationId xmlns:a16="http://schemas.microsoft.com/office/drawing/2014/main" id="{00000000-0008-0000-0D00-0000D5561000}"/>
            </a:ext>
          </a:extLst>
        </xdr:cNvPr>
        <xdr:cNvSpPr>
          <a:spLocks noChangeShapeType="1"/>
        </xdr:cNvSpPr>
      </xdr:nvSpPr>
      <xdr:spPr bwMode="auto">
        <a:xfrm flipV="1">
          <a:off x="2324100" y="10163175"/>
          <a:ext cx="371475" cy="1095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76200</xdr:colOff>
      <xdr:row>35</xdr:row>
      <xdr:rowOff>0</xdr:rowOff>
    </xdr:from>
    <xdr:to>
      <xdr:col>9</xdr:col>
      <xdr:colOff>0</xdr:colOff>
      <xdr:row>39</xdr:row>
      <xdr:rowOff>66675</xdr:rowOff>
    </xdr:to>
    <xdr:sp macro="" textlink="">
      <xdr:nvSpPr>
        <xdr:cNvPr id="1070806" name="Line 393">
          <a:extLst>
            <a:ext uri="{FF2B5EF4-FFF2-40B4-BE49-F238E27FC236}">
              <a16:creationId xmlns:a16="http://schemas.microsoft.com/office/drawing/2014/main" id="{00000000-0008-0000-0D00-0000D6561000}"/>
            </a:ext>
          </a:extLst>
        </xdr:cNvPr>
        <xdr:cNvSpPr>
          <a:spLocks noChangeShapeType="1"/>
        </xdr:cNvSpPr>
      </xdr:nvSpPr>
      <xdr:spPr bwMode="auto">
        <a:xfrm flipV="1">
          <a:off x="4486275" y="6934200"/>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76200</xdr:colOff>
      <xdr:row>40</xdr:row>
      <xdr:rowOff>171450</xdr:rowOff>
    </xdr:from>
    <xdr:to>
      <xdr:col>9</xdr:col>
      <xdr:colOff>0</xdr:colOff>
      <xdr:row>45</xdr:row>
      <xdr:rowOff>57150</xdr:rowOff>
    </xdr:to>
    <xdr:sp macro="" textlink="">
      <xdr:nvSpPr>
        <xdr:cNvPr id="1070807" name="Line 394">
          <a:extLst>
            <a:ext uri="{FF2B5EF4-FFF2-40B4-BE49-F238E27FC236}">
              <a16:creationId xmlns:a16="http://schemas.microsoft.com/office/drawing/2014/main" id="{00000000-0008-0000-0D00-0000D7561000}"/>
            </a:ext>
          </a:extLst>
        </xdr:cNvPr>
        <xdr:cNvSpPr>
          <a:spLocks noChangeShapeType="1"/>
        </xdr:cNvSpPr>
      </xdr:nvSpPr>
      <xdr:spPr bwMode="auto">
        <a:xfrm flipV="1">
          <a:off x="4486275" y="8010525"/>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76200</xdr:colOff>
      <xdr:row>46</xdr:row>
      <xdr:rowOff>171450</xdr:rowOff>
    </xdr:from>
    <xdr:to>
      <xdr:col>9</xdr:col>
      <xdr:colOff>0</xdr:colOff>
      <xdr:row>51</xdr:row>
      <xdr:rowOff>57150</xdr:rowOff>
    </xdr:to>
    <xdr:sp macro="" textlink="">
      <xdr:nvSpPr>
        <xdr:cNvPr id="1070808" name="Line 395">
          <a:extLst>
            <a:ext uri="{FF2B5EF4-FFF2-40B4-BE49-F238E27FC236}">
              <a16:creationId xmlns:a16="http://schemas.microsoft.com/office/drawing/2014/main" id="{00000000-0008-0000-0D00-0000D8561000}"/>
            </a:ext>
          </a:extLst>
        </xdr:cNvPr>
        <xdr:cNvSpPr>
          <a:spLocks noChangeShapeType="1"/>
        </xdr:cNvSpPr>
      </xdr:nvSpPr>
      <xdr:spPr bwMode="auto">
        <a:xfrm flipV="1">
          <a:off x="4486275" y="9096375"/>
          <a:ext cx="333375" cy="790575"/>
        </a:xfrm>
        <a:prstGeom prst="line">
          <a:avLst/>
        </a:prstGeom>
        <a:noFill/>
        <a:ln w="9525">
          <a:solidFill>
            <a:srgbClr val="8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57150</xdr:colOff>
      <xdr:row>39</xdr:row>
      <xdr:rowOff>76200</xdr:rowOff>
    </xdr:from>
    <xdr:to>
      <xdr:col>8</xdr:col>
      <xdr:colOff>400050</xdr:colOff>
      <xdr:row>44</xdr:row>
      <xdr:rowOff>0</xdr:rowOff>
    </xdr:to>
    <xdr:sp macro="" textlink="">
      <xdr:nvSpPr>
        <xdr:cNvPr id="1070809" name="Line 397">
          <a:extLst>
            <a:ext uri="{FF2B5EF4-FFF2-40B4-BE49-F238E27FC236}">
              <a16:creationId xmlns:a16="http://schemas.microsoft.com/office/drawing/2014/main" id="{00000000-0008-0000-0D00-0000D9561000}"/>
            </a:ext>
          </a:extLst>
        </xdr:cNvPr>
        <xdr:cNvSpPr>
          <a:spLocks noChangeShapeType="1"/>
        </xdr:cNvSpPr>
      </xdr:nvSpPr>
      <xdr:spPr bwMode="auto">
        <a:xfrm>
          <a:off x="4467225" y="7734300"/>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66675</xdr:colOff>
      <xdr:row>45</xdr:row>
      <xdr:rowOff>85725</xdr:rowOff>
    </xdr:from>
    <xdr:to>
      <xdr:col>9</xdr:col>
      <xdr:colOff>0</xdr:colOff>
      <xdr:row>50</xdr:row>
      <xdr:rowOff>9525</xdr:rowOff>
    </xdr:to>
    <xdr:sp macro="" textlink="">
      <xdr:nvSpPr>
        <xdr:cNvPr id="1070810" name="Line 398">
          <a:extLst>
            <a:ext uri="{FF2B5EF4-FFF2-40B4-BE49-F238E27FC236}">
              <a16:creationId xmlns:a16="http://schemas.microsoft.com/office/drawing/2014/main" id="{00000000-0008-0000-0D00-0000DA561000}"/>
            </a:ext>
          </a:extLst>
        </xdr:cNvPr>
        <xdr:cNvSpPr>
          <a:spLocks noChangeShapeType="1"/>
        </xdr:cNvSpPr>
      </xdr:nvSpPr>
      <xdr:spPr bwMode="auto">
        <a:xfrm>
          <a:off x="4476750" y="8829675"/>
          <a:ext cx="342900" cy="8286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76200</xdr:colOff>
      <xdr:row>51</xdr:row>
      <xdr:rowOff>57150</xdr:rowOff>
    </xdr:from>
    <xdr:to>
      <xdr:col>9</xdr:col>
      <xdr:colOff>0</xdr:colOff>
      <xdr:row>56</xdr:row>
      <xdr:rowOff>28575</xdr:rowOff>
    </xdr:to>
    <xdr:sp macro="" textlink="">
      <xdr:nvSpPr>
        <xdr:cNvPr id="1070811" name="Line 399">
          <a:extLst>
            <a:ext uri="{FF2B5EF4-FFF2-40B4-BE49-F238E27FC236}">
              <a16:creationId xmlns:a16="http://schemas.microsoft.com/office/drawing/2014/main" id="{00000000-0008-0000-0D00-0000DB561000}"/>
            </a:ext>
          </a:extLst>
        </xdr:cNvPr>
        <xdr:cNvSpPr>
          <a:spLocks noChangeShapeType="1"/>
        </xdr:cNvSpPr>
      </xdr:nvSpPr>
      <xdr:spPr bwMode="auto">
        <a:xfrm>
          <a:off x="4486275" y="9886950"/>
          <a:ext cx="333375" cy="876300"/>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59</xdr:row>
      <xdr:rowOff>9525</xdr:rowOff>
    </xdr:from>
    <xdr:to>
      <xdr:col>6</xdr:col>
      <xdr:colOff>0</xdr:colOff>
      <xdr:row>59</xdr:row>
      <xdr:rowOff>9525</xdr:rowOff>
    </xdr:to>
    <xdr:sp macro="" textlink="">
      <xdr:nvSpPr>
        <xdr:cNvPr id="1070812" name="Line 392">
          <a:extLst>
            <a:ext uri="{FF2B5EF4-FFF2-40B4-BE49-F238E27FC236}">
              <a16:creationId xmlns:a16="http://schemas.microsoft.com/office/drawing/2014/main" id="{00000000-0008-0000-0D00-0000DC561000}"/>
            </a:ext>
          </a:extLst>
        </xdr:cNvPr>
        <xdr:cNvSpPr>
          <a:spLocks noChangeShapeType="1"/>
        </xdr:cNvSpPr>
      </xdr:nvSpPr>
      <xdr:spPr bwMode="auto">
        <a:xfrm>
          <a:off x="2324100" y="11268075"/>
          <a:ext cx="3714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28575</xdr:rowOff>
    </xdr:from>
    <xdr:to>
      <xdr:col>8</xdr:col>
      <xdr:colOff>76200</xdr:colOff>
      <xdr:row>56</xdr:row>
      <xdr:rowOff>38100</xdr:rowOff>
    </xdr:to>
    <xdr:sp macro="" textlink="">
      <xdr:nvSpPr>
        <xdr:cNvPr id="1070813" name="Line 343">
          <a:extLst>
            <a:ext uri="{FF2B5EF4-FFF2-40B4-BE49-F238E27FC236}">
              <a16:creationId xmlns:a16="http://schemas.microsoft.com/office/drawing/2014/main" id="{00000000-0008-0000-0D00-0000DD561000}"/>
            </a:ext>
          </a:extLst>
        </xdr:cNvPr>
        <xdr:cNvSpPr>
          <a:spLocks noChangeShapeType="1"/>
        </xdr:cNvSpPr>
      </xdr:nvSpPr>
      <xdr:spPr bwMode="auto">
        <a:xfrm>
          <a:off x="4410075" y="10763250"/>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47625</xdr:colOff>
      <xdr:row>59</xdr:row>
      <xdr:rowOff>38100</xdr:rowOff>
    </xdr:from>
    <xdr:to>
      <xdr:col>8</xdr:col>
      <xdr:colOff>400050</xdr:colOff>
      <xdr:row>62</xdr:row>
      <xdr:rowOff>0</xdr:rowOff>
    </xdr:to>
    <xdr:sp macro="" textlink="">
      <xdr:nvSpPr>
        <xdr:cNvPr id="1070814" name="Line 363">
          <a:extLst>
            <a:ext uri="{FF2B5EF4-FFF2-40B4-BE49-F238E27FC236}">
              <a16:creationId xmlns:a16="http://schemas.microsoft.com/office/drawing/2014/main" id="{00000000-0008-0000-0D00-0000DE561000}"/>
            </a:ext>
          </a:extLst>
        </xdr:cNvPr>
        <xdr:cNvSpPr>
          <a:spLocks noChangeShapeType="1"/>
        </xdr:cNvSpPr>
      </xdr:nvSpPr>
      <xdr:spPr bwMode="auto">
        <a:xfrm>
          <a:off x="4457700" y="11296650"/>
          <a:ext cx="352425" cy="495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57150</xdr:colOff>
      <xdr:row>53</xdr:row>
      <xdr:rowOff>19050</xdr:rowOff>
    </xdr:from>
    <xdr:to>
      <xdr:col>8</xdr:col>
      <xdr:colOff>400050</xdr:colOff>
      <xdr:row>59</xdr:row>
      <xdr:rowOff>28575</xdr:rowOff>
    </xdr:to>
    <xdr:sp macro="" textlink="">
      <xdr:nvSpPr>
        <xdr:cNvPr id="1070815" name="Line 392">
          <a:extLst>
            <a:ext uri="{FF2B5EF4-FFF2-40B4-BE49-F238E27FC236}">
              <a16:creationId xmlns:a16="http://schemas.microsoft.com/office/drawing/2014/main" id="{00000000-0008-0000-0D00-0000DF561000}"/>
            </a:ext>
          </a:extLst>
        </xdr:cNvPr>
        <xdr:cNvSpPr>
          <a:spLocks noChangeShapeType="1"/>
        </xdr:cNvSpPr>
      </xdr:nvSpPr>
      <xdr:spPr bwMode="auto">
        <a:xfrm flipV="1">
          <a:off x="4467225" y="10210800"/>
          <a:ext cx="342900" cy="1076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76200</xdr:colOff>
      <xdr:row>59</xdr:row>
      <xdr:rowOff>38100</xdr:rowOff>
    </xdr:from>
    <xdr:to>
      <xdr:col>9</xdr:col>
      <xdr:colOff>0</xdr:colOff>
      <xdr:row>59</xdr:row>
      <xdr:rowOff>38100</xdr:rowOff>
    </xdr:to>
    <xdr:sp macro="" textlink="">
      <xdr:nvSpPr>
        <xdr:cNvPr id="1070816" name="Line 392">
          <a:extLst>
            <a:ext uri="{FF2B5EF4-FFF2-40B4-BE49-F238E27FC236}">
              <a16:creationId xmlns:a16="http://schemas.microsoft.com/office/drawing/2014/main" id="{00000000-0008-0000-0D00-0000E0561000}"/>
            </a:ext>
          </a:extLst>
        </xdr:cNvPr>
        <xdr:cNvSpPr>
          <a:spLocks noChangeShapeType="1"/>
        </xdr:cNvSpPr>
      </xdr:nvSpPr>
      <xdr:spPr bwMode="auto">
        <a:xfrm>
          <a:off x="4486275" y="11296650"/>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66675</xdr:colOff>
      <xdr:row>56</xdr:row>
      <xdr:rowOff>38100</xdr:rowOff>
    </xdr:from>
    <xdr:to>
      <xdr:col>8</xdr:col>
      <xdr:colOff>66675</xdr:colOff>
      <xdr:row>61</xdr:row>
      <xdr:rowOff>142875</xdr:rowOff>
    </xdr:to>
    <xdr:sp macro="" textlink="">
      <xdr:nvSpPr>
        <xdr:cNvPr id="1070817" name="Line 344">
          <a:extLst>
            <a:ext uri="{FF2B5EF4-FFF2-40B4-BE49-F238E27FC236}">
              <a16:creationId xmlns:a16="http://schemas.microsoft.com/office/drawing/2014/main" id="{00000000-0008-0000-0D00-0000E1561000}"/>
            </a:ext>
          </a:extLst>
        </xdr:cNvPr>
        <xdr:cNvSpPr>
          <a:spLocks noChangeShapeType="1"/>
        </xdr:cNvSpPr>
      </xdr:nvSpPr>
      <xdr:spPr bwMode="auto">
        <a:xfrm flipH="1">
          <a:off x="4476750" y="10772775"/>
          <a:ext cx="0" cy="990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62</xdr:row>
      <xdr:rowOff>0</xdr:rowOff>
    </xdr:from>
    <xdr:to>
      <xdr:col>8</xdr:col>
      <xdr:colOff>66675</xdr:colOff>
      <xdr:row>62</xdr:row>
      <xdr:rowOff>9525</xdr:rowOff>
    </xdr:to>
    <xdr:sp macro="" textlink="">
      <xdr:nvSpPr>
        <xdr:cNvPr id="1070818" name="Line 345">
          <a:extLst>
            <a:ext uri="{FF2B5EF4-FFF2-40B4-BE49-F238E27FC236}">
              <a16:creationId xmlns:a16="http://schemas.microsoft.com/office/drawing/2014/main" id="{00000000-0008-0000-0D00-0000E2561000}"/>
            </a:ext>
          </a:extLst>
        </xdr:cNvPr>
        <xdr:cNvSpPr>
          <a:spLocks noChangeShapeType="1"/>
        </xdr:cNvSpPr>
      </xdr:nvSpPr>
      <xdr:spPr bwMode="auto">
        <a:xfrm flipV="1">
          <a:off x="4419600" y="117919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56</xdr:row>
      <xdr:rowOff>0</xdr:rowOff>
    </xdr:from>
    <xdr:to>
      <xdr:col>11</xdr:col>
      <xdr:colOff>76200</xdr:colOff>
      <xdr:row>56</xdr:row>
      <xdr:rowOff>9525</xdr:rowOff>
    </xdr:to>
    <xdr:sp macro="" textlink="">
      <xdr:nvSpPr>
        <xdr:cNvPr id="1070819" name="Line 473">
          <a:extLst>
            <a:ext uri="{FF2B5EF4-FFF2-40B4-BE49-F238E27FC236}">
              <a16:creationId xmlns:a16="http://schemas.microsoft.com/office/drawing/2014/main" id="{00000000-0008-0000-0D00-0000E3561000}"/>
            </a:ext>
          </a:extLst>
        </xdr:cNvPr>
        <xdr:cNvSpPr>
          <a:spLocks noChangeShapeType="1"/>
        </xdr:cNvSpPr>
      </xdr:nvSpPr>
      <xdr:spPr bwMode="auto">
        <a:xfrm>
          <a:off x="7143750"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56</xdr:row>
      <xdr:rowOff>9525</xdr:rowOff>
    </xdr:from>
    <xdr:to>
      <xdr:col>11</xdr:col>
      <xdr:colOff>66675</xdr:colOff>
      <xdr:row>59</xdr:row>
      <xdr:rowOff>19050</xdr:rowOff>
    </xdr:to>
    <xdr:sp macro="" textlink="">
      <xdr:nvSpPr>
        <xdr:cNvPr id="1070820" name="Line 474">
          <a:extLst>
            <a:ext uri="{FF2B5EF4-FFF2-40B4-BE49-F238E27FC236}">
              <a16:creationId xmlns:a16="http://schemas.microsoft.com/office/drawing/2014/main" id="{00000000-0008-0000-0D00-0000E4561000}"/>
            </a:ext>
          </a:extLst>
        </xdr:cNvPr>
        <xdr:cNvSpPr>
          <a:spLocks noChangeShapeType="1"/>
        </xdr:cNvSpPr>
      </xdr:nvSpPr>
      <xdr:spPr bwMode="auto">
        <a:xfrm>
          <a:off x="7210425" y="10744200"/>
          <a:ext cx="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56</xdr:row>
      <xdr:rowOff>0</xdr:rowOff>
    </xdr:from>
    <xdr:to>
      <xdr:col>11</xdr:col>
      <xdr:colOff>76200</xdr:colOff>
      <xdr:row>56</xdr:row>
      <xdr:rowOff>9525</xdr:rowOff>
    </xdr:to>
    <xdr:sp macro="" textlink="">
      <xdr:nvSpPr>
        <xdr:cNvPr id="1070821" name="Line 475">
          <a:extLst>
            <a:ext uri="{FF2B5EF4-FFF2-40B4-BE49-F238E27FC236}">
              <a16:creationId xmlns:a16="http://schemas.microsoft.com/office/drawing/2014/main" id="{00000000-0008-0000-0D00-0000E5561000}"/>
            </a:ext>
          </a:extLst>
        </xdr:cNvPr>
        <xdr:cNvSpPr>
          <a:spLocks noChangeShapeType="1"/>
        </xdr:cNvSpPr>
      </xdr:nvSpPr>
      <xdr:spPr bwMode="auto">
        <a:xfrm>
          <a:off x="7143750"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56</xdr:row>
      <xdr:rowOff>9525</xdr:rowOff>
    </xdr:from>
    <xdr:to>
      <xdr:col>11</xdr:col>
      <xdr:colOff>66675</xdr:colOff>
      <xdr:row>59</xdr:row>
      <xdr:rowOff>19050</xdr:rowOff>
    </xdr:to>
    <xdr:sp macro="" textlink="">
      <xdr:nvSpPr>
        <xdr:cNvPr id="1070822" name="Line 476">
          <a:extLst>
            <a:ext uri="{FF2B5EF4-FFF2-40B4-BE49-F238E27FC236}">
              <a16:creationId xmlns:a16="http://schemas.microsoft.com/office/drawing/2014/main" id="{00000000-0008-0000-0D00-0000E6561000}"/>
            </a:ext>
          </a:extLst>
        </xdr:cNvPr>
        <xdr:cNvSpPr>
          <a:spLocks noChangeShapeType="1"/>
        </xdr:cNvSpPr>
      </xdr:nvSpPr>
      <xdr:spPr bwMode="auto">
        <a:xfrm>
          <a:off x="7210425" y="10744200"/>
          <a:ext cx="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59</xdr:row>
      <xdr:rowOff>19050</xdr:rowOff>
    </xdr:from>
    <xdr:to>
      <xdr:col>12</xdr:col>
      <xdr:colOff>9525</xdr:colOff>
      <xdr:row>62</xdr:row>
      <xdr:rowOff>9525</xdr:rowOff>
    </xdr:to>
    <xdr:sp macro="" textlink="">
      <xdr:nvSpPr>
        <xdr:cNvPr id="1070823" name="Line 477">
          <a:extLst>
            <a:ext uri="{FF2B5EF4-FFF2-40B4-BE49-F238E27FC236}">
              <a16:creationId xmlns:a16="http://schemas.microsoft.com/office/drawing/2014/main" id="{00000000-0008-0000-0D00-0000E7561000}"/>
            </a:ext>
          </a:extLst>
        </xdr:cNvPr>
        <xdr:cNvSpPr>
          <a:spLocks noChangeShapeType="1"/>
        </xdr:cNvSpPr>
      </xdr:nvSpPr>
      <xdr:spPr bwMode="auto">
        <a:xfrm>
          <a:off x="7219950" y="11277600"/>
          <a:ext cx="342900" cy="5238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56</xdr:row>
      <xdr:rowOff>0</xdr:rowOff>
    </xdr:from>
    <xdr:to>
      <xdr:col>11</xdr:col>
      <xdr:colOff>76200</xdr:colOff>
      <xdr:row>56</xdr:row>
      <xdr:rowOff>9525</xdr:rowOff>
    </xdr:to>
    <xdr:sp macro="" textlink="">
      <xdr:nvSpPr>
        <xdr:cNvPr id="1070824" name="Line 478">
          <a:extLst>
            <a:ext uri="{FF2B5EF4-FFF2-40B4-BE49-F238E27FC236}">
              <a16:creationId xmlns:a16="http://schemas.microsoft.com/office/drawing/2014/main" id="{00000000-0008-0000-0D00-0000E8561000}"/>
            </a:ext>
          </a:extLst>
        </xdr:cNvPr>
        <xdr:cNvSpPr>
          <a:spLocks noChangeShapeType="1"/>
        </xdr:cNvSpPr>
      </xdr:nvSpPr>
      <xdr:spPr bwMode="auto">
        <a:xfrm>
          <a:off x="7143750"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56</xdr:row>
      <xdr:rowOff>9525</xdr:rowOff>
    </xdr:from>
    <xdr:to>
      <xdr:col>11</xdr:col>
      <xdr:colOff>66675</xdr:colOff>
      <xdr:row>61</xdr:row>
      <xdr:rowOff>152400</xdr:rowOff>
    </xdr:to>
    <xdr:sp macro="" textlink="">
      <xdr:nvSpPr>
        <xdr:cNvPr id="1070825" name="Line 479">
          <a:extLst>
            <a:ext uri="{FF2B5EF4-FFF2-40B4-BE49-F238E27FC236}">
              <a16:creationId xmlns:a16="http://schemas.microsoft.com/office/drawing/2014/main" id="{00000000-0008-0000-0D00-0000E9561000}"/>
            </a:ext>
          </a:extLst>
        </xdr:cNvPr>
        <xdr:cNvSpPr>
          <a:spLocks noChangeShapeType="1"/>
        </xdr:cNvSpPr>
      </xdr:nvSpPr>
      <xdr:spPr bwMode="auto">
        <a:xfrm>
          <a:off x="7210425" y="10744200"/>
          <a:ext cx="0" cy="1028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55</xdr:row>
      <xdr:rowOff>161925</xdr:rowOff>
    </xdr:from>
    <xdr:to>
      <xdr:col>12</xdr:col>
      <xdr:colOff>0</xdr:colOff>
      <xdr:row>59</xdr:row>
      <xdr:rowOff>0</xdr:rowOff>
    </xdr:to>
    <xdr:sp macro="" textlink="">
      <xdr:nvSpPr>
        <xdr:cNvPr id="1070826" name="Line 480">
          <a:extLst>
            <a:ext uri="{FF2B5EF4-FFF2-40B4-BE49-F238E27FC236}">
              <a16:creationId xmlns:a16="http://schemas.microsoft.com/office/drawing/2014/main" id="{00000000-0008-0000-0D00-0000EA561000}"/>
            </a:ext>
          </a:extLst>
        </xdr:cNvPr>
        <xdr:cNvSpPr>
          <a:spLocks noChangeShapeType="1"/>
        </xdr:cNvSpPr>
      </xdr:nvSpPr>
      <xdr:spPr bwMode="auto">
        <a:xfrm flipV="1">
          <a:off x="7210425" y="10715625"/>
          <a:ext cx="342900" cy="5429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66675</xdr:colOff>
      <xdr:row>59</xdr:row>
      <xdr:rowOff>9525</xdr:rowOff>
    </xdr:from>
    <xdr:to>
      <xdr:col>12</xdr:col>
      <xdr:colOff>0</xdr:colOff>
      <xdr:row>59</xdr:row>
      <xdr:rowOff>9525</xdr:rowOff>
    </xdr:to>
    <xdr:sp macro="" textlink="">
      <xdr:nvSpPr>
        <xdr:cNvPr id="1070827" name="Line 481">
          <a:extLst>
            <a:ext uri="{FF2B5EF4-FFF2-40B4-BE49-F238E27FC236}">
              <a16:creationId xmlns:a16="http://schemas.microsoft.com/office/drawing/2014/main" id="{00000000-0008-0000-0D00-0000EB561000}"/>
            </a:ext>
          </a:extLst>
        </xdr:cNvPr>
        <xdr:cNvSpPr>
          <a:spLocks noChangeShapeType="1"/>
        </xdr:cNvSpPr>
      </xdr:nvSpPr>
      <xdr:spPr bwMode="auto">
        <a:xfrm>
          <a:off x="7210425" y="11268075"/>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9525</xdr:colOff>
      <xdr:row>61</xdr:row>
      <xdr:rowOff>171450</xdr:rowOff>
    </xdr:from>
    <xdr:to>
      <xdr:col>11</xdr:col>
      <xdr:colOff>66675</xdr:colOff>
      <xdr:row>62</xdr:row>
      <xdr:rowOff>0</xdr:rowOff>
    </xdr:to>
    <xdr:sp macro="" textlink="">
      <xdr:nvSpPr>
        <xdr:cNvPr id="1070828" name="Line 482">
          <a:extLst>
            <a:ext uri="{FF2B5EF4-FFF2-40B4-BE49-F238E27FC236}">
              <a16:creationId xmlns:a16="http://schemas.microsoft.com/office/drawing/2014/main" id="{00000000-0008-0000-0D00-0000EC561000}"/>
            </a:ext>
          </a:extLst>
        </xdr:cNvPr>
        <xdr:cNvSpPr>
          <a:spLocks noChangeShapeType="1"/>
        </xdr:cNvSpPr>
      </xdr:nvSpPr>
      <xdr:spPr bwMode="auto">
        <a:xfrm flipV="1">
          <a:off x="7153275" y="11791950"/>
          <a:ext cx="57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53</xdr:row>
      <xdr:rowOff>0</xdr:rowOff>
    </xdr:from>
    <xdr:to>
      <xdr:col>5</xdr:col>
      <xdr:colOff>66675</xdr:colOff>
      <xdr:row>53</xdr:row>
      <xdr:rowOff>9525</xdr:rowOff>
    </xdr:to>
    <xdr:sp macro="" textlink="">
      <xdr:nvSpPr>
        <xdr:cNvPr id="1070829" name="Line 39">
          <a:extLst>
            <a:ext uri="{FF2B5EF4-FFF2-40B4-BE49-F238E27FC236}">
              <a16:creationId xmlns:a16="http://schemas.microsoft.com/office/drawing/2014/main" id="{00000000-0008-0000-0D00-0000ED561000}"/>
            </a:ext>
          </a:extLst>
        </xdr:cNvPr>
        <xdr:cNvSpPr>
          <a:spLocks noChangeShapeType="1"/>
        </xdr:cNvSpPr>
      </xdr:nvSpPr>
      <xdr:spPr bwMode="auto">
        <a:xfrm flipV="1">
          <a:off x="225742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53</xdr:row>
      <xdr:rowOff>0</xdr:rowOff>
    </xdr:from>
    <xdr:to>
      <xdr:col>8</xdr:col>
      <xdr:colOff>66675</xdr:colOff>
      <xdr:row>53</xdr:row>
      <xdr:rowOff>9525</xdr:rowOff>
    </xdr:to>
    <xdr:sp macro="" textlink="">
      <xdr:nvSpPr>
        <xdr:cNvPr id="1070830" name="Line 42">
          <a:extLst>
            <a:ext uri="{FF2B5EF4-FFF2-40B4-BE49-F238E27FC236}">
              <a16:creationId xmlns:a16="http://schemas.microsoft.com/office/drawing/2014/main" id="{00000000-0008-0000-0D00-0000EE561000}"/>
            </a:ext>
          </a:extLst>
        </xdr:cNvPr>
        <xdr:cNvSpPr>
          <a:spLocks noChangeShapeType="1"/>
        </xdr:cNvSpPr>
      </xdr:nvSpPr>
      <xdr:spPr bwMode="auto">
        <a:xfrm flipV="1">
          <a:off x="4419600"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53</xdr:row>
      <xdr:rowOff>0</xdr:rowOff>
    </xdr:from>
    <xdr:to>
      <xdr:col>11</xdr:col>
      <xdr:colOff>66675</xdr:colOff>
      <xdr:row>53</xdr:row>
      <xdr:rowOff>9525</xdr:rowOff>
    </xdr:to>
    <xdr:sp macro="" textlink="">
      <xdr:nvSpPr>
        <xdr:cNvPr id="1070831" name="Line 45">
          <a:extLst>
            <a:ext uri="{FF2B5EF4-FFF2-40B4-BE49-F238E27FC236}">
              <a16:creationId xmlns:a16="http://schemas.microsoft.com/office/drawing/2014/main" id="{00000000-0008-0000-0D00-0000EF561000}"/>
            </a:ext>
          </a:extLst>
        </xdr:cNvPr>
        <xdr:cNvSpPr>
          <a:spLocks noChangeShapeType="1"/>
        </xdr:cNvSpPr>
      </xdr:nvSpPr>
      <xdr:spPr bwMode="auto">
        <a:xfrm flipV="1">
          <a:off x="715327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53</xdr:row>
      <xdr:rowOff>0</xdr:rowOff>
    </xdr:from>
    <xdr:to>
      <xdr:col>11</xdr:col>
      <xdr:colOff>66675</xdr:colOff>
      <xdr:row>53</xdr:row>
      <xdr:rowOff>9525</xdr:rowOff>
    </xdr:to>
    <xdr:sp macro="" textlink="">
      <xdr:nvSpPr>
        <xdr:cNvPr id="1070832" name="Line 79">
          <a:extLst>
            <a:ext uri="{FF2B5EF4-FFF2-40B4-BE49-F238E27FC236}">
              <a16:creationId xmlns:a16="http://schemas.microsoft.com/office/drawing/2014/main" id="{00000000-0008-0000-0D00-0000F0561000}"/>
            </a:ext>
          </a:extLst>
        </xdr:cNvPr>
        <xdr:cNvSpPr>
          <a:spLocks noChangeShapeType="1"/>
        </xdr:cNvSpPr>
      </xdr:nvSpPr>
      <xdr:spPr bwMode="auto">
        <a:xfrm flipV="1">
          <a:off x="715327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51</xdr:row>
      <xdr:rowOff>66675</xdr:rowOff>
    </xdr:from>
    <xdr:to>
      <xdr:col>12</xdr:col>
      <xdr:colOff>9525</xdr:colOff>
      <xdr:row>53</xdr:row>
      <xdr:rowOff>19050</xdr:rowOff>
    </xdr:to>
    <xdr:sp macro="" textlink="">
      <xdr:nvSpPr>
        <xdr:cNvPr id="1070833" name="Line 81">
          <a:extLst>
            <a:ext uri="{FF2B5EF4-FFF2-40B4-BE49-F238E27FC236}">
              <a16:creationId xmlns:a16="http://schemas.microsoft.com/office/drawing/2014/main" id="{00000000-0008-0000-0D00-0000F1561000}"/>
            </a:ext>
          </a:extLst>
        </xdr:cNvPr>
        <xdr:cNvSpPr>
          <a:spLocks noChangeShapeType="1"/>
        </xdr:cNvSpPr>
      </xdr:nvSpPr>
      <xdr:spPr bwMode="auto">
        <a:xfrm>
          <a:off x="7219950" y="9896475"/>
          <a:ext cx="342900" cy="31432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9525</xdr:colOff>
      <xdr:row>53</xdr:row>
      <xdr:rowOff>0</xdr:rowOff>
    </xdr:from>
    <xdr:to>
      <xdr:col>11</xdr:col>
      <xdr:colOff>66675</xdr:colOff>
      <xdr:row>53</xdr:row>
      <xdr:rowOff>9525</xdr:rowOff>
    </xdr:to>
    <xdr:sp macro="" textlink="">
      <xdr:nvSpPr>
        <xdr:cNvPr id="1070834" name="Line 92">
          <a:extLst>
            <a:ext uri="{FF2B5EF4-FFF2-40B4-BE49-F238E27FC236}">
              <a16:creationId xmlns:a16="http://schemas.microsoft.com/office/drawing/2014/main" id="{00000000-0008-0000-0D00-0000F2561000}"/>
            </a:ext>
          </a:extLst>
        </xdr:cNvPr>
        <xdr:cNvSpPr>
          <a:spLocks noChangeShapeType="1"/>
        </xdr:cNvSpPr>
      </xdr:nvSpPr>
      <xdr:spPr bwMode="auto">
        <a:xfrm flipV="1">
          <a:off x="7153275"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53</xdr:row>
      <xdr:rowOff>0</xdr:rowOff>
    </xdr:from>
    <xdr:to>
      <xdr:col>8</xdr:col>
      <xdr:colOff>66675</xdr:colOff>
      <xdr:row>53</xdr:row>
      <xdr:rowOff>9525</xdr:rowOff>
    </xdr:to>
    <xdr:sp macro="" textlink="">
      <xdr:nvSpPr>
        <xdr:cNvPr id="1070835" name="Line 136">
          <a:extLst>
            <a:ext uri="{FF2B5EF4-FFF2-40B4-BE49-F238E27FC236}">
              <a16:creationId xmlns:a16="http://schemas.microsoft.com/office/drawing/2014/main" id="{00000000-0008-0000-0D00-0000F3561000}"/>
            </a:ext>
          </a:extLst>
        </xdr:cNvPr>
        <xdr:cNvSpPr>
          <a:spLocks noChangeShapeType="1"/>
        </xdr:cNvSpPr>
      </xdr:nvSpPr>
      <xdr:spPr bwMode="auto">
        <a:xfrm flipV="1">
          <a:off x="4419600"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85725</xdr:colOff>
      <xdr:row>56</xdr:row>
      <xdr:rowOff>0</xdr:rowOff>
    </xdr:from>
    <xdr:to>
      <xdr:col>5</xdr:col>
      <xdr:colOff>85725</xdr:colOff>
      <xdr:row>61</xdr:row>
      <xdr:rowOff>142875</xdr:rowOff>
    </xdr:to>
    <xdr:sp macro="" textlink="">
      <xdr:nvSpPr>
        <xdr:cNvPr id="1070836" name="Line 460">
          <a:extLst>
            <a:ext uri="{FF2B5EF4-FFF2-40B4-BE49-F238E27FC236}">
              <a16:creationId xmlns:a16="http://schemas.microsoft.com/office/drawing/2014/main" id="{00000000-0008-0000-0D00-0000F4561000}"/>
            </a:ext>
          </a:extLst>
        </xdr:cNvPr>
        <xdr:cNvSpPr>
          <a:spLocks noChangeShapeType="1"/>
        </xdr:cNvSpPr>
      </xdr:nvSpPr>
      <xdr:spPr bwMode="auto">
        <a:xfrm>
          <a:off x="2333625" y="10734675"/>
          <a:ext cx="0" cy="1028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53</xdr:row>
      <xdr:rowOff>0</xdr:rowOff>
    </xdr:from>
    <xdr:to>
      <xdr:col>8</xdr:col>
      <xdr:colOff>66675</xdr:colOff>
      <xdr:row>53</xdr:row>
      <xdr:rowOff>9525</xdr:rowOff>
    </xdr:to>
    <xdr:sp macro="" textlink="">
      <xdr:nvSpPr>
        <xdr:cNvPr id="1070837" name="Line 464">
          <a:extLst>
            <a:ext uri="{FF2B5EF4-FFF2-40B4-BE49-F238E27FC236}">
              <a16:creationId xmlns:a16="http://schemas.microsoft.com/office/drawing/2014/main" id="{00000000-0008-0000-0D00-0000F5561000}"/>
            </a:ext>
          </a:extLst>
        </xdr:cNvPr>
        <xdr:cNvSpPr>
          <a:spLocks noChangeShapeType="1"/>
        </xdr:cNvSpPr>
      </xdr:nvSpPr>
      <xdr:spPr bwMode="auto">
        <a:xfrm flipV="1">
          <a:off x="4419600" y="101917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56</xdr:row>
      <xdr:rowOff>0</xdr:rowOff>
    </xdr:from>
    <xdr:to>
      <xdr:col>11</xdr:col>
      <xdr:colOff>76200</xdr:colOff>
      <xdr:row>56</xdr:row>
      <xdr:rowOff>9525</xdr:rowOff>
    </xdr:to>
    <xdr:sp macro="" textlink="">
      <xdr:nvSpPr>
        <xdr:cNvPr id="1070838" name="Line 473">
          <a:extLst>
            <a:ext uri="{FF2B5EF4-FFF2-40B4-BE49-F238E27FC236}">
              <a16:creationId xmlns:a16="http://schemas.microsoft.com/office/drawing/2014/main" id="{00000000-0008-0000-0D00-0000F6561000}"/>
            </a:ext>
          </a:extLst>
        </xdr:cNvPr>
        <xdr:cNvSpPr>
          <a:spLocks noChangeShapeType="1"/>
        </xdr:cNvSpPr>
      </xdr:nvSpPr>
      <xdr:spPr bwMode="auto">
        <a:xfrm>
          <a:off x="7143750"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56</xdr:row>
      <xdr:rowOff>9525</xdr:rowOff>
    </xdr:from>
    <xdr:to>
      <xdr:col>11</xdr:col>
      <xdr:colOff>66675</xdr:colOff>
      <xdr:row>59</xdr:row>
      <xdr:rowOff>19050</xdr:rowOff>
    </xdr:to>
    <xdr:sp macro="" textlink="">
      <xdr:nvSpPr>
        <xdr:cNvPr id="1070839" name="Line 474">
          <a:extLst>
            <a:ext uri="{FF2B5EF4-FFF2-40B4-BE49-F238E27FC236}">
              <a16:creationId xmlns:a16="http://schemas.microsoft.com/office/drawing/2014/main" id="{00000000-0008-0000-0D00-0000F7561000}"/>
            </a:ext>
          </a:extLst>
        </xdr:cNvPr>
        <xdr:cNvSpPr>
          <a:spLocks noChangeShapeType="1"/>
        </xdr:cNvSpPr>
      </xdr:nvSpPr>
      <xdr:spPr bwMode="auto">
        <a:xfrm>
          <a:off x="7210425" y="10744200"/>
          <a:ext cx="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56</xdr:row>
      <xdr:rowOff>0</xdr:rowOff>
    </xdr:from>
    <xdr:to>
      <xdr:col>11</xdr:col>
      <xdr:colOff>76200</xdr:colOff>
      <xdr:row>56</xdr:row>
      <xdr:rowOff>9525</xdr:rowOff>
    </xdr:to>
    <xdr:sp macro="" textlink="">
      <xdr:nvSpPr>
        <xdr:cNvPr id="1070840" name="Line 475">
          <a:extLst>
            <a:ext uri="{FF2B5EF4-FFF2-40B4-BE49-F238E27FC236}">
              <a16:creationId xmlns:a16="http://schemas.microsoft.com/office/drawing/2014/main" id="{00000000-0008-0000-0D00-0000F8561000}"/>
            </a:ext>
          </a:extLst>
        </xdr:cNvPr>
        <xdr:cNvSpPr>
          <a:spLocks noChangeShapeType="1"/>
        </xdr:cNvSpPr>
      </xdr:nvSpPr>
      <xdr:spPr bwMode="auto">
        <a:xfrm>
          <a:off x="7143750"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56</xdr:row>
      <xdr:rowOff>9525</xdr:rowOff>
    </xdr:from>
    <xdr:to>
      <xdr:col>11</xdr:col>
      <xdr:colOff>66675</xdr:colOff>
      <xdr:row>59</xdr:row>
      <xdr:rowOff>19050</xdr:rowOff>
    </xdr:to>
    <xdr:sp macro="" textlink="">
      <xdr:nvSpPr>
        <xdr:cNvPr id="1070841" name="Line 476">
          <a:extLst>
            <a:ext uri="{FF2B5EF4-FFF2-40B4-BE49-F238E27FC236}">
              <a16:creationId xmlns:a16="http://schemas.microsoft.com/office/drawing/2014/main" id="{00000000-0008-0000-0D00-0000F9561000}"/>
            </a:ext>
          </a:extLst>
        </xdr:cNvPr>
        <xdr:cNvSpPr>
          <a:spLocks noChangeShapeType="1"/>
        </xdr:cNvSpPr>
      </xdr:nvSpPr>
      <xdr:spPr bwMode="auto">
        <a:xfrm>
          <a:off x="7210425" y="10744200"/>
          <a:ext cx="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59</xdr:row>
      <xdr:rowOff>19050</xdr:rowOff>
    </xdr:from>
    <xdr:to>
      <xdr:col>12</xdr:col>
      <xdr:colOff>9525</xdr:colOff>
      <xdr:row>62</xdr:row>
      <xdr:rowOff>9525</xdr:rowOff>
    </xdr:to>
    <xdr:sp macro="" textlink="">
      <xdr:nvSpPr>
        <xdr:cNvPr id="1070842" name="Line 477">
          <a:extLst>
            <a:ext uri="{FF2B5EF4-FFF2-40B4-BE49-F238E27FC236}">
              <a16:creationId xmlns:a16="http://schemas.microsoft.com/office/drawing/2014/main" id="{00000000-0008-0000-0D00-0000FA561000}"/>
            </a:ext>
          </a:extLst>
        </xdr:cNvPr>
        <xdr:cNvSpPr>
          <a:spLocks noChangeShapeType="1"/>
        </xdr:cNvSpPr>
      </xdr:nvSpPr>
      <xdr:spPr bwMode="auto">
        <a:xfrm>
          <a:off x="7219950" y="11277600"/>
          <a:ext cx="342900" cy="523875"/>
        </a:xfrm>
        <a:prstGeom prst="line">
          <a:avLst/>
        </a:prstGeom>
        <a:noFill/>
        <a:ln w="15875">
          <a:solidFill>
            <a:srgbClr val="000000"/>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56</xdr:row>
      <xdr:rowOff>0</xdr:rowOff>
    </xdr:from>
    <xdr:to>
      <xdr:col>11</xdr:col>
      <xdr:colOff>76200</xdr:colOff>
      <xdr:row>56</xdr:row>
      <xdr:rowOff>9525</xdr:rowOff>
    </xdr:to>
    <xdr:sp macro="" textlink="">
      <xdr:nvSpPr>
        <xdr:cNvPr id="1070843" name="Line 478">
          <a:extLst>
            <a:ext uri="{FF2B5EF4-FFF2-40B4-BE49-F238E27FC236}">
              <a16:creationId xmlns:a16="http://schemas.microsoft.com/office/drawing/2014/main" id="{00000000-0008-0000-0D00-0000FB561000}"/>
            </a:ext>
          </a:extLst>
        </xdr:cNvPr>
        <xdr:cNvSpPr>
          <a:spLocks noChangeShapeType="1"/>
        </xdr:cNvSpPr>
      </xdr:nvSpPr>
      <xdr:spPr bwMode="auto">
        <a:xfrm>
          <a:off x="7143750" y="10734675"/>
          <a:ext cx="7620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56</xdr:row>
      <xdr:rowOff>9525</xdr:rowOff>
    </xdr:from>
    <xdr:to>
      <xdr:col>11</xdr:col>
      <xdr:colOff>66675</xdr:colOff>
      <xdr:row>61</xdr:row>
      <xdr:rowOff>152400</xdr:rowOff>
    </xdr:to>
    <xdr:sp macro="" textlink="">
      <xdr:nvSpPr>
        <xdr:cNvPr id="1070844" name="Line 479">
          <a:extLst>
            <a:ext uri="{FF2B5EF4-FFF2-40B4-BE49-F238E27FC236}">
              <a16:creationId xmlns:a16="http://schemas.microsoft.com/office/drawing/2014/main" id="{00000000-0008-0000-0D00-0000FC561000}"/>
            </a:ext>
          </a:extLst>
        </xdr:cNvPr>
        <xdr:cNvSpPr>
          <a:spLocks noChangeShapeType="1"/>
        </xdr:cNvSpPr>
      </xdr:nvSpPr>
      <xdr:spPr bwMode="auto">
        <a:xfrm>
          <a:off x="7210425" y="10744200"/>
          <a:ext cx="0" cy="1028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xdr:colOff>
      <xdr:row>55</xdr:row>
      <xdr:rowOff>161925</xdr:rowOff>
    </xdr:from>
    <xdr:to>
      <xdr:col>12</xdr:col>
      <xdr:colOff>0</xdr:colOff>
      <xdr:row>59</xdr:row>
      <xdr:rowOff>0</xdr:rowOff>
    </xdr:to>
    <xdr:sp macro="" textlink="">
      <xdr:nvSpPr>
        <xdr:cNvPr id="1070845" name="Line 480">
          <a:extLst>
            <a:ext uri="{FF2B5EF4-FFF2-40B4-BE49-F238E27FC236}">
              <a16:creationId xmlns:a16="http://schemas.microsoft.com/office/drawing/2014/main" id="{00000000-0008-0000-0D00-0000FD561000}"/>
            </a:ext>
          </a:extLst>
        </xdr:cNvPr>
        <xdr:cNvSpPr>
          <a:spLocks noChangeShapeType="1"/>
        </xdr:cNvSpPr>
      </xdr:nvSpPr>
      <xdr:spPr bwMode="auto">
        <a:xfrm flipV="1">
          <a:off x="7210425" y="10715625"/>
          <a:ext cx="342900" cy="542925"/>
        </a:xfrm>
        <a:prstGeom prst="line">
          <a:avLst/>
        </a:prstGeom>
        <a:noFill/>
        <a:ln w="9525">
          <a:solidFill>
            <a:srgbClr val="969696"/>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66675</xdr:colOff>
      <xdr:row>59</xdr:row>
      <xdr:rowOff>9525</xdr:rowOff>
    </xdr:from>
    <xdr:to>
      <xdr:col>12</xdr:col>
      <xdr:colOff>0</xdr:colOff>
      <xdr:row>59</xdr:row>
      <xdr:rowOff>9525</xdr:rowOff>
    </xdr:to>
    <xdr:sp macro="" textlink="">
      <xdr:nvSpPr>
        <xdr:cNvPr id="1070846" name="Line 481">
          <a:extLst>
            <a:ext uri="{FF2B5EF4-FFF2-40B4-BE49-F238E27FC236}">
              <a16:creationId xmlns:a16="http://schemas.microsoft.com/office/drawing/2014/main" id="{00000000-0008-0000-0D00-0000FE561000}"/>
            </a:ext>
          </a:extLst>
        </xdr:cNvPr>
        <xdr:cNvSpPr>
          <a:spLocks noChangeShapeType="1"/>
        </xdr:cNvSpPr>
      </xdr:nvSpPr>
      <xdr:spPr bwMode="auto">
        <a:xfrm>
          <a:off x="7210425" y="11268075"/>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9525</xdr:colOff>
      <xdr:row>61</xdr:row>
      <xdr:rowOff>171450</xdr:rowOff>
    </xdr:from>
    <xdr:to>
      <xdr:col>11</xdr:col>
      <xdr:colOff>66675</xdr:colOff>
      <xdr:row>62</xdr:row>
      <xdr:rowOff>0</xdr:rowOff>
    </xdr:to>
    <xdr:sp macro="" textlink="">
      <xdr:nvSpPr>
        <xdr:cNvPr id="1070847" name="Line 482">
          <a:extLst>
            <a:ext uri="{FF2B5EF4-FFF2-40B4-BE49-F238E27FC236}">
              <a16:creationId xmlns:a16="http://schemas.microsoft.com/office/drawing/2014/main" id="{00000000-0008-0000-0D00-0000FF561000}"/>
            </a:ext>
          </a:extLst>
        </xdr:cNvPr>
        <xdr:cNvSpPr>
          <a:spLocks noChangeShapeType="1"/>
        </xdr:cNvSpPr>
      </xdr:nvSpPr>
      <xdr:spPr bwMode="auto">
        <a:xfrm flipV="1">
          <a:off x="7153275" y="11791950"/>
          <a:ext cx="57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62</xdr:row>
      <xdr:rowOff>0</xdr:rowOff>
    </xdr:from>
    <xdr:to>
      <xdr:col>5</xdr:col>
      <xdr:colOff>66675</xdr:colOff>
      <xdr:row>62</xdr:row>
      <xdr:rowOff>9525</xdr:rowOff>
    </xdr:to>
    <xdr:sp macro="" textlink="">
      <xdr:nvSpPr>
        <xdr:cNvPr id="1070848" name="Line 345">
          <a:extLst>
            <a:ext uri="{FF2B5EF4-FFF2-40B4-BE49-F238E27FC236}">
              <a16:creationId xmlns:a16="http://schemas.microsoft.com/office/drawing/2014/main" id="{00000000-0008-0000-0D00-000000571000}"/>
            </a:ext>
          </a:extLst>
        </xdr:cNvPr>
        <xdr:cNvSpPr>
          <a:spLocks noChangeShapeType="1"/>
        </xdr:cNvSpPr>
      </xdr:nvSpPr>
      <xdr:spPr bwMode="auto">
        <a:xfrm flipV="1">
          <a:off x="2257425" y="11791950"/>
          <a:ext cx="571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438150</xdr:colOff>
      <xdr:row>3</xdr:row>
      <xdr:rowOff>28575</xdr:rowOff>
    </xdr:from>
    <xdr:to>
      <xdr:col>12</xdr:col>
      <xdr:colOff>1104900</xdr:colOff>
      <xdr:row>7</xdr:row>
      <xdr:rowOff>57150</xdr:rowOff>
    </xdr:to>
    <xdr:sp macro="" textlink="">
      <xdr:nvSpPr>
        <xdr:cNvPr id="4118" name="Text Box 22">
          <a:extLst>
            <a:ext uri="{FF2B5EF4-FFF2-40B4-BE49-F238E27FC236}">
              <a16:creationId xmlns:a16="http://schemas.microsoft.com/office/drawing/2014/main" id="{00000000-0008-0000-0E00-000016100000}"/>
            </a:ext>
          </a:extLst>
        </xdr:cNvPr>
        <xdr:cNvSpPr txBox="1">
          <a:spLocks noChangeArrowheads="1"/>
        </xdr:cNvSpPr>
      </xdr:nvSpPr>
      <xdr:spPr bwMode="auto">
        <a:xfrm>
          <a:off x="7639050" y="552450"/>
          <a:ext cx="3467100" cy="904875"/>
        </a:xfrm>
        <a:prstGeom prst="rect">
          <a:avLst/>
        </a:prstGeom>
        <a:solidFill>
          <a:srgbClr val="FFFFFF"/>
        </a:solidFill>
        <a:ln>
          <a:noFill/>
        </a:ln>
      </xdr:spPr>
      <xdr:txBody>
        <a:bodyPr vertOverflow="clip" wrap="square" lIns="64008" tIns="50292" rIns="64008" bIns="0" anchor="t" upright="1"/>
        <a:lstStyle/>
        <a:p>
          <a:pPr algn="ctr" rtl="0">
            <a:defRPr sz="1000"/>
          </a:pPr>
          <a:r>
            <a:rPr lang="fr-FR" sz="3000" b="1" i="0" u="none" strike="noStrike" baseline="0">
              <a:solidFill>
                <a:srgbClr val="000000"/>
              </a:solidFill>
              <a:latin typeface="Arial"/>
              <a:cs typeface="Arial"/>
            </a:rPr>
            <a:t>TIR à l'ARC</a:t>
          </a:r>
          <a:endParaRPr lang="fr-FR" sz="1200" b="1" i="0" u="none" strike="noStrike" baseline="0">
            <a:solidFill>
              <a:srgbClr val="000000"/>
            </a:solidFill>
            <a:latin typeface="Arial"/>
            <a:cs typeface="Arial"/>
          </a:endParaRPr>
        </a:p>
        <a:p>
          <a:pPr algn="ctr" rtl="0">
            <a:defRPr sz="1000"/>
          </a:pPr>
          <a:r>
            <a:rPr lang="fr-FR" sz="2000" b="1" i="0" u="none" strike="noStrike" baseline="0">
              <a:solidFill>
                <a:srgbClr val="000000"/>
              </a:solidFill>
              <a:latin typeface="Arial"/>
              <a:cs typeface="Arial"/>
            </a:rPr>
            <a:t>TIRS de CLASSEMENT</a:t>
          </a:r>
          <a:endParaRPr lang="fr-FR"/>
        </a:p>
      </xdr:txBody>
    </xdr:sp>
    <xdr:clientData/>
  </xdr:twoCellAnchor>
  <xdr:twoCellAnchor editAs="oneCell">
    <xdr:from>
      <xdr:col>16</xdr:col>
      <xdr:colOff>1162050</xdr:colOff>
      <xdr:row>2</xdr:row>
      <xdr:rowOff>219075</xdr:rowOff>
    </xdr:from>
    <xdr:to>
      <xdr:col>16</xdr:col>
      <xdr:colOff>1781175</xdr:colOff>
      <xdr:row>6</xdr:row>
      <xdr:rowOff>180975</xdr:rowOff>
    </xdr:to>
    <xdr:pic>
      <xdr:nvPicPr>
        <xdr:cNvPr id="659024" name="Picture 24" descr="Logo UNSS monochrome copie">
          <a:extLst>
            <a:ext uri="{FF2B5EF4-FFF2-40B4-BE49-F238E27FC236}">
              <a16:creationId xmlns:a16="http://schemas.microsoft.com/office/drawing/2014/main" id="{00000000-0008-0000-0E00-0000500E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11600" y="428625"/>
          <a:ext cx="6191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1133475</xdr:colOff>
      <xdr:row>0</xdr:row>
      <xdr:rowOff>142875</xdr:rowOff>
    </xdr:from>
    <xdr:to>
      <xdr:col>0</xdr:col>
      <xdr:colOff>1933575</xdr:colOff>
      <xdr:row>3</xdr:row>
      <xdr:rowOff>57150</xdr:rowOff>
    </xdr:to>
    <xdr:sp macro="[0]!jmk_RETOUR_MENU" textlink="">
      <xdr:nvSpPr>
        <xdr:cNvPr id="5" name="Rectangle à coins arrondis 4">
          <a:extLst>
            <a:ext uri="{FF2B5EF4-FFF2-40B4-BE49-F238E27FC236}">
              <a16:creationId xmlns:a16="http://schemas.microsoft.com/office/drawing/2014/main" id="{00000000-0008-0000-0E00-000005000000}"/>
            </a:ext>
          </a:extLst>
        </xdr:cNvPr>
        <xdr:cNvSpPr/>
      </xdr:nvSpPr>
      <xdr:spPr bwMode="auto">
        <a:xfrm>
          <a:off x="1133475" y="142875"/>
          <a:ext cx="800100" cy="43815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 MENUS</a:t>
          </a:r>
        </a:p>
      </xdr:txBody>
    </xdr:sp>
    <xdr:clientData fPrintsWithSheet="0"/>
  </xdr:twoCellAnchor>
  <xdr:twoCellAnchor>
    <xdr:from>
      <xdr:col>1</xdr:col>
      <xdr:colOff>166688</xdr:colOff>
      <xdr:row>1</xdr:row>
      <xdr:rowOff>11906</xdr:rowOff>
    </xdr:from>
    <xdr:to>
      <xdr:col>2</xdr:col>
      <xdr:colOff>397669</xdr:colOff>
      <xdr:row>4</xdr:row>
      <xdr:rowOff>116681</xdr:rowOff>
    </xdr:to>
    <xdr:sp macro="[0]!jmk_imp_feuille" textlink="">
      <xdr:nvSpPr>
        <xdr:cNvPr id="6" name="Rectangle à coins arrondis 5">
          <a:extLst>
            <a:ext uri="{FF2B5EF4-FFF2-40B4-BE49-F238E27FC236}">
              <a16:creationId xmlns:a16="http://schemas.microsoft.com/office/drawing/2014/main" id="{00000000-0008-0000-0E00-000006000000}"/>
            </a:ext>
          </a:extLst>
        </xdr:cNvPr>
        <xdr:cNvSpPr/>
      </xdr:nvSpPr>
      <xdr:spPr bwMode="auto">
        <a:xfrm>
          <a:off x="2250282" y="178594"/>
          <a:ext cx="1552575" cy="628650"/>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IMPRESSION</a:t>
          </a:r>
        </a:p>
      </xdr:txBody>
    </xdr:sp>
    <xdr:clientData fPrintsWithSheet="0"/>
  </xdr:twoCellAnchor>
  <xdr:twoCellAnchor editAs="oneCell">
    <xdr:from>
      <xdr:col>6</xdr:col>
      <xdr:colOff>638175</xdr:colOff>
      <xdr:row>3</xdr:row>
      <xdr:rowOff>0</xdr:rowOff>
    </xdr:from>
    <xdr:to>
      <xdr:col>6</xdr:col>
      <xdr:colOff>1685925</xdr:colOff>
      <xdr:row>7</xdr:row>
      <xdr:rowOff>152400</xdr:rowOff>
    </xdr:to>
    <xdr:pic>
      <xdr:nvPicPr>
        <xdr:cNvPr id="659027" name="Image 6">
          <a:extLst>
            <a:ext uri="{FF2B5EF4-FFF2-40B4-BE49-F238E27FC236}">
              <a16:creationId xmlns:a16="http://schemas.microsoft.com/office/drawing/2014/main" id="{00000000-0008-0000-0E00-0000530E0A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43725" y="523875"/>
          <a:ext cx="10477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0</xdr:colOff>
      <xdr:row>0</xdr:row>
      <xdr:rowOff>142875</xdr:rowOff>
    </xdr:from>
    <xdr:to>
      <xdr:col>13</xdr:col>
      <xdr:colOff>0</xdr:colOff>
      <xdr:row>3</xdr:row>
      <xdr:rowOff>0</xdr:rowOff>
    </xdr:to>
    <xdr:sp macro="[0]!jmk_RETOUR_MENU" textlink="">
      <xdr:nvSpPr>
        <xdr:cNvPr id="2" name="Rectangle à coins arrondis 1">
          <a:extLst>
            <a:ext uri="{FF2B5EF4-FFF2-40B4-BE49-F238E27FC236}">
              <a16:creationId xmlns:a16="http://schemas.microsoft.com/office/drawing/2014/main" id="{00000000-0008-0000-0F00-000002000000}"/>
            </a:ext>
          </a:extLst>
        </xdr:cNvPr>
        <xdr:cNvSpPr/>
      </xdr:nvSpPr>
      <xdr:spPr bwMode="auto">
        <a:xfrm>
          <a:off x="11068050" y="142875"/>
          <a:ext cx="800100" cy="43815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 MENUS</a:t>
          </a:r>
        </a:p>
      </xdr:txBody>
    </xdr:sp>
    <xdr:clientData fPrintsWithSheet="0"/>
  </xdr:twoCellAnchor>
  <xdr:twoCellAnchor editAs="oneCell">
    <xdr:from>
      <xdr:col>12</xdr:col>
      <xdr:colOff>9525</xdr:colOff>
      <xdr:row>0</xdr:row>
      <xdr:rowOff>0</xdr:rowOff>
    </xdr:from>
    <xdr:to>
      <xdr:col>12</xdr:col>
      <xdr:colOff>499222</xdr:colOff>
      <xdr:row>3</xdr:row>
      <xdr:rowOff>152400</xdr:rowOff>
    </xdr:to>
    <xdr:pic>
      <xdr:nvPicPr>
        <xdr:cNvPr id="3" name="Picture 1" descr="Logo UNSS monochrome copie">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63025" y="0"/>
          <a:ext cx="489697"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1114425</xdr:colOff>
      <xdr:row>2</xdr:row>
      <xdr:rowOff>47625</xdr:rowOff>
    </xdr:from>
    <xdr:to>
      <xdr:col>4</xdr:col>
      <xdr:colOff>609600</xdr:colOff>
      <xdr:row>4</xdr:row>
      <xdr:rowOff>104774</xdr:rowOff>
    </xdr:to>
    <xdr:sp macro="[0]!jmk_imp_feuille" textlink="">
      <xdr:nvSpPr>
        <xdr:cNvPr id="7" name="Rectangle à coins arrondis 6">
          <a:extLst>
            <a:ext uri="{FF2B5EF4-FFF2-40B4-BE49-F238E27FC236}">
              <a16:creationId xmlns:a16="http://schemas.microsoft.com/office/drawing/2014/main" id="{00000000-0008-0000-0F00-000007000000}"/>
            </a:ext>
          </a:extLst>
        </xdr:cNvPr>
        <xdr:cNvSpPr/>
      </xdr:nvSpPr>
      <xdr:spPr bwMode="auto">
        <a:xfrm>
          <a:off x="4772025" y="428625"/>
          <a:ext cx="800100" cy="438149"/>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IMPRESSION</a:t>
          </a:r>
        </a:p>
      </xdr:txBody>
    </xdr:sp>
    <xdr:clientData fPrintsWithSheet="0"/>
  </xdr:twoCellAnchor>
  <xdr:twoCellAnchor>
    <xdr:from>
      <xdr:col>3</xdr:col>
      <xdr:colOff>219075</xdr:colOff>
      <xdr:row>2</xdr:row>
      <xdr:rowOff>38100</xdr:rowOff>
    </xdr:from>
    <xdr:to>
      <xdr:col>3</xdr:col>
      <xdr:colOff>1020412</xdr:colOff>
      <xdr:row>4</xdr:row>
      <xdr:rowOff>92776</xdr:rowOff>
    </xdr:to>
    <xdr:sp macro="[0]!jmk_RETOUR_MENU" textlink="">
      <xdr:nvSpPr>
        <xdr:cNvPr id="8" name="Rectangle à coins arrondis 7">
          <a:extLst>
            <a:ext uri="{FF2B5EF4-FFF2-40B4-BE49-F238E27FC236}">
              <a16:creationId xmlns:a16="http://schemas.microsoft.com/office/drawing/2014/main" id="{00000000-0008-0000-0F00-000008000000}"/>
            </a:ext>
          </a:extLst>
        </xdr:cNvPr>
        <xdr:cNvSpPr/>
      </xdr:nvSpPr>
      <xdr:spPr bwMode="auto">
        <a:xfrm>
          <a:off x="3876675" y="419100"/>
          <a:ext cx="801337" cy="435676"/>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 MENUS</a:t>
          </a:r>
        </a:p>
      </xdr:txBody>
    </xdr:sp>
    <xdr:clientData fPrintsWithSheet="0"/>
  </xdr:twoCellAnchor>
  <xdr:twoCellAnchor>
    <xdr:from>
      <xdr:col>4</xdr:col>
      <xdr:colOff>676275</xdr:colOff>
      <xdr:row>2</xdr:row>
      <xdr:rowOff>66674</xdr:rowOff>
    </xdr:from>
    <xdr:to>
      <xdr:col>5</xdr:col>
      <xdr:colOff>704850</xdr:colOff>
      <xdr:row>4</xdr:row>
      <xdr:rowOff>84899</xdr:rowOff>
    </xdr:to>
    <xdr:sp macro="[0]!jmk_saisie_qualif" textlink="">
      <xdr:nvSpPr>
        <xdr:cNvPr id="9" name="Rectangle à coins arrondis 8">
          <a:extLst>
            <a:ext uri="{FF2B5EF4-FFF2-40B4-BE49-F238E27FC236}">
              <a16:creationId xmlns:a16="http://schemas.microsoft.com/office/drawing/2014/main" id="{00000000-0008-0000-0F00-000009000000}"/>
            </a:ext>
          </a:extLst>
        </xdr:cNvPr>
        <xdr:cNvSpPr/>
      </xdr:nvSpPr>
      <xdr:spPr bwMode="auto">
        <a:xfrm>
          <a:off x="5638800" y="447674"/>
          <a:ext cx="1409700" cy="399225"/>
        </a:xfrm>
        <a:prstGeom prst="roundRect">
          <a:avLst/>
        </a:prstGeom>
        <a:solidFill>
          <a:srgbClr val="CC99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000"/>
            <a:t>Saisie</a:t>
          </a:r>
          <a:r>
            <a:rPr lang="fr-FR" sz="1000" baseline="0"/>
            <a:t> des  résultats TIRS de </a:t>
          </a:r>
          <a:r>
            <a:rPr lang="fr-FR" sz="1200" baseline="0"/>
            <a:t>Qualification</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35</xdr:col>
      <xdr:colOff>10583</xdr:colOff>
      <xdr:row>1</xdr:row>
      <xdr:rowOff>179917</xdr:rowOff>
    </xdr:from>
    <xdr:to>
      <xdr:col>38</xdr:col>
      <xdr:colOff>143933</xdr:colOff>
      <xdr:row>2</xdr:row>
      <xdr:rowOff>46567</xdr:rowOff>
    </xdr:to>
    <xdr:sp macro="[0]!jmk_RETOUR_MENU" textlink="">
      <xdr:nvSpPr>
        <xdr:cNvPr id="3" name="Rectangle à coins arrondis 2">
          <a:extLst>
            <a:ext uri="{FF2B5EF4-FFF2-40B4-BE49-F238E27FC236}">
              <a16:creationId xmlns:a16="http://schemas.microsoft.com/office/drawing/2014/main" id="{00000000-0008-0000-1000-000003000000}"/>
            </a:ext>
          </a:extLst>
        </xdr:cNvPr>
        <xdr:cNvSpPr/>
      </xdr:nvSpPr>
      <xdr:spPr bwMode="auto">
        <a:xfrm>
          <a:off x="7916333" y="910167"/>
          <a:ext cx="800100" cy="43815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 MENUS</a:t>
          </a:r>
        </a:p>
      </xdr:txBody>
    </xdr:sp>
    <xdr:clientData fPrintsWithSheet="0"/>
  </xdr:twoCellAnchor>
  <xdr:twoCellAnchor editAs="oneCell">
    <xdr:from>
      <xdr:col>1</xdr:col>
      <xdr:colOff>24740</xdr:colOff>
      <xdr:row>126</xdr:row>
      <xdr:rowOff>123700</xdr:rowOff>
    </xdr:from>
    <xdr:to>
      <xdr:col>4</xdr:col>
      <xdr:colOff>160812</xdr:colOff>
      <xdr:row>128</xdr:row>
      <xdr:rowOff>12923</xdr:rowOff>
    </xdr:to>
    <xdr:pic>
      <xdr:nvPicPr>
        <xdr:cNvPr id="31" name="Picture 1" descr="Logo UNSS monochrome copie">
          <a:extLst>
            <a:ext uri="{FF2B5EF4-FFF2-40B4-BE49-F238E27FC236}">
              <a16:creationId xmlns:a16="http://schemas.microsoft.com/office/drawing/2014/main" id="{00000000-0008-0000-10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292" y="29663570"/>
          <a:ext cx="804059" cy="1188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185552</xdr:colOff>
      <xdr:row>126</xdr:row>
      <xdr:rowOff>185552</xdr:rowOff>
    </xdr:from>
    <xdr:to>
      <xdr:col>44</xdr:col>
      <xdr:colOff>5567</xdr:colOff>
      <xdr:row>127</xdr:row>
      <xdr:rowOff>312965</xdr:rowOff>
    </xdr:to>
    <xdr:pic>
      <xdr:nvPicPr>
        <xdr:cNvPr id="32" name="Image 1">
          <a:extLst>
            <a:ext uri="{FF2B5EF4-FFF2-40B4-BE49-F238E27FC236}">
              <a16:creationId xmlns:a16="http://schemas.microsoft.com/office/drawing/2014/main" id="{00000000-0008-0000-1000-000020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9277597" y="29725422"/>
          <a:ext cx="809626" cy="85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189</xdr:row>
      <xdr:rowOff>173181</xdr:rowOff>
    </xdr:from>
    <xdr:to>
      <xdr:col>4</xdr:col>
      <xdr:colOff>136072</xdr:colOff>
      <xdr:row>191</xdr:row>
      <xdr:rowOff>62404</xdr:rowOff>
    </xdr:to>
    <xdr:pic>
      <xdr:nvPicPr>
        <xdr:cNvPr id="33" name="Picture 1" descr="Logo UNSS monochrome copie">
          <a:extLst>
            <a:ext uri="{FF2B5EF4-FFF2-40B4-BE49-F238E27FC236}">
              <a16:creationId xmlns:a16="http://schemas.microsoft.com/office/drawing/2014/main" id="{00000000-0008-0000-10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552" y="44482986"/>
          <a:ext cx="804059" cy="1188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173182</xdr:colOff>
      <xdr:row>189</xdr:row>
      <xdr:rowOff>173182</xdr:rowOff>
    </xdr:from>
    <xdr:to>
      <xdr:col>43</xdr:col>
      <xdr:colOff>240600</xdr:colOff>
      <xdr:row>190</xdr:row>
      <xdr:rowOff>300595</xdr:rowOff>
    </xdr:to>
    <xdr:pic>
      <xdr:nvPicPr>
        <xdr:cNvPr id="34" name="Image 1">
          <a:extLst>
            <a:ext uri="{FF2B5EF4-FFF2-40B4-BE49-F238E27FC236}">
              <a16:creationId xmlns:a16="http://schemas.microsoft.com/office/drawing/2014/main" id="{00000000-0008-0000-1000-00002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9265227" y="44482987"/>
          <a:ext cx="809626" cy="85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252</xdr:row>
      <xdr:rowOff>0</xdr:rowOff>
    </xdr:from>
    <xdr:to>
      <xdr:col>4</xdr:col>
      <xdr:colOff>136072</xdr:colOff>
      <xdr:row>253</xdr:row>
      <xdr:rowOff>458249</xdr:rowOff>
    </xdr:to>
    <xdr:pic>
      <xdr:nvPicPr>
        <xdr:cNvPr id="35" name="Picture 1" descr="Logo UNSS monochrome copie">
          <a:extLst>
            <a:ext uri="{FF2B5EF4-FFF2-40B4-BE49-F238E27FC236}">
              <a16:creationId xmlns:a16="http://schemas.microsoft.com/office/drawing/2014/main" id="{00000000-0008-0000-10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552" y="59079740"/>
          <a:ext cx="804059" cy="1188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173182</xdr:colOff>
      <xdr:row>252</xdr:row>
      <xdr:rowOff>1</xdr:rowOff>
    </xdr:from>
    <xdr:to>
      <xdr:col>43</xdr:col>
      <xdr:colOff>240600</xdr:colOff>
      <xdr:row>253</xdr:row>
      <xdr:rowOff>127414</xdr:rowOff>
    </xdr:to>
    <xdr:pic>
      <xdr:nvPicPr>
        <xdr:cNvPr id="36" name="Image 1">
          <a:extLst>
            <a:ext uri="{FF2B5EF4-FFF2-40B4-BE49-F238E27FC236}">
              <a16:creationId xmlns:a16="http://schemas.microsoft.com/office/drawing/2014/main" id="{00000000-0008-0000-1000-00002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9265227" y="59079741"/>
          <a:ext cx="809626" cy="85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315</xdr:row>
      <xdr:rowOff>0</xdr:rowOff>
    </xdr:from>
    <xdr:to>
      <xdr:col>4</xdr:col>
      <xdr:colOff>136072</xdr:colOff>
      <xdr:row>316</xdr:row>
      <xdr:rowOff>458249</xdr:rowOff>
    </xdr:to>
    <xdr:pic>
      <xdr:nvPicPr>
        <xdr:cNvPr id="37" name="Picture 1" descr="Logo UNSS monochrome copie">
          <a:extLst>
            <a:ext uri="{FF2B5EF4-FFF2-40B4-BE49-F238E27FC236}">
              <a16:creationId xmlns:a16="http://schemas.microsoft.com/office/drawing/2014/main" id="{00000000-0008-0000-10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552" y="73849675"/>
          <a:ext cx="804059" cy="1188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173182</xdr:colOff>
      <xdr:row>315</xdr:row>
      <xdr:rowOff>1</xdr:rowOff>
    </xdr:from>
    <xdr:to>
      <xdr:col>43</xdr:col>
      <xdr:colOff>240600</xdr:colOff>
      <xdr:row>316</xdr:row>
      <xdr:rowOff>127414</xdr:rowOff>
    </xdr:to>
    <xdr:pic>
      <xdr:nvPicPr>
        <xdr:cNvPr id="38" name="Image 1">
          <a:extLst>
            <a:ext uri="{FF2B5EF4-FFF2-40B4-BE49-F238E27FC236}">
              <a16:creationId xmlns:a16="http://schemas.microsoft.com/office/drawing/2014/main" id="{00000000-0008-0000-1000-00002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9265227" y="73849676"/>
          <a:ext cx="809626" cy="85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378</xdr:row>
      <xdr:rowOff>0</xdr:rowOff>
    </xdr:from>
    <xdr:to>
      <xdr:col>4</xdr:col>
      <xdr:colOff>136072</xdr:colOff>
      <xdr:row>379</xdr:row>
      <xdr:rowOff>458249</xdr:rowOff>
    </xdr:to>
    <xdr:pic>
      <xdr:nvPicPr>
        <xdr:cNvPr id="39" name="Picture 1" descr="Logo UNSS monochrome copie">
          <a:extLst>
            <a:ext uri="{FF2B5EF4-FFF2-40B4-BE49-F238E27FC236}">
              <a16:creationId xmlns:a16="http://schemas.microsoft.com/office/drawing/2014/main" id="{00000000-0008-0000-10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552" y="88619610"/>
          <a:ext cx="804059" cy="1188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173182</xdr:colOff>
      <xdr:row>378</xdr:row>
      <xdr:rowOff>1</xdr:rowOff>
    </xdr:from>
    <xdr:to>
      <xdr:col>43</xdr:col>
      <xdr:colOff>240600</xdr:colOff>
      <xdr:row>379</xdr:row>
      <xdr:rowOff>127414</xdr:rowOff>
    </xdr:to>
    <xdr:pic>
      <xdr:nvPicPr>
        <xdr:cNvPr id="40" name="Image 1">
          <a:extLst>
            <a:ext uri="{FF2B5EF4-FFF2-40B4-BE49-F238E27FC236}">
              <a16:creationId xmlns:a16="http://schemas.microsoft.com/office/drawing/2014/main" id="{00000000-0008-0000-1000-00002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9265227" y="88619611"/>
          <a:ext cx="809626" cy="85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441</xdr:row>
      <xdr:rowOff>0</xdr:rowOff>
    </xdr:from>
    <xdr:to>
      <xdr:col>4</xdr:col>
      <xdr:colOff>136072</xdr:colOff>
      <xdr:row>442</xdr:row>
      <xdr:rowOff>458249</xdr:rowOff>
    </xdr:to>
    <xdr:pic>
      <xdr:nvPicPr>
        <xdr:cNvPr id="41" name="Picture 1" descr="Logo UNSS monochrome copie">
          <a:extLst>
            <a:ext uri="{FF2B5EF4-FFF2-40B4-BE49-F238E27FC236}">
              <a16:creationId xmlns:a16="http://schemas.microsoft.com/office/drawing/2014/main" id="{00000000-0008-0000-10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552" y="103389545"/>
          <a:ext cx="804059" cy="1188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173182</xdr:colOff>
      <xdr:row>441</xdr:row>
      <xdr:rowOff>1</xdr:rowOff>
    </xdr:from>
    <xdr:to>
      <xdr:col>43</xdr:col>
      <xdr:colOff>240600</xdr:colOff>
      <xdr:row>442</xdr:row>
      <xdr:rowOff>127414</xdr:rowOff>
    </xdr:to>
    <xdr:pic>
      <xdr:nvPicPr>
        <xdr:cNvPr id="42" name="Image 1">
          <a:extLst>
            <a:ext uri="{FF2B5EF4-FFF2-40B4-BE49-F238E27FC236}">
              <a16:creationId xmlns:a16="http://schemas.microsoft.com/office/drawing/2014/main" id="{00000000-0008-0000-1000-00002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9265227" y="103389546"/>
          <a:ext cx="809626" cy="85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504</xdr:row>
      <xdr:rowOff>0</xdr:rowOff>
    </xdr:from>
    <xdr:to>
      <xdr:col>4</xdr:col>
      <xdr:colOff>136072</xdr:colOff>
      <xdr:row>505</xdr:row>
      <xdr:rowOff>458250</xdr:rowOff>
    </xdr:to>
    <xdr:pic>
      <xdr:nvPicPr>
        <xdr:cNvPr id="43" name="Picture 1" descr="Logo UNSS monochrome copie">
          <a:extLst>
            <a:ext uri="{FF2B5EF4-FFF2-40B4-BE49-F238E27FC236}">
              <a16:creationId xmlns:a16="http://schemas.microsoft.com/office/drawing/2014/main" id="{00000000-0008-0000-10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552" y="118159481"/>
          <a:ext cx="804059" cy="1188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173182</xdr:colOff>
      <xdr:row>504</xdr:row>
      <xdr:rowOff>1</xdr:rowOff>
    </xdr:from>
    <xdr:to>
      <xdr:col>43</xdr:col>
      <xdr:colOff>240600</xdr:colOff>
      <xdr:row>505</xdr:row>
      <xdr:rowOff>127415</xdr:rowOff>
    </xdr:to>
    <xdr:pic>
      <xdr:nvPicPr>
        <xdr:cNvPr id="44" name="Image 1">
          <a:extLst>
            <a:ext uri="{FF2B5EF4-FFF2-40B4-BE49-F238E27FC236}">
              <a16:creationId xmlns:a16="http://schemas.microsoft.com/office/drawing/2014/main" id="{00000000-0008-0000-1000-00002C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9265227" y="118159482"/>
          <a:ext cx="809626" cy="85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567</xdr:row>
      <xdr:rowOff>0</xdr:rowOff>
    </xdr:from>
    <xdr:to>
      <xdr:col>4</xdr:col>
      <xdr:colOff>136072</xdr:colOff>
      <xdr:row>568</xdr:row>
      <xdr:rowOff>458250</xdr:rowOff>
    </xdr:to>
    <xdr:pic>
      <xdr:nvPicPr>
        <xdr:cNvPr id="45" name="Picture 1" descr="Logo UNSS monochrome copie">
          <a:extLst>
            <a:ext uri="{FF2B5EF4-FFF2-40B4-BE49-F238E27FC236}">
              <a16:creationId xmlns:a16="http://schemas.microsoft.com/office/drawing/2014/main" id="{00000000-0008-0000-10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552" y="132929416"/>
          <a:ext cx="804059" cy="1188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173182</xdr:colOff>
      <xdr:row>567</xdr:row>
      <xdr:rowOff>1</xdr:rowOff>
    </xdr:from>
    <xdr:to>
      <xdr:col>43</xdr:col>
      <xdr:colOff>240600</xdr:colOff>
      <xdr:row>568</xdr:row>
      <xdr:rowOff>127415</xdr:rowOff>
    </xdr:to>
    <xdr:pic>
      <xdr:nvPicPr>
        <xdr:cNvPr id="46" name="Image 1">
          <a:extLst>
            <a:ext uri="{FF2B5EF4-FFF2-40B4-BE49-F238E27FC236}">
              <a16:creationId xmlns:a16="http://schemas.microsoft.com/office/drawing/2014/main" id="{00000000-0008-0000-1000-00002E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9265227" y="132929417"/>
          <a:ext cx="809626" cy="85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630</xdr:row>
      <xdr:rowOff>0</xdr:rowOff>
    </xdr:from>
    <xdr:to>
      <xdr:col>4</xdr:col>
      <xdr:colOff>136072</xdr:colOff>
      <xdr:row>631</xdr:row>
      <xdr:rowOff>458250</xdr:rowOff>
    </xdr:to>
    <xdr:pic>
      <xdr:nvPicPr>
        <xdr:cNvPr id="47" name="Picture 1" descr="Logo UNSS monochrome copie">
          <a:extLst>
            <a:ext uri="{FF2B5EF4-FFF2-40B4-BE49-F238E27FC236}">
              <a16:creationId xmlns:a16="http://schemas.microsoft.com/office/drawing/2014/main" id="{00000000-0008-0000-10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552" y="147699351"/>
          <a:ext cx="804059" cy="1188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173182</xdr:colOff>
      <xdr:row>630</xdr:row>
      <xdr:rowOff>1</xdr:rowOff>
    </xdr:from>
    <xdr:to>
      <xdr:col>43</xdr:col>
      <xdr:colOff>240600</xdr:colOff>
      <xdr:row>631</xdr:row>
      <xdr:rowOff>127415</xdr:rowOff>
    </xdr:to>
    <xdr:pic>
      <xdr:nvPicPr>
        <xdr:cNvPr id="48" name="Image 1">
          <a:extLst>
            <a:ext uri="{FF2B5EF4-FFF2-40B4-BE49-F238E27FC236}">
              <a16:creationId xmlns:a16="http://schemas.microsoft.com/office/drawing/2014/main" id="{00000000-0008-0000-1000-000030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9265227" y="147699352"/>
          <a:ext cx="809626" cy="85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693</xdr:row>
      <xdr:rowOff>0</xdr:rowOff>
    </xdr:from>
    <xdr:to>
      <xdr:col>4</xdr:col>
      <xdr:colOff>136072</xdr:colOff>
      <xdr:row>694</xdr:row>
      <xdr:rowOff>458250</xdr:rowOff>
    </xdr:to>
    <xdr:pic>
      <xdr:nvPicPr>
        <xdr:cNvPr id="49" name="Picture 1" descr="Logo UNSS monochrome copie">
          <a:extLst>
            <a:ext uri="{FF2B5EF4-FFF2-40B4-BE49-F238E27FC236}">
              <a16:creationId xmlns:a16="http://schemas.microsoft.com/office/drawing/2014/main" id="{00000000-0008-0000-10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552" y="162469286"/>
          <a:ext cx="804059" cy="1188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173182</xdr:colOff>
      <xdr:row>693</xdr:row>
      <xdr:rowOff>1</xdr:rowOff>
    </xdr:from>
    <xdr:to>
      <xdr:col>43</xdr:col>
      <xdr:colOff>240600</xdr:colOff>
      <xdr:row>694</xdr:row>
      <xdr:rowOff>127415</xdr:rowOff>
    </xdr:to>
    <xdr:pic>
      <xdr:nvPicPr>
        <xdr:cNvPr id="50" name="Image 1">
          <a:extLst>
            <a:ext uri="{FF2B5EF4-FFF2-40B4-BE49-F238E27FC236}">
              <a16:creationId xmlns:a16="http://schemas.microsoft.com/office/drawing/2014/main" id="{00000000-0008-0000-1000-00003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9265227" y="162469287"/>
          <a:ext cx="809626" cy="85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756</xdr:row>
      <xdr:rowOff>0</xdr:rowOff>
    </xdr:from>
    <xdr:to>
      <xdr:col>4</xdr:col>
      <xdr:colOff>136072</xdr:colOff>
      <xdr:row>757</xdr:row>
      <xdr:rowOff>458250</xdr:rowOff>
    </xdr:to>
    <xdr:pic>
      <xdr:nvPicPr>
        <xdr:cNvPr id="51" name="Picture 1" descr="Logo UNSS monochrome copie">
          <a:extLst>
            <a:ext uri="{FF2B5EF4-FFF2-40B4-BE49-F238E27FC236}">
              <a16:creationId xmlns:a16="http://schemas.microsoft.com/office/drawing/2014/main" id="{00000000-0008-0000-10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552" y="177239221"/>
          <a:ext cx="804059" cy="1188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173182</xdr:colOff>
      <xdr:row>756</xdr:row>
      <xdr:rowOff>1</xdr:rowOff>
    </xdr:from>
    <xdr:to>
      <xdr:col>43</xdr:col>
      <xdr:colOff>240600</xdr:colOff>
      <xdr:row>757</xdr:row>
      <xdr:rowOff>127415</xdr:rowOff>
    </xdr:to>
    <xdr:pic>
      <xdr:nvPicPr>
        <xdr:cNvPr id="52" name="Image 1">
          <a:extLst>
            <a:ext uri="{FF2B5EF4-FFF2-40B4-BE49-F238E27FC236}">
              <a16:creationId xmlns:a16="http://schemas.microsoft.com/office/drawing/2014/main" id="{00000000-0008-0000-1000-00003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9265227" y="177239222"/>
          <a:ext cx="809626" cy="85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819</xdr:row>
      <xdr:rowOff>0</xdr:rowOff>
    </xdr:from>
    <xdr:to>
      <xdr:col>4</xdr:col>
      <xdr:colOff>136072</xdr:colOff>
      <xdr:row>820</xdr:row>
      <xdr:rowOff>458249</xdr:rowOff>
    </xdr:to>
    <xdr:pic>
      <xdr:nvPicPr>
        <xdr:cNvPr id="53" name="Picture 1" descr="Logo UNSS monochrome copie">
          <a:extLst>
            <a:ext uri="{FF2B5EF4-FFF2-40B4-BE49-F238E27FC236}">
              <a16:creationId xmlns:a16="http://schemas.microsoft.com/office/drawing/2014/main" id="{00000000-0008-0000-10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552" y="192009156"/>
          <a:ext cx="804059" cy="1188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173182</xdr:colOff>
      <xdr:row>819</xdr:row>
      <xdr:rowOff>1</xdr:rowOff>
    </xdr:from>
    <xdr:to>
      <xdr:col>43</xdr:col>
      <xdr:colOff>240600</xdr:colOff>
      <xdr:row>820</xdr:row>
      <xdr:rowOff>127414</xdr:rowOff>
    </xdr:to>
    <xdr:pic>
      <xdr:nvPicPr>
        <xdr:cNvPr id="54" name="Image 1">
          <a:extLst>
            <a:ext uri="{FF2B5EF4-FFF2-40B4-BE49-F238E27FC236}">
              <a16:creationId xmlns:a16="http://schemas.microsoft.com/office/drawing/2014/main" id="{00000000-0008-0000-1000-00003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9265227" y="192009157"/>
          <a:ext cx="809626" cy="85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882</xdr:row>
      <xdr:rowOff>0</xdr:rowOff>
    </xdr:from>
    <xdr:to>
      <xdr:col>4</xdr:col>
      <xdr:colOff>136072</xdr:colOff>
      <xdr:row>883</xdr:row>
      <xdr:rowOff>458249</xdr:rowOff>
    </xdr:to>
    <xdr:pic>
      <xdr:nvPicPr>
        <xdr:cNvPr id="55" name="Picture 1" descr="Logo UNSS monochrome copie">
          <a:extLst>
            <a:ext uri="{FF2B5EF4-FFF2-40B4-BE49-F238E27FC236}">
              <a16:creationId xmlns:a16="http://schemas.microsoft.com/office/drawing/2014/main" id="{00000000-0008-0000-10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552" y="206779091"/>
          <a:ext cx="804059" cy="1188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173182</xdr:colOff>
      <xdr:row>882</xdr:row>
      <xdr:rowOff>1</xdr:rowOff>
    </xdr:from>
    <xdr:to>
      <xdr:col>43</xdr:col>
      <xdr:colOff>240600</xdr:colOff>
      <xdr:row>883</xdr:row>
      <xdr:rowOff>127414</xdr:rowOff>
    </xdr:to>
    <xdr:pic>
      <xdr:nvPicPr>
        <xdr:cNvPr id="56" name="Image 1">
          <a:extLst>
            <a:ext uri="{FF2B5EF4-FFF2-40B4-BE49-F238E27FC236}">
              <a16:creationId xmlns:a16="http://schemas.microsoft.com/office/drawing/2014/main" id="{00000000-0008-0000-1000-00003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9265227" y="206779092"/>
          <a:ext cx="809626" cy="85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945</xdr:row>
      <xdr:rowOff>0</xdr:rowOff>
    </xdr:from>
    <xdr:to>
      <xdr:col>4</xdr:col>
      <xdr:colOff>136072</xdr:colOff>
      <xdr:row>946</xdr:row>
      <xdr:rowOff>458249</xdr:rowOff>
    </xdr:to>
    <xdr:pic>
      <xdr:nvPicPr>
        <xdr:cNvPr id="57" name="Picture 1" descr="Logo UNSS monochrome copie">
          <a:extLst>
            <a:ext uri="{FF2B5EF4-FFF2-40B4-BE49-F238E27FC236}">
              <a16:creationId xmlns:a16="http://schemas.microsoft.com/office/drawing/2014/main" id="{00000000-0008-0000-10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552" y="221549026"/>
          <a:ext cx="804059" cy="1188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173182</xdr:colOff>
      <xdr:row>945</xdr:row>
      <xdr:rowOff>1</xdr:rowOff>
    </xdr:from>
    <xdr:to>
      <xdr:col>43</xdr:col>
      <xdr:colOff>240600</xdr:colOff>
      <xdr:row>946</xdr:row>
      <xdr:rowOff>127414</xdr:rowOff>
    </xdr:to>
    <xdr:pic>
      <xdr:nvPicPr>
        <xdr:cNvPr id="58" name="Image 1">
          <a:extLst>
            <a:ext uri="{FF2B5EF4-FFF2-40B4-BE49-F238E27FC236}">
              <a16:creationId xmlns:a16="http://schemas.microsoft.com/office/drawing/2014/main" id="{00000000-0008-0000-1000-00003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9265227" y="221549027"/>
          <a:ext cx="809626" cy="85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1008</xdr:row>
      <xdr:rowOff>0</xdr:rowOff>
    </xdr:from>
    <xdr:to>
      <xdr:col>4</xdr:col>
      <xdr:colOff>136072</xdr:colOff>
      <xdr:row>1009</xdr:row>
      <xdr:rowOff>458249</xdr:rowOff>
    </xdr:to>
    <xdr:pic>
      <xdr:nvPicPr>
        <xdr:cNvPr id="59" name="Picture 1" descr="Logo UNSS monochrome copie">
          <a:extLst>
            <a:ext uri="{FF2B5EF4-FFF2-40B4-BE49-F238E27FC236}">
              <a16:creationId xmlns:a16="http://schemas.microsoft.com/office/drawing/2014/main" id="{00000000-0008-0000-10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552" y="236318961"/>
          <a:ext cx="804059" cy="1188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173182</xdr:colOff>
      <xdr:row>1008</xdr:row>
      <xdr:rowOff>1</xdr:rowOff>
    </xdr:from>
    <xdr:to>
      <xdr:col>43</xdr:col>
      <xdr:colOff>240600</xdr:colOff>
      <xdr:row>1009</xdr:row>
      <xdr:rowOff>127414</xdr:rowOff>
    </xdr:to>
    <xdr:pic>
      <xdr:nvPicPr>
        <xdr:cNvPr id="60" name="Image 1">
          <a:extLst>
            <a:ext uri="{FF2B5EF4-FFF2-40B4-BE49-F238E27FC236}">
              <a16:creationId xmlns:a16="http://schemas.microsoft.com/office/drawing/2014/main" id="{00000000-0008-0000-1000-00003C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9265227" y="236318962"/>
          <a:ext cx="809626" cy="85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1071</xdr:row>
      <xdr:rowOff>0</xdr:rowOff>
    </xdr:from>
    <xdr:to>
      <xdr:col>4</xdr:col>
      <xdr:colOff>136072</xdr:colOff>
      <xdr:row>1072</xdr:row>
      <xdr:rowOff>458249</xdr:rowOff>
    </xdr:to>
    <xdr:pic>
      <xdr:nvPicPr>
        <xdr:cNvPr id="61" name="Picture 1" descr="Logo UNSS monochrome copie">
          <a:extLst>
            <a:ext uri="{FF2B5EF4-FFF2-40B4-BE49-F238E27FC236}">
              <a16:creationId xmlns:a16="http://schemas.microsoft.com/office/drawing/2014/main" id="{00000000-0008-0000-10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552" y="251088896"/>
          <a:ext cx="804059" cy="1188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173182</xdr:colOff>
      <xdr:row>1071</xdr:row>
      <xdr:rowOff>1</xdr:rowOff>
    </xdr:from>
    <xdr:to>
      <xdr:col>43</xdr:col>
      <xdr:colOff>240600</xdr:colOff>
      <xdr:row>1072</xdr:row>
      <xdr:rowOff>127414</xdr:rowOff>
    </xdr:to>
    <xdr:pic>
      <xdr:nvPicPr>
        <xdr:cNvPr id="62" name="Image 1">
          <a:extLst>
            <a:ext uri="{FF2B5EF4-FFF2-40B4-BE49-F238E27FC236}">
              <a16:creationId xmlns:a16="http://schemas.microsoft.com/office/drawing/2014/main" id="{00000000-0008-0000-1000-00003E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9265227" y="251088897"/>
          <a:ext cx="809626" cy="85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1134</xdr:row>
      <xdr:rowOff>0</xdr:rowOff>
    </xdr:from>
    <xdr:to>
      <xdr:col>4</xdr:col>
      <xdr:colOff>136072</xdr:colOff>
      <xdr:row>1135</xdr:row>
      <xdr:rowOff>458249</xdr:rowOff>
    </xdr:to>
    <xdr:pic>
      <xdr:nvPicPr>
        <xdr:cNvPr id="63" name="Picture 1" descr="Logo UNSS monochrome copie">
          <a:extLst>
            <a:ext uri="{FF2B5EF4-FFF2-40B4-BE49-F238E27FC236}">
              <a16:creationId xmlns:a16="http://schemas.microsoft.com/office/drawing/2014/main" id="{00000000-0008-0000-10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552" y="265858831"/>
          <a:ext cx="804059" cy="1188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173182</xdr:colOff>
      <xdr:row>1134</xdr:row>
      <xdr:rowOff>1</xdr:rowOff>
    </xdr:from>
    <xdr:to>
      <xdr:col>43</xdr:col>
      <xdr:colOff>240600</xdr:colOff>
      <xdr:row>1135</xdr:row>
      <xdr:rowOff>127414</xdr:rowOff>
    </xdr:to>
    <xdr:pic>
      <xdr:nvPicPr>
        <xdr:cNvPr id="64" name="Image 1">
          <a:extLst>
            <a:ext uri="{FF2B5EF4-FFF2-40B4-BE49-F238E27FC236}">
              <a16:creationId xmlns:a16="http://schemas.microsoft.com/office/drawing/2014/main" id="{00000000-0008-0000-1000-000040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9265227" y="265858832"/>
          <a:ext cx="809626" cy="85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1197</xdr:row>
      <xdr:rowOff>49480</xdr:rowOff>
    </xdr:from>
    <xdr:to>
      <xdr:col>4</xdr:col>
      <xdr:colOff>136072</xdr:colOff>
      <xdr:row>1198</xdr:row>
      <xdr:rowOff>507729</xdr:rowOff>
    </xdr:to>
    <xdr:pic>
      <xdr:nvPicPr>
        <xdr:cNvPr id="69" name="Picture 1" descr="Logo UNSS monochrome copie">
          <a:extLst>
            <a:ext uri="{FF2B5EF4-FFF2-40B4-BE49-F238E27FC236}">
              <a16:creationId xmlns:a16="http://schemas.microsoft.com/office/drawing/2014/main" id="{00000000-0008-0000-10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552" y="280678246"/>
          <a:ext cx="804059" cy="1188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173182</xdr:colOff>
      <xdr:row>1197</xdr:row>
      <xdr:rowOff>49481</xdr:rowOff>
    </xdr:from>
    <xdr:to>
      <xdr:col>43</xdr:col>
      <xdr:colOff>240600</xdr:colOff>
      <xdr:row>1198</xdr:row>
      <xdr:rowOff>176894</xdr:rowOff>
    </xdr:to>
    <xdr:pic>
      <xdr:nvPicPr>
        <xdr:cNvPr id="70" name="Image 1">
          <a:extLst>
            <a:ext uri="{FF2B5EF4-FFF2-40B4-BE49-F238E27FC236}">
              <a16:creationId xmlns:a16="http://schemas.microsoft.com/office/drawing/2014/main" id="{00000000-0008-0000-1000-00004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9265227" y="280678247"/>
          <a:ext cx="809626" cy="85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1260</xdr:row>
      <xdr:rowOff>0</xdr:rowOff>
    </xdr:from>
    <xdr:to>
      <xdr:col>4</xdr:col>
      <xdr:colOff>136072</xdr:colOff>
      <xdr:row>1261</xdr:row>
      <xdr:rowOff>458249</xdr:rowOff>
    </xdr:to>
    <xdr:pic>
      <xdr:nvPicPr>
        <xdr:cNvPr id="71" name="Picture 1" descr="Logo UNSS monochrome copie">
          <a:extLst>
            <a:ext uri="{FF2B5EF4-FFF2-40B4-BE49-F238E27FC236}">
              <a16:creationId xmlns:a16="http://schemas.microsoft.com/office/drawing/2014/main" id="{00000000-0008-0000-10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552" y="295398701"/>
          <a:ext cx="804059" cy="1188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173182</xdr:colOff>
      <xdr:row>1260</xdr:row>
      <xdr:rowOff>1</xdr:rowOff>
    </xdr:from>
    <xdr:to>
      <xdr:col>43</xdr:col>
      <xdr:colOff>240600</xdr:colOff>
      <xdr:row>1261</xdr:row>
      <xdr:rowOff>127414</xdr:rowOff>
    </xdr:to>
    <xdr:pic>
      <xdr:nvPicPr>
        <xdr:cNvPr id="72" name="Image 1">
          <a:extLst>
            <a:ext uri="{FF2B5EF4-FFF2-40B4-BE49-F238E27FC236}">
              <a16:creationId xmlns:a16="http://schemas.microsoft.com/office/drawing/2014/main" id="{00000000-0008-0000-1000-00004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9265227" y="295398702"/>
          <a:ext cx="809626" cy="85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1323</xdr:row>
      <xdr:rowOff>0</xdr:rowOff>
    </xdr:from>
    <xdr:to>
      <xdr:col>4</xdr:col>
      <xdr:colOff>136072</xdr:colOff>
      <xdr:row>1324</xdr:row>
      <xdr:rowOff>458249</xdr:rowOff>
    </xdr:to>
    <xdr:pic>
      <xdr:nvPicPr>
        <xdr:cNvPr id="73" name="Picture 1" descr="Logo UNSS monochrome copie">
          <a:extLst>
            <a:ext uri="{FF2B5EF4-FFF2-40B4-BE49-F238E27FC236}">
              <a16:creationId xmlns:a16="http://schemas.microsoft.com/office/drawing/2014/main" id="{00000000-0008-0000-10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552" y="310168636"/>
          <a:ext cx="804059" cy="1188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173182</xdr:colOff>
      <xdr:row>1323</xdr:row>
      <xdr:rowOff>1</xdr:rowOff>
    </xdr:from>
    <xdr:to>
      <xdr:col>43</xdr:col>
      <xdr:colOff>240600</xdr:colOff>
      <xdr:row>1324</xdr:row>
      <xdr:rowOff>127414</xdr:rowOff>
    </xdr:to>
    <xdr:pic>
      <xdr:nvPicPr>
        <xdr:cNvPr id="74" name="Image 1">
          <a:extLst>
            <a:ext uri="{FF2B5EF4-FFF2-40B4-BE49-F238E27FC236}">
              <a16:creationId xmlns:a16="http://schemas.microsoft.com/office/drawing/2014/main" id="{00000000-0008-0000-1000-00004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9265227" y="310168637"/>
          <a:ext cx="809626" cy="85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4</xdr:col>
      <xdr:colOff>136072</xdr:colOff>
      <xdr:row>1</xdr:row>
      <xdr:rowOff>458249</xdr:rowOff>
    </xdr:to>
    <xdr:pic>
      <xdr:nvPicPr>
        <xdr:cNvPr id="75" name="Picture 1" descr="Logo UNSS monochrome copie">
          <a:extLst>
            <a:ext uri="{FF2B5EF4-FFF2-40B4-BE49-F238E27FC236}">
              <a16:creationId xmlns:a16="http://schemas.microsoft.com/office/drawing/2014/main" id="{00000000-0008-0000-10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552" y="0"/>
          <a:ext cx="804059" cy="1188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173182</xdr:colOff>
      <xdr:row>0</xdr:row>
      <xdr:rowOff>1</xdr:rowOff>
    </xdr:from>
    <xdr:to>
      <xdr:col>43</xdr:col>
      <xdr:colOff>240600</xdr:colOff>
      <xdr:row>1</xdr:row>
      <xdr:rowOff>127414</xdr:rowOff>
    </xdr:to>
    <xdr:pic>
      <xdr:nvPicPr>
        <xdr:cNvPr id="76" name="Image 1">
          <a:extLst>
            <a:ext uri="{FF2B5EF4-FFF2-40B4-BE49-F238E27FC236}">
              <a16:creationId xmlns:a16="http://schemas.microsoft.com/office/drawing/2014/main" id="{00000000-0008-0000-1000-00004C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9265227" y="1"/>
          <a:ext cx="809626" cy="85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63</xdr:row>
      <xdr:rowOff>0</xdr:rowOff>
    </xdr:from>
    <xdr:to>
      <xdr:col>4</xdr:col>
      <xdr:colOff>136072</xdr:colOff>
      <xdr:row>64</xdr:row>
      <xdr:rowOff>458249</xdr:rowOff>
    </xdr:to>
    <xdr:pic>
      <xdr:nvPicPr>
        <xdr:cNvPr id="79" name="Picture 1" descr="Logo UNSS monochrome copie">
          <a:extLst>
            <a:ext uri="{FF2B5EF4-FFF2-40B4-BE49-F238E27FC236}">
              <a16:creationId xmlns:a16="http://schemas.microsoft.com/office/drawing/2014/main" id="{00000000-0008-0000-10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552" y="14769935"/>
          <a:ext cx="804059" cy="1188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173182</xdr:colOff>
      <xdr:row>63</xdr:row>
      <xdr:rowOff>1</xdr:rowOff>
    </xdr:from>
    <xdr:to>
      <xdr:col>43</xdr:col>
      <xdr:colOff>240600</xdr:colOff>
      <xdr:row>64</xdr:row>
      <xdr:rowOff>127414</xdr:rowOff>
    </xdr:to>
    <xdr:pic>
      <xdr:nvPicPr>
        <xdr:cNvPr id="80" name="Image 1">
          <a:extLst>
            <a:ext uri="{FF2B5EF4-FFF2-40B4-BE49-F238E27FC236}">
              <a16:creationId xmlns:a16="http://schemas.microsoft.com/office/drawing/2014/main" id="{00000000-0008-0000-1000-000050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9265227" y="14769936"/>
          <a:ext cx="809626" cy="85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95250</xdr:colOff>
      <xdr:row>0</xdr:row>
      <xdr:rowOff>326572</xdr:rowOff>
    </xdr:from>
    <xdr:to>
      <xdr:col>45</xdr:col>
      <xdr:colOff>178254</xdr:colOff>
      <xdr:row>1</xdr:row>
      <xdr:rowOff>220436</xdr:rowOff>
    </xdr:to>
    <xdr:sp macro="[0]!jmk_imp_feuille" textlink="">
      <xdr:nvSpPr>
        <xdr:cNvPr id="2" name="Rectangle à coins arrondis 1">
          <a:extLst>
            <a:ext uri="{FF2B5EF4-FFF2-40B4-BE49-F238E27FC236}">
              <a16:creationId xmlns:a16="http://schemas.microsoft.com/office/drawing/2014/main" id="{00000000-0008-0000-1000-000002000000}"/>
            </a:ext>
          </a:extLst>
        </xdr:cNvPr>
        <xdr:cNvSpPr/>
      </xdr:nvSpPr>
      <xdr:spPr bwMode="auto">
        <a:xfrm>
          <a:off x="8763000" y="326572"/>
          <a:ext cx="1552575" cy="628650"/>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IMPRESSION</a:t>
          </a:r>
        </a:p>
      </xdr:txBody>
    </xdr:sp>
    <xdr:clientData fPrintsWithSheet="0"/>
  </xdr:twoCellAnchor>
  <xdr:oneCellAnchor>
    <xdr:from>
      <xdr:col>1</xdr:col>
      <xdr:colOff>0</xdr:colOff>
      <xdr:row>1387</xdr:row>
      <xdr:rowOff>0</xdr:rowOff>
    </xdr:from>
    <xdr:ext cx="804059" cy="1188087"/>
    <xdr:pic>
      <xdr:nvPicPr>
        <xdr:cNvPr id="65" name="Picture 1" descr="Logo UNSS monochrome copie">
          <a:extLst>
            <a:ext uri="{FF2B5EF4-FFF2-40B4-BE49-F238E27FC236}">
              <a16:creationId xmlns:a16="http://schemas.microsoft.com/office/drawing/2014/main" id="{00000000-0008-0000-10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552" y="310168636"/>
          <a:ext cx="804059" cy="1188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40</xdr:col>
      <xdr:colOff>173182</xdr:colOff>
      <xdr:row>1387</xdr:row>
      <xdr:rowOff>1</xdr:rowOff>
    </xdr:from>
    <xdr:ext cx="809626" cy="857251"/>
    <xdr:pic>
      <xdr:nvPicPr>
        <xdr:cNvPr id="66" name="Image 1">
          <a:extLst>
            <a:ext uri="{FF2B5EF4-FFF2-40B4-BE49-F238E27FC236}">
              <a16:creationId xmlns:a16="http://schemas.microsoft.com/office/drawing/2014/main" id="{00000000-0008-0000-1000-00004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9265227" y="310168637"/>
          <a:ext cx="809626" cy="85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1451</xdr:row>
      <xdr:rowOff>0</xdr:rowOff>
    </xdr:from>
    <xdr:ext cx="804059" cy="1188087"/>
    <xdr:pic>
      <xdr:nvPicPr>
        <xdr:cNvPr id="67" name="Picture 1" descr="Logo UNSS monochrome copie">
          <a:extLst>
            <a:ext uri="{FF2B5EF4-FFF2-40B4-BE49-F238E27FC236}">
              <a16:creationId xmlns:a16="http://schemas.microsoft.com/office/drawing/2014/main" id="{00000000-0008-0000-10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552" y="310168636"/>
          <a:ext cx="804059" cy="1188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40</xdr:col>
      <xdr:colOff>173182</xdr:colOff>
      <xdr:row>1451</xdr:row>
      <xdr:rowOff>1</xdr:rowOff>
    </xdr:from>
    <xdr:ext cx="809626" cy="857251"/>
    <xdr:pic>
      <xdr:nvPicPr>
        <xdr:cNvPr id="68" name="Image 1">
          <a:extLst>
            <a:ext uri="{FF2B5EF4-FFF2-40B4-BE49-F238E27FC236}">
              <a16:creationId xmlns:a16="http://schemas.microsoft.com/office/drawing/2014/main" id="{00000000-0008-0000-1000-00004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9265227" y="310168637"/>
          <a:ext cx="809626" cy="85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4</xdr:col>
      <xdr:colOff>419100</xdr:colOff>
      <xdr:row>1</xdr:row>
      <xdr:rowOff>142875</xdr:rowOff>
    </xdr:from>
    <xdr:to>
      <xdr:col>4</xdr:col>
      <xdr:colOff>1057275</xdr:colOff>
      <xdr:row>4</xdr:row>
      <xdr:rowOff>266700</xdr:rowOff>
    </xdr:to>
    <xdr:pic>
      <xdr:nvPicPr>
        <xdr:cNvPr id="2" name="Picture 1" descr="Logo UNSS monochrome copie">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38900" y="171450"/>
          <a:ext cx="6381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140325</xdr:colOff>
      <xdr:row>2</xdr:row>
      <xdr:rowOff>223837</xdr:rowOff>
    </xdr:from>
    <xdr:to>
      <xdr:col>7</xdr:col>
      <xdr:colOff>567045</xdr:colOff>
      <xdr:row>5</xdr:row>
      <xdr:rowOff>39052</xdr:rowOff>
    </xdr:to>
    <xdr:sp macro="[0]!jmk_RETOUR_MENU" textlink="">
      <xdr:nvSpPr>
        <xdr:cNvPr id="3" name="Rectangle à coins arrondis 2">
          <a:extLst>
            <a:ext uri="{FF2B5EF4-FFF2-40B4-BE49-F238E27FC236}">
              <a16:creationId xmlns:a16="http://schemas.microsoft.com/office/drawing/2014/main" id="{00000000-0008-0000-1100-000003000000}"/>
            </a:ext>
          </a:extLst>
        </xdr:cNvPr>
        <xdr:cNvSpPr/>
      </xdr:nvSpPr>
      <xdr:spPr bwMode="auto">
        <a:xfrm>
          <a:off x="8131800" y="1100137"/>
          <a:ext cx="1188720" cy="54864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 MENUS</a:t>
          </a:r>
        </a:p>
      </xdr:txBody>
    </xdr:sp>
    <xdr:clientData fPrintsWithSheet="0"/>
  </xdr:twoCellAnchor>
  <xdr:twoCellAnchor>
    <xdr:from>
      <xdr:col>6</xdr:col>
      <xdr:colOff>140325</xdr:colOff>
      <xdr:row>6</xdr:row>
      <xdr:rowOff>9524</xdr:rowOff>
    </xdr:from>
    <xdr:to>
      <xdr:col>7</xdr:col>
      <xdr:colOff>567045</xdr:colOff>
      <xdr:row>8</xdr:row>
      <xdr:rowOff>100964</xdr:rowOff>
    </xdr:to>
    <xdr:sp macro="[0]!jmk_imp_feuille" textlink="">
      <xdr:nvSpPr>
        <xdr:cNvPr id="4" name="Rectangle à coins arrondis 3">
          <a:extLst>
            <a:ext uri="{FF2B5EF4-FFF2-40B4-BE49-F238E27FC236}">
              <a16:creationId xmlns:a16="http://schemas.microsoft.com/office/drawing/2014/main" id="{00000000-0008-0000-1100-000004000000}"/>
            </a:ext>
          </a:extLst>
        </xdr:cNvPr>
        <xdr:cNvSpPr/>
      </xdr:nvSpPr>
      <xdr:spPr bwMode="auto">
        <a:xfrm>
          <a:off x="8131800" y="1743074"/>
          <a:ext cx="1188720" cy="548640"/>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a:t>
          </a:r>
        </a:p>
      </xdr:txBody>
    </xdr:sp>
    <xdr:clientData fPrintsWithSheet="0"/>
  </xdr:twoCellAnchor>
  <xdr:twoCellAnchor editAs="oneCell">
    <xdr:from>
      <xdr:col>3</xdr:col>
      <xdr:colOff>1724025</xdr:colOff>
      <xdr:row>1</xdr:row>
      <xdr:rowOff>390524</xdr:rowOff>
    </xdr:from>
    <xdr:to>
      <xdr:col>3</xdr:col>
      <xdr:colOff>2533651</xdr:colOff>
      <xdr:row>5</xdr:row>
      <xdr:rowOff>104775</xdr:rowOff>
    </xdr:to>
    <xdr:pic>
      <xdr:nvPicPr>
        <xdr:cNvPr id="5" name="Image 1">
          <a:extLst>
            <a:ext uri="{FF2B5EF4-FFF2-40B4-BE49-F238E27FC236}">
              <a16:creationId xmlns:a16="http://schemas.microsoft.com/office/drawing/2014/main" id="{00000000-0008-0000-11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5029200" y="419099"/>
          <a:ext cx="809626" cy="85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140325</xdr:colOff>
      <xdr:row>0</xdr:row>
      <xdr:rowOff>457200</xdr:rowOff>
    </xdr:from>
    <xdr:to>
      <xdr:col>7</xdr:col>
      <xdr:colOff>567045</xdr:colOff>
      <xdr:row>2</xdr:row>
      <xdr:rowOff>129540</xdr:rowOff>
    </xdr:to>
    <xdr:sp macro="[0]!jmk_saisie_DUELS" textlink="">
      <xdr:nvSpPr>
        <xdr:cNvPr id="6" name="Rectangle à coins arrondis 5">
          <a:extLst>
            <a:ext uri="{FF2B5EF4-FFF2-40B4-BE49-F238E27FC236}">
              <a16:creationId xmlns:a16="http://schemas.microsoft.com/office/drawing/2014/main" id="{00000000-0008-0000-1100-000006000000}"/>
            </a:ext>
          </a:extLst>
        </xdr:cNvPr>
        <xdr:cNvSpPr/>
      </xdr:nvSpPr>
      <xdr:spPr bwMode="auto">
        <a:xfrm>
          <a:off x="8131800" y="457200"/>
          <a:ext cx="1188720" cy="548640"/>
        </a:xfrm>
        <a:prstGeom prst="roundRect">
          <a:avLst/>
        </a:prstGeom>
        <a:solidFill>
          <a:srgbClr val="00FF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a:t>
          </a:r>
        </a:p>
        <a:p>
          <a:pPr algn="ctr"/>
          <a:r>
            <a:rPr lang="fr-FR" sz="1800"/>
            <a:t>DUELS</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219075</xdr:colOff>
      <xdr:row>1</xdr:row>
      <xdr:rowOff>171450</xdr:rowOff>
    </xdr:from>
    <xdr:to>
      <xdr:col>4</xdr:col>
      <xdr:colOff>361950</xdr:colOff>
      <xdr:row>4</xdr:row>
      <xdr:rowOff>295275</xdr:rowOff>
    </xdr:to>
    <xdr:pic>
      <xdr:nvPicPr>
        <xdr:cNvPr id="948372" name="Picture 1" descr="Logo UNSS monochrome copie">
          <a:extLst>
            <a:ext uri="{FF2B5EF4-FFF2-40B4-BE49-F238E27FC236}">
              <a16:creationId xmlns:a16="http://schemas.microsoft.com/office/drawing/2014/main" id="{00000000-0008-0000-1200-000094780E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43600" y="200025"/>
          <a:ext cx="6381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381000</xdr:colOff>
      <xdr:row>3</xdr:row>
      <xdr:rowOff>9525</xdr:rowOff>
    </xdr:from>
    <xdr:to>
      <xdr:col>9</xdr:col>
      <xdr:colOff>419100</xdr:colOff>
      <xdr:row>5</xdr:row>
      <xdr:rowOff>57150</xdr:rowOff>
    </xdr:to>
    <xdr:sp macro="[0]!jmk_RETOUR_MENU" textlink="">
      <xdr:nvSpPr>
        <xdr:cNvPr id="4" name="Rectangle à coins arrondis 3">
          <a:extLst>
            <a:ext uri="{FF2B5EF4-FFF2-40B4-BE49-F238E27FC236}">
              <a16:creationId xmlns:a16="http://schemas.microsoft.com/office/drawing/2014/main" id="{00000000-0008-0000-1200-000004000000}"/>
            </a:ext>
          </a:extLst>
        </xdr:cNvPr>
        <xdr:cNvSpPr/>
      </xdr:nvSpPr>
      <xdr:spPr bwMode="auto">
        <a:xfrm>
          <a:off x="9601200" y="790575"/>
          <a:ext cx="800100" cy="43815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 MENUS</a:t>
          </a:r>
        </a:p>
      </xdr:txBody>
    </xdr:sp>
    <xdr:clientData fPrintsWithSheet="0"/>
  </xdr:twoCellAnchor>
  <xdr:twoCellAnchor>
    <xdr:from>
      <xdr:col>8</xdr:col>
      <xdr:colOff>257175</xdr:colOff>
      <xdr:row>6</xdr:row>
      <xdr:rowOff>9524</xdr:rowOff>
    </xdr:from>
    <xdr:to>
      <xdr:col>9</xdr:col>
      <xdr:colOff>704850</xdr:colOff>
      <xdr:row>7</xdr:row>
      <xdr:rowOff>180974</xdr:rowOff>
    </xdr:to>
    <xdr:sp macro="[0]!jmk_imp_feuille" textlink="">
      <xdr:nvSpPr>
        <xdr:cNvPr id="5" name="Rectangle à coins arrondis 4">
          <a:extLst>
            <a:ext uri="{FF2B5EF4-FFF2-40B4-BE49-F238E27FC236}">
              <a16:creationId xmlns:a16="http://schemas.microsoft.com/office/drawing/2014/main" id="{00000000-0008-0000-1200-000005000000}"/>
            </a:ext>
          </a:extLst>
        </xdr:cNvPr>
        <xdr:cNvSpPr/>
      </xdr:nvSpPr>
      <xdr:spPr bwMode="auto">
        <a:xfrm>
          <a:off x="9477375" y="1304924"/>
          <a:ext cx="1209675" cy="42862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a:t>
          </a:r>
        </a:p>
      </xdr:txBody>
    </xdr:sp>
    <xdr:clientData fPrintsWithSheet="0"/>
  </xdr:twoCellAnchor>
  <xdr:twoCellAnchor editAs="oneCell">
    <xdr:from>
      <xdr:col>4</xdr:col>
      <xdr:colOff>419100</xdr:colOff>
      <xdr:row>1</xdr:row>
      <xdr:rowOff>85725</xdr:rowOff>
    </xdr:from>
    <xdr:to>
      <xdr:col>5</xdr:col>
      <xdr:colOff>971550</xdr:colOff>
      <xdr:row>4</xdr:row>
      <xdr:rowOff>314325</xdr:rowOff>
    </xdr:to>
    <xdr:pic>
      <xdr:nvPicPr>
        <xdr:cNvPr id="948375" name="Image 1">
          <a:extLst>
            <a:ext uri="{FF2B5EF4-FFF2-40B4-BE49-F238E27FC236}">
              <a16:creationId xmlns:a16="http://schemas.microsoft.com/office/drawing/2014/main" id="{00000000-0008-0000-1200-000097780E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38925" y="114300"/>
          <a:ext cx="10477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85725</xdr:colOff>
      <xdr:row>4</xdr:row>
      <xdr:rowOff>57150</xdr:rowOff>
    </xdr:from>
    <xdr:to>
      <xdr:col>4</xdr:col>
      <xdr:colOff>885825</xdr:colOff>
      <xdr:row>6</xdr:row>
      <xdr:rowOff>114300</xdr:rowOff>
    </xdr:to>
    <xdr:sp macro="[0]!jmk_RETOUR_MENU" textlink="">
      <xdr:nvSpPr>
        <xdr:cNvPr id="5" name="Rectangle à coins arrondis 4">
          <a:extLst>
            <a:ext uri="{FF2B5EF4-FFF2-40B4-BE49-F238E27FC236}">
              <a16:creationId xmlns:a16="http://schemas.microsoft.com/office/drawing/2014/main" id="{00000000-0008-0000-0100-000005000000}"/>
            </a:ext>
          </a:extLst>
        </xdr:cNvPr>
        <xdr:cNvSpPr/>
      </xdr:nvSpPr>
      <xdr:spPr bwMode="auto">
        <a:xfrm>
          <a:off x="3876675" y="876300"/>
          <a:ext cx="800100" cy="49530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 MENUS</a:t>
          </a:r>
        </a:p>
      </xdr:txBody>
    </xdr:sp>
    <xdr:clientData/>
  </xdr:twoCellAnchor>
  <xdr:twoCellAnchor>
    <xdr:from>
      <xdr:col>4</xdr:col>
      <xdr:colOff>1781175</xdr:colOff>
      <xdr:row>3</xdr:row>
      <xdr:rowOff>85725</xdr:rowOff>
    </xdr:from>
    <xdr:to>
      <xdr:col>5</xdr:col>
      <xdr:colOff>257175</xdr:colOff>
      <xdr:row>7</xdr:row>
      <xdr:rowOff>152400</xdr:rowOff>
    </xdr:to>
    <xdr:sp macro="[0]!Ajuste_Tab_Final" textlink="">
      <xdr:nvSpPr>
        <xdr:cNvPr id="4" name="Rectangle à coins arrondis 3">
          <a:extLst>
            <a:ext uri="{FF2B5EF4-FFF2-40B4-BE49-F238E27FC236}">
              <a16:creationId xmlns:a16="http://schemas.microsoft.com/office/drawing/2014/main" id="{00000000-0008-0000-0100-000004000000}"/>
            </a:ext>
          </a:extLst>
        </xdr:cNvPr>
        <xdr:cNvSpPr/>
      </xdr:nvSpPr>
      <xdr:spPr bwMode="auto">
        <a:xfrm>
          <a:off x="6362700" y="819150"/>
          <a:ext cx="1828800" cy="94297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Validation des paramètres de la compétition</a:t>
          </a:r>
        </a:p>
      </xdr:txBody>
    </xdr:sp>
    <xdr:clientData/>
  </xdr:twoCellAnchor>
  <xdr:twoCellAnchor>
    <xdr:from>
      <xdr:col>4</xdr:col>
      <xdr:colOff>171449</xdr:colOff>
      <xdr:row>8</xdr:row>
      <xdr:rowOff>85724</xdr:rowOff>
    </xdr:from>
    <xdr:to>
      <xdr:col>6</xdr:col>
      <xdr:colOff>257175</xdr:colOff>
      <xdr:row>18</xdr:row>
      <xdr:rowOff>76199</xdr:rowOff>
    </xdr:to>
    <xdr:sp macro="" textlink="">
      <xdr:nvSpPr>
        <xdr:cNvPr id="2" name="Rogner un rectangle avec un coin diagonal 1">
          <a:extLst>
            <a:ext uri="{FF2B5EF4-FFF2-40B4-BE49-F238E27FC236}">
              <a16:creationId xmlns:a16="http://schemas.microsoft.com/office/drawing/2014/main" id="{00000000-0008-0000-0100-000002000000}"/>
            </a:ext>
          </a:extLst>
        </xdr:cNvPr>
        <xdr:cNvSpPr/>
      </xdr:nvSpPr>
      <xdr:spPr bwMode="auto">
        <a:xfrm>
          <a:off x="4752974" y="1914524"/>
          <a:ext cx="4200526" cy="1838325"/>
        </a:xfrm>
        <a:prstGeom prst="snip2DiagRect">
          <a:avLst/>
        </a:prstGeom>
        <a:solidFill>
          <a:schemeClr val="accent6">
            <a:lumMod val="40000"/>
            <a:lumOff val="60000"/>
          </a:schemeClr>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fr-FR" sz="1100"/>
            <a:t>Dans les </a:t>
          </a:r>
          <a:r>
            <a:rPr lang="fr-FR" sz="1400" b="1"/>
            <a:t>cases bleues</a:t>
          </a:r>
          <a:r>
            <a:rPr lang="fr-FR" sz="1100"/>
            <a:t>, </a:t>
          </a:r>
        </a:p>
        <a:p>
          <a:pPr algn="l"/>
          <a:r>
            <a:rPr lang="fr-FR" sz="1100"/>
            <a:t>saisissez les</a:t>
          </a:r>
          <a:r>
            <a:rPr lang="fr-FR" sz="1100" baseline="0"/>
            <a:t> informations de base concernant la compétition:</a:t>
          </a:r>
        </a:p>
        <a:p>
          <a:pPr algn="l"/>
          <a:endParaRPr lang="fr-FR" sz="1100" baseline="0"/>
        </a:p>
        <a:p>
          <a:pPr algn="l"/>
          <a:r>
            <a:rPr lang="fr-FR" sz="1100" baseline="0"/>
            <a:t>Titre, lieu, date, nombre d'équipes...</a:t>
          </a:r>
        </a:p>
        <a:p>
          <a:pPr algn="l"/>
          <a:endParaRPr lang="fr-FR" sz="1100" baseline="0"/>
        </a:p>
        <a:p>
          <a:pPr algn="l"/>
          <a:r>
            <a:rPr lang="fr-FR" sz="1100" baseline="0"/>
            <a:t>Attribuez le N° de la première cible utilisée</a:t>
          </a:r>
        </a:p>
        <a:p>
          <a:pPr algn="l"/>
          <a:endParaRPr lang="fr-FR" sz="1100" baseline="0"/>
        </a:p>
        <a:p>
          <a:pPr algn="l"/>
          <a:r>
            <a:rPr lang="fr-FR" sz="1100" baseline="0"/>
            <a:t>Validez toutes ces informations  en cliquant sur le bouton ci-dessus</a:t>
          </a:r>
          <a:endParaRPr lang="fr-FR" sz="1100"/>
        </a:p>
      </xdr:txBody>
    </xdr:sp>
    <xdr:clientData/>
  </xdr:twoCellAnchor>
  <xdr:twoCellAnchor>
    <xdr:from>
      <xdr:col>2</xdr:col>
      <xdr:colOff>95251</xdr:colOff>
      <xdr:row>5</xdr:row>
      <xdr:rowOff>123826</xdr:rowOff>
    </xdr:from>
    <xdr:to>
      <xdr:col>4</xdr:col>
      <xdr:colOff>38100</xdr:colOff>
      <xdr:row>10</xdr:row>
      <xdr:rowOff>142875</xdr:rowOff>
    </xdr:to>
    <xdr:cxnSp macro="">
      <xdr:nvCxnSpPr>
        <xdr:cNvPr id="6" name="Connecteur droit avec flèche 5">
          <a:extLst>
            <a:ext uri="{FF2B5EF4-FFF2-40B4-BE49-F238E27FC236}">
              <a16:creationId xmlns:a16="http://schemas.microsoft.com/office/drawing/2014/main" id="{00000000-0008-0000-0100-000006000000}"/>
            </a:ext>
          </a:extLst>
        </xdr:cNvPr>
        <xdr:cNvCxnSpPr/>
      </xdr:nvCxnSpPr>
      <xdr:spPr bwMode="auto">
        <a:xfrm flipH="1" flipV="1">
          <a:off x="3886201" y="1295401"/>
          <a:ext cx="733424" cy="1123949"/>
        </a:xfrm>
        <a:prstGeom prst="straightConnector1">
          <a:avLst/>
        </a:prstGeom>
        <a:solidFill>
          <a:srgbClr val="090000"/>
        </a:solidFill>
        <a:ln w="9525" cap="flat" cmpd="sng" algn="ctr">
          <a:solidFill>
            <a:srgbClr val="400000"/>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xdr:col>
      <xdr:colOff>85725</xdr:colOff>
      <xdr:row>8</xdr:row>
      <xdr:rowOff>142875</xdr:rowOff>
    </xdr:from>
    <xdr:to>
      <xdr:col>4</xdr:col>
      <xdr:colOff>9525</xdr:colOff>
      <xdr:row>10</xdr:row>
      <xdr:rowOff>133350</xdr:rowOff>
    </xdr:to>
    <xdr:cxnSp macro="">
      <xdr:nvCxnSpPr>
        <xdr:cNvPr id="7" name="Connecteur droit avec flèche 6">
          <a:extLst>
            <a:ext uri="{FF2B5EF4-FFF2-40B4-BE49-F238E27FC236}">
              <a16:creationId xmlns:a16="http://schemas.microsoft.com/office/drawing/2014/main" id="{00000000-0008-0000-0100-000007000000}"/>
            </a:ext>
          </a:extLst>
        </xdr:cNvPr>
        <xdr:cNvCxnSpPr/>
      </xdr:nvCxnSpPr>
      <xdr:spPr bwMode="auto">
        <a:xfrm flipH="1" flipV="1">
          <a:off x="3876675" y="1971675"/>
          <a:ext cx="714375" cy="438150"/>
        </a:xfrm>
        <a:prstGeom prst="straightConnector1">
          <a:avLst/>
        </a:prstGeom>
        <a:solidFill>
          <a:srgbClr val="090000"/>
        </a:solidFill>
        <a:ln w="9525" cap="flat" cmpd="sng" algn="ctr">
          <a:solidFill>
            <a:srgbClr val="400000"/>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xdr:col>
      <xdr:colOff>352425</xdr:colOff>
      <xdr:row>5</xdr:row>
      <xdr:rowOff>76199</xdr:rowOff>
    </xdr:from>
    <xdr:to>
      <xdr:col>9</xdr:col>
      <xdr:colOff>161925</xdr:colOff>
      <xdr:row>16</xdr:row>
      <xdr:rowOff>85725</xdr:rowOff>
    </xdr:to>
    <xdr:sp macro="" textlink="">
      <xdr:nvSpPr>
        <xdr:cNvPr id="17" name="Flèche courbée vers le haut 16">
          <a:extLst>
            <a:ext uri="{FF2B5EF4-FFF2-40B4-BE49-F238E27FC236}">
              <a16:creationId xmlns:a16="http://schemas.microsoft.com/office/drawing/2014/main" id="{00000000-0008-0000-0100-000011000000}"/>
            </a:ext>
          </a:extLst>
        </xdr:cNvPr>
        <xdr:cNvSpPr/>
      </xdr:nvSpPr>
      <xdr:spPr bwMode="auto">
        <a:xfrm rot="16200000">
          <a:off x="8381999" y="1914525"/>
          <a:ext cx="2190751" cy="857250"/>
        </a:xfrm>
        <a:prstGeom prst="curvedUpArrow">
          <a:avLst/>
        </a:prstGeom>
        <a:solidFill>
          <a:srgbClr val="00FF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3</xdr:col>
      <xdr:colOff>152400</xdr:colOff>
      <xdr:row>19</xdr:row>
      <xdr:rowOff>19050</xdr:rowOff>
    </xdr:from>
    <xdr:to>
      <xdr:col>6</xdr:col>
      <xdr:colOff>0</xdr:colOff>
      <xdr:row>21</xdr:row>
      <xdr:rowOff>104775</xdr:rowOff>
    </xdr:to>
    <xdr:sp macro="" textlink="">
      <xdr:nvSpPr>
        <xdr:cNvPr id="9" name="Rogner un rectangle avec un coin diagonal 8">
          <a:extLst>
            <a:ext uri="{FF2B5EF4-FFF2-40B4-BE49-F238E27FC236}">
              <a16:creationId xmlns:a16="http://schemas.microsoft.com/office/drawing/2014/main" id="{00000000-0008-0000-0100-000009000000}"/>
            </a:ext>
          </a:extLst>
        </xdr:cNvPr>
        <xdr:cNvSpPr/>
      </xdr:nvSpPr>
      <xdr:spPr bwMode="auto">
        <a:xfrm>
          <a:off x="4333875" y="3857625"/>
          <a:ext cx="4362450" cy="409575"/>
        </a:xfrm>
        <a:prstGeom prst="snip2DiagRect">
          <a:avLst/>
        </a:prstGeom>
        <a:solidFill>
          <a:schemeClr val="accent6">
            <a:lumMod val="40000"/>
            <a:lumOff val="60000"/>
          </a:schemeClr>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100"/>
            <a:t>Informations à faire figurer éventuellement sur la feuille d'engagement</a:t>
          </a:r>
        </a:p>
      </xdr:txBody>
    </xdr:sp>
    <xdr:clientData/>
  </xdr:twoCellAnchor>
  <xdr:twoCellAnchor>
    <xdr:from>
      <xdr:col>2</xdr:col>
      <xdr:colOff>190500</xdr:colOff>
      <xdr:row>20</xdr:row>
      <xdr:rowOff>76200</xdr:rowOff>
    </xdr:from>
    <xdr:to>
      <xdr:col>3</xdr:col>
      <xdr:colOff>95250</xdr:colOff>
      <xdr:row>21</xdr:row>
      <xdr:rowOff>95250</xdr:rowOff>
    </xdr:to>
    <xdr:cxnSp macro="">
      <xdr:nvCxnSpPr>
        <xdr:cNvPr id="10" name="Connecteur droit avec flèche 9">
          <a:extLst>
            <a:ext uri="{FF2B5EF4-FFF2-40B4-BE49-F238E27FC236}">
              <a16:creationId xmlns:a16="http://schemas.microsoft.com/office/drawing/2014/main" id="{00000000-0008-0000-0100-00000A000000}"/>
            </a:ext>
          </a:extLst>
        </xdr:cNvPr>
        <xdr:cNvCxnSpPr/>
      </xdr:nvCxnSpPr>
      <xdr:spPr bwMode="auto">
        <a:xfrm flipH="1">
          <a:off x="3981450" y="4076700"/>
          <a:ext cx="295275" cy="180975"/>
        </a:xfrm>
        <a:prstGeom prst="straightConnector1">
          <a:avLst/>
        </a:prstGeom>
        <a:solidFill>
          <a:srgbClr val="090000"/>
        </a:solidFill>
        <a:ln w="9525" cap="flat" cmpd="sng" algn="ctr">
          <a:solidFill>
            <a:srgbClr val="400000"/>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xdr:col>
      <xdr:colOff>123825</xdr:colOff>
      <xdr:row>19</xdr:row>
      <xdr:rowOff>47625</xdr:rowOff>
    </xdr:from>
    <xdr:to>
      <xdr:col>3</xdr:col>
      <xdr:colOff>104775</xdr:colOff>
      <xdr:row>19</xdr:row>
      <xdr:rowOff>104775</xdr:rowOff>
    </xdr:to>
    <xdr:cxnSp macro="">
      <xdr:nvCxnSpPr>
        <xdr:cNvPr id="11" name="Connecteur droit avec flèche 10">
          <a:extLst>
            <a:ext uri="{FF2B5EF4-FFF2-40B4-BE49-F238E27FC236}">
              <a16:creationId xmlns:a16="http://schemas.microsoft.com/office/drawing/2014/main" id="{00000000-0008-0000-0100-00000B000000}"/>
            </a:ext>
          </a:extLst>
        </xdr:cNvPr>
        <xdr:cNvCxnSpPr/>
      </xdr:nvCxnSpPr>
      <xdr:spPr bwMode="auto">
        <a:xfrm flipH="1" flipV="1">
          <a:off x="3914775" y="3886200"/>
          <a:ext cx="371475" cy="57150"/>
        </a:xfrm>
        <a:prstGeom prst="straightConnector1">
          <a:avLst/>
        </a:prstGeom>
        <a:solidFill>
          <a:srgbClr val="090000"/>
        </a:solidFill>
        <a:ln w="9525" cap="flat" cmpd="sng" algn="ctr">
          <a:solidFill>
            <a:srgbClr val="400000"/>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1885950</xdr:colOff>
      <xdr:row>1</xdr:row>
      <xdr:rowOff>114300</xdr:rowOff>
    </xdr:from>
    <xdr:to>
      <xdr:col>2</xdr:col>
      <xdr:colOff>2514600</xdr:colOff>
      <xdr:row>4</xdr:row>
      <xdr:rowOff>247650</xdr:rowOff>
    </xdr:to>
    <xdr:pic>
      <xdr:nvPicPr>
        <xdr:cNvPr id="876963" name="Picture 1" descr="Logo UNSS monochrome copie">
          <a:extLst>
            <a:ext uri="{FF2B5EF4-FFF2-40B4-BE49-F238E27FC236}">
              <a16:creationId xmlns:a16="http://schemas.microsoft.com/office/drawing/2014/main" id="{00000000-0008-0000-1300-0000A3610D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95850" y="142875"/>
          <a:ext cx="6286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90487</xdr:colOff>
      <xdr:row>2</xdr:row>
      <xdr:rowOff>19050</xdr:rowOff>
    </xdr:from>
    <xdr:to>
      <xdr:col>9</xdr:col>
      <xdr:colOff>128587</xdr:colOff>
      <xdr:row>4</xdr:row>
      <xdr:rowOff>47625</xdr:rowOff>
    </xdr:to>
    <xdr:sp macro="[0]!jmk_RETOUR_MENU" textlink="">
      <xdr:nvSpPr>
        <xdr:cNvPr id="4" name="Rectangle à coins arrondis 3">
          <a:extLst>
            <a:ext uri="{FF2B5EF4-FFF2-40B4-BE49-F238E27FC236}">
              <a16:creationId xmlns:a16="http://schemas.microsoft.com/office/drawing/2014/main" id="{00000000-0008-0000-1300-000004000000}"/>
            </a:ext>
          </a:extLst>
        </xdr:cNvPr>
        <xdr:cNvSpPr/>
      </xdr:nvSpPr>
      <xdr:spPr bwMode="auto">
        <a:xfrm>
          <a:off x="9310687" y="457200"/>
          <a:ext cx="800100" cy="43815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 MENUS</a:t>
          </a:r>
        </a:p>
      </xdr:txBody>
    </xdr:sp>
    <xdr:clientData fPrintsWithSheet="0"/>
  </xdr:twoCellAnchor>
  <xdr:twoCellAnchor>
    <xdr:from>
      <xdr:col>7</xdr:col>
      <xdr:colOff>647700</xdr:colOff>
      <xdr:row>4</xdr:row>
      <xdr:rowOff>254000</xdr:rowOff>
    </xdr:from>
    <xdr:to>
      <xdr:col>9</xdr:col>
      <xdr:colOff>333375</xdr:colOff>
      <xdr:row>6</xdr:row>
      <xdr:rowOff>234950</xdr:rowOff>
    </xdr:to>
    <xdr:sp macro="[0]!jmk_imp_feuille" textlink="">
      <xdr:nvSpPr>
        <xdr:cNvPr id="5" name="Rectangle à coins arrondis 4">
          <a:extLst>
            <a:ext uri="{FF2B5EF4-FFF2-40B4-BE49-F238E27FC236}">
              <a16:creationId xmlns:a16="http://schemas.microsoft.com/office/drawing/2014/main" id="{00000000-0008-0000-1300-000005000000}"/>
            </a:ext>
          </a:extLst>
        </xdr:cNvPr>
        <xdr:cNvSpPr/>
      </xdr:nvSpPr>
      <xdr:spPr bwMode="auto">
        <a:xfrm>
          <a:off x="9105900" y="1101725"/>
          <a:ext cx="1209675" cy="42862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a:t>
          </a:r>
        </a:p>
      </xdr:txBody>
    </xdr:sp>
    <xdr:clientData fPrintsWithSheet="0"/>
  </xdr:twoCellAnchor>
  <xdr:twoCellAnchor editAs="oneCell">
    <xdr:from>
      <xdr:col>4</xdr:col>
      <xdr:colOff>428625</xdr:colOff>
      <xdr:row>1</xdr:row>
      <xdr:rowOff>47625</xdr:rowOff>
    </xdr:from>
    <xdr:to>
      <xdr:col>6</xdr:col>
      <xdr:colOff>0</xdr:colOff>
      <xdr:row>4</xdr:row>
      <xdr:rowOff>276225</xdr:rowOff>
    </xdr:to>
    <xdr:pic>
      <xdr:nvPicPr>
        <xdr:cNvPr id="876966" name="Image 5">
          <a:extLst>
            <a:ext uri="{FF2B5EF4-FFF2-40B4-BE49-F238E27FC236}">
              <a16:creationId xmlns:a16="http://schemas.microsoft.com/office/drawing/2014/main" id="{00000000-0008-0000-1300-0000A6610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48450" y="76200"/>
          <a:ext cx="10477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561975</xdr:colOff>
      <xdr:row>7</xdr:row>
      <xdr:rowOff>184150</xdr:rowOff>
    </xdr:from>
    <xdr:to>
      <xdr:col>9</xdr:col>
      <xdr:colOff>419100</xdr:colOff>
      <xdr:row>13</xdr:row>
      <xdr:rowOff>136525</xdr:rowOff>
    </xdr:to>
    <xdr:sp macro="[0]!jmk_amorce_cibles_impaires_D1" textlink="">
      <xdr:nvSpPr>
        <xdr:cNvPr id="2" name="Rectangle à coins arrondis 1">
          <a:extLst>
            <a:ext uri="{FF2B5EF4-FFF2-40B4-BE49-F238E27FC236}">
              <a16:creationId xmlns:a16="http://schemas.microsoft.com/office/drawing/2014/main" id="{00000000-0008-0000-1300-000002000000}"/>
            </a:ext>
          </a:extLst>
        </xdr:cNvPr>
        <xdr:cNvSpPr/>
      </xdr:nvSpPr>
      <xdr:spPr bwMode="auto">
        <a:xfrm>
          <a:off x="9020175" y="1736725"/>
          <a:ext cx="1381125" cy="828675"/>
        </a:xfrm>
        <a:prstGeom prst="roundRect">
          <a:avLst/>
        </a:prstGeom>
        <a:solidFill>
          <a:srgbClr val="FF0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400"/>
            <a:t>Amorçage</a:t>
          </a:r>
          <a:br>
            <a:rPr lang="fr-FR" sz="1400"/>
          </a:br>
          <a:r>
            <a:rPr lang="fr-FR" sz="1400"/>
            <a:t> Phases de DUELS IMPAIRS</a:t>
          </a:r>
        </a:p>
      </xdr:txBody>
    </xdr:sp>
    <xdr:clientData/>
  </xdr:twoCellAnchor>
  <xdr:twoCellAnchor>
    <xdr:from>
      <xdr:col>7</xdr:col>
      <xdr:colOff>561975</xdr:colOff>
      <xdr:row>14</xdr:row>
      <xdr:rowOff>142875</xdr:rowOff>
    </xdr:from>
    <xdr:to>
      <xdr:col>9</xdr:col>
      <xdr:colOff>419100</xdr:colOff>
      <xdr:row>20</xdr:row>
      <xdr:rowOff>95250</xdr:rowOff>
    </xdr:to>
    <xdr:sp macro="[0]!jmk_amorce_cibles_paires_D1" textlink="">
      <xdr:nvSpPr>
        <xdr:cNvPr id="7" name="Rectangle à coins arrondis 6">
          <a:extLst>
            <a:ext uri="{FF2B5EF4-FFF2-40B4-BE49-F238E27FC236}">
              <a16:creationId xmlns:a16="http://schemas.microsoft.com/office/drawing/2014/main" id="{00000000-0008-0000-1300-000007000000}"/>
            </a:ext>
          </a:extLst>
        </xdr:cNvPr>
        <xdr:cNvSpPr/>
      </xdr:nvSpPr>
      <xdr:spPr bwMode="auto">
        <a:xfrm>
          <a:off x="9020175" y="2771775"/>
          <a:ext cx="1381125" cy="828675"/>
        </a:xfrm>
        <a:prstGeom prst="roundRect">
          <a:avLst/>
        </a:prstGeom>
        <a:solidFill>
          <a:srgbClr val="3AE91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400"/>
            <a:t>Amorçage</a:t>
          </a:r>
          <a:br>
            <a:rPr lang="fr-FR" sz="1400"/>
          </a:br>
          <a:r>
            <a:rPr lang="fr-FR" sz="1400"/>
            <a:t> Phases de DUELS PAIRS</a:t>
          </a:r>
        </a:p>
      </xdr:txBody>
    </xdr:sp>
    <xdr:clientData/>
  </xdr:twoCellAnchor>
  <xdr:twoCellAnchor>
    <xdr:from>
      <xdr:col>7</xdr:col>
      <xdr:colOff>609600</xdr:colOff>
      <xdr:row>22</xdr:row>
      <xdr:rowOff>95250</xdr:rowOff>
    </xdr:from>
    <xdr:to>
      <xdr:col>12</xdr:col>
      <xdr:colOff>57150</xdr:colOff>
      <xdr:row>31</xdr:row>
      <xdr:rowOff>38100</xdr:rowOff>
    </xdr:to>
    <xdr:sp macro="" textlink="">
      <xdr:nvSpPr>
        <xdr:cNvPr id="3" name="Rectangle 2">
          <a:extLst>
            <a:ext uri="{FF2B5EF4-FFF2-40B4-BE49-F238E27FC236}">
              <a16:creationId xmlns:a16="http://schemas.microsoft.com/office/drawing/2014/main" id="{00000000-0008-0000-1300-000003000000}"/>
            </a:ext>
          </a:extLst>
        </xdr:cNvPr>
        <xdr:cNvSpPr/>
      </xdr:nvSpPr>
      <xdr:spPr bwMode="auto">
        <a:xfrm>
          <a:off x="9067800" y="3838575"/>
          <a:ext cx="4200525" cy="1257300"/>
        </a:xfrm>
        <a:prstGeom prst="rect">
          <a:avLst/>
        </a:prstGeom>
        <a:solidFill>
          <a:schemeClr val="accent1">
            <a:lumMod val="20000"/>
            <a:lumOff val="80000"/>
          </a:schemeClr>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fr-FR" sz="2000">
              <a:solidFill>
                <a:srgbClr val="FF0000"/>
              </a:solidFill>
            </a:rPr>
            <a:t>ATTENTION</a:t>
          </a:r>
          <a:br>
            <a:rPr lang="fr-FR" sz="1100"/>
          </a:br>
          <a:br>
            <a:rPr lang="fr-FR" sz="1100"/>
          </a:br>
          <a:r>
            <a:rPr lang="fr-FR" sz="1100"/>
            <a:t>Choisissez la Phase</a:t>
          </a:r>
          <a:r>
            <a:rPr lang="fr-FR" sz="1100" baseline="0"/>
            <a:t> de Duels qui correspond à votre championnat</a:t>
          </a:r>
          <a:br>
            <a:rPr lang="fr-FR" sz="1100" baseline="0"/>
          </a:br>
          <a:br>
            <a:rPr lang="fr-FR" sz="1100" baseline="0"/>
          </a:br>
          <a:r>
            <a:rPr lang="fr-FR" sz="1100" baseline="0"/>
            <a:t>Le logiciel recalera ses formules en  fonction de la Phase choisie.</a:t>
          </a:r>
        </a:p>
        <a:p>
          <a:pPr algn="l"/>
          <a:endParaRPr lang="fr-FR"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142875</xdr:colOff>
      <xdr:row>19</xdr:row>
      <xdr:rowOff>95250</xdr:rowOff>
    </xdr:from>
    <xdr:to>
      <xdr:col>9</xdr:col>
      <xdr:colOff>409575</xdr:colOff>
      <xdr:row>19</xdr:row>
      <xdr:rowOff>161925</xdr:rowOff>
    </xdr:to>
    <xdr:sp macro="" textlink="">
      <xdr:nvSpPr>
        <xdr:cNvPr id="22484" name="AutoShape 1">
          <a:extLst>
            <a:ext uri="{FF2B5EF4-FFF2-40B4-BE49-F238E27FC236}">
              <a16:creationId xmlns:a16="http://schemas.microsoft.com/office/drawing/2014/main" id="{00000000-0008-0000-1400-0000D4570000}"/>
            </a:ext>
          </a:extLst>
        </xdr:cNvPr>
        <xdr:cNvSpPr>
          <a:spLocks noChangeArrowheads="1"/>
        </xdr:cNvSpPr>
      </xdr:nvSpPr>
      <xdr:spPr bwMode="auto">
        <a:xfrm>
          <a:off x="3686175" y="52387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27</xdr:col>
      <xdr:colOff>1057275</xdr:colOff>
      <xdr:row>17</xdr:row>
      <xdr:rowOff>247650</xdr:rowOff>
    </xdr:from>
    <xdr:to>
      <xdr:col>28</xdr:col>
      <xdr:colOff>161925</xdr:colOff>
      <xdr:row>18</xdr:row>
      <xdr:rowOff>57150</xdr:rowOff>
    </xdr:to>
    <xdr:sp macro="" textlink="">
      <xdr:nvSpPr>
        <xdr:cNvPr id="22485" name="AutoShape 17">
          <a:extLst>
            <a:ext uri="{FF2B5EF4-FFF2-40B4-BE49-F238E27FC236}">
              <a16:creationId xmlns:a16="http://schemas.microsoft.com/office/drawing/2014/main" id="{00000000-0008-0000-1400-0000D5570000}"/>
            </a:ext>
          </a:extLst>
        </xdr:cNvPr>
        <xdr:cNvSpPr>
          <a:spLocks noChangeArrowheads="1"/>
        </xdr:cNvSpPr>
      </xdr:nvSpPr>
      <xdr:spPr bwMode="auto">
        <a:xfrm>
          <a:off x="11163300" y="4781550"/>
          <a:ext cx="257175" cy="114300"/>
        </a:xfrm>
        <a:prstGeom prst="rightArrow">
          <a:avLst>
            <a:gd name="adj1" fmla="val 50000"/>
            <a:gd name="adj2" fmla="val 56250"/>
          </a:avLst>
        </a:prstGeom>
        <a:solidFill>
          <a:srgbClr val="FFFFFF"/>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xdr:from>
          <xdr:col>21</xdr:col>
          <xdr:colOff>276225</xdr:colOff>
          <xdr:row>18</xdr:row>
          <xdr:rowOff>66675</xdr:rowOff>
        </xdr:from>
        <xdr:to>
          <xdr:col>27</xdr:col>
          <xdr:colOff>971550</xdr:colOff>
          <xdr:row>18</xdr:row>
          <xdr:rowOff>266700</xdr:rowOff>
        </xdr:to>
        <xdr:sp macro="" textlink="">
          <xdr:nvSpPr>
            <xdr:cNvPr id="21510" name="Button 6" hidden="1">
              <a:extLst>
                <a:ext uri="{63B3BB69-23CF-44E3-9099-C40C66FF867C}">
                  <a14:compatExt spid="_x0000_s21510"/>
                </a:ext>
                <a:ext uri="{FF2B5EF4-FFF2-40B4-BE49-F238E27FC236}">
                  <a16:creationId xmlns:a16="http://schemas.microsoft.com/office/drawing/2014/main" id="{00000000-0008-0000-1400-0000065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FR" sz="1200" b="1" i="0" u="none" strike="noStrike" baseline="0">
                  <a:solidFill>
                    <a:srgbClr val="FF0000"/>
                  </a:solidFill>
                  <a:latin typeface="Arial"/>
                  <a:cs typeface="Arial"/>
                </a:rPr>
                <a:t>Copier les informations sur la fiche</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9</xdr:col>
      <xdr:colOff>142875</xdr:colOff>
      <xdr:row>19</xdr:row>
      <xdr:rowOff>95250</xdr:rowOff>
    </xdr:from>
    <xdr:to>
      <xdr:col>9</xdr:col>
      <xdr:colOff>409575</xdr:colOff>
      <xdr:row>19</xdr:row>
      <xdr:rowOff>161925</xdr:rowOff>
    </xdr:to>
    <xdr:sp macro="" textlink="">
      <xdr:nvSpPr>
        <xdr:cNvPr id="25540" name="AutoShape 1">
          <a:extLst>
            <a:ext uri="{FF2B5EF4-FFF2-40B4-BE49-F238E27FC236}">
              <a16:creationId xmlns:a16="http://schemas.microsoft.com/office/drawing/2014/main" id="{00000000-0008-0000-1500-0000C4630000}"/>
            </a:ext>
          </a:extLst>
        </xdr:cNvPr>
        <xdr:cNvSpPr>
          <a:spLocks noChangeArrowheads="1"/>
        </xdr:cNvSpPr>
      </xdr:nvSpPr>
      <xdr:spPr bwMode="auto">
        <a:xfrm>
          <a:off x="3686175" y="52387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27</xdr:col>
      <xdr:colOff>1076325</xdr:colOff>
      <xdr:row>17</xdr:row>
      <xdr:rowOff>247650</xdr:rowOff>
    </xdr:from>
    <xdr:to>
      <xdr:col>28</xdr:col>
      <xdr:colOff>180975</xdr:colOff>
      <xdr:row>18</xdr:row>
      <xdr:rowOff>57150</xdr:rowOff>
    </xdr:to>
    <xdr:sp macro="" textlink="">
      <xdr:nvSpPr>
        <xdr:cNvPr id="25541" name="AutoShape 3">
          <a:extLst>
            <a:ext uri="{FF2B5EF4-FFF2-40B4-BE49-F238E27FC236}">
              <a16:creationId xmlns:a16="http://schemas.microsoft.com/office/drawing/2014/main" id="{00000000-0008-0000-1500-0000C5630000}"/>
            </a:ext>
          </a:extLst>
        </xdr:cNvPr>
        <xdr:cNvSpPr>
          <a:spLocks noChangeArrowheads="1"/>
        </xdr:cNvSpPr>
      </xdr:nvSpPr>
      <xdr:spPr bwMode="auto">
        <a:xfrm>
          <a:off x="11182350" y="4781550"/>
          <a:ext cx="257175" cy="114300"/>
        </a:xfrm>
        <a:prstGeom prst="rightArrow">
          <a:avLst>
            <a:gd name="adj1" fmla="val 50000"/>
            <a:gd name="adj2" fmla="val 56250"/>
          </a:avLst>
        </a:prstGeom>
        <a:solidFill>
          <a:srgbClr val="FFFFFF"/>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xdr:from>
          <xdr:col>26</xdr:col>
          <xdr:colOff>152400</xdr:colOff>
          <xdr:row>22</xdr:row>
          <xdr:rowOff>38100</xdr:rowOff>
        </xdr:from>
        <xdr:to>
          <xdr:col>30</xdr:col>
          <xdr:colOff>371475</xdr:colOff>
          <xdr:row>23</xdr:row>
          <xdr:rowOff>104775</xdr:rowOff>
        </xdr:to>
        <xdr:sp macro="" textlink="">
          <xdr:nvSpPr>
            <xdr:cNvPr id="24578" name="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FR" sz="1200" b="1" i="0" u="none" strike="noStrike" baseline="0">
                  <a:solidFill>
                    <a:srgbClr val="FF0000"/>
                  </a:solidFill>
                  <a:latin typeface="Arial"/>
                  <a:cs typeface="Arial"/>
                </a:rPr>
                <a:t>Copier les informations sur la fiche</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xdr:twoCellAnchor editAs="oneCell">
    <xdr:from>
      <xdr:col>2</xdr:col>
      <xdr:colOff>1924050</xdr:colOff>
      <xdr:row>1</xdr:row>
      <xdr:rowOff>66675</xdr:rowOff>
    </xdr:from>
    <xdr:to>
      <xdr:col>2</xdr:col>
      <xdr:colOff>2571750</xdr:colOff>
      <xdr:row>4</xdr:row>
      <xdr:rowOff>228600</xdr:rowOff>
    </xdr:to>
    <xdr:pic>
      <xdr:nvPicPr>
        <xdr:cNvPr id="949396" name="Picture 1" descr="Logo UNSS monochrome copie">
          <a:extLst>
            <a:ext uri="{FF2B5EF4-FFF2-40B4-BE49-F238E27FC236}">
              <a16:creationId xmlns:a16="http://schemas.microsoft.com/office/drawing/2014/main" id="{00000000-0008-0000-1600-0000947C0E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95850" y="95250"/>
          <a:ext cx="6477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152400</xdr:colOff>
      <xdr:row>2</xdr:row>
      <xdr:rowOff>0</xdr:rowOff>
    </xdr:from>
    <xdr:to>
      <xdr:col>9</xdr:col>
      <xdr:colOff>190500</xdr:colOff>
      <xdr:row>4</xdr:row>
      <xdr:rowOff>47625</xdr:rowOff>
    </xdr:to>
    <xdr:sp macro="[0]!jmk_RETOUR_MENU" textlink="">
      <xdr:nvSpPr>
        <xdr:cNvPr id="4" name="Rectangle à coins arrondis 3">
          <a:extLst>
            <a:ext uri="{FF2B5EF4-FFF2-40B4-BE49-F238E27FC236}">
              <a16:creationId xmlns:a16="http://schemas.microsoft.com/office/drawing/2014/main" id="{00000000-0008-0000-1600-000004000000}"/>
            </a:ext>
          </a:extLst>
        </xdr:cNvPr>
        <xdr:cNvSpPr/>
      </xdr:nvSpPr>
      <xdr:spPr bwMode="auto">
        <a:xfrm>
          <a:off x="9334500" y="457200"/>
          <a:ext cx="800100" cy="43815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 MENUS</a:t>
          </a:r>
        </a:p>
      </xdr:txBody>
    </xdr:sp>
    <xdr:clientData fPrintsWithSheet="0"/>
  </xdr:twoCellAnchor>
  <xdr:twoCellAnchor>
    <xdr:from>
      <xdr:col>8</xdr:col>
      <xdr:colOff>0</xdr:colOff>
      <xdr:row>4</xdr:row>
      <xdr:rowOff>161924</xdr:rowOff>
    </xdr:from>
    <xdr:to>
      <xdr:col>9</xdr:col>
      <xdr:colOff>447675</xdr:colOff>
      <xdr:row>6</xdr:row>
      <xdr:rowOff>171449</xdr:rowOff>
    </xdr:to>
    <xdr:sp macro="[0]!jmk_imp_feuille" textlink="">
      <xdr:nvSpPr>
        <xdr:cNvPr id="5" name="Rectangle à coins arrondis 4">
          <a:extLst>
            <a:ext uri="{FF2B5EF4-FFF2-40B4-BE49-F238E27FC236}">
              <a16:creationId xmlns:a16="http://schemas.microsoft.com/office/drawing/2014/main" id="{00000000-0008-0000-1600-000005000000}"/>
            </a:ext>
          </a:extLst>
        </xdr:cNvPr>
        <xdr:cNvSpPr/>
      </xdr:nvSpPr>
      <xdr:spPr bwMode="auto">
        <a:xfrm>
          <a:off x="9182100" y="1009649"/>
          <a:ext cx="1209675" cy="42862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a:t>
          </a:r>
        </a:p>
      </xdr:txBody>
    </xdr:sp>
    <xdr:clientData fPrintsWithSheet="0"/>
  </xdr:twoCellAnchor>
  <xdr:twoCellAnchor editAs="oneCell">
    <xdr:from>
      <xdr:col>4</xdr:col>
      <xdr:colOff>381000</xdr:colOff>
      <xdr:row>1</xdr:row>
      <xdr:rowOff>19050</xdr:rowOff>
    </xdr:from>
    <xdr:to>
      <xdr:col>5</xdr:col>
      <xdr:colOff>952500</xdr:colOff>
      <xdr:row>4</xdr:row>
      <xdr:rowOff>247650</xdr:rowOff>
    </xdr:to>
    <xdr:pic>
      <xdr:nvPicPr>
        <xdr:cNvPr id="949399" name="Image 5">
          <a:extLst>
            <a:ext uri="{FF2B5EF4-FFF2-40B4-BE49-F238E27FC236}">
              <a16:creationId xmlns:a16="http://schemas.microsoft.com/office/drawing/2014/main" id="{00000000-0008-0000-1600-0000977C0E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00825" y="47625"/>
          <a:ext cx="10477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9</xdr:col>
      <xdr:colOff>142875</xdr:colOff>
      <xdr:row>19</xdr:row>
      <xdr:rowOff>95250</xdr:rowOff>
    </xdr:from>
    <xdr:to>
      <xdr:col>9</xdr:col>
      <xdr:colOff>409575</xdr:colOff>
      <xdr:row>19</xdr:row>
      <xdr:rowOff>161925</xdr:rowOff>
    </xdr:to>
    <xdr:sp macro="" textlink="">
      <xdr:nvSpPr>
        <xdr:cNvPr id="26565" name="AutoShape 1">
          <a:extLst>
            <a:ext uri="{FF2B5EF4-FFF2-40B4-BE49-F238E27FC236}">
              <a16:creationId xmlns:a16="http://schemas.microsoft.com/office/drawing/2014/main" id="{00000000-0008-0000-1700-0000C5670000}"/>
            </a:ext>
          </a:extLst>
        </xdr:cNvPr>
        <xdr:cNvSpPr>
          <a:spLocks noChangeArrowheads="1"/>
        </xdr:cNvSpPr>
      </xdr:nvSpPr>
      <xdr:spPr bwMode="auto">
        <a:xfrm>
          <a:off x="3686175" y="52387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27</xdr:col>
      <xdr:colOff>1076325</xdr:colOff>
      <xdr:row>17</xdr:row>
      <xdr:rowOff>238125</xdr:rowOff>
    </xdr:from>
    <xdr:to>
      <xdr:col>28</xdr:col>
      <xdr:colOff>180975</xdr:colOff>
      <xdr:row>18</xdr:row>
      <xdr:rowOff>47625</xdr:rowOff>
    </xdr:to>
    <xdr:sp macro="" textlink="">
      <xdr:nvSpPr>
        <xdr:cNvPr id="26566" name="AutoShape 3">
          <a:extLst>
            <a:ext uri="{FF2B5EF4-FFF2-40B4-BE49-F238E27FC236}">
              <a16:creationId xmlns:a16="http://schemas.microsoft.com/office/drawing/2014/main" id="{00000000-0008-0000-1700-0000C6670000}"/>
            </a:ext>
          </a:extLst>
        </xdr:cNvPr>
        <xdr:cNvSpPr>
          <a:spLocks noChangeArrowheads="1"/>
        </xdr:cNvSpPr>
      </xdr:nvSpPr>
      <xdr:spPr bwMode="auto">
        <a:xfrm>
          <a:off x="11182350" y="4772025"/>
          <a:ext cx="257175" cy="114300"/>
        </a:xfrm>
        <a:prstGeom prst="rightArrow">
          <a:avLst>
            <a:gd name="adj1" fmla="val 50000"/>
            <a:gd name="adj2" fmla="val 56250"/>
          </a:avLst>
        </a:prstGeom>
        <a:solidFill>
          <a:srgbClr val="FFFFFF"/>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xdr:from>
          <xdr:col>26</xdr:col>
          <xdr:colOff>152400</xdr:colOff>
          <xdr:row>22</xdr:row>
          <xdr:rowOff>38100</xdr:rowOff>
        </xdr:from>
        <xdr:to>
          <xdr:col>30</xdr:col>
          <xdr:colOff>371475</xdr:colOff>
          <xdr:row>23</xdr:row>
          <xdr:rowOff>104775</xdr:rowOff>
        </xdr:to>
        <xdr:sp macro="" textlink="">
          <xdr:nvSpPr>
            <xdr:cNvPr id="25602" name="Button 2" hidden="1">
              <a:extLst>
                <a:ext uri="{63B3BB69-23CF-44E3-9099-C40C66FF867C}">
                  <a14:compatExt spid="_x0000_s25602"/>
                </a:ext>
                <a:ext uri="{FF2B5EF4-FFF2-40B4-BE49-F238E27FC236}">
                  <a16:creationId xmlns:a16="http://schemas.microsoft.com/office/drawing/2014/main" id="{00000000-0008-0000-1700-0000026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FR" sz="1200" b="1" i="0" u="none" strike="noStrike" baseline="0">
                  <a:solidFill>
                    <a:srgbClr val="FF0000"/>
                  </a:solidFill>
                  <a:latin typeface="Arial"/>
                  <a:cs typeface="Arial"/>
                </a:rPr>
                <a:t>Copier les informations sur la fiche</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xdr:oneCellAnchor>
    <xdr:from>
      <xdr:col>20</xdr:col>
      <xdr:colOff>300593</xdr:colOff>
      <xdr:row>7</xdr:row>
      <xdr:rowOff>211529</xdr:rowOff>
    </xdr:from>
    <xdr:ext cx="1495425" cy="887097"/>
    <xdr:pic>
      <xdr:nvPicPr>
        <xdr:cNvPr id="222" name="Image 221">
          <a:extLst>
            <a:ext uri="{FF2B5EF4-FFF2-40B4-BE49-F238E27FC236}">
              <a16:creationId xmlns:a16="http://schemas.microsoft.com/office/drawing/2014/main" id="{00000000-0008-0000-1800-0000D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15843" y="1912422"/>
          <a:ext cx="1495425" cy="887097"/>
        </a:xfrm>
        <a:prstGeom prst="rect">
          <a:avLst/>
        </a:prstGeom>
      </xdr:spPr>
    </xdr:pic>
    <xdr:clientData/>
  </xdr:oneCellAnchor>
  <xdr:twoCellAnchor>
    <xdr:from>
      <xdr:col>1</xdr:col>
      <xdr:colOff>300662</xdr:colOff>
      <xdr:row>19</xdr:row>
      <xdr:rowOff>95251</xdr:rowOff>
    </xdr:from>
    <xdr:to>
      <xdr:col>2</xdr:col>
      <xdr:colOff>294410</xdr:colOff>
      <xdr:row>19</xdr:row>
      <xdr:rowOff>200411</xdr:rowOff>
    </xdr:to>
    <xdr:sp macro="" textlink="">
      <xdr:nvSpPr>
        <xdr:cNvPr id="966417" name="AutoShape 1">
          <a:extLst>
            <a:ext uri="{FF2B5EF4-FFF2-40B4-BE49-F238E27FC236}">
              <a16:creationId xmlns:a16="http://schemas.microsoft.com/office/drawing/2014/main" id="{00000000-0008-0000-1800-000011BF0E00}"/>
            </a:ext>
          </a:extLst>
        </xdr:cNvPr>
        <xdr:cNvSpPr>
          <a:spLocks noChangeArrowheads="1"/>
        </xdr:cNvSpPr>
      </xdr:nvSpPr>
      <xdr:spPr bwMode="auto">
        <a:xfrm>
          <a:off x="1131935" y="5238751"/>
          <a:ext cx="348770" cy="105160"/>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17</xdr:col>
      <xdr:colOff>306779</xdr:colOff>
      <xdr:row>4</xdr:row>
      <xdr:rowOff>184315</xdr:rowOff>
    </xdr:from>
    <xdr:to>
      <xdr:col>22</xdr:col>
      <xdr:colOff>33522</xdr:colOff>
      <xdr:row>8</xdr:row>
      <xdr:rowOff>190500</xdr:rowOff>
    </xdr:to>
    <xdr:sp macro="[0]!JMK_IMP_feuille_marque_Duels" textlink="">
      <xdr:nvSpPr>
        <xdr:cNvPr id="25" name="Rectangle à coins arrondis 24">
          <a:extLst>
            <a:ext uri="{FF2B5EF4-FFF2-40B4-BE49-F238E27FC236}">
              <a16:creationId xmlns:a16="http://schemas.microsoft.com/office/drawing/2014/main" id="{00000000-0008-0000-1800-000019000000}"/>
            </a:ext>
          </a:extLst>
        </xdr:cNvPr>
        <xdr:cNvSpPr/>
      </xdr:nvSpPr>
      <xdr:spPr bwMode="auto">
        <a:xfrm>
          <a:off x="6906243" y="1204851"/>
          <a:ext cx="1550100" cy="985899"/>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IMPRESSION</a:t>
          </a:r>
        </a:p>
        <a:p>
          <a:pPr algn="ctr"/>
          <a:r>
            <a:rPr lang="fr-FR" sz="1400"/>
            <a:t>des feuilles</a:t>
          </a:r>
          <a:r>
            <a:rPr lang="fr-FR" sz="1400" baseline="0"/>
            <a:t> de </a:t>
          </a:r>
          <a:r>
            <a:rPr lang="fr-FR" sz="2400" baseline="0"/>
            <a:t>cibles</a:t>
          </a:r>
          <a:endParaRPr lang="fr-FR" sz="2400"/>
        </a:p>
      </xdr:txBody>
    </xdr:sp>
    <xdr:clientData fPrintsWithSheet="0"/>
  </xdr:twoCellAnchor>
  <xdr:twoCellAnchor>
    <xdr:from>
      <xdr:col>14</xdr:col>
      <xdr:colOff>503465</xdr:colOff>
      <xdr:row>6</xdr:row>
      <xdr:rowOff>27214</xdr:rowOff>
    </xdr:from>
    <xdr:to>
      <xdr:col>17</xdr:col>
      <xdr:colOff>214822</xdr:colOff>
      <xdr:row>8</xdr:row>
      <xdr:rowOff>22928</xdr:rowOff>
    </xdr:to>
    <xdr:sp macro="[0]!jmk_RETOUR_MENU" textlink="">
      <xdr:nvSpPr>
        <xdr:cNvPr id="26" name="Rectangle à coins arrondis 25">
          <a:extLst>
            <a:ext uri="{FF2B5EF4-FFF2-40B4-BE49-F238E27FC236}">
              <a16:creationId xmlns:a16="http://schemas.microsoft.com/office/drawing/2014/main" id="{00000000-0008-0000-1800-00001A000000}"/>
            </a:ext>
          </a:extLst>
        </xdr:cNvPr>
        <xdr:cNvSpPr/>
      </xdr:nvSpPr>
      <xdr:spPr bwMode="auto">
        <a:xfrm>
          <a:off x="5878286" y="1483178"/>
          <a:ext cx="936000" cy="54000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 </a:t>
          </a:r>
          <a:r>
            <a:rPr lang="fr-FR" sz="1600"/>
            <a:t>MENUS</a:t>
          </a:r>
        </a:p>
      </xdr:txBody>
    </xdr:sp>
    <xdr:clientData fPrintsWithSheet="0"/>
  </xdr:twoCellAnchor>
  <xdr:twoCellAnchor>
    <xdr:from>
      <xdr:col>17</xdr:col>
      <xdr:colOff>312965</xdr:colOff>
      <xdr:row>9</xdr:row>
      <xdr:rowOff>0</xdr:rowOff>
    </xdr:from>
    <xdr:to>
      <xdr:col>22</xdr:col>
      <xdr:colOff>39708</xdr:colOff>
      <xdr:row>12</xdr:row>
      <xdr:rowOff>196685</xdr:rowOff>
    </xdr:to>
    <xdr:sp macro="[0]!JMK_acc_imp_DUELS" textlink="">
      <xdr:nvSpPr>
        <xdr:cNvPr id="221" name="Rectangle à coins arrondis 220">
          <a:extLst>
            <a:ext uri="{FF2B5EF4-FFF2-40B4-BE49-F238E27FC236}">
              <a16:creationId xmlns:a16="http://schemas.microsoft.com/office/drawing/2014/main" id="{00000000-0008-0000-1800-0000DD000000}"/>
            </a:ext>
          </a:extLst>
        </xdr:cNvPr>
        <xdr:cNvSpPr/>
      </xdr:nvSpPr>
      <xdr:spPr bwMode="auto">
        <a:xfrm>
          <a:off x="6912429" y="2299607"/>
          <a:ext cx="1550100" cy="985899"/>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IMPRESSION</a:t>
          </a:r>
        </a:p>
        <a:p>
          <a:pPr algn="ctr"/>
          <a:r>
            <a:rPr lang="fr-FR" sz="1400"/>
            <a:t>Affectations par </a:t>
          </a:r>
          <a:r>
            <a:rPr lang="fr-FR" sz="2400"/>
            <a:t>équipes</a:t>
          </a:r>
        </a:p>
      </xdr:txBody>
    </xdr:sp>
    <xdr:clientData fPrintsWithSheet="0"/>
  </xdr:twoCellAnchor>
  <xdr:twoCellAnchor>
    <xdr:from>
      <xdr:col>14</xdr:col>
      <xdr:colOff>503465</xdr:colOff>
      <xdr:row>8</xdr:row>
      <xdr:rowOff>163285</xdr:rowOff>
    </xdr:from>
    <xdr:to>
      <xdr:col>17</xdr:col>
      <xdr:colOff>214822</xdr:colOff>
      <xdr:row>10</xdr:row>
      <xdr:rowOff>104571</xdr:rowOff>
    </xdr:to>
    <xdr:sp macro="[0]!jmk_saisie_DUELS" textlink="">
      <xdr:nvSpPr>
        <xdr:cNvPr id="2" name="Rectangle à coins arrondis 1">
          <a:extLst>
            <a:ext uri="{FF2B5EF4-FFF2-40B4-BE49-F238E27FC236}">
              <a16:creationId xmlns:a16="http://schemas.microsoft.com/office/drawing/2014/main" id="{00000000-0008-0000-1800-000002000000}"/>
            </a:ext>
          </a:extLst>
        </xdr:cNvPr>
        <xdr:cNvSpPr/>
      </xdr:nvSpPr>
      <xdr:spPr bwMode="auto">
        <a:xfrm>
          <a:off x="5878286" y="2163535"/>
          <a:ext cx="936000" cy="540000"/>
        </a:xfrm>
        <a:prstGeom prst="roundRect">
          <a:avLst/>
        </a:prstGeom>
        <a:solidFill>
          <a:srgbClr val="00FF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a:t>
          </a:r>
        </a:p>
        <a:p>
          <a:pPr algn="ctr"/>
          <a:r>
            <a:rPr lang="fr-FR" sz="1800"/>
            <a:t>DUELS</a:t>
          </a:r>
        </a:p>
      </xdr:txBody>
    </xdr:sp>
    <xdr:clientData fPrintsWithSheet="0"/>
  </xdr:twoCellAnchor>
  <xdr:oneCellAnchor>
    <xdr:from>
      <xdr:col>20</xdr:col>
      <xdr:colOff>299357</xdr:colOff>
      <xdr:row>36</xdr:row>
      <xdr:rowOff>81643</xdr:rowOff>
    </xdr:from>
    <xdr:ext cx="1495425" cy="887097"/>
    <xdr:pic>
      <xdr:nvPicPr>
        <xdr:cNvPr id="223" name="Image 222">
          <a:extLst>
            <a:ext uri="{FF2B5EF4-FFF2-40B4-BE49-F238E27FC236}">
              <a16:creationId xmlns:a16="http://schemas.microsoft.com/office/drawing/2014/main" id="{00000000-0008-0000-1800-0000D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14607" y="8926286"/>
          <a:ext cx="1495425" cy="887097"/>
        </a:xfrm>
        <a:prstGeom prst="rect">
          <a:avLst/>
        </a:prstGeom>
      </xdr:spPr>
    </xdr:pic>
    <xdr:clientData/>
  </xdr:oneCellAnchor>
  <xdr:oneCellAnchor>
    <xdr:from>
      <xdr:col>20</xdr:col>
      <xdr:colOff>231321</xdr:colOff>
      <xdr:row>65</xdr:row>
      <xdr:rowOff>149678</xdr:rowOff>
    </xdr:from>
    <xdr:ext cx="1495425" cy="887097"/>
    <xdr:pic>
      <xdr:nvPicPr>
        <xdr:cNvPr id="224" name="Image 223">
          <a:extLst>
            <a:ext uri="{FF2B5EF4-FFF2-40B4-BE49-F238E27FC236}">
              <a16:creationId xmlns:a16="http://schemas.microsoft.com/office/drawing/2014/main" id="{00000000-0008-0000-1800-0000E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46571" y="16138071"/>
          <a:ext cx="1495425" cy="887097"/>
        </a:xfrm>
        <a:prstGeom prst="rect">
          <a:avLst/>
        </a:prstGeom>
      </xdr:spPr>
    </xdr:pic>
    <xdr:clientData/>
  </xdr:oneCellAnchor>
  <xdr:oneCellAnchor>
    <xdr:from>
      <xdr:col>20</xdr:col>
      <xdr:colOff>0</xdr:colOff>
      <xdr:row>95</xdr:row>
      <xdr:rowOff>0</xdr:rowOff>
    </xdr:from>
    <xdr:ext cx="1495425" cy="887097"/>
    <xdr:pic>
      <xdr:nvPicPr>
        <xdr:cNvPr id="225" name="Image 224">
          <a:extLst>
            <a:ext uri="{FF2B5EF4-FFF2-40B4-BE49-F238E27FC236}">
              <a16:creationId xmlns:a16="http://schemas.microsoft.com/office/drawing/2014/main" id="{00000000-0008-0000-1800-0000E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50" y="23431500"/>
          <a:ext cx="1495425" cy="887097"/>
        </a:xfrm>
        <a:prstGeom prst="rect">
          <a:avLst/>
        </a:prstGeom>
      </xdr:spPr>
    </xdr:pic>
    <xdr:clientData/>
  </xdr:oneCellAnchor>
  <xdr:oneCellAnchor>
    <xdr:from>
      <xdr:col>20</xdr:col>
      <xdr:colOff>0</xdr:colOff>
      <xdr:row>124</xdr:row>
      <xdr:rowOff>0</xdr:rowOff>
    </xdr:from>
    <xdr:ext cx="1495425" cy="887097"/>
    <xdr:pic>
      <xdr:nvPicPr>
        <xdr:cNvPr id="226" name="Image 225">
          <a:extLst>
            <a:ext uri="{FF2B5EF4-FFF2-40B4-BE49-F238E27FC236}">
              <a16:creationId xmlns:a16="http://schemas.microsoft.com/office/drawing/2014/main" id="{00000000-0008-0000-1800-0000E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50" y="30575250"/>
          <a:ext cx="1495425" cy="887097"/>
        </a:xfrm>
        <a:prstGeom prst="rect">
          <a:avLst/>
        </a:prstGeom>
      </xdr:spPr>
    </xdr:pic>
    <xdr:clientData/>
  </xdr:oneCellAnchor>
  <xdr:oneCellAnchor>
    <xdr:from>
      <xdr:col>20</xdr:col>
      <xdr:colOff>0</xdr:colOff>
      <xdr:row>153</xdr:row>
      <xdr:rowOff>0</xdr:rowOff>
    </xdr:from>
    <xdr:ext cx="1495425" cy="887097"/>
    <xdr:pic>
      <xdr:nvPicPr>
        <xdr:cNvPr id="227" name="Image 226">
          <a:extLst>
            <a:ext uri="{FF2B5EF4-FFF2-40B4-BE49-F238E27FC236}">
              <a16:creationId xmlns:a16="http://schemas.microsoft.com/office/drawing/2014/main" id="{00000000-0008-0000-1800-0000E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50" y="37719000"/>
          <a:ext cx="1495425" cy="887097"/>
        </a:xfrm>
        <a:prstGeom prst="rect">
          <a:avLst/>
        </a:prstGeom>
      </xdr:spPr>
    </xdr:pic>
    <xdr:clientData/>
  </xdr:oneCellAnchor>
  <xdr:oneCellAnchor>
    <xdr:from>
      <xdr:col>20</xdr:col>
      <xdr:colOff>0</xdr:colOff>
      <xdr:row>182</xdr:row>
      <xdr:rowOff>0</xdr:rowOff>
    </xdr:from>
    <xdr:ext cx="1495425" cy="887097"/>
    <xdr:pic>
      <xdr:nvPicPr>
        <xdr:cNvPr id="228" name="Image 227">
          <a:extLst>
            <a:ext uri="{FF2B5EF4-FFF2-40B4-BE49-F238E27FC236}">
              <a16:creationId xmlns:a16="http://schemas.microsoft.com/office/drawing/2014/main" id="{00000000-0008-0000-1800-0000E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50" y="44862750"/>
          <a:ext cx="1495425" cy="887097"/>
        </a:xfrm>
        <a:prstGeom prst="rect">
          <a:avLst/>
        </a:prstGeom>
      </xdr:spPr>
    </xdr:pic>
    <xdr:clientData/>
  </xdr:oneCellAnchor>
  <xdr:oneCellAnchor>
    <xdr:from>
      <xdr:col>20</xdr:col>
      <xdr:colOff>0</xdr:colOff>
      <xdr:row>211</xdr:row>
      <xdr:rowOff>0</xdr:rowOff>
    </xdr:from>
    <xdr:ext cx="1495425" cy="887097"/>
    <xdr:pic>
      <xdr:nvPicPr>
        <xdr:cNvPr id="229" name="Image 228">
          <a:extLst>
            <a:ext uri="{FF2B5EF4-FFF2-40B4-BE49-F238E27FC236}">
              <a16:creationId xmlns:a16="http://schemas.microsoft.com/office/drawing/2014/main" id="{00000000-0008-0000-1800-0000E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50" y="52006500"/>
          <a:ext cx="1495425" cy="887097"/>
        </a:xfrm>
        <a:prstGeom prst="rect">
          <a:avLst/>
        </a:prstGeom>
      </xdr:spPr>
    </xdr:pic>
    <xdr:clientData/>
  </xdr:oneCellAnchor>
  <xdr:oneCellAnchor>
    <xdr:from>
      <xdr:col>20</xdr:col>
      <xdr:colOff>0</xdr:colOff>
      <xdr:row>240</xdr:row>
      <xdr:rowOff>0</xdr:rowOff>
    </xdr:from>
    <xdr:ext cx="1495425" cy="887097"/>
    <xdr:pic>
      <xdr:nvPicPr>
        <xdr:cNvPr id="230" name="Image 229">
          <a:extLst>
            <a:ext uri="{FF2B5EF4-FFF2-40B4-BE49-F238E27FC236}">
              <a16:creationId xmlns:a16="http://schemas.microsoft.com/office/drawing/2014/main" id="{00000000-0008-0000-1800-0000E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50" y="59150250"/>
          <a:ext cx="1495425" cy="887097"/>
        </a:xfrm>
        <a:prstGeom prst="rect">
          <a:avLst/>
        </a:prstGeom>
      </xdr:spPr>
    </xdr:pic>
    <xdr:clientData/>
  </xdr:oneCellAnchor>
  <xdr:oneCellAnchor>
    <xdr:from>
      <xdr:col>20</xdr:col>
      <xdr:colOff>0</xdr:colOff>
      <xdr:row>269</xdr:row>
      <xdr:rowOff>0</xdr:rowOff>
    </xdr:from>
    <xdr:ext cx="1495425" cy="887097"/>
    <xdr:pic>
      <xdr:nvPicPr>
        <xdr:cNvPr id="231" name="Image 230">
          <a:extLst>
            <a:ext uri="{FF2B5EF4-FFF2-40B4-BE49-F238E27FC236}">
              <a16:creationId xmlns:a16="http://schemas.microsoft.com/office/drawing/2014/main" id="{00000000-0008-0000-1800-0000E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50" y="66294000"/>
          <a:ext cx="1495425" cy="887097"/>
        </a:xfrm>
        <a:prstGeom prst="rect">
          <a:avLst/>
        </a:prstGeom>
      </xdr:spPr>
    </xdr:pic>
    <xdr:clientData/>
  </xdr:oneCellAnchor>
  <xdr:oneCellAnchor>
    <xdr:from>
      <xdr:col>20</xdr:col>
      <xdr:colOff>0</xdr:colOff>
      <xdr:row>298</xdr:row>
      <xdr:rowOff>0</xdr:rowOff>
    </xdr:from>
    <xdr:ext cx="1495425" cy="887097"/>
    <xdr:pic>
      <xdr:nvPicPr>
        <xdr:cNvPr id="233" name="Image 232">
          <a:extLst>
            <a:ext uri="{FF2B5EF4-FFF2-40B4-BE49-F238E27FC236}">
              <a16:creationId xmlns:a16="http://schemas.microsoft.com/office/drawing/2014/main" id="{00000000-0008-0000-1800-0000E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50" y="73437750"/>
          <a:ext cx="1495425" cy="887097"/>
        </a:xfrm>
        <a:prstGeom prst="rect">
          <a:avLst/>
        </a:prstGeom>
      </xdr:spPr>
    </xdr:pic>
    <xdr:clientData/>
  </xdr:oneCellAnchor>
  <xdr:oneCellAnchor>
    <xdr:from>
      <xdr:col>20</xdr:col>
      <xdr:colOff>0</xdr:colOff>
      <xdr:row>327</xdr:row>
      <xdr:rowOff>0</xdr:rowOff>
    </xdr:from>
    <xdr:ext cx="1495425" cy="887097"/>
    <xdr:pic>
      <xdr:nvPicPr>
        <xdr:cNvPr id="234" name="Image 233">
          <a:extLst>
            <a:ext uri="{FF2B5EF4-FFF2-40B4-BE49-F238E27FC236}">
              <a16:creationId xmlns:a16="http://schemas.microsoft.com/office/drawing/2014/main" id="{00000000-0008-0000-1800-0000E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50" y="80581500"/>
          <a:ext cx="1495425" cy="887097"/>
        </a:xfrm>
        <a:prstGeom prst="rect">
          <a:avLst/>
        </a:prstGeom>
      </xdr:spPr>
    </xdr:pic>
    <xdr:clientData/>
  </xdr:oneCellAnchor>
  <xdr:oneCellAnchor>
    <xdr:from>
      <xdr:col>20</xdr:col>
      <xdr:colOff>0</xdr:colOff>
      <xdr:row>356</xdr:row>
      <xdr:rowOff>0</xdr:rowOff>
    </xdr:from>
    <xdr:ext cx="1495425" cy="887097"/>
    <xdr:pic>
      <xdr:nvPicPr>
        <xdr:cNvPr id="235" name="Image 234">
          <a:extLst>
            <a:ext uri="{FF2B5EF4-FFF2-40B4-BE49-F238E27FC236}">
              <a16:creationId xmlns:a16="http://schemas.microsoft.com/office/drawing/2014/main" id="{00000000-0008-0000-1800-0000E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50" y="87725250"/>
          <a:ext cx="1495425" cy="887097"/>
        </a:xfrm>
        <a:prstGeom prst="rect">
          <a:avLst/>
        </a:prstGeom>
      </xdr:spPr>
    </xdr:pic>
    <xdr:clientData/>
  </xdr:oneCellAnchor>
  <xdr:oneCellAnchor>
    <xdr:from>
      <xdr:col>20</xdr:col>
      <xdr:colOff>0</xdr:colOff>
      <xdr:row>385</xdr:row>
      <xdr:rowOff>0</xdr:rowOff>
    </xdr:from>
    <xdr:ext cx="1495425" cy="887097"/>
    <xdr:pic>
      <xdr:nvPicPr>
        <xdr:cNvPr id="236" name="Image 235">
          <a:extLst>
            <a:ext uri="{FF2B5EF4-FFF2-40B4-BE49-F238E27FC236}">
              <a16:creationId xmlns:a16="http://schemas.microsoft.com/office/drawing/2014/main" id="{00000000-0008-0000-1800-0000E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50" y="94869000"/>
          <a:ext cx="1495425" cy="887097"/>
        </a:xfrm>
        <a:prstGeom prst="rect">
          <a:avLst/>
        </a:prstGeom>
      </xdr:spPr>
    </xdr:pic>
    <xdr:clientData/>
  </xdr:oneCellAnchor>
  <xdr:oneCellAnchor>
    <xdr:from>
      <xdr:col>20</xdr:col>
      <xdr:colOff>0</xdr:colOff>
      <xdr:row>414</xdr:row>
      <xdr:rowOff>0</xdr:rowOff>
    </xdr:from>
    <xdr:ext cx="1495425" cy="887097"/>
    <xdr:pic>
      <xdr:nvPicPr>
        <xdr:cNvPr id="237" name="Image 236">
          <a:extLst>
            <a:ext uri="{FF2B5EF4-FFF2-40B4-BE49-F238E27FC236}">
              <a16:creationId xmlns:a16="http://schemas.microsoft.com/office/drawing/2014/main" id="{00000000-0008-0000-1800-0000E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50" y="102012750"/>
          <a:ext cx="1495425" cy="887097"/>
        </a:xfrm>
        <a:prstGeom prst="rect">
          <a:avLst/>
        </a:prstGeom>
      </xdr:spPr>
    </xdr:pic>
    <xdr:clientData/>
  </xdr:oneCellAnchor>
  <xdr:oneCellAnchor>
    <xdr:from>
      <xdr:col>20</xdr:col>
      <xdr:colOff>0</xdr:colOff>
      <xdr:row>443</xdr:row>
      <xdr:rowOff>0</xdr:rowOff>
    </xdr:from>
    <xdr:ext cx="1495425" cy="887097"/>
    <xdr:pic>
      <xdr:nvPicPr>
        <xdr:cNvPr id="238" name="Image 237">
          <a:extLst>
            <a:ext uri="{FF2B5EF4-FFF2-40B4-BE49-F238E27FC236}">
              <a16:creationId xmlns:a16="http://schemas.microsoft.com/office/drawing/2014/main" id="{00000000-0008-0000-1800-0000E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50" y="109156500"/>
          <a:ext cx="1495425" cy="887097"/>
        </a:xfrm>
        <a:prstGeom prst="rect">
          <a:avLst/>
        </a:prstGeom>
      </xdr:spPr>
    </xdr:pic>
    <xdr:clientData/>
  </xdr:oneCellAnchor>
  <xdr:oneCellAnchor>
    <xdr:from>
      <xdr:col>20</xdr:col>
      <xdr:colOff>0</xdr:colOff>
      <xdr:row>472</xdr:row>
      <xdr:rowOff>0</xdr:rowOff>
    </xdr:from>
    <xdr:ext cx="1495425" cy="887097"/>
    <xdr:pic>
      <xdr:nvPicPr>
        <xdr:cNvPr id="239" name="Image 238">
          <a:extLst>
            <a:ext uri="{FF2B5EF4-FFF2-40B4-BE49-F238E27FC236}">
              <a16:creationId xmlns:a16="http://schemas.microsoft.com/office/drawing/2014/main" id="{00000000-0008-0000-1800-0000E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50" y="116300250"/>
          <a:ext cx="1495425" cy="887097"/>
        </a:xfrm>
        <a:prstGeom prst="rect">
          <a:avLst/>
        </a:prstGeom>
      </xdr:spPr>
    </xdr:pic>
    <xdr:clientData/>
  </xdr:oneCellAnchor>
  <xdr:oneCellAnchor>
    <xdr:from>
      <xdr:col>20</xdr:col>
      <xdr:colOff>0</xdr:colOff>
      <xdr:row>501</xdr:row>
      <xdr:rowOff>0</xdr:rowOff>
    </xdr:from>
    <xdr:ext cx="1495425" cy="887097"/>
    <xdr:pic>
      <xdr:nvPicPr>
        <xdr:cNvPr id="240" name="Image 239">
          <a:extLst>
            <a:ext uri="{FF2B5EF4-FFF2-40B4-BE49-F238E27FC236}">
              <a16:creationId xmlns:a16="http://schemas.microsoft.com/office/drawing/2014/main" id="{00000000-0008-0000-1800-0000F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50" y="123444000"/>
          <a:ext cx="1495425" cy="887097"/>
        </a:xfrm>
        <a:prstGeom prst="rect">
          <a:avLst/>
        </a:prstGeom>
      </xdr:spPr>
    </xdr:pic>
    <xdr:clientData/>
  </xdr:oneCellAnchor>
  <xdr:oneCellAnchor>
    <xdr:from>
      <xdr:col>20</xdr:col>
      <xdr:colOff>0</xdr:colOff>
      <xdr:row>530</xdr:row>
      <xdr:rowOff>0</xdr:rowOff>
    </xdr:from>
    <xdr:ext cx="1495425" cy="887097"/>
    <xdr:pic>
      <xdr:nvPicPr>
        <xdr:cNvPr id="241" name="Image 240">
          <a:extLst>
            <a:ext uri="{FF2B5EF4-FFF2-40B4-BE49-F238E27FC236}">
              <a16:creationId xmlns:a16="http://schemas.microsoft.com/office/drawing/2014/main" id="{00000000-0008-0000-1800-0000F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50" y="130587750"/>
          <a:ext cx="1495425" cy="887097"/>
        </a:xfrm>
        <a:prstGeom prst="rect">
          <a:avLst/>
        </a:prstGeom>
      </xdr:spPr>
    </xdr:pic>
    <xdr:clientData/>
  </xdr:oneCellAnchor>
  <xdr:oneCellAnchor>
    <xdr:from>
      <xdr:col>20</xdr:col>
      <xdr:colOff>0</xdr:colOff>
      <xdr:row>559</xdr:row>
      <xdr:rowOff>0</xdr:rowOff>
    </xdr:from>
    <xdr:ext cx="1495425" cy="887097"/>
    <xdr:pic>
      <xdr:nvPicPr>
        <xdr:cNvPr id="242" name="Image 241">
          <a:extLst>
            <a:ext uri="{FF2B5EF4-FFF2-40B4-BE49-F238E27FC236}">
              <a16:creationId xmlns:a16="http://schemas.microsoft.com/office/drawing/2014/main" id="{00000000-0008-0000-1800-0000F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50" y="137731500"/>
          <a:ext cx="1495425" cy="887097"/>
        </a:xfrm>
        <a:prstGeom prst="rect">
          <a:avLst/>
        </a:prstGeom>
      </xdr:spPr>
    </xdr:pic>
    <xdr:clientData/>
  </xdr:oneCellAnchor>
  <xdr:oneCellAnchor>
    <xdr:from>
      <xdr:col>20</xdr:col>
      <xdr:colOff>0</xdr:colOff>
      <xdr:row>588</xdr:row>
      <xdr:rowOff>0</xdr:rowOff>
    </xdr:from>
    <xdr:ext cx="1495425" cy="887097"/>
    <xdr:pic>
      <xdr:nvPicPr>
        <xdr:cNvPr id="243" name="Image 242">
          <a:extLst>
            <a:ext uri="{FF2B5EF4-FFF2-40B4-BE49-F238E27FC236}">
              <a16:creationId xmlns:a16="http://schemas.microsoft.com/office/drawing/2014/main" id="{00000000-0008-0000-1800-0000F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50" y="144875250"/>
          <a:ext cx="1495425" cy="887097"/>
        </a:xfrm>
        <a:prstGeom prst="rect">
          <a:avLst/>
        </a:prstGeom>
      </xdr:spPr>
    </xdr:pic>
    <xdr:clientData/>
  </xdr:oneCellAnchor>
  <xdr:oneCellAnchor>
    <xdr:from>
      <xdr:col>20</xdr:col>
      <xdr:colOff>0</xdr:colOff>
      <xdr:row>617</xdr:row>
      <xdr:rowOff>0</xdr:rowOff>
    </xdr:from>
    <xdr:ext cx="1495425" cy="887097"/>
    <xdr:pic>
      <xdr:nvPicPr>
        <xdr:cNvPr id="244" name="Image 243">
          <a:extLst>
            <a:ext uri="{FF2B5EF4-FFF2-40B4-BE49-F238E27FC236}">
              <a16:creationId xmlns:a16="http://schemas.microsoft.com/office/drawing/2014/main" id="{00000000-0008-0000-1800-0000F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50" y="152019000"/>
          <a:ext cx="1495425" cy="887097"/>
        </a:xfrm>
        <a:prstGeom prst="rect">
          <a:avLst/>
        </a:prstGeom>
      </xdr:spPr>
    </xdr:pic>
    <xdr:clientData/>
  </xdr:oneCellAnchor>
  <xdr:oneCellAnchor>
    <xdr:from>
      <xdr:col>20</xdr:col>
      <xdr:colOff>0</xdr:colOff>
      <xdr:row>646</xdr:row>
      <xdr:rowOff>0</xdr:rowOff>
    </xdr:from>
    <xdr:ext cx="1495425" cy="887097"/>
    <xdr:pic>
      <xdr:nvPicPr>
        <xdr:cNvPr id="245" name="Image 244">
          <a:extLst>
            <a:ext uri="{FF2B5EF4-FFF2-40B4-BE49-F238E27FC236}">
              <a16:creationId xmlns:a16="http://schemas.microsoft.com/office/drawing/2014/main" id="{00000000-0008-0000-1800-0000F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50" y="159162750"/>
          <a:ext cx="1495425" cy="887097"/>
        </a:xfrm>
        <a:prstGeom prst="rect">
          <a:avLst/>
        </a:prstGeom>
      </xdr:spPr>
    </xdr:pic>
    <xdr:clientData/>
  </xdr:oneCellAnchor>
  <xdr:oneCellAnchor>
    <xdr:from>
      <xdr:col>20</xdr:col>
      <xdr:colOff>0</xdr:colOff>
      <xdr:row>675</xdr:row>
      <xdr:rowOff>0</xdr:rowOff>
    </xdr:from>
    <xdr:ext cx="1495425" cy="887097"/>
    <xdr:pic>
      <xdr:nvPicPr>
        <xdr:cNvPr id="246" name="Image 245">
          <a:extLst>
            <a:ext uri="{FF2B5EF4-FFF2-40B4-BE49-F238E27FC236}">
              <a16:creationId xmlns:a16="http://schemas.microsoft.com/office/drawing/2014/main" id="{00000000-0008-0000-18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50" y="166306500"/>
          <a:ext cx="1495425" cy="887097"/>
        </a:xfrm>
        <a:prstGeom prst="rect">
          <a:avLst/>
        </a:prstGeom>
      </xdr:spPr>
    </xdr:pic>
    <xdr:clientData/>
  </xdr:oneCellAnchor>
  <xdr:twoCellAnchor>
    <xdr:from>
      <xdr:col>7</xdr:col>
      <xdr:colOff>77932</xdr:colOff>
      <xdr:row>19</xdr:row>
      <xdr:rowOff>103909</xdr:rowOff>
    </xdr:from>
    <xdr:to>
      <xdr:col>7</xdr:col>
      <xdr:colOff>329045</xdr:colOff>
      <xdr:row>19</xdr:row>
      <xdr:rowOff>235047</xdr:rowOff>
    </xdr:to>
    <xdr:sp macro="" textlink="">
      <xdr:nvSpPr>
        <xdr:cNvPr id="220" name="AutoShape 1">
          <a:extLst>
            <a:ext uri="{FF2B5EF4-FFF2-40B4-BE49-F238E27FC236}">
              <a16:creationId xmlns:a16="http://schemas.microsoft.com/office/drawing/2014/main" id="{00000000-0008-0000-1800-0000DC000000}"/>
            </a:ext>
          </a:extLst>
        </xdr:cNvPr>
        <xdr:cNvSpPr>
          <a:spLocks noChangeArrowheads="1"/>
        </xdr:cNvSpPr>
      </xdr:nvSpPr>
      <xdr:spPr bwMode="auto">
        <a:xfrm>
          <a:off x="3039341" y="5247409"/>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12</xdr:col>
      <xdr:colOff>77933</xdr:colOff>
      <xdr:row>19</xdr:row>
      <xdr:rowOff>95250</xdr:rowOff>
    </xdr:from>
    <xdr:to>
      <xdr:col>12</xdr:col>
      <xdr:colOff>329046</xdr:colOff>
      <xdr:row>19</xdr:row>
      <xdr:rowOff>226388</xdr:rowOff>
    </xdr:to>
    <xdr:sp macro="" textlink="">
      <xdr:nvSpPr>
        <xdr:cNvPr id="232" name="AutoShape 1">
          <a:extLst>
            <a:ext uri="{FF2B5EF4-FFF2-40B4-BE49-F238E27FC236}">
              <a16:creationId xmlns:a16="http://schemas.microsoft.com/office/drawing/2014/main" id="{00000000-0008-0000-1800-0000E8000000}"/>
            </a:ext>
          </a:extLst>
        </xdr:cNvPr>
        <xdr:cNvSpPr>
          <a:spLocks noChangeArrowheads="1"/>
        </xdr:cNvSpPr>
      </xdr:nvSpPr>
      <xdr:spPr bwMode="auto">
        <a:xfrm>
          <a:off x="4866410"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17</xdr:col>
      <xdr:colOff>77933</xdr:colOff>
      <xdr:row>19</xdr:row>
      <xdr:rowOff>95250</xdr:rowOff>
    </xdr:from>
    <xdr:to>
      <xdr:col>17</xdr:col>
      <xdr:colOff>329046</xdr:colOff>
      <xdr:row>19</xdr:row>
      <xdr:rowOff>226388</xdr:rowOff>
    </xdr:to>
    <xdr:sp macro="" textlink="">
      <xdr:nvSpPr>
        <xdr:cNvPr id="247" name="AutoShape 1">
          <a:extLst>
            <a:ext uri="{FF2B5EF4-FFF2-40B4-BE49-F238E27FC236}">
              <a16:creationId xmlns:a16="http://schemas.microsoft.com/office/drawing/2014/main" id="{00000000-0008-0000-1800-0000F7000000}"/>
            </a:ext>
          </a:extLst>
        </xdr:cNvPr>
        <xdr:cNvSpPr>
          <a:spLocks noChangeArrowheads="1"/>
        </xdr:cNvSpPr>
      </xdr:nvSpPr>
      <xdr:spPr bwMode="auto">
        <a:xfrm>
          <a:off x="4866410"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22</xdr:col>
      <xdr:colOff>77933</xdr:colOff>
      <xdr:row>19</xdr:row>
      <xdr:rowOff>95250</xdr:rowOff>
    </xdr:from>
    <xdr:to>
      <xdr:col>22</xdr:col>
      <xdr:colOff>329046</xdr:colOff>
      <xdr:row>19</xdr:row>
      <xdr:rowOff>226388</xdr:rowOff>
    </xdr:to>
    <xdr:sp macro="" textlink="">
      <xdr:nvSpPr>
        <xdr:cNvPr id="248" name="AutoShape 1">
          <a:extLst>
            <a:ext uri="{FF2B5EF4-FFF2-40B4-BE49-F238E27FC236}">
              <a16:creationId xmlns:a16="http://schemas.microsoft.com/office/drawing/2014/main" id="{00000000-0008-0000-1800-0000F8000000}"/>
            </a:ext>
          </a:extLst>
        </xdr:cNvPr>
        <xdr:cNvSpPr>
          <a:spLocks noChangeArrowheads="1"/>
        </xdr:cNvSpPr>
      </xdr:nvSpPr>
      <xdr:spPr bwMode="auto">
        <a:xfrm>
          <a:off x="4866410"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xdr:col>
      <xdr:colOff>300662</xdr:colOff>
      <xdr:row>48</xdr:row>
      <xdr:rowOff>95251</xdr:rowOff>
    </xdr:from>
    <xdr:to>
      <xdr:col>2</xdr:col>
      <xdr:colOff>294410</xdr:colOff>
      <xdr:row>48</xdr:row>
      <xdr:rowOff>200411</xdr:rowOff>
    </xdr:to>
    <xdr:sp macro="" textlink="">
      <xdr:nvSpPr>
        <xdr:cNvPr id="249" name="AutoShape 1">
          <a:extLst>
            <a:ext uri="{FF2B5EF4-FFF2-40B4-BE49-F238E27FC236}">
              <a16:creationId xmlns:a16="http://schemas.microsoft.com/office/drawing/2014/main" id="{00000000-0008-0000-1800-0000F9000000}"/>
            </a:ext>
          </a:extLst>
        </xdr:cNvPr>
        <xdr:cNvSpPr>
          <a:spLocks noChangeArrowheads="1"/>
        </xdr:cNvSpPr>
      </xdr:nvSpPr>
      <xdr:spPr bwMode="auto">
        <a:xfrm>
          <a:off x="1131935" y="5238751"/>
          <a:ext cx="348770" cy="105160"/>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7</xdr:col>
      <xdr:colOff>77932</xdr:colOff>
      <xdr:row>48</xdr:row>
      <xdr:rowOff>103909</xdr:rowOff>
    </xdr:from>
    <xdr:to>
      <xdr:col>7</xdr:col>
      <xdr:colOff>329045</xdr:colOff>
      <xdr:row>48</xdr:row>
      <xdr:rowOff>235047</xdr:rowOff>
    </xdr:to>
    <xdr:sp macro="" textlink="">
      <xdr:nvSpPr>
        <xdr:cNvPr id="250" name="AutoShape 1">
          <a:extLst>
            <a:ext uri="{FF2B5EF4-FFF2-40B4-BE49-F238E27FC236}">
              <a16:creationId xmlns:a16="http://schemas.microsoft.com/office/drawing/2014/main" id="{00000000-0008-0000-1800-0000FA000000}"/>
            </a:ext>
          </a:extLst>
        </xdr:cNvPr>
        <xdr:cNvSpPr>
          <a:spLocks noChangeArrowheads="1"/>
        </xdr:cNvSpPr>
      </xdr:nvSpPr>
      <xdr:spPr bwMode="auto">
        <a:xfrm>
          <a:off x="3039341" y="5247409"/>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12</xdr:col>
      <xdr:colOff>77933</xdr:colOff>
      <xdr:row>48</xdr:row>
      <xdr:rowOff>95250</xdr:rowOff>
    </xdr:from>
    <xdr:to>
      <xdr:col>12</xdr:col>
      <xdr:colOff>329046</xdr:colOff>
      <xdr:row>48</xdr:row>
      <xdr:rowOff>226388</xdr:rowOff>
    </xdr:to>
    <xdr:sp macro="" textlink="">
      <xdr:nvSpPr>
        <xdr:cNvPr id="251" name="AutoShape 1">
          <a:extLst>
            <a:ext uri="{FF2B5EF4-FFF2-40B4-BE49-F238E27FC236}">
              <a16:creationId xmlns:a16="http://schemas.microsoft.com/office/drawing/2014/main" id="{00000000-0008-0000-1800-0000FB000000}"/>
            </a:ext>
          </a:extLst>
        </xdr:cNvPr>
        <xdr:cNvSpPr>
          <a:spLocks noChangeArrowheads="1"/>
        </xdr:cNvSpPr>
      </xdr:nvSpPr>
      <xdr:spPr bwMode="auto">
        <a:xfrm>
          <a:off x="4866410"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17</xdr:col>
      <xdr:colOff>77933</xdr:colOff>
      <xdr:row>48</xdr:row>
      <xdr:rowOff>95250</xdr:rowOff>
    </xdr:from>
    <xdr:to>
      <xdr:col>17</xdr:col>
      <xdr:colOff>329046</xdr:colOff>
      <xdr:row>48</xdr:row>
      <xdr:rowOff>226388</xdr:rowOff>
    </xdr:to>
    <xdr:sp macro="" textlink="">
      <xdr:nvSpPr>
        <xdr:cNvPr id="252" name="AutoShape 1">
          <a:extLst>
            <a:ext uri="{FF2B5EF4-FFF2-40B4-BE49-F238E27FC236}">
              <a16:creationId xmlns:a16="http://schemas.microsoft.com/office/drawing/2014/main" id="{00000000-0008-0000-1800-0000FC000000}"/>
            </a:ext>
          </a:extLst>
        </xdr:cNvPr>
        <xdr:cNvSpPr>
          <a:spLocks noChangeArrowheads="1"/>
        </xdr:cNvSpPr>
      </xdr:nvSpPr>
      <xdr:spPr bwMode="auto">
        <a:xfrm>
          <a:off x="6693478"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22</xdr:col>
      <xdr:colOff>77933</xdr:colOff>
      <xdr:row>48</xdr:row>
      <xdr:rowOff>95250</xdr:rowOff>
    </xdr:from>
    <xdr:to>
      <xdr:col>22</xdr:col>
      <xdr:colOff>329046</xdr:colOff>
      <xdr:row>48</xdr:row>
      <xdr:rowOff>226388</xdr:rowOff>
    </xdr:to>
    <xdr:sp macro="" textlink="">
      <xdr:nvSpPr>
        <xdr:cNvPr id="253" name="AutoShape 1">
          <a:extLst>
            <a:ext uri="{FF2B5EF4-FFF2-40B4-BE49-F238E27FC236}">
              <a16:creationId xmlns:a16="http://schemas.microsoft.com/office/drawing/2014/main" id="{00000000-0008-0000-1800-0000FD000000}"/>
            </a:ext>
          </a:extLst>
        </xdr:cNvPr>
        <xdr:cNvSpPr>
          <a:spLocks noChangeArrowheads="1"/>
        </xdr:cNvSpPr>
      </xdr:nvSpPr>
      <xdr:spPr bwMode="auto">
        <a:xfrm>
          <a:off x="8520547"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xdr:col>
      <xdr:colOff>300662</xdr:colOff>
      <xdr:row>77</xdr:row>
      <xdr:rowOff>95251</xdr:rowOff>
    </xdr:from>
    <xdr:to>
      <xdr:col>2</xdr:col>
      <xdr:colOff>294410</xdr:colOff>
      <xdr:row>77</xdr:row>
      <xdr:rowOff>200411</xdr:rowOff>
    </xdr:to>
    <xdr:sp macro="" textlink="">
      <xdr:nvSpPr>
        <xdr:cNvPr id="254" name="AutoShape 1">
          <a:extLst>
            <a:ext uri="{FF2B5EF4-FFF2-40B4-BE49-F238E27FC236}">
              <a16:creationId xmlns:a16="http://schemas.microsoft.com/office/drawing/2014/main" id="{00000000-0008-0000-1800-0000FE000000}"/>
            </a:ext>
          </a:extLst>
        </xdr:cNvPr>
        <xdr:cNvSpPr>
          <a:spLocks noChangeArrowheads="1"/>
        </xdr:cNvSpPr>
      </xdr:nvSpPr>
      <xdr:spPr bwMode="auto">
        <a:xfrm>
          <a:off x="1131935" y="5238751"/>
          <a:ext cx="348770" cy="105160"/>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7</xdr:col>
      <xdr:colOff>77932</xdr:colOff>
      <xdr:row>77</xdr:row>
      <xdr:rowOff>103909</xdr:rowOff>
    </xdr:from>
    <xdr:to>
      <xdr:col>7</xdr:col>
      <xdr:colOff>329045</xdr:colOff>
      <xdr:row>77</xdr:row>
      <xdr:rowOff>235047</xdr:rowOff>
    </xdr:to>
    <xdr:sp macro="" textlink="">
      <xdr:nvSpPr>
        <xdr:cNvPr id="255" name="AutoShape 1">
          <a:extLst>
            <a:ext uri="{FF2B5EF4-FFF2-40B4-BE49-F238E27FC236}">
              <a16:creationId xmlns:a16="http://schemas.microsoft.com/office/drawing/2014/main" id="{00000000-0008-0000-1800-0000FF000000}"/>
            </a:ext>
          </a:extLst>
        </xdr:cNvPr>
        <xdr:cNvSpPr>
          <a:spLocks noChangeArrowheads="1"/>
        </xdr:cNvSpPr>
      </xdr:nvSpPr>
      <xdr:spPr bwMode="auto">
        <a:xfrm>
          <a:off x="3039341" y="5247409"/>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12</xdr:col>
      <xdr:colOff>77933</xdr:colOff>
      <xdr:row>77</xdr:row>
      <xdr:rowOff>95250</xdr:rowOff>
    </xdr:from>
    <xdr:to>
      <xdr:col>12</xdr:col>
      <xdr:colOff>329046</xdr:colOff>
      <xdr:row>77</xdr:row>
      <xdr:rowOff>226388</xdr:rowOff>
    </xdr:to>
    <xdr:sp macro="" textlink="">
      <xdr:nvSpPr>
        <xdr:cNvPr id="256" name="AutoShape 1">
          <a:extLst>
            <a:ext uri="{FF2B5EF4-FFF2-40B4-BE49-F238E27FC236}">
              <a16:creationId xmlns:a16="http://schemas.microsoft.com/office/drawing/2014/main" id="{00000000-0008-0000-1800-000000010000}"/>
            </a:ext>
          </a:extLst>
        </xdr:cNvPr>
        <xdr:cNvSpPr>
          <a:spLocks noChangeArrowheads="1"/>
        </xdr:cNvSpPr>
      </xdr:nvSpPr>
      <xdr:spPr bwMode="auto">
        <a:xfrm>
          <a:off x="4866410"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17</xdr:col>
      <xdr:colOff>77933</xdr:colOff>
      <xdr:row>77</xdr:row>
      <xdr:rowOff>95250</xdr:rowOff>
    </xdr:from>
    <xdr:to>
      <xdr:col>17</xdr:col>
      <xdr:colOff>329046</xdr:colOff>
      <xdr:row>77</xdr:row>
      <xdr:rowOff>226388</xdr:rowOff>
    </xdr:to>
    <xdr:sp macro="" textlink="">
      <xdr:nvSpPr>
        <xdr:cNvPr id="257" name="AutoShape 1">
          <a:extLst>
            <a:ext uri="{FF2B5EF4-FFF2-40B4-BE49-F238E27FC236}">
              <a16:creationId xmlns:a16="http://schemas.microsoft.com/office/drawing/2014/main" id="{00000000-0008-0000-1800-000001010000}"/>
            </a:ext>
          </a:extLst>
        </xdr:cNvPr>
        <xdr:cNvSpPr>
          <a:spLocks noChangeArrowheads="1"/>
        </xdr:cNvSpPr>
      </xdr:nvSpPr>
      <xdr:spPr bwMode="auto">
        <a:xfrm>
          <a:off x="6693478"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22</xdr:col>
      <xdr:colOff>77933</xdr:colOff>
      <xdr:row>77</xdr:row>
      <xdr:rowOff>95250</xdr:rowOff>
    </xdr:from>
    <xdr:to>
      <xdr:col>22</xdr:col>
      <xdr:colOff>329046</xdr:colOff>
      <xdr:row>77</xdr:row>
      <xdr:rowOff>226388</xdr:rowOff>
    </xdr:to>
    <xdr:sp macro="" textlink="">
      <xdr:nvSpPr>
        <xdr:cNvPr id="258" name="AutoShape 1">
          <a:extLst>
            <a:ext uri="{FF2B5EF4-FFF2-40B4-BE49-F238E27FC236}">
              <a16:creationId xmlns:a16="http://schemas.microsoft.com/office/drawing/2014/main" id="{00000000-0008-0000-1800-000002010000}"/>
            </a:ext>
          </a:extLst>
        </xdr:cNvPr>
        <xdr:cNvSpPr>
          <a:spLocks noChangeArrowheads="1"/>
        </xdr:cNvSpPr>
      </xdr:nvSpPr>
      <xdr:spPr bwMode="auto">
        <a:xfrm>
          <a:off x="8520547"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xdr:col>
      <xdr:colOff>300662</xdr:colOff>
      <xdr:row>48</xdr:row>
      <xdr:rowOff>95251</xdr:rowOff>
    </xdr:from>
    <xdr:to>
      <xdr:col>2</xdr:col>
      <xdr:colOff>294410</xdr:colOff>
      <xdr:row>48</xdr:row>
      <xdr:rowOff>200411</xdr:rowOff>
    </xdr:to>
    <xdr:sp macro="" textlink="">
      <xdr:nvSpPr>
        <xdr:cNvPr id="259" name="AutoShape 1">
          <a:extLst>
            <a:ext uri="{FF2B5EF4-FFF2-40B4-BE49-F238E27FC236}">
              <a16:creationId xmlns:a16="http://schemas.microsoft.com/office/drawing/2014/main" id="{00000000-0008-0000-1800-000003010000}"/>
            </a:ext>
          </a:extLst>
        </xdr:cNvPr>
        <xdr:cNvSpPr>
          <a:spLocks noChangeArrowheads="1"/>
        </xdr:cNvSpPr>
      </xdr:nvSpPr>
      <xdr:spPr bwMode="auto">
        <a:xfrm>
          <a:off x="1131935" y="5238751"/>
          <a:ext cx="348770" cy="105160"/>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7</xdr:col>
      <xdr:colOff>77932</xdr:colOff>
      <xdr:row>48</xdr:row>
      <xdr:rowOff>103909</xdr:rowOff>
    </xdr:from>
    <xdr:to>
      <xdr:col>7</xdr:col>
      <xdr:colOff>329045</xdr:colOff>
      <xdr:row>48</xdr:row>
      <xdr:rowOff>235047</xdr:rowOff>
    </xdr:to>
    <xdr:sp macro="" textlink="">
      <xdr:nvSpPr>
        <xdr:cNvPr id="260" name="AutoShape 1">
          <a:extLst>
            <a:ext uri="{FF2B5EF4-FFF2-40B4-BE49-F238E27FC236}">
              <a16:creationId xmlns:a16="http://schemas.microsoft.com/office/drawing/2014/main" id="{00000000-0008-0000-1800-000004010000}"/>
            </a:ext>
          </a:extLst>
        </xdr:cNvPr>
        <xdr:cNvSpPr>
          <a:spLocks noChangeArrowheads="1"/>
        </xdr:cNvSpPr>
      </xdr:nvSpPr>
      <xdr:spPr bwMode="auto">
        <a:xfrm>
          <a:off x="3039341" y="5247409"/>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12</xdr:col>
      <xdr:colOff>77933</xdr:colOff>
      <xdr:row>48</xdr:row>
      <xdr:rowOff>95250</xdr:rowOff>
    </xdr:from>
    <xdr:to>
      <xdr:col>12</xdr:col>
      <xdr:colOff>329046</xdr:colOff>
      <xdr:row>48</xdr:row>
      <xdr:rowOff>226388</xdr:rowOff>
    </xdr:to>
    <xdr:sp macro="" textlink="">
      <xdr:nvSpPr>
        <xdr:cNvPr id="261" name="AutoShape 1">
          <a:extLst>
            <a:ext uri="{FF2B5EF4-FFF2-40B4-BE49-F238E27FC236}">
              <a16:creationId xmlns:a16="http://schemas.microsoft.com/office/drawing/2014/main" id="{00000000-0008-0000-1800-000005010000}"/>
            </a:ext>
          </a:extLst>
        </xdr:cNvPr>
        <xdr:cNvSpPr>
          <a:spLocks noChangeArrowheads="1"/>
        </xdr:cNvSpPr>
      </xdr:nvSpPr>
      <xdr:spPr bwMode="auto">
        <a:xfrm>
          <a:off x="4866410"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17</xdr:col>
      <xdr:colOff>77933</xdr:colOff>
      <xdr:row>48</xdr:row>
      <xdr:rowOff>95250</xdr:rowOff>
    </xdr:from>
    <xdr:to>
      <xdr:col>17</xdr:col>
      <xdr:colOff>329046</xdr:colOff>
      <xdr:row>48</xdr:row>
      <xdr:rowOff>226388</xdr:rowOff>
    </xdr:to>
    <xdr:sp macro="" textlink="">
      <xdr:nvSpPr>
        <xdr:cNvPr id="262" name="AutoShape 1">
          <a:extLst>
            <a:ext uri="{FF2B5EF4-FFF2-40B4-BE49-F238E27FC236}">
              <a16:creationId xmlns:a16="http://schemas.microsoft.com/office/drawing/2014/main" id="{00000000-0008-0000-1800-000006010000}"/>
            </a:ext>
          </a:extLst>
        </xdr:cNvPr>
        <xdr:cNvSpPr>
          <a:spLocks noChangeArrowheads="1"/>
        </xdr:cNvSpPr>
      </xdr:nvSpPr>
      <xdr:spPr bwMode="auto">
        <a:xfrm>
          <a:off x="6693478"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22</xdr:col>
      <xdr:colOff>77933</xdr:colOff>
      <xdr:row>48</xdr:row>
      <xdr:rowOff>95250</xdr:rowOff>
    </xdr:from>
    <xdr:to>
      <xdr:col>22</xdr:col>
      <xdr:colOff>329046</xdr:colOff>
      <xdr:row>48</xdr:row>
      <xdr:rowOff>226388</xdr:rowOff>
    </xdr:to>
    <xdr:sp macro="" textlink="">
      <xdr:nvSpPr>
        <xdr:cNvPr id="263" name="AutoShape 1">
          <a:extLst>
            <a:ext uri="{FF2B5EF4-FFF2-40B4-BE49-F238E27FC236}">
              <a16:creationId xmlns:a16="http://schemas.microsoft.com/office/drawing/2014/main" id="{00000000-0008-0000-1800-000007010000}"/>
            </a:ext>
          </a:extLst>
        </xdr:cNvPr>
        <xdr:cNvSpPr>
          <a:spLocks noChangeArrowheads="1"/>
        </xdr:cNvSpPr>
      </xdr:nvSpPr>
      <xdr:spPr bwMode="auto">
        <a:xfrm>
          <a:off x="8520547"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xdr:col>
      <xdr:colOff>300662</xdr:colOff>
      <xdr:row>77</xdr:row>
      <xdr:rowOff>95251</xdr:rowOff>
    </xdr:from>
    <xdr:to>
      <xdr:col>2</xdr:col>
      <xdr:colOff>294410</xdr:colOff>
      <xdr:row>77</xdr:row>
      <xdr:rowOff>200411</xdr:rowOff>
    </xdr:to>
    <xdr:sp macro="" textlink="">
      <xdr:nvSpPr>
        <xdr:cNvPr id="264" name="AutoShape 1">
          <a:extLst>
            <a:ext uri="{FF2B5EF4-FFF2-40B4-BE49-F238E27FC236}">
              <a16:creationId xmlns:a16="http://schemas.microsoft.com/office/drawing/2014/main" id="{00000000-0008-0000-1800-000008010000}"/>
            </a:ext>
          </a:extLst>
        </xdr:cNvPr>
        <xdr:cNvSpPr>
          <a:spLocks noChangeArrowheads="1"/>
        </xdr:cNvSpPr>
      </xdr:nvSpPr>
      <xdr:spPr bwMode="auto">
        <a:xfrm>
          <a:off x="1131935" y="5238751"/>
          <a:ext cx="348770" cy="105160"/>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7</xdr:col>
      <xdr:colOff>77932</xdr:colOff>
      <xdr:row>77</xdr:row>
      <xdr:rowOff>103909</xdr:rowOff>
    </xdr:from>
    <xdr:to>
      <xdr:col>7</xdr:col>
      <xdr:colOff>329045</xdr:colOff>
      <xdr:row>77</xdr:row>
      <xdr:rowOff>235047</xdr:rowOff>
    </xdr:to>
    <xdr:sp macro="" textlink="">
      <xdr:nvSpPr>
        <xdr:cNvPr id="265" name="AutoShape 1">
          <a:extLst>
            <a:ext uri="{FF2B5EF4-FFF2-40B4-BE49-F238E27FC236}">
              <a16:creationId xmlns:a16="http://schemas.microsoft.com/office/drawing/2014/main" id="{00000000-0008-0000-1800-000009010000}"/>
            </a:ext>
          </a:extLst>
        </xdr:cNvPr>
        <xdr:cNvSpPr>
          <a:spLocks noChangeArrowheads="1"/>
        </xdr:cNvSpPr>
      </xdr:nvSpPr>
      <xdr:spPr bwMode="auto">
        <a:xfrm>
          <a:off x="3039341" y="5247409"/>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12</xdr:col>
      <xdr:colOff>77933</xdr:colOff>
      <xdr:row>77</xdr:row>
      <xdr:rowOff>95250</xdr:rowOff>
    </xdr:from>
    <xdr:to>
      <xdr:col>12</xdr:col>
      <xdr:colOff>329046</xdr:colOff>
      <xdr:row>77</xdr:row>
      <xdr:rowOff>226388</xdr:rowOff>
    </xdr:to>
    <xdr:sp macro="" textlink="">
      <xdr:nvSpPr>
        <xdr:cNvPr id="266" name="AutoShape 1">
          <a:extLst>
            <a:ext uri="{FF2B5EF4-FFF2-40B4-BE49-F238E27FC236}">
              <a16:creationId xmlns:a16="http://schemas.microsoft.com/office/drawing/2014/main" id="{00000000-0008-0000-1800-00000A010000}"/>
            </a:ext>
          </a:extLst>
        </xdr:cNvPr>
        <xdr:cNvSpPr>
          <a:spLocks noChangeArrowheads="1"/>
        </xdr:cNvSpPr>
      </xdr:nvSpPr>
      <xdr:spPr bwMode="auto">
        <a:xfrm>
          <a:off x="4866410"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17</xdr:col>
      <xdr:colOff>77933</xdr:colOff>
      <xdr:row>77</xdr:row>
      <xdr:rowOff>95250</xdr:rowOff>
    </xdr:from>
    <xdr:to>
      <xdr:col>17</xdr:col>
      <xdr:colOff>329046</xdr:colOff>
      <xdr:row>77</xdr:row>
      <xdr:rowOff>226388</xdr:rowOff>
    </xdr:to>
    <xdr:sp macro="" textlink="">
      <xdr:nvSpPr>
        <xdr:cNvPr id="267" name="AutoShape 1">
          <a:extLst>
            <a:ext uri="{FF2B5EF4-FFF2-40B4-BE49-F238E27FC236}">
              <a16:creationId xmlns:a16="http://schemas.microsoft.com/office/drawing/2014/main" id="{00000000-0008-0000-1800-00000B010000}"/>
            </a:ext>
          </a:extLst>
        </xdr:cNvPr>
        <xdr:cNvSpPr>
          <a:spLocks noChangeArrowheads="1"/>
        </xdr:cNvSpPr>
      </xdr:nvSpPr>
      <xdr:spPr bwMode="auto">
        <a:xfrm>
          <a:off x="6693478"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22</xdr:col>
      <xdr:colOff>77933</xdr:colOff>
      <xdr:row>77</xdr:row>
      <xdr:rowOff>95250</xdr:rowOff>
    </xdr:from>
    <xdr:to>
      <xdr:col>22</xdr:col>
      <xdr:colOff>329046</xdr:colOff>
      <xdr:row>77</xdr:row>
      <xdr:rowOff>226388</xdr:rowOff>
    </xdr:to>
    <xdr:sp macro="" textlink="">
      <xdr:nvSpPr>
        <xdr:cNvPr id="268" name="AutoShape 1">
          <a:extLst>
            <a:ext uri="{FF2B5EF4-FFF2-40B4-BE49-F238E27FC236}">
              <a16:creationId xmlns:a16="http://schemas.microsoft.com/office/drawing/2014/main" id="{00000000-0008-0000-1800-00000C010000}"/>
            </a:ext>
          </a:extLst>
        </xdr:cNvPr>
        <xdr:cNvSpPr>
          <a:spLocks noChangeArrowheads="1"/>
        </xdr:cNvSpPr>
      </xdr:nvSpPr>
      <xdr:spPr bwMode="auto">
        <a:xfrm>
          <a:off x="8520547"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xdr:col>
      <xdr:colOff>300662</xdr:colOff>
      <xdr:row>106</xdr:row>
      <xdr:rowOff>95251</xdr:rowOff>
    </xdr:from>
    <xdr:to>
      <xdr:col>2</xdr:col>
      <xdr:colOff>294410</xdr:colOff>
      <xdr:row>106</xdr:row>
      <xdr:rowOff>200411</xdr:rowOff>
    </xdr:to>
    <xdr:sp macro="" textlink="">
      <xdr:nvSpPr>
        <xdr:cNvPr id="269" name="AutoShape 1">
          <a:extLst>
            <a:ext uri="{FF2B5EF4-FFF2-40B4-BE49-F238E27FC236}">
              <a16:creationId xmlns:a16="http://schemas.microsoft.com/office/drawing/2014/main" id="{00000000-0008-0000-1800-00000D010000}"/>
            </a:ext>
          </a:extLst>
        </xdr:cNvPr>
        <xdr:cNvSpPr>
          <a:spLocks noChangeArrowheads="1"/>
        </xdr:cNvSpPr>
      </xdr:nvSpPr>
      <xdr:spPr bwMode="auto">
        <a:xfrm>
          <a:off x="1131935" y="5238751"/>
          <a:ext cx="348770" cy="105160"/>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7</xdr:col>
      <xdr:colOff>77932</xdr:colOff>
      <xdr:row>106</xdr:row>
      <xdr:rowOff>103909</xdr:rowOff>
    </xdr:from>
    <xdr:to>
      <xdr:col>7</xdr:col>
      <xdr:colOff>329045</xdr:colOff>
      <xdr:row>106</xdr:row>
      <xdr:rowOff>235047</xdr:rowOff>
    </xdr:to>
    <xdr:sp macro="" textlink="">
      <xdr:nvSpPr>
        <xdr:cNvPr id="270" name="AutoShape 1">
          <a:extLst>
            <a:ext uri="{FF2B5EF4-FFF2-40B4-BE49-F238E27FC236}">
              <a16:creationId xmlns:a16="http://schemas.microsoft.com/office/drawing/2014/main" id="{00000000-0008-0000-1800-00000E010000}"/>
            </a:ext>
          </a:extLst>
        </xdr:cNvPr>
        <xdr:cNvSpPr>
          <a:spLocks noChangeArrowheads="1"/>
        </xdr:cNvSpPr>
      </xdr:nvSpPr>
      <xdr:spPr bwMode="auto">
        <a:xfrm>
          <a:off x="3039341" y="5247409"/>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12</xdr:col>
      <xdr:colOff>77933</xdr:colOff>
      <xdr:row>106</xdr:row>
      <xdr:rowOff>95250</xdr:rowOff>
    </xdr:from>
    <xdr:to>
      <xdr:col>12</xdr:col>
      <xdr:colOff>329046</xdr:colOff>
      <xdr:row>106</xdr:row>
      <xdr:rowOff>226388</xdr:rowOff>
    </xdr:to>
    <xdr:sp macro="" textlink="">
      <xdr:nvSpPr>
        <xdr:cNvPr id="271" name="AutoShape 1">
          <a:extLst>
            <a:ext uri="{FF2B5EF4-FFF2-40B4-BE49-F238E27FC236}">
              <a16:creationId xmlns:a16="http://schemas.microsoft.com/office/drawing/2014/main" id="{00000000-0008-0000-1800-00000F010000}"/>
            </a:ext>
          </a:extLst>
        </xdr:cNvPr>
        <xdr:cNvSpPr>
          <a:spLocks noChangeArrowheads="1"/>
        </xdr:cNvSpPr>
      </xdr:nvSpPr>
      <xdr:spPr bwMode="auto">
        <a:xfrm>
          <a:off x="4866410"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17</xdr:col>
      <xdr:colOff>77933</xdr:colOff>
      <xdr:row>106</xdr:row>
      <xdr:rowOff>95250</xdr:rowOff>
    </xdr:from>
    <xdr:to>
      <xdr:col>17</xdr:col>
      <xdr:colOff>329046</xdr:colOff>
      <xdr:row>106</xdr:row>
      <xdr:rowOff>226388</xdr:rowOff>
    </xdr:to>
    <xdr:sp macro="" textlink="">
      <xdr:nvSpPr>
        <xdr:cNvPr id="272" name="AutoShape 1">
          <a:extLst>
            <a:ext uri="{FF2B5EF4-FFF2-40B4-BE49-F238E27FC236}">
              <a16:creationId xmlns:a16="http://schemas.microsoft.com/office/drawing/2014/main" id="{00000000-0008-0000-1800-000010010000}"/>
            </a:ext>
          </a:extLst>
        </xdr:cNvPr>
        <xdr:cNvSpPr>
          <a:spLocks noChangeArrowheads="1"/>
        </xdr:cNvSpPr>
      </xdr:nvSpPr>
      <xdr:spPr bwMode="auto">
        <a:xfrm>
          <a:off x="6693478"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22</xdr:col>
      <xdr:colOff>77933</xdr:colOff>
      <xdr:row>106</xdr:row>
      <xdr:rowOff>95250</xdr:rowOff>
    </xdr:from>
    <xdr:to>
      <xdr:col>22</xdr:col>
      <xdr:colOff>329046</xdr:colOff>
      <xdr:row>106</xdr:row>
      <xdr:rowOff>226388</xdr:rowOff>
    </xdr:to>
    <xdr:sp macro="" textlink="">
      <xdr:nvSpPr>
        <xdr:cNvPr id="273" name="AutoShape 1">
          <a:extLst>
            <a:ext uri="{FF2B5EF4-FFF2-40B4-BE49-F238E27FC236}">
              <a16:creationId xmlns:a16="http://schemas.microsoft.com/office/drawing/2014/main" id="{00000000-0008-0000-1800-000011010000}"/>
            </a:ext>
          </a:extLst>
        </xdr:cNvPr>
        <xdr:cNvSpPr>
          <a:spLocks noChangeArrowheads="1"/>
        </xdr:cNvSpPr>
      </xdr:nvSpPr>
      <xdr:spPr bwMode="auto">
        <a:xfrm>
          <a:off x="8520547"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xdr:col>
      <xdr:colOff>300662</xdr:colOff>
      <xdr:row>135</xdr:row>
      <xdr:rowOff>95251</xdr:rowOff>
    </xdr:from>
    <xdr:to>
      <xdr:col>2</xdr:col>
      <xdr:colOff>294410</xdr:colOff>
      <xdr:row>135</xdr:row>
      <xdr:rowOff>200411</xdr:rowOff>
    </xdr:to>
    <xdr:sp macro="" textlink="">
      <xdr:nvSpPr>
        <xdr:cNvPr id="274" name="AutoShape 1">
          <a:extLst>
            <a:ext uri="{FF2B5EF4-FFF2-40B4-BE49-F238E27FC236}">
              <a16:creationId xmlns:a16="http://schemas.microsoft.com/office/drawing/2014/main" id="{00000000-0008-0000-1800-000012010000}"/>
            </a:ext>
          </a:extLst>
        </xdr:cNvPr>
        <xdr:cNvSpPr>
          <a:spLocks noChangeArrowheads="1"/>
        </xdr:cNvSpPr>
      </xdr:nvSpPr>
      <xdr:spPr bwMode="auto">
        <a:xfrm>
          <a:off x="1131935" y="5238751"/>
          <a:ext cx="348770" cy="105160"/>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7</xdr:col>
      <xdr:colOff>77932</xdr:colOff>
      <xdr:row>135</xdr:row>
      <xdr:rowOff>103909</xdr:rowOff>
    </xdr:from>
    <xdr:to>
      <xdr:col>7</xdr:col>
      <xdr:colOff>329045</xdr:colOff>
      <xdr:row>135</xdr:row>
      <xdr:rowOff>235047</xdr:rowOff>
    </xdr:to>
    <xdr:sp macro="" textlink="">
      <xdr:nvSpPr>
        <xdr:cNvPr id="275" name="AutoShape 1">
          <a:extLst>
            <a:ext uri="{FF2B5EF4-FFF2-40B4-BE49-F238E27FC236}">
              <a16:creationId xmlns:a16="http://schemas.microsoft.com/office/drawing/2014/main" id="{00000000-0008-0000-1800-000013010000}"/>
            </a:ext>
          </a:extLst>
        </xdr:cNvPr>
        <xdr:cNvSpPr>
          <a:spLocks noChangeArrowheads="1"/>
        </xdr:cNvSpPr>
      </xdr:nvSpPr>
      <xdr:spPr bwMode="auto">
        <a:xfrm>
          <a:off x="3039341" y="5247409"/>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12</xdr:col>
      <xdr:colOff>77933</xdr:colOff>
      <xdr:row>135</xdr:row>
      <xdr:rowOff>95250</xdr:rowOff>
    </xdr:from>
    <xdr:to>
      <xdr:col>12</xdr:col>
      <xdr:colOff>329046</xdr:colOff>
      <xdr:row>135</xdr:row>
      <xdr:rowOff>226388</xdr:rowOff>
    </xdr:to>
    <xdr:sp macro="" textlink="">
      <xdr:nvSpPr>
        <xdr:cNvPr id="276" name="AutoShape 1">
          <a:extLst>
            <a:ext uri="{FF2B5EF4-FFF2-40B4-BE49-F238E27FC236}">
              <a16:creationId xmlns:a16="http://schemas.microsoft.com/office/drawing/2014/main" id="{00000000-0008-0000-1800-000014010000}"/>
            </a:ext>
          </a:extLst>
        </xdr:cNvPr>
        <xdr:cNvSpPr>
          <a:spLocks noChangeArrowheads="1"/>
        </xdr:cNvSpPr>
      </xdr:nvSpPr>
      <xdr:spPr bwMode="auto">
        <a:xfrm>
          <a:off x="4866410"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17</xdr:col>
      <xdr:colOff>77933</xdr:colOff>
      <xdr:row>135</xdr:row>
      <xdr:rowOff>95250</xdr:rowOff>
    </xdr:from>
    <xdr:to>
      <xdr:col>17</xdr:col>
      <xdr:colOff>329046</xdr:colOff>
      <xdr:row>135</xdr:row>
      <xdr:rowOff>226388</xdr:rowOff>
    </xdr:to>
    <xdr:sp macro="" textlink="">
      <xdr:nvSpPr>
        <xdr:cNvPr id="277" name="AutoShape 1">
          <a:extLst>
            <a:ext uri="{FF2B5EF4-FFF2-40B4-BE49-F238E27FC236}">
              <a16:creationId xmlns:a16="http://schemas.microsoft.com/office/drawing/2014/main" id="{00000000-0008-0000-1800-000015010000}"/>
            </a:ext>
          </a:extLst>
        </xdr:cNvPr>
        <xdr:cNvSpPr>
          <a:spLocks noChangeArrowheads="1"/>
        </xdr:cNvSpPr>
      </xdr:nvSpPr>
      <xdr:spPr bwMode="auto">
        <a:xfrm>
          <a:off x="6693478"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22</xdr:col>
      <xdr:colOff>77933</xdr:colOff>
      <xdr:row>135</xdr:row>
      <xdr:rowOff>95250</xdr:rowOff>
    </xdr:from>
    <xdr:to>
      <xdr:col>22</xdr:col>
      <xdr:colOff>329046</xdr:colOff>
      <xdr:row>135</xdr:row>
      <xdr:rowOff>226388</xdr:rowOff>
    </xdr:to>
    <xdr:sp macro="" textlink="">
      <xdr:nvSpPr>
        <xdr:cNvPr id="278" name="AutoShape 1">
          <a:extLst>
            <a:ext uri="{FF2B5EF4-FFF2-40B4-BE49-F238E27FC236}">
              <a16:creationId xmlns:a16="http://schemas.microsoft.com/office/drawing/2014/main" id="{00000000-0008-0000-1800-000016010000}"/>
            </a:ext>
          </a:extLst>
        </xdr:cNvPr>
        <xdr:cNvSpPr>
          <a:spLocks noChangeArrowheads="1"/>
        </xdr:cNvSpPr>
      </xdr:nvSpPr>
      <xdr:spPr bwMode="auto">
        <a:xfrm>
          <a:off x="8520547"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xdr:col>
      <xdr:colOff>300662</xdr:colOff>
      <xdr:row>164</xdr:row>
      <xdr:rowOff>95251</xdr:rowOff>
    </xdr:from>
    <xdr:to>
      <xdr:col>2</xdr:col>
      <xdr:colOff>294410</xdr:colOff>
      <xdr:row>164</xdr:row>
      <xdr:rowOff>200411</xdr:rowOff>
    </xdr:to>
    <xdr:sp macro="" textlink="">
      <xdr:nvSpPr>
        <xdr:cNvPr id="279" name="AutoShape 1">
          <a:extLst>
            <a:ext uri="{FF2B5EF4-FFF2-40B4-BE49-F238E27FC236}">
              <a16:creationId xmlns:a16="http://schemas.microsoft.com/office/drawing/2014/main" id="{00000000-0008-0000-1800-000017010000}"/>
            </a:ext>
          </a:extLst>
        </xdr:cNvPr>
        <xdr:cNvSpPr>
          <a:spLocks noChangeArrowheads="1"/>
        </xdr:cNvSpPr>
      </xdr:nvSpPr>
      <xdr:spPr bwMode="auto">
        <a:xfrm>
          <a:off x="1131935" y="5238751"/>
          <a:ext cx="348770" cy="105160"/>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7</xdr:col>
      <xdr:colOff>77932</xdr:colOff>
      <xdr:row>164</xdr:row>
      <xdr:rowOff>103909</xdr:rowOff>
    </xdr:from>
    <xdr:to>
      <xdr:col>7</xdr:col>
      <xdr:colOff>329045</xdr:colOff>
      <xdr:row>164</xdr:row>
      <xdr:rowOff>235047</xdr:rowOff>
    </xdr:to>
    <xdr:sp macro="" textlink="">
      <xdr:nvSpPr>
        <xdr:cNvPr id="280" name="AutoShape 1">
          <a:extLst>
            <a:ext uri="{FF2B5EF4-FFF2-40B4-BE49-F238E27FC236}">
              <a16:creationId xmlns:a16="http://schemas.microsoft.com/office/drawing/2014/main" id="{00000000-0008-0000-1800-000018010000}"/>
            </a:ext>
          </a:extLst>
        </xdr:cNvPr>
        <xdr:cNvSpPr>
          <a:spLocks noChangeArrowheads="1"/>
        </xdr:cNvSpPr>
      </xdr:nvSpPr>
      <xdr:spPr bwMode="auto">
        <a:xfrm>
          <a:off x="3039341" y="5247409"/>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12</xdr:col>
      <xdr:colOff>77933</xdr:colOff>
      <xdr:row>164</xdr:row>
      <xdr:rowOff>95250</xdr:rowOff>
    </xdr:from>
    <xdr:to>
      <xdr:col>12</xdr:col>
      <xdr:colOff>329046</xdr:colOff>
      <xdr:row>164</xdr:row>
      <xdr:rowOff>226388</xdr:rowOff>
    </xdr:to>
    <xdr:sp macro="" textlink="">
      <xdr:nvSpPr>
        <xdr:cNvPr id="281" name="AutoShape 1">
          <a:extLst>
            <a:ext uri="{FF2B5EF4-FFF2-40B4-BE49-F238E27FC236}">
              <a16:creationId xmlns:a16="http://schemas.microsoft.com/office/drawing/2014/main" id="{00000000-0008-0000-1800-000019010000}"/>
            </a:ext>
          </a:extLst>
        </xdr:cNvPr>
        <xdr:cNvSpPr>
          <a:spLocks noChangeArrowheads="1"/>
        </xdr:cNvSpPr>
      </xdr:nvSpPr>
      <xdr:spPr bwMode="auto">
        <a:xfrm>
          <a:off x="4866410"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17</xdr:col>
      <xdr:colOff>77933</xdr:colOff>
      <xdr:row>164</xdr:row>
      <xdr:rowOff>95250</xdr:rowOff>
    </xdr:from>
    <xdr:to>
      <xdr:col>17</xdr:col>
      <xdr:colOff>329046</xdr:colOff>
      <xdr:row>164</xdr:row>
      <xdr:rowOff>226388</xdr:rowOff>
    </xdr:to>
    <xdr:sp macro="" textlink="">
      <xdr:nvSpPr>
        <xdr:cNvPr id="282" name="AutoShape 1">
          <a:extLst>
            <a:ext uri="{FF2B5EF4-FFF2-40B4-BE49-F238E27FC236}">
              <a16:creationId xmlns:a16="http://schemas.microsoft.com/office/drawing/2014/main" id="{00000000-0008-0000-1800-00001A010000}"/>
            </a:ext>
          </a:extLst>
        </xdr:cNvPr>
        <xdr:cNvSpPr>
          <a:spLocks noChangeArrowheads="1"/>
        </xdr:cNvSpPr>
      </xdr:nvSpPr>
      <xdr:spPr bwMode="auto">
        <a:xfrm>
          <a:off x="6693478"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22</xdr:col>
      <xdr:colOff>77933</xdr:colOff>
      <xdr:row>164</xdr:row>
      <xdr:rowOff>95250</xdr:rowOff>
    </xdr:from>
    <xdr:to>
      <xdr:col>22</xdr:col>
      <xdr:colOff>329046</xdr:colOff>
      <xdr:row>164</xdr:row>
      <xdr:rowOff>226388</xdr:rowOff>
    </xdr:to>
    <xdr:sp macro="" textlink="">
      <xdr:nvSpPr>
        <xdr:cNvPr id="283" name="AutoShape 1">
          <a:extLst>
            <a:ext uri="{FF2B5EF4-FFF2-40B4-BE49-F238E27FC236}">
              <a16:creationId xmlns:a16="http://schemas.microsoft.com/office/drawing/2014/main" id="{00000000-0008-0000-1800-00001B010000}"/>
            </a:ext>
          </a:extLst>
        </xdr:cNvPr>
        <xdr:cNvSpPr>
          <a:spLocks noChangeArrowheads="1"/>
        </xdr:cNvSpPr>
      </xdr:nvSpPr>
      <xdr:spPr bwMode="auto">
        <a:xfrm>
          <a:off x="8520547"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xdr:col>
      <xdr:colOff>300662</xdr:colOff>
      <xdr:row>193</xdr:row>
      <xdr:rowOff>95251</xdr:rowOff>
    </xdr:from>
    <xdr:to>
      <xdr:col>2</xdr:col>
      <xdr:colOff>294410</xdr:colOff>
      <xdr:row>193</xdr:row>
      <xdr:rowOff>200411</xdr:rowOff>
    </xdr:to>
    <xdr:sp macro="" textlink="">
      <xdr:nvSpPr>
        <xdr:cNvPr id="284" name="AutoShape 1">
          <a:extLst>
            <a:ext uri="{FF2B5EF4-FFF2-40B4-BE49-F238E27FC236}">
              <a16:creationId xmlns:a16="http://schemas.microsoft.com/office/drawing/2014/main" id="{00000000-0008-0000-1800-00001C010000}"/>
            </a:ext>
          </a:extLst>
        </xdr:cNvPr>
        <xdr:cNvSpPr>
          <a:spLocks noChangeArrowheads="1"/>
        </xdr:cNvSpPr>
      </xdr:nvSpPr>
      <xdr:spPr bwMode="auto">
        <a:xfrm>
          <a:off x="1131935" y="5238751"/>
          <a:ext cx="348770" cy="105160"/>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7</xdr:col>
      <xdr:colOff>77932</xdr:colOff>
      <xdr:row>193</xdr:row>
      <xdr:rowOff>103909</xdr:rowOff>
    </xdr:from>
    <xdr:to>
      <xdr:col>7</xdr:col>
      <xdr:colOff>329045</xdr:colOff>
      <xdr:row>193</xdr:row>
      <xdr:rowOff>235047</xdr:rowOff>
    </xdr:to>
    <xdr:sp macro="" textlink="">
      <xdr:nvSpPr>
        <xdr:cNvPr id="285" name="AutoShape 1">
          <a:extLst>
            <a:ext uri="{FF2B5EF4-FFF2-40B4-BE49-F238E27FC236}">
              <a16:creationId xmlns:a16="http://schemas.microsoft.com/office/drawing/2014/main" id="{00000000-0008-0000-1800-00001D010000}"/>
            </a:ext>
          </a:extLst>
        </xdr:cNvPr>
        <xdr:cNvSpPr>
          <a:spLocks noChangeArrowheads="1"/>
        </xdr:cNvSpPr>
      </xdr:nvSpPr>
      <xdr:spPr bwMode="auto">
        <a:xfrm>
          <a:off x="3039341" y="5247409"/>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12</xdr:col>
      <xdr:colOff>77933</xdr:colOff>
      <xdr:row>193</xdr:row>
      <xdr:rowOff>95250</xdr:rowOff>
    </xdr:from>
    <xdr:to>
      <xdr:col>12</xdr:col>
      <xdr:colOff>329046</xdr:colOff>
      <xdr:row>193</xdr:row>
      <xdr:rowOff>226388</xdr:rowOff>
    </xdr:to>
    <xdr:sp macro="" textlink="">
      <xdr:nvSpPr>
        <xdr:cNvPr id="286" name="AutoShape 1">
          <a:extLst>
            <a:ext uri="{FF2B5EF4-FFF2-40B4-BE49-F238E27FC236}">
              <a16:creationId xmlns:a16="http://schemas.microsoft.com/office/drawing/2014/main" id="{00000000-0008-0000-1800-00001E010000}"/>
            </a:ext>
          </a:extLst>
        </xdr:cNvPr>
        <xdr:cNvSpPr>
          <a:spLocks noChangeArrowheads="1"/>
        </xdr:cNvSpPr>
      </xdr:nvSpPr>
      <xdr:spPr bwMode="auto">
        <a:xfrm>
          <a:off x="4866410"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17</xdr:col>
      <xdr:colOff>77933</xdr:colOff>
      <xdr:row>193</xdr:row>
      <xdr:rowOff>95250</xdr:rowOff>
    </xdr:from>
    <xdr:to>
      <xdr:col>17</xdr:col>
      <xdr:colOff>329046</xdr:colOff>
      <xdr:row>193</xdr:row>
      <xdr:rowOff>226388</xdr:rowOff>
    </xdr:to>
    <xdr:sp macro="" textlink="">
      <xdr:nvSpPr>
        <xdr:cNvPr id="287" name="AutoShape 1">
          <a:extLst>
            <a:ext uri="{FF2B5EF4-FFF2-40B4-BE49-F238E27FC236}">
              <a16:creationId xmlns:a16="http://schemas.microsoft.com/office/drawing/2014/main" id="{00000000-0008-0000-1800-00001F010000}"/>
            </a:ext>
          </a:extLst>
        </xdr:cNvPr>
        <xdr:cNvSpPr>
          <a:spLocks noChangeArrowheads="1"/>
        </xdr:cNvSpPr>
      </xdr:nvSpPr>
      <xdr:spPr bwMode="auto">
        <a:xfrm>
          <a:off x="6693478"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22</xdr:col>
      <xdr:colOff>77933</xdr:colOff>
      <xdr:row>193</xdr:row>
      <xdr:rowOff>95250</xdr:rowOff>
    </xdr:from>
    <xdr:to>
      <xdr:col>22</xdr:col>
      <xdr:colOff>329046</xdr:colOff>
      <xdr:row>193</xdr:row>
      <xdr:rowOff>226388</xdr:rowOff>
    </xdr:to>
    <xdr:sp macro="" textlink="">
      <xdr:nvSpPr>
        <xdr:cNvPr id="288" name="AutoShape 1">
          <a:extLst>
            <a:ext uri="{FF2B5EF4-FFF2-40B4-BE49-F238E27FC236}">
              <a16:creationId xmlns:a16="http://schemas.microsoft.com/office/drawing/2014/main" id="{00000000-0008-0000-1800-000020010000}"/>
            </a:ext>
          </a:extLst>
        </xdr:cNvPr>
        <xdr:cNvSpPr>
          <a:spLocks noChangeArrowheads="1"/>
        </xdr:cNvSpPr>
      </xdr:nvSpPr>
      <xdr:spPr bwMode="auto">
        <a:xfrm>
          <a:off x="8520547"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xdr:col>
      <xdr:colOff>300662</xdr:colOff>
      <xdr:row>222</xdr:row>
      <xdr:rowOff>95251</xdr:rowOff>
    </xdr:from>
    <xdr:to>
      <xdr:col>2</xdr:col>
      <xdr:colOff>294410</xdr:colOff>
      <xdr:row>222</xdr:row>
      <xdr:rowOff>200411</xdr:rowOff>
    </xdr:to>
    <xdr:sp macro="" textlink="">
      <xdr:nvSpPr>
        <xdr:cNvPr id="289" name="AutoShape 1">
          <a:extLst>
            <a:ext uri="{FF2B5EF4-FFF2-40B4-BE49-F238E27FC236}">
              <a16:creationId xmlns:a16="http://schemas.microsoft.com/office/drawing/2014/main" id="{00000000-0008-0000-1800-000021010000}"/>
            </a:ext>
          </a:extLst>
        </xdr:cNvPr>
        <xdr:cNvSpPr>
          <a:spLocks noChangeArrowheads="1"/>
        </xdr:cNvSpPr>
      </xdr:nvSpPr>
      <xdr:spPr bwMode="auto">
        <a:xfrm>
          <a:off x="1131935" y="5238751"/>
          <a:ext cx="348770" cy="105160"/>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7</xdr:col>
      <xdr:colOff>77932</xdr:colOff>
      <xdr:row>222</xdr:row>
      <xdr:rowOff>103909</xdr:rowOff>
    </xdr:from>
    <xdr:to>
      <xdr:col>7</xdr:col>
      <xdr:colOff>329045</xdr:colOff>
      <xdr:row>222</xdr:row>
      <xdr:rowOff>235047</xdr:rowOff>
    </xdr:to>
    <xdr:sp macro="" textlink="">
      <xdr:nvSpPr>
        <xdr:cNvPr id="290" name="AutoShape 1">
          <a:extLst>
            <a:ext uri="{FF2B5EF4-FFF2-40B4-BE49-F238E27FC236}">
              <a16:creationId xmlns:a16="http://schemas.microsoft.com/office/drawing/2014/main" id="{00000000-0008-0000-1800-000022010000}"/>
            </a:ext>
          </a:extLst>
        </xdr:cNvPr>
        <xdr:cNvSpPr>
          <a:spLocks noChangeArrowheads="1"/>
        </xdr:cNvSpPr>
      </xdr:nvSpPr>
      <xdr:spPr bwMode="auto">
        <a:xfrm>
          <a:off x="3039341" y="5247409"/>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12</xdr:col>
      <xdr:colOff>77933</xdr:colOff>
      <xdr:row>222</xdr:row>
      <xdr:rowOff>95250</xdr:rowOff>
    </xdr:from>
    <xdr:to>
      <xdr:col>12</xdr:col>
      <xdr:colOff>329046</xdr:colOff>
      <xdr:row>222</xdr:row>
      <xdr:rowOff>226388</xdr:rowOff>
    </xdr:to>
    <xdr:sp macro="" textlink="">
      <xdr:nvSpPr>
        <xdr:cNvPr id="291" name="AutoShape 1">
          <a:extLst>
            <a:ext uri="{FF2B5EF4-FFF2-40B4-BE49-F238E27FC236}">
              <a16:creationId xmlns:a16="http://schemas.microsoft.com/office/drawing/2014/main" id="{00000000-0008-0000-1800-000023010000}"/>
            </a:ext>
          </a:extLst>
        </xdr:cNvPr>
        <xdr:cNvSpPr>
          <a:spLocks noChangeArrowheads="1"/>
        </xdr:cNvSpPr>
      </xdr:nvSpPr>
      <xdr:spPr bwMode="auto">
        <a:xfrm>
          <a:off x="4866410"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17</xdr:col>
      <xdr:colOff>77933</xdr:colOff>
      <xdr:row>222</xdr:row>
      <xdr:rowOff>95250</xdr:rowOff>
    </xdr:from>
    <xdr:to>
      <xdr:col>17</xdr:col>
      <xdr:colOff>329046</xdr:colOff>
      <xdr:row>222</xdr:row>
      <xdr:rowOff>226388</xdr:rowOff>
    </xdr:to>
    <xdr:sp macro="" textlink="">
      <xdr:nvSpPr>
        <xdr:cNvPr id="292" name="AutoShape 1">
          <a:extLst>
            <a:ext uri="{FF2B5EF4-FFF2-40B4-BE49-F238E27FC236}">
              <a16:creationId xmlns:a16="http://schemas.microsoft.com/office/drawing/2014/main" id="{00000000-0008-0000-1800-000024010000}"/>
            </a:ext>
          </a:extLst>
        </xdr:cNvPr>
        <xdr:cNvSpPr>
          <a:spLocks noChangeArrowheads="1"/>
        </xdr:cNvSpPr>
      </xdr:nvSpPr>
      <xdr:spPr bwMode="auto">
        <a:xfrm>
          <a:off x="6693478"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22</xdr:col>
      <xdr:colOff>77933</xdr:colOff>
      <xdr:row>222</xdr:row>
      <xdr:rowOff>95250</xdr:rowOff>
    </xdr:from>
    <xdr:to>
      <xdr:col>22</xdr:col>
      <xdr:colOff>329046</xdr:colOff>
      <xdr:row>222</xdr:row>
      <xdr:rowOff>226388</xdr:rowOff>
    </xdr:to>
    <xdr:sp macro="" textlink="">
      <xdr:nvSpPr>
        <xdr:cNvPr id="293" name="AutoShape 1">
          <a:extLst>
            <a:ext uri="{FF2B5EF4-FFF2-40B4-BE49-F238E27FC236}">
              <a16:creationId xmlns:a16="http://schemas.microsoft.com/office/drawing/2014/main" id="{00000000-0008-0000-1800-000025010000}"/>
            </a:ext>
          </a:extLst>
        </xdr:cNvPr>
        <xdr:cNvSpPr>
          <a:spLocks noChangeArrowheads="1"/>
        </xdr:cNvSpPr>
      </xdr:nvSpPr>
      <xdr:spPr bwMode="auto">
        <a:xfrm>
          <a:off x="8520547"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xdr:col>
      <xdr:colOff>300662</xdr:colOff>
      <xdr:row>251</xdr:row>
      <xdr:rowOff>95251</xdr:rowOff>
    </xdr:from>
    <xdr:to>
      <xdr:col>2</xdr:col>
      <xdr:colOff>294410</xdr:colOff>
      <xdr:row>251</xdr:row>
      <xdr:rowOff>200411</xdr:rowOff>
    </xdr:to>
    <xdr:sp macro="" textlink="">
      <xdr:nvSpPr>
        <xdr:cNvPr id="294" name="AutoShape 1">
          <a:extLst>
            <a:ext uri="{FF2B5EF4-FFF2-40B4-BE49-F238E27FC236}">
              <a16:creationId xmlns:a16="http://schemas.microsoft.com/office/drawing/2014/main" id="{00000000-0008-0000-1800-000026010000}"/>
            </a:ext>
          </a:extLst>
        </xdr:cNvPr>
        <xdr:cNvSpPr>
          <a:spLocks noChangeArrowheads="1"/>
        </xdr:cNvSpPr>
      </xdr:nvSpPr>
      <xdr:spPr bwMode="auto">
        <a:xfrm>
          <a:off x="1131935" y="5238751"/>
          <a:ext cx="348770" cy="105160"/>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7</xdr:col>
      <xdr:colOff>77932</xdr:colOff>
      <xdr:row>251</xdr:row>
      <xdr:rowOff>103909</xdr:rowOff>
    </xdr:from>
    <xdr:to>
      <xdr:col>7</xdr:col>
      <xdr:colOff>329045</xdr:colOff>
      <xdr:row>251</xdr:row>
      <xdr:rowOff>235047</xdr:rowOff>
    </xdr:to>
    <xdr:sp macro="" textlink="">
      <xdr:nvSpPr>
        <xdr:cNvPr id="295" name="AutoShape 1">
          <a:extLst>
            <a:ext uri="{FF2B5EF4-FFF2-40B4-BE49-F238E27FC236}">
              <a16:creationId xmlns:a16="http://schemas.microsoft.com/office/drawing/2014/main" id="{00000000-0008-0000-1800-000027010000}"/>
            </a:ext>
          </a:extLst>
        </xdr:cNvPr>
        <xdr:cNvSpPr>
          <a:spLocks noChangeArrowheads="1"/>
        </xdr:cNvSpPr>
      </xdr:nvSpPr>
      <xdr:spPr bwMode="auto">
        <a:xfrm>
          <a:off x="3039341" y="5247409"/>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12</xdr:col>
      <xdr:colOff>77933</xdr:colOff>
      <xdr:row>251</xdr:row>
      <xdr:rowOff>95250</xdr:rowOff>
    </xdr:from>
    <xdr:to>
      <xdr:col>12</xdr:col>
      <xdr:colOff>329046</xdr:colOff>
      <xdr:row>251</xdr:row>
      <xdr:rowOff>226388</xdr:rowOff>
    </xdr:to>
    <xdr:sp macro="" textlink="">
      <xdr:nvSpPr>
        <xdr:cNvPr id="296" name="AutoShape 1">
          <a:extLst>
            <a:ext uri="{FF2B5EF4-FFF2-40B4-BE49-F238E27FC236}">
              <a16:creationId xmlns:a16="http://schemas.microsoft.com/office/drawing/2014/main" id="{00000000-0008-0000-1800-000028010000}"/>
            </a:ext>
          </a:extLst>
        </xdr:cNvPr>
        <xdr:cNvSpPr>
          <a:spLocks noChangeArrowheads="1"/>
        </xdr:cNvSpPr>
      </xdr:nvSpPr>
      <xdr:spPr bwMode="auto">
        <a:xfrm>
          <a:off x="4866410"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17</xdr:col>
      <xdr:colOff>77933</xdr:colOff>
      <xdr:row>251</xdr:row>
      <xdr:rowOff>95250</xdr:rowOff>
    </xdr:from>
    <xdr:to>
      <xdr:col>17</xdr:col>
      <xdr:colOff>329046</xdr:colOff>
      <xdr:row>251</xdr:row>
      <xdr:rowOff>226388</xdr:rowOff>
    </xdr:to>
    <xdr:sp macro="" textlink="">
      <xdr:nvSpPr>
        <xdr:cNvPr id="297" name="AutoShape 1">
          <a:extLst>
            <a:ext uri="{FF2B5EF4-FFF2-40B4-BE49-F238E27FC236}">
              <a16:creationId xmlns:a16="http://schemas.microsoft.com/office/drawing/2014/main" id="{00000000-0008-0000-1800-000029010000}"/>
            </a:ext>
          </a:extLst>
        </xdr:cNvPr>
        <xdr:cNvSpPr>
          <a:spLocks noChangeArrowheads="1"/>
        </xdr:cNvSpPr>
      </xdr:nvSpPr>
      <xdr:spPr bwMode="auto">
        <a:xfrm>
          <a:off x="6693478"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22</xdr:col>
      <xdr:colOff>77933</xdr:colOff>
      <xdr:row>251</xdr:row>
      <xdr:rowOff>95250</xdr:rowOff>
    </xdr:from>
    <xdr:to>
      <xdr:col>22</xdr:col>
      <xdr:colOff>329046</xdr:colOff>
      <xdr:row>251</xdr:row>
      <xdr:rowOff>226388</xdr:rowOff>
    </xdr:to>
    <xdr:sp macro="" textlink="">
      <xdr:nvSpPr>
        <xdr:cNvPr id="298" name="AutoShape 1">
          <a:extLst>
            <a:ext uri="{FF2B5EF4-FFF2-40B4-BE49-F238E27FC236}">
              <a16:creationId xmlns:a16="http://schemas.microsoft.com/office/drawing/2014/main" id="{00000000-0008-0000-1800-00002A010000}"/>
            </a:ext>
          </a:extLst>
        </xdr:cNvPr>
        <xdr:cNvSpPr>
          <a:spLocks noChangeArrowheads="1"/>
        </xdr:cNvSpPr>
      </xdr:nvSpPr>
      <xdr:spPr bwMode="auto">
        <a:xfrm>
          <a:off x="8520547"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xdr:col>
      <xdr:colOff>300662</xdr:colOff>
      <xdr:row>280</xdr:row>
      <xdr:rowOff>95251</xdr:rowOff>
    </xdr:from>
    <xdr:to>
      <xdr:col>2</xdr:col>
      <xdr:colOff>294410</xdr:colOff>
      <xdr:row>280</xdr:row>
      <xdr:rowOff>200411</xdr:rowOff>
    </xdr:to>
    <xdr:sp macro="" textlink="">
      <xdr:nvSpPr>
        <xdr:cNvPr id="299" name="AutoShape 1">
          <a:extLst>
            <a:ext uri="{FF2B5EF4-FFF2-40B4-BE49-F238E27FC236}">
              <a16:creationId xmlns:a16="http://schemas.microsoft.com/office/drawing/2014/main" id="{00000000-0008-0000-1800-00002B010000}"/>
            </a:ext>
          </a:extLst>
        </xdr:cNvPr>
        <xdr:cNvSpPr>
          <a:spLocks noChangeArrowheads="1"/>
        </xdr:cNvSpPr>
      </xdr:nvSpPr>
      <xdr:spPr bwMode="auto">
        <a:xfrm>
          <a:off x="1131935" y="5238751"/>
          <a:ext cx="348770" cy="105160"/>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7</xdr:col>
      <xdr:colOff>77932</xdr:colOff>
      <xdr:row>280</xdr:row>
      <xdr:rowOff>103909</xdr:rowOff>
    </xdr:from>
    <xdr:to>
      <xdr:col>7</xdr:col>
      <xdr:colOff>329045</xdr:colOff>
      <xdr:row>280</xdr:row>
      <xdr:rowOff>235047</xdr:rowOff>
    </xdr:to>
    <xdr:sp macro="" textlink="">
      <xdr:nvSpPr>
        <xdr:cNvPr id="300" name="AutoShape 1">
          <a:extLst>
            <a:ext uri="{FF2B5EF4-FFF2-40B4-BE49-F238E27FC236}">
              <a16:creationId xmlns:a16="http://schemas.microsoft.com/office/drawing/2014/main" id="{00000000-0008-0000-1800-00002C010000}"/>
            </a:ext>
          </a:extLst>
        </xdr:cNvPr>
        <xdr:cNvSpPr>
          <a:spLocks noChangeArrowheads="1"/>
        </xdr:cNvSpPr>
      </xdr:nvSpPr>
      <xdr:spPr bwMode="auto">
        <a:xfrm>
          <a:off x="3039341" y="5247409"/>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12</xdr:col>
      <xdr:colOff>77933</xdr:colOff>
      <xdr:row>280</xdr:row>
      <xdr:rowOff>95250</xdr:rowOff>
    </xdr:from>
    <xdr:to>
      <xdr:col>12</xdr:col>
      <xdr:colOff>329046</xdr:colOff>
      <xdr:row>280</xdr:row>
      <xdr:rowOff>226388</xdr:rowOff>
    </xdr:to>
    <xdr:sp macro="" textlink="">
      <xdr:nvSpPr>
        <xdr:cNvPr id="301" name="AutoShape 1">
          <a:extLst>
            <a:ext uri="{FF2B5EF4-FFF2-40B4-BE49-F238E27FC236}">
              <a16:creationId xmlns:a16="http://schemas.microsoft.com/office/drawing/2014/main" id="{00000000-0008-0000-1800-00002D010000}"/>
            </a:ext>
          </a:extLst>
        </xdr:cNvPr>
        <xdr:cNvSpPr>
          <a:spLocks noChangeArrowheads="1"/>
        </xdr:cNvSpPr>
      </xdr:nvSpPr>
      <xdr:spPr bwMode="auto">
        <a:xfrm>
          <a:off x="4866410"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17</xdr:col>
      <xdr:colOff>77933</xdr:colOff>
      <xdr:row>280</xdr:row>
      <xdr:rowOff>95250</xdr:rowOff>
    </xdr:from>
    <xdr:to>
      <xdr:col>17</xdr:col>
      <xdr:colOff>329046</xdr:colOff>
      <xdr:row>280</xdr:row>
      <xdr:rowOff>226388</xdr:rowOff>
    </xdr:to>
    <xdr:sp macro="" textlink="">
      <xdr:nvSpPr>
        <xdr:cNvPr id="302" name="AutoShape 1">
          <a:extLst>
            <a:ext uri="{FF2B5EF4-FFF2-40B4-BE49-F238E27FC236}">
              <a16:creationId xmlns:a16="http://schemas.microsoft.com/office/drawing/2014/main" id="{00000000-0008-0000-1800-00002E010000}"/>
            </a:ext>
          </a:extLst>
        </xdr:cNvPr>
        <xdr:cNvSpPr>
          <a:spLocks noChangeArrowheads="1"/>
        </xdr:cNvSpPr>
      </xdr:nvSpPr>
      <xdr:spPr bwMode="auto">
        <a:xfrm>
          <a:off x="6693478"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22</xdr:col>
      <xdr:colOff>77933</xdr:colOff>
      <xdr:row>280</xdr:row>
      <xdr:rowOff>95250</xdr:rowOff>
    </xdr:from>
    <xdr:to>
      <xdr:col>22</xdr:col>
      <xdr:colOff>329046</xdr:colOff>
      <xdr:row>280</xdr:row>
      <xdr:rowOff>226388</xdr:rowOff>
    </xdr:to>
    <xdr:sp macro="" textlink="">
      <xdr:nvSpPr>
        <xdr:cNvPr id="303" name="AutoShape 1">
          <a:extLst>
            <a:ext uri="{FF2B5EF4-FFF2-40B4-BE49-F238E27FC236}">
              <a16:creationId xmlns:a16="http://schemas.microsoft.com/office/drawing/2014/main" id="{00000000-0008-0000-1800-00002F010000}"/>
            </a:ext>
          </a:extLst>
        </xdr:cNvPr>
        <xdr:cNvSpPr>
          <a:spLocks noChangeArrowheads="1"/>
        </xdr:cNvSpPr>
      </xdr:nvSpPr>
      <xdr:spPr bwMode="auto">
        <a:xfrm>
          <a:off x="8520547"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xdr:col>
      <xdr:colOff>300662</xdr:colOff>
      <xdr:row>309</xdr:row>
      <xdr:rowOff>95251</xdr:rowOff>
    </xdr:from>
    <xdr:to>
      <xdr:col>2</xdr:col>
      <xdr:colOff>294410</xdr:colOff>
      <xdr:row>309</xdr:row>
      <xdr:rowOff>200411</xdr:rowOff>
    </xdr:to>
    <xdr:sp macro="" textlink="">
      <xdr:nvSpPr>
        <xdr:cNvPr id="304" name="AutoShape 1">
          <a:extLst>
            <a:ext uri="{FF2B5EF4-FFF2-40B4-BE49-F238E27FC236}">
              <a16:creationId xmlns:a16="http://schemas.microsoft.com/office/drawing/2014/main" id="{00000000-0008-0000-1800-000030010000}"/>
            </a:ext>
          </a:extLst>
        </xdr:cNvPr>
        <xdr:cNvSpPr>
          <a:spLocks noChangeArrowheads="1"/>
        </xdr:cNvSpPr>
      </xdr:nvSpPr>
      <xdr:spPr bwMode="auto">
        <a:xfrm>
          <a:off x="1131935" y="5238751"/>
          <a:ext cx="348770" cy="105160"/>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7</xdr:col>
      <xdr:colOff>77932</xdr:colOff>
      <xdr:row>309</xdr:row>
      <xdr:rowOff>103909</xdr:rowOff>
    </xdr:from>
    <xdr:to>
      <xdr:col>7</xdr:col>
      <xdr:colOff>329045</xdr:colOff>
      <xdr:row>309</xdr:row>
      <xdr:rowOff>235047</xdr:rowOff>
    </xdr:to>
    <xdr:sp macro="" textlink="">
      <xdr:nvSpPr>
        <xdr:cNvPr id="305" name="AutoShape 1">
          <a:extLst>
            <a:ext uri="{FF2B5EF4-FFF2-40B4-BE49-F238E27FC236}">
              <a16:creationId xmlns:a16="http://schemas.microsoft.com/office/drawing/2014/main" id="{00000000-0008-0000-1800-000031010000}"/>
            </a:ext>
          </a:extLst>
        </xdr:cNvPr>
        <xdr:cNvSpPr>
          <a:spLocks noChangeArrowheads="1"/>
        </xdr:cNvSpPr>
      </xdr:nvSpPr>
      <xdr:spPr bwMode="auto">
        <a:xfrm>
          <a:off x="3039341" y="5247409"/>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12</xdr:col>
      <xdr:colOff>77933</xdr:colOff>
      <xdr:row>309</xdr:row>
      <xdr:rowOff>95250</xdr:rowOff>
    </xdr:from>
    <xdr:to>
      <xdr:col>12</xdr:col>
      <xdr:colOff>329046</xdr:colOff>
      <xdr:row>309</xdr:row>
      <xdr:rowOff>226388</xdr:rowOff>
    </xdr:to>
    <xdr:sp macro="" textlink="">
      <xdr:nvSpPr>
        <xdr:cNvPr id="306" name="AutoShape 1">
          <a:extLst>
            <a:ext uri="{FF2B5EF4-FFF2-40B4-BE49-F238E27FC236}">
              <a16:creationId xmlns:a16="http://schemas.microsoft.com/office/drawing/2014/main" id="{00000000-0008-0000-1800-000032010000}"/>
            </a:ext>
          </a:extLst>
        </xdr:cNvPr>
        <xdr:cNvSpPr>
          <a:spLocks noChangeArrowheads="1"/>
        </xdr:cNvSpPr>
      </xdr:nvSpPr>
      <xdr:spPr bwMode="auto">
        <a:xfrm>
          <a:off x="4866410"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17</xdr:col>
      <xdr:colOff>77933</xdr:colOff>
      <xdr:row>309</xdr:row>
      <xdr:rowOff>95250</xdr:rowOff>
    </xdr:from>
    <xdr:to>
      <xdr:col>17</xdr:col>
      <xdr:colOff>329046</xdr:colOff>
      <xdr:row>309</xdr:row>
      <xdr:rowOff>226388</xdr:rowOff>
    </xdr:to>
    <xdr:sp macro="" textlink="">
      <xdr:nvSpPr>
        <xdr:cNvPr id="307" name="AutoShape 1">
          <a:extLst>
            <a:ext uri="{FF2B5EF4-FFF2-40B4-BE49-F238E27FC236}">
              <a16:creationId xmlns:a16="http://schemas.microsoft.com/office/drawing/2014/main" id="{00000000-0008-0000-1800-000033010000}"/>
            </a:ext>
          </a:extLst>
        </xdr:cNvPr>
        <xdr:cNvSpPr>
          <a:spLocks noChangeArrowheads="1"/>
        </xdr:cNvSpPr>
      </xdr:nvSpPr>
      <xdr:spPr bwMode="auto">
        <a:xfrm>
          <a:off x="6693478"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22</xdr:col>
      <xdr:colOff>77933</xdr:colOff>
      <xdr:row>309</xdr:row>
      <xdr:rowOff>95250</xdr:rowOff>
    </xdr:from>
    <xdr:to>
      <xdr:col>22</xdr:col>
      <xdr:colOff>329046</xdr:colOff>
      <xdr:row>309</xdr:row>
      <xdr:rowOff>226388</xdr:rowOff>
    </xdr:to>
    <xdr:sp macro="" textlink="">
      <xdr:nvSpPr>
        <xdr:cNvPr id="308" name="AutoShape 1">
          <a:extLst>
            <a:ext uri="{FF2B5EF4-FFF2-40B4-BE49-F238E27FC236}">
              <a16:creationId xmlns:a16="http://schemas.microsoft.com/office/drawing/2014/main" id="{00000000-0008-0000-1800-000034010000}"/>
            </a:ext>
          </a:extLst>
        </xdr:cNvPr>
        <xdr:cNvSpPr>
          <a:spLocks noChangeArrowheads="1"/>
        </xdr:cNvSpPr>
      </xdr:nvSpPr>
      <xdr:spPr bwMode="auto">
        <a:xfrm>
          <a:off x="8520547"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xdr:col>
      <xdr:colOff>300662</xdr:colOff>
      <xdr:row>338</xdr:row>
      <xdr:rowOff>95251</xdr:rowOff>
    </xdr:from>
    <xdr:to>
      <xdr:col>2</xdr:col>
      <xdr:colOff>294410</xdr:colOff>
      <xdr:row>338</xdr:row>
      <xdr:rowOff>200411</xdr:rowOff>
    </xdr:to>
    <xdr:sp macro="" textlink="">
      <xdr:nvSpPr>
        <xdr:cNvPr id="309" name="AutoShape 1">
          <a:extLst>
            <a:ext uri="{FF2B5EF4-FFF2-40B4-BE49-F238E27FC236}">
              <a16:creationId xmlns:a16="http://schemas.microsoft.com/office/drawing/2014/main" id="{00000000-0008-0000-1800-000035010000}"/>
            </a:ext>
          </a:extLst>
        </xdr:cNvPr>
        <xdr:cNvSpPr>
          <a:spLocks noChangeArrowheads="1"/>
        </xdr:cNvSpPr>
      </xdr:nvSpPr>
      <xdr:spPr bwMode="auto">
        <a:xfrm>
          <a:off x="1131935" y="5238751"/>
          <a:ext cx="348770" cy="105160"/>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7</xdr:col>
      <xdr:colOff>77932</xdr:colOff>
      <xdr:row>338</xdr:row>
      <xdr:rowOff>103909</xdr:rowOff>
    </xdr:from>
    <xdr:to>
      <xdr:col>7</xdr:col>
      <xdr:colOff>329045</xdr:colOff>
      <xdr:row>338</xdr:row>
      <xdr:rowOff>235047</xdr:rowOff>
    </xdr:to>
    <xdr:sp macro="" textlink="">
      <xdr:nvSpPr>
        <xdr:cNvPr id="310" name="AutoShape 1">
          <a:extLst>
            <a:ext uri="{FF2B5EF4-FFF2-40B4-BE49-F238E27FC236}">
              <a16:creationId xmlns:a16="http://schemas.microsoft.com/office/drawing/2014/main" id="{00000000-0008-0000-1800-000036010000}"/>
            </a:ext>
          </a:extLst>
        </xdr:cNvPr>
        <xdr:cNvSpPr>
          <a:spLocks noChangeArrowheads="1"/>
        </xdr:cNvSpPr>
      </xdr:nvSpPr>
      <xdr:spPr bwMode="auto">
        <a:xfrm>
          <a:off x="3039341" y="5247409"/>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12</xdr:col>
      <xdr:colOff>77933</xdr:colOff>
      <xdr:row>338</xdr:row>
      <xdr:rowOff>95250</xdr:rowOff>
    </xdr:from>
    <xdr:to>
      <xdr:col>12</xdr:col>
      <xdr:colOff>329046</xdr:colOff>
      <xdr:row>338</xdr:row>
      <xdr:rowOff>226388</xdr:rowOff>
    </xdr:to>
    <xdr:sp macro="" textlink="">
      <xdr:nvSpPr>
        <xdr:cNvPr id="311" name="AutoShape 1">
          <a:extLst>
            <a:ext uri="{FF2B5EF4-FFF2-40B4-BE49-F238E27FC236}">
              <a16:creationId xmlns:a16="http://schemas.microsoft.com/office/drawing/2014/main" id="{00000000-0008-0000-1800-000037010000}"/>
            </a:ext>
          </a:extLst>
        </xdr:cNvPr>
        <xdr:cNvSpPr>
          <a:spLocks noChangeArrowheads="1"/>
        </xdr:cNvSpPr>
      </xdr:nvSpPr>
      <xdr:spPr bwMode="auto">
        <a:xfrm>
          <a:off x="4866410"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17</xdr:col>
      <xdr:colOff>77933</xdr:colOff>
      <xdr:row>338</xdr:row>
      <xdr:rowOff>95250</xdr:rowOff>
    </xdr:from>
    <xdr:to>
      <xdr:col>17</xdr:col>
      <xdr:colOff>329046</xdr:colOff>
      <xdr:row>338</xdr:row>
      <xdr:rowOff>226388</xdr:rowOff>
    </xdr:to>
    <xdr:sp macro="" textlink="">
      <xdr:nvSpPr>
        <xdr:cNvPr id="312" name="AutoShape 1">
          <a:extLst>
            <a:ext uri="{FF2B5EF4-FFF2-40B4-BE49-F238E27FC236}">
              <a16:creationId xmlns:a16="http://schemas.microsoft.com/office/drawing/2014/main" id="{00000000-0008-0000-1800-000038010000}"/>
            </a:ext>
          </a:extLst>
        </xdr:cNvPr>
        <xdr:cNvSpPr>
          <a:spLocks noChangeArrowheads="1"/>
        </xdr:cNvSpPr>
      </xdr:nvSpPr>
      <xdr:spPr bwMode="auto">
        <a:xfrm>
          <a:off x="6693478"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22</xdr:col>
      <xdr:colOff>77933</xdr:colOff>
      <xdr:row>338</xdr:row>
      <xdr:rowOff>95250</xdr:rowOff>
    </xdr:from>
    <xdr:to>
      <xdr:col>22</xdr:col>
      <xdr:colOff>329046</xdr:colOff>
      <xdr:row>338</xdr:row>
      <xdr:rowOff>226388</xdr:rowOff>
    </xdr:to>
    <xdr:sp macro="" textlink="">
      <xdr:nvSpPr>
        <xdr:cNvPr id="313" name="AutoShape 1">
          <a:extLst>
            <a:ext uri="{FF2B5EF4-FFF2-40B4-BE49-F238E27FC236}">
              <a16:creationId xmlns:a16="http://schemas.microsoft.com/office/drawing/2014/main" id="{00000000-0008-0000-1800-000039010000}"/>
            </a:ext>
          </a:extLst>
        </xdr:cNvPr>
        <xdr:cNvSpPr>
          <a:spLocks noChangeArrowheads="1"/>
        </xdr:cNvSpPr>
      </xdr:nvSpPr>
      <xdr:spPr bwMode="auto">
        <a:xfrm>
          <a:off x="8520547"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xdr:col>
      <xdr:colOff>300662</xdr:colOff>
      <xdr:row>367</xdr:row>
      <xdr:rowOff>95251</xdr:rowOff>
    </xdr:from>
    <xdr:to>
      <xdr:col>2</xdr:col>
      <xdr:colOff>294410</xdr:colOff>
      <xdr:row>367</xdr:row>
      <xdr:rowOff>200411</xdr:rowOff>
    </xdr:to>
    <xdr:sp macro="" textlink="">
      <xdr:nvSpPr>
        <xdr:cNvPr id="314" name="AutoShape 1">
          <a:extLst>
            <a:ext uri="{FF2B5EF4-FFF2-40B4-BE49-F238E27FC236}">
              <a16:creationId xmlns:a16="http://schemas.microsoft.com/office/drawing/2014/main" id="{00000000-0008-0000-1800-00003A010000}"/>
            </a:ext>
          </a:extLst>
        </xdr:cNvPr>
        <xdr:cNvSpPr>
          <a:spLocks noChangeArrowheads="1"/>
        </xdr:cNvSpPr>
      </xdr:nvSpPr>
      <xdr:spPr bwMode="auto">
        <a:xfrm>
          <a:off x="1131935" y="5238751"/>
          <a:ext cx="348770" cy="105160"/>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7</xdr:col>
      <xdr:colOff>77932</xdr:colOff>
      <xdr:row>367</xdr:row>
      <xdr:rowOff>103909</xdr:rowOff>
    </xdr:from>
    <xdr:to>
      <xdr:col>7</xdr:col>
      <xdr:colOff>329045</xdr:colOff>
      <xdr:row>367</xdr:row>
      <xdr:rowOff>235047</xdr:rowOff>
    </xdr:to>
    <xdr:sp macro="" textlink="">
      <xdr:nvSpPr>
        <xdr:cNvPr id="315" name="AutoShape 1">
          <a:extLst>
            <a:ext uri="{FF2B5EF4-FFF2-40B4-BE49-F238E27FC236}">
              <a16:creationId xmlns:a16="http://schemas.microsoft.com/office/drawing/2014/main" id="{00000000-0008-0000-1800-00003B010000}"/>
            </a:ext>
          </a:extLst>
        </xdr:cNvPr>
        <xdr:cNvSpPr>
          <a:spLocks noChangeArrowheads="1"/>
        </xdr:cNvSpPr>
      </xdr:nvSpPr>
      <xdr:spPr bwMode="auto">
        <a:xfrm>
          <a:off x="3039341" y="5247409"/>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12</xdr:col>
      <xdr:colOff>77933</xdr:colOff>
      <xdr:row>367</xdr:row>
      <xdr:rowOff>95250</xdr:rowOff>
    </xdr:from>
    <xdr:to>
      <xdr:col>12</xdr:col>
      <xdr:colOff>329046</xdr:colOff>
      <xdr:row>367</xdr:row>
      <xdr:rowOff>226388</xdr:rowOff>
    </xdr:to>
    <xdr:sp macro="" textlink="">
      <xdr:nvSpPr>
        <xdr:cNvPr id="316" name="AutoShape 1">
          <a:extLst>
            <a:ext uri="{FF2B5EF4-FFF2-40B4-BE49-F238E27FC236}">
              <a16:creationId xmlns:a16="http://schemas.microsoft.com/office/drawing/2014/main" id="{00000000-0008-0000-1800-00003C010000}"/>
            </a:ext>
          </a:extLst>
        </xdr:cNvPr>
        <xdr:cNvSpPr>
          <a:spLocks noChangeArrowheads="1"/>
        </xdr:cNvSpPr>
      </xdr:nvSpPr>
      <xdr:spPr bwMode="auto">
        <a:xfrm>
          <a:off x="4866410"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17</xdr:col>
      <xdr:colOff>77933</xdr:colOff>
      <xdr:row>367</xdr:row>
      <xdr:rowOff>95250</xdr:rowOff>
    </xdr:from>
    <xdr:to>
      <xdr:col>17</xdr:col>
      <xdr:colOff>329046</xdr:colOff>
      <xdr:row>367</xdr:row>
      <xdr:rowOff>226388</xdr:rowOff>
    </xdr:to>
    <xdr:sp macro="" textlink="">
      <xdr:nvSpPr>
        <xdr:cNvPr id="317" name="AutoShape 1">
          <a:extLst>
            <a:ext uri="{FF2B5EF4-FFF2-40B4-BE49-F238E27FC236}">
              <a16:creationId xmlns:a16="http://schemas.microsoft.com/office/drawing/2014/main" id="{00000000-0008-0000-1800-00003D010000}"/>
            </a:ext>
          </a:extLst>
        </xdr:cNvPr>
        <xdr:cNvSpPr>
          <a:spLocks noChangeArrowheads="1"/>
        </xdr:cNvSpPr>
      </xdr:nvSpPr>
      <xdr:spPr bwMode="auto">
        <a:xfrm>
          <a:off x="6693478"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22</xdr:col>
      <xdr:colOff>77933</xdr:colOff>
      <xdr:row>367</xdr:row>
      <xdr:rowOff>95250</xdr:rowOff>
    </xdr:from>
    <xdr:to>
      <xdr:col>22</xdr:col>
      <xdr:colOff>329046</xdr:colOff>
      <xdr:row>367</xdr:row>
      <xdr:rowOff>226388</xdr:rowOff>
    </xdr:to>
    <xdr:sp macro="" textlink="">
      <xdr:nvSpPr>
        <xdr:cNvPr id="318" name="AutoShape 1">
          <a:extLst>
            <a:ext uri="{FF2B5EF4-FFF2-40B4-BE49-F238E27FC236}">
              <a16:creationId xmlns:a16="http://schemas.microsoft.com/office/drawing/2014/main" id="{00000000-0008-0000-1800-00003E010000}"/>
            </a:ext>
          </a:extLst>
        </xdr:cNvPr>
        <xdr:cNvSpPr>
          <a:spLocks noChangeArrowheads="1"/>
        </xdr:cNvSpPr>
      </xdr:nvSpPr>
      <xdr:spPr bwMode="auto">
        <a:xfrm>
          <a:off x="8520547"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xdr:col>
      <xdr:colOff>300662</xdr:colOff>
      <xdr:row>396</xdr:row>
      <xdr:rowOff>95251</xdr:rowOff>
    </xdr:from>
    <xdr:to>
      <xdr:col>2</xdr:col>
      <xdr:colOff>294410</xdr:colOff>
      <xdr:row>396</xdr:row>
      <xdr:rowOff>200411</xdr:rowOff>
    </xdr:to>
    <xdr:sp macro="" textlink="">
      <xdr:nvSpPr>
        <xdr:cNvPr id="319" name="AutoShape 1">
          <a:extLst>
            <a:ext uri="{FF2B5EF4-FFF2-40B4-BE49-F238E27FC236}">
              <a16:creationId xmlns:a16="http://schemas.microsoft.com/office/drawing/2014/main" id="{00000000-0008-0000-1800-00003F010000}"/>
            </a:ext>
          </a:extLst>
        </xdr:cNvPr>
        <xdr:cNvSpPr>
          <a:spLocks noChangeArrowheads="1"/>
        </xdr:cNvSpPr>
      </xdr:nvSpPr>
      <xdr:spPr bwMode="auto">
        <a:xfrm>
          <a:off x="1131935" y="5238751"/>
          <a:ext cx="348770" cy="105160"/>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7</xdr:col>
      <xdr:colOff>77932</xdr:colOff>
      <xdr:row>396</xdr:row>
      <xdr:rowOff>103909</xdr:rowOff>
    </xdr:from>
    <xdr:to>
      <xdr:col>7</xdr:col>
      <xdr:colOff>329045</xdr:colOff>
      <xdr:row>396</xdr:row>
      <xdr:rowOff>235047</xdr:rowOff>
    </xdr:to>
    <xdr:sp macro="" textlink="">
      <xdr:nvSpPr>
        <xdr:cNvPr id="320" name="AutoShape 1">
          <a:extLst>
            <a:ext uri="{FF2B5EF4-FFF2-40B4-BE49-F238E27FC236}">
              <a16:creationId xmlns:a16="http://schemas.microsoft.com/office/drawing/2014/main" id="{00000000-0008-0000-1800-000040010000}"/>
            </a:ext>
          </a:extLst>
        </xdr:cNvPr>
        <xdr:cNvSpPr>
          <a:spLocks noChangeArrowheads="1"/>
        </xdr:cNvSpPr>
      </xdr:nvSpPr>
      <xdr:spPr bwMode="auto">
        <a:xfrm>
          <a:off x="3039341" y="5247409"/>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12</xdr:col>
      <xdr:colOff>77933</xdr:colOff>
      <xdr:row>396</xdr:row>
      <xdr:rowOff>95250</xdr:rowOff>
    </xdr:from>
    <xdr:to>
      <xdr:col>12</xdr:col>
      <xdr:colOff>329046</xdr:colOff>
      <xdr:row>396</xdr:row>
      <xdr:rowOff>226388</xdr:rowOff>
    </xdr:to>
    <xdr:sp macro="" textlink="">
      <xdr:nvSpPr>
        <xdr:cNvPr id="321" name="AutoShape 1">
          <a:extLst>
            <a:ext uri="{FF2B5EF4-FFF2-40B4-BE49-F238E27FC236}">
              <a16:creationId xmlns:a16="http://schemas.microsoft.com/office/drawing/2014/main" id="{00000000-0008-0000-1800-000041010000}"/>
            </a:ext>
          </a:extLst>
        </xdr:cNvPr>
        <xdr:cNvSpPr>
          <a:spLocks noChangeArrowheads="1"/>
        </xdr:cNvSpPr>
      </xdr:nvSpPr>
      <xdr:spPr bwMode="auto">
        <a:xfrm>
          <a:off x="4866410"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17</xdr:col>
      <xdr:colOff>77933</xdr:colOff>
      <xdr:row>396</xdr:row>
      <xdr:rowOff>95250</xdr:rowOff>
    </xdr:from>
    <xdr:to>
      <xdr:col>17</xdr:col>
      <xdr:colOff>329046</xdr:colOff>
      <xdr:row>396</xdr:row>
      <xdr:rowOff>226388</xdr:rowOff>
    </xdr:to>
    <xdr:sp macro="" textlink="">
      <xdr:nvSpPr>
        <xdr:cNvPr id="322" name="AutoShape 1">
          <a:extLst>
            <a:ext uri="{FF2B5EF4-FFF2-40B4-BE49-F238E27FC236}">
              <a16:creationId xmlns:a16="http://schemas.microsoft.com/office/drawing/2014/main" id="{00000000-0008-0000-1800-000042010000}"/>
            </a:ext>
          </a:extLst>
        </xdr:cNvPr>
        <xdr:cNvSpPr>
          <a:spLocks noChangeArrowheads="1"/>
        </xdr:cNvSpPr>
      </xdr:nvSpPr>
      <xdr:spPr bwMode="auto">
        <a:xfrm>
          <a:off x="6693478"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22</xdr:col>
      <xdr:colOff>77933</xdr:colOff>
      <xdr:row>396</xdr:row>
      <xdr:rowOff>95250</xdr:rowOff>
    </xdr:from>
    <xdr:to>
      <xdr:col>22</xdr:col>
      <xdr:colOff>329046</xdr:colOff>
      <xdr:row>396</xdr:row>
      <xdr:rowOff>226388</xdr:rowOff>
    </xdr:to>
    <xdr:sp macro="" textlink="">
      <xdr:nvSpPr>
        <xdr:cNvPr id="323" name="AutoShape 1">
          <a:extLst>
            <a:ext uri="{FF2B5EF4-FFF2-40B4-BE49-F238E27FC236}">
              <a16:creationId xmlns:a16="http://schemas.microsoft.com/office/drawing/2014/main" id="{00000000-0008-0000-1800-000043010000}"/>
            </a:ext>
          </a:extLst>
        </xdr:cNvPr>
        <xdr:cNvSpPr>
          <a:spLocks noChangeArrowheads="1"/>
        </xdr:cNvSpPr>
      </xdr:nvSpPr>
      <xdr:spPr bwMode="auto">
        <a:xfrm>
          <a:off x="8520547"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xdr:col>
      <xdr:colOff>300662</xdr:colOff>
      <xdr:row>425</xdr:row>
      <xdr:rowOff>95251</xdr:rowOff>
    </xdr:from>
    <xdr:to>
      <xdr:col>2</xdr:col>
      <xdr:colOff>294410</xdr:colOff>
      <xdr:row>425</xdr:row>
      <xdr:rowOff>200411</xdr:rowOff>
    </xdr:to>
    <xdr:sp macro="" textlink="">
      <xdr:nvSpPr>
        <xdr:cNvPr id="324" name="AutoShape 1">
          <a:extLst>
            <a:ext uri="{FF2B5EF4-FFF2-40B4-BE49-F238E27FC236}">
              <a16:creationId xmlns:a16="http://schemas.microsoft.com/office/drawing/2014/main" id="{00000000-0008-0000-1800-000044010000}"/>
            </a:ext>
          </a:extLst>
        </xdr:cNvPr>
        <xdr:cNvSpPr>
          <a:spLocks noChangeArrowheads="1"/>
        </xdr:cNvSpPr>
      </xdr:nvSpPr>
      <xdr:spPr bwMode="auto">
        <a:xfrm>
          <a:off x="1131935" y="5238751"/>
          <a:ext cx="348770" cy="105160"/>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7</xdr:col>
      <xdr:colOff>77932</xdr:colOff>
      <xdr:row>425</xdr:row>
      <xdr:rowOff>103909</xdr:rowOff>
    </xdr:from>
    <xdr:to>
      <xdr:col>7</xdr:col>
      <xdr:colOff>329045</xdr:colOff>
      <xdr:row>425</xdr:row>
      <xdr:rowOff>235047</xdr:rowOff>
    </xdr:to>
    <xdr:sp macro="" textlink="">
      <xdr:nvSpPr>
        <xdr:cNvPr id="325" name="AutoShape 1">
          <a:extLst>
            <a:ext uri="{FF2B5EF4-FFF2-40B4-BE49-F238E27FC236}">
              <a16:creationId xmlns:a16="http://schemas.microsoft.com/office/drawing/2014/main" id="{00000000-0008-0000-1800-000045010000}"/>
            </a:ext>
          </a:extLst>
        </xdr:cNvPr>
        <xdr:cNvSpPr>
          <a:spLocks noChangeArrowheads="1"/>
        </xdr:cNvSpPr>
      </xdr:nvSpPr>
      <xdr:spPr bwMode="auto">
        <a:xfrm>
          <a:off x="3039341" y="5247409"/>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12</xdr:col>
      <xdr:colOff>77933</xdr:colOff>
      <xdr:row>425</xdr:row>
      <xdr:rowOff>95250</xdr:rowOff>
    </xdr:from>
    <xdr:to>
      <xdr:col>12</xdr:col>
      <xdr:colOff>329046</xdr:colOff>
      <xdr:row>425</xdr:row>
      <xdr:rowOff>226388</xdr:rowOff>
    </xdr:to>
    <xdr:sp macro="" textlink="">
      <xdr:nvSpPr>
        <xdr:cNvPr id="326" name="AutoShape 1">
          <a:extLst>
            <a:ext uri="{FF2B5EF4-FFF2-40B4-BE49-F238E27FC236}">
              <a16:creationId xmlns:a16="http://schemas.microsoft.com/office/drawing/2014/main" id="{00000000-0008-0000-1800-000046010000}"/>
            </a:ext>
          </a:extLst>
        </xdr:cNvPr>
        <xdr:cNvSpPr>
          <a:spLocks noChangeArrowheads="1"/>
        </xdr:cNvSpPr>
      </xdr:nvSpPr>
      <xdr:spPr bwMode="auto">
        <a:xfrm>
          <a:off x="4866410"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17</xdr:col>
      <xdr:colOff>77933</xdr:colOff>
      <xdr:row>425</xdr:row>
      <xdr:rowOff>95250</xdr:rowOff>
    </xdr:from>
    <xdr:to>
      <xdr:col>17</xdr:col>
      <xdr:colOff>329046</xdr:colOff>
      <xdr:row>425</xdr:row>
      <xdr:rowOff>226388</xdr:rowOff>
    </xdr:to>
    <xdr:sp macro="" textlink="">
      <xdr:nvSpPr>
        <xdr:cNvPr id="327" name="AutoShape 1">
          <a:extLst>
            <a:ext uri="{FF2B5EF4-FFF2-40B4-BE49-F238E27FC236}">
              <a16:creationId xmlns:a16="http://schemas.microsoft.com/office/drawing/2014/main" id="{00000000-0008-0000-1800-000047010000}"/>
            </a:ext>
          </a:extLst>
        </xdr:cNvPr>
        <xdr:cNvSpPr>
          <a:spLocks noChangeArrowheads="1"/>
        </xdr:cNvSpPr>
      </xdr:nvSpPr>
      <xdr:spPr bwMode="auto">
        <a:xfrm>
          <a:off x="6693478"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22</xdr:col>
      <xdr:colOff>77933</xdr:colOff>
      <xdr:row>425</xdr:row>
      <xdr:rowOff>95250</xdr:rowOff>
    </xdr:from>
    <xdr:to>
      <xdr:col>22</xdr:col>
      <xdr:colOff>329046</xdr:colOff>
      <xdr:row>425</xdr:row>
      <xdr:rowOff>226388</xdr:rowOff>
    </xdr:to>
    <xdr:sp macro="" textlink="">
      <xdr:nvSpPr>
        <xdr:cNvPr id="328" name="AutoShape 1">
          <a:extLst>
            <a:ext uri="{FF2B5EF4-FFF2-40B4-BE49-F238E27FC236}">
              <a16:creationId xmlns:a16="http://schemas.microsoft.com/office/drawing/2014/main" id="{00000000-0008-0000-1800-000048010000}"/>
            </a:ext>
          </a:extLst>
        </xdr:cNvPr>
        <xdr:cNvSpPr>
          <a:spLocks noChangeArrowheads="1"/>
        </xdr:cNvSpPr>
      </xdr:nvSpPr>
      <xdr:spPr bwMode="auto">
        <a:xfrm>
          <a:off x="8520547"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xdr:col>
      <xdr:colOff>300662</xdr:colOff>
      <xdr:row>454</xdr:row>
      <xdr:rowOff>95251</xdr:rowOff>
    </xdr:from>
    <xdr:to>
      <xdr:col>2</xdr:col>
      <xdr:colOff>294410</xdr:colOff>
      <xdr:row>454</xdr:row>
      <xdr:rowOff>200411</xdr:rowOff>
    </xdr:to>
    <xdr:sp macro="" textlink="">
      <xdr:nvSpPr>
        <xdr:cNvPr id="329" name="AutoShape 1">
          <a:extLst>
            <a:ext uri="{FF2B5EF4-FFF2-40B4-BE49-F238E27FC236}">
              <a16:creationId xmlns:a16="http://schemas.microsoft.com/office/drawing/2014/main" id="{00000000-0008-0000-1800-000049010000}"/>
            </a:ext>
          </a:extLst>
        </xdr:cNvPr>
        <xdr:cNvSpPr>
          <a:spLocks noChangeArrowheads="1"/>
        </xdr:cNvSpPr>
      </xdr:nvSpPr>
      <xdr:spPr bwMode="auto">
        <a:xfrm>
          <a:off x="1131935" y="5238751"/>
          <a:ext cx="348770" cy="105160"/>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7</xdr:col>
      <xdr:colOff>77932</xdr:colOff>
      <xdr:row>454</xdr:row>
      <xdr:rowOff>103909</xdr:rowOff>
    </xdr:from>
    <xdr:to>
      <xdr:col>7</xdr:col>
      <xdr:colOff>329045</xdr:colOff>
      <xdr:row>454</xdr:row>
      <xdr:rowOff>235047</xdr:rowOff>
    </xdr:to>
    <xdr:sp macro="" textlink="">
      <xdr:nvSpPr>
        <xdr:cNvPr id="330" name="AutoShape 1">
          <a:extLst>
            <a:ext uri="{FF2B5EF4-FFF2-40B4-BE49-F238E27FC236}">
              <a16:creationId xmlns:a16="http://schemas.microsoft.com/office/drawing/2014/main" id="{00000000-0008-0000-1800-00004A010000}"/>
            </a:ext>
          </a:extLst>
        </xdr:cNvPr>
        <xdr:cNvSpPr>
          <a:spLocks noChangeArrowheads="1"/>
        </xdr:cNvSpPr>
      </xdr:nvSpPr>
      <xdr:spPr bwMode="auto">
        <a:xfrm>
          <a:off x="3039341" y="5247409"/>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12</xdr:col>
      <xdr:colOff>77933</xdr:colOff>
      <xdr:row>454</xdr:row>
      <xdr:rowOff>95250</xdr:rowOff>
    </xdr:from>
    <xdr:to>
      <xdr:col>12</xdr:col>
      <xdr:colOff>329046</xdr:colOff>
      <xdr:row>454</xdr:row>
      <xdr:rowOff>226388</xdr:rowOff>
    </xdr:to>
    <xdr:sp macro="" textlink="">
      <xdr:nvSpPr>
        <xdr:cNvPr id="331" name="AutoShape 1">
          <a:extLst>
            <a:ext uri="{FF2B5EF4-FFF2-40B4-BE49-F238E27FC236}">
              <a16:creationId xmlns:a16="http://schemas.microsoft.com/office/drawing/2014/main" id="{00000000-0008-0000-1800-00004B010000}"/>
            </a:ext>
          </a:extLst>
        </xdr:cNvPr>
        <xdr:cNvSpPr>
          <a:spLocks noChangeArrowheads="1"/>
        </xdr:cNvSpPr>
      </xdr:nvSpPr>
      <xdr:spPr bwMode="auto">
        <a:xfrm>
          <a:off x="4866410"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17</xdr:col>
      <xdr:colOff>77933</xdr:colOff>
      <xdr:row>454</xdr:row>
      <xdr:rowOff>95250</xdr:rowOff>
    </xdr:from>
    <xdr:to>
      <xdr:col>17</xdr:col>
      <xdr:colOff>329046</xdr:colOff>
      <xdr:row>454</xdr:row>
      <xdr:rowOff>226388</xdr:rowOff>
    </xdr:to>
    <xdr:sp macro="" textlink="">
      <xdr:nvSpPr>
        <xdr:cNvPr id="332" name="AutoShape 1">
          <a:extLst>
            <a:ext uri="{FF2B5EF4-FFF2-40B4-BE49-F238E27FC236}">
              <a16:creationId xmlns:a16="http://schemas.microsoft.com/office/drawing/2014/main" id="{00000000-0008-0000-1800-00004C010000}"/>
            </a:ext>
          </a:extLst>
        </xdr:cNvPr>
        <xdr:cNvSpPr>
          <a:spLocks noChangeArrowheads="1"/>
        </xdr:cNvSpPr>
      </xdr:nvSpPr>
      <xdr:spPr bwMode="auto">
        <a:xfrm>
          <a:off x="6693478"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22</xdr:col>
      <xdr:colOff>77933</xdr:colOff>
      <xdr:row>454</xdr:row>
      <xdr:rowOff>95250</xdr:rowOff>
    </xdr:from>
    <xdr:to>
      <xdr:col>22</xdr:col>
      <xdr:colOff>329046</xdr:colOff>
      <xdr:row>454</xdr:row>
      <xdr:rowOff>226388</xdr:rowOff>
    </xdr:to>
    <xdr:sp macro="" textlink="">
      <xdr:nvSpPr>
        <xdr:cNvPr id="333" name="AutoShape 1">
          <a:extLst>
            <a:ext uri="{FF2B5EF4-FFF2-40B4-BE49-F238E27FC236}">
              <a16:creationId xmlns:a16="http://schemas.microsoft.com/office/drawing/2014/main" id="{00000000-0008-0000-1800-00004D010000}"/>
            </a:ext>
          </a:extLst>
        </xdr:cNvPr>
        <xdr:cNvSpPr>
          <a:spLocks noChangeArrowheads="1"/>
        </xdr:cNvSpPr>
      </xdr:nvSpPr>
      <xdr:spPr bwMode="auto">
        <a:xfrm>
          <a:off x="8520547"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xdr:col>
      <xdr:colOff>300662</xdr:colOff>
      <xdr:row>483</xdr:row>
      <xdr:rowOff>95251</xdr:rowOff>
    </xdr:from>
    <xdr:to>
      <xdr:col>2</xdr:col>
      <xdr:colOff>294410</xdr:colOff>
      <xdr:row>483</xdr:row>
      <xdr:rowOff>200411</xdr:rowOff>
    </xdr:to>
    <xdr:sp macro="" textlink="">
      <xdr:nvSpPr>
        <xdr:cNvPr id="334" name="AutoShape 1">
          <a:extLst>
            <a:ext uri="{FF2B5EF4-FFF2-40B4-BE49-F238E27FC236}">
              <a16:creationId xmlns:a16="http://schemas.microsoft.com/office/drawing/2014/main" id="{00000000-0008-0000-1800-00004E010000}"/>
            </a:ext>
          </a:extLst>
        </xdr:cNvPr>
        <xdr:cNvSpPr>
          <a:spLocks noChangeArrowheads="1"/>
        </xdr:cNvSpPr>
      </xdr:nvSpPr>
      <xdr:spPr bwMode="auto">
        <a:xfrm>
          <a:off x="1131935" y="5238751"/>
          <a:ext cx="348770" cy="105160"/>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7</xdr:col>
      <xdr:colOff>77932</xdr:colOff>
      <xdr:row>483</xdr:row>
      <xdr:rowOff>103909</xdr:rowOff>
    </xdr:from>
    <xdr:to>
      <xdr:col>7</xdr:col>
      <xdr:colOff>329045</xdr:colOff>
      <xdr:row>483</xdr:row>
      <xdr:rowOff>235047</xdr:rowOff>
    </xdr:to>
    <xdr:sp macro="" textlink="">
      <xdr:nvSpPr>
        <xdr:cNvPr id="335" name="AutoShape 1">
          <a:extLst>
            <a:ext uri="{FF2B5EF4-FFF2-40B4-BE49-F238E27FC236}">
              <a16:creationId xmlns:a16="http://schemas.microsoft.com/office/drawing/2014/main" id="{00000000-0008-0000-1800-00004F010000}"/>
            </a:ext>
          </a:extLst>
        </xdr:cNvPr>
        <xdr:cNvSpPr>
          <a:spLocks noChangeArrowheads="1"/>
        </xdr:cNvSpPr>
      </xdr:nvSpPr>
      <xdr:spPr bwMode="auto">
        <a:xfrm>
          <a:off x="3039341" y="5247409"/>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12</xdr:col>
      <xdr:colOff>77933</xdr:colOff>
      <xdr:row>483</xdr:row>
      <xdr:rowOff>95250</xdr:rowOff>
    </xdr:from>
    <xdr:to>
      <xdr:col>12</xdr:col>
      <xdr:colOff>329046</xdr:colOff>
      <xdr:row>483</xdr:row>
      <xdr:rowOff>226388</xdr:rowOff>
    </xdr:to>
    <xdr:sp macro="" textlink="">
      <xdr:nvSpPr>
        <xdr:cNvPr id="336" name="AutoShape 1">
          <a:extLst>
            <a:ext uri="{FF2B5EF4-FFF2-40B4-BE49-F238E27FC236}">
              <a16:creationId xmlns:a16="http://schemas.microsoft.com/office/drawing/2014/main" id="{00000000-0008-0000-1800-000050010000}"/>
            </a:ext>
          </a:extLst>
        </xdr:cNvPr>
        <xdr:cNvSpPr>
          <a:spLocks noChangeArrowheads="1"/>
        </xdr:cNvSpPr>
      </xdr:nvSpPr>
      <xdr:spPr bwMode="auto">
        <a:xfrm>
          <a:off x="4866410"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17</xdr:col>
      <xdr:colOff>77933</xdr:colOff>
      <xdr:row>483</xdr:row>
      <xdr:rowOff>95250</xdr:rowOff>
    </xdr:from>
    <xdr:to>
      <xdr:col>17</xdr:col>
      <xdr:colOff>329046</xdr:colOff>
      <xdr:row>483</xdr:row>
      <xdr:rowOff>226388</xdr:rowOff>
    </xdr:to>
    <xdr:sp macro="" textlink="">
      <xdr:nvSpPr>
        <xdr:cNvPr id="337" name="AutoShape 1">
          <a:extLst>
            <a:ext uri="{FF2B5EF4-FFF2-40B4-BE49-F238E27FC236}">
              <a16:creationId xmlns:a16="http://schemas.microsoft.com/office/drawing/2014/main" id="{00000000-0008-0000-1800-000051010000}"/>
            </a:ext>
          </a:extLst>
        </xdr:cNvPr>
        <xdr:cNvSpPr>
          <a:spLocks noChangeArrowheads="1"/>
        </xdr:cNvSpPr>
      </xdr:nvSpPr>
      <xdr:spPr bwMode="auto">
        <a:xfrm>
          <a:off x="6693478"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22</xdr:col>
      <xdr:colOff>77933</xdr:colOff>
      <xdr:row>483</xdr:row>
      <xdr:rowOff>95250</xdr:rowOff>
    </xdr:from>
    <xdr:to>
      <xdr:col>22</xdr:col>
      <xdr:colOff>329046</xdr:colOff>
      <xdr:row>483</xdr:row>
      <xdr:rowOff>226388</xdr:rowOff>
    </xdr:to>
    <xdr:sp macro="" textlink="">
      <xdr:nvSpPr>
        <xdr:cNvPr id="338" name="AutoShape 1">
          <a:extLst>
            <a:ext uri="{FF2B5EF4-FFF2-40B4-BE49-F238E27FC236}">
              <a16:creationId xmlns:a16="http://schemas.microsoft.com/office/drawing/2014/main" id="{00000000-0008-0000-1800-000052010000}"/>
            </a:ext>
          </a:extLst>
        </xdr:cNvPr>
        <xdr:cNvSpPr>
          <a:spLocks noChangeArrowheads="1"/>
        </xdr:cNvSpPr>
      </xdr:nvSpPr>
      <xdr:spPr bwMode="auto">
        <a:xfrm>
          <a:off x="8520547"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xdr:col>
      <xdr:colOff>300662</xdr:colOff>
      <xdr:row>512</xdr:row>
      <xdr:rowOff>95251</xdr:rowOff>
    </xdr:from>
    <xdr:to>
      <xdr:col>2</xdr:col>
      <xdr:colOff>294410</xdr:colOff>
      <xdr:row>512</xdr:row>
      <xdr:rowOff>200411</xdr:rowOff>
    </xdr:to>
    <xdr:sp macro="" textlink="">
      <xdr:nvSpPr>
        <xdr:cNvPr id="339" name="AutoShape 1">
          <a:extLst>
            <a:ext uri="{FF2B5EF4-FFF2-40B4-BE49-F238E27FC236}">
              <a16:creationId xmlns:a16="http://schemas.microsoft.com/office/drawing/2014/main" id="{00000000-0008-0000-1800-000053010000}"/>
            </a:ext>
          </a:extLst>
        </xdr:cNvPr>
        <xdr:cNvSpPr>
          <a:spLocks noChangeArrowheads="1"/>
        </xdr:cNvSpPr>
      </xdr:nvSpPr>
      <xdr:spPr bwMode="auto">
        <a:xfrm>
          <a:off x="1131935" y="5238751"/>
          <a:ext cx="348770" cy="105160"/>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7</xdr:col>
      <xdr:colOff>77932</xdr:colOff>
      <xdr:row>512</xdr:row>
      <xdr:rowOff>103909</xdr:rowOff>
    </xdr:from>
    <xdr:to>
      <xdr:col>7</xdr:col>
      <xdr:colOff>329045</xdr:colOff>
      <xdr:row>512</xdr:row>
      <xdr:rowOff>235047</xdr:rowOff>
    </xdr:to>
    <xdr:sp macro="" textlink="">
      <xdr:nvSpPr>
        <xdr:cNvPr id="340" name="AutoShape 1">
          <a:extLst>
            <a:ext uri="{FF2B5EF4-FFF2-40B4-BE49-F238E27FC236}">
              <a16:creationId xmlns:a16="http://schemas.microsoft.com/office/drawing/2014/main" id="{00000000-0008-0000-1800-000054010000}"/>
            </a:ext>
          </a:extLst>
        </xdr:cNvPr>
        <xdr:cNvSpPr>
          <a:spLocks noChangeArrowheads="1"/>
        </xdr:cNvSpPr>
      </xdr:nvSpPr>
      <xdr:spPr bwMode="auto">
        <a:xfrm>
          <a:off x="3039341" y="5247409"/>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12</xdr:col>
      <xdr:colOff>77933</xdr:colOff>
      <xdr:row>512</xdr:row>
      <xdr:rowOff>95250</xdr:rowOff>
    </xdr:from>
    <xdr:to>
      <xdr:col>12</xdr:col>
      <xdr:colOff>329046</xdr:colOff>
      <xdr:row>512</xdr:row>
      <xdr:rowOff>226388</xdr:rowOff>
    </xdr:to>
    <xdr:sp macro="" textlink="">
      <xdr:nvSpPr>
        <xdr:cNvPr id="341" name="AutoShape 1">
          <a:extLst>
            <a:ext uri="{FF2B5EF4-FFF2-40B4-BE49-F238E27FC236}">
              <a16:creationId xmlns:a16="http://schemas.microsoft.com/office/drawing/2014/main" id="{00000000-0008-0000-1800-000055010000}"/>
            </a:ext>
          </a:extLst>
        </xdr:cNvPr>
        <xdr:cNvSpPr>
          <a:spLocks noChangeArrowheads="1"/>
        </xdr:cNvSpPr>
      </xdr:nvSpPr>
      <xdr:spPr bwMode="auto">
        <a:xfrm>
          <a:off x="4866410"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17</xdr:col>
      <xdr:colOff>77933</xdr:colOff>
      <xdr:row>512</xdr:row>
      <xdr:rowOff>95250</xdr:rowOff>
    </xdr:from>
    <xdr:to>
      <xdr:col>17</xdr:col>
      <xdr:colOff>329046</xdr:colOff>
      <xdr:row>512</xdr:row>
      <xdr:rowOff>226388</xdr:rowOff>
    </xdr:to>
    <xdr:sp macro="" textlink="">
      <xdr:nvSpPr>
        <xdr:cNvPr id="342" name="AutoShape 1">
          <a:extLst>
            <a:ext uri="{FF2B5EF4-FFF2-40B4-BE49-F238E27FC236}">
              <a16:creationId xmlns:a16="http://schemas.microsoft.com/office/drawing/2014/main" id="{00000000-0008-0000-1800-000056010000}"/>
            </a:ext>
          </a:extLst>
        </xdr:cNvPr>
        <xdr:cNvSpPr>
          <a:spLocks noChangeArrowheads="1"/>
        </xdr:cNvSpPr>
      </xdr:nvSpPr>
      <xdr:spPr bwMode="auto">
        <a:xfrm>
          <a:off x="6693478"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22</xdr:col>
      <xdr:colOff>77933</xdr:colOff>
      <xdr:row>512</xdr:row>
      <xdr:rowOff>95250</xdr:rowOff>
    </xdr:from>
    <xdr:to>
      <xdr:col>22</xdr:col>
      <xdr:colOff>329046</xdr:colOff>
      <xdr:row>512</xdr:row>
      <xdr:rowOff>226388</xdr:rowOff>
    </xdr:to>
    <xdr:sp macro="" textlink="">
      <xdr:nvSpPr>
        <xdr:cNvPr id="343" name="AutoShape 1">
          <a:extLst>
            <a:ext uri="{FF2B5EF4-FFF2-40B4-BE49-F238E27FC236}">
              <a16:creationId xmlns:a16="http://schemas.microsoft.com/office/drawing/2014/main" id="{00000000-0008-0000-1800-000057010000}"/>
            </a:ext>
          </a:extLst>
        </xdr:cNvPr>
        <xdr:cNvSpPr>
          <a:spLocks noChangeArrowheads="1"/>
        </xdr:cNvSpPr>
      </xdr:nvSpPr>
      <xdr:spPr bwMode="auto">
        <a:xfrm>
          <a:off x="8520547"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xdr:col>
      <xdr:colOff>300662</xdr:colOff>
      <xdr:row>541</xdr:row>
      <xdr:rowOff>95251</xdr:rowOff>
    </xdr:from>
    <xdr:to>
      <xdr:col>2</xdr:col>
      <xdr:colOff>294410</xdr:colOff>
      <xdr:row>541</xdr:row>
      <xdr:rowOff>200411</xdr:rowOff>
    </xdr:to>
    <xdr:sp macro="" textlink="">
      <xdr:nvSpPr>
        <xdr:cNvPr id="344" name="AutoShape 1">
          <a:extLst>
            <a:ext uri="{FF2B5EF4-FFF2-40B4-BE49-F238E27FC236}">
              <a16:creationId xmlns:a16="http://schemas.microsoft.com/office/drawing/2014/main" id="{00000000-0008-0000-1800-000058010000}"/>
            </a:ext>
          </a:extLst>
        </xdr:cNvPr>
        <xdr:cNvSpPr>
          <a:spLocks noChangeArrowheads="1"/>
        </xdr:cNvSpPr>
      </xdr:nvSpPr>
      <xdr:spPr bwMode="auto">
        <a:xfrm>
          <a:off x="1131935" y="5238751"/>
          <a:ext cx="348770" cy="105160"/>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7</xdr:col>
      <xdr:colOff>77932</xdr:colOff>
      <xdr:row>541</xdr:row>
      <xdr:rowOff>103909</xdr:rowOff>
    </xdr:from>
    <xdr:to>
      <xdr:col>7</xdr:col>
      <xdr:colOff>329045</xdr:colOff>
      <xdr:row>541</xdr:row>
      <xdr:rowOff>235047</xdr:rowOff>
    </xdr:to>
    <xdr:sp macro="" textlink="">
      <xdr:nvSpPr>
        <xdr:cNvPr id="345" name="AutoShape 1">
          <a:extLst>
            <a:ext uri="{FF2B5EF4-FFF2-40B4-BE49-F238E27FC236}">
              <a16:creationId xmlns:a16="http://schemas.microsoft.com/office/drawing/2014/main" id="{00000000-0008-0000-1800-000059010000}"/>
            </a:ext>
          </a:extLst>
        </xdr:cNvPr>
        <xdr:cNvSpPr>
          <a:spLocks noChangeArrowheads="1"/>
        </xdr:cNvSpPr>
      </xdr:nvSpPr>
      <xdr:spPr bwMode="auto">
        <a:xfrm>
          <a:off x="3039341" y="5247409"/>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12</xdr:col>
      <xdr:colOff>77933</xdr:colOff>
      <xdr:row>541</xdr:row>
      <xdr:rowOff>95250</xdr:rowOff>
    </xdr:from>
    <xdr:to>
      <xdr:col>12</xdr:col>
      <xdr:colOff>329046</xdr:colOff>
      <xdr:row>541</xdr:row>
      <xdr:rowOff>226388</xdr:rowOff>
    </xdr:to>
    <xdr:sp macro="" textlink="">
      <xdr:nvSpPr>
        <xdr:cNvPr id="346" name="AutoShape 1">
          <a:extLst>
            <a:ext uri="{FF2B5EF4-FFF2-40B4-BE49-F238E27FC236}">
              <a16:creationId xmlns:a16="http://schemas.microsoft.com/office/drawing/2014/main" id="{00000000-0008-0000-1800-00005A010000}"/>
            </a:ext>
          </a:extLst>
        </xdr:cNvPr>
        <xdr:cNvSpPr>
          <a:spLocks noChangeArrowheads="1"/>
        </xdr:cNvSpPr>
      </xdr:nvSpPr>
      <xdr:spPr bwMode="auto">
        <a:xfrm>
          <a:off x="4866410"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17</xdr:col>
      <xdr:colOff>77933</xdr:colOff>
      <xdr:row>541</xdr:row>
      <xdr:rowOff>95250</xdr:rowOff>
    </xdr:from>
    <xdr:to>
      <xdr:col>17</xdr:col>
      <xdr:colOff>329046</xdr:colOff>
      <xdr:row>541</xdr:row>
      <xdr:rowOff>226388</xdr:rowOff>
    </xdr:to>
    <xdr:sp macro="" textlink="">
      <xdr:nvSpPr>
        <xdr:cNvPr id="347" name="AutoShape 1">
          <a:extLst>
            <a:ext uri="{FF2B5EF4-FFF2-40B4-BE49-F238E27FC236}">
              <a16:creationId xmlns:a16="http://schemas.microsoft.com/office/drawing/2014/main" id="{00000000-0008-0000-1800-00005B010000}"/>
            </a:ext>
          </a:extLst>
        </xdr:cNvPr>
        <xdr:cNvSpPr>
          <a:spLocks noChangeArrowheads="1"/>
        </xdr:cNvSpPr>
      </xdr:nvSpPr>
      <xdr:spPr bwMode="auto">
        <a:xfrm>
          <a:off x="6693478"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22</xdr:col>
      <xdr:colOff>77933</xdr:colOff>
      <xdr:row>541</xdr:row>
      <xdr:rowOff>95250</xdr:rowOff>
    </xdr:from>
    <xdr:to>
      <xdr:col>22</xdr:col>
      <xdr:colOff>329046</xdr:colOff>
      <xdr:row>541</xdr:row>
      <xdr:rowOff>226388</xdr:rowOff>
    </xdr:to>
    <xdr:sp macro="" textlink="">
      <xdr:nvSpPr>
        <xdr:cNvPr id="348" name="AutoShape 1">
          <a:extLst>
            <a:ext uri="{FF2B5EF4-FFF2-40B4-BE49-F238E27FC236}">
              <a16:creationId xmlns:a16="http://schemas.microsoft.com/office/drawing/2014/main" id="{00000000-0008-0000-1800-00005C010000}"/>
            </a:ext>
          </a:extLst>
        </xdr:cNvPr>
        <xdr:cNvSpPr>
          <a:spLocks noChangeArrowheads="1"/>
        </xdr:cNvSpPr>
      </xdr:nvSpPr>
      <xdr:spPr bwMode="auto">
        <a:xfrm>
          <a:off x="8520547"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xdr:col>
      <xdr:colOff>300662</xdr:colOff>
      <xdr:row>570</xdr:row>
      <xdr:rowOff>95251</xdr:rowOff>
    </xdr:from>
    <xdr:to>
      <xdr:col>2</xdr:col>
      <xdr:colOff>294410</xdr:colOff>
      <xdr:row>570</xdr:row>
      <xdr:rowOff>200411</xdr:rowOff>
    </xdr:to>
    <xdr:sp macro="" textlink="">
      <xdr:nvSpPr>
        <xdr:cNvPr id="349" name="AutoShape 1">
          <a:extLst>
            <a:ext uri="{FF2B5EF4-FFF2-40B4-BE49-F238E27FC236}">
              <a16:creationId xmlns:a16="http://schemas.microsoft.com/office/drawing/2014/main" id="{00000000-0008-0000-1800-00005D010000}"/>
            </a:ext>
          </a:extLst>
        </xdr:cNvPr>
        <xdr:cNvSpPr>
          <a:spLocks noChangeArrowheads="1"/>
        </xdr:cNvSpPr>
      </xdr:nvSpPr>
      <xdr:spPr bwMode="auto">
        <a:xfrm>
          <a:off x="1131935" y="5238751"/>
          <a:ext cx="348770" cy="105160"/>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7</xdr:col>
      <xdr:colOff>77932</xdr:colOff>
      <xdr:row>570</xdr:row>
      <xdr:rowOff>103909</xdr:rowOff>
    </xdr:from>
    <xdr:to>
      <xdr:col>7</xdr:col>
      <xdr:colOff>329045</xdr:colOff>
      <xdr:row>570</xdr:row>
      <xdr:rowOff>235047</xdr:rowOff>
    </xdr:to>
    <xdr:sp macro="" textlink="">
      <xdr:nvSpPr>
        <xdr:cNvPr id="350" name="AutoShape 1">
          <a:extLst>
            <a:ext uri="{FF2B5EF4-FFF2-40B4-BE49-F238E27FC236}">
              <a16:creationId xmlns:a16="http://schemas.microsoft.com/office/drawing/2014/main" id="{00000000-0008-0000-1800-00005E010000}"/>
            </a:ext>
          </a:extLst>
        </xdr:cNvPr>
        <xdr:cNvSpPr>
          <a:spLocks noChangeArrowheads="1"/>
        </xdr:cNvSpPr>
      </xdr:nvSpPr>
      <xdr:spPr bwMode="auto">
        <a:xfrm>
          <a:off x="3039341" y="5247409"/>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12</xdr:col>
      <xdr:colOff>77933</xdr:colOff>
      <xdr:row>570</xdr:row>
      <xdr:rowOff>95250</xdr:rowOff>
    </xdr:from>
    <xdr:to>
      <xdr:col>12</xdr:col>
      <xdr:colOff>329046</xdr:colOff>
      <xdr:row>570</xdr:row>
      <xdr:rowOff>226388</xdr:rowOff>
    </xdr:to>
    <xdr:sp macro="" textlink="">
      <xdr:nvSpPr>
        <xdr:cNvPr id="351" name="AutoShape 1">
          <a:extLst>
            <a:ext uri="{FF2B5EF4-FFF2-40B4-BE49-F238E27FC236}">
              <a16:creationId xmlns:a16="http://schemas.microsoft.com/office/drawing/2014/main" id="{00000000-0008-0000-1800-00005F010000}"/>
            </a:ext>
          </a:extLst>
        </xdr:cNvPr>
        <xdr:cNvSpPr>
          <a:spLocks noChangeArrowheads="1"/>
        </xdr:cNvSpPr>
      </xdr:nvSpPr>
      <xdr:spPr bwMode="auto">
        <a:xfrm>
          <a:off x="4866410"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17</xdr:col>
      <xdr:colOff>77933</xdr:colOff>
      <xdr:row>570</xdr:row>
      <xdr:rowOff>95250</xdr:rowOff>
    </xdr:from>
    <xdr:to>
      <xdr:col>17</xdr:col>
      <xdr:colOff>329046</xdr:colOff>
      <xdr:row>570</xdr:row>
      <xdr:rowOff>226388</xdr:rowOff>
    </xdr:to>
    <xdr:sp macro="" textlink="">
      <xdr:nvSpPr>
        <xdr:cNvPr id="352" name="AutoShape 1">
          <a:extLst>
            <a:ext uri="{FF2B5EF4-FFF2-40B4-BE49-F238E27FC236}">
              <a16:creationId xmlns:a16="http://schemas.microsoft.com/office/drawing/2014/main" id="{00000000-0008-0000-1800-000060010000}"/>
            </a:ext>
          </a:extLst>
        </xdr:cNvPr>
        <xdr:cNvSpPr>
          <a:spLocks noChangeArrowheads="1"/>
        </xdr:cNvSpPr>
      </xdr:nvSpPr>
      <xdr:spPr bwMode="auto">
        <a:xfrm>
          <a:off x="6693478"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22</xdr:col>
      <xdr:colOff>77933</xdr:colOff>
      <xdr:row>570</xdr:row>
      <xdr:rowOff>95250</xdr:rowOff>
    </xdr:from>
    <xdr:to>
      <xdr:col>22</xdr:col>
      <xdr:colOff>329046</xdr:colOff>
      <xdr:row>570</xdr:row>
      <xdr:rowOff>226388</xdr:rowOff>
    </xdr:to>
    <xdr:sp macro="" textlink="">
      <xdr:nvSpPr>
        <xdr:cNvPr id="353" name="AutoShape 1">
          <a:extLst>
            <a:ext uri="{FF2B5EF4-FFF2-40B4-BE49-F238E27FC236}">
              <a16:creationId xmlns:a16="http://schemas.microsoft.com/office/drawing/2014/main" id="{00000000-0008-0000-1800-000061010000}"/>
            </a:ext>
          </a:extLst>
        </xdr:cNvPr>
        <xdr:cNvSpPr>
          <a:spLocks noChangeArrowheads="1"/>
        </xdr:cNvSpPr>
      </xdr:nvSpPr>
      <xdr:spPr bwMode="auto">
        <a:xfrm>
          <a:off x="8520547"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xdr:col>
      <xdr:colOff>300662</xdr:colOff>
      <xdr:row>599</xdr:row>
      <xdr:rowOff>95251</xdr:rowOff>
    </xdr:from>
    <xdr:to>
      <xdr:col>2</xdr:col>
      <xdr:colOff>294410</xdr:colOff>
      <xdr:row>599</xdr:row>
      <xdr:rowOff>200411</xdr:rowOff>
    </xdr:to>
    <xdr:sp macro="" textlink="">
      <xdr:nvSpPr>
        <xdr:cNvPr id="354" name="AutoShape 1">
          <a:extLst>
            <a:ext uri="{FF2B5EF4-FFF2-40B4-BE49-F238E27FC236}">
              <a16:creationId xmlns:a16="http://schemas.microsoft.com/office/drawing/2014/main" id="{00000000-0008-0000-1800-000062010000}"/>
            </a:ext>
          </a:extLst>
        </xdr:cNvPr>
        <xdr:cNvSpPr>
          <a:spLocks noChangeArrowheads="1"/>
        </xdr:cNvSpPr>
      </xdr:nvSpPr>
      <xdr:spPr bwMode="auto">
        <a:xfrm>
          <a:off x="1131935" y="5238751"/>
          <a:ext cx="348770" cy="105160"/>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7</xdr:col>
      <xdr:colOff>77932</xdr:colOff>
      <xdr:row>599</xdr:row>
      <xdr:rowOff>103909</xdr:rowOff>
    </xdr:from>
    <xdr:to>
      <xdr:col>7</xdr:col>
      <xdr:colOff>329045</xdr:colOff>
      <xdr:row>599</xdr:row>
      <xdr:rowOff>235047</xdr:rowOff>
    </xdr:to>
    <xdr:sp macro="" textlink="">
      <xdr:nvSpPr>
        <xdr:cNvPr id="355" name="AutoShape 1">
          <a:extLst>
            <a:ext uri="{FF2B5EF4-FFF2-40B4-BE49-F238E27FC236}">
              <a16:creationId xmlns:a16="http://schemas.microsoft.com/office/drawing/2014/main" id="{00000000-0008-0000-1800-000063010000}"/>
            </a:ext>
          </a:extLst>
        </xdr:cNvPr>
        <xdr:cNvSpPr>
          <a:spLocks noChangeArrowheads="1"/>
        </xdr:cNvSpPr>
      </xdr:nvSpPr>
      <xdr:spPr bwMode="auto">
        <a:xfrm>
          <a:off x="3039341" y="5247409"/>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12</xdr:col>
      <xdr:colOff>77933</xdr:colOff>
      <xdr:row>599</xdr:row>
      <xdr:rowOff>95250</xdr:rowOff>
    </xdr:from>
    <xdr:to>
      <xdr:col>12</xdr:col>
      <xdr:colOff>329046</xdr:colOff>
      <xdr:row>599</xdr:row>
      <xdr:rowOff>226388</xdr:rowOff>
    </xdr:to>
    <xdr:sp macro="" textlink="">
      <xdr:nvSpPr>
        <xdr:cNvPr id="356" name="AutoShape 1">
          <a:extLst>
            <a:ext uri="{FF2B5EF4-FFF2-40B4-BE49-F238E27FC236}">
              <a16:creationId xmlns:a16="http://schemas.microsoft.com/office/drawing/2014/main" id="{00000000-0008-0000-1800-000064010000}"/>
            </a:ext>
          </a:extLst>
        </xdr:cNvPr>
        <xdr:cNvSpPr>
          <a:spLocks noChangeArrowheads="1"/>
        </xdr:cNvSpPr>
      </xdr:nvSpPr>
      <xdr:spPr bwMode="auto">
        <a:xfrm>
          <a:off x="4866410"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17</xdr:col>
      <xdr:colOff>77933</xdr:colOff>
      <xdr:row>599</xdr:row>
      <xdr:rowOff>95250</xdr:rowOff>
    </xdr:from>
    <xdr:to>
      <xdr:col>17</xdr:col>
      <xdr:colOff>329046</xdr:colOff>
      <xdr:row>599</xdr:row>
      <xdr:rowOff>226388</xdr:rowOff>
    </xdr:to>
    <xdr:sp macro="" textlink="">
      <xdr:nvSpPr>
        <xdr:cNvPr id="357" name="AutoShape 1">
          <a:extLst>
            <a:ext uri="{FF2B5EF4-FFF2-40B4-BE49-F238E27FC236}">
              <a16:creationId xmlns:a16="http://schemas.microsoft.com/office/drawing/2014/main" id="{00000000-0008-0000-1800-000065010000}"/>
            </a:ext>
          </a:extLst>
        </xdr:cNvPr>
        <xdr:cNvSpPr>
          <a:spLocks noChangeArrowheads="1"/>
        </xdr:cNvSpPr>
      </xdr:nvSpPr>
      <xdr:spPr bwMode="auto">
        <a:xfrm>
          <a:off x="6693478"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22</xdr:col>
      <xdr:colOff>77933</xdr:colOff>
      <xdr:row>599</xdr:row>
      <xdr:rowOff>95250</xdr:rowOff>
    </xdr:from>
    <xdr:to>
      <xdr:col>22</xdr:col>
      <xdr:colOff>329046</xdr:colOff>
      <xdr:row>599</xdr:row>
      <xdr:rowOff>226388</xdr:rowOff>
    </xdr:to>
    <xdr:sp macro="" textlink="">
      <xdr:nvSpPr>
        <xdr:cNvPr id="358" name="AutoShape 1">
          <a:extLst>
            <a:ext uri="{FF2B5EF4-FFF2-40B4-BE49-F238E27FC236}">
              <a16:creationId xmlns:a16="http://schemas.microsoft.com/office/drawing/2014/main" id="{00000000-0008-0000-1800-000066010000}"/>
            </a:ext>
          </a:extLst>
        </xdr:cNvPr>
        <xdr:cNvSpPr>
          <a:spLocks noChangeArrowheads="1"/>
        </xdr:cNvSpPr>
      </xdr:nvSpPr>
      <xdr:spPr bwMode="auto">
        <a:xfrm>
          <a:off x="8520547"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xdr:col>
      <xdr:colOff>300662</xdr:colOff>
      <xdr:row>628</xdr:row>
      <xdr:rowOff>95251</xdr:rowOff>
    </xdr:from>
    <xdr:to>
      <xdr:col>2</xdr:col>
      <xdr:colOff>294410</xdr:colOff>
      <xdr:row>628</xdr:row>
      <xdr:rowOff>200411</xdr:rowOff>
    </xdr:to>
    <xdr:sp macro="" textlink="">
      <xdr:nvSpPr>
        <xdr:cNvPr id="359" name="AutoShape 1">
          <a:extLst>
            <a:ext uri="{FF2B5EF4-FFF2-40B4-BE49-F238E27FC236}">
              <a16:creationId xmlns:a16="http://schemas.microsoft.com/office/drawing/2014/main" id="{00000000-0008-0000-1800-000067010000}"/>
            </a:ext>
          </a:extLst>
        </xdr:cNvPr>
        <xdr:cNvSpPr>
          <a:spLocks noChangeArrowheads="1"/>
        </xdr:cNvSpPr>
      </xdr:nvSpPr>
      <xdr:spPr bwMode="auto">
        <a:xfrm>
          <a:off x="1131935" y="5238751"/>
          <a:ext cx="348770" cy="105160"/>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7</xdr:col>
      <xdr:colOff>77932</xdr:colOff>
      <xdr:row>628</xdr:row>
      <xdr:rowOff>103909</xdr:rowOff>
    </xdr:from>
    <xdr:to>
      <xdr:col>7</xdr:col>
      <xdr:colOff>329045</xdr:colOff>
      <xdr:row>628</xdr:row>
      <xdr:rowOff>235047</xdr:rowOff>
    </xdr:to>
    <xdr:sp macro="" textlink="">
      <xdr:nvSpPr>
        <xdr:cNvPr id="360" name="AutoShape 1">
          <a:extLst>
            <a:ext uri="{FF2B5EF4-FFF2-40B4-BE49-F238E27FC236}">
              <a16:creationId xmlns:a16="http://schemas.microsoft.com/office/drawing/2014/main" id="{00000000-0008-0000-1800-000068010000}"/>
            </a:ext>
          </a:extLst>
        </xdr:cNvPr>
        <xdr:cNvSpPr>
          <a:spLocks noChangeArrowheads="1"/>
        </xdr:cNvSpPr>
      </xdr:nvSpPr>
      <xdr:spPr bwMode="auto">
        <a:xfrm>
          <a:off x="3039341" y="5247409"/>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12</xdr:col>
      <xdr:colOff>77933</xdr:colOff>
      <xdr:row>628</xdr:row>
      <xdr:rowOff>95250</xdr:rowOff>
    </xdr:from>
    <xdr:to>
      <xdr:col>12</xdr:col>
      <xdr:colOff>329046</xdr:colOff>
      <xdr:row>628</xdr:row>
      <xdr:rowOff>226388</xdr:rowOff>
    </xdr:to>
    <xdr:sp macro="" textlink="">
      <xdr:nvSpPr>
        <xdr:cNvPr id="361" name="AutoShape 1">
          <a:extLst>
            <a:ext uri="{FF2B5EF4-FFF2-40B4-BE49-F238E27FC236}">
              <a16:creationId xmlns:a16="http://schemas.microsoft.com/office/drawing/2014/main" id="{00000000-0008-0000-1800-000069010000}"/>
            </a:ext>
          </a:extLst>
        </xdr:cNvPr>
        <xdr:cNvSpPr>
          <a:spLocks noChangeArrowheads="1"/>
        </xdr:cNvSpPr>
      </xdr:nvSpPr>
      <xdr:spPr bwMode="auto">
        <a:xfrm>
          <a:off x="4866410"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17</xdr:col>
      <xdr:colOff>77933</xdr:colOff>
      <xdr:row>628</xdr:row>
      <xdr:rowOff>95250</xdr:rowOff>
    </xdr:from>
    <xdr:to>
      <xdr:col>17</xdr:col>
      <xdr:colOff>329046</xdr:colOff>
      <xdr:row>628</xdr:row>
      <xdr:rowOff>226388</xdr:rowOff>
    </xdr:to>
    <xdr:sp macro="" textlink="">
      <xdr:nvSpPr>
        <xdr:cNvPr id="362" name="AutoShape 1">
          <a:extLst>
            <a:ext uri="{FF2B5EF4-FFF2-40B4-BE49-F238E27FC236}">
              <a16:creationId xmlns:a16="http://schemas.microsoft.com/office/drawing/2014/main" id="{00000000-0008-0000-1800-00006A010000}"/>
            </a:ext>
          </a:extLst>
        </xdr:cNvPr>
        <xdr:cNvSpPr>
          <a:spLocks noChangeArrowheads="1"/>
        </xdr:cNvSpPr>
      </xdr:nvSpPr>
      <xdr:spPr bwMode="auto">
        <a:xfrm>
          <a:off x="6693478"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22</xdr:col>
      <xdr:colOff>77933</xdr:colOff>
      <xdr:row>628</xdr:row>
      <xdr:rowOff>95250</xdr:rowOff>
    </xdr:from>
    <xdr:to>
      <xdr:col>22</xdr:col>
      <xdr:colOff>329046</xdr:colOff>
      <xdr:row>628</xdr:row>
      <xdr:rowOff>226388</xdr:rowOff>
    </xdr:to>
    <xdr:sp macro="" textlink="">
      <xdr:nvSpPr>
        <xdr:cNvPr id="363" name="AutoShape 1">
          <a:extLst>
            <a:ext uri="{FF2B5EF4-FFF2-40B4-BE49-F238E27FC236}">
              <a16:creationId xmlns:a16="http://schemas.microsoft.com/office/drawing/2014/main" id="{00000000-0008-0000-1800-00006B010000}"/>
            </a:ext>
          </a:extLst>
        </xdr:cNvPr>
        <xdr:cNvSpPr>
          <a:spLocks noChangeArrowheads="1"/>
        </xdr:cNvSpPr>
      </xdr:nvSpPr>
      <xdr:spPr bwMode="auto">
        <a:xfrm>
          <a:off x="8520547"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xdr:col>
      <xdr:colOff>300662</xdr:colOff>
      <xdr:row>657</xdr:row>
      <xdr:rowOff>95251</xdr:rowOff>
    </xdr:from>
    <xdr:to>
      <xdr:col>2</xdr:col>
      <xdr:colOff>294410</xdr:colOff>
      <xdr:row>657</xdr:row>
      <xdr:rowOff>200411</xdr:rowOff>
    </xdr:to>
    <xdr:sp macro="" textlink="">
      <xdr:nvSpPr>
        <xdr:cNvPr id="364" name="AutoShape 1">
          <a:extLst>
            <a:ext uri="{FF2B5EF4-FFF2-40B4-BE49-F238E27FC236}">
              <a16:creationId xmlns:a16="http://schemas.microsoft.com/office/drawing/2014/main" id="{00000000-0008-0000-1800-00006C010000}"/>
            </a:ext>
          </a:extLst>
        </xdr:cNvPr>
        <xdr:cNvSpPr>
          <a:spLocks noChangeArrowheads="1"/>
        </xdr:cNvSpPr>
      </xdr:nvSpPr>
      <xdr:spPr bwMode="auto">
        <a:xfrm>
          <a:off x="1131935" y="5238751"/>
          <a:ext cx="348770" cy="105160"/>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7</xdr:col>
      <xdr:colOff>77932</xdr:colOff>
      <xdr:row>657</xdr:row>
      <xdr:rowOff>103909</xdr:rowOff>
    </xdr:from>
    <xdr:to>
      <xdr:col>7</xdr:col>
      <xdr:colOff>329045</xdr:colOff>
      <xdr:row>657</xdr:row>
      <xdr:rowOff>235047</xdr:rowOff>
    </xdr:to>
    <xdr:sp macro="" textlink="">
      <xdr:nvSpPr>
        <xdr:cNvPr id="365" name="AutoShape 1">
          <a:extLst>
            <a:ext uri="{FF2B5EF4-FFF2-40B4-BE49-F238E27FC236}">
              <a16:creationId xmlns:a16="http://schemas.microsoft.com/office/drawing/2014/main" id="{00000000-0008-0000-1800-00006D010000}"/>
            </a:ext>
          </a:extLst>
        </xdr:cNvPr>
        <xdr:cNvSpPr>
          <a:spLocks noChangeArrowheads="1"/>
        </xdr:cNvSpPr>
      </xdr:nvSpPr>
      <xdr:spPr bwMode="auto">
        <a:xfrm>
          <a:off x="3039341" y="5247409"/>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12</xdr:col>
      <xdr:colOff>77933</xdr:colOff>
      <xdr:row>657</xdr:row>
      <xdr:rowOff>95250</xdr:rowOff>
    </xdr:from>
    <xdr:to>
      <xdr:col>12</xdr:col>
      <xdr:colOff>329046</xdr:colOff>
      <xdr:row>657</xdr:row>
      <xdr:rowOff>226388</xdr:rowOff>
    </xdr:to>
    <xdr:sp macro="" textlink="">
      <xdr:nvSpPr>
        <xdr:cNvPr id="366" name="AutoShape 1">
          <a:extLst>
            <a:ext uri="{FF2B5EF4-FFF2-40B4-BE49-F238E27FC236}">
              <a16:creationId xmlns:a16="http://schemas.microsoft.com/office/drawing/2014/main" id="{00000000-0008-0000-1800-00006E010000}"/>
            </a:ext>
          </a:extLst>
        </xdr:cNvPr>
        <xdr:cNvSpPr>
          <a:spLocks noChangeArrowheads="1"/>
        </xdr:cNvSpPr>
      </xdr:nvSpPr>
      <xdr:spPr bwMode="auto">
        <a:xfrm>
          <a:off x="4866410"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17</xdr:col>
      <xdr:colOff>77933</xdr:colOff>
      <xdr:row>657</xdr:row>
      <xdr:rowOff>95250</xdr:rowOff>
    </xdr:from>
    <xdr:to>
      <xdr:col>17</xdr:col>
      <xdr:colOff>329046</xdr:colOff>
      <xdr:row>657</xdr:row>
      <xdr:rowOff>226388</xdr:rowOff>
    </xdr:to>
    <xdr:sp macro="" textlink="">
      <xdr:nvSpPr>
        <xdr:cNvPr id="367" name="AutoShape 1">
          <a:extLst>
            <a:ext uri="{FF2B5EF4-FFF2-40B4-BE49-F238E27FC236}">
              <a16:creationId xmlns:a16="http://schemas.microsoft.com/office/drawing/2014/main" id="{00000000-0008-0000-1800-00006F010000}"/>
            </a:ext>
          </a:extLst>
        </xdr:cNvPr>
        <xdr:cNvSpPr>
          <a:spLocks noChangeArrowheads="1"/>
        </xdr:cNvSpPr>
      </xdr:nvSpPr>
      <xdr:spPr bwMode="auto">
        <a:xfrm>
          <a:off x="6693478"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22</xdr:col>
      <xdr:colOff>77933</xdr:colOff>
      <xdr:row>657</xdr:row>
      <xdr:rowOff>95250</xdr:rowOff>
    </xdr:from>
    <xdr:to>
      <xdr:col>22</xdr:col>
      <xdr:colOff>329046</xdr:colOff>
      <xdr:row>657</xdr:row>
      <xdr:rowOff>226388</xdr:rowOff>
    </xdr:to>
    <xdr:sp macro="" textlink="">
      <xdr:nvSpPr>
        <xdr:cNvPr id="368" name="AutoShape 1">
          <a:extLst>
            <a:ext uri="{FF2B5EF4-FFF2-40B4-BE49-F238E27FC236}">
              <a16:creationId xmlns:a16="http://schemas.microsoft.com/office/drawing/2014/main" id="{00000000-0008-0000-1800-000070010000}"/>
            </a:ext>
          </a:extLst>
        </xdr:cNvPr>
        <xdr:cNvSpPr>
          <a:spLocks noChangeArrowheads="1"/>
        </xdr:cNvSpPr>
      </xdr:nvSpPr>
      <xdr:spPr bwMode="auto">
        <a:xfrm>
          <a:off x="8520547"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xdr:col>
      <xdr:colOff>300662</xdr:colOff>
      <xdr:row>686</xdr:row>
      <xdr:rowOff>95251</xdr:rowOff>
    </xdr:from>
    <xdr:to>
      <xdr:col>2</xdr:col>
      <xdr:colOff>294410</xdr:colOff>
      <xdr:row>686</xdr:row>
      <xdr:rowOff>200411</xdr:rowOff>
    </xdr:to>
    <xdr:sp macro="" textlink="">
      <xdr:nvSpPr>
        <xdr:cNvPr id="369" name="AutoShape 1">
          <a:extLst>
            <a:ext uri="{FF2B5EF4-FFF2-40B4-BE49-F238E27FC236}">
              <a16:creationId xmlns:a16="http://schemas.microsoft.com/office/drawing/2014/main" id="{00000000-0008-0000-1800-000071010000}"/>
            </a:ext>
          </a:extLst>
        </xdr:cNvPr>
        <xdr:cNvSpPr>
          <a:spLocks noChangeArrowheads="1"/>
        </xdr:cNvSpPr>
      </xdr:nvSpPr>
      <xdr:spPr bwMode="auto">
        <a:xfrm>
          <a:off x="1131935" y="5238751"/>
          <a:ext cx="348770" cy="105160"/>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7</xdr:col>
      <xdr:colOff>77932</xdr:colOff>
      <xdr:row>686</xdr:row>
      <xdr:rowOff>103909</xdr:rowOff>
    </xdr:from>
    <xdr:to>
      <xdr:col>7</xdr:col>
      <xdr:colOff>329045</xdr:colOff>
      <xdr:row>686</xdr:row>
      <xdr:rowOff>235047</xdr:rowOff>
    </xdr:to>
    <xdr:sp macro="" textlink="">
      <xdr:nvSpPr>
        <xdr:cNvPr id="370" name="AutoShape 1">
          <a:extLst>
            <a:ext uri="{FF2B5EF4-FFF2-40B4-BE49-F238E27FC236}">
              <a16:creationId xmlns:a16="http://schemas.microsoft.com/office/drawing/2014/main" id="{00000000-0008-0000-1800-000072010000}"/>
            </a:ext>
          </a:extLst>
        </xdr:cNvPr>
        <xdr:cNvSpPr>
          <a:spLocks noChangeArrowheads="1"/>
        </xdr:cNvSpPr>
      </xdr:nvSpPr>
      <xdr:spPr bwMode="auto">
        <a:xfrm>
          <a:off x="3039341" y="5247409"/>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12</xdr:col>
      <xdr:colOff>77933</xdr:colOff>
      <xdr:row>686</xdr:row>
      <xdr:rowOff>95250</xdr:rowOff>
    </xdr:from>
    <xdr:to>
      <xdr:col>12</xdr:col>
      <xdr:colOff>329046</xdr:colOff>
      <xdr:row>686</xdr:row>
      <xdr:rowOff>226388</xdr:rowOff>
    </xdr:to>
    <xdr:sp macro="" textlink="">
      <xdr:nvSpPr>
        <xdr:cNvPr id="371" name="AutoShape 1">
          <a:extLst>
            <a:ext uri="{FF2B5EF4-FFF2-40B4-BE49-F238E27FC236}">
              <a16:creationId xmlns:a16="http://schemas.microsoft.com/office/drawing/2014/main" id="{00000000-0008-0000-1800-000073010000}"/>
            </a:ext>
          </a:extLst>
        </xdr:cNvPr>
        <xdr:cNvSpPr>
          <a:spLocks noChangeArrowheads="1"/>
        </xdr:cNvSpPr>
      </xdr:nvSpPr>
      <xdr:spPr bwMode="auto">
        <a:xfrm>
          <a:off x="4866410"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17</xdr:col>
      <xdr:colOff>77933</xdr:colOff>
      <xdr:row>686</xdr:row>
      <xdr:rowOff>95250</xdr:rowOff>
    </xdr:from>
    <xdr:to>
      <xdr:col>17</xdr:col>
      <xdr:colOff>329046</xdr:colOff>
      <xdr:row>686</xdr:row>
      <xdr:rowOff>226388</xdr:rowOff>
    </xdr:to>
    <xdr:sp macro="" textlink="">
      <xdr:nvSpPr>
        <xdr:cNvPr id="372" name="AutoShape 1">
          <a:extLst>
            <a:ext uri="{FF2B5EF4-FFF2-40B4-BE49-F238E27FC236}">
              <a16:creationId xmlns:a16="http://schemas.microsoft.com/office/drawing/2014/main" id="{00000000-0008-0000-1800-000074010000}"/>
            </a:ext>
          </a:extLst>
        </xdr:cNvPr>
        <xdr:cNvSpPr>
          <a:spLocks noChangeArrowheads="1"/>
        </xdr:cNvSpPr>
      </xdr:nvSpPr>
      <xdr:spPr bwMode="auto">
        <a:xfrm>
          <a:off x="6693478"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twoCellAnchor>
    <xdr:from>
      <xdr:col>22</xdr:col>
      <xdr:colOff>77933</xdr:colOff>
      <xdr:row>686</xdr:row>
      <xdr:rowOff>95250</xdr:rowOff>
    </xdr:from>
    <xdr:to>
      <xdr:col>22</xdr:col>
      <xdr:colOff>329046</xdr:colOff>
      <xdr:row>686</xdr:row>
      <xdr:rowOff>226388</xdr:rowOff>
    </xdr:to>
    <xdr:sp macro="" textlink="">
      <xdr:nvSpPr>
        <xdr:cNvPr id="373" name="AutoShape 1">
          <a:extLst>
            <a:ext uri="{FF2B5EF4-FFF2-40B4-BE49-F238E27FC236}">
              <a16:creationId xmlns:a16="http://schemas.microsoft.com/office/drawing/2014/main" id="{00000000-0008-0000-1800-000075010000}"/>
            </a:ext>
          </a:extLst>
        </xdr:cNvPr>
        <xdr:cNvSpPr>
          <a:spLocks noChangeArrowheads="1"/>
        </xdr:cNvSpPr>
      </xdr:nvSpPr>
      <xdr:spPr bwMode="auto">
        <a:xfrm>
          <a:off x="8520547" y="5238750"/>
          <a:ext cx="251113" cy="131138"/>
        </a:xfrm>
        <a:prstGeom prst="rightArrow">
          <a:avLst>
            <a:gd name="adj1" fmla="val 50000"/>
            <a:gd name="adj2" fmla="val 100000"/>
          </a:avLst>
        </a:prstGeom>
        <a:solidFill>
          <a:schemeClr val="bg1">
            <a:lumMod val="75000"/>
          </a:schemeClr>
        </a:solidFill>
        <a:ln w="9525">
          <a:solidFill>
            <a:srgbClr val="000000"/>
          </a:solid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oneCellAnchor>
    <xdr:from>
      <xdr:col>15</xdr:col>
      <xdr:colOff>675274</xdr:colOff>
      <xdr:row>0</xdr:row>
      <xdr:rowOff>74298</xdr:rowOff>
    </xdr:from>
    <xdr:ext cx="1701213" cy="1009172"/>
    <xdr:pic>
      <xdr:nvPicPr>
        <xdr:cNvPr id="213" name="Image 212">
          <a:extLst>
            <a:ext uri="{FF2B5EF4-FFF2-40B4-BE49-F238E27FC236}">
              <a16:creationId xmlns:a16="http://schemas.microsoft.com/office/drawing/2014/main" id="{00000000-0008-0000-1900-0000D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83930" y="74298"/>
          <a:ext cx="1701213" cy="1009172"/>
        </a:xfrm>
        <a:prstGeom prst="rect">
          <a:avLst/>
        </a:prstGeom>
      </xdr:spPr>
    </xdr:pic>
    <xdr:clientData/>
  </xdr:oneCellAnchor>
  <xdr:twoCellAnchor>
    <xdr:from>
      <xdr:col>17</xdr:col>
      <xdr:colOff>182954</xdr:colOff>
      <xdr:row>4</xdr:row>
      <xdr:rowOff>29534</xdr:rowOff>
    </xdr:from>
    <xdr:to>
      <xdr:col>20</xdr:col>
      <xdr:colOff>145441</xdr:colOff>
      <xdr:row>8</xdr:row>
      <xdr:rowOff>297656</xdr:rowOff>
    </xdr:to>
    <xdr:sp macro="[0]!JMK_IMP_feuille_marque_Duels" textlink="">
      <xdr:nvSpPr>
        <xdr:cNvPr id="26" name="Rectangle à coins arrondis 25">
          <a:extLst>
            <a:ext uri="{FF2B5EF4-FFF2-40B4-BE49-F238E27FC236}">
              <a16:creationId xmlns:a16="http://schemas.microsoft.com/office/drawing/2014/main" id="{00000000-0008-0000-1900-00001A000000}"/>
            </a:ext>
          </a:extLst>
        </xdr:cNvPr>
        <xdr:cNvSpPr/>
      </xdr:nvSpPr>
      <xdr:spPr bwMode="auto">
        <a:xfrm>
          <a:off x="13887048" y="1124909"/>
          <a:ext cx="1546018" cy="1065841"/>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IMPRESSION</a:t>
          </a:r>
        </a:p>
        <a:p>
          <a:pPr algn="ctr"/>
          <a:r>
            <a:rPr lang="fr-FR" sz="1400"/>
            <a:t>des feuilles</a:t>
          </a:r>
          <a:r>
            <a:rPr lang="fr-FR" sz="1400" baseline="0"/>
            <a:t> de </a:t>
          </a:r>
          <a:r>
            <a:rPr lang="fr-FR" sz="2400" baseline="0"/>
            <a:t>cibles</a:t>
          </a:r>
          <a:endParaRPr lang="fr-FR" sz="2400"/>
        </a:p>
      </xdr:txBody>
    </xdr:sp>
    <xdr:clientData fPrintsWithSheet="0"/>
  </xdr:twoCellAnchor>
  <xdr:twoCellAnchor>
    <xdr:from>
      <xdr:col>16</xdr:col>
      <xdr:colOff>715396</xdr:colOff>
      <xdr:row>1</xdr:row>
      <xdr:rowOff>270103</xdr:rowOff>
    </xdr:from>
    <xdr:to>
      <xdr:col>18</xdr:col>
      <xdr:colOff>64804</xdr:colOff>
      <xdr:row>3</xdr:row>
      <xdr:rowOff>118179</xdr:rowOff>
    </xdr:to>
    <xdr:sp macro="[0]!jmk_RETOUR_MENU" textlink="">
      <xdr:nvSpPr>
        <xdr:cNvPr id="27" name="Rectangle à coins arrondis 26">
          <a:extLst>
            <a:ext uri="{FF2B5EF4-FFF2-40B4-BE49-F238E27FC236}">
              <a16:creationId xmlns:a16="http://schemas.microsoft.com/office/drawing/2014/main" id="{00000000-0008-0000-1900-00001B000000}"/>
            </a:ext>
          </a:extLst>
        </xdr:cNvPr>
        <xdr:cNvSpPr/>
      </xdr:nvSpPr>
      <xdr:spPr bwMode="auto">
        <a:xfrm>
          <a:off x="13657490" y="353447"/>
          <a:ext cx="932939" cy="550545"/>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 </a:t>
          </a:r>
          <a:r>
            <a:rPr lang="fr-FR" sz="1600"/>
            <a:t>MENUS</a:t>
          </a:r>
        </a:p>
      </xdr:txBody>
    </xdr:sp>
    <xdr:clientData fPrintsWithSheet="0"/>
  </xdr:twoCellAnchor>
  <xdr:twoCellAnchor>
    <xdr:from>
      <xdr:col>17</xdr:col>
      <xdr:colOff>201047</xdr:colOff>
      <xdr:row>9</xdr:row>
      <xdr:rowOff>83345</xdr:rowOff>
    </xdr:from>
    <xdr:to>
      <xdr:col>20</xdr:col>
      <xdr:colOff>163534</xdr:colOff>
      <xdr:row>12</xdr:row>
      <xdr:rowOff>395289</xdr:rowOff>
    </xdr:to>
    <xdr:sp macro="[0]!JMK_acc_imp_DUELS" textlink="">
      <xdr:nvSpPr>
        <xdr:cNvPr id="211" name="Rectangle à coins arrondis 210">
          <a:extLst>
            <a:ext uri="{FF2B5EF4-FFF2-40B4-BE49-F238E27FC236}">
              <a16:creationId xmlns:a16="http://schemas.microsoft.com/office/drawing/2014/main" id="{00000000-0008-0000-1900-0000D3000000}"/>
            </a:ext>
          </a:extLst>
        </xdr:cNvPr>
        <xdr:cNvSpPr/>
      </xdr:nvSpPr>
      <xdr:spPr bwMode="auto">
        <a:xfrm>
          <a:off x="13905141" y="2286001"/>
          <a:ext cx="1546018" cy="931069"/>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IMPRESSION</a:t>
          </a:r>
        </a:p>
        <a:p>
          <a:pPr algn="ctr"/>
          <a:r>
            <a:rPr lang="fr-FR" sz="1400"/>
            <a:t>Affectations par </a:t>
          </a:r>
          <a:r>
            <a:rPr lang="fr-FR" sz="2400"/>
            <a:t>équipes</a:t>
          </a:r>
        </a:p>
      </xdr:txBody>
    </xdr:sp>
    <xdr:clientData fPrintsWithSheet="0"/>
  </xdr:twoCellAnchor>
  <xdr:twoCellAnchor>
    <xdr:from>
      <xdr:col>18</xdr:col>
      <xdr:colOff>177234</xdr:colOff>
      <xdr:row>1</xdr:row>
      <xdr:rowOff>191859</xdr:rowOff>
    </xdr:from>
    <xdr:to>
      <xdr:col>20</xdr:col>
      <xdr:colOff>574391</xdr:colOff>
      <xdr:row>3</xdr:row>
      <xdr:rowOff>214107</xdr:rowOff>
    </xdr:to>
    <xdr:sp macro="[0]!jmk_saisie_DUELS" textlink="">
      <xdr:nvSpPr>
        <xdr:cNvPr id="212" name="Rectangle à coins arrondis 211">
          <a:extLst>
            <a:ext uri="{FF2B5EF4-FFF2-40B4-BE49-F238E27FC236}">
              <a16:creationId xmlns:a16="http://schemas.microsoft.com/office/drawing/2014/main" id="{00000000-0008-0000-1900-0000D4000000}"/>
            </a:ext>
          </a:extLst>
        </xdr:cNvPr>
        <xdr:cNvSpPr/>
      </xdr:nvSpPr>
      <xdr:spPr bwMode="auto">
        <a:xfrm>
          <a:off x="14702859" y="275203"/>
          <a:ext cx="1159157" cy="724717"/>
        </a:xfrm>
        <a:prstGeom prst="roundRect">
          <a:avLst/>
        </a:prstGeom>
        <a:solidFill>
          <a:srgbClr val="00FF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a:t>
          </a:r>
        </a:p>
        <a:p>
          <a:pPr algn="ctr"/>
          <a:r>
            <a:rPr lang="fr-FR" sz="1800"/>
            <a:t>DUELS</a:t>
          </a:r>
        </a:p>
      </xdr:txBody>
    </xdr:sp>
    <xdr:clientData fPrintsWithSheet="0"/>
  </xdr:twoCellAnchor>
  <xdr:twoCellAnchor editAs="oneCell">
    <xdr:from>
      <xdr:col>16</xdr:col>
      <xdr:colOff>221455</xdr:colOff>
      <xdr:row>23</xdr:row>
      <xdr:rowOff>357188</xdr:rowOff>
    </xdr:from>
    <xdr:to>
      <xdr:col>17</xdr:col>
      <xdr:colOff>607218</xdr:colOff>
      <xdr:row>26</xdr:row>
      <xdr:rowOff>347648</xdr:rowOff>
    </xdr:to>
    <xdr:pic>
      <xdr:nvPicPr>
        <xdr:cNvPr id="214" name="Image 1">
          <a:extLst>
            <a:ext uri="{FF2B5EF4-FFF2-40B4-BE49-F238E27FC236}">
              <a16:creationId xmlns:a16="http://schemas.microsoft.com/office/drawing/2014/main" id="{00000000-0008-0000-1900-0000D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3163549" y="8322469"/>
          <a:ext cx="1147763" cy="120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15</xdr:col>
      <xdr:colOff>675274</xdr:colOff>
      <xdr:row>31</xdr:row>
      <xdr:rowOff>74298</xdr:rowOff>
    </xdr:from>
    <xdr:ext cx="1701213" cy="1009172"/>
    <xdr:pic>
      <xdr:nvPicPr>
        <xdr:cNvPr id="83" name="Image 82">
          <a:extLst>
            <a:ext uri="{FF2B5EF4-FFF2-40B4-BE49-F238E27FC236}">
              <a16:creationId xmlns:a16="http://schemas.microsoft.com/office/drawing/2014/main" id="{00000000-0008-0000-19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83930" y="74298"/>
          <a:ext cx="1701213" cy="1009172"/>
        </a:xfrm>
        <a:prstGeom prst="rect">
          <a:avLst/>
        </a:prstGeom>
      </xdr:spPr>
    </xdr:pic>
    <xdr:clientData/>
  </xdr:oneCellAnchor>
  <xdr:oneCellAnchor>
    <xdr:from>
      <xdr:col>16</xdr:col>
      <xdr:colOff>221455</xdr:colOff>
      <xdr:row>54</xdr:row>
      <xdr:rowOff>357188</xdr:rowOff>
    </xdr:from>
    <xdr:ext cx="1147763" cy="1204898"/>
    <xdr:pic>
      <xdr:nvPicPr>
        <xdr:cNvPr id="88" name="Image 1">
          <a:extLst>
            <a:ext uri="{FF2B5EF4-FFF2-40B4-BE49-F238E27FC236}">
              <a16:creationId xmlns:a16="http://schemas.microsoft.com/office/drawing/2014/main" id="{00000000-0008-0000-1900-00005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3163549" y="8691563"/>
          <a:ext cx="1147763" cy="120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675274</xdr:colOff>
      <xdr:row>62</xdr:row>
      <xdr:rowOff>74298</xdr:rowOff>
    </xdr:from>
    <xdr:ext cx="1701213" cy="1009172"/>
    <xdr:pic>
      <xdr:nvPicPr>
        <xdr:cNvPr id="89" name="Image 88">
          <a:extLst>
            <a:ext uri="{FF2B5EF4-FFF2-40B4-BE49-F238E27FC236}">
              <a16:creationId xmlns:a16="http://schemas.microsoft.com/office/drawing/2014/main" id="{00000000-0008-0000-19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83930" y="11944829"/>
          <a:ext cx="1701213" cy="1009172"/>
        </a:xfrm>
        <a:prstGeom prst="rect">
          <a:avLst/>
        </a:prstGeom>
      </xdr:spPr>
    </xdr:pic>
    <xdr:clientData/>
  </xdr:oneCellAnchor>
  <xdr:oneCellAnchor>
    <xdr:from>
      <xdr:col>16</xdr:col>
      <xdr:colOff>221455</xdr:colOff>
      <xdr:row>85</xdr:row>
      <xdr:rowOff>357188</xdr:rowOff>
    </xdr:from>
    <xdr:ext cx="1147763" cy="1204898"/>
    <xdr:pic>
      <xdr:nvPicPr>
        <xdr:cNvPr id="90" name="Image 1">
          <a:extLst>
            <a:ext uri="{FF2B5EF4-FFF2-40B4-BE49-F238E27FC236}">
              <a16:creationId xmlns:a16="http://schemas.microsoft.com/office/drawing/2014/main" id="{00000000-0008-0000-1900-00005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3163549" y="20562094"/>
          <a:ext cx="1147763" cy="120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675274</xdr:colOff>
      <xdr:row>93</xdr:row>
      <xdr:rowOff>74298</xdr:rowOff>
    </xdr:from>
    <xdr:ext cx="1701213" cy="1009172"/>
    <xdr:pic>
      <xdr:nvPicPr>
        <xdr:cNvPr id="91" name="Image 90">
          <a:extLst>
            <a:ext uri="{FF2B5EF4-FFF2-40B4-BE49-F238E27FC236}">
              <a16:creationId xmlns:a16="http://schemas.microsoft.com/office/drawing/2014/main" id="{00000000-0008-0000-19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83930" y="23815361"/>
          <a:ext cx="1701213" cy="1009172"/>
        </a:xfrm>
        <a:prstGeom prst="rect">
          <a:avLst/>
        </a:prstGeom>
      </xdr:spPr>
    </xdr:pic>
    <xdr:clientData/>
  </xdr:oneCellAnchor>
  <xdr:oneCellAnchor>
    <xdr:from>
      <xdr:col>16</xdr:col>
      <xdr:colOff>221455</xdr:colOff>
      <xdr:row>116</xdr:row>
      <xdr:rowOff>357188</xdr:rowOff>
    </xdr:from>
    <xdr:ext cx="1147763" cy="1204898"/>
    <xdr:pic>
      <xdr:nvPicPr>
        <xdr:cNvPr id="92" name="Image 1">
          <a:extLst>
            <a:ext uri="{FF2B5EF4-FFF2-40B4-BE49-F238E27FC236}">
              <a16:creationId xmlns:a16="http://schemas.microsoft.com/office/drawing/2014/main" id="{00000000-0008-0000-1900-00005C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3163549" y="32432626"/>
          <a:ext cx="1147763" cy="120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675274</xdr:colOff>
      <xdr:row>124</xdr:row>
      <xdr:rowOff>74298</xdr:rowOff>
    </xdr:from>
    <xdr:ext cx="1701213" cy="1009172"/>
    <xdr:pic>
      <xdr:nvPicPr>
        <xdr:cNvPr id="93" name="Image 92">
          <a:extLst>
            <a:ext uri="{FF2B5EF4-FFF2-40B4-BE49-F238E27FC236}">
              <a16:creationId xmlns:a16="http://schemas.microsoft.com/office/drawing/2014/main" id="{00000000-0008-0000-19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83930" y="35685892"/>
          <a:ext cx="1701213" cy="1009172"/>
        </a:xfrm>
        <a:prstGeom prst="rect">
          <a:avLst/>
        </a:prstGeom>
      </xdr:spPr>
    </xdr:pic>
    <xdr:clientData/>
  </xdr:oneCellAnchor>
  <xdr:oneCellAnchor>
    <xdr:from>
      <xdr:col>16</xdr:col>
      <xdr:colOff>221455</xdr:colOff>
      <xdr:row>147</xdr:row>
      <xdr:rowOff>357188</xdr:rowOff>
    </xdr:from>
    <xdr:ext cx="1147763" cy="1204898"/>
    <xdr:pic>
      <xdr:nvPicPr>
        <xdr:cNvPr id="94" name="Image 1">
          <a:extLst>
            <a:ext uri="{FF2B5EF4-FFF2-40B4-BE49-F238E27FC236}">
              <a16:creationId xmlns:a16="http://schemas.microsoft.com/office/drawing/2014/main" id="{00000000-0008-0000-1900-00005E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3163549" y="44303157"/>
          <a:ext cx="1147763" cy="120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675274</xdr:colOff>
      <xdr:row>155</xdr:row>
      <xdr:rowOff>74298</xdr:rowOff>
    </xdr:from>
    <xdr:ext cx="1701213" cy="1009172"/>
    <xdr:pic>
      <xdr:nvPicPr>
        <xdr:cNvPr id="95" name="Image 94">
          <a:extLst>
            <a:ext uri="{FF2B5EF4-FFF2-40B4-BE49-F238E27FC236}">
              <a16:creationId xmlns:a16="http://schemas.microsoft.com/office/drawing/2014/main" id="{00000000-0008-0000-1900-00005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83930" y="47556423"/>
          <a:ext cx="1701213" cy="1009172"/>
        </a:xfrm>
        <a:prstGeom prst="rect">
          <a:avLst/>
        </a:prstGeom>
      </xdr:spPr>
    </xdr:pic>
    <xdr:clientData/>
  </xdr:oneCellAnchor>
  <xdr:oneCellAnchor>
    <xdr:from>
      <xdr:col>16</xdr:col>
      <xdr:colOff>221455</xdr:colOff>
      <xdr:row>178</xdr:row>
      <xdr:rowOff>357188</xdr:rowOff>
    </xdr:from>
    <xdr:ext cx="1147763" cy="1204898"/>
    <xdr:pic>
      <xdr:nvPicPr>
        <xdr:cNvPr id="96" name="Image 1">
          <a:extLst>
            <a:ext uri="{FF2B5EF4-FFF2-40B4-BE49-F238E27FC236}">
              <a16:creationId xmlns:a16="http://schemas.microsoft.com/office/drawing/2014/main" id="{00000000-0008-0000-1900-000060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3163549" y="56173688"/>
          <a:ext cx="1147763" cy="120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675274</xdr:colOff>
      <xdr:row>186</xdr:row>
      <xdr:rowOff>74298</xdr:rowOff>
    </xdr:from>
    <xdr:ext cx="1701213" cy="1009172"/>
    <xdr:pic>
      <xdr:nvPicPr>
        <xdr:cNvPr id="97" name="Image 96">
          <a:extLst>
            <a:ext uri="{FF2B5EF4-FFF2-40B4-BE49-F238E27FC236}">
              <a16:creationId xmlns:a16="http://schemas.microsoft.com/office/drawing/2014/main" id="{00000000-0008-0000-1900-00006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83930" y="11944829"/>
          <a:ext cx="1701213" cy="1009172"/>
        </a:xfrm>
        <a:prstGeom prst="rect">
          <a:avLst/>
        </a:prstGeom>
      </xdr:spPr>
    </xdr:pic>
    <xdr:clientData/>
  </xdr:oneCellAnchor>
  <xdr:oneCellAnchor>
    <xdr:from>
      <xdr:col>16</xdr:col>
      <xdr:colOff>221455</xdr:colOff>
      <xdr:row>209</xdr:row>
      <xdr:rowOff>357188</xdr:rowOff>
    </xdr:from>
    <xdr:ext cx="1147763" cy="1204898"/>
    <xdr:pic>
      <xdr:nvPicPr>
        <xdr:cNvPr id="98" name="Image 1">
          <a:extLst>
            <a:ext uri="{FF2B5EF4-FFF2-40B4-BE49-F238E27FC236}">
              <a16:creationId xmlns:a16="http://schemas.microsoft.com/office/drawing/2014/main" id="{00000000-0008-0000-1900-00006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3163549" y="20562094"/>
          <a:ext cx="1147763" cy="120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675274</xdr:colOff>
      <xdr:row>217</xdr:row>
      <xdr:rowOff>74298</xdr:rowOff>
    </xdr:from>
    <xdr:ext cx="1701213" cy="1009172"/>
    <xdr:pic>
      <xdr:nvPicPr>
        <xdr:cNvPr id="99" name="Image 98">
          <a:extLst>
            <a:ext uri="{FF2B5EF4-FFF2-40B4-BE49-F238E27FC236}">
              <a16:creationId xmlns:a16="http://schemas.microsoft.com/office/drawing/2014/main" id="{00000000-0008-0000-1900-00006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83930" y="23815361"/>
          <a:ext cx="1701213" cy="1009172"/>
        </a:xfrm>
        <a:prstGeom prst="rect">
          <a:avLst/>
        </a:prstGeom>
      </xdr:spPr>
    </xdr:pic>
    <xdr:clientData/>
  </xdr:oneCellAnchor>
  <xdr:oneCellAnchor>
    <xdr:from>
      <xdr:col>16</xdr:col>
      <xdr:colOff>221455</xdr:colOff>
      <xdr:row>240</xdr:row>
      <xdr:rowOff>357188</xdr:rowOff>
    </xdr:from>
    <xdr:ext cx="1147763" cy="1204898"/>
    <xdr:pic>
      <xdr:nvPicPr>
        <xdr:cNvPr id="100" name="Image 1">
          <a:extLst>
            <a:ext uri="{FF2B5EF4-FFF2-40B4-BE49-F238E27FC236}">
              <a16:creationId xmlns:a16="http://schemas.microsoft.com/office/drawing/2014/main" id="{00000000-0008-0000-1900-00006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3163549" y="32432626"/>
          <a:ext cx="1147763" cy="120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675274</xdr:colOff>
      <xdr:row>248</xdr:row>
      <xdr:rowOff>74298</xdr:rowOff>
    </xdr:from>
    <xdr:ext cx="1701213" cy="1009172"/>
    <xdr:pic>
      <xdr:nvPicPr>
        <xdr:cNvPr id="101" name="Image 100">
          <a:extLst>
            <a:ext uri="{FF2B5EF4-FFF2-40B4-BE49-F238E27FC236}">
              <a16:creationId xmlns:a16="http://schemas.microsoft.com/office/drawing/2014/main" id="{00000000-0008-0000-1900-00006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83930" y="35685892"/>
          <a:ext cx="1701213" cy="1009172"/>
        </a:xfrm>
        <a:prstGeom prst="rect">
          <a:avLst/>
        </a:prstGeom>
      </xdr:spPr>
    </xdr:pic>
    <xdr:clientData/>
  </xdr:oneCellAnchor>
  <xdr:oneCellAnchor>
    <xdr:from>
      <xdr:col>16</xdr:col>
      <xdr:colOff>221455</xdr:colOff>
      <xdr:row>271</xdr:row>
      <xdr:rowOff>357188</xdr:rowOff>
    </xdr:from>
    <xdr:ext cx="1147763" cy="1204898"/>
    <xdr:pic>
      <xdr:nvPicPr>
        <xdr:cNvPr id="102" name="Image 1">
          <a:extLst>
            <a:ext uri="{FF2B5EF4-FFF2-40B4-BE49-F238E27FC236}">
              <a16:creationId xmlns:a16="http://schemas.microsoft.com/office/drawing/2014/main" id="{00000000-0008-0000-1900-00006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3163549" y="44303157"/>
          <a:ext cx="1147763" cy="120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675274</xdr:colOff>
      <xdr:row>279</xdr:row>
      <xdr:rowOff>74298</xdr:rowOff>
    </xdr:from>
    <xdr:ext cx="1701213" cy="1009172"/>
    <xdr:pic>
      <xdr:nvPicPr>
        <xdr:cNvPr id="103" name="Image 102">
          <a:extLst>
            <a:ext uri="{FF2B5EF4-FFF2-40B4-BE49-F238E27FC236}">
              <a16:creationId xmlns:a16="http://schemas.microsoft.com/office/drawing/2014/main" id="{00000000-0008-0000-1900-00006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83930" y="47556423"/>
          <a:ext cx="1701213" cy="1009172"/>
        </a:xfrm>
        <a:prstGeom prst="rect">
          <a:avLst/>
        </a:prstGeom>
      </xdr:spPr>
    </xdr:pic>
    <xdr:clientData/>
  </xdr:oneCellAnchor>
  <xdr:oneCellAnchor>
    <xdr:from>
      <xdr:col>16</xdr:col>
      <xdr:colOff>221455</xdr:colOff>
      <xdr:row>302</xdr:row>
      <xdr:rowOff>357188</xdr:rowOff>
    </xdr:from>
    <xdr:ext cx="1147763" cy="1204898"/>
    <xdr:pic>
      <xdr:nvPicPr>
        <xdr:cNvPr id="104" name="Image 1">
          <a:extLst>
            <a:ext uri="{FF2B5EF4-FFF2-40B4-BE49-F238E27FC236}">
              <a16:creationId xmlns:a16="http://schemas.microsoft.com/office/drawing/2014/main" id="{00000000-0008-0000-1900-00006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3163549" y="56173688"/>
          <a:ext cx="1147763" cy="120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675274</xdr:colOff>
      <xdr:row>310</xdr:row>
      <xdr:rowOff>74298</xdr:rowOff>
    </xdr:from>
    <xdr:ext cx="1701213" cy="1009172"/>
    <xdr:pic>
      <xdr:nvPicPr>
        <xdr:cNvPr id="105" name="Image 104">
          <a:extLst>
            <a:ext uri="{FF2B5EF4-FFF2-40B4-BE49-F238E27FC236}">
              <a16:creationId xmlns:a16="http://schemas.microsoft.com/office/drawing/2014/main" id="{00000000-0008-0000-1900-00006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83930" y="59426954"/>
          <a:ext cx="1701213" cy="1009172"/>
        </a:xfrm>
        <a:prstGeom prst="rect">
          <a:avLst/>
        </a:prstGeom>
      </xdr:spPr>
    </xdr:pic>
    <xdr:clientData/>
  </xdr:oneCellAnchor>
  <xdr:oneCellAnchor>
    <xdr:from>
      <xdr:col>16</xdr:col>
      <xdr:colOff>221455</xdr:colOff>
      <xdr:row>333</xdr:row>
      <xdr:rowOff>357188</xdr:rowOff>
    </xdr:from>
    <xdr:ext cx="1147763" cy="1204898"/>
    <xdr:pic>
      <xdr:nvPicPr>
        <xdr:cNvPr id="106" name="Image 1">
          <a:extLst>
            <a:ext uri="{FF2B5EF4-FFF2-40B4-BE49-F238E27FC236}">
              <a16:creationId xmlns:a16="http://schemas.microsoft.com/office/drawing/2014/main" id="{00000000-0008-0000-1900-00006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3163549" y="68044219"/>
          <a:ext cx="1147763" cy="120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675274</xdr:colOff>
      <xdr:row>341</xdr:row>
      <xdr:rowOff>74298</xdr:rowOff>
    </xdr:from>
    <xdr:ext cx="1701213" cy="1009172"/>
    <xdr:pic>
      <xdr:nvPicPr>
        <xdr:cNvPr id="107" name="Image 106">
          <a:extLst>
            <a:ext uri="{FF2B5EF4-FFF2-40B4-BE49-F238E27FC236}">
              <a16:creationId xmlns:a16="http://schemas.microsoft.com/office/drawing/2014/main" id="{00000000-0008-0000-1900-00006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83930" y="71297486"/>
          <a:ext cx="1701213" cy="1009172"/>
        </a:xfrm>
        <a:prstGeom prst="rect">
          <a:avLst/>
        </a:prstGeom>
      </xdr:spPr>
    </xdr:pic>
    <xdr:clientData/>
  </xdr:oneCellAnchor>
  <xdr:oneCellAnchor>
    <xdr:from>
      <xdr:col>16</xdr:col>
      <xdr:colOff>221455</xdr:colOff>
      <xdr:row>364</xdr:row>
      <xdr:rowOff>357188</xdr:rowOff>
    </xdr:from>
    <xdr:ext cx="1147763" cy="1204898"/>
    <xdr:pic>
      <xdr:nvPicPr>
        <xdr:cNvPr id="108" name="Image 1">
          <a:extLst>
            <a:ext uri="{FF2B5EF4-FFF2-40B4-BE49-F238E27FC236}">
              <a16:creationId xmlns:a16="http://schemas.microsoft.com/office/drawing/2014/main" id="{00000000-0008-0000-1900-00006C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3163549" y="79914751"/>
          <a:ext cx="1147763" cy="120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675274</xdr:colOff>
      <xdr:row>372</xdr:row>
      <xdr:rowOff>74298</xdr:rowOff>
    </xdr:from>
    <xdr:ext cx="1701213" cy="1009172"/>
    <xdr:pic>
      <xdr:nvPicPr>
        <xdr:cNvPr id="109" name="Image 108">
          <a:extLst>
            <a:ext uri="{FF2B5EF4-FFF2-40B4-BE49-F238E27FC236}">
              <a16:creationId xmlns:a16="http://schemas.microsoft.com/office/drawing/2014/main" id="{00000000-0008-0000-1900-00006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83930" y="83168017"/>
          <a:ext cx="1701213" cy="1009172"/>
        </a:xfrm>
        <a:prstGeom prst="rect">
          <a:avLst/>
        </a:prstGeom>
      </xdr:spPr>
    </xdr:pic>
    <xdr:clientData/>
  </xdr:oneCellAnchor>
  <xdr:oneCellAnchor>
    <xdr:from>
      <xdr:col>16</xdr:col>
      <xdr:colOff>221455</xdr:colOff>
      <xdr:row>395</xdr:row>
      <xdr:rowOff>357188</xdr:rowOff>
    </xdr:from>
    <xdr:ext cx="1147763" cy="1204898"/>
    <xdr:pic>
      <xdr:nvPicPr>
        <xdr:cNvPr id="110" name="Image 1">
          <a:extLst>
            <a:ext uri="{FF2B5EF4-FFF2-40B4-BE49-F238E27FC236}">
              <a16:creationId xmlns:a16="http://schemas.microsoft.com/office/drawing/2014/main" id="{00000000-0008-0000-1900-00006E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3163549" y="91785282"/>
          <a:ext cx="1147763" cy="120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675274</xdr:colOff>
      <xdr:row>403</xdr:row>
      <xdr:rowOff>74298</xdr:rowOff>
    </xdr:from>
    <xdr:ext cx="1701213" cy="1009172"/>
    <xdr:pic>
      <xdr:nvPicPr>
        <xdr:cNvPr id="111" name="Image 110">
          <a:extLst>
            <a:ext uri="{FF2B5EF4-FFF2-40B4-BE49-F238E27FC236}">
              <a16:creationId xmlns:a16="http://schemas.microsoft.com/office/drawing/2014/main" id="{00000000-0008-0000-1900-00006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83930" y="95038548"/>
          <a:ext cx="1701213" cy="1009172"/>
        </a:xfrm>
        <a:prstGeom prst="rect">
          <a:avLst/>
        </a:prstGeom>
      </xdr:spPr>
    </xdr:pic>
    <xdr:clientData/>
  </xdr:oneCellAnchor>
  <xdr:oneCellAnchor>
    <xdr:from>
      <xdr:col>16</xdr:col>
      <xdr:colOff>221455</xdr:colOff>
      <xdr:row>426</xdr:row>
      <xdr:rowOff>357188</xdr:rowOff>
    </xdr:from>
    <xdr:ext cx="1147763" cy="1204898"/>
    <xdr:pic>
      <xdr:nvPicPr>
        <xdr:cNvPr id="112" name="Image 1">
          <a:extLst>
            <a:ext uri="{FF2B5EF4-FFF2-40B4-BE49-F238E27FC236}">
              <a16:creationId xmlns:a16="http://schemas.microsoft.com/office/drawing/2014/main" id="{00000000-0008-0000-1900-000070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3163549" y="103655813"/>
          <a:ext cx="1147763" cy="120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675274</xdr:colOff>
      <xdr:row>434</xdr:row>
      <xdr:rowOff>74298</xdr:rowOff>
    </xdr:from>
    <xdr:ext cx="1701213" cy="1009172"/>
    <xdr:pic>
      <xdr:nvPicPr>
        <xdr:cNvPr id="113" name="Image 112">
          <a:extLst>
            <a:ext uri="{FF2B5EF4-FFF2-40B4-BE49-F238E27FC236}">
              <a16:creationId xmlns:a16="http://schemas.microsoft.com/office/drawing/2014/main" id="{00000000-0008-0000-19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83930" y="106909079"/>
          <a:ext cx="1701213" cy="1009172"/>
        </a:xfrm>
        <a:prstGeom prst="rect">
          <a:avLst/>
        </a:prstGeom>
      </xdr:spPr>
    </xdr:pic>
    <xdr:clientData/>
  </xdr:oneCellAnchor>
  <xdr:oneCellAnchor>
    <xdr:from>
      <xdr:col>16</xdr:col>
      <xdr:colOff>221455</xdr:colOff>
      <xdr:row>457</xdr:row>
      <xdr:rowOff>357188</xdr:rowOff>
    </xdr:from>
    <xdr:ext cx="1147763" cy="1204898"/>
    <xdr:pic>
      <xdr:nvPicPr>
        <xdr:cNvPr id="114" name="Image 1">
          <a:extLst>
            <a:ext uri="{FF2B5EF4-FFF2-40B4-BE49-F238E27FC236}">
              <a16:creationId xmlns:a16="http://schemas.microsoft.com/office/drawing/2014/main" id="{00000000-0008-0000-1900-00007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3163549" y="115526344"/>
          <a:ext cx="1147763" cy="120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675274</xdr:colOff>
      <xdr:row>465</xdr:row>
      <xdr:rowOff>74298</xdr:rowOff>
    </xdr:from>
    <xdr:ext cx="1701213" cy="1009172"/>
    <xdr:pic>
      <xdr:nvPicPr>
        <xdr:cNvPr id="115" name="Image 114">
          <a:extLst>
            <a:ext uri="{FF2B5EF4-FFF2-40B4-BE49-F238E27FC236}">
              <a16:creationId xmlns:a16="http://schemas.microsoft.com/office/drawing/2014/main" id="{00000000-0008-0000-1900-00007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83930" y="118779611"/>
          <a:ext cx="1701213" cy="1009172"/>
        </a:xfrm>
        <a:prstGeom prst="rect">
          <a:avLst/>
        </a:prstGeom>
      </xdr:spPr>
    </xdr:pic>
    <xdr:clientData/>
  </xdr:oneCellAnchor>
  <xdr:oneCellAnchor>
    <xdr:from>
      <xdr:col>16</xdr:col>
      <xdr:colOff>221455</xdr:colOff>
      <xdr:row>488</xdr:row>
      <xdr:rowOff>357188</xdr:rowOff>
    </xdr:from>
    <xdr:ext cx="1147763" cy="1204898"/>
    <xdr:pic>
      <xdr:nvPicPr>
        <xdr:cNvPr id="116" name="Image 1">
          <a:extLst>
            <a:ext uri="{FF2B5EF4-FFF2-40B4-BE49-F238E27FC236}">
              <a16:creationId xmlns:a16="http://schemas.microsoft.com/office/drawing/2014/main" id="{00000000-0008-0000-1900-00007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3163549" y="127396876"/>
          <a:ext cx="1147763" cy="120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675274</xdr:colOff>
      <xdr:row>496</xdr:row>
      <xdr:rowOff>74298</xdr:rowOff>
    </xdr:from>
    <xdr:ext cx="1701213" cy="1009172"/>
    <xdr:pic>
      <xdr:nvPicPr>
        <xdr:cNvPr id="117" name="Image 116">
          <a:extLst>
            <a:ext uri="{FF2B5EF4-FFF2-40B4-BE49-F238E27FC236}">
              <a16:creationId xmlns:a16="http://schemas.microsoft.com/office/drawing/2014/main" id="{00000000-0008-0000-1900-00007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83930" y="71297486"/>
          <a:ext cx="1701213" cy="1009172"/>
        </a:xfrm>
        <a:prstGeom prst="rect">
          <a:avLst/>
        </a:prstGeom>
      </xdr:spPr>
    </xdr:pic>
    <xdr:clientData/>
  </xdr:oneCellAnchor>
  <xdr:oneCellAnchor>
    <xdr:from>
      <xdr:col>16</xdr:col>
      <xdr:colOff>221455</xdr:colOff>
      <xdr:row>519</xdr:row>
      <xdr:rowOff>357188</xdr:rowOff>
    </xdr:from>
    <xdr:ext cx="1147763" cy="1204898"/>
    <xdr:pic>
      <xdr:nvPicPr>
        <xdr:cNvPr id="118" name="Image 1">
          <a:extLst>
            <a:ext uri="{FF2B5EF4-FFF2-40B4-BE49-F238E27FC236}">
              <a16:creationId xmlns:a16="http://schemas.microsoft.com/office/drawing/2014/main" id="{00000000-0008-0000-1900-00007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3163549" y="79914751"/>
          <a:ext cx="1147763" cy="120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675274</xdr:colOff>
      <xdr:row>527</xdr:row>
      <xdr:rowOff>74298</xdr:rowOff>
    </xdr:from>
    <xdr:ext cx="1701213" cy="1009172"/>
    <xdr:pic>
      <xdr:nvPicPr>
        <xdr:cNvPr id="119" name="Image 118">
          <a:extLst>
            <a:ext uri="{FF2B5EF4-FFF2-40B4-BE49-F238E27FC236}">
              <a16:creationId xmlns:a16="http://schemas.microsoft.com/office/drawing/2014/main" id="{00000000-0008-0000-1900-00007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83930" y="83168017"/>
          <a:ext cx="1701213" cy="1009172"/>
        </a:xfrm>
        <a:prstGeom prst="rect">
          <a:avLst/>
        </a:prstGeom>
      </xdr:spPr>
    </xdr:pic>
    <xdr:clientData/>
  </xdr:oneCellAnchor>
  <xdr:oneCellAnchor>
    <xdr:from>
      <xdr:col>16</xdr:col>
      <xdr:colOff>221455</xdr:colOff>
      <xdr:row>550</xdr:row>
      <xdr:rowOff>357188</xdr:rowOff>
    </xdr:from>
    <xdr:ext cx="1147763" cy="1204898"/>
    <xdr:pic>
      <xdr:nvPicPr>
        <xdr:cNvPr id="120" name="Image 1">
          <a:extLst>
            <a:ext uri="{FF2B5EF4-FFF2-40B4-BE49-F238E27FC236}">
              <a16:creationId xmlns:a16="http://schemas.microsoft.com/office/drawing/2014/main" id="{00000000-0008-0000-1900-00007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3163549" y="91785282"/>
          <a:ext cx="1147763" cy="120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675274</xdr:colOff>
      <xdr:row>558</xdr:row>
      <xdr:rowOff>74298</xdr:rowOff>
    </xdr:from>
    <xdr:ext cx="1701213" cy="1009172"/>
    <xdr:pic>
      <xdr:nvPicPr>
        <xdr:cNvPr id="121" name="Image 120">
          <a:extLst>
            <a:ext uri="{FF2B5EF4-FFF2-40B4-BE49-F238E27FC236}">
              <a16:creationId xmlns:a16="http://schemas.microsoft.com/office/drawing/2014/main" id="{00000000-0008-0000-1900-00007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83930" y="95038548"/>
          <a:ext cx="1701213" cy="1009172"/>
        </a:xfrm>
        <a:prstGeom prst="rect">
          <a:avLst/>
        </a:prstGeom>
      </xdr:spPr>
    </xdr:pic>
    <xdr:clientData/>
  </xdr:oneCellAnchor>
  <xdr:oneCellAnchor>
    <xdr:from>
      <xdr:col>16</xdr:col>
      <xdr:colOff>221455</xdr:colOff>
      <xdr:row>581</xdr:row>
      <xdr:rowOff>357188</xdr:rowOff>
    </xdr:from>
    <xdr:ext cx="1147763" cy="1204898"/>
    <xdr:pic>
      <xdr:nvPicPr>
        <xdr:cNvPr id="122" name="Image 1">
          <a:extLst>
            <a:ext uri="{FF2B5EF4-FFF2-40B4-BE49-F238E27FC236}">
              <a16:creationId xmlns:a16="http://schemas.microsoft.com/office/drawing/2014/main" id="{00000000-0008-0000-1900-00007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3163549" y="103655813"/>
          <a:ext cx="1147763" cy="120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675274</xdr:colOff>
      <xdr:row>589</xdr:row>
      <xdr:rowOff>74298</xdr:rowOff>
    </xdr:from>
    <xdr:ext cx="1701213" cy="1009172"/>
    <xdr:pic>
      <xdr:nvPicPr>
        <xdr:cNvPr id="123" name="Image 122">
          <a:extLst>
            <a:ext uri="{FF2B5EF4-FFF2-40B4-BE49-F238E27FC236}">
              <a16:creationId xmlns:a16="http://schemas.microsoft.com/office/drawing/2014/main" id="{00000000-0008-0000-1900-00007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83930" y="106909079"/>
          <a:ext cx="1701213" cy="1009172"/>
        </a:xfrm>
        <a:prstGeom prst="rect">
          <a:avLst/>
        </a:prstGeom>
      </xdr:spPr>
    </xdr:pic>
    <xdr:clientData/>
  </xdr:oneCellAnchor>
  <xdr:oneCellAnchor>
    <xdr:from>
      <xdr:col>16</xdr:col>
      <xdr:colOff>221455</xdr:colOff>
      <xdr:row>612</xdr:row>
      <xdr:rowOff>357188</xdr:rowOff>
    </xdr:from>
    <xdr:ext cx="1147763" cy="1204898"/>
    <xdr:pic>
      <xdr:nvPicPr>
        <xdr:cNvPr id="124" name="Image 1">
          <a:extLst>
            <a:ext uri="{FF2B5EF4-FFF2-40B4-BE49-F238E27FC236}">
              <a16:creationId xmlns:a16="http://schemas.microsoft.com/office/drawing/2014/main" id="{00000000-0008-0000-1900-00007C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3163549" y="115526344"/>
          <a:ext cx="1147763" cy="120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675274</xdr:colOff>
      <xdr:row>620</xdr:row>
      <xdr:rowOff>74298</xdr:rowOff>
    </xdr:from>
    <xdr:ext cx="1701213" cy="1009172"/>
    <xdr:pic>
      <xdr:nvPicPr>
        <xdr:cNvPr id="125" name="Image 124">
          <a:extLst>
            <a:ext uri="{FF2B5EF4-FFF2-40B4-BE49-F238E27FC236}">
              <a16:creationId xmlns:a16="http://schemas.microsoft.com/office/drawing/2014/main" id="{00000000-0008-0000-1900-00007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83930" y="118779611"/>
          <a:ext cx="1701213" cy="1009172"/>
        </a:xfrm>
        <a:prstGeom prst="rect">
          <a:avLst/>
        </a:prstGeom>
      </xdr:spPr>
    </xdr:pic>
    <xdr:clientData/>
  </xdr:oneCellAnchor>
  <xdr:oneCellAnchor>
    <xdr:from>
      <xdr:col>16</xdr:col>
      <xdr:colOff>221455</xdr:colOff>
      <xdr:row>643</xdr:row>
      <xdr:rowOff>357188</xdr:rowOff>
    </xdr:from>
    <xdr:ext cx="1147763" cy="1204898"/>
    <xdr:pic>
      <xdr:nvPicPr>
        <xdr:cNvPr id="126" name="Image 1">
          <a:extLst>
            <a:ext uri="{FF2B5EF4-FFF2-40B4-BE49-F238E27FC236}">
              <a16:creationId xmlns:a16="http://schemas.microsoft.com/office/drawing/2014/main" id="{00000000-0008-0000-1900-00007E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3163549" y="127396876"/>
          <a:ext cx="1147763" cy="120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675274</xdr:colOff>
      <xdr:row>651</xdr:row>
      <xdr:rowOff>74298</xdr:rowOff>
    </xdr:from>
    <xdr:ext cx="1701213" cy="1009172"/>
    <xdr:pic>
      <xdr:nvPicPr>
        <xdr:cNvPr id="127" name="Image 126">
          <a:extLst>
            <a:ext uri="{FF2B5EF4-FFF2-40B4-BE49-F238E27FC236}">
              <a16:creationId xmlns:a16="http://schemas.microsoft.com/office/drawing/2014/main" id="{00000000-0008-0000-1900-00007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83930" y="71297486"/>
          <a:ext cx="1701213" cy="1009172"/>
        </a:xfrm>
        <a:prstGeom prst="rect">
          <a:avLst/>
        </a:prstGeom>
      </xdr:spPr>
    </xdr:pic>
    <xdr:clientData/>
  </xdr:oneCellAnchor>
  <xdr:oneCellAnchor>
    <xdr:from>
      <xdr:col>16</xdr:col>
      <xdr:colOff>221455</xdr:colOff>
      <xdr:row>674</xdr:row>
      <xdr:rowOff>357188</xdr:rowOff>
    </xdr:from>
    <xdr:ext cx="1147763" cy="1204898"/>
    <xdr:pic>
      <xdr:nvPicPr>
        <xdr:cNvPr id="128" name="Image 1">
          <a:extLst>
            <a:ext uri="{FF2B5EF4-FFF2-40B4-BE49-F238E27FC236}">
              <a16:creationId xmlns:a16="http://schemas.microsoft.com/office/drawing/2014/main" id="{00000000-0008-0000-1900-000080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3163549" y="79914751"/>
          <a:ext cx="1147763" cy="120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675274</xdr:colOff>
      <xdr:row>682</xdr:row>
      <xdr:rowOff>74298</xdr:rowOff>
    </xdr:from>
    <xdr:ext cx="1701213" cy="1009172"/>
    <xdr:pic>
      <xdr:nvPicPr>
        <xdr:cNvPr id="129" name="Image 128">
          <a:extLst>
            <a:ext uri="{FF2B5EF4-FFF2-40B4-BE49-F238E27FC236}">
              <a16:creationId xmlns:a16="http://schemas.microsoft.com/office/drawing/2014/main" id="{00000000-0008-0000-1900-00008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83930" y="83168017"/>
          <a:ext cx="1701213" cy="1009172"/>
        </a:xfrm>
        <a:prstGeom prst="rect">
          <a:avLst/>
        </a:prstGeom>
      </xdr:spPr>
    </xdr:pic>
    <xdr:clientData/>
  </xdr:oneCellAnchor>
  <xdr:oneCellAnchor>
    <xdr:from>
      <xdr:col>16</xdr:col>
      <xdr:colOff>221455</xdr:colOff>
      <xdr:row>705</xdr:row>
      <xdr:rowOff>357188</xdr:rowOff>
    </xdr:from>
    <xdr:ext cx="1147763" cy="1204898"/>
    <xdr:pic>
      <xdr:nvPicPr>
        <xdr:cNvPr id="130" name="Image 1">
          <a:extLst>
            <a:ext uri="{FF2B5EF4-FFF2-40B4-BE49-F238E27FC236}">
              <a16:creationId xmlns:a16="http://schemas.microsoft.com/office/drawing/2014/main" id="{00000000-0008-0000-1900-00008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3163549" y="91785282"/>
          <a:ext cx="1147763" cy="120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675274</xdr:colOff>
      <xdr:row>713</xdr:row>
      <xdr:rowOff>74298</xdr:rowOff>
    </xdr:from>
    <xdr:ext cx="1701213" cy="1009172"/>
    <xdr:pic>
      <xdr:nvPicPr>
        <xdr:cNvPr id="131" name="Image 130">
          <a:extLst>
            <a:ext uri="{FF2B5EF4-FFF2-40B4-BE49-F238E27FC236}">
              <a16:creationId xmlns:a16="http://schemas.microsoft.com/office/drawing/2014/main" id="{00000000-0008-0000-1900-00008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83930" y="95038548"/>
          <a:ext cx="1701213" cy="1009172"/>
        </a:xfrm>
        <a:prstGeom prst="rect">
          <a:avLst/>
        </a:prstGeom>
      </xdr:spPr>
    </xdr:pic>
    <xdr:clientData/>
  </xdr:oneCellAnchor>
  <xdr:oneCellAnchor>
    <xdr:from>
      <xdr:col>16</xdr:col>
      <xdr:colOff>221455</xdr:colOff>
      <xdr:row>736</xdr:row>
      <xdr:rowOff>357188</xdr:rowOff>
    </xdr:from>
    <xdr:ext cx="1147763" cy="1204898"/>
    <xdr:pic>
      <xdr:nvPicPr>
        <xdr:cNvPr id="132" name="Image 1">
          <a:extLst>
            <a:ext uri="{FF2B5EF4-FFF2-40B4-BE49-F238E27FC236}">
              <a16:creationId xmlns:a16="http://schemas.microsoft.com/office/drawing/2014/main" id="{00000000-0008-0000-1900-00008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3163549" y="103655813"/>
          <a:ext cx="1147763" cy="120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20</xdr:col>
      <xdr:colOff>523875</xdr:colOff>
      <xdr:row>6</xdr:row>
      <xdr:rowOff>31750</xdr:rowOff>
    </xdr:from>
    <xdr:to>
      <xdr:col>24</xdr:col>
      <xdr:colOff>492125</xdr:colOff>
      <xdr:row>11</xdr:row>
      <xdr:rowOff>79375</xdr:rowOff>
    </xdr:to>
    <xdr:sp macro="[0]!jmk_acc_fiche_duel_2017" textlink="">
      <xdr:nvSpPr>
        <xdr:cNvPr id="2" name="Rectangle à coins arrondis 1">
          <a:extLst>
            <a:ext uri="{FF2B5EF4-FFF2-40B4-BE49-F238E27FC236}">
              <a16:creationId xmlns:a16="http://schemas.microsoft.com/office/drawing/2014/main" id="{00000000-0008-0000-1900-000002000000}"/>
            </a:ext>
          </a:extLst>
        </xdr:cNvPr>
        <xdr:cNvSpPr/>
      </xdr:nvSpPr>
      <xdr:spPr bwMode="auto">
        <a:xfrm>
          <a:off x="15811500" y="2047875"/>
          <a:ext cx="1508125" cy="1365250"/>
        </a:xfrm>
        <a:prstGeom prst="roundRect">
          <a:avLst/>
        </a:prstGeom>
        <a:solidFill>
          <a:srgbClr val="00FF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2000" b="1"/>
            <a:t>RETOUR </a:t>
          </a:r>
          <a:r>
            <a:rPr lang="fr-FR" sz="1800"/>
            <a:t> </a:t>
          </a:r>
          <a:br>
            <a:rPr lang="fr-FR" sz="1800"/>
          </a:br>
          <a:r>
            <a:rPr lang="fr-FR" sz="1800"/>
            <a:t>Feuilles</a:t>
          </a:r>
          <a:r>
            <a:rPr lang="fr-FR" sz="1800" baseline="0"/>
            <a:t> de marque  </a:t>
          </a:r>
          <a:r>
            <a:rPr lang="fr-FR" sz="2000" b="1" baseline="0"/>
            <a:t>2017</a:t>
          </a:r>
          <a:endParaRPr lang="fr-FR" sz="2000" b="1"/>
        </a:p>
      </xdr:txBody>
    </xdr:sp>
    <xdr:clientData fPrintsWithSheet="0"/>
  </xdr:twoCellAnchor>
</xdr:wsDr>
</file>

<file path=xl/drawings/drawing27.xml><?xml version="1.0" encoding="utf-8"?>
<xdr:wsDr xmlns:xdr="http://schemas.openxmlformats.org/drawingml/2006/spreadsheetDrawing" xmlns:a="http://schemas.openxmlformats.org/drawingml/2006/main">
  <xdr:oneCellAnchor>
    <xdr:from>
      <xdr:col>26</xdr:col>
      <xdr:colOff>415854</xdr:colOff>
      <xdr:row>33</xdr:row>
      <xdr:rowOff>299437</xdr:rowOff>
    </xdr:from>
    <xdr:ext cx="1701213" cy="1009172"/>
    <xdr:pic>
      <xdr:nvPicPr>
        <xdr:cNvPr id="2" name="Imag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46865" y="1454597"/>
          <a:ext cx="1701213" cy="1009172"/>
        </a:xfrm>
        <a:prstGeom prst="rect">
          <a:avLst/>
        </a:prstGeom>
      </xdr:spPr>
    </xdr:pic>
    <xdr:clientData/>
  </xdr:oneCellAnchor>
  <xdr:twoCellAnchor>
    <xdr:from>
      <xdr:col>31</xdr:col>
      <xdr:colOff>327029</xdr:colOff>
      <xdr:row>32</xdr:row>
      <xdr:rowOff>429744</xdr:rowOff>
    </xdr:from>
    <xdr:to>
      <xdr:col>36</xdr:col>
      <xdr:colOff>193466</xdr:colOff>
      <xdr:row>37</xdr:row>
      <xdr:rowOff>249631</xdr:rowOff>
    </xdr:to>
    <xdr:sp macro="[0]!JMK_IMP_feuille_marque_Duels" textlink="">
      <xdr:nvSpPr>
        <xdr:cNvPr id="3" name="Rectangle à coins arrondis 25">
          <a:extLst>
            <a:ext uri="{FF2B5EF4-FFF2-40B4-BE49-F238E27FC236}">
              <a16:creationId xmlns:a16="http://schemas.microsoft.com/office/drawing/2014/main" id="{00000000-0008-0000-1A00-000003000000}"/>
            </a:ext>
          </a:extLst>
        </xdr:cNvPr>
        <xdr:cNvSpPr/>
      </xdr:nvSpPr>
      <xdr:spPr bwMode="auto">
        <a:xfrm>
          <a:off x="16711630" y="1134114"/>
          <a:ext cx="1539315" cy="1348689"/>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IMPRESSION</a:t>
          </a:r>
        </a:p>
        <a:p>
          <a:pPr algn="ctr"/>
          <a:r>
            <a:rPr lang="fr-FR" sz="1400"/>
            <a:t>des feuilles</a:t>
          </a:r>
          <a:r>
            <a:rPr lang="fr-FR" sz="1400" baseline="0"/>
            <a:t> de </a:t>
          </a:r>
          <a:r>
            <a:rPr lang="fr-FR" sz="2400" baseline="0"/>
            <a:t>cibles</a:t>
          </a:r>
          <a:endParaRPr lang="fr-FR" sz="2400"/>
        </a:p>
      </xdr:txBody>
    </xdr:sp>
    <xdr:clientData fPrintsWithSheet="0"/>
  </xdr:twoCellAnchor>
  <xdr:twoCellAnchor>
    <xdr:from>
      <xdr:col>31</xdr:col>
      <xdr:colOff>99072</xdr:colOff>
      <xdr:row>30</xdr:row>
      <xdr:rowOff>166048</xdr:rowOff>
    </xdr:from>
    <xdr:to>
      <xdr:col>34</xdr:col>
      <xdr:colOff>72808</xdr:colOff>
      <xdr:row>32</xdr:row>
      <xdr:rowOff>214229</xdr:rowOff>
    </xdr:to>
    <xdr:sp macro="[0]!jmk_RETOUR_MENU" textlink="">
      <xdr:nvSpPr>
        <xdr:cNvPr id="4" name="Rectangle à coins arrondis 26">
          <a:extLst>
            <a:ext uri="{FF2B5EF4-FFF2-40B4-BE49-F238E27FC236}">
              <a16:creationId xmlns:a16="http://schemas.microsoft.com/office/drawing/2014/main" id="{00000000-0008-0000-1A00-000004000000}"/>
            </a:ext>
          </a:extLst>
        </xdr:cNvPr>
        <xdr:cNvSpPr/>
      </xdr:nvSpPr>
      <xdr:spPr bwMode="auto">
        <a:xfrm>
          <a:off x="16483673" y="166048"/>
          <a:ext cx="926236" cy="752551"/>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 </a:t>
          </a:r>
          <a:r>
            <a:rPr lang="fr-FR" sz="1600"/>
            <a:t>MENUS</a:t>
          </a:r>
        </a:p>
      </xdr:txBody>
    </xdr:sp>
    <xdr:clientData fPrintsWithSheet="0"/>
  </xdr:twoCellAnchor>
  <xdr:twoCellAnchor>
    <xdr:from>
      <xdr:col>31</xdr:col>
      <xdr:colOff>345122</xdr:colOff>
      <xdr:row>38</xdr:row>
      <xdr:rowOff>219416</xdr:rowOff>
    </xdr:from>
    <xdr:to>
      <xdr:col>36</xdr:col>
      <xdr:colOff>211559</xdr:colOff>
      <xdr:row>41</xdr:row>
      <xdr:rowOff>369435</xdr:rowOff>
    </xdr:to>
    <xdr:sp macro="[0]!JMK_acc_imp_DUELS" textlink="">
      <xdr:nvSpPr>
        <xdr:cNvPr id="5" name="Rectangle à coins arrondis 210">
          <a:extLst>
            <a:ext uri="{FF2B5EF4-FFF2-40B4-BE49-F238E27FC236}">
              <a16:creationId xmlns:a16="http://schemas.microsoft.com/office/drawing/2014/main" id="{00000000-0008-0000-1A00-000005000000}"/>
            </a:ext>
          </a:extLst>
        </xdr:cNvPr>
        <xdr:cNvSpPr/>
      </xdr:nvSpPr>
      <xdr:spPr bwMode="auto">
        <a:xfrm>
          <a:off x="16729723" y="2756748"/>
          <a:ext cx="1539315" cy="1614788"/>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IMPRESSION</a:t>
          </a:r>
        </a:p>
        <a:p>
          <a:pPr algn="ctr"/>
          <a:r>
            <a:rPr lang="fr-FR" sz="1400"/>
            <a:t>Affectations par </a:t>
          </a:r>
          <a:r>
            <a:rPr lang="fr-FR" sz="2400"/>
            <a:t>équipes</a:t>
          </a:r>
        </a:p>
      </xdr:txBody>
    </xdr:sp>
    <xdr:clientData fPrintsWithSheet="0"/>
  </xdr:twoCellAnchor>
  <xdr:twoCellAnchor>
    <xdr:from>
      <xdr:col>34</xdr:col>
      <xdr:colOff>185238</xdr:colOff>
      <xdr:row>30</xdr:row>
      <xdr:rowOff>87804</xdr:rowOff>
    </xdr:from>
    <xdr:to>
      <xdr:col>36</xdr:col>
      <xdr:colOff>622416</xdr:colOff>
      <xdr:row>32</xdr:row>
      <xdr:rowOff>310157</xdr:rowOff>
    </xdr:to>
    <xdr:sp macro="[0]!jmk_saisie_DUELS" textlink="">
      <xdr:nvSpPr>
        <xdr:cNvPr id="6" name="Rectangle à coins arrondis 211">
          <a:extLst>
            <a:ext uri="{FF2B5EF4-FFF2-40B4-BE49-F238E27FC236}">
              <a16:creationId xmlns:a16="http://schemas.microsoft.com/office/drawing/2014/main" id="{00000000-0008-0000-1A00-000006000000}"/>
            </a:ext>
          </a:extLst>
        </xdr:cNvPr>
        <xdr:cNvSpPr/>
      </xdr:nvSpPr>
      <xdr:spPr bwMode="auto">
        <a:xfrm>
          <a:off x="17522339" y="87804"/>
          <a:ext cx="1157556" cy="926723"/>
        </a:xfrm>
        <a:prstGeom prst="roundRect">
          <a:avLst/>
        </a:prstGeom>
        <a:solidFill>
          <a:srgbClr val="00FF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a:t>
          </a:r>
        </a:p>
        <a:p>
          <a:pPr algn="ctr"/>
          <a:r>
            <a:rPr lang="fr-FR" sz="1800"/>
            <a:t>DUELS</a:t>
          </a:r>
        </a:p>
      </xdr:txBody>
    </xdr:sp>
    <xdr:clientData fPrintsWithSheet="0"/>
  </xdr:twoCellAnchor>
  <xdr:twoCellAnchor>
    <xdr:from>
      <xdr:col>36</xdr:col>
      <xdr:colOff>571900</xdr:colOff>
      <xdr:row>34</xdr:row>
      <xdr:rowOff>223850</xdr:rowOff>
    </xdr:from>
    <xdr:to>
      <xdr:col>38</xdr:col>
      <xdr:colOff>556159</xdr:colOff>
      <xdr:row>40</xdr:row>
      <xdr:rowOff>215446</xdr:rowOff>
    </xdr:to>
    <xdr:sp macro="[0]!jmk_acc_fiche_duel_2017" textlink="">
      <xdr:nvSpPr>
        <xdr:cNvPr id="54" name="Rectangle à coins arrondis 1">
          <a:extLst>
            <a:ext uri="{FF2B5EF4-FFF2-40B4-BE49-F238E27FC236}">
              <a16:creationId xmlns:a16="http://schemas.microsoft.com/office/drawing/2014/main" id="{00000000-0008-0000-1A00-000036000000}"/>
            </a:ext>
          </a:extLst>
        </xdr:cNvPr>
        <xdr:cNvSpPr/>
      </xdr:nvSpPr>
      <xdr:spPr bwMode="auto">
        <a:xfrm>
          <a:off x="18629379" y="1680615"/>
          <a:ext cx="1505057" cy="2048676"/>
        </a:xfrm>
        <a:prstGeom prst="roundRect">
          <a:avLst/>
        </a:prstGeom>
        <a:solidFill>
          <a:srgbClr val="00FF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2000" b="1"/>
            <a:t>RETOUR </a:t>
          </a:r>
          <a:r>
            <a:rPr lang="fr-FR" sz="1800"/>
            <a:t> </a:t>
          </a:r>
          <a:br>
            <a:rPr lang="fr-FR" sz="1800"/>
          </a:br>
          <a:r>
            <a:rPr lang="fr-FR" sz="1800"/>
            <a:t>Feuilles</a:t>
          </a:r>
          <a:r>
            <a:rPr lang="fr-FR" sz="1800" baseline="0"/>
            <a:t> de marque  </a:t>
          </a:r>
          <a:r>
            <a:rPr lang="fr-FR" sz="2000" b="1" baseline="0"/>
            <a:t>2017</a:t>
          </a:r>
          <a:endParaRPr lang="fr-FR" sz="2000" b="1"/>
        </a:p>
      </xdr:txBody>
    </xdr:sp>
    <xdr:clientData fPrintsWithSheet="0"/>
  </xdr:twoCellAnchor>
  <xdr:twoCellAnchor>
    <xdr:from>
      <xdr:col>2</xdr:col>
      <xdr:colOff>121595</xdr:colOff>
      <xdr:row>39</xdr:row>
      <xdr:rowOff>141861</xdr:rowOff>
    </xdr:from>
    <xdr:to>
      <xdr:col>2</xdr:col>
      <xdr:colOff>496516</xdr:colOff>
      <xdr:row>39</xdr:row>
      <xdr:rowOff>354654</xdr:rowOff>
    </xdr:to>
    <xdr:sp macro="" textlink="">
      <xdr:nvSpPr>
        <xdr:cNvPr id="55" name="Rectangle : coins arrondis 54">
          <a:extLst>
            <a:ext uri="{FF2B5EF4-FFF2-40B4-BE49-F238E27FC236}">
              <a16:creationId xmlns:a16="http://schemas.microsoft.com/office/drawing/2014/main" id="{00000000-0008-0000-1A00-000037000000}"/>
            </a:ext>
          </a:extLst>
        </xdr:cNvPr>
        <xdr:cNvSpPr/>
      </xdr:nvSpPr>
      <xdr:spPr bwMode="auto">
        <a:xfrm>
          <a:off x="719441" y="3151356"/>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14</xdr:col>
      <xdr:colOff>111867</xdr:colOff>
      <xdr:row>39</xdr:row>
      <xdr:rowOff>142266</xdr:rowOff>
    </xdr:from>
    <xdr:to>
      <xdr:col>14</xdr:col>
      <xdr:colOff>486788</xdr:colOff>
      <xdr:row>39</xdr:row>
      <xdr:rowOff>355059</xdr:rowOff>
    </xdr:to>
    <xdr:sp macro="" textlink="">
      <xdr:nvSpPr>
        <xdr:cNvPr id="56" name="Rectangle : coins arrondis 55">
          <a:extLst>
            <a:ext uri="{FF2B5EF4-FFF2-40B4-BE49-F238E27FC236}">
              <a16:creationId xmlns:a16="http://schemas.microsoft.com/office/drawing/2014/main" id="{00000000-0008-0000-1A00-000038000000}"/>
            </a:ext>
          </a:extLst>
        </xdr:cNvPr>
        <xdr:cNvSpPr/>
      </xdr:nvSpPr>
      <xdr:spPr bwMode="auto">
        <a:xfrm>
          <a:off x="6992160" y="3151761"/>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121595</xdr:colOff>
      <xdr:row>39</xdr:row>
      <xdr:rowOff>141861</xdr:rowOff>
    </xdr:from>
    <xdr:to>
      <xdr:col>18</xdr:col>
      <xdr:colOff>496516</xdr:colOff>
      <xdr:row>39</xdr:row>
      <xdr:rowOff>354654</xdr:rowOff>
    </xdr:to>
    <xdr:sp macro="" textlink="">
      <xdr:nvSpPr>
        <xdr:cNvPr id="57" name="Rectangle : coins arrondis 56">
          <a:extLst>
            <a:ext uri="{FF2B5EF4-FFF2-40B4-BE49-F238E27FC236}">
              <a16:creationId xmlns:a16="http://schemas.microsoft.com/office/drawing/2014/main" id="{00000000-0008-0000-1A00-000039000000}"/>
            </a:ext>
          </a:extLst>
        </xdr:cNvPr>
        <xdr:cNvSpPr/>
      </xdr:nvSpPr>
      <xdr:spPr bwMode="auto">
        <a:xfrm>
          <a:off x="719441" y="3151356"/>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30</xdr:col>
      <xdr:colOff>111867</xdr:colOff>
      <xdr:row>39</xdr:row>
      <xdr:rowOff>142266</xdr:rowOff>
    </xdr:from>
    <xdr:to>
      <xdr:col>30</xdr:col>
      <xdr:colOff>486788</xdr:colOff>
      <xdr:row>39</xdr:row>
      <xdr:rowOff>355059</xdr:rowOff>
    </xdr:to>
    <xdr:sp macro="" textlink="">
      <xdr:nvSpPr>
        <xdr:cNvPr id="58" name="Rectangle : coins arrondis 57">
          <a:extLst>
            <a:ext uri="{FF2B5EF4-FFF2-40B4-BE49-F238E27FC236}">
              <a16:creationId xmlns:a16="http://schemas.microsoft.com/office/drawing/2014/main" id="{00000000-0008-0000-1A00-00003A000000}"/>
            </a:ext>
          </a:extLst>
        </xdr:cNvPr>
        <xdr:cNvSpPr/>
      </xdr:nvSpPr>
      <xdr:spPr bwMode="auto">
        <a:xfrm>
          <a:off x="6992160" y="3151761"/>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xdr:col>
      <xdr:colOff>101330</xdr:colOff>
      <xdr:row>52</xdr:row>
      <xdr:rowOff>101329</xdr:rowOff>
    </xdr:from>
    <xdr:to>
      <xdr:col>2</xdr:col>
      <xdr:colOff>476251</xdr:colOff>
      <xdr:row>52</xdr:row>
      <xdr:rowOff>314122</xdr:rowOff>
    </xdr:to>
    <xdr:sp macro="" textlink="">
      <xdr:nvSpPr>
        <xdr:cNvPr id="59" name="Rectangle : coins arrondis 58">
          <a:extLst>
            <a:ext uri="{FF2B5EF4-FFF2-40B4-BE49-F238E27FC236}">
              <a16:creationId xmlns:a16="http://schemas.microsoft.com/office/drawing/2014/main" id="{00000000-0008-0000-1A00-00003B000000}"/>
            </a:ext>
          </a:extLst>
        </xdr:cNvPr>
        <xdr:cNvSpPr/>
      </xdr:nvSpPr>
      <xdr:spPr bwMode="auto">
        <a:xfrm>
          <a:off x="699176" y="7711196"/>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101736</xdr:colOff>
      <xdr:row>52</xdr:row>
      <xdr:rowOff>101735</xdr:rowOff>
    </xdr:from>
    <xdr:to>
      <xdr:col>18</xdr:col>
      <xdr:colOff>476657</xdr:colOff>
      <xdr:row>52</xdr:row>
      <xdr:rowOff>314528</xdr:rowOff>
    </xdr:to>
    <xdr:sp macro="" textlink="">
      <xdr:nvSpPr>
        <xdr:cNvPr id="60" name="Rectangle : coins arrondis 59">
          <a:extLst>
            <a:ext uri="{FF2B5EF4-FFF2-40B4-BE49-F238E27FC236}">
              <a16:creationId xmlns:a16="http://schemas.microsoft.com/office/drawing/2014/main" id="{00000000-0008-0000-1A00-00003C000000}"/>
            </a:ext>
          </a:extLst>
        </xdr:cNvPr>
        <xdr:cNvSpPr/>
      </xdr:nvSpPr>
      <xdr:spPr bwMode="auto">
        <a:xfrm>
          <a:off x="8512108" y="7711602"/>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editAs="oneCell">
    <xdr:from>
      <xdr:col>25</xdr:col>
      <xdr:colOff>249241</xdr:colOff>
      <xdr:row>30</xdr:row>
      <xdr:rowOff>222926</xdr:rowOff>
    </xdr:from>
    <xdr:to>
      <xdr:col>30</xdr:col>
      <xdr:colOff>580142</xdr:colOff>
      <xdr:row>33</xdr:row>
      <xdr:rowOff>182394</xdr:rowOff>
    </xdr:to>
    <xdr:pic>
      <xdr:nvPicPr>
        <xdr:cNvPr id="61" name="Image 60">
          <a:extLst>
            <a:ext uri="{FF2B5EF4-FFF2-40B4-BE49-F238E27FC236}">
              <a16:creationId xmlns:a16="http://schemas.microsoft.com/office/drawing/2014/main" id="{00000000-0008-0000-1A00-00003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02672" y="222926"/>
          <a:ext cx="2570288" cy="1114627"/>
        </a:xfrm>
        <a:prstGeom prst="rect">
          <a:avLst/>
        </a:prstGeom>
      </xdr:spPr>
    </xdr:pic>
    <xdr:clientData/>
  </xdr:twoCellAnchor>
  <xdr:twoCellAnchor editAs="oneCell">
    <xdr:from>
      <xdr:col>0</xdr:col>
      <xdr:colOff>344521</xdr:colOff>
      <xdr:row>30</xdr:row>
      <xdr:rowOff>111463</xdr:rowOff>
    </xdr:from>
    <xdr:to>
      <xdr:col>2</xdr:col>
      <xdr:colOff>514691</xdr:colOff>
      <xdr:row>33</xdr:row>
      <xdr:rowOff>253324</xdr:rowOff>
    </xdr:to>
    <xdr:pic>
      <xdr:nvPicPr>
        <xdr:cNvPr id="62" name="Image 1">
          <a:extLst>
            <a:ext uri="{FF2B5EF4-FFF2-40B4-BE49-F238E27FC236}">
              <a16:creationId xmlns:a16="http://schemas.microsoft.com/office/drawing/2014/main" id="{00000000-0008-0000-1A00-00003E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818" t="8181" r="10909" b="10000"/>
        <a:stretch/>
      </xdr:blipFill>
      <xdr:spPr bwMode="auto">
        <a:xfrm>
          <a:off x="344521" y="111463"/>
          <a:ext cx="1146235" cy="129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26</xdr:col>
      <xdr:colOff>415854</xdr:colOff>
      <xdr:row>62</xdr:row>
      <xdr:rowOff>299437</xdr:rowOff>
    </xdr:from>
    <xdr:ext cx="1701213" cy="1009172"/>
    <xdr:pic>
      <xdr:nvPicPr>
        <xdr:cNvPr id="7" name="Image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01175" y="6463473"/>
          <a:ext cx="1701213" cy="1009172"/>
        </a:xfrm>
        <a:prstGeom prst="rect">
          <a:avLst/>
        </a:prstGeom>
      </xdr:spPr>
    </xdr:pic>
    <xdr:clientData/>
  </xdr:oneCellAnchor>
  <xdr:twoCellAnchor>
    <xdr:from>
      <xdr:col>2</xdr:col>
      <xdr:colOff>121595</xdr:colOff>
      <xdr:row>68</xdr:row>
      <xdr:rowOff>141861</xdr:rowOff>
    </xdr:from>
    <xdr:to>
      <xdr:col>2</xdr:col>
      <xdr:colOff>496516</xdr:colOff>
      <xdr:row>68</xdr:row>
      <xdr:rowOff>354654</xdr:rowOff>
    </xdr:to>
    <xdr:sp macro="" textlink="">
      <xdr:nvSpPr>
        <xdr:cNvPr id="8" name="Rectangle : coins arrondis 7">
          <a:extLst>
            <a:ext uri="{FF2B5EF4-FFF2-40B4-BE49-F238E27FC236}">
              <a16:creationId xmlns:a16="http://schemas.microsoft.com/office/drawing/2014/main" id="{00000000-0008-0000-1A00-000008000000}"/>
            </a:ext>
          </a:extLst>
        </xdr:cNvPr>
        <xdr:cNvSpPr/>
      </xdr:nvSpPr>
      <xdr:spPr bwMode="auto">
        <a:xfrm>
          <a:off x="720309" y="8415004"/>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14</xdr:col>
      <xdr:colOff>111867</xdr:colOff>
      <xdr:row>68</xdr:row>
      <xdr:rowOff>142266</xdr:rowOff>
    </xdr:from>
    <xdr:to>
      <xdr:col>14</xdr:col>
      <xdr:colOff>486788</xdr:colOff>
      <xdr:row>68</xdr:row>
      <xdr:rowOff>355059</xdr:rowOff>
    </xdr:to>
    <xdr:sp macro="" textlink="">
      <xdr:nvSpPr>
        <xdr:cNvPr id="9" name="Rectangle : coins arrondis 8">
          <a:extLst>
            <a:ext uri="{FF2B5EF4-FFF2-40B4-BE49-F238E27FC236}">
              <a16:creationId xmlns:a16="http://schemas.microsoft.com/office/drawing/2014/main" id="{00000000-0008-0000-1A00-000009000000}"/>
            </a:ext>
          </a:extLst>
        </xdr:cNvPr>
        <xdr:cNvSpPr/>
      </xdr:nvSpPr>
      <xdr:spPr bwMode="auto">
        <a:xfrm>
          <a:off x="7078724" y="8415409"/>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121595</xdr:colOff>
      <xdr:row>68</xdr:row>
      <xdr:rowOff>141861</xdr:rowOff>
    </xdr:from>
    <xdr:to>
      <xdr:col>18</xdr:col>
      <xdr:colOff>496516</xdr:colOff>
      <xdr:row>68</xdr:row>
      <xdr:rowOff>354654</xdr:rowOff>
    </xdr:to>
    <xdr:sp macro="" textlink="">
      <xdr:nvSpPr>
        <xdr:cNvPr id="10" name="Rectangle : coins arrondis 9">
          <a:extLst>
            <a:ext uri="{FF2B5EF4-FFF2-40B4-BE49-F238E27FC236}">
              <a16:creationId xmlns:a16="http://schemas.microsoft.com/office/drawing/2014/main" id="{00000000-0008-0000-1A00-00000A000000}"/>
            </a:ext>
          </a:extLst>
        </xdr:cNvPr>
        <xdr:cNvSpPr/>
      </xdr:nvSpPr>
      <xdr:spPr bwMode="auto">
        <a:xfrm>
          <a:off x="8626059" y="8415004"/>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30</xdr:col>
      <xdr:colOff>111867</xdr:colOff>
      <xdr:row>68</xdr:row>
      <xdr:rowOff>142266</xdr:rowOff>
    </xdr:from>
    <xdr:to>
      <xdr:col>30</xdr:col>
      <xdr:colOff>486788</xdr:colOff>
      <xdr:row>68</xdr:row>
      <xdr:rowOff>355059</xdr:rowOff>
    </xdr:to>
    <xdr:sp macro="" textlink="">
      <xdr:nvSpPr>
        <xdr:cNvPr id="11" name="Rectangle : coins arrondis 10">
          <a:extLst>
            <a:ext uri="{FF2B5EF4-FFF2-40B4-BE49-F238E27FC236}">
              <a16:creationId xmlns:a16="http://schemas.microsoft.com/office/drawing/2014/main" id="{00000000-0008-0000-1A00-00000B000000}"/>
            </a:ext>
          </a:extLst>
        </xdr:cNvPr>
        <xdr:cNvSpPr/>
      </xdr:nvSpPr>
      <xdr:spPr bwMode="auto">
        <a:xfrm>
          <a:off x="14943653" y="8415409"/>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xdr:col>
      <xdr:colOff>101330</xdr:colOff>
      <xdr:row>81</xdr:row>
      <xdr:rowOff>101329</xdr:rowOff>
    </xdr:from>
    <xdr:to>
      <xdr:col>2</xdr:col>
      <xdr:colOff>476251</xdr:colOff>
      <xdr:row>81</xdr:row>
      <xdr:rowOff>314122</xdr:rowOff>
    </xdr:to>
    <xdr:sp macro="" textlink="">
      <xdr:nvSpPr>
        <xdr:cNvPr id="12" name="Rectangle : coins arrondis 11">
          <a:extLst>
            <a:ext uri="{FF2B5EF4-FFF2-40B4-BE49-F238E27FC236}">
              <a16:creationId xmlns:a16="http://schemas.microsoft.com/office/drawing/2014/main" id="{00000000-0008-0000-1A00-00000C000000}"/>
            </a:ext>
          </a:extLst>
        </xdr:cNvPr>
        <xdr:cNvSpPr/>
      </xdr:nvSpPr>
      <xdr:spPr bwMode="auto">
        <a:xfrm>
          <a:off x="700044" y="133002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101736</xdr:colOff>
      <xdr:row>81</xdr:row>
      <xdr:rowOff>101735</xdr:rowOff>
    </xdr:from>
    <xdr:to>
      <xdr:col>18</xdr:col>
      <xdr:colOff>476657</xdr:colOff>
      <xdr:row>81</xdr:row>
      <xdr:rowOff>314528</xdr:rowOff>
    </xdr:to>
    <xdr:sp macro="" textlink="">
      <xdr:nvSpPr>
        <xdr:cNvPr id="13" name="Rectangle : coins arrondis 12">
          <a:extLst>
            <a:ext uri="{FF2B5EF4-FFF2-40B4-BE49-F238E27FC236}">
              <a16:creationId xmlns:a16="http://schemas.microsoft.com/office/drawing/2014/main" id="{00000000-0008-0000-1A00-00000D000000}"/>
            </a:ext>
          </a:extLst>
        </xdr:cNvPr>
        <xdr:cNvSpPr/>
      </xdr:nvSpPr>
      <xdr:spPr bwMode="auto">
        <a:xfrm>
          <a:off x="8606200" y="13300664"/>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25</xdr:col>
      <xdr:colOff>470753</xdr:colOff>
      <xdr:row>59</xdr:row>
      <xdr:rowOff>211850</xdr:rowOff>
    </xdr:from>
    <xdr:ext cx="2562472" cy="1129683"/>
    <xdr:pic>
      <xdr:nvPicPr>
        <xdr:cNvPr id="14" name="Imag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06073" y="16315745"/>
          <a:ext cx="2562472" cy="1129683"/>
        </a:xfrm>
        <a:prstGeom prst="rect">
          <a:avLst/>
        </a:prstGeom>
      </xdr:spPr>
    </xdr:pic>
    <xdr:clientData/>
  </xdr:oneCellAnchor>
  <xdr:oneCellAnchor>
    <xdr:from>
      <xdr:col>0</xdr:col>
      <xdr:colOff>344521</xdr:colOff>
      <xdr:row>59</xdr:row>
      <xdr:rowOff>111463</xdr:rowOff>
    </xdr:from>
    <xdr:ext cx="1154630" cy="1312076"/>
    <xdr:pic>
      <xdr:nvPicPr>
        <xdr:cNvPr id="15" name="Image 1">
          <a:extLst>
            <a:ext uri="{FF2B5EF4-FFF2-40B4-BE49-F238E27FC236}">
              <a16:creationId xmlns:a16="http://schemas.microsoft.com/office/drawing/2014/main" id="{00000000-0008-0000-1A00-00000F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818" t="8181" r="10909" b="10000"/>
        <a:stretch/>
      </xdr:blipFill>
      <xdr:spPr bwMode="auto">
        <a:xfrm>
          <a:off x="344521" y="5105284"/>
          <a:ext cx="1154630" cy="1312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415854</xdr:colOff>
      <xdr:row>91</xdr:row>
      <xdr:rowOff>299437</xdr:rowOff>
    </xdr:from>
    <xdr:ext cx="1701213" cy="1009172"/>
    <xdr:pic>
      <xdr:nvPicPr>
        <xdr:cNvPr id="34" name="Image 33">
          <a:extLst>
            <a:ext uri="{FF2B5EF4-FFF2-40B4-BE49-F238E27FC236}">
              <a16:creationId xmlns:a16="http://schemas.microsoft.com/office/drawing/2014/main" id="{00000000-0008-0000-1A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27104" y="17555193"/>
          <a:ext cx="1701213" cy="1009172"/>
        </a:xfrm>
        <a:prstGeom prst="rect">
          <a:avLst/>
        </a:prstGeom>
      </xdr:spPr>
    </xdr:pic>
    <xdr:clientData/>
  </xdr:oneCellAnchor>
  <xdr:twoCellAnchor>
    <xdr:from>
      <xdr:col>2</xdr:col>
      <xdr:colOff>121595</xdr:colOff>
      <xdr:row>97</xdr:row>
      <xdr:rowOff>141861</xdr:rowOff>
    </xdr:from>
    <xdr:to>
      <xdr:col>2</xdr:col>
      <xdr:colOff>496516</xdr:colOff>
      <xdr:row>97</xdr:row>
      <xdr:rowOff>354654</xdr:rowOff>
    </xdr:to>
    <xdr:sp macro="" textlink="">
      <xdr:nvSpPr>
        <xdr:cNvPr id="35" name="Rectangle : coins arrondis 34">
          <a:extLst>
            <a:ext uri="{FF2B5EF4-FFF2-40B4-BE49-F238E27FC236}">
              <a16:creationId xmlns:a16="http://schemas.microsoft.com/office/drawing/2014/main" id="{00000000-0008-0000-1A00-000023000000}"/>
            </a:ext>
          </a:extLst>
        </xdr:cNvPr>
        <xdr:cNvSpPr/>
      </xdr:nvSpPr>
      <xdr:spPr bwMode="auto">
        <a:xfrm>
          <a:off x="1096246"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14</xdr:col>
      <xdr:colOff>111867</xdr:colOff>
      <xdr:row>97</xdr:row>
      <xdr:rowOff>142266</xdr:rowOff>
    </xdr:from>
    <xdr:to>
      <xdr:col>14</xdr:col>
      <xdr:colOff>486788</xdr:colOff>
      <xdr:row>97</xdr:row>
      <xdr:rowOff>355059</xdr:rowOff>
    </xdr:to>
    <xdr:sp macro="" textlink="">
      <xdr:nvSpPr>
        <xdr:cNvPr id="36" name="Rectangle : coins arrondis 35">
          <a:extLst>
            <a:ext uri="{FF2B5EF4-FFF2-40B4-BE49-F238E27FC236}">
              <a16:creationId xmlns:a16="http://schemas.microsoft.com/office/drawing/2014/main" id="{00000000-0008-0000-1A00-000024000000}"/>
            </a:ext>
          </a:extLst>
        </xdr:cNvPr>
        <xdr:cNvSpPr/>
      </xdr:nvSpPr>
      <xdr:spPr bwMode="auto">
        <a:xfrm>
          <a:off x="741067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121595</xdr:colOff>
      <xdr:row>97</xdr:row>
      <xdr:rowOff>141861</xdr:rowOff>
    </xdr:from>
    <xdr:to>
      <xdr:col>18</xdr:col>
      <xdr:colOff>496516</xdr:colOff>
      <xdr:row>97</xdr:row>
      <xdr:rowOff>354654</xdr:rowOff>
    </xdr:to>
    <xdr:sp macro="" textlink="">
      <xdr:nvSpPr>
        <xdr:cNvPr id="37" name="Rectangle : coins arrondis 36">
          <a:extLst>
            <a:ext uri="{FF2B5EF4-FFF2-40B4-BE49-F238E27FC236}">
              <a16:creationId xmlns:a16="http://schemas.microsoft.com/office/drawing/2014/main" id="{00000000-0008-0000-1A00-000025000000}"/>
            </a:ext>
          </a:extLst>
        </xdr:cNvPr>
        <xdr:cNvSpPr/>
      </xdr:nvSpPr>
      <xdr:spPr bwMode="auto">
        <a:xfrm>
          <a:off x="9325403"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30</xdr:col>
      <xdr:colOff>111867</xdr:colOff>
      <xdr:row>97</xdr:row>
      <xdr:rowOff>142266</xdr:rowOff>
    </xdr:from>
    <xdr:to>
      <xdr:col>30</xdr:col>
      <xdr:colOff>486788</xdr:colOff>
      <xdr:row>97</xdr:row>
      <xdr:rowOff>355059</xdr:rowOff>
    </xdr:to>
    <xdr:sp macro="" textlink="">
      <xdr:nvSpPr>
        <xdr:cNvPr id="38" name="Rectangle : coins arrondis 37">
          <a:extLst>
            <a:ext uri="{FF2B5EF4-FFF2-40B4-BE49-F238E27FC236}">
              <a16:creationId xmlns:a16="http://schemas.microsoft.com/office/drawing/2014/main" id="{00000000-0008-0000-1A00-000026000000}"/>
            </a:ext>
          </a:extLst>
        </xdr:cNvPr>
        <xdr:cNvSpPr/>
      </xdr:nvSpPr>
      <xdr:spPr bwMode="auto">
        <a:xfrm>
          <a:off x="1560660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xdr:col>
      <xdr:colOff>101330</xdr:colOff>
      <xdr:row>110</xdr:row>
      <xdr:rowOff>101329</xdr:rowOff>
    </xdr:from>
    <xdr:to>
      <xdr:col>2</xdr:col>
      <xdr:colOff>476251</xdr:colOff>
      <xdr:row>110</xdr:row>
      <xdr:rowOff>314122</xdr:rowOff>
    </xdr:to>
    <xdr:sp macro="" textlink="">
      <xdr:nvSpPr>
        <xdr:cNvPr id="39" name="Rectangle : coins arrondis 38">
          <a:extLst>
            <a:ext uri="{FF2B5EF4-FFF2-40B4-BE49-F238E27FC236}">
              <a16:creationId xmlns:a16="http://schemas.microsoft.com/office/drawing/2014/main" id="{00000000-0008-0000-1A00-000027000000}"/>
            </a:ext>
          </a:extLst>
        </xdr:cNvPr>
        <xdr:cNvSpPr/>
      </xdr:nvSpPr>
      <xdr:spPr bwMode="auto">
        <a:xfrm>
          <a:off x="1075981" y="2437900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101736</xdr:colOff>
      <xdr:row>110</xdr:row>
      <xdr:rowOff>101735</xdr:rowOff>
    </xdr:from>
    <xdr:to>
      <xdr:col>18</xdr:col>
      <xdr:colOff>476657</xdr:colOff>
      <xdr:row>110</xdr:row>
      <xdr:rowOff>314528</xdr:rowOff>
    </xdr:to>
    <xdr:sp macro="" textlink="">
      <xdr:nvSpPr>
        <xdr:cNvPr id="40" name="Rectangle : coins arrondis 39">
          <a:extLst>
            <a:ext uri="{FF2B5EF4-FFF2-40B4-BE49-F238E27FC236}">
              <a16:creationId xmlns:a16="http://schemas.microsoft.com/office/drawing/2014/main" id="{00000000-0008-0000-1A00-000028000000}"/>
            </a:ext>
          </a:extLst>
        </xdr:cNvPr>
        <xdr:cNvSpPr/>
      </xdr:nvSpPr>
      <xdr:spPr bwMode="auto">
        <a:xfrm>
          <a:off x="9305544" y="24379409"/>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25</xdr:col>
      <xdr:colOff>470753</xdr:colOff>
      <xdr:row>88</xdr:row>
      <xdr:rowOff>211850</xdr:rowOff>
    </xdr:from>
    <xdr:ext cx="2562472" cy="1129683"/>
    <xdr:pic>
      <xdr:nvPicPr>
        <xdr:cNvPr id="41" name="Image 40">
          <a:extLst>
            <a:ext uri="{FF2B5EF4-FFF2-40B4-BE49-F238E27FC236}">
              <a16:creationId xmlns:a16="http://schemas.microsoft.com/office/drawing/2014/main" id="{00000000-0008-0000-1A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06073" y="16315745"/>
          <a:ext cx="2562472" cy="1129683"/>
        </a:xfrm>
        <a:prstGeom prst="rect">
          <a:avLst/>
        </a:prstGeom>
      </xdr:spPr>
    </xdr:pic>
    <xdr:clientData/>
  </xdr:oneCellAnchor>
  <xdr:oneCellAnchor>
    <xdr:from>
      <xdr:col>0</xdr:col>
      <xdr:colOff>344521</xdr:colOff>
      <xdr:row>88</xdr:row>
      <xdr:rowOff>111463</xdr:rowOff>
    </xdr:from>
    <xdr:ext cx="1154630" cy="1312076"/>
    <xdr:pic>
      <xdr:nvPicPr>
        <xdr:cNvPr id="42" name="Image 1">
          <a:extLst>
            <a:ext uri="{FF2B5EF4-FFF2-40B4-BE49-F238E27FC236}">
              <a16:creationId xmlns:a16="http://schemas.microsoft.com/office/drawing/2014/main" id="{00000000-0008-0000-1A00-00002A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818" t="8181" r="10909" b="10000"/>
        <a:stretch/>
      </xdr:blipFill>
      <xdr:spPr bwMode="auto">
        <a:xfrm>
          <a:off x="344521" y="16215358"/>
          <a:ext cx="1154630" cy="1312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415854</xdr:colOff>
      <xdr:row>120</xdr:row>
      <xdr:rowOff>299437</xdr:rowOff>
    </xdr:from>
    <xdr:ext cx="1701213" cy="1009172"/>
    <xdr:pic>
      <xdr:nvPicPr>
        <xdr:cNvPr id="63" name="Image 62">
          <a:extLst>
            <a:ext uri="{FF2B5EF4-FFF2-40B4-BE49-F238E27FC236}">
              <a16:creationId xmlns:a16="http://schemas.microsoft.com/office/drawing/2014/main" id="{00000000-0008-0000-1A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27104" y="17555193"/>
          <a:ext cx="1701213" cy="1009172"/>
        </a:xfrm>
        <a:prstGeom prst="rect">
          <a:avLst/>
        </a:prstGeom>
      </xdr:spPr>
    </xdr:pic>
    <xdr:clientData/>
  </xdr:oneCellAnchor>
  <xdr:twoCellAnchor>
    <xdr:from>
      <xdr:col>2</xdr:col>
      <xdr:colOff>121595</xdr:colOff>
      <xdr:row>126</xdr:row>
      <xdr:rowOff>141861</xdr:rowOff>
    </xdr:from>
    <xdr:to>
      <xdr:col>2</xdr:col>
      <xdr:colOff>496516</xdr:colOff>
      <xdr:row>126</xdr:row>
      <xdr:rowOff>354654</xdr:rowOff>
    </xdr:to>
    <xdr:sp macro="" textlink="">
      <xdr:nvSpPr>
        <xdr:cNvPr id="64" name="Rectangle : coins arrondis 63">
          <a:extLst>
            <a:ext uri="{FF2B5EF4-FFF2-40B4-BE49-F238E27FC236}">
              <a16:creationId xmlns:a16="http://schemas.microsoft.com/office/drawing/2014/main" id="{00000000-0008-0000-1A00-000040000000}"/>
            </a:ext>
          </a:extLst>
        </xdr:cNvPr>
        <xdr:cNvSpPr/>
      </xdr:nvSpPr>
      <xdr:spPr bwMode="auto">
        <a:xfrm>
          <a:off x="1096246"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14</xdr:col>
      <xdr:colOff>111867</xdr:colOff>
      <xdr:row>126</xdr:row>
      <xdr:rowOff>142266</xdr:rowOff>
    </xdr:from>
    <xdr:to>
      <xdr:col>14</xdr:col>
      <xdr:colOff>486788</xdr:colOff>
      <xdr:row>126</xdr:row>
      <xdr:rowOff>355059</xdr:rowOff>
    </xdr:to>
    <xdr:sp macro="" textlink="">
      <xdr:nvSpPr>
        <xdr:cNvPr id="65" name="Rectangle : coins arrondis 64">
          <a:extLst>
            <a:ext uri="{FF2B5EF4-FFF2-40B4-BE49-F238E27FC236}">
              <a16:creationId xmlns:a16="http://schemas.microsoft.com/office/drawing/2014/main" id="{00000000-0008-0000-1A00-000041000000}"/>
            </a:ext>
          </a:extLst>
        </xdr:cNvPr>
        <xdr:cNvSpPr/>
      </xdr:nvSpPr>
      <xdr:spPr bwMode="auto">
        <a:xfrm>
          <a:off x="741067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121595</xdr:colOff>
      <xdr:row>126</xdr:row>
      <xdr:rowOff>141861</xdr:rowOff>
    </xdr:from>
    <xdr:to>
      <xdr:col>18</xdr:col>
      <xdr:colOff>496516</xdr:colOff>
      <xdr:row>126</xdr:row>
      <xdr:rowOff>354654</xdr:rowOff>
    </xdr:to>
    <xdr:sp macro="" textlink="">
      <xdr:nvSpPr>
        <xdr:cNvPr id="66" name="Rectangle : coins arrondis 65">
          <a:extLst>
            <a:ext uri="{FF2B5EF4-FFF2-40B4-BE49-F238E27FC236}">
              <a16:creationId xmlns:a16="http://schemas.microsoft.com/office/drawing/2014/main" id="{00000000-0008-0000-1A00-000042000000}"/>
            </a:ext>
          </a:extLst>
        </xdr:cNvPr>
        <xdr:cNvSpPr/>
      </xdr:nvSpPr>
      <xdr:spPr bwMode="auto">
        <a:xfrm>
          <a:off x="9325403"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30</xdr:col>
      <xdr:colOff>111867</xdr:colOff>
      <xdr:row>126</xdr:row>
      <xdr:rowOff>142266</xdr:rowOff>
    </xdr:from>
    <xdr:to>
      <xdr:col>30</xdr:col>
      <xdr:colOff>486788</xdr:colOff>
      <xdr:row>126</xdr:row>
      <xdr:rowOff>355059</xdr:rowOff>
    </xdr:to>
    <xdr:sp macro="" textlink="">
      <xdr:nvSpPr>
        <xdr:cNvPr id="67" name="Rectangle : coins arrondis 66">
          <a:extLst>
            <a:ext uri="{FF2B5EF4-FFF2-40B4-BE49-F238E27FC236}">
              <a16:creationId xmlns:a16="http://schemas.microsoft.com/office/drawing/2014/main" id="{00000000-0008-0000-1A00-000043000000}"/>
            </a:ext>
          </a:extLst>
        </xdr:cNvPr>
        <xdr:cNvSpPr/>
      </xdr:nvSpPr>
      <xdr:spPr bwMode="auto">
        <a:xfrm>
          <a:off x="1560660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xdr:col>
      <xdr:colOff>101330</xdr:colOff>
      <xdr:row>139</xdr:row>
      <xdr:rowOff>101329</xdr:rowOff>
    </xdr:from>
    <xdr:to>
      <xdr:col>2</xdr:col>
      <xdr:colOff>476251</xdr:colOff>
      <xdr:row>139</xdr:row>
      <xdr:rowOff>314122</xdr:rowOff>
    </xdr:to>
    <xdr:sp macro="" textlink="">
      <xdr:nvSpPr>
        <xdr:cNvPr id="68" name="Rectangle : coins arrondis 67">
          <a:extLst>
            <a:ext uri="{FF2B5EF4-FFF2-40B4-BE49-F238E27FC236}">
              <a16:creationId xmlns:a16="http://schemas.microsoft.com/office/drawing/2014/main" id="{00000000-0008-0000-1A00-000044000000}"/>
            </a:ext>
          </a:extLst>
        </xdr:cNvPr>
        <xdr:cNvSpPr/>
      </xdr:nvSpPr>
      <xdr:spPr bwMode="auto">
        <a:xfrm>
          <a:off x="1075981" y="2437900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101736</xdr:colOff>
      <xdr:row>139</xdr:row>
      <xdr:rowOff>101735</xdr:rowOff>
    </xdr:from>
    <xdr:to>
      <xdr:col>18</xdr:col>
      <xdr:colOff>476657</xdr:colOff>
      <xdr:row>139</xdr:row>
      <xdr:rowOff>314528</xdr:rowOff>
    </xdr:to>
    <xdr:sp macro="" textlink="">
      <xdr:nvSpPr>
        <xdr:cNvPr id="69" name="Rectangle : coins arrondis 68">
          <a:extLst>
            <a:ext uri="{FF2B5EF4-FFF2-40B4-BE49-F238E27FC236}">
              <a16:creationId xmlns:a16="http://schemas.microsoft.com/office/drawing/2014/main" id="{00000000-0008-0000-1A00-000045000000}"/>
            </a:ext>
          </a:extLst>
        </xdr:cNvPr>
        <xdr:cNvSpPr/>
      </xdr:nvSpPr>
      <xdr:spPr bwMode="auto">
        <a:xfrm>
          <a:off x="9305544" y="24379409"/>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25</xdr:col>
      <xdr:colOff>470753</xdr:colOff>
      <xdr:row>117</xdr:row>
      <xdr:rowOff>211850</xdr:rowOff>
    </xdr:from>
    <xdr:ext cx="2562472" cy="1129683"/>
    <xdr:pic>
      <xdr:nvPicPr>
        <xdr:cNvPr id="70" name="Image 69">
          <a:extLst>
            <a:ext uri="{FF2B5EF4-FFF2-40B4-BE49-F238E27FC236}">
              <a16:creationId xmlns:a16="http://schemas.microsoft.com/office/drawing/2014/main" id="{00000000-0008-0000-1A00-00004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06073" y="16315745"/>
          <a:ext cx="2562472" cy="1129683"/>
        </a:xfrm>
        <a:prstGeom prst="rect">
          <a:avLst/>
        </a:prstGeom>
      </xdr:spPr>
    </xdr:pic>
    <xdr:clientData/>
  </xdr:oneCellAnchor>
  <xdr:oneCellAnchor>
    <xdr:from>
      <xdr:col>0</xdr:col>
      <xdr:colOff>344521</xdr:colOff>
      <xdr:row>117</xdr:row>
      <xdr:rowOff>111463</xdr:rowOff>
    </xdr:from>
    <xdr:ext cx="1154630" cy="1312076"/>
    <xdr:pic>
      <xdr:nvPicPr>
        <xdr:cNvPr id="71" name="Image 1">
          <a:extLst>
            <a:ext uri="{FF2B5EF4-FFF2-40B4-BE49-F238E27FC236}">
              <a16:creationId xmlns:a16="http://schemas.microsoft.com/office/drawing/2014/main" id="{00000000-0008-0000-1A00-000047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818" t="8181" r="10909" b="10000"/>
        <a:stretch/>
      </xdr:blipFill>
      <xdr:spPr bwMode="auto">
        <a:xfrm>
          <a:off x="344521" y="16215358"/>
          <a:ext cx="1154630" cy="1312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415854</xdr:colOff>
      <xdr:row>149</xdr:row>
      <xdr:rowOff>299437</xdr:rowOff>
    </xdr:from>
    <xdr:ext cx="1701213" cy="1009172"/>
    <xdr:pic>
      <xdr:nvPicPr>
        <xdr:cNvPr id="99" name="Image 98">
          <a:extLst>
            <a:ext uri="{FF2B5EF4-FFF2-40B4-BE49-F238E27FC236}">
              <a16:creationId xmlns:a16="http://schemas.microsoft.com/office/drawing/2014/main" id="{00000000-0008-0000-1A00-00006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27104" y="17555193"/>
          <a:ext cx="1701213" cy="1009172"/>
        </a:xfrm>
        <a:prstGeom prst="rect">
          <a:avLst/>
        </a:prstGeom>
      </xdr:spPr>
    </xdr:pic>
    <xdr:clientData/>
  </xdr:oneCellAnchor>
  <xdr:twoCellAnchor>
    <xdr:from>
      <xdr:col>2</xdr:col>
      <xdr:colOff>121595</xdr:colOff>
      <xdr:row>155</xdr:row>
      <xdr:rowOff>141861</xdr:rowOff>
    </xdr:from>
    <xdr:to>
      <xdr:col>2</xdr:col>
      <xdr:colOff>496516</xdr:colOff>
      <xdr:row>155</xdr:row>
      <xdr:rowOff>354654</xdr:rowOff>
    </xdr:to>
    <xdr:sp macro="" textlink="">
      <xdr:nvSpPr>
        <xdr:cNvPr id="100" name="Rectangle : coins arrondis 99">
          <a:extLst>
            <a:ext uri="{FF2B5EF4-FFF2-40B4-BE49-F238E27FC236}">
              <a16:creationId xmlns:a16="http://schemas.microsoft.com/office/drawing/2014/main" id="{00000000-0008-0000-1A00-000064000000}"/>
            </a:ext>
          </a:extLst>
        </xdr:cNvPr>
        <xdr:cNvSpPr/>
      </xdr:nvSpPr>
      <xdr:spPr bwMode="auto">
        <a:xfrm>
          <a:off x="1096246"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14</xdr:col>
      <xdr:colOff>111867</xdr:colOff>
      <xdr:row>155</xdr:row>
      <xdr:rowOff>142266</xdr:rowOff>
    </xdr:from>
    <xdr:to>
      <xdr:col>14</xdr:col>
      <xdr:colOff>486788</xdr:colOff>
      <xdr:row>155</xdr:row>
      <xdr:rowOff>355059</xdr:rowOff>
    </xdr:to>
    <xdr:sp macro="" textlink="">
      <xdr:nvSpPr>
        <xdr:cNvPr id="101" name="Rectangle : coins arrondis 100">
          <a:extLst>
            <a:ext uri="{FF2B5EF4-FFF2-40B4-BE49-F238E27FC236}">
              <a16:creationId xmlns:a16="http://schemas.microsoft.com/office/drawing/2014/main" id="{00000000-0008-0000-1A00-000065000000}"/>
            </a:ext>
          </a:extLst>
        </xdr:cNvPr>
        <xdr:cNvSpPr/>
      </xdr:nvSpPr>
      <xdr:spPr bwMode="auto">
        <a:xfrm>
          <a:off x="741067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121595</xdr:colOff>
      <xdr:row>155</xdr:row>
      <xdr:rowOff>141861</xdr:rowOff>
    </xdr:from>
    <xdr:to>
      <xdr:col>18</xdr:col>
      <xdr:colOff>496516</xdr:colOff>
      <xdr:row>155</xdr:row>
      <xdr:rowOff>354654</xdr:rowOff>
    </xdr:to>
    <xdr:sp macro="" textlink="">
      <xdr:nvSpPr>
        <xdr:cNvPr id="102" name="Rectangle : coins arrondis 101">
          <a:extLst>
            <a:ext uri="{FF2B5EF4-FFF2-40B4-BE49-F238E27FC236}">
              <a16:creationId xmlns:a16="http://schemas.microsoft.com/office/drawing/2014/main" id="{00000000-0008-0000-1A00-000066000000}"/>
            </a:ext>
          </a:extLst>
        </xdr:cNvPr>
        <xdr:cNvSpPr/>
      </xdr:nvSpPr>
      <xdr:spPr bwMode="auto">
        <a:xfrm>
          <a:off x="9325403"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30</xdr:col>
      <xdr:colOff>111867</xdr:colOff>
      <xdr:row>155</xdr:row>
      <xdr:rowOff>142266</xdr:rowOff>
    </xdr:from>
    <xdr:to>
      <xdr:col>30</xdr:col>
      <xdr:colOff>486788</xdr:colOff>
      <xdr:row>155</xdr:row>
      <xdr:rowOff>355059</xdr:rowOff>
    </xdr:to>
    <xdr:sp macro="" textlink="">
      <xdr:nvSpPr>
        <xdr:cNvPr id="103" name="Rectangle : coins arrondis 102">
          <a:extLst>
            <a:ext uri="{FF2B5EF4-FFF2-40B4-BE49-F238E27FC236}">
              <a16:creationId xmlns:a16="http://schemas.microsoft.com/office/drawing/2014/main" id="{00000000-0008-0000-1A00-000067000000}"/>
            </a:ext>
          </a:extLst>
        </xdr:cNvPr>
        <xdr:cNvSpPr/>
      </xdr:nvSpPr>
      <xdr:spPr bwMode="auto">
        <a:xfrm>
          <a:off x="1560660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xdr:col>
      <xdr:colOff>101330</xdr:colOff>
      <xdr:row>168</xdr:row>
      <xdr:rowOff>101329</xdr:rowOff>
    </xdr:from>
    <xdr:to>
      <xdr:col>2</xdr:col>
      <xdr:colOff>476251</xdr:colOff>
      <xdr:row>168</xdr:row>
      <xdr:rowOff>314122</xdr:rowOff>
    </xdr:to>
    <xdr:sp macro="" textlink="">
      <xdr:nvSpPr>
        <xdr:cNvPr id="104" name="Rectangle : coins arrondis 103">
          <a:extLst>
            <a:ext uri="{FF2B5EF4-FFF2-40B4-BE49-F238E27FC236}">
              <a16:creationId xmlns:a16="http://schemas.microsoft.com/office/drawing/2014/main" id="{00000000-0008-0000-1A00-000068000000}"/>
            </a:ext>
          </a:extLst>
        </xdr:cNvPr>
        <xdr:cNvSpPr/>
      </xdr:nvSpPr>
      <xdr:spPr bwMode="auto">
        <a:xfrm>
          <a:off x="1075981" y="2437900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101736</xdr:colOff>
      <xdr:row>168</xdr:row>
      <xdr:rowOff>101735</xdr:rowOff>
    </xdr:from>
    <xdr:to>
      <xdr:col>18</xdr:col>
      <xdr:colOff>476657</xdr:colOff>
      <xdr:row>168</xdr:row>
      <xdr:rowOff>314528</xdr:rowOff>
    </xdr:to>
    <xdr:sp macro="" textlink="">
      <xdr:nvSpPr>
        <xdr:cNvPr id="105" name="Rectangle : coins arrondis 104">
          <a:extLst>
            <a:ext uri="{FF2B5EF4-FFF2-40B4-BE49-F238E27FC236}">
              <a16:creationId xmlns:a16="http://schemas.microsoft.com/office/drawing/2014/main" id="{00000000-0008-0000-1A00-000069000000}"/>
            </a:ext>
          </a:extLst>
        </xdr:cNvPr>
        <xdr:cNvSpPr/>
      </xdr:nvSpPr>
      <xdr:spPr bwMode="auto">
        <a:xfrm>
          <a:off x="9305544" y="24379409"/>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25</xdr:col>
      <xdr:colOff>470753</xdr:colOff>
      <xdr:row>146</xdr:row>
      <xdr:rowOff>211850</xdr:rowOff>
    </xdr:from>
    <xdr:ext cx="2562472" cy="1129683"/>
    <xdr:pic>
      <xdr:nvPicPr>
        <xdr:cNvPr id="106" name="Image 105">
          <a:extLst>
            <a:ext uri="{FF2B5EF4-FFF2-40B4-BE49-F238E27FC236}">
              <a16:creationId xmlns:a16="http://schemas.microsoft.com/office/drawing/2014/main" id="{00000000-0008-0000-1A00-00006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06073" y="16315745"/>
          <a:ext cx="2562472" cy="1129683"/>
        </a:xfrm>
        <a:prstGeom prst="rect">
          <a:avLst/>
        </a:prstGeom>
      </xdr:spPr>
    </xdr:pic>
    <xdr:clientData/>
  </xdr:oneCellAnchor>
  <xdr:oneCellAnchor>
    <xdr:from>
      <xdr:col>0</xdr:col>
      <xdr:colOff>344521</xdr:colOff>
      <xdr:row>146</xdr:row>
      <xdr:rowOff>111463</xdr:rowOff>
    </xdr:from>
    <xdr:ext cx="1154630" cy="1312076"/>
    <xdr:pic>
      <xdr:nvPicPr>
        <xdr:cNvPr id="107" name="Image 1">
          <a:extLst>
            <a:ext uri="{FF2B5EF4-FFF2-40B4-BE49-F238E27FC236}">
              <a16:creationId xmlns:a16="http://schemas.microsoft.com/office/drawing/2014/main" id="{00000000-0008-0000-1A00-00006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818" t="8181" r="10909" b="10000"/>
        <a:stretch/>
      </xdr:blipFill>
      <xdr:spPr bwMode="auto">
        <a:xfrm>
          <a:off x="344521" y="16215358"/>
          <a:ext cx="1154630" cy="1312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415854</xdr:colOff>
      <xdr:row>178</xdr:row>
      <xdr:rowOff>299437</xdr:rowOff>
    </xdr:from>
    <xdr:ext cx="1701213" cy="1009172"/>
    <xdr:pic>
      <xdr:nvPicPr>
        <xdr:cNvPr id="108" name="Image 107">
          <a:extLst>
            <a:ext uri="{FF2B5EF4-FFF2-40B4-BE49-F238E27FC236}">
              <a16:creationId xmlns:a16="http://schemas.microsoft.com/office/drawing/2014/main" id="{00000000-0008-0000-1A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27104" y="17555193"/>
          <a:ext cx="1701213" cy="1009172"/>
        </a:xfrm>
        <a:prstGeom prst="rect">
          <a:avLst/>
        </a:prstGeom>
      </xdr:spPr>
    </xdr:pic>
    <xdr:clientData/>
  </xdr:oneCellAnchor>
  <xdr:twoCellAnchor>
    <xdr:from>
      <xdr:col>2</xdr:col>
      <xdr:colOff>121595</xdr:colOff>
      <xdr:row>184</xdr:row>
      <xdr:rowOff>141861</xdr:rowOff>
    </xdr:from>
    <xdr:to>
      <xdr:col>2</xdr:col>
      <xdr:colOff>496516</xdr:colOff>
      <xdr:row>184</xdr:row>
      <xdr:rowOff>354654</xdr:rowOff>
    </xdr:to>
    <xdr:sp macro="" textlink="">
      <xdr:nvSpPr>
        <xdr:cNvPr id="109" name="Rectangle : coins arrondis 108">
          <a:extLst>
            <a:ext uri="{FF2B5EF4-FFF2-40B4-BE49-F238E27FC236}">
              <a16:creationId xmlns:a16="http://schemas.microsoft.com/office/drawing/2014/main" id="{00000000-0008-0000-1A00-00006D000000}"/>
            </a:ext>
          </a:extLst>
        </xdr:cNvPr>
        <xdr:cNvSpPr/>
      </xdr:nvSpPr>
      <xdr:spPr bwMode="auto">
        <a:xfrm>
          <a:off x="1096246"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14</xdr:col>
      <xdr:colOff>111867</xdr:colOff>
      <xdr:row>184</xdr:row>
      <xdr:rowOff>142266</xdr:rowOff>
    </xdr:from>
    <xdr:to>
      <xdr:col>14</xdr:col>
      <xdr:colOff>486788</xdr:colOff>
      <xdr:row>184</xdr:row>
      <xdr:rowOff>355059</xdr:rowOff>
    </xdr:to>
    <xdr:sp macro="" textlink="">
      <xdr:nvSpPr>
        <xdr:cNvPr id="110" name="Rectangle : coins arrondis 109">
          <a:extLst>
            <a:ext uri="{FF2B5EF4-FFF2-40B4-BE49-F238E27FC236}">
              <a16:creationId xmlns:a16="http://schemas.microsoft.com/office/drawing/2014/main" id="{00000000-0008-0000-1A00-00006E000000}"/>
            </a:ext>
          </a:extLst>
        </xdr:cNvPr>
        <xdr:cNvSpPr/>
      </xdr:nvSpPr>
      <xdr:spPr bwMode="auto">
        <a:xfrm>
          <a:off x="741067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121595</xdr:colOff>
      <xdr:row>184</xdr:row>
      <xdr:rowOff>141861</xdr:rowOff>
    </xdr:from>
    <xdr:to>
      <xdr:col>18</xdr:col>
      <xdr:colOff>496516</xdr:colOff>
      <xdr:row>184</xdr:row>
      <xdr:rowOff>354654</xdr:rowOff>
    </xdr:to>
    <xdr:sp macro="" textlink="">
      <xdr:nvSpPr>
        <xdr:cNvPr id="111" name="Rectangle : coins arrondis 110">
          <a:extLst>
            <a:ext uri="{FF2B5EF4-FFF2-40B4-BE49-F238E27FC236}">
              <a16:creationId xmlns:a16="http://schemas.microsoft.com/office/drawing/2014/main" id="{00000000-0008-0000-1A00-00006F000000}"/>
            </a:ext>
          </a:extLst>
        </xdr:cNvPr>
        <xdr:cNvSpPr/>
      </xdr:nvSpPr>
      <xdr:spPr bwMode="auto">
        <a:xfrm>
          <a:off x="9325403"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30</xdr:col>
      <xdr:colOff>111867</xdr:colOff>
      <xdr:row>184</xdr:row>
      <xdr:rowOff>142266</xdr:rowOff>
    </xdr:from>
    <xdr:to>
      <xdr:col>30</xdr:col>
      <xdr:colOff>486788</xdr:colOff>
      <xdr:row>184</xdr:row>
      <xdr:rowOff>355059</xdr:rowOff>
    </xdr:to>
    <xdr:sp macro="" textlink="">
      <xdr:nvSpPr>
        <xdr:cNvPr id="112" name="Rectangle : coins arrondis 111">
          <a:extLst>
            <a:ext uri="{FF2B5EF4-FFF2-40B4-BE49-F238E27FC236}">
              <a16:creationId xmlns:a16="http://schemas.microsoft.com/office/drawing/2014/main" id="{00000000-0008-0000-1A00-000070000000}"/>
            </a:ext>
          </a:extLst>
        </xdr:cNvPr>
        <xdr:cNvSpPr/>
      </xdr:nvSpPr>
      <xdr:spPr bwMode="auto">
        <a:xfrm>
          <a:off x="1560660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xdr:col>
      <xdr:colOff>101330</xdr:colOff>
      <xdr:row>197</xdr:row>
      <xdr:rowOff>101329</xdr:rowOff>
    </xdr:from>
    <xdr:to>
      <xdr:col>2</xdr:col>
      <xdr:colOff>476251</xdr:colOff>
      <xdr:row>197</xdr:row>
      <xdr:rowOff>314122</xdr:rowOff>
    </xdr:to>
    <xdr:sp macro="" textlink="">
      <xdr:nvSpPr>
        <xdr:cNvPr id="113" name="Rectangle : coins arrondis 112">
          <a:extLst>
            <a:ext uri="{FF2B5EF4-FFF2-40B4-BE49-F238E27FC236}">
              <a16:creationId xmlns:a16="http://schemas.microsoft.com/office/drawing/2014/main" id="{00000000-0008-0000-1A00-000071000000}"/>
            </a:ext>
          </a:extLst>
        </xdr:cNvPr>
        <xdr:cNvSpPr/>
      </xdr:nvSpPr>
      <xdr:spPr bwMode="auto">
        <a:xfrm>
          <a:off x="1075981" y="2437900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101736</xdr:colOff>
      <xdr:row>197</xdr:row>
      <xdr:rowOff>101735</xdr:rowOff>
    </xdr:from>
    <xdr:to>
      <xdr:col>18</xdr:col>
      <xdr:colOff>476657</xdr:colOff>
      <xdr:row>197</xdr:row>
      <xdr:rowOff>314528</xdr:rowOff>
    </xdr:to>
    <xdr:sp macro="" textlink="">
      <xdr:nvSpPr>
        <xdr:cNvPr id="114" name="Rectangle : coins arrondis 113">
          <a:extLst>
            <a:ext uri="{FF2B5EF4-FFF2-40B4-BE49-F238E27FC236}">
              <a16:creationId xmlns:a16="http://schemas.microsoft.com/office/drawing/2014/main" id="{00000000-0008-0000-1A00-000072000000}"/>
            </a:ext>
          </a:extLst>
        </xdr:cNvPr>
        <xdr:cNvSpPr/>
      </xdr:nvSpPr>
      <xdr:spPr bwMode="auto">
        <a:xfrm>
          <a:off x="9305544" y="24379409"/>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25</xdr:col>
      <xdr:colOff>470753</xdr:colOff>
      <xdr:row>175</xdr:row>
      <xdr:rowOff>211850</xdr:rowOff>
    </xdr:from>
    <xdr:ext cx="2562472" cy="1129683"/>
    <xdr:pic>
      <xdr:nvPicPr>
        <xdr:cNvPr id="115" name="Image 114">
          <a:extLst>
            <a:ext uri="{FF2B5EF4-FFF2-40B4-BE49-F238E27FC236}">
              <a16:creationId xmlns:a16="http://schemas.microsoft.com/office/drawing/2014/main" id="{00000000-0008-0000-1A00-00007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06073" y="16315745"/>
          <a:ext cx="2562472" cy="1129683"/>
        </a:xfrm>
        <a:prstGeom prst="rect">
          <a:avLst/>
        </a:prstGeom>
      </xdr:spPr>
    </xdr:pic>
    <xdr:clientData/>
  </xdr:oneCellAnchor>
  <xdr:oneCellAnchor>
    <xdr:from>
      <xdr:col>0</xdr:col>
      <xdr:colOff>344521</xdr:colOff>
      <xdr:row>175</xdr:row>
      <xdr:rowOff>111463</xdr:rowOff>
    </xdr:from>
    <xdr:ext cx="1154630" cy="1312076"/>
    <xdr:pic>
      <xdr:nvPicPr>
        <xdr:cNvPr id="116" name="Image 1">
          <a:extLst>
            <a:ext uri="{FF2B5EF4-FFF2-40B4-BE49-F238E27FC236}">
              <a16:creationId xmlns:a16="http://schemas.microsoft.com/office/drawing/2014/main" id="{00000000-0008-0000-1A00-00007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818" t="8181" r="10909" b="10000"/>
        <a:stretch/>
      </xdr:blipFill>
      <xdr:spPr bwMode="auto">
        <a:xfrm>
          <a:off x="344521" y="16215358"/>
          <a:ext cx="1154630" cy="1312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415854</xdr:colOff>
      <xdr:row>207</xdr:row>
      <xdr:rowOff>299437</xdr:rowOff>
    </xdr:from>
    <xdr:ext cx="1701213" cy="1009172"/>
    <xdr:pic>
      <xdr:nvPicPr>
        <xdr:cNvPr id="117" name="Image 116">
          <a:extLst>
            <a:ext uri="{FF2B5EF4-FFF2-40B4-BE49-F238E27FC236}">
              <a16:creationId xmlns:a16="http://schemas.microsoft.com/office/drawing/2014/main" id="{00000000-0008-0000-1A00-00007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27104" y="17555193"/>
          <a:ext cx="1701213" cy="1009172"/>
        </a:xfrm>
        <a:prstGeom prst="rect">
          <a:avLst/>
        </a:prstGeom>
      </xdr:spPr>
    </xdr:pic>
    <xdr:clientData/>
  </xdr:oneCellAnchor>
  <xdr:twoCellAnchor>
    <xdr:from>
      <xdr:col>2</xdr:col>
      <xdr:colOff>121595</xdr:colOff>
      <xdr:row>213</xdr:row>
      <xdr:rowOff>141861</xdr:rowOff>
    </xdr:from>
    <xdr:to>
      <xdr:col>2</xdr:col>
      <xdr:colOff>496516</xdr:colOff>
      <xdr:row>213</xdr:row>
      <xdr:rowOff>354654</xdr:rowOff>
    </xdr:to>
    <xdr:sp macro="" textlink="">
      <xdr:nvSpPr>
        <xdr:cNvPr id="118" name="Rectangle : coins arrondis 117">
          <a:extLst>
            <a:ext uri="{FF2B5EF4-FFF2-40B4-BE49-F238E27FC236}">
              <a16:creationId xmlns:a16="http://schemas.microsoft.com/office/drawing/2014/main" id="{00000000-0008-0000-1A00-000076000000}"/>
            </a:ext>
          </a:extLst>
        </xdr:cNvPr>
        <xdr:cNvSpPr/>
      </xdr:nvSpPr>
      <xdr:spPr bwMode="auto">
        <a:xfrm>
          <a:off x="1096246"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14</xdr:col>
      <xdr:colOff>111867</xdr:colOff>
      <xdr:row>213</xdr:row>
      <xdr:rowOff>142266</xdr:rowOff>
    </xdr:from>
    <xdr:to>
      <xdr:col>14</xdr:col>
      <xdr:colOff>486788</xdr:colOff>
      <xdr:row>213</xdr:row>
      <xdr:rowOff>355059</xdr:rowOff>
    </xdr:to>
    <xdr:sp macro="" textlink="">
      <xdr:nvSpPr>
        <xdr:cNvPr id="119" name="Rectangle : coins arrondis 118">
          <a:extLst>
            <a:ext uri="{FF2B5EF4-FFF2-40B4-BE49-F238E27FC236}">
              <a16:creationId xmlns:a16="http://schemas.microsoft.com/office/drawing/2014/main" id="{00000000-0008-0000-1A00-000077000000}"/>
            </a:ext>
          </a:extLst>
        </xdr:cNvPr>
        <xdr:cNvSpPr/>
      </xdr:nvSpPr>
      <xdr:spPr bwMode="auto">
        <a:xfrm>
          <a:off x="741067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121595</xdr:colOff>
      <xdr:row>213</xdr:row>
      <xdr:rowOff>141861</xdr:rowOff>
    </xdr:from>
    <xdr:to>
      <xdr:col>18</xdr:col>
      <xdr:colOff>496516</xdr:colOff>
      <xdr:row>213</xdr:row>
      <xdr:rowOff>354654</xdr:rowOff>
    </xdr:to>
    <xdr:sp macro="" textlink="">
      <xdr:nvSpPr>
        <xdr:cNvPr id="120" name="Rectangle : coins arrondis 119">
          <a:extLst>
            <a:ext uri="{FF2B5EF4-FFF2-40B4-BE49-F238E27FC236}">
              <a16:creationId xmlns:a16="http://schemas.microsoft.com/office/drawing/2014/main" id="{00000000-0008-0000-1A00-000078000000}"/>
            </a:ext>
          </a:extLst>
        </xdr:cNvPr>
        <xdr:cNvSpPr/>
      </xdr:nvSpPr>
      <xdr:spPr bwMode="auto">
        <a:xfrm>
          <a:off x="9325403"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30</xdr:col>
      <xdr:colOff>111867</xdr:colOff>
      <xdr:row>213</xdr:row>
      <xdr:rowOff>142266</xdr:rowOff>
    </xdr:from>
    <xdr:to>
      <xdr:col>30</xdr:col>
      <xdr:colOff>486788</xdr:colOff>
      <xdr:row>213</xdr:row>
      <xdr:rowOff>355059</xdr:rowOff>
    </xdr:to>
    <xdr:sp macro="" textlink="">
      <xdr:nvSpPr>
        <xdr:cNvPr id="121" name="Rectangle : coins arrondis 120">
          <a:extLst>
            <a:ext uri="{FF2B5EF4-FFF2-40B4-BE49-F238E27FC236}">
              <a16:creationId xmlns:a16="http://schemas.microsoft.com/office/drawing/2014/main" id="{00000000-0008-0000-1A00-000079000000}"/>
            </a:ext>
          </a:extLst>
        </xdr:cNvPr>
        <xdr:cNvSpPr/>
      </xdr:nvSpPr>
      <xdr:spPr bwMode="auto">
        <a:xfrm>
          <a:off x="1560660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xdr:col>
      <xdr:colOff>101330</xdr:colOff>
      <xdr:row>226</xdr:row>
      <xdr:rowOff>101329</xdr:rowOff>
    </xdr:from>
    <xdr:to>
      <xdr:col>2</xdr:col>
      <xdr:colOff>476251</xdr:colOff>
      <xdr:row>226</xdr:row>
      <xdr:rowOff>314122</xdr:rowOff>
    </xdr:to>
    <xdr:sp macro="" textlink="">
      <xdr:nvSpPr>
        <xdr:cNvPr id="122" name="Rectangle : coins arrondis 121">
          <a:extLst>
            <a:ext uri="{FF2B5EF4-FFF2-40B4-BE49-F238E27FC236}">
              <a16:creationId xmlns:a16="http://schemas.microsoft.com/office/drawing/2014/main" id="{00000000-0008-0000-1A00-00007A000000}"/>
            </a:ext>
          </a:extLst>
        </xdr:cNvPr>
        <xdr:cNvSpPr/>
      </xdr:nvSpPr>
      <xdr:spPr bwMode="auto">
        <a:xfrm>
          <a:off x="1075981" y="2437900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101736</xdr:colOff>
      <xdr:row>226</xdr:row>
      <xdr:rowOff>101735</xdr:rowOff>
    </xdr:from>
    <xdr:to>
      <xdr:col>18</xdr:col>
      <xdr:colOff>476657</xdr:colOff>
      <xdr:row>226</xdr:row>
      <xdr:rowOff>314528</xdr:rowOff>
    </xdr:to>
    <xdr:sp macro="" textlink="">
      <xdr:nvSpPr>
        <xdr:cNvPr id="123" name="Rectangle : coins arrondis 122">
          <a:extLst>
            <a:ext uri="{FF2B5EF4-FFF2-40B4-BE49-F238E27FC236}">
              <a16:creationId xmlns:a16="http://schemas.microsoft.com/office/drawing/2014/main" id="{00000000-0008-0000-1A00-00007B000000}"/>
            </a:ext>
          </a:extLst>
        </xdr:cNvPr>
        <xdr:cNvSpPr/>
      </xdr:nvSpPr>
      <xdr:spPr bwMode="auto">
        <a:xfrm>
          <a:off x="9305544" y="24379409"/>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25</xdr:col>
      <xdr:colOff>470753</xdr:colOff>
      <xdr:row>204</xdr:row>
      <xdr:rowOff>211850</xdr:rowOff>
    </xdr:from>
    <xdr:ext cx="2562472" cy="1129683"/>
    <xdr:pic>
      <xdr:nvPicPr>
        <xdr:cNvPr id="124" name="Image 123">
          <a:extLst>
            <a:ext uri="{FF2B5EF4-FFF2-40B4-BE49-F238E27FC236}">
              <a16:creationId xmlns:a16="http://schemas.microsoft.com/office/drawing/2014/main" id="{00000000-0008-0000-1A00-00007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06073" y="16315745"/>
          <a:ext cx="2562472" cy="1129683"/>
        </a:xfrm>
        <a:prstGeom prst="rect">
          <a:avLst/>
        </a:prstGeom>
      </xdr:spPr>
    </xdr:pic>
    <xdr:clientData/>
  </xdr:oneCellAnchor>
  <xdr:oneCellAnchor>
    <xdr:from>
      <xdr:col>0</xdr:col>
      <xdr:colOff>344521</xdr:colOff>
      <xdr:row>204</xdr:row>
      <xdr:rowOff>111463</xdr:rowOff>
    </xdr:from>
    <xdr:ext cx="1154630" cy="1312076"/>
    <xdr:pic>
      <xdr:nvPicPr>
        <xdr:cNvPr id="125" name="Image 1">
          <a:extLst>
            <a:ext uri="{FF2B5EF4-FFF2-40B4-BE49-F238E27FC236}">
              <a16:creationId xmlns:a16="http://schemas.microsoft.com/office/drawing/2014/main" id="{00000000-0008-0000-1A00-00007D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818" t="8181" r="10909" b="10000"/>
        <a:stretch/>
      </xdr:blipFill>
      <xdr:spPr bwMode="auto">
        <a:xfrm>
          <a:off x="344521" y="16215358"/>
          <a:ext cx="1154630" cy="1312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415854</xdr:colOff>
      <xdr:row>236</xdr:row>
      <xdr:rowOff>299437</xdr:rowOff>
    </xdr:from>
    <xdr:ext cx="1701213" cy="1009172"/>
    <xdr:pic>
      <xdr:nvPicPr>
        <xdr:cNvPr id="126" name="Image 125">
          <a:extLst>
            <a:ext uri="{FF2B5EF4-FFF2-40B4-BE49-F238E27FC236}">
              <a16:creationId xmlns:a16="http://schemas.microsoft.com/office/drawing/2014/main" id="{00000000-0008-0000-1A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27104" y="17555193"/>
          <a:ext cx="1701213" cy="1009172"/>
        </a:xfrm>
        <a:prstGeom prst="rect">
          <a:avLst/>
        </a:prstGeom>
      </xdr:spPr>
    </xdr:pic>
    <xdr:clientData/>
  </xdr:oneCellAnchor>
  <xdr:twoCellAnchor>
    <xdr:from>
      <xdr:col>2</xdr:col>
      <xdr:colOff>121595</xdr:colOff>
      <xdr:row>242</xdr:row>
      <xdr:rowOff>141861</xdr:rowOff>
    </xdr:from>
    <xdr:to>
      <xdr:col>2</xdr:col>
      <xdr:colOff>496516</xdr:colOff>
      <xdr:row>242</xdr:row>
      <xdr:rowOff>354654</xdr:rowOff>
    </xdr:to>
    <xdr:sp macro="" textlink="">
      <xdr:nvSpPr>
        <xdr:cNvPr id="127" name="Rectangle : coins arrondis 126">
          <a:extLst>
            <a:ext uri="{FF2B5EF4-FFF2-40B4-BE49-F238E27FC236}">
              <a16:creationId xmlns:a16="http://schemas.microsoft.com/office/drawing/2014/main" id="{00000000-0008-0000-1A00-00007F000000}"/>
            </a:ext>
          </a:extLst>
        </xdr:cNvPr>
        <xdr:cNvSpPr/>
      </xdr:nvSpPr>
      <xdr:spPr bwMode="auto">
        <a:xfrm>
          <a:off x="1096246"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14</xdr:col>
      <xdr:colOff>111867</xdr:colOff>
      <xdr:row>242</xdr:row>
      <xdr:rowOff>142266</xdr:rowOff>
    </xdr:from>
    <xdr:to>
      <xdr:col>14</xdr:col>
      <xdr:colOff>486788</xdr:colOff>
      <xdr:row>242</xdr:row>
      <xdr:rowOff>355059</xdr:rowOff>
    </xdr:to>
    <xdr:sp macro="" textlink="">
      <xdr:nvSpPr>
        <xdr:cNvPr id="128" name="Rectangle : coins arrondis 127">
          <a:extLst>
            <a:ext uri="{FF2B5EF4-FFF2-40B4-BE49-F238E27FC236}">
              <a16:creationId xmlns:a16="http://schemas.microsoft.com/office/drawing/2014/main" id="{00000000-0008-0000-1A00-000080000000}"/>
            </a:ext>
          </a:extLst>
        </xdr:cNvPr>
        <xdr:cNvSpPr/>
      </xdr:nvSpPr>
      <xdr:spPr bwMode="auto">
        <a:xfrm>
          <a:off x="741067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121595</xdr:colOff>
      <xdr:row>242</xdr:row>
      <xdr:rowOff>141861</xdr:rowOff>
    </xdr:from>
    <xdr:to>
      <xdr:col>18</xdr:col>
      <xdr:colOff>496516</xdr:colOff>
      <xdr:row>242</xdr:row>
      <xdr:rowOff>354654</xdr:rowOff>
    </xdr:to>
    <xdr:sp macro="" textlink="">
      <xdr:nvSpPr>
        <xdr:cNvPr id="129" name="Rectangle : coins arrondis 128">
          <a:extLst>
            <a:ext uri="{FF2B5EF4-FFF2-40B4-BE49-F238E27FC236}">
              <a16:creationId xmlns:a16="http://schemas.microsoft.com/office/drawing/2014/main" id="{00000000-0008-0000-1A00-000081000000}"/>
            </a:ext>
          </a:extLst>
        </xdr:cNvPr>
        <xdr:cNvSpPr/>
      </xdr:nvSpPr>
      <xdr:spPr bwMode="auto">
        <a:xfrm>
          <a:off x="9325403"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30</xdr:col>
      <xdr:colOff>111867</xdr:colOff>
      <xdr:row>242</xdr:row>
      <xdr:rowOff>142266</xdr:rowOff>
    </xdr:from>
    <xdr:to>
      <xdr:col>30</xdr:col>
      <xdr:colOff>486788</xdr:colOff>
      <xdr:row>242</xdr:row>
      <xdr:rowOff>355059</xdr:rowOff>
    </xdr:to>
    <xdr:sp macro="" textlink="">
      <xdr:nvSpPr>
        <xdr:cNvPr id="130" name="Rectangle : coins arrondis 129">
          <a:extLst>
            <a:ext uri="{FF2B5EF4-FFF2-40B4-BE49-F238E27FC236}">
              <a16:creationId xmlns:a16="http://schemas.microsoft.com/office/drawing/2014/main" id="{00000000-0008-0000-1A00-000082000000}"/>
            </a:ext>
          </a:extLst>
        </xdr:cNvPr>
        <xdr:cNvSpPr/>
      </xdr:nvSpPr>
      <xdr:spPr bwMode="auto">
        <a:xfrm>
          <a:off x="1560660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xdr:col>
      <xdr:colOff>101330</xdr:colOff>
      <xdr:row>255</xdr:row>
      <xdr:rowOff>101329</xdr:rowOff>
    </xdr:from>
    <xdr:to>
      <xdr:col>2</xdr:col>
      <xdr:colOff>476251</xdr:colOff>
      <xdr:row>255</xdr:row>
      <xdr:rowOff>314122</xdr:rowOff>
    </xdr:to>
    <xdr:sp macro="" textlink="">
      <xdr:nvSpPr>
        <xdr:cNvPr id="131" name="Rectangle : coins arrondis 130">
          <a:extLst>
            <a:ext uri="{FF2B5EF4-FFF2-40B4-BE49-F238E27FC236}">
              <a16:creationId xmlns:a16="http://schemas.microsoft.com/office/drawing/2014/main" id="{00000000-0008-0000-1A00-000083000000}"/>
            </a:ext>
          </a:extLst>
        </xdr:cNvPr>
        <xdr:cNvSpPr/>
      </xdr:nvSpPr>
      <xdr:spPr bwMode="auto">
        <a:xfrm>
          <a:off x="1075981" y="2437900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101736</xdr:colOff>
      <xdr:row>255</xdr:row>
      <xdr:rowOff>101735</xdr:rowOff>
    </xdr:from>
    <xdr:to>
      <xdr:col>18</xdr:col>
      <xdr:colOff>476657</xdr:colOff>
      <xdr:row>255</xdr:row>
      <xdr:rowOff>314528</xdr:rowOff>
    </xdr:to>
    <xdr:sp macro="" textlink="">
      <xdr:nvSpPr>
        <xdr:cNvPr id="132" name="Rectangle : coins arrondis 131">
          <a:extLst>
            <a:ext uri="{FF2B5EF4-FFF2-40B4-BE49-F238E27FC236}">
              <a16:creationId xmlns:a16="http://schemas.microsoft.com/office/drawing/2014/main" id="{00000000-0008-0000-1A00-000084000000}"/>
            </a:ext>
          </a:extLst>
        </xdr:cNvPr>
        <xdr:cNvSpPr/>
      </xdr:nvSpPr>
      <xdr:spPr bwMode="auto">
        <a:xfrm>
          <a:off x="9305544" y="24379409"/>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25</xdr:col>
      <xdr:colOff>470753</xdr:colOff>
      <xdr:row>233</xdr:row>
      <xdr:rowOff>211850</xdr:rowOff>
    </xdr:from>
    <xdr:ext cx="2562472" cy="1129683"/>
    <xdr:pic>
      <xdr:nvPicPr>
        <xdr:cNvPr id="133" name="Image 132">
          <a:extLst>
            <a:ext uri="{FF2B5EF4-FFF2-40B4-BE49-F238E27FC236}">
              <a16:creationId xmlns:a16="http://schemas.microsoft.com/office/drawing/2014/main" id="{00000000-0008-0000-1A00-00008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06073" y="16315745"/>
          <a:ext cx="2562472" cy="1129683"/>
        </a:xfrm>
        <a:prstGeom prst="rect">
          <a:avLst/>
        </a:prstGeom>
      </xdr:spPr>
    </xdr:pic>
    <xdr:clientData/>
  </xdr:oneCellAnchor>
  <xdr:oneCellAnchor>
    <xdr:from>
      <xdr:col>0</xdr:col>
      <xdr:colOff>344521</xdr:colOff>
      <xdr:row>233</xdr:row>
      <xdr:rowOff>111463</xdr:rowOff>
    </xdr:from>
    <xdr:ext cx="1154630" cy="1312076"/>
    <xdr:pic>
      <xdr:nvPicPr>
        <xdr:cNvPr id="134" name="Image 1">
          <a:extLst>
            <a:ext uri="{FF2B5EF4-FFF2-40B4-BE49-F238E27FC236}">
              <a16:creationId xmlns:a16="http://schemas.microsoft.com/office/drawing/2014/main" id="{00000000-0008-0000-1A00-000086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818" t="8181" r="10909" b="10000"/>
        <a:stretch/>
      </xdr:blipFill>
      <xdr:spPr bwMode="auto">
        <a:xfrm>
          <a:off x="344521" y="16215358"/>
          <a:ext cx="1154630" cy="1312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415854</xdr:colOff>
      <xdr:row>265</xdr:row>
      <xdr:rowOff>299437</xdr:rowOff>
    </xdr:from>
    <xdr:ext cx="1701213" cy="1009172"/>
    <xdr:pic>
      <xdr:nvPicPr>
        <xdr:cNvPr id="277" name="Image 276">
          <a:extLst>
            <a:ext uri="{FF2B5EF4-FFF2-40B4-BE49-F238E27FC236}">
              <a16:creationId xmlns:a16="http://schemas.microsoft.com/office/drawing/2014/main" id="{00000000-0008-0000-1A00-000015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27104" y="17555193"/>
          <a:ext cx="1701213" cy="1009172"/>
        </a:xfrm>
        <a:prstGeom prst="rect">
          <a:avLst/>
        </a:prstGeom>
      </xdr:spPr>
    </xdr:pic>
    <xdr:clientData/>
  </xdr:oneCellAnchor>
  <xdr:twoCellAnchor>
    <xdr:from>
      <xdr:col>2</xdr:col>
      <xdr:colOff>121595</xdr:colOff>
      <xdr:row>271</xdr:row>
      <xdr:rowOff>141861</xdr:rowOff>
    </xdr:from>
    <xdr:to>
      <xdr:col>2</xdr:col>
      <xdr:colOff>496516</xdr:colOff>
      <xdr:row>271</xdr:row>
      <xdr:rowOff>354654</xdr:rowOff>
    </xdr:to>
    <xdr:sp macro="" textlink="">
      <xdr:nvSpPr>
        <xdr:cNvPr id="278" name="Rectangle : coins arrondis 277">
          <a:extLst>
            <a:ext uri="{FF2B5EF4-FFF2-40B4-BE49-F238E27FC236}">
              <a16:creationId xmlns:a16="http://schemas.microsoft.com/office/drawing/2014/main" id="{00000000-0008-0000-1A00-000016010000}"/>
            </a:ext>
          </a:extLst>
        </xdr:cNvPr>
        <xdr:cNvSpPr/>
      </xdr:nvSpPr>
      <xdr:spPr bwMode="auto">
        <a:xfrm>
          <a:off x="1096246"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14</xdr:col>
      <xdr:colOff>111867</xdr:colOff>
      <xdr:row>271</xdr:row>
      <xdr:rowOff>142266</xdr:rowOff>
    </xdr:from>
    <xdr:to>
      <xdr:col>14</xdr:col>
      <xdr:colOff>486788</xdr:colOff>
      <xdr:row>271</xdr:row>
      <xdr:rowOff>355059</xdr:rowOff>
    </xdr:to>
    <xdr:sp macro="" textlink="">
      <xdr:nvSpPr>
        <xdr:cNvPr id="279" name="Rectangle : coins arrondis 278">
          <a:extLst>
            <a:ext uri="{FF2B5EF4-FFF2-40B4-BE49-F238E27FC236}">
              <a16:creationId xmlns:a16="http://schemas.microsoft.com/office/drawing/2014/main" id="{00000000-0008-0000-1A00-000017010000}"/>
            </a:ext>
          </a:extLst>
        </xdr:cNvPr>
        <xdr:cNvSpPr/>
      </xdr:nvSpPr>
      <xdr:spPr bwMode="auto">
        <a:xfrm>
          <a:off x="741067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121595</xdr:colOff>
      <xdr:row>271</xdr:row>
      <xdr:rowOff>141861</xdr:rowOff>
    </xdr:from>
    <xdr:to>
      <xdr:col>18</xdr:col>
      <xdr:colOff>496516</xdr:colOff>
      <xdr:row>271</xdr:row>
      <xdr:rowOff>354654</xdr:rowOff>
    </xdr:to>
    <xdr:sp macro="" textlink="">
      <xdr:nvSpPr>
        <xdr:cNvPr id="280" name="Rectangle : coins arrondis 279">
          <a:extLst>
            <a:ext uri="{FF2B5EF4-FFF2-40B4-BE49-F238E27FC236}">
              <a16:creationId xmlns:a16="http://schemas.microsoft.com/office/drawing/2014/main" id="{00000000-0008-0000-1A00-000018010000}"/>
            </a:ext>
          </a:extLst>
        </xdr:cNvPr>
        <xdr:cNvSpPr/>
      </xdr:nvSpPr>
      <xdr:spPr bwMode="auto">
        <a:xfrm>
          <a:off x="9325403"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30</xdr:col>
      <xdr:colOff>111867</xdr:colOff>
      <xdr:row>271</xdr:row>
      <xdr:rowOff>142266</xdr:rowOff>
    </xdr:from>
    <xdr:to>
      <xdr:col>30</xdr:col>
      <xdr:colOff>486788</xdr:colOff>
      <xdr:row>271</xdr:row>
      <xdr:rowOff>355059</xdr:rowOff>
    </xdr:to>
    <xdr:sp macro="" textlink="">
      <xdr:nvSpPr>
        <xdr:cNvPr id="281" name="Rectangle : coins arrondis 280">
          <a:extLst>
            <a:ext uri="{FF2B5EF4-FFF2-40B4-BE49-F238E27FC236}">
              <a16:creationId xmlns:a16="http://schemas.microsoft.com/office/drawing/2014/main" id="{00000000-0008-0000-1A00-000019010000}"/>
            </a:ext>
          </a:extLst>
        </xdr:cNvPr>
        <xdr:cNvSpPr/>
      </xdr:nvSpPr>
      <xdr:spPr bwMode="auto">
        <a:xfrm>
          <a:off x="1560660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xdr:col>
      <xdr:colOff>101330</xdr:colOff>
      <xdr:row>284</xdr:row>
      <xdr:rowOff>101329</xdr:rowOff>
    </xdr:from>
    <xdr:to>
      <xdr:col>2</xdr:col>
      <xdr:colOff>476251</xdr:colOff>
      <xdr:row>284</xdr:row>
      <xdr:rowOff>314122</xdr:rowOff>
    </xdr:to>
    <xdr:sp macro="" textlink="">
      <xdr:nvSpPr>
        <xdr:cNvPr id="282" name="Rectangle : coins arrondis 281">
          <a:extLst>
            <a:ext uri="{FF2B5EF4-FFF2-40B4-BE49-F238E27FC236}">
              <a16:creationId xmlns:a16="http://schemas.microsoft.com/office/drawing/2014/main" id="{00000000-0008-0000-1A00-00001A010000}"/>
            </a:ext>
          </a:extLst>
        </xdr:cNvPr>
        <xdr:cNvSpPr/>
      </xdr:nvSpPr>
      <xdr:spPr bwMode="auto">
        <a:xfrm>
          <a:off x="1075981" y="2437900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101736</xdr:colOff>
      <xdr:row>284</xdr:row>
      <xdr:rowOff>101735</xdr:rowOff>
    </xdr:from>
    <xdr:to>
      <xdr:col>18</xdr:col>
      <xdr:colOff>476657</xdr:colOff>
      <xdr:row>284</xdr:row>
      <xdr:rowOff>314528</xdr:rowOff>
    </xdr:to>
    <xdr:sp macro="" textlink="">
      <xdr:nvSpPr>
        <xdr:cNvPr id="283" name="Rectangle : coins arrondis 282">
          <a:extLst>
            <a:ext uri="{FF2B5EF4-FFF2-40B4-BE49-F238E27FC236}">
              <a16:creationId xmlns:a16="http://schemas.microsoft.com/office/drawing/2014/main" id="{00000000-0008-0000-1A00-00001B010000}"/>
            </a:ext>
          </a:extLst>
        </xdr:cNvPr>
        <xdr:cNvSpPr/>
      </xdr:nvSpPr>
      <xdr:spPr bwMode="auto">
        <a:xfrm>
          <a:off x="9305544" y="24379409"/>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25</xdr:col>
      <xdr:colOff>470753</xdr:colOff>
      <xdr:row>262</xdr:row>
      <xdr:rowOff>211850</xdr:rowOff>
    </xdr:from>
    <xdr:ext cx="2562472" cy="1129683"/>
    <xdr:pic>
      <xdr:nvPicPr>
        <xdr:cNvPr id="284" name="Image 283">
          <a:extLst>
            <a:ext uri="{FF2B5EF4-FFF2-40B4-BE49-F238E27FC236}">
              <a16:creationId xmlns:a16="http://schemas.microsoft.com/office/drawing/2014/main" id="{00000000-0008-0000-1A00-00001C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06073" y="16315745"/>
          <a:ext cx="2562472" cy="1129683"/>
        </a:xfrm>
        <a:prstGeom prst="rect">
          <a:avLst/>
        </a:prstGeom>
      </xdr:spPr>
    </xdr:pic>
    <xdr:clientData/>
  </xdr:oneCellAnchor>
  <xdr:oneCellAnchor>
    <xdr:from>
      <xdr:col>0</xdr:col>
      <xdr:colOff>344521</xdr:colOff>
      <xdr:row>262</xdr:row>
      <xdr:rowOff>111463</xdr:rowOff>
    </xdr:from>
    <xdr:ext cx="1154630" cy="1312076"/>
    <xdr:pic>
      <xdr:nvPicPr>
        <xdr:cNvPr id="285" name="Image 1">
          <a:extLst>
            <a:ext uri="{FF2B5EF4-FFF2-40B4-BE49-F238E27FC236}">
              <a16:creationId xmlns:a16="http://schemas.microsoft.com/office/drawing/2014/main" id="{00000000-0008-0000-1A00-00001D01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818" t="8181" r="10909" b="10000"/>
        <a:stretch/>
      </xdr:blipFill>
      <xdr:spPr bwMode="auto">
        <a:xfrm>
          <a:off x="344521" y="16215358"/>
          <a:ext cx="1154630" cy="1312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415854</xdr:colOff>
      <xdr:row>294</xdr:row>
      <xdr:rowOff>299437</xdr:rowOff>
    </xdr:from>
    <xdr:ext cx="1701213" cy="1009172"/>
    <xdr:pic>
      <xdr:nvPicPr>
        <xdr:cNvPr id="286" name="Image 285">
          <a:extLst>
            <a:ext uri="{FF2B5EF4-FFF2-40B4-BE49-F238E27FC236}">
              <a16:creationId xmlns:a16="http://schemas.microsoft.com/office/drawing/2014/main" id="{00000000-0008-0000-1A00-00001E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27104" y="17555193"/>
          <a:ext cx="1701213" cy="1009172"/>
        </a:xfrm>
        <a:prstGeom prst="rect">
          <a:avLst/>
        </a:prstGeom>
      </xdr:spPr>
    </xdr:pic>
    <xdr:clientData/>
  </xdr:oneCellAnchor>
  <xdr:twoCellAnchor>
    <xdr:from>
      <xdr:col>2</xdr:col>
      <xdr:colOff>121595</xdr:colOff>
      <xdr:row>300</xdr:row>
      <xdr:rowOff>141861</xdr:rowOff>
    </xdr:from>
    <xdr:to>
      <xdr:col>2</xdr:col>
      <xdr:colOff>496516</xdr:colOff>
      <xdr:row>300</xdr:row>
      <xdr:rowOff>354654</xdr:rowOff>
    </xdr:to>
    <xdr:sp macro="" textlink="">
      <xdr:nvSpPr>
        <xdr:cNvPr id="287" name="Rectangle : coins arrondis 286">
          <a:extLst>
            <a:ext uri="{FF2B5EF4-FFF2-40B4-BE49-F238E27FC236}">
              <a16:creationId xmlns:a16="http://schemas.microsoft.com/office/drawing/2014/main" id="{00000000-0008-0000-1A00-00001F010000}"/>
            </a:ext>
          </a:extLst>
        </xdr:cNvPr>
        <xdr:cNvSpPr/>
      </xdr:nvSpPr>
      <xdr:spPr bwMode="auto">
        <a:xfrm>
          <a:off x="1096246"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14</xdr:col>
      <xdr:colOff>111867</xdr:colOff>
      <xdr:row>300</xdr:row>
      <xdr:rowOff>142266</xdr:rowOff>
    </xdr:from>
    <xdr:to>
      <xdr:col>14</xdr:col>
      <xdr:colOff>486788</xdr:colOff>
      <xdr:row>300</xdr:row>
      <xdr:rowOff>355059</xdr:rowOff>
    </xdr:to>
    <xdr:sp macro="" textlink="">
      <xdr:nvSpPr>
        <xdr:cNvPr id="288" name="Rectangle : coins arrondis 287">
          <a:extLst>
            <a:ext uri="{FF2B5EF4-FFF2-40B4-BE49-F238E27FC236}">
              <a16:creationId xmlns:a16="http://schemas.microsoft.com/office/drawing/2014/main" id="{00000000-0008-0000-1A00-000020010000}"/>
            </a:ext>
          </a:extLst>
        </xdr:cNvPr>
        <xdr:cNvSpPr/>
      </xdr:nvSpPr>
      <xdr:spPr bwMode="auto">
        <a:xfrm>
          <a:off x="741067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121595</xdr:colOff>
      <xdr:row>300</xdr:row>
      <xdr:rowOff>141861</xdr:rowOff>
    </xdr:from>
    <xdr:to>
      <xdr:col>18</xdr:col>
      <xdr:colOff>496516</xdr:colOff>
      <xdr:row>300</xdr:row>
      <xdr:rowOff>354654</xdr:rowOff>
    </xdr:to>
    <xdr:sp macro="" textlink="">
      <xdr:nvSpPr>
        <xdr:cNvPr id="289" name="Rectangle : coins arrondis 288">
          <a:extLst>
            <a:ext uri="{FF2B5EF4-FFF2-40B4-BE49-F238E27FC236}">
              <a16:creationId xmlns:a16="http://schemas.microsoft.com/office/drawing/2014/main" id="{00000000-0008-0000-1A00-000021010000}"/>
            </a:ext>
          </a:extLst>
        </xdr:cNvPr>
        <xdr:cNvSpPr/>
      </xdr:nvSpPr>
      <xdr:spPr bwMode="auto">
        <a:xfrm>
          <a:off x="9325403"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30</xdr:col>
      <xdr:colOff>111867</xdr:colOff>
      <xdr:row>300</xdr:row>
      <xdr:rowOff>142266</xdr:rowOff>
    </xdr:from>
    <xdr:to>
      <xdr:col>30</xdr:col>
      <xdr:colOff>486788</xdr:colOff>
      <xdr:row>300</xdr:row>
      <xdr:rowOff>355059</xdr:rowOff>
    </xdr:to>
    <xdr:sp macro="" textlink="">
      <xdr:nvSpPr>
        <xdr:cNvPr id="290" name="Rectangle : coins arrondis 289">
          <a:extLst>
            <a:ext uri="{FF2B5EF4-FFF2-40B4-BE49-F238E27FC236}">
              <a16:creationId xmlns:a16="http://schemas.microsoft.com/office/drawing/2014/main" id="{00000000-0008-0000-1A00-000022010000}"/>
            </a:ext>
          </a:extLst>
        </xdr:cNvPr>
        <xdr:cNvSpPr/>
      </xdr:nvSpPr>
      <xdr:spPr bwMode="auto">
        <a:xfrm>
          <a:off x="1560660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xdr:col>
      <xdr:colOff>101330</xdr:colOff>
      <xdr:row>313</xdr:row>
      <xdr:rowOff>101329</xdr:rowOff>
    </xdr:from>
    <xdr:to>
      <xdr:col>2</xdr:col>
      <xdr:colOff>476251</xdr:colOff>
      <xdr:row>313</xdr:row>
      <xdr:rowOff>314122</xdr:rowOff>
    </xdr:to>
    <xdr:sp macro="" textlink="">
      <xdr:nvSpPr>
        <xdr:cNvPr id="291" name="Rectangle : coins arrondis 290">
          <a:extLst>
            <a:ext uri="{FF2B5EF4-FFF2-40B4-BE49-F238E27FC236}">
              <a16:creationId xmlns:a16="http://schemas.microsoft.com/office/drawing/2014/main" id="{00000000-0008-0000-1A00-000023010000}"/>
            </a:ext>
          </a:extLst>
        </xdr:cNvPr>
        <xdr:cNvSpPr/>
      </xdr:nvSpPr>
      <xdr:spPr bwMode="auto">
        <a:xfrm>
          <a:off x="1075981" y="2437900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101736</xdr:colOff>
      <xdr:row>313</xdr:row>
      <xdr:rowOff>101735</xdr:rowOff>
    </xdr:from>
    <xdr:to>
      <xdr:col>18</xdr:col>
      <xdr:colOff>476657</xdr:colOff>
      <xdr:row>313</xdr:row>
      <xdr:rowOff>314528</xdr:rowOff>
    </xdr:to>
    <xdr:sp macro="" textlink="">
      <xdr:nvSpPr>
        <xdr:cNvPr id="292" name="Rectangle : coins arrondis 291">
          <a:extLst>
            <a:ext uri="{FF2B5EF4-FFF2-40B4-BE49-F238E27FC236}">
              <a16:creationId xmlns:a16="http://schemas.microsoft.com/office/drawing/2014/main" id="{00000000-0008-0000-1A00-000024010000}"/>
            </a:ext>
          </a:extLst>
        </xdr:cNvPr>
        <xdr:cNvSpPr/>
      </xdr:nvSpPr>
      <xdr:spPr bwMode="auto">
        <a:xfrm>
          <a:off x="9305544" y="24379409"/>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25</xdr:col>
      <xdr:colOff>470753</xdr:colOff>
      <xdr:row>291</xdr:row>
      <xdr:rowOff>211850</xdr:rowOff>
    </xdr:from>
    <xdr:ext cx="2562472" cy="1129683"/>
    <xdr:pic>
      <xdr:nvPicPr>
        <xdr:cNvPr id="293" name="Image 292">
          <a:extLst>
            <a:ext uri="{FF2B5EF4-FFF2-40B4-BE49-F238E27FC236}">
              <a16:creationId xmlns:a16="http://schemas.microsoft.com/office/drawing/2014/main" id="{00000000-0008-0000-1A00-000025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06073" y="16315745"/>
          <a:ext cx="2562472" cy="1129683"/>
        </a:xfrm>
        <a:prstGeom prst="rect">
          <a:avLst/>
        </a:prstGeom>
      </xdr:spPr>
    </xdr:pic>
    <xdr:clientData/>
  </xdr:oneCellAnchor>
  <xdr:oneCellAnchor>
    <xdr:from>
      <xdr:col>0</xdr:col>
      <xdr:colOff>344521</xdr:colOff>
      <xdr:row>291</xdr:row>
      <xdr:rowOff>111463</xdr:rowOff>
    </xdr:from>
    <xdr:ext cx="1154630" cy="1312076"/>
    <xdr:pic>
      <xdr:nvPicPr>
        <xdr:cNvPr id="294" name="Image 1">
          <a:extLst>
            <a:ext uri="{FF2B5EF4-FFF2-40B4-BE49-F238E27FC236}">
              <a16:creationId xmlns:a16="http://schemas.microsoft.com/office/drawing/2014/main" id="{00000000-0008-0000-1A00-00002601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818" t="8181" r="10909" b="10000"/>
        <a:stretch/>
      </xdr:blipFill>
      <xdr:spPr bwMode="auto">
        <a:xfrm>
          <a:off x="344521" y="16215358"/>
          <a:ext cx="1154630" cy="1312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415854</xdr:colOff>
      <xdr:row>323</xdr:row>
      <xdr:rowOff>299437</xdr:rowOff>
    </xdr:from>
    <xdr:ext cx="1701213" cy="1009172"/>
    <xdr:pic>
      <xdr:nvPicPr>
        <xdr:cNvPr id="295" name="Image 294">
          <a:extLst>
            <a:ext uri="{FF2B5EF4-FFF2-40B4-BE49-F238E27FC236}">
              <a16:creationId xmlns:a16="http://schemas.microsoft.com/office/drawing/2014/main" id="{00000000-0008-0000-1A00-000027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27104" y="17555193"/>
          <a:ext cx="1701213" cy="1009172"/>
        </a:xfrm>
        <a:prstGeom prst="rect">
          <a:avLst/>
        </a:prstGeom>
      </xdr:spPr>
    </xdr:pic>
    <xdr:clientData/>
  </xdr:oneCellAnchor>
  <xdr:twoCellAnchor>
    <xdr:from>
      <xdr:col>2</xdr:col>
      <xdr:colOff>121595</xdr:colOff>
      <xdr:row>329</xdr:row>
      <xdr:rowOff>141861</xdr:rowOff>
    </xdr:from>
    <xdr:to>
      <xdr:col>2</xdr:col>
      <xdr:colOff>496516</xdr:colOff>
      <xdr:row>329</xdr:row>
      <xdr:rowOff>354654</xdr:rowOff>
    </xdr:to>
    <xdr:sp macro="" textlink="">
      <xdr:nvSpPr>
        <xdr:cNvPr id="296" name="Rectangle : coins arrondis 295">
          <a:extLst>
            <a:ext uri="{FF2B5EF4-FFF2-40B4-BE49-F238E27FC236}">
              <a16:creationId xmlns:a16="http://schemas.microsoft.com/office/drawing/2014/main" id="{00000000-0008-0000-1A00-000028010000}"/>
            </a:ext>
          </a:extLst>
        </xdr:cNvPr>
        <xdr:cNvSpPr/>
      </xdr:nvSpPr>
      <xdr:spPr bwMode="auto">
        <a:xfrm>
          <a:off x="1096246"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14</xdr:col>
      <xdr:colOff>111867</xdr:colOff>
      <xdr:row>329</xdr:row>
      <xdr:rowOff>142266</xdr:rowOff>
    </xdr:from>
    <xdr:to>
      <xdr:col>14</xdr:col>
      <xdr:colOff>486788</xdr:colOff>
      <xdr:row>329</xdr:row>
      <xdr:rowOff>355059</xdr:rowOff>
    </xdr:to>
    <xdr:sp macro="" textlink="">
      <xdr:nvSpPr>
        <xdr:cNvPr id="297" name="Rectangle : coins arrondis 296">
          <a:extLst>
            <a:ext uri="{FF2B5EF4-FFF2-40B4-BE49-F238E27FC236}">
              <a16:creationId xmlns:a16="http://schemas.microsoft.com/office/drawing/2014/main" id="{00000000-0008-0000-1A00-000029010000}"/>
            </a:ext>
          </a:extLst>
        </xdr:cNvPr>
        <xdr:cNvSpPr/>
      </xdr:nvSpPr>
      <xdr:spPr bwMode="auto">
        <a:xfrm>
          <a:off x="741067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121595</xdr:colOff>
      <xdr:row>329</xdr:row>
      <xdr:rowOff>141861</xdr:rowOff>
    </xdr:from>
    <xdr:to>
      <xdr:col>18</xdr:col>
      <xdr:colOff>496516</xdr:colOff>
      <xdr:row>329</xdr:row>
      <xdr:rowOff>354654</xdr:rowOff>
    </xdr:to>
    <xdr:sp macro="" textlink="">
      <xdr:nvSpPr>
        <xdr:cNvPr id="298" name="Rectangle : coins arrondis 297">
          <a:extLst>
            <a:ext uri="{FF2B5EF4-FFF2-40B4-BE49-F238E27FC236}">
              <a16:creationId xmlns:a16="http://schemas.microsoft.com/office/drawing/2014/main" id="{00000000-0008-0000-1A00-00002A010000}"/>
            </a:ext>
          </a:extLst>
        </xdr:cNvPr>
        <xdr:cNvSpPr/>
      </xdr:nvSpPr>
      <xdr:spPr bwMode="auto">
        <a:xfrm>
          <a:off x="9325403"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30</xdr:col>
      <xdr:colOff>111867</xdr:colOff>
      <xdr:row>329</xdr:row>
      <xdr:rowOff>142266</xdr:rowOff>
    </xdr:from>
    <xdr:to>
      <xdr:col>30</xdr:col>
      <xdr:colOff>486788</xdr:colOff>
      <xdr:row>329</xdr:row>
      <xdr:rowOff>355059</xdr:rowOff>
    </xdr:to>
    <xdr:sp macro="" textlink="">
      <xdr:nvSpPr>
        <xdr:cNvPr id="299" name="Rectangle : coins arrondis 298">
          <a:extLst>
            <a:ext uri="{FF2B5EF4-FFF2-40B4-BE49-F238E27FC236}">
              <a16:creationId xmlns:a16="http://schemas.microsoft.com/office/drawing/2014/main" id="{00000000-0008-0000-1A00-00002B010000}"/>
            </a:ext>
          </a:extLst>
        </xdr:cNvPr>
        <xdr:cNvSpPr/>
      </xdr:nvSpPr>
      <xdr:spPr bwMode="auto">
        <a:xfrm>
          <a:off x="1560660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xdr:col>
      <xdr:colOff>101330</xdr:colOff>
      <xdr:row>342</xdr:row>
      <xdr:rowOff>101329</xdr:rowOff>
    </xdr:from>
    <xdr:to>
      <xdr:col>2</xdr:col>
      <xdr:colOff>476251</xdr:colOff>
      <xdr:row>342</xdr:row>
      <xdr:rowOff>314122</xdr:rowOff>
    </xdr:to>
    <xdr:sp macro="" textlink="">
      <xdr:nvSpPr>
        <xdr:cNvPr id="300" name="Rectangle : coins arrondis 299">
          <a:extLst>
            <a:ext uri="{FF2B5EF4-FFF2-40B4-BE49-F238E27FC236}">
              <a16:creationId xmlns:a16="http://schemas.microsoft.com/office/drawing/2014/main" id="{00000000-0008-0000-1A00-00002C010000}"/>
            </a:ext>
          </a:extLst>
        </xdr:cNvPr>
        <xdr:cNvSpPr/>
      </xdr:nvSpPr>
      <xdr:spPr bwMode="auto">
        <a:xfrm>
          <a:off x="1075981" y="2437900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101736</xdr:colOff>
      <xdr:row>342</xdr:row>
      <xdr:rowOff>101735</xdr:rowOff>
    </xdr:from>
    <xdr:to>
      <xdr:col>18</xdr:col>
      <xdr:colOff>476657</xdr:colOff>
      <xdr:row>342</xdr:row>
      <xdr:rowOff>314528</xdr:rowOff>
    </xdr:to>
    <xdr:sp macro="" textlink="">
      <xdr:nvSpPr>
        <xdr:cNvPr id="301" name="Rectangle : coins arrondis 300">
          <a:extLst>
            <a:ext uri="{FF2B5EF4-FFF2-40B4-BE49-F238E27FC236}">
              <a16:creationId xmlns:a16="http://schemas.microsoft.com/office/drawing/2014/main" id="{00000000-0008-0000-1A00-00002D010000}"/>
            </a:ext>
          </a:extLst>
        </xdr:cNvPr>
        <xdr:cNvSpPr/>
      </xdr:nvSpPr>
      <xdr:spPr bwMode="auto">
        <a:xfrm>
          <a:off x="9305544" y="24379409"/>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25</xdr:col>
      <xdr:colOff>470753</xdr:colOff>
      <xdr:row>320</xdr:row>
      <xdr:rowOff>211850</xdr:rowOff>
    </xdr:from>
    <xdr:ext cx="2562472" cy="1129683"/>
    <xdr:pic>
      <xdr:nvPicPr>
        <xdr:cNvPr id="302" name="Image 301">
          <a:extLst>
            <a:ext uri="{FF2B5EF4-FFF2-40B4-BE49-F238E27FC236}">
              <a16:creationId xmlns:a16="http://schemas.microsoft.com/office/drawing/2014/main" id="{00000000-0008-0000-1A00-00002E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06073" y="16315745"/>
          <a:ext cx="2562472" cy="1129683"/>
        </a:xfrm>
        <a:prstGeom prst="rect">
          <a:avLst/>
        </a:prstGeom>
      </xdr:spPr>
    </xdr:pic>
    <xdr:clientData/>
  </xdr:oneCellAnchor>
  <xdr:oneCellAnchor>
    <xdr:from>
      <xdr:col>0</xdr:col>
      <xdr:colOff>344521</xdr:colOff>
      <xdr:row>320</xdr:row>
      <xdr:rowOff>111463</xdr:rowOff>
    </xdr:from>
    <xdr:ext cx="1154630" cy="1312076"/>
    <xdr:pic>
      <xdr:nvPicPr>
        <xdr:cNvPr id="303" name="Image 1">
          <a:extLst>
            <a:ext uri="{FF2B5EF4-FFF2-40B4-BE49-F238E27FC236}">
              <a16:creationId xmlns:a16="http://schemas.microsoft.com/office/drawing/2014/main" id="{00000000-0008-0000-1A00-00002F01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818" t="8181" r="10909" b="10000"/>
        <a:stretch/>
      </xdr:blipFill>
      <xdr:spPr bwMode="auto">
        <a:xfrm>
          <a:off x="344521" y="16215358"/>
          <a:ext cx="1154630" cy="1312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415854</xdr:colOff>
      <xdr:row>352</xdr:row>
      <xdr:rowOff>299437</xdr:rowOff>
    </xdr:from>
    <xdr:ext cx="1701213" cy="1009172"/>
    <xdr:pic>
      <xdr:nvPicPr>
        <xdr:cNvPr id="304" name="Image 303">
          <a:extLst>
            <a:ext uri="{FF2B5EF4-FFF2-40B4-BE49-F238E27FC236}">
              <a16:creationId xmlns:a16="http://schemas.microsoft.com/office/drawing/2014/main" id="{00000000-0008-0000-1A00-000030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27104" y="17555193"/>
          <a:ext cx="1701213" cy="1009172"/>
        </a:xfrm>
        <a:prstGeom prst="rect">
          <a:avLst/>
        </a:prstGeom>
      </xdr:spPr>
    </xdr:pic>
    <xdr:clientData/>
  </xdr:oneCellAnchor>
  <xdr:twoCellAnchor>
    <xdr:from>
      <xdr:col>2</xdr:col>
      <xdr:colOff>121595</xdr:colOff>
      <xdr:row>358</xdr:row>
      <xdr:rowOff>141861</xdr:rowOff>
    </xdr:from>
    <xdr:to>
      <xdr:col>2</xdr:col>
      <xdr:colOff>496516</xdr:colOff>
      <xdr:row>358</xdr:row>
      <xdr:rowOff>354654</xdr:rowOff>
    </xdr:to>
    <xdr:sp macro="" textlink="">
      <xdr:nvSpPr>
        <xdr:cNvPr id="305" name="Rectangle : coins arrondis 304">
          <a:extLst>
            <a:ext uri="{FF2B5EF4-FFF2-40B4-BE49-F238E27FC236}">
              <a16:creationId xmlns:a16="http://schemas.microsoft.com/office/drawing/2014/main" id="{00000000-0008-0000-1A00-000031010000}"/>
            </a:ext>
          </a:extLst>
        </xdr:cNvPr>
        <xdr:cNvSpPr/>
      </xdr:nvSpPr>
      <xdr:spPr bwMode="auto">
        <a:xfrm>
          <a:off x="1096246"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14</xdr:col>
      <xdr:colOff>111867</xdr:colOff>
      <xdr:row>358</xdr:row>
      <xdr:rowOff>142266</xdr:rowOff>
    </xdr:from>
    <xdr:to>
      <xdr:col>14</xdr:col>
      <xdr:colOff>486788</xdr:colOff>
      <xdr:row>358</xdr:row>
      <xdr:rowOff>355059</xdr:rowOff>
    </xdr:to>
    <xdr:sp macro="" textlink="">
      <xdr:nvSpPr>
        <xdr:cNvPr id="306" name="Rectangle : coins arrondis 305">
          <a:extLst>
            <a:ext uri="{FF2B5EF4-FFF2-40B4-BE49-F238E27FC236}">
              <a16:creationId xmlns:a16="http://schemas.microsoft.com/office/drawing/2014/main" id="{00000000-0008-0000-1A00-000032010000}"/>
            </a:ext>
          </a:extLst>
        </xdr:cNvPr>
        <xdr:cNvSpPr/>
      </xdr:nvSpPr>
      <xdr:spPr bwMode="auto">
        <a:xfrm>
          <a:off x="741067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121595</xdr:colOff>
      <xdr:row>358</xdr:row>
      <xdr:rowOff>141861</xdr:rowOff>
    </xdr:from>
    <xdr:to>
      <xdr:col>18</xdr:col>
      <xdr:colOff>496516</xdr:colOff>
      <xdr:row>358</xdr:row>
      <xdr:rowOff>354654</xdr:rowOff>
    </xdr:to>
    <xdr:sp macro="" textlink="">
      <xdr:nvSpPr>
        <xdr:cNvPr id="307" name="Rectangle : coins arrondis 306">
          <a:extLst>
            <a:ext uri="{FF2B5EF4-FFF2-40B4-BE49-F238E27FC236}">
              <a16:creationId xmlns:a16="http://schemas.microsoft.com/office/drawing/2014/main" id="{00000000-0008-0000-1A00-000033010000}"/>
            </a:ext>
          </a:extLst>
        </xdr:cNvPr>
        <xdr:cNvSpPr/>
      </xdr:nvSpPr>
      <xdr:spPr bwMode="auto">
        <a:xfrm>
          <a:off x="9325403"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30</xdr:col>
      <xdr:colOff>111867</xdr:colOff>
      <xdr:row>358</xdr:row>
      <xdr:rowOff>142266</xdr:rowOff>
    </xdr:from>
    <xdr:to>
      <xdr:col>30</xdr:col>
      <xdr:colOff>486788</xdr:colOff>
      <xdr:row>358</xdr:row>
      <xdr:rowOff>355059</xdr:rowOff>
    </xdr:to>
    <xdr:sp macro="" textlink="">
      <xdr:nvSpPr>
        <xdr:cNvPr id="308" name="Rectangle : coins arrondis 307">
          <a:extLst>
            <a:ext uri="{FF2B5EF4-FFF2-40B4-BE49-F238E27FC236}">
              <a16:creationId xmlns:a16="http://schemas.microsoft.com/office/drawing/2014/main" id="{00000000-0008-0000-1A00-000034010000}"/>
            </a:ext>
          </a:extLst>
        </xdr:cNvPr>
        <xdr:cNvSpPr/>
      </xdr:nvSpPr>
      <xdr:spPr bwMode="auto">
        <a:xfrm>
          <a:off x="1560660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xdr:col>
      <xdr:colOff>101330</xdr:colOff>
      <xdr:row>371</xdr:row>
      <xdr:rowOff>101329</xdr:rowOff>
    </xdr:from>
    <xdr:to>
      <xdr:col>2</xdr:col>
      <xdr:colOff>476251</xdr:colOff>
      <xdr:row>371</xdr:row>
      <xdr:rowOff>314122</xdr:rowOff>
    </xdr:to>
    <xdr:sp macro="" textlink="">
      <xdr:nvSpPr>
        <xdr:cNvPr id="309" name="Rectangle : coins arrondis 308">
          <a:extLst>
            <a:ext uri="{FF2B5EF4-FFF2-40B4-BE49-F238E27FC236}">
              <a16:creationId xmlns:a16="http://schemas.microsoft.com/office/drawing/2014/main" id="{00000000-0008-0000-1A00-000035010000}"/>
            </a:ext>
          </a:extLst>
        </xdr:cNvPr>
        <xdr:cNvSpPr/>
      </xdr:nvSpPr>
      <xdr:spPr bwMode="auto">
        <a:xfrm>
          <a:off x="1075981" y="2437900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101736</xdr:colOff>
      <xdr:row>371</xdr:row>
      <xdr:rowOff>101735</xdr:rowOff>
    </xdr:from>
    <xdr:to>
      <xdr:col>18</xdr:col>
      <xdr:colOff>476657</xdr:colOff>
      <xdr:row>371</xdr:row>
      <xdr:rowOff>314528</xdr:rowOff>
    </xdr:to>
    <xdr:sp macro="" textlink="">
      <xdr:nvSpPr>
        <xdr:cNvPr id="310" name="Rectangle : coins arrondis 309">
          <a:extLst>
            <a:ext uri="{FF2B5EF4-FFF2-40B4-BE49-F238E27FC236}">
              <a16:creationId xmlns:a16="http://schemas.microsoft.com/office/drawing/2014/main" id="{00000000-0008-0000-1A00-000036010000}"/>
            </a:ext>
          </a:extLst>
        </xdr:cNvPr>
        <xdr:cNvSpPr/>
      </xdr:nvSpPr>
      <xdr:spPr bwMode="auto">
        <a:xfrm>
          <a:off x="9305544" y="24379409"/>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25</xdr:col>
      <xdr:colOff>470753</xdr:colOff>
      <xdr:row>349</xdr:row>
      <xdr:rowOff>211850</xdr:rowOff>
    </xdr:from>
    <xdr:ext cx="2562472" cy="1129683"/>
    <xdr:pic>
      <xdr:nvPicPr>
        <xdr:cNvPr id="311" name="Image 310">
          <a:extLst>
            <a:ext uri="{FF2B5EF4-FFF2-40B4-BE49-F238E27FC236}">
              <a16:creationId xmlns:a16="http://schemas.microsoft.com/office/drawing/2014/main" id="{00000000-0008-0000-1A00-000037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06073" y="16315745"/>
          <a:ext cx="2562472" cy="1129683"/>
        </a:xfrm>
        <a:prstGeom prst="rect">
          <a:avLst/>
        </a:prstGeom>
      </xdr:spPr>
    </xdr:pic>
    <xdr:clientData/>
  </xdr:oneCellAnchor>
  <xdr:oneCellAnchor>
    <xdr:from>
      <xdr:col>0</xdr:col>
      <xdr:colOff>344521</xdr:colOff>
      <xdr:row>349</xdr:row>
      <xdr:rowOff>111463</xdr:rowOff>
    </xdr:from>
    <xdr:ext cx="1154630" cy="1312076"/>
    <xdr:pic>
      <xdr:nvPicPr>
        <xdr:cNvPr id="312" name="Image 1">
          <a:extLst>
            <a:ext uri="{FF2B5EF4-FFF2-40B4-BE49-F238E27FC236}">
              <a16:creationId xmlns:a16="http://schemas.microsoft.com/office/drawing/2014/main" id="{00000000-0008-0000-1A00-00003801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818" t="8181" r="10909" b="10000"/>
        <a:stretch/>
      </xdr:blipFill>
      <xdr:spPr bwMode="auto">
        <a:xfrm>
          <a:off x="344521" y="16215358"/>
          <a:ext cx="1154630" cy="1312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415854</xdr:colOff>
      <xdr:row>381</xdr:row>
      <xdr:rowOff>299437</xdr:rowOff>
    </xdr:from>
    <xdr:ext cx="1701213" cy="1009172"/>
    <xdr:pic>
      <xdr:nvPicPr>
        <xdr:cNvPr id="313" name="Image 312">
          <a:extLst>
            <a:ext uri="{FF2B5EF4-FFF2-40B4-BE49-F238E27FC236}">
              <a16:creationId xmlns:a16="http://schemas.microsoft.com/office/drawing/2014/main" id="{00000000-0008-0000-1A00-000039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27104" y="17555193"/>
          <a:ext cx="1701213" cy="1009172"/>
        </a:xfrm>
        <a:prstGeom prst="rect">
          <a:avLst/>
        </a:prstGeom>
      </xdr:spPr>
    </xdr:pic>
    <xdr:clientData/>
  </xdr:oneCellAnchor>
  <xdr:twoCellAnchor>
    <xdr:from>
      <xdr:col>2</xdr:col>
      <xdr:colOff>121595</xdr:colOff>
      <xdr:row>387</xdr:row>
      <xdr:rowOff>141861</xdr:rowOff>
    </xdr:from>
    <xdr:to>
      <xdr:col>2</xdr:col>
      <xdr:colOff>496516</xdr:colOff>
      <xdr:row>387</xdr:row>
      <xdr:rowOff>354654</xdr:rowOff>
    </xdr:to>
    <xdr:sp macro="" textlink="">
      <xdr:nvSpPr>
        <xdr:cNvPr id="314" name="Rectangle : coins arrondis 313">
          <a:extLst>
            <a:ext uri="{FF2B5EF4-FFF2-40B4-BE49-F238E27FC236}">
              <a16:creationId xmlns:a16="http://schemas.microsoft.com/office/drawing/2014/main" id="{00000000-0008-0000-1A00-00003A010000}"/>
            </a:ext>
          </a:extLst>
        </xdr:cNvPr>
        <xdr:cNvSpPr/>
      </xdr:nvSpPr>
      <xdr:spPr bwMode="auto">
        <a:xfrm>
          <a:off x="1096246"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14</xdr:col>
      <xdr:colOff>111867</xdr:colOff>
      <xdr:row>387</xdr:row>
      <xdr:rowOff>142266</xdr:rowOff>
    </xdr:from>
    <xdr:to>
      <xdr:col>14</xdr:col>
      <xdr:colOff>486788</xdr:colOff>
      <xdr:row>387</xdr:row>
      <xdr:rowOff>355059</xdr:rowOff>
    </xdr:to>
    <xdr:sp macro="" textlink="">
      <xdr:nvSpPr>
        <xdr:cNvPr id="315" name="Rectangle : coins arrondis 314">
          <a:extLst>
            <a:ext uri="{FF2B5EF4-FFF2-40B4-BE49-F238E27FC236}">
              <a16:creationId xmlns:a16="http://schemas.microsoft.com/office/drawing/2014/main" id="{00000000-0008-0000-1A00-00003B010000}"/>
            </a:ext>
          </a:extLst>
        </xdr:cNvPr>
        <xdr:cNvSpPr/>
      </xdr:nvSpPr>
      <xdr:spPr bwMode="auto">
        <a:xfrm>
          <a:off x="741067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121595</xdr:colOff>
      <xdr:row>387</xdr:row>
      <xdr:rowOff>141861</xdr:rowOff>
    </xdr:from>
    <xdr:to>
      <xdr:col>18</xdr:col>
      <xdr:colOff>496516</xdr:colOff>
      <xdr:row>387</xdr:row>
      <xdr:rowOff>354654</xdr:rowOff>
    </xdr:to>
    <xdr:sp macro="" textlink="">
      <xdr:nvSpPr>
        <xdr:cNvPr id="316" name="Rectangle : coins arrondis 315">
          <a:extLst>
            <a:ext uri="{FF2B5EF4-FFF2-40B4-BE49-F238E27FC236}">
              <a16:creationId xmlns:a16="http://schemas.microsoft.com/office/drawing/2014/main" id="{00000000-0008-0000-1A00-00003C010000}"/>
            </a:ext>
          </a:extLst>
        </xdr:cNvPr>
        <xdr:cNvSpPr/>
      </xdr:nvSpPr>
      <xdr:spPr bwMode="auto">
        <a:xfrm>
          <a:off x="9325403"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30</xdr:col>
      <xdr:colOff>111867</xdr:colOff>
      <xdr:row>387</xdr:row>
      <xdr:rowOff>142266</xdr:rowOff>
    </xdr:from>
    <xdr:to>
      <xdr:col>30</xdr:col>
      <xdr:colOff>486788</xdr:colOff>
      <xdr:row>387</xdr:row>
      <xdr:rowOff>355059</xdr:rowOff>
    </xdr:to>
    <xdr:sp macro="" textlink="">
      <xdr:nvSpPr>
        <xdr:cNvPr id="317" name="Rectangle : coins arrondis 316">
          <a:extLst>
            <a:ext uri="{FF2B5EF4-FFF2-40B4-BE49-F238E27FC236}">
              <a16:creationId xmlns:a16="http://schemas.microsoft.com/office/drawing/2014/main" id="{00000000-0008-0000-1A00-00003D010000}"/>
            </a:ext>
          </a:extLst>
        </xdr:cNvPr>
        <xdr:cNvSpPr/>
      </xdr:nvSpPr>
      <xdr:spPr bwMode="auto">
        <a:xfrm>
          <a:off x="1560660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xdr:col>
      <xdr:colOff>101330</xdr:colOff>
      <xdr:row>400</xdr:row>
      <xdr:rowOff>101329</xdr:rowOff>
    </xdr:from>
    <xdr:to>
      <xdr:col>2</xdr:col>
      <xdr:colOff>476251</xdr:colOff>
      <xdr:row>400</xdr:row>
      <xdr:rowOff>314122</xdr:rowOff>
    </xdr:to>
    <xdr:sp macro="" textlink="">
      <xdr:nvSpPr>
        <xdr:cNvPr id="318" name="Rectangle : coins arrondis 317">
          <a:extLst>
            <a:ext uri="{FF2B5EF4-FFF2-40B4-BE49-F238E27FC236}">
              <a16:creationId xmlns:a16="http://schemas.microsoft.com/office/drawing/2014/main" id="{00000000-0008-0000-1A00-00003E010000}"/>
            </a:ext>
          </a:extLst>
        </xdr:cNvPr>
        <xdr:cNvSpPr/>
      </xdr:nvSpPr>
      <xdr:spPr bwMode="auto">
        <a:xfrm>
          <a:off x="1075981" y="2437900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101736</xdr:colOff>
      <xdr:row>400</xdr:row>
      <xdr:rowOff>101735</xdr:rowOff>
    </xdr:from>
    <xdr:to>
      <xdr:col>18</xdr:col>
      <xdr:colOff>476657</xdr:colOff>
      <xdr:row>400</xdr:row>
      <xdr:rowOff>314528</xdr:rowOff>
    </xdr:to>
    <xdr:sp macro="" textlink="">
      <xdr:nvSpPr>
        <xdr:cNvPr id="319" name="Rectangle : coins arrondis 318">
          <a:extLst>
            <a:ext uri="{FF2B5EF4-FFF2-40B4-BE49-F238E27FC236}">
              <a16:creationId xmlns:a16="http://schemas.microsoft.com/office/drawing/2014/main" id="{00000000-0008-0000-1A00-00003F010000}"/>
            </a:ext>
          </a:extLst>
        </xdr:cNvPr>
        <xdr:cNvSpPr/>
      </xdr:nvSpPr>
      <xdr:spPr bwMode="auto">
        <a:xfrm>
          <a:off x="9305544" y="24379409"/>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25</xdr:col>
      <xdr:colOff>470753</xdr:colOff>
      <xdr:row>378</xdr:row>
      <xdr:rowOff>211850</xdr:rowOff>
    </xdr:from>
    <xdr:ext cx="2562472" cy="1129683"/>
    <xdr:pic>
      <xdr:nvPicPr>
        <xdr:cNvPr id="320" name="Image 319">
          <a:extLst>
            <a:ext uri="{FF2B5EF4-FFF2-40B4-BE49-F238E27FC236}">
              <a16:creationId xmlns:a16="http://schemas.microsoft.com/office/drawing/2014/main" id="{00000000-0008-0000-1A00-000040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06073" y="16315745"/>
          <a:ext cx="2562472" cy="1129683"/>
        </a:xfrm>
        <a:prstGeom prst="rect">
          <a:avLst/>
        </a:prstGeom>
      </xdr:spPr>
    </xdr:pic>
    <xdr:clientData/>
  </xdr:oneCellAnchor>
  <xdr:oneCellAnchor>
    <xdr:from>
      <xdr:col>0</xdr:col>
      <xdr:colOff>344521</xdr:colOff>
      <xdr:row>378</xdr:row>
      <xdr:rowOff>111463</xdr:rowOff>
    </xdr:from>
    <xdr:ext cx="1154630" cy="1312076"/>
    <xdr:pic>
      <xdr:nvPicPr>
        <xdr:cNvPr id="321" name="Image 1">
          <a:extLst>
            <a:ext uri="{FF2B5EF4-FFF2-40B4-BE49-F238E27FC236}">
              <a16:creationId xmlns:a16="http://schemas.microsoft.com/office/drawing/2014/main" id="{00000000-0008-0000-1A00-00004101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818" t="8181" r="10909" b="10000"/>
        <a:stretch/>
      </xdr:blipFill>
      <xdr:spPr bwMode="auto">
        <a:xfrm>
          <a:off x="344521" y="16215358"/>
          <a:ext cx="1154630" cy="1312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415854</xdr:colOff>
      <xdr:row>410</xdr:row>
      <xdr:rowOff>299437</xdr:rowOff>
    </xdr:from>
    <xdr:ext cx="1701213" cy="1009172"/>
    <xdr:pic>
      <xdr:nvPicPr>
        <xdr:cNvPr id="322" name="Image 321">
          <a:extLst>
            <a:ext uri="{FF2B5EF4-FFF2-40B4-BE49-F238E27FC236}">
              <a16:creationId xmlns:a16="http://schemas.microsoft.com/office/drawing/2014/main" id="{00000000-0008-0000-1A00-000042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27104" y="17555193"/>
          <a:ext cx="1701213" cy="1009172"/>
        </a:xfrm>
        <a:prstGeom prst="rect">
          <a:avLst/>
        </a:prstGeom>
      </xdr:spPr>
    </xdr:pic>
    <xdr:clientData/>
  </xdr:oneCellAnchor>
  <xdr:twoCellAnchor>
    <xdr:from>
      <xdr:col>2</xdr:col>
      <xdr:colOff>121595</xdr:colOff>
      <xdr:row>416</xdr:row>
      <xdr:rowOff>141861</xdr:rowOff>
    </xdr:from>
    <xdr:to>
      <xdr:col>2</xdr:col>
      <xdr:colOff>496516</xdr:colOff>
      <xdr:row>416</xdr:row>
      <xdr:rowOff>354654</xdr:rowOff>
    </xdr:to>
    <xdr:sp macro="" textlink="">
      <xdr:nvSpPr>
        <xdr:cNvPr id="323" name="Rectangle : coins arrondis 322">
          <a:extLst>
            <a:ext uri="{FF2B5EF4-FFF2-40B4-BE49-F238E27FC236}">
              <a16:creationId xmlns:a16="http://schemas.microsoft.com/office/drawing/2014/main" id="{00000000-0008-0000-1A00-000043010000}"/>
            </a:ext>
          </a:extLst>
        </xdr:cNvPr>
        <xdr:cNvSpPr/>
      </xdr:nvSpPr>
      <xdr:spPr bwMode="auto">
        <a:xfrm>
          <a:off x="1096246"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14</xdr:col>
      <xdr:colOff>111867</xdr:colOff>
      <xdr:row>416</xdr:row>
      <xdr:rowOff>142266</xdr:rowOff>
    </xdr:from>
    <xdr:to>
      <xdr:col>14</xdr:col>
      <xdr:colOff>486788</xdr:colOff>
      <xdr:row>416</xdr:row>
      <xdr:rowOff>355059</xdr:rowOff>
    </xdr:to>
    <xdr:sp macro="" textlink="">
      <xdr:nvSpPr>
        <xdr:cNvPr id="324" name="Rectangle : coins arrondis 323">
          <a:extLst>
            <a:ext uri="{FF2B5EF4-FFF2-40B4-BE49-F238E27FC236}">
              <a16:creationId xmlns:a16="http://schemas.microsoft.com/office/drawing/2014/main" id="{00000000-0008-0000-1A00-000044010000}"/>
            </a:ext>
          </a:extLst>
        </xdr:cNvPr>
        <xdr:cNvSpPr/>
      </xdr:nvSpPr>
      <xdr:spPr bwMode="auto">
        <a:xfrm>
          <a:off x="741067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121595</xdr:colOff>
      <xdr:row>416</xdr:row>
      <xdr:rowOff>141861</xdr:rowOff>
    </xdr:from>
    <xdr:to>
      <xdr:col>18</xdr:col>
      <xdr:colOff>496516</xdr:colOff>
      <xdr:row>416</xdr:row>
      <xdr:rowOff>354654</xdr:rowOff>
    </xdr:to>
    <xdr:sp macro="" textlink="">
      <xdr:nvSpPr>
        <xdr:cNvPr id="325" name="Rectangle : coins arrondis 324">
          <a:extLst>
            <a:ext uri="{FF2B5EF4-FFF2-40B4-BE49-F238E27FC236}">
              <a16:creationId xmlns:a16="http://schemas.microsoft.com/office/drawing/2014/main" id="{00000000-0008-0000-1A00-000045010000}"/>
            </a:ext>
          </a:extLst>
        </xdr:cNvPr>
        <xdr:cNvSpPr/>
      </xdr:nvSpPr>
      <xdr:spPr bwMode="auto">
        <a:xfrm>
          <a:off x="9325403"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30</xdr:col>
      <xdr:colOff>111867</xdr:colOff>
      <xdr:row>416</xdr:row>
      <xdr:rowOff>142266</xdr:rowOff>
    </xdr:from>
    <xdr:to>
      <xdr:col>30</xdr:col>
      <xdr:colOff>486788</xdr:colOff>
      <xdr:row>416</xdr:row>
      <xdr:rowOff>355059</xdr:rowOff>
    </xdr:to>
    <xdr:sp macro="" textlink="">
      <xdr:nvSpPr>
        <xdr:cNvPr id="326" name="Rectangle : coins arrondis 325">
          <a:extLst>
            <a:ext uri="{FF2B5EF4-FFF2-40B4-BE49-F238E27FC236}">
              <a16:creationId xmlns:a16="http://schemas.microsoft.com/office/drawing/2014/main" id="{00000000-0008-0000-1A00-000046010000}"/>
            </a:ext>
          </a:extLst>
        </xdr:cNvPr>
        <xdr:cNvSpPr/>
      </xdr:nvSpPr>
      <xdr:spPr bwMode="auto">
        <a:xfrm>
          <a:off x="1560660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xdr:col>
      <xdr:colOff>101330</xdr:colOff>
      <xdr:row>429</xdr:row>
      <xdr:rowOff>101329</xdr:rowOff>
    </xdr:from>
    <xdr:to>
      <xdr:col>2</xdr:col>
      <xdr:colOff>476251</xdr:colOff>
      <xdr:row>429</xdr:row>
      <xdr:rowOff>314122</xdr:rowOff>
    </xdr:to>
    <xdr:sp macro="" textlink="">
      <xdr:nvSpPr>
        <xdr:cNvPr id="327" name="Rectangle : coins arrondis 326">
          <a:extLst>
            <a:ext uri="{FF2B5EF4-FFF2-40B4-BE49-F238E27FC236}">
              <a16:creationId xmlns:a16="http://schemas.microsoft.com/office/drawing/2014/main" id="{00000000-0008-0000-1A00-000047010000}"/>
            </a:ext>
          </a:extLst>
        </xdr:cNvPr>
        <xdr:cNvSpPr/>
      </xdr:nvSpPr>
      <xdr:spPr bwMode="auto">
        <a:xfrm>
          <a:off x="1075981" y="2437900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101736</xdr:colOff>
      <xdr:row>429</xdr:row>
      <xdr:rowOff>101735</xdr:rowOff>
    </xdr:from>
    <xdr:to>
      <xdr:col>18</xdr:col>
      <xdr:colOff>476657</xdr:colOff>
      <xdr:row>429</xdr:row>
      <xdr:rowOff>314528</xdr:rowOff>
    </xdr:to>
    <xdr:sp macro="" textlink="">
      <xdr:nvSpPr>
        <xdr:cNvPr id="328" name="Rectangle : coins arrondis 327">
          <a:extLst>
            <a:ext uri="{FF2B5EF4-FFF2-40B4-BE49-F238E27FC236}">
              <a16:creationId xmlns:a16="http://schemas.microsoft.com/office/drawing/2014/main" id="{00000000-0008-0000-1A00-000048010000}"/>
            </a:ext>
          </a:extLst>
        </xdr:cNvPr>
        <xdr:cNvSpPr/>
      </xdr:nvSpPr>
      <xdr:spPr bwMode="auto">
        <a:xfrm>
          <a:off x="9305544" y="24379409"/>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25</xdr:col>
      <xdr:colOff>470753</xdr:colOff>
      <xdr:row>407</xdr:row>
      <xdr:rowOff>211850</xdr:rowOff>
    </xdr:from>
    <xdr:ext cx="2562472" cy="1129683"/>
    <xdr:pic>
      <xdr:nvPicPr>
        <xdr:cNvPr id="329" name="Image 328">
          <a:extLst>
            <a:ext uri="{FF2B5EF4-FFF2-40B4-BE49-F238E27FC236}">
              <a16:creationId xmlns:a16="http://schemas.microsoft.com/office/drawing/2014/main" id="{00000000-0008-0000-1A00-000049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06073" y="16315745"/>
          <a:ext cx="2562472" cy="1129683"/>
        </a:xfrm>
        <a:prstGeom prst="rect">
          <a:avLst/>
        </a:prstGeom>
      </xdr:spPr>
    </xdr:pic>
    <xdr:clientData/>
  </xdr:oneCellAnchor>
  <xdr:oneCellAnchor>
    <xdr:from>
      <xdr:col>0</xdr:col>
      <xdr:colOff>344521</xdr:colOff>
      <xdr:row>407</xdr:row>
      <xdr:rowOff>111463</xdr:rowOff>
    </xdr:from>
    <xdr:ext cx="1154630" cy="1312076"/>
    <xdr:pic>
      <xdr:nvPicPr>
        <xdr:cNvPr id="330" name="Image 1">
          <a:extLst>
            <a:ext uri="{FF2B5EF4-FFF2-40B4-BE49-F238E27FC236}">
              <a16:creationId xmlns:a16="http://schemas.microsoft.com/office/drawing/2014/main" id="{00000000-0008-0000-1A00-00004A01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818" t="8181" r="10909" b="10000"/>
        <a:stretch/>
      </xdr:blipFill>
      <xdr:spPr bwMode="auto">
        <a:xfrm>
          <a:off x="344521" y="16215358"/>
          <a:ext cx="1154630" cy="1312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415854</xdr:colOff>
      <xdr:row>439</xdr:row>
      <xdr:rowOff>299437</xdr:rowOff>
    </xdr:from>
    <xdr:ext cx="1701213" cy="1009172"/>
    <xdr:pic>
      <xdr:nvPicPr>
        <xdr:cNvPr id="331" name="Image 330">
          <a:extLst>
            <a:ext uri="{FF2B5EF4-FFF2-40B4-BE49-F238E27FC236}">
              <a16:creationId xmlns:a16="http://schemas.microsoft.com/office/drawing/2014/main" id="{00000000-0008-0000-1A00-00004B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27104" y="17555193"/>
          <a:ext cx="1701213" cy="1009172"/>
        </a:xfrm>
        <a:prstGeom prst="rect">
          <a:avLst/>
        </a:prstGeom>
      </xdr:spPr>
    </xdr:pic>
    <xdr:clientData/>
  </xdr:oneCellAnchor>
  <xdr:twoCellAnchor>
    <xdr:from>
      <xdr:col>2</xdr:col>
      <xdr:colOff>121595</xdr:colOff>
      <xdr:row>445</xdr:row>
      <xdr:rowOff>141861</xdr:rowOff>
    </xdr:from>
    <xdr:to>
      <xdr:col>2</xdr:col>
      <xdr:colOff>496516</xdr:colOff>
      <xdr:row>445</xdr:row>
      <xdr:rowOff>354654</xdr:rowOff>
    </xdr:to>
    <xdr:sp macro="" textlink="">
      <xdr:nvSpPr>
        <xdr:cNvPr id="332" name="Rectangle : coins arrondis 331">
          <a:extLst>
            <a:ext uri="{FF2B5EF4-FFF2-40B4-BE49-F238E27FC236}">
              <a16:creationId xmlns:a16="http://schemas.microsoft.com/office/drawing/2014/main" id="{00000000-0008-0000-1A00-00004C010000}"/>
            </a:ext>
          </a:extLst>
        </xdr:cNvPr>
        <xdr:cNvSpPr/>
      </xdr:nvSpPr>
      <xdr:spPr bwMode="auto">
        <a:xfrm>
          <a:off x="1096246"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14</xdr:col>
      <xdr:colOff>111867</xdr:colOff>
      <xdr:row>445</xdr:row>
      <xdr:rowOff>142266</xdr:rowOff>
    </xdr:from>
    <xdr:to>
      <xdr:col>14</xdr:col>
      <xdr:colOff>486788</xdr:colOff>
      <xdr:row>445</xdr:row>
      <xdr:rowOff>355059</xdr:rowOff>
    </xdr:to>
    <xdr:sp macro="" textlink="">
      <xdr:nvSpPr>
        <xdr:cNvPr id="333" name="Rectangle : coins arrondis 332">
          <a:extLst>
            <a:ext uri="{FF2B5EF4-FFF2-40B4-BE49-F238E27FC236}">
              <a16:creationId xmlns:a16="http://schemas.microsoft.com/office/drawing/2014/main" id="{00000000-0008-0000-1A00-00004D010000}"/>
            </a:ext>
          </a:extLst>
        </xdr:cNvPr>
        <xdr:cNvSpPr/>
      </xdr:nvSpPr>
      <xdr:spPr bwMode="auto">
        <a:xfrm>
          <a:off x="741067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121595</xdr:colOff>
      <xdr:row>445</xdr:row>
      <xdr:rowOff>141861</xdr:rowOff>
    </xdr:from>
    <xdr:to>
      <xdr:col>18</xdr:col>
      <xdr:colOff>496516</xdr:colOff>
      <xdr:row>445</xdr:row>
      <xdr:rowOff>354654</xdr:rowOff>
    </xdr:to>
    <xdr:sp macro="" textlink="">
      <xdr:nvSpPr>
        <xdr:cNvPr id="334" name="Rectangle : coins arrondis 333">
          <a:extLst>
            <a:ext uri="{FF2B5EF4-FFF2-40B4-BE49-F238E27FC236}">
              <a16:creationId xmlns:a16="http://schemas.microsoft.com/office/drawing/2014/main" id="{00000000-0008-0000-1A00-00004E010000}"/>
            </a:ext>
          </a:extLst>
        </xdr:cNvPr>
        <xdr:cNvSpPr/>
      </xdr:nvSpPr>
      <xdr:spPr bwMode="auto">
        <a:xfrm>
          <a:off x="9325403"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30</xdr:col>
      <xdr:colOff>111867</xdr:colOff>
      <xdr:row>445</xdr:row>
      <xdr:rowOff>142266</xdr:rowOff>
    </xdr:from>
    <xdr:to>
      <xdr:col>30</xdr:col>
      <xdr:colOff>486788</xdr:colOff>
      <xdr:row>445</xdr:row>
      <xdr:rowOff>355059</xdr:rowOff>
    </xdr:to>
    <xdr:sp macro="" textlink="">
      <xdr:nvSpPr>
        <xdr:cNvPr id="335" name="Rectangle : coins arrondis 334">
          <a:extLst>
            <a:ext uri="{FF2B5EF4-FFF2-40B4-BE49-F238E27FC236}">
              <a16:creationId xmlns:a16="http://schemas.microsoft.com/office/drawing/2014/main" id="{00000000-0008-0000-1A00-00004F010000}"/>
            </a:ext>
          </a:extLst>
        </xdr:cNvPr>
        <xdr:cNvSpPr/>
      </xdr:nvSpPr>
      <xdr:spPr bwMode="auto">
        <a:xfrm>
          <a:off x="1560660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xdr:col>
      <xdr:colOff>101330</xdr:colOff>
      <xdr:row>458</xdr:row>
      <xdr:rowOff>101329</xdr:rowOff>
    </xdr:from>
    <xdr:to>
      <xdr:col>2</xdr:col>
      <xdr:colOff>476251</xdr:colOff>
      <xdr:row>458</xdr:row>
      <xdr:rowOff>314122</xdr:rowOff>
    </xdr:to>
    <xdr:sp macro="" textlink="">
      <xdr:nvSpPr>
        <xdr:cNvPr id="336" name="Rectangle : coins arrondis 335">
          <a:extLst>
            <a:ext uri="{FF2B5EF4-FFF2-40B4-BE49-F238E27FC236}">
              <a16:creationId xmlns:a16="http://schemas.microsoft.com/office/drawing/2014/main" id="{00000000-0008-0000-1A00-000050010000}"/>
            </a:ext>
          </a:extLst>
        </xdr:cNvPr>
        <xdr:cNvSpPr/>
      </xdr:nvSpPr>
      <xdr:spPr bwMode="auto">
        <a:xfrm>
          <a:off x="1075981" y="2437900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101736</xdr:colOff>
      <xdr:row>458</xdr:row>
      <xdr:rowOff>101735</xdr:rowOff>
    </xdr:from>
    <xdr:to>
      <xdr:col>18</xdr:col>
      <xdr:colOff>476657</xdr:colOff>
      <xdr:row>458</xdr:row>
      <xdr:rowOff>314528</xdr:rowOff>
    </xdr:to>
    <xdr:sp macro="" textlink="">
      <xdr:nvSpPr>
        <xdr:cNvPr id="337" name="Rectangle : coins arrondis 336">
          <a:extLst>
            <a:ext uri="{FF2B5EF4-FFF2-40B4-BE49-F238E27FC236}">
              <a16:creationId xmlns:a16="http://schemas.microsoft.com/office/drawing/2014/main" id="{00000000-0008-0000-1A00-000051010000}"/>
            </a:ext>
          </a:extLst>
        </xdr:cNvPr>
        <xdr:cNvSpPr/>
      </xdr:nvSpPr>
      <xdr:spPr bwMode="auto">
        <a:xfrm>
          <a:off x="9305544" y="24379409"/>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25</xdr:col>
      <xdr:colOff>470753</xdr:colOff>
      <xdr:row>436</xdr:row>
      <xdr:rowOff>211850</xdr:rowOff>
    </xdr:from>
    <xdr:ext cx="2562472" cy="1129683"/>
    <xdr:pic>
      <xdr:nvPicPr>
        <xdr:cNvPr id="338" name="Image 337">
          <a:extLst>
            <a:ext uri="{FF2B5EF4-FFF2-40B4-BE49-F238E27FC236}">
              <a16:creationId xmlns:a16="http://schemas.microsoft.com/office/drawing/2014/main" id="{00000000-0008-0000-1A00-000052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06073" y="16315745"/>
          <a:ext cx="2562472" cy="1129683"/>
        </a:xfrm>
        <a:prstGeom prst="rect">
          <a:avLst/>
        </a:prstGeom>
      </xdr:spPr>
    </xdr:pic>
    <xdr:clientData/>
  </xdr:oneCellAnchor>
  <xdr:oneCellAnchor>
    <xdr:from>
      <xdr:col>0</xdr:col>
      <xdr:colOff>344521</xdr:colOff>
      <xdr:row>436</xdr:row>
      <xdr:rowOff>111463</xdr:rowOff>
    </xdr:from>
    <xdr:ext cx="1154630" cy="1312076"/>
    <xdr:pic>
      <xdr:nvPicPr>
        <xdr:cNvPr id="339" name="Image 1">
          <a:extLst>
            <a:ext uri="{FF2B5EF4-FFF2-40B4-BE49-F238E27FC236}">
              <a16:creationId xmlns:a16="http://schemas.microsoft.com/office/drawing/2014/main" id="{00000000-0008-0000-1A00-00005301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818" t="8181" r="10909" b="10000"/>
        <a:stretch/>
      </xdr:blipFill>
      <xdr:spPr bwMode="auto">
        <a:xfrm>
          <a:off x="344521" y="16215358"/>
          <a:ext cx="1154630" cy="1312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415854</xdr:colOff>
      <xdr:row>468</xdr:row>
      <xdr:rowOff>299437</xdr:rowOff>
    </xdr:from>
    <xdr:ext cx="1701213" cy="1009172"/>
    <xdr:pic>
      <xdr:nvPicPr>
        <xdr:cNvPr id="340" name="Image 339">
          <a:extLst>
            <a:ext uri="{FF2B5EF4-FFF2-40B4-BE49-F238E27FC236}">
              <a16:creationId xmlns:a16="http://schemas.microsoft.com/office/drawing/2014/main" id="{00000000-0008-0000-1A00-000054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27104" y="17555193"/>
          <a:ext cx="1701213" cy="1009172"/>
        </a:xfrm>
        <a:prstGeom prst="rect">
          <a:avLst/>
        </a:prstGeom>
      </xdr:spPr>
    </xdr:pic>
    <xdr:clientData/>
  </xdr:oneCellAnchor>
  <xdr:twoCellAnchor>
    <xdr:from>
      <xdr:col>2</xdr:col>
      <xdr:colOff>121595</xdr:colOff>
      <xdr:row>474</xdr:row>
      <xdr:rowOff>141861</xdr:rowOff>
    </xdr:from>
    <xdr:to>
      <xdr:col>2</xdr:col>
      <xdr:colOff>496516</xdr:colOff>
      <xdr:row>474</xdr:row>
      <xdr:rowOff>354654</xdr:rowOff>
    </xdr:to>
    <xdr:sp macro="" textlink="">
      <xdr:nvSpPr>
        <xdr:cNvPr id="341" name="Rectangle : coins arrondis 340">
          <a:extLst>
            <a:ext uri="{FF2B5EF4-FFF2-40B4-BE49-F238E27FC236}">
              <a16:creationId xmlns:a16="http://schemas.microsoft.com/office/drawing/2014/main" id="{00000000-0008-0000-1A00-000055010000}"/>
            </a:ext>
          </a:extLst>
        </xdr:cNvPr>
        <xdr:cNvSpPr/>
      </xdr:nvSpPr>
      <xdr:spPr bwMode="auto">
        <a:xfrm>
          <a:off x="1096246"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14</xdr:col>
      <xdr:colOff>111867</xdr:colOff>
      <xdr:row>474</xdr:row>
      <xdr:rowOff>142266</xdr:rowOff>
    </xdr:from>
    <xdr:to>
      <xdr:col>14</xdr:col>
      <xdr:colOff>486788</xdr:colOff>
      <xdr:row>474</xdr:row>
      <xdr:rowOff>355059</xdr:rowOff>
    </xdr:to>
    <xdr:sp macro="" textlink="">
      <xdr:nvSpPr>
        <xdr:cNvPr id="342" name="Rectangle : coins arrondis 341">
          <a:extLst>
            <a:ext uri="{FF2B5EF4-FFF2-40B4-BE49-F238E27FC236}">
              <a16:creationId xmlns:a16="http://schemas.microsoft.com/office/drawing/2014/main" id="{00000000-0008-0000-1A00-000056010000}"/>
            </a:ext>
          </a:extLst>
        </xdr:cNvPr>
        <xdr:cNvSpPr/>
      </xdr:nvSpPr>
      <xdr:spPr bwMode="auto">
        <a:xfrm>
          <a:off x="741067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121595</xdr:colOff>
      <xdr:row>474</xdr:row>
      <xdr:rowOff>141861</xdr:rowOff>
    </xdr:from>
    <xdr:to>
      <xdr:col>18</xdr:col>
      <xdr:colOff>496516</xdr:colOff>
      <xdr:row>474</xdr:row>
      <xdr:rowOff>354654</xdr:rowOff>
    </xdr:to>
    <xdr:sp macro="" textlink="">
      <xdr:nvSpPr>
        <xdr:cNvPr id="343" name="Rectangle : coins arrondis 342">
          <a:extLst>
            <a:ext uri="{FF2B5EF4-FFF2-40B4-BE49-F238E27FC236}">
              <a16:creationId xmlns:a16="http://schemas.microsoft.com/office/drawing/2014/main" id="{00000000-0008-0000-1A00-000057010000}"/>
            </a:ext>
          </a:extLst>
        </xdr:cNvPr>
        <xdr:cNvSpPr/>
      </xdr:nvSpPr>
      <xdr:spPr bwMode="auto">
        <a:xfrm>
          <a:off x="9325403"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30</xdr:col>
      <xdr:colOff>111867</xdr:colOff>
      <xdr:row>474</xdr:row>
      <xdr:rowOff>142266</xdr:rowOff>
    </xdr:from>
    <xdr:to>
      <xdr:col>30</xdr:col>
      <xdr:colOff>486788</xdr:colOff>
      <xdr:row>474</xdr:row>
      <xdr:rowOff>355059</xdr:rowOff>
    </xdr:to>
    <xdr:sp macro="" textlink="">
      <xdr:nvSpPr>
        <xdr:cNvPr id="344" name="Rectangle : coins arrondis 343">
          <a:extLst>
            <a:ext uri="{FF2B5EF4-FFF2-40B4-BE49-F238E27FC236}">
              <a16:creationId xmlns:a16="http://schemas.microsoft.com/office/drawing/2014/main" id="{00000000-0008-0000-1A00-000058010000}"/>
            </a:ext>
          </a:extLst>
        </xdr:cNvPr>
        <xdr:cNvSpPr/>
      </xdr:nvSpPr>
      <xdr:spPr bwMode="auto">
        <a:xfrm>
          <a:off x="1560660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xdr:col>
      <xdr:colOff>101330</xdr:colOff>
      <xdr:row>487</xdr:row>
      <xdr:rowOff>101329</xdr:rowOff>
    </xdr:from>
    <xdr:to>
      <xdr:col>2</xdr:col>
      <xdr:colOff>476251</xdr:colOff>
      <xdr:row>487</xdr:row>
      <xdr:rowOff>314122</xdr:rowOff>
    </xdr:to>
    <xdr:sp macro="" textlink="">
      <xdr:nvSpPr>
        <xdr:cNvPr id="345" name="Rectangle : coins arrondis 344">
          <a:extLst>
            <a:ext uri="{FF2B5EF4-FFF2-40B4-BE49-F238E27FC236}">
              <a16:creationId xmlns:a16="http://schemas.microsoft.com/office/drawing/2014/main" id="{00000000-0008-0000-1A00-000059010000}"/>
            </a:ext>
          </a:extLst>
        </xdr:cNvPr>
        <xdr:cNvSpPr/>
      </xdr:nvSpPr>
      <xdr:spPr bwMode="auto">
        <a:xfrm>
          <a:off x="1075981" y="2437900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101736</xdr:colOff>
      <xdr:row>487</xdr:row>
      <xdr:rowOff>101735</xdr:rowOff>
    </xdr:from>
    <xdr:to>
      <xdr:col>18</xdr:col>
      <xdr:colOff>476657</xdr:colOff>
      <xdr:row>487</xdr:row>
      <xdr:rowOff>314528</xdr:rowOff>
    </xdr:to>
    <xdr:sp macro="" textlink="">
      <xdr:nvSpPr>
        <xdr:cNvPr id="346" name="Rectangle : coins arrondis 345">
          <a:extLst>
            <a:ext uri="{FF2B5EF4-FFF2-40B4-BE49-F238E27FC236}">
              <a16:creationId xmlns:a16="http://schemas.microsoft.com/office/drawing/2014/main" id="{00000000-0008-0000-1A00-00005A010000}"/>
            </a:ext>
          </a:extLst>
        </xdr:cNvPr>
        <xdr:cNvSpPr/>
      </xdr:nvSpPr>
      <xdr:spPr bwMode="auto">
        <a:xfrm>
          <a:off x="9305544" y="24379409"/>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25</xdr:col>
      <xdr:colOff>470753</xdr:colOff>
      <xdr:row>465</xdr:row>
      <xdr:rowOff>211850</xdr:rowOff>
    </xdr:from>
    <xdr:ext cx="2562472" cy="1129683"/>
    <xdr:pic>
      <xdr:nvPicPr>
        <xdr:cNvPr id="347" name="Image 346">
          <a:extLst>
            <a:ext uri="{FF2B5EF4-FFF2-40B4-BE49-F238E27FC236}">
              <a16:creationId xmlns:a16="http://schemas.microsoft.com/office/drawing/2014/main" id="{00000000-0008-0000-1A00-00005B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06073" y="16315745"/>
          <a:ext cx="2562472" cy="1129683"/>
        </a:xfrm>
        <a:prstGeom prst="rect">
          <a:avLst/>
        </a:prstGeom>
      </xdr:spPr>
    </xdr:pic>
    <xdr:clientData/>
  </xdr:oneCellAnchor>
  <xdr:oneCellAnchor>
    <xdr:from>
      <xdr:col>0</xdr:col>
      <xdr:colOff>344521</xdr:colOff>
      <xdr:row>465</xdr:row>
      <xdr:rowOff>111463</xdr:rowOff>
    </xdr:from>
    <xdr:ext cx="1154630" cy="1312076"/>
    <xdr:pic>
      <xdr:nvPicPr>
        <xdr:cNvPr id="348" name="Image 1">
          <a:extLst>
            <a:ext uri="{FF2B5EF4-FFF2-40B4-BE49-F238E27FC236}">
              <a16:creationId xmlns:a16="http://schemas.microsoft.com/office/drawing/2014/main" id="{00000000-0008-0000-1A00-00005C01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818" t="8181" r="10909" b="10000"/>
        <a:stretch/>
      </xdr:blipFill>
      <xdr:spPr bwMode="auto">
        <a:xfrm>
          <a:off x="344521" y="16215358"/>
          <a:ext cx="1154630" cy="1312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415854</xdr:colOff>
      <xdr:row>497</xdr:row>
      <xdr:rowOff>299437</xdr:rowOff>
    </xdr:from>
    <xdr:ext cx="1701213" cy="1009172"/>
    <xdr:pic>
      <xdr:nvPicPr>
        <xdr:cNvPr id="349" name="Image 348">
          <a:extLst>
            <a:ext uri="{FF2B5EF4-FFF2-40B4-BE49-F238E27FC236}">
              <a16:creationId xmlns:a16="http://schemas.microsoft.com/office/drawing/2014/main" id="{00000000-0008-0000-1A00-00005D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27104" y="17555193"/>
          <a:ext cx="1701213" cy="1009172"/>
        </a:xfrm>
        <a:prstGeom prst="rect">
          <a:avLst/>
        </a:prstGeom>
      </xdr:spPr>
    </xdr:pic>
    <xdr:clientData/>
  </xdr:oneCellAnchor>
  <xdr:twoCellAnchor>
    <xdr:from>
      <xdr:col>2</xdr:col>
      <xdr:colOff>121595</xdr:colOff>
      <xdr:row>503</xdr:row>
      <xdr:rowOff>141861</xdr:rowOff>
    </xdr:from>
    <xdr:to>
      <xdr:col>2</xdr:col>
      <xdr:colOff>496516</xdr:colOff>
      <xdr:row>503</xdr:row>
      <xdr:rowOff>354654</xdr:rowOff>
    </xdr:to>
    <xdr:sp macro="" textlink="">
      <xdr:nvSpPr>
        <xdr:cNvPr id="350" name="Rectangle : coins arrondis 349">
          <a:extLst>
            <a:ext uri="{FF2B5EF4-FFF2-40B4-BE49-F238E27FC236}">
              <a16:creationId xmlns:a16="http://schemas.microsoft.com/office/drawing/2014/main" id="{00000000-0008-0000-1A00-00005E010000}"/>
            </a:ext>
          </a:extLst>
        </xdr:cNvPr>
        <xdr:cNvSpPr/>
      </xdr:nvSpPr>
      <xdr:spPr bwMode="auto">
        <a:xfrm>
          <a:off x="1096246"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14</xdr:col>
      <xdr:colOff>111867</xdr:colOff>
      <xdr:row>503</xdr:row>
      <xdr:rowOff>142266</xdr:rowOff>
    </xdr:from>
    <xdr:to>
      <xdr:col>14</xdr:col>
      <xdr:colOff>486788</xdr:colOff>
      <xdr:row>503</xdr:row>
      <xdr:rowOff>355059</xdr:rowOff>
    </xdr:to>
    <xdr:sp macro="" textlink="">
      <xdr:nvSpPr>
        <xdr:cNvPr id="351" name="Rectangle : coins arrondis 350">
          <a:extLst>
            <a:ext uri="{FF2B5EF4-FFF2-40B4-BE49-F238E27FC236}">
              <a16:creationId xmlns:a16="http://schemas.microsoft.com/office/drawing/2014/main" id="{00000000-0008-0000-1A00-00005F010000}"/>
            </a:ext>
          </a:extLst>
        </xdr:cNvPr>
        <xdr:cNvSpPr/>
      </xdr:nvSpPr>
      <xdr:spPr bwMode="auto">
        <a:xfrm>
          <a:off x="741067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121595</xdr:colOff>
      <xdr:row>503</xdr:row>
      <xdr:rowOff>141861</xdr:rowOff>
    </xdr:from>
    <xdr:to>
      <xdr:col>18</xdr:col>
      <xdr:colOff>496516</xdr:colOff>
      <xdr:row>503</xdr:row>
      <xdr:rowOff>354654</xdr:rowOff>
    </xdr:to>
    <xdr:sp macro="" textlink="">
      <xdr:nvSpPr>
        <xdr:cNvPr id="352" name="Rectangle : coins arrondis 351">
          <a:extLst>
            <a:ext uri="{FF2B5EF4-FFF2-40B4-BE49-F238E27FC236}">
              <a16:creationId xmlns:a16="http://schemas.microsoft.com/office/drawing/2014/main" id="{00000000-0008-0000-1A00-000060010000}"/>
            </a:ext>
          </a:extLst>
        </xdr:cNvPr>
        <xdr:cNvSpPr/>
      </xdr:nvSpPr>
      <xdr:spPr bwMode="auto">
        <a:xfrm>
          <a:off x="9325403"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30</xdr:col>
      <xdr:colOff>111867</xdr:colOff>
      <xdr:row>503</xdr:row>
      <xdr:rowOff>142266</xdr:rowOff>
    </xdr:from>
    <xdr:to>
      <xdr:col>30</xdr:col>
      <xdr:colOff>486788</xdr:colOff>
      <xdr:row>503</xdr:row>
      <xdr:rowOff>355059</xdr:rowOff>
    </xdr:to>
    <xdr:sp macro="" textlink="">
      <xdr:nvSpPr>
        <xdr:cNvPr id="353" name="Rectangle : coins arrondis 352">
          <a:extLst>
            <a:ext uri="{FF2B5EF4-FFF2-40B4-BE49-F238E27FC236}">
              <a16:creationId xmlns:a16="http://schemas.microsoft.com/office/drawing/2014/main" id="{00000000-0008-0000-1A00-000061010000}"/>
            </a:ext>
          </a:extLst>
        </xdr:cNvPr>
        <xdr:cNvSpPr/>
      </xdr:nvSpPr>
      <xdr:spPr bwMode="auto">
        <a:xfrm>
          <a:off x="1560660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xdr:col>
      <xdr:colOff>101330</xdr:colOff>
      <xdr:row>516</xdr:row>
      <xdr:rowOff>101329</xdr:rowOff>
    </xdr:from>
    <xdr:to>
      <xdr:col>2</xdr:col>
      <xdr:colOff>476251</xdr:colOff>
      <xdr:row>516</xdr:row>
      <xdr:rowOff>314122</xdr:rowOff>
    </xdr:to>
    <xdr:sp macro="" textlink="">
      <xdr:nvSpPr>
        <xdr:cNvPr id="354" name="Rectangle : coins arrondis 353">
          <a:extLst>
            <a:ext uri="{FF2B5EF4-FFF2-40B4-BE49-F238E27FC236}">
              <a16:creationId xmlns:a16="http://schemas.microsoft.com/office/drawing/2014/main" id="{00000000-0008-0000-1A00-000062010000}"/>
            </a:ext>
          </a:extLst>
        </xdr:cNvPr>
        <xdr:cNvSpPr/>
      </xdr:nvSpPr>
      <xdr:spPr bwMode="auto">
        <a:xfrm>
          <a:off x="1075981" y="2437900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101736</xdr:colOff>
      <xdr:row>516</xdr:row>
      <xdr:rowOff>101735</xdr:rowOff>
    </xdr:from>
    <xdr:to>
      <xdr:col>18</xdr:col>
      <xdr:colOff>476657</xdr:colOff>
      <xdr:row>516</xdr:row>
      <xdr:rowOff>314528</xdr:rowOff>
    </xdr:to>
    <xdr:sp macro="" textlink="">
      <xdr:nvSpPr>
        <xdr:cNvPr id="355" name="Rectangle : coins arrondis 354">
          <a:extLst>
            <a:ext uri="{FF2B5EF4-FFF2-40B4-BE49-F238E27FC236}">
              <a16:creationId xmlns:a16="http://schemas.microsoft.com/office/drawing/2014/main" id="{00000000-0008-0000-1A00-000063010000}"/>
            </a:ext>
          </a:extLst>
        </xdr:cNvPr>
        <xdr:cNvSpPr/>
      </xdr:nvSpPr>
      <xdr:spPr bwMode="auto">
        <a:xfrm>
          <a:off x="9305544" y="24379409"/>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25</xdr:col>
      <xdr:colOff>470753</xdr:colOff>
      <xdr:row>494</xdr:row>
      <xdr:rowOff>211850</xdr:rowOff>
    </xdr:from>
    <xdr:ext cx="2562472" cy="1129683"/>
    <xdr:pic>
      <xdr:nvPicPr>
        <xdr:cNvPr id="356" name="Image 355">
          <a:extLst>
            <a:ext uri="{FF2B5EF4-FFF2-40B4-BE49-F238E27FC236}">
              <a16:creationId xmlns:a16="http://schemas.microsoft.com/office/drawing/2014/main" id="{00000000-0008-0000-1A00-000064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06073" y="16315745"/>
          <a:ext cx="2562472" cy="1129683"/>
        </a:xfrm>
        <a:prstGeom prst="rect">
          <a:avLst/>
        </a:prstGeom>
      </xdr:spPr>
    </xdr:pic>
    <xdr:clientData/>
  </xdr:oneCellAnchor>
  <xdr:oneCellAnchor>
    <xdr:from>
      <xdr:col>0</xdr:col>
      <xdr:colOff>344521</xdr:colOff>
      <xdr:row>494</xdr:row>
      <xdr:rowOff>111463</xdr:rowOff>
    </xdr:from>
    <xdr:ext cx="1154630" cy="1312076"/>
    <xdr:pic>
      <xdr:nvPicPr>
        <xdr:cNvPr id="357" name="Image 1">
          <a:extLst>
            <a:ext uri="{FF2B5EF4-FFF2-40B4-BE49-F238E27FC236}">
              <a16:creationId xmlns:a16="http://schemas.microsoft.com/office/drawing/2014/main" id="{00000000-0008-0000-1A00-00006501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818" t="8181" r="10909" b="10000"/>
        <a:stretch/>
      </xdr:blipFill>
      <xdr:spPr bwMode="auto">
        <a:xfrm>
          <a:off x="344521" y="16215358"/>
          <a:ext cx="1154630" cy="1312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415854</xdr:colOff>
      <xdr:row>526</xdr:row>
      <xdr:rowOff>299437</xdr:rowOff>
    </xdr:from>
    <xdr:ext cx="1701213" cy="1009172"/>
    <xdr:pic>
      <xdr:nvPicPr>
        <xdr:cNvPr id="358" name="Image 357">
          <a:extLst>
            <a:ext uri="{FF2B5EF4-FFF2-40B4-BE49-F238E27FC236}">
              <a16:creationId xmlns:a16="http://schemas.microsoft.com/office/drawing/2014/main" id="{00000000-0008-0000-1A00-000066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27104" y="17555193"/>
          <a:ext cx="1701213" cy="1009172"/>
        </a:xfrm>
        <a:prstGeom prst="rect">
          <a:avLst/>
        </a:prstGeom>
      </xdr:spPr>
    </xdr:pic>
    <xdr:clientData/>
  </xdr:oneCellAnchor>
  <xdr:twoCellAnchor>
    <xdr:from>
      <xdr:col>2</xdr:col>
      <xdr:colOff>121595</xdr:colOff>
      <xdr:row>532</xdr:row>
      <xdr:rowOff>141861</xdr:rowOff>
    </xdr:from>
    <xdr:to>
      <xdr:col>2</xdr:col>
      <xdr:colOff>496516</xdr:colOff>
      <xdr:row>532</xdr:row>
      <xdr:rowOff>354654</xdr:rowOff>
    </xdr:to>
    <xdr:sp macro="" textlink="">
      <xdr:nvSpPr>
        <xdr:cNvPr id="359" name="Rectangle : coins arrondis 358">
          <a:extLst>
            <a:ext uri="{FF2B5EF4-FFF2-40B4-BE49-F238E27FC236}">
              <a16:creationId xmlns:a16="http://schemas.microsoft.com/office/drawing/2014/main" id="{00000000-0008-0000-1A00-000067010000}"/>
            </a:ext>
          </a:extLst>
        </xdr:cNvPr>
        <xdr:cNvSpPr/>
      </xdr:nvSpPr>
      <xdr:spPr bwMode="auto">
        <a:xfrm>
          <a:off x="1096246"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14</xdr:col>
      <xdr:colOff>111867</xdr:colOff>
      <xdr:row>532</xdr:row>
      <xdr:rowOff>142266</xdr:rowOff>
    </xdr:from>
    <xdr:to>
      <xdr:col>14</xdr:col>
      <xdr:colOff>486788</xdr:colOff>
      <xdr:row>532</xdr:row>
      <xdr:rowOff>355059</xdr:rowOff>
    </xdr:to>
    <xdr:sp macro="" textlink="">
      <xdr:nvSpPr>
        <xdr:cNvPr id="360" name="Rectangle : coins arrondis 359">
          <a:extLst>
            <a:ext uri="{FF2B5EF4-FFF2-40B4-BE49-F238E27FC236}">
              <a16:creationId xmlns:a16="http://schemas.microsoft.com/office/drawing/2014/main" id="{00000000-0008-0000-1A00-000068010000}"/>
            </a:ext>
          </a:extLst>
        </xdr:cNvPr>
        <xdr:cNvSpPr/>
      </xdr:nvSpPr>
      <xdr:spPr bwMode="auto">
        <a:xfrm>
          <a:off x="741067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121595</xdr:colOff>
      <xdr:row>532</xdr:row>
      <xdr:rowOff>141861</xdr:rowOff>
    </xdr:from>
    <xdr:to>
      <xdr:col>18</xdr:col>
      <xdr:colOff>496516</xdr:colOff>
      <xdr:row>532</xdr:row>
      <xdr:rowOff>354654</xdr:rowOff>
    </xdr:to>
    <xdr:sp macro="" textlink="">
      <xdr:nvSpPr>
        <xdr:cNvPr id="361" name="Rectangle : coins arrondis 360">
          <a:extLst>
            <a:ext uri="{FF2B5EF4-FFF2-40B4-BE49-F238E27FC236}">
              <a16:creationId xmlns:a16="http://schemas.microsoft.com/office/drawing/2014/main" id="{00000000-0008-0000-1A00-000069010000}"/>
            </a:ext>
          </a:extLst>
        </xdr:cNvPr>
        <xdr:cNvSpPr/>
      </xdr:nvSpPr>
      <xdr:spPr bwMode="auto">
        <a:xfrm>
          <a:off x="9325403"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30</xdr:col>
      <xdr:colOff>111867</xdr:colOff>
      <xdr:row>532</xdr:row>
      <xdr:rowOff>142266</xdr:rowOff>
    </xdr:from>
    <xdr:to>
      <xdr:col>30</xdr:col>
      <xdr:colOff>486788</xdr:colOff>
      <xdr:row>532</xdr:row>
      <xdr:rowOff>355059</xdr:rowOff>
    </xdr:to>
    <xdr:sp macro="" textlink="">
      <xdr:nvSpPr>
        <xdr:cNvPr id="362" name="Rectangle : coins arrondis 361">
          <a:extLst>
            <a:ext uri="{FF2B5EF4-FFF2-40B4-BE49-F238E27FC236}">
              <a16:creationId xmlns:a16="http://schemas.microsoft.com/office/drawing/2014/main" id="{00000000-0008-0000-1A00-00006A010000}"/>
            </a:ext>
          </a:extLst>
        </xdr:cNvPr>
        <xdr:cNvSpPr/>
      </xdr:nvSpPr>
      <xdr:spPr bwMode="auto">
        <a:xfrm>
          <a:off x="1560660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xdr:col>
      <xdr:colOff>101330</xdr:colOff>
      <xdr:row>545</xdr:row>
      <xdr:rowOff>101329</xdr:rowOff>
    </xdr:from>
    <xdr:to>
      <xdr:col>2</xdr:col>
      <xdr:colOff>476251</xdr:colOff>
      <xdr:row>545</xdr:row>
      <xdr:rowOff>314122</xdr:rowOff>
    </xdr:to>
    <xdr:sp macro="" textlink="">
      <xdr:nvSpPr>
        <xdr:cNvPr id="363" name="Rectangle : coins arrondis 362">
          <a:extLst>
            <a:ext uri="{FF2B5EF4-FFF2-40B4-BE49-F238E27FC236}">
              <a16:creationId xmlns:a16="http://schemas.microsoft.com/office/drawing/2014/main" id="{00000000-0008-0000-1A00-00006B010000}"/>
            </a:ext>
          </a:extLst>
        </xdr:cNvPr>
        <xdr:cNvSpPr/>
      </xdr:nvSpPr>
      <xdr:spPr bwMode="auto">
        <a:xfrm>
          <a:off x="1075981" y="2437900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101736</xdr:colOff>
      <xdr:row>545</xdr:row>
      <xdr:rowOff>101735</xdr:rowOff>
    </xdr:from>
    <xdr:to>
      <xdr:col>18</xdr:col>
      <xdr:colOff>476657</xdr:colOff>
      <xdr:row>545</xdr:row>
      <xdr:rowOff>314528</xdr:rowOff>
    </xdr:to>
    <xdr:sp macro="" textlink="">
      <xdr:nvSpPr>
        <xdr:cNvPr id="364" name="Rectangle : coins arrondis 363">
          <a:extLst>
            <a:ext uri="{FF2B5EF4-FFF2-40B4-BE49-F238E27FC236}">
              <a16:creationId xmlns:a16="http://schemas.microsoft.com/office/drawing/2014/main" id="{00000000-0008-0000-1A00-00006C010000}"/>
            </a:ext>
          </a:extLst>
        </xdr:cNvPr>
        <xdr:cNvSpPr/>
      </xdr:nvSpPr>
      <xdr:spPr bwMode="auto">
        <a:xfrm>
          <a:off x="9305544" y="24379409"/>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25</xdr:col>
      <xdr:colOff>470753</xdr:colOff>
      <xdr:row>523</xdr:row>
      <xdr:rowOff>211850</xdr:rowOff>
    </xdr:from>
    <xdr:ext cx="2562472" cy="1129683"/>
    <xdr:pic>
      <xdr:nvPicPr>
        <xdr:cNvPr id="365" name="Image 364">
          <a:extLst>
            <a:ext uri="{FF2B5EF4-FFF2-40B4-BE49-F238E27FC236}">
              <a16:creationId xmlns:a16="http://schemas.microsoft.com/office/drawing/2014/main" id="{00000000-0008-0000-1A00-00006D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06073" y="16315745"/>
          <a:ext cx="2562472" cy="1129683"/>
        </a:xfrm>
        <a:prstGeom prst="rect">
          <a:avLst/>
        </a:prstGeom>
      </xdr:spPr>
    </xdr:pic>
    <xdr:clientData/>
  </xdr:oneCellAnchor>
  <xdr:oneCellAnchor>
    <xdr:from>
      <xdr:col>0</xdr:col>
      <xdr:colOff>344521</xdr:colOff>
      <xdr:row>523</xdr:row>
      <xdr:rowOff>111463</xdr:rowOff>
    </xdr:from>
    <xdr:ext cx="1154630" cy="1312076"/>
    <xdr:pic>
      <xdr:nvPicPr>
        <xdr:cNvPr id="366" name="Image 1">
          <a:extLst>
            <a:ext uri="{FF2B5EF4-FFF2-40B4-BE49-F238E27FC236}">
              <a16:creationId xmlns:a16="http://schemas.microsoft.com/office/drawing/2014/main" id="{00000000-0008-0000-1A00-00006E01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818" t="8181" r="10909" b="10000"/>
        <a:stretch/>
      </xdr:blipFill>
      <xdr:spPr bwMode="auto">
        <a:xfrm>
          <a:off x="344521" y="16215358"/>
          <a:ext cx="1154630" cy="1312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415854</xdr:colOff>
      <xdr:row>555</xdr:row>
      <xdr:rowOff>299437</xdr:rowOff>
    </xdr:from>
    <xdr:ext cx="1701213" cy="1009172"/>
    <xdr:pic>
      <xdr:nvPicPr>
        <xdr:cNvPr id="367" name="Image 366">
          <a:extLst>
            <a:ext uri="{FF2B5EF4-FFF2-40B4-BE49-F238E27FC236}">
              <a16:creationId xmlns:a16="http://schemas.microsoft.com/office/drawing/2014/main" id="{00000000-0008-0000-1A00-00006F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27104" y="17555193"/>
          <a:ext cx="1701213" cy="1009172"/>
        </a:xfrm>
        <a:prstGeom prst="rect">
          <a:avLst/>
        </a:prstGeom>
      </xdr:spPr>
    </xdr:pic>
    <xdr:clientData/>
  </xdr:oneCellAnchor>
  <xdr:twoCellAnchor>
    <xdr:from>
      <xdr:col>2</xdr:col>
      <xdr:colOff>121595</xdr:colOff>
      <xdr:row>561</xdr:row>
      <xdr:rowOff>141861</xdr:rowOff>
    </xdr:from>
    <xdr:to>
      <xdr:col>2</xdr:col>
      <xdr:colOff>496516</xdr:colOff>
      <xdr:row>561</xdr:row>
      <xdr:rowOff>354654</xdr:rowOff>
    </xdr:to>
    <xdr:sp macro="" textlink="">
      <xdr:nvSpPr>
        <xdr:cNvPr id="368" name="Rectangle : coins arrondis 367">
          <a:extLst>
            <a:ext uri="{FF2B5EF4-FFF2-40B4-BE49-F238E27FC236}">
              <a16:creationId xmlns:a16="http://schemas.microsoft.com/office/drawing/2014/main" id="{00000000-0008-0000-1A00-000070010000}"/>
            </a:ext>
          </a:extLst>
        </xdr:cNvPr>
        <xdr:cNvSpPr/>
      </xdr:nvSpPr>
      <xdr:spPr bwMode="auto">
        <a:xfrm>
          <a:off x="1096246"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14</xdr:col>
      <xdr:colOff>111867</xdr:colOff>
      <xdr:row>561</xdr:row>
      <xdr:rowOff>142266</xdr:rowOff>
    </xdr:from>
    <xdr:to>
      <xdr:col>14</xdr:col>
      <xdr:colOff>486788</xdr:colOff>
      <xdr:row>561</xdr:row>
      <xdr:rowOff>355059</xdr:rowOff>
    </xdr:to>
    <xdr:sp macro="" textlink="">
      <xdr:nvSpPr>
        <xdr:cNvPr id="369" name="Rectangle : coins arrondis 368">
          <a:extLst>
            <a:ext uri="{FF2B5EF4-FFF2-40B4-BE49-F238E27FC236}">
              <a16:creationId xmlns:a16="http://schemas.microsoft.com/office/drawing/2014/main" id="{00000000-0008-0000-1A00-000071010000}"/>
            </a:ext>
          </a:extLst>
        </xdr:cNvPr>
        <xdr:cNvSpPr/>
      </xdr:nvSpPr>
      <xdr:spPr bwMode="auto">
        <a:xfrm>
          <a:off x="741067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121595</xdr:colOff>
      <xdr:row>561</xdr:row>
      <xdr:rowOff>141861</xdr:rowOff>
    </xdr:from>
    <xdr:to>
      <xdr:col>18</xdr:col>
      <xdr:colOff>496516</xdr:colOff>
      <xdr:row>561</xdr:row>
      <xdr:rowOff>354654</xdr:rowOff>
    </xdr:to>
    <xdr:sp macro="" textlink="">
      <xdr:nvSpPr>
        <xdr:cNvPr id="370" name="Rectangle : coins arrondis 369">
          <a:extLst>
            <a:ext uri="{FF2B5EF4-FFF2-40B4-BE49-F238E27FC236}">
              <a16:creationId xmlns:a16="http://schemas.microsoft.com/office/drawing/2014/main" id="{00000000-0008-0000-1A00-000072010000}"/>
            </a:ext>
          </a:extLst>
        </xdr:cNvPr>
        <xdr:cNvSpPr/>
      </xdr:nvSpPr>
      <xdr:spPr bwMode="auto">
        <a:xfrm>
          <a:off x="9325403"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30</xdr:col>
      <xdr:colOff>111867</xdr:colOff>
      <xdr:row>561</xdr:row>
      <xdr:rowOff>142266</xdr:rowOff>
    </xdr:from>
    <xdr:to>
      <xdr:col>30</xdr:col>
      <xdr:colOff>486788</xdr:colOff>
      <xdr:row>561</xdr:row>
      <xdr:rowOff>355059</xdr:rowOff>
    </xdr:to>
    <xdr:sp macro="" textlink="">
      <xdr:nvSpPr>
        <xdr:cNvPr id="371" name="Rectangle : coins arrondis 370">
          <a:extLst>
            <a:ext uri="{FF2B5EF4-FFF2-40B4-BE49-F238E27FC236}">
              <a16:creationId xmlns:a16="http://schemas.microsoft.com/office/drawing/2014/main" id="{00000000-0008-0000-1A00-000073010000}"/>
            </a:ext>
          </a:extLst>
        </xdr:cNvPr>
        <xdr:cNvSpPr/>
      </xdr:nvSpPr>
      <xdr:spPr bwMode="auto">
        <a:xfrm>
          <a:off x="1560660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xdr:col>
      <xdr:colOff>101330</xdr:colOff>
      <xdr:row>574</xdr:row>
      <xdr:rowOff>101329</xdr:rowOff>
    </xdr:from>
    <xdr:to>
      <xdr:col>2</xdr:col>
      <xdr:colOff>476251</xdr:colOff>
      <xdr:row>574</xdr:row>
      <xdr:rowOff>314122</xdr:rowOff>
    </xdr:to>
    <xdr:sp macro="" textlink="">
      <xdr:nvSpPr>
        <xdr:cNvPr id="372" name="Rectangle : coins arrondis 371">
          <a:extLst>
            <a:ext uri="{FF2B5EF4-FFF2-40B4-BE49-F238E27FC236}">
              <a16:creationId xmlns:a16="http://schemas.microsoft.com/office/drawing/2014/main" id="{00000000-0008-0000-1A00-000074010000}"/>
            </a:ext>
          </a:extLst>
        </xdr:cNvPr>
        <xdr:cNvSpPr/>
      </xdr:nvSpPr>
      <xdr:spPr bwMode="auto">
        <a:xfrm>
          <a:off x="1075981" y="2437900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101736</xdr:colOff>
      <xdr:row>574</xdr:row>
      <xdr:rowOff>101735</xdr:rowOff>
    </xdr:from>
    <xdr:to>
      <xdr:col>18</xdr:col>
      <xdr:colOff>476657</xdr:colOff>
      <xdr:row>574</xdr:row>
      <xdr:rowOff>314528</xdr:rowOff>
    </xdr:to>
    <xdr:sp macro="" textlink="">
      <xdr:nvSpPr>
        <xdr:cNvPr id="373" name="Rectangle : coins arrondis 372">
          <a:extLst>
            <a:ext uri="{FF2B5EF4-FFF2-40B4-BE49-F238E27FC236}">
              <a16:creationId xmlns:a16="http://schemas.microsoft.com/office/drawing/2014/main" id="{00000000-0008-0000-1A00-000075010000}"/>
            </a:ext>
          </a:extLst>
        </xdr:cNvPr>
        <xdr:cNvSpPr/>
      </xdr:nvSpPr>
      <xdr:spPr bwMode="auto">
        <a:xfrm>
          <a:off x="9305544" y="24379409"/>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25</xdr:col>
      <xdr:colOff>470753</xdr:colOff>
      <xdr:row>552</xdr:row>
      <xdr:rowOff>211850</xdr:rowOff>
    </xdr:from>
    <xdr:ext cx="2562472" cy="1129683"/>
    <xdr:pic>
      <xdr:nvPicPr>
        <xdr:cNvPr id="374" name="Image 373">
          <a:extLst>
            <a:ext uri="{FF2B5EF4-FFF2-40B4-BE49-F238E27FC236}">
              <a16:creationId xmlns:a16="http://schemas.microsoft.com/office/drawing/2014/main" id="{00000000-0008-0000-1A00-000076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06073" y="16315745"/>
          <a:ext cx="2562472" cy="1129683"/>
        </a:xfrm>
        <a:prstGeom prst="rect">
          <a:avLst/>
        </a:prstGeom>
      </xdr:spPr>
    </xdr:pic>
    <xdr:clientData/>
  </xdr:oneCellAnchor>
  <xdr:oneCellAnchor>
    <xdr:from>
      <xdr:col>0</xdr:col>
      <xdr:colOff>344521</xdr:colOff>
      <xdr:row>552</xdr:row>
      <xdr:rowOff>111463</xdr:rowOff>
    </xdr:from>
    <xdr:ext cx="1154630" cy="1312076"/>
    <xdr:pic>
      <xdr:nvPicPr>
        <xdr:cNvPr id="375" name="Image 1">
          <a:extLst>
            <a:ext uri="{FF2B5EF4-FFF2-40B4-BE49-F238E27FC236}">
              <a16:creationId xmlns:a16="http://schemas.microsoft.com/office/drawing/2014/main" id="{00000000-0008-0000-1A00-00007701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818" t="8181" r="10909" b="10000"/>
        <a:stretch/>
      </xdr:blipFill>
      <xdr:spPr bwMode="auto">
        <a:xfrm>
          <a:off x="344521" y="16215358"/>
          <a:ext cx="1154630" cy="1312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415854</xdr:colOff>
      <xdr:row>584</xdr:row>
      <xdr:rowOff>299437</xdr:rowOff>
    </xdr:from>
    <xdr:ext cx="1701213" cy="1009172"/>
    <xdr:pic>
      <xdr:nvPicPr>
        <xdr:cNvPr id="376" name="Image 375">
          <a:extLst>
            <a:ext uri="{FF2B5EF4-FFF2-40B4-BE49-F238E27FC236}">
              <a16:creationId xmlns:a16="http://schemas.microsoft.com/office/drawing/2014/main" id="{00000000-0008-0000-1A00-000078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27104" y="17555193"/>
          <a:ext cx="1701213" cy="1009172"/>
        </a:xfrm>
        <a:prstGeom prst="rect">
          <a:avLst/>
        </a:prstGeom>
      </xdr:spPr>
    </xdr:pic>
    <xdr:clientData/>
  </xdr:oneCellAnchor>
  <xdr:twoCellAnchor>
    <xdr:from>
      <xdr:col>2</xdr:col>
      <xdr:colOff>121595</xdr:colOff>
      <xdr:row>590</xdr:row>
      <xdr:rowOff>141861</xdr:rowOff>
    </xdr:from>
    <xdr:to>
      <xdr:col>2</xdr:col>
      <xdr:colOff>496516</xdr:colOff>
      <xdr:row>590</xdr:row>
      <xdr:rowOff>354654</xdr:rowOff>
    </xdr:to>
    <xdr:sp macro="" textlink="">
      <xdr:nvSpPr>
        <xdr:cNvPr id="377" name="Rectangle : coins arrondis 376">
          <a:extLst>
            <a:ext uri="{FF2B5EF4-FFF2-40B4-BE49-F238E27FC236}">
              <a16:creationId xmlns:a16="http://schemas.microsoft.com/office/drawing/2014/main" id="{00000000-0008-0000-1A00-000079010000}"/>
            </a:ext>
          </a:extLst>
        </xdr:cNvPr>
        <xdr:cNvSpPr/>
      </xdr:nvSpPr>
      <xdr:spPr bwMode="auto">
        <a:xfrm>
          <a:off x="1096246"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14</xdr:col>
      <xdr:colOff>111867</xdr:colOff>
      <xdr:row>590</xdr:row>
      <xdr:rowOff>142266</xdr:rowOff>
    </xdr:from>
    <xdr:to>
      <xdr:col>14</xdr:col>
      <xdr:colOff>486788</xdr:colOff>
      <xdr:row>590</xdr:row>
      <xdr:rowOff>355059</xdr:rowOff>
    </xdr:to>
    <xdr:sp macro="" textlink="">
      <xdr:nvSpPr>
        <xdr:cNvPr id="378" name="Rectangle : coins arrondis 377">
          <a:extLst>
            <a:ext uri="{FF2B5EF4-FFF2-40B4-BE49-F238E27FC236}">
              <a16:creationId xmlns:a16="http://schemas.microsoft.com/office/drawing/2014/main" id="{00000000-0008-0000-1A00-00007A010000}"/>
            </a:ext>
          </a:extLst>
        </xdr:cNvPr>
        <xdr:cNvSpPr/>
      </xdr:nvSpPr>
      <xdr:spPr bwMode="auto">
        <a:xfrm>
          <a:off x="741067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121595</xdr:colOff>
      <xdr:row>590</xdr:row>
      <xdr:rowOff>141861</xdr:rowOff>
    </xdr:from>
    <xdr:to>
      <xdr:col>18</xdr:col>
      <xdr:colOff>496516</xdr:colOff>
      <xdr:row>590</xdr:row>
      <xdr:rowOff>354654</xdr:rowOff>
    </xdr:to>
    <xdr:sp macro="" textlink="">
      <xdr:nvSpPr>
        <xdr:cNvPr id="379" name="Rectangle : coins arrondis 378">
          <a:extLst>
            <a:ext uri="{FF2B5EF4-FFF2-40B4-BE49-F238E27FC236}">
              <a16:creationId xmlns:a16="http://schemas.microsoft.com/office/drawing/2014/main" id="{00000000-0008-0000-1A00-00007B010000}"/>
            </a:ext>
          </a:extLst>
        </xdr:cNvPr>
        <xdr:cNvSpPr/>
      </xdr:nvSpPr>
      <xdr:spPr bwMode="auto">
        <a:xfrm>
          <a:off x="9325403"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30</xdr:col>
      <xdr:colOff>111867</xdr:colOff>
      <xdr:row>590</xdr:row>
      <xdr:rowOff>142266</xdr:rowOff>
    </xdr:from>
    <xdr:to>
      <xdr:col>30</xdr:col>
      <xdr:colOff>486788</xdr:colOff>
      <xdr:row>590</xdr:row>
      <xdr:rowOff>355059</xdr:rowOff>
    </xdr:to>
    <xdr:sp macro="" textlink="">
      <xdr:nvSpPr>
        <xdr:cNvPr id="380" name="Rectangle : coins arrondis 379">
          <a:extLst>
            <a:ext uri="{FF2B5EF4-FFF2-40B4-BE49-F238E27FC236}">
              <a16:creationId xmlns:a16="http://schemas.microsoft.com/office/drawing/2014/main" id="{00000000-0008-0000-1A00-00007C010000}"/>
            </a:ext>
          </a:extLst>
        </xdr:cNvPr>
        <xdr:cNvSpPr/>
      </xdr:nvSpPr>
      <xdr:spPr bwMode="auto">
        <a:xfrm>
          <a:off x="1560660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xdr:col>
      <xdr:colOff>101330</xdr:colOff>
      <xdr:row>603</xdr:row>
      <xdr:rowOff>101329</xdr:rowOff>
    </xdr:from>
    <xdr:to>
      <xdr:col>2</xdr:col>
      <xdr:colOff>476251</xdr:colOff>
      <xdr:row>603</xdr:row>
      <xdr:rowOff>314122</xdr:rowOff>
    </xdr:to>
    <xdr:sp macro="" textlink="">
      <xdr:nvSpPr>
        <xdr:cNvPr id="381" name="Rectangle : coins arrondis 380">
          <a:extLst>
            <a:ext uri="{FF2B5EF4-FFF2-40B4-BE49-F238E27FC236}">
              <a16:creationId xmlns:a16="http://schemas.microsoft.com/office/drawing/2014/main" id="{00000000-0008-0000-1A00-00007D010000}"/>
            </a:ext>
          </a:extLst>
        </xdr:cNvPr>
        <xdr:cNvSpPr/>
      </xdr:nvSpPr>
      <xdr:spPr bwMode="auto">
        <a:xfrm>
          <a:off x="1075981" y="2437900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101736</xdr:colOff>
      <xdr:row>603</xdr:row>
      <xdr:rowOff>101735</xdr:rowOff>
    </xdr:from>
    <xdr:to>
      <xdr:col>18</xdr:col>
      <xdr:colOff>476657</xdr:colOff>
      <xdr:row>603</xdr:row>
      <xdr:rowOff>314528</xdr:rowOff>
    </xdr:to>
    <xdr:sp macro="" textlink="">
      <xdr:nvSpPr>
        <xdr:cNvPr id="382" name="Rectangle : coins arrondis 381">
          <a:extLst>
            <a:ext uri="{FF2B5EF4-FFF2-40B4-BE49-F238E27FC236}">
              <a16:creationId xmlns:a16="http://schemas.microsoft.com/office/drawing/2014/main" id="{00000000-0008-0000-1A00-00007E010000}"/>
            </a:ext>
          </a:extLst>
        </xdr:cNvPr>
        <xdr:cNvSpPr/>
      </xdr:nvSpPr>
      <xdr:spPr bwMode="auto">
        <a:xfrm>
          <a:off x="9305544" y="24379409"/>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25</xdr:col>
      <xdr:colOff>470753</xdr:colOff>
      <xdr:row>581</xdr:row>
      <xdr:rowOff>211850</xdr:rowOff>
    </xdr:from>
    <xdr:ext cx="2562472" cy="1129683"/>
    <xdr:pic>
      <xdr:nvPicPr>
        <xdr:cNvPr id="383" name="Image 382">
          <a:extLst>
            <a:ext uri="{FF2B5EF4-FFF2-40B4-BE49-F238E27FC236}">
              <a16:creationId xmlns:a16="http://schemas.microsoft.com/office/drawing/2014/main" id="{00000000-0008-0000-1A00-00007F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06073" y="16315745"/>
          <a:ext cx="2562472" cy="1129683"/>
        </a:xfrm>
        <a:prstGeom prst="rect">
          <a:avLst/>
        </a:prstGeom>
      </xdr:spPr>
    </xdr:pic>
    <xdr:clientData/>
  </xdr:oneCellAnchor>
  <xdr:oneCellAnchor>
    <xdr:from>
      <xdr:col>0</xdr:col>
      <xdr:colOff>344521</xdr:colOff>
      <xdr:row>581</xdr:row>
      <xdr:rowOff>111463</xdr:rowOff>
    </xdr:from>
    <xdr:ext cx="1154630" cy="1312076"/>
    <xdr:pic>
      <xdr:nvPicPr>
        <xdr:cNvPr id="384" name="Image 1">
          <a:extLst>
            <a:ext uri="{FF2B5EF4-FFF2-40B4-BE49-F238E27FC236}">
              <a16:creationId xmlns:a16="http://schemas.microsoft.com/office/drawing/2014/main" id="{00000000-0008-0000-1A00-00008001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818" t="8181" r="10909" b="10000"/>
        <a:stretch/>
      </xdr:blipFill>
      <xdr:spPr bwMode="auto">
        <a:xfrm>
          <a:off x="344521" y="16215358"/>
          <a:ext cx="1154630" cy="1312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415854</xdr:colOff>
      <xdr:row>613</xdr:row>
      <xdr:rowOff>299437</xdr:rowOff>
    </xdr:from>
    <xdr:ext cx="1701213" cy="1009172"/>
    <xdr:pic>
      <xdr:nvPicPr>
        <xdr:cNvPr id="385" name="Image 384">
          <a:extLst>
            <a:ext uri="{FF2B5EF4-FFF2-40B4-BE49-F238E27FC236}">
              <a16:creationId xmlns:a16="http://schemas.microsoft.com/office/drawing/2014/main" id="{00000000-0008-0000-1A00-000081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27104" y="17555193"/>
          <a:ext cx="1701213" cy="1009172"/>
        </a:xfrm>
        <a:prstGeom prst="rect">
          <a:avLst/>
        </a:prstGeom>
      </xdr:spPr>
    </xdr:pic>
    <xdr:clientData/>
  </xdr:oneCellAnchor>
  <xdr:twoCellAnchor>
    <xdr:from>
      <xdr:col>2</xdr:col>
      <xdr:colOff>121595</xdr:colOff>
      <xdr:row>619</xdr:row>
      <xdr:rowOff>141861</xdr:rowOff>
    </xdr:from>
    <xdr:to>
      <xdr:col>2</xdr:col>
      <xdr:colOff>496516</xdr:colOff>
      <xdr:row>619</xdr:row>
      <xdr:rowOff>354654</xdr:rowOff>
    </xdr:to>
    <xdr:sp macro="" textlink="">
      <xdr:nvSpPr>
        <xdr:cNvPr id="386" name="Rectangle : coins arrondis 385">
          <a:extLst>
            <a:ext uri="{FF2B5EF4-FFF2-40B4-BE49-F238E27FC236}">
              <a16:creationId xmlns:a16="http://schemas.microsoft.com/office/drawing/2014/main" id="{00000000-0008-0000-1A00-000082010000}"/>
            </a:ext>
          </a:extLst>
        </xdr:cNvPr>
        <xdr:cNvSpPr/>
      </xdr:nvSpPr>
      <xdr:spPr bwMode="auto">
        <a:xfrm>
          <a:off x="1096246"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14</xdr:col>
      <xdr:colOff>111867</xdr:colOff>
      <xdr:row>619</xdr:row>
      <xdr:rowOff>142266</xdr:rowOff>
    </xdr:from>
    <xdr:to>
      <xdr:col>14</xdr:col>
      <xdr:colOff>486788</xdr:colOff>
      <xdr:row>619</xdr:row>
      <xdr:rowOff>355059</xdr:rowOff>
    </xdr:to>
    <xdr:sp macro="" textlink="">
      <xdr:nvSpPr>
        <xdr:cNvPr id="387" name="Rectangle : coins arrondis 386">
          <a:extLst>
            <a:ext uri="{FF2B5EF4-FFF2-40B4-BE49-F238E27FC236}">
              <a16:creationId xmlns:a16="http://schemas.microsoft.com/office/drawing/2014/main" id="{00000000-0008-0000-1A00-000083010000}"/>
            </a:ext>
          </a:extLst>
        </xdr:cNvPr>
        <xdr:cNvSpPr/>
      </xdr:nvSpPr>
      <xdr:spPr bwMode="auto">
        <a:xfrm>
          <a:off x="741067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121595</xdr:colOff>
      <xdr:row>619</xdr:row>
      <xdr:rowOff>141861</xdr:rowOff>
    </xdr:from>
    <xdr:to>
      <xdr:col>18</xdr:col>
      <xdr:colOff>496516</xdr:colOff>
      <xdr:row>619</xdr:row>
      <xdr:rowOff>354654</xdr:rowOff>
    </xdr:to>
    <xdr:sp macro="" textlink="">
      <xdr:nvSpPr>
        <xdr:cNvPr id="388" name="Rectangle : coins arrondis 387">
          <a:extLst>
            <a:ext uri="{FF2B5EF4-FFF2-40B4-BE49-F238E27FC236}">
              <a16:creationId xmlns:a16="http://schemas.microsoft.com/office/drawing/2014/main" id="{00000000-0008-0000-1A00-000084010000}"/>
            </a:ext>
          </a:extLst>
        </xdr:cNvPr>
        <xdr:cNvSpPr/>
      </xdr:nvSpPr>
      <xdr:spPr bwMode="auto">
        <a:xfrm>
          <a:off x="9325403"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30</xdr:col>
      <xdr:colOff>111867</xdr:colOff>
      <xdr:row>619</xdr:row>
      <xdr:rowOff>142266</xdr:rowOff>
    </xdr:from>
    <xdr:to>
      <xdr:col>30</xdr:col>
      <xdr:colOff>486788</xdr:colOff>
      <xdr:row>619</xdr:row>
      <xdr:rowOff>355059</xdr:rowOff>
    </xdr:to>
    <xdr:sp macro="" textlink="">
      <xdr:nvSpPr>
        <xdr:cNvPr id="389" name="Rectangle : coins arrondis 388">
          <a:extLst>
            <a:ext uri="{FF2B5EF4-FFF2-40B4-BE49-F238E27FC236}">
              <a16:creationId xmlns:a16="http://schemas.microsoft.com/office/drawing/2014/main" id="{00000000-0008-0000-1A00-000085010000}"/>
            </a:ext>
          </a:extLst>
        </xdr:cNvPr>
        <xdr:cNvSpPr/>
      </xdr:nvSpPr>
      <xdr:spPr bwMode="auto">
        <a:xfrm>
          <a:off x="1560660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xdr:col>
      <xdr:colOff>101330</xdr:colOff>
      <xdr:row>632</xdr:row>
      <xdr:rowOff>101329</xdr:rowOff>
    </xdr:from>
    <xdr:to>
      <xdr:col>2</xdr:col>
      <xdr:colOff>476251</xdr:colOff>
      <xdr:row>632</xdr:row>
      <xdr:rowOff>314122</xdr:rowOff>
    </xdr:to>
    <xdr:sp macro="" textlink="">
      <xdr:nvSpPr>
        <xdr:cNvPr id="390" name="Rectangle : coins arrondis 389">
          <a:extLst>
            <a:ext uri="{FF2B5EF4-FFF2-40B4-BE49-F238E27FC236}">
              <a16:creationId xmlns:a16="http://schemas.microsoft.com/office/drawing/2014/main" id="{00000000-0008-0000-1A00-000086010000}"/>
            </a:ext>
          </a:extLst>
        </xdr:cNvPr>
        <xdr:cNvSpPr/>
      </xdr:nvSpPr>
      <xdr:spPr bwMode="auto">
        <a:xfrm>
          <a:off x="1075981" y="2437900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101736</xdr:colOff>
      <xdr:row>632</xdr:row>
      <xdr:rowOff>101735</xdr:rowOff>
    </xdr:from>
    <xdr:to>
      <xdr:col>18</xdr:col>
      <xdr:colOff>476657</xdr:colOff>
      <xdr:row>632</xdr:row>
      <xdr:rowOff>314528</xdr:rowOff>
    </xdr:to>
    <xdr:sp macro="" textlink="">
      <xdr:nvSpPr>
        <xdr:cNvPr id="391" name="Rectangle : coins arrondis 390">
          <a:extLst>
            <a:ext uri="{FF2B5EF4-FFF2-40B4-BE49-F238E27FC236}">
              <a16:creationId xmlns:a16="http://schemas.microsoft.com/office/drawing/2014/main" id="{00000000-0008-0000-1A00-000087010000}"/>
            </a:ext>
          </a:extLst>
        </xdr:cNvPr>
        <xdr:cNvSpPr/>
      </xdr:nvSpPr>
      <xdr:spPr bwMode="auto">
        <a:xfrm>
          <a:off x="9305544" y="24379409"/>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25</xdr:col>
      <xdr:colOff>470753</xdr:colOff>
      <xdr:row>610</xdr:row>
      <xdr:rowOff>211850</xdr:rowOff>
    </xdr:from>
    <xdr:ext cx="2562472" cy="1129683"/>
    <xdr:pic>
      <xdr:nvPicPr>
        <xdr:cNvPr id="392" name="Image 391">
          <a:extLst>
            <a:ext uri="{FF2B5EF4-FFF2-40B4-BE49-F238E27FC236}">
              <a16:creationId xmlns:a16="http://schemas.microsoft.com/office/drawing/2014/main" id="{00000000-0008-0000-1A00-000088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06073" y="16315745"/>
          <a:ext cx="2562472" cy="1129683"/>
        </a:xfrm>
        <a:prstGeom prst="rect">
          <a:avLst/>
        </a:prstGeom>
      </xdr:spPr>
    </xdr:pic>
    <xdr:clientData/>
  </xdr:oneCellAnchor>
  <xdr:oneCellAnchor>
    <xdr:from>
      <xdr:col>0</xdr:col>
      <xdr:colOff>344521</xdr:colOff>
      <xdr:row>610</xdr:row>
      <xdr:rowOff>111463</xdr:rowOff>
    </xdr:from>
    <xdr:ext cx="1154630" cy="1312076"/>
    <xdr:pic>
      <xdr:nvPicPr>
        <xdr:cNvPr id="393" name="Image 1">
          <a:extLst>
            <a:ext uri="{FF2B5EF4-FFF2-40B4-BE49-F238E27FC236}">
              <a16:creationId xmlns:a16="http://schemas.microsoft.com/office/drawing/2014/main" id="{00000000-0008-0000-1A00-00008901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818" t="8181" r="10909" b="10000"/>
        <a:stretch/>
      </xdr:blipFill>
      <xdr:spPr bwMode="auto">
        <a:xfrm>
          <a:off x="344521" y="16215358"/>
          <a:ext cx="1154630" cy="1312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415854</xdr:colOff>
      <xdr:row>642</xdr:row>
      <xdr:rowOff>299437</xdr:rowOff>
    </xdr:from>
    <xdr:ext cx="1701213" cy="1009172"/>
    <xdr:pic>
      <xdr:nvPicPr>
        <xdr:cNvPr id="394" name="Image 393">
          <a:extLst>
            <a:ext uri="{FF2B5EF4-FFF2-40B4-BE49-F238E27FC236}">
              <a16:creationId xmlns:a16="http://schemas.microsoft.com/office/drawing/2014/main" id="{00000000-0008-0000-1A00-00008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27104" y="17555193"/>
          <a:ext cx="1701213" cy="1009172"/>
        </a:xfrm>
        <a:prstGeom prst="rect">
          <a:avLst/>
        </a:prstGeom>
      </xdr:spPr>
    </xdr:pic>
    <xdr:clientData/>
  </xdr:oneCellAnchor>
  <xdr:twoCellAnchor>
    <xdr:from>
      <xdr:col>2</xdr:col>
      <xdr:colOff>121595</xdr:colOff>
      <xdr:row>648</xdr:row>
      <xdr:rowOff>141861</xdr:rowOff>
    </xdr:from>
    <xdr:to>
      <xdr:col>2</xdr:col>
      <xdr:colOff>496516</xdr:colOff>
      <xdr:row>648</xdr:row>
      <xdr:rowOff>354654</xdr:rowOff>
    </xdr:to>
    <xdr:sp macro="" textlink="">
      <xdr:nvSpPr>
        <xdr:cNvPr id="395" name="Rectangle : coins arrondis 394">
          <a:extLst>
            <a:ext uri="{FF2B5EF4-FFF2-40B4-BE49-F238E27FC236}">
              <a16:creationId xmlns:a16="http://schemas.microsoft.com/office/drawing/2014/main" id="{00000000-0008-0000-1A00-00008B010000}"/>
            </a:ext>
          </a:extLst>
        </xdr:cNvPr>
        <xdr:cNvSpPr/>
      </xdr:nvSpPr>
      <xdr:spPr bwMode="auto">
        <a:xfrm>
          <a:off x="1096246"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14</xdr:col>
      <xdr:colOff>111867</xdr:colOff>
      <xdr:row>648</xdr:row>
      <xdr:rowOff>142266</xdr:rowOff>
    </xdr:from>
    <xdr:to>
      <xdr:col>14</xdr:col>
      <xdr:colOff>486788</xdr:colOff>
      <xdr:row>648</xdr:row>
      <xdr:rowOff>355059</xdr:rowOff>
    </xdr:to>
    <xdr:sp macro="" textlink="">
      <xdr:nvSpPr>
        <xdr:cNvPr id="396" name="Rectangle : coins arrondis 395">
          <a:extLst>
            <a:ext uri="{FF2B5EF4-FFF2-40B4-BE49-F238E27FC236}">
              <a16:creationId xmlns:a16="http://schemas.microsoft.com/office/drawing/2014/main" id="{00000000-0008-0000-1A00-00008C010000}"/>
            </a:ext>
          </a:extLst>
        </xdr:cNvPr>
        <xdr:cNvSpPr/>
      </xdr:nvSpPr>
      <xdr:spPr bwMode="auto">
        <a:xfrm>
          <a:off x="741067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121595</xdr:colOff>
      <xdr:row>648</xdr:row>
      <xdr:rowOff>141861</xdr:rowOff>
    </xdr:from>
    <xdr:to>
      <xdr:col>18</xdr:col>
      <xdr:colOff>496516</xdr:colOff>
      <xdr:row>648</xdr:row>
      <xdr:rowOff>354654</xdr:rowOff>
    </xdr:to>
    <xdr:sp macro="" textlink="">
      <xdr:nvSpPr>
        <xdr:cNvPr id="397" name="Rectangle : coins arrondis 396">
          <a:extLst>
            <a:ext uri="{FF2B5EF4-FFF2-40B4-BE49-F238E27FC236}">
              <a16:creationId xmlns:a16="http://schemas.microsoft.com/office/drawing/2014/main" id="{00000000-0008-0000-1A00-00008D010000}"/>
            </a:ext>
          </a:extLst>
        </xdr:cNvPr>
        <xdr:cNvSpPr/>
      </xdr:nvSpPr>
      <xdr:spPr bwMode="auto">
        <a:xfrm>
          <a:off x="9325403"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30</xdr:col>
      <xdr:colOff>111867</xdr:colOff>
      <xdr:row>648</xdr:row>
      <xdr:rowOff>142266</xdr:rowOff>
    </xdr:from>
    <xdr:to>
      <xdr:col>30</xdr:col>
      <xdr:colOff>486788</xdr:colOff>
      <xdr:row>648</xdr:row>
      <xdr:rowOff>355059</xdr:rowOff>
    </xdr:to>
    <xdr:sp macro="" textlink="">
      <xdr:nvSpPr>
        <xdr:cNvPr id="398" name="Rectangle : coins arrondis 397">
          <a:extLst>
            <a:ext uri="{FF2B5EF4-FFF2-40B4-BE49-F238E27FC236}">
              <a16:creationId xmlns:a16="http://schemas.microsoft.com/office/drawing/2014/main" id="{00000000-0008-0000-1A00-00008E010000}"/>
            </a:ext>
          </a:extLst>
        </xdr:cNvPr>
        <xdr:cNvSpPr/>
      </xdr:nvSpPr>
      <xdr:spPr bwMode="auto">
        <a:xfrm>
          <a:off x="1560660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xdr:col>
      <xdr:colOff>101330</xdr:colOff>
      <xdr:row>661</xdr:row>
      <xdr:rowOff>101329</xdr:rowOff>
    </xdr:from>
    <xdr:to>
      <xdr:col>2</xdr:col>
      <xdr:colOff>476251</xdr:colOff>
      <xdr:row>661</xdr:row>
      <xdr:rowOff>314122</xdr:rowOff>
    </xdr:to>
    <xdr:sp macro="" textlink="">
      <xdr:nvSpPr>
        <xdr:cNvPr id="399" name="Rectangle : coins arrondis 398">
          <a:extLst>
            <a:ext uri="{FF2B5EF4-FFF2-40B4-BE49-F238E27FC236}">
              <a16:creationId xmlns:a16="http://schemas.microsoft.com/office/drawing/2014/main" id="{00000000-0008-0000-1A00-00008F010000}"/>
            </a:ext>
          </a:extLst>
        </xdr:cNvPr>
        <xdr:cNvSpPr/>
      </xdr:nvSpPr>
      <xdr:spPr bwMode="auto">
        <a:xfrm>
          <a:off x="1075981" y="2437900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101736</xdr:colOff>
      <xdr:row>661</xdr:row>
      <xdr:rowOff>101735</xdr:rowOff>
    </xdr:from>
    <xdr:to>
      <xdr:col>18</xdr:col>
      <xdr:colOff>476657</xdr:colOff>
      <xdr:row>661</xdr:row>
      <xdr:rowOff>314528</xdr:rowOff>
    </xdr:to>
    <xdr:sp macro="" textlink="">
      <xdr:nvSpPr>
        <xdr:cNvPr id="400" name="Rectangle : coins arrondis 399">
          <a:extLst>
            <a:ext uri="{FF2B5EF4-FFF2-40B4-BE49-F238E27FC236}">
              <a16:creationId xmlns:a16="http://schemas.microsoft.com/office/drawing/2014/main" id="{00000000-0008-0000-1A00-000090010000}"/>
            </a:ext>
          </a:extLst>
        </xdr:cNvPr>
        <xdr:cNvSpPr/>
      </xdr:nvSpPr>
      <xdr:spPr bwMode="auto">
        <a:xfrm>
          <a:off x="9305544" y="24379409"/>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25</xdr:col>
      <xdr:colOff>470753</xdr:colOff>
      <xdr:row>639</xdr:row>
      <xdr:rowOff>211850</xdr:rowOff>
    </xdr:from>
    <xdr:ext cx="2562472" cy="1129683"/>
    <xdr:pic>
      <xdr:nvPicPr>
        <xdr:cNvPr id="401" name="Image 400">
          <a:extLst>
            <a:ext uri="{FF2B5EF4-FFF2-40B4-BE49-F238E27FC236}">
              <a16:creationId xmlns:a16="http://schemas.microsoft.com/office/drawing/2014/main" id="{00000000-0008-0000-1A00-000091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06073" y="16315745"/>
          <a:ext cx="2562472" cy="1129683"/>
        </a:xfrm>
        <a:prstGeom prst="rect">
          <a:avLst/>
        </a:prstGeom>
      </xdr:spPr>
    </xdr:pic>
    <xdr:clientData/>
  </xdr:oneCellAnchor>
  <xdr:oneCellAnchor>
    <xdr:from>
      <xdr:col>0</xdr:col>
      <xdr:colOff>344521</xdr:colOff>
      <xdr:row>639</xdr:row>
      <xdr:rowOff>111463</xdr:rowOff>
    </xdr:from>
    <xdr:ext cx="1154630" cy="1312076"/>
    <xdr:pic>
      <xdr:nvPicPr>
        <xdr:cNvPr id="402" name="Image 1">
          <a:extLst>
            <a:ext uri="{FF2B5EF4-FFF2-40B4-BE49-F238E27FC236}">
              <a16:creationId xmlns:a16="http://schemas.microsoft.com/office/drawing/2014/main" id="{00000000-0008-0000-1A00-00009201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818" t="8181" r="10909" b="10000"/>
        <a:stretch/>
      </xdr:blipFill>
      <xdr:spPr bwMode="auto">
        <a:xfrm>
          <a:off x="344521" y="16215358"/>
          <a:ext cx="1154630" cy="1312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415854</xdr:colOff>
      <xdr:row>671</xdr:row>
      <xdr:rowOff>299437</xdr:rowOff>
    </xdr:from>
    <xdr:ext cx="1701213" cy="1009172"/>
    <xdr:pic>
      <xdr:nvPicPr>
        <xdr:cNvPr id="403" name="Image 402">
          <a:extLst>
            <a:ext uri="{FF2B5EF4-FFF2-40B4-BE49-F238E27FC236}">
              <a16:creationId xmlns:a16="http://schemas.microsoft.com/office/drawing/2014/main" id="{00000000-0008-0000-1A00-000093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27104" y="17555193"/>
          <a:ext cx="1701213" cy="1009172"/>
        </a:xfrm>
        <a:prstGeom prst="rect">
          <a:avLst/>
        </a:prstGeom>
      </xdr:spPr>
    </xdr:pic>
    <xdr:clientData/>
  </xdr:oneCellAnchor>
  <xdr:twoCellAnchor>
    <xdr:from>
      <xdr:col>2</xdr:col>
      <xdr:colOff>121595</xdr:colOff>
      <xdr:row>677</xdr:row>
      <xdr:rowOff>141861</xdr:rowOff>
    </xdr:from>
    <xdr:to>
      <xdr:col>2</xdr:col>
      <xdr:colOff>496516</xdr:colOff>
      <xdr:row>677</xdr:row>
      <xdr:rowOff>354654</xdr:rowOff>
    </xdr:to>
    <xdr:sp macro="" textlink="">
      <xdr:nvSpPr>
        <xdr:cNvPr id="404" name="Rectangle : coins arrondis 403">
          <a:extLst>
            <a:ext uri="{FF2B5EF4-FFF2-40B4-BE49-F238E27FC236}">
              <a16:creationId xmlns:a16="http://schemas.microsoft.com/office/drawing/2014/main" id="{00000000-0008-0000-1A00-000094010000}"/>
            </a:ext>
          </a:extLst>
        </xdr:cNvPr>
        <xdr:cNvSpPr/>
      </xdr:nvSpPr>
      <xdr:spPr bwMode="auto">
        <a:xfrm>
          <a:off x="1096246"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14</xdr:col>
      <xdr:colOff>111867</xdr:colOff>
      <xdr:row>677</xdr:row>
      <xdr:rowOff>142266</xdr:rowOff>
    </xdr:from>
    <xdr:to>
      <xdr:col>14</xdr:col>
      <xdr:colOff>486788</xdr:colOff>
      <xdr:row>677</xdr:row>
      <xdr:rowOff>355059</xdr:rowOff>
    </xdr:to>
    <xdr:sp macro="" textlink="">
      <xdr:nvSpPr>
        <xdr:cNvPr id="405" name="Rectangle : coins arrondis 404">
          <a:extLst>
            <a:ext uri="{FF2B5EF4-FFF2-40B4-BE49-F238E27FC236}">
              <a16:creationId xmlns:a16="http://schemas.microsoft.com/office/drawing/2014/main" id="{00000000-0008-0000-1A00-000095010000}"/>
            </a:ext>
          </a:extLst>
        </xdr:cNvPr>
        <xdr:cNvSpPr/>
      </xdr:nvSpPr>
      <xdr:spPr bwMode="auto">
        <a:xfrm>
          <a:off x="741067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121595</xdr:colOff>
      <xdr:row>677</xdr:row>
      <xdr:rowOff>141861</xdr:rowOff>
    </xdr:from>
    <xdr:to>
      <xdr:col>18</xdr:col>
      <xdr:colOff>496516</xdr:colOff>
      <xdr:row>677</xdr:row>
      <xdr:rowOff>354654</xdr:rowOff>
    </xdr:to>
    <xdr:sp macro="" textlink="">
      <xdr:nvSpPr>
        <xdr:cNvPr id="406" name="Rectangle : coins arrondis 405">
          <a:extLst>
            <a:ext uri="{FF2B5EF4-FFF2-40B4-BE49-F238E27FC236}">
              <a16:creationId xmlns:a16="http://schemas.microsoft.com/office/drawing/2014/main" id="{00000000-0008-0000-1A00-000096010000}"/>
            </a:ext>
          </a:extLst>
        </xdr:cNvPr>
        <xdr:cNvSpPr/>
      </xdr:nvSpPr>
      <xdr:spPr bwMode="auto">
        <a:xfrm>
          <a:off x="9325403"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30</xdr:col>
      <xdr:colOff>111867</xdr:colOff>
      <xdr:row>677</xdr:row>
      <xdr:rowOff>142266</xdr:rowOff>
    </xdr:from>
    <xdr:to>
      <xdr:col>30</xdr:col>
      <xdr:colOff>486788</xdr:colOff>
      <xdr:row>677</xdr:row>
      <xdr:rowOff>355059</xdr:rowOff>
    </xdr:to>
    <xdr:sp macro="" textlink="">
      <xdr:nvSpPr>
        <xdr:cNvPr id="407" name="Rectangle : coins arrondis 406">
          <a:extLst>
            <a:ext uri="{FF2B5EF4-FFF2-40B4-BE49-F238E27FC236}">
              <a16:creationId xmlns:a16="http://schemas.microsoft.com/office/drawing/2014/main" id="{00000000-0008-0000-1A00-000097010000}"/>
            </a:ext>
          </a:extLst>
        </xdr:cNvPr>
        <xdr:cNvSpPr/>
      </xdr:nvSpPr>
      <xdr:spPr bwMode="auto">
        <a:xfrm>
          <a:off x="1560660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xdr:col>
      <xdr:colOff>101330</xdr:colOff>
      <xdr:row>690</xdr:row>
      <xdr:rowOff>101329</xdr:rowOff>
    </xdr:from>
    <xdr:to>
      <xdr:col>2</xdr:col>
      <xdr:colOff>476251</xdr:colOff>
      <xdr:row>690</xdr:row>
      <xdr:rowOff>314122</xdr:rowOff>
    </xdr:to>
    <xdr:sp macro="" textlink="">
      <xdr:nvSpPr>
        <xdr:cNvPr id="408" name="Rectangle : coins arrondis 407">
          <a:extLst>
            <a:ext uri="{FF2B5EF4-FFF2-40B4-BE49-F238E27FC236}">
              <a16:creationId xmlns:a16="http://schemas.microsoft.com/office/drawing/2014/main" id="{00000000-0008-0000-1A00-000098010000}"/>
            </a:ext>
          </a:extLst>
        </xdr:cNvPr>
        <xdr:cNvSpPr/>
      </xdr:nvSpPr>
      <xdr:spPr bwMode="auto">
        <a:xfrm>
          <a:off x="1075981" y="2437900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101736</xdr:colOff>
      <xdr:row>690</xdr:row>
      <xdr:rowOff>101735</xdr:rowOff>
    </xdr:from>
    <xdr:to>
      <xdr:col>18</xdr:col>
      <xdr:colOff>476657</xdr:colOff>
      <xdr:row>690</xdr:row>
      <xdr:rowOff>314528</xdr:rowOff>
    </xdr:to>
    <xdr:sp macro="" textlink="">
      <xdr:nvSpPr>
        <xdr:cNvPr id="409" name="Rectangle : coins arrondis 408">
          <a:extLst>
            <a:ext uri="{FF2B5EF4-FFF2-40B4-BE49-F238E27FC236}">
              <a16:creationId xmlns:a16="http://schemas.microsoft.com/office/drawing/2014/main" id="{00000000-0008-0000-1A00-000099010000}"/>
            </a:ext>
          </a:extLst>
        </xdr:cNvPr>
        <xdr:cNvSpPr/>
      </xdr:nvSpPr>
      <xdr:spPr bwMode="auto">
        <a:xfrm>
          <a:off x="9305544" y="24379409"/>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25</xdr:col>
      <xdr:colOff>470753</xdr:colOff>
      <xdr:row>668</xdr:row>
      <xdr:rowOff>211850</xdr:rowOff>
    </xdr:from>
    <xdr:ext cx="2562472" cy="1129683"/>
    <xdr:pic>
      <xdr:nvPicPr>
        <xdr:cNvPr id="410" name="Image 409">
          <a:extLst>
            <a:ext uri="{FF2B5EF4-FFF2-40B4-BE49-F238E27FC236}">
              <a16:creationId xmlns:a16="http://schemas.microsoft.com/office/drawing/2014/main" id="{00000000-0008-0000-1A00-00009A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06073" y="16315745"/>
          <a:ext cx="2562472" cy="1129683"/>
        </a:xfrm>
        <a:prstGeom prst="rect">
          <a:avLst/>
        </a:prstGeom>
      </xdr:spPr>
    </xdr:pic>
    <xdr:clientData/>
  </xdr:oneCellAnchor>
  <xdr:oneCellAnchor>
    <xdr:from>
      <xdr:col>0</xdr:col>
      <xdr:colOff>344521</xdr:colOff>
      <xdr:row>668</xdr:row>
      <xdr:rowOff>111463</xdr:rowOff>
    </xdr:from>
    <xdr:ext cx="1154630" cy="1312076"/>
    <xdr:pic>
      <xdr:nvPicPr>
        <xdr:cNvPr id="411" name="Image 1">
          <a:extLst>
            <a:ext uri="{FF2B5EF4-FFF2-40B4-BE49-F238E27FC236}">
              <a16:creationId xmlns:a16="http://schemas.microsoft.com/office/drawing/2014/main" id="{00000000-0008-0000-1A00-00009B01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818" t="8181" r="10909" b="10000"/>
        <a:stretch/>
      </xdr:blipFill>
      <xdr:spPr bwMode="auto">
        <a:xfrm>
          <a:off x="344521" y="16215358"/>
          <a:ext cx="1154630" cy="1312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415854</xdr:colOff>
      <xdr:row>700</xdr:row>
      <xdr:rowOff>299437</xdr:rowOff>
    </xdr:from>
    <xdr:ext cx="1701213" cy="1009172"/>
    <xdr:pic>
      <xdr:nvPicPr>
        <xdr:cNvPr id="412" name="Image 411">
          <a:extLst>
            <a:ext uri="{FF2B5EF4-FFF2-40B4-BE49-F238E27FC236}">
              <a16:creationId xmlns:a16="http://schemas.microsoft.com/office/drawing/2014/main" id="{00000000-0008-0000-1A00-00009C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27104" y="17555193"/>
          <a:ext cx="1701213" cy="1009172"/>
        </a:xfrm>
        <a:prstGeom prst="rect">
          <a:avLst/>
        </a:prstGeom>
      </xdr:spPr>
    </xdr:pic>
    <xdr:clientData/>
  </xdr:oneCellAnchor>
  <xdr:twoCellAnchor>
    <xdr:from>
      <xdr:col>2</xdr:col>
      <xdr:colOff>121595</xdr:colOff>
      <xdr:row>706</xdr:row>
      <xdr:rowOff>141861</xdr:rowOff>
    </xdr:from>
    <xdr:to>
      <xdr:col>2</xdr:col>
      <xdr:colOff>496516</xdr:colOff>
      <xdr:row>706</xdr:row>
      <xdr:rowOff>354654</xdr:rowOff>
    </xdr:to>
    <xdr:sp macro="" textlink="">
      <xdr:nvSpPr>
        <xdr:cNvPr id="413" name="Rectangle : coins arrondis 412">
          <a:extLst>
            <a:ext uri="{FF2B5EF4-FFF2-40B4-BE49-F238E27FC236}">
              <a16:creationId xmlns:a16="http://schemas.microsoft.com/office/drawing/2014/main" id="{00000000-0008-0000-1A00-00009D010000}"/>
            </a:ext>
          </a:extLst>
        </xdr:cNvPr>
        <xdr:cNvSpPr/>
      </xdr:nvSpPr>
      <xdr:spPr bwMode="auto">
        <a:xfrm>
          <a:off x="1096246"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14</xdr:col>
      <xdr:colOff>111867</xdr:colOff>
      <xdr:row>706</xdr:row>
      <xdr:rowOff>142266</xdr:rowOff>
    </xdr:from>
    <xdr:to>
      <xdr:col>14</xdr:col>
      <xdr:colOff>486788</xdr:colOff>
      <xdr:row>706</xdr:row>
      <xdr:rowOff>355059</xdr:rowOff>
    </xdr:to>
    <xdr:sp macro="" textlink="">
      <xdr:nvSpPr>
        <xdr:cNvPr id="414" name="Rectangle : coins arrondis 413">
          <a:extLst>
            <a:ext uri="{FF2B5EF4-FFF2-40B4-BE49-F238E27FC236}">
              <a16:creationId xmlns:a16="http://schemas.microsoft.com/office/drawing/2014/main" id="{00000000-0008-0000-1A00-00009E010000}"/>
            </a:ext>
          </a:extLst>
        </xdr:cNvPr>
        <xdr:cNvSpPr/>
      </xdr:nvSpPr>
      <xdr:spPr bwMode="auto">
        <a:xfrm>
          <a:off x="741067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121595</xdr:colOff>
      <xdr:row>706</xdr:row>
      <xdr:rowOff>141861</xdr:rowOff>
    </xdr:from>
    <xdr:to>
      <xdr:col>18</xdr:col>
      <xdr:colOff>496516</xdr:colOff>
      <xdr:row>706</xdr:row>
      <xdr:rowOff>354654</xdr:rowOff>
    </xdr:to>
    <xdr:sp macro="" textlink="">
      <xdr:nvSpPr>
        <xdr:cNvPr id="415" name="Rectangle : coins arrondis 414">
          <a:extLst>
            <a:ext uri="{FF2B5EF4-FFF2-40B4-BE49-F238E27FC236}">
              <a16:creationId xmlns:a16="http://schemas.microsoft.com/office/drawing/2014/main" id="{00000000-0008-0000-1A00-00009F010000}"/>
            </a:ext>
          </a:extLst>
        </xdr:cNvPr>
        <xdr:cNvSpPr/>
      </xdr:nvSpPr>
      <xdr:spPr bwMode="auto">
        <a:xfrm>
          <a:off x="9325403" y="1951305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30</xdr:col>
      <xdr:colOff>111867</xdr:colOff>
      <xdr:row>706</xdr:row>
      <xdr:rowOff>142266</xdr:rowOff>
    </xdr:from>
    <xdr:to>
      <xdr:col>30</xdr:col>
      <xdr:colOff>486788</xdr:colOff>
      <xdr:row>706</xdr:row>
      <xdr:rowOff>355059</xdr:rowOff>
    </xdr:to>
    <xdr:sp macro="" textlink="">
      <xdr:nvSpPr>
        <xdr:cNvPr id="416" name="Rectangle : coins arrondis 415">
          <a:extLst>
            <a:ext uri="{FF2B5EF4-FFF2-40B4-BE49-F238E27FC236}">
              <a16:creationId xmlns:a16="http://schemas.microsoft.com/office/drawing/2014/main" id="{00000000-0008-0000-1A00-0000A0010000}"/>
            </a:ext>
          </a:extLst>
        </xdr:cNvPr>
        <xdr:cNvSpPr/>
      </xdr:nvSpPr>
      <xdr:spPr bwMode="auto">
        <a:xfrm>
          <a:off x="15606605" y="19513458"/>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xdr:col>
      <xdr:colOff>101330</xdr:colOff>
      <xdr:row>719</xdr:row>
      <xdr:rowOff>101329</xdr:rowOff>
    </xdr:from>
    <xdr:to>
      <xdr:col>2</xdr:col>
      <xdr:colOff>476251</xdr:colOff>
      <xdr:row>719</xdr:row>
      <xdr:rowOff>314122</xdr:rowOff>
    </xdr:to>
    <xdr:sp macro="" textlink="">
      <xdr:nvSpPr>
        <xdr:cNvPr id="417" name="Rectangle : coins arrondis 416">
          <a:extLst>
            <a:ext uri="{FF2B5EF4-FFF2-40B4-BE49-F238E27FC236}">
              <a16:creationId xmlns:a16="http://schemas.microsoft.com/office/drawing/2014/main" id="{00000000-0008-0000-1A00-0000A1010000}"/>
            </a:ext>
          </a:extLst>
        </xdr:cNvPr>
        <xdr:cNvSpPr/>
      </xdr:nvSpPr>
      <xdr:spPr bwMode="auto">
        <a:xfrm>
          <a:off x="1075981" y="24379003"/>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18</xdr:col>
      <xdr:colOff>101736</xdr:colOff>
      <xdr:row>719</xdr:row>
      <xdr:rowOff>101735</xdr:rowOff>
    </xdr:from>
    <xdr:to>
      <xdr:col>18</xdr:col>
      <xdr:colOff>476657</xdr:colOff>
      <xdr:row>719</xdr:row>
      <xdr:rowOff>314528</xdr:rowOff>
    </xdr:to>
    <xdr:sp macro="" textlink="">
      <xdr:nvSpPr>
        <xdr:cNvPr id="418" name="Rectangle : coins arrondis 417">
          <a:extLst>
            <a:ext uri="{FF2B5EF4-FFF2-40B4-BE49-F238E27FC236}">
              <a16:creationId xmlns:a16="http://schemas.microsoft.com/office/drawing/2014/main" id="{00000000-0008-0000-1A00-0000A2010000}"/>
            </a:ext>
          </a:extLst>
        </xdr:cNvPr>
        <xdr:cNvSpPr/>
      </xdr:nvSpPr>
      <xdr:spPr bwMode="auto">
        <a:xfrm>
          <a:off x="9305544" y="24379409"/>
          <a:ext cx="374921" cy="212793"/>
        </a:xfrm>
        <a:prstGeom prst="roundRect">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25</xdr:col>
      <xdr:colOff>470753</xdr:colOff>
      <xdr:row>697</xdr:row>
      <xdr:rowOff>211850</xdr:rowOff>
    </xdr:from>
    <xdr:ext cx="2562472" cy="1129683"/>
    <xdr:pic>
      <xdr:nvPicPr>
        <xdr:cNvPr id="419" name="Image 418">
          <a:extLst>
            <a:ext uri="{FF2B5EF4-FFF2-40B4-BE49-F238E27FC236}">
              <a16:creationId xmlns:a16="http://schemas.microsoft.com/office/drawing/2014/main" id="{00000000-0008-0000-1A00-0000A3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06073" y="16315745"/>
          <a:ext cx="2562472" cy="1129683"/>
        </a:xfrm>
        <a:prstGeom prst="rect">
          <a:avLst/>
        </a:prstGeom>
      </xdr:spPr>
    </xdr:pic>
    <xdr:clientData/>
  </xdr:oneCellAnchor>
  <xdr:oneCellAnchor>
    <xdr:from>
      <xdr:col>0</xdr:col>
      <xdr:colOff>344521</xdr:colOff>
      <xdr:row>697</xdr:row>
      <xdr:rowOff>111463</xdr:rowOff>
    </xdr:from>
    <xdr:ext cx="1154630" cy="1312076"/>
    <xdr:pic>
      <xdr:nvPicPr>
        <xdr:cNvPr id="420" name="Image 1">
          <a:extLst>
            <a:ext uri="{FF2B5EF4-FFF2-40B4-BE49-F238E27FC236}">
              <a16:creationId xmlns:a16="http://schemas.microsoft.com/office/drawing/2014/main" id="{00000000-0008-0000-1A00-0000A401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818" t="8181" r="10909" b="10000"/>
        <a:stretch/>
      </xdr:blipFill>
      <xdr:spPr bwMode="auto">
        <a:xfrm>
          <a:off x="344521" y="16215358"/>
          <a:ext cx="1154630" cy="1312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242454</xdr:colOff>
      <xdr:row>5</xdr:row>
      <xdr:rowOff>276225</xdr:rowOff>
    </xdr:from>
    <xdr:ext cx="1052946" cy="1585918"/>
    <xdr:pic>
      <xdr:nvPicPr>
        <xdr:cNvPr id="3" name="Picture 1" descr="Logo UNSS monochrome copie">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454" y="1381125"/>
          <a:ext cx="1052946" cy="1585918"/>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oneCellAnchor>
  <xdr:twoCellAnchor>
    <xdr:from>
      <xdr:col>24</xdr:col>
      <xdr:colOff>47625</xdr:colOff>
      <xdr:row>5</xdr:row>
      <xdr:rowOff>19051</xdr:rowOff>
    </xdr:from>
    <xdr:to>
      <xdr:col>25</xdr:col>
      <xdr:colOff>57150</xdr:colOff>
      <xdr:row>10</xdr:row>
      <xdr:rowOff>228601</xdr:rowOff>
    </xdr:to>
    <xdr:sp macro="" textlink="">
      <xdr:nvSpPr>
        <xdr:cNvPr id="5" name="Accolade fermante 4">
          <a:extLst>
            <a:ext uri="{FF2B5EF4-FFF2-40B4-BE49-F238E27FC236}">
              <a16:creationId xmlns:a16="http://schemas.microsoft.com/office/drawing/2014/main" id="{00000000-0008-0000-1C00-000005000000}"/>
            </a:ext>
          </a:extLst>
        </xdr:cNvPr>
        <xdr:cNvSpPr/>
      </xdr:nvSpPr>
      <xdr:spPr>
        <a:xfrm>
          <a:off x="11087100" y="1238251"/>
          <a:ext cx="257175" cy="1619250"/>
        </a:xfrm>
        <a:prstGeom prst="rightBrace">
          <a:avLst/>
        </a:prstGeom>
        <a:ln w="15875">
          <a:solidFill>
            <a:schemeClr val="tx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FR" sz="1100"/>
        </a:p>
      </xdr:txBody>
    </xdr:sp>
    <xdr:clientData/>
  </xdr:twoCellAnchor>
  <xdr:twoCellAnchor editAs="oneCell">
    <xdr:from>
      <xdr:col>15</xdr:col>
      <xdr:colOff>428625</xdr:colOff>
      <xdr:row>1</xdr:row>
      <xdr:rowOff>190500</xdr:rowOff>
    </xdr:from>
    <xdr:to>
      <xdr:col>18</xdr:col>
      <xdr:colOff>250825</xdr:colOff>
      <xdr:row>6</xdr:row>
      <xdr:rowOff>19050</xdr:rowOff>
    </xdr:to>
    <xdr:pic>
      <xdr:nvPicPr>
        <xdr:cNvPr id="6" name="Image 1">
          <a:extLst>
            <a:ext uri="{FF2B5EF4-FFF2-40B4-BE49-F238E27FC236}">
              <a16:creationId xmlns:a16="http://schemas.microsoft.com/office/drawing/2014/main" id="{00000000-0008-0000-1C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7381875" y="276225"/>
          <a:ext cx="10795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514350</xdr:colOff>
      <xdr:row>3</xdr:row>
      <xdr:rowOff>142875</xdr:rowOff>
    </xdr:from>
    <xdr:to>
      <xdr:col>25</xdr:col>
      <xdr:colOff>666750</xdr:colOff>
      <xdr:row>11</xdr:row>
      <xdr:rowOff>76200</xdr:rowOff>
    </xdr:to>
    <xdr:sp macro="" textlink="">
      <xdr:nvSpPr>
        <xdr:cNvPr id="2" name="Rectangle 1">
          <a:extLst>
            <a:ext uri="{FF2B5EF4-FFF2-40B4-BE49-F238E27FC236}">
              <a16:creationId xmlns:a16="http://schemas.microsoft.com/office/drawing/2014/main" id="{00000000-0008-0000-1C00-000002000000}"/>
            </a:ext>
          </a:extLst>
        </xdr:cNvPr>
        <xdr:cNvSpPr/>
      </xdr:nvSpPr>
      <xdr:spPr bwMode="auto">
        <a:xfrm>
          <a:off x="8724900" y="866775"/>
          <a:ext cx="3724275" cy="2085975"/>
        </a:xfrm>
        <a:prstGeom prst="rect">
          <a:avLst/>
        </a:prstGeom>
        <a:noFill/>
        <a:ln w="317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15</xdr:col>
      <xdr:colOff>421821</xdr:colOff>
      <xdr:row>1</xdr:row>
      <xdr:rowOff>163286</xdr:rowOff>
    </xdr:from>
    <xdr:to>
      <xdr:col>18</xdr:col>
      <xdr:colOff>612321</xdr:colOff>
      <xdr:row>5</xdr:row>
      <xdr:rowOff>30656</xdr:rowOff>
    </xdr:to>
    <xdr:pic>
      <xdr:nvPicPr>
        <xdr:cNvPr id="59" name="Image 58">
          <a:extLst>
            <a:ext uri="{FF2B5EF4-FFF2-40B4-BE49-F238E27FC236}">
              <a16:creationId xmlns:a16="http://schemas.microsoft.com/office/drawing/2014/main" id="{00000000-0008-0000-1D00-00003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30142" y="244929"/>
          <a:ext cx="1496786" cy="887906"/>
        </a:xfrm>
        <a:prstGeom prst="rect">
          <a:avLst/>
        </a:prstGeom>
      </xdr:spPr>
    </xdr:pic>
    <xdr:clientData/>
  </xdr:twoCellAnchor>
  <xdr:twoCellAnchor editAs="oneCell">
    <xdr:from>
      <xdr:col>23</xdr:col>
      <xdr:colOff>314325</xdr:colOff>
      <xdr:row>29</xdr:row>
      <xdr:rowOff>114300</xdr:rowOff>
    </xdr:from>
    <xdr:to>
      <xdr:col>26</xdr:col>
      <xdr:colOff>27907</xdr:colOff>
      <xdr:row>31</xdr:row>
      <xdr:rowOff>866775</xdr:rowOff>
    </xdr:to>
    <xdr:pic>
      <xdr:nvPicPr>
        <xdr:cNvPr id="4" name="Image 1">
          <a:extLst>
            <a:ext uri="{FF2B5EF4-FFF2-40B4-BE49-F238E27FC236}">
              <a16:creationId xmlns:a16="http://schemas.microsoft.com/office/drawing/2014/main" id="{00000000-0008-0000-1D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1553825" y="7591425"/>
          <a:ext cx="1151857"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23</xdr:col>
      <xdr:colOff>314325</xdr:colOff>
      <xdr:row>62</xdr:row>
      <xdr:rowOff>114300</xdr:rowOff>
    </xdr:from>
    <xdr:ext cx="1151857" cy="1162050"/>
    <xdr:pic>
      <xdr:nvPicPr>
        <xdr:cNvPr id="6" name="Image 1">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1553825" y="7591425"/>
          <a:ext cx="1151857"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314325</xdr:colOff>
      <xdr:row>95</xdr:row>
      <xdr:rowOff>114300</xdr:rowOff>
    </xdr:from>
    <xdr:ext cx="1151857" cy="1162050"/>
    <xdr:pic>
      <xdr:nvPicPr>
        <xdr:cNvPr id="8" name="Image 1">
          <a:extLst>
            <a:ext uri="{FF2B5EF4-FFF2-40B4-BE49-F238E27FC236}">
              <a16:creationId xmlns:a16="http://schemas.microsoft.com/office/drawing/2014/main" id="{00000000-0008-0000-1D00-00000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1553825" y="16516350"/>
          <a:ext cx="1151857"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314325</xdr:colOff>
      <xdr:row>128</xdr:row>
      <xdr:rowOff>114300</xdr:rowOff>
    </xdr:from>
    <xdr:ext cx="1151857" cy="1162050"/>
    <xdr:pic>
      <xdr:nvPicPr>
        <xdr:cNvPr id="10" name="Image 1">
          <a:extLst>
            <a:ext uri="{FF2B5EF4-FFF2-40B4-BE49-F238E27FC236}">
              <a16:creationId xmlns:a16="http://schemas.microsoft.com/office/drawing/2014/main" id="{00000000-0008-0000-1D00-00000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1553825" y="16516350"/>
          <a:ext cx="1151857"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314325</xdr:colOff>
      <xdr:row>161</xdr:row>
      <xdr:rowOff>114300</xdr:rowOff>
    </xdr:from>
    <xdr:ext cx="1151857" cy="1162050"/>
    <xdr:pic>
      <xdr:nvPicPr>
        <xdr:cNvPr id="12" name="Image 1">
          <a:extLst>
            <a:ext uri="{FF2B5EF4-FFF2-40B4-BE49-F238E27FC236}">
              <a16:creationId xmlns:a16="http://schemas.microsoft.com/office/drawing/2014/main" id="{00000000-0008-0000-1D00-00000C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1553825" y="16516350"/>
          <a:ext cx="1151857"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314325</xdr:colOff>
      <xdr:row>194</xdr:row>
      <xdr:rowOff>114300</xdr:rowOff>
    </xdr:from>
    <xdr:ext cx="1151857" cy="1162050"/>
    <xdr:pic>
      <xdr:nvPicPr>
        <xdr:cNvPr id="14" name="Image 1">
          <a:extLst>
            <a:ext uri="{FF2B5EF4-FFF2-40B4-BE49-F238E27FC236}">
              <a16:creationId xmlns:a16="http://schemas.microsoft.com/office/drawing/2014/main" id="{00000000-0008-0000-1D00-00000E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1553825" y="16516350"/>
          <a:ext cx="1151857"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314325</xdr:colOff>
      <xdr:row>227</xdr:row>
      <xdr:rowOff>114300</xdr:rowOff>
    </xdr:from>
    <xdr:ext cx="1151857" cy="1162050"/>
    <xdr:pic>
      <xdr:nvPicPr>
        <xdr:cNvPr id="16" name="Image 1">
          <a:extLst>
            <a:ext uri="{FF2B5EF4-FFF2-40B4-BE49-F238E27FC236}">
              <a16:creationId xmlns:a16="http://schemas.microsoft.com/office/drawing/2014/main" id="{00000000-0008-0000-1D00-000010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1553825" y="16516350"/>
          <a:ext cx="1151857"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314325</xdr:colOff>
      <xdr:row>260</xdr:row>
      <xdr:rowOff>114300</xdr:rowOff>
    </xdr:from>
    <xdr:ext cx="1151857" cy="1162050"/>
    <xdr:pic>
      <xdr:nvPicPr>
        <xdr:cNvPr id="18" name="Image 1">
          <a:extLst>
            <a:ext uri="{FF2B5EF4-FFF2-40B4-BE49-F238E27FC236}">
              <a16:creationId xmlns:a16="http://schemas.microsoft.com/office/drawing/2014/main" id="{00000000-0008-0000-1D00-00001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1553825" y="16516350"/>
          <a:ext cx="1151857"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314325</xdr:colOff>
      <xdr:row>293</xdr:row>
      <xdr:rowOff>114300</xdr:rowOff>
    </xdr:from>
    <xdr:ext cx="1151857" cy="1162050"/>
    <xdr:pic>
      <xdr:nvPicPr>
        <xdr:cNvPr id="20" name="Image 1">
          <a:extLst>
            <a:ext uri="{FF2B5EF4-FFF2-40B4-BE49-F238E27FC236}">
              <a16:creationId xmlns:a16="http://schemas.microsoft.com/office/drawing/2014/main" id="{00000000-0008-0000-1D00-00001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1553825" y="16516350"/>
          <a:ext cx="1151857"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314325</xdr:colOff>
      <xdr:row>326</xdr:row>
      <xdr:rowOff>114300</xdr:rowOff>
    </xdr:from>
    <xdr:ext cx="1151857" cy="1162050"/>
    <xdr:pic>
      <xdr:nvPicPr>
        <xdr:cNvPr id="22" name="Image 1">
          <a:extLst>
            <a:ext uri="{FF2B5EF4-FFF2-40B4-BE49-F238E27FC236}">
              <a16:creationId xmlns:a16="http://schemas.microsoft.com/office/drawing/2014/main" id="{00000000-0008-0000-1D00-00001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1553825" y="16516350"/>
          <a:ext cx="1151857"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314325</xdr:colOff>
      <xdr:row>359</xdr:row>
      <xdr:rowOff>114300</xdr:rowOff>
    </xdr:from>
    <xdr:ext cx="1151857" cy="1162050"/>
    <xdr:pic>
      <xdr:nvPicPr>
        <xdr:cNvPr id="24" name="Image 1">
          <a:extLst>
            <a:ext uri="{FF2B5EF4-FFF2-40B4-BE49-F238E27FC236}">
              <a16:creationId xmlns:a16="http://schemas.microsoft.com/office/drawing/2014/main" id="{00000000-0008-0000-1D00-00001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1553825" y="16516350"/>
          <a:ext cx="1151857"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314325</xdr:colOff>
      <xdr:row>392</xdr:row>
      <xdr:rowOff>114300</xdr:rowOff>
    </xdr:from>
    <xdr:ext cx="1151857" cy="1162050"/>
    <xdr:pic>
      <xdr:nvPicPr>
        <xdr:cNvPr id="26" name="Image 1">
          <a:extLst>
            <a:ext uri="{FF2B5EF4-FFF2-40B4-BE49-F238E27FC236}">
              <a16:creationId xmlns:a16="http://schemas.microsoft.com/office/drawing/2014/main" id="{00000000-0008-0000-1D00-00001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1553825" y="16516350"/>
          <a:ext cx="1151857"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314325</xdr:colOff>
      <xdr:row>425</xdr:row>
      <xdr:rowOff>114300</xdr:rowOff>
    </xdr:from>
    <xdr:ext cx="1151857" cy="1162050"/>
    <xdr:pic>
      <xdr:nvPicPr>
        <xdr:cNvPr id="28" name="Image 1">
          <a:extLst>
            <a:ext uri="{FF2B5EF4-FFF2-40B4-BE49-F238E27FC236}">
              <a16:creationId xmlns:a16="http://schemas.microsoft.com/office/drawing/2014/main" id="{00000000-0008-0000-1D00-00001C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1553825" y="16516350"/>
          <a:ext cx="1151857"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314325</xdr:colOff>
      <xdr:row>458</xdr:row>
      <xdr:rowOff>114300</xdr:rowOff>
    </xdr:from>
    <xdr:ext cx="1151857" cy="1162050"/>
    <xdr:pic>
      <xdr:nvPicPr>
        <xdr:cNvPr id="30" name="Image 1">
          <a:extLst>
            <a:ext uri="{FF2B5EF4-FFF2-40B4-BE49-F238E27FC236}">
              <a16:creationId xmlns:a16="http://schemas.microsoft.com/office/drawing/2014/main" id="{00000000-0008-0000-1D00-00001E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1553825" y="16516350"/>
          <a:ext cx="1151857"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314325</xdr:colOff>
      <xdr:row>491</xdr:row>
      <xdr:rowOff>114300</xdr:rowOff>
    </xdr:from>
    <xdr:ext cx="1151857" cy="1162050"/>
    <xdr:pic>
      <xdr:nvPicPr>
        <xdr:cNvPr id="32" name="Image 1">
          <a:extLst>
            <a:ext uri="{FF2B5EF4-FFF2-40B4-BE49-F238E27FC236}">
              <a16:creationId xmlns:a16="http://schemas.microsoft.com/office/drawing/2014/main" id="{00000000-0008-0000-1D00-000020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1553825" y="16516350"/>
          <a:ext cx="1151857"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314325</xdr:colOff>
      <xdr:row>524</xdr:row>
      <xdr:rowOff>114300</xdr:rowOff>
    </xdr:from>
    <xdr:ext cx="1151857" cy="1162050"/>
    <xdr:pic>
      <xdr:nvPicPr>
        <xdr:cNvPr id="34" name="Image 1">
          <a:extLst>
            <a:ext uri="{FF2B5EF4-FFF2-40B4-BE49-F238E27FC236}">
              <a16:creationId xmlns:a16="http://schemas.microsoft.com/office/drawing/2014/main" id="{00000000-0008-0000-1D00-00002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1553825" y="16516350"/>
          <a:ext cx="1151857"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314325</xdr:colOff>
      <xdr:row>557</xdr:row>
      <xdr:rowOff>114300</xdr:rowOff>
    </xdr:from>
    <xdr:ext cx="1151857" cy="1162050"/>
    <xdr:pic>
      <xdr:nvPicPr>
        <xdr:cNvPr id="36" name="Image 1">
          <a:extLst>
            <a:ext uri="{FF2B5EF4-FFF2-40B4-BE49-F238E27FC236}">
              <a16:creationId xmlns:a16="http://schemas.microsoft.com/office/drawing/2014/main" id="{00000000-0008-0000-1D00-00002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1553825" y="16516350"/>
          <a:ext cx="1151857"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314325</xdr:colOff>
      <xdr:row>590</xdr:row>
      <xdr:rowOff>114300</xdr:rowOff>
    </xdr:from>
    <xdr:ext cx="1151857" cy="1162050"/>
    <xdr:pic>
      <xdr:nvPicPr>
        <xdr:cNvPr id="38" name="Image 1">
          <a:extLst>
            <a:ext uri="{FF2B5EF4-FFF2-40B4-BE49-F238E27FC236}">
              <a16:creationId xmlns:a16="http://schemas.microsoft.com/office/drawing/2014/main" id="{00000000-0008-0000-1D00-00002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1553825" y="16516350"/>
          <a:ext cx="1151857"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314325</xdr:colOff>
      <xdr:row>623</xdr:row>
      <xdr:rowOff>114300</xdr:rowOff>
    </xdr:from>
    <xdr:ext cx="1151857" cy="1162050"/>
    <xdr:pic>
      <xdr:nvPicPr>
        <xdr:cNvPr id="40" name="Image 1">
          <a:extLst>
            <a:ext uri="{FF2B5EF4-FFF2-40B4-BE49-F238E27FC236}">
              <a16:creationId xmlns:a16="http://schemas.microsoft.com/office/drawing/2014/main" id="{00000000-0008-0000-1D00-00002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1553825" y="16516350"/>
          <a:ext cx="1151857"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314325</xdr:colOff>
      <xdr:row>656</xdr:row>
      <xdr:rowOff>114300</xdr:rowOff>
    </xdr:from>
    <xdr:ext cx="1151857" cy="1162050"/>
    <xdr:pic>
      <xdr:nvPicPr>
        <xdr:cNvPr id="42" name="Image 1">
          <a:extLst>
            <a:ext uri="{FF2B5EF4-FFF2-40B4-BE49-F238E27FC236}">
              <a16:creationId xmlns:a16="http://schemas.microsoft.com/office/drawing/2014/main" id="{00000000-0008-0000-1D00-00002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1553825" y="16516350"/>
          <a:ext cx="1151857"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314325</xdr:colOff>
      <xdr:row>689</xdr:row>
      <xdr:rowOff>114300</xdr:rowOff>
    </xdr:from>
    <xdr:ext cx="1151857" cy="1162050"/>
    <xdr:pic>
      <xdr:nvPicPr>
        <xdr:cNvPr id="44" name="Image 1">
          <a:extLst>
            <a:ext uri="{FF2B5EF4-FFF2-40B4-BE49-F238E27FC236}">
              <a16:creationId xmlns:a16="http://schemas.microsoft.com/office/drawing/2014/main" id="{00000000-0008-0000-1D00-00002C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1553825" y="16516350"/>
          <a:ext cx="1151857"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314325</xdr:colOff>
      <xdr:row>722</xdr:row>
      <xdr:rowOff>114300</xdr:rowOff>
    </xdr:from>
    <xdr:ext cx="1151857" cy="1162050"/>
    <xdr:pic>
      <xdr:nvPicPr>
        <xdr:cNvPr id="46" name="Image 1">
          <a:extLst>
            <a:ext uri="{FF2B5EF4-FFF2-40B4-BE49-F238E27FC236}">
              <a16:creationId xmlns:a16="http://schemas.microsoft.com/office/drawing/2014/main" id="{00000000-0008-0000-1D00-00002E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1553825" y="16516350"/>
          <a:ext cx="1151857"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314325</xdr:colOff>
      <xdr:row>755</xdr:row>
      <xdr:rowOff>114300</xdr:rowOff>
    </xdr:from>
    <xdr:ext cx="1151857" cy="1162050"/>
    <xdr:pic>
      <xdr:nvPicPr>
        <xdr:cNvPr id="48" name="Image 1">
          <a:extLst>
            <a:ext uri="{FF2B5EF4-FFF2-40B4-BE49-F238E27FC236}">
              <a16:creationId xmlns:a16="http://schemas.microsoft.com/office/drawing/2014/main" id="{00000000-0008-0000-1D00-000030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1553825" y="16516350"/>
          <a:ext cx="1151857"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314325</xdr:colOff>
      <xdr:row>788</xdr:row>
      <xdr:rowOff>114300</xdr:rowOff>
    </xdr:from>
    <xdr:ext cx="1151857" cy="1162050"/>
    <xdr:pic>
      <xdr:nvPicPr>
        <xdr:cNvPr id="50" name="Image 1">
          <a:extLst>
            <a:ext uri="{FF2B5EF4-FFF2-40B4-BE49-F238E27FC236}">
              <a16:creationId xmlns:a16="http://schemas.microsoft.com/office/drawing/2014/main" id="{00000000-0008-0000-1D00-00003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818" t="8181" r="10909" b="10000"/>
        <a:stretch/>
      </xdr:blipFill>
      <xdr:spPr bwMode="auto">
        <a:xfrm>
          <a:off x="11553825" y="16516350"/>
          <a:ext cx="1151857"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14</xdr:col>
      <xdr:colOff>323850</xdr:colOff>
      <xdr:row>1</xdr:row>
      <xdr:rowOff>285750</xdr:rowOff>
    </xdr:from>
    <xdr:to>
      <xdr:col>16</xdr:col>
      <xdr:colOff>114300</xdr:colOff>
      <xdr:row>3</xdr:row>
      <xdr:rowOff>85725</xdr:rowOff>
    </xdr:to>
    <xdr:sp macro="[0]!jmk_RETOUR_MENU" textlink="">
      <xdr:nvSpPr>
        <xdr:cNvPr id="51" name="Rectangle à coins arrondis 50">
          <a:extLst>
            <a:ext uri="{FF2B5EF4-FFF2-40B4-BE49-F238E27FC236}">
              <a16:creationId xmlns:a16="http://schemas.microsoft.com/office/drawing/2014/main" id="{00000000-0008-0000-1D00-000033000000}"/>
            </a:ext>
          </a:extLst>
        </xdr:cNvPr>
        <xdr:cNvSpPr/>
      </xdr:nvSpPr>
      <xdr:spPr bwMode="auto">
        <a:xfrm>
          <a:off x="6877050" y="371475"/>
          <a:ext cx="800100" cy="43815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 MENUS</a:t>
          </a:r>
        </a:p>
      </xdr:txBody>
    </xdr:sp>
    <xdr:clientData fPrintsWithSheet="0"/>
  </xdr:twoCellAnchor>
  <xdr:twoCellAnchor>
    <xdr:from>
      <xdr:col>16</xdr:col>
      <xdr:colOff>342900</xdr:colOff>
      <xdr:row>3</xdr:row>
      <xdr:rowOff>57149</xdr:rowOff>
    </xdr:from>
    <xdr:to>
      <xdr:col>19</xdr:col>
      <xdr:colOff>266700</xdr:colOff>
      <xdr:row>6</xdr:row>
      <xdr:rowOff>9525</xdr:rowOff>
    </xdr:to>
    <xdr:sp macro="[0]!jmk_imp_feuille" textlink="">
      <xdr:nvSpPr>
        <xdr:cNvPr id="52" name="Rectangle à coins arrondis 51">
          <a:extLst>
            <a:ext uri="{FF2B5EF4-FFF2-40B4-BE49-F238E27FC236}">
              <a16:creationId xmlns:a16="http://schemas.microsoft.com/office/drawing/2014/main" id="{00000000-0008-0000-1D00-000034000000}"/>
            </a:ext>
          </a:extLst>
        </xdr:cNvPr>
        <xdr:cNvSpPr/>
      </xdr:nvSpPr>
      <xdr:spPr bwMode="auto">
        <a:xfrm>
          <a:off x="7524750" y="781049"/>
          <a:ext cx="1428750" cy="552451"/>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IMPRESSION</a:t>
          </a:r>
        </a:p>
      </xdr:txBody>
    </xdr:sp>
    <xdr:clientData fPrintsWithSheet="0"/>
  </xdr:twoCellAnchor>
  <xdr:twoCellAnchor editAs="oneCell">
    <xdr:from>
      <xdr:col>16</xdr:col>
      <xdr:colOff>13607</xdr:colOff>
      <xdr:row>34</xdr:row>
      <xdr:rowOff>244927</xdr:rowOff>
    </xdr:from>
    <xdr:to>
      <xdr:col>18</xdr:col>
      <xdr:colOff>697494</xdr:colOff>
      <xdr:row>38</xdr:row>
      <xdr:rowOff>122463</xdr:rowOff>
    </xdr:to>
    <xdr:pic>
      <xdr:nvPicPr>
        <xdr:cNvPr id="58" name="Image 57">
          <a:extLst>
            <a:ext uri="{FF2B5EF4-FFF2-40B4-BE49-F238E27FC236}">
              <a16:creationId xmlns:a16="http://schemas.microsoft.com/office/drawing/2014/main" id="{00000000-0008-0000-1D00-00003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98178" y="10681606"/>
          <a:ext cx="1513923" cy="898071"/>
        </a:xfrm>
        <a:prstGeom prst="rect">
          <a:avLst/>
        </a:prstGeom>
      </xdr:spPr>
    </xdr:pic>
    <xdr:clientData/>
  </xdr:twoCellAnchor>
  <xdr:twoCellAnchor editAs="oneCell">
    <xdr:from>
      <xdr:col>16</xdr:col>
      <xdr:colOff>54429</xdr:colOff>
      <xdr:row>68</xdr:row>
      <xdr:rowOff>27215</xdr:rowOff>
    </xdr:from>
    <xdr:to>
      <xdr:col>19</xdr:col>
      <xdr:colOff>13607</xdr:colOff>
      <xdr:row>71</xdr:row>
      <xdr:rowOff>193942</xdr:rowOff>
    </xdr:to>
    <xdr:pic>
      <xdr:nvPicPr>
        <xdr:cNvPr id="60" name="Image 59">
          <a:extLst>
            <a:ext uri="{FF2B5EF4-FFF2-40B4-BE49-F238E27FC236}">
              <a16:creationId xmlns:a16="http://schemas.microsoft.com/office/drawing/2014/main" id="{00000000-0008-0000-1D00-00003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239000" y="21118286"/>
          <a:ext cx="1496786" cy="887906"/>
        </a:xfrm>
        <a:prstGeom prst="rect">
          <a:avLst/>
        </a:prstGeom>
      </xdr:spPr>
    </xdr:pic>
    <xdr:clientData/>
  </xdr:twoCellAnchor>
  <xdr:twoCellAnchor editAs="oneCell">
    <xdr:from>
      <xdr:col>16</xdr:col>
      <xdr:colOff>27215</xdr:colOff>
      <xdr:row>101</xdr:row>
      <xdr:rowOff>0</xdr:rowOff>
    </xdr:from>
    <xdr:to>
      <xdr:col>18</xdr:col>
      <xdr:colOff>693965</xdr:colOff>
      <xdr:row>104</xdr:row>
      <xdr:rowOff>166727</xdr:rowOff>
    </xdr:to>
    <xdr:pic>
      <xdr:nvPicPr>
        <xdr:cNvPr id="61" name="Image 60">
          <a:extLst>
            <a:ext uri="{FF2B5EF4-FFF2-40B4-BE49-F238E27FC236}">
              <a16:creationId xmlns:a16="http://schemas.microsoft.com/office/drawing/2014/main" id="{00000000-0008-0000-1D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11786" y="31446107"/>
          <a:ext cx="1496786" cy="887906"/>
        </a:xfrm>
        <a:prstGeom prst="rect">
          <a:avLst/>
        </a:prstGeom>
      </xdr:spPr>
    </xdr:pic>
    <xdr:clientData/>
  </xdr:twoCellAnchor>
  <xdr:twoCellAnchor editAs="oneCell">
    <xdr:from>
      <xdr:col>16</xdr:col>
      <xdr:colOff>81643</xdr:colOff>
      <xdr:row>134</xdr:row>
      <xdr:rowOff>40821</xdr:rowOff>
    </xdr:from>
    <xdr:to>
      <xdr:col>19</xdr:col>
      <xdr:colOff>40821</xdr:colOff>
      <xdr:row>137</xdr:row>
      <xdr:rowOff>207549</xdr:rowOff>
    </xdr:to>
    <xdr:pic>
      <xdr:nvPicPr>
        <xdr:cNvPr id="62" name="Image 61">
          <a:extLst>
            <a:ext uri="{FF2B5EF4-FFF2-40B4-BE49-F238E27FC236}">
              <a16:creationId xmlns:a16="http://schemas.microsoft.com/office/drawing/2014/main" id="{00000000-0008-0000-1D00-00003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266214" y="41841964"/>
          <a:ext cx="1496786" cy="887906"/>
        </a:xfrm>
        <a:prstGeom prst="rect">
          <a:avLst/>
        </a:prstGeom>
      </xdr:spPr>
    </xdr:pic>
    <xdr:clientData/>
  </xdr:twoCellAnchor>
  <xdr:twoCellAnchor editAs="oneCell">
    <xdr:from>
      <xdr:col>16</xdr:col>
      <xdr:colOff>108857</xdr:colOff>
      <xdr:row>167</xdr:row>
      <xdr:rowOff>40820</xdr:rowOff>
    </xdr:from>
    <xdr:to>
      <xdr:col>19</xdr:col>
      <xdr:colOff>68035</xdr:colOff>
      <xdr:row>170</xdr:row>
      <xdr:rowOff>207548</xdr:rowOff>
    </xdr:to>
    <xdr:pic>
      <xdr:nvPicPr>
        <xdr:cNvPr id="63" name="Image 62">
          <a:extLst>
            <a:ext uri="{FF2B5EF4-FFF2-40B4-BE49-F238E27FC236}">
              <a16:creationId xmlns:a16="http://schemas.microsoft.com/office/drawing/2014/main" id="{00000000-0008-0000-1D00-00003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293428" y="52196999"/>
          <a:ext cx="1496786" cy="887906"/>
        </a:xfrm>
        <a:prstGeom prst="rect">
          <a:avLst/>
        </a:prstGeom>
      </xdr:spPr>
    </xdr:pic>
    <xdr:clientData/>
  </xdr:twoCellAnchor>
  <xdr:twoCellAnchor editAs="oneCell">
    <xdr:from>
      <xdr:col>16</xdr:col>
      <xdr:colOff>136071</xdr:colOff>
      <xdr:row>200</xdr:row>
      <xdr:rowOff>13607</xdr:rowOff>
    </xdr:from>
    <xdr:to>
      <xdr:col>19</xdr:col>
      <xdr:colOff>95249</xdr:colOff>
      <xdr:row>203</xdr:row>
      <xdr:rowOff>180334</xdr:rowOff>
    </xdr:to>
    <xdr:pic>
      <xdr:nvPicPr>
        <xdr:cNvPr id="64" name="Image 63">
          <a:extLst>
            <a:ext uri="{FF2B5EF4-FFF2-40B4-BE49-F238E27FC236}">
              <a16:creationId xmlns:a16="http://schemas.microsoft.com/office/drawing/2014/main" id="{00000000-0008-0000-1D00-00004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320642" y="62524821"/>
          <a:ext cx="1496786" cy="887906"/>
        </a:xfrm>
        <a:prstGeom prst="rect">
          <a:avLst/>
        </a:prstGeom>
      </xdr:spPr>
    </xdr:pic>
    <xdr:clientData/>
  </xdr:twoCellAnchor>
  <xdr:twoCellAnchor editAs="oneCell">
    <xdr:from>
      <xdr:col>16</xdr:col>
      <xdr:colOff>68036</xdr:colOff>
      <xdr:row>233</xdr:row>
      <xdr:rowOff>40821</xdr:rowOff>
    </xdr:from>
    <xdr:to>
      <xdr:col>19</xdr:col>
      <xdr:colOff>27214</xdr:colOff>
      <xdr:row>236</xdr:row>
      <xdr:rowOff>207548</xdr:rowOff>
    </xdr:to>
    <xdr:pic>
      <xdr:nvPicPr>
        <xdr:cNvPr id="65" name="Image 64">
          <a:extLst>
            <a:ext uri="{FF2B5EF4-FFF2-40B4-BE49-F238E27FC236}">
              <a16:creationId xmlns:a16="http://schemas.microsoft.com/office/drawing/2014/main" id="{00000000-0008-0000-1D00-00004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252607" y="72907071"/>
          <a:ext cx="1496786" cy="887906"/>
        </a:xfrm>
        <a:prstGeom prst="rect">
          <a:avLst/>
        </a:prstGeom>
      </xdr:spPr>
    </xdr:pic>
    <xdr:clientData/>
  </xdr:twoCellAnchor>
  <xdr:twoCellAnchor editAs="oneCell">
    <xdr:from>
      <xdr:col>16</xdr:col>
      <xdr:colOff>122464</xdr:colOff>
      <xdr:row>266</xdr:row>
      <xdr:rowOff>54429</xdr:rowOff>
    </xdr:from>
    <xdr:to>
      <xdr:col>19</xdr:col>
      <xdr:colOff>81642</xdr:colOff>
      <xdr:row>270</xdr:row>
      <xdr:rowOff>3442</xdr:rowOff>
    </xdr:to>
    <xdr:pic>
      <xdr:nvPicPr>
        <xdr:cNvPr id="66" name="Image 65">
          <a:extLst>
            <a:ext uri="{FF2B5EF4-FFF2-40B4-BE49-F238E27FC236}">
              <a16:creationId xmlns:a16="http://schemas.microsoft.com/office/drawing/2014/main" id="{00000000-0008-0000-1D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07035" y="83275715"/>
          <a:ext cx="1496786" cy="887906"/>
        </a:xfrm>
        <a:prstGeom prst="rect">
          <a:avLst/>
        </a:prstGeom>
      </xdr:spPr>
    </xdr:pic>
    <xdr:clientData/>
  </xdr:twoCellAnchor>
  <xdr:twoCellAnchor editAs="oneCell">
    <xdr:from>
      <xdr:col>16</xdr:col>
      <xdr:colOff>108857</xdr:colOff>
      <xdr:row>299</xdr:row>
      <xdr:rowOff>68036</xdr:rowOff>
    </xdr:from>
    <xdr:to>
      <xdr:col>19</xdr:col>
      <xdr:colOff>68035</xdr:colOff>
      <xdr:row>303</xdr:row>
      <xdr:rowOff>17049</xdr:rowOff>
    </xdr:to>
    <xdr:pic>
      <xdr:nvPicPr>
        <xdr:cNvPr id="67" name="Image 66">
          <a:extLst>
            <a:ext uri="{FF2B5EF4-FFF2-40B4-BE49-F238E27FC236}">
              <a16:creationId xmlns:a16="http://schemas.microsoft.com/office/drawing/2014/main" id="{00000000-0008-0000-1D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293428" y="93644357"/>
          <a:ext cx="1496786" cy="887906"/>
        </a:xfrm>
        <a:prstGeom prst="rect">
          <a:avLst/>
        </a:prstGeom>
      </xdr:spPr>
    </xdr:pic>
    <xdr:clientData/>
  </xdr:twoCellAnchor>
  <xdr:twoCellAnchor editAs="oneCell">
    <xdr:from>
      <xdr:col>16</xdr:col>
      <xdr:colOff>122464</xdr:colOff>
      <xdr:row>332</xdr:row>
      <xdr:rowOff>54429</xdr:rowOff>
    </xdr:from>
    <xdr:to>
      <xdr:col>19</xdr:col>
      <xdr:colOff>81642</xdr:colOff>
      <xdr:row>336</xdr:row>
      <xdr:rowOff>3442</xdr:rowOff>
    </xdr:to>
    <xdr:pic>
      <xdr:nvPicPr>
        <xdr:cNvPr id="68" name="Image 67">
          <a:extLst>
            <a:ext uri="{FF2B5EF4-FFF2-40B4-BE49-F238E27FC236}">
              <a16:creationId xmlns:a16="http://schemas.microsoft.com/office/drawing/2014/main" id="{00000000-0008-0000-1D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07035" y="103985786"/>
          <a:ext cx="1496786" cy="887906"/>
        </a:xfrm>
        <a:prstGeom prst="rect">
          <a:avLst/>
        </a:prstGeom>
      </xdr:spPr>
    </xdr:pic>
    <xdr:clientData/>
  </xdr:twoCellAnchor>
  <xdr:twoCellAnchor editAs="oneCell">
    <xdr:from>
      <xdr:col>16</xdr:col>
      <xdr:colOff>13607</xdr:colOff>
      <xdr:row>365</xdr:row>
      <xdr:rowOff>81643</xdr:rowOff>
    </xdr:from>
    <xdr:to>
      <xdr:col>18</xdr:col>
      <xdr:colOff>680357</xdr:colOff>
      <xdr:row>369</xdr:row>
      <xdr:rowOff>30656</xdr:rowOff>
    </xdr:to>
    <xdr:pic>
      <xdr:nvPicPr>
        <xdr:cNvPr id="69" name="Image 68">
          <a:extLst>
            <a:ext uri="{FF2B5EF4-FFF2-40B4-BE49-F238E27FC236}">
              <a16:creationId xmlns:a16="http://schemas.microsoft.com/office/drawing/2014/main" id="{00000000-0008-0000-1D00-00004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198178" y="114368036"/>
          <a:ext cx="1496786" cy="887906"/>
        </a:xfrm>
        <a:prstGeom prst="rect">
          <a:avLst/>
        </a:prstGeom>
      </xdr:spPr>
    </xdr:pic>
    <xdr:clientData/>
  </xdr:twoCellAnchor>
  <xdr:twoCellAnchor editAs="oneCell">
    <xdr:from>
      <xdr:col>16</xdr:col>
      <xdr:colOff>108858</xdr:colOff>
      <xdr:row>398</xdr:row>
      <xdr:rowOff>40820</xdr:rowOff>
    </xdr:from>
    <xdr:to>
      <xdr:col>19</xdr:col>
      <xdr:colOff>68036</xdr:colOff>
      <xdr:row>401</xdr:row>
      <xdr:rowOff>207548</xdr:rowOff>
    </xdr:to>
    <xdr:pic>
      <xdr:nvPicPr>
        <xdr:cNvPr id="70" name="Image 69">
          <a:extLst>
            <a:ext uri="{FF2B5EF4-FFF2-40B4-BE49-F238E27FC236}">
              <a16:creationId xmlns:a16="http://schemas.microsoft.com/office/drawing/2014/main" id="{00000000-0008-0000-1D00-00004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293429" y="124682249"/>
          <a:ext cx="1496786" cy="887906"/>
        </a:xfrm>
        <a:prstGeom prst="rect">
          <a:avLst/>
        </a:prstGeom>
      </xdr:spPr>
    </xdr:pic>
    <xdr:clientData/>
  </xdr:twoCellAnchor>
  <xdr:twoCellAnchor editAs="oneCell">
    <xdr:from>
      <xdr:col>16</xdr:col>
      <xdr:colOff>136071</xdr:colOff>
      <xdr:row>431</xdr:row>
      <xdr:rowOff>68036</xdr:rowOff>
    </xdr:from>
    <xdr:to>
      <xdr:col>19</xdr:col>
      <xdr:colOff>95249</xdr:colOff>
      <xdr:row>435</xdr:row>
      <xdr:rowOff>17049</xdr:rowOff>
    </xdr:to>
    <xdr:pic>
      <xdr:nvPicPr>
        <xdr:cNvPr id="71" name="Image 70">
          <a:extLst>
            <a:ext uri="{FF2B5EF4-FFF2-40B4-BE49-F238E27FC236}">
              <a16:creationId xmlns:a16="http://schemas.microsoft.com/office/drawing/2014/main" id="{00000000-0008-0000-1D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20642" y="135064500"/>
          <a:ext cx="1496786" cy="887906"/>
        </a:xfrm>
        <a:prstGeom prst="rect">
          <a:avLst/>
        </a:prstGeom>
      </xdr:spPr>
    </xdr:pic>
    <xdr:clientData/>
  </xdr:twoCellAnchor>
  <xdr:twoCellAnchor editAs="oneCell">
    <xdr:from>
      <xdr:col>16</xdr:col>
      <xdr:colOff>149679</xdr:colOff>
      <xdr:row>464</xdr:row>
      <xdr:rowOff>27214</xdr:rowOff>
    </xdr:from>
    <xdr:to>
      <xdr:col>19</xdr:col>
      <xdr:colOff>108857</xdr:colOff>
      <xdr:row>467</xdr:row>
      <xdr:rowOff>193941</xdr:rowOff>
    </xdr:to>
    <xdr:pic>
      <xdr:nvPicPr>
        <xdr:cNvPr id="72" name="Image 71">
          <a:extLst>
            <a:ext uri="{FF2B5EF4-FFF2-40B4-BE49-F238E27FC236}">
              <a16:creationId xmlns:a16="http://schemas.microsoft.com/office/drawing/2014/main" id="{00000000-0008-0000-1D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334250" y="145378714"/>
          <a:ext cx="1496786" cy="887906"/>
        </a:xfrm>
        <a:prstGeom prst="rect">
          <a:avLst/>
        </a:prstGeom>
      </xdr:spPr>
    </xdr:pic>
    <xdr:clientData/>
  </xdr:twoCellAnchor>
  <xdr:twoCellAnchor editAs="oneCell">
    <xdr:from>
      <xdr:col>16</xdr:col>
      <xdr:colOff>163286</xdr:colOff>
      <xdr:row>497</xdr:row>
      <xdr:rowOff>54429</xdr:rowOff>
    </xdr:from>
    <xdr:to>
      <xdr:col>19</xdr:col>
      <xdr:colOff>122464</xdr:colOff>
      <xdr:row>501</xdr:row>
      <xdr:rowOff>3442</xdr:rowOff>
    </xdr:to>
    <xdr:pic>
      <xdr:nvPicPr>
        <xdr:cNvPr id="73" name="Image 72">
          <a:extLst>
            <a:ext uri="{FF2B5EF4-FFF2-40B4-BE49-F238E27FC236}">
              <a16:creationId xmlns:a16="http://schemas.microsoft.com/office/drawing/2014/main" id="{00000000-0008-0000-1D00-00004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47857" y="155760965"/>
          <a:ext cx="1496786" cy="887906"/>
        </a:xfrm>
        <a:prstGeom prst="rect">
          <a:avLst/>
        </a:prstGeom>
      </xdr:spPr>
    </xdr:pic>
    <xdr:clientData/>
  </xdr:twoCellAnchor>
  <xdr:twoCellAnchor editAs="oneCell">
    <xdr:from>
      <xdr:col>16</xdr:col>
      <xdr:colOff>40821</xdr:colOff>
      <xdr:row>530</xdr:row>
      <xdr:rowOff>13607</xdr:rowOff>
    </xdr:from>
    <xdr:to>
      <xdr:col>19</xdr:col>
      <xdr:colOff>-1</xdr:colOff>
      <xdr:row>533</xdr:row>
      <xdr:rowOff>180334</xdr:rowOff>
    </xdr:to>
    <xdr:pic>
      <xdr:nvPicPr>
        <xdr:cNvPr id="74" name="Image 73">
          <a:extLst>
            <a:ext uri="{FF2B5EF4-FFF2-40B4-BE49-F238E27FC236}">
              <a16:creationId xmlns:a16="http://schemas.microsoft.com/office/drawing/2014/main" id="{00000000-0008-0000-1D00-00004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225392" y="166075178"/>
          <a:ext cx="1496786" cy="887906"/>
        </a:xfrm>
        <a:prstGeom prst="rect">
          <a:avLst/>
        </a:prstGeom>
      </xdr:spPr>
    </xdr:pic>
    <xdr:clientData/>
  </xdr:twoCellAnchor>
  <xdr:twoCellAnchor editAs="oneCell">
    <xdr:from>
      <xdr:col>16</xdr:col>
      <xdr:colOff>68035</xdr:colOff>
      <xdr:row>563</xdr:row>
      <xdr:rowOff>40822</xdr:rowOff>
    </xdr:from>
    <xdr:to>
      <xdr:col>19</xdr:col>
      <xdr:colOff>27213</xdr:colOff>
      <xdr:row>566</xdr:row>
      <xdr:rowOff>207549</xdr:rowOff>
    </xdr:to>
    <xdr:pic>
      <xdr:nvPicPr>
        <xdr:cNvPr id="75" name="Image 74">
          <a:extLst>
            <a:ext uri="{FF2B5EF4-FFF2-40B4-BE49-F238E27FC236}">
              <a16:creationId xmlns:a16="http://schemas.microsoft.com/office/drawing/2014/main" id="{00000000-0008-0000-1D00-00004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252606" y="176457429"/>
          <a:ext cx="1496786" cy="887906"/>
        </a:xfrm>
        <a:prstGeom prst="rect">
          <a:avLst/>
        </a:prstGeom>
      </xdr:spPr>
    </xdr:pic>
    <xdr:clientData/>
  </xdr:twoCellAnchor>
  <xdr:twoCellAnchor editAs="oneCell">
    <xdr:from>
      <xdr:col>16</xdr:col>
      <xdr:colOff>95250</xdr:colOff>
      <xdr:row>596</xdr:row>
      <xdr:rowOff>0</xdr:rowOff>
    </xdr:from>
    <xdr:to>
      <xdr:col>19</xdr:col>
      <xdr:colOff>54428</xdr:colOff>
      <xdr:row>599</xdr:row>
      <xdr:rowOff>166728</xdr:rowOff>
    </xdr:to>
    <xdr:pic>
      <xdr:nvPicPr>
        <xdr:cNvPr id="76" name="Image 75">
          <a:extLst>
            <a:ext uri="{FF2B5EF4-FFF2-40B4-BE49-F238E27FC236}">
              <a16:creationId xmlns:a16="http://schemas.microsoft.com/office/drawing/2014/main" id="{00000000-0008-0000-1D00-00004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279821" y="186771643"/>
          <a:ext cx="1496786" cy="887906"/>
        </a:xfrm>
        <a:prstGeom prst="rect">
          <a:avLst/>
        </a:prstGeom>
      </xdr:spPr>
    </xdr:pic>
    <xdr:clientData/>
  </xdr:twoCellAnchor>
  <xdr:twoCellAnchor editAs="oneCell">
    <xdr:from>
      <xdr:col>16</xdr:col>
      <xdr:colOff>108857</xdr:colOff>
      <xdr:row>629</xdr:row>
      <xdr:rowOff>54428</xdr:rowOff>
    </xdr:from>
    <xdr:to>
      <xdr:col>19</xdr:col>
      <xdr:colOff>68035</xdr:colOff>
      <xdr:row>633</xdr:row>
      <xdr:rowOff>3442</xdr:rowOff>
    </xdr:to>
    <xdr:pic>
      <xdr:nvPicPr>
        <xdr:cNvPr id="77" name="Image 76">
          <a:extLst>
            <a:ext uri="{FF2B5EF4-FFF2-40B4-BE49-F238E27FC236}">
              <a16:creationId xmlns:a16="http://schemas.microsoft.com/office/drawing/2014/main" id="{00000000-0008-0000-1D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293428" y="197181107"/>
          <a:ext cx="1496786" cy="887906"/>
        </a:xfrm>
        <a:prstGeom prst="rect">
          <a:avLst/>
        </a:prstGeom>
      </xdr:spPr>
    </xdr:pic>
    <xdr:clientData/>
  </xdr:twoCellAnchor>
  <xdr:twoCellAnchor editAs="oneCell">
    <xdr:from>
      <xdr:col>16</xdr:col>
      <xdr:colOff>95250</xdr:colOff>
      <xdr:row>662</xdr:row>
      <xdr:rowOff>0</xdr:rowOff>
    </xdr:from>
    <xdr:to>
      <xdr:col>19</xdr:col>
      <xdr:colOff>54428</xdr:colOff>
      <xdr:row>665</xdr:row>
      <xdr:rowOff>166727</xdr:rowOff>
    </xdr:to>
    <xdr:pic>
      <xdr:nvPicPr>
        <xdr:cNvPr id="78" name="Image 77">
          <a:extLst>
            <a:ext uri="{FF2B5EF4-FFF2-40B4-BE49-F238E27FC236}">
              <a16:creationId xmlns:a16="http://schemas.microsoft.com/office/drawing/2014/main" id="{00000000-0008-0000-1D00-00004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279821" y="207481714"/>
          <a:ext cx="1496786" cy="887906"/>
        </a:xfrm>
        <a:prstGeom prst="rect">
          <a:avLst/>
        </a:prstGeom>
      </xdr:spPr>
    </xdr:pic>
    <xdr:clientData/>
  </xdr:twoCellAnchor>
  <xdr:twoCellAnchor editAs="oneCell">
    <xdr:from>
      <xdr:col>16</xdr:col>
      <xdr:colOff>95250</xdr:colOff>
      <xdr:row>695</xdr:row>
      <xdr:rowOff>27214</xdr:rowOff>
    </xdr:from>
    <xdr:to>
      <xdr:col>19</xdr:col>
      <xdr:colOff>54428</xdr:colOff>
      <xdr:row>698</xdr:row>
      <xdr:rowOff>193941</xdr:rowOff>
    </xdr:to>
    <xdr:pic>
      <xdr:nvPicPr>
        <xdr:cNvPr id="79" name="Image 78">
          <a:extLst>
            <a:ext uri="{FF2B5EF4-FFF2-40B4-BE49-F238E27FC236}">
              <a16:creationId xmlns:a16="http://schemas.microsoft.com/office/drawing/2014/main" id="{00000000-0008-0000-1D00-00004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279821" y="217863964"/>
          <a:ext cx="1496786" cy="887906"/>
        </a:xfrm>
        <a:prstGeom prst="rect">
          <a:avLst/>
        </a:prstGeom>
      </xdr:spPr>
    </xdr:pic>
    <xdr:clientData/>
  </xdr:twoCellAnchor>
  <xdr:twoCellAnchor editAs="oneCell">
    <xdr:from>
      <xdr:col>16</xdr:col>
      <xdr:colOff>81643</xdr:colOff>
      <xdr:row>728</xdr:row>
      <xdr:rowOff>54429</xdr:rowOff>
    </xdr:from>
    <xdr:to>
      <xdr:col>19</xdr:col>
      <xdr:colOff>40821</xdr:colOff>
      <xdr:row>732</xdr:row>
      <xdr:rowOff>3442</xdr:rowOff>
    </xdr:to>
    <xdr:pic>
      <xdr:nvPicPr>
        <xdr:cNvPr id="80" name="Image 79">
          <a:extLst>
            <a:ext uri="{FF2B5EF4-FFF2-40B4-BE49-F238E27FC236}">
              <a16:creationId xmlns:a16="http://schemas.microsoft.com/office/drawing/2014/main" id="{00000000-0008-0000-1D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266214" y="228246215"/>
          <a:ext cx="1496786" cy="887906"/>
        </a:xfrm>
        <a:prstGeom prst="rect">
          <a:avLst/>
        </a:prstGeom>
      </xdr:spPr>
    </xdr:pic>
    <xdr:clientData/>
  </xdr:twoCellAnchor>
  <xdr:twoCellAnchor editAs="oneCell">
    <xdr:from>
      <xdr:col>16</xdr:col>
      <xdr:colOff>95250</xdr:colOff>
      <xdr:row>761</xdr:row>
      <xdr:rowOff>27214</xdr:rowOff>
    </xdr:from>
    <xdr:to>
      <xdr:col>19</xdr:col>
      <xdr:colOff>54428</xdr:colOff>
      <xdr:row>764</xdr:row>
      <xdr:rowOff>193941</xdr:rowOff>
    </xdr:to>
    <xdr:pic>
      <xdr:nvPicPr>
        <xdr:cNvPr id="81" name="Image 80">
          <a:extLst>
            <a:ext uri="{FF2B5EF4-FFF2-40B4-BE49-F238E27FC236}">
              <a16:creationId xmlns:a16="http://schemas.microsoft.com/office/drawing/2014/main" id="{00000000-0008-0000-1D00-00005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279821" y="238574035"/>
          <a:ext cx="1496786" cy="8879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28575</xdr:colOff>
      <xdr:row>0</xdr:row>
      <xdr:rowOff>28575</xdr:rowOff>
    </xdr:from>
    <xdr:to>
      <xdr:col>2</xdr:col>
      <xdr:colOff>429745</xdr:colOff>
      <xdr:row>0</xdr:row>
      <xdr:rowOff>228600</xdr:rowOff>
    </xdr:to>
    <xdr:sp macro="[0]!importCF_texte" textlink="">
      <xdr:nvSpPr>
        <xdr:cNvPr id="10241" name="Text Box 1">
          <a:extLst>
            <a:ext uri="{FF2B5EF4-FFF2-40B4-BE49-F238E27FC236}">
              <a16:creationId xmlns:a16="http://schemas.microsoft.com/office/drawing/2014/main" id="{00000000-0008-0000-0200-000001280000}"/>
            </a:ext>
          </a:extLst>
        </xdr:cNvPr>
        <xdr:cNvSpPr txBox="1">
          <a:spLocks noChangeArrowheads="1"/>
        </xdr:cNvSpPr>
      </xdr:nvSpPr>
      <xdr:spPr bwMode="auto">
        <a:xfrm>
          <a:off x="28575" y="28575"/>
          <a:ext cx="1495425" cy="200025"/>
        </a:xfrm>
        <a:prstGeom prst="rect">
          <a:avLst/>
        </a:prstGeom>
        <a:solidFill>
          <a:srgbClr val="FFCC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0000"/>
              </a:solidFill>
              <a:latin typeface="Arial"/>
              <a:cs typeface="Arial"/>
            </a:rPr>
            <a:t>Import fichier Internet</a:t>
          </a:r>
          <a:endParaRPr lang="fr-FR"/>
        </a:p>
      </xdr:txBody>
    </xdr:sp>
    <xdr:clientData fPrintsWithSheet="0"/>
  </xdr:twoCellAnchor>
  <xdr:twoCellAnchor editAs="absolute">
    <xdr:from>
      <xdr:col>2</xdr:col>
      <xdr:colOff>496420</xdr:colOff>
      <xdr:row>0</xdr:row>
      <xdr:rowOff>19050</xdr:rowOff>
    </xdr:from>
    <xdr:to>
      <xdr:col>3</xdr:col>
      <xdr:colOff>486149</xdr:colOff>
      <xdr:row>0</xdr:row>
      <xdr:rowOff>228600</xdr:rowOff>
    </xdr:to>
    <xdr:sp macro="[0]!Vider_Import_Internet" textlink="">
      <xdr:nvSpPr>
        <xdr:cNvPr id="10244" name="Text Box 4">
          <a:extLst>
            <a:ext uri="{FF2B5EF4-FFF2-40B4-BE49-F238E27FC236}">
              <a16:creationId xmlns:a16="http://schemas.microsoft.com/office/drawing/2014/main" id="{00000000-0008-0000-0200-000004280000}"/>
            </a:ext>
          </a:extLst>
        </xdr:cNvPr>
        <xdr:cNvSpPr txBox="1">
          <a:spLocks noChangeArrowheads="1"/>
        </xdr:cNvSpPr>
      </xdr:nvSpPr>
      <xdr:spPr bwMode="auto">
        <a:xfrm>
          <a:off x="1590675" y="19050"/>
          <a:ext cx="1543050" cy="209550"/>
        </a:xfrm>
        <a:prstGeom prst="rect">
          <a:avLst/>
        </a:prstGeom>
        <a:solidFill>
          <a:srgbClr val="FFCC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0000"/>
              </a:solidFill>
              <a:latin typeface="Arial"/>
              <a:cs typeface="Arial"/>
            </a:rPr>
            <a:t>Vider les données</a:t>
          </a:r>
          <a:endParaRPr lang="fr-FR"/>
        </a:p>
      </xdr:txBody>
    </xdr:sp>
    <xdr:clientData fPrintsWithSheet="0"/>
  </xdr:twoCellAnchor>
  <xdr:twoCellAnchor>
    <xdr:from>
      <xdr:col>6</xdr:col>
      <xdr:colOff>228600</xdr:colOff>
      <xdr:row>0</xdr:row>
      <xdr:rowOff>28576</xdr:rowOff>
    </xdr:from>
    <xdr:to>
      <xdr:col>7</xdr:col>
      <xdr:colOff>1524000</xdr:colOff>
      <xdr:row>0</xdr:row>
      <xdr:rowOff>238126</xdr:rowOff>
    </xdr:to>
    <xdr:sp macro="[0]!jmk_RETOUR_MENU" textlink="">
      <xdr:nvSpPr>
        <xdr:cNvPr id="4" name="Rectangle à coins arrondis 3">
          <a:extLst>
            <a:ext uri="{FF2B5EF4-FFF2-40B4-BE49-F238E27FC236}">
              <a16:creationId xmlns:a16="http://schemas.microsoft.com/office/drawing/2014/main" id="{00000000-0008-0000-0200-000004000000}"/>
            </a:ext>
          </a:extLst>
        </xdr:cNvPr>
        <xdr:cNvSpPr/>
      </xdr:nvSpPr>
      <xdr:spPr bwMode="auto">
        <a:xfrm>
          <a:off x="6800850" y="28576"/>
          <a:ext cx="1943100" cy="209550"/>
        </a:xfrm>
        <a:prstGeom prst="roundRect">
          <a:avLst/>
        </a:prstGeom>
        <a:solidFill>
          <a:srgbClr val="00FF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 MENUS</a:t>
          </a: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20</xdr:col>
      <xdr:colOff>549684</xdr:colOff>
      <xdr:row>5</xdr:row>
      <xdr:rowOff>95250</xdr:rowOff>
    </xdr:from>
    <xdr:to>
      <xdr:col>22</xdr:col>
      <xdr:colOff>299357</xdr:colOff>
      <xdr:row>10</xdr:row>
      <xdr:rowOff>114300</xdr:rowOff>
    </xdr:to>
    <xdr:pic>
      <xdr:nvPicPr>
        <xdr:cNvPr id="3" name="Image 1">
          <a:extLst>
            <a:ext uri="{FF2B5EF4-FFF2-40B4-BE49-F238E27FC236}">
              <a16:creationId xmlns:a16="http://schemas.microsoft.com/office/drawing/2014/main" id="{00000000-0008-0000-1E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14769148" y="1660071"/>
          <a:ext cx="1273673" cy="1325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21772</xdr:colOff>
      <xdr:row>1</xdr:row>
      <xdr:rowOff>269421</xdr:rowOff>
    </xdr:from>
    <xdr:to>
      <xdr:col>16</xdr:col>
      <xdr:colOff>478972</xdr:colOff>
      <xdr:row>2</xdr:row>
      <xdr:rowOff>276226</xdr:rowOff>
    </xdr:to>
    <xdr:sp macro="[0]!jmk_RETOUR_MENU" textlink="">
      <xdr:nvSpPr>
        <xdr:cNvPr id="50" name="Rectangle à coins arrondis 49">
          <a:extLst>
            <a:ext uri="{FF2B5EF4-FFF2-40B4-BE49-F238E27FC236}">
              <a16:creationId xmlns:a16="http://schemas.microsoft.com/office/drawing/2014/main" id="{00000000-0008-0000-1E00-000032000000}"/>
            </a:ext>
          </a:extLst>
        </xdr:cNvPr>
        <xdr:cNvSpPr/>
      </xdr:nvSpPr>
      <xdr:spPr bwMode="auto">
        <a:xfrm>
          <a:off x="11111593" y="351064"/>
          <a:ext cx="742950" cy="442233"/>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 MENUS</a:t>
          </a:r>
        </a:p>
      </xdr:txBody>
    </xdr:sp>
    <xdr:clientData fPrintsWithSheet="0"/>
  </xdr:twoCellAnchor>
  <xdr:twoCellAnchor>
    <xdr:from>
      <xdr:col>17</xdr:col>
      <xdr:colOff>133350</xdr:colOff>
      <xdr:row>0</xdr:row>
      <xdr:rowOff>38099</xdr:rowOff>
    </xdr:from>
    <xdr:to>
      <xdr:col>18</xdr:col>
      <xdr:colOff>971550</xdr:colOff>
      <xdr:row>3</xdr:row>
      <xdr:rowOff>85725</xdr:rowOff>
    </xdr:to>
    <xdr:sp macro="[0]!jmk_imp_feuille" textlink="">
      <xdr:nvSpPr>
        <xdr:cNvPr id="51" name="Rectangle à coins arrondis 50">
          <a:extLst>
            <a:ext uri="{FF2B5EF4-FFF2-40B4-BE49-F238E27FC236}">
              <a16:creationId xmlns:a16="http://schemas.microsoft.com/office/drawing/2014/main" id="{00000000-0008-0000-1E00-000033000000}"/>
            </a:ext>
          </a:extLst>
        </xdr:cNvPr>
        <xdr:cNvSpPr/>
      </xdr:nvSpPr>
      <xdr:spPr bwMode="auto">
        <a:xfrm>
          <a:off x="24574500" y="38099"/>
          <a:ext cx="1600200" cy="790576"/>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IMPRESSION</a:t>
          </a:r>
        </a:p>
      </xdr:txBody>
    </xdr:sp>
    <xdr:clientData fPrintsWithSheet="0"/>
  </xdr:twoCellAnchor>
  <xdr:twoCellAnchor editAs="oneCell">
    <xdr:from>
      <xdr:col>0</xdr:col>
      <xdr:colOff>326571</xdr:colOff>
      <xdr:row>2</xdr:row>
      <xdr:rowOff>81642</xdr:rowOff>
    </xdr:from>
    <xdr:to>
      <xdr:col>2</xdr:col>
      <xdr:colOff>748393</xdr:colOff>
      <xdr:row>5</xdr:row>
      <xdr:rowOff>188168</xdr:rowOff>
    </xdr:to>
    <xdr:pic>
      <xdr:nvPicPr>
        <xdr:cNvPr id="52" name="Image 51">
          <a:extLst>
            <a:ext uri="{FF2B5EF4-FFF2-40B4-BE49-F238E27FC236}">
              <a16:creationId xmlns:a16="http://schemas.microsoft.com/office/drawing/2014/main" id="{00000000-0008-0000-1E00-00003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571" y="462642"/>
          <a:ext cx="1945822" cy="1154276"/>
        </a:xfrm>
        <a:prstGeom prst="rect">
          <a:avLst/>
        </a:prstGeom>
      </xdr:spPr>
    </xdr:pic>
    <xdr:clientData/>
  </xdr:twoCellAnchor>
  <xdr:oneCellAnchor>
    <xdr:from>
      <xdr:col>20</xdr:col>
      <xdr:colOff>549684</xdr:colOff>
      <xdr:row>35</xdr:row>
      <xdr:rowOff>95250</xdr:rowOff>
    </xdr:from>
    <xdr:ext cx="1374365" cy="1325336"/>
    <xdr:pic>
      <xdr:nvPicPr>
        <xdr:cNvPr id="6" name="Image 1">
          <a:extLst>
            <a:ext uri="{FF2B5EF4-FFF2-40B4-BE49-F238E27FC236}">
              <a16:creationId xmlns:a16="http://schemas.microsoft.com/office/drawing/2014/main" id="{00000000-0008-0000-1E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14769148" y="1660071"/>
          <a:ext cx="1374365" cy="1325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326571</xdr:colOff>
      <xdr:row>32</xdr:row>
      <xdr:rowOff>81642</xdr:rowOff>
    </xdr:from>
    <xdr:ext cx="1945822" cy="1154276"/>
    <xdr:pic>
      <xdr:nvPicPr>
        <xdr:cNvPr id="9" name="Image 8">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571" y="598713"/>
          <a:ext cx="1945822" cy="1154276"/>
        </a:xfrm>
        <a:prstGeom prst="rect">
          <a:avLst/>
        </a:prstGeom>
      </xdr:spPr>
    </xdr:pic>
    <xdr:clientData/>
  </xdr:oneCellAnchor>
  <xdr:oneCellAnchor>
    <xdr:from>
      <xdr:col>20</xdr:col>
      <xdr:colOff>549684</xdr:colOff>
      <xdr:row>65</xdr:row>
      <xdr:rowOff>95250</xdr:rowOff>
    </xdr:from>
    <xdr:ext cx="1374365" cy="1325336"/>
    <xdr:pic>
      <xdr:nvPicPr>
        <xdr:cNvPr id="57" name="Image 1">
          <a:extLst>
            <a:ext uri="{FF2B5EF4-FFF2-40B4-BE49-F238E27FC236}">
              <a16:creationId xmlns:a16="http://schemas.microsoft.com/office/drawing/2014/main" id="{00000000-0008-0000-1E00-00003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14769148" y="13607143"/>
          <a:ext cx="1374365" cy="1325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326571</xdr:colOff>
      <xdr:row>62</xdr:row>
      <xdr:rowOff>81642</xdr:rowOff>
    </xdr:from>
    <xdr:ext cx="1945822" cy="1154276"/>
    <xdr:pic>
      <xdr:nvPicPr>
        <xdr:cNvPr id="58" name="Image 57">
          <a:extLst>
            <a:ext uri="{FF2B5EF4-FFF2-40B4-BE49-F238E27FC236}">
              <a16:creationId xmlns:a16="http://schemas.microsoft.com/office/drawing/2014/main" id="{00000000-0008-0000-1E00-00003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571" y="12545785"/>
          <a:ext cx="1945822" cy="1154276"/>
        </a:xfrm>
        <a:prstGeom prst="rect">
          <a:avLst/>
        </a:prstGeom>
      </xdr:spPr>
    </xdr:pic>
    <xdr:clientData/>
  </xdr:oneCellAnchor>
  <xdr:oneCellAnchor>
    <xdr:from>
      <xdr:col>20</xdr:col>
      <xdr:colOff>549684</xdr:colOff>
      <xdr:row>95</xdr:row>
      <xdr:rowOff>95250</xdr:rowOff>
    </xdr:from>
    <xdr:ext cx="1374365" cy="1325336"/>
    <xdr:pic>
      <xdr:nvPicPr>
        <xdr:cNvPr id="59" name="Image 1">
          <a:extLst>
            <a:ext uri="{FF2B5EF4-FFF2-40B4-BE49-F238E27FC236}">
              <a16:creationId xmlns:a16="http://schemas.microsoft.com/office/drawing/2014/main" id="{00000000-0008-0000-1E00-00003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14769148" y="13607143"/>
          <a:ext cx="1374365" cy="1325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326571</xdr:colOff>
      <xdr:row>92</xdr:row>
      <xdr:rowOff>81642</xdr:rowOff>
    </xdr:from>
    <xdr:ext cx="1945822" cy="1154276"/>
    <xdr:pic>
      <xdr:nvPicPr>
        <xdr:cNvPr id="60" name="Image 59">
          <a:extLst>
            <a:ext uri="{FF2B5EF4-FFF2-40B4-BE49-F238E27FC236}">
              <a16:creationId xmlns:a16="http://schemas.microsoft.com/office/drawing/2014/main" id="{00000000-0008-0000-1E00-00003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571" y="12545785"/>
          <a:ext cx="1945822" cy="1154276"/>
        </a:xfrm>
        <a:prstGeom prst="rect">
          <a:avLst/>
        </a:prstGeom>
      </xdr:spPr>
    </xdr:pic>
    <xdr:clientData/>
  </xdr:oneCellAnchor>
  <xdr:oneCellAnchor>
    <xdr:from>
      <xdr:col>20</xdr:col>
      <xdr:colOff>549684</xdr:colOff>
      <xdr:row>125</xdr:row>
      <xdr:rowOff>95250</xdr:rowOff>
    </xdr:from>
    <xdr:ext cx="1374365" cy="1325336"/>
    <xdr:pic>
      <xdr:nvPicPr>
        <xdr:cNvPr id="61" name="Image 1">
          <a:extLst>
            <a:ext uri="{FF2B5EF4-FFF2-40B4-BE49-F238E27FC236}">
              <a16:creationId xmlns:a16="http://schemas.microsoft.com/office/drawing/2014/main" id="{00000000-0008-0000-1E00-00003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14769148" y="13607143"/>
          <a:ext cx="1374365" cy="1325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326571</xdr:colOff>
      <xdr:row>122</xdr:row>
      <xdr:rowOff>81642</xdr:rowOff>
    </xdr:from>
    <xdr:ext cx="1945822" cy="1154276"/>
    <xdr:pic>
      <xdr:nvPicPr>
        <xdr:cNvPr id="62" name="Image 61">
          <a:extLst>
            <a:ext uri="{FF2B5EF4-FFF2-40B4-BE49-F238E27FC236}">
              <a16:creationId xmlns:a16="http://schemas.microsoft.com/office/drawing/2014/main" id="{00000000-0008-0000-1E00-00003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571" y="12545785"/>
          <a:ext cx="1945822" cy="1154276"/>
        </a:xfrm>
        <a:prstGeom prst="rect">
          <a:avLst/>
        </a:prstGeom>
      </xdr:spPr>
    </xdr:pic>
    <xdr:clientData/>
  </xdr:oneCellAnchor>
  <xdr:oneCellAnchor>
    <xdr:from>
      <xdr:col>20</xdr:col>
      <xdr:colOff>549684</xdr:colOff>
      <xdr:row>155</xdr:row>
      <xdr:rowOff>95250</xdr:rowOff>
    </xdr:from>
    <xdr:ext cx="1374365" cy="1325336"/>
    <xdr:pic>
      <xdr:nvPicPr>
        <xdr:cNvPr id="63" name="Image 1">
          <a:extLst>
            <a:ext uri="{FF2B5EF4-FFF2-40B4-BE49-F238E27FC236}">
              <a16:creationId xmlns:a16="http://schemas.microsoft.com/office/drawing/2014/main" id="{00000000-0008-0000-1E00-00003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14769148" y="13607143"/>
          <a:ext cx="1374365" cy="1325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326571</xdr:colOff>
      <xdr:row>152</xdr:row>
      <xdr:rowOff>81642</xdr:rowOff>
    </xdr:from>
    <xdr:ext cx="1945822" cy="1154276"/>
    <xdr:pic>
      <xdr:nvPicPr>
        <xdr:cNvPr id="64" name="Image 63">
          <a:extLst>
            <a:ext uri="{FF2B5EF4-FFF2-40B4-BE49-F238E27FC236}">
              <a16:creationId xmlns:a16="http://schemas.microsoft.com/office/drawing/2014/main" id="{00000000-0008-0000-1E00-00004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571" y="12545785"/>
          <a:ext cx="1945822" cy="1154276"/>
        </a:xfrm>
        <a:prstGeom prst="rect">
          <a:avLst/>
        </a:prstGeom>
      </xdr:spPr>
    </xdr:pic>
    <xdr:clientData/>
  </xdr:oneCellAnchor>
  <xdr:oneCellAnchor>
    <xdr:from>
      <xdr:col>20</xdr:col>
      <xdr:colOff>549684</xdr:colOff>
      <xdr:row>185</xdr:row>
      <xdr:rowOff>95250</xdr:rowOff>
    </xdr:from>
    <xdr:ext cx="1374365" cy="1325336"/>
    <xdr:pic>
      <xdr:nvPicPr>
        <xdr:cNvPr id="65" name="Image 1">
          <a:extLst>
            <a:ext uri="{FF2B5EF4-FFF2-40B4-BE49-F238E27FC236}">
              <a16:creationId xmlns:a16="http://schemas.microsoft.com/office/drawing/2014/main" id="{00000000-0008-0000-1E00-00004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14769148" y="13607143"/>
          <a:ext cx="1374365" cy="1325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326571</xdr:colOff>
      <xdr:row>182</xdr:row>
      <xdr:rowOff>81642</xdr:rowOff>
    </xdr:from>
    <xdr:ext cx="1945822" cy="1154276"/>
    <xdr:pic>
      <xdr:nvPicPr>
        <xdr:cNvPr id="66" name="Image 65">
          <a:extLst>
            <a:ext uri="{FF2B5EF4-FFF2-40B4-BE49-F238E27FC236}">
              <a16:creationId xmlns:a16="http://schemas.microsoft.com/office/drawing/2014/main" id="{00000000-0008-0000-1E00-00004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571" y="12545785"/>
          <a:ext cx="1945822" cy="1154276"/>
        </a:xfrm>
        <a:prstGeom prst="rect">
          <a:avLst/>
        </a:prstGeom>
      </xdr:spPr>
    </xdr:pic>
    <xdr:clientData/>
  </xdr:oneCellAnchor>
  <xdr:oneCellAnchor>
    <xdr:from>
      <xdr:col>20</xdr:col>
      <xdr:colOff>549684</xdr:colOff>
      <xdr:row>215</xdr:row>
      <xdr:rowOff>95250</xdr:rowOff>
    </xdr:from>
    <xdr:ext cx="1374365" cy="1325336"/>
    <xdr:pic>
      <xdr:nvPicPr>
        <xdr:cNvPr id="67" name="Image 1">
          <a:extLst>
            <a:ext uri="{FF2B5EF4-FFF2-40B4-BE49-F238E27FC236}">
              <a16:creationId xmlns:a16="http://schemas.microsoft.com/office/drawing/2014/main" id="{00000000-0008-0000-1E00-00004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14769148" y="13607143"/>
          <a:ext cx="1374365" cy="1325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326571</xdr:colOff>
      <xdr:row>212</xdr:row>
      <xdr:rowOff>81642</xdr:rowOff>
    </xdr:from>
    <xdr:ext cx="1945822" cy="1154276"/>
    <xdr:pic>
      <xdr:nvPicPr>
        <xdr:cNvPr id="68" name="Image 67">
          <a:extLst>
            <a:ext uri="{FF2B5EF4-FFF2-40B4-BE49-F238E27FC236}">
              <a16:creationId xmlns:a16="http://schemas.microsoft.com/office/drawing/2014/main" id="{00000000-0008-0000-1E00-00004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571" y="12545785"/>
          <a:ext cx="1945822" cy="1154276"/>
        </a:xfrm>
        <a:prstGeom prst="rect">
          <a:avLst/>
        </a:prstGeom>
      </xdr:spPr>
    </xdr:pic>
    <xdr:clientData/>
  </xdr:oneCellAnchor>
  <xdr:oneCellAnchor>
    <xdr:from>
      <xdr:col>20</xdr:col>
      <xdr:colOff>549684</xdr:colOff>
      <xdr:row>245</xdr:row>
      <xdr:rowOff>95250</xdr:rowOff>
    </xdr:from>
    <xdr:ext cx="1374365" cy="1325336"/>
    <xdr:pic>
      <xdr:nvPicPr>
        <xdr:cNvPr id="69" name="Image 1">
          <a:extLst>
            <a:ext uri="{FF2B5EF4-FFF2-40B4-BE49-F238E27FC236}">
              <a16:creationId xmlns:a16="http://schemas.microsoft.com/office/drawing/2014/main" id="{00000000-0008-0000-1E00-00004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14769148" y="13607143"/>
          <a:ext cx="1374365" cy="1325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326571</xdr:colOff>
      <xdr:row>242</xdr:row>
      <xdr:rowOff>81642</xdr:rowOff>
    </xdr:from>
    <xdr:ext cx="1945822" cy="1154276"/>
    <xdr:pic>
      <xdr:nvPicPr>
        <xdr:cNvPr id="70" name="Image 69">
          <a:extLst>
            <a:ext uri="{FF2B5EF4-FFF2-40B4-BE49-F238E27FC236}">
              <a16:creationId xmlns:a16="http://schemas.microsoft.com/office/drawing/2014/main" id="{00000000-0008-0000-1E00-00004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571" y="12545785"/>
          <a:ext cx="1945822" cy="1154276"/>
        </a:xfrm>
        <a:prstGeom prst="rect">
          <a:avLst/>
        </a:prstGeom>
      </xdr:spPr>
    </xdr:pic>
    <xdr:clientData/>
  </xdr:oneCellAnchor>
  <xdr:oneCellAnchor>
    <xdr:from>
      <xdr:col>20</xdr:col>
      <xdr:colOff>549684</xdr:colOff>
      <xdr:row>275</xdr:row>
      <xdr:rowOff>95250</xdr:rowOff>
    </xdr:from>
    <xdr:ext cx="1374365" cy="1325336"/>
    <xdr:pic>
      <xdr:nvPicPr>
        <xdr:cNvPr id="71" name="Image 1">
          <a:extLst>
            <a:ext uri="{FF2B5EF4-FFF2-40B4-BE49-F238E27FC236}">
              <a16:creationId xmlns:a16="http://schemas.microsoft.com/office/drawing/2014/main" id="{00000000-0008-0000-1E00-00004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14769148" y="13607143"/>
          <a:ext cx="1374365" cy="1325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326571</xdr:colOff>
      <xdr:row>272</xdr:row>
      <xdr:rowOff>81642</xdr:rowOff>
    </xdr:from>
    <xdr:ext cx="1945822" cy="1154276"/>
    <xdr:pic>
      <xdr:nvPicPr>
        <xdr:cNvPr id="72" name="Image 71">
          <a:extLst>
            <a:ext uri="{FF2B5EF4-FFF2-40B4-BE49-F238E27FC236}">
              <a16:creationId xmlns:a16="http://schemas.microsoft.com/office/drawing/2014/main" id="{00000000-0008-0000-1E00-00004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571" y="12545785"/>
          <a:ext cx="1945822" cy="1154276"/>
        </a:xfrm>
        <a:prstGeom prst="rect">
          <a:avLst/>
        </a:prstGeom>
      </xdr:spPr>
    </xdr:pic>
    <xdr:clientData/>
  </xdr:oneCellAnchor>
  <xdr:oneCellAnchor>
    <xdr:from>
      <xdr:col>20</xdr:col>
      <xdr:colOff>549684</xdr:colOff>
      <xdr:row>305</xdr:row>
      <xdr:rowOff>95250</xdr:rowOff>
    </xdr:from>
    <xdr:ext cx="1374365" cy="1325336"/>
    <xdr:pic>
      <xdr:nvPicPr>
        <xdr:cNvPr id="73" name="Image 1">
          <a:extLst>
            <a:ext uri="{FF2B5EF4-FFF2-40B4-BE49-F238E27FC236}">
              <a16:creationId xmlns:a16="http://schemas.microsoft.com/office/drawing/2014/main" id="{00000000-0008-0000-1E00-00004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14769148" y="13607143"/>
          <a:ext cx="1374365" cy="1325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326571</xdr:colOff>
      <xdr:row>302</xdr:row>
      <xdr:rowOff>81642</xdr:rowOff>
    </xdr:from>
    <xdr:ext cx="1945822" cy="1154276"/>
    <xdr:pic>
      <xdr:nvPicPr>
        <xdr:cNvPr id="74" name="Image 73">
          <a:extLst>
            <a:ext uri="{FF2B5EF4-FFF2-40B4-BE49-F238E27FC236}">
              <a16:creationId xmlns:a16="http://schemas.microsoft.com/office/drawing/2014/main" id="{00000000-0008-0000-1E00-00004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571" y="12545785"/>
          <a:ext cx="1945822" cy="1154276"/>
        </a:xfrm>
        <a:prstGeom prst="rect">
          <a:avLst/>
        </a:prstGeom>
      </xdr:spPr>
    </xdr:pic>
    <xdr:clientData/>
  </xdr:oneCellAnchor>
  <xdr:oneCellAnchor>
    <xdr:from>
      <xdr:col>20</xdr:col>
      <xdr:colOff>549684</xdr:colOff>
      <xdr:row>335</xdr:row>
      <xdr:rowOff>95250</xdr:rowOff>
    </xdr:from>
    <xdr:ext cx="1374365" cy="1325336"/>
    <xdr:pic>
      <xdr:nvPicPr>
        <xdr:cNvPr id="75" name="Image 1">
          <a:extLst>
            <a:ext uri="{FF2B5EF4-FFF2-40B4-BE49-F238E27FC236}">
              <a16:creationId xmlns:a16="http://schemas.microsoft.com/office/drawing/2014/main" id="{00000000-0008-0000-1E00-00004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14769148" y="13607143"/>
          <a:ext cx="1374365" cy="1325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326571</xdr:colOff>
      <xdr:row>332</xdr:row>
      <xdr:rowOff>81642</xdr:rowOff>
    </xdr:from>
    <xdr:ext cx="1945822" cy="1154276"/>
    <xdr:pic>
      <xdr:nvPicPr>
        <xdr:cNvPr id="76" name="Image 75">
          <a:extLst>
            <a:ext uri="{FF2B5EF4-FFF2-40B4-BE49-F238E27FC236}">
              <a16:creationId xmlns:a16="http://schemas.microsoft.com/office/drawing/2014/main" id="{00000000-0008-0000-1E00-00004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571" y="12545785"/>
          <a:ext cx="1945822" cy="1154276"/>
        </a:xfrm>
        <a:prstGeom prst="rect">
          <a:avLst/>
        </a:prstGeom>
      </xdr:spPr>
    </xdr:pic>
    <xdr:clientData/>
  </xdr:oneCellAnchor>
  <xdr:oneCellAnchor>
    <xdr:from>
      <xdr:col>20</xdr:col>
      <xdr:colOff>549684</xdr:colOff>
      <xdr:row>365</xdr:row>
      <xdr:rowOff>95250</xdr:rowOff>
    </xdr:from>
    <xdr:ext cx="1374365" cy="1325336"/>
    <xdr:pic>
      <xdr:nvPicPr>
        <xdr:cNvPr id="77" name="Image 1">
          <a:extLst>
            <a:ext uri="{FF2B5EF4-FFF2-40B4-BE49-F238E27FC236}">
              <a16:creationId xmlns:a16="http://schemas.microsoft.com/office/drawing/2014/main" id="{00000000-0008-0000-1E00-00004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14769148" y="13607143"/>
          <a:ext cx="1374365" cy="1325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326571</xdr:colOff>
      <xdr:row>362</xdr:row>
      <xdr:rowOff>81642</xdr:rowOff>
    </xdr:from>
    <xdr:ext cx="1945822" cy="1154276"/>
    <xdr:pic>
      <xdr:nvPicPr>
        <xdr:cNvPr id="78" name="Image 77">
          <a:extLst>
            <a:ext uri="{FF2B5EF4-FFF2-40B4-BE49-F238E27FC236}">
              <a16:creationId xmlns:a16="http://schemas.microsoft.com/office/drawing/2014/main" id="{00000000-0008-0000-1E00-00004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571" y="12545785"/>
          <a:ext cx="1945822" cy="1154276"/>
        </a:xfrm>
        <a:prstGeom prst="rect">
          <a:avLst/>
        </a:prstGeom>
      </xdr:spPr>
    </xdr:pic>
    <xdr:clientData/>
  </xdr:oneCellAnchor>
  <xdr:oneCellAnchor>
    <xdr:from>
      <xdr:col>20</xdr:col>
      <xdr:colOff>549684</xdr:colOff>
      <xdr:row>395</xdr:row>
      <xdr:rowOff>95250</xdr:rowOff>
    </xdr:from>
    <xdr:ext cx="1374365" cy="1325336"/>
    <xdr:pic>
      <xdr:nvPicPr>
        <xdr:cNvPr id="79" name="Image 1">
          <a:extLst>
            <a:ext uri="{FF2B5EF4-FFF2-40B4-BE49-F238E27FC236}">
              <a16:creationId xmlns:a16="http://schemas.microsoft.com/office/drawing/2014/main" id="{00000000-0008-0000-1E00-00004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14769148" y="13607143"/>
          <a:ext cx="1374365" cy="1325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326571</xdr:colOff>
      <xdr:row>392</xdr:row>
      <xdr:rowOff>81642</xdr:rowOff>
    </xdr:from>
    <xdr:ext cx="1945822" cy="1154276"/>
    <xdr:pic>
      <xdr:nvPicPr>
        <xdr:cNvPr id="80" name="Image 79">
          <a:extLst>
            <a:ext uri="{FF2B5EF4-FFF2-40B4-BE49-F238E27FC236}">
              <a16:creationId xmlns:a16="http://schemas.microsoft.com/office/drawing/2014/main" id="{00000000-0008-0000-1E00-00005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571" y="12545785"/>
          <a:ext cx="1945822" cy="1154276"/>
        </a:xfrm>
        <a:prstGeom prst="rect">
          <a:avLst/>
        </a:prstGeom>
      </xdr:spPr>
    </xdr:pic>
    <xdr:clientData/>
  </xdr:oneCellAnchor>
  <xdr:oneCellAnchor>
    <xdr:from>
      <xdr:col>20</xdr:col>
      <xdr:colOff>549684</xdr:colOff>
      <xdr:row>425</xdr:row>
      <xdr:rowOff>95250</xdr:rowOff>
    </xdr:from>
    <xdr:ext cx="1374365" cy="1325336"/>
    <xdr:pic>
      <xdr:nvPicPr>
        <xdr:cNvPr id="81" name="Image 1">
          <a:extLst>
            <a:ext uri="{FF2B5EF4-FFF2-40B4-BE49-F238E27FC236}">
              <a16:creationId xmlns:a16="http://schemas.microsoft.com/office/drawing/2014/main" id="{00000000-0008-0000-1E00-00005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14769148" y="13607143"/>
          <a:ext cx="1374365" cy="1325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326571</xdr:colOff>
      <xdr:row>422</xdr:row>
      <xdr:rowOff>81642</xdr:rowOff>
    </xdr:from>
    <xdr:ext cx="1945822" cy="1154276"/>
    <xdr:pic>
      <xdr:nvPicPr>
        <xdr:cNvPr id="82" name="Image 81">
          <a:extLst>
            <a:ext uri="{FF2B5EF4-FFF2-40B4-BE49-F238E27FC236}">
              <a16:creationId xmlns:a16="http://schemas.microsoft.com/office/drawing/2014/main" id="{00000000-0008-0000-1E00-00005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571" y="12545785"/>
          <a:ext cx="1945822" cy="1154276"/>
        </a:xfrm>
        <a:prstGeom prst="rect">
          <a:avLst/>
        </a:prstGeom>
      </xdr:spPr>
    </xdr:pic>
    <xdr:clientData/>
  </xdr:oneCellAnchor>
  <xdr:oneCellAnchor>
    <xdr:from>
      <xdr:col>20</xdr:col>
      <xdr:colOff>549684</xdr:colOff>
      <xdr:row>455</xdr:row>
      <xdr:rowOff>95250</xdr:rowOff>
    </xdr:from>
    <xdr:ext cx="1374365" cy="1325336"/>
    <xdr:pic>
      <xdr:nvPicPr>
        <xdr:cNvPr id="83" name="Image 1">
          <a:extLst>
            <a:ext uri="{FF2B5EF4-FFF2-40B4-BE49-F238E27FC236}">
              <a16:creationId xmlns:a16="http://schemas.microsoft.com/office/drawing/2014/main" id="{00000000-0008-0000-1E00-00005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14769148" y="13607143"/>
          <a:ext cx="1374365" cy="1325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326571</xdr:colOff>
      <xdr:row>452</xdr:row>
      <xdr:rowOff>81642</xdr:rowOff>
    </xdr:from>
    <xdr:ext cx="1945822" cy="1154276"/>
    <xdr:pic>
      <xdr:nvPicPr>
        <xdr:cNvPr id="84" name="Image 83">
          <a:extLst>
            <a:ext uri="{FF2B5EF4-FFF2-40B4-BE49-F238E27FC236}">
              <a16:creationId xmlns:a16="http://schemas.microsoft.com/office/drawing/2014/main" id="{00000000-0008-0000-1E00-00005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571" y="12545785"/>
          <a:ext cx="1945822" cy="1154276"/>
        </a:xfrm>
        <a:prstGeom prst="rect">
          <a:avLst/>
        </a:prstGeom>
      </xdr:spPr>
    </xdr:pic>
    <xdr:clientData/>
  </xdr:oneCellAnchor>
  <xdr:oneCellAnchor>
    <xdr:from>
      <xdr:col>20</xdr:col>
      <xdr:colOff>549684</xdr:colOff>
      <xdr:row>485</xdr:row>
      <xdr:rowOff>95250</xdr:rowOff>
    </xdr:from>
    <xdr:ext cx="1374365" cy="1325336"/>
    <xdr:pic>
      <xdr:nvPicPr>
        <xdr:cNvPr id="85" name="Image 1">
          <a:extLst>
            <a:ext uri="{FF2B5EF4-FFF2-40B4-BE49-F238E27FC236}">
              <a16:creationId xmlns:a16="http://schemas.microsoft.com/office/drawing/2014/main" id="{00000000-0008-0000-1E00-00005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14769148" y="13607143"/>
          <a:ext cx="1374365" cy="1325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326571</xdr:colOff>
      <xdr:row>482</xdr:row>
      <xdr:rowOff>81642</xdr:rowOff>
    </xdr:from>
    <xdr:ext cx="1945822" cy="1154276"/>
    <xdr:pic>
      <xdr:nvPicPr>
        <xdr:cNvPr id="86" name="Image 85">
          <a:extLst>
            <a:ext uri="{FF2B5EF4-FFF2-40B4-BE49-F238E27FC236}">
              <a16:creationId xmlns:a16="http://schemas.microsoft.com/office/drawing/2014/main" id="{00000000-0008-0000-1E00-00005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571" y="12545785"/>
          <a:ext cx="1945822" cy="1154276"/>
        </a:xfrm>
        <a:prstGeom prst="rect">
          <a:avLst/>
        </a:prstGeom>
      </xdr:spPr>
    </xdr:pic>
    <xdr:clientData/>
  </xdr:oneCellAnchor>
  <xdr:oneCellAnchor>
    <xdr:from>
      <xdr:col>20</xdr:col>
      <xdr:colOff>549684</xdr:colOff>
      <xdr:row>515</xdr:row>
      <xdr:rowOff>95250</xdr:rowOff>
    </xdr:from>
    <xdr:ext cx="1374365" cy="1325336"/>
    <xdr:pic>
      <xdr:nvPicPr>
        <xdr:cNvPr id="87" name="Image 1">
          <a:extLst>
            <a:ext uri="{FF2B5EF4-FFF2-40B4-BE49-F238E27FC236}">
              <a16:creationId xmlns:a16="http://schemas.microsoft.com/office/drawing/2014/main" id="{00000000-0008-0000-1E00-00005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14769148" y="13607143"/>
          <a:ext cx="1374365" cy="1325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326571</xdr:colOff>
      <xdr:row>512</xdr:row>
      <xdr:rowOff>81642</xdr:rowOff>
    </xdr:from>
    <xdr:ext cx="1945822" cy="1154276"/>
    <xdr:pic>
      <xdr:nvPicPr>
        <xdr:cNvPr id="88" name="Image 87">
          <a:extLst>
            <a:ext uri="{FF2B5EF4-FFF2-40B4-BE49-F238E27FC236}">
              <a16:creationId xmlns:a16="http://schemas.microsoft.com/office/drawing/2014/main" id="{00000000-0008-0000-1E00-00005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571" y="12545785"/>
          <a:ext cx="1945822" cy="1154276"/>
        </a:xfrm>
        <a:prstGeom prst="rect">
          <a:avLst/>
        </a:prstGeom>
      </xdr:spPr>
    </xdr:pic>
    <xdr:clientData/>
  </xdr:oneCellAnchor>
  <xdr:oneCellAnchor>
    <xdr:from>
      <xdr:col>20</xdr:col>
      <xdr:colOff>549684</xdr:colOff>
      <xdr:row>545</xdr:row>
      <xdr:rowOff>95250</xdr:rowOff>
    </xdr:from>
    <xdr:ext cx="1374365" cy="1325336"/>
    <xdr:pic>
      <xdr:nvPicPr>
        <xdr:cNvPr id="89" name="Image 1">
          <a:extLst>
            <a:ext uri="{FF2B5EF4-FFF2-40B4-BE49-F238E27FC236}">
              <a16:creationId xmlns:a16="http://schemas.microsoft.com/office/drawing/2014/main" id="{00000000-0008-0000-1E00-00005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14769148" y="13607143"/>
          <a:ext cx="1374365" cy="1325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326571</xdr:colOff>
      <xdr:row>542</xdr:row>
      <xdr:rowOff>81642</xdr:rowOff>
    </xdr:from>
    <xdr:ext cx="1945822" cy="1154276"/>
    <xdr:pic>
      <xdr:nvPicPr>
        <xdr:cNvPr id="90" name="Image 89">
          <a:extLst>
            <a:ext uri="{FF2B5EF4-FFF2-40B4-BE49-F238E27FC236}">
              <a16:creationId xmlns:a16="http://schemas.microsoft.com/office/drawing/2014/main" id="{00000000-0008-0000-1E00-00005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571" y="12545785"/>
          <a:ext cx="1945822" cy="1154276"/>
        </a:xfrm>
        <a:prstGeom prst="rect">
          <a:avLst/>
        </a:prstGeom>
      </xdr:spPr>
    </xdr:pic>
    <xdr:clientData/>
  </xdr:oneCellAnchor>
  <xdr:oneCellAnchor>
    <xdr:from>
      <xdr:col>20</xdr:col>
      <xdr:colOff>549684</xdr:colOff>
      <xdr:row>575</xdr:row>
      <xdr:rowOff>95250</xdr:rowOff>
    </xdr:from>
    <xdr:ext cx="1374365" cy="1325336"/>
    <xdr:pic>
      <xdr:nvPicPr>
        <xdr:cNvPr id="91" name="Image 1">
          <a:extLst>
            <a:ext uri="{FF2B5EF4-FFF2-40B4-BE49-F238E27FC236}">
              <a16:creationId xmlns:a16="http://schemas.microsoft.com/office/drawing/2014/main" id="{00000000-0008-0000-1E00-00005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14769148" y="13607143"/>
          <a:ext cx="1374365" cy="1325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326571</xdr:colOff>
      <xdr:row>572</xdr:row>
      <xdr:rowOff>81642</xdr:rowOff>
    </xdr:from>
    <xdr:ext cx="1945822" cy="1154276"/>
    <xdr:pic>
      <xdr:nvPicPr>
        <xdr:cNvPr id="92" name="Image 91">
          <a:extLst>
            <a:ext uri="{FF2B5EF4-FFF2-40B4-BE49-F238E27FC236}">
              <a16:creationId xmlns:a16="http://schemas.microsoft.com/office/drawing/2014/main" id="{00000000-0008-0000-1E00-00005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571" y="12545785"/>
          <a:ext cx="1945822" cy="1154276"/>
        </a:xfrm>
        <a:prstGeom prst="rect">
          <a:avLst/>
        </a:prstGeom>
      </xdr:spPr>
    </xdr:pic>
    <xdr:clientData/>
  </xdr:oneCellAnchor>
  <xdr:oneCellAnchor>
    <xdr:from>
      <xdr:col>20</xdr:col>
      <xdr:colOff>549684</xdr:colOff>
      <xdr:row>605</xdr:row>
      <xdr:rowOff>95250</xdr:rowOff>
    </xdr:from>
    <xdr:ext cx="1374365" cy="1325336"/>
    <xdr:pic>
      <xdr:nvPicPr>
        <xdr:cNvPr id="93" name="Image 1">
          <a:extLst>
            <a:ext uri="{FF2B5EF4-FFF2-40B4-BE49-F238E27FC236}">
              <a16:creationId xmlns:a16="http://schemas.microsoft.com/office/drawing/2014/main" id="{00000000-0008-0000-1E00-00005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14769148" y="13607143"/>
          <a:ext cx="1374365" cy="1325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326571</xdr:colOff>
      <xdr:row>602</xdr:row>
      <xdr:rowOff>81642</xdr:rowOff>
    </xdr:from>
    <xdr:ext cx="1945822" cy="1154276"/>
    <xdr:pic>
      <xdr:nvPicPr>
        <xdr:cNvPr id="94" name="Image 93">
          <a:extLst>
            <a:ext uri="{FF2B5EF4-FFF2-40B4-BE49-F238E27FC236}">
              <a16:creationId xmlns:a16="http://schemas.microsoft.com/office/drawing/2014/main" id="{00000000-0008-0000-1E00-00005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571" y="12545785"/>
          <a:ext cx="1945822" cy="1154276"/>
        </a:xfrm>
        <a:prstGeom prst="rect">
          <a:avLst/>
        </a:prstGeom>
      </xdr:spPr>
    </xdr:pic>
    <xdr:clientData/>
  </xdr:oneCellAnchor>
  <xdr:oneCellAnchor>
    <xdr:from>
      <xdr:col>20</xdr:col>
      <xdr:colOff>549684</xdr:colOff>
      <xdr:row>635</xdr:row>
      <xdr:rowOff>95250</xdr:rowOff>
    </xdr:from>
    <xdr:ext cx="1374365" cy="1325336"/>
    <xdr:pic>
      <xdr:nvPicPr>
        <xdr:cNvPr id="95" name="Image 1">
          <a:extLst>
            <a:ext uri="{FF2B5EF4-FFF2-40B4-BE49-F238E27FC236}">
              <a16:creationId xmlns:a16="http://schemas.microsoft.com/office/drawing/2014/main" id="{00000000-0008-0000-1E00-00005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14769148" y="13607143"/>
          <a:ext cx="1374365" cy="1325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326571</xdr:colOff>
      <xdr:row>632</xdr:row>
      <xdr:rowOff>81642</xdr:rowOff>
    </xdr:from>
    <xdr:ext cx="1945822" cy="1154276"/>
    <xdr:pic>
      <xdr:nvPicPr>
        <xdr:cNvPr id="96" name="Image 95">
          <a:extLst>
            <a:ext uri="{FF2B5EF4-FFF2-40B4-BE49-F238E27FC236}">
              <a16:creationId xmlns:a16="http://schemas.microsoft.com/office/drawing/2014/main" id="{00000000-0008-0000-1E00-00006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571" y="12545785"/>
          <a:ext cx="1945822" cy="1154276"/>
        </a:xfrm>
        <a:prstGeom prst="rect">
          <a:avLst/>
        </a:prstGeom>
      </xdr:spPr>
    </xdr:pic>
    <xdr:clientData/>
  </xdr:oneCellAnchor>
  <xdr:oneCellAnchor>
    <xdr:from>
      <xdr:col>20</xdr:col>
      <xdr:colOff>549684</xdr:colOff>
      <xdr:row>665</xdr:row>
      <xdr:rowOff>95250</xdr:rowOff>
    </xdr:from>
    <xdr:ext cx="1374365" cy="1325336"/>
    <xdr:pic>
      <xdr:nvPicPr>
        <xdr:cNvPr id="97" name="Image 1">
          <a:extLst>
            <a:ext uri="{FF2B5EF4-FFF2-40B4-BE49-F238E27FC236}">
              <a16:creationId xmlns:a16="http://schemas.microsoft.com/office/drawing/2014/main" id="{00000000-0008-0000-1E00-00006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14769148" y="13607143"/>
          <a:ext cx="1374365" cy="1325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326571</xdr:colOff>
      <xdr:row>662</xdr:row>
      <xdr:rowOff>81642</xdr:rowOff>
    </xdr:from>
    <xdr:ext cx="1945822" cy="1154276"/>
    <xdr:pic>
      <xdr:nvPicPr>
        <xdr:cNvPr id="98" name="Image 97">
          <a:extLst>
            <a:ext uri="{FF2B5EF4-FFF2-40B4-BE49-F238E27FC236}">
              <a16:creationId xmlns:a16="http://schemas.microsoft.com/office/drawing/2014/main" id="{00000000-0008-0000-1E00-00006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571" y="12545785"/>
          <a:ext cx="1945822" cy="1154276"/>
        </a:xfrm>
        <a:prstGeom prst="rect">
          <a:avLst/>
        </a:prstGeom>
      </xdr:spPr>
    </xdr:pic>
    <xdr:clientData/>
  </xdr:oneCellAnchor>
  <xdr:oneCellAnchor>
    <xdr:from>
      <xdr:col>20</xdr:col>
      <xdr:colOff>549684</xdr:colOff>
      <xdr:row>695</xdr:row>
      <xdr:rowOff>95250</xdr:rowOff>
    </xdr:from>
    <xdr:ext cx="1374365" cy="1325336"/>
    <xdr:pic>
      <xdr:nvPicPr>
        <xdr:cNvPr id="99" name="Image 1">
          <a:extLst>
            <a:ext uri="{FF2B5EF4-FFF2-40B4-BE49-F238E27FC236}">
              <a16:creationId xmlns:a16="http://schemas.microsoft.com/office/drawing/2014/main" id="{00000000-0008-0000-1E00-00006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14769148" y="13607143"/>
          <a:ext cx="1374365" cy="1325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326571</xdr:colOff>
      <xdr:row>692</xdr:row>
      <xdr:rowOff>81642</xdr:rowOff>
    </xdr:from>
    <xdr:ext cx="1945822" cy="1154276"/>
    <xdr:pic>
      <xdr:nvPicPr>
        <xdr:cNvPr id="100" name="Image 99">
          <a:extLst>
            <a:ext uri="{FF2B5EF4-FFF2-40B4-BE49-F238E27FC236}">
              <a16:creationId xmlns:a16="http://schemas.microsoft.com/office/drawing/2014/main" id="{00000000-0008-0000-1E00-00006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571" y="12545785"/>
          <a:ext cx="1945822" cy="1154276"/>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twoCellAnchor>
    <xdr:from>
      <xdr:col>1</xdr:col>
      <xdr:colOff>552450</xdr:colOff>
      <xdr:row>22</xdr:row>
      <xdr:rowOff>28575</xdr:rowOff>
    </xdr:from>
    <xdr:to>
      <xdr:col>5</xdr:col>
      <xdr:colOff>257175</xdr:colOff>
      <xdr:row>26</xdr:row>
      <xdr:rowOff>95250</xdr:rowOff>
    </xdr:to>
    <xdr:sp macro="" textlink="">
      <xdr:nvSpPr>
        <xdr:cNvPr id="7171" name="Text Box 3">
          <a:extLst>
            <a:ext uri="{FF2B5EF4-FFF2-40B4-BE49-F238E27FC236}">
              <a16:creationId xmlns:a16="http://schemas.microsoft.com/office/drawing/2014/main" id="{00000000-0008-0000-1F00-0000031C0000}"/>
            </a:ext>
          </a:extLst>
        </xdr:cNvPr>
        <xdr:cNvSpPr txBox="1">
          <a:spLocks noChangeArrowheads="1"/>
        </xdr:cNvSpPr>
      </xdr:nvSpPr>
      <xdr:spPr bwMode="auto">
        <a:xfrm>
          <a:off x="1600200" y="3324225"/>
          <a:ext cx="3724275" cy="714375"/>
        </a:xfrm>
        <a:prstGeom prst="rect">
          <a:avLst/>
        </a:prstGeom>
        <a:solidFill>
          <a:srgbClr val="FFFF00"/>
        </a:solidFill>
        <a:ln w="9525">
          <a:solidFill>
            <a:srgbClr val="000000"/>
          </a:solidFill>
          <a:miter lim="800000"/>
          <a:headEnd/>
          <a:tailEnd/>
        </a:ln>
      </xdr:spPr>
      <xdr:txBody>
        <a:bodyPr vertOverflow="clip" wrap="square" lIns="36576" tIns="27432" rIns="36576" bIns="0" anchor="t" upright="1"/>
        <a:lstStyle/>
        <a:p>
          <a:pPr algn="ctr" rtl="0">
            <a:defRPr sz="1000"/>
          </a:pPr>
          <a:r>
            <a:rPr lang="fr-FR" sz="1300" b="1" i="0" u="none" strike="noStrike" baseline="0">
              <a:solidFill>
                <a:srgbClr val="000000"/>
              </a:solidFill>
              <a:latin typeface="Arial"/>
              <a:cs typeface="Arial"/>
            </a:rPr>
            <a:t>Les années d'âge s'actualisent automatiquement en fonction des calculs de la colonne </a:t>
          </a:r>
          <a:r>
            <a:rPr lang="fr-FR" sz="1800" b="1" i="0" u="none" strike="noStrike" baseline="0">
              <a:solidFill>
                <a:srgbClr val="000000"/>
              </a:solidFill>
              <a:latin typeface="Arial"/>
              <a:cs typeface="Arial"/>
            </a:rPr>
            <a:t>H</a:t>
          </a:r>
          <a:r>
            <a:rPr lang="fr-FR" sz="1300" b="1" i="0" u="none" strike="noStrike" baseline="0">
              <a:solidFill>
                <a:srgbClr val="000000"/>
              </a:solidFill>
              <a:latin typeface="Arial"/>
              <a:cs typeface="Arial"/>
            </a:rPr>
            <a:t>.</a:t>
          </a:r>
          <a:endParaRPr lang="fr-F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13</xdr:col>
      <xdr:colOff>152400</xdr:colOff>
      <xdr:row>28</xdr:row>
      <xdr:rowOff>0</xdr:rowOff>
    </xdr:from>
    <xdr:to>
      <xdr:col>13</xdr:col>
      <xdr:colOff>952500</xdr:colOff>
      <xdr:row>30</xdr:row>
      <xdr:rowOff>114300</xdr:rowOff>
    </xdr:to>
    <xdr:sp macro="[0]!jmk_RETOUR_MENU" textlink="">
      <xdr:nvSpPr>
        <xdr:cNvPr id="2" name="Rectangle à coins arrondis 1">
          <a:extLst>
            <a:ext uri="{FF2B5EF4-FFF2-40B4-BE49-F238E27FC236}">
              <a16:creationId xmlns:a16="http://schemas.microsoft.com/office/drawing/2014/main" id="{00000000-0008-0000-2100-000002000000}"/>
            </a:ext>
          </a:extLst>
        </xdr:cNvPr>
        <xdr:cNvSpPr/>
      </xdr:nvSpPr>
      <xdr:spPr bwMode="auto">
        <a:xfrm>
          <a:off x="13268325" y="4676775"/>
          <a:ext cx="800100" cy="43815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 MENUS</a:t>
          </a:r>
        </a:p>
      </xdr:txBody>
    </xdr:sp>
    <xdr:clientData fPrintsWithSheet="0"/>
  </xdr:twoCellAnchor>
  <xdr:twoCellAnchor>
    <xdr:from>
      <xdr:col>13</xdr:col>
      <xdr:colOff>0</xdr:colOff>
      <xdr:row>31</xdr:row>
      <xdr:rowOff>66674</xdr:rowOff>
    </xdr:from>
    <xdr:to>
      <xdr:col>13</xdr:col>
      <xdr:colOff>1209675</xdr:colOff>
      <xdr:row>34</xdr:row>
      <xdr:rowOff>9524</xdr:rowOff>
    </xdr:to>
    <xdr:sp macro="[0]!jmk_imp_feuille" textlink="">
      <xdr:nvSpPr>
        <xdr:cNvPr id="3" name="Rectangle à coins arrondis 2">
          <a:extLst>
            <a:ext uri="{FF2B5EF4-FFF2-40B4-BE49-F238E27FC236}">
              <a16:creationId xmlns:a16="http://schemas.microsoft.com/office/drawing/2014/main" id="{00000000-0008-0000-2100-000003000000}"/>
            </a:ext>
          </a:extLst>
        </xdr:cNvPr>
        <xdr:cNvSpPr/>
      </xdr:nvSpPr>
      <xdr:spPr bwMode="auto">
        <a:xfrm>
          <a:off x="13115925" y="5229224"/>
          <a:ext cx="1209675" cy="42862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a:t>
          </a: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xdr:from>
      <xdr:col>9</xdr:col>
      <xdr:colOff>142875</xdr:colOff>
      <xdr:row>19</xdr:row>
      <xdr:rowOff>95250</xdr:rowOff>
    </xdr:from>
    <xdr:to>
      <xdr:col>9</xdr:col>
      <xdr:colOff>409575</xdr:colOff>
      <xdr:row>19</xdr:row>
      <xdr:rowOff>161925</xdr:rowOff>
    </xdr:to>
    <xdr:sp macro="" textlink="">
      <xdr:nvSpPr>
        <xdr:cNvPr id="970486" name="AutoShape 1">
          <a:extLst>
            <a:ext uri="{FF2B5EF4-FFF2-40B4-BE49-F238E27FC236}">
              <a16:creationId xmlns:a16="http://schemas.microsoft.com/office/drawing/2014/main" id="{00000000-0008-0000-2200-0000F6CE0E00}"/>
            </a:ext>
          </a:extLst>
        </xdr:cNvPr>
        <xdr:cNvSpPr>
          <a:spLocks noChangeArrowheads="1"/>
        </xdr:cNvSpPr>
      </xdr:nvSpPr>
      <xdr:spPr bwMode="auto">
        <a:xfrm>
          <a:off x="3686175" y="52387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48</xdr:row>
      <xdr:rowOff>95250</xdr:rowOff>
    </xdr:from>
    <xdr:to>
      <xdr:col>9</xdr:col>
      <xdr:colOff>409575</xdr:colOff>
      <xdr:row>48</xdr:row>
      <xdr:rowOff>161925</xdr:rowOff>
    </xdr:to>
    <xdr:sp macro="" textlink="">
      <xdr:nvSpPr>
        <xdr:cNvPr id="970487" name="AutoShape 1">
          <a:extLst>
            <a:ext uri="{FF2B5EF4-FFF2-40B4-BE49-F238E27FC236}">
              <a16:creationId xmlns:a16="http://schemas.microsoft.com/office/drawing/2014/main" id="{00000000-0008-0000-2200-0000F7CE0E00}"/>
            </a:ext>
          </a:extLst>
        </xdr:cNvPr>
        <xdr:cNvSpPr>
          <a:spLocks noChangeArrowheads="1"/>
        </xdr:cNvSpPr>
      </xdr:nvSpPr>
      <xdr:spPr bwMode="auto">
        <a:xfrm>
          <a:off x="3686175" y="124396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48</xdr:row>
      <xdr:rowOff>95250</xdr:rowOff>
    </xdr:from>
    <xdr:to>
      <xdr:col>9</xdr:col>
      <xdr:colOff>409575</xdr:colOff>
      <xdr:row>48</xdr:row>
      <xdr:rowOff>161925</xdr:rowOff>
    </xdr:to>
    <xdr:sp macro="" textlink="">
      <xdr:nvSpPr>
        <xdr:cNvPr id="970488" name="AutoShape 1">
          <a:extLst>
            <a:ext uri="{FF2B5EF4-FFF2-40B4-BE49-F238E27FC236}">
              <a16:creationId xmlns:a16="http://schemas.microsoft.com/office/drawing/2014/main" id="{00000000-0008-0000-2200-0000F8CE0E00}"/>
            </a:ext>
          </a:extLst>
        </xdr:cNvPr>
        <xdr:cNvSpPr>
          <a:spLocks noChangeArrowheads="1"/>
        </xdr:cNvSpPr>
      </xdr:nvSpPr>
      <xdr:spPr bwMode="auto">
        <a:xfrm>
          <a:off x="3686175" y="124396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77</xdr:row>
      <xdr:rowOff>95250</xdr:rowOff>
    </xdr:from>
    <xdr:to>
      <xdr:col>9</xdr:col>
      <xdr:colOff>409575</xdr:colOff>
      <xdr:row>77</xdr:row>
      <xdr:rowOff>161925</xdr:rowOff>
    </xdr:to>
    <xdr:sp macro="" textlink="">
      <xdr:nvSpPr>
        <xdr:cNvPr id="970489" name="AutoShape 1">
          <a:extLst>
            <a:ext uri="{FF2B5EF4-FFF2-40B4-BE49-F238E27FC236}">
              <a16:creationId xmlns:a16="http://schemas.microsoft.com/office/drawing/2014/main" id="{00000000-0008-0000-2200-0000F9CE0E00}"/>
            </a:ext>
          </a:extLst>
        </xdr:cNvPr>
        <xdr:cNvSpPr>
          <a:spLocks noChangeArrowheads="1"/>
        </xdr:cNvSpPr>
      </xdr:nvSpPr>
      <xdr:spPr bwMode="auto">
        <a:xfrm>
          <a:off x="3686175" y="196405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106</xdr:row>
      <xdr:rowOff>95250</xdr:rowOff>
    </xdr:from>
    <xdr:to>
      <xdr:col>9</xdr:col>
      <xdr:colOff>409575</xdr:colOff>
      <xdr:row>106</xdr:row>
      <xdr:rowOff>161925</xdr:rowOff>
    </xdr:to>
    <xdr:sp macro="" textlink="">
      <xdr:nvSpPr>
        <xdr:cNvPr id="970490" name="AutoShape 1">
          <a:extLst>
            <a:ext uri="{FF2B5EF4-FFF2-40B4-BE49-F238E27FC236}">
              <a16:creationId xmlns:a16="http://schemas.microsoft.com/office/drawing/2014/main" id="{00000000-0008-0000-2200-0000FACE0E00}"/>
            </a:ext>
          </a:extLst>
        </xdr:cNvPr>
        <xdr:cNvSpPr>
          <a:spLocks noChangeArrowheads="1"/>
        </xdr:cNvSpPr>
      </xdr:nvSpPr>
      <xdr:spPr bwMode="auto">
        <a:xfrm>
          <a:off x="3686175" y="268414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135</xdr:row>
      <xdr:rowOff>95250</xdr:rowOff>
    </xdr:from>
    <xdr:to>
      <xdr:col>9</xdr:col>
      <xdr:colOff>409575</xdr:colOff>
      <xdr:row>135</xdr:row>
      <xdr:rowOff>161925</xdr:rowOff>
    </xdr:to>
    <xdr:sp macro="" textlink="">
      <xdr:nvSpPr>
        <xdr:cNvPr id="970491" name="AutoShape 1">
          <a:extLst>
            <a:ext uri="{FF2B5EF4-FFF2-40B4-BE49-F238E27FC236}">
              <a16:creationId xmlns:a16="http://schemas.microsoft.com/office/drawing/2014/main" id="{00000000-0008-0000-2200-0000FBCE0E00}"/>
            </a:ext>
          </a:extLst>
        </xdr:cNvPr>
        <xdr:cNvSpPr>
          <a:spLocks noChangeArrowheads="1"/>
        </xdr:cNvSpPr>
      </xdr:nvSpPr>
      <xdr:spPr bwMode="auto">
        <a:xfrm>
          <a:off x="3686175" y="340423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164</xdr:row>
      <xdr:rowOff>95250</xdr:rowOff>
    </xdr:from>
    <xdr:to>
      <xdr:col>9</xdr:col>
      <xdr:colOff>409575</xdr:colOff>
      <xdr:row>164</xdr:row>
      <xdr:rowOff>161925</xdr:rowOff>
    </xdr:to>
    <xdr:sp macro="" textlink="">
      <xdr:nvSpPr>
        <xdr:cNvPr id="970492" name="AutoShape 1">
          <a:extLst>
            <a:ext uri="{FF2B5EF4-FFF2-40B4-BE49-F238E27FC236}">
              <a16:creationId xmlns:a16="http://schemas.microsoft.com/office/drawing/2014/main" id="{00000000-0008-0000-2200-0000FCCE0E00}"/>
            </a:ext>
          </a:extLst>
        </xdr:cNvPr>
        <xdr:cNvSpPr>
          <a:spLocks noChangeArrowheads="1"/>
        </xdr:cNvSpPr>
      </xdr:nvSpPr>
      <xdr:spPr bwMode="auto">
        <a:xfrm>
          <a:off x="3686175" y="412432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193</xdr:row>
      <xdr:rowOff>95250</xdr:rowOff>
    </xdr:from>
    <xdr:to>
      <xdr:col>9</xdr:col>
      <xdr:colOff>409575</xdr:colOff>
      <xdr:row>193</xdr:row>
      <xdr:rowOff>161925</xdr:rowOff>
    </xdr:to>
    <xdr:sp macro="" textlink="">
      <xdr:nvSpPr>
        <xdr:cNvPr id="970493" name="AutoShape 1">
          <a:extLst>
            <a:ext uri="{FF2B5EF4-FFF2-40B4-BE49-F238E27FC236}">
              <a16:creationId xmlns:a16="http://schemas.microsoft.com/office/drawing/2014/main" id="{00000000-0008-0000-2200-0000FDCE0E00}"/>
            </a:ext>
          </a:extLst>
        </xdr:cNvPr>
        <xdr:cNvSpPr>
          <a:spLocks noChangeArrowheads="1"/>
        </xdr:cNvSpPr>
      </xdr:nvSpPr>
      <xdr:spPr bwMode="auto">
        <a:xfrm>
          <a:off x="3686175" y="484441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222</xdr:row>
      <xdr:rowOff>95250</xdr:rowOff>
    </xdr:from>
    <xdr:to>
      <xdr:col>9</xdr:col>
      <xdr:colOff>409575</xdr:colOff>
      <xdr:row>222</xdr:row>
      <xdr:rowOff>161925</xdr:rowOff>
    </xdr:to>
    <xdr:sp macro="" textlink="">
      <xdr:nvSpPr>
        <xdr:cNvPr id="970494" name="AutoShape 1">
          <a:extLst>
            <a:ext uri="{FF2B5EF4-FFF2-40B4-BE49-F238E27FC236}">
              <a16:creationId xmlns:a16="http://schemas.microsoft.com/office/drawing/2014/main" id="{00000000-0008-0000-2200-0000FECE0E00}"/>
            </a:ext>
          </a:extLst>
        </xdr:cNvPr>
        <xdr:cNvSpPr>
          <a:spLocks noChangeArrowheads="1"/>
        </xdr:cNvSpPr>
      </xdr:nvSpPr>
      <xdr:spPr bwMode="auto">
        <a:xfrm>
          <a:off x="3686175" y="556450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251</xdr:row>
      <xdr:rowOff>95250</xdr:rowOff>
    </xdr:from>
    <xdr:to>
      <xdr:col>9</xdr:col>
      <xdr:colOff>409575</xdr:colOff>
      <xdr:row>251</xdr:row>
      <xdr:rowOff>161925</xdr:rowOff>
    </xdr:to>
    <xdr:sp macro="" textlink="">
      <xdr:nvSpPr>
        <xdr:cNvPr id="970495" name="AutoShape 1">
          <a:extLst>
            <a:ext uri="{FF2B5EF4-FFF2-40B4-BE49-F238E27FC236}">
              <a16:creationId xmlns:a16="http://schemas.microsoft.com/office/drawing/2014/main" id="{00000000-0008-0000-2200-0000FFCE0E00}"/>
            </a:ext>
          </a:extLst>
        </xdr:cNvPr>
        <xdr:cNvSpPr>
          <a:spLocks noChangeArrowheads="1"/>
        </xdr:cNvSpPr>
      </xdr:nvSpPr>
      <xdr:spPr bwMode="auto">
        <a:xfrm>
          <a:off x="3686175" y="628459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280</xdr:row>
      <xdr:rowOff>95250</xdr:rowOff>
    </xdr:from>
    <xdr:to>
      <xdr:col>9</xdr:col>
      <xdr:colOff>409575</xdr:colOff>
      <xdr:row>280</xdr:row>
      <xdr:rowOff>161925</xdr:rowOff>
    </xdr:to>
    <xdr:sp macro="" textlink="">
      <xdr:nvSpPr>
        <xdr:cNvPr id="970496" name="AutoShape 1">
          <a:extLst>
            <a:ext uri="{FF2B5EF4-FFF2-40B4-BE49-F238E27FC236}">
              <a16:creationId xmlns:a16="http://schemas.microsoft.com/office/drawing/2014/main" id="{00000000-0008-0000-2200-000000CF0E00}"/>
            </a:ext>
          </a:extLst>
        </xdr:cNvPr>
        <xdr:cNvSpPr>
          <a:spLocks noChangeArrowheads="1"/>
        </xdr:cNvSpPr>
      </xdr:nvSpPr>
      <xdr:spPr bwMode="auto">
        <a:xfrm>
          <a:off x="3686175" y="700468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309</xdr:row>
      <xdr:rowOff>95250</xdr:rowOff>
    </xdr:from>
    <xdr:to>
      <xdr:col>9</xdr:col>
      <xdr:colOff>409575</xdr:colOff>
      <xdr:row>309</xdr:row>
      <xdr:rowOff>161925</xdr:rowOff>
    </xdr:to>
    <xdr:sp macro="" textlink="">
      <xdr:nvSpPr>
        <xdr:cNvPr id="970497" name="AutoShape 1">
          <a:extLst>
            <a:ext uri="{FF2B5EF4-FFF2-40B4-BE49-F238E27FC236}">
              <a16:creationId xmlns:a16="http://schemas.microsoft.com/office/drawing/2014/main" id="{00000000-0008-0000-2200-000001CF0E00}"/>
            </a:ext>
          </a:extLst>
        </xdr:cNvPr>
        <xdr:cNvSpPr>
          <a:spLocks noChangeArrowheads="1"/>
        </xdr:cNvSpPr>
      </xdr:nvSpPr>
      <xdr:spPr bwMode="auto">
        <a:xfrm>
          <a:off x="3686175" y="772477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338</xdr:row>
      <xdr:rowOff>95250</xdr:rowOff>
    </xdr:from>
    <xdr:to>
      <xdr:col>9</xdr:col>
      <xdr:colOff>409575</xdr:colOff>
      <xdr:row>338</xdr:row>
      <xdr:rowOff>161925</xdr:rowOff>
    </xdr:to>
    <xdr:sp macro="" textlink="">
      <xdr:nvSpPr>
        <xdr:cNvPr id="970498" name="AutoShape 1">
          <a:extLst>
            <a:ext uri="{FF2B5EF4-FFF2-40B4-BE49-F238E27FC236}">
              <a16:creationId xmlns:a16="http://schemas.microsoft.com/office/drawing/2014/main" id="{00000000-0008-0000-2200-000002CF0E00}"/>
            </a:ext>
          </a:extLst>
        </xdr:cNvPr>
        <xdr:cNvSpPr>
          <a:spLocks noChangeArrowheads="1"/>
        </xdr:cNvSpPr>
      </xdr:nvSpPr>
      <xdr:spPr bwMode="auto">
        <a:xfrm>
          <a:off x="3686175" y="844486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367</xdr:row>
      <xdr:rowOff>95250</xdr:rowOff>
    </xdr:from>
    <xdr:to>
      <xdr:col>9</xdr:col>
      <xdr:colOff>409575</xdr:colOff>
      <xdr:row>367</xdr:row>
      <xdr:rowOff>161925</xdr:rowOff>
    </xdr:to>
    <xdr:sp macro="" textlink="">
      <xdr:nvSpPr>
        <xdr:cNvPr id="970499" name="AutoShape 1">
          <a:extLst>
            <a:ext uri="{FF2B5EF4-FFF2-40B4-BE49-F238E27FC236}">
              <a16:creationId xmlns:a16="http://schemas.microsoft.com/office/drawing/2014/main" id="{00000000-0008-0000-2200-000003CF0E00}"/>
            </a:ext>
          </a:extLst>
        </xdr:cNvPr>
        <xdr:cNvSpPr>
          <a:spLocks noChangeArrowheads="1"/>
        </xdr:cNvSpPr>
      </xdr:nvSpPr>
      <xdr:spPr bwMode="auto">
        <a:xfrm>
          <a:off x="3686175" y="916495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396</xdr:row>
      <xdr:rowOff>95250</xdr:rowOff>
    </xdr:from>
    <xdr:to>
      <xdr:col>9</xdr:col>
      <xdr:colOff>409575</xdr:colOff>
      <xdr:row>396</xdr:row>
      <xdr:rowOff>161925</xdr:rowOff>
    </xdr:to>
    <xdr:sp macro="" textlink="">
      <xdr:nvSpPr>
        <xdr:cNvPr id="970500" name="AutoShape 1">
          <a:extLst>
            <a:ext uri="{FF2B5EF4-FFF2-40B4-BE49-F238E27FC236}">
              <a16:creationId xmlns:a16="http://schemas.microsoft.com/office/drawing/2014/main" id="{00000000-0008-0000-2200-000004CF0E00}"/>
            </a:ext>
          </a:extLst>
        </xdr:cNvPr>
        <xdr:cNvSpPr>
          <a:spLocks noChangeArrowheads="1"/>
        </xdr:cNvSpPr>
      </xdr:nvSpPr>
      <xdr:spPr bwMode="auto">
        <a:xfrm>
          <a:off x="3686175" y="988504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425</xdr:row>
      <xdr:rowOff>95250</xdr:rowOff>
    </xdr:from>
    <xdr:to>
      <xdr:col>9</xdr:col>
      <xdr:colOff>409575</xdr:colOff>
      <xdr:row>425</xdr:row>
      <xdr:rowOff>161925</xdr:rowOff>
    </xdr:to>
    <xdr:sp macro="" textlink="">
      <xdr:nvSpPr>
        <xdr:cNvPr id="970501" name="AutoShape 1">
          <a:extLst>
            <a:ext uri="{FF2B5EF4-FFF2-40B4-BE49-F238E27FC236}">
              <a16:creationId xmlns:a16="http://schemas.microsoft.com/office/drawing/2014/main" id="{00000000-0008-0000-2200-000005CF0E00}"/>
            </a:ext>
          </a:extLst>
        </xdr:cNvPr>
        <xdr:cNvSpPr>
          <a:spLocks noChangeArrowheads="1"/>
        </xdr:cNvSpPr>
      </xdr:nvSpPr>
      <xdr:spPr bwMode="auto">
        <a:xfrm>
          <a:off x="3686175" y="1060513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454</xdr:row>
      <xdr:rowOff>95250</xdr:rowOff>
    </xdr:from>
    <xdr:to>
      <xdr:col>9</xdr:col>
      <xdr:colOff>409575</xdr:colOff>
      <xdr:row>454</xdr:row>
      <xdr:rowOff>161925</xdr:rowOff>
    </xdr:to>
    <xdr:sp macro="" textlink="">
      <xdr:nvSpPr>
        <xdr:cNvPr id="970502" name="AutoShape 1">
          <a:extLst>
            <a:ext uri="{FF2B5EF4-FFF2-40B4-BE49-F238E27FC236}">
              <a16:creationId xmlns:a16="http://schemas.microsoft.com/office/drawing/2014/main" id="{00000000-0008-0000-2200-000006CF0E00}"/>
            </a:ext>
          </a:extLst>
        </xdr:cNvPr>
        <xdr:cNvSpPr>
          <a:spLocks noChangeArrowheads="1"/>
        </xdr:cNvSpPr>
      </xdr:nvSpPr>
      <xdr:spPr bwMode="auto">
        <a:xfrm>
          <a:off x="3686175" y="1132522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483</xdr:row>
      <xdr:rowOff>95250</xdr:rowOff>
    </xdr:from>
    <xdr:to>
      <xdr:col>9</xdr:col>
      <xdr:colOff>409575</xdr:colOff>
      <xdr:row>483</xdr:row>
      <xdr:rowOff>161925</xdr:rowOff>
    </xdr:to>
    <xdr:sp macro="" textlink="">
      <xdr:nvSpPr>
        <xdr:cNvPr id="970503" name="AutoShape 1">
          <a:extLst>
            <a:ext uri="{FF2B5EF4-FFF2-40B4-BE49-F238E27FC236}">
              <a16:creationId xmlns:a16="http://schemas.microsoft.com/office/drawing/2014/main" id="{00000000-0008-0000-2200-000007CF0E00}"/>
            </a:ext>
          </a:extLst>
        </xdr:cNvPr>
        <xdr:cNvSpPr>
          <a:spLocks noChangeArrowheads="1"/>
        </xdr:cNvSpPr>
      </xdr:nvSpPr>
      <xdr:spPr bwMode="auto">
        <a:xfrm>
          <a:off x="3686175" y="1204531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512</xdr:row>
      <xdr:rowOff>95250</xdr:rowOff>
    </xdr:from>
    <xdr:to>
      <xdr:col>9</xdr:col>
      <xdr:colOff>409575</xdr:colOff>
      <xdr:row>512</xdr:row>
      <xdr:rowOff>161925</xdr:rowOff>
    </xdr:to>
    <xdr:sp macro="" textlink="">
      <xdr:nvSpPr>
        <xdr:cNvPr id="970504" name="AutoShape 1">
          <a:extLst>
            <a:ext uri="{FF2B5EF4-FFF2-40B4-BE49-F238E27FC236}">
              <a16:creationId xmlns:a16="http://schemas.microsoft.com/office/drawing/2014/main" id="{00000000-0008-0000-2200-000008CF0E00}"/>
            </a:ext>
          </a:extLst>
        </xdr:cNvPr>
        <xdr:cNvSpPr>
          <a:spLocks noChangeArrowheads="1"/>
        </xdr:cNvSpPr>
      </xdr:nvSpPr>
      <xdr:spPr bwMode="auto">
        <a:xfrm>
          <a:off x="3686175" y="1276540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541</xdr:row>
      <xdr:rowOff>95250</xdr:rowOff>
    </xdr:from>
    <xdr:to>
      <xdr:col>9</xdr:col>
      <xdr:colOff>409575</xdr:colOff>
      <xdr:row>541</xdr:row>
      <xdr:rowOff>161925</xdr:rowOff>
    </xdr:to>
    <xdr:sp macro="" textlink="">
      <xdr:nvSpPr>
        <xdr:cNvPr id="970505" name="AutoShape 1">
          <a:extLst>
            <a:ext uri="{FF2B5EF4-FFF2-40B4-BE49-F238E27FC236}">
              <a16:creationId xmlns:a16="http://schemas.microsoft.com/office/drawing/2014/main" id="{00000000-0008-0000-2200-000009CF0E00}"/>
            </a:ext>
          </a:extLst>
        </xdr:cNvPr>
        <xdr:cNvSpPr>
          <a:spLocks noChangeArrowheads="1"/>
        </xdr:cNvSpPr>
      </xdr:nvSpPr>
      <xdr:spPr bwMode="auto">
        <a:xfrm>
          <a:off x="3686175" y="1348549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570</xdr:row>
      <xdr:rowOff>95250</xdr:rowOff>
    </xdr:from>
    <xdr:to>
      <xdr:col>9</xdr:col>
      <xdr:colOff>409575</xdr:colOff>
      <xdr:row>570</xdr:row>
      <xdr:rowOff>161925</xdr:rowOff>
    </xdr:to>
    <xdr:sp macro="" textlink="">
      <xdr:nvSpPr>
        <xdr:cNvPr id="970506" name="AutoShape 1">
          <a:extLst>
            <a:ext uri="{FF2B5EF4-FFF2-40B4-BE49-F238E27FC236}">
              <a16:creationId xmlns:a16="http://schemas.microsoft.com/office/drawing/2014/main" id="{00000000-0008-0000-2200-00000ACF0E00}"/>
            </a:ext>
          </a:extLst>
        </xdr:cNvPr>
        <xdr:cNvSpPr>
          <a:spLocks noChangeArrowheads="1"/>
        </xdr:cNvSpPr>
      </xdr:nvSpPr>
      <xdr:spPr bwMode="auto">
        <a:xfrm>
          <a:off x="3686175" y="1420558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599</xdr:row>
      <xdr:rowOff>95250</xdr:rowOff>
    </xdr:from>
    <xdr:to>
      <xdr:col>9</xdr:col>
      <xdr:colOff>409575</xdr:colOff>
      <xdr:row>599</xdr:row>
      <xdr:rowOff>161925</xdr:rowOff>
    </xdr:to>
    <xdr:sp macro="" textlink="">
      <xdr:nvSpPr>
        <xdr:cNvPr id="970507" name="AutoShape 1">
          <a:extLst>
            <a:ext uri="{FF2B5EF4-FFF2-40B4-BE49-F238E27FC236}">
              <a16:creationId xmlns:a16="http://schemas.microsoft.com/office/drawing/2014/main" id="{00000000-0008-0000-2200-00000BCF0E00}"/>
            </a:ext>
          </a:extLst>
        </xdr:cNvPr>
        <xdr:cNvSpPr>
          <a:spLocks noChangeArrowheads="1"/>
        </xdr:cNvSpPr>
      </xdr:nvSpPr>
      <xdr:spPr bwMode="auto">
        <a:xfrm>
          <a:off x="3686175" y="1492567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628</xdr:row>
      <xdr:rowOff>95250</xdr:rowOff>
    </xdr:from>
    <xdr:to>
      <xdr:col>9</xdr:col>
      <xdr:colOff>409575</xdr:colOff>
      <xdr:row>628</xdr:row>
      <xdr:rowOff>161925</xdr:rowOff>
    </xdr:to>
    <xdr:sp macro="" textlink="">
      <xdr:nvSpPr>
        <xdr:cNvPr id="970508" name="AutoShape 1">
          <a:extLst>
            <a:ext uri="{FF2B5EF4-FFF2-40B4-BE49-F238E27FC236}">
              <a16:creationId xmlns:a16="http://schemas.microsoft.com/office/drawing/2014/main" id="{00000000-0008-0000-2200-00000CCF0E00}"/>
            </a:ext>
          </a:extLst>
        </xdr:cNvPr>
        <xdr:cNvSpPr>
          <a:spLocks noChangeArrowheads="1"/>
        </xdr:cNvSpPr>
      </xdr:nvSpPr>
      <xdr:spPr bwMode="auto">
        <a:xfrm>
          <a:off x="3686175" y="1564576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19</xdr:col>
      <xdr:colOff>190500</xdr:colOff>
      <xdr:row>8</xdr:row>
      <xdr:rowOff>171450</xdr:rowOff>
    </xdr:from>
    <xdr:to>
      <xdr:col>23</xdr:col>
      <xdr:colOff>171450</xdr:colOff>
      <xdr:row>10</xdr:row>
      <xdr:rowOff>190500</xdr:rowOff>
    </xdr:to>
    <xdr:sp macro="[0]!jmk_imp_feuille" textlink="">
      <xdr:nvSpPr>
        <xdr:cNvPr id="25" name="Rectangle à coins arrondis 24">
          <a:extLst>
            <a:ext uri="{FF2B5EF4-FFF2-40B4-BE49-F238E27FC236}">
              <a16:creationId xmlns:a16="http://schemas.microsoft.com/office/drawing/2014/main" id="{00000000-0008-0000-2200-000019000000}"/>
            </a:ext>
          </a:extLst>
        </xdr:cNvPr>
        <xdr:cNvSpPr/>
      </xdr:nvSpPr>
      <xdr:spPr bwMode="auto">
        <a:xfrm>
          <a:off x="7372350" y="2190750"/>
          <a:ext cx="1552575" cy="628650"/>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IMPRESSION</a:t>
          </a:r>
        </a:p>
      </xdr:txBody>
    </xdr:sp>
    <xdr:clientData fPrintsWithSheet="0"/>
  </xdr:twoCellAnchor>
  <xdr:twoCellAnchor>
    <xdr:from>
      <xdr:col>15</xdr:col>
      <xdr:colOff>304800</xdr:colOff>
      <xdr:row>8</xdr:row>
      <xdr:rowOff>285750</xdr:rowOff>
    </xdr:from>
    <xdr:to>
      <xdr:col>18</xdr:col>
      <xdr:colOff>47625</xdr:colOff>
      <xdr:row>10</xdr:row>
      <xdr:rowOff>114300</xdr:rowOff>
    </xdr:to>
    <xdr:sp macro="[0]!jmk_RETOUR_MENU" textlink="">
      <xdr:nvSpPr>
        <xdr:cNvPr id="26" name="Rectangle à coins arrondis 25">
          <a:extLst>
            <a:ext uri="{FF2B5EF4-FFF2-40B4-BE49-F238E27FC236}">
              <a16:creationId xmlns:a16="http://schemas.microsoft.com/office/drawing/2014/main" id="{00000000-0008-0000-2200-00001A000000}"/>
            </a:ext>
          </a:extLst>
        </xdr:cNvPr>
        <xdr:cNvSpPr/>
      </xdr:nvSpPr>
      <xdr:spPr bwMode="auto">
        <a:xfrm>
          <a:off x="6181725" y="2305050"/>
          <a:ext cx="800100" cy="43815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 MENUS</a:t>
          </a:r>
        </a:p>
      </xdr:txBody>
    </xdr:sp>
    <xdr:clientData fPrintsWithSheet="0"/>
  </xdr:twoCellAnchor>
</xdr:wsDr>
</file>

<file path=xl/drawings/drawing34.xml><?xml version="1.0" encoding="utf-8"?>
<xdr:wsDr xmlns:xdr="http://schemas.openxmlformats.org/drawingml/2006/spreadsheetDrawing" xmlns:a="http://schemas.openxmlformats.org/drawingml/2006/main">
  <xdr:twoCellAnchor>
    <xdr:from>
      <xdr:col>9</xdr:col>
      <xdr:colOff>142875</xdr:colOff>
      <xdr:row>19</xdr:row>
      <xdr:rowOff>95250</xdr:rowOff>
    </xdr:from>
    <xdr:to>
      <xdr:col>9</xdr:col>
      <xdr:colOff>409575</xdr:colOff>
      <xdr:row>19</xdr:row>
      <xdr:rowOff>161925</xdr:rowOff>
    </xdr:to>
    <xdr:sp macro="" textlink="">
      <xdr:nvSpPr>
        <xdr:cNvPr id="971511" name="AutoShape 1">
          <a:extLst>
            <a:ext uri="{FF2B5EF4-FFF2-40B4-BE49-F238E27FC236}">
              <a16:creationId xmlns:a16="http://schemas.microsoft.com/office/drawing/2014/main" id="{00000000-0008-0000-2300-0000F7D20E00}"/>
            </a:ext>
          </a:extLst>
        </xdr:cNvPr>
        <xdr:cNvSpPr>
          <a:spLocks noChangeArrowheads="1"/>
        </xdr:cNvSpPr>
      </xdr:nvSpPr>
      <xdr:spPr bwMode="auto">
        <a:xfrm>
          <a:off x="3686175" y="52387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48</xdr:row>
      <xdr:rowOff>95250</xdr:rowOff>
    </xdr:from>
    <xdr:to>
      <xdr:col>9</xdr:col>
      <xdr:colOff>409575</xdr:colOff>
      <xdr:row>48</xdr:row>
      <xdr:rowOff>161925</xdr:rowOff>
    </xdr:to>
    <xdr:sp macro="" textlink="">
      <xdr:nvSpPr>
        <xdr:cNvPr id="971512" name="AutoShape 1">
          <a:extLst>
            <a:ext uri="{FF2B5EF4-FFF2-40B4-BE49-F238E27FC236}">
              <a16:creationId xmlns:a16="http://schemas.microsoft.com/office/drawing/2014/main" id="{00000000-0008-0000-2300-0000F8D20E00}"/>
            </a:ext>
          </a:extLst>
        </xdr:cNvPr>
        <xdr:cNvSpPr>
          <a:spLocks noChangeArrowheads="1"/>
        </xdr:cNvSpPr>
      </xdr:nvSpPr>
      <xdr:spPr bwMode="auto">
        <a:xfrm>
          <a:off x="3686175" y="124396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48</xdr:row>
      <xdr:rowOff>95250</xdr:rowOff>
    </xdr:from>
    <xdr:to>
      <xdr:col>9</xdr:col>
      <xdr:colOff>409575</xdr:colOff>
      <xdr:row>48</xdr:row>
      <xdr:rowOff>161925</xdr:rowOff>
    </xdr:to>
    <xdr:sp macro="" textlink="">
      <xdr:nvSpPr>
        <xdr:cNvPr id="971513" name="AutoShape 1">
          <a:extLst>
            <a:ext uri="{FF2B5EF4-FFF2-40B4-BE49-F238E27FC236}">
              <a16:creationId xmlns:a16="http://schemas.microsoft.com/office/drawing/2014/main" id="{00000000-0008-0000-2300-0000F9D20E00}"/>
            </a:ext>
          </a:extLst>
        </xdr:cNvPr>
        <xdr:cNvSpPr>
          <a:spLocks noChangeArrowheads="1"/>
        </xdr:cNvSpPr>
      </xdr:nvSpPr>
      <xdr:spPr bwMode="auto">
        <a:xfrm>
          <a:off x="3686175" y="124396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77</xdr:row>
      <xdr:rowOff>95250</xdr:rowOff>
    </xdr:from>
    <xdr:to>
      <xdr:col>9</xdr:col>
      <xdr:colOff>409575</xdr:colOff>
      <xdr:row>77</xdr:row>
      <xdr:rowOff>161925</xdr:rowOff>
    </xdr:to>
    <xdr:sp macro="" textlink="">
      <xdr:nvSpPr>
        <xdr:cNvPr id="971514" name="AutoShape 1">
          <a:extLst>
            <a:ext uri="{FF2B5EF4-FFF2-40B4-BE49-F238E27FC236}">
              <a16:creationId xmlns:a16="http://schemas.microsoft.com/office/drawing/2014/main" id="{00000000-0008-0000-2300-0000FAD20E00}"/>
            </a:ext>
          </a:extLst>
        </xdr:cNvPr>
        <xdr:cNvSpPr>
          <a:spLocks noChangeArrowheads="1"/>
        </xdr:cNvSpPr>
      </xdr:nvSpPr>
      <xdr:spPr bwMode="auto">
        <a:xfrm>
          <a:off x="3686175" y="196405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106</xdr:row>
      <xdr:rowOff>95250</xdr:rowOff>
    </xdr:from>
    <xdr:to>
      <xdr:col>9</xdr:col>
      <xdr:colOff>409575</xdr:colOff>
      <xdr:row>106</xdr:row>
      <xdr:rowOff>161925</xdr:rowOff>
    </xdr:to>
    <xdr:sp macro="" textlink="">
      <xdr:nvSpPr>
        <xdr:cNvPr id="971515" name="AutoShape 1">
          <a:extLst>
            <a:ext uri="{FF2B5EF4-FFF2-40B4-BE49-F238E27FC236}">
              <a16:creationId xmlns:a16="http://schemas.microsoft.com/office/drawing/2014/main" id="{00000000-0008-0000-2300-0000FBD20E00}"/>
            </a:ext>
          </a:extLst>
        </xdr:cNvPr>
        <xdr:cNvSpPr>
          <a:spLocks noChangeArrowheads="1"/>
        </xdr:cNvSpPr>
      </xdr:nvSpPr>
      <xdr:spPr bwMode="auto">
        <a:xfrm>
          <a:off x="3686175" y="268414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135</xdr:row>
      <xdr:rowOff>95250</xdr:rowOff>
    </xdr:from>
    <xdr:to>
      <xdr:col>9</xdr:col>
      <xdr:colOff>409575</xdr:colOff>
      <xdr:row>135</xdr:row>
      <xdr:rowOff>161925</xdr:rowOff>
    </xdr:to>
    <xdr:sp macro="" textlink="">
      <xdr:nvSpPr>
        <xdr:cNvPr id="971516" name="AutoShape 1">
          <a:extLst>
            <a:ext uri="{FF2B5EF4-FFF2-40B4-BE49-F238E27FC236}">
              <a16:creationId xmlns:a16="http://schemas.microsoft.com/office/drawing/2014/main" id="{00000000-0008-0000-2300-0000FCD20E00}"/>
            </a:ext>
          </a:extLst>
        </xdr:cNvPr>
        <xdr:cNvSpPr>
          <a:spLocks noChangeArrowheads="1"/>
        </xdr:cNvSpPr>
      </xdr:nvSpPr>
      <xdr:spPr bwMode="auto">
        <a:xfrm>
          <a:off x="3686175" y="340423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164</xdr:row>
      <xdr:rowOff>95250</xdr:rowOff>
    </xdr:from>
    <xdr:to>
      <xdr:col>9</xdr:col>
      <xdr:colOff>409575</xdr:colOff>
      <xdr:row>164</xdr:row>
      <xdr:rowOff>161925</xdr:rowOff>
    </xdr:to>
    <xdr:sp macro="" textlink="">
      <xdr:nvSpPr>
        <xdr:cNvPr id="971517" name="AutoShape 1">
          <a:extLst>
            <a:ext uri="{FF2B5EF4-FFF2-40B4-BE49-F238E27FC236}">
              <a16:creationId xmlns:a16="http://schemas.microsoft.com/office/drawing/2014/main" id="{00000000-0008-0000-2300-0000FDD20E00}"/>
            </a:ext>
          </a:extLst>
        </xdr:cNvPr>
        <xdr:cNvSpPr>
          <a:spLocks noChangeArrowheads="1"/>
        </xdr:cNvSpPr>
      </xdr:nvSpPr>
      <xdr:spPr bwMode="auto">
        <a:xfrm>
          <a:off x="3686175" y="412432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193</xdr:row>
      <xdr:rowOff>95250</xdr:rowOff>
    </xdr:from>
    <xdr:to>
      <xdr:col>9</xdr:col>
      <xdr:colOff>409575</xdr:colOff>
      <xdr:row>193</xdr:row>
      <xdr:rowOff>161925</xdr:rowOff>
    </xdr:to>
    <xdr:sp macro="" textlink="">
      <xdr:nvSpPr>
        <xdr:cNvPr id="971518" name="AutoShape 1">
          <a:extLst>
            <a:ext uri="{FF2B5EF4-FFF2-40B4-BE49-F238E27FC236}">
              <a16:creationId xmlns:a16="http://schemas.microsoft.com/office/drawing/2014/main" id="{00000000-0008-0000-2300-0000FED20E00}"/>
            </a:ext>
          </a:extLst>
        </xdr:cNvPr>
        <xdr:cNvSpPr>
          <a:spLocks noChangeArrowheads="1"/>
        </xdr:cNvSpPr>
      </xdr:nvSpPr>
      <xdr:spPr bwMode="auto">
        <a:xfrm>
          <a:off x="3686175" y="484441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222</xdr:row>
      <xdr:rowOff>95250</xdr:rowOff>
    </xdr:from>
    <xdr:to>
      <xdr:col>9</xdr:col>
      <xdr:colOff>409575</xdr:colOff>
      <xdr:row>222</xdr:row>
      <xdr:rowOff>161925</xdr:rowOff>
    </xdr:to>
    <xdr:sp macro="" textlink="">
      <xdr:nvSpPr>
        <xdr:cNvPr id="971519" name="AutoShape 1">
          <a:extLst>
            <a:ext uri="{FF2B5EF4-FFF2-40B4-BE49-F238E27FC236}">
              <a16:creationId xmlns:a16="http://schemas.microsoft.com/office/drawing/2014/main" id="{00000000-0008-0000-2300-0000FFD20E00}"/>
            </a:ext>
          </a:extLst>
        </xdr:cNvPr>
        <xdr:cNvSpPr>
          <a:spLocks noChangeArrowheads="1"/>
        </xdr:cNvSpPr>
      </xdr:nvSpPr>
      <xdr:spPr bwMode="auto">
        <a:xfrm>
          <a:off x="3686175" y="556450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251</xdr:row>
      <xdr:rowOff>95250</xdr:rowOff>
    </xdr:from>
    <xdr:to>
      <xdr:col>9</xdr:col>
      <xdr:colOff>409575</xdr:colOff>
      <xdr:row>251</xdr:row>
      <xdr:rowOff>161925</xdr:rowOff>
    </xdr:to>
    <xdr:sp macro="" textlink="">
      <xdr:nvSpPr>
        <xdr:cNvPr id="971520" name="AutoShape 1">
          <a:extLst>
            <a:ext uri="{FF2B5EF4-FFF2-40B4-BE49-F238E27FC236}">
              <a16:creationId xmlns:a16="http://schemas.microsoft.com/office/drawing/2014/main" id="{00000000-0008-0000-2300-000000D30E00}"/>
            </a:ext>
          </a:extLst>
        </xdr:cNvPr>
        <xdr:cNvSpPr>
          <a:spLocks noChangeArrowheads="1"/>
        </xdr:cNvSpPr>
      </xdr:nvSpPr>
      <xdr:spPr bwMode="auto">
        <a:xfrm>
          <a:off x="3686175" y="628459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280</xdr:row>
      <xdr:rowOff>95250</xdr:rowOff>
    </xdr:from>
    <xdr:to>
      <xdr:col>9</xdr:col>
      <xdr:colOff>409575</xdr:colOff>
      <xdr:row>280</xdr:row>
      <xdr:rowOff>161925</xdr:rowOff>
    </xdr:to>
    <xdr:sp macro="" textlink="">
      <xdr:nvSpPr>
        <xdr:cNvPr id="971521" name="AutoShape 1">
          <a:extLst>
            <a:ext uri="{FF2B5EF4-FFF2-40B4-BE49-F238E27FC236}">
              <a16:creationId xmlns:a16="http://schemas.microsoft.com/office/drawing/2014/main" id="{00000000-0008-0000-2300-000001D30E00}"/>
            </a:ext>
          </a:extLst>
        </xdr:cNvPr>
        <xdr:cNvSpPr>
          <a:spLocks noChangeArrowheads="1"/>
        </xdr:cNvSpPr>
      </xdr:nvSpPr>
      <xdr:spPr bwMode="auto">
        <a:xfrm>
          <a:off x="3686175" y="700468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309</xdr:row>
      <xdr:rowOff>95250</xdr:rowOff>
    </xdr:from>
    <xdr:to>
      <xdr:col>9</xdr:col>
      <xdr:colOff>409575</xdr:colOff>
      <xdr:row>309</xdr:row>
      <xdr:rowOff>161925</xdr:rowOff>
    </xdr:to>
    <xdr:sp macro="" textlink="">
      <xdr:nvSpPr>
        <xdr:cNvPr id="971522" name="AutoShape 1">
          <a:extLst>
            <a:ext uri="{FF2B5EF4-FFF2-40B4-BE49-F238E27FC236}">
              <a16:creationId xmlns:a16="http://schemas.microsoft.com/office/drawing/2014/main" id="{00000000-0008-0000-2300-000002D30E00}"/>
            </a:ext>
          </a:extLst>
        </xdr:cNvPr>
        <xdr:cNvSpPr>
          <a:spLocks noChangeArrowheads="1"/>
        </xdr:cNvSpPr>
      </xdr:nvSpPr>
      <xdr:spPr bwMode="auto">
        <a:xfrm>
          <a:off x="3686175" y="772477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338</xdr:row>
      <xdr:rowOff>95250</xdr:rowOff>
    </xdr:from>
    <xdr:to>
      <xdr:col>9</xdr:col>
      <xdr:colOff>409575</xdr:colOff>
      <xdr:row>338</xdr:row>
      <xdr:rowOff>161925</xdr:rowOff>
    </xdr:to>
    <xdr:sp macro="" textlink="">
      <xdr:nvSpPr>
        <xdr:cNvPr id="971523" name="AutoShape 1">
          <a:extLst>
            <a:ext uri="{FF2B5EF4-FFF2-40B4-BE49-F238E27FC236}">
              <a16:creationId xmlns:a16="http://schemas.microsoft.com/office/drawing/2014/main" id="{00000000-0008-0000-2300-000003D30E00}"/>
            </a:ext>
          </a:extLst>
        </xdr:cNvPr>
        <xdr:cNvSpPr>
          <a:spLocks noChangeArrowheads="1"/>
        </xdr:cNvSpPr>
      </xdr:nvSpPr>
      <xdr:spPr bwMode="auto">
        <a:xfrm>
          <a:off x="3686175" y="844486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367</xdr:row>
      <xdr:rowOff>95250</xdr:rowOff>
    </xdr:from>
    <xdr:to>
      <xdr:col>9</xdr:col>
      <xdr:colOff>409575</xdr:colOff>
      <xdr:row>367</xdr:row>
      <xdr:rowOff>161925</xdr:rowOff>
    </xdr:to>
    <xdr:sp macro="" textlink="">
      <xdr:nvSpPr>
        <xdr:cNvPr id="971524" name="AutoShape 1">
          <a:extLst>
            <a:ext uri="{FF2B5EF4-FFF2-40B4-BE49-F238E27FC236}">
              <a16:creationId xmlns:a16="http://schemas.microsoft.com/office/drawing/2014/main" id="{00000000-0008-0000-2300-000004D30E00}"/>
            </a:ext>
          </a:extLst>
        </xdr:cNvPr>
        <xdr:cNvSpPr>
          <a:spLocks noChangeArrowheads="1"/>
        </xdr:cNvSpPr>
      </xdr:nvSpPr>
      <xdr:spPr bwMode="auto">
        <a:xfrm>
          <a:off x="3686175" y="916495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396</xdr:row>
      <xdr:rowOff>95250</xdr:rowOff>
    </xdr:from>
    <xdr:to>
      <xdr:col>9</xdr:col>
      <xdr:colOff>409575</xdr:colOff>
      <xdr:row>396</xdr:row>
      <xdr:rowOff>161925</xdr:rowOff>
    </xdr:to>
    <xdr:sp macro="" textlink="">
      <xdr:nvSpPr>
        <xdr:cNvPr id="971525" name="AutoShape 1">
          <a:extLst>
            <a:ext uri="{FF2B5EF4-FFF2-40B4-BE49-F238E27FC236}">
              <a16:creationId xmlns:a16="http://schemas.microsoft.com/office/drawing/2014/main" id="{00000000-0008-0000-2300-000005D30E00}"/>
            </a:ext>
          </a:extLst>
        </xdr:cNvPr>
        <xdr:cNvSpPr>
          <a:spLocks noChangeArrowheads="1"/>
        </xdr:cNvSpPr>
      </xdr:nvSpPr>
      <xdr:spPr bwMode="auto">
        <a:xfrm>
          <a:off x="3686175" y="988504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425</xdr:row>
      <xdr:rowOff>95250</xdr:rowOff>
    </xdr:from>
    <xdr:to>
      <xdr:col>9</xdr:col>
      <xdr:colOff>409575</xdr:colOff>
      <xdr:row>425</xdr:row>
      <xdr:rowOff>161925</xdr:rowOff>
    </xdr:to>
    <xdr:sp macro="" textlink="">
      <xdr:nvSpPr>
        <xdr:cNvPr id="971526" name="AutoShape 1">
          <a:extLst>
            <a:ext uri="{FF2B5EF4-FFF2-40B4-BE49-F238E27FC236}">
              <a16:creationId xmlns:a16="http://schemas.microsoft.com/office/drawing/2014/main" id="{00000000-0008-0000-2300-000006D30E00}"/>
            </a:ext>
          </a:extLst>
        </xdr:cNvPr>
        <xdr:cNvSpPr>
          <a:spLocks noChangeArrowheads="1"/>
        </xdr:cNvSpPr>
      </xdr:nvSpPr>
      <xdr:spPr bwMode="auto">
        <a:xfrm>
          <a:off x="3686175" y="1060513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454</xdr:row>
      <xdr:rowOff>95250</xdr:rowOff>
    </xdr:from>
    <xdr:to>
      <xdr:col>9</xdr:col>
      <xdr:colOff>409575</xdr:colOff>
      <xdr:row>454</xdr:row>
      <xdr:rowOff>161925</xdr:rowOff>
    </xdr:to>
    <xdr:sp macro="" textlink="">
      <xdr:nvSpPr>
        <xdr:cNvPr id="971527" name="AutoShape 1">
          <a:extLst>
            <a:ext uri="{FF2B5EF4-FFF2-40B4-BE49-F238E27FC236}">
              <a16:creationId xmlns:a16="http://schemas.microsoft.com/office/drawing/2014/main" id="{00000000-0008-0000-2300-000007D30E00}"/>
            </a:ext>
          </a:extLst>
        </xdr:cNvPr>
        <xdr:cNvSpPr>
          <a:spLocks noChangeArrowheads="1"/>
        </xdr:cNvSpPr>
      </xdr:nvSpPr>
      <xdr:spPr bwMode="auto">
        <a:xfrm>
          <a:off x="3686175" y="1132522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483</xdr:row>
      <xdr:rowOff>95250</xdr:rowOff>
    </xdr:from>
    <xdr:to>
      <xdr:col>9</xdr:col>
      <xdr:colOff>409575</xdr:colOff>
      <xdr:row>483</xdr:row>
      <xdr:rowOff>161925</xdr:rowOff>
    </xdr:to>
    <xdr:sp macro="" textlink="">
      <xdr:nvSpPr>
        <xdr:cNvPr id="971528" name="AutoShape 1">
          <a:extLst>
            <a:ext uri="{FF2B5EF4-FFF2-40B4-BE49-F238E27FC236}">
              <a16:creationId xmlns:a16="http://schemas.microsoft.com/office/drawing/2014/main" id="{00000000-0008-0000-2300-000008D30E00}"/>
            </a:ext>
          </a:extLst>
        </xdr:cNvPr>
        <xdr:cNvSpPr>
          <a:spLocks noChangeArrowheads="1"/>
        </xdr:cNvSpPr>
      </xdr:nvSpPr>
      <xdr:spPr bwMode="auto">
        <a:xfrm>
          <a:off x="3686175" y="1204531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512</xdr:row>
      <xdr:rowOff>95250</xdr:rowOff>
    </xdr:from>
    <xdr:to>
      <xdr:col>9</xdr:col>
      <xdr:colOff>409575</xdr:colOff>
      <xdr:row>512</xdr:row>
      <xdr:rowOff>161925</xdr:rowOff>
    </xdr:to>
    <xdr:sp macro="" textlink="">
      <xdr:nvSpPr>
        <xdr:cNvPr id="971529" name="AutoShape 1">
          <a:extLst>
            <a:ext uri="{FF2B5EF4-FFF2-40B4-BE49-F238E27FC236}">
              <a16:creationId xmlns:a16="http://schemas.microsoft.com/office/drawing/2014/main" id="{00000000-0008-0000-2300-000009D30E00}"/>
            </a:ext>
          </a:extLst>
        </xdr:cNvPr>
        <xdr:cNvSpPr>
          <a:spLocks noChangeArrowheads="1"/>
        </xdr:cNvSpPr>
      </xdr:nvSpPr>
      <xdr:spPr bwMode="auto">
        <a:xfrm>
          <a:off x="3686175" y="1276540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541</xdr:row>
      <xdr:rowOff>95250</xdr:rowOff>
    </xdr:from>
    <xdr:to>
      <xdr:col>9</xdr:col>
      <xdr:colOff>409575</xdr:colOff>
      <xdr:row>541</xdr:row>
      <xdr:rowOff>161925</xdr:rowOff>
    </xdr:to>
    <xdr:sp macro="" textlink="">
      <xdr:nvSpPr>
        <xdr:cNvPr id="971530" name="AutoShape 1">
          <a:extLst>
            <a:ext uri="{FF2B5EF4-FFF2-40B4-BE49-F238E27FC236}">
              <a16:creationId xmlns:a16="http://schemas.microsoft.com/office/drawing/2014/main" id="{00000000-0008-0000-2300-00000AD30E00}"/>
            </a:ext>
          </a:extLst>
        </xdr:cNvPr>
        <xdr:cNvSpPr>
          <a:spLocks noChangeArrowheads="1"/>
        </xdr:cNvSpPr>
      </xdr:nvSpPr>
      <xdr:spPr bwMode="auto">
        <a:xfrm>
          <a:off x="3686175" y="1348549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570</xdr:row>
      <xdr:rowOff>95250</xdr:rowOff>
    </xdr:from>
    <xdr:to>
      <xdr:col>9</xdr:col>
      <xdr:colOff>409575</xdr:colOff>
      <xdr:row>570</xdr:row>
      <xdr:rowOff>161925</xdr:rowOff>
    </xdr:to>
    <xdr:sp macro="" textlink="">
      <xdr:nvSpPr>
        <xdr:cNvPr id="971531" name="AutoShape 1">
          <a:extLst>
            <a:ext uri="{FF2B5EF4-FFF2-40B4-BE49-F238E27FC236}">
              <a16:creationId xmlns:a16="http://schemas.microsoft.com/office/drawing/2014/main" id="{00000000-0008-0000-2300-00000BD30E00}"/>
            </a:ext>
          </a:extLst>
        </xdr:cNvPr>
        <xdr:cNvSpPr>
          <a:spLocks noChangeArrowheads="1"/>
        </xdr:cNvSpPr>
      </xdr:nvSpPr>
      <xdr:spPr bwMode="auto">
        <a:xfrm>
          <a:off x="3686175" y="1420558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599</xdr:row>
      <xdr:rowOff>95250</xdr:rowOff>
    </xdr:from>
    <xdr:to>
      <xdr:col>9</xdr:col>
      <xdr:colOff>409575</xdr:colOff>
      <xdr:row>599</xdr:row>
      <xdr:rowOff>161925</xdr:rowOff>
    </xdr:to>
    <xdr:sp macro="" textlink="">
      <xdr:nvSpPr>
        <xdr:cNvPr id="971532" name="AutoShape 1">
          <a:extLst>
            <a:ext uri="{FF2B5EF4-FFF2-40B4-BE49-F238E27FC236}">
              <a16:creationId xmlns:a16="http://schemas.microsoft.com/office/drawing/2014/main" id="{00000000-0008-0000-2300-00000CD30E00}"/>
            </a:ext>
          </a:extLst>
        </xdr:cNvPr>
        <xdr:cNvSpPr>
          <a:spLocks noChangeArrowheads="1"/>
        </xdr:cNvSpPr>
      </xdr:nvSpPr>
      <xdr:spPr bwMode="auto">
        <a:xfrm>
          <a:off x="3686175" y="1492567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9</xdr:col>
      <xdr:colOff>142875</xdr:colOff>
      <xdr:row>628</xdr:row>
      <xdr:rowOff>95250</xdr:rowOff>
    </xdr:from>
    <xdr:to>
      <xdr:col>9</xdr:col>
      <xdr:colOff>409575</xdr:colOff>
      <xdr:row>628</xdr:row>
      <xdr:rowOff>161925</xdr:rowOff>
    </xdr:to>
    <xdr:sp macro="" textlink="">
      <xdr:nvSpPr>
        <xdr:cNvPr id="971533" name="AutoShape 1">
          <a:extLst>
            <a:ext uri="{FF2B5EF4-FFF2-40B4-BE49-F238E27FC236}">
              <a16:creationId xmlns:a16="http://schemas.microsoft.com/office/drawing/2014/main" id="{00000000-0008-0000-2300-00000DD30E00}"/>
            </a:ext>
          </a:extLst>
        </xdr:cNvPr>
        <xdr:cNvSpPr>
          <a:spLocks noChangeArrowheads="1"/>
        </xdr:cNvSpPr>
      </xdr:nvSpPr>
      <xdr:spPr bwMode="auto">
        <a:xfrm>
          <a:off x="3686175" y="156457650"/>
          <a:ext cx="266700" cy="66675"/>
        </a:xfrm>
        <a:prstGeom prst="rightArrow">
          <a:avLst>
            <a:gd name="adj1" fmla="val 50000"/>
            <a:gd name="adj2" fmla="val 100000"/>
          </a:avLst>
        </a:prstGeom>
        <a:solidFill>
          <a:srgbClr val="FFFFFF"/>
        </a:solidFill>
        <a:ln w="9525">
          <a:solidFill>
            <a:srgbClr val="000000"/>
          </a:solidFill>
          <a:miter lim="800000"/>
          <a:headEnd/>
          <a:tailEnd/>
        </a:ln>
      </xdr:spPr>
    </xdr:sp>
    <xdr:clientData/>
  </xdr:twoCellAnchor>
  <xdr:twoCellAnchor>
    <xdr:from>
      <xdr:col>18</xdr:col>
      <xdr:colOff>9525</xdr:colOff>
      <xdr:row>8</xdr:row>
      <xdr:rowOff>114300</xdr:rowOff>
    </xdr:from>
    <xdr:to>
      <xdr:col>22</xdr:col>
      <xdr:colOff>95250</xdr:colOff>
      <xdr:row>10</xdr:row>
      <xdr:rowOff>133350</xdr:rowOff>
    </xdr:to>
    <xdr:sp macro="[0]!jmk_imp_feuille" textlink="">
      <xdr:nvSpPr>
        <xdr:cNvPr id="2" name="Rectangle à coins arrondis 1">
          <a:extLst>
            <a:ext uri="{FF2B5EF4-FFF2-40B4-BE49-F238E27FC236}">
              <a16:creationId xmlns:a16="http://schemas.microsoft.com/office/drawing/2014/main" id="{00000000-0008-0000-2300-000002000000}"/>
            </a:ext>
          </a:extLst>
        </xdr:cNvPr>
        <xdr:cNvSpPr/>
      </xdr:nvSpPr>
      <xdr:spPr bwMode="auto">
        <a:xfrm>
          <a:off x="6943725" y="2133600"/>
          <a:ext cx="1552575" cy="628650"/>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IMPRESSION</a:t>
          </a:r>
        </a:p>
      </xdr:txBody>
    </xdr:sp>
    <xdr:clientData fPrintsWithSheet="0"/>
  </xdr:twoCellAnchor>
  <xdr:twoCellAnchor>
    <xdr:from>
      <xdr:col>14</xdr:col>
      <xdr:colOff>371475</xdr:colOff>
      <xdr:row>8</xdr:row>
      <xdr:rowOff>228600</xdr:rowOff>
    </xdr:from>
    <xdr:to>
      <xdr:col>16</xdr:col>
      <xdr:colOff>304800</xdr:colOff>
      <xdr:row>10</xdr:row>
      <xdr:rowOff>57150</xdr:rowOff>
    </xdr:to>
    <xdr:sp macro="[0]!jmk_RETOUR_MENU" textlink="">
      <xdr:nvSpPr>
        <xdr:cNvPr id="26" name="Rectangle à coins arrondis 25">
          <a:extLst>
            <a:ext uri="{FF2B5EF4-FFF2-40B4-BE49-F238E27FC236}">
              <a16:creationId xmlns:a16="http://schemas.microsoft.com/office/drawing/2014/main" id="{00000000-0008-0000-2300-00001A000000}"/>
            </a:ext>
          </a:extLst>
        </xdr:cNvPr>
        <xdr:cNvSpPr/>
      </xdr:nvSpPr>
      <xdr:spPr bwMode="auto">
        <a:xfrm>
          <a:off x="5734050" y="2247900"/>
          <a:ext cx="800100" cy="43815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 MENUS</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xdr:from>
      <xdr:col>3</xdr:col>
      <xdr:colOff>314324</xdr:colOff>
      <xdr:row>0</xdr:row>
      <xdr:rowOff>852329</xdr:rowOff>
    </xdr:from>
    <xdr:to>
      <xdr:col>3</xdr:col>
      <xdr:colOff>1390649</xdr:colOff>
      <xdr:row>2</xdr:row>
      <xdr:rowOff>17131</xdr:rowOff>
    </xdr:to>
    <xdr:sp macro="[0]!jmk_RETOUR_MENU" textlink="">
      <xdr:nvSpPr>
        <xdr:cNvPr id="2" name="Rectangle à coins arrondis 1">
          <a:extLst>
            <a:ext uri="{FF2B5EF4-FFF2-40B4-BE49-F238E27FC236}">
              <a16:creationId xmlns:a16="http://schemas.microsoft.com/office/drawing/2014/main" id="{00000000-0008-0000-2400-000002000000}"/>
            </a:ext>
          </a:extLst>
        </xdr:cNvPr>
        <xdr:cNvSpPr/>
      </xdr:nvSpPr>
      <xdr:spPr bwMode="auto">
        <a:xfrm>
          <a:off x="4752974" y="852329"/>
          <a:ext cx="1076325" cy="479252"/>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 MENUS</a:t>
          </a:r>
        </a:p>
      </xdr:txBody>
    </xdr:sp>
    <xdr:clientData fPrintsWithSheet="0"/>
  </xdr:twoCellAnchor>
  <xdr:twoCellAnchor>
    <xdr:from>
      <xdr:col>4</xdr:col>
      <xdr:colOff>85724</xdr:colOff>
      <xdr:row>0</xdr:row>
      <xdr:rowOff>857251</xdr:rowOff>
    </xdr:from>
    <xdr:to>
      <xdr:col>4</xdr:col>
      <xdr:colOff>1162049</xdr:colOff>
      <xdr:row>2</xdr:row>
      <xdr:rowOff>19051</xdr:rowOff>
    </xdr:to>
    <xdr:sp macro="[0]!jmk_imp_feuille" textlink="">
      <xdr:nvSpPr>
        <xdr:cNvPr id="4" name="Rectangle à coins arrondis 3">
          <a:extLst>
            <a:ext uri="{FF2B5EF4-FFF2-40B4-BE49-F238E27FC236}">
              <a16:creationId xmlns:a16="http://schemas.microsoft.com/office/drawing/2014/main" id="{00000000-0008-0000-2400-000004000000}"/>
            </a:ext>
          </a:extLst>
        </xdr:cNvPr>
        <xdr:cNvSpPr/>
      </xdr:nvSpPr>
      <xdr:spPr bwMode="auto">
        <a:xfrm>
          <a:off x="5972174" y="857251"/>
          <a:ext cx="1076325" cy="476250"/>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IMPRESSION</a:t>
          </a:r>
        </a:p>
      </xdr:txBody>
    </xdr:sp>
    <xdr:clientData fPrintsWithSheet="0"/>
  </xdr:twoCellAnchor>
  <xdr:twoCellAnchor editAs="oneCell">
    <xdr:from>
      <xdr:col>10</xdr:col>
      <xdr:colOff>171450</xdr:colOff>
      <xdr:row>0</xdr:row>
      <xdr:rowOff>600075</xdr:rowOff>
    </xdr:from>
    <xdr:to>
      <xdr:col>10</xdr:col>
      <xdr:colOff>1019175</xdr:colOff>
      <xdr:row>2</xdr:row>
      <xdr:rowOff>133350</xdr:rowOff>
    </xdr:to>
    <xdr:pic>
      <xdr:nvPicPr>
        <xdr:cNvPr id="637390" name="Image 2">
          <a:extLst>
            <a:ext uri="{FF2B5EF4-FFF2-40B4-BE49-F238E27FC236}">
              <a16:creationId xmlns:a16="http://schemas.microsoft.com/office/drawing/2014/main" id="{00000000-0008-0000-2400-0000CEB909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57900" y="600075"/>
          <a:ext cx="8477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1444180</xdr:colOff>
      <xdr:row>0</xdr:row>
      <xdr:rowOff>19050</xdr:rowOff>
    </xdr:from>
    <xdr:to>
      <xdr:col>11</xdr:col>
      <xdr:colOff>409575</xdr:colOff>
      <xdr:row>0</xdr:row>
      <xdr:rowOff>600075</xdr:rowOff>
    </xdr:to>
    <xdr:pic>
      <xdr:nvPicPr>
        <xdr:cNvPr id="6" name="Image 5">
          <a:extLst>
            <a:ext uri="{FF2B5EF4-FFF2-40B4-BE49-F238E27FC236}">
              <a16:creationId xmlns:a16="http://schemas.microsoft.com/office/drawing/2014/main" id="{00000000-0008-0000-24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2273" b="39759"/>
        <a:stretch/>
      </xdr:blipFill>
      <xdr:spPr>
        <a:xfrm>
          <a:off x="5882830" y="19050"/>
          <a:ext cx="1499045" cy="5810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14</xdr:col>
      <xdr:colOff>0</xdr:colOff>
      <xdr:row>2</xdr:row>
      <xdr:rowOff>0</xdr:rowOff>
    </xdr:from>
    <xdr:to>
      <xdr:col>15</xdr:col>
      <xdr:colOff>200025</xdr:colOff>
      <xdr:row>3</xdr:row>
      <xdr:rowOff>276225</xdr:rowOff>
    </xdr:to>
    <xdr:sp macro="[0]!jmk_RETOUR_MENU" textlink="">
      <xdr:nvSpPr>
        <xdr:cNvPr id="3" name="Rectangle à coins arrondis 2">
          <a:extLst>
            <a:ext uri="{FF2B5EF4-FFF2-40B4-BE49-F238E27FC236}">
              <a16:creationId xmlns:a16="http://schemas.microsoft.com/office/drawing/2014/main" id="{00000000-0008-0000-2500-000003000000}"/>
            </a:ext>
          </a:extLst>
        </xdr:cNvPr>
        <xdr:cNvSpPr/>
      </xdr:nvSpPr>
      <xdr:spPr bwMode="auto">
        <a:xfrm>
          <a:off x="4733925" y="419100"/>
          <a:ext cx="800100" cy="43815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 MENUS</a:t>
          </a:r>
        </a:p>
      </xdr:txBody>
    </xdr:sp>
    <xdr:clientData fPrintsWithSheet="0"/>
  </xdr:twoCellAnchor>
  <xdr:twoCellAnchor>
    <xdr:from>
      <xdr:col>13</xdr:col>
      <xdr:colOff>1247775</xdr:colOff>
      <xdr:row>4</xdr:row>
      <xdr:rowOff>104775</xdr:rowOff>
    </xdr:from>
    <xdr:to>
      <xdr:col>15</xdr:col>
      <xdr:colOff>190500</xdr:colOff>
      <xdr:row>5</xdr:row>
      <xdr:rowOff>247649</xdr:rowOff>
    </xdr:to>
    <xdr:sp macro="[0]!jmk_imp_feuille" textlink="">
      <xdr:nvSpPr>
        <xdr:cNvPr id="4" name="Rectangle à coins arrondis 3">
          <a:extLst>
            <a:ext uri="{FF2B5EF4-FFF2-40B4-BE49-F238E27FC236}">
              <a16:creationId xmlns:a16="http://schemas.microsoft.com/office/drawing/2014/main" id="{00000000-0008-0000-2500-000004000000}"/>
            </a:ext>
          </a:extLst>
        </xdr:cNvPr>
        <xdr:cNvSpPr/>
      </xdr:nvSpPr>
      <xdr:spPr bwMode="auto">
        <a:xfrm>
          <a:off x="4724400" y="981075"/>
          <a:ext cx="800100" cy="438149"/>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IMPRESSION</a:t>
          </a:r>
        </a:p>
      </xdr:txBody>
    </xdr:sp>
    <xdr:clientData fPrintsWithSheet="0"/>
  </xdr:twoCellAnchor>
  <xdr:twoCellAnchor>
    <xdr:from>
      <xdr:col>13</xdr:col>
      <xdr:colOff>485775</xdr:colOff>
      <xdr:row>6</xdr:row>
      <xdr:rowOff>19050</xdr:rowOff>
    </xdr:from>
    <xdr:to>
      <xdr:col>15</xdr:col>
      <xdr:colOff>212400</xdr:colOff>
      <xdr:row>8</xdr:row>
      <xdr:rowOff>9525</xdr:rowOff>
    </xdr:to>
    <xdr:sp macro="[0]!jmk_saisie_qualif" textlink="">
      <xdr:nvSpPr>
        <xdr:cNvPr id="5" name="Rectangle à coins arrondis 4">
          <a:extLst>
            <a:ext uri="{FF2B5EF4-FFF2-40B4-BE49-F238E27FC236}">
              <a16:creationId xmlns:a16="http://schemas.microsoft.com/office/drawing/2014/main" id="{00000000-0008-0000-2500-000005000000}"/>
            </a:ext>
          </a:extLst>
        </xdr:cNvPr>
        <xdr:cNvSpPr/>
      </xdr:nvSpPr>
      <xdr:spPr bwMode="auto">
        <a:xfrm>
          <a:off x="4857750" y="1647825"/>
          <a:ext cx="1584000" cy="428625"/>
        </a:xfrm>
        <a:prstGeom prst="roundRect">
          <a:avLst/>
        </a:prstGeom>
        <a:solidFill>
          <a:srgbClr val="CC99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000"/>
            <a:t>Saisie</a:t>
          </a:r>
          <a:r>
            <a:rPr lang="fr-FR" sz="1000" baseline="0"/>
            <a:t> des  résultats TIRS de </a:t>
          </a:r>
          <a:r>
            <a:rPr lang="fr-FR" sz="1200" baseline="0"/>
            <a:t>Qualification</a:t>
          </a:r>
        </a:p>
      </xdr:txBody>
    </xdr:sp>
    <xdr:clientData fPrintsWithSheet="0"/>
  </xdr:twoCellAnchor>
  <xdr:twoCellAnchor editAs="oneCell">
    <xdr:from>
      <xdr:col>11</xdr:col>
      <xdr:colOff>257175</xdr:colOff>
      <xdr:row>5</xdr:row>
      <xdr:rowOff>123825</xdr:rowOff>
    </xdr:from>
    <xdr:to>
      <xdr:col>11</xdr:col>
      <xdr:colOff>2202997</xdr:colOff>
      <xdr:row>8</xdr:row>
      <xdr:rowOff>76200</xdr:rowOff>
    </xdr:to>
    <xdr:pic>
      <xdr:nvPicPr>
        <xdr:cNvPr id="6" name="Image 5">
          <a:extLst>
            <a:ext uri="{FF2B5EF4-FFF2-40B4-BE49-F238E27FC236}">
              <a16:creationId xmlns:a16="http://schemas.microsoft.com/office/drawing/2014/main" id="{00000000-0008-0000-25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40586"/>
        <a:stretch/>
      </xdr:blipFill>
      <xdr:spPr>
        <a:xfrm>
          <a:off x="723900" y="1457325"/>
          <a:ext cx="1945822" cy="685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33</xdr:col>
      <xdr:colOff>351518</xdr:colOff>
      <xdr:row>18</xdr:row>
      <xdr:rowOff>25855</xdr:rowOff>
    </xdr:from>
    <xdr:to>
      <xdr:col>33</xdr:col>
      <xdr:colOff>2256518</xdr:colOff>
      <xdr:row>21</xdr:row>
      <xdr:rowOff>164195</xdr:rowOff>
    </xdr:to>
    <xdr:sp macro="[0]!JMK_Trans_FDUEL1" textlink="">
      <xdr:nvSpPr>
        <xdr:cNvPr id="2" name="Rectangle à coins arrondis 21">
          <a:extLst>
            <a:ext uri="{FF2B5EF4-FFF2-40B4-BE49-F238E27FC236}">
              <a16:creationId xmlns:a16="http://schemas.microsoft.com/office/drawing/2014/main" id="{00000000-0008-0000-2600-000002000000}"/>
            </a:ext>
          </a:extLst>
        </xdr:cNvPr>
        <xdr:cNvSpPr/>
      </xdr:nvSpPr>
      <xdr:spPr bwMode="auto">
        <a:xfrm>
          <a:off x="19430093" y="5112205"/>
          <a:ext cx="1905000" cy="73841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1</a:t>
          </a:r>
          <a:r>
            <a:rPr lang="fr-FR" sz="1600"/>
            <a:t> </a:t>
          </a:r>
        </a:p>
      </xdr:txBody>
    </xdr:sp>
    <xdr:clientData fPrintsWithSheet="0"/>
  </xdr:twoCellAnchor>
  <xdr:twoCellAnchor>
    <xdr:from>
      <xdr:col>34</xdr:col>
      <xdr:colOff>245382</xdr:colOff>
      <xdr:row>18</xdr:row>
      <xdr:rowOff>25855</xdr:rowOff>
    </xdr:from>
    <xdr:to>
      <xdr:col>34</xdr:col>
      <xdr:colOff>2150382</xdr:colOff>
      <xdr:row>21</xdr:row>
      <xdr:rowOff>164195</xdr:rowOff>
    </xdr:to>
    <xdr:sp macro="[0]!JMK_Trans_FDUEL2" textlink="">
      <xdr:nvSpPr>
        <xdr:cNvPr id="3" name="Rectangle à coins arrondis 22">
          <a:extLst>
            <a:ext uri="{FF2B5EF4-FFF2-40B4-BE49-F238E27FC236}">
              <a16:creationId xmlns:a16="http://schemas.microsoft.com/office/drawing/2014/main" id="{00000000-0008-0000-2600-000003000000}"/>
            </a:ext>
          </a:extLst>
        </xdr:cNvPr>
        <xdr:cNvSpPr/>
      </xdr:nvSpPr>
      <xdr:spPr bwMode="auto">
        <a:xfrm>
          <a:off x="21771882" y="5112205"/>
          <a:ext cx="1905000" cy="73841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2</a:t>
          </a:r>
          <a:r>
            <a:rPr lang="fr-FR" sz="1600"/>
            <a:t> </a:t>
          </a:r>
        </a:p>
      </xdr:txBody>
    </xdr:sp>
    <xdr:clientData fPrintsWithSheet="0"/>
  </xdr:twoCellAnchor>
  <xdr:twoCellAnchor>
    <xdr:from>
      <xdr:col>35</xdr:col>
      <xdr:colOff>139247</xdr:colOff>
      <xdr:row>18</xdr:row>
      <xdr:rowOff>25855</xdr:rowOff>
    </xdr:from>
    <xdr:to>
      <xdr:col>35</xdr:col>
      <xdr:colOff>2044247</xdr:colOff>
      <xdr:row>21</xdr:row>
      <xdr:rowOff>164195</xdr:rowOff>
    </xdr:to>
    <xdr:sp macro="[0]!JMK_Trans_FDUEL3" textlink="">
      <xdr:nvSpPr>
        <xdr:cNvPr id="4" name="Rectangle à coins arrondis 23">
          <a:extLst>
            <a:ext uri="{FF2B5EF4-FFF2-40B4-BE49-F238E27FC236}">
              <a16:creationId xmlns:a16="http://schemas.microsoft.com/office/drawing/2014/main" id="{00000000-0008-0000-2600-000004000000}"/>
            </a:ext>
          </a:extLst>
        </xdr:cNvPr>
        <xdr:cNvSpPr/>
      </xdr:nvSpPr>
      <xdr:spPr bwMode="auto">
        <a:xfrm>
          <a:off x="24123197" y="5112205"/>
          <a:ext cx="1905000" cy="73841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3</a:t>
          </a:r>
          <a:r>
            <a:rPr lang="fr-FR" sz="1600"/>
            <a:t> </a:t>
          </a:r>
        </a:p>
      </xdr:txBody>
    </xdr:sp>
    <xdr:clientData fPrintsWithSheet="0"/>
  </xdr:twoCellAnchor>
  <xdr:twoCellAnchor>
    <xdr:from>
      <xdr:col>34</xdr:col>
      <xdr:colOff>1762124</xdr:colOff>
      <xdr:row>24</xdr:row>
      <xdr:rowOff>158750</xdr:rowOff>
    </xdr:from>
    <xdr:to>
      <xdr:col>35</xdr:col>
      <xdr:colOff>1206499</xdr:colOff>
      <xdr:row>30</xdr:row>
      <xdr:rowOff>190500</xdr:rowOff>
    </xdr:to>
    <xdr:sp macro="[0]!JMK_ZI_Résultat_Final" textlink="">
      <xdr:nvSpPr>
        <xdr:cNvPr id="5" name="Rectangle à coins arrondis 27">
          <a:extLst>
            <a:ext uri="{FF2B5EF4-FFF2-40B4-BE49-F238E27FC236}">
              <a16:creationId xmlns:a16="http://schemas.microsoft.com/office/drawing/2014/main" id="{00000000-0008-0000-2600-000005000000}"/>
            </a:ext>
          </a:extLst>
        </xdr:cNvPr>
        <xdr:cNvSpPr/>
      </xdr:nvSpPr>
      <xdr:spPr bwMode="auto">
        <a:xfrm>
          <a:off x="23288624" y="6445250"/>
          <a:ext cx="1901825" cy="1231900"/>
        </a:xfrm>
        <a:prstGeom prst="roundRect">
          <a:avLst/>
        </a:prstGeom>
        <a:solidFill>
          <a:srgbClr val="00FF99"/>
        </a:solidFill>
        <a:ln w="9525" cap="flat" cmpd="sng" algn="ctr">
          <a:solidFill>
            <a:srgbClr val="400000"/>
          </a:solidFill>
          <a:prstDash val="solid"/>
          <a:round/>
          <a:headEnd type="none" w="med" len="med"/>
          <a:tailEnd type="none" w="med" len="med"/>
        </a:ln>
        <a:effectLst/>
      </xdr:spPr>
      <xdr:txBody>
        <a:bodyPr rot="0" spcFirstLastPara="0" vertOverflow="clip" horzOverflow="clip" vert="horz" wrap="square" lIns="18288" tIns="0" rIns="0" bIns="0" numCol="1" spcCol="0" rtlCol="0" fromWordArt="0" anchor="ctr" anchorCtr="0" forceAA="0" upright="1" compatLnSpc="1">
          <a:prstTxWarp prst="textNoShape">
            <a:avLst/>
          </a:prstTxWarp>
          <a:noAutofit/>
        </a:bodyPr>
        <a:lstStyle/>
        <a:p>
          <a:pPr algn="ctr"/>
          <a:r>
            <a:rPr lang="fr-FR" sz="2000"/>
            <a:t>Impression</a:t>
          </a:r>
          <a:r>
            <a:rPr lang="fr-FR" sz="2000" baseline="0"/>
            <a:t> du CLASSEMENT FINAL</a:t>
          </a:r>
          <a:endParaRPr lang="fr-FR" sz="2000"/>
        </a:p>
      </xdr:txBody>
    </xdr:sp>
    <xdr:clientData fPrintsWithSheet="0"/>
  </xdr:twoCellAnchor>
  <xdr:twoCellAnchor>
    <xdr:from>
      <xdr:col>24</xdr:col>
      <xdr:colOff>571500</xdr:colOff>
      <xdr:row>0</xdr:row>
      <xdr:rowOff>301625</xdr:rowOff>
    </xdr:from>
    <xdr:to>
      <xdr:col>24</xdr:col>
      <xdr:colOff>2095500</xdr:colOff>
      <xdr:row>1</xdr:row>
      <xdr:rowOff>396875</xdr:rowOff>
    </xdr:to>
    <xdr:sp macro="[0]!jmk_RETOUR_MENU" textlink="">
      <xdr:nvSpPr>
        <xdr:cNvPr id="6" name="Rectangle à coins arrondis 28">
          <a:extLst>
            <a:ext uri="{FF2B5EF4-FFF2-40B4-BE49-F238E27FC236}">
              <a16:creationId xmlns:a16="http://schemas.microsoft.com/office/drawing/2014/main" id="{00000000-0008-0000-2600-000006000000}"/>
            </a:ext>
          </a:extLst>
        </xdr:cNvPr>
        <xdr:cNvSpPr/>
      </xdr:nvSpPr>
      <xdr:spPr bwMode="auto">
        <a:xfrm>
          <a:off x="13468350" y="301625"/>
          <a:ext cx="1524000" cy="80010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Retour aux MENUS</a:t>
          </a:r>
        </a:p>
      </xdr:txBody>
    </xdr:sp>
    <xdr:clientData fPrintsWithSheet="0"/>
  </xdr:twoCellAnchor>
  <xdr:twoCellAnchor editAs="oneCell">
    <xdr:from>
      <xdr:col>10</xdr:col>
      <xdr:colOff>142875</xdr:colOff>
      <xdr:row>0</xdr:row>
      <xdr:rowOff>123825</xdr:rowOff>
    </xdr:from>
    <xdr:to>
      <xdr:col>12</xdr:col>
      <xdr:colOff>600075</xdr:colOff>
      <xdr:row>1</xdr:row>
      <xdr:rowOff>542925</xdr:rowOff>
    </xdr:to>
    <xdr:pic>
      <xdr:nvPicPr>
        <xdr:cNvPr id="7" name="Image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34350" y="123825"/>
          <a:ext cx="1809750" cy="1123950"/>
        </a:xfrm>
        <a:prstGeom prst="rect">
          <a:avLst/>
        </a:prstGeom>
      </xdr:spPr>
    </xdr:pic>
    <xdr:clientData/>
  </xdr:twoCellAnchor>
  <xdr:twoCellAnchor editAs="oneCell">
    <xdr:from>
      <xdr:col>35</xdr:col>
      <xdr:colOff>1485900</xdr:colOff>
      <xdr:row>2</xdr:row>
      <xdr:rowOff>400051</xdr:rowOff>
    </xdr:from>
    <xdr:to>
      <xdr:col>35</xdr:col>
      <xdr:colOff>2384425</xdr:colOff>
      <xdr:row>4</xdr:row>
      <xdr:rowOff>171451</xdr:rowOff>
    </xdr:to>
    <xdr:pic>
      <xdr:nvPicPr>
        <xdr:cNvPr id="8" name="Image 7">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461325" y="1885951"/>
          <a:ext cx="898525" cy="571500"/>
        </a:xfrm>
        <a:prstGeom prst="rect">
          <a:avLst/>
        </a:prstGeom>
      </xdr:spPr>
    </xdr:pic>
    <xdr:clientData/>
  </xdr:twoCellAnchor>
  <xdr:twoCellAnchor>
    <xdr:from>
      <xdr:col>33</xdr:col>
      <xdr:colOff>642937</xdr:colOff>
      <xdr:row>24</xdr:row>
      <xdr:rowOff>1</xdr:rowOff>
    </xdr:from>
    <xdr:to>
      <xdr:col>33</xdr:col>
      <xdr:colOff>1961130</xdr:colOff>
      <xdr:row>28</xdr:row>
      <xdr:rowOff>13608</xdr:rowOff>
    </xdr:to>
    <xdr:sp macro="[0]!Imp_DUEL_Tableau" textlink="">
      <xdr:nvSpPr>
        <xdr:cNvPr id="9" name="Rectangle à coins arrondis 33">
          <a:extLst>
            <a:ext uri="{FF2B5EF4-FFF2-40B4-BE49-F238E27FC236}">
              <a16:creationId xmlns:a16="http://schemas.microsoft.com/office/drawing/2014/main" id="{00000000-0008-0000-2600-000009000000}"/>
            </a:ext>
          </a:extLst>
        </xdr:cNvPr>
        <xdr:cNvSpPr/>
      </xdr:nvSpPr>
      <xdr:spPr bwMode="auto">
        <a:xfrm>
          <a:off x="19721512" y="6286501"/>
          <a:ext cx="1318193" cy="813707"/>
        </a:xfrm>
        <a:prstGeom prst="roundRect">
          <a:avLst/>
        </a:prstGeom>
        <a:solidFill>
          <a:srgbClr val="E923EE"/>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 TABLEAU des</a:t>
          </a:r>
          <a:r>
            <a:rPr lang="fr-FR" sz="1600" baseline="0"/>
            <a:t> DUELS</a:t>
          </a:r>
          <a:endParaRPr lang="fr-FR" sz="1600"/>
        </a:p>
      </xdr:txBody>
    </xdr:sp>
    <xdr:clientData/>
  </xdr:twoCellAnchor>
  <xdr:twoCellAnchor>
    <xdr:from>
      <xdr:col>15</xdr:col>
      <xdr:colOff>95250</xdr:colOff>
      <xdr:row>9</xdr:row>
      <xdr:rowOff>176893</xdr:rowOff>
    </xdr:from>
    <xdr:to>
      <xdr:col>15</xdr:col>
      <xdr:colOff>984250</xdr:colOff>
      <xdr:row>9</xdr:row>
      <xdr:rowOff>196885</xdr:rowOff>
    </xdr:to>
    <xdr:cxnSp macro="">
      <xdr:nvCxnSpPr>
        <xdr:cNvPr id="26" name="Connecteur droit avec flèche 25">
          <a:extLst>
            <a:ext uri="{FF2B5EF4-FFF2-40B4-BE49-F238E27FC236}">
              <a16:creationId xmlns:a16="http://schemas.microsoft.com/office/drawing/2014/main" id="{00000000-0008-0000-2600-00001A000000}"/>
            </a:ext>
          </a:extLst>
        </xdr:cNvPr>
        <xdr:cNvCxnSpPr/>
      </xdr:nvCxnSpPr>
      <xdr:spPr>
        <a:xfrm>
          <a:off x="5076825" y="9063718"/>
          <a:ext cx="889000" cy="19992"/>
        </a:xfrm>
        <a:prstGeom prst="straightConnector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21</xdr:col>
      <xdr:colOff>57150</xdr:colOff>
      <xdr:row>10</xdr:row>
      <xdr:rowOff>2721</xdr:rowOff>
    </xdr:from>
    <xdr:to>
      <xdr:col>21</xdr:col>
      <xdr:colOff>946150</xdr:colOff>
      <xdr:row>10</xdr:row>
      <xdr:rowOff>22713</xdr:rowOff>
    </xdr:to>
    <xdr:cxnSp macro="">
      <xdr:nvCxnSpPr>
        <xdr:cNvPr id="27" name="Connecteur droit avec flèche 26">
          <a:extLst>
            <a:ext uri="{FF2B5EF4-FFF2-40B4-BE49-F238E27FC236}">
              <a16:creationId xmlns:a16="http://schemas.microsoft.com/office/drawing/2014/main" id="{00000000-0008-0000-2600-00001B000000}"/>
            </a:ext>
          </a:extLst>
        </xdr:cNvPr>
        <xdr:cNvCxnSpPr/>
      </xdr:nvCxnSpPr>
      <xdr:spPr>
        <a:xfrm>
          <a:off x="11029950" y="9089571"/>
          <a:ext cx="889000" cy="19992"/>
        </a:xfrm>
        <a:prstGeom prst="straightConnector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15</xdr:col>
      <xdr:colOff>95250</xdr:colOff>
      <xdr:row>11</xdr:row>
      <xdr:rowOff>176893</xdr:rowOff>
    </xdr:from>
    <xdr:to>
      <xdr:col>15</xdr:col>
      <xdr:colOff>984250</xdr:colOff>
      <xdr:row>11</xdr:row>
      <xdr:rowOff>196885</xdr:rowOff>
    </xdr:to>
    <xdr:cxnSp macro="">
      <xdr:nvCxnSpPr>
        <xdr:cNvPr id="28" name="Connecteur droit avec flèche 27">
          <a:extLst>
            <a:ext uri="{FF2B5EF4-FFF2-40B4-BE49-F238E27FC236}">
              <a16:creationId xmlns:a16="http://schemas.microsoft.com/office/drawing/2014/main" id="{00000000-0008-0000-2600-00001C000000}"/>
            </a:ext>
          </a:extLst>
        </xdr:cNvPr>
        <xdr:cNvCxnSpPr/>
      </xdr:nvCxnSpPr>
      <xdr:spPr>
        <a:xfrm>
          <a:off x="5076825" y="9463768"/>
          <a:ext cx="889000" cy="19992"/>
        </a:xfrm>
        <a:prstGeom prst="straightConnector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21</xdr:col>
      <xdr:colOff>57150</xdr:colOff>
      <xdr:row>12</xdr:row>
      <xdr:rowOff>2721</xdr:rowOff>
    </xdr:from>
    <xdr:to>
      <xdr:col>21</xdr:col>
      <xdr:colOff>946150</xdr:colOff>
      <xdr:row>12</xdr:row>
      <xdr:rowOff>22713</xdr:rowOff>
    </xdr:to>
    <xdr:cxnSp macro="">
      <xdr:nvCxnSpPr>
        <xdr:cNvPr id="29" name="Connecteur droit avec flèche 28">
          <a:extLst>
            <a:ext uri="{FF2B5EF4-FFF2-40B4-BE49-F238E27FC236}">
              <a16:creationId xmlns:a16="http://schemas.microsoft.com/office/drawing/2014/main" id="{00000000-0008-0000-2600-00001D000000}"/>
            </a:ext>
          </a:extLst>
        </xdr:cNvPr>
        <xdr:cNvCxnSpPr/>
      </xdr:nvCxnSpPr>
      <xdr:spPr>
        <a:xfrm>
          <a:off x="11029950" y="9489621"/>
          <a:ext cx="889000" cy="19992"/>
        </a:xfrm>
        <a:prstGeom prst="straightConnector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38.xml><?xml version="1.0" encoding="utf-8"?>
<xdr:wsDr xmlns:xdr="http://schemas.openxmlformats.org/drawingml/2006/spreadsheetDrawing" xmlns:a="http://schemas.openxmlformats.org/drawingml/2006/main">
  <xdr:twoCellAnchor>
    <xdr:from>
      <xdr:col>15</xdr:col>
      <xdr:colOff>17859</xdr:colOff>
      <xdr:row>6</xdr:row>
      <xdr:rowOff>190500</xdr:rowOff>
    </xdr:from>
    <xdr:to>
      <xdr:col>16</xdr:col>
      <xdr:colOff>15875</xdr:colOff>
      <xdr:row>6</xdr:row>
      <xdr:rowOff>190502</xdr:rowOff>
    </xdr:to>
    <xdr:cxnSp macro="">
      <xdr:nvCxnSpPr>
        <xdr:cNvPr id="2" name="Connecteur droit avec flèche 1">
          <a:extLst>
            <a:ext uri="{FF2B5EF4-FFF2-40B4-BE49-F238E27FC236}">
              <a16:creationId xmlns:a16="http://schemas.microsoft.com/office/drawing/2014/main" id="{00000000-0008-0000-2700-000002000000}"/>
            </a:ext>
          </a:extLst>
        </xdr:cNvPr>
        <xdr:cNvCxnSpPr/>
      </xdr:nvCxnSpPr>
      <xdr:spPr>
        <a:xfrm>
          <a:off x="12257484" y="2881313"/>
          <a:ext cx="1045766" cy="2"/>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149679</xdr:colOff>
      <xdr:row>6</xdr:row>
      <xdr:rowOff>136072</xdr:rowOff>
    </xdr:from>
    <xdr:to>
      <xdr:col>22</xdr:col>
      <xdr:colOff>173935</xdr:colOff>
      <xdr:row>7</xdr:row>
      <xdr:rowOff>74544</xdr:rowOff>
    </xdr:to>
    <xdr:cxnSp macro="">
      <xdr:nvCxnSpPr>
        <xdr:cNvPr id="6" name="Connecteur droit avec flèche 5">
          <a:extLst>
            <a:ext uri="{FF2B5EF4-FFF2-40B4-BE49-F238E27FC236}">
              <a16:creationId xmlns:a16="http://schemas.microsoft.com/office/drawing/2014/main" id="{00000000-0008-0000-2700-000006000000}"/>
            </a:ext>
          </a:extLst>
        </xdr:cNvPr>
        <xdr:cNvCxnSpPr/>
      </xdr:nvCxnSpPr>
      <xdr:spPr>
        <a:xfrm>
          <a:off x="14546036" y="2830286"/>
          <a:ext cx="1085613" cy="14257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190500</xdr:colOff>
      <xdr:row>9</xdr:row>
      <xdr:rowOff>24848</xdr:rowOff>
    </xdr:from>
    <xdr:to>
      <xdr:col>22</xdr:col>
      <xdr:colOff>132522</xdr:colOff>
      <xdr:row>16</xdr:row>
      <xdr:rowOff>68035</xdr:rowOff>
    </xdr:to>
    <xdr:cxnSp macro="">
      <xdr:nvCxnSpPr>
        <xdr:cNvPr id="7" name="Connecteur droit avec flèche 6">
          <a:extLst>
            <a:ext uri="{FF2B5EF4-FFF2-40B4-BE49-F238E27FC236}">
              <a16:creationId xmlns:a16="http://schemas.microsoft.com/office/drawing/2014/main" id="{00000000-0008-0000-2700-000007000000}"/>
            </a:ext>
          </a:extLst>
        </xdr:cNvPr>
        <xdr:cNvCxnSpPr/>
      </xdr:nvCxnSpPr>
      <xdr:spPr>
        <a:xfrm flipV="1">
          <a:off x="14586857" y="3331384"/>
          <a:ext cx="1003379" cy="147193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176893</xdr:colOff>
      <xdr:row>14</xdr:row>
      <xdr:rowOff>27215</xdr:rowOff>
    </xdr:from>
    <xdr:to>
      <xdr:col>22</xdr:col>
      <xdr:colOff>231322</xdr:colOff>
      <xdr:row>16</xdr:row>
      <xdr:rowOff>95250</xdr:rowOff>
    </xdr:to>
    <xdr:cxnSp macro="">
      <xdr:nvCxnSpPr>
        <xdr:cNvPr id="9" name="Connecteur droit avec flèche 8">
          <a:extLst>
            <a:ext uri="{FF2B5EF4-FFF2-40B4-BE49-F238E27FC236}">
              <a16:creationId xmlns:a16="http://schemas.microsoft.com/office/drawing/2014/main" id="{00000000-0008-0000-2700-000009000000}"/>
            </a:ext>
          </a:extLst>
        </xdr:cNvPr>
        <xdr:cNvCxnSpPr/>
      </xdr:nvCxnSpPr>
      <xdr:spPr>
        <a:xfrm flipV="1">
          <a:off x="14573250" y="4354286"/>
          <a:ext cx="1115786" cy="476250"/>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33</xdr:col>
      <xdr:colOff>335643</xdr:colOff>
      <xdr:row>14</xdr:row>
      <xdr:rowOff>168730</xdr:rowOff>
    </xdr:from>
    <xdr:to>
      <xdr:col>33</xdr:col>
      <xdr:colOff>2240643</xdr:colOff>
      <xdr:row>18</xdr:row>
      <xdr:rowOff>100695</xdr:rowOff>
    </xdr:to>
    <xdr:sp macro="[0]!JMK_Trans_FDUEL1" textlink="">
      <xdr:nvSpPr>
        <xdr:cNvPr id="11" name="Rectangle à coins arrondis 10">
          <a:extLst>
            <a:ext uri="{FF2B5EF4-FFF2-40B4-BE49-F238E27FC236}">
              <a16:creationId xmlns:a16="http://schemas.microsoft.com/office/drawing/2014/main" id="{00000000-0008-0000-2700-00000B000000}"/>
            </a:ext>
          </a:extLst>
        </xdr:cNvPr>
        <xdr:cNvSpPr/>
      </xdr:nvSpPr>
      <xdr:spPr bwMode="auto">
        <a:xfrm>
          <a:off x="22687643" y="4518480"/>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1</a:t>
          </a:r>
          <a:r>
            <a:rPr lang="fr-FR" sz="1600"/>
            <a:t> </a:t>
          </a:r>
        </a:p>
      </xdr:txBody>
    </xdr:sp>
    <xdr:clientData fPrintsWithSheet="0"/>
  </xdr:twoCellAnchor>
  <xdr:twoCellAnchor>
    <xdr:from>
      <xdr:col>34</xdr:col>
      <xdr:colOff>229507</xdr:colOff>
      <xdr:row>14</xdr:row>
      <xdr:rowOff>168730</xdr:rowOff>
    </xdr:from>
    <xdr:to>
      <xdr:col>34</xdr:col>
      <xdr:colOff>2134507</xdr:colOff>
      <xdr:row>18</xdr:row>
      <xdr:rowOff>100695</xdr:rowOff>
    </xdr:to>
    <xdr:sp macro="[0]!JMK_Trans_FDUEL2" textlink="">
      <xdr:nvSpPr>
        <xdr:cNvPr id="12" name="Rectangle à coins arrondis 11">
          <a:extLst>
            <a:ext uri="{FF2B5EF4-FFF2-40B4-BE49-F238E27FC236}">
              <a16:creationId xmlns:a16="http://schemas.microsoft.com/office/drawing/2014/main" id="{00000000-0008-0000-2700-00000C000000}"/>
            </a:ext>
          </a:extLst>
        </xdr:cNvPr>
        <xdr:cNvSpPr/>
      </xdr:nvSpPr>
      <xdr:spPr bwMode="auto">
        <a:xfrm>
          <a:off x="25026257" y="4518480"/>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2</a:t>
          </a:r>
          <a:r>
            <a:rPr lang="fr-FR" sz="1600"/>
            <a:t> </a:t>
          </a:r>
        </a:p>
      </xdr:txBody>
    </xdr:sp>
    <xdr:clientData fPrintsWithSheet="0"/>
  </xdr:twoCellAnchor>
  <xdr:twoCellAnchor>
    <xdr:from>
      <xdr:col>35</xdr:col>
      <xdr:colOff>123372</xdr:colOff>
      <xdr:row>14</xdr:row>
      <xdr:rowOff>168730</xdr:rowOff>
    </xdr:from>
    <xdr:to>
      <xdr:col>35</xdr:col>
      <xdr:colOff>2028372</xdr:colOff>
      <xdr:row>18</xdr:row>
      <xdr:rowOff>100695</xdr:rowOff>
    </xdr:to>
    <xdr:sp macro="[0]!JMK_Trans_FDUEL3" textlink="">
      <xdr:nvSpPr>
        <xdr:cNvPr id="13" name="Rectangle à coins arrondis 12">
          <a:extLst>
            <a:ext uri="{FF2B5EF4-FFF2-40B4-BE49-F238E27FC236}">
              <a16:creationId xmlns:a16="http://schemas.microsoft.com/office/drawing/2014/main" id="{00000000-0008-0000-2700-00000D000000}"/>
            </a:ext>
          </a:extLst>
        </xdr:cNvPr>
        <xdr:cNvSpPr/>
      </xdr:nvSpPr>
      <xdr:spPr bwMode="auto">
        <a:xfrm>
          <a:off x="27380747" y="4518480"/>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3</a:t>
          </a:r>
          <a:r>
            <a:rPr lang="fr-FR" sz="1600"/>
            <a:t> </a:t>
          </a:r>
        </a:p>
      </xdr:txBody>
    </xdr:sp>
    <xdr:clientData fPrintsWithSheet="0"/>
  </xdr:twoCellAnchor>
  <xdr:twoCellAnchor>
    <xdr:from>
      <xdr:col>34</xdr:col>
      <xdr:colOff>1571624</xdr:colOff>
      <xdr:row>21</xdr:row>
      <xdr:rowOff>95250</xdr:rowOff>
    </xdr:from>
    <xdr:to>
      <xdr:col>35</xdr:col>
      <xdr:colOff>1015999</xdr:colOff>
      <xdr:row>27</xdr:row>
      <xdr:rowOff>127000</xdr:rowOff>
    </xdr:to>
    <xdr:sp macro="[0]!JMK_ZI_Résultat_Final" textlink="">
      <xdr:nvSpPr>
        <xdr:cNvPr id="17" name="Rectangle à coins arrondis 16">
          <a:extLst>
            <a:ext uri="{FF2B5EF4-FFF2-40B4-BE49-F238E27FC236}">
              <a16:creationId xmlns:a16="http://schemas.microsoft.com/office/drawing/2014/main" id="{00000000-0008-0000-2700-000011000000}"/>
            </a:ext>
          </a:extLst>
        </xdr:cNvPr>
        <xdr:cNvSpPr/>
      </xdr:nvSpPr>
      <xdr:spPr bwMode="auto">
        <a:xfrm>
          <a:off x="26368374" y="5889625"/>
          <a:ext cx="1905000" cy="1270000"/>
        </a:xfrm>
        <a:prstGeom prst="roundRect">
          <a:avLst/>
        </a:prstGeom>
        <a:solidFill>
          <a:srgbClr val="00FF99"/>
        </a:solidFill>
        <a:ln w="9525" cap="flat" cmpd="sng" algn="ctr">
          <a:solidFill>
            <a:srgbClr val="400000"/>
          </a:solidFill>
          <a:prstDash val="solid"/>
          <a:round/>
          <a:headEnd type="none" w="med" len="med"/>
          <a:tailEnd type="none" w="med" len="med"/>
        </a:ln>
        <a:effectLst/>
      </xdr:spPr>
      <xdr:txBody>
        <a:bodyPr rot="0" spcFirstLastPara="0" vertOverflow="clip" horzOverflow="clip" vert="horz" wrap="square" lIns="18288" tIns="0" rIns="0" bIns="0" numCol="1" spcCol="0" rtlCol="0" fromWordArt="0" anchor="ctr" anchorCtr="0" forceAA="0" upright="1" compatLnSpc="1">
          <a:prstTxWarp prst="textNoShape">
            <a:avLst/>
          </a:prstTxWarp>
          <a:noAutofit/>
        </a:bodyPr>
        <a:lstStyle/>
        <a:p>
          <a:pPr algn="ctr"/>
          <a:r>
            <a:rPr lang="fr-FR" sz="2000"/>
            <a:t>Impression</a:t>
          </a:r>
          <a:r>
            <a:rPr lang="fr-FR" sz="2000" baseline="0"/>
            <a:t> du CLASSEMENT FINAL</a:t>
          </a:r>
          <a:endParaRPr lang="fr-FR" sz="2000"/>
        </a:p>
      </xdr:txBody>
    </xdr:sp>
    <xdr:clientData fPrintsWithSheet="0"/>
  </xdr:twoCellAnchor>
  <xdr:twoCellAnchor>
    <xdr:from>
      <xdr:col>24</xdr:col>
      <xdr:colOff>619125</xdr:colOff>
      <xdr:row>0</xdr:row>
      <xdr:rowOff>333375</xdr:rowOff>
    </xdr:from>
    <xdr:to>
      <xdr:col>24</xdr:col>
      <xdr:colOff>2016125</xdr:colOff>
      <xdr:row>1</xdr:row>
      <xdr:rowOff>396875</xdr:rowOff>
    </xdr:to>
    <xdr:sp macro="[0]!jmk_RETOUR_MENU" textlink="">
      <xdr:nvSpPr>
        <xdr:cNvPr id="18" name="Rectangle à coins arrondis 17">
          <a:extLst>
            <a:ext uri="{FF2B5EF4-FFF2-40B4-BE49-F238E27FC236}">
              <a16:creationId xmlns:a16="http://schemas.microsoft.com/office/drawing/2014/main" id="{00000000-0008-0000-2700-000012000000}"/>
            </a:ext>
          </a:extLst>
        </xdr:cNvPr>
        <xdr:cNvSpPr/>
      </xdr:nvSpPr>
      <xdr:spPr bwMode="auto">
        <a:xfrm>
          <a:off x="17573625" y="333375"/>
          <a:ext cx="1397000" cy="76200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2000"/>
            <a:t>Retour aux MENUS</a:t>
          </a:r>
        </a:p>
      </xdr:txBody>
    </xdr:sp>
    <xdr:clientData fPrintsWithSheet="0"/>
  </xdr:twoCellAnchor>
  <xdr:twoCellAnchor>
    <xdr:from>
      <xdr:col>15</xdr:col>
      <xdr:colOff>3571</xdr:colOff>
      <xdr:row>15</xdr:row>
      <xdr:rowOff>200025</xdr:rowOff>
    </xdr:from>
    <xdr:to>
      <xdr:col>16</xdr:col>
      <xdr:colOff>1587</xdr:colOff>
      <xdr:row>15</xdr:row>
      <xdr:rowOff>200027</xdr:rowOff>
    </xdr:to>
    <xdr:cxnSp macro="">
      <xdr:nvCxnSpPr>
        <xdr:cNvPr id="21" name="Connecteur droit avec flèche 20">
          <a:extLst>
            <a:ext uri="{FF2B5EF4-FFF2-40B4-BE49-F238E27FC236}">
              <a16:creationId xmlns:a16="http://schemas.microsoft.com/office/drawing/2014/main" id="{00000000-0008-0000-2700-000015000000}"/>
            </a:ext>
          </a:extLst>
        </xdr:cNvPr>
        <xdr:cNvCxnSpPr/>
      </xdr:nvCxnSpPr>
      <xdr:spPr>
        <a:xfrm>
          <a:off x="12243196" y="4307681"/>
          <a:ext cx="1045766" cy="2"/>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310753</xdr:colOff>
      <xdr:row>17</xdr:row>
      <xdr:rowOff>163286</xdr:rowOff>
    </xdr:from>
    <xdr:to>
      <xdr:col>15</xdr:col>
      <xdr:colOff>1006929</xdr:colOff>
      <xdr:row>21</xdr:row>
      <xdr:rowOff>1191</xdr:rowOff>
    </xdr:to>
    <xdr:cxnSp macro="">
      <xdr:nvCxnSpPr>
        <xdr:cNvPr id="22" name="Connecteur droit avec flèche 21">
          <a:extLst>
            <a:ext uri="{FF2B5EF4-FFF2-40B4-BE49-F238E27FC236}">
              <a16:creationId xmlns:a16="http://schemas.microsoft.com/office/drawing/2014/main" id="{00000000-0008-0000-2700-000016000000}"/>
            </a:ext>
          </a:extLst>
        </xdr:cNvPr>
        <xdr:cNvCxnSpPr/>
      </xdr:nvCxnSpPr>
      <xdr:spPr>
        <a:xfrm flipV="1">
          <a:off x="8801610" y="5102679"/>
          <a:ext cx="1009140" cy="654333"/>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10</xdr:col>
      <xdr:colOff>276225</xdr:colOff>
      <xdr:row>0</xdr:row>
      <xdr:rowOff>190500</xdr:rowOff>
    </xdr:from>
    <xdr:to>
      <xdr:col>12</xdr:col>
      <xdr:colOff>1238250</xdr:colOff>
      <xdr:row>1</xdr:row>
      <xdr:rowOff>615950</xdr:rowOff>
    </xdr:to>
    <xdr:pic>
      <xdr:nvPicPr>
        <xdr:cNvPr id="19" name="Image 18">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39100" y="190500"/>
          <a:ext cx="1905000" cy="1130300"/>
        </a:xfrm>
        <a:prstGeom prst="rect">
          <a:avLst/>
        </a:prstGeom>
      </xdr:spPr>
    </xdr:pic>
    <xdr:clientData/>
  </xdr:twoCellAnchor>
  <xdr:twoCellAnchor editAs="oneCell">
    <xdr:from>
      <xdr:col>35</xdr:col>
      <xdr:colOff>1476375</xdr:colOff>
      <xdr:row>2</xdr:row>
      <xdr:rowOff>400050</xdr:rowOff>
    </xdr:from>
    <xdr:to>
      <xdr:col>35</xdr:col>
      <xdr:colOff>2413000</xdr:colOff>
      <xdr:row>4</xdr:row>
      <xdr:rowOff>157242</xdr:rowOff>
    </xdr:to>
    <xdr:pic>
      <xdr:nvPicPr>
        <xdr:cNvPr id="20" name="Image 19">
          <a:extLst>
            <a:ext uri="{FF2B5EF4-FFF2-40B4-BE49-F238E27FC236}">
              <a16:creationId xmlns:a16="http://schemas.microsoft.com/office/drawing/2014/main" id="{00000000-0008-0000-2700-00001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508700" y="1885950"/>
          <a:ext cx="936625" cy="557292"/>
        </a:xfrm>
        <a:prstGeom prst="rect">
          <a:avLst/>
        </a:prstGeom>
      </xdr:spPr>
    </xdr:pic>
    <xdr:clientData/>
  </xdr:twoCellAnchor>
  <xdr:twoCellAnchor>
    <xdr:from>
      <xdr:col>33</xdr:col>
      <xdr:colOff>587375</xdr:colOff>
      <xdr:row>20</xdr:row>
      <xdr:rowOff>31750</xdr:rowOff>
    </xdr:from>
    <xdr:to>
      <xdr:col>33</xdr:col>
      <xdr:colOff>1905568</xdr:colOff>
      <xdr:row>24</xdr:row>
      <xdr:rowOff>29482</xdr:rowOff>
    </xdr:to>
    <xdr:sp macro="[0]!Imp_DUEL_Tableau" textlink="">
      <xdr:nvSpPr>
        <xdr:cNvPr id="23" name="Rectangle à coins arrondis 22">
          <a:extLst>
            <a:ext uri="{FF2B5EF4-FFF2-40B4-BE49-F238E27FC236}">
              <a16:creationId xmlns:a16="http://schemas.microsoft.com/office/drawing/2014/main" id="{00000000-0008-0000-2700-000017000000}"/>
            </a:ext>
          </a:extLst>
        </xdr:cNvPr>
        <xdr:cNvSpPr/>
      </xdr:nvSpPr>
      <xdr:spPr bwMode="auto">
        <a:xfrm>
          <a:off x="25765125" y="5619750"/>
          <a:ext cx="1318193" cy="823232"/>
        </a:xfrm>
        <a:prstGeom prst="roundRect">
          <a:avLst/>
        </a:prstGeom>
        <a:solidFill>
          <a:srgbClr val="E923EE"/>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 TABLEAU des</a:t>
          </a:r>
          <a:r>
            <a:rPr lang="fr-FR" sz="1600" baseline="0"/>
            <a:t> DUELS</a:t>
          </a:r>
          <a:endParaRPr lang="fr-FR" sz="1600"/>
        </a:p>
      </xdr:txBody>
    </xdr:sp>
    <xdr:clientData/>
  </xdr:twoCellAnchor>
  <xdr:twoCellAnchor>
    <xdr:from>
      <xdr:col>12</xdr:col>
      <xdr:colOff>832757</xdr:colOff>
      <xdr:row>15</xdr:row>
      <xdr:rowOff>81643</xdr:rowOff>
    </xdr:from>
    <xdr:to>
      <xdr:col>12</xdr:col>
      <xdr:colOff>1541605</xdr:colOff>
      <xdr:row>16</xdr:row>
      <xdr:rowOff>147783</xdr:rowOff>
    </xdr:to>
    <xdr:sp macro="" textlink="">
      <xdr:nvSpPr>
        <xdr:cNvPr id="3" name="Rectangle à coins arrondis 25">
          <a:extLst>
            <a:ext uri="{FF2B5EF4-FFF2-40B4-BE49-F238E27FC236}">
              <a16:creationId xmlns:a16="http://schemas.microsoft.com/office/drawing/2014/main" id="{00000000-0008-0000-2700-000003000000}"/>
            </a:ext>
          </a:extLst>
        </xdr:cNvPr>
        <xdr:cNvSpPr/>
      </xdr:nvSpPr>
      <xdr:spPr bwMode="auto">
        <a:xfrm>
          <a:off x="6112328" y="4612822"/>
          <a:ext cx="708848" cy="270247"/>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twoCellAnchor>
    <xdr:from>
      <xdr:col>12</xdr:col>
      <xdr:colOff>832757</xdr:colOff>
      <xdr:row>8</xdr:row>
      <xdr:rowOff>70757</xdr:rowOff>
    </xdr:from>
    <xdr:to>
      <xdr:col>12</xdr:col>
      <xdr:colOff>1541605</xdr:colOff>
      <xdr:row>9</xdr:row>
      <xdr:rowOff>136897</xdr:rowOff>
    </xdr:to>
    <xdr:sp macro="" textlink="">
      <xdr:nvSpPr>
        <xdr:cNvPr id="4" name="Rectangle à coins arrondis 25">
          <a:extLst>
            <a:ext uri="{FF2B5EF4-FFF2-40B4-BE49-F238E27FC236}">
              <a16:creationId xmlns:a16="http://schemas.microsoft.com/office/drawing/2014/main" id="{00000000-0008-0000-2700-000004000000}"/>
            </a:ext>
          </a:extLst>
        </xdr:cNvPr>
        <xdr:cNvSpPr/>
      </xdr:nvSpPr>
      <xdr:spPr bwMode="auto">
        <a:xfrm>
          <a:off x="6112328" y="3173186"/>
          <a:ext cx="708848" cy="270247"/>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twoCellAnchor>
    <xdr:from>
      <xdr:col>12</xdr:col>
      <xdr:colOff>832757</xdr:colOff>
      <xdr:row>22</xdr:row>
      <xdr:rowOff>73478</xdr:rowOff>
    </xdr:from>
    <xdr:to>
      <xdr:col>12</xdr:col>
      <xdr:colOff>1541605</xdr:colOff>
      <xdr:row>23</xdr:row>
      <xdr:rowOff>139618</xdr:rowOff>
    </xdr:to>
    <xdr:sp macro="" textlink="">
      <xdr:nvSpPr>
        <xdr:cNvPr id="5" name="Rectangle à coins arrondis 25">
          <a:extLst>
            <a:ext uri="{FF2B5EF4-FFF2-40B4-BE49-F238E27FC236}">
              <a16:creationId xmlns:a16="http://schemas.microsoft.com/office/drawing/2014/main" id="{00000000-0008-0000-2700-000005000000}"/>
            </a:ext>
          </a:extLst>
        </xdr:cNvPr>
        <xdr:cNvSpPr/>
      </xdr:nvSpPr>
      <xdr:spPr bwMode="auto">
        <a:xfrm>
          <a:off x="6112328" y="6033407"/>
          <a:ext cx="708848" cy="270247"/>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twoCellAnchor>
    <xdr:from>
      <xdr:col>18</xdr:col>
      <xdr:colOff>1001485</xdr:colOff>
      <xdr:row>8</xdr:row>
      <xdr:rowOff>48985</xdr:rowOff>
    </xdr:from>
    <xdr:to>
      <xdr:col>18</xdr:col>
      <xdr:colOff>1710333</xdr:colOff>
      <xdr:row>9</xdr:row>
      <xdr:rowOff>115125</xdr:rowOff>
    </xdr:to>
    <xdr:sp macro="" textlink="">
      <xdr:nvSpPr>
        <xdr:cNvPr id="8" name="Rectangle à coins arrondis 25">
          <a:extLst>
            <a:ext uri="{FF2B5EF4-FFF2-40B4-BE49-F238E27FC236}">
              <a16:creationId xmlns:a16="http://schemas.microsoft.com/office/drawing/2014/main" id="{00000000-0008-0000-2700-000008000000}"/>
            </a:ext>
          </a:extLst>
        </xdr:cNvPr>
        <xdr:cNvSpPr/>
      </xdr:nvSpPr>
      <xdr:spPr bwMode="auto">
        <a:xfrm>
          <a:off x="11805556" y="3151414"/>
          <a:ext cx="708848" cy="270247"/>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15</xdr:col>
      <xdr:colOff>178594</xdr:colOff>
      <xdr:row>15</xdr:row>
      <xdr:rowOff>190500</xdr:rowOff>
    </xdr:from>
    <xdr:to>
      <xdr:col>16</xdr:col>
      <xdr:colOff>0</xdr:colOff>
      <xdr:row>27</xdr:row>
      <xdr:rowOff>59531</xdr:rowOff>
    </xdr:to>
    <xdr:cxnSp macro="">
      <xdr:nvCxnSpPr>
        <xdr:cNvPr id="2" name="Connecteur droit avec flèche 1">
          <a:extLst>
            <a:ext uri="{FF2B5EF4-FFF2-40B4-BE49-F238E27FC236}">
              <a16:creationId xmlns:a16="http://schemas.microsoft.com/office/drawing/2014/main" id="{00000000-0008-0000-2800-000002000000}"/>
            </a:ext>
          </a:extLst>
        </xdr:cNvPr>
        <xdr:cNvCxnSpPr>
          <a:cxnSpLocks/>
        </xdr:cNvCxnSpPr>
      </xdr:nvCxnSpPr>
      <xdr:spPr>
        <a:xfrm flipV="1">
          <a:off x="11620500" y="4702969"/>
          <a:ext cx="869156" cy="2297906"/>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107156</xdr:colOff>
      <xdr:row>9</xdr:row>
      <xdr:rowOff>119063</xdr:rowOff>
    </xdr:from>
    <xdr:to>
      <xdr:col>16</xdr:col>
      <xdr:colOff>23813</xdr:colOff>
      <xdr:row>13</xdr:row>
      <xdr:rowOff>95250</xdr:rowOff>
    </xdr:to>
    <xdr:cxnSp macro="">
      <xdr:nvCxnSpPr>
        <xdr:cNvPr id="3" name="Connecteur droit avec flèche 2">
          <a:extLst>
            <a:ext uri="{FF2B5EF4-FFF2-40B4-BE49-F238E27FC236}">
              <a16:creationId xmlns:a16="http://schemas.microsoft.com/office/drawing/2014/main" id="{00000000-0008-0000-2800-000003000000}"/>
            </a:ext>
          </a:extLst>
        </xdr:cNvPr>
        <xdr:cNvCxnSpPr>
          <a:cxnSpLocks/>
        </xdr:cNvCxnSpPr>
      </xdr:nvCxnSpPr>
      <xdr:spPr>
        <a:xfrm flipV="1">
          <a:off x="11549062" y="3417094"/>
          <a:ext cx="964407" cy="785812"/>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6</xdr:row>
      <xdr:rowOff>120651</xdr:rowOff>
    </xdr:from>
    <xdr:to>
      <xdr:col>22</xdr:col>
      <xdr:colOff>12700</xdr:colOff>
      <xdr:row>8</xdr:row>
      <xdr:rowOff>0</xdr:rowOff>
    </xdr:to>
    <xdr:cxnSp macro="">
      <xdr:nvCxnSpPr>
        <xdr:cNvPr id="7" name="Connecteur droit avec flèche 6">
          <a:extLst>
            <a:ext uri="{FF2B5EF4-FFF2-40B4-BE49-F238E27FC236}">
              <a16:creationId xmlns:a16="http://schemas.microsoft.com/office/drawing/2014/main" id="{00000000-0008-0000-2800-000007000000}"/>
            </a:ext>
          </a:extLst>
        </xdr:cNvPr>
        <xdr:cNvCxnSpPr/>
      </xdr:nvCxnSpPr>
      <xdr:spPr>
        <a:xfrm flipV="1">
          <a:off x="15061747" y="28067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8</xdr:row>
      <xdr:rowOff>120650</xdr:rowOff>
    </xdr:from>
    <xdr:to>
      <xdr:col>22</xdr:col>
      <xdr:colOff>12700</xdr:colOff>
      <xdr:row>15</xdr:row>
      <xdr:rowOff>2116</xdr:rowOff>
    </xdr:to>
    <xdr:cxnSp macro="">
      <xdr:nvCxnSpPr>
        <xdr:cNvPr id="8" name="Connecteur droit avec flèche 7">
          <a:extLst>
            <a:ext uri="{FF2B5EF4-FFF2-40B4-BE49-F238E27FC236}">
              <a16:creationId xmlns:a16="http://schemas.microsoft.com/office/drawing/2014/main" id="{00000000-0008-0000-2800-000008000000}"/>
            </a:ext>
          </a:extLst>
        </xdr:cNvPr>
        <xdr:cNvCxnSpPr/>
      </xdr:nvCxnSpPr>
      <xdr:spPr>
        <a:xfrm flipV="1">
          <a:off x="15037858" y="32067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8</xdr:row>
      <xdr:rowOff>13607</xdr:rowOff>
    </xdr:from>
    <xdr:to>
      <xdr:col>21</xdr:col>
      <xdr:colOff>1060450</xdr:colOff>
      <xdr:row>13</xdr:row>
      <xdr:rowOff>103724</xdr:rowOff>
    </xdr:to>
    <xdr:cxnSp macro="">
      <xdr:nvCxnSpPr>
        <xdr:cNvPr id="9" name="Connecteur droit avec flèche 8">
          <a:extLst>
            <a:ext uri="{FF2B5EF4-FFF2-40B4-BE49-F238E27FC236}">
              <a16:creationId xmlns:a16="http://schemas.microsoft.com/office/drawing/2014/main" id="{00000000-0008-0000-2800-000009000000}"/>
            </a:ext>
          </a:extLst>
        </xdr:cNvPr>
        <xdr:cNvCxnSpPr/>
      </xdr:nvCxnSpPr>
      <xdr:spPr>
        <a:xfrm>
          <a:off x="15034533" y="30997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15</xdr:row>
      <xdr:rowOff>2123</xdr:rowOff>
    </xdr:from>
    <xdr:to>
      <xdr:col>21</xdr:col>
      <xdr:colOff>1059392</xdr:colOff>
      <xdr:row>15</xdr:row>
      <xdr:rowOff>120656</xdr:rowOff>
    </xdr:to>
    <xdr:cxnSp macro="">
      <xdr:nvCxnSpPr>
        <xdr:cNvPr id="10" name="Connecteur droit avec flèche 9">
          <a:extLst>
            <a:ext uri="{FF2B5EF4-FFF2-40B4-BE49-F238E27FC236}">
              <a16:creationId xmlns:a16="http://schemas.microsoft.com/office/drawing/2014/main" id="{00000000-0008-0000-2800-00000A000000}"/>
            </a:ext>
          </a:extLst>
        </xdr:cNvPr>
        <xdr:cNvCxnSpPr/>
      </xdr:nvCxnSpPr>
      <xdr:spPr>
        <a:xfrm>
          <a:off x="15020925" y="44883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33</xdr:col>
      <xdr:colOff>415018</xdr:colOff>
      <xdr:row>16</xdr:row>
      <xdr:rowOff>136980</xdr:rowOff>
    </xdr:from>
    <xdr:to>
      <xdr:col>33</xdr:col>
      <xdr:colOff>2320018</xdr:colOff>
      <xdr:row>20</xdr:row>
      <xdr:rowOff>68945</xdr:rowOff>
    </xdr:to>
    <xdr:sp macro="[0]!JMK_Trans_FDUEL1" textlink="">
      <xdr:nvSpPr>
        <xdr:cNvPr id="12" name="Rectangle à coins arrondis 11">
          <a:extLst>
            <a:ext uri="{FF2B5EF4-FFF2-40B4-BE49-F238E27FC236}">
              <a16:creationId xmlns:a16="http://schemas.microsoft.com/office/drawing/2014/main" id="{00000000-0008-0000-2800-00000C000000}"/>
            </a:ext>
          </a:extLst>
        </xdr:cNvPr>
        <xdr:cNvSpPr/>
      </xdr:nvSpPr>
      <xdr:spPr bwMode="auto">
        <a:xfrm>
          <a:off x="22767018" y="4899480"/>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1</a:t>
          </a:r>
          <a:r>
            <a:rPr lang="fr-FR" sz="1600"/>
            <a:t> </a:t>
          </a:r>
        </a:p>
      </xdr:txBody>
    </xdr:sp>
    <xdr:clientData fPrintsWithSheet="0"/>
  </xdr:twoCellAnchor>
  <xdr:twoCellAnchor>
    <xdr:from>
      <xdr:col>34</xdr:col>
      <xdr:colOff>308882</xdr:colOff>
      <xdr:row>16</xdr:row>
      <xdr:rowOff>136980</xdr:rowOff>
    </xdr:from>
    <xdr:to>
      <xdr:col>34</xdr:col>
      <xdr:colOff>2213882</xdr:colOff>
      <xdr:row>20</xdr:row>
      <xdr:rowOff>68945</xdr:rowOff>
    </xdr:to>
    <xdr:sp macro="[0]!JMK_Trans_FDUEL2" textlink="">
      <xdr:nvSpPr>
        <xdr:cNvPr id="13" name="Rectangle à coins arrondis 12">
          <a:extLst>
            <a:ext uri="{FF2B5EF4-FFF2-40B4-BE49-F238E27FC236}">
              <a16:creationId xmlns:a16="http://schemas.microsoft.com/office/drawing/2014/main" id="{00000000-0008-0000-2800-00000D000000}"/>
            </a:ext>
          </a:extLst>
        </xdr:cNvPr>
        <xdr:cNvSpPr/>
      </xdr:nvSpPr>
      <xdr:spPr bwMode="auto">
        <a:xfrm>
          <a:off x="25105632" y="4899480"/>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2</a:t>
          </a:r>
          <a:r>
            <a:rPr lang="fr-FR" sz="1600"/>
            <a:t> </a:t>
          </a:r>
        </a:p>
      </xdr:txBody>
    </xdr:sp>
    <xdr:clientData fPrintsWithSheet="0"/>
  </xdr:twoCellAnchor>
  <xdr:twoCellAnchor>
    <xdr:from>
      <xdr:col>35</xdr:col>
      <xdr:colOff>202747</xdr:colOff>
      <xdr:row>16</xdr:row>
      <xdr:rowOff>136980</xdr:rowOff>
    </xdr:from>
    <xdr:to>
      <xdr:col>35</xdr:col>
      <xdr:colOff>2107747</xdr:colOff>
      <xdr:row>20</xdr:row>
      <xdr:rowOff>68945</xdr:rowOff>
    </xdr:to>
    <xdr:sp macro="[0]!JMK_Trans_FDUEL3" textlink="">
      <xdr:nvSpPr>
        <xdr:cNvPr id="14" name="Rectangle à coins arrondis 13">
          <a:extLst>
            <a:ext uri="{FF2B5EF4-FFF2-40B4-BE49-F238E27FC236}">
              <a16:creationId xmlns:a16="http://schemas.microsoft.com/office/drawing/2014/main" id="{00000000-0008-0000-2800-00000E000000}"/>
            </a:ext>
          </a:extLst>
        </xdr:cNvPr>
        <xdr:cNvSpPr/>
      </xdr:nvSpPr>
      <xdr:spPr bwMode="auto">
        <a:xfrm>
          <a:off x="27460122" y="4899480"/>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3</a:t>
          </a:r>
          <a:r>
            <a:rPr lang="fr-FR" sz="1600"/>
            <a:t> </a:t>
          </a:r>
        </a:p>
      </xdr:txBody>
    </xdr:sp>
    <xdr:clientData fPrintsWithSheet="0"/>
  </xdr:twoCellAnchor>
  <xdr:twoCellAnchor>
    <xdr:from>
      <xdr:col>34</xdr:col>
      <xdr:colOff>1777999</xdr:colOff>
      <xdr:row>23</xdr:row>
      <xdr:rowOff>79375</xdr:rowOff>
    </xdr:from>
    <xdr:to>
      <xdr:col>35</xdr:col>
      <xdr:colOff>1222374</xdr:colOff>
      <xdr:row>29</xdr:row>
      <xdr:rowOff>111125</xdr:rowOff>
    </xdr:to>
    <xdr:sp macro="[0]!JMK_ZI_Résultat_Final" textlink="">
      <xdr:nvSpPr>
        <xdr:cNvPr id="18" name="Rectangle à coins arrondis 17">
          <a:extLst>
            <a:ext uri="{FF2B5EF4-FFF2-40B4-BE49-F238E27FC236}">
              <a16:creationId xmlns:a16="http://schemas.microsoft.com/office/drawing/2014/main" id="{00000000-0008-0000-2800-000012000000}"/>
            </a:ext>
          </a:extLst>
        </xdr:cNvPr>
        <xdr:cNvSpPr/>
      </xdr:nvSpPr>
      <xdr:spPr bwMode="auto">
        <a:xfrm>
          <a:off x="26574749" y="6286500"/>
          <a:ext cx="1905000" cy="1270000"/>
        </a:xfrm>
        <a:prstGeom prst="roundRect">
          <a:avLst/>
        </a:prstGeom>
        <a:solidFill>
          <a:srgbClr val="00FF99"/>
        </a:solidFill>
        <a:ln w="9525" cap="flat" cmpd="sng" algn="ctr">
          <a:solidFill>
            <a:srgbClr val="400000"/>
          </a:solidFill>
          <a:prstDash val="solid"/>
          <a:round/>
          <a:headEnd type="none" w="med" len="med"/>
          <a:tailEnd type="none" w="med" len="med"/>
        </a:ln>
        <a:effectLst/>
      </xdr:spPr>
      <xdr:txBody>
        <a:bodyPr rot="0" spcFirstLastPara="0" vertOverflow="clip" horzOverflow="clip" vert="horz" wrap="square" lIns="18288" tIns="0" rIns="0" bIns="0" numCol="1" spcCol="0" rtlCol="0" fromWordArt="0" anchor="ctr" anchorCtr="0" forceAA="0" upright="1" compatLnSpc="1">
          <a:prstTxWarp prst="textNoShape">
            <a:avLst/>
          </a:prstTxWarp>
          <a:noAutofit/>
        </a:bodyPr>
        <a:lstStyle/>
        <a:p>
          <a:pPr algn="ctr"/>
          <a:r>
            <a:rPr lang="fr-FR" sz="2000"/>
            <a:t>Impression</a:t>
          </a:r>
          <a:r>
            <a:rPr lang="fr-FR" sz="2000" baseline="0"/>
            <a:t> du CLASSEMENT FINAL</a:t>
          </a:r>
          <a:endParaRPr lang="fr-FR" sz="2000"/>
        </a:p>
      </xdr:txBody>
    </xdr:sp>
    <xdr:clientData fPrintsWithSheet="0"/>
  </xdr:twoCellAnchor>
  <xdr:twoCellAnchor>
    <xdr:from>
      <xdr:col>24</xdr:col>
      <xdr:colOff>682625</xdr:colOff>
      <xdr:row>0</xdr:row>
      <xdr:rowOff>365125</xdr:rowOff>
    </xdr:from>
    <xdr:to>
      <xdr:col>24</xdr:col>
      <xdr:colOff>2206625</xdr:colOff>
      <xdr:row>1</xdr:row>
      <xdr:rowOff>460375</xdr:rowOff>
    </xdr:to>
    <xdr:sp macro="[0]!jmk_RETOUR_MENU" textlink="">
      <xdr:nvSpPr>
        <xdr:cNvPr id="19" name="Rectangle à coins arrondis 18">
          <a:extLst>
            <a:ext uri="{FF2B5EF4-FFF2-40B4-BE49-F238E27FC236}">
              <a16:creationId xmlns:a16="http://schemas.microsoft.com/office/drawing/2014/main" id="{00000000-0008-0000-2800-000013000000}"/>
            </a:ext>
          </a:extLst>
        </xdr:cNvPr>
        <xdr:cNvSpPr/>
      </xdr:nvSpPr>
      <xdr:spPr bwMode="auto">
        <a:xfrm>
          <a:off x="17637125" y="365125"/>
          <a:ext cx="1524000" cy="79375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Retour aux MENUS</a:t>
          </a:r>
        </a:p>
      </xdr:txBody>
    </xdr:sp>
    <xdr:clientData fPrintsWithSheet="0"/>
  </xdr:twoCellAnchor>
  <xdr:twoCellAnchor>
    <xdr:from>
      <xdr:col>15</xdr:col>
      <xdr:colOff>190500</xdr:colOff>
      <xdr:row>6</xdr:row>
      <xdr:rowOff>158750</xdr:rowOff>
    </xdr:from>
    <xdr:to>
      <xdr:col>16</xdr:col>
      <xdr:colOff>43961</xdr:colOff>
      <xdr:row>6</xdr:row>
      <xdr:rowOff>161192</xdr:rowOff>
    </xdr:to>
    <xdr:cxnSp macro="">
      <xdr:nvCxnSpPr>
        <xdr:cNvPr id="20" name="Connecteur droit avec flèche 19">
          <a:extLst>
            <a:ext uri="{FF2B5EF4-FFF2-40B4-BE49-F238E27FC236}">
              <a16:creationId xmlns:a16="http://schemas.microsoft.com/office/drawing/2014/main" id="{00000000-0008-0000-2800-000014000000}"/>
            </a:ext>
          </a:extLst>
        </xdr:cNvPr>
        <xdr:cNvCxnSpPr>
          <a:cxnSpLocks/>
        </xdr:cNvCxnSpPr>
      </xdr:nvCxnSpPr>
      <xdr:spPr>
        <a:xfrm>
          <a:off x="8858250" y="2857500"/>
          <a:ext cx="901211" cy="2442"/>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95250</xdr:colOff>
      <xdr:row>13</xdr:row>
      <xdr:rowOff>130969</xdr:rowOff>
    </xdr:from>
    <xdr:to>
      <xdr:col>16</xdr:col>
      <xdr:colOff>35719</xdr:colOff>
      <xdr:row>19</xdr:row>
      <xdr:rowOff>119062</xdr:rowOff>
    </xdr:to>
    <xdr:cxnSp macro="">
      <xdr:nvCxnSpPr>
        <xdr:cNvPr id="21" name="Connecteur droit avec flèche 20">
          <a:extLst>
            <a:ext uri="{FF2B5EF4-FFF2-40B4-BE49-F238E27FC236}">
              <a16:creationId xmlns:a16="http://schemas.microsoft.com/office/drawing/2014/main" id="{00000000-0008-0000-2800-000015000000}"/>
            </a:ext>
          </a:extLst>
        </xdr:cNvPr>
        <xdr:cNvCxnSpPr>
          <a:cxnSpLocks/>
        </xdr:cNvCxnSpPr>
      </xdr:nvCxnSpPr>
      <xdr:spPr>
        <a:xfrm flipV="1">
          <a:off x="11537156" y="4238625"/>
          <a:ext cx="988219" cy="120253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566496</xdr:colOff>
      <xdr:row>15</xdr:row>
      <xdr:rowOff>174618</xdr:rowOff>
    </xdr:from>
    <xdr:to>
      <xdr:col>12</xdr:col>
      <xdr:colOff>1949450</xdr:colOff>
      <xdr:row>18</xdr:row>
      <xdr:rowOff>51288</xdr:rowOff>
    </xdr:to>
    <xdr:sp macro="" textlink="">
      <xdr:nvSpPr>
        <xdr:cNvPr id="24" name="Rectangle à coins arrondis 23">
          <a:extLst>
            <a:ext uri="{FF2B5EF4-FFF2-40B4-BE49-F238E27FC236}">
              <a16:creationId xmlns:a16="http://schemas.microsoft.com/office/drawing/2014/main" id="{00000000-0008-0000-2800-000018000000}"/>
            </a:ext>
          </a:extLst>
        </xdr:cNvPr>
        <xdr:cNvSpPr/>
      </xdr:nvSpPr>
      <xdr:spPr bwMode="auto">
        <a:xfrm>
          <a:off x="5674277" y="4687087"/>
          <a:ext cx="1382954" cy="483889"/>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twoCellAnchor editAs="oneCell">
    <xdr:from>
      <xdr:col>10</xdr:col>
      <xdr:colOff>275167</xdr:colOff>
      <xdr:row>0</xdr:row>
      <xdr:rowOff>285750</xdr:rowOff>
    </xdr:from>
    <xdr:to>
      <xdr:col>12</xdr:col>
      <xdr:colOff>1222375</xdr:colOff>
      <xdr:row>1</xdr:row>
      <xdr:rowOff>706967</xdr:rowOff>
    </xdr:to>
    <xdr:pic>
      <xdr:nvPicPr>
        <xdr:cNvPr id="22" name="Image 21">
          <a:extLst>
            <a:ext uri="{FF2B5EF4-FFF2-40B4-BE49-F238E27FC236}">
              <a16:creationId xmlns:a16="http://schemas.microsoft.com/office/drawing/2014/main" id="{00000000-0008-0000-28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02500" y="285750"/>
          <a:ext cx="1905000" cy="1130300"/>
        </a:xfrm>
        <a:prstGeom prst="rect">
          <a:avLst/>
        </a:prstGeom>
      </xdr:spPr>
    </xdr:pic>
    <xdr:clientData/>
  </xdr:twoCellAnchor>
  <xdr:twoCellAnchor editAs="oneCell">
    <xdr:from>
      <xdr:col>35</xdr:col>
      <xdr:colOff>1460499</xdr:colOff>
      <xdr:row>2</xdr:row>
      <xdr:rowOff>402167</xdr:rowOff>
    </xdr:from>
    <xdr:to>
      <xdr:col>35</xdr:col>
      <xdr:colOff>2397124</xdr:colOff>
      <xdr:row>4</xdr:row>
      <xdr:rowOff>165709</xdr:rowOff>
    </xdr:to>
    <xdr:pic>
      <xdr:nvPicPr>
        <xdr:cNvPr id="25" name="Image 24">
          <a:extLst>
            <a:ext uri="{FF2B5EF4-FFF2-40B4-BE49-F238E27FC236}">
              <a16:creationId xmlns:a16="http://schemas.microsoft.com/office/drawing/2014/main" id="{00000000-0008-0000-28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755166" y="1894417"/>
          <a:ext cx="936625" cy="557292"/>
        </a:xfrm>
        <a:prstGeom prst="rect">
          <a:avLst/>
        </a:prstGeom>
      </xdr:spPr>
    </xdr:pic>
    <xdr:clientData/>
  </xdr:twoCellAnchor>
  <xdr:twoCellAnchor>
    <xdr:from>
      <xdr:col>33</xdr:col>
      <xdr:colOff>714375</xdr:colOff>
      <xdr:row>23</xdr:row>
      <xdr:rowOff>0</xdr:rowOff>
    </xdr:from>
    <xdr:to>
      <xdr:col>33</xdr:col>
      <xdr:colOff>2032568</xdr:colOff>
      <xdr:row>26</xdr:row>
      <xdr:rowOff>204107</xdr:rowOff>
    </xdr:to>
    <xdr:sp macro="[0]!Imp_DUEL_Tableau" textlink="">
      <xdr:nvSpPr>
        <xdr:cNvPr id="26" name="Rectangle à coins arrondis 25">
          <a:extLst>
            <a:ext uri="{FF2B5EF4-FFF2-40B4-BE49-F238E27FC236}">
              <a16:creationId xmlns:a16="http://schemas.microsoft.com/office/drawing/2014/main" id="{00000000-0008-0000-2800-00001A000000}"/>
            </a:ext>
          </a:extLst>
        </xdr:cNvPr>
        <xdr:cNvSpPr/>
      </xdr:nvSpPr>
      <xdr:spPr bwMode="auto">
        <a:xfrm>
          <a:off x="25066625" y="6207125"/>
          <a:ext cx="1318193" cy="823232"/>
        </a:xfrm>
        <a:prstGeom prst="roundRect">
          <a:avLst/>
        </a:prstGeom>
        <a:solidFill>
          <a:srgbClr val="E923EE"/>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 TABLEAU des</a:t>
          </a:r>
          <a:r>
            <a:rPr lang="fr-FR" sz="1600" baseline="0"/>
            <a:t> DUELS</a:t>
          </a:r>
          <a:endParaRPr lang="fr-FR" sz="1600"/>
        </a:p>
      </xdr:txBody>
    </xdr:sp>
    <xdr:clientData/>
  </xdr:twoCellAnchor>
  <xdr:twoCellAnchor>
    <xdr:from>
      <xdr:col>12</xdr:col>
      <xdr:colOff>566496</xdr:colOff>
      <xdr:row>9</xdr:row>
      <xdr:rowOff>3962</xdr:rowOff>
    </xdr:from>
    <xdr:to>
      <xdr:col>12</xdr:col>
      <xdr:colOff>1949450</xdr:colOff>
      <xdr:row>11</xdr:row>
      <xdr:rowOff>83038</xdr:rowOff>
    </xdr:to>
    <xdr:sp macro="" textlink="">
      <xdr:nvSpPr>
        <xdr:cNvPr id="6" name="Rectangle à coins arrondis 23">
          <a:extLst>
            <a:ext uri="{FF2B5EF4-FFF2-40B4-BE49-F238E27FC236}">
              <a16:creationId xmlns:a16="http://schemas.microsoft.com/office/drawing/2014/main" id="{00000000-0008-0000-2800-000006000000}"/>
            </a:ext>
          </a:extLst>
        </xdr:cNvPr>
        <xdr:cNvSpPr/>
      </xdr:nvSpPr>
      <xdr:spPr bwMode="auto">
        <a:xfrm>
          <a:off x="5674277" y="3301993"/>
          <a:ext cx="1382954" cy="483889"/>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twoCellAnchor>
    <xdr:from>
      <xdr:col>12</xdr:col>
      <xdr:colOff>566496</xdr:colOff>
      <xdr:row>22</xdr:row>
      <xdr:rowOff>144455</xdr:rowOff>
    </xdr:from>
    <xdr:to>
      <xdr:col>12</xdr:col>
      <xdr:colOff>1949450</xdr:colOff>
      <xdr:row>25</xdr:row>
      <xdr:rowOff>21126</xdr:rowOff>
    </xdr:to>
    <xdr:sp macro="" textlink="">
      <xdr:nvSpPr>
        <xdr:cNvPr id="11" name="Rectangle à coins arrondis 23">
          <a:extLst>
            <a:ext uri="{FF2B5EF4-FFF2-40B4-BE49-F238E27FC236}">
              <a16:creationId xmlns:a16="http://schemas.microsoft.com/office/drawing/2014/main" id="{00000000-0008-0000-2800-00000B000000}"/>
            </a:ext>
          </a:extLst>
        </xdr:cNvPr>
        <xdr:cNvSpPr/>
      </xdr:nvSpPr>
      <xdr:spPr bwMode="auto">
        <a:xfrm>
          <a:off x="5674277" y="6073768"/>
          <a:ext cx="1382954" cy="483889"/>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twoCellAnchor>
    <xdr:from>
      <xdr:col>12</xdr:col>
      <xdr:colOff>566496</xdr:colOff>
      <xdr:row>29</xdr:row>
      <xdr:rowOff>130168</xdr:rowOff>
    </xdr:from>
    <xdr:to>
      <xdr:col>12</xdr:col>
      <xdr:colOff>1949450</xdr:colOff>
      <xdr:row>32</xdr:row>
      <xdr:rowOff>6838</xdr:rowOff>
    </xdr:to>
    <xdr:sp macro="" textlink="">
      <xdr:nvSpPr>
        <xdr:cNvPr id="15" name="Rectangle à coins arrondis 23">
          <a:extLst>
            <a:ext uri="{FF2B5EF4-FFF2-40B4-BE49-F238E27FC236}">
              <a16:creationId xmlns:a16="http://schemas.microsoft.com/office/drawing/2014/main" id="{00000000-0008-0000-2800-00000F000000}"/>
            </a:ext>
          </a:extLst>
        </xdr:cNvPr>
        <xdr:cNvSpPr/>
      </xdr:nvSpPr>
      <xdr:spPr bwMode="auto">
        <a:xfrm>
          <a:off x="5674277" y="7476324"/>
          <a:ext cx="1382954" cy="483889"/>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206634</xdr:colOff>
      <xdr:row>2</xdr:row>
      <xdr:rowOff>27603</xdr:rowOff>
    </xdr:from>
    <xdr:to>
      <xdr:col>14</xdr:col>
      <xdr:colOff>370892</xdr:colOff>
      <xdr:row>4</xdr:row>
      <xdr:rowOff>37128</xdr:rowOff>
    </xdr:to>
    <xdr:sp macro="" textlink="">
      <xdr:nvSpPr>
        <xdr:cNvPr id="1069" name="Text Box 45">
          <a:extLst>
            <a:ext uri="{FF2B5EF4-FFF2-40B4-BE49-F238E27FC236}">
              <a16:creationId xmlns:a16="http://schemas.microsoft.com/office/drawing/2014/main" id="{00000000-0008-0000-0300-00002D040000}"/>
            </a:ext>
          </a:extLst>
        </xdr:cNvPr>
        <xdr:cNvSpPr txBox="1">
          <a:spLocks noChangeArrowheads="1"/>
        </xdr:cNvSpPr>
      </xdr:nvSpPr>
      <xdr:spPr bwMode="auto">
        <a:xfrm>
          <a:off x="12180920" y="260868"/>
          <a:ext cx="2205329" cy="398301"/>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Cette feuille est remplie directement lors de l'importation du fichier Internet</a:t>
          </a:r>
          <a:endParaRPr lang="fr-FR"/>
        </a:p>
      </xdr:txBody>
    </xdr:sp>
    <xdr:clientData fPrintsWithSheet="0"/>
  </xdr:twoCellAnchor>
  <xdr:twoCellAnchor>
    <xdr:from>
      <xdr:col>2</xdr:col>
      <xdr:colOff>787270</xdr:colOff>
      <xdr:row>1</xdr:row>
      <xdr:rowOff>19439</xdr:rowOff>
    </xdr:from>
    <xdr:to>
      <xdr:col>2</xdr:col>
      <xdr:colOff>1587370</xdr:colOff>
      <xdr:row>3</xdr:row>
      <xdr:rowOff>68813</xdr:rowOff>
    </xdr:to>
    <xdr:sp macro="[0]!jmk_RETOUR_MENU" textlink="">
      <xdr:nvSpPr>
        <xdr:cNvPr id="3" name="Rectangle à coins arrondis 2">
          <a:extLst>
            <a:ext uri="{FF2B5EF4-FFF2-40B4-BE49-F238E27FC236}">
              <a16:creationId xmlns:a16="http://schemas.microsoft.com/office/drawing/2014/main" id="{00000000-0008-0000-0300-000003000000}"/>
            </a:ext>
          </a:extLst>
        </xdr:cNvPr>
        <xdr:cNvSpPr/>
      </xdr:nvSpPr>
      <xdr:spPr bwMode="auto">
        <a:xfrm>
          <a:off x="3353188" y="97194"/>
          <a:ext cx="800100" cy="43815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 MENUS</a:t>
          </a:r>
        </a:p>
      </xdr:txBody>
    </xdr:sp>
    <xdr:clientData fPrintsWithSheet="0"/>
  </xdr:twoCellAnchor>
  <xdr:twoCellAnchor>
    <xdr:from>
      <xdr:col>2</xdr:col>
      <xdr:colOff>1720332</xdr:colOff>
      <xdr:row>1</xdr:row>
      <xdr:rowOff>19440</xdr:rowOff>
    </xdr:from>
    <xdr:to>
      <xdr:col>3</xdr:col>
      <xdr:colOff>1146887</xdr:colOff>
      <xdr:row>3</xdr:row>
      <xdr:rowOff>68814</xdr:rowOff>
    </xdr:to>
    <xdr:sp macro="[0]!jmk_attri_auto_cibles" textlink="">
      <xdr:nvSpPr>
        <xdr:cNvPr id="4" name="Rectangle à coins arrondis 3">
          <a:extLst>
            <a:ext uri="{FF2B5EF4-FFF2-40B4-BE49-F238E27FC236}">
              <a16:creationId xmlns:a16="http://schemas.microsoft.com/office/drawing/2014/main" id="{00000000-0008-0000-0300-000004000000}"/>
            </a:ext>
          </a:extLst>
        </xdr:cNvPr>
        <xdr:cNvSpPr/>
      </xdr:nvSpPr>
      <xdr:spPr bwMode="auto">
        <a:xfrm>
          <a:off x="4286250" y="97195"/>
          <a:ext cx="1487066" cy="438150"/>
        </a:xfrm>
        <a:prstGeom prst="roundRect">
          <a:avLst/>
        </a:prstGeom>
        <a:solidFill>
          <a:srgbClr val="1FF51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Attribution</a:t>
          </a:r>
          <a:r>
            <a:rPr lang="fr-FR" sz="1100" baseline="0"/>
            <a:t> automatique des cibles</a:t>
          </a:r>
          <a:endParaRPr lang="fr-FR" sz="1100"/>
        </a:p>
      </xdr:txBody>
    </xdr:sp>
    <xdr:clientData fPrintsWithSheet="0"/>
  </xdr:twoCellAnchor>
  <xdr:twoCellAnchor>
    <xdr:from>
      <xdr:col>3</xdr:col>
      <xdr:colOff>1312118</xdr:colOff>
      <xdr:row>1</xdr:row>
      <xdr:rowOff>9720</xdr:rowOff>
    </xdr:from>
    <xdr:to>
      <xdr:col>5</xdr:col>
      <xdr:colOff>19440</xdr:colOff>
      <xdr:row>3</xdr:row>
      <xdr:rowOff>87475</xdr:rowOff>
    </xdr:to>
    <xdr:sp macro="[0]!JMK_Tri_listing" textlink="">
      <xdr:nvSpPr>
        <xdr:cNvPr id="2" name="Rectangle à coins arrondis 1">
          <a:extLst>
            <a:ext uri="{FF2B5EF4-FFF2-40B4-BE49-F238E27FC236}">
              <a16:creationId xmlns:a16="http://schemas.microsoft.com/office/drawing/2014/main" id="{00000000-0008-0000-0300-000002000000}"/>
            </a:ext>
          </a:extLst>
        </xdr:cNvPr>
        <xdr:cNvSpPr/>
      </xdr:nvSpPr>
      <xdr:spPr bwMode="auto">
        <a:xfrm>
          <a:off x="5938547" y="87475"/>
          <a:ext cx="1370434" cy="466531"/>
        </a:xfrm>
        <a:prstGeom prst="roundRect">
          <a:avLst/>
        </a:prstGeom>
        <a:solidFill>
          <a:srgbClr val="E923EE"/>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200"/>
            <a:t>Tri Etab-Acad-Ville</a:t>
          </a:r>
        </a:p>
      </xdr:txBody>
    </xdr:sp>
    <xdr:clientData/>
  </xdr:twoCellAnchor>
  <xdr:twoCellAnchor>
    <xdr:from>
      <xdr:col>5</xdr:col>
      <xdr:colOff>200998</xdr:colOff>
      <xdr:row>0</xdr:row>
      <xdr:rowOff>74645</xdr:rowOff>
    </xdr:from>
    <xdr:to>
      <xdr:col>6</xdr:col>
      <xdr:colOff>554005</xdr:colOff>
      <xdr:row>3</xdr:row>
      <xdr:rowOff>74645</xdr:rowOff>
    </xdr:to>
    <xdr:sp macro="[0]!JMK_Tri_listing_Numéro_Ordre" textlink="">
      <xdr:nvSpPr>
        <xdr:cNvPr id="6" name="Rectangle à coins arrondis 5">
          <a:extLst>
            <a:ext uri="{FF2B5EF4-FFF2-40B4-BE49-F238E27FC236}">
              <a16:creationId xmlns:a16="http://schemas.microsoft.com/office/drawing/2014/main" id="{00000000-0008-0000-0300-000006000000}"/>
            </a:ext>
          </a:extLst>
        </xdr:cNvPr>
        <xdr:cNvSpPr/>
      </xdr:nvSpPr>
      <xdr:spPr bwMode="auto">
        <a:xfrm>
          <a:off x="7490539" y="74645"/>
          <a:ext cx="1548492" cy="466531"/>
        </a:xfrm>
        <a:prstGeom prst="roundRect">
          <a:avLst/>
        </a:prstGeom>
        <a:solidFill>
          <a:srgbClr val="E923EE"/>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200"/>
            <a:t>Tri N°-Etab-Acad-Ville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21</xdr:col>
      <xdr:colOff>169333</xdr:colOff>
      <xdr:row>7</xdr:row>
      <xdr:rowOff>52917</xdr:rowOff>
    </xdr:from>
    <xdr:to>
      <xdr:col>22</xdr:col>
      <xdr:colOff>16564</xdr:colOff>
      <xdr:row>7</xdr:row>
      <xdr:rowOff>66260</xdr:rowOff>
    </xdr:to>
    <xdr:cxnSp macro="">
      <xdr:nvCxnSpPr>
        <xdr:cNvPr id="8" name="Connecteur droit avec flèche 7">
          <a:extLst>
            <a:ext uri="{FF2B5EF4-FFF2-40B4-BE49-F238E27FC236}">
              <a16:creationId xmlns:a16="http://schemas.microsoft.com/office/drawing/2014/main" id="{00000000-0008-0000-2900-000008000000}"/>
            </a:ext>
          </a:extLst>
        </xdr:cNvPr>
        <xdr:cNvCxnSpPr>
          <a:cxnSpLocks/>
        </xdr:cNvCxnSpPr>
      </xdr:nvCxnSpPr>
      <xdr:spPr>
        <a:xfrm>
          <a:off x="14520333" y="2942167"/>
          <a:ext cx="905564" cy="13343"/>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63500</xdr:colOff>
      <xdr:row>9</xdr:row>
      <xdr:rowOff>41413</xdr:rowOff>
    </xdr:from>
    <xdr:to>
      <xdr:col>21</xdr:col>
      <xdr:colOff>1051891</xdr:colOff>
      <xdr:row>14</xdr:row>
      <xdr:rowOff>116417</xdr:rowOff>
    </xdr:to>
    <xdr:cxnSp macro="">
      <xdr:nvCxnSpPr>
        <xdr:cNvPr id="9" name="Connecteur droit avec flèche 8">
          <a:extLst>
            <a:ext uri="{FF2B5EF4-FFF2-40B4-BE49-F238E27FC236}">
              <a16:creationId xmlns:a16="http://schemas.microsoft.com/office/drawing/2014/main" id="{00000000-0008-0000-2900-000009000000}"/>
            </a:ext>
          </a:extLst>
        </xdr:cNvPr>
        <xdr:cNvCxnSpPr/>
      </xdr:nvCxnSpPr>
      <xdr:spPr>
        <a:xfrm flipV="1">
          <a:off x="14414500" y="3332830"/>
          <a:ext cx="988391" cy="108042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137583</xdr:colOff>
      <xdr:row>7</xdr:row>
      <xdr:rowOff>95250</xdr:rowOff>
    </xdr:from>
    <xdr:to>
      <xdr:col>21</xdr:col>
      <xdr:colOff>1037167</xdr:colOff>
      <xdr:row>15</xdr:row>
      <xdr:rowOff>105833</xdr:rowOff>
    </xdr:to>
    <xdr:cxnSp macro="">
      <xdr:nvCxnSpPr>
        <xdr:cNvPr id="11" name="Connecteur droit avec flèche 10">
          <a:extLst>
            <a:ext uri="{FF2B5EF4-FFF2-40B4-BE49-F238E27FC236}">
              <a16:creationId xmlns:a16="http://schemas.microsoft.com/office/drawing/2014/main" id="{00000000-0008-0000-2900-00000B000000}"/>
            </a:ext>
          </a:extLst>
        </xdr:cNvPr>
        <xdr:cNvCxnSpPr/>
      </xdr:nvCxnSpPr>
      <xdr:spPr>
        <a:xfrm>
          <a:off x="14488583" y="2984500"/>
          <a:ext cx="899584" cy="1619250"/>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33</xdr:col>
      <xdr:colOff>383268</xdr:colOff>
      <xdr:row>16</xdr:row>
      <xdr:rowOff>73480</xdr:rowOff>
    </xdr:from>
    <xdr:to>
      <xdr:col>33</xdr:col>
      <xdr:colOff>2288268</xdr:colOff>
      <xdr:row>20</xdr:row>
      <xdr:rowOff>5445</xdr:rowOff>
    </xdr:to>
    <xdr:sp macro="[0]!JMK_Trans_FDUEL1" textlink="">
      <xdr:nvSpPr>
        <xdr:cNvPr id="13" name="Rectangle à coins arrondis 12">
          <a:extLst>
            <a:ext uri="{FF2B5EF4-FFF2-40B4-BE49-F238E27FC236}">
              <a16:creationId xmlns:a16="http://schemas.microsoft.com/office/drawing/2014/main" id="{00000000-0008-0000-2900-00000D000000}"/>
            </a:ext>
          </a:extLst>
        </xdr:cNvPr>
        <xdr:cNvSpPr/>
      </xdr:nvSpPr>
      <xdr:spPr bwMode="auto">
        <a:xfrm>
          <a:off x="22735268" y="4835980"/>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1</a:t>
          </a:r>
          <a:r>
            <a:rPr lang="fr-FR" sz="1600"/>
            <a:t> </a:t>
          </a:r>
        </a:p>
      </xdr:txBody>
    </xdr:sp>
    <xdr:clientData fPrintsWithSheet="0"/>
  </xdr:twoCellAnchor>
  <xdr:twoCellAnchor>
    <xdr:from>
      <xdr:col>34</xdr:col>
      <xdr:colOff>277132</xdr:colOff>
      <xdr:row>16</xdr:row>
      <xdr:rowOff>73480</xdr:rowOff>
    </xdr:from>
    <xdr:to>
      <xdr:col>34</xdr:col>
      <xdr:colOff>2182132</xdr:colOff>
      <xdr:row>20</xdr:row>
      <xdr:rowOff>5445</xdr:rowOff>
    </xdr:to>
    <xdr:sp macro="[0]!JMK_Trans_FDUEL2" textlink="">
      <xdr:nvSpPr>
        <xdr:cNvPr id="14" name="Rectangle à coins arrondis 13">
          <a:extLst>
            <a:ext uri="{FF2B5EF4-FFF2-40B4-BE49-F238E27FC236}">
              <a16:creationId xmlns:a16="http://schemas.microsoft.com/office/drawing/2014/main" id="{00000000-0008-0000-2900-00000E000000}"/>
            </a:ext>
          </a:extLst>
        </xdr:cNvPr>
        <xdr:cNvSpPr/>
      </xdr:nvSpPr>
      <xdr:spPr bwMode="auto">
        <a:xfrm>
          <a:off x="25073882" y="4835980"/>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2</a:t>
          </a:r>
          <a:r>
            <a:rPr lang="fr-FR" sz="1600"/>
            <a:t> </a:t>
          </a:r>
        </a:p>
      </xdr:txBody>
    </xdr:sp>
    <xdr:clientData fPrintsWithSheet="0"/>
  </xdr:twoCellAnchor>
  <xdr:twoCellAnchor>
    <xdr:from>
      <xdr:col>35</xdr:col>
      <xdr:colOff>170997</xdr:colOff>
      <xdr:row>16</xdr:row>
      <xdr:rowOff>73480</xdr:rowOff>
    </xdr:from>
    <xdr:to>
      <xdr:col>35</xdr:col>
      <xdr:colOff>2075997</xdr:colOff>
      <xdr:row>20</xdr:row>
      <xdr:rowOff>5445</xdr:rowOff>
    </xdr:to>
    <xdr:sp macro="[0]!JMK_Trans_FDUEL3" textlink="">
      <xdr:nvSpPr>
        <xdr:cNvPr id="15" name="Rectangle à coins arrondis 14">
          <a:extLst>
            <a:ext uri="{FF2B5EF4-FFF2-40B4-BE49-F238E27FC236}">
              <a16:creationId xmlns:a16="http://schemas.microsoft.com/office/drawing/2014/main" id="{00000000-0008-0000-2900-00000F000000}"/>
            </a:ext>
          </a:extLst>
        </xdr:cNvPr>
        <xdr:cNvSpPr/>
      </xdr:nvSpPr>
      <xdr:spPr bwMode="auto">
        <a:xfrm>
          <a:off x="27428372" y="4835980"/>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3</a:t>
          </a:r>
          <a:r>
            <a:rPr lang="fr-FR" sz="1600"/>
            <a:t> </a:t>
          </a:r>
        </a:p>
      </xdr:txBody>
    </xdr:sp>
    <xdr:clientData fPrintsWithSheet="0"/>
  </xdr:twoCellAnchor>
  <xdr:twoCellAnchor>
    <xdr:from>
      <xdr:col>34</xdr:col>
      <xdr:colOff>1793874</xdr:colOff>
      <xdr:row>22</xdr:row>
      <xdr:rowOff>190500</xdr:rowOff>
    </xdr:from>
    <xdr:to>
      <xdr:col>35</xdr:col>
      <xdr:colOff>1238249</xdr:colOff>
      <xdr:row>29</xdr:row>
      <xdr:rowOff>15875</xdr:rowOff>
    </xdr:to>
    <xdr:sp macro="[0]!JMK_ZI_Résultat_Final" textlink="">
      <xdr:nvSpPr>
        <xdr:cNvPr id="19" name="Rectangle à coins arrondis 18">
          <a:extLst>
            <a:ext uri="{FF2B5EF4-FFF2-40B4-BE49-F238E27FC236}">
              <a16:creationId xmlns:a16="http://schemas.microsoft.com/office/drawing/2014/main" id="{00000000-0008-0000-2900-000013000000}"/>
            </a:ext>
          </a:extLst>
        </xdr:cNvPr>
        <xdr:cNvSpPr/>
      </xdr:nvSpPr>
      <xdr:spPr bwMode="auto">
        <a:xfrm>
          <a:off x="26590624" y="6191250"/>
          <a:ext cx="1905000" cy="1270000"/>
        </a:xfrm>
        <a:prstGeom prst="roundRect">
          <a:avLst/>
        </a:prstGeom>
        <a:solidFill>
          <a:srgbClr val="00FF99"/>
        </a:solidFill>
        <a:ln w="9525" cap="flat" cmpd="sng" algn="ctr">
          <a:solidFill>
            <a:srgbClr val="400000"/>
          </a:solidFill>
          <a:prstDash val="solid"/>
          <a:round/>
          <a:headEnd type="none" w="med" len="med"/>
          <a:tailEnd type="none" w="med" len="med"/>
        </a:ln>
        <a:effectLst/>
      </xdr:spPr>
      <xdr:txBody>
        <a:bodyPr rot="0" spcFirstLastPara="0" vertOverflow="clip" horzOverflow="clip" vert="horz" wrap="square" lIns="18288" tIns="0" rIns="0" bIns="0" numCol="1" spcCol="0" rtlCol="0" fromWordArt="0" anchor="ctr" anchorCtr="0" forceAA="0" upright="1" compatLnSpc="1">
          <a:prstTxWarp prst="textNoShape">
            <a:avLst/>
          </a:prstTxWarp>
          <a:noAutofit/>
        </a:bodyPr>
        <a:lstStyle/>
        <a:p>
          <a:pPr algn="ctr"/>
          <a:r>
            <a:rPr lang="fr-FR" sz="2000"/>
            <a:t>Impression</a:t>
          </a:r>
          <a:r>
            <a:rPr lang="fr-FR" sz="2000" baseline="0"/>
            <a:t> du CLASSEMENT FINAL</a:t>
          </a:r>
          <a:endParaRPr lang="fr-FR" sz="2000"/>
        </a:p>
      </xdr:txBody>
    </xdr:sp>
    <xdr:clientData fPrintsWithSheet="0"/>
  </xdr:twoCellAnchor>
  <xdr:twoCellAnchor>
    <xdr:from>
      <xdr:col>24</xdr:col>
      <xdr:colOff>365125</xdr:colOff>
      <xdr:row>0</xdr:row>
      <xdr:rowOff>396875</xdr:rowOff>
    </xdr:from>
    <xdr:to>
      <xdr:col>24</xdr:col>
      <xdr:colOff>1889125</xdr:colOff>
      <xdr:row>1</xdr:row>
      <xdr:rowOff>492125</xdr:rowOff>
    </xdr:to>
    <xdr:sp macro="[0]!jmk_RETOUR_MENU" textlink="">
      <xdr:nvSpPr>
        <xdr:cNvPr id="20" name="Rectangle à coins arrondis 19">
          <a:extLst>
            <a:ext uri="{FF2B5EF4-FFF2-40B4-BE49-F238E27FC236}">
              <a16:creationId xmlns:a16="http://schemas.microsoft.com/office/drawing/2014/main" id="{00000000-0008-0000-2900-000014000000}"/>
            </a:ext>
          </a:extLst>
        </xdr:cNvPr>
        <xdr:cNvSpPr/>
      </xdr:nvSpPr>
      <xdr:spPr bwMode="auto">
        <a:xfrm>
          <a:off x="17319625" y="396875"/>
          <a:ext cx="1524000" cy="79375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Retour aux MENUS</a:t>
          </a:r>
        </a:p>
      </xdr:txBody>
    </xdr:sp>
    <xdr:clientData fPrintsWithSheet="0"/>
  </xdr:twoCellAnchor>
  <xdr:twoCellAnchor>
    <xdr:from>
      <xdr:col>15</xdr:col>
      <xdr:colOff>222250</xdr:colOff>
      <xdr:row>6</xdr:row>
      <xdr:rowOff>63500</xdr:rowOff>
    </xdr:from>
    <xdr:to>
      <xdr:col>16</xdr:col>
      <xdr:colOff>15875</xdr:colOff>
      <xdr:row>6</xdr:row>
      <xdr:rowOff>174625</xdr:rowOff>
    </xdr:to>
    <xdr:cxnSp macro="">
      <xdr:nvCxnSpPr>
        <xdr:cNvPr id="23" name="Connecteur droit avec flèche 22">
          <a:extLst>
            <a:ext uri="{FF2B5EF4-FFF2-40B4-BE49-F238E27FC236}">
              <a16:creationId xmlns:a16="http://schemas.microsoft.com/office/drawing/2014/main" id="{00000000-0008-0000-2900-000017000000}"/>
            </a:ext>
          </a:extLst>
        </xdr:cNvPr>
        <xdr:cNvCxnSpPr>
          <a:cxnSpLocks/>
        </xdr:cNvCxnSpPr>
      </xdr:nvCxnSpPr>
      <xdr:spPr>
        <a:xfrm>
          <a:off x="8969375" y="2762250"/>
          <a:ext cx="841375" cy="111125"/>
        </a:xfrm>
        <a:prstGeom prst="straightConnector1">
          <a:avLst/>
        </a:prstGeom>
        <a:ln>
          <a:solidFill>
            <a:srgbClr val="00B0F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79375</xdr:colOff>
      <xdr:row>14</xdr:row>
      <xdr:rowOff>0</xdr:rowOff>
    </xdr:from>
    <xdr:to>
      <xdr:col>15</xdr:col>
      <xdr:colOff>1005417</xdr:colOff>
      <xdr:row>19</xdr:row>
      <xdr:rowOff>95250</xdr:rowOff>
    </xdr:to>
    <xdr:cxnSp macro="">
      <xdr:nvCxnSpPr>
        <xdr:cNvPr id="24" name="Connecteur droit avec flèche 23">
          <a:extLst>
            <a:ext uri="{FF2B5EF4-FFF2-40B4-BE49-F238E27FC236}">
              <a16:creationId xmlns:a16="http://schemas.microsoft.com/office/drawing/2014/main" id="{00000000-0008-0000-2900-000018000000}"/>
            </a:ext>
          </a:extLst>
        </xdr:cNvPr>
        <xdr:cNvCxnSpPr>
          <a:cxnSpLocks/>
        </xdr:cNvCxnSpPr>
      </xdr:nvCxnSpPr>
      <xdr:spPr>
        <a:xfrm flipV="1">
          <a:off x="8810625" y="4296833"/>
          <a:ext cx="926042" cy="1100667"/>
        </a:xfrm>
        <a:prstGeom prst="straightConnector1">
          <a:avLst/>
        </a:prstGeom>
        <a:ln>
          <a:solidFill>
            <a:srgbClr val="00B0F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2222736</xdr:colOff>
      <xdr:row>6</xdr:row>
      <xdr:rowOff>73711</xdr:rowOff>
    </xdr:from>
    <xdr:to>
      <xdr:col>13</xdr:col>
      <xdr:colOff>444501</xdr:colOff>
      <xdr:row>7</xdr:row>
      <xdr:rowOff>142875</xdr:rowOff>
    </xdr:to>
    <xdr:sp macro="" textlink="">
      <xdr:nvSpPr>
        <xdr:cNvPr id="26" name="Rectangle à coins arrondis 25">
          <a:extLst>
            <a:ext uri="{FF2B5EF4-FFF2-40B4-BE49-F238E27FC236}">
              <a16:creationId xmlns:a16="http://schemas.microsoft.com/office/drawing/2014/main" id="{00000000-0008-0000-2900-00001A000000}"/>
            </a:ext>
          </a:extLst>
        </xdr:cNvPr>
        <xdr:cNvSpPr/>
      </xdr:nvSpPr>
      <xdr:spPr bwMode="auto">
        <a:xfrm>
          <a:off x="7429736" y="2761878"/>
          <a:ext cx="708848" cy="270247"/>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twoCellAnchor>
    <xdr:from>
      <xdr:col>15</xdr:col>
      <xdr:colOff>105833</xdr:colOff>
      <xdr:row>8</xdr:row>
      <xdr:rowOff>95250</xdr:rowOff>
    </xdr:from>
    <xdr:to>
      <xdr:col>15</xdr:col>
      <xdr:colOff>984250</xdr:colOff>
      <xdr:row>13</xdr:row>
      <xdr:rowOff>105833</xdr:rowOff>
    </xdr:to>
    <xdr:cxnSp macro="">
      <xdr:nvCxnSpPr>
        <xdr:cNvPr id="29" name="Connecteur droit avec flèche 28">
          <a:extLst>
            <a:ext uri="{FF2B5EF4-FFF2-40B4-BE49-F238E27FC236}">
              <a16:creationId xmlns:a16="http://schemas.microsoft.com/office/drawing/2014/main" id="{00000000-0008-0000-2900-00001D000000}"/>
            </a:ext>
          </a:extLst>
        </xdr:cNvPr>
        <xdr:cNvCxnSpPr>
          <a:cxnSpLocks/>
        </xdr:cNvCxnSpPr>
      </xdr:nvCxnSpPr>
      <xdr:spPr>
        <a:xfrm flipV="1">
          <a:off x="8837083" y="3185583"/>
          <a:ext cx="878417" cy="101600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10</xdr:col>
      <xdr:colOff>285750</xdr:colOff>
      <xdr:row>0</xdr:row>
      <xdr:rowOff>161925</xdr:rowOff>
    </xdr:from>
    <xdr:to>
      <xdr:col>12</xdr:col>
      <xdr:colOff>1247775</xdr:colOff>
      <xdr:row>1</xdr:row>
      <xdr:rowOff>587375</xdr:rowOff>
    </xdr:to>
    <xdr:pic>
      <xdr:nvPicPr>
        <xdr:cNvPr id="4" name="Image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05425" y="161925"/>
          <a:ext cx="1905000" cy="1130300"/>
        </a:xfrm>
        <a:prstGeom prst="rect">
          <a:avLst/>
        </a:prstGeom>
      </xdr:spPr>
    </xdr:pic>
    <xdr:clientData/>
  </xdr:twoCellAnchor>
  <xdr:twoCellAnchor editAs="oneCell">
    <xdr:from>
      <xdr:col>35</xdr:col>
      <xdr:colOff>1466850</xdr:colOff>
      <xdr:row>2</xdr:row>
      <xdr:rowOff>419100</xdr:rowOff>
    </xdr:from>
    <xdr:to>
      <xdr:col>35</xdr:col>
      <xdr:colOff>2403475</xdr:colOff>
      <xdr:row>4</xdr:row>
      <xdr:rowOff>176292</xdr:rowOff>
    </xdr:to>
    <xdr:pic>
      <xdr:nvPicPr>
        <xdr:cNvPr id="30" name="Image 29">
          <a:extLst>
            <a:ext uri="{FF2B5EF4-FFF2-40B4-BE49-F238E27FC236}">
              <a16:creationId xmlns:a16="http://schemas.microsoft.com/office/drawing/2014/main" id="{00000000-0008-0000-2900-00001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784550" y="1905000"/>
          <a:ext cx="936625" cy="557292"/>
        </a:xfrm>
        <a:prstGeom prst="rect">
          <a:avLst/>
        </a:prstGeom>
      </xdr:spPr>
    </xdr:pic>
    <xdr:clientData/>
  </xdr:twoCellAnchor>
  <xdr:twoCellAnchor>
    <xdr:from>
      <xdr:col>33</xdr:col>
      <xdr:colOff>609600</xdr:colOff>
      <xdr:row>22</xdr:row>
      <xdr:rowOff>9525</xdr:rowOff>
    </xdr:from>
    <xdr:to>
      <xdr:col>33</xdr:col>
      <xdr:colOff>1927793</xdr:colOff>
      <xdr:row>26</xdr:row>
      <xdr:rowOff>32657</xdr:rowOff>
    </xdr:to>
    <xdr:sp macro="[0]!Imp_DUEL_Tableau" textlink="">
      <xdr:nvSpPr>
        <xdr:cNvPr id="27" name="Rectangle à coins arrondis 26">
          <a:extLst>
            <a:ext uri="{FF2B5EF4-FFF2-40B4-BE49-F238E27FC236}">
              <a16:creationId xmlns:a16="http://schemas.microsoft.com/office/drawing/2014/main" id="{00000000-0008-0000-2900-00001B000000}"/>
            </a:ext>
          </a:extLst>
        </xdr:cNvPr>
        <xdr:cNvSpPr/>
      </xdr:nvSpPr>
      <xdr:spPr bwMode="auto">
        <a:xfrm>
          <a:off x="23021925" y="5895975"/>
          <a:ext cx="1318193" cy="823232"/>
        </a:xfrm>
        <a:prstGeom prst="roundRect">
          <a:avLst/>
        </a:prstGeom>
        <a:solidFill>
          <a:srgbClr val="E923EE"/>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 TABLEAU des</a:t>
          </a:r>
          <a:r>
            <a:rPr lang="fr-FR" sz="1600" baseline="0"/>
            <a:t> DUELS</a:t>
          </a:r>
          <a:endParaRPr lang="fr-FR" sz="1600"/>
        </a:p>
      </xdr:txBody>
    </xdr:sp>
    <xdr:clientData/>
  </xdr:twoCellAnchor>
  <xdr:twoCellAnchor>
    <xdr:from>
      <xdr:col>21</xdr:col>
      <xdr:colOff>105833</xdr:colOff>
      <xdr:row>15</xdr:row>
      <xdr:rowOff>127000</xdr:rowOff>
    </xdr:from>
    <xdr:to>
      <xdr:col>21</xdr:col>
      <xdr:colOff>1047750</xdr:colOff>
      <xdr:row>17</xdr:row>
      <xdr:rowOff>84667</xdr:rowOff>
    </xdr:to>
    <xdr:cxnSp macro="">
      <xdr:nvCxnSpPr>
        <xdr:cNvPr id="18" name="Connecteur droit avec flèche 17">
          <a:extLst>
            <a:ext uri="{FF2B5EF4-FFF2-40B4-BE49-F238E27FC236}">
              <a16:creationId xmlns:a16="http://schemas.microsoft.com/office/drawing/2014/main" id="{00000000-0008-0000-2900-000012000000}"/>
            </a:ext>
          </a:extLst>
        </xdr:cNvPr>
        <xdr:cNvCxnSpPr/>
      </xdr:nvCxnSpPr>
      <xdr:spPr>
        <a:xfrm>
          <a:off x="14456833" y="4624917"/>
          <a:ext cx="941917" cy="3598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84667</xdr:colOff>
      <xdr:row>13</xdr:row>
      <xdr:rowOff>158750</xdr:rowOff>
    </xdr:from>
    <xdr:to>
      <xdr:col>15</xdr:col>
      <xdr:colOff>1037167</xdr:colOff>
      <xdr:row>21</xdr:row>
      <xdr:rowOff>74083</xdr:rowOff>
    </xdr:to>
    <xdr:cxnSp macro="">
      <xdr:nvCxnSpPr>
        <xdr:cNvPr id="28" name="Connecteur droit avec flèche 27">
          <a:extLst>
            <a:ext uri="{FF2B5EF4-FFF2-40B4-BE49-F238E27FC236}">
              <a16:creationId xmlns:a16="http://schemas.microsoft.com/office/drawing/2014/main" id="{00000000-0008-0000-2900-00001C000000}"/>
            </a:ext>
          </a:extLst>
        </xdr:cNvPr>
        <xdr:cNvCxnSpPr/>
      </xdr:nvCxnSpPr>
      <xdr:spPr>
        <a:xfrm>
          <a:off x="8815917" y="4254500"/>
          <a:ext cx="952500" cy="1524000"/>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105834</xdr:colOff>
      <xdr:row>15</xdr:row>
      <xdr:rowOff>116416</xdr:rowOff>
    </xdr:from>
    <xdr:to>
      <xdr:col>15</xdr:col>
      <xdr:colOff>994833</xdr:colOff>
      <xdr:row>21</xdr:row>
      <xdr:rowOff>47625</xdr:rowOff>
    </xdr:to>
    <xdr:cxnSp macro="">
      <xdr:nvCxnSpPr>
        <xdr:cNvPr id="35" name="Connecteur droit avec flèche 34">
          <a:extLst>
            <a:ext uri="{FF2B5EF4-FFF2-40B4-BE49-F238E27FC236}">
              <a16:creationId xmlns:a16="http://schemas.microsoft.com/office/drawing/2014/main" id="{00000000-0008-0000-2900-000023000000}"/>
            </a:ext>
          </a:extLst>
        </xdr:cNvPr>
        <xdr:cNvCxnSpPr>
          <a:cxnSpLocks/>
        </xdr:cNvCxnSpPr>
      </xdr:nvCxnSpPr>
      <xdr:spPr>
        <a:xfrm flipV="1">
          <a:off x="8837084" y="4614333"/>
          <a:ext cx="888999" cy="1137709"/>
        </a:xfrm>
        <a:prstGeom prst="straightConnector1">
          <a:avLst/>
        </a:prstGeom>
        <a:ln>
          <a:solidFill>
            <a:srgbClr val="00B0F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2332803</xdr:colOff>
      <xdr:row>20</xdr:row>
      <xdr:rowOff>88529</xdr:rowOff>
    </xdr:from>
    <xdr:to>
      <xdr:col>13</xdr:col>
      <xdr:colOff>554568</xdr:colOff>
      <xdr:row>21</xdr:row>
      <xdr:rowOff>157692</xdr:rowOff>
    </xdr:to>
    <xdr:sp macro="" textlink="">
      <xdr:nvSpPr>
        <xdr:cNvPr id="43" name="Rectangle à coins arrondis 25">
          <a:extLst>
            <a:ext uri="{FF2B5EF4-FFF2-40B4-BE49-F238E27FC236}">
              <a16:creationId xmlns:a16="http://schemas.microsoft.com/office/drawing/2014/main" id="{00000000-0008-0000-2900-00002B000000}"/>
            </a:ext>
          </a:extLst>
        </xdr:cNvPr>
        <xdr:cNvSpPr/>
      </xdr:nvSpPr>
      <xdr:spPr bwMode="auto">
        <a:xfrm>
          <a:off x="7539803" y="5591862"/>
          <a:ext cx="708848" cy="270247"/>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15</xdr:col>
      <xdr:colOff>52917</xdr:colOff>
      <xdr:row>8</xdr:row>
      <xdr:rowOff>95250</xdr:rowOff>
    </xdr:from>
    <xdr:to>
      <xdr:col>15</xdr:col>
      <xdr:colOff>973667</xdr:colOff>
      <xdr:row>13</xdr:row>
      <xdr:rowOff>0</xdr:rowOff>
    </xdr:to>
    <xdr:cxnSp macro="">
      <xdr:nvCxnSpPr>
        <xdr:cNvPr id="2" name="Connecteur droit avec flèche 1">
          <a:extLst>
            <a:ext uri="{FF2B5EF4-FFF2-40B4-BE49-F238E27FC236}">
              <a16:creationId xmlns:a16="http://schemas.microsoft.com/office/drawing/2014/main" id="{00000000-0008-0000-2A00-000002000000}"/>
            </a:ext>
          </a:extLst>
        </xdr:cNvPr>
        <xdr:cNvCxnSpPr>
          <a:cxnSpLocks/>
        </xdr:cNvCxnSpPr>
      </xdr:nvCxnSpPr>
      <xdr:spPr>
        <a:xfrm flipV="1">
          <a:off x="8826500" y="3185583"/>
          <a:ext cx="920750" cy="91016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52917</xdr:colOff>
      <xdr:row>13</xdr:row>
      <xdr:rowOff>169333</xdr:rowOff>
    </xdr:from>
    <xdr:to>
      <xdr:col>15</xdr:col>
      <xdr:colOff>994834</xdr:colOff>
      <xdr:row>19</xdr:row>
      <xdr:rowOff>74083</xdr:rowOff>
    </xdr:to>
    <xdr:cxnSp macro="">
      <xdr:nvCxnSpPr>
        <xdr:cNvPr id="4" name="Connecteur droit avec flèche 3">
          <a:extLst>
            <a:ext uri="{FF2B5EF4-FFF2-40B4-BE49-F238E27FC236}">
              <a16:creationId xmlns:a16="http://schemas.microsoft.com/office/drawing/2014/main" id="{00000000-0008-0000-2A00-000004000000}"/>
            </a:ext>
          </a:extLst>
        </xdr:cNvPr>
        <xdr:cNvCxnSpPr>
          <a:cxnSpLocks/>
        </xdr:cNvCxnSpPr>
      </xdr:nvCxnSpPr>
      <xdr:spPr>
        <a:xfrm flipV="1">
          <a:off x="8826500" y="4265083"/>
          <a:ext cx="941917" cy="1111250"/>
        </a:xfrm>
        <a:prstGeom prst="straightConnector1">
          <a:avLst/>
        </a:prstGeom>
        <a:ln>
          <a:solidFill>
            <a:srgbClr val="00B0F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105833</xdr:colOff>
      <xdr:row>6</xdr:row>
      <xdr:rowOff>190500</xdr:rowOff>
    </xdr:from>
    <xdr:to>
      <xdr:col>22</xdr:col>
      <xdr:colOff>38100</xdr:colOff>
      <xdr:row>8</xdr:row>
      <xdr:rowOff>0</xdr:rowOff>
    </xdr:to>
    <xdr:cxnSp macro="">
      <xdr:nvCxnSpPr>
        <xdr:cNvPr id="9" name="Connecteur droit avec flèche 8">
          <a:extLst>
            <a:ext uri="{FF2B5EF4-FFF2-40B4-BE49-F238E27FC236}">
              <a16:creationId xmlns:a16="http://schemas.microsoft.com/office/drawing/2014/main" id="{00000000-0008-0000-2A00-000009000000}"/>
            </a:ext>
          </a:extLst>
        </xdr:cNvPr>
        <xdr:cNvCxnSpPr>
          <a:cxnSpLocks/>
        </xdr:cNvCxnSpPr>
      </xdr:nvCxnSpPr>
      <xdr:spPr>
        <a:xfrm flipV="1">
          <a:off x="14456833" y="2878667"/>
          <a:ext cx="990600" cy="211666"/>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33</xdr:col>
      <xdr:colOff>319768</xdr:colOff>
      <xdr:row>16</xdr:row>
      <xdr:rowOff>57605</xdr:rowOff>
    </xdr:from>
    <xdr:to>
      <xdr:col>33</xdr:col>
      <xdr:colOff>2224768</xdr:colOff>
      <xdr:row>19</xdr:row>
      <xdr:rowOff>195945</xdr:rowOff>
    </xdr:to>
    <xdr:sp macro="[0]!JMK_Trans_FDUEL1" textlink="">
      <xdr:nvSpPr>
        <xdr:cNvPr id="17" name="Rectangle à coins arrondis 16">
          <a:extLst>
            <a:ext uri="{FF2B5EF4-FFF2-40B4-BE49-F238E27FC236}">
              <a16:creationId xmlns:a16="http://schemas.microsoft.com/office/drawing/2014/main" id="{00000000-0008-0000-2A00-000011000000}"/>
            </a:ext>
          </a:extLst>
        </xdr:cNvPr>
        <xdr:cNvSpPr/>
      </xdr:nvSpPr>
      <xdr:spPr bwMode="auto">
        <a:xfrm>
          <a:off x="22671768" y="4820105"/>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1</a:t>
          </a:r>
          <a:r>
            <a:rPr lang="fr-FR" sz="1600"/>
            <a:t> </a:t>
          </a:r>
        </a:p>
      </xdr:txBody>
    </xdr:sp>
    <xdr:clientData fPrintsWithSheet="0"/>
  </xdr:twoCellAnchor>
  <xdr:twoCellAnchor>
    <xdr:from>
      <xdr:col>34</xdr:col>
      <xdr:colOff>213632</xdr:colOff>
      <xdr:row>16</xdr:row>
      <xdr:rowOff>57605</xdr:rowOff>
    </xdr:from>
    <xdr:to>
      <xdr:col>34</xdr:col>
      <xdr:colOff>2118632</xdr:colOff>
      <xdr:row>19</xdr:row>
      <xdr:rowOff>195945</xdr:rowOff>
    </xdr:to>
    <xdr:sp macro="[0]!JMK_Trans_FDUEL2" textlink="">
      <xdr:nvSpPr>
        <xdr:cNvPr id="18" name="Rectangle à coins arrondis 17">
          <a:extLst>
            <a:ext uri="{FF2B5EF4-FFF2-40B4-BE49-F238E27FC236}">
              <a16:creationId xmlns:a16="http://schemas.microsoft.com/office/drawing/2014/main" id="{00000000-0008-0000-2A00-000012000000}"/>
            </a:ext>
          </a:extLst>
        </xdr:cNvPr>
        <xdr:cNvSpPr/>
      </xdr:nvSpPr>
      <xdr:spPr bwMode="auto">
        <a:xfrm>
          <a:off x="25010382" y="4820105"/>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2</a:t>
          </a:r>
          <a:r>
            <a:rPr lang="fr-FR" sz="1600"/>
            <a:t> </a:t>
          </a:r>
        </a:p>
      </xdr:txBody>
    </xdr:sp>
    <xdr:clientData fPrintsWithSheet="0"/>
  </xdr:twoCellAnchor>
  <xdr:twoCellAnchor>
    <xdr:from>
      <xdr:col>35</xdr:col>
      <xdr:colOff>107497</xdr:colOff>
      <xdr:row>16</xdr:row>
      <xdr:rowOff>57605</xdr:rowOff>
    </xdr:from>
    <xdr:to>
      <xdr:col>35</xdr:col>
      <xdr:colOff>2012497</xdr:colOff>
      <xdr:row>19</xdr:row>
      <xdr:rowOff>195945</xdr:rowOff>
    </xdr:to>
    <xdr:sp macro="[0]!JMK_Trans_FDUEL3" textlink="">
      <xdr:nvSpPr>
        <xdr:cNvPr id="19" name="Rectangle à coins arrondis 18">
          <a:extLst>
            <a:ext uri="{FF2B5EF4-FFF2-40B4-BE49-F238E27FC236}">
              <a16:creationId xmlns:a16="http://schemas.microsoft.com/office/drawing/2014/main" id="{00000000-0008-0000-2A00-000013000000}"/>
            </a:ext>
          </a:extLst>
        </xdr:cNvPr>
        <xdr:cNvSpPr/>
      </xdr:nvSpPr>
      <xdr:spPr bwMode="auto">
        <a:xfrm>
          <a:off x="27364872" y="4820105"/>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3</a:t>
          </a:r>
          <a:r>
            <a:rPr lang="fr-FR" sz="1600"/>
            <a:t> </a:t>
          </a:r>
        </a:p>
      </xdr:txBody>
    </xdr:sp>
    <xdr:clientData fPrintsWithSheet="0"/>
  </xdr:twoCellAnchor>
  <xdr:twoCellAnchor>
    <xdr:from>
      <xdr:col>34</xdr:col>
      <xdr:colOff>1571624</xdr:colOff>
      <xdr:row>23</xdr:row>
      <xdr:rowOff>0</xdr:rowOff>
    </xdr:from>
    <xdr:to>
      <xdr:col>35</xdr:col>
      <xdr:colOff>1015999</xdr:colOff>
      <xdr:row>29</xdr:row>
      <xdr:rowOff>31750</xdr:rowOff>
    </xdr:to>
    <xdr:sp macro="[0]!JMK_ZI_Résultat_Final" textlink="">
      <xdr:nvSpPr>
        <xdr:cNvPr id="23" name="Rectangle à coins arrondis 22">
          <a:extLst>
            <a:ext uri="{FF2B5EF4-FFF2-40B4-BE49-F238E27FC236}">
              <a16:creationId xmlns:a16="http://schemas.microsoft.com/office/drawing/2014/main" id="{00000000-0008-0000-2A00-000017000000}"/>
            </a:ext>
          </a:extLst>
        </xdr:cNvPr>
        <xdr:cNvSpPr/>
      </xdr:nvSpPr>
      <xdr:spPr bwMode="auto">
        <a:xfrm>
          <a:off x="26368374" y="6207125"/>
          <a:ext cx="1905000" cy="1270000"/>
        </a:xfrm>
        <a:prstGeom prst="roundRect">
          <a:avLst/>
        </a:prstGeom>
        <a:solidFill>
          <a:srgbClr val="00FF99"/>
        </a:solidFill>
        <a:ln w="9525" cap="flat" cmpd="sng" algn="ctr">
          <a:solidFill>
            <a:srgbClr val="400000"/>
          </a:solidFill>
          <a:prstDash val="solid"/>
          <a:round/>
          <a:headEnd type="none" w="med" len="med"/>
          <a:tailEnd type="none" w="med" len="med"/>
        </a:ln>
        <a:effectLst/>
      </xdr:spPr>
      <xdr:txBody>
        <a:bodyPr rot="0" spcFirstLastPara="0" vertOverflow="clip" horzOverflow="clip" vert="horz" wrap="square" lIns="18288" tIns="0" rIns="0" bIns="0" numCol="1" spcCol="0" rtlCol="0" fromWordArt="0" anchor="ctr" anchorCtr="0" forceAA="0" upright="1" compatLnSpc="1">
          <a:prstTxWarp prst="textNoShape">
            <a:avLst/>
          </a:prstTxWarp>
          <a:noAutofit/>
        </a:bodyPr>
        <a:lstStyle/>
        <a:p>
          <a:pPr algn="ctr"/>
          <a:r>
            <a:rPr lang="fr-FR" sz="2000"/>
            <a:t>Impression</a:t>
          </a:r>
          <a:r>
            <a:rPr lang="fr-FR" sz="2000" baseline="0"/>
            <a:t> du CLASSEMENT FINAL</a:t>
          </a:r>
          <a:endParaRPr lang="fr-FR" sz="2000"/>
        </a:p>
      </xdr:txBody>
    </xdr:sp>
    <xdr:clientData fPrintsWithSheet="0"/>
  </xdr:twoCellAnchor>
  <xdr:twoCellAnchor>
    <xdr:from>
      <xdr:col>24</xdr:col>
      <xdr:colOff>571500</xdr:colOff>
      <xdr:row>0</xdr:row>
      <xdr:rowOff>333375</xdr:rowOff>
    </xdr:from>
    <xdr:to>
      <xdr:col>24</xdr:col>
      <xdr:colOff>2095500</xdr:colOff>
      <xdr:row>1</xdr:row>
      <xdr:rowOff>428625</xdr:rowOff>
    </xdr:to>
    <xdr:sp macro="[0]!jmk_RETOUR_MENU" textlink="">
      <xdr:nvSpPr>
        <xdr:cNvPr id="24" name="Rectangle à coins arrondis 23">
          <a:extLst>
            <a:ext uri="{FF2B5EF4-FFF2-40B4-BE49-F238E27FC236}">
              <a16:creationId xmlns:a16="http://schemas.microsoft.com/office/drawing/2014/main" id="{00000000-0008-0000-2A00-000018000000}"/>
            </a:ext>
          </a:extLst>
        </xdr:cNvPr>
        <xdr:cNvSpPr/>
      </xdr:nvSpPr>
      <xdr:spPr bwMode="auto">
        <a:xfrm>
          <a:off x="17526000" y="333375"/>
          <a:ext cx="1524000" cy="79375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Retour aux MENUS</a:t>
          </a:r>
        </a:p>
      </xdr:txBody>
    </xdr:sp>
    <xdr:clientData fPrintsWithSheet="0"/>
  </xdr:twoCellAnchor>
  <xdr:twoCellAnchor>
    <xdr:from>
      <xdr:col>15</xdr:col>
      <xdr:colOff>52917</xdr:colOff>
      <xdr:row>13</xdr:row>
      <xdr:rowOff>21167</xdr:rowOff>
    </xdr:from>
    <xdr:to>
      <xdr:col>15</xdr:col>
      <xdr:colOff>1016000</xdr:colOff>
      <xdr:row>20</xdr:row>
      <xdr:rowOff>127000</xdr:rowOff>
    </xdr:to>
    <xdr:cxnSp macro="">
      <xdr:nvCxnSpPr>
        <xdr:cNvPr id="31" name="Connecteur droit avec flèche 30">
          <a:extLst>
            <a:ext uri="{FF2B5EF4-FFF2-40B4-BE49-F238E27FC236}">
              <a16:creationId xmlns:a16="http://schemas.microsoft.com/office/drawing/2014/main" id="{00000000-0008-0000-2A00-00001F000000}"/>
            </a:ext>
          </a:extLst>
        </xdr:cNvPr>
        <xdr:cNvCxnSpPr>
          <a:cxnSpLocks/>
        </xdr:cNvCxnSpPr>
      </xdr:nvCxnSpPr>
      <xdr:spPr>
        <a:xfrm>
          <a:off x="8826500" y="4116917"/>
          <a:ext cx="963083" cy="151341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52917</xdr:colOff>
      <xdr:row>22</xdr:row>
      <xdr:rowOff>105833</xdr:rowOff>
    </xdr:from>
    <xdr:to>
      <xdr:col>15</xdr:col>
      <xdr:colOff>1026584</xdr:colOff>
      <xdr:row>25</xdr:row>
      <xdr:rowOff>43884</xdr:rowOff>
    </xdr:to>
    <xdr:cxnSp macro="">
      <xdr:nvCxnSpPr>
        <xdr:cNvPr id="32" name="Connecteur droit avec flèche 31">
          <a:extLst>
            <a:ext uri="{FF2B5EF4-FFF2-40B4-BE49-F238E27FC236}">
              <a16:creationId xmlns:a16="http://schemas.microsoft.com/office/drawing/2014/main" id="{00000000-0008-0000-2A00-000020000000}"/>
            </a:ext>
          </a:extLst>
        </xdr:cNvPr>
        <xdr:cNvCxnSpPr>
          <a:cxnSpLocks/>
        </xdr:cNvCxnSpPr>
      </xdr:nvCxnSpPr>
      <xdr:spPr>
        <a:xfrm flipV="1">
          <a:off x="8826500" y="6011333"/>
          <a:ext cx="973667" cy="541301"/>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52917</xdr:colOff>
      <xdr:row>16</xdr:row>
      <xdr:rowOff>95250</xdr:rowOff>
    </xdr:from>
    <xdr:to>
      <xdr:col>15</xdr:col>
      <xdr:colOff>1037167</xdr:colOff>
      <xdr:row>25</xdr:row>
      <xdr:rowOff>42333</xdr:rowOff>
    </xdr:to>
    <xdr:cxnSp macro="">
      <xdr:nvCxnSpPr>
        <xdr:cNvPr id="33" name="Connecteur droit avec flèche 32">
          <a:extLst>
            <a:ext uri="{FF2B5EF4-FFF2-40B4-BE49-F238E27FC236}">
              <a16:creationId xmlns:a16="http://schemas.microsoft.com/office/drawing/2014/main" id="{00000000-0008-0000-2A00-000021000000}"/>
            </a:ext>
          </a:extLst>
        </xdr:cNvPr>
        <xdr:cNvCxnSpPr>
          <a:cxnSpLocks/>
        </xdr:cNvCxnSpPr>
      </xdr:nvCxnSpPr>
      <xdr:spPr>
        <a:xfrm flipV="1">
          <a:off x="8826500" y="4794250"/>
          <a:ext cx="984250" cy="1756833"/>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116417</xdr:colOff>
      <xdr:row>8</xdr:row>
      <xdr:rowOff>21167</xdr:rowOff>
    </xdr:from>
    <xdr:to>
      <xdr:col>21</xdr:col>
      <xdr:colOff>1026583</xdr:colOff>
      <xdr:row>15</xdr:row>
      <xdr:rowOff>105833</xdr:rowOff>
    </xdr:to>
    <xdr:cxnSp macro="">
      <xdr:nvCxnSpPr>
        <xdr:cNvPr id="62" name="Connecteur droit avec flèche 61">
          <a:extLst>
            <a:ext uri="{FF2B5EF4-FFF2-40B4-BE49-F238E27FC236}">
              <a16:creationId xmlns:a16="http://schemas.microsoft.com/office/drawing/2014/main" id="{00000000-0008-0000-2A00-00003E000000}"/>
            </a:ext>
          </a:extLst>
        </xdr:cNvPr>
        <xdr:cNvCxnSpPr/>
      </xdr:nvCxnSpPr>
      <xdr:spPr bwMode="auto">
        <a:xfrm>
          <a:off x="14467417" y="3111500"/>
          <a:ext cx="910166" cy="1492250"/>
        </a:xfrm>
        <a:prstGeom prst="straightConnector1">
          <a:avLst/>
        </a:prstGeom>
        <a:ln>
          <a:solidFill>
            <a:srgbClr val="FF0000"/>
          </a:solidFill>
          <a:headEnd type="none" w="med" len="med"/>
          <a:tailEnd type="arrow"/>
        </a:ln>
      </xdr:spPr>
      <xdr:style>
        <a:lnRef idx="2">
          <a:schemeClr val="accent6"/>
        </a:lnRef>
        <a:fillRef idx="0">
          <a:schemeClr val="accent6"/>
        </a:fillRef>
        <a:effectRef idx="1">
          <a:schemeClr val="accent6"/>
        </a:effectRef>
        <a:fontRef idx="minor">
          <a:schemeClr val="tx1"/>
        </a:fontRef>
      </xdr:style>
    </xdr:cxnSp>
    <xdr:clientData/>
  </xdr:twoCellAnchor>
  <xdr:twoCellAnchor>
    <xdr:from>
      <xdr:col>21</xdr:col>
      <xdr:colOff>95250</xdr:colOff>
      <xdr:row>8</xdr:row>
      <xdr:rowOff>127000</xdr:rowOff>
    </xdr:from>
    <xdr:to>
      <xdr:col>21</xdr:col>
      <xdr:colOff>1037167</xdr:colOff>
      <xdr:row>14</xdr:row>
      <xdr:rowOff>21167</xdr:rowOff>
    </xdr:to>
    <xdr:cxnSp macro="">
      <xdr:nvCxnSpPr>
        <xdr:cNvPr id="63" name="Connecteur droit avec flèche 62">
          <a:extLst>
            <a:ext uri="{FF2B5EF4-FFF2-40B4-BE49-F238E27FC236}">
              <a16:creationId xmlns:a16="http://schemas.microsoft.com/office/drawing/2014/main" id="{00000000-0008-0000-2A00-00003F000000}"/>
            </a:ext>
          </a:extLst>
        </xdr:cNvPr>
        <xdr:cNvCxnSpPr>
          <a:cxnSpLocks/>
        </xdr:cNvCxnSpPr>
      </xdr:nvCxnSpPr>
      <xdr:spPr>
        <a:xfrm flipV="1">
          <a:off x="14446250" y="3217333"/>
          <a:ext cx="941917" cy="110066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162984</xdr:colOff>
      <xdr:row>22</xdr:row>
      <xdr:rowOff>114300</xdr:rowOff>
    </xdr:from>
    <xdr:to>
      <xdr:col>21</xdr:col>
      <xdr:colOff>952500</xdr:colOff>
      <xdr:row>22</xdr:row>
      <xdr:rowOff>127000</xdr:rowOff>
    </xdr:to>
    <xdr:cxnSp macro="">
      <xdr:nvCxnSpPr>
        <xdr:cNvPr id="76" name="Connecteur droit avec flèche 75">
          <a:extLst>
            <a:ext uri="{FF2B5EF4-FFF2-40B4-BE49-F238E27FC236}">
              <a16:creationId xmlns:a16="http://schemas.microsoft.com/office/drawing/2014/main" id="{00000000-0008-0000-2A00-00004C000000}"/>
            </a:ext>
          </a:extLst>
        </xdr:cNvPr>
        <xdr:cNvCxnSpPr/>
      </xdr:nvCxnSpPr>
      <xdr:spPr bwMode="auto">
        <a:xfrm>
          <a:off x="14513984" y="6019800"/>
          <a:ext cx="789516" cy="12700"/>
        </a:xfrm>
        <a:prstGeom prst="straightConnector1">
          <a:avLst/>
        </a:prstGeom>
        <a:ln>
          <a:solidFill>
            <a:schemeClr val="tx2">
              <a:lumMod val="60000"/>
              <a:lumOff val="40000"/>
            </a:schemeClr>
          </a:solidFill>
          <a:headEnd type="none" w="med" len="med"/>
          <a:tailEnd type="arrow"/>
        </a:ln>
      </xdr:spPr>
      <xdr:style>
        <a:lnRef idx="2">
          <a:schemeClr val="accent6"/>
        </a:lnRef>
        <a:fillRef idx="0">
          <a:schemeClr val="accent6"/>
        </a:fillRef>
        <a:effectRef idx="1">
          <a:schemeClr val="accent6"/>
        </a:effectRef>
        <a:fontRef idx="minor">
          <a:schemeClr val="tx1"/>
        </a:fontRef>
      </xdr:style>
    </xdr:cxnSp>
    <xdr:clientData/>
  </xdr:twoCellAnchor>
  <xdr:twoCellAnchor editAs="oneCell">
    <xdr:from>
      <xdr:col>10</xdr:col>
      <xdr:colOff>219075</xdr:colOff>
      <xdr:row>0</xdr:row>
      <xdr:rowOff>190500</xdr:rowOff>
    </xdr:from>
    <xdr:to>
      <xdr:col>12</xdr:col>
      <xdr:colOff>1181100</xdr:colOff>
      <xdr:row>1</xdr:row>
      <xdr:rowOff>615950</xdr:rowOff>
    </xdr:to>
    <xdr:pic>
      <xdr:nvPicPr>
        <xdr:cNvPr id="34" name="Image 33">
          <a:extLst>
            <a:ext uri="{FF2B5EF4-FFF2-40B4-BE49-F238E27FC236}">
              <a16:creationId xmlns:a16="http://schemas.microsoft.com/office/drawing/2014/main" id="{00000000-0008-0000-2A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91450" y="190500"/>
          <a:ext cx="1905000" cy="1130300"/>
        </a:xfrm>
        <a:prstGeom prst="rect">
          <a:avLst/>
        </a:prstGeom>
      </xdr:spPr>
    </xdr:pic>
    <xdr:clientData/>
  </xdr:twoCellAnchor>
  <xdr:twoCellAnchor editAs="oneCell">
    <xdr:from>
      <xdr:col>35</xdr:col>
      <xdr:colOff>1466850</xdr:colOff>
      <xdr:row>2</xdr:row>
      <xdr:rowOff>409575</xdr:rowOff>
    </xdr:from>
    <xdr:to>
      <xdr:col>35</xdr:col>
      <xdr:colOff>2403475</xdr:colOff>
      <xdr:row>4</xdr:row>
      <xdr:rowOff>166767</xdr:rowOff>
    </xdr:to>
    <xdr:pic>
      <xdr:nvPicPr>
        <xdr:cNvPr id="35" name="Image 34">
          <a:extLst>
            <a:ext uri="{FF2B5EF4-FFF2-40B4-BE49-F238E27FC236}">
              <a16:creationId xmlns:a16="http://schemas.microsoft.com/office/drawing/2014/main" id="{00000000-0008-0000-2A00-00002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289625" y="1895475"/>
          <a:ext cx="936625" cy="557292"/>
        </a:xfrm>
        <a:prstGeom prst="rect">
          <a:avLst/>
        </a:prstGeom>
      </xdr:spPr>
    </xdr:pic>
    <xdr:clientData/>
  </xdr:twoCellAnchor>
  <xdr:twoCellAnchor>
    <xdr:from>
      <xdr:col>33</xdr:col>
      <xdr:colOff>619125</xdr:colOff>
      <xdr:row>22</xdr:row>
      <xdr:rowOff>9525</xdr:rowOff>
    </xdr:from>
    <xdr:to>
      <xdr:col>33</xdr:col>
      <xdr:colOff>1937318</xdr:colOff>
      <xdr:row>26</xdr:row>
      <xdr:rowOff>32657</xdr:rowOff>
    </xdr:to>
    <xdr:sp macro="[0]!Imp_DUEL_Tableau" textlink="">
      <xdr:nvSpPr>
        <xdr:cNvPr id="36" name="Rectangle à coins arrondis 35">
          <a:extLst>
            <a:ext uri="{FF2B5EF4-FFF2-40B4-BE49-F238E27FC236}">
              <a16:creationId xmlns:a16="http://schemas.microsoft.com/office/drawing/2014/main" id="{00000000-0008-0000-2A00-000024000000}"/>
            </a:ext>
          </a:extLst>
        </xdr:cNvPr>
        <xdr:cNvSpPr/>
      </xdr:nvSpPr>
      <xdr:spPr bwMode="auto">
        <a:xfrm>
          <a:off x="25536525" y="5895975"/>
          <a:ext cx="1318193" cy="823232"/>
        </a:xfrm>
        <a:prstGeom prst="roundRect">
          <a:avLst/>
        </a:prstGeom>
        <a:solidFill>
          <a:srgbClr val="E923EE"/>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 TABLEAU des</a:t>
          </a:r>
          <a:r>
            <a:rPr lang="fr-FR" sz="1600" baseline="0"/>
            <a:t> DUELS</a:t>
          </a:r>
          <a:endParaRPr lang="fr-FR" sz="1600"/>
        </a:p>
      </xdr:txBody>
    </xdr:sp>
    <xdr:clientData/>
  </xdr:twoCellAnchor>
  <xdr:twoCellAnchor>
    <xdr:from>
      <xdr:col>15</xdr:col>
      <xdr:colOff>52917</xdr:colOff>
      <xdr:row>7</xdr:row>
      <xdr:rowOff>0</xdr:rowOff>
    </xdr:from>
    <xdr:to>
      <xdr:col>15</xdr:col>
      <xdr:colOff>867834</xdr:colOff>
      <xdr:row>7</xdr:row>
      <xdr:rowOff>0</xdr:rowOff>
    </xdr:to>
    <xdr:cxnSp macro="">
      <xdr:nvCxnSpPr>
        <xdr:cNvPr id="10" name="Connecteur droit avec flèche 9">
          <a:extLst>
            <a:ext uri="{FF2B5EF4-FFF2-40B4-BE49-F238E27FC236}">
              <a16:creationId xmlns:a16="http://schemas.microsoft.com/office/drawing/2014/main" id="{00000000-0008-0000-2A00-00000A000000}"/>
            </a:ext>
          </a:extLst>
        </xdr:cNvPr>
        <xdr:cNvCxnSpPr>
          <a:cxnSpLocks/>
        </xdr:cNvCxnSpPr>
      </xdr:nvCxnSpPr>
      <xdr:spPr>
        <a:xfrm>
          <a:off x="8826500" y="2889250"/>
          <a:ext cx="814917" cy="0"/>
        </a:xfrm>
        <a:prstGeom prst="straightConnector1">
          <a:avLst/>
        </a:prstGeom>
        <a:ln>
          <a:solidFill>
            <a:srgbClr val="00B0F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146050</xdr:colOff>
      <xdr:row>20</xdr:row>
      <xdr:rowOff>107950</xdr:rowOff>
    </xdr:from>
    <xdr:to>
      <xdr:col>21</xdr:col>
      <xdr:colOff>935566</xdr:colOff>
      <xdr:row>20</xdr:row>
      <xdr:rowOff>120650</xdr:rowOff>
    </xdr:to>
    <xdr:cxnSp macro="">
      <xdr:nvCxnSpPr>
        <xdr:cNvPr id="40" name="Connecteur droit avec flèche 39">
          <a:extLst>
            <a:ext uri="{FF2B5EF4-FFF2-40B4-BE49-F238E27FC236}">
              <a16:creationId xmlns:a16="http://schemas.microsoft.com/office/drawing/2014/main" id="{00000000-0008-0000-2A00-000028000000}"/>
            </a:ext>
          </a:extLst>
        </xdr:cNvPr>
        <xdr:cNvCxnSpPr/>
      </xdr:nvCxnSpPr>
      <xdr:spPr bwMode="auto">
        <a:xfrm>
          <a:off x="14497050" y="5611283"/>
          <a:ext cx="789516" cy="12700"/>
        </a:xfrm>
        <a:prstGeom prst="straightConnector1">
          <a:avLst/>
        </a:prstGeom>
        <a:ln>
          <a:solidFill>
            <a:schemeClr val="tx2">
              <a:lumMod val="60000"/>
              <a:lumOff val="40000"/>
            </a:schemeClr>
          </a:solidFill>
          <a:headEnd type="none" w="med" len="med"/>
          <a:tailEnd type="arrow"/>
        </a:ln>
      </xdr:spPr>
      <xdr:style>
        <a:lnRef idx="2">
          <a:schemeClr val="accent6"/>
        </a:lnRef>
        <a:fillRef idx="0">
          <a:schemeClr val="accent6"/>
        </a:fillRef>
        <a:effectRef idx="1">
          <a:schemeClr val="accent6"/>
        </a:effectRef>
        <a:fontRef idx="minor">
          <a:schemeClr val="tx1"/>
        </a:fontRef>
      </xdr:style>
    </xdr:cxnSp>
    <xdr:clientData/>
  </xdr:twoCellAnchor>
  <xdr:twoCellAnchor>
    <xdr:from>
      <xdr:col>21</xdr:col>
      <xdr:colOff>110067</xdr:colOff>
      <xdr:row>13</xdr:row>
      <xdr:rowOff>137583</xdr:rowOff>
    </xdr:from>
    <xdr:to>
      <xdr:col>22</xdr:col>
      <xdr:colOff>10584</xdr:colOff>
      <xdr:row>14</xdr:row>
      <xdr:rowOff>25400</xdr:rowOff>
    </xdr:to>
    <xdr:cxnSp macro="">
      <xdr:nvCxnSpPr>
        <xdr:cNvPr id="44" name="Connecteur droit avec flèche 43">
          <a:extLst>
            <a:ext uri="{FF2B5EF4-FFF2-40B4-BE49-F238E27FC236}">
              <a16:creationId xmlns:a16="http://schemas.microsoft.com/office/drawing/2014/main" id="{00000000-0008-0000-2A00-00002C000000}"/>
            </a:ext>
          </a:extLst>
        </xdr:cNvPr>
        <xdr:cNvCxnSpPr/>
      </xdr:nvCxnSpPr>
      <xdr:spPr bwMode="auto">
        <a:xfrm flipV="1">
          <a:off x="14461067" y="4233333"/>
          <a:ext cx="958850" cy="88900"/>
        </a:xfrm>
        <a:prstGeom prst="straightConnector1">
          <a:avLst/>
        </a:prstGeom>
        <a:ln>
          <a:solidFill>
            <a:srgbClr val="FF0000"/>
          </a:solidFill>
          <a:headEnd type="none" w="med" len="med"/>
          <a:tailEnd type="arrow"/>
        </a:ln>
      </xdr:spPr>
      <xdr:style>
        <a:lnRef idx="2">
          <a:schemeClr val="accent6"/>
        </a:lnRef>
        <a:fillRef idx="0">
          <a:schemeClr val="accent6"/>
        </a:fillRef>
        <a:effectRef idx="1">
          <a:schemeClr val="accent6"/>
        </a:effectRef>
        <a:fontRef idx="minor">
          <a:schemeClr val="tx1"/>
        </a:fontRef>
      </xdr:style>
    </xdr:cxnSp>
    <xdr:clientData/>
  </xdr:twoCellAnchor>
  <xdr:twoCellAnchor>
    <xdr:from>
      <xdr:col>18</xdr:col>
      <xdr:colOff>2465916</xdr:colOff>
      <xdr:row>21</xdr:row>
      <xdr:rowOff>42333</xdr:rowOff>
    </xdr:from>
    <xdr:to>
      <xdr:col>19</xdr:col>
      <xdr:colOff>645347</xdr:colOff>
      <xdr:row>22</xdr:row>
      <xdr:rowOff>111497</xdr:rowOff>
    </xdr:to>
    <xdr:sp macro="" textlink="">
      <xdr:nvSpPr>
        <xdr:cNvPr id="49" name="Rectangle à coins arrondis 25">
          <a:extLst>
            <a:ext uri="{FF2B5EF4-FFF2-40B4-BE49-F238E27FC236}">
              <a16:creationId xmlns:a16="http://schemas.microsoft.com/office/drawing/2014/main" id="{00000000-0008-0000-2A00-000031000000}"/>
            </a:ext>
          </a:extLst>
        </xdr:cNvPr>
        <xdr:cNvSpPr/>
      </xdr:nvSpPr>
      <xdr:spPr bwMode="auto">
        <a:xfrm>
          <a:off x="13239749" y="5746750"/>
          <a:ext cx="708848" cy="270247"/>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twoCellAnchor>
    <xdr:from>
      <xdr:col>12</xdr:col>
      <xdr:colOff>2370667</xdr:colOff>
      <xdr:row>19</xdr:row>
      <xdr:rowOff>52917</xdr:rowOff>
    </xdr:from>
    <xdr:to>
      <xdr:col>13</xdr:col>
      <xdr:colOff>592431</xdr:colOff>
      <xdr:row>20</xdr:row>
      <xdr:rowOff>122081</xdr:rowOff>
    </xdr:to>
    <xdr:sp macro="" textlink="">
      <xdr:nvSpPr>
        <xdr:cNvPr id="51" name="Rectangle à coins arrondis 25">
          <a:extLst>
            <a:ext uri="{FF2B5EF4-FFF2-40B4-BE49-F238E27FC236}">
              <a16:creationId xmlns:a16="http://schemas.microsoft.com/office/drawing/2014/main" id="{00000000-0008-0000-2A00-000033000000}"/>
            </a:ext>
          </a:extLst>
        </xdr:cNvPr>
        <xdr:cNvSpPr/>
      </xdr:nvSpPr>
      <xdr:spPr bwMode="auto">
        <a:xfrm>
          <a:off x="7620000" y="5355167"/>
          <a:ext cx="708848" cy="270247"/>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twoCellAnchor>
    <xdr:from>
      <xdr:col>12</xdr:col>
      <xdr:colOff>2360084</xdr:colOff>
      <xdr:row>6</xdr:row>
      <xdr:rowOff>67734</xdr:rowOff>
    </xdr:from>
    <xdr:to>
      <xdr:col>13</xdr:col>
      <xdr:colOff>581848</xdr:colOff>
      <xdr:row>7</xdr:row>
      <xdr:rowOff>136898</xdr:rowOff>
    </xdr:to>
    <xdr:sp macro="" textlink="">
      <xdr:nvSpPr>
        <xdr:cNvPr id="53" name="Rectangle à coins arrondis 25">
          <a:extLst>
            <a:ext uri="{FF2B5EF4-FFF2-40B4-BE49-F238E27FC236}">
              <a16:creationId xmlns:a16="http://schemas.microsoft.com/office/drawing/2014/main" id="{00000000-0008-0000-2A00-000035000000}"/>
            </a:ext>
          </a:extLst>
        </xdr:cNvPr>
        <xdr:cNvSpPr/>
      </xdr:nvSpPr>
      <xdr:spPr bwMode="auto">
        <a:xfrm>
          <a:off x="7609417" y="2755901"/>
          <a:ext cx="708848" cy="270247"/>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21</xdr:col>
      <xdr:colOff>67236</xdr:colOff>
      <xdr:row>7</xdr:row>
      <xdr:rowOff>0</xdr:rowOff>
    </xdr:from>
    <xdr:to>
      <xdr:col>22</xdr:col>
      <xdr:colOff>15875</xdr:colOff>
      <xdr:row>7</xdr:row>
      <xdr:rowOff>190500</xdr:rowOff>
    </xdr:to>
    <xdr:cxnSp macro="">
      <xdr:nvCxnSpPr>
        <xdr:cNvPr id="2" name="Connecteur droit avec flèche 1">
          <a:extLst>
            <a:ext uri="{FF2B5EF4-FFF2-40B4-BE49-F238E27FC236}">
              <a16:creationId xmlns:a16="http://schemas.microsoft.com/office/drawing/2014/main" id="{00000000-0008-0000-2B00-000002000000}"/>
            </a:ext>
          </a:extLst>
        </xdr:cNvPr>
        <xdr:cNvCxnSpPr/>
      </xdr:nvCxnSpPr>
      <xdr:spPr>
        <a:xfrm flipV="1">
          <a:off x="10106586" y="2886075"/>
          <a:ext cx="1005914" cy="19050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82315</xdr:colOff>
      <xdr:row>9</xdr:row>
      <xdr:rowOff>38100</xdr:rowOff>
    </xdr:from>
    <xdr:to>
      <xdr:col>22</xdr:col>
      <xdr:colOff>28575</xdr:colOff>
      <xdr:row>13</xdr:row>
      <xdr:rowOff>82315</xdr:rowOff>
    </xdr:to>
    <xdr:cxnSp macro="">
      <xdr:nvCxnSpPr>
        <xdr:cNvPr id="3" name="Connecteur droit avec flèche 2">
          <a:extLst>
            <a:ext uri="{FF2B5EF4-FFF2-40B4-BE49-F238E27FC236}">
              <a16:creationId xmlns:a16="http://schemas.microsoft.com/office/drawing/2014/main" id="{00000000-0008-0000-2B00-000003000000}"/>
            </a:ext>
          </a:extLst>
        </xdr:cNvPr>
        <xdr:cNvCxnSpPr/>
      </xdr:nvCxnSpPr>
      <xdr:spPr>
        <a:xfrm flipV="1">
          <a:off x="18132778" y="3318933"/>
          <a:ext cx="1004593" cy="843845"/>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67236</xdr:colOff>
      <xdr:row>8</xdr:row>
      <xdr:rowOff>11206</xdr:rowOff>
    </xdr:from>
    <xdr:to>
      <xdr:col>22</xdr:col>
      <xdr:colOff>7097</xdr:colOff>
      <xdr:row>13</xdr:row>
      <xdr:rowOff>103724</xdr:rowOff>
    </xdr:to>
    <xdr:cxnSp macro="">
      <xdr:nvCxnSpPr>
        <xdr:cNvPr id="4" name="Connecteur droit avec flèche 3">
          <a:extLst>
            <a:ext uri="{FF2B5EF4-FFF2-40B4-BE49-F238E27FC236}">
              <a16:creationId xmlns:a16="http://schemas.microsoft.com/office/drawing/2014/main" id="{00000000-0008-0000-2B00-000004000000}"/>
            </a:ext>
          </a:extLst>
        </xdr:cNvPr>
        <xdr:cNvCxnSpPr/>
      </xdr:nvCxnSpPr>
      <xdr:spPr>
        <a:xfrm>
          <a:off x="10106586" y="3097306"/>
          <a:ext cx="997136" cy="109264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117593</xdr:colOff>
      <xdr:row>13</xdr:row>
      <xdr:rowOff>105833</xdr:rowOff>
    </xdr:from>
    <xdr:to>
      <xdr:col>22</xdr:col>
      <xdr:colOff>15875</xdr:colOff>
      <xdr:row>15</xdr:row>
      <xdr:rowOff>158750</xdr:rowOff>
    </xdr:to>
    <xdr:cxnSp macro="">
      <xdr:nvCxnSpPr>
        <xdr:cNvPr id="5" name="Connecteur droit avec flèche 4">
          <a:extLst>
            <a:ext uri="{FF2B5EF4-FFF2-40B4-BE49-F238E27FC236}">
              <a16:creationId xmlns:a16="http://schemas.microsoft.com/office/drawing/2014/main" id="{00000000-0008-0000-2B00-000005000000}"/>
            </a:ext>
          </a:extLst>
        </xdr:cNvPr>
        <xdr:cNvCxnSpPr/>
      </xdr:nvCxnSpPr>
      <xdr:spPr>
        <a:xfrm>
          <a:off x="18168056" y="4186296"/>
          <a:ext cx="956615" cy="45273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104937</xdr:colOff>
      <xdr:row>9</xdr:row>
      <xdr:rowOff>31750</xdr:rowOff>
    </xdr:from>
    <xdr:to>
      <xdr:col>16</xdr:col>
      <xdr:colOff>10583</xdr:colOff>
      <xdr:row>13</xdr:row>
      <xdr:rowOff>0</xdr:rowOff>
    </xdr:to>
    <xdr:cxnSp macro="">
      <xdr:nvCxnSpPr>
        <xdr:cNvPr id="15" name="Connecteur droit avec flèche 14">
          <a:extLst>
            <a:ext uri="{FF2B5EF4-FFF2-40B4-BE49-F238E27FC236}">
              <a16:creationId xmlns:a16="http://schemas.microsoft.com/office/drawing/2014/main" id="{00000000-0008-0000-2B00-00000F000000}"/>
            </a:ext>
          </a:extLst>
        </xdr:cNvPr>
        <xdr:cNvCxnSpPr>
          <a:cxnSpLocks/>
        </xdr:cNvCxnSpPr>
      </xdr:nvCxnSpPr>
      <xdr:spPr>
        <a:xfrm flipV="1">
          <a:off x="11801314" y="3325140"/>
          <a:ext cx="955011" cy="775453"/>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88792</xdr:colOff>
      <xdr:row>15</xdr:row>
      <xdr:rowOff>84666</xdr:rowOff>
    </xdr:from>
    <xdr:to>
      <xdr:col>15</xdr:col>
      <xdr:colOff>1037167</xdr:colOff>
      <xdr:row>20</xdr:row>
      <xdr:rowOff>0</xdr:rowOff>
    </xdr:to>
    <xdr:cxnSp macro="">
      <xdr:nvCxnSpPr>
        <xdr:cNvPr id="19" name="Connecteur droit avec flèche 18">
          <a:extLst>
            <a:ext uri="{FF2B5EF4-FFF2-40B4-BE49-F238E27FC236}">
              <a16:creationId xmlns:a16="http://schemas.microsoft.com/office/drawing/2014/main" id="{00000000-0008-0000-2B00-000013000000}"/>
            </a:ext>
          </a:extLst>
        </xdr:cNvPr>
        <xdr:cNvCxnSpPr>
          <a:cxnSpLocks/>
        </xdr:cNvCxnSpPr>
      </xdr:nvCxnSpPr>
      <xdr:spPr>
        <a:xfrm flipV="1">
          <a:off x="11785169" y="4588861"/>
          <a:ext cx="948375" cy="92433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80720</xdr:colOff>
      <xdr:row>13</xdr:row>
      <xdr:rowOff>31750</xdr:rowOff>
    </xdr:from>
    <xdr:to>
      <xdr:col>16</xdr:col>
      <xdr:colOff>0</xdr:colOff>
      <xdr:row>26</xdr:row>
      <xdr:rowOff>185657</xdr:rowOff>
    </xdr:to>
    <xdr:cxnSp macro="">
      <xdr:nvCxnSpPr>
        <xdr:cNvPr id="20" name="Connecteur droit avec flèche 19">
          <a:extLst>
            <a:ext uri="{FF2B5EF4-FFF2-40B4-BE49-F238E27FC236}">
              <a16:creationId xmlns:a16="http://schemas.microsoft.com/office/drawing/2014/main" id="{00000000-0008-0000-2B00-000014000000}"/>
            </a:ext>
          </a:extLst>
        </xdr:cNvPr>
        <xdr:cNvCxnSpPr>
          <a:cxnSpLocks/>
        </xdr:cNvCxnSpPr>
      </xdr:nvCxnSpPr>
      <xdr:spPr>
        <a:xfrm flipV="1">
          <a:off x="11777097" y="4132343"/>
          <a:ext cx="968645" cy="277731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84667</xdr:colOff>
      <xdr:row>20</xdr:row>
      <xdr:rowOff>42334</xdr:rowOff>
    </xdr:from>
    <xdr:to>
      <xdr:col>21</xdr:col>
      <xdr:colOff>1037167</xdr:colOff>
      <xdr:row>20</xdr:row>
      <xdr:rowOff>158750</xdr:rowOff>
    </xdr:to>
    <xdr:cxnSp macro="">
      <xdr:nvCxnSpPr>
        <xdr:cNvPr id="23" name="Connecteur droit avec flèche 22">
          <a:extLst>
            <a:ext uri="{FF2B5EF4-FFF2-40B4-BE49-F238E27FC236}">
              <a16:creationId xmlns:a16="http://schemas.microsoft.com/office/drawing/2014/main" id="{00000000-0008-0000-2B00-000017000000}"/>
            </a:ext>
          </a:extLst>
        </xdr:cNvPr>
        <xdr:cNvCxnSpPr/>
      </xdr:nvCxnSpPr>
      <xdr:spPr>
        <a:xfrm>
          <a:off x="14372167" y="5545667"/>
          <a:ext cx="952500" cy="116416"/>
        </a:xfrm>
        <a:prstGeom prst="straightConnector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10</xdr:col>
      <xdr:colOff>176893</xdr:colOff>
      <xdr:row>0</xdr:row>
      <xdr:rowOff>217714</xdr:rowOff>
    </xdr:from>
    <xdr:to>
      <xdr:col>12</xdr:col>
      <xdr:colOff>1224644</xdr:colOff>
      <xdr:row>2</xdr:row>
      <xdr:rowOff>2268</xdr:rowOff>
    </xdr:to>
    <xdr:pic>
      <xdr:nvPicPr>
        <xdr:cNvPr id="24" name="Image 23">
          <a:extLst>
            <a:ext uri="{FF2B5EF4-FFF2-40B4-BE49-F238E27FC236}">
              <a16:creationId xmlns:a16="http://schemas.microsoft.com/office/drawing/2014/main" id="{00000000-0008-0000-2B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893" y="217714"/>
          <a:ext cx="1895475" cy="1127579"/>
        </a:xfrm>
        <a:prstGeom prst="rect">
          <a:avLst/>
        </a:prstGeom>
      </xdr:spPr>
    </xdr:pic>
    <xdr:clientData/>
  </xdr:twoCellAnchor>
  <xdr:twoCellAnchor editAs="oneCell">
    <xdr:from>
      <xdr:col>35</xdr:col>
      <xdr:colOff>1243854</xdr:colOff>
      <xdr:row>2</xdr:row>
      <xdr:rowOff>338577</xdr:rowOff>
    </xdr:from>
    <xdr:to>
      <xdr:col>35</xdr:col>
      <xdr:colOff>2372393</xdr:colOff>
      <xdr:row>4</xdr:row>
      <xdr:rowOff>164224</xdr:rowOff>
    </xdr:to>
    <xdr:pic>
      <xdr:nvPicPr>
        <xdr:cNvPr id="25" name="Image 24">
          <a:extLst>
            <a:ext uri="{FF2B5EF4-FFF2-40B4-BE49-F238E27FC236}">
              <a16:creationId xmlns:a16="http://schemas.microsoft.com/office/drawing/2014/main" id="{00000000-0008-0000-2B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44475" y="1823163"/>
          <a:ext cx="1128539" cy="627061"/>
        </a:xfrm>
        <a:prstGeom prst="rect">
          <a:avLst/>
        </a:prstGeom>
      </xdr:spPr>
    </xdr:pic>
    <xdr:clientData/>
  </xdr:twoCellAnchor>
  <xdr:twoCellAnchor>
    <xdr:from>
      <xdr:col>32</xdr:col>
      <xdr:colOff>0</xdr:colOff>
      <xdr:row>14</xdr:row>
      <xdr:rowOff>0</xdr:rowOff>
    </xdr:from>
    <xdr:to>
      <xdr:col>33</xdr:col>
      <xdr:colOff>1905000</xdr:colOff>
      <xdr:row>17</xdr:row>
      <xdr:rowOff>165048</xdr:rowOff>
    </xdr:to>
    <xdr:sp macro="[0]!JMK_Trans_FDUEL1" textlink="">
      <xdr:nvSpPr>
        <xdr:cNvPr id="29" name="Rectangle à coins arrondis 28">
          <a:extLst>
            <a:ext uri="{FF2B5EF4-FFF2-40B4-BE49-F238E27FC236}">
              <a16:creationId xmlns:a16="http://schemas.microsoft.com/office/drawing/2014/main" id="{00000000-0008-0000-2B00-00001D000000}"/>
            </a:ext>
          </a:extLst>
        </xdr:cNvPr>
        <xdr:cNvSpPr/>
      </xdr:nvSpPr>
      <xdr:spPr bwMode="auto">
        <a:xfrm>
          <a:off x="21660971" y="4314265"/>
          <a:ext cx="1905000" cy="7701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1</a:t>
          </a:r>
          <a:r>
            <a:rPr lang="fr-FR" sz="1600"/>
            <a:t> </a:t>
          </a:r>
        </a:p>
      </xdr:txBody>
    </xdr:sp>
    <xdr:clientData fPrintsWithSheet="0"/>
  </xdr:twoCellAnchor>
  <xdr:twoCellAnchor>
    <xdr:from>
      <xdr:col>33</xdr:col>
      <xdr:colOff>2351314</xdr:colOff>
      <xdr:row>14</xdr:row>
      <xdr:rowOff>0</xdr:rowOff>
    </xdr:from>
    <xdr:to>
      <xdr:col>34</xdr:col>
      <xdr:colOff>1051432</xdr:colOff>
      <xdr:row>17</xdr:row>
      <xdr:rowOff>165048</xdr:rowOff>
    </xdr:to>
    <xdr:sp macro="[0]!JMK_Trans_FDUEL2" textlink="">
      <xdr:nvSpPr>
        <xdr:cNvPr id="30" name="Rectangle à coins arrondis 29">
          <a:extLst>
            <a:ext uri="{FF2B5EF4-FFF2-40B4-BE49-F238E27FC236}">
              <a16:creationId xmlns:a16="http://schemas.microsoft.com/office/drawing/2014/main" id="{00000000-0008-0000-2B00-00001E000000}"/>
            </a:ext>
          </a:extLst>
        </xdr:cNvPr>
        <xdr:cNvSpPr/>
      </xdr:nvSpPr>
      <xdr:spPr bwMode="auto">
        <a:xfrm>
          <a:off x="24012285" y="4314265"/>
          <a:ext cx="1905000" cy="7701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2</a:t>
          </a:r>
          <a:r>
            <a:rPr lang="fr-FR" sz="1600"/>
            <a:t> </a:t>
          </a:r>
        </a:p>
      </xdr:txBody>
    </xdr:sp>
    <xdr:clientData fPrintsWithSheet="0"/>
  </xdr:twoCellAnchor>
  <xdr:twoCellAnchor>
    <xdr:from>
      <xdr:col>34</xdr:col>
      <xdr:colOff>1497747</xdr:colOff>
      <xdr:row>14</xdr:row>
      <xdr:rowOff>0</xdr:rowOff>
    </xdr:from>
    <xdr:to>
      <xdr:col>35</xdr:col>
      <xdr:colOff>948659</xdr:colOff>
      <xdr:row>17</xdr:row>
      <xdr:rowOff>165048</xdr:rowOff>
    </xdr:to>
    <xdr:sp macro="[0]!JMK_Trans_FDUEL3" textlink="">
      <xdr:nvSpPr>
        <xdr:cNvPr id="31" name="Rectangle à coins arrondis 30">
          <a:extLst>
            <a:ext uri="{FF2B5EF4-FFF2-40B4-BE49-F238E27FC236}">
              <a16:creationId xmlns:a16="http://schemas.microsoft.com/office/drawing/2014/main" id="{00000000-0008-0000-2B00-00001F000000}"/>
            </a:ext>
          </a:extLst>
        </xdr:cNvPr>
        <xdr:cNvSpPr/>
      </xdr:nvSpPr>
      <xdr:spPr bwMode="auto">
        <a:xfrm>
          <a:off x="26363600" y="4314265"/>
          <a:ext cx="1905000" cy="7701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3</a:t>
          </a:r>
          <a:r>
            <a:rPr lang="fr-FR" sz="1600"/>
            <a:t> </a:t>
          </a:r>
        </a:p>
      </xdr:txBody>
    </xdr:sp>
    <xdr:clientData fPrintsWithSheet="0"/>
  </xdr:twoCellAnchor>
  <xdr:twoCellAnchor>
    <xdr:from>
      <xdr:col>33</xdr:col>
      <xdr:colOff>2229756</xdr:colOff>
      <xdr:row>19</xdr:row>
      <xdr:rowOff>22891</xdr:rowOff>
    </xdr:from>
    <xdr:to>
      <xdr:col>34</xdr:col>
      <xdr:colOff>926699</xdr:colOff>
      <xdr:row>25</xdr:row>
      <xdr:rowOff>101706</xdr:rowOff>
    </xdr:to>
    <xdr:sp macro="[0]!JMK_ZI_Résultat_Final" textlink="">
      <xdr:nvSpPr>
        <xdr:cNvPr id="32" name="Rectangle à coins arrondis 31">
          <a:extLst>
            <a:ext uri="{FF2B5EF4-FFF2-40B4-BE49-F238E27FC236}">
              <a16:creationId xmlns:a16="http://schemas.microsoft.com/office/drawing/2014/main" id="{00000000-0008-0000-2B00-000020000000}"/>
            </a:ext>
          </a:extLst>
        </xdr:cNvPr>
        <xdr:cNvSpPr/>
      </xdr:nvSpPr>
      <xdr:spPr bwMode="auto">
        <a:xfrm>
          <a:off x="23890727" y="5345685"/>
          <a:ext cx="1901825" cy="1289050"/>
        </a:xfrm>
        <a:prstGeom prst="roundRect">
          <a:avLst/>
        </a:prstGeom>
        <a:solidFill>
          <a:srgbClr val="00FF99"/>
        </a:solidFill>
        <a:ln w="9525" cap="flat" cmpd="sng" algn="ctr">
          <a:solidFill>
            <a:srgbClr val="400000"/>
          </a:solidFill>
          <a:prstDash val="solid"/>
          <a:round/>
          <a:headEnd type="none" w="med" len="med"/>
          <a:tailEnd type="none" w="med" len="med"/>
        </a:ln>
        <a:effectLst/>
      </xdr:spPr>
      <xdr:txBody>
        <a:bodyPr rot="0" spcFirstLastPara="0" vertOverflow="clip" horzOverflow="clip" vert="horz" wrap="square" lIns="18288" tIns="0" rIns="0" bIns="0" numCol="1" spcCol="0" rtlCol="0" fromWordArt="0" anchor="ctr" anchorCtr="0" forceAA="0" upright="1" compatLnSpc="1">
          <a:prstTxWarp prst="textNoShape">
            <a:avLst/>
          </a:prstTxWarp>
          <a:noAutofit/>
        </a:bodyPr>
        <a:lstStyle/>
        <a:p>
          <a:pPr algn="ctr"/>
          <a:r>
            <a:rPr lang="fr-FR" sz="2000"/>
            <a:t>Impression</a:t>
          </a:r>
          <a:r>
            <a:rPr lang="fr-FR" sz="2000" baseline="0"/>
            <a:t> du CLASSEMENT FINAL</a:t>
          </a:r>
          <a:endParaRPr lang="fr-FR" sz="2000"/>
        </a:p>
      </xdr:txBody>
    </xdr:sp>
    <xdr:clientData fPrintsWithSheet="0"/>
  </xdr:twoCellAnchor>
  <xdr:twoCellAnchor>
    <xdr:from>
      <xdr:col>33</xdr:col>
      <xdr:colOff>337457</xdr:colOff>
      <xdr:row>19</xdr:row>
      <xdr:rowOff>22891</xdr:rowOff>
    </xdr:from>
    <xdr:to>
      <xdr:col>33</xdr:col>
      <xdr:colOff>1655650</xdr:colOff>
      <xdr:row>23</xdr:row>
      <xdr:rowOff>39299</xdr:rowOff>
    </xdr:to>
    <xdr:sp macro="[0]!Imp_DUEL_Tableau" textlink="">
      <xdr:nvSpPr>
        <xdr:cNvPr id="33" name="Rectangle à coins arrondis 32">
          <a:extLst>
            <a:ext uri="{FF2B5EF4-FFF2-40B4-BE49-F238E27FC236}">
              <a16:creationId xmlns:a16="http://schemas.microsoft.com/office/drawing/2014/main" id="{00000000-0008-0000-2B00-000021000000}"/>
            </a:ext>
          </a:extLst>
        </xdr:cNvPr>
        <xdr:cNvSpPr/>
      </xdr:nvSpPr>
      <xdr:spPr bwMode="auto">
        <a:xfrm>
          <a:off x="21998428" y="5345685"/>
          <a:ext cx="1318193" cy="823232"/>
        </a:xfrm>
        <a:prstGeom prst="roundRect">
          <a:avLst/>
        </a:prstGeom>
        <a:solidFill>
          <a:srgbClr val="E923EE"/>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 TABLEAU des</a:t>
          </a:r>
          <a:r>
            <a:rPr lang="fr-FR" sz="1600" baseline="0"/>
            <a:t> DUELS</a:t>
          </a:r>
          <a:endParaRPr lang="fr-FR" sz="1600"/>
        </a:p>
      </xdr:txBody>
    </xdr:sp>
    <xdr:clientData/>
  </xdr:twoCellAnchor>
  <xdr:twoCellAnchor>
    <xdr:from>
      <xdr:col>24</xdr:col>
      <xdr:colOff>1030942</xdr:colOff>
      <xdr:row>0</xdr:row>
      <xdr:rowOff>268941</xdr:rowOff>
    </xdr:from>
    <xdr:to>
      <xdr:col>25</xdr:col>
      <xdr:colOff>105710</xdr:colOff>
      <xdr:row>1</xdr:row>
      <xdr:rowOff>363070</xdr:rowOff>
    </xdr:to>
    <xdr:sp macro="[0]!jmk_RETOUR_MENU" textlink="">
      <xdr:nvSpPr>
        <xdr:cNvPr id="34" name="Rectangle à coins arrondis 33">
          <a:extLst>
            <a:ext uri="{FF2B5EF4-FFF2-40B4-BE49-F238E27FC236}">
              <a16:creationId xmlns:a16="http://schemas.microsoft.com/office/drawing/2014/main" id="{00000000-0008-0000-2B00-000022000000}"/>
            </a:ext>
          </a:extLst>
        </xdr:cNvPr>
        <xdr:cNvSpPr/>
      </xdr:nvSpPr>
      <xdr:spPr bwMode="auto">
        <a:xfrm>
          <a:off x="17335501" y="268941"/>
          <a:ext cx="1517650" cy="80010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Retour aux MENUS</a:t>
          </a:r>
        </a:p>
      </xdr:txBody>
    </xdr:sp>
    <xdr:clientData fPrintsWithSheet="0"/>
  </xdr:twoCellAnchor>
  <xdr:twoCellAnchor>
    <xdr:from>
      <xdr:col>21</xdr:col>
      <xdr:colOff>84667</xdr:colOff>
      <xdr:row>22</xdr:row>
      <xdr:rowOff>137583</xdr:rowOff>
    </xdr:from>
    <xdr:to>
      <xdr:col>21</xdr:col>
      <xdr:colOff>994833</xdr:colOff>
      <xdr:row>25</xdr:row>
      <xdr:rowOff>148167</xdr:rowOff>
    </xdr:to>
    <xdr:cxnSp macro="">
      <xdr:nvCxnSpPr>
        <xdr:cNvPr id="8" name="Connecteur droit avec flèche 7">
          <a:extLst>
            <a:ext uri="{FF2B5EF4-FFF2-40B4-BE49-F238E27FC236}">
              <a16:creationId xmlns:a16="http://schemas.microsoft.com/office/drawing/2014/main" id="{00000000-0008-0000-2B00-000008000000}"/>
            </a:ext>
          </a:extLst>
        </xdr:cNvPr>
        <xdr:cNvCxnSpPr/>
      </xdr:nvCxnSpPr>
      <xdr:spPr>
        <a:xfrm flipV="1">
          <a:off x="14372167" y="6043083"/>
          <a:ext cx="910166" cy="613834"/>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80434</xdr:colOff>
      <xdr:row>25</xdr:row>
      <xdr:rowOff>200027</xdr:rowOff>
    </xdr:from>
    <xdr:to>
      <xdr:col>22</xdr:col>
      <xdr:colOff>31750</xdr:colOff>
      <xdr:row>26</xdr:row>
      <xdr:rowOff>158750</xdr:rowOff>
    </xdr:to>
    <xdr:cxnSp macro="">
      <xdr:nvCxnSpPr>
        <xdr:cNvPr id="10" name="Connecteur droit avec flèche 9">
          <a:extLst>
            <a:ext uri="{FF2B5EF4-FFF2-40B4-BE49-F238E27FC236}">
              <a16:creationId xmlns:a16="http://schemas.microsoft.com/office/drawing/2014/main" id="{00000000-0008-0000-2B00-00000A000000}"/>
            </a:ext>
          </a:extLst>
        </xdr:cNvPr>
        <xdr:cNvCxnSpPr/>
      </xdr:nvCxnSpPr>
      <xdr:spPr>
        <a:xfrm>
          <a:off x="14367934" y="6708777"/>
          <a:ext cx="1009649" cy="15980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137584</xdr:colOff>
      <xdr:row>6</xdr:row>
      <xdr:rowOff>179916</xdr:rowOff>
    </xdr:from>
    <xdr:to>
      <xdr:col>15</xdr:col>
      <xdr:colOff>1026584</xdr:colOff>
      <xdr:row>7</xdr:row>
      <xdr:rowOff>0</xdr:rowOff>
    </xdr:to>
    <xdr:cxnSp macro="">
      <xdr:nvCxnSpPr>
        <xdr:cNvPr id="13" name="Connecteur droit avec flèche 12">
          <a:extLst>
            <a:ext uri="{FF2B5EF4-FFF2-40B4-BE49-F238E27FC236}">
              <a16:creationId xmlns:a16="http://schemas.microsoft.com/office/drawing/2014/main" id="{00000000-0008-0000-2B00-00000D000000}"/>
            </a:ext>
          </a:extLst>
        </xdr:cNvPr>
        <xdr:cNvCxnSpPr/>
      </xdr:nvCxnSpPr>
      <xdr:spPr>
        <a:xfrm>
          <a:off x="8847667" y="2868083"/>
          <a:ext cx="889000" cy="21167"/>
        </a:xfrm>
        <a:prstGeom prst="straightConnector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15</xdr:col>
      <xdr:colOff>88792</xdr:colOff>
      <xdr:row>13</xdr:row>
      <xdr:rowOff>8072</xdr:rowOff>
    </xdr:from>
    <xdr:to>
      <xdr:col>16</xdr:col>
      <xdr:colOff>0</xdr:colOff>
      <xdr:row>19</xdr:row>
      <xdr:rowOff>113009</xdr:rowOff>
    </xdr:to>
    <xdr:cxnSp macro="">
      <xdr:nvCxnSpPr>
        <xdr:cNvPr id="44" name="Connecteur droit avec flèche 43">
          <a:extLst>
            <a:ext uri="{FF2B5EF4-FFF2-40B4-BE49-F238E27FC236}">
              <a16:creationId xmlns:a16="http://schemas.microsoft.com/office/drawing/2014/main" id="{00000000-0008-0000-2B00-00002C000000}"/>
            </a:ext>
          </a:extLst>
        </xdr:cNvPr>
        <xdr:cNvCxnSpPr/>
      </xdr:nvCxnSpPr>
      <xdr:spPr>
        <a:xfrm>
          <a:off x="11785169" y="4108665"/>
          <a:ext cx="960573" cy="13157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96865</xdr:colOff>
      <xdr:row>20</xdr:row>
      <xdr:rowOff>32288</xdr:rowOff>
    </xdr:from>
    <xdr:to>
      <xdr:col>16</xdr:col>
      <xdr:colOff>24216</xdr:colOff>
      <xdr:row>24</xdr:row>
      <xdr:rowOff>137224</xdr:rowOff>
    </xdr:to>
    <xdr:cxnSp macro="">
      <xdr:nvCxnSpPr>
        <xdr:cNvPr id="49" name="Connecteur droit avec flèche 48">
          <a:extLst>
            <a:ext uri="{FF2B5EF4-FFF2-40B4-BE49-F238E27FC236}">
              <a16:creationId xmlns:a16="http://schemas.microsoft.com/office/drawing/2014/main" id="{00000000-0008-0000-2B00-000031000000}"/>
            </a:ext>
          </a:extLst>
        </xdr:cNvPr>
        <xdr:cNvCxnSpPr/>
      </xdr:nvCxnSpPr>
      <xdr:spPr>
        <a:xfrm>
          <a:off x="11793242" y="5545487"/>
          <a:ext cx="976716" cy="912140"/>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72648</xdr:colOff>
      <xdr:row>26</xdr:row>
      <xdr:rowOff>137225</xdr:rowOff>
    </xdr:from>
    <xdr:to>
      <xdr:col>15</xdr:col>
      <xdr:colOff>1033220</xdr:colOff>
      <xdr:row>26</xdr:row>
      <xdr:rowOff>177585</xdr:rowOff>
    </xdr:to>
    <xdr:cxnSp macro="">
      <xdr:nvCxnSpPr>
        <xdr:cNvPr id="53" name="Connecteur droit avec flèche 52">
          <a:extLst>
            <a:ext uri="{FF2B5EF4-FFF2-40B4-BE49-F238E27FC236}">
              <a16:creationId xmlns:a16="http://schemas.microsoft.com/office/drawing/2014/main" id="{00000000-0008-0000-2B00-000035000000}"/>
            </a:ext>
          </a:extLst>
        </xdr:cNvPr>
        <xdr:cNvCxnSpPr/>
      </xdr:nvCxnSpPr>
      <xdr:spPr>
        <a:xfrm flipV="1">
          <a:off x="11769025" y="6861229"/>
          <a:ext cx="960572" cy="40360"/>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2422408</xdr:colOff>
      <xdr:row>6</xdr:row>
      <xdr:rowOff>58796</xdr:rowOff>
    </xdr:from>
    <xdr:to>
      <xdr:col>13</xdr:col>
      <xdr:colOff>650053</xdr:colOff>
      <xdr:row>7</xdr:row>
      <xdr:rowOff>129135</xdr:rowOff>
    </xdr:to>
    <xdr:sp macro="" textlink="">
      <xdr:nvSpPr>
        <xdr:cNvPr id="57" name="Rectangle à coins arrondis 25">
          <a:extLst>
            <a:ext uri="{FF2B5EF4-FFF2-40B4-BE49-F238E27FC236}">
              <a16:creationId xmlns:a16="http://schemas.microsoft.com/office/drawing/2014/main" id="{00000000-0008-0000-2B00-000039000000}"/>
            </a:ext>
          </a:extLst>
        </xdr:cNvPr>
        <xdr:cNvSpPr/>
      </xdr:nvSpPr>
      <xdr:spPr bwMode="auto">
        <a:xfrm>
          <a:off x="10618612" y="2739907"/>
          <a:ext cx="708848" cy="270247"/>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twoCellAnchor>
    <xdr:from>
      <xdr:col>24</xdr:col>
      <xdr:colOff>2422408</xdr:colOff>
      <xdr:row>26</xdr:row>
      <xdr:rowOff>58796</xdr:rowOff>
    </xdr:from>
    <xdr:to>
      <xdr:col>25</xdr:col>
      <xdr:colOff>650053</xdr:colOff>
      <xdr:row>27</xdr:row>
      <xdr:rowOff>129135</xdr:rowOff>
    </xdr:to>
    <xdr:sp macro="" textlink="">
      <xdr:nvSpPr>
        <xdr:cNvPr id="6" name="Rectangle à coins arrondis 25">
          <a:extLst>
            <a:ext uri="{FF2B5EF4-FFF2-40B4-BE49-F238E27FC236}">
              <a16:creationId xmlns:a16="http://schemas.microsoft.com/office/drawing/2014/main" id="{00000000-0008-0000-2B00-000006000000}"/>
            </a:ext>
          </a:extLst>
        </xdr:cNvPr>
        <xdr:cNvSpPr/>
      </xdr:nvSpPr>
      <xdr:spPr bwMode="auto">
        <a:xfrm>
          <a:off x="3365189" y="2751066"/>
          <a:ext cx="715808" cy="274447"/>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15</xdr:col>
      <xdr:colOff>40822</xdr:colOff>
      <xdr:row>6</xdr:row>
      <xdr:rowOff>95250</xdr:rowOff>
    </xdr:from>
    <xdr:to>
      <xdr:col>16</xdr:col>
      <xdr:colOff>0</xdr:colOff>
      <xdr:row>7</xdr:row>
      <xdr:rowOff>176893</xdr:rowOff>
    </xdr:to>
    <xdr:cxnSp macro="">
      <xdr:nvCxnSpPr>
        <xdr:cNvPr id="2" name="Connecteur droit avec flèche 1">
          <a:extLst>
            <a:ext uri="{FF2B5EF4-FFF2-40B4-BE49-F238E27FC236}">
              <a16:creationId xmlns:a16="http://schemas.microsoft.com/office/drawing/2014/main" id="{00000000-0008-0000-2C00-000002000000}"/>
            </a:ext>
          </a:extLst>
        </xdr:cNvPr>
        <xdr:cNvCxnSpPr/>
      </xdr:nvCxnSpPr>
      <xdr:spPr>
        <a:xfrm flipV="1">
          <a:off x="9489622" y="2781300"/>
          <a:ext cx="1006928" cy="28166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8</xdr:row>
      <xdr:rowOff>120650</xdr:rowOff>
    </xdr:from>
    <xdr:to>
      <xdr:col>15</xdr:col>
      <xdr:colOff>1044575</xdr:colOff>
      <xdr:row>14</xdr:row>
      <xdr:rowOff>149678</xdr:rowOff>
    </xdr:to>
    <xdr:cxnSp macro="">
      <xdr:nvCxnSpPr>
        <xdr:cNvPr id="3" name="Connecteur droit avec flèche 2">
          <a:extLst>
            <a:ext uri="{FF2B5EF4-FFF2-40B4-BE49-F238E27FC236}">
              <a16:creationId xmlns:a16="http://schemas.microsoft.com/office/drawing/2014/main" id="{00000000-0008-0000-2C00-000003000000}"/>
            </a:ext>
          </a:extLst>
        </xdr:cNvPr>
        <xdr:cNvCxnSpPr/>
      </xdr:nvCxnSpPr>
      <xdr:spPr>
        <a:xfrm flipV="1">
          <a:off x="9448800" y="3206750"/>
          <a:ext cx="1044575" cy="122917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14</xdr:row>
      <xdr:rowOff>13607</xdr:rowOff>
    </xdr:from>
    <xdr:to>
      <xdr:col>15</xdr:col>
      <xdr:colOff>1020536</xdr:colOff>
      <xdr:row>21</xdr:row>
      <xdr:rowOff>149679</xdr:rowOff>
    </xdr:to>
    <xdr:cxnSp macro="">
      <xdr:nvCxnSpPr>
        <xdr:cNvPr id="4" name="Connecteur droit avec flèche 3">
          <a:extLst>
            <a:ext uri="{FF2B5EF4-FFF2-40B4-BE49-F238E27FC236}">
              <a16:creationId xmlns:a16="http://schemas.microsoft.com/office/drawing/2014/main" id="{00000000-0008-0000-2C00-000004000000}"/>
            </a:ext>
          </a:extLst>
        </xdr:cNvPr>
        <xdr:cNvCxnSpPr/>
      </xdr:nvCxnSpPr>
      <xdr:spPr>
        <a:xfrm flipV="1">
          <a:off x="9448800" y="4299857"/>
          <a:ext cx="1020536" cy="153624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16</xdr:row>
      <xdr:rowOff>13607</xdr:rowOff>
    </xdr:from>
    <xdr:to>
      <xdr:col>16</xdr:col>
      <xdr:colOff>0</xdr:colOff>
      <xdr:row>29</xdr:row>
      <xdr:rowOff>10582</xdr:rowOff>
    </xdr:to>
    <xdr:cxnSp macro="">
      <xdr:nvCxnSpPr>
        <xdr:cNvPr id="5" name="Connecteur droit avec flèche 4">
          <a:extLst>
            <a:ext uri="{FF2B5EF4-FFF2-40B4-BE49-F238E27FC236}">
              <a16:creationId xmlns:a16="http://schemas.microsoft.com/office/drawing/2014/main" id="{00000000-0008-0000-2C00-000005000000}"/>
            </a:ext>
          </a:extLst>
        </xdr:cNvPr>
        <xdr:cNvCxnSpPr/>
      </xdr:nvCxnSpPr>
      <xdr:spPr>
        <a:xfrm flipV="1">
          <a:off x="9448800" y="4699907"/>
          <a:ext cx="1047750" cy="259730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8</xdr:row>
      <xdr:rowOff>10583</xdr:rowOff>
    </xdr:from>
    <xdr:to>
      <xdr:col>16</xdr:col>
      <xdr:colOff>16934</xdr:colOff>
      <xdr:row>20</xdr:row>
      <xdr:rowOff>146050</xdr:rowOff>
    </xdr:to>
    <xdr:cxnSp macro="">
      <xdr:nvCxnSpPr>
        <xdr:cNvPr id="6" name="Connecteur droit avec flèche 5">
          <a:extLst>
            <a:ext uri="{FF2B5EF4-FFF2-40B4-BE49-F238E27FC236}">
              <a16:creationId xmlns:a16="http://schemas.microsoft.com/office/drawing/2014/main" id="{00000000-0008-0000-2C00-000006000000}"/>
            </a:ext>
          </a:extLst>
        </xdr:cNvPr>
        <xdr:cNvCxnSpPr/>
      </xdr:nvCxnSpPr>
      <xdr:spPr>
        <a:xfrm>
          <a:off x="9465734" y="3096683"/>
          <a:ext cx="1047750" cy="25357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29634</xdr:colOff>
      <xdr:row>15</xdr:row>
      <xdr:rowOff>40216</xdr:rowOff>
    </xdr:from>
    <xdr:to>
      <xdr:col>16</xdr:col>
      <xdr:colOff>25400</xdr:colOff>
      <xdr:row>22</xdr:row>
      <xdr:rowOff>133350</xdr:rowOff>
    </xdr:to>
    <xdr:cxnSp macro="">
      <xdr:nvCxnSpPr>
        <xdr:cNvPr id="7" name="Connecteur droit avec flèche 6">
          <a:extLst>
            <a:ext uri="{FF2B5EF4-FFF2-40B4-BE49-F238E27FC236}">
              <a16:creationId xmlns:a16="http://schemas.microsoft.com/office/drawing/2014/main" id="{00000000-0008-0000-2C00-000007000000}"/>
            </a:ext>
          </a:extLst>
        </xdr:cNvPr>
        <xdr:cNvCxnSpPr/>
      </xdr:nvCxnSpPr>
      <xdr:spPr>
        <a:xfrm>
          <a:off x="9478434" y="4526491"/>
          <a:ext cx="1043516" cy="149330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22</xdr:row>
      <xdr:rowOff>27516</xdr:rowOff>
    </xdr:from>
    <xdr:to>
      <xdr:col>16</xdr:col>
      <xdr:colOff>12700</xdr:colOff>
      <xdr:row>27</xdr:row>
      <xdr:rowOff>107950</xdr:rowOff>
    </xdr:to>
    <xdr:cxnSp macro="">
      <xdr:nvCxnSpPr>
        <xdr:cNvPr id="8" name="Connecteur droit avec flèche 7">
          <a:extLst>
            <a:ext uri="{FF2B5EF4-FFF2-40B4-BE49-F238E27FC236}">
              <a16:creationId xmlns:a16="http://schemas.microsoft.com/office/drawing/2014/main" id="{00000000-0008-0000-2C00-000008000000}"/>
            </a:ext>
          </a:extLst>
        </xdr:cNvPr>
        <xdr:cNvCxnSpPr/>
      </xdr:nvCxnSpPr>
      <xdr:spPr>
        <a:xfrm>
          <a:off x="9465734" y="5913966"/>
          <a:ext cx="1043516" cy="108055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29</xdr:row>
      <xdr:rowOff>10584</xdr:rowOff>
    </xdr:from>
    <xdr:to>
      <xdr:col>15</xdr:col>
      <xdr:colOff>1044575</xdr:colOff>
      <xdr:row>29</xdr:row>
      <xdr:rowOff>133350</xdr:rowOff>
    </xdr:to>
    <xdr:cxnSp macro="">
      <xdr:nvCxnSpPr>
        <xdr:cNvPr id="9" name="Connecteur droit avec flèche 8">
          <a:extLst>
            <a:ext uri="{FF2B5EF4-FFF2-40B4-BE49-F238E27FC236}">
              <a16:creationId xmlns:a16="http://schemas.microsoft.com/office/drawing/2014/main" id="{00000000-0008-0000-2C00-000009000000}"/>
            </a:ext>
          </a:extLst>
        </xdr:cNvPr>
        <xdr:cNvCxnSpPr/>
      </xdr:nvCxnSpPr>
      <xdr:spPr>
        <a:xfrm>
          <a:off x="9465734" y="7297209"/>
          <a:ext cx="1027641" cy="12276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6</xdr:row>
      <xdr:rowOff>120651</xdr:rowOff>
    </xdr:from>
    <xdr:to>
      <xdr:col>22</xdr:col>
      <xdr:colOff>12700</xdr:colOff>
      <xdr:row>8</xdr:row>
      <xdr:rowOff>0</xdr:rowOff>
    </xdr:to>
    <xdr:cxnSp macro="">
      <xdr:nvCxnSpPr>
        <xdr:cNvPr id="10" name="Connecteur droit avec flèche 9">
          <a:extLst>
            <a:ext uri="{FF2B5EF4-FFF2-40B4-BE49-F238E27FC236}">
              <a16:creationId xmlns:a16="http://schemas.microsoft.com/office/drawing/2014/main" id="{00000000-0008-0000-2C00-00000A000000}"/>
            </a:ext>
          </a:extLst>
        </xdr:cNvPr>
        <xdr:cNvCxnSpPr/>
      </xdr:nvCxnSpPr>
      <xdr:spPr>
        <a:xfrm flipV="1">
          <a:off x="15061747" y="28067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8</xdr:row>
      <xdr:rowOff>120650</xdr:rowOff>
    </xdr:from>
    <xdr:to>
      <xdr:col>22</xdr:col>
      <xdr:colOff>12700</xdr:colOff>
      <xdr:row>15</xdr:row>
      <xdr:rowOff>2116</xdr:rowOff>
    </xdr:to>
    <xdr:cxnSp macro="">
      <xdr:nvCxnSpPr>
        <xdr:cNvPr id="11" name="Connecteur droit avec flèche 10">
          <a:extLst>
            <a:ext uri="{FF2B5EF4-FFF2-40B4-BE49-F238E27FC236}">
              <a16:creationId xmlns:a16="http://schemas.microsoft.com/office/drawing/2014/main" id="{00000000-0008-0000-2C00-00000B000000}"/>
            </a:ext>
          </a:extLst>
        </xdr:cNvPr>
        <xdr:cNvCxnSpPr/>
      </xdr:nvCxnSpPr>
      <xdr:spPr>
        <a:xfrm flipV="1">
          <a:off x="15037858" y="32067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8</xdr:row>
      <xdr:rowOff>13607</xdr:rowOff>
    </xdr:from>
    <xdr:to>
      <xdr:col>21</xdr:col>
      <xdr:colOff>1060450</xdr:colOff>
      <xdr:row>13</xdr:row>
      <xdr:rowOff>103724</xdr:rowOff>
    </xdr:to>
    <xdr:cxnSp macro="">
      <xdr:nvCxnSpPr>
        <xdr:cNvPr id="12" name="Connecteur droit avec flèche 11">
          <a:extLst>
            <a:ext uri="{FF2B5EF4-FFF2-40B4-BE49-F238E27FC236}">
              <a16:creationId xmlns:a16="http://schemas.microsoft.com/office/drawing/2014/main" id="{00000000-0008-0000-2C00-00000C000000}"/>
            </a:ext>
          </a:extLst>
        </xdr:cNvPr>
        <xdr:cNvCxnSpPr/>
      </xdr:nvCxnSpPr>
      <xdr:spPr>
        <a:xfrm>
          <a:off x="15034533" y="30997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15</xdr:row>
      <xdr:rowOff>2123</xdr:rowOff>
    </xdr:from>
    <xdr:to>
      <xdr:col>21</xdr:col>
      <xdr:colOff>1059392</xdr:colOff>
      <xdr:row>15</xdr:row>
      <xdr:rowOff>120656</xdr:rowOff>
    </xdr:to>
    <xdr:cxnSp macro="">
      <xdr:nvCxnSpPr>
        <xdr:cNvPr id="13" name="Connecteur droit avec flèche 12">
          <a:extLst>
            <a:ext uri="{FF2B5EF4-FFF2-40B4-BE49-F238E27FC236}">
              <a16:creationId xmlns:a16="http://schemas.microsoft.com/office/drawing/2014/main" id="{00000000-0008-0000-2C00-00000D000000}"/>
            </a:ext>
          </a:extLst>
        </xdr:cNvPr>
        <xdr:cNvCxnSpPr/>
      </xdr:nvCxnSpPr>
      <xdr:spPr>
        <a:xfrm>
          <a:off x="15020925" y="44883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33867</xdr:colOff>
      <xdr:row>20</xdr:row>
      <xdr:rowOff>120650</xdr:rowOff>
    </xdr:from>
    <xdr:to>
      <xdr:col>22</xdr:col>
      <xdr:colOff>12700</xdr:colOff>
      <xdr:row>20</xdr:row>
      <xdr:rowOff>188383</xdr:rowOff>
    </xdr:to>
    <xdr:cxnSp macro="">
      <xdr:nvCxnSpPr>
        <xdr:cNvPr id="14" name="Connecteur droit avec flèche 13">
          <a:extLst>
            <a:ext uri="{FF2B5EF4-FFF2-40B4-BE49-F238E27FC236}">
              <a16:creationId xmlns:a16="http://schemas.microsoft.com/office/drawing/2014/main" id="{00000000-0008-0000-2C00-00000E000000}"/>
            </a:ext>
          </a:extLst>
        </xdr:cNvPr>
        <xdr:cNvCxnSpPr/>
      </xdr:nvCxnSpPr>
      <xdr:spPr>
        <a:xfrm flipV="1">
          <a:off x="15054792" y="5607050"/>
          <a:ext cx="1036108" cy="67733"/>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22</xdr:row>
      <xdr:rowOff>120650</xdr:rowOff>
    </xdr:from>
    <xdr:to>
      <xdr:col>22</xdr:col>
      <xdr:colOff>12700</xdr:colOff>
      <xdr:row>29</xdr:row>
      <xdr:rowOff>2116</xdr:rowOff>
    </xdr:to>
    <xdr:cxnSp macro="">
      <xdr:nvCxnSpPr>
        <xdr:cNvPr id="15" name="Connecteur droit avec flèche 14">
          <a:extLst>
            <a:ext uri="{FF2B5EF4-FFF2-40B4-BE49-F238E27FC236}">
              <a16:creationId xmlns:a16="http://schemas.microsoft.com/office/drawing/2014/main" id="{00000000-0008-0000-2C00-00000F000000}"/>
            </a:ext>
          </a:extLst>
        </xdr:cNvPr>
        <xdr:cNvCxnSpPr/>
      </xdr:nvCxnSpPr>
      <xdr:spPr>
        <a:xfrm flipV="1">
          <a:off x="15037858" y="6007100"/>
          <a:ext cx="1053042" cy="1281641"/>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20</xdr:row>
      <xdr:rowOff>188390</xdr:rowOff>
    </xdr:from>
    <xdr:to>
      <xdr:col>21</xdr:col>
      <xdr:colOff>1060450</xdr:colOff>
      <xdr:row>27</xdr:row>
      <xdr:rowOff>103724</xdr:rowOff>
    </xdr:to>
    <xdr:cxnSp macro="">
      <xdr:nvCxnSpPr>
        <xdr:cNvPr id="16" name="Connecteur droit avec flèche 15">
          <a:extLst>
            <a:ext uri="{FF2B5EF4-FFF2-40B4-BE49-F238E27FC236}">
              <a16:creationId xmlns:a16="http://schemas.microsoft.com/office/drawing/2014/main" id="{00000000-0008-0000-2C00-000010000000}"/>
            </a:ext>
          </a:extLst>
        </xdr:cNvPr>
        <xdr:cNvCxnSpPr/>
      </xdr:nvCxnSpPr>
      <xdr:spPr>
        <a:xfrm>
          <a:off x="15020925" y="5674790"/>
          <a:ext cx="1060450" cy="1315509"/>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29</xdr:row>
      <xdr:rowOff>2123</xdr:rowOff>
    </xdr:from>
    <xdr:to>
      <xdr:col>21</xdr:col>
      <xdr:colOff>1059392</xdr:colOff>
      <xdr:row>29</xdr:row>
      <xdr:rowOff>120656</xdr:rowOff>
    </xdr:to>
    <xdr:cxnSp macro="">
      <xdr:nvCxnSpPr>
        <xdr:cNvPr id="17" name="Connecteur droit avec flèche 16">
          <a:extLst>
            <a:ext uri="{FF2B5EF4-FFF2-40B4-BE49-F238E27FC236}">
              <a16:creationId xmlns:a16="http://schemas.microsoft.com/office/drawing/2014/main" id="{00000000-0008-0000-2C00-000011000000}"/>
            </a:ext>
          </a:extLst>
        </xdr:cNvPr>
        <xdr:cNvCxnSpPr/>
      </xdr:nvCxnSpPr>
      <xdr:spPr>
        <a:xfrm>
          <a:off x="15020925" y="7288748"/>
          <a:ext cx="1059392" cy="118533"/>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33</xdr:col>
      <xdr:colOff>256268</xdr:colOff>
      <xdr:row>17</xdr:row>
      <xdr:rowOff>105230</xdr:rowOff>
    </xdr:from>
    <xdr:to>
      <xdr:col>33</xdr:col>
      <xdr:colOff>2161268</xdr:colOff>
      <xdr:row>21</xdr:row>
      <xdr:rowOff>37195</xdr:rowOff>
    </xdr:to>
    <xdr:sp macro="[0]!JMK_Trans_FDUEL1" textlink="">
      <xdr:nvSpPr>
        <xdr:cNvPr id="19" name="Rectangle à coins arrondis 18">
          <a:extLst>
            <a:ext uri="{FF2B5EF4-FFF2-40B4-BE49-F238E27FC236}">
              <a16:creationId xmlns:a16="http://schemas.microsoft.com/office/drawing/2014/main" id="{00000000-0008-0000-2C00-000013000000}"/>
            </a:ext>
          </a:extLst>
        </xdr:cNvPr>
        <xdr:cNvSpPr/>
      </xdr:nvSpPr>
      <xdr:spPr bwMode="auto">
        <a:xfrm>
          <a:off x="22608268" y="5074105"/>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1</a:t>
          </a:r>
          <a:r>
            <a:rPr lang="fr-FR" sz="1600"/>
            <a:t> </a:t>
          </a:r>
        </a:p>
      </xdr:txBody>
    </xdr:sp>
    <xdr:clientData fPrintsWithSheet="0"/>
  </xdr:twoCellAnchor>
  <xdr:twoCellAnchor>
    <xdr:from>
      <xdr:col>34</xdr:col>
      <xdr:colOff>150132</xdr:colOff>
      <xdr:row>17</xdr:row>
      <xdr:rowOff>105230</xdr:rowOff>
    </xdr:from>
    <xdr:to>
      <xdr:col>34</xdr:col>
      <xdr:colOff>2055132</xdr:colOff>
      <xdr:row>21</xdr:row>
      <xdr:rowOff>37195</xdr:rowOff>
    </xdr:to>
    <xdr:sp macro="[0]!JMK_Trans_FDUEL2" textlink="">
      <xdr:nvSpPr>
        <xdr:cNvPr id="20" name="Rectangle à coins arrondis 19">
          <a:extLst>
            <a:ext uri="{FF2B5EF4-FFF2-40B4-BE49-F238E27FC236}">
              <a16:creationId xmlns:a16="http://schemas.microsoft.com/office/drawing/2014/main" id="{00000000-0008-0000-2C00-000014000000}"/>
            </a:ext>
          </a:extLst>
        </xdr:cNvPr>
        <xdr:cNvSpPr/>
      </xdr:nvSpPr>
      <xdr:spPr bwMode="auto">
        <a:xfrm>
          <a:off x="24946882" y="5074105"/>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2</a:t>
          </a:r>
          <a:r>
            <a:rPr lang="fr-FR" sz="1600"/>
            <a:t> </a:t>
          </a:r>
        </a:p>
      </xdr:txBody>
    </xdr:sp>
    <xdr:clientData fPrintsWithSheet="0"/>
  </xdr:twoCellAnchor>
  <xdr:twoCellAnchor>
    <xdr:from>
      <xdr:col>35</xdr:col>
      <xdr:colOff>43997</xdr:colOff>
      <xdr:row>17</xdr:row>
      <xdr:rowOff>105230</xdr:rowOff>
    </xdr:from>
    <xdr:to>
      <xdr:col>35</xdr:col>
      <xdr:colOff>1948997</xdr:colOff>
      <xdr:row>21</xdr:row>
      <xdr:rowOff>37195</xdr:rowOff>
    </xdr:to>
    <xdr:sp macro="[0]!JMK_Trans_FDUEL3" textlink="">
      <xdr:nvSpPr>
        <xdr:cNvPr id="21" name="Rectangle à coins arrondis 20">
          <a:extLst>
            <a:ext uri="{FF2B5EF4-FFF2-40B4-BE49-F238E27FC236}">
              <a16:creationId xmlns:a16="http://schemas.microsoft.com/office/drawing/2014/main" id="{00000000-0008-0000-2C00-000015000000}"/>
            </a:ext>
          </a:extLst>
        </xdr:cNvPr>
        <xdr:cNvSpPr/>
      </xdr:nvSpPr>
      <xdr:spPr bwMode="auto">
        <a:xfrm>
          <a:off x="27301372" y="5074105"/>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3</a:t>
          </a:r>
          <a:r>
            <a:rPr lang="fr-FR" sz="1600"/>
            <a:t> </a:t>
          </a:r>
        </a:p>
      </xdr:txBody>
    </xdr:sp>
    <xdr:clientData fPrintsWithSheet="0"/>
  </xdr:twoCellAnchor>
  <xdr:twoCellAnchor>
    <xdr:from>
      <xdr:col>34</xdr:col>
      <xdr:colOff>1682749</xdr:colOff>
      <xdr:row>24</xdr:row>
      <xdr:rowOff>15875</xdr:rowOff>
    </xdr:from>
    <xdr:to>
      <xdr:col>35</xdr:col>
      <xdr:colOff>1127124</xdr:colOff>
      <xdr:row>30</xdr:row>
      <xdr:rowOff>47625</xdr:rowOff>
    </xdr:to>
    <xdr:sp macro="[0]!JMK_ZI_Résultat_Final" textlink="">
      <xdr:nvSpPr>
        <xdr:cNvPr id="25" name="Rectangle à coins arrondis 24">
          <a:extLst>
            <a:ext uri="{FF2B5EF4-FFF2-40B4-BE49-F238E27FC236}">
              <a16:creationId xmlns:a16="http://schemas.microsoft.com/office/drawing/2014/main" id="{00000000-0008-0000-2C00-000019000000}"/>
            </a:ext>
          </a:extLst>
        </xdr:cNvPr>
        <xdr:cNvSpPr/>
      </xdr:nvSpPr>
      <xdr:spPr bwMode="auto">
        <a:xfrm>
          <a:off x="26479499" y="6429375"/>
          <a:ext cx="1905000" cy="1270000"/>
        </a:xfrm>
        <a:prstGeom prst="roundRect">
          <a:avLst/>
        </a:prstGeom>
        <a:solidFill>
          <a:srgbClr val="00FF99"/>
        </a:solidFill>
        <a:ln w="9525" cap="flat" cmpd="sng" algn="ctr">
          <a:solidFill>
            <a:srgbClr val="400000"/>
          </a:solidFill>
          <a:prstDash val="solid"/>
          <a:round/>
          <a:headEnd type="none" w="med" len="med"/>
          <a:tailEnd type="none" w="med" len="med"/>
        </a:ln>
        <a:effectLst/>
      </xdr:spPr>
      <xdr:txBody>
        <a:bodyPr rot="0" spcFirstLastPara="0" vertOverflow="clip" horzOverflow="clip" vert="horz" wrap="square" lIns="18288" tIns="0" rIns="0" bIns="0" numCol="1" spcCol="0" rtlCol="0" fromWordArt="0" anchor="ctr" anchorCtr="0" forceAA="0" upright="1" compatLnSpc="1">
          <a:prstTxWarp prst="textNoShape">
            <a:avLst/>
          </a:prstTxWarp>
          <a:noAutofit/>
        </a:bodyPr>
        <a:lstStyle/>
        <a:p>
          <a:pPr algn="ctr"/>
          <a:r>
            <a:rPr lang="fr-FR" sz="2000"/>
            <a:t>Impression</a:t>
          </a:r>
          <a:r>
            <a:rPr lang="fr-FR" sz="2000" baseline="0"/>
            <a:t> du CLASSEMENT FINAL</a:t>
          </a:r>
          <a:endParaRPr lang="fr-FR" sz="2000"/>
        </a:p>
      </xdr:txBody>
    </xdr:sp>
    <xdr:clientData fPrintsWithSheet="0"/>
  </xdr:twoCellAnchor>
  <xdr:twoCellAnchor>
    <xdr:from>
      <xdr:col>24</xdr:col>
      <xdr:colOff>635000</xdr:colOff>
      <xdr:row>0</xdr:row>
      <xdr:rowOff>301625</xdr:rowOff>
    </xdr:from>
    <xdr:to>
      <xdr:col>24</xdr:col>
      <xdr:colOff>2159000</xdr:colOff>
      <xdr:row>1</xdr:row>
      <xdr:rowOff>396875</xdr:rowOff>
    </xdr:to>
    <xdr:sp macro="[0]!jmk_RETOUR_MENU" textlink="">
      <xdr:nvSpPr>
        <xdr:cNvPr id="26" name="Rectangle à coins arrondis 25">
          <a:extLst>
            <a:ext uri="{FF2B5EF4-FFF2-40B4-BE49-F238E27FC236}">
              <a16:creationId xmlns:a16="http://schemas.microsoft.com/office/drawing/2014/main" id="{00000000-0008-0000-2C00-00001A000000}"/>
            </a:ext>
          </a:extLst>
        </xdr:cNvPr>
        <xdr:cNvSpPr/>
      </xdr:nvSpPr>
      <xdr:spPr bwMode="auto">
        <a:xfrm>
          <a:off x="17589500" y="301625"/>
          <a:ext cx="1524000" cy="79375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Retour aux MENUS</a:t>
          </a:r>
        </a:p>
      </xdr:txBody>
    </xdr:sp>
    <xdr:clientData fPrintsWithSheet="0"/>
  </xdr:twoCellAnchor>
  <xdr:twoCellAnchor editAs="oneCell">
    <xdr:from>
      <xdr:col>10</xdr:col>
      <xdr:colOff>222250</xdr:colOff>
      <xdr:row>0</xdr:row>
      <xdr:rowOff>190500</xdr:rowOff>
    </xdr:from>
    <xdr:to>
      <xdr:col>12</xdr:col>
      <xdr:colOff>1190625</xdr:colOff>
      <xdr:row>1</xdr:row>
      <xdr:rowOff>622300</xdr:rowOff>
    </xdr:to>
    <xdr:pic>
      <xdr:nvPicPr>
        <xdr:cNvPr id="27" name="Image 26">
          <a:extLst>
            <a:ext uri="{FF2B5EF4-FFF2-40B4-BE49-F238E27FC236}">
              <a16:creationId xmlns:a16="http://schemas.microsoft.com/office/drawing/2014/main" id="{00000000-0008-0000-2C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07000" y="190500"/>
          <a:ext cx="1905000" cy="1130300"/>
        </a:xfrm>
        <a:prstGeom prst="rect">
          <a:avLst/>
        </a:prstGeom>
      </xdr:spPr>
    </xdr:pic>
    <xdr:clientData/>
  </xdr:twoCellAnchor>
  <xdr:twoCellAnchor editAs="oneCell">
    <xdr:from>
      <xdr:col>35</xdr:col>
      <xdr:colOff>1444625</xdr:colOff>
      <xdr:row>2</xdr:row>
      <xdr:rowOff>412750</xdr:rowOff>
    </xdr:from>
    <xdr:to>
      <xdr:col>35</xdr:col>
      <xdr:colOff>2381250</xdr:colOff>
      <xdr:row>4</xdr:row>
      <xdr:rowOff>160417</xdr:rowOff>
    </xdr:to>
    <xdr:pic>
      <xdr:nvPicPr>
        <xdr:cNvPr id="28" name="Image 27">
          <a:extLst>
            <a:ext uri="{FF2B5EF4-FFF2-40B4-BE49-F238E27FC236}">
              <a16:creationId xmlns:a16="http://schemas.microsoft.com/office/drawing/2014/main" id="{00000000-0008-0000-2C00-00001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702000" y="1889125"/>
          <a:ext cx="936625" cy="557292"/>
        </a:xfrm>
        <a:prstGeom prst="rect">
          <a:avLst/>
        </a:prstGeom>
      </xdr:spPr>
    </xdr:pic>
    <xdr:clientData/>
  </xdr:twoCellAnchor>
  <xdr:twoCellAnchor>
    <xdr:from>
      <xdr:col>33</xdr:col>
      <xdr:colOff>531007</xdr:colOff>
      <xdr:row>22</xdr:row>
      <xdr:rowOff>190500</xdr:rowOff>
    </xdr:from>
    <xdr:to>
      <xdr:col>33</xdr:col>
      <xdr:colOff>1850120</xdr:colOff>
      <xdr:row>27</xdr:row>
      <xdr:rowOff>17517</xdr:rowOff>
    </xdr:to>
    <xdr:sp macro="[0]!Imp_DUEL_Tableau" textlink="">
      <xdr:nvSpPr>
        <xdr:cNvPr id="29" name="Rectangle à coins arrondis 28">
          <a:extLst>
            <a:ext uri="{FF2B5EF4-FFF2-40B4-BE49-F238E27FC236}">
              <a16:creationId xmlns:a16="http://schemas.microsoft.com/office/drawing/2014/main" id="{00000000-0008-0000-2C00-00001D000000}"/>
            </a:ext>
          </a:extLst>
        </xdr:cNvPr>
        <xdr:cNvSpPr/>
      </xdr:nvSpPr>
      <xdr:spPr bwMode="auto">
        <a:xfrm>
          <a:off x="22883007" y="6096000"/>
          <a:ext cx="1319113" cy="832434"/>
        </a:xfrm>
        <a:prstGeom prst="roundRect">
          <a:avLst/>
        </a:prstGeom>
        <a:solidFill>
          <a:srgbClr val="E923EE"/>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 TABLEAU des</a:t>
          </a:r>
          <a:r>
            <a:rPr lang="fr-FR" sz="1600" baseline="0"/>
            <a:t> DUELS</a:t>
          </a:r>
          <a:endParaRPr lang="fr-FR" sz="16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33</xdr:col>
      <xdr:colOff>367393</xdr:colOff>
      <xdr:row>18</xdr:row>
      <xdr:rowOff>9980</xdr:rowOff>
    </xdr:from>
    <xdr:to>
      <xdr:col>33</xdr:col>
      <xdr:colOff>2272393</xdr:colOff>
      <xdr:row>21</xdr:row>
      <xdr:rowOff>148320</xdr:rowOff>
    </xdr:to>
    <xdr:sp macro="[0]!JMK_Trans_FDUEL1" textlink="">
      <xdr:nvSpPr>
        <xdr:cNvPr id="19" name="Rectangle à coins arrondis 18">
          <a:extLst>
            <a:ext uri="{FF2B5EF4-FFF2-40B4-BE49-F238E27FC236}">
              <a16:creationId xmlns:a16="http://schemas.microsoft.com/office/drawing/2014/main" id="{00000000-0008-0000-2D00-000013000000}"/>
            </a:ext>
          </a:extLst>
        </xdr:cNvPr>
        <xdr:cNvSpPr/>
      </xdr:nvSpPr>
      <xdr:spPr bwMode="auto">
        <a:xfrm>
          <a:off x="22719393" y="5185230"/>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1</a:t>
          </a:r>
          <a:r>
            <a:rPr lang="fr-FR" sz="1600"/>
            <a:t> </a:t>
          </a:r>
        </a:p>
      </xdr:txBody>
    </xdr:sp>
    <xdr:clientData fPrintsWithSheet="0"/>
  </xdr:twoCellAnchor>
  <xdr:twoCellAnchor>
    <xdr:from>
      <xdr:col>34</xdr:col>
      <xdr:colOff>261257</xdr:colOff>
      <xdr:row>18</xdr:row>
      <xdr:rowOff>9980</xdr:rowOff>
    </xdr:from>
    <xdr:to>
      <xdr:col>34</xdr:col>
      <xdr:colOff>2166257</xdr:colOff>
      <xdr:row>21</xdr:row>
      <xdr:rowOff>148320</xdr:rowOff>
    </xdr:to>
    <xdr:sp macro="[0]!JMK_Trans_FDUEL2" textlink="">
      <xdr:nvSpPr>
        <xdr:cNvPr id="20" name="Rectangle à coins arrondis 19">
          <a:extLst>
            <a:ext uri="{FF2B5EF4-FFF2-40B4-BE49-F238E27FC236}">
              <a16:creationId xmlns:a16="http://schemas.microsoft.com/office/drawing/2014/main" id="{00000000-0008-0000-2D00-000014000000}"/>
            </a:ext>
          </a:extLst>
        </xdr:cNvPr>
        <xdr:cNvSpPr/>
      </xdr:nvSpPr>
      <xdr:spPr bwMode="auto">
        <a:xfrm>
          <a:off x="25058007" y="5185230"/>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2</a:t>
          </a:r>
          <a:r>
            <a:rPr lang="fr-FR" sz="1600"/>
            <a:t> </a:t>
          </a:r>
        </a:p>
      </xdr:txBody>
    </xdr:sp>
    <xdr:clientData fPrintsWithSheet="0"/>
  </xdr:twoCellAnchor>
  <xdr:twoCellAnchor>
    <xdr:from>
      <xdr:col>35</xdr:col>
      <xdr:colOff>155122</xdr:colOff>
      <xdr:row>18</xdr:row>
      <xdr:rowOff>9980</xdr:rowOff>
    </xdr:from>
    <xdr:to>
      <xdr:col>35</xdr:col>
      <xdr:colOff>2060122</xdr:colOff>
      <xdr:row>21</xdr:row>
      <xdr:rowOff>148320</xdr:rowOff>
    </xdr:to>
    <xdr:sp macro="[0]!JMK_Trans_FDUEL3" textlink="">
      <xdr:nvSpPr>
        <xdr:cNvPr id="21" name="Rectangle à coins arrondis 20">
          <a:extLst>
            <a:ext uri="{FF2B5EF4-FFF2-40B4-BE49-F238E27FC236}">
              <a16:creationId xmlns:a16="http://schemas.microsoft.com/office/drawing/2014/main" id="{00000000-0008-0000-2D00-000015000000}"/>
            </a:ext>
          </a:extLst>
        </xdr:cNvPr>
        <xdr:cNvSpPr/>
      </xdr:nvSpPr>
      <xdr:spPr bwMode="auto">
        <a:xfrm>
          <a:off x="27412497" y="5185230"/>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3</a:t>
          </a:r>
          <a:r>
            <a:rPr lang="fr-FR" sz="1600"/>
            <a:t> </a:t>
          </a:r>
        </a:p>
      </xdr:txBody>
    </xdr:sp>
    <xdr:clientData fPrintsWithSheet="0"/>
  </xdr:twoCellAnchor>
  <xdr:twoCellAnchor>
    <xdr:from>
      <xdr:col>34</xdr:col>
      <xdr:colOff>1746249</xdr:colOff>
      <xdr:row>24</xdr:row>
      <xdr:rowOff>174625</xdr:rowOff>
    </xdr:from>
    <xdr:to>
      <xdr:col>35</xdr:col>
      <xdr:colOff>1190624</xdr:colOff>
      <xdr:row>31</xdr:row>
      <xdr:rowOff>0</xdr:rowOff>
    </xdr:to>
    <xdr:sp macro="[0]!JMK_ZI_Résultat_Final" textlink="">
      <xdr:nvSpPr>
        <xdr:cNvPr id="25" name="Rectangle à coins arrondis 24">
          <a:extLst>
            <a:ext uri="{FF2B5EF4-FFF2-40B4-BE49-F238E27FC236}">
              <a16:creationId xmlns:a16="http://schemas.microsoft.com/office/drawing/2014/main" id="{00000000-0008-0000-2D00-000019000000}"/>
            </a:ext>
          </a:extLst>
        </xdr:cNvPr>
        <xdr:cNvSpPr/>
      </xdr:nvSpPr>
      <xdr:spPr bwMode="auto">
        <a:xfrm>
          <a:off x="26542999" y="6588125"/>
          <a:ext cx="1905000" cy="1270000"/>
        </a:xfrm>
        <a:prstGeom prst="roundRect">
          <a:avLst/>
        </a:prstGeom>
        <a:solidFill>
          <a:srgbClr val="00FF99"/>
        </a:solidFill>
        <a:ln w="9525" cap="flat" cmpd="sng" algn="ctr">
          <a:solidFill>
            <a:srgbClr val="400000"/>
          </a:solidFill>
          <a:prstDash val="solid"/>
          <a:round/>
          <a:headEnd type="none" w="med" len="med"/>
          <a:tailEnd type="none" w="med" len="med"/>
        </a:ln>
        <a:effectLst/>
      </xdr:spPr>
      <xdr:txBody>
        <a:bodyPr rot="0" spcFirstLastPara="0" vertOverflow="clip" horzOverflow="clip" vert="horz" wrap="square" lIns="18288" tIns="0" rIns="0" bIns="0" numCol="1" spcCol="0" rtlCol="0" fromWordArt="0" anchor="ctr" anchorCtr="0" forceAA="0" upright="1" compatLnSpc="1">
          <a:prstTxWarp prst="textNoShape">
            <a:avLst/>
          </a:prstTxWarp>
          <a:noAutofit/>
        </a:bodyPr>
        <a:lstStyle/>
        <a:p>
          <a:pPr algn="ctr"/>
          <a:r>
            <a:rPr lang="fr-FR" sz="2000"/>
            <a:t>Impression</a:t>
          </a:r>
          <a:r>
            <a:rPr lang="fr-FR" sz="2000" baseline="0"/>
            <a:t> du CLASSEMENT FINAL</a:t>
          </a:r>
          <a:endParaRPr lang="fr-FR" sz="2000"/>
        </a:p>
      </xdr:txBody>
    </xdr:sp>
    <xdr:clientData fPrintsWithSheet="0"/>
  </xdr:twoCellAnchor>
  <xdr:twoCellAnchor>
    <xdr:from>
      <xdr:col>24</xdr:col>
      <xdr:colOff>904875</xdr:colOff>
      <xdr:row>0</xdr:row>
      <xdr:rowOff>301625</xdr:rowOff>
    </xdr:from>
    <xdr:to>
      <xdr:col>24</xdr:col>
      <xdr:colOff>2428875</xdr:colOff>
      <xdr:row>1</xdr:row>
      <xdr:rowOff>396875</xdr:rowOff>
    </xdr:to>
    <xdr:sp macro="[0]!jmk_RETOUR_MENU" textlink="">
      <xdr:nvSpPr>
        <xdr:cNvPr id="26" name="Rectangle à coins arrondis 25">
          <a:extLst>
            <a:ext uri="{FF2B5EF4-FFF2-40B4-BE49-F238E27FC236}">
              <a16:creationId xmlns:a16="http://schemas.microsoft.com/office/drawing/2014/main" id="{00000000-0008-0000-2D00-00001A000000}"/>
            </a:ext>
          </a:extLst>
        </xdr:cNvPr>
        <xdr:cNvSpPr/>
      </xdr:nvSpPr>
      <xdr:spPr bwMode="auto">
        <a:xfrm>
          <a:off x="17859375" y="301625"/>
          <a:ext cx="1524000" cy="79375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Retour aux MENUS</a:t>
          </a:r>
        </a:p>
      </xdr:txBody>
    </xdr:sp>
    <xdr:clientData fPrintsWithSheet="0"/>
  </xdr:twoCellAnchor>
  <xdr:twoCellAnchor editAs="oneCell">
    <xdr:from>
      <xdr:col>10</xdr:col>
      <xdr:colOff>137583</xdr:colOff>
      <xdr:row>0</xdr:row>
      <xdr:rowOff>158750</xdr:rowOff>
    </xdr:from>
    <xdr:to>
      <xdr:col>12</xdr:col>
      <xdr:colOff>1090083</xdr:colOff>
      <xdr:row>1</xdr:row>
      <xdr:rowOff>579967</xdr:rowOff>
    </xdr:to>
    <xdr:pic>
      <xdr:nvPicPr>
        <xdr:cNvPr id="29" name="Image 28">
          <a:extLst>
            <a:ext uri="{FF2B5EF4-FFF2-40B4-BE49-F238E27FC236}">
              <a16:creationId xmlns:a16="http://schemas.microsoft.com/office/drawing/2014/main" id="{00000000-0008-0000-2D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76583" y="158750"/>
          <a:ext cx="1905000" cy="1130300"/>
        </a:xfrm>
        <a:prstGeom prst="rect">
          <a:avLst/>
        </a:prstGeom>
      </xdr:spPr>
    </xdr:pic>
    <xdr:clientData/>
  </xdr:twoCellAnchor>
  <xdr:twoCellAnchor editAs="oneCell">
    <xdr:from>
      <xdr:col>35</xdr:col>
      <xdr:colOff>1449916</xdr:colOff>
      <xdr:row>2</xdr:row>
      <xdr:rowOff>381001</xdr:rowOff>
    </xdr:from>
    <xdr:to>
      <xdr:col>35</xdr:col>
      <xdr:colOff>2386541</xdr:colOff>
      <xdr:row>4</xdr:row>
      <xdr:rowOff>144543</xdr:rowOff>
    </xdr:to>
    <xdr:pic>
      <xdr:nvPicPr>
        <xdr:cNvPr id="30" name="Image 29">
          <a:extLst>
            <a:ext uri="{FF2B5EF4-FFF2-40B4-BE49-F238E27FC236}">
              <a16:creationId xmlns:a16="http://schemas.microsoft.com/office/drawing/2014/main" id="{00000000-0008-0000-2D00-00001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24083" y="1873251"/>
          <a:ext cx="936625" cy="557292"/>
        </a:xfrm>
        <a:prstGeom prst="rect">
          <a:avLst/>
        </a:prstGeom>
      </xdr:spPr>
    </xdr:pic>
    <xdr:clientData/>
  </xdr:twoCellAnchor>
  <xdr:twoCellAnchor>
    <xdr:from>
      <xdr:col>33</xdr:col>
      <xdr:colOff>603250</xdr:colOff>
      <xdr:row>23</xdr:row>
      <xdr:rowOff>0</xdr:rowOff>
    </xdr:from>
    <xdr:to>
      <xdr:col>33</xdr:col>
      <xdr:colOff>1921443</xdr:colOff>
      <xdr:row>27</xdr:row>
      <xdr:rowOff>18898</xdr:rowOff>
    </xdr:to>
    <xdr:sp macro="[0]!Imp_DUEL_Tableau" textlink="">
      <xdr:nvSpPr>
        <xdr:cNvPr id="31" name="Rectangle à coins arrondis 30">
          <a:extLst>
            <a:ext uri="{FF2B5EF4-FFF2-40B4-BE49-F238E27FC236}">
              <a16:creationId xmlns:a16="http://schemas.microsoft.com/office/drawing/2014/main" id="{00000000-0008-0000-2D00-00001F000000}"/>
            </a:ext>
          </a:extLst>
        </xdr:cNvPr>
        <xdr:cNvSpPr/>
      </xdr:nvSpPr>
      <xdr:spPr bwMode="auto">
        <a:xfrm>
          <a:off x="25273000" y="6106583"/>
          <a:ext cx="1318193" cy="823232"/>
        </a:xfrm>
        <a:prstGeom prst="roundRect">
          <a:avLst/>
        </a:prstGeom>
        <a:solidFill>
          <a:srgbClr val="E923EE"/>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 TABLEAU des</a:t>
          </a:r>
          <a:r>
            <a:rPr lang="fr-FR" sz="1600" baseline="0"/>
            <a:t> DUELS</a:t>
          </a:r>
          <a:endParaRPr lang="fr-FR" sz="1600"/>
        </a:p>
      </xdr:txBody>
    </xdr:sp>
    <xdr:clientData/>
  </xdr:twoCellAnchor>
  <xdr:twoCellAnchor>
    <xdr:from>
      <xdr:col>15</xdr:col>
      <xdr:colOff>40822</xdr:colOff>
      <xdr:row>6</xdr:row>
      <xdr:rowOff>95250</xdr:rowOff>
    </xdr:from>
    <xdr:to>
      <xdr:col>16</xdr:col>
      <xdr:colOff>0</xdr:colOff>
      <xdr:row>7</xdr:row>
      <xdr:rowOff>176893</xdr:rowOff>
    </xdr:to>
    <xdr:cxnSp macro="">
      <xdr:nvCxnSpPr>
        <xdr:cNvPr id="18" name="Connecteur droit avec flèche 17">
          <a:extLst>
            <a:ext uri="{FF2B5EF4-FFF2-40B4-BE49-F238E27FC236}">
              <a16:creationId xmlns:a16="http://schemas.microsoft.com/office/drawing/2014/main" id="{00000000-0008-0000-2D00-000012000000}"/>
            </a:ext>
          </a:extLst>
        </xdr:cNvPr>
        <xdr:cNvCxnSpPr/>
      </xdr:nvCxnSpPr>
      <xdr:spPr>
        <a:xfrm flipV="1">
          <a:off x="8737147" y="2781300"/>
          <a:ext cx="1006928" cy="28166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8</xdr:row>
      <xdr:rowOff>120650</xdr:rowOff>
    </xdr:from>
    <xdr:to>
      <xdr:col>15</xdr:col>
      <xdr:colOff>1044575</xdr:colOff>
      <xdr:row>14</xdr:row>
      <xdr:rowOff>149678</xdr:rowOff>
    </xdr:to>
    <xdr:cxnSp macro="">
      <xdr:nvCxnSpPr>
        <xdr:cNvPr id="22" name="Connecteur droit avec flèche 21">
          <a:extLst>
            <a:ext uri="{FF2B5EF4-FFF2-40B4-BE49-F238E27FC236}">
              <a16:creationId xmlns:a16="http://schemas.microsoft.com/office/drawing/2014/main" id="{00000000-0008-0000-2D00-000016000000}"/>
            </a:ext>
          </a:extLst>
        </xdr:cNvPr>
        <xdr:cNvCxnSpPr/>
      </xdr:nvCxnSpPr>
      <xdr:spPr>
        <a:xfrm flipV="1">
          <a:off x="8696325" y="3206750"/>
          <a:ext cx="1044575" cy="122917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14</xdr:row>
      <xdr:rowOff>13607</xdr:rowOff>
    </xdr:from>
    <xdr:to>
      <xdr:col>15</xdr:col>
      <xdr:colOff>1020536</xdr:colOff>
      <xdr:row>21</xdr:row>
      <xdr:rowOff>149679</xdr:rowOff>
    </xdr:to>
    <xdr:cxnSp macro="">
      <xdr:nvCxnSpPr>
        <xdr:cNvPr id="23" name="Connecteur droit avec flèche 22">
          <a:extLst>
            <a:ext uri="{FF2B5EF4-FFF2-40B4-BE49-F238E27FC236}">
              <a16:creationId xmlns:a16="http://schemas.microsoft.com/office/drawing/2014/main" id="{00000000-0008-0000-2D00-000017000000}"/>
            </a:ext>
          </a:extLst>
        </xdr:cNvPr>
        <xdr:cNvCxnSpPr/>
      </xdr:nvCxnSpPr>
      <xdr:spPr>
        <a:xfrm flipV="1">
          <a:off x="8696325" y="4299857"/>
          <a:ext cx="1020536" cy="153624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16</xdr:row>
      <xdr:rowOff>13607</xdr:rowOff>
    </xdr:from>
    <xdr:to>
      <xdr:col>16</xdr:col>
      <xdr:colOff>0</xdr:colOff>
      <xdr:row>29</xdr:row>
      <xdr:rowOff>10582</xdr:rowOff>
    </xdr:to>
    <xdr:cxnSp macro="">
      <xdr:nvCxnSpPr>
        <xdr:cNvPr id="24" name="Connecteur droit avec flèche 23">
          <a:extLst>
            <a:ext uri="{FF2B5EF4-FFF2-40B4-BE49-F238E27FC236}">
              <a16:creationId xmlns:a16="http://schemas.microsoft.com/office/drawing/2014/main" id="{00000000-0008-0000-2D00-000018000000}"/>
            </a:ext>
          </a:extLst>
        </xdr:cNvPr>
        <xdr:cNvCxnSpPr/>
      </xdr:nvCxnSpPr>
      <xdr:spPr>
        <a:xfrm flipV="1">
          <a:off x="8696325" y="4699907"/>
          <a:ext cx="1047750" cy="259730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8</xdr:row>
      <xdr:rowOff>10583</xdr:rowOff>
    </xdr:from>
    <xdr:to>
      <xdr:col>16</xdr:col>
      <xdr:colOff>16934</xdr:colOff>
      <xdr:row>20</xdr:row>
      <xdr:rowOff>146050</xdr:rowOff>
    </xdr:to>
    <xdr:cxnSp macro="">
      <xdr:nvCxnSpPr>
        <xdr:cNvPr id="28" name="Connecteur droit avec flèche 27">
          <a:extLst>
            <a:ext uri="{FF2B5EF4-FFF2-40B4-BE49-F238E27FC236}">
              <a16:creationId xmlns:a16="http://schemas.microsoft.com/office/drawing/2014/main" id="{00000000-0008-0000-2D00-00001C000000}"/>
            </a:ext>
          </a:extLst>
        </xdr:cNvPr>
        <xdr:cNvCxnSpPr/>
      </xdr:nvCxnSpPr>
      <xdr:spPr>
        <a:xfrm>
          <a:off x="8713259" y="3096683"/>
          <a:ext cx="1047750" cy="25357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29634</xdr:colOff>
      <xdr:row>15</xdr:row>
      <xdr:rowOff>40216</xdr:rowOff>
    </xdr:from>
    <xdr:to>
      <xdr:col>16</xdr:col>
      <xdr:colOff>25400</xdr:colOff>
      <xdr:row>22</xdr:row>
      <xdr:rowOff>133350</xdr:rowOff>
    </xdr:to>
    <xdr:cxnSp macro="">
      <xdr:nvCxnSpPr>
        <xdr:cNvPr id="32" name="Connecteur droit avec flèche 31">
          <a:extLst>
            <a:ext uri="{FF2B5EF4-FFF2-40B4-BE49-F238E27FC236}">
              <a16:creationId xmlns:a16="http://schemas.microsoft.com/office/drawing/2014/main" id="{00000000-0008-0000-2D00-000020000000}"/>
            </a:ext>
          </a:extLst>
        </xdr:cNvPr>
        <xdr:cNvCxnSpPr/>
      </xdr:nvCxnSpPr>
      <xdr:spPr>
        <a:xfrm>
          <a:off x="8725959" y="4526491"/>
          <a:ext cx="1043516" cy="149330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22</xdr:row>
      <xdr:rowOff>27516</xdr:rowOff>
    </xdr:from>
    <xdr:to>
      <xdr:col>16</xdr:col>
      <xdr:colOff>12700</xdr:colOff>
      <xdr:row>27</xdr:row>
      <xdr:rowOff>107950</xdr:rowOff>
    </xdr:to>
    <xdr:cxnSp macro="">
      <xdr:nvCxnSpPr>
        <xdr:cNvPr id="33" name="Connecteur droit avec flèche 32">
          <a:extLst>
            <a:ext uri="{FF2B5EF4-FFF2-40B4-BE49-F238E27FC236}">
              <a16:creationId xmlns:a16="http://schemas.microsoft.com/office/drawing/2014/main" id="{00000000-0008-0000-2D00-000021000000}"/>
            </a:ext>
          </a:extLst>
        </xdr:cNvPr>
        <xdr:cNvCxnSpPr/>
      </xdr:nvCxnSpPr>
      <xdr:spPr>
        <a:xfrm>
          <a:off x="8713259" y="5913966"/>
          <a:ext cx="1043516" cy="108055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29</xdr:row>
      <xdr:rowOff>10584</xdr:rowOff>
    </xdr:from>
    <xdr:to>
      <xdr:col>15</xdr:col>
      <xdr:colOff>1044575</xdr:colOff>
      <xdr:row>29</xdr:row>
      <xdr:rowOff>133350</xdr:rowOff>
    </xdr:to>
    <xdr:cxnSp macro="">
      <xdr:nvCxnSpPr>
        <xdr:cNvPr id="34" name="Connecteur droit avec flèche 33">
          <a:extLst>
            <a:ext uri="{FF2B5EF4-FFF2-40B4-BE49-F238E27FC236}">
              <a16:creationId xmlns:a16="http://schemas.microsoft.com/office/drawing/2014/main" id="{00000000-0008-0000-2D00-000022000000}"/>
            </a:ext>
          </a:extLst>
        </xdr:cNvPr>
        <xdr:cNvCxnSpPr/>
      </xdr:nvCxnSpPr>
      <xdr:spPr>
        <a:xfrm>
          <a:off x="8713259" y="7297209"/>
          <a:ext cx="1027641" cy="12276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6</xdr:row>
      <xdr:rowOff>120651</xdr:rowOff>
    </xdr:from>
    <xdr:to>
      <xdr:col>22</xdr:col>
      <xdr:colOff>12700</xdr:colOff>
      <xdr:row>8</xdr:row>
      <xdr:rowOff>0</xdr:rowOff>
    </xdr:to>
    <xdr:cxnSp macro="">
      <xdr:nvCxnSpPr>
        <xdr:cNvPr id="35" name="Connecteur droit avec flèche 34">
          <a:extLst>
            <a:ext uri="{FF2B5EF4-FFF2-40B4-BE49-F238E27FC236}">
              <a16:creationId xmlns:a16="http://schemas.microsoft.com/office/drawing/2014/main" id="{00000000-0008-0000-2D00-000023000000}"/>
            </a:ext>
          </a:extLst>
        </xdr:cNvPr>
        <xdr:cNvCxnSpPr/>
      </xdr:nvCxnSpPr>
      <xdr:spPr>
        <a:xfrm flipV="1">
          <a:off x="14309272" y="28067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8</xdr:row>
      <xdr:rowOff>120650</xdr:rowOff>
    </xdr:from>
    <xdr:to>
      <xdr:col>22</xdr:col>
      <xdr:colOff>12700</xdr:colOff>
      <xdr:row>15</xdr:row>
      <xdr:rowOff>2116</xdr:rowOff>
    </xdr:to>
    <xdr:cxnSp macro="">
      <xdr:nvCxnSpPr>
        <xdr:cNvPr id="36" name="Connecteur droit avec flèche 35">
          <a:extLst>
            <a:ext uri="{FF2B5EF4-FFF2-40B4-BE49-F238E27FC236}">
              <a16:creationId xmlns:a16="http://schemas.microsoft.com/office/drawing/2014/main" id="{00000000-0008-0000-2D00-000024000000}"/>
            </a:ext>
          </a:extLst>
        </xdr:cNvPr>
        <xdr:cNvCxnSpPr/>
      </xdr:nvCxnSpPr>
      <xdr:spPr>
        <a:xfrm flipV="1">
          <a:off x="14285383" y="32067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8</xdr:row>
      <xdr:rowOff>13607</xdr:rowOff>
    </xdr:from>
    <xdr:to>
      <xdr:col>21</xdr:col>
      <xdr:colOff>1060450</xdr:colOff>
      <xdr:row>13</xdr:row>
      <xdr:rowOff>103724</xdr:rowOff>
    </xdr:to>
    <xdr:cxnSp macro="">
      <xdr:nvCxnSpPr>
        <xdr:cNvPr id="37" name="Connecteur droit avec flèche 36">
          <a:extLst>
            <a:ext uri="{FF2B5EF4-FFF2-40B4-BE49-F238E27FC236}">
              <a16:creationId xmlns:a16="http://schemas.microsoft.com/office/drawing/2014/main" id="{00000000-0008-0000-2D00-000025000000}"/>
            </a:ext>
          </a:extLst>
        </xdr:cNvPr>
        <xdr:cNvCxnSpPr/>
      </xdr:nvCxnSpPr>
      <xdr:spPr>
        <a:xfrm>
          <a:off x="14282058" y="30997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15</xdr:row>
      <xdr:rowOff>2123</xdr:rowOff>
    </xdr:from>
    <xdr:to>
      <xdr:col>21</xdr:col>
      <xdr:colOff>1059392</xdr:colOff>
      <xdr:row>15</xdr:row>
      <xdr:rowOff>120656</xdr:rowOff>
    </xdr:to>
    <xdr:cxnSp macro="">
      <xdr:nvCxnSpPr>
        <xdr:cNvPr id="39" name="Connecteur droit avec flèche 38">
          <a:extLst>
            <a:ext uri="{FF2B5EF4-FFF2-40B4-BE49-F238E27FC236}">
              <a16:creationId xmlns:a16="http://schemas.microsoft.com/office/drawing/2014/main" id="{00000000-0008-0000-2D00-000027000000}"/>
            </a:ext>
          </a:extLst>
        </xdr:cNvPr>
        <xdr:cNvCxnSpPr/>
      </xdr:nvCxnSpPr>
      <xdr:spPr>
        <a:xfrm>
          <a:off x="14268450" y="44883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33867</xdr:colOff>
      <xdr:row>20</xdr:row>
      <xdr:rowOff>120650</xdr:rowOff>
    </xdr:from>
    <xdr:to>
      <xdr:col>22</xdr:col>
      <xdr:colOff>12700</xdr:colOff>
      <xdr:row>20</xdr:row>
      <xdr:rowOff>188383</xdr:rowOff>
    </xdr:to>
    <xdr:cxnSp macro="">
      <xdr:nvCxnSpPr>
        <xdr:cNvPr id="40" name="Connecteur droit avec flèche 39">
          <a:extLst>
            <a:ext uri="{FF2B5EF4-FFF2-40B4-BE49-F238E27FC236}">
              <a16:creationId xmlns:a16="http://schemas.microsoft.com/office/drawing/2014/main" id="{00000000-0008-0000-2D00-000028000000}"/>
            </a:ext>
          </a:extLst>
        </xdr:cNvPr>
        <xdr:cNvCxnSpPr/>
      </xdr:nvCxnSpPr>
      <xdr:spPr>
        <a:xfrm flipV="1">
          <a:off x="14302317" y="5607050"/>
          <a:ext cx="1036108" cy="67733"/>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22</xdr:row>
      <xdr:rowOff>120650</xdr:rowOff>
    </xdr:from>
    <xdr:to>
      <xdr:col>22</xdr:col>
      <xdr:colOff>12700</xdr:colOff>
      <xdr:row>29</xdr:row>
      <xdr:rowOff>2116</xdr:rowOff>
    </xdr:to>
    <xdr:cxnSp macro="">
      <xdr:nvCxnSpPr>
        <xdr:cNvPr id="41" name="Connecteur droit avec flèche 40">
          <a:extLst>
            <a:ext uri="{FF2B5EF4-FFF2-40B4-BE49-F238E27FC236}">
              <a16:creationId xmlns:a16="http://schemas.microsoft.com/office/drawing/2014/main" id="{00000000-0008-0000-2D00-000029000000}"/>
            </a:ext>
          </a:extLst>
        </xdr:cNvPr>
        <xdr:cNvCxnSpPr/>
      </xdr:nvCxnSpPr>
      <xdr:spPr>
        <a:xfrm flipV="1">
          <a:off x="14285383" y="6007100"/>
          <a:ext cx="1053042" cy="1281641"/>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20</xdr:row>
      <xdr:rowOff>188390</xdr:rowOff>
    </xdr:from>
    <xdr:to>
      <xdr:col>21</xdr:col>
      <xdr:colOff>1060450</xdr:colOff>
      <xdr:row>27</xdr:row>
      <xdr:rowOff>103724</xdr:rowOff>
    </xdr:to>
    <xdr:cxnSp macro="">
      <xdr:nvCxnSpPr>
        <xdr:cNvPr id="42" name="Connecteur droit avec flèche 41">
          <a:extLst>
            <a:ext uri="{FF2B5EF4-FFF2-40B4-BE49-F238E27FC236}">
              <a16:creationId xmlns:a16="http://schemas.microsoft.com/office/drawing/2014/main" id="{00000000-0008-0000-2D00-00002A000000}"/>
            </a:ext>
          </a:extLst>
        </xdr:cNvPr>
        <xdr:cNvCxnSpPr/>
      </xdr:nvCxnSpPr>
      <xdr:spPr>
        <a:xfrm>
          <a:off x="14268450" y="5674790"/>
          <a:ext cx="1060450" cy="1315509"/>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29</xdr:row>
      <xdr:rowOff>2123</xdr:rowOff>
    </xdr:from>
    <xdr:to>
      <xdr:col>21</xdr:col>
      <xdr:colOff>1059392</xdr:colOff>
      <xdr:row>29</xdr:row>
      <xdr:rowOff>120656</xdr:rowOff>
    </xdr:to>
    <xdr:cxnSp macro="">
      <xdr:nvCxnSpPr>
        <xdr:cNvPr id="43" name="Connecteur droit avec flèche 42">
          <a:extLst>
            <a:ext uri="{FF2B5EF4-FFF2-40B4-BE49-F238E27FC236}">
              <a16:creationId xmlns:a16="http://schemas.microsoft.com/office/drawing/2014/main" id="{00000000-0008-0000-2D00-00002B000000}"/>
            </a:ext>
          </a:extLst>
        </xdr:cNvPr>
        <xdr:cNvCxnSpPr/>
      </xdr:nvCxnSpPr>
      <xdr:spPr>
        <a:xfrm>
          <a:off x="14268450" y="7288748"/>
          <a:ext cx="1059392" cy="118533"/>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95250</xdr:colOff>
      <xdr:row>34</xdr:row>
      <xdr:rowOff>176893</xdr:rowOff>
    </xdr:from>
    <xdr:to>
      <xdr:col>15</xdr:col>
      <xdr:colOff>984250</xdr:colOff>
      <xdr:row>34</xdr:row>
      <xdr:rowOff>196885</xdr:rowOff>
    </xdr:to>
    <xdr:cxnSp macro="">
      <xdr:nvCxnSpPr>
        <xdr:cNvPr id="44" name="Connecteur droit avec flèche 43">
          <a:extLst>
            <a:ext uri="{FF2B5EF4-FFF2-40B4-BE49-F238E27FC236}">
              <a16:creationId xmlns:a16="http://schemas.microsoft.com/office/drawing/2014/main" id="{00000000-0008-0000-2D00-00002C000000}"/>
            </a:ext>
          </a:extLst>
        </xdr:cNvPr>
        <xdr:cNvCxnSpPr/>
      </xdr:nvCxnSpPr>
      <xdr:spPr>
        <a:xfrm>
          <a:off x="8790214" y="8382000"/>
          <a:ext cx="889000" cy="19992"/>
        </a:xfrm>
        <a:prstGeom prst="straightConnector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21</xdr:col>
      <xdr:colOff>57150</xdr:colOff>
      <xdr:row>35</xdr:row>
      <xdr:rowOff>2721</xdr:rowOff>
    </xdr:from>
    <xdr:to>
      <xdr:col>21</xdr:col>
      <xdr:colOff>946150</xdr:colOff>
      <xdr:row>35</xdr:row>
      <xdr:rowOff>22713</xdr:rowOff>
    </xdr:to>
    <xdr:cxnSp macro="">
      <xdr:nvCxnSpPr>
        <xdr:cNvPr id="45" name="Connecteur droit avec flèche 44">
          <a:extLst>
            <a:ext uri="{FF2B5EF4-FFF2-40B4-BE49-F238E27FC236}">
              <a16:creationId xmlns:a16="http://schemas.microsoft.com/office/drawing/2014/main" id="{00000000-0008-0000-2D00-00002D000000}"/>
            </a:ext>
          </a:extLst>
        </xdr:cNvPr>
        <xdr:cNvCxnSpPr/>
      </xdr:nvCxnSpPr>
      <xdr:spPr>
        <a:xfrm>
          <a:off x="14358257" y="8411935"/>
          <a:ext cx="889000" cy="19992"/>
        </a:xfrm>
        <a:prstGeom prst="straightConnector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12</xdr:col>
      <xdr:colOff>2286000</xdr:colOff>
      <xdr:row>34</xdr:row>
      <xdr:rowOff>68036</xdr:rowOff>
    </xdr:from>
    <xdr:to>
      <xdr:col>13</xdr:col>
      <xdr:colOff>504741</xdr:colOff>
      <xdr:row>35</xdr:row>
      <xdr:rowOff>134176</xdr:rowOff>
    </xdr:to>
    <xdr:sp macro="" textlink="">
      <xdr:nvSpPr>
        <xdr:cNvPr id="46" name="Rectangle à coins arrondis 25">
          <a:extLst>
            <a:ext uri="{FF2B5EF4-FFF2-40B4-BE49-F238E27FC236}">
              <a16:creationId xmlns:a16="http://schemas.microsoft.com/office/drawing/2014/main" id="{00000000-0008-0000-2D00-00002E000000}"/>
            </a:ext>
          </a:extLst>
        </xdr:cNvPr>
        <xdr:cNvSpPr/>
      </xdr:nvSpPr>
      <xdr:spPr bwMode="auto">
        <a:xfrm>
          <a:off x="7456714" y="8273143"/>
          <a:ext cx="708848" cy="270247"/>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33</xdr:col>
      <xdr:colOff>351518</xdr:colOff>
      <xdr:row>18</xdr:row>
      <xdr:rowOff>25855</xdr:rowOff>
    </xdr:from>
    <xdr:to>
      <xdr:col>33</xdr:col>
      <xdr:colOff>2256518</xdr:colOff>
      <xdr:row>21</xdr:row>
      <xdr:rowOff>164195</xdr:rowOff>
    </xdr:to>
    <xdr:sp macro="[0]!JMK_Trans_FDUEL1" textlink="">
      <xdr:nvSpPr>
        <xdr:cNvPr id="22" name="Rectangle à coins arrondis 21">
          <a:extLst>
            <a:ext uri="{FF2B5EF4-FFF2-40B4-BE49-F238E27FC236}">
              <a16:creationId xmlns:a16="http://schemas.microsoft.com/office/drawing/2014/main" id="{00000000-0008-0000-2E00-000016000000}"/>
            </a:ext>
          </a:extLst>
        </xdr:cNvPr>
        <xdr:cNvSpPr/>
      </xdr:nvSpPr>
      <xdr:spPr bwMode="auto">
        <a:xfrm>
          <a:off x="22703518" y="5201105"/>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1</a:t>
          </a:r>
          <a:r>
            <a:rPr lang="fr-FR" sz="1600"/>
            <a:t> </a:t>
          </a:r>
        </a:p>
      </xdr:txBody>
    </xdr:sp>
    <xdr:clientData fPrintsWithSheet="0"/>
  </xdr:twoCellAnchor>
  <xdr:twoCellAnchor>
    <xdr:from>
      <xdr:col>34</xdr:col>
      <xdr:colOff>245382</xdr:colOff>
      <xdr:row>18</xdr:row>
      <xdr:rowOff>25855</xdr:rowOff>
    </xdr:from>
    <xdr:to>
      <xdr:col>34</xdr:col>
      <xdr:colOff>2150382</xdr:colOff>
      <xdr:row>21</xdr:row>
      <xdr:rowOff>164195</xdr:rowOff>
    </xdr:to>
    <xdr:sp macro="[0]!JMK_Trans_FDUEL2" textlink="">
      <xdr:nvSpPr>
        <xdr:cNvPr id="23" name="Rectangle à coins arrondis 22">
          <a:extLst>
            <a:ext uri="{FF2B5EF4-FFF2-40B4-BE49-F238E27FC236}">
              <a16:creationId xmlns:a16="http://schemas.microsoft.com/office/drawing/2014/main" id="{00000000-0008-0000-2E00-000017000000}"/>
            </a:ext>
          </a:extLst>
        </xdr:cNvPr>
        <xdr:cNvSpPr/>
      </xdr:nvSpPr>
      <xdr:spPr bwMode="auto">
        <a:xfrm>
          <a:off x="25042132" y="5201105"/>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2</a:t>
          </a:r>
          <a:r>
            <a:rPr lang="fr-FR" sz="1600"/>
            <a:t> </a:t>
          </a:r>
        </a:p>
      </xdr:txBody>
    </xdr:sp>
    <xdr:clientData fPrintsWithSheet="0"/>
  </xdr:twoCellAnchor>
  <xdr:twoCellAnchor>
    <xdr:from>
      <xdr:col>35</xdr:col>
      <xdr:colOff>139247</xdr:colOff>
      <xdr:row>18</xdr:row>
      <xdr:rowOff>25855</xdr:rowOff>
    </xdr:from>
    <xdr:to>
      <xdr:col>35</xdr:col>
      <xdr:colOff>2044247</xdr:colOff>
      <xdr:row>21</xdr:row>
      <xdr:rowOff>164195</xdr:rowOff>
    </xdr:to>
    <xdr:sp macro="[0]!JMK_Trans_FDUEL3" textlink="">
      <xdr:nvSpPr>
        <xdr:cNvPr id="24" name="Rectangle à coins arrondis 23">
          <a:extLst>
            <a:ext uri="{FF2B5EF4-FFF2-40B4-BE49-F238E27FC236}">
              <a16:creationId xmlns:a16="http://schemas.microsoft.com/office/drawing/2014/main" id="{00000000-0008-0000-2E00-000018000000}"/>
            </a:ext>
          </a:extLst>
        </xdr:cNvPr>
        <xdr:cNvSpPr/>
      </xdr:nvSpPr>
      <xdr:spPr bwMode="auto">
        <a:xfrm>
          <a:off x="27396622" y="5201105"/>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3</a:t>
          </a:r>
          <a:r>
            <a:rPr lang="fr-FR" sz="1600"/>
            <a:t> </a:t>
          </a:r>
        </a:p>
      </xdr:txBody>
    </xdr:sp>
    <xdr:clientData fPrintsWithSheet="0"/>
  </xdr:twoCellAnchor>
  <xdr:twoCellAnchor>
    <xdr:from>
      <xdr:col>34</xdr:col>
      <xdr:colOff>1762124</xdr:colOff>
      <xdr:row>24</xdr:row>
      <xdr:rowOff>158750</xdr:rowOff>
    </xdr:from>
    <xdr:to>
      <xdr:col>35</xdr:col>
      <xdr:colOff>1206499</xdr:colOff>
      <xdr:row>30</xdr:row>
      <xdr:rowOff>190500</xdr:rowOff>
    </xdr:to>
    <xdr:sp macro="[0]!JMK_ZI_Résultat_Final" textlink="">
      <xdr:nvSpPr>
        <xdr:cNvPr id="28" name="Rectangle à coins arrondis 27">
          <a:extLst>
            <a:ext uri="{FF2B5EF4-FFF2-40B4-BE49-F238E27FC236}">
              <a16:creationId xmlns:a16="http://schemas.microsoft.com/office/drawing/2014/main" id="{00000000-0008-0000-2E00-00001C000000}"/>
            </a:ext>
          </a:extLst>
        </xdr:cNvPr>
        <xdr:cNvSpPr/>
      </xdr:nvSpPr>
      <xdr:spPr bwMode="auto">
        <a:xfrm>
          <a:off x="26558874" y="6572250"/>
          <a:ext cx="1905000" cy="1270000"/>
        </a:xfrm>
        <a:prstGeom prst="roundRect">
          <a:avLst/>
        </a:prstGeom>
        <a:solidFill>
          <a:srgbClr val="00FF99"/>
        </a:solidFill>
        <a:ln w="9525" cap="flat" cmpd="sng" algn="ctr">
          <a:solidFill>
            <a:srgbClr val="400000"/>
          </a:solidFill>
          <a:prstDash val="solid"/>
          <a:round/>
          <a:headEnd type="none" w="med" len="med"/>
          <a:tailEnd type="none" w="med" len="med"/>
        </a:ln>
        <a:effectLst/>
      </xdr:spPr>
      <xdr:txBody>
        <a:bodyPr rot="0" spcFirstLastPara="0" vertOverflow="clip" horzOverflow="clip" vert="horz" wrap="square" lIns="18288" tIns="0" rIns="0" bIns="0" numCol="1" spcCol="0" rtlCol="0" fromWordArt="0" anchor="ctr" anchorCtr="0" forceAA="0" upright="1" compatLnSpc="1">
          <a:prstTxWarp prst="textNoShape">
            <a:avLst/>
          </a:prstTxWarp>
          <a:noAutofit/>
        </a:bodyPr>
        <a:lstStyle/>
        <a:p>
          <a:pPr algn="ctr"/>
          <a:r>
            <a:rPr lang="fr-FR" sz="2000"/>
            <a:t>Impression</a:t>
          </a:r>
          <a:r>
            <a:rPr lang="fr-FR" sz="2000" baseline="0"/>
            <a:t> du CLASSEMENT FINAL</a:t>
          </a:r>
          <a:endParaRPr lang="fr-FR" sz="2000"/>
        </a:p>
      </xdr:txBody>
    </xdr:sp>
    <xdr:clientData fPrintsWithSheet="0"/>
  </xdr:twoCellAnchor>
  <xdr:twoCellAnchor>
    <xdr:from>
      <xdr:col>24</xdr:col>
      <xdr:colOff>571500</xdr:colOff>
      <xdr:row>0</xdr:row>
      <xdr:rowOff>301625</xdr:rowOff>
    </xdr:from>
    <xdr:to>
      <xdr:col>24</xdr:col>
      <xdr:colOff>2095500</xdr:colOff>
      <xdr:row>1</xdr:row>
      <xdr:rowOff>396875</xdr:rowOff>
    </xdr:to>
    <xdr:sp macro="[0]!jmk_RETOUR_MENU" textlink="">
      <xdr:nvSpPr>
        <xdr:cNvPr id="29" name="Rectangle à coins arrondis 28">
          <a:extLst>
            <a:ext uri="{FF2B5EF4-FFF2-40B4-BE49-F238E27FC236}">
              <a16:creationId xmlns:a16="http://schemas.microsoft.com/office/drawing/2014/main" id="{00000000-0008-0000-2E00-00001D000000}"/>
            </a:ext>
          </a:extLst>
        </xdr:cNvPr>
        <xdr:cNvSpPr/>
      </xdr:nvSpPr>
      <xdr:spPr bwMode="auto">
        <a:xfrm>
          <a:off x="17526000" y="301625"/>
          <a:ext cx="1524000" cy="79375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Retour aux MENUS</a:t>
          </a:r>
        </a:p>
      </xdr:txBody>
    </xdr:sp>
    <xdr:clientData fPrintsWithSheet="0"/>
  </xdr:twoCellAnchor>
  <xdr:twoCellAnchor editAs="oneCell">
    <xdr:from>
      <xdr:col>10</xdr:col>
      <xdr:colOff>142875</xdr:colOff>
      <xdr:row>0</xdr:row>
      <xdr:rowOff>123825</xdr:rowOff>
    </xdr:from>
    <xdr:to>
      <xdr:col>12</xdr:col>
      <xdr:colOff>676275</xdr:colOff>
      <xdr:row>1</xdr:row>
      <xdr:rowOff>549275</xdr:rowOff>
    </xdr:to>
    <xdr:pic>
      <xdr:nvPicPr>
        <xdr:cNvPr id="32" name="Image 31">
          <a:extLst>
            <a:ext uri="{FF2B5EF4-FFF2-40B4-BE49-F238E27FC236}">
              <a16:creationId xmlns:a16="http://schemas.microsoft.com/office/drawing/2014/main" id="{00000000-0008-0000-2E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81875" y="123825"/>
          <a:ext cx="1905000" cy="1130300"/>
        </a:xfrm>
        <a:prstGeom prst="rect">
          <a:avLst/>
        </a:prstGeom>
      </xdr:spPr>
    </xdr:pic>
    <xdr:clientData/>
  </xdr:twoCellAnchor>
  <xdr:twoCellAnchor editAs="oneCell">
    <xdr:from>
      <xdr:col>35</xdr:col>
      <xdr:colOff>1485900</xdr:colOff>
      <xdr:row>2</xdr:row>
      <xdr:rowOff>400050</xdr:rowOff>
    </xdr:from>
    <xdr:to>
      <xdr:col>35</xdr:col>
      <xdr:colOff>2422525</xdr:colOff>
      <xdr:row>4</xdr:row>
      <xdr:rowOff>157242</xdr:rowOff>
    </xdr:to>
    <xdr:pic>
      <xdr:nvPicPr>
        <xdr:cNvPr id="33" name="Image 32">
          <a:extLst>
            <a:ext uri="{FF2B5EF4-FFF2-40B4-BE49-F238E27FC236}">
              <a16:creationId xmlns:a16="http://schemas.microsoft.com/office/drawing/2014/main" id="{00000000-0008-0000-2E00-00002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975300" y="1885950"/>
          <a:ext cx="936625" cy="557292"/>
        </a:xfrm>
        <a:prstGeom prst="rect">
          <a:avLst/>
        </a:prstGeom>
      </xdr:spPr>
    </xdr:pic>
    <xdr:clientData/>
  </xdr:twoCellAnchor>
  <xdr:twoCellAnchor>
    <xdr:from>
      <xdr:col>33</xdr:col>
      <xdr:colOff>642937</xdr:colOff>
      <xdr:row>24</xdr:row>
      <xdr:rowOff>1</xdr:rowOff>
    </xdr:from>
    <xdr:to>
      <xdr:col>33</xdr:col>
      <xdr:colOff>1961130</xdr:colOff>
      <xdr:row>28</xdr:row>
      <xdr:rowOff>13608</xdr:rowOff>
    </xdr:to>
    <xdr:sp macro="[0]!Imp_DUEL_Tableau" textlink="">
      <xdr:nvSpPr>
        <xdr:cNvPr id="34" name="Rectangle à coins arrondis 33">
          <a:extLst>
            <a:ext uri="{FF2B5EF4-FFF2-40B4-BE49-F238E27FC236}">
              <a16:creationId xmlns:a16="http://schemas.microsoft.com/office/drawing/2014/main" id="{00000000-0008-0000-2E00-000022000000}"/>
            </a:ext>
          </a:extLst>
        </xdr:cNvPr>
        <xdr:cNvSpPr/>
      </xdr:nvSpPr>
      <xdr:spPr bwMode="auto">
        <a:xfrm>
          <a:off x="25193625" y="6334126"/>
          <a:ext cx="1318193" cy="823232"/>
        </a:xfrm>
        <a:prstGeom prst="roundRect">
          <a:avLst/>
        </a:prstGeom>
        <a:solidFill>
          <a:srgbClr val="E923EE"/>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 TABLEAU des</a:t>
          </a:r>
          <a:r>
            <a:rPr lang="fr-FR" sz="1600" baseline="0"/>
            <a:t> DUELS</a:t>
          </a:r>
          <a:endParaRPr lang="fr-FR" sz="1600"/>
        </a:p>
      </xdr:txBody>
    </xdr:sp>
    <xdr:clientData/>
  </xdr:twoCellAnchor>
  <xdr:twoCellAnchor>
    <xdr:from>
      <xdr:col>15</xdr:col>
      <xdr:colOff>40822</xdr:colOff>
      <xdr:row>6</xdr:row>
      <xdr:rowOff>95250</xdr:rowOff>
    </xdr:from>
    <xdr:to>
      <xdr:col>16</xdr:col>
      <xdr:colOff>0</xdr:colOff>
      <xdr:row>7</xdr:row>
      <xdr:rowOff>176893</xdr:rowOff>
    </xdr:to>
    <xdr:cxnSp macro="">
      <xdr:nvCxnSpPr>
        <xdr:cNvPr id="5" name="Connecteur droit avec flèche 4">
          <a:extLst>
            <a:ext uri="{FF2B5EF4-FFF2-40B4-BE49-F238E27FC236}">
              <a16:creationId xmlns:a16="http://schemas.microsoft.com/office/drawing/2014/main" id="{00000000-0008-0000-2E00-000005000000}"/>
            </a:ext>
          </a:extLst>
        </xdr:cNvPr>
        <xdr:cNvCxnSpPr/>
      </xdr:nvCxnSpPr>
      <xdr:spPr>
        <a:xfrm flipV="1">
          <a:off x="8737147" y="2781300"/>
          <a:ext cx="1006928" cy="28166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8</xdr:row>
      <xdr:rowOff>120650</xdr:rowOff>
    </xdr:from>
    <xdr:to>
      <xdr:col>15</xdr:col>
      <xdr:colOff>1044575</xdr:colOff>
      <xdr:row>14</xdr:row>
      <xdr:rowOff>149678</xdr:rowOff>
    </xdr:to>
    <xdr:cxnSp macro="">
      <xdr:nvCxnSpPr>
        <xdr:cNvPr id="6" name="Connecteur droit avec flèche 5">
          <a:extLst>
            <a:ext uri="{FF2B5EF4-FFF2-40B4-BE49-F238E27FC236}">
              <a16:creationId xmlns:a16="http://schemas.microsoft.com/office/drawing/2014/main" id="{00000000-0008-0000-2E00-000006000000}"/>
            </a:ext>
          </a:extLst>
        </xdr:cNvPr>
        <xdr:cNvCxnSpPr/>
      </xdr:nvCxnSpPr>
      <xdr:spPr>
        <a:xfrm flipV="1">
          <a:off x="8696325" y="3206750"/>
          <a:ext cx="1044575" cy="122917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14</xdr:row>
      <xdr:rowOff>13607</xdr:rowOff>
    </xdr:from>
    <xdr:to>
      <xdr:col>15</xdr:col>
      <xdr:colOff>1020536</xdr:colOff>
      <xdr:row>21</xdr:row>
      <xdr:rowOff>149679</xdr:rowOff>
    </xdr:to>
    <xdr:cxnSp macro="">
      <xdr:nvCxnSpPr>
        <xdr:cNvPr id="7" name="Connecteur droit avec flèche 6">
          <a:extLst>
            <a:ext uri="{FF2B5EF4-FFF2-40B4-BE49-F238E27FC236}">
              <a16:creationId xmlns:a16="http://schemas.microsoft.com/office/drawing/2014/main" id="{00000000-0008-0000-2E00-000007000000}"/>
            </a:ext>
          </a:extLst>
        </xdr:cNvPr>
        <xdr:cNvCxnSpPr/>
      </xdr:nvCxnSpPr>
      <xdr:spPr>
        <a:xfrm flipV="1">
          <a:off x="8696325" y="4299857"/>
          <a:ext cx="1020536" cy="153624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16</xdr:row>
      <xdr:rowOff>13607</xdr:rowOff>
    </xdr:from>
    <xdr:to>
      <xdr:col>16</xdr:col>
      <xdr:colOff>0</xdr:colOff>
      <xdr:row>29</xdr:row>
      <xdr:rowOff>10582</xdr:rowOff>
    </xdr:to>
    <xdr:cxnSp macro="">
      <xdr:nvCxnSpPr>
        <xdr:cNvPr id="21" name="Connecteur droit avec flèche 20">
          <a:extLst>
            <a:ext uri="{FF2B5EF4-FFF2-40B4-BE49-F238E27FC236}">
              <a16:creationId xmlns:a16="http://schemas.microsoft.com/office/drawing/2014/main" id="{00000000-0008-0000-2E00-000015000000}"/>
            </a:ext>
          </a:extLst>
        </xdr:cNvPr>
        <xdr:cNvCxnSpPr/>
      </xdr:nvCxnSpPr>
      <xdr:spPr>
        <a:xfrm flipV="1">
          <a:off x="8696325" y="4699907"/>
          <a:ext cx="1047750" cy="259730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8</xdr:row>
      <xdr:rowOff>10583</xdr:rowOff>
    </xdr:from>
    <xdr:to>
      <xdr:col>16</xdr:col>
      <xdr:colOff>16934</xdr:colOff>
      <xdr:row>20</xdr:row>
      <xdr:rowOff>146050</xdr:rowOff>
    </xdr:to>
    <xdr:cxnSp macro="">
      <xdr:nvCxnSpPr>
        <xdr:cNvPr id="25" name="Connecteur droit avec flèche 24">
          <a:extLst>
            <a:ext uri="{FF2B5EF4-FFF2-40B4-BE49-F238E27FC236}">
              <a16:creationId xmlns:a16="http://schemas.microsoft.com/office/drawing/2014/main" id="{00000000-0008-0000-2E00-000019000000}"/>
            </a:ext>
          </a:extLst>
        </xdr:cNvPr>
        <xdr:cNvCxnSpPr/>
      </xdr:nvCxnSpPr>
      <xdr:spPr>
        <a:xfrm>
          <a:off x="8713259" y="3096683"/>
          <a:ext cx="1047750" cy="25357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29634</xdr:colOff>
      <xdr:row>15</xdr:row>
      <xdr:rowOff>40216</xdr:rowOff>
    </xdr:from>
    <xdr:to>
      <xdr:col>16</xdr:col>
      <xdr:colOff>25400</xdr:colOff>
      <xdr:row>22</xdr:row>
      <xdr:rowOff>133350</xdr:rowOff>
    </xdr:to>
    <xdr:cxnSp macro="">
      <xdr:nvCxnSpPr>
        <xdr:cNvPr id="26" name="Connecteur droit avec flèche 25">
          <a:extLst>
            <a:ext uri="{FF2B5EF4-FFF2-40B4-BE49-F238E27FC236}">
              <a16:creationId xmlns:a16="http://schemas.microsoft.com/office/drawing/2014/main" id="{00000000-0008-0000-2E00-00001A000000}"/>
            </a:ext>
          </a:extLst>
        </xdr:cNvPr>
        <xdr:cNvCxnSpPr/>
      </xdr:nvCxnSpPr>
      <xdr:spPr>
        <a:xfrm>
          <a:off x="8725959" y="4526491"/>
          <a:ext cx="1043516" cy="149330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22</xdr:row>
      <xdr:rowOff>27516</xdr:rowOff>
    </xdr:from>
    <xdr:to>
      <xdr:col>16</xdr:col>
      <xdr:colOff>12700</xdr:colOff>
      <xdr:row>27</xdr:row>
      <xdr:rowOff>107950</xdr:rowOff>
    </xdr:to>
    <xdr:cxnSp macro="">
      <xdr:nvCxnSpPr>
        <xdr:cNvPr id="27" name="Connecteur droit avec flèche 26">
          <a:extLst>
            <a:ext uri="{FF2B5EF4-FFF2-40B4-BE49-F238E27FC236}">
              <a16:creationId xmlns:a16="http://schemas.microsoft.com/office/drawing/2014/main" id="{00000000-0008-0000-2E00-00001B000000}"/>
            </a:ext>
          </a:extLst>
        </xdr:cNvPr>
        <xdr:cNvCxnSpPr/>
      </xdr:nvCxnSpPr>
      <xdr:spPr>
        <a:xfrm>
          <a:off x="8713259" y="5913966"/>
          <a:ext cx="1043516" cy="108055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29</xdr:row>
      <xdr:rowOff>10584</xdr:rowOff>
    </xdr:from>
    <xdr:to>
      <xdr:col>15</xdr:col>
      <xdr:colOff>1044575</xdr:colOff>
      <xdr:row>29</xdr:row>
      <xdr:rowOff>133350</xdr:rowOff>
    </xdr:to>
    <xdr:cxnSp macro="">
      <xdr:nvCxnSpPr>
        <xdr:cNvPr id="31" name="Connecteur droit avec flèche 30">
          <a:extLst>
            <a:ext uri="{FF2B5EF4-FFF2-40B4-BE49-F238E27FC236}">
              <a16:creationId xmlns:a16="http://schemas.microsoft.com/office/drawing/2014/main" id="{00000000-0008-0000-2E00-00001F000000}"/>
            </a:ext>
          </a:extLst>
        </xdr:cNvPr>
        <xdr:cNvCxnSpPr/>
      </xdr:nvCxnSpPr>
      <xdr:spPr>
        <a:xfrm>
          <a:off x="8713259" y="7297209"/>
          <a:ext cx="1027641" cy="12276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6</xdr:row>
      <xdr:rowOff>120651</xdr:rowOff>
    </xdr:from>
    <xdr:to>
      <xdr:col>22</xdr:col>
      <xdr:colOff>12700</xdr:colOff>
      <xdr:row>8</xdr:row>
      <xdr:rowOff>0</xdr:rowOff>
    </xdr:to>
    <xdr:cxnSp macro="">
      <xdr:nvCxnSpPr>
        <xdr:cNvPr id="35" name="Connecteur droit avec flèche 34">
          <a:extLst>
            <a:ext uri="{FF2B5EF4-FFF2-40B4-BE49-F238E27FC236}">
              <a16:creationId xmlns:a16="http://schemas.microsoft.com/office/drawing/2014/main" id="{00000000-0008-0000-2E00-000023000000}"/>
            </a:ext>
          </a:extLst>
        </xdr:cNvPr>
        <xdr:cNvCxnSpPr/>
      </xdr:nvCxnSpPr>
      <xdr:spPr>
        <a:xfrm flipV="1">
          <a:off x="14347372" y="28067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8</xdr:row>
      <xdr:rowOff>120650</xdr:rowOff>
    </xdr:from>
    <xdr:to>
      <xdr:col>22</xdr:col>
      <xdr:colOff>12700</xdr:colOff>
      <xdr:row>15</xdr:row>
      <xdr:rowOff>2116</xdr:rowOff>
    </xdr:to>
    <xdr:cxnSp macro="">
      <xdr:nvCxnSpPr>
        <xdr:cNvPr id="36" name="Connecteur droit avec flèche 35">
          <a:extLst>
            <a:ext uri="{FF2B5EF4-FFF2-40B4-BE49-F238E27FC236}">
              <a16:creationId xmlns:a16="http://schemas.microsoft.com/office/drawing/2014/main" id="{00000000-0008-0000-2E00-000024000000}"/>
            </a:ext>
          </a:extLst>
        </xdr:cNvPr>
        <xdr:cNvCxnSpPr/>
      </xdr:nvCxnSpPr>
      <xdr:spPr>
        <a:xfrm flipV="1">
          <a:off x="14323483" y="32067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8</xdr:row>
      <xdr:rowOff>13607</xdr:rowOff>
    </xdr:from>
    <xdr:to>
      <xdr:col>21</xdr:col>
      <xdr:colOff>1060450</xdr:colOff>
      <xdr:row>13</xdr:row>
      <xdr:rowOff>103724</xdr:rowOff>
    </xdr:to>
    <xdr:cxnSp macro="">
      <xdr:nvCxnSpPr>
        <xdr:cNvPr id="37" name="Connecteur droit avec flèche 36">
          <a:extLst>
            <a:ext uri="{FF2B5EF4-FFF2-40B4-BE49-F238E27FC236}">
              <a16:creationId xmlns:a16="http://schemas.microsoft.com/office/drawing/2014/main" id="{00000000-0008-0000-2E00-000025000000}"/>
            </a:ext>
          </a:extLst>
        </xdr:cNvPr>
        <xdr:cNvCxnSpPr/>
      </xdr:nvCxnSpPr>
      <xdr:spPr>
        <a:xfrm>
          <a:off x="14320158" y="30997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15</xdr:row>
      <xdr:rowOff>2123</xdr:rowOff>
    </xdr:from>
    <xdr:to>
      <xdr:col>21</xdr:col>
      <xdr:colOff>1059392</xdr:colOff>
      <xdr:row>15</xdr:row>
      <xdr:rowOff>120656</xdr:rowOff>
    </xdr:to>
    <xdr:cxnSp macro="">
      <xdr:nvCxnSpPr>
        <xdr:cNvPr id="38" name="Connecteur droit avec flèche 37">
          <a:extLst>
            <a:ext uri="{FF2B5EF4-FFF2-40B4-BE49-F238E27FC236}">
              <a16:creationId xmlns:a16="http://schemas.microsoft.com/office/drawing/2014/main" id="{00000000-0008-0000-2E00-000026000000}"/>
            </a:ext>
          </a:extLst>
        </xdr:cNvPr>
        <xdr:cNvCxnSpPr/>
      </xdr:nvCxnSpPr>
      <xdr:spPr>
        <a:xfrm>
          <a:off x="14306550" y="44883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33867</xdr:colOff>
      <xdr:row>20</xdr:row>
      <xdr:rowOff>120650</xdr:rowOff>
    </xdr:from>
    <xdr:to>
      <xdr:col>22</xdr:col>
      <xdr:colOff>12700</xdr:colOff>
      <xdr:row>20</xdr:row>
      <xdr:rowOff>188383</xdr:rowOff>
    </xdr:to>
    <xdr:cxnSp macro="">
      <xdr:nvCxnSpPr>
        <xdr:cNvPr id="39" name="Connecteur droit avec flèche 38">
          <a:extLst>
            <a:ext uri="{FF2B5EF4-FFF2-40B4-BE49-F238E27FC236}">
              <a16:creationId xmlns:a16="http://schemas.microsoft.com/office/drawing/2014/main" id="{00000000-0008-0000-2E00-000027000000}"/>
            </a:ext>
          </a:extLst>
        </xdr:cNvPr>
        <xdr:cNvCxnSpPr/>
      </xdr:nvCxnSpPr>
      <xdr:spPr>
        <a:xfrm flipV="1">
          <a:off x="14340417" y="5607050"/>
          <a:ext cx="1036108" cy="67733"/>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22</xdr:row>
      <xdr:rowOff>120650</xdr:rowOff>
    </xdr:from>
    <xdr:to>
      <xdr:col>22</xdr:col>
      <xdr:colOff>12700</xdr:colOff>
      <xdr:row>29</xdr:row>
      <xdr:rowOff>2116</xdr:rowOff>
    </xdr:to>
    <xdr:cxnSp macro="">
      <xdr:nvCxnSpPr>
        <xdr:cNvPr id="40" name="Connecteur droit avec flèche 39">
          <a:extLst>
            <a:ext uri="{FF2B5EF4-FFF2-40B4-BE49-F238E27FC236}">
              <a16:creationId xmlns:a16="http://schemas.microsoft.com/office/drawing/2014/main" id="{00000000-0008-0000-2E00-000028000000}"/>
            </a:ext>
          </a:extLst>
        </xdr:cNvPr>
        <xdr:cNvCxnSpPr/>
      </xdr:nvCxnSpPr>
      <xdr:spPr>
        <a:xfrm flipV="1">
          <a:off x="14323483" y="6007100"/>
          <a:ext cx="1053042" cy="1281641"/>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20</xdr:row>
      <xdr:rowOff>188390</xdr:rowOff>
    </xdr:from>
    <xdr:to>
      <xdr:col>21</xdr:col>
      <xdr:colOff>1060450</xdr:colOff>
      <xdr:row>27</xdr:row>
      <xdr:rowOff>103724</xdr:rowOff>
    </xdr:to>
    <xdr:cxnSp macro="">
      <xdr:nvCxnSpPr>
        <xdr:cNvPr id="41" name="Connecteur droit avec flèche 40">
          <a:extLst>
            <a:ext uri="{FF2B5EF4-FFF2-40B4-BE49-F238E27FC236}">
              <a16:creationId xmlns:a16="http://schemas.microsoft.com/office/drawing/2014/main" id="{00000000-0008-0000-2E00-000029000000}"/>
            </a:ext>
          </a:extLst>
        </xdr:cNvPr>
        <xdr:cNvCxnSpPr/>
      </xdr:nvCxnSpPr>
      <xdr:spPr>
        <a:xfrm>
          <a:off x="14306550" y="5674790"/>
          <a:ext cx="1060450" cy="1315509"/>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29</xdr:row>
      <xdr:rowOff>2123</xdr:rowOff>
    </xdr:from>
    <xdr:to>
      <xdr:col>21</xdr:col>
      <xdr:colOff>1059392</xdr:colOff>
      <xdr:row>29</xdr:row>
      <xdr:rowOff>120656</xdr:rowOff>
    </xdr:to>
    <xdr:cxnSp macro="">
      <xdr:nvCxnSpPr>
        <xdr:cNvPr id="42" name="Connecteur droit avec flèche 41">
          <a:extLst>
            <a:ext uri="{FF2B5EF4-FFF2-40B4-BE49-F238E27FC236}">
              <a16:creationId xmlns:a16="http://schemas.microsoft.com/office/drawing/2014/main" id="{00000000-0008-0000-2E00-00002A000000}"/>
            </a:ext>
          </a:extLst>
        </xdr:cNvPr>
        <xdr:cNvCxnSpPr/>
      </xdr:nvCxnSpPr>
      <xdr:spPr>
        <a:xfrm>
          <a:off x="14306550" y="7288748"/>
          <a:ext cx="1059392" cy="118533"/>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95250</xdr:colOff>
      <xdr:row>37</xdr:row>
      <xdr:rowOff>176893</xdr:rowOff>
    </xdr:from>
    <xdr:to>
      <xdr:col>15</xdr:col>
      <xdr:colOff>984250</xdr:colOff>
      <xdr:row>37</xdr:row>
      <xdr:rowOff>196885</xdr:rowOff>
    </xdr:to>
    <xdr:cxnSp macro="">
      <xdr:nvCxnSpPr>
        <xdr:cNvPr id="44" name="Connecteur droit avec flèche 43">
          <a:extLst>
            <a:ext uri="{FF2B5EF4-FFF2-40B4-BE49-F238E27FC236}">
              <a16:creationId xmlns:a16="http://schemas.microsoft.com/office/drawing/2014/main" id="{00000000-0008-0000-2E00-00002C000000}"/>
            </a:ext>
          </a:extLst>
        </xdr:cNvPr>
        <xdr:cNvCxnSpPr/>
      </xdr:nvCxnSpPr>
      <xdr:spPr>
        <a:xfrm>
          <a:off x="8791575" y="8463643"/>
          <a:ext cx="889000" cy="19992"/>
        </a:xfrm>
        <a:prstGeom prst="straightConnector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21</xdr:col>
      <xdr:colOff>57150</xdr:colOff>
      <xdr:row>38</xdr:row>
      <xdr:rowOff>2721</xdr:rowOff>
    </xdr:from>
    <xdr:to>
      <xdr:col>21</xdr:col>
      <xdr:colOff>946150</xdr:colOff>
      <xdr:row>38</xdr:row>
      <xdr:rowOff>22713</xdr:rowOff>
    </xdr:to>
    <xdr:cxnSp macro="">
      <xdr:nvCxnSpPr>
        <xdr:cNvPr id="45" name="Connecteur droit avec flèche 44">
          <a:extLst>
            <a:ext uri="{FF2B5EF4-FFF2-40B4-BE49-F238E27FC236}">
              <a16:creationId xmlns:a16="http://schemas.microsoft.com/office/drawing/2014/main" id="{00000000-0008-0000-2E00-00002D000000}"/>
            </a:ext>
          </a:extLst>
        </xdr:cNvPr>
        <xdr:cNvCxnSpPr/>
      </xdr:nvCxnSpPr>
      <xdr:spPr>
        <a:xfrm>
          <a:off x="14363700" y="8489496"/>
          <a:ext cx="889000" cy="19992"/>
        </a:xfrm>
        <a:prstGeom prst="straightConnector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15</xdr:col>
      <xdr:colOff>95250</xdr:colOff>
      <xdr:row>39</xdr:row>
      <xdr:rowOff>176893</xdr:rowOff>
    </xdr:from>
    <xdr:to>
      <xdr:col>15</xdr:col>
      <xdr:colOff>984250</xdr:colOff>
      <xdr:row>39</xdr:row>
      <xdr:rowOff>196885</xdr:rowOff>
    </xdr:to>
    <xdr:cxnSp macro="">
      <xdr:nvCxnSpPr>
        <xdr:cNvPr id="48" name="Connecteur droit avec flèche 47">
          <a:extLst>
            <a:ext uri="{FF2B5EF4-FFF2-40B4-BE49-F238E27FC236}">
              <a16:creationId xmlns:a16="http://schemas.microsoft.com/office/drawing/2014/main" id="{00000000-0008-0000-2E00-000030000000}"/>
            </a:ext>
          </a:extLst>
        </xdr:cNvPr>
        <xdr:cNvCxnSpPr/>
      </xdr:nvCxnSpPr>
      <xdr:spPr>
        <a:xfrm>
          <a:off x="8810625" y="8654143"/>
          <a:ext cx="889000" cy="19992"/>
        </a:xfrm>
        <a:prstGeom prst="straightConnector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21</xdr:col>
      <xdr:colOff>57150</xdr:colOff>
      <xdr:row>40</xdr:row>
      <xdr:rowOff>2721</xdr:rowOff>
    </xdr:from>
    <xdr:to>
      <xdr:col>21</xdr:col>
      <xdr:colOff>946150</xdr:colOff>
      <xdr:row>40</xdr:row>
      <xdr:rowOff>22713</xdr:rowOff>
    </xdr:to>
    <xdr:cxnSp macro="">
      <xdr:nvCxnSpPr>
        <xdr:cNvPr id="49" name="Connecteur droit avec flèche 48">
          <a:extLst>
            <a:ext uri="{FF2B5EF4-FFF2-40B4-BE49-F238E27FC236}">
              <a16:creationId xmlns:a16="http://schemas.microsoft.com/office/drawing/2014/main" id="{00000000-0008-0000-2E00-000031000000}"/>
            </a:ext>
          </a:extLst>
        </xdr:cNvPr>
        <xdr:cNvCxnSpPr/>
      </xdr:nvCxnSpPr>
      <xdr:spPr>
        <a:xfrm>
          <a:off x="14344650" y="8686346"/>
          <a:ext cx="889000" cy="19992"/>
        </a:xfrm>
        <a:prstGeom prst="straightConnector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46.xml><?xml version="1.0" encoding="utf-8"?>
<xdr:wsDr xmlns:xdr="http://schemas.openxmlformats.org/drawingml/2006/spreadsheetDrawing" xmlns:a="http://schemas.openxmlformats.org/drawingml/2006/main">
  <xdr:twoCellAnchor>
    <xdr:from>
      <xdr:col>33</xdr:col>
      <xdr:colOff>446768</xdr:colOff>
      <xdr:row>19</xdr:row>
      <xdr:rowOff>41730</xdr:rowOff>
    </xdr:from>
    <xdr:to>
      <xdr:col>33</xdr:col>
      <xdr:colOff>2351768</xdr:colOff>
      <xdr:row>22</xdr:row>
      <xdr:rowOff>180070</xdr:rowOff>
    </xdr:to>
    <xdr:sp macro="[0]!JMK_Trans_FDUEL1" textlink="">
      <xdr:nvSpPr>
        <xdr:cNvPr id="27" name="Rectangle à coins arrondis 26">
          <a:extLst>
            <a:ext uri="{FF2B5EF4-FFF2-40B4-BE49-F238E27FC236}">
              <a16:creationId xmlns:a16="http://schemas.microsoft.com/office/drawing/2014/main" id="{00000000-0008-0000-2F00-00001B000000}"/>
            </a:ext>
          </a:extLst>
        </xdr:cNvPr>
        <xdr:cNvSpPr/>
      </xdr:nvSpPr>
      <xdr:spPr bwMode="auto">
        <a:xfrm>
          <a:off x="22703518" y="5423355"/>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1</a:t>
          </a:r>
          <a:r>
            <a:rPr lang="fr-FR" sz="1600"/>
            <a:t> </a:t>
          </a:r>
        </a:p>
      </xdr:txBody>
    </xdr:sp>
    <xdr:clientData fPrintsWithSheet="0"/>
  </xdr:twoCellAnchor>
  <xdr:twoCellAnchor>
    <xdr:from>
      <xdr:col>34</xdr:col>
      <xdr:colOff>340632</xdr:colOff>
      <xdr:row>19</xdr:row>
      <xdr:rowOff>41730</xdr:rowOff>
    </xdr:from>
    <xdr:to>
      <xdr:col>34</xdr:col>
      <xdr:colOff>2245632</xdr:colOff>
      <xdr:row>22</xdr:row>
      <xdr:rowOff>180070</xdr:rowOff>
    </xdr:to>
    <xdr:sp macro="[0]!JMK_Trans_FDUEL2" textlink="">
      <xdr:nvSpPr>
        <xdr:cNvPr id="28" name="Rectangle à coins arrondis 27">
          <a:extLst>
            <a:ext uri="{FF2B5EF4-FFF2-40B4-BE49-F238E27FC236}">
              <a16:creationId xmlns:a16="http://schemas.microsoft.com/office/drawing/2014/main" id="{00000000-0008-0000-2F00-00001C000000}"/>
            </a:ext>
          </a:extLst>
        </xdr:cNvPr>
        <xdr:cNvSpPr/>
      </xdr:nvSpPr>
      <xdr:spPr bwMode="auto">
        <a:xfrm>
          <a:off x="25042132" y="5423355"/>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2</a:t>
          </a:r>
          <a:r>
            <a:rPr lang="fr-FR" sz="1600"/>
            <a:t> </a:t>
          </a:r>
        </a:p>
      </xdr:txBody>
    </xdr:sp>
    <xdr:clientData fPrintsWithSheet="0"/>
  </xdr:twoCellAnchor>
  <xdr:twoCellAnchor>
    <xdr:from>
      <xdr:col>35</xdr:col>
      <xdr:colOff>234497</xdr:colOff>
      <xdr:row>19</xdr:row>
      <xdr:rowOff>41730</xdr:rowOff>
    </xdr:from>
    <xdr:to>
      <xdr:col>35</xdr:col>
      <xdr:colOff>2139497</xdr:colOff>
      <xdr:row>22</xdr:row>
      <xdr:rowOff>180070</xdr:rowOff>
    </xdr:to>
    <xdr:sp macro="[0]!JMK_Trans_FDUEL3" textlink="">
      <xdr:nvSpPr>
        <xdr:cNvPr id="29" name="Rectangle à coins arrondis 28">
          <a:extLst>
            <a:ext uri="{FF2B5EF4-FFF2-40B4-BE49-F238E27FC236}">
              <a16:creationId xmlns:a16="http://schemas.microsoft.com/office/drawing/2014/main" id="{00000000-0008-0000-2F00-00001D000000}"/>
            </a:ext>
          </a:extLst>
        </xdr:cNvPr>
        <xdr:cNvSpPr/>
      </xdr:nvSpPr>
      <xdr:spPr bwMode="auto">
        <a:xfrm>
          <a:off x="27396622" y="5423355"/>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3</a:t>
          </a:r>
          <a:r>
            <a:rPr lang="fr-FR" sz="1600"/>
            <a:t> </a:t>
          </a:r>
        </a:p>
      </xdr:txBody>
    </xdr:sp>
    <xdr:clientData fPrintsWithSheet="0"/>
  </xdr:twoCellAnchor>
  <xdr:twoCellAnchor>
    <xdr:from>
      <xdr:col>34</xdr:col>
      <xdr:colOff>1793874</xdr:colOff>
      <xdr:row>25</xdr:row>
      <xdr:rowOff>190500</xdr:rowOff>
    </xdr:from>
    <xdr:to>
      <xdr:col>35</xdr:col>
      <xdr:colOff>1238249</xdr:colOff>
      <xdr:row>32</xdr:row>
      <xdr:rowOff>15875</xdr:rowOff>
    </xdr:to>
    <xdr:sp macro="[0]!JMK_ZI_Résultat_Final" textlink="">
      <xdr:nvSpPr>
        <xdr:cNvPr id="33" name="Rectangle à coins arrondis 32">
          <a:extLst>
            <a:ext uri="{FF2B5EF4-FFF2-40B4-BE49-F238E27FC236}">
              <a16:creationId xmlns:a16="http://schemas.microsoft.com/office/drawing/2014/main" id="{00000000-0008-0000-2F00-000021000000}"/>
            </a:ext>
          </a:extLst>
        </xdr:cNvPr>
        <xdr:cNvSpPr/>
      </xdr:nvSpPr>
      <xdr:spPr bwMode="auto">
        <a:xfrm>
          <a:off x="26495374" y="6810375"/>
          <a:ext cx="1905000" cy="1270000"/>
        </a:xfrm>
        <a:prstGeom prst="roundRect">
          <a:avLst/>
        </a:prstGeom>
        <a:solidFill>
          <a:srgbClr val="00FF99"/>
        </a:solidFill>
        <a:ln w="9525" cap="flat" cmpd="sng" algn="ctr">
          <a:solidFill>
            <a:srgbClr val="400000"/>
          </a:solidFill>
          <a:prstDash val="solid"/>
          <a:round/>
          <a:headEnd type="none" w="med" len="med"/>
          <a:tailEnd type="none" w="med" len="med"/>
        </a:ln>
        <a:effectLst/>
      </xdr:spPr>
      <xdr:txBody>
        <a:bodyPr rot="0" spcFirstLastPara="0" vertOverflow="clip" horzOverflow="clip" vert="horz" wrap="square" lIns="18288" tIns="0" rIns="0" bIns="0" numCol="1" spcCol="0" rtlCol="0" fromWordArt="0" anchor="ctr" anchorCtr="0" forceAA="0" upright="1" compatLnSpc="1">
          <a:prstTxWarp prst="textNoShape">
            <a:avLst/>
          </a:prstTxWarp>
          <a:noAutofit/>
        </a:bodyPr>
        <a:lstStyle/>
        <a:p>
          <a:pPr algn="ctr"/>
          <a:r>
            <a:rPr lang="fr-FR" sz="2000"/>
            <a:t>Impression</a:t>
          </a:r>
          <a:r>
            <a:rPr lang="fr-FR" sz="2000" baseline="0"/>
            <a:t> du CLASSEMENT FINAL</a:t>
          </a:r>
          <a:endParaRPr lang="fr-FR" sz="2000"/>
        </a:p>
      </xdr:txBody>
    </xdr:sp>
    <xdr:clientData fPrintsWithSheet="0"/>
  </xdr:twoCellAnchor>
  <xdr:twoCellAnchor>
    <xdr:from>
      <xdr:col>24</xdr:col>
      <xdr:colOff>873125</xdr:colOff>
      <xdr:row>0</xdr:row>
      <xdr:rowOff>269875</xdr:rowOff>
    </xdr:from>
    <xdr:to>
      <xdr:col>24</xdr:col>
      <xdr:colOff>2397125</xdr:colOff>
      <xdr:row>1</xdr:row>
      <xdr:rowOff>365125</xdr:rowOff>
    </xdr:to>
    <xdr:sp macro="[0]!jmk_RETOUR_MENU" textlink="">
      <xdr:nvSpPr>
        <xdr:cNvPr id="34" name="Rectangle à coins arrondis 33">
          <a:extLst>
            <a:ext uri="{FF2B5EF4-FFF2-40B4-BE49-F238E27FC236}">
              <a16:creationId xmlns:a16="http://schemas.microsoft.com/office/drawing/2014/main" id="{00000000-0008-0000-2F00-000022000000}"/>
            </a:ext>
          </a:extLst>
        </xdr:cNvPr>
        <xdr:cNvSpPr/>
      </xdr:nvSpPr>
      <xdr:spPr bwMode="auto">
        <a:xfrm>
          <a:off x="17732375" y="269875"/>
          <a:ext cx="1524000" cy="79375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Retour aux MENUS</a:t>
          </a:r>
        </a:p>
      </xdr:txBody>
    </xdr:sp>
    <xdr:clientData fPrintsWithSheet="0"/>
  </xdr:twoCellAnchor>
  <xdr:twoCellAnchor editAs="oneCell">
    <xdr:from>
      <xdr:col>10</xdr:col>
      <xdr:colOff>171450</xdr:colOff>
      <xdr:row>0</xdr:row>
      <xdr:rowOff>133350</xdr:rowOff>
    </xdr:from>
    <xdr:to>
      <xdr:col>12</xdr:col>
      <xdr:colOff>1133476</xdr:colOff>
      <xdr:row>1</xdr:row>
      <xdr:rowOff>558800</xdr:rowOff>
    </xdr:to>
    <xdr:pic>
      <xdr:nvPicPr>
        <xdr:cNvPr id="59" name="Image 58">
          <a:extLst>
            <a:ext uri="{FF2B5EF4-FFF2-40B4-BE49-F238E27FC236}">
              <a16:creationId xmlns:a16="http://schemas.microsoft.com/office/drawing/2014/main" id="{00000000-0008-0000-2F00-00003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10450" y="133350"/>
          <a:ext cx="1905000" cy="1130300"/>
        </a:xfrm>
        <a:prstGeom prst="rect">
          <a:avLst/>
        </a:prstGeom>
      </xdr:spPr>
    </xdr:pic>
    <xdr:clientData/>
  </xdr:twoCellAnchor>
  <xdr:twoCellAnchor editAs="oneCell">
    <xdr:from>
      <xdr:col>35</xdr:col>
      <xdr:colOff>1495425</xdr:colOff>
      <xdr:row>2</xdr:row>
      <xdr:rowOff>400050</xdr:rowOff>
    </xdr:from>
    <xdr:to>
      <xdr:col>35</xdr:col>
      <xdr:colOff>2432050</xdr:colOff>
      <xdr:row>4</xdr:row>
      <xdr:rowOff>157242</xdr:rowOff>
    </xdr:to>
    <xdr:pic>
      <xdr:nvPicPr>
        <xdr:cNvPr id="60" name="Image 59">
          <a:extLst>
            <a:ext uri="{FF2B5EF4-FFF2-40B4-BE49-F238E27FC236}">
              <a16:creationId xmlns:a16="http://schemas.microsoft.com/office/drawing/2014/main" id="{00000000-0008-0000-2F00-00003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956250" y="1885950"/>
          <a:ext cx="936625" cy="557292"/>
        </a:xfrm>
        <a:prstGeom prst="rect">
          <a:avLst/>
        </a:prstGeom>
      </xdr:spPr>
    </xdr:pic>
    <xdr:clientData/>
  </xdr:twoCellAnchor>
  <xdr:twoCellAnchor>
    <xdr:from>
      <xdr:col>33</xdr:col>
      <xdr:colOff>726281</xdr:colOff>
      <xdr:row>25</xdr:row>
      <xdr:rowOff>1</xdr:rowOff>
    </xdr:from>
    <xdr:to>
      <xdr:col>33</xdr:col>
      <xdr:colOff>2044474</xdr:colOff>
      <xdr:row>29</xdr:row>
      <xdr:rowOff>13608</xdr:rowOff>
    </xdr:to>
    <xdr:sp macro="[0]!Imp_DUEL_Tableau" textlink="">
      <xdr:nvSpPr>
        <xdr:cNvPr id="61" name="Rectangle à coins arrondis 60">
          <a:extLst>
            <a:ext uri="{FF2B5EF4-FFF2-40B4-BE49-F238E27FC236}">
              <a16:creationId xmlns:a16="http://schemas.microsoft.com/office/drawing/2014/main" id="{00000000-0008-0000-2F00-00003D000000}"/>
            </a:ext>
          </a:extLst>
        </xdr:cNvPr>
        <xdr:cNvSpPr/>
      </xdr:nvSpPr>
      <xdr:spPr bwMode="auto">
        <a:xfrm>
          <a:off x="25253156" y="6536532"/>
          <a:ext cx="1318193" cy="823232"/>
        </a:xfrm>
        <a:prstGeom prst="roundRect">
          <a:avLst/>
        </a:prstGeom>
        <a:solidFill>
          <a:srgbClr val="E923EE"/>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 TABLEAU des</a:t>
          </a:r>
          <a:r>
            <a:rPr lang="fr-FR" sz="1600" baseline="0"/>
            <a:t> DUELS</a:t>
          </a:r>
          <a:endParaRPr lang="fr-FR" sz="1600"/>
        </a:p>
      </xdr:txBody>
    </xdr:sp>
    <xdr:clientData/>
  </xdr:twoCellAnchor>
  <xdr:twoCellAnchor>
    <xdr:from>
      <xdr:col>15</xdr:col>
      <xdr:colOff>40822</xdr:colOff>
      <xdr:row>6</xdr:row>
      <xdr:rowOff>95250</xdr:rowOff>
    </xdr:from>
    <xdr:to>
      <xdr:col>16</xdr:col>
      <xdr:colOff>0</xdr:colOff>
      <xdr:row>7</xdr:row>
      <xdr:rowOff>176893</xdr:rowOff>
    </xdr:to>
    <xdr:cxnSp macro="">
      <xdr:nvCxnSpPr>
        <xdr:cNvPr id="2" name="Connecteur droit avec flèche 1">
          <a:extLst>
            <a:ext uri="{FF2B5EF4-FFF2-40B4-BE49-F238E27FC236}">
              <a16:creationId xmlns:a16="http://schemas.microsoft.com/office/drawing/2014/main" id="{00000000-0008-0000-2F00-000002000000}"/>
            </a:ext>
          </a:extLst>
        </xdr:cNvPr>
        <xdr:cNvCxnSpPr/>
      </xdr:nvCxnSpPr>
      <xdr:spPr>
        <a:xfrm flipV="1">
          <a:off x="8737147" y="2781300"/>
          <a:ext cx="1006928" cy="28166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8</xdr:row>
      <xdr:rowOff>120650</xdr:rowOff>
    </xdr:from>
    <xdr:to>
      <xdr:col>15</xdr:col>
      <xdr:colOff>1044575</xdr:colOff>
      <xdr:row>14</xdr:row>
      <xdr:rowOff>149678</xdr:rowOff>
    </xdr:to>
    <xdr:cxnSp macro="">
      <xdr:nvCxnSpPr>
        <xdr:cNvPr id="3" name="Connecteur droit avec flèche 2">
          <a:extLst>
            <a:ext uri="{FF2B5EF4-FFF2-40B4-BE49-F238E27FC236}">
              <a16:creationId xmlns:a16="http://schemas.microsoft.com/office/drawing/2014/main" id="{00000000-0008-0000-2F00-000003000000}"/>
            </a:ext>
          </a:extLst>
        </xdr:cNvPr>
        <xdr:cNvCxnSpPr/>
      </xdr:nvCxnSpPr>
      <xdr:spPr>
        <a:xfrm flipV="1">
          <a:off x="8696325" y="3206750"/>
          <a:ext cx="1044575" cy="122917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14</xdr:row>
      <xdr:rowOff>13607</xdr:rowOff>
    </xdr:from>
    <xdr:to>
      <xdr:col>15</xdr:col>
      <xdr:colOff>1020536</xdr:colOff>
      <xdr:row>21</xdr:row>
      <xdr:rowOff>149679</xdr:rowOff>
    </xdr:to>
    <xdr:cxnSp macro="">
      <xdr:nvCxnSpPr>
        <xdr:cNvPr id="4" name="Connecteur droit avec flèche 3">
          <a:extLst>
            <a:ext uri="{FF2B5EF4-FFF2-40B4-BE49-F238E27FC236}">
              <a16:creationId xmlns:a16="http://schemas.microsoft.com/office/drawing/2014/main" id="{00000000-0008-0000-2F00-000004000000}"/>
            </a:ext>
          </a:extLst>
        </xdr:cNvPr>
        <xdr:cNvCxnSpPr/>
      </xdr:nvCxnSpPr>
      <xdr:spPr>
        <a:xfrm flipV="1">
          <a:off x="8696325" y="4299857"/>
          <a:ext cx="1020536" cy="153624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16</xdr:row>
      <xdr:rowOff>13607</xdr:rowOff>
    </xdr:from>
    <xdr:to>
      <xdr:col>16</xdr:col>
      <xdr:colOff>0</xdr:colOff>
      <xdr:row>29</xdr:row>
      <xdr:rowOff>10582</xdr:rowOff>
    </xdr:to>
    <xdr:cxnSp macro="">
      <xdr:nvCxnSpPr>
        <xdr:cNvPr id="5" name="Connecteur droit avec flèche 4">
          <a:extLst>
            <a:ext uri="{FF2B5EF4-FFF2-40B4-BE49-F238E27FC236}">
              <a16:creationId xmlns:a16="http://schemas.microsoft.com/office/drawing/2014/main" id="{00000000-0008-0000-2F00-000005000000}"/>
            </a:ext>
          </a:extLst>
        </xdr:cNvPr>
        <xdr:cNvCxnSpPr/>
      </xdr:nvCxnSpPr>
      <xdr:spPr>
        <a:xfrm flipV="1">
          <a:off x="8696325" y="4699907"/>
          <a:ext cx="1047750" cy="259730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8</xdr:row>
      <xdr:rowOff>10583</xdr:rowOff>
    </xdr:from>
    <xdr:to>
      <xdr:col>16</xdr:col>
      <xdr:colOff>16934</xdr:colOff>
      <xdr:row>20</xdr:row>
      <xdr:rowOff>146050</xdr:rowOff>
    </xdr:to>
    <xdr:cxnSp macro="">
      <xdr:nvCxnSpPr>
        <xdr:cNvPr id="6" name="Connecteur droit avec flèche 5">
          <a:extLst>
            <a:ext uri="{FF2B5EF4-FFF2-40B4-BE49-F238E27FC236}">
              <a16:creationId xmlns:a16="http://schemas.microsoft.com/office/drawing/2014/main" id="{00000000-0008-0000-2F00-000006000000}"/>
            </a:ext>
          </a:extLst>
        </xdr:cNvPr>
        <xdr:cNvCxnSpPr/>
      </xdr:nvCxnSpPr>
      <xdr:spPr>
        <a:xfrm>
          <a:off x="8713259" y="3096683"/>
          <a:ext cx="1047750" cy="25357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29634</xdr:colOff>
      <xdr:row>15</xdr:row>
      <xdr:rowOff>40216</xdr:rowOff>
    </xdr:from>
    <xdr:to>
      <xdr:col>16</xdr:col>
      <xdr:colOff>25400</xdr:colOff>
      <xdr:row>22</xdr:row>
      <xdr:rowOff>133350</xdr:rowOff>
    </xdr:to>
    <xdr:cxnSp macro="">
      <xdr:nvCxnSpPr>
        <xdr:cNvPr id="7" name="Connecteur droit avec flèche 6">
          <a:extLst>
            <a:ext uri="{FF2B5EF4-FFF2-40B4-BE49-F238E27FC236}">
              <a16:creationId xmlns:a16="http://schemas.microsoft.com/office/drawing/2014/main" id="{00000000-0008-0000-2F00-000007000000}"/>
            </a:ext>
          </a:extLst>
        </xdr:cNvPr>
        <xdr:cNvCxnSpPr/>
      </xdr:nvCxnSpPr>
      <xdr:spPr>
        <a:xfrm>
          <a:off x="8725959" y="4526491"/>
          <a:ext cx="1043516" cy="149330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22</xdr:row>
      <xdr:rowOff>27516</xdr:rowOff>
    </xdr:from>
    <xdr:to>
      <xdr:col>16</xdr:col>
      <xdr:colOff>12700</xdr:colOff>
      <xdr:row>27</xdr:row>
      <xdr:rowOff>107950</xdr:rowOff>
    </xdr:to>
    <xdr:cxnSp macro="">
      <xdr:nvCxnSpPr>
        <xdr:cNvPr id="8" name="Connecteur droit avec flèche 7">
          <a:extLst>
            <a:ext uri="{FF2B5EF4-FFF2-40B4-BE49-F238E27FC236}">
              <a16:creationId xmlns:a16="http://schemas.microsoft.com/office/drawing/2014/main" id="{00000000-0008-0000-2F00-000008000000}"/>
            </a:ext>
          </a:extLst>
        </xdr:cNvPr>
        <xdr:cNvCxnSpPr/>
      </xdr:nvCxnSpPr>
      <xdr:spPr>
        <a:xfrm>
          <a:off x="8713259" y="5913966"/>
          <a:ext cx="1043516" cy="108055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29</xdr:row>
      <xdr:rowOff>10584</xdr:rowOff>
    </xdr:from>
    <xdr:to>
      <xdr:col>15</xdr:col>
      <xdr:colOff>1044575</xdr:colOff>
      <xdr:row>29</xdr:row>
      <xdr:rowOff>133350</xdr:rowOff>
    </xdr:to>
    <xdr:cxnSp macro="">
      <xdr:nvCxnSpPr>
        <xdr:cNvPr id="9" name="Connecteur droit avec flèche 8">
          <a:extLst>
            <a:ext uri="{FF2B5EF4-FFF2-40B4-BE49-F238E27FC236}">
              <a16:creationId xmlns:a16="http://schemas.microsoft.com/office/drawing/2014/main" id="{00000000-0008-0000-2F00-000009000000}"/>
            </a:ext>
          </a:extLst>
        </xdr:cNvPr>
        <xdr:cNvCxnSpPr/>
      </xdr:nvCxnSpPr>
      <xdr:spPr>
        <a:xfrm>
          <a:off x="8713259" y="7297209"/>
          <a:ext cx="1027641" cy="12276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6</xdr:row>
      <xdr:rowOff>120651</xdr:rowOff>
    </xdr:from>
    <xdr:to>
      <xdr:col>22</xdr:col>
      <xdr:colOff>12700</xdr:colOff>
      <xdr:row>8</xdr:row>
      <xdr:rowOff>0</xdr:rowOff>
    </xdr:to>
    <xdr:cxnSp macro="">
      <xdr:nvCxnSpPr>
        <xdr:cNvPr id="10" name="Connecteur droit avec flèche 9">
          <a:extLst>
            <a:ext uri="{FF2B5EF4-FFF2-40B4-BE49-F238E27FC236}">
              <a16:creationId xmlns:a16="http://schemas.microsoft.com/office/drawing/2014/main" id="{00000000-0008-0000-2F00-00000A000000}"/>
            </a:ext>
          </a:extLst>
        </xdr:cNvPr>
        <xdr:cNvCxnSpPr/>
      </xdr:nvCxnSpPr>
      <xdr:spPr>
        <a:xfrm flipV="1">
          <a:off x="14309272" y="28067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8</xdr:row>
      <xdr:rowOff>120650</xdr:rowOff>
    </xdr:from>
    <xdr:to>
      <xdr:col>22</xdr:col>
      <xdr:colOff>12700</xdr:colOff>
      <xdr:row>15</xdr:row>
      <xdr:rowOff>2116</xdr:rowOff>
    </xdr:to>
    <xdr:cxnSp macro="">
      <xdr:nvCxnSpPr>
        <xdr:cNvPr id="11" name="Connecteur droit avec flèche 10">
          <a:extLst>
            <a:ext uri="{FF2B5EF4-FFF2-40B4-BE49-F238E27FC236}">
              <a16:creationId xmlns:a16="http://schemas.microsoft.com/office/drawing/2014/main" id="{00000000-0008-0000-2F00-00000B000000}"/>
            </a:ext>
          </a:extLst>
        </xdr:cNvPr>
        <xdr:cNvCxnSpPr/>
      </xdr:nvCxnSpPr>
      <xdr:spPr>
        <a:xfrm flipV="1">
          <a:off x="14285383" y="32067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8</xdr:row>
      <xdr:rowOff>13607</xdr:rowOff>
    </xdr:from>
    <xdr:to>
      <xdr:col>21</xdr:col>
      <xdr:colOff>1060450</xdr:colOff>
      <xdr:row>13</xdr:row>
      <xdr:rowOff>103724</xdr:rowOff>
    </xdr:to>
    <xdr:cxnSp macro="">
      <xdr:nvCxnSpPr>
        <xdr:cNvPr id="12" name="Connecteur droit avec flèche 11">
          <a:extLst>
            <a:ext uri="{FF2B5EF4-FFF2-40B4-BE49-F238E27FC236}">
              <a16:creationId xmlns:a16="http://schemas.microsoft.com/office/drawing/2014/main" id="{00000000-0008-0000-2F00-00000C000000}"/>
            </a:ext>
          </a:extLst>
        </xdr:cNvPr>
        <xdr:cNvCxnSpPr/>
      </xdr:nvCxnSpPr>
      <xdr:spPr>
        <a:xfrm>
          <a:off x="14282058" y="30997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15</xdr:row>
      <xdr:rowOff>2123</xdr:rowOff>
    </xdr:from>
    <xdr:to>
      <xdr:col>21</xdr:col>
      <xdr:colOff>1059392</xdr:colOff>
      <xdr:row>15</xdr:row>
      <xdr:rowOff>120656</xdr:rowOff>
    </xdr:to>
    <xdr:cxnSp macro="">
      <xdr:nvCxnSpPr>
        <xdr:cNvPr id="13" name="Connecteur droit avec flèche 12">
          <a:extLst>
            <a:ext uri="{FF2B5EF4-FFF2-40B4-BE49-F238E27FC236}">
              <a16:creationId xmlns:a16="http://schemas.microsoft.com/office/drawing/2014/main" id="{00000000-0008-0000-2F00-00000D000000}"/>
            </a:ext>
          </a:extLst>
        </xdr:cNvPr>
        <xdr:cNvCxnSpPr/>
      </xdr:nvCxnSpPr>
      <xdr:spPr>
        <a:xfrm>
          <a:off x="14268450" y="44883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33867</xdr:colOff>
      <xdr:row>20</xdr:row>
      <xdr:rowOff>120650</xdr:rowOff>
    </xdr:from>
    <xdr:to>
      <xdr:col>22</xdr:col>
      <xdr:colOff>12700</xdr:colOff>
      <xdr:row>20</xdr:row>
      <xdr:rowOff>188383</xdr:rowOff>
    </xdr:to>
    <xdr:cxnSp macro="">
      <xdr:nvCxnSpPr>
        <xdr:cNvPr id="14" name="Connecteur droit avec flèche 13">
          <a:extLst>
            <a:ext uri="{FF2B5EF4-FFF2-40B4-BE49-F238E27FC236}">
              <a16:creationId xmlns:a16="http://schemas.microsoft.com/office/drawing/2014/main" id="{00000000-0008-0000-2F00-00000E000000}"/>
            </a:ext>
          </a:extLst>
        </xdr:cNvPr>
        <xdr:cNvCxnSpPr/>
      </xdr:nvCxnSpPr>
      <xdr:spPr>
        <a:xfrm flipV="1">
          <a:off x="14302317" y="5607050"/>
          <a:ext cx="1036108" cy="67733"/>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22</xdr:row>
      <xdr:rowOff>120650</xdr:rowOff>
    </xdr:from>
    <xdr:to>
      <xdr:col>22</xdr:col>
      <xdr:colOff>12700</xdr:colOff>
      <xdr:row>29</xdr:row>
      <xdr:rowOff>2116</xdr:rowOff>
    </xdr:to>
    <xdr:cxnSp macro="">
      <xdr:nvCxnSpPr>
        <xdr:cNvPr id="15" name="Connecteur droit avec flèche 14">
          <a:extLst>
            <a:ext uri="{FF2B5EF4-FFF2-40B4-BE49-F238E27FC236}">
              <a16:creationId xmlns:a16="http://schemas.microsoft.com/office/drawing/2014/main" id="{00000000-0008-0000-2F00-00000F000000}"/>
            </a:ext>
          </a:extLst>
        </xdr:cNvPr>
        <xdr:cNvCxnSpPr/>
      </xdr:nvCxnSpPr>
      <xdr:spPr>
        <a:xfrm flipV="1">
          <a:off x="14285383" y="6007100"/>
          <a:ext cx="1053042" cy="1281641"/>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20</xdr:row>
      <xdr:rowOff>188390</xdr:rowOff>
    </xdr:from>
    <xdr:to>
      <xdr:col>21</xdr:col>
      <xdr:colOff>1060450</xdr:colOff>
      <xdr:row>27</xdr:row>
      <xdr:rowOff>103724</xdr:rowOff>
    </xdr:to>
    <xdr:cxnSp macro="">
      <xdr:nvCxnSpPr>
        <xdr:cNvPr id="16" name="Connecteur droit avec flèche 15">
          <a:extLst>
            <a:ext uri="{FF2B5EF4-FFF2-40B4-BE49-F238E27FC236}">
              <a16:creationId xmlns:a16="http://schemas.microsoft.com/office/drawing/2014/main" id="{00000000-0008-0000-2F00-000010000000}"/>
            </a:ext>
          </a:extLst>
        </xdr:cNvPr>
        <xdr:cNvCxnSpPr/>
      </xdr:nvCxnSpPr>
      <xdr:spPr>
        <a:xfrm>
          <a:off x="14268450" y="5674790"/>
          <a:ext cx="1060450" cy="1315509"/>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29</xdr:row>
      <xdr:rowOff>2123</xdr:rowOff>
    </xdr:from>
    <xdr:to>
      <xdr:col>21</xdr:col>
      <xdr:colOff>1059392</xdr:colOff>
      <xdr:row>29</xdr:row>
      <xdr:rowOff>120656</xdr:rowOff>
    </xdr:to>
    <xdr:cxnSp macro="">
      <xdr:nvCxnSpPr>
        <xdr:cNvPr id="17" name="Connecteur droit avec flèche 16">
          <a:extLst>
            <a:ext uri="{FF2B5EF4-FFF2-40B4-BE49-F238E27FC236}">
              <a16:creationId xmlns:a16="http://schemas.microsoft.com/office/drawing/2014/main" id="{00000000-0008-0000-2F00-000011000000}"/>
            </a:ext>
          </a:extLst>
        </xdr:cNvPr>
        <xdr:cNvCxnSpPr/>
      </xdr:nvCxnSpPr>
      <xdr:spPr>
        <a:xfrm>
          <a:off x="14268450" y="7288748"/>
          <a:ext cx="1059392" cy="118533"/>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17859</xdr:colOff>
      <xdr:row>35</xdr:row>
      <xdr:rowOff>190500</xdr:rowOff>
    </xdr:from>
    <xdr:to>
      <xdr:col>16</xdr:col>
      <xdr:colOff>15875</xdr:colOff>
      <xdr:row>35</xdr:row>
      <xdr:rowOff>190502</xdr:rowOff>
    </xdr:to>
    <xdr:cxnSp macro="">
      <xdr:nvCxnSpPr>
        <xdr:cNvPr id="18" name="Connecteur droit avec flèche 17">
          <a:extLst>
            <a:ext uri="{FF2B5EF4-FFF2-40B4-BE49-F238E27FC236}">
              <a16:creationId xmlns:a16="http://schemas.microsoft.com/office/drawing/2014/main" id="{00000000-0008-0000-2F00-000012000000}"/>
            </a:ext>
          </a:extLst>
        </xdr:cNvPr>
        <xdr:cNvCxnSpPr/>
      </xdr:nvCxnSpPr>
      <xdr:spPr>
        <a:xfrm>
          <a:off x="8818959" y="2876550"/>
          <a:ext cx="1045766" cy="2"/>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149679</xdr:colOff>
      <xdr:row>35</xdr:row>
      <xdr:rowOff>136072</xdr:rowOff>
    </xdr:from>
    <xdr:to>
      <xdr:col>22</xdr:col>
      <xdr:colOff>173935</xdr:colOff>
      <xdr:row>36</xdr:row>
      <xdr:rowOff>74544</xdr:rowOff>
    </xdr:to>
    <xdr:cxnSp macro="">
      <xdr:nvCxnSpPr>
        <xdr:cNvPr id="19" name="Connecteur droit avec flèche 18">
          <a:extLst>
            <a:ext uri="{FF2B5EF4-FFF2-40B4-BE49-F238E27FC236}">
              <a16:creationId xmlns:a16="http://schemas.microsoft.com/office/drawing/2014/main" id="{00000000-0008-0000-2F00-000013000000}"/>
            </a:ext>
          </a:extLst>
        </xdr:cNvPr>
        <xdr:cNvCxnSpPr/>
      </xdr:nvCxnSpPr>
      <xdr:spPr>
        <a:xfrm>
          <a:off x="14541954" y="2822122"/>
          <a:ext cx="1081531" cy="13849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190500</xdr:colOff>
      <xdr:row>38</xdr:row>
      <xdr:rowOff>24848</xdr:rowOff>
    </xdr:from>
    <xdr:to>
      <xdr:col>22</xdr:col>
      <xdr:colOff>132522</xdr:colOff>
      <xdr:row>45</xdr:row>
      <xdr:rowOff>68035</xdr:rowOff>
    </xdr:to>
    <xdr:cxnSp macro="">
      <xdr:nvCxnSpPr>
        <xdr:cNvPr id="20" name="Connecteur droit avec flèche 19">
          <a:extLst>
            <a:ext uri="{FF2B5EF4-FFF2-40B4-BE49-F238E27FC236}">
              <a16:creationId xmlns:a16="http://schemas.microsoft.com/office/drawing/2014/main" id="{00000000-0008-0000-2F00-000014000000}"/>
            </a:ext>
          </a:extLst>
        </xdr:cNvPr>
        <xdr:cNvCxnSpPr/>
      </xdr:nvCxnSpPr>
      <xdr:spPr>
        <a:xfrm flipV="1">
          <a:off x="14582775" y="3310973"/>
          <a:ext cx="999297" cy="1443362"/>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176893</xdr:colOff>
      <xdr:row>43</xdr:row>
      <xdr:rowOff>27215</xdr:rowOff>
    </xdr:from>
    <xdr:to>
      <xdr:col>22</xdr:col>
      <xdr:colOff>231322</xdr:colOff>
      <xdr:row>45</xdr:row>
      <xdr:rowOff>95250</xdr:rowOff>
    </xdr:to>
    <xdr:cxnSp macro="">
      <xdr:nvCxnSpPr>
        <xdr:cNvPr id="21" name="Connecteur droit avec flèche 20">
          <a:extLst>
            <a:ext uri="{FF2B5EF4-FFF2-40B4-BE49-F238E27FC236}">
              <a16:creationId xmlns:a16="http://schemas.microsoft.com/office/drawing/2014/main" id="{00000000-0008-0000-2F00-000015000000}"/>
            </a:ext>
          </a:extLst>
        </xdr:cNvPr>
        <xdr:cNvCxnSpPr/>
      </xdr:nvCxnSpPr>
      <xdr:spPr>
        <a:xfrm flipV="1">
          <a:off x="14569168" y="4313465"/>
          <a:ext cx="1111704" cy="468085"/>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340178</xdr:colOff>
      <xdr:row>43</xdr:row>
      <xdr:rowOff>54428</xdr:rowOff>
    </xdr:from>
    <xdr:to>
      <xdr:col>16</xdr:col>
      <xdr:colOff>1587</xdr:colOff>
      <xdr:row>44</xdr:row>
      <xdr:rowOff>200027</xdr:rowOff>
    </xdr:to>
    <xdr:cxnSp macro="">
      <xdr:nvCxnSpPr>
        <xdr:cNvPr id="22" name="Connecteur droit avec flèche 21">
          <a:extLst>
            <a:ext uri="{FF2B5EF4-FFF2-40B4-BE49-F238E27FC236}">
              <a16:creationId xmlns:a16="http://schemas.microsoft.com/office/drawing/2014/main" id="{00000000-0008-0000-2F00-000016000000}"/>
            </a:ext>
          </a:extLst>
        </xdr:cNvPr>
        <xdr:cNvCxnSpPr/>
      </xdr:nvCxnSpPr>
      <xdr:spPr>
        <a:xfrm>
          <a:off x="4503964" y="10300607"/>
          <a:ext cx="1090159" cy="349706"/>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310753</xdr:colOff>
      <xdr:row>46</xdr:row>
      <xdr:rowOff>108857</xdr:rowOff>
    </xdr:from>
    <xdr:to>
      <xdr:col>15</xdr:col>
      <xdr:colOff>1034143</xdr:colOff>
      <xdr:row>50</xdr:row>
      <xdr:rowOff>1191</xdr:rowOff>
    </xdr:to>
    <xdr:cxnSp macro="">
      <xdr:nvCxnSpPr>
        <xdr:cNvPr id="23" name="Connecteur droit avec flèche 22">
          <a:extLst>
            <a:ext uri="{FF2B5EF4-FFF2-40B4-BE49-F238E27FC236}">
              <a16:creationId xmlns:a16="http://schemas.microsoft.com/office/drawing/2014/main" id="{00000000-0008-0000-2F00-000017000000}"/>
            </a:ext>
          </a:extLst>
        </xdr:cNvPr>
        <xdr:cNvCxnSpPr/>
      </xdr:nvCxnSpPr>
      <xdr:spPr>
        <a:xfrm flipV="1">
          <a:off x="4474539" y="10967357"/>
          <a:ext cx="1104390" cy="708763"/>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832757</xdr:colOff>
      <xdr:row>44</xdr:row>
      <xdr:rowOff>81643</xdr:rowOff>
    </xdr:from>
    <xdr:to>
      <xdr:col>12</xdr:col>
      <xdr:colOff>1541605</xdr:colOff>
      <xdr:row>45</xdr:row>
      <xdr:rowOff>147783</xdr:rowOff>
    </xdr:to>
    <xdr:sp macro="" textlink="">
      <xdr:nvSpPr>
        <xdr:cNvPr id="24" name="Rectangle à coins arrondis 25">
          <a:extLst>
            <a:ext uri="{FF2B5EF4-FFF2-40B4-BE49-F238E27FC236}">
              <a16:creationId xmlns:a16="http://schemas.microsoft.com/office/drawing/2014/main" id="{00000000-0008-0000-2F00-000018000000}"/>
            </a:ext>
          </a:extLst>
        </xdr:cNvPr>
        <xdr:cNvSpPr/>
      </xdr:nvSpPr>
      <xdr:spPr bwMode="auto">
        <a:xfrm>
          <a:off x="6109607" y="4567918"/>
          <a:ext cx="708848" cy="266165"/>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twoCellAnchor>
    <xdr:from>
      <xdr:col>12</xdr:col>
      <xdr:colOff>832757</xdr:colOff>
      <xdr:row>37</xdr:row>
      <xdr:rowOff>70757</xdr:rowOff>
    </xdr:from>
    <xdr:to>
      <xdr:col>12</xdr:col>
      <xdr:colOff>1541605</xdr:colOff>
      <xdr:row>38</xdr:row>
      <xdr:rowOff>136897</xdr:rowOff>
    </xdr:to>
    <xdr:sp macro="" textlink="">
      <xdr:nvSpPr>
        <xdr:cNvPr id="25" name="Rectangle à coins arrondis 25">
          <a:extLst>
            <a:ext uri="{FF2B5EF4-FFF2-40B4-BE49-F238E27FC236}">
              <a16:creationId xmlns:a16="http://schemas.microsoft.com/office/drawing/2014/main" id="{00000000-0008-0000-2F00-000019000000}"/>
            </a:ext>
          </a:extLst>
        </xdr:cNvPr>
        <xdr:cNvSpPr/>
      </xdr:nvSpPr>
      <xdr:spPr bwMode="auto">
        <a:xfrm>
          <a:off x="6109607" y="3156857"/>
          <a:ext cx="708848" cy="266165"/>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twoCellAnchor>
    <xdr:from>
      <xdr:col>12</xdr:col>
      <xdr:colOff>832757</xdr:colOff>
      <xdr:row>51</xdr:row>
      <xdr:rowOff>73478</xdr:rowOff>
    </xdr:from>
    <xdr:to>
      <xdr:col>12</xdr:col>
      <xdr:colOff>1541605</xdr:colOff>
      <xdr:row>52</xdr:row>
      <xdr:rowOff>139618</xdr:rowOff>
    </xdr:to>
    <xdr:sp macro="" textlink="">
      <xdr:nvSpPr>
        <xdr:cNvPr id="26" name="Rectangle à coins arrondis 25">
          <a:extLst>
            <a:ext uri="{FF2B5EF4-FFF2-40B4-BE49-F238E27FC236}">
              <a16:creationId xmlns:a16="http://schemas.microsoft.com/office/drawing/2014/main" id="{00000000-0008-0000-2F00-00001A000000}"/>
            </a:ext>
          </a:extLst>
        </xdr:cNvPr>
        <xdr:cNvSpPr/>
      </xdr:nvSpPr>
      <xdr:spPr bwMode="auto">
        <a:xfrm>
          <a:off x="6109607" y="5959928"/>
          <a:ext cx="708848" cy="266165"/>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twoCellAnchor>
    <xdr:from>
      <xdr:col>18</xdr:col>
      <xdr:colOff>1001485</xdr:colOff>
      <xdr:row>37</xdr:row>
      <xdr:rowOff>48985</xdr:rowOff>
    </xdr:from>
    <xdr:to>
      <xdr:col>18</xdr:col>
      <xdr:colOff>1710333</xdr:colOff>
      <xdr:row>38</xdr:row>
      <xdr:rowOff>115125</xdr:rowOff>
    </xdr:to>
    <xdr:sp macro="" textlink="">
      <xdr:nvSpPr>
        <xdr:cNvPr id="30" name="Rectangle à coins arrondis 25">
          <a:extLst>
            <a:ext uri="{FF2B5EF4-FFF2-40B4-BE49-F238E27FC236}">
              <a16:creationId xmlns:a16="http://schemas.microsoft.com/office/drawing/2014/main" id="{00000000-0008-0000-2F00-00001E000000}"/>
            </a:ext>
          </a:extLst>
        </xdr:cNvPr>
        <xdr:cNvSpPr/>
      </xdr:nvSpPr>
      <xdr:spPr bwMode="auto">
        <a:xfrm>
          <a:off x="11793310" y="3135085"/>
          <a:ext cx="708848" cy="266165"/>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15</xdr:col>
      <xdr:colOff>40822</xdr:colOff>
      <xdr:row>6</xdr:row>
      <xdr:rowOff>95250</xdr:rowOff>
    </xdr:from>
    <xdr:to>
      <xdr:col>16</xdr:col>
      <xdr:colOff>0</xdr:colOff>
      <xdr:row>7</xdr:row>
      <xdr:rowOff>176893</xdr:rowOff>
    </xdr:to>
    <xdr:cxnSp macro="">
      <xdr:nvCxnSpPr>
        <xdr:cNvPr id="2" name="Connecteur droit avec flèche 1">
          <a:extLst>
            <a:ext uri="{FF2B5EF4-FFF2-40B4-BE49-F238E27FC236}">
              <a16:creationId xmlns:a16="http://schemas.microsoft.com/office/drawing/2014/main" id="{00000000-0008-0000-3000-000002000000}"/>
            </a:ext>
          </a:extLst>
        </xdr:cNvPr>
        <xdr:cNvCxnSpPr/>
      </xdr:nvCxnSpPr>
      <xdr:spPr>
        <a:xfrm flipV="1">
          <a:off x="9441997" y="2781300"/>
          <a:ext cx="1006928" cy="28166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8</xdr:row>
      <xdr:rowOff>120650</xdr:rowOff>
    </xdr:from>
    <xdr:to>
      <xdr:col>15</xdr:col>
      <xdr:colOff>1044575</xdr:colOff>
      <xdr:row>14</xdr:row>
      <xdr:rowOff>149678</xdr:rowOff>
    </xdr:to>
    <xdr:cxnSp macro="">
      <xdr:nvCxnSpPr>
        <xdr:cNvPr id="3" name="Connecteur droit avec flèche 2">
          <a:extLst>
            <a:ext uri="{FF2B5EF4-FFF2-40B4-BE49-F238E27FC236}">
              <a16:creationId xmlns:a16="http://schemas.microsoft.com/office/drawing/2014/main" id="{00000000-0008-0000-3000-000003000000}"/>
            </a:ext>
          </a:extLst>
        </xdr:cNvPr>
        <xdr:cNvCxnSpPr/>
      </xdr:nvCxnSpPr>
      <xdr:spPr>
        <a:xfrm flipV="1">
          <a:off x="9401175" y="3206750"/>
          <a:ext cx="1044575" cy="122917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14</xdr:row>
      <xdr:rowOff>13607</xdr:rowOff>
    </xdr:from>
    <xdr:to>
      <xdr:col>15</xdr:col>
      <xdr:colOff>1020536</xdr:colOff>
      <xdr:row>21</xdr:row>
      <xdr:rowOff>149679</xdr:rowOff>
    </xdr:to>
    <xdr:cxnSp macro="">
      <xdr:nvCxnSpPr>
        <xdr:cNvPr id="4" name="Connecteur droit avec flèche 3">
          <a:extLst>
            <a:ext uri="{FF2B5EF4-FFF2-40B4-BE49-F238E27FC236}">
              <a16:creationId xmlns:a16="http://schemas.microsoft.com/office/drawing/2014/main" id="{00000000-0008-0000-3000-000004000000}"/>
            </a:ext>
          </a:extLst>
        </xdr:cNvPr>
        <xdr:cNvCxnSpPr/>
      </xdr:nvCxnSpPr>
      <xdr:spPr>
        <a:xfrm flipV="1">
          <a:off x="9401175" y="4299857"/>
          <a:ext cx="1020536" cy="153624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16</xdr:row>
      <xdr:rowOff>13607</xdr:rowOff>
    </xdr:from>
    <xdr:to>
      <xdr:col>16</xdr:col>
      <xdr:colOff>0</xdr:colOff>
      <xdr:row>29</xdr:row>
      <xdr:rowOff>10582</xdr:rowOff>
    </xdr:to>
    <xdr:cxnSp macro="">
      <xdr:nvCxnSpPr>
        <xdr:cNvPr id="9" name="Connecteur droit avec flèche 8">
          <a:extLst>
            <a:ext uri="{FF2B5EF4-FFF2-40B4-BE49-F238E27FC236}">
              <a16:creationId xmlns:a16="http://schemas.microsoft.com/office/drawing/2014/main" id="{00000000-0008-0000-3000-000009000000}"/>
            </a:ext>
          </a:extLst>
        </xdr:cNvPr>
        <xdr:cNvCxnSpPr/>
      </xdr:nvCxnSpPr>
      <xdr:spPr>
        <a:xfrm flipV="1">
          <a:off x="9401175" y="4699907"/>
          <a:ext cx="1047750" cy="259730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8</xdr:row>
      <xdr:rowOff>10583</xdr:rowOff>
    </xdr:from>
    <xdr:to>
      <xdr:col>16</xdr:col>
      <xdr:colOff>16934</xdr:colOff>
      <xdr:row>20</xdr:row>
      <xdr:rowOff>146050</xdr:rowOff>
    </xdr:to>
    <xdr:cxnSp macro="">
      <xdr:nvCxnSpPr>
        <xdr:cNvPr id="10" name="Connecteur droit avec flèche 9">
          <a:extLst>
            <a:ext uri="{FF2B5EF4-FFF2-40B4-BE49-F238E27FC236}">
              <a16:creationId xmlns:a16="http://schemas.microsoft.com/office/drawing/2014/main" id="{00000000-0008-0000-3000-00000A000000}"/>
            </a:ext>
          </a:extLst>
        </xdr:cNvPr>
        <xdr:cNvCxnSpPr/>
      </xdr:nvCxnSpPr>
      <xdr:spPr>
        <a:xfrm>
          <a:off x="9418109" y="3096683"/>
          <a:ext cx="1047750" cy="25357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29634</xdr:colOff>
      <xdr:row>15</xdr:row>
      <xdr:rowOff>40216</xdr:rowOff>
    </xdr:from>
    <xdr:to>
      <xdr:col>16</xdr:col>
      <xdr:colOff>25400</xdr:colOff>
      <xdr:row>22</xdr:row>
      <xdr:rowOff>133350</xdr:rowOff>
    </xdr:to>
    <xdr:cxnSp macro="">
      <xdr:nvCxnSpPr>
        <xdr:cNvPr id="11" name="Connecteur droit avec flèche 10">
          <a:extLst>
            <a:ext uri="{FF2B5EF4-FFF2-40B4-BE49-F238E27FC236}">
              <a16:creationId xmlns:a16="http://schemas.microsoft.com/office/drawing/2014/main" id="{00000000-0008-0000-3000-00000B000000}"/>
            </a:ext>
          </a:extLst>
        </xdr:cNvPr>
        <xdr:cNvCxnSpPr/>
      </xdr:nvCxnSpPr>
      <xdr:spPr>
        <a:xfrm>
          <a:off x="9430809" y="4526491"/>
          <a:ext cx="1043516" cy="149330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22</xdr:row>
      <xdr:rowOff>27516</xdr:rowOff>
    </xdr:from>
    <xdr:to>
      <xdr:col>16</xdr:col>
      <xdr:colOff>12700</xdr:colOff>
      <xdr:row>27</xdr:row>
      <xdr:rowOff>107950</xdr:rowOff>
    </xdr:to>
    <xdr:cxnSp macro="">
      <xdr:nvCxnSpPr>
        <xdr:cNvPr id="12" name="Connecteur droit avec flèche 11">
          <a:extLst>
            <a:ext uri="{FF2B5EF4-FFF2-40B4-BE49-F238E27FC236}">
              <a16:creationId xmlns:a16="http://schemas.microsoft.com/office/drawing/2014/main" id="{00000000-0008-0000-3000-00000C000000}"/>
            </a:ext>
          </a:extLst>
        </xdr:cNvPr>
        <xdr:cNvCxnSpPr/>
      </xdr:nvCxnSpPr>
      <xdr:spPr>
        <a:xfrm>
          <a:off x="9418109" y="5913966"/>
          <a:ext cx="1043516" cy="108055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29</xdr:row>
      <xdr:rowOff>10584</xdr:rowOff>
    </xdr:from>
    <xdr:to>
      <xdr:col>15</xdr:col>
      <xdr:colOff>1044575</xdr:colOff>
      <xdr:row>29</xdr:row>
      <xdr:rowOff>133350</xdr:rowOff>
    </xdr:to>
    <xdr:cxnSp macro="">
      <xdr:nvCxnSpPr>
        <xdr:cNvPr id="13" name="Connecteur droit avec flèche 12">
          <a:extLst>
            <a:ext uri="{FF2B5EF4-FFF2-40B4-BE49-F238E27FC236}">
              <a16:creationId xmlns:a16="http://schemas.microsoft.com/office/drawing/2014/main" id="{00000000-0008-0000-3000-00000D000000}"/>
            </a:ext>
          </a:extLst>
        </xdr:cNvPr>
        <xdr:cNvCxnSpPr/>
      </xdr:nvCxnSpPr>
      <xdr:spPr>
        <a:xfrm>
          <a:off x="9418109" y="7297209"/>
          <a:ext cx="1027641" cy="12276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6</xdr:row>
      <xdr:rowOff>120651</xdr:rowOff>
    </xdr:from>
    <xdr:to>
      <xdr:col>22</xdr:col>
      <xdr:colOff>12700</xdr:colOff>
      <xdr:row>8</xdr:row>
      <xdr:rowOff>0</xdr:rowOff>
    </xdr:to>
    <xdr:cxnSp macro="">
      <xdr:nvCxnSpPr>
        <xdr:cNvPr id="19" name="Connecteur droit avec flèche 18">
          <a:extLst>
            <a:ext uri="{FF2B5EF4-FFF2-40B4-BE49-F238E27FC236}">
              <a16:creationId xmlns:a16="http://schemas.microsoft.com/office/drawing/2014/main" id="{00000000-0008-0000-3000-000013000000}"/>
            </a:ext>
          </a:extLst>
        </xdr:cNvPr>
        <xdr:cNvCxnSpPr/>
      </xdr:nvCxnSpPr>
      <xdr:spPr>
        <a:xfrm flipV="1">
          <a:off x="14918872" y="28067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8</xdr:row>
      <xdr:rowOff>120650</xdr:rowOff>
    </xdr:from>
    <xdr:to>
      <xdr:col>22</xdr:col>
      <xdr:colOff>12700</xdr:colOff>
      <xdr:row>15</xdr:row>
      <xdr:rowOff>2116</xdr:rowOff>
    </xdr:to>
    <xdr:cxnSp macro="">
      <xdr:nvCxnSpPr>
        <xdr:cNvPr id="20" name="Connecteur droit avec flèche 19">
          <a:extLst>
            <a:ext uri="{FF2B5EF4-FFF2-40B4-BE49-F238E27FC236}">
              <a16:creationId xmlns:a16="http://schemas.microsoft.com/office/drawing/2014/main" id="{00000000-0008-0000-3000-000014000000}"/>
            </a:ext>
          </a:extLst>
        </xdr:cNvPr>
        <xdr:cNvCxnSpPr/>
      </xdr:nvCxnSpPr>
      <xdr:spPr>
        <a:xfrm flipV="1">
          <a:off x="14894983" y="32067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8</xdr:row>
      <xdr:rowOff>13607</xdr:rowOff>
    </xdr:from>
    <xdr:to>
      <xdr:col>21</xdr:col>
      <xdr:colOff>1060450</xdr:colOff>
      <xdr:row>13</xdr:row>
      <xdr:rowOff>103724</xdr:rowOff>
    </xdr:to>
    <xdr:cxnSp macro="">
      <xdr:nvCxnSpPr>
        <xdr:cNvPr id="21" name="Connecteur droit avec flèche 20">
          <a:extLst>
            <a:ext uri="{FF2B5EF4-FFF2-40B4-BE49-F238E27FC236}">
              <a16:creationId xmlns:a16="http://schemas.microsoft.com/office/drawing/2014/main" id="{00000000-0008-0000-3000-000015000000}"/>
            </a:ext>
          </a:extLst>
        </xdr:cNvPr>
        <xdr:cNvCxnSpPr/>
      </xdr:nvCxnSpPr>
      <xdr:spPr>
        <a:xfrm>
          <a:off x="14891658" y="30997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15</xdr:row>
      <xdr:rowOff>2123</xdr:rowOff>
    </xdr:from>
    <xdr:to>
      <xdr:col>21</xdr:col>
      <xdr:colOff>1059392</xdr:colOff>
      <xdr:row>15</xdr:row>
      <xdr:rowOff>120656</xdr:rowOff>
    </xdr:to>
    <xdr:cxnSp macro="">
      <xdr:nvCxnSpPr>
        <xdr:cNvPr id="22" name="Connecteur droit avec flèche 21">
          <a:extLst>
            <a:ext uri="{FF2B5EF4-FFF2-40B4-BE49-F238E27FC236}">
              <a16:creationId xmlns:a16="http://schemas.microsoft.com/office/drawing/2014/main" id="{00000000-0008-0000-3000-000016000000}"/>
            </a:ext>
          </a:extLst>
        </xdr:cNvPr>
        <xdr:cNvCxnSpPr/>
      </xdr:nvCxnSpPr>
      <xdr:spPr>
        <a:xfrm>
          <a:off x="14878050" y="44883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33867</xdr:colOff>
      <xdr:row>20</xdr:row>
      <xdr:rowOff>120650</xdr:rowOff>
    </xdr:from>
    <xdr:to>
      <xdr:col>22</xdr:col>
      <xdr:colOff>12700</xdr:colOff>
      <xdr:row>20</xdr:row>
      <xdr:rowOff>188383</xdr:rowOff>
    </xdr:to>
    <xdr:cxnSp macro="">
      <xdr:nvCxnSpPr>
        <xdr:cNvPr id="23" name="Connecteur droit avec flèche 22">
          <a:extLst>
            <a:ext uri="{FF2B5EF4-FFF2-40B4-BE49-F238E27FC236}">
              <a16:creationId xmlns:a16="http://schemas.microsoft.com/office/drawing/2014/main" id="{00000000-0008-0000-3000-000017000000}"/>
            </a:ext>
          </a:extLst>
        </xdr:cNvPr>
        <xdr:cNvCxnSpPr/>
      </xdr:nvCxnSpPr>
      <xdr:spPr>
        <a:xfrm flipV="1">
          <a:off x="14911917" y="5607050"/>
          <a:ext cx="1036108" cy="67733"/>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22</xdr:row>
      <xdr:rowOff>120650</xdr:rowOff>
    </xdr:from>
    <xdr:to>
      <xdr:col>22</xdr:col>
      <xdr:colOff>12700</xdr:colOff>
      <xdr:row>29</xdr:row>
      <xdr:rowOff>2116</xdr:rowOff>
    </xdr:to>
    <xdr:cxnSp macro="">
      <xdr:nvCxnSpPr>
        <xdr:cNvPr id="24" name="Connecteur droit avec flèche 23">
          <a:extLst>
            <a:ext uri="{FF2B5EF4-FFF2-40B4-BE49-F238E27FC236}">
              <a16:creationId xmlns:a16="http://schemas.microsoft.com/office/drawing/2014/main" id="{00000000-0008-0000-3000-000018000000}"/>
            </a:ext>
          </a:extLst>
        </xdr:cNvPr>
        <xdr:cNvCxnSpPr/>
      </xdr:nvCxnSpPr>
      <xdr:spPr>
        <a:xfrm flipV="1">
          <a:off x="14894983" y="6007100"/>
          <a:ext cx="1053042" cy="1281641"/>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20</xdr:row>
      <xdr:rowOff>188390</xdr:rowOff>
    </xdr:from>
    <xdr:to>
      <xdr:col>21</xdr:col>
      <xdr:colOff>1060450</xdr:colOff>
      <xdr:row>27</xdr:row>
      <xdr:rowOff>103724</xdr:rowOff>
    </xdr:to>
    <xdr:cxnSp macro="">
      <xdr:nvCxnSpPr>
        <xdr:cNvPr id="25" name="Connecteur droit avec flèche 24">
          <a:extLst>
            <a:ext uri="{FF2B5EF4-FFF2-40B4-BE49-F238E27FC236}">
              <a16:creationId xmlns:a16="http://schemas.microsoft.com/office/drawing/2014/main" id="{00000000-0008-0000-3000-000019000000}"/>
            </a:ext>
          </a:extLst>
        </xdr:cNvPr>
        <xdr:cNvCxnSpPr/>
      </xdr:nvCxnSpPr>
      <xdr:spPr>
        <a:xfrm>
          <a:off x="14878050" y="5674790"/>
          <a:ext cx="1060450" cy="1315509"/>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29</xdr:row>
      <xdr:rowOff>2123</xdr:rowOff>
    </xdr:from>
    <xdr:to>
      <xdr:col>21</xdr:col>
      <xdr:colOff>1059392</xdr:colOff>
      <xdr:row>29</xdr:row>
      <xdr:rowOff>120656</xdr:rowOff>
    </xdr:to>
    <xdr:cxnSp macro="">
      <xdr:nvCxnSpPr>
        <xdr:cNvPr id="26" name="Connecteur droit avec flèche 25">
          <a:extLst>
            <a:ext uri="{FF2B5EF4-FFF2-40B4-BE49-F238E27FC236}">
              <a16:creationId xmlns:a16="http://schemas.microsoft.com/office/drawing/2014/main" id="{00000000-0008-0000-3000-00001A000000}"/>
            </a:ext>
          </a:extLst>
        </xdr:cNvPr>
        <xdr:cNvCxnSpPr/>
      </xdr:nvCxnSpPr>
      <xdr:spPr>
        <a:xfrm>
          <a:off x="14878050" y="7288748"/>
          <a:ext cx="1059392" cy="118533"/>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33</xdr:col>
      <xdr:colOff>224518</xdr:colOff>
      <xdr:row>19</xdr:row>
      <xdr:rowOff>136980</xdr:rowOff>
    </xdr:from>
    <xdr:to>
      <xdr:col>33</xdr:col>
      <xdr:colOff>2129518</xdr:colOff>
      <xdr:row>23</xdr:row>
      <xdr:rowOff>68945</xdr:rowOff>
    </xdr:to>
    <xdr:sp macro="[0]!JMK_Trans_FDUEL1" textlink="">
      <xdr:nvSpPr>
        <xdr:cNvPr id="28" name="Rectangle à coins arrondis 27">
          <a:extLst>
            <a:ext uri="{FF2B5EF4-FFF2-40B4-BE49-F238E27FC236}">
              <a16:creationId xmlns:a16="http://schemas.microsoft.com/office/drawing/2014/main" id="{00000000-0008-0000-3000-00001C000000}"/>
            </a:ext>
          </a:extLst>
        </xdr:cNvPr>
        <xdr:cNvSpPr/>
      </xdr:nvSpPr>
      <xdr:spPr bwMode="auto">
        <a:xfrm>
          <a:off x="22433643" y="5518605"/>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1</a:t>
          </a:r>
          <a:r>
            <a:rPr lang="fr-FR" sz="1600"/>
            <a:t> </a:t>
          </a:r>
        </a:p>
      </xdr:txBody>
    </xdr:sp>
    <xdr:clientData fPrintsWithSheet="0"/>
  </xdr:twoCellAnchor>
  <xdr:twoCellAnchor>
    <xdr:from>
      <xdr:col>34</xdr:col>
      <xdr:colOff>118382</xdr:colOff>
      <xdr:row>19</xdr:row>
      <xdr:rowOff>136980</xdr:rowOff>
    </xdr:from>
    <xdr:to>
      <xdr:col>34</xdr:col>
      <xdr:colOff>2023382</xdr:colOff>
      <xdr:row>23</xdr:row>
      <xdr:rowOff>68945</xdr:rowOff>
    </xdr:to>
    <xdr:sp macro="[0]!JMK_Trans_FDUEL2" textlink="">
      <xdr:nvSpPr>
        <xdr:cNvPr id="29" name="Rectangle à coins arrondis 28">
          <a:extLst>
            <a:ext uri="{FF2B5EF4-FFF2-40B4-BE49-F238E27FC236}">
              <a16:creationId xmlns:a16="http://schemas.microsoft.com/office/drawing/2014/main" id="{00000000-0008-0000-3000-00001D000000}"/>
            </a:ext>
          </a:extLst>
        </xdr:cNvPr>
        <xdr:cNvSpPr/>
      </xdr:nvSpPr>
      <xdr:spPr bwMode="auto">
        <a:xfrm>
          <a:off x="24772257" y="5518605"/>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2</a:t>
          </a:r>
          <a:r>
            <a:rPr lang="fr-FR" sz="1600"/>
            <a:t> </a:t>
          </a:r>
        </a:p>
      </xdr:txBody>
    </xdr:sp>
    <xdr:clientData fPrintsWithSheet="0"/>
  </xdr:twoCellAnchor>
  <xdr:twoCellAnchor>
    <xdr:from>
      <xdr:col>35</xdr:col>
      <xdr:colOff>12247</xdr:colOff>
      <xdr:row>19</xdr:row>
      <xdr:rowOff>136980</xdr:rowOff>
    </xdr:from>
    <xdr:to>
      <xdr:col>35</xdr:col>
      <xdr:colOff>1917247</xdr:colOff>
      <xdr:row>23</xdr:row>
      <xdr:rowOff>68945</xdr:rowOff>
    </xdr:to>
    <xdr:sp macro="[0]!JMK_Trans_FDUEL3" textlink="">
      <xdr:nvSpPr>
        <xdr:cNvPr id="30" name="Rectangle à coins arrondis 29">
          <a:extLst>
            <a:ext uri="{FF2B5EF4-FFF2-40B4-BE49-F238E27FC236}">
              <a16:creationId xmlns:a16="http://schemas.microsoft.com/office/drawing/2014/main" id="{00000000-0008-0000-3000-00001E000000}"/>
            </a:ext>
          </a:extLst>
        </xdr:cNvPr>
        <xdr:cNvSpPr/>
      </xdr:nvSpPr>
      <xdr:spPr bwMode="auto">
        <a:xfrm>
          <a:off x="27126747" y="5518605"/>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3</a:t>
          </a:r>
          <a:r>
            <a:rPr lang="fr-FR" sz="1600"/>
            <a:t> </a:t>
          </a:r>
        </a:p>
      </xdr:txBody>
    </xdr:sp>
    <xdr:clientData fPrintsWithSheet="0"/>
  </xdr:twoCellAnchor>
  <xdr:twoCellAnchor>
    <xdr:from>
      <xdr:col>34</xdr:col>
      <xdr:colOff>1635124</xdr:colOff>
      <xdr:row>26</xdr:row>
      <xdr:rowOff>79375</xdr:rowOff>
    </xdr:from>
    <xdr:to>
      <xdr:col>35</xdr:col>
      <xdr:colOff>1079499</xdr:colOff>
      <xdr:row>32</xdr:row>
      <xdr:rowOff>111125</xdr:rowOff>
    </xdr:to>
    <xdr:sp macro="[0]!JMK_ZI_Résultat_Final" textlink="">
      <xdr:nvSpPr>
        <xdr:cNvPr id="34" name="Rectangle à coins arrondis 33">
          <a:extLst>
            <a:ext uri="{FF2B5EF4-FFF2-40B4-BE49-F238E27FC236}">
              <a16:creationId xmlns:a16="http://schemas.microsoft.com/office/drawing/2014/main" id="{00000000-0008-0000-3000-000022000000}"/>
            </a:ext>
          </a:extLst>
        </xdr:cNvPr>
        <xdr:cNvSpPr/>
      </xdr:nvSpPr>
      <xdr:spPr bwMode="auto">
        <a:xfrm>
          <a:off x="26288999" y="6905625"/>
          <a:ext cx="1905000" cy="1270000"/>
        </a:xfrm>
        <a:prstGeom prst="roundRect">
          <a:avLst/>
        </a:prstGeom>
        <a:solidFill>
          <a:srgbClr val="00FF99"/>
        </a:solidFill>
        <a:ln w="9525" cap="flat" cmpd="sng" algn="ctr">
          <a:solidFill>
            <a:srgbClr val="400000"/>
          </a:solidFill>
          <a:prstDash val="solid"/>
          <a:round/>
          <a:headEnd type="none" w="med" len="med"/>
          <a:tailEnd type="none" w="med" len="med"/>
        </a:ln>
        <a:effectLst/>
      </xdr:spPr>
      <xdr:txBody>
        <a:bodyPr rot="0" spcFirstLastPara="0" vertOverflow="clip" horzOverflow="clip" vert="horz" wrap="square" lIns="18288" tIns="0" rIns="0" bIns="0" numCol="1" spcCol="0" rtlCol="0" fromWordArt="0" anchor="ctr" anchorCtr="0" forceAA="0" upright="1" compatLnSpc="1">
          <a:prstTxWarp prst="textNoShape">
            <a:avLst/>
          </a:prstTxWarp>
          <a:noAutofit/>
        </a:bodyPr>
        <a:lstStyle/>
        <a:p>
          <a:pPr algn="ctr"/>
          <a:r>
            <a:rPr lang="fr-FR" sz="2000"/>
            <a:t>Impression</a:t>
          </a:r>
          <a:r>
            <a:rPr lang="fr-FR" sz="2000" baseline="0"/>
            <a:t> du CLASSEMENT FINAL</a:t>
          </a:r>
          <a:endParaRPr lang="fr-FR" sz="2000"/>
        </a:p>
      </xdr:txBody>
    </xdr:sp>
    <xdr:clientData fPrintsWithSheet="0"/>
  </xdr:twoCellAnchor>
  <xdr:twoCellAnchor>
    <xdr:from>
      <xdr:col>24</xdr:col>
      <xdr:colOff>1016000</xdr:colOff>
      <xdr:row>0</xdr:row>
      <xdr:rowOff>254000</xdr:rowOff>
    </xdr:from>
    <xdr:to>
      <xdr:col>25</xdr:col>
      <xdr:colOff>95250</xdr:colOff>
      <xdr:row>1</xdr:row>
      <xdr:rowOff>349250</xdr:rowOff>
    </xdr:to>
    <xdr:sp macro="[0]!jmk_RETOUR_MENU" textlink="">
      <xdr:nvSpPr>
        <xdr:cNvPr id="35" name="Rectangle à coins arrondis 34">
          <a:extLst>
            <a:ext uri="{FF2B5EF4-FFF2-40B4-BE49-F238E27FC236}">
              <a16:creationId xmlns:a16="http://schemas.microsoft.com/office/drawing/2014/main" id="{00000000-0008-0000-3000-000023000000}"/>
            </a:ext>
          </a:extLst>
        </xdr:cNvPr>
        <xdr:cNvSpPr/>
      </xdr:nvSpPr>
      <xdr:spPr bwMode="auto">
        <a:xfrm>
          <a:off x="17827625" y="254000"/>
          <a:ext cx="1524000" cy="79375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Retour aux MENUS</a:t>
          </a:r>
        </a:p>
      </xdr:txBody>
    </xdr:sp>
    <xdr:clientData fPrintsWithSheet="0"/>
  </xdr:twoCellAnchor>
  <xdr:twoCellAnchor editAs="oneCell">
    <xdr:from>
      <xdr:col>10</xdr:col>
      <xdr:colOff>142875</xdr:colOff>
      <xdr:row>0</xdr:row>
      <xdr:rowOff>133350</xdr:rowOff>
    </xdr:from>
    <xdr:to>
      <xdr:col>12</xdr:col>
      <xdr:colOff>1104900</xdr:colOff>
      <xdr:row>1</xdr:row>
      <xdr:rowOff>558800</xdr:rowOff>
    </xdr:to>
    <xdr:pic>
      <xdr:nvPicPr>
        <xdr:cNvPr id="46" name="Image 45">
          <a:extLst>
            <a:ext uri="{FF2B5EF4-FFF2-40B4-BE49-F238E27FC236}">
              <a16:creationId xmlns:a16="http://schemas.microsoft.com/office/drawing/2014/main" id="{00000000-0008-0000-30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81875" y="133350"/>
          <a:ext cx="1905000" cy="1130300"/>
        </a:xfrm>
        <a:prstGeom prst="rect">
          <a:avLst/>
        </a:prstGeom>
      </xdr:spPr>
    </xdr:pic>
    <xdr:clientData/>
  </xdr:twoCellAnchor>
  <xdr:twoCellAnchor editAs="oneCell">
    <xdr:from>
      <xdr:col>35</xdr:col>
      <xdr:colOff>1476375</xdr:colOff>
      <xdr:row>2</xdr:row>
      <xdr:rowOff>409575</xdr:rowOff>
    </xdr:from>
    <xdr:to>
      <xdr:col>35</xdr:col>
      <xdr:colOff>2413000</xdr:colOff>
      <xdr:row>4</xdr:row>
      <xdr:rowOff>166767</xdr:rowOff>
    </xdr:to>
    <xdr:pic>
      <xdr:nvPicPr>
        <xdr:cNvPr id="47" name="Image 46">
          <a:extLst>
            <a:ext uri="{FF2B5EF4-FFF2-40B4-BE49-F238E27FC236}">
              <a16:creationId xmlns:a16="http://schemas.microsoft.com/office/drawing/2014/main" id="{00000000-0008-0000-3000-00002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822900" y="1895475"/>
          <a:ext cx="936625" cy="557292"/>
        </a:xfrm>
        <a:prstGeom prst="rect">
          <a:avLst/>
        </a:prstGeom>
      </xdr:spPr>
    </xdr:pic>
    <xdr:clientData/>
  </xdr:twoCellAnchor>
  <xdr:twoCellAnchor>
    <xdr:from>
      <xdr:col>33</xdr:col>
      <xdr:colOff>552450</xdr:colOff>
      <xdr:row>25</xdr:row>
      <xdr:rowOff>9525</xdr:rowOff>
    </xdr:from>
    <xdr:to>
      <xdr:col>33</xdr:col>
      <xdr:colOff>1870643</xdr:colOff>
      <xdr:row>29</xdr:row>
      <xdr:rowOff>32657</xdr:rowOff>
    </xdr:to>
    <xdr:sp macro="[0]!Imp_DUEL_Tableau" textlink="">
      <xdr:nvSpPr>
        <xdr:cNvPr id="48" name="Rectangle à coins arrondis 47">
          <a:extLst>
            <a:ext uri="{FF2B5EF4-FFF2-40B4-BE49-F238E27FC236}">
              <a16:creationId xmlns:a16="http://schemas.microsoft.com/office/drawing/2014/main" id="{00000000-0008-0000-3000-000030000000}"/>
            </a:ext>
          </a:extLst>
        </xdr:cNvPr>
        <xdr:cNvSpPr/>
      </xdr:nvSpPr>
      <xdr:spPr bwMode="auto">
        <a:xfrm>
          <a:off x="24993600" y="6496050"/>
          <a:ext cx="1318193" cy="823232"/>
        </a:xfrm>
        <a:prstGeom prst="roundRect">
          <a:avLst/>
        </a:prstGeom>
        <a:solidFill>
          <a:srgbClr val="E923EE"/>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 TABLEAU des</a:t>
          </a:r>
          <a:r>
            <a:rPr lang="fr-FR" sz="1600" baseline="0"/>
            <a:t> DUELS</a:t>
          </a:r>
          <a:endParaRPr lang="fr-FR" sz="1600"/>
        </a:p>
      </xdr:txBody>
    </xdr:sp>
    <xdr:clientData/>
  </xdr:twoCellAnchor>
  <xdr:twoCellAnchor>
    <xdr:from>
      <xdr:col>15</xdr:col>
      <xdr:colOff>178594</xdr:colOff>
      <xdr:row>43</xdr:row>
      <xdr:rowOff>190500</xdr:rowOff>
    </xdr:from>
    <xdr:to>
      <xdr:col>16</xdr:col>
      <xdr:colOff>0</xdr:colOff>
      <xdr:row>55</xdr:row>
      <xdr:rowOff>59531</xdr:rowOff>
    </xdr:to>
    <xdr:cxnSp macro="">
      <xdr:nvCxnSpPr>
        <xdr:cNvPr id="5" name="Connecteur droit avec flèche 4">
          <a:extLst>
            <a:ext uri="{FF2B5EF4-FFF2-40B4-BE49-F238E27FC236}">
              <a16:creationId xmlns:a16="http://schemas.microsoft.com/office/drawing/2014/main" id="{00000000-0008-0000-3000-000005000000}"/>
            </a:ext>
          </a:extLst>
        </xdr:cNvPr>
        <xdr:cNvCxnSpPr>
          <a:cxnSpLocks/>
        </xdr:cNvCxnSpPr>
      </xdr:nvCxnSpPr>
      <xdr:spPr>
        <a:xfrm flipV="1">
          <a:off x="8122444" y="4676775"/>
          <a:ext cx="869156" cy="226933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107156</xdr:colOff>
      <xdr:row>37</xdr:row>
      <xdr:rowOff>119063</xdr:rowOff>
    </xdr:from>
    <xdr:to>
      <xdr:col>16</xdr:col>
      <xdr:colOff>23813</xdr:colOff>
      <xdr:row>41</xdr:row>
      <xdr:rowOff>95250</xdr:rowOff>
    </xdr:to>
    <xdr:cxnSp macro="">
      <xdr:nvCxnSpPr>
        <xdr:cNvPr id="6" name="Connecteur droit avec flèche 5">
          <a:extLst>
            <a:ext uri="{FF2B5EF4-FFF2-40B4-BE49-F238E27FC236}">
              <a16:creationId xmlns:a16="http://schemas.microsoft.com/office/drawing/2014/main" id="{00000000-0008-0000-3000-000006000000}"/>
            </a:ext>
          </a:extLst>
        </xdr:cNvPr>
        <xdr:cNvCxnSpPr>
          <a:cxnSpLocks/>
        </xdr:cNvCxnSpPr>
      </xdr:nvCxnSpPr>
      <xdr:spPr>
        <a:xfrm flipV="1">
          <a:off x="8051006" y="3405188"/>
          <a:ext cx="964407" cy="77628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34</xdr:row>
      <xdr:rowOff>120651</xdr:rowOff>
    </xdr:from>
    <xdr:to>
      <xdr:col>22</xdr:col>
      <xdr:colOff>12700</xdr:colOff>
      <xdr:row>36</xdr:row>
      <xdr:rowOff>0</xdr:rowOff>
    </xdr:to>
    <xdr:cxnSp macro="">
      <xdr:nvCxnSpPr>
        <xdr:cNvPr id="7" name="Connecteur droit avec flèche 6">
          <a:extLst>
            <a:ext uri="{FF2B5EF4-FFF2-40B4-BE49-F238E27FC236}">
              <a16:creationId xmlns:a16="http://schemas.microsoft.com/office/drawing/2014/main" id="{00000000-0008-0000-3000-000007000000}"/>
            </a:ext>
          </a:extLst>
        </xdr:cNvPr>
        <xdr:cNvCxnSpPr/>
      </xdr:nvCxnSpPr>
      <xdr:spPr>
        <a:xfrm flipV="1">
          <a:off x="13556797" y="28067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36</xdr:row>
      <xdr:rowOff>120650</xdr:rowOff>
    </xdr:from>
    <xdr:to>
      <xdr:col>22</xdr:col>
      <xdr:colOff>12700</xdr:colOff>
      <xdr:row>43</xdr:row>
      <xdr:rowOff>2116</xdr:rowOff>
    </xdr:to>
    <xdr:cxnSp macro="">
      <xdr:nvCxnSpPr>
        <xdr:cNvPr id="8" name="Connecteur droit avec flèche 7">
          <a:extLst>
            <a:ext uri="{FF2B5EF4-FFF2-40B4-BE49-F238E27FC236}">
              <a16:creationId xmlns:a16="http://schemas.microsoft.com/office/drawing/2014/main" id="{00000000-0008-0000-3000-000008000000}"/>
            </a:ext>
          </a:extLst>
        </xdr:cNvPr>
        <xdr:cNvCxnSpPr/>
      </xdr:nvCxnSpPr>
      <xdr:spPr>
        <a:xfrm flipV="1">
          <a:off x="13532908" y="32067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36</xdr:row>
      <xdr:rowOff>13607</xdr:rowOff>
    </xdr:from>
    <xdr:to>
      <xdr:col>22</xdr:col>
      <xdr:colOff>31750</xdr:colOff>
      <xdr:row>43</xdr:row>
      <xdr:rowOff>190500</xdr:rowOff>
    </xdr:to>
    <xdr:cxnSp macro="">
      <xdr:nvCxnSpPr>
        <xdr:cNvPr id="14" name="Connecteur droit avec flèche 13">
          <a:extLst>
            <a:ext uri="{FF2B5EF4-FFF2-40B4-BE49-F238E27FC236}">
              <a16:creationId xmlns:a16="http://schemas.microsoft.com/office/drawing/2014/main" id="{00000000-0008-0000-3000-00000E000000}"/>
            </a:ext>
          </a:extLst>
        </xdr:cNvPr>
        <xdr:cNvCxnSpPr/>
      </xdr:nvCxnSpPr>
      <xdr:spPr>
        <a:xfrm>
          <a:off x="14158233" y="8903607"/>
          <a:ext cx="1081767" cy="1621518"/>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41</xdr:row>
      <xdr:rowOff>158750</xdr:rowOff>
    </xdr:from>
    <xdr:to>
      <xdr:col>22</xdr:col>
      <xdr:colOff>0</xdr:colOff>
      <xdr:row>43</xdr:row>
      <xdr:rowOff>2123</xdr:rowOff>
    </xdr:to>
    <xdr:cxnSp macro="">
      <xdr:nvCxnSpPr>
        <xdr:cNvPr id="15" name="Connecteur droit avec flèche 14">
          <a:extLst>
            <a:ext uri="{FF2B5EF4-FFF2-40B4-BE49-F238E27FC236}">
              <a16:creationId xmlns:a16="http://schemas.microsoft.com/office/drawing/2014/main" id="{00000000-0008-0000-3000-00000F000000}"/>
            </a:ext>
          </a:extLst>
        </xdr:cNvPr>
        <xdr:cNvCxnSpPr/>
      </xdr:nvCxnSpPr>
      <xdr:spPr>
        <a:xfrm flipV="1">
          <a:off x="14144625" y="10080625"/>
          <a:ext cx="1063625" cy="25612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190500</xdr:colOff>
      <xdr:row>34</xdr:row>
      <xdr:rowOff>158750</xdr:rowOff>
    </xdr:from>
    <xdr:to>
      <xdr:col>16</xdr:col>
      <xdr:colOff>43961</xdr:colOff>
      <xdr:row>34</xdr:row>
      <xdr:rowOff>161192</xdr:rowOff>
    </xdr:to>
    <xdr:cxnSp macro="">
      <xdr:nvCxnSpPr>
        <xdr:cNvPr id="16" name="Connecteur droit avec flèche 15">
          <a:extLst>
            <a:ext uri="{FF2B5EF4-FFF2-40B4-BE49-F238E27FC236}">
              <a16:creationId xmlns:a16="http://schemas.microsoft.com/office/drawing/2014/main" id="{00000000-0008-0000-3000-000010000000}"/>
            </a:ext>
          </a:extLst>
        </xdr:cNvPr>
        <xdr:cNvCxnSpPr>
          <a:cxnSpLocks/>
        </xdr:cNvCxnSpPr>
      </xdr:nvCxnSpPr>
      <xdr:spPr>
        <a:xfrm>
          <a:off x="8134350" y="2844800"/>
          <a:ext cx="901211" cy="2442"/>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95250</xdr:colOff>
      <xdr:row>41</xdr:row>
      <xdr:rowOff>130969</xdr:rowOff>
    </xdr:from>
    <xdr:to>
      <xdr:col>16</xdr:col>
      <xdr:colOff>35719</xdr:colOff>
      <xdr:row>47</xdr:row>
      <xdr:rowOff>119062</xdr:rowOff>
    </xdr:to>
    <xdr:cxnSp macro="">
      <xdr:nvCxnSpPr>
        <xdr:cNvPr id="17" name="Connecteur droit avec flèche 16">
          <a:extLst>
            <a:ext uri="{FF2B5EF4-FFF2-40B4-BE49-F238E27FC236}">
              <a16:creationId xmlns:a16="http://schemas.microsoft.com/office/drawing/2014/main" id="{00000000-0008-0000-3000-000011000000}"/>
            </a:ext>
          </a:extLst>
        </xdr:cNvPr>
        <xdr:cNvCxnSpPr>
          <a:cxnSpLocks/>
        </xdr:cNvCxnSpPr>
      </xdr:nvCxnSpPr>
      <xdr:spPr>
        <a:xfrm flipV="1">
          <a:off x="8039100" y="4217194"/>
          <a:ext cx="988219" cy="1188243"/>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566496</xdr:colOff>
      <xdr:row>43</xdr:row>
      <xdr:rowOff>174618</xdr:rowOff>
    </xdr:from>
    <xdr:to>
      <xdr:col>12</xdr:col>
      <xdr:colOff>1949450</xdr:colOff>
      <xdr:row>46</xdr:row>
      <xdr:rowOff>51288</xdr:rowOff>
    </xdr:to>
    <xdr:sp macro="" textlink="">
      <xdr:nvSpPr>
        <xdr:cNvPr id="18" name="Rectangle à coins arrondis 23">
          <a:extLst>
            <a:ext uri="{FF2B5EF4-FFF2-40B4-BE49-F238E27FC236}">
              <a16:creationId xmlns:a16="http://schemas.microsoft.com/office/drawing/2014/main" id="{00000000-0008-0000-3000-000012000000}"/>
            </a:ext>
          </a:extLst>
        </xdr:cNvPr>
        <xdr:cNvSpPr/>
      </xdr:nvSpPr>
      <xdr:spPr bwMode="auto">
        <a:xfrm>
          <a:off x="4986096" y="4660893"/>
          <a:ext cx="1382954" cy="476745"/>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twoCellAnchor>
    <xdr:from>
      <xdr:col>12</xdr:col>
      <xdr:colOff>566496</xdr:colOff>
      <xdr:row>37</xdr:row>
      <xdr:rowOff>3962</xdr:rowOff>
    </xdr:from>
    <xdr:to>
      <xdr:col>12</xdr:col>
      <xdr:colOff>1949450</xdr:colOff>
      <xdr:row>39</xdr:row>
      <xdr:rowOff>83038</xdr:rowOff>
    </xdr:to>
    <xdr:sp macro="" textlink="">
      <xdr:nvSpPr>
        <xdr:cNvPr id="27" name="Rectangle à coins arrondis 23">
          <a:extLst>
            <a:ext uri="{FF2B5EF4-FFF2-40B4-BE49-F238E27FC236}">
              <a16:creationId xmlns:a16="http://schemas.microsoft.com/office/drawing/2014/main" id="{00000000-0008-0000-3000-00001B000000}"/>
            </a:ext>
          </a:extLst>
        </xdr:cNvPr>
        <xdr:cNvSpPr/>
      </xdr:nvSpPr>
      <xdr:spPr bwMode="auto">
        <a:xfrm>
          <a:off x="4986096" y="3290087"/>
          <a:ext cx="1382954" cy="479126"/>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twoCellAnchor>
    <xdr:from>
      <xdr:col>12</xdr:col>
      <xdr:colOff>566496</xdr:colOff>
      <xdr:row>50</xdr:row>
      <xdr:rowOff>144455</xdr:rowOff>
    </xdr:from>
    <xdr:to>
      <xdr:col>12</xdr:col>
      <xdr:colOff>1949450</xdr:colOff>
      <xdr:row>53</xdr:row>
      <xdr:rowOff>21126</xdr:rowOff>
    </xdr:to>
    <xdr:sp macro="" textlink="">
      <xdr:nvSpPr>
        <xdr:cNvPr id="31" name="Rectangle à coins arrondis 23">
          <a:extLst>
            <a:ext uri="{FF2B5EF4-FFF2-40B4-BE49-F238E27FC236}">
              <a16:creationId xmlns:a16="http://schemas.microsoft.com/office/drawing/2014/main" id="{00000000-0008-0000-3000-00001F000000}"/>
            </a:ext>
          </a:extLst>
        </xdr:cNvPr>
        <xdr:cNvSpPr/>
      </xdr:nvSpPr>
      <xdr:spPr bwMode="auto">
        <a:xfrm>
          <a:off x="4986096" y="6030905"/>
          <a:ext cx="1382954" cy="476746"/>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twoCellAnchor>
    <xdr:from>
      <xdr:col>12</xdr:col>
      <xdr:colOff>566496</xdr:colOff>
      <xdr:row>57</xdr:row>
      <xdr:rowOff>130168</xdr:rowOff>
    </xdr:from>
    <xdr:to>
      <xdr:col>12</xdr:col>
      <xdr:colOff>1949450</xdr:colOff>
      <xdr:row>60</xdr:row>
      <xdr:rowOff>6838</xdr:rowOff>
    </xdr:to>
    <xdr:sp macro="" textlink="">
      <xdr:nvSpPr>
        <xdr:cNvPr id="32" name="Rectangle à coins arrondis 23">
          <a:extLst>
            <a:ext uri="{FF2B5EF4-FFF2-40B4-BE49-F238E27FC236}">
              <a16:creationId xmlns:a16="http://schemas.microsoft.com/office/drawing/2014/main" id="{00000000-0008-0000-3000-000020000000}"/>
            </a:ext>
          </a:extLst>
        </xdr:cNvPr>
        <xdr:cNvSpPr/>
      </xdr:nvSpPr>
      <xdr:spPr bwMode="auto">
        <a:xfrm>
          <a:off x="4986096" y="7416793"/>
          <a:ext cx="1382954" cy="476745"/>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15</xdr:col>
      <xdr:colOff>40822</xdr:colOff>
      <xdr:row>6</xdr:row>
      <xdr:rowOff>95250</xdr:rowOff>
    </xdr:from>
    <xdr:to>
      <xdr:col>16</xdr:col>
      <xdr:colOff>0</xdr:colOff>
      <xdr:row>7</xdr:row>
      <xdr:rowOff>176893</xdr:rowOff>
    </xdr:to>
    <xdr:cxnSp macro="">
      <xdr:nvCxnSpPr>
        <xdr:cNvPr id="2" name="Connecteur droit avec flèche 1">
          <a:extLst>
            <a:ext uri="{FF2B5EF4-FFF2-40B4-BE49-F238E27FC236}">
              <a16:creationId xmlns:a16="http://schemas.microsoft.com/office/drawing/2014/main" id="{00000000-0008-0000-3100-000002000000}"/>
            </a:ext>
          </a:extLst>
        </xdr:cNvPr>
        <xdr:cNvCxnSpPr/>
      </xdr:nvCxnSpPr>
      <xdr:spPr>
        <a:xfrm flipV="1">
          <a:off x="9441997" y="2781300"/>
          <a:ext cx="1006928" cy="28166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8</xdr:row>
      <xdr:rowOff>120650</xdr:rowOff>
    </xdr:from>
    <xdr:to>
      <xdr:col>15</xdr:col>
      <xdr:colOff>1044575</xdr:colOff>
      <xdr:row>14</xdr:row>
      <xdr:rowOff>149678</xdr:rowOff>
    </xdr:to>
    <xdr:cxnSp macro="">
      <xdr:nvCxnSpPr>
        <xdr:cNvPr id="3" name="Connecteur droit avec flèche 2">
          <a:extLst>
            <a:ext uri="{FF2B5EF4-FFF2-40B4-BE49-F238E27FC236}">
              <a16:creationId xmlns:a16="http://schemas.microsoft.com/office/drawing/2014/main" id="{00000000-0008-0000-3100-000003000000}"/>
            </a:ext>
          </a:extLst>
        </xdr:cNvPr>
        <xdr:cNvCxnSpPr/>
      </xdr:nvCxnSpPr>
      <xdr:spPr>
        <a:xfrm flipV="1">
          <a:off x="9401175" y="3206750"/>
          <a:ext cx="1044575" cy="122917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14</xdr:row>
      <xdr:rowOff>13607</xdr:rowOff>
    </xdr:from>
    <xdr:to>
      <xdr:col>15</xdr:col>
      <xdr:colOff>1020536</xdr:colOff>
      <xdr:row>21</xdr:row>
      <xdr:rowOff>149679</xdr:rowOff>
    </xdr:to>
    <xdr:cxnSp macro="">
      <xdr:nvCxnSpPr>
        <xdr:cNvPr id="4" name="Connecteur droit avec flèche 3">
          <a:extLst>
            <a:ext uri="{FF2B5EF4-FFF2-40B4-BE49-F238E27FC236}">
              <a16:creationId xmlns:a16="http://schemas.microsoft.com/office/drawing/2014/main" id="{00000000-0008-0000-3100-000004000000}"/>
            </a:ext>
          </a:extLst>
        </xdr:cNvPr>
        <xdr:cNvCxnSpPr/>
      </xdr:nvCxnSpPr>
      <xdr:spPr>
        <a:xfrm flipV="1">
          <a:off x="9401175" y="4299857"/>
          <a:ext cx="1020536" cy="153624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16</xdr:row>
      <xdr:rowOff>13607</xdr:rowOff>
    </xdr:from>
    <xdr:to>
      <xdr:col>16</xdr:col>
      <xdr:colOff>0</xdr:colOff>
      <xdr:row>29</xdr:row>
      <xdr:rowOff>10582</xdr:rowOff>
    </xdr:to>
    <xdr:cxnSp macro="">
      <xdr:nvCxnSpPr>
        <xdr:cNvPr id="9" name="Connecteur droit avec flèche 8">
          <a:extLst>
            <a:ext uri="{FF2B5EF4-FFF2-40B4-BE49-F238E27FC236}">
              <a16:creationId xmlns:a16="http://schemas.microsoft.com/office/drawing/2014/main" id="{00000000-0008-0000-3100-000009000000}"/>
            </a:ext>
          </a:extLst>
        </xdr:cNvPr>
        <xdr:cNvCxnSpPr/>
      </xdr:nvCxnSpPr>
      <xdr:spPr>
        <a:xfrm flipV="1">
          <a:off x="9401175" y="4699907"/>
          <a:ext cx="1047750" cy="259730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8</xdr:row>
      <xdr:rowOff>10583</xdr:rowOff>
    </xdr:from>
    <xdr:to>
      <xdr:col>16</xdr:col>
      <xdr:colOff>16934</xdr:colOff>
      <xdr:row>20</xdr:row>
      <xdr:rowOff>146050</xdr:rowOff>
    </xdr:to>
    <xdr:cxnSp macro="">
      <xdr:nvCxnSpPr>
        <xdr:cNvPr id="10" name="Connecteur droit avec flèche 9">
          <a:extLst>
            <a:ext uri="{FF2B5EF4-FFF2-40B4-BE49-F238E27FC236}">
              <a16:creationId xmlns:a16="http://schemas.microsoft.com/office/drawing/2014/main" id="{00000000-0008-0000-3100-00000A000000}"/>
            </a:ext>
          </a:extLst>
        </xdr:cNvPr>
        <xdr:cNvCxnSpPr/>
      </xdr:nvCxnSpPr>
      <xdr:spPr>
        <a:xfrm>
          <a:off x="9418109" y="3096683"/>
          <a:ext cx="1047750" cy="25357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29634</xdr:colOff>
      <xdr:row>15</xdr:row>
      <xdr:rowOff>40216</xdr:rowOff>
    </xdr:from>
    <xdr:to>
      <xdr:col>16</xdr:col>
      <xdr:colOff>25400</xdr:colOff>
      <xdr:row>22</xdr:row>
      <xdr:rowOff>133350</xdr:rowOff>
    </xdr:to>
    <xdr:cxnSp macro="">
      <xdr:nvCxnSpPr>
        <xdr:cNvPr id="11" name="Connecteur droit avec flèche 10">
          <a:extLst>
            <a:ext uri="{FF2B5EF4-FFF2-40B4-BE49-F238E27FC236}">
              <a16:creationId xmlns:a16="http://schemas.microsoft.com/office/drawing/2014/main" id="{00000000-0008-0000-3100-00000B000000}"/>
            </a:ext>
          </a:extLst>
        </xdr:cNvPr>
        <xdr:cNvCxnSpPr/>
      </xdr:nvCxnSpPr>
      <xdr:spPr>
        <a:xfrm>
          <a:off x="9430809" y="4526491"/>
          <a:ext cx="1043516" cy="149330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22</xdr:row>
      <xdr:rowOff>27516</xdr:rowOff>
    </xdr:from>
    <xdr:to>
      <xdr:col>16</xdr:col>
      <xdr:colOff>12700</xdr:colOff>
      <xdr:row>27</xdr:row>
      <xdr:rowOff>107950</xdr:rowOff>
    </xdr:to>
    <xdr:cxnSp macro="">
      <xdr:nvCxnSpPr>
        <xdr:cNvPr id="12" name="Connecteur droit avec flèche 11">
          <a:extLst>
            <a:ext uri="{FF2B5EF4-FFF2-40B4-BE49-F238E27FC236}">
              <a16:creationId xmlns:a16="http://schemas.microsoft.com/office/drawing/2014/main" id="{00000000-0008-0000-3100-00000C000000}"/>
            </a:ext>
          </a:extLst>
        </xdr:cNvPr>
        <xdr:cNvCxnSpPr/>
      </xdr:nvCxnSpPr>
      <xdr:spPr>
        <a:xfrm>
          <a:off x="9418109" y="5913966"/>
          <a:ext cx="1043516" cy="108055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29</xdr:row>
      <xdr:rowOff>10584</xdr:rowOff>
    </xdr:from>
    <xdr:to>
      <xdr:col>15</xdr:col>
      <xdr:colOff>1044575</xdr:colOff>
      <xdr:row>29</xdr:row>
      <xdr:rowOff>133350</xdr:rowOff>
    </xdr:to>
    <xdr:cxnSp macro="">
      <xdr:nvCxnSpPr>
        <xdr:cNvPr id="13" name="Connecteur droit avec flèche 12">
          <a:extLst>
            <a:ext uri="{FF2B5EF4-FFF2-40B4-BE49-F238E27FC236}">
              <a16:creationId xmlns:a16="http://schemas.microsoft.com/office/drawing/2014/main" id="{00000000-0008-0000-3100-00000D000000}"/>
            </a:ext>
          </a:extLst>
        </xdr:cNvPr>
        <xdr:cNvCxnSpPr/>
      </xdr:nvCxnSpPr>
      <xdr:spPr>
        <a:xfrm>
          <a:off x="9418109" y="7297209"/>
          <a:ext cx="1027641" cy="12276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6</xdr:row>
      <xdr:rowOff>120651</xdr:rowOff>
    </xdr:from>
    <xdr:to>
      <xdr:col>22</xdr:col>
      <xdr:colOff>12700</xdr:colOff>
      <xdr:row>8</xdr:row>
      <xdr:rowOff>0</xdr:rowOff>
    </xdr:to>
    <xdr:cxnSp macro="">
      <xdr:nvCxnSpPr>
        <xdr:cNvPr id="20" name="Connecteur droit avec flèche 19">
          <a:extLst>
            <a:ext uri="{FF2B5EF4-FFF2-40B4-BE49-F238E27FC236}">
              <a16:creationId xmlns:a16="http://schemas.microsoft.com/office/drawing/2014/main" id="{00000000-0008-0000-3100-000014000000}"/>
            </a:ext>
          </a:extLst>
        </xdr:cNvPr>
        <xdr:cNvCxnSpPr/>
      </xdr:nvCxnSpPr>
      <xdr:spPr>
        <a:xfrm flipV="1">
          <a:off x="14918872" y="28067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8</xdr:row>
      <xdr:rowOff>120650</xdr:rowOff>
    </xdr:from>
    <xdr:to>
      <xdr:col>22</xdr:col>
      <xdr:colOff>12700</xdr:colOff>
      <xdr:row>15</xdr:row>
      <xdr:rowOff>2116</xdr:rowOff>
    </xdr:to>
    <xdr:cxnSp macro="">
      <xdr:nvCxnSpPr>
        <xdr:cNvPr id="21" name="Connecteur droit avec flèche 20">
          <a:extLst>
            <a:ext uri="{FF2B5EF4-FFF2-40B4-BE49-F238E27FC236}">
              <a16:creationId xmlns:a16="http://schemas.microsoft.com/office/drawing/2014/main" id="{00000000-0008-0000-3100-000015000000}"/>
            </a:ext>
          </a:extLst>
        </xdr:cNvPr>
        <xdr:cNvCxnSpPr/>
      </xdr:nvCxnSpPr>
      <xdr:spPr>
        <a:xfrm flipV="1">
          <a:off x="14894983" y="32067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8</xdr:row>
      <xdr:rowOff>13607</xdr:rowOff>
    </xdr:from>
    <xdr:to>
      <xdr:col>21</xdr:col>
      <xdr:colOff>1060450</xdr:colOff>
      <xdr:row>13</xdr:row>
      <xdr:rowOff>103724</xdr:rowOff>
    </xdr:to>
    <xdr:cxnSp macro="">
      <xdr:nvCxnSpPr>
        <xdr:cNvPr id="22" name="Connecteur droit avec flèche 21">
          <a:extLst>
            <a:ext uri="{FF2B5EF4-FFF2-40B4-BE49-F238E27FC236}">
              <a16:creationId xmlns:a16="http://schemas.microsoft.com/office/drawing/2014/main" id="{00000000-0008-0000-3100-000016000000}"/>
            </a:ext>
          </a:extLst>
        </xdr:cNvPr>
        <xdr:cNvCxnSpPr/>
      </xdr:nvCxnSpPr>
      <xdr:spPr>
        <a:xfrm>
          <a:off x="14891658" y="30997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15</xdr:row>
      <xdr:rowOff>2123</xdr:rowOff>
    </xdr:from>
    <xdr:to>
      <xdr:col>21</xdr:col>
      <xdr:colOff>1059392</xdr:colOff>
      <xdr:row>15</xdr:row>
      <xdr:rowOff>120656</xdr:rowOff>
    </xdr:to>
    <xdr:cxnSp macro="">
      <xdr:nvCxnSpPr>
        <xdr:cNvPr id="23" name="Connecteur droit avec flèche 22">
          <a:extLst>
            <a:ext uri="{FF2B5EF4-FFF2-40B4-BE49-F238E27FC236}">
              <a16:creationId xmlns:a16="http://schemas.microsoft.com/office/drawing/2014/main" id="{00000000-0008-0000-3100-000017000000}"/>
            </a:ext>
          </a:extLst>
        </xdr:cNvPr>
        <xdr:cNvCxnSpPr/>
      </xdr:nvCxnSpPr>
      <xdr:spPr>
        <a:xfrm>
          <a:off x="14878050" y="44883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33867</xdr:colOff>
      <xdr:row>20</xdr:row>
      <xdr:rowOff>120650</xdr:rowOff>
    </xdr:from>
    <xdr:to>
      <xdr:col>22</xdr:col>
      <xdr:colOff>12700</xdr:colOff>
      <xdr:row>20</xdr:row>
      <xdr:rowOff>188383</xdr:rowOff>
    </xdr:to>
    <xdr:cxnSp macro="">
      <xdr:nvCxnSpPr>
        <xdr:cNvPr id="24" name="Connecteur droit avec flèche 23">
          <a:extLst>
            <a:ext uri="{FF2B5EF4-FFF2-40B4-BE49-F238E27FC236}">
              <a16:creationId xmlns:a16="http://schemas.microsoft.com/office/drawing/2014/main" id="{00000000-0008-0000-3100-000018000000}"/>
            </a:ext>
          </a:extLst>
        </xdr:cNvPr>
        <xdr:cNvCxnSpPr/>
      </xdr:nvCxnSpPr>
      <xdr:spPr>
        <a:xfrm flipV="1">
          <a:off x="14911917" y="5607050"/>
          <a:ext cx="1036108" cy="67733"/>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22</xdr:row>
      <xdr:rowOff>120650</xdr:rowOff>
    </xdr:from>
    <xdr:to>
      <xdr:col>22</xdr:col>
      <xdr:colOff>12700</xdr:colOff>
      <xdr:row>29</xdr:row>
      <xdr:rowOff>2116</xdr:rowOff>
    </xdr:to>
    <xdr:cxnSp macro="">
      <xdr:nvCxnSpPr>
        <xdr:cNvPr id="25" name="Connecteur droit avec flèche 24">
          <a:extLst>
            <a:ext uri="{FF2B5EF4-FFF2-40B4-BE49-F238E27FC236}">
              <a16:creationId xmlns:a16="http://schemas.microsoft.com/office/drawing/2014/main" id="{00000000-0008-0000-3100-000019000000}"/>
            </a:ext>
          </a:extLst>
        </xdr:cNvPr>
        <xdr:cNvCxnSpPr/>
      </xdr:nvCxnSpPr>
      <xdr:spPr>
        <a:xfrm flipV="1">
          <a:off x="14894983" y="6007100"/>
          <a:ext cx="1053042" cy="1281641"/>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20</xdr:row>
      <xdr:rowOff>188390</xdr:rowOff>
    </xdr:from>
    <xdr:to>
      <xdr:col>21</xdr:col>
      <xdr:colOff>1060450</xdr:colOff>
      <xdr:row>27</xdr:row>
      <xdr:rowOff>103724</xdr:rowOff>
    </xdr:to>
    <xdr:cxnSp macro="">
      <xdr:nvCxnSpPr>
        <xdr:cNvPr id="26" name="Connecteur droit avec flèche 25">
          <a:extLst>
            <a:ext uri="{FF2B5EF4-FFF2-40B4-BE49-F238E27FC236}">
              <a16:creationId xmlns:a16="http://schemas.microsoft.com/office/drawing/2014/main" id="{00000000-0008-0000-3100-00001A000000}"/>
            </a:ext>
          </a:extLst>
        </xdr:cNvPr>
        <xdr:cNvCxnSpPr/>
      </xdr:nvCxnSpPr>
      <xdr:spPr>
        <a:xfrm>
          <a:off x="14878050" y="5674790"/>
          <a:ext cx="1060450" cy="1315509"/>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29</xdr:row>
      <xdr:rowOff>2123</xdr:rowOff>
    </xdr:from>
    <xdr:to>
      <xdr:col>21</xdr:col>
      <xdr:colOff>1059392</xdr:colOff>
      <xdr:row>29</xdr:row>
      <xdr:rowOff>120656</xdr:rowOff>
    </xdr:to>
    <xdr:cxnSp macro="">
      <xdr:nvCxnSpPr>
        <xdr:cNvPr id="27" name="Connecteur droit avec flèche 26">
          <a:extLst>
            <a:ext uri="{FF2B5EF4-FFF2-40B4-BE49-F238E27FC236}">
              <a16:creationId xmlns:a16="http://schemas.microsoft.com/office/drawing/2014/main" id="{00000000-0008-0000-3100-00001B000000}"/>
            </a:ext>
          </a:extLst>
        </xdr:cNvPr>
        <xdr:cNvCxnSpPr/>
      </xdr:nvCxnSpPr>
      <xdr:spPr>
        <a:xfrm>
          <a:off x="14878050" y="7288748"/>
          <a:ext cx="1059392" cy="118533"/>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33</xdr:col>
      <xdr:colOff>319768</xdr:colOff>
      <xdr:row>20</xdr:row>
      <xdr:rowOff>184605</xdr:rowOff>
    </xdr:from>
    <xdr:to>
      <xdr:col>33</xdr:col>
      <xdr:colOff>2224768</xdr:colOff>
      <xdr:row>24</xdr:row>
      <xdr:rowOff>116570</xdr:rowOff>
    </xdr:to>
    <xdr:sp macro="[0]!JMK_Trans_FDUEL1" textlink="">
      <xdr:nvSpPr>
        <xdr:cNvPr id="29" name="Rectangle à coins arrondis 28">
          <a:extLst>
            <a:ext uri="{FF2B5EF4-FFF2-40B4-BE49-F238E27FC236}">
              <a16:creationId xmlns:a16="http://schemas.microsoft.com/office/drawing/2014/main" id="{00000000-0008-0000-3100-00001D000000}"/>
            </a:ext>
          </a:extLst>
        </xdr:cNvPr>
        <xdr:cNvSpPr/>
      </xdr:nvSpPr>
      <xdr:spPr bwMode="auto">
        <a:xfrm>
          <a:off x="22528893" y="5772605"/>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1</a:t>
          </a:r>
          <a:r>
            <a:rPr lang="fr-FR" sz="1600"/>
            <a:t> </a:t>
          </a:r>
        </a:p>
      </xdr:txBody>
    </xdr:sp>
    <xdr:clientData fPrintsWithSheet="0"/>
  </xdr:twoCellAnchor>
  <xdr:twoCellAnchor>
    <xdr:from>
      <xdr:col>34</xdr:col>
      <xdr:colOff>213632</xdr:colOff>
      <xdr:row>20</xdr:row>
      <xdr:rowOff>184605</xdr:rowOff>
    </xdr:from>
    <xdr:to>
      <xdr:col>34</xdr:col>
      <xdr:colOff>2118632</xdr:colOff>
      <xdr:row>24</xdr:row>
      <xdr:rowOff>116570</xdr:rowOff>
    </xdr:to>
    <xdr:sp macro="[0]!JMK_Trans_FDUEL2" textlink="">
      <xdr:nvSpPr>
        <xdr:cNvPr id="30" name="Rectangle à coins arrondis 29">
          <a:extLst>
            <a:ext uri="{FF2B5EF4-FFF2-40B4-BE49-F238E27FC236}">
              <a16:creationId xmlns:a16="http://schemas.microsoft.com/office/drawing/2014/main" id="{00000000-0008-0000-3100-00001E000000}"/>
            </a:ext>
          </a:extLst>
        </xdr:cNvPr>
        <xdr:cNvSpPr/>
      </xdr:nvSpPr>
      <xdr:spPr bwMode="auto">
        <a:xfrm>
          <a:off x="24867507" y="5772605"/>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2</a:t>
          </a:r>
          <a:r>
            <a:rPr lang="fr-FR" sz="1600"/>
            <a:t> </a:t>
          </a:r>
        </a:p>
      </xdr:txBody>
    </xdr:sp>
    <xdr:clientData fPrintsWithSheet="0"/>
  </xdr:twoCellAnchor>
  <xdr:twoCellAnchor>
    <xdr:from>
      <xdr:col>35</xdr:col>
      <xdr:colOff>107497</xdr:colOff>
      <xdr:row>20</xdr:row>
      <xdr:rowOff>184605</xdr:rowOff>
    </xdr:from>
    <xdr:to>
      <xdr:col>35</xdr:col>
      <xdr:colOff>2012497</xdr:colOff>
      <xdr:row>24</xdr:row>
      <xdr:rowOff>116570</xdr:rowOff>
    </xdr:to>
    <xdr:sp macro="[0]!JMK_Trans_FDUEL3" textlink="">
      <xdr:nvSpPr>
        <xdr:cNvPr id="31" name="Rectangle à coins arrondis 30">
          <a:extLst>
            <a:ext uri="{FF2B5EF4-FFF2-40B4-BE49-F238E27FC236}">
              <a16:creationId xmlns:a16="http://schemas.microsoft.com/office/drawing/2014/main" id="{00000000-0008-0000-3100-00001F000000}"/>
            </a:ext>
          </a:extLst>
        </xdr:cNvPr>
        <xdr:cNvSpPr/>
      </xdr:nvSpPr>
      <xdr:spPr bwMode="auto">
        <a:xfrm>
          <a:off x="27221997" y="5772605"/>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3</a:t>
          </a:r>
          <a:r>
            <a:rPr lang="fr-FR" sz="1600"/>
            <a:t> </a:t>
          </a:r>
        </a:p>
      </xdr:txBody>
    </xdr:sp>
    <xdr:clientData fPrintsWithSheet="0"/>
  </xdr:twoCellAnchor>
  <xdr:twoCellAnchor>
    <xdr:from>
      <xdr:col>34</xdr:col>
      <xdr:colOff>1523999</xdr:colOff>
      <xdr:row>27</xdr:row>
      <xdr:rowOff>127000</xdr:rowOff>
    </xdr:from>
    <xdr:to>
      <xdr:col>35</xdr:col>
      <xdr:colOff>968374</xdr:colOff>
      <xdr:row>33</xdr:row>
      <xdr:rowOff>158750</xdr:rowOff>
    </xdr:to>
    <xdr:sp macro="[0]!JMK_ZI_Résultat_Final" textlink="">
      <xdr:nvSpPr>
        <xdr:cNvPr id="35" name="Rectangle à coins arrondis 34">
          <a:extLst>
            <a:ext uri="{FF2B5EF4-FFF2-40B4-BE49-F238E27FC236}">
              <a16:creationId xmlns:a16="http://schemas.microsoft.com/office/drawing/2014/main" id="{00000000-0008-0000-3100-000023000000}"/>
            </a:ext>
          </a:extLst>
        </xdr:cNvPr>
        <xdr:cNvSpPr/>
      </xdr:nvSpPr>
      <xdr:spPr bwMode="auto">
        <a:xfrm>
          <a:off x="26177874" y="7159625"/>
          <a:ext cx="1905000" cy="1270000"/>
        </a:xfrm>
        <a:prstGeom prst="roundRect">
          <a:avLst/>
        </a:prstGeom>
        <a:solidFill>
          <a:srgbClr val="00FF99"/>
        </a:solidFill>
        <a:ln w="9525" cap="flat" cmpd="sng" algn="ctr">
          <a:solidFill>
            <a:srgbClr val="400000"/>
          </a:solidFill>
          <a:prstDash val="solid"/>
          <a:round/>
          <a:headEnd type="none" w="med" len="med"/>
          <a:tailEnd type="none" w="med" len="med"/>
        </a:ln>
        <a:effectLst/>
      </xdr:spPr>
      <xdr:txBody>
        <a:bodyPr rot="0" spcFirstLastPara="0" vertOverflow="clip" horzOverflow="clip" vert="horz" wrap="square" lIns="18288" tIns="0" rIns="0" bIns="0" numCol="1" spcCol="0" rtlCol="0" fromWordArt="0" anchor="ctr" anchorCtr="0" forceAA="0" upright="1" compatLnSpc="1">
          <a:prstTxWarp prst="textNoShape">
            <a:avLst/>
          </a:prstTxWarp>
          <a:noAutofit/>
        </a:bodyPr>
        <a:lstStyle/>
        <a:p>
          <a:pPr algn="ctr"/>
          <a:r>
            <a:rPr lang="fr-FR" sz="2000"/>
            <a:t>Impression</a:t>
          </a:r>
          <a:r>
            <a:rPr lang="fr-FR" sz="2000" baseline="0"/>
            <a:t> du CLASSEMENT FINAL</a:t>
          </a:r>
          <a:endParaRPr lang="fr-FR" sz="2000"/>
        </a:p>
      </xdr:txBody>
    </xdr:sp>
    <xdr:clientData fPrintsWithSheet="0"/>
  </xdr:twoCellAnchor>
  <xdr:twoCellAnchor>
    <xdr:from>
      <xdr:col>24</xdr:col>
      <xdr:colOff>698500</xdr:colOff>
      <xdr:row>0</xdr:row>
      <xdr:rowOff>269875</xdr:rowOff>
    </xdr:from>
    <xdr:to>
      <xdr:col>24</xdr:col>
      <xdr:colOff>2222500</xdr:colOff>
      <xdr:row>1</xdr:row>
      <xdr:rowOff>365125</xdr:rowOff>
    </xdr:to>
    <xdr:sp macro="[0]!jmk_RETOUR_MENU" textlink="">
      <xdr:nvSpPr>
        <xdr:cNvPr id="36" name="Rectangle à coins arrondis 35">
          <a:extLst>
            <a:ext uri="{FF2B5EF4-FFF2-40B4-BE49-F238E27FC236}">
              <a16:creationId xmlns:a16="http://schemas.microsoft.com/office/drawing/2014/main" id="{00000000-0008-0000-3100-000024000000}"/>
            </a:ext>
          </a:extLst>
        </xdr:cNvPr>
        <xdr:cNvSpPr/>
      </xdr:nvSpPr>
      <xdr:spPr bwMode="auto">
        <a:xfrm>
          <a:off x="17510125" y="269875"/>
          <a:ext cx="1524000" cy="79375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Retour aux MENUS</a:t>
          </a:r>
        </a:p>
      </xdr:txBody>
    </xdr:sp>
    <xdr:clientData fPrintsWithSheet="0"/>
  </xdr:twoCellAnchor>
  <xdr:twoCellAnchor editAs="oneCell">
    <xdr:from>
      <xdr:col>10</xdr:col>
      <xdr:colOff>247650</xdr:colOff>
      <xdr:row>0</xdr:row>
      <xdr:rowOff>114300</xdr:rowOff>
    </xdr:from>
    <xdr:to>
      <xdr:col>12</xdr:col>
      <xdr:colOff>1189831</xdr:colOff>
      <xdr:row>1</xdr:row>
      <xdr:rowOff>539750</xdr:rowOff>
    </xdr:to>
    <xdr:pic>
      <xdr:nvPicPr>
        <xdr:cNvPr id="52" name="Image 51">
          <a:extLst>
            <a:ext uri="{FF2B5EF4-FFF2-40B4-BE49-F238E27FC236}">
              <a16:creationId xmlns:a16="http://schemas.microsoft.com/office/drawing/2014/main" id="{00000000-0008-0000-31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86650" y="114300"/>
          <a:ext cx="1905000" cy="1130300"/>
        </a:xfrm>
        <a:prstGeom prst="rect">
          <a:avLst/>
        </a:prstGeom>
      </xdr:spPr>
    </xdr:pic>
    <xdr:clientData/>
  </xdr:twoCellAnchor>
  <xdr:twoCellAnchor editAs="oneCell">
    <xdr:from>
      <xdr:col>35</xdr:col>
      <xdr:colOff>1469572</xdr:colOff>
      <xdr:row>2</xdr:row>
      <xdr:rowOff>394606</xdr:rowOff>
    </xdr:from>
    <xdr:to>
      <xdr:col>35</xdr:col>
      <xdr:colOff>2406197</xdr:colOff>
      <xdr:row>4</xdr:row>
      <xdr:rowOff>149077</xdr:rowOff>
    </xdr:to>
    <xdr:pic>
      <xdr:nvPicPr>
        <xdr:cNvPr id="53" name="Image 52">
          <a:extLst>
            <a:ext uri="{FF2B5EF4-FFF2-40B4-BE49-F238E27FC236}">
              <a16:creationId xmlns:a16="http://schemas.microsoft.com/office/drawing/2014/main" id="{00000000-0008-0000-3100-00003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609393" y="1877785"/>
          <a:ext cx="936625" cy="557292"/>
        </a:xfrm>
        <a:prstGeom prst="rect">
          <a:avLst/>
        </a:prstGeom>
      </xdr:spPr>
    </xdr:pic>
    <xdr:clientData/>
  </xdr:twoCellAnchor>
  <xdr:twoCellAnchor>
    <xdr:from>
      <xdr:col>33</xdr:col>
      <xdr:colOff>642938</xdr:colOff>
      <xdr:row>26</xdr:row>
      <xdr:rowOff>11905</xdr:rowOff>
    </xdr:from>
    <xdr:to>
      <xdr:col>33</xdr:col>
      <xdr:colOff>1961131</xdr:colOff>
      <xdr:row>30</xdr:row>
      <xdr:rowOff>25512</xdr:rowOff>
    </xdr:to>
    <xdr:sp macro="[0]!Imp_DUEL_Tableau" textlink="">
      <xdr:nvSpPr>
        <xdr:cNvPr id="54" name="Rectangle à coins arrondis 53">
          <a:extLst>
            <a:ext uri="{FF2B5EF4-FFF2-40B4-BE49-F238E27FC236}">
              <a16:creationId xmlns:a16="http://schemas.microsoft.com/office/drawing/2014/main" id="{00000000-0008-0000-3100-000036000000}"/>
            </a:ext>
          </a:extLst>
        </xdr:cNvPr>
        <xdr:cNvSpPr/>
      </xdr:nvSpPr>
      <xdr:spPr bwMode="auto">
        <a:xfrm>
          <a:off x="25848469" y="6750843"/>
          <a:ext cx="1318193" cy="823232"/>
        </a:xfrm>
        <a:prstGeom prst="roundRect">
          <a:avLst/>
        </a:prstGeom>
        <a:solidFill>
          <a:srgbClr val="E923EE"/>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 TABLEAU des</a:t>
          </a:r>
          <a:r>
            <a:rPr lang="fr-FR" sz="1600" baseline="0"/>
            <a:t> DUELS</a:t>
          </a:r>
          <a:endParaRPr lang="fr-FR" sz="1600"/>
        </a:p>
      </xdr:txBody>
    </xdr:sp>
    <xdr:clientData/>
  </xdr:twoCellAnchor>
  <xdr:twoCellAnchor>
    <xdr:from>
      <xdr:col>21</xdr:col>
      <xdr:colOff>169333</xdr:colOff>
      <xdr:row>35</xdr:row>
      <xdr:rowOff>52917</xdr:rowOff>
    </xdr:from>
    <xdr:to>
      <xdr:col>22</xdr:col>
      <xdr:colOff>16564</xdr:colOff>
      <xdr:row>35</xdr:row>
      <xdr:rowOff>66260</xdr:rowOff>
    </xdr:to>
    <xdr:cxnSp macro="">
      <xdr:nvCxnSpPr>
        <xdr:cNvPr id="32" name="Connecteur droit avec flèche 31">
          <a:extLst>
            <a:ext uri="{FF2B5EF4-FFF2-40B4-BE49-F238E27FC236}">
              <a16:creationId xmlns:a16="http://schemas.microsoft.com/office/drawing/2014/main" id="{00000000-0008-0000-3100-000020000000}"/>
            </a:ext>
          </a:extLst>
        </xdr:cNvPr>
        <xdr:cNvCxnSpPr>
          <a:cxnSpLocks/>
        </xdr:cNvCxnSpPr>
      </xdr:nvCxnSpPr>
      <xdr:spPr>
        <a:xfrm>
          <a:off x="18362083" y="2938992"/>
          <a:ext cx="904506" cy="13343"/>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63500</xdr:colOff>
      <xdr:row>37</xdr:row>
      <xdr:rowOff>41413</xdr:rowOff>
    </xdr:from>
    <xdr:to>
      <xdr:col>21</xdr:col>
      <xdr:colOff>1051891</xdr:colOff>
      <xdr:row>42</xdr:row>
      <xdr:rowOff>116417</xdr:rowOff>
    </xdr:to>
    <xdr:cxnSp macro="">
      <xdr:nvCxnSpPr>
        <xdr:cNvPr id="33" name="Connecteur droit avec flèche 32">
          <a:extLst>
            <a:ext uri="{FF2B5EF4-FFF2-40B4-BE49-F238E27FC236}">
              <a16:creationId xmlns:a16="http://schemas.microsoft.com/office/drawing/2014/main" id="{00000000-0008-0000-3100-000021000000}"/>
            </a:ext>
          </a:extLst>
        </xdr:cNvPr>
        <xdr:cNvCxnSpPr/>
      </xdr:nvCxnSpPr>
      <xdr:spPr>
        <a:xfrm flipV="1">
          <a:off x="18256250" y="3327538"/>
          <a:ext cx="988391" cy="107512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137583</xdr:colOff>
      <xdr:row>35</xdr:row>
      <xdr:rowOff>95250</xdr:rowOff>
    </xdr:from>
    <xdr:to>
      <xdr:col>21</xdr:col>
      <xdr:colOff>1037167</xdr:colOff>
      <xdr:row>43</xdr:row>
      <xdr:rowOff>105833</xdr:rowOff>
    </xdr:to>
    <xdr:cxnSp macro="">
      <xdr:nvCxnSpPr>
        <xdr:cNvPr id="34" name="Connecteur droit avec flèche 33">
          <a:extLst>
            <a:ext uri="{FF2B5EF4-FFF2-40B4-BE49-F238E27FC236}">
              <a16:creationId xmlns:a16="http://schemas.microsoft.com/office/drawing/2014/main" id="{00000000-0008-0000-3100-000022000000}"/>
            </a:ext>
          </a:extLst>
        </xdr:cNvPr>
        <xdr:cNvCxnSpPr/>
      </xdr:nvCxnSpPr>
      <xdr:spPr>
        <a:xfrm>
          <a:off x="18330333" y="2981325"/>
          <a:ext cx="899584" cy="161078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222250</xdr:colOff>
      <xdr:row>34</xdr:row>
      <xdr:rowOff>63500</xdr:rowOff>
    </xdr:from>
    <xdr:to>
      <xdr:col>16</xdr:col>
      <xdr:colOff>15875</xdr:colOff>
      <xdr:row>34</xdr:row>
      <xdr:rowOff>174625</xdr:rowOff>
    </xdr:to>
    <xdr:cxnSp macro="">
      <xdr:nvCxnSpPr>
        <xdr:cNvPr id="37" name="Connecteur droit avec flèche 36">
          <a:extLst>
            <a:ext uri="{FF2B5EF4-FFF2-40B4-BE49-F238E27FC236}">
              <a16:creationId xmlns:a16="http://schemas.microsoft.com/office/drawing/2014/main" id="{00000000-0008-0000-3100-000025000000}"/>
            </a:ext>
          </a:extLst>
        </xdr:cNvPr>
        <xdr:cNvCxnSpPr>
          <a:cxnSpLocks/>
        </xdr:cNvCxnSpPr>
      </xdr:nvCxnSpPr>
      <xdr:spPr>
        <a:xfrm>
          <a:off x="12795250" y="2749550"/>
          <a:ext cx="841375" cy="111125"/>
        </a:xfrm>
        <a:prstGeom prst="straightConnector1">
          <a:avLst/>
        </a:prstGeom>
        <a:ln>
          <a:solidFill>
            <a:srgbClr val="00B0F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79375</xdr:colOff>
      <xdr:row>42</xdr:row>
      <xdr:rowOff>0</xdr:rowOff>
    </xdr:from>
    <xdr:to>
      <xdr:col>15</xdr:col>
      <xdr:colOff>1005417</xdr:colOff>
      <xdr:row>47</xdr:row>
      <xdr:rowOff>95250</xdr:rowOff>
    </xdr:to>
    <xdr:cxnSp macro="">
      <xdr:nvCxnSpPr>
        <xdr:cNvPr id="38" name="Connecteur droit avec flèche 37">
          <a:extLst>
            <a:ext uri="{FF2B5EF4-FFF2-40B4-BE49-F238E27FC236}">
              <a16:creationId xmlns:a16="http://schemas.microsoft.com/office/drawing/2014/main" id="{00000000-0008-0000-3100-000026000000}"/>
            </a:ext>
          </a:extLst>
        </xdr:cNvPr>
        <xdr:cNvCxnSpPr>
          <a:cxnSpLocks/>
        </xdr:cNvCxnSpPr>
      </xdr:nvCxnSpPr>
      <xdr:spPr>
        <a:xfrm flipV="1">
          <a:off x="12652375" y="4286250"/>
          <a:ext cx="926042" cy="1095375"/>
        </a:xfrm>
        <a:prstGeom prst="straightConnector1">
          <a:avLst/>
        </a:prstGeom>
        <a:ln>
          <a:solidFill>
            <a:srgbClr val="00B0F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2222736</xdr:colOff>
      <xdr:row>34</xdr:row>
      <xdr:rowOff>73711</xdr:rowOff>
    </xdr:from>
    <xdr:to>
      <xdr:col>13</xdr:col>
      <xdr:colOff>444501</xdr:colOff>
      <xdr:row>35</xdr:row>
      <xdr:rowOff>142875</xdr:rowOff>
    </xdr:to>
    <xdr:sp macro="" textlink="">
      <xdr:nvSpPr>
        <xdr:cNvPr id="39" name="Rectangle à coins arrondis 25">
          <a:extLst>
            <a:ext uri="{FF2B5EF4-FFF2-40B4-BE49-F238E27FC236}">
              <a16:creationId xmlns:a16="http://schemas.microsoft.com/office/drawing/2014/main" id="{00000000-0008-0000-3100-000027000000}"/>
            </a:ext>
          </a:extLst>
        </xdr:cNvPr>
        <xdr:cNvSpPr/>
      </xdr:nvSpPr>
      <xdr:spPr bwMode="auto">
        <a:xfrm>
          <a:off x="11271486" y="2759761"/>
          <a:ext cx="707790" cy="269189"/>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twoCellAnchor>
    <xdr:from>
      <xdr:col>15</xdr:col>
      <xdr:colOff>105833</xdr:colOff>
      <xdr:row>36</xdr:row>
      <xdr:rowOff>95250</xdr:rowOff>
    </xdr:from>
    <xdr:to>
      <xdr:col>15</xdr:col>
      <xdr:colOff>984250</xdr:colOff>
      <xdr:row>41</xdr:row>
      <xdr:rowOff>105833</xdr:rowOff>
    </xdr:to>
    <xdr:cxnSp macro="">
      <xdr:nvCxnSpPr>
        <xdr:cNvPr id="40" name="Connecteur droit avec flèche 39">
          <a:extLst>
            <a:ext uri="{FF2B5EF4-FFF2-40B4-BE49-F238E27FC236}">
              <a16:creationId xmlns:a16="http://schemas.microsoft.com/office/drawing/2014/main" id="{00000000-0008-0000-3100-000028000000}"/>
            </a:ext>
          </a:extLst>
        </xdr:cNvPr>
        <xdr:cNvCxnSpPr>
          <a:cxnSpLocks/>
        </xdr:cNvCxnSpPr>
      </xdr:nvCxnSpPr>
      <xdr:spPr>
        <a:xfrm flipV="1">
          <a:off x="12678833" y="3181350"/>
          <a:ext cx="878417" cy="101070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105833</xdr:colOff>
      <xdr:row>43</xdr:row>
      <xdr:rowOff>127000</xdr:rowOff>
    </xdr:from>
    <xdr:to>
      <xdr:col>21</xdr:col>
      <xdr:colOff>1047750</xdr:colOff>
      <xdr:row>45</xdr:row>
      <xdr:rowOff>84667</xdr:rowOff>
    </xdr:to>
    <xdr:cxnSp macro="">
      <xdr:nvCxnSpPr>
        <xdr:cNvPr id="41" name="Connecteur droit avec flèche 40">
          <a:extLst>
            <a:ext uri="{FF2B5EF4-FFF2-40B4-BE49-F238E27FC236}">
              <a16:creationId xmlns:a16="http://schemas.microsoft.com/office/drawing/2014/main" id="{00000000-0008-0000-3100-000029000000}"/>
            </a:ext>
          </a:extLst>
        </xdr:cNvPr>
        <xdr:cNvCxnSpPr/>
      </xdr:nvCxnSpPr>
      <xdr:spPr>
        <a:xfrm>
          <a:off x="18298583" y="4613275"/>
          <a:ext cx="941917" cy="35771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84667</xdr:colOff>
      <xdr:row>41</xdr:row>
      <xdr:rowOff>158750</xdr:rowOff>
    </xdr:from>
    <xdr:to>
      <xdr:col>15</xdr:col>
      <xdr:colOff>1037167</xdr:colOff>
      <xdr:row>49</xdr:row>
      <xdr:rowOff>74083</xdr:rowOff>
    </xdr:to>
    <xdr:cxnSp macro="">
      <xdr:nvCxnSpPr>
        <xdr:cNvPr id="42" name="Connecteur droit avec flèche 41">
          <a:extLst>
            <a:ext uri="{FF2B5EF4-FFF2-40B4-BE49-F238E27FC236}">
              <a16:creationId xmlns:a16="http://schemas.microsoft.com/office/drawing/2014/main" id="{00000000-0008-0000-3100-00002A000000}"/>
            </a:ext>
          </a:extLst>
        </xdr:cNvPr>
        <xdr:cNvCxnSpPr/>
      </xdr:nvCxnSpPr>
      <xdr:spPr>
        <a:xfrm>
          <a:off x="12657667" y="4244975"/>
          <a:ext cx="952500" cy="1515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105834</xdr:colOff>
      <xdr:row>43</xdr:row>
      <xdr:rowOff>116416</xdr:rowOff>
    </xdr:from>
    <xdr:to>
      <xdr:col>15</xdr:col>
      <xdr:colOff>994833</xdr:colOff>
      <xdr:row>49</xdr:row>
      <xdr:rowOff>47625</xdr:rowOff>
    </xdr:to>
    <xdr:cxnSp macro="">
      <xdr:nvCxnSpPr>
        <xdr:cNvPr id="43" name="Connecteur droit avec flèche 42">
          <a:extLst>
            <a:ext uri="{FF2B5EF4-FFF2-40B4-BE49-F238E27FC236}">
              <a16:creationId xmlns:a16="http://schemas.microsoft.com/office/drawing/2014/main" id="{00000000-0008-0000-3100-00002B000000}"/>
            </a:ext>
          </a:extLst>
        </xdr:cNvPr>
        <xdr:cNvCxnSpPr>
          <a:cxnSpLocks/>
        </xdr:cNvCxnSpPr>
      </xdr:nvCxnSpPr>
      <xdr:spPr>
        <a:xfrm flipV="1">
          <a:off x="12678834" y="4602691"/>
          <a:ext cx="888999" cy="1131359"/>
        </a:xfrm>
        <a:prstGeom prst="straightConnector1">
          <a:avLst/>
        </a:prstGeom>
        <a:ln>
          <a:solidFill>
            <a:srgbClr val="00B0F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2332803</xdr:colOff>
      <xdr:row>48</xdr:row>
      <xdr:rowOff>88529</xdr:rowOff>
    </xdr:from>
    <xdr:to>
      <xdr:col>13</xdr:col>
      <xdr:colOff>554568</xdr:colOff>
      <xdr:row>49</xdr:row>
      <xdr:rowOff>157692</xdr:rowOff>
    </xdr:to>
    <xdr:sp macro="" textlink="">
      <xdr:nvSpPr>
        <xdr:cNvPr id="44" name="Rectangle à coins arrondis 25">
          <a:extLst>
            <a:ext uri="{FF2B5EF4-FFF2-40B4-BE49-F238E27FC236}">
              <a16:creationId xmlns:a16="http://schemas.microsoft.com/office/drawing/2014/main" id="{00000000-0008-0000-3100-00002C000000}"/>
            </a:ext>
          </a:extLst>
        </xdr:cNvPr>
        <xdr:cNvSpPr/>
      </xdr:nvSpPr>
      <xdr:spPr bwMode="auto">
        <a:xfrm>
          <a:off x="11381553" y="5574929"/>
          <a:ext cx="707790" cy="269188"/>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33</xdr:col>
      <xdr:colOff>399143</xdr:colOff>
      <xdr:row>22</xdr:row>
      <xdr:rowOff>73480</xdr:rowOff>
    </xdr:from>
    <xdr:to>
      <xdr:col>33</xdr:col>
      <xdr:colOff>2304143</xdr:colOff>
      <xdr:row>26</xdr:row>
      <xdr:rowOff>5445</xdr:rowOff>
    </xdr:to>
    <xdr:sp macro="[0]!JMK_Trans_FDUEL1" textlink="">
      <xdr:nvSpPr>
        <xdr:cNvPr id="33" name="Rectangle à coins arrondis 32">
          <a:extLst>
            <a:ext uri="{FF2B5EF4-FFF2-40B4-BE49-F238E27FC236}">
              <a16:creationId xmlns:a16="http://schemas.microsoft.com/office/drawing/2014/main" id="{00000000-0008-0000-3200-000021000000}"/>
            </a:ext>
          </a:extLst>
        </xdr:cNvPr>
        <xdr:cNvSpPr/>
      </xdr:nvSpPr>
      <xdr:spPr bwMode="auto">
        <a:xfrm>
          <a:off x="22608268" y="6074230"/>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1</a:t>
          </a:r>
          <a:r>
            <a:rPr lang="fr-FR" sz="1600"/>
            <a:t> </a:t>
          </a:r>
        </a:p>
      </xdr:txBody>
    </xdr:sp>
    <xdr:clientData fPrintsWithSheet="0"/>
  </xdr:twoCellAnchor>
  <xdr:twoCellAnchor>
    <xdr:from>
      <xdr:col>34</xdr:col>
      <xdr:colOff>293007</xdr:colOff>
      <xdr:row>22</xdr:row>
      <xdr:rowOff>73480</xdr:rowOff>
    </xdr:from>
    <xdr:to>
      <xdr:col>34</xdr:col>
      <xdr:colOff>2198007</xdr:colOff>
      <xdr:row>26</xdr:row>
      <xdr:rowOff>5445</xdr:rowOff>
    </xdr:to>
    <xdr:sp macro="[0]!JMK_Trans_FDUEL2" textlink="">
      <xdr:nvSpPr>
        <xdr:cNvPr id="34" name="Rectangle à coins arrondis 33">
          <a:extLst>
            <a:ext uri="{FF2B5EF4-FFF2-40B4-BE49-F238E27FC236}">
              <a16:creationId xmlns:a16="http://schemas.microsoft.com/office/drawing/2014/main" id="{00000000-0008-0000-3200-000022000000}"/>
            </a:ext>
          </a:extLst>
        </xdr:cNvPr>
        <xdr:cNvSpPr/>
      </xdr:nvSpPr>
      <xdr:spPr bwMode="auto">
        <a:xfrm>
          <a:off x="24946882" y="6074230"/>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2</a:t>
          </a:r>
          <a:r>
            <a:rPr lang="fr-FR" sz="1600"/>
            <a:t> </a:t>
          </a:r>
        </a:p>
      </xdr:txBody>
    </xdr:sp>
    <xdr:clientData fPrintsWithSheet="0"/>
  </xdr:twoCellAnchor>
  <xdr:twoCellAnchor>
    <xdr:from>
      <xdr:col>35</xdr:col>
      <xdr:colOff>186872</xdr:colOff>
      <xdr:row>22</xdr:row>
      <xdr:rowOff>73480</xdr:rowOff>
    </xdr:from>
    <xdr:to>
      <xdr:col>35</xdr:col>
      <xdr:colOff>2091872</xdr:colOff>
      <xdr:row>26</xdr:row>
      <xdr:rowOff>5445</xdr:rowOff>
    </xdr:to>
    <xdr:sp macro="[0]!JMK_Trans_FDUEL3" textlink="">
      <xdr:nvSpPr>
        <xdr:cNvPr id="35" name="Rectangle à coins arrondis 34">
          <a:extLst>
            <a:ext uri="{FF2B5EF4-FFF2-40B4-BE49-F238E27FC236}">
              <a16:creationId xmlns:a16="http://schemas.microsoft.com/office/drawing/2014/main" id="{00000000-0008-0000-3200-000023000000}"/>
            </a:ext>
          </a:extLst>
        </xdr:cNvPr>
        <xdr:cNvSpPr/>
      </xdr:nvSpPr>
      <xdr:spPr bwMode="auto">
        <a:xfrm>
          <a:off x="27301372" y="6074230"/>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3</a:t>
          </a:r>
          <a:r>
            <a:rPr lang="fr-FR" sz="1600"/>
            <a:t> </a:t>
          </a:r>
        </a:p>
      </xdr:txBody>
    </xdr:sp>
    <xdr:clientData fPrintsWithSheet="0"/>
  </xdr:twoCellAnchor>
  <xdr:twoCellAnchor>
    <xdr:from>
      <xdr:col>34</xdr:col>
      <xdr:colOff>1920874</xdr:colOff>
      <xdr:row>29</xdr:row>
      <xdr:rowOff>15875</xdr:rowOff>
    </xdr:from>
    <xdr:to>
      <xdr:col>35</xdr:col>
      <xdr:colOff>1365249</xdr:colOff>
      <xdr:row>35</xdr:row>
      <xdr:rowOff>47625</xdr:rowOff>
    </xdr:to>
    <xdr:sp macro="[0]!JMK_ZI_Résultat_Final" textlink="">
      <xdr:nvSpPr>
        <xdr:cNvPr id="39" name="Rectangle à coins arrondis 38">
          <a:extLst>
            <a:ext uri="{FF2B5EF4-FFF2-40B4-BE49-F238E27FC236}">
              <a16:creationId xmlns:a16="http://schemas.microsoft.com/office/drawing/2014/main" id="{00000000-0008-0000-3200-000027000000}"/>
            </a:ext>
          </a:extLst>
        </xdr:cNvPr>
        <xdr:cNvSpPr/>
      </xdr:nvSpPr>
      <xdr:spPr bwMode="auto">
        <a:xfrm>
          <a:off x="26574749" y="7461250"/>
          <a:ext cx="1905000" cy="1270000"/>
        </a:xfrm>
        <a:prstGeom prst="roundRect">
          <a:avLst/>
        </a:prstGeom>
        <a:solidFill>
          <a:srgbClr val="00FF99"/>
        </a:solidFill>
        <a:ln w="9525" cap="flat" cmpd="sng" algn="ctr">
          <a:solidFill>
            <a:srgbClr val="400000"/>
          </a:solidFill>
          <a:prstDash val="solid"/>
          <a:round/>
          <a:headEnd type="none" w="med" len="med"/>
          <a:tailEnd type="none" w="med" len="med"/>
        </a:ln>
        <a:effectLst/>
      </xdr:spPr>
      <xdr:txBody>
        <a:bodyPr rot="0" spcFirstLastPara="0" vertOverflow="clip" horzOverflow="clip" vert="horz" wrap="square" lIns="18288" tIns="0" rIns="0" bIns="0" numCol="1" spcCol="0" rtlCol="0" fromWordArt="0" anchor="ctr" anchorCtr="0" forceAA="0" upright="1" compatLnSpc="1">
          <a:prstTxWarp prst="textNoShape">
            <a:avLst/>
          </a:prstTxWarp>
          <a:noAutofit/>
        </a:bodyPr>
        <a:lstStyle/>
        <a:p>
          <a:pPr algn="ctr"/>
          <a:r>
            <a:rPr lang="fr-FR" sz="2000"/>
            <a:t>Impression</a:t>
          </a:r>
          <a:r>
            <a:rPr lang="fr-FR" sz="2000" baseline="0"/>
            <a:t> du CLASSEMENT FINAL</a:t>
          </a:r>
          <a:endParaRPr lang="fr-FR" sz="2000"/>
        </a:p>
      </xdr:txBody>
    </xdr:sp>
    <xdr:clientData fPrintsWithSheet="0"/>
  </xdr:twoCellAnchor>
  <xdr:twoCellAnchor>
    <xdr:from>
      <xdr:col>24</xdr:col>
      <xdr:colOff>857250</xdr:colOff>
      <xdr:row>0</xdr:row>
      <xdr:rowOff>285750</xdr:rowOff>
    </xdr:from>
    <xdr:to>
      <xdr:col>24</xdr:col>
      <xdr:colOff>2381250</xdr:colOff>
      <xdr:row>1</xdr:row>
      <xdr:rowOff>381000</xdr:rowOff>
    </xdr:to>
    <xdr:sp macro="[0]!jmk_RETOUR_MENU" textlink="">
      <xdr:nvSpPr>
        <xdr:cNvPr id="40" name="Rectangle à coins arrondis 39">
          <a:extLst>
            <a:ext uri="{FF2B5EF4-FFF2-40B4-BE49-F238E27FC236}">
              <a16:creationId xmlns:a16="http://schemas.microsoft.com/office/drawing/2014/main" id="{00000000-0008-0000-3200-000028000000}"/>
            </a:ext>
          </a:extLst>
        </xdr:cNvPr>
        <xdr:cNvSpPr/>
      </xdr:nvSpPr>
      <xdr:spPr bwMode="auto">
        <a:xfrm>
          <a:off x="17668875" y="285750"/>
          <a:ext cx="1524000" cy="79375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Retour aux MENUS</a:t>
          </a:r>
        </a:p>
      </xdr:txBody>
    </xdr:sp>
    <xdr:clientData fPrintsWithSheet="0"/>
  </xdr:twoCellAnchor>
  <xdr:twoCellAnchor editAs="oneCell">
    <xdr:from>
      <xdr:col>10</xdr:col>
      <xdr:colOff>217714</xdr:colOff>
      <xdr:row>0</xdr:row>
      <xdr:rowOff>163286</xdr:rowOff>
    </xdr:from>
    <xdr:to>
      <xdr:col>12</xdr:col>
      <xdr:colOff>1170214</xdr:colOff>
      <xdr:row>1</xdr:row>
      <xdr:rowOff>586015</xdr:rowOff>
    </xdr:to>
    <xdr:pic>
      <xdr:nvPicPr>
        <xdr:cNvPr id="61" name="Image 60">
          <a:extLst>
            <a:ext uri="{FF2B5EF4-FFF2-40B4-BE49-F238E27FC236}">
              <a16:creationId xmlns:a16="http://schemas.microsoft.com/office/drawing/2014/main" id="{00000000-0008-0000-32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29500" y="163286"/>
          <a:ext cx="1905000" cy="1130300"/>
        </a:xfrm>
        <a:prstGeom prst="rect">
          <a:avLst/>
        </a:prstGeom>
      </xdr:spPr>
    </xdr:pic>
    <xdr:clientData/>
  </xdr:twoCellAnchor>
  <xdr:twoCellAnchor editAs="oneCell">
    <xdr:from>
      <xdr:col>35</xdr:col>
      <xdr:colOff>1469571</xdr:colOff>
      <xdr:row>2</xdr:row>
      <xdr:rowOff>367392</xdr:rowOff>
    </xdr:from>
    <xdr:to>
      <xdr:col>35</xdr:col>
      <xdr:colOff>2406196</xdr:colOff>
      <xdr:row>4</xdr:row>
      <xdr:rowOff>121863</xdr:rowOff>
    </xdr:to>
    <xdr:pic>
      <xdr:nvPicPr>
        <xdr:cNvPr id="62" name="Image 61">
          <a:extLst>
            <a:ext uri="{FF2B5EF4-FFF2-40B4-BE49-F238E27FC236}">
              <a16:creationId xmlns:a16="http://schemas.microsoft.com/office/drawing/2014/main" id="{00000000-0008-0000-3200-00003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806571" y="1850571"/>
          <a:ext cx="936625" cy="557292"/>
        </a:xfrm>
        <a:prstGeom prst="rect">
          <a:avLst/>
        </a:prstGeom>
      </xdr:spPr>
    </xdr:pic>
    <xdr:clientData/>
  </xdr:twoCellAnchor>
  <xdr:twoCellAnchor>
    <xdr:from>
      <xdr:col>33</xdr:col>
      <xdr:colOff>746125</xdr:colOff>
      <xdr:row>27</xdr:row>
      <xdr:rowOff>0</xdr:rowOff>
    </xdr:from>
    <xdr:to>
      <xdr:col>33</xdr:col>
      <xdr:colOff>2064318</xdr:colOff>
      <xdr:row>30</xdr:row>
      <xdr:rowOff>204107</xdr:rowOff>
    </xdr:to>
    <xdr:sp macro="[0]!Imp_DUEL_Tableau" textlink="">
      <xdr:nvSpPr>
        <xdr:cNvPr id="63" name="Rectangle à coins arrondis 62">
          <a:extLst>
            <a:ext uri="{FF2B5EF4-FFF2-40B4-BE49-F238E27FC236}">
              <a16:creationId xmlns:a16="http://schemas.microsoft.com/office/drawing/2014/main" id="{00000000-0008-0000-3200-00003F000000}"/>
            </a:ext>
          </a:extLst>
        </xdr:cNvPr>
        <xdr:cNvSpPr/>
      </xdr:nvSpPr>
      <xdr:spPr bwMode="auto">
        <a:xfrm>
          <a:off x="25193625" y="7032625"/>
          <a:ext cx="1318193" cy="823232"/>
        </a:xfrm>
        <a:prstGeom prst="roundRect">
          <a:avLst/>
        </a:prstGeom>
        <a:solidFill>
          <a:srgbClr val="E923EE"/>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 TABLEAU des</a:t>
          </a:r>
          <a:r>
            <a:rPr lang="fr-FR" sz="1600" baseline="0"/>
            <a:t> DUELS</a:t>
          </a:r>
          <a:endParaRPr lang="fr-FR" sz="1600"/>
        </a:p>
      </xdr:txBody>
    </xdr:sp>
    <xdr:clientData/>
  </xdr:twoCellAnchor>
  <xdr:twoCellAnchor>
    <xdr:from>
      <xdr:col>15</xdr:col>
      <xdr:colOff>40822</xdr:colOff>
      <xdr:row>6</xdr:row>
      <xdr:rowOff>95250</xdr:rowOff>
    </xdr:from>
    <xdr:to>
      <xdr:col>16</xdr:col>
      <xdr:colOff>0</xdr:colOff>
      <xdr:row>7</xdr:row>
      <xdr:rowOff>176893</xdr:rowOff>
    </xdr:to>
    <xdr:cxnSp macro="">
      <xdr:nvCxnSpPr>
        <xdr:cNvPr id="37" name="Connecteur droit avec flèche 36">
          <a:extLst>
            <a:ext uri="{FF2B5EF4-FFF2-40B4-BE49-F238E27FC236}">
              <a16:creationId xmlns:a16="http://schemas.microsoft.com/office/drawing/2014/main" id="{00000000-0008-0000-3200-000025000000}"/>
            </a:ext>
          </a:extLst>
        </xdr:cNvPr>
        <xdr:cNvCxnSpPr/>
      </xdr:nvCxnSpPr>
      <xdr:spPr>
        <a:xfrm flipV="1">
          <a:off x="12499522" y="2781300"/>
          <a:ext cx="1006928" cy="28166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8</xdr:row>
      <xdr:rowOff>120650</xdr:rowOff>
    </xdr:from>
    <xdr:to>
      <xdr:col>15</xdr:col>
      <xdr:colOff>1044575</xdr:colOff>
      <xdr:row>14</xdr:row>
      <xdr:rowOff>149678</xdr:rowOff>
    </xdr:to>
    <xdr:cxnSp macro="">
      <xdr:nvCxnSpPr>
        <xdr:cNvPr id="38" name="Connecteur droit avec flèche 37">
          <a:extLst>
            <a:ext uri="{FF2B5EF4-FFF2-40B4-BE49-F238E27FC236}">
              <a16:creationId xmlns:a16="http://schemas.microsoft.com/office/drawing/2014/main" id="{00000000-0008-0000-3200-000026000000}"/>
            </a:ext>
          </a:extLst>
        </xdr:cNvPr>
        <xdr:cNvCxnSpPr/>
      </xdr:nvCxnSpPr>
      <xdr:spPr>
        <a:xfrm flipV="1">
          <a:off x="12458700" y="3206750"/>
          <a:ext cx="1044575" cy="122917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14</xdr:row>
      <xdr:rowOff>13607</xdr:rowOff>
    </xdr:from>
    <xdr:to>
      <xdr:col>15</xdr:col>
      <xdr:colOff>1020536</xdr:colOff>
      <xdr:row>21</xdr:row>
      <xdr:rowOff>149679</xdr:rowOff>
    </xdr:to>
    <xdr:cxnSp macro="">
      <xdr:nvCxnSpPr>
        <xdr:cNvPr id="64" name="Connecteur droit avec flèche 63">
          <a:extLst>
            <a:ext uri="{FF2B5EF4-FFF2-40B4-BE49-F238E27FC236}">
              <a16:creationId xmlns:a16="http://schemas.microsoft.com/office/drawing/2014/main" id="{00000000-0008-0000-3200-000040000000}"/>
            </a:ext>
          </a:extLst>
        </xdr:cNvPr>
        <xdr:cNvCxnSpPr/>
      </xdr:nvCxnSpPr>
      <xdr:spPr>
        <a:xfrm flipV="1">
          <a:off x="12458700" y="4299857"/>
          <a:ext cx="1020536" cy="153624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16</xdr:row>
      <xdr:rowOff>13607</xdr:rowOff>
    </xdr:from>
    <xdr:to>
      <xdr:col>16</xdr:col>
      <xdr:colOff>0</xdr:colOff>
      <xdr:row>29</xdr:row>
      <xdr:rowOff>10582</xdr:rowOff>
    </xdr:to>
    <xdr:cxnSp macro="">
      <xdr:nvCxnSpPr>
        <xdr:cNvPr id="65" name="Connecteur droit avec flèche 64">
          <a:extLst>
            <a:ext uri="{FF2B5EF4-FFF2-40B4-BE49-F238E27FC236}">
              <a16:creationId xmlns:a16="http://schemas.microsoft.com/office/drawing/2014/main" id="{00000000-0008-0000-3200-000041000000}"/>
            </a:ext>
          </a:extLst>
        </xdr:cNvPr>
        <xdr:cNvCxnSpPr/>
      </xdr:nvCxnSpPr>
      <xdr:spPr>
        <a:xfrm flipV="1">
          <a:off x="12458700" y="4699907"/>
          <a:ext cx="1047750" cy="259730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8</xdr:row>
      <xdr:rowOff>10583</xdr:rowOff>
    </xdr:from>
    <xdr:to>
      <xdr:col>16</xdr:col>
      <xdr:colOff>16934</xdr:colOff>
      <xdr:row>20</xdr:row>
      <xdr:rowOff>146050</xdr:rowOff>
    </xdr:to>
    <xdr:cxnSp macro="">
      <xdr:nvCxnSpPr>
        <xdr:cNvPr id="66" name="Connecteur droit avec flèche 65">
          <a:extLst>
            <a:ext uri="{FF2B5EF4-FFF2-40B4-BE49-F238E27FC236}">
              <a16:creationId xmlns:a16="http://schemas.microsoft.com/office/drawing/2014/main" id="{00000000-0008-0000-3200-000042000000}"/>
            </a:ext>
          </a:extLst>
        </xdr:cNvPr>
        <xdr:cNvCxnSpPr/>
      </xdr:nvCxnSpPr>
      <xdr:spPr>
        <a:xfrm>
          <a:off x="12475634" y="3096683"/>
          <a:ext cx="1047750" cy="25357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29634</xdr:colOff>
      <xdr:row>15</xdr:row>
      <xdr:rowOff>40216</xdr:rowOff>
    </xdr:from>
    <xdr:to>
      <xdr:col>16</xdr:col>
      <xdr:colOff>25400</xdr:colOff>
      <xdr:row>22</xdr:row>
      <xdr:rowOff>133350</xdr:rowOff>
    </xdr:to>
    <xdr:cxnSp macro="">
      <xdr:nvCxnSpPr>
        <xdr:cNvPr id="67" name="Connecteur droit avec flèche 66">
          <a:extLst>
            <a:ext uri="{FF2B5EF4-FFF2-40B4-BE49-F238E27FC236}">
              <a16:creationId xmlns:a16="http://schemas.microsoft.com/office/drawing/2014/main" id="{00000000-0008-0000-3200-000043000000}"/>
            </a:ext>
          </a:extLst>
        </xdr:cNvPr>
        <xdr:cNvCxnSpPr/>
      </xdr:nvCxnSpPr>
      <xdr:spPr>
        <a:xfrm>
          <a:off x="12488334" y="4526491"/>
          <a:ext cx="1043516" cy="149330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22</xdr:row>
      <xdr:rowOff>27516</xdr:rowOff>
    </xdr:from>
    <xdr:to>
      <xdr:col>16</xdr:col>
      <xdr:colOff>12700</xdr:colOff>
      <xdr:row>27</xdr:row>
      <xdr:rowOff>107950</xdr:rowOff>
    </xdr:to>
    <xdr:cxnSp macro="">
      <xdr:nvCxnSpPr>
        <xdr:cNvPr id="68" name="Connecteur droit avec flèche 67">
          <a:extLst>
            <a:ext uri="{FF2B5EF4-FFF2-40B4-BE49-F238E27FC236}">
              <a16:creationId xmlns:a16="http://schemas.microsoft.com/office/drawing/2014/main" id="{00000000-0008-0000-3200-000044000000}"/>
            </a:ext>
          </a:extLst>
        </xdr:cNvPr>
        <xdr:cNvCxnSpPr/>
      </xdr:nvCxnSpPr>
      <xdr:spPr>
        <a:xfrm>
          <a:off x="12475634" y="5913966"/>
          <a:ext cx="1043516" cy="108055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29</xdr:row>
      <xdr:rowOff>10584</xdr:rowOff>
    </xdr:from>
    <xdr:to>
      <xdr:col>15</xdr:col>
      <xdr:colOff>1044575</xdr:colOff>
      <xdr:row>29</xdr:row>
      <xdr:rowOff>133350</xdr:rowOff>
    </xdr:to>
    <xdr:cxnSp macro="">
      <xdr:nvCxnSpPr>
        <xdr:cNvPr id="69" name="Connecteur droit avec flèche 68">
          <a:extLst>
            <a:ext uri="{FF2B5EF4-FFF2-40B4-BE49-F238E27FC236}">
              <a16:creationId xmlns:a16="http://schemas.microsoft.com/office/drawing/2014/main" id="{00000000-0008-0000-3200-000045000000}"/>
            </a:ext>
          </a:extLst>
        </xdr:cNvPr>
        <xdr:cNvCxnSpPr/>
      </xdr:nvCxnSpPr>
      <xdr:spPr>
        <a:xfrm>
          <a:off x="12475634" y="7297209"/>
          <a:ext cx="1027641" cy="12276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6</xdr:row>
      <xdr:rowOff>120651</xdr:rowOff>
    </xdr:from>
    <xdr:to>
      <xdr:col>22</xdr:col>
      <xdr:colOff>12700</xdr:colOff>
      <xdr:row>8</xdr:row>
      <xdr:rowOff>0</xdr:rowOff>
    </xdr:to>
    <xdr:cxnSp macro="">
      <xdr:nvCxnSpPr>
        <xdr:cNvPr id="70" name="Connecteur droit avec flèche 69">
          <a:extLst>
            <a:ext uri="{FF2B5EF4-FFF2-40B4-BE49-F238E27FC236}">
              <a16:creationId xmlns:a16="http://schemas.microsoft.com/office/drawing/2014/main" id="{00000000-0008-0000-3200-000046000000}"/>
            </a:ext>
          </a:extLst>
        </xdr:cNvPr>
        <xdr:cNvCxnSpPr/>
      </xdr:nvCxnSpPr>
      <xdr:spPr>
        <a:xfrm flipV="1">
          <a:off x="18071647" y="28067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8</xdr:row>
      <xdr:rowOff>120650</xdr:rowOff>
    </xdr:from>
    <xdr:to>
      <xdr:col>22</xdr:col>
      <xdr:colOff>12700</xdr:colOff>
      <xdr:row>15</xdr:row>
      <xdr:rowOff>2116</xdr:rowOff>
    </xdr:to>
    <xdr:cxnSp macro="">
      <xdr:nvCxnSpPr>
        <xdr:cNvPr id="71" name="Connecteur droit avec flèche 70">
          <a:extLst>
            <a:ext uri="{FF2B5EF4-FFF2-40B4-BE49-F238E27FC236}">
              <a16:creationId xmlns:a16="http://schemas.microsoft.com/office/drawing/2014/main" id="{00000000-0008-0000-3200-000047000000}"/>
            </a:ext>
          </a:extLst>
        </xdr:cNvPr>
        <xdr:cNvCxnSpPr/>
      </xdr:nvCxnSpPr>
      <xdr:spPr>
        <a:xfrm flipV="1">
          <a:off x="18047758" y="32067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8</xdr:row>
      <xdr:rowOff>13607</xdr:rowOff>
    </xdr:from>
    <xdr:to>
      <xdr:col>21</xdr:col>
      <xdr:colOff>1060450</xdr:colOff>
      <xdr:row>13</xdr:row>
      <xdr:rowOff>103724</xdr:rowOff>
    </xdr:to>
    <xdr:cxnSp macro="">
      <xdr:nvCxnSpPr>
        <xdr:cNvPr id="72" name="Connecteur droit avec flèche 71">
          <a:extLst>
            <a:ext uri="{FF2B5EF4-FFF2-40B4-BE49-F238E27FC236}">
              <a16:creationId xmlns:a16="http://schemas.microsoft.com/office/drawing/2014/main" id="{00000000-0008-0000-3200-000048000000}"/>
            </a:ext>
          </a:extLst>
        </xdr:cNvPr>
        <xdr:cNvCxnSpPr/>
      </xdr:nvCxnSpPr>
      <xdr:spPr>
        <a:xfrm>
          <a:off x="18044433" y="30997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15</xdr:row>
      <xdr:rowOff>2123</xdr:rowOff>
    </xdr:from>
    <xdr:to>
      <xdr:col>21</xdr:col>
      <xdr:colOff>1059392</xdr:colOff>
      <xdr:row>15</xdr:row>
      <xdr:rowOff>120656</xdr:rowOff>
    </xdr:to>
    <xdr:cxnSp macro="">
      <xdr:nvCxnSpPr>
        <xdr:cNvPr id="73" name="Connecteur droit avec flèche 72">
          <a:extLst>
            <a:ext uri="{FF2B5EF4-FFF2-40B4-BE49-F238E27FC236}">
              <a16:creationId xmlns:a16="http://schemas.microsoft.com/office/drawing/2014/main" id="{00000000-0008-0000-3200-000049000000}"/>
            </a:ext>
          </a:extLst>
        </xdr:cNvPr>
        <xdr:cNvCxnSpPr/>
      </xdr:nvCxnSpPr>
      <xdr:spPr>
        <a:xfrm>
          <a:off x="18030825" y="44883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33867</xdr:colOff>
      <xdr:row>20</xdr:row>
      <xdr:rowOff>120650</xdr:rowOff>
    </xdr:from>
    <xdr:to>
      <xdr:col>22</xdr:col>
      <xdr:colOff>12700</xdr:colOff>
      <xdr:row>20</xdr:row>
      <xdr:rowOff>188383</xdr:rowOff>
    </xdr:to>
    <xdr:cxnSp macro="">
      <xdr:nvCxnSpPr>
        <xdr:cNvPr id="74" name="Connecteur droit avec flèche 73">
          <a:extLst>
            <a:ext uri="{FF2B5EF4-FFF2-40B4-BE49-F238E27FC236}">
              <a16:creationId xmlns:a16="http://schemas.microsoft.com/office/drawing/2014/main" id="{00000000-0008-0000-3200-00004A000000}"/>
            </a:ext>
          </a:extLst>
        </xdr:cNvPr>
        <xdr:cNvCxnSpPr/>
      </xdr:nvCxnSpPr>
      <xdr:spPr>
        <a:xfrm flipV="1">
          <a:off x="18064692" y="5607050"/>
          <a:ext cx="1036108" cy="67733"/>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22</xdr:row>
      <xdr:rowOff>120650</xdr:rowOff>
    </xdr:from>
    <xdr:to>
      <xdr:col>22</xdr:col>
      <xdr:colOff>12700</xdr:colOff>
      <xdr:row>29</xdr:row>
      <xdr:rowOff>2116</xdr:rowOff>
    </xdr:to>
    <xdr:cxnSp macro="">
      <xdr:nvCxnSpPr>
        <xdr:cNvPr id="75" name="Connecteur droit avec flèche 74">
          <a:extLst>
            <a:ext uri="{FF2B5EF4-FFF2-40B4-BE49-F238E27FC236}">
              <a16:creationId xmlns:a16="http://schemas.microsoft.com/office/drawing/2014/main" id="{00000000-0008-0000-3200-00004B000000}"/>
            </a:ext>
          </a:extLst>
        </xdr:cNvPr>
        <xdr:cNvCxnSpPr/>
      </xdr:nvCxnSpPr>
      <xdr:spPr>
        <a:xfrm flipV="1">
          <a:off x="18047758" y="6007100"/>
          <a:ext cx="1053042" cy="1281641"/>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20</xdr:row>
      <xdr:rowOff>188390</xdr:rowOff>
    </xdr:from>
    <xdr:to>
      <xdr:col>21</xdr:col>
      <xdr:colOff>1060450</xdr:colOff>
      <xdr:row>27</xdr:row>
      <xdr:rowOff>103724</xdr:rowOff>
    </xdr:to>
    <xdr:cxnSp macro="">
      <xdr:nvCxnSpPr>
        <xdr:cNvPr id="76" name="Connecteur droit avec flèche 75">
          <a:extLst>
            <a:ext uri="{FF2B5EF4-FFF2-40B4-BE49-F238E27FC236}">
              <a16:creationId xmlns:a16="http://schemas.microsoft.com/office/drawing/2014/main" id="{00000000-0008-0000-3200-00004C000000}"/>
            </a:ext>
          </a:extLst>
        </xdr:cNvPr>
        <xdr:cNvCxnSpPr/>
      </xdr:nvCxnSpPr>
      <xdr:spPr>
        <a:xfrm>
          <a:off x="18030825" y="5674790"/>
          <a:ext cx="1060450" cy="1315509"/>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29</xdr:row>
      <xdr:rowOff>2123</xdr:rowOff>
    </xdr:from>
    <xdr:to>
      <xdr:col>21</xdr:col>
      <xdr:colOff>1059392</xdr:colOff>
      <xdr:row>29</xdr:row>
      <xdr:rowOff>120656</xdr:rowOff>
    </xdr:to>
    <xdr:cxnSp macro="">
      <xdr:nvCxnSpPr>
        <xdr:cNvPr id="77" name="Connecteur droit avec flèche 76">
          <a:extLst>
            <a:ext uri="{FF2B5EF4-FFF2-40B4-BE49-F238E27FC236}">
              <a16:creationId xmlns:a16="http://schemas.microsoft.com/office/drawing/2014/main" id="{00000000-0008-0000-3200-00004D000000}"/>
            </a:ext>
          </a:extLst>
        </xdr:cNvPr>
        <xdr:cNvCxnSpPr/>
      </xdr:nvCxnSpPr>
      <xdr:spPr>
        <a:xfrm>
          <a:off x="18030825" y="7288748"/>
          <a:ext cx="1059392" cy="118533"/>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52917</xdr:colOff>
      <xdr:row>36</xdr:row>
      <xdr:rowOff>95250</xdr:rowOff>
    </xdr:from>
    <xdr:to>
      <xdr:col>15</xdr:col>
      <xdr:colOff>973667</xdr:colOff>
      <xdr:row>41</xdr:row>
      <xdr:rowOff>0</xdr:rowOff>
    </xdr:to>
    <xdr:cxnSp macro="">
      <xdr:nvCxnSpPr>
        <xdr:cNvPr id="78" name="Connecteur droit avec flèche 77">
          <a:extLst>
            <a:ext uri="{FF2B5EF4-FFF2-40B4-BE49-F238E27FC236}">
              <a16:creationId xmlns:a16="http://schemas.microsoft.com/office/drawing/2014/main" id="{00000000-0008-0000-3200-00004E000000}"/>
            </a:ext>
          </a:extLst>
        </xdr:cNvPr>
        <xdr:cNvCxnSpPr>
          <a:cxnSpLocks/>
        </xdr:cNvCxnSpPr>
      </xdr:nvCxnSpPr>
      <xdr:spPr>
        <a:xfrm flipV="1">
          <a:off x="12911667" y="3181350"/>
          <a:ext cx="920750" cy="904875"/>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52917</xdr:colOff>
      <xdr:row>41</xdr:row>
      <xdr:rowOff>169333</xdr:rowOff>
    </xdr:from>
    <xdr:to>
      <xdr:col>15</xdr:col>
      <xdr:colOff>994834</xdr:colOff>
      <xdr:row>47</xdr:row>
      <xdr:rowOff>74083</xdr:rowOff>
    </xdr:to>
    <xdr:cxnSp macro="">
      <xdr:nvCxnSpPr>
        <xdr:cNvPr id="79" name="Connecteur droit avec flèche 78">
          <a:extLst>
            <a:ext uri="{FF2B5EF4-FFF2-40B4-BE49-F238E27FC236}">
              <a16:creationId xmlns:a16="http://schemas.microsoft.com/office/drawing/2014/main" id="{00000000-0008-0000-3200-00004F000000}"/>
            </a:ext>
          </a:extLst>
        </xdr:cNvPr>
        <xdr:cNvCxnSpPr>
          <a:cxnSpLocks/>
        </xdr:cNvCxnSpPr>
      </xdr:nvCxnSpPr>
      <xdr:spPr>
        <a:xfrm flipV="1">
          <a:off x="12911667" y="4255558"/>
          <a:ext cx="941917" cy="1104900"/>
        </a:xfrm>
        <a:prstGeom prst="straightConnector1">
          <a:avLst/>
        </a:prstGeom>
        <a:ln>
          <a:solidFill>
            <a:srgbClr val="00B0F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105833</xdr:colOff>
      <xdr:row>34</xdr:row>
      <xdr:rowOff>190500</xdr:rowOff>
    </xdr:from>
    <xdr:to>
      <xdr:col>22</xdr:col>
      <xdr:colOff>38100</xdr:colOff>
      <xdr:row>36</xdr:row>
      <xdr:rowOff>0</xdr:rowOff>
    </xdr:to>
    <xdr:cxnSp macro="">
      <xdr:nvCxnSpPr>
        <xdr:cNvPr id="80" name="Connecteur droit avec flèche 79">
          <a:extLst>
            <a:ext uri="{FF2B5EF4-FFF2-40B4-BE49-F238E27FC236}">
              <a16:creationId xmlns:a16="http://schemas.microsoft.com/office/drawing/2014/main" id="{00000000-0008-0000-3200-000050000000}"/>
            </a:ext>
          </a:extLst>
        </xdr:cNvPr>
        <xdr:cNvCxnSpPr>
          <a:cxnSpLocks/>
        </xdr:cNvCxnSpPr>
      </xdr:nvCxnSpPr>
      <xdr:spPr>
        <a:xfrm flipV="1">
          <a:off x="18698633" y="2876550"/>
          <a:ext cx="989542" cy="20955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52917</xdr:colOff>
      <xdr:row>41</xdr:row>
      <xdr:rowOff>21167</xdr:rowOff>
    </xdr:from>
    <xdr:to>
      <xdr:col>15</xdr:col>
      <xdr:colOff>1016000</xdr:colOff>
      <xdr:row>48</xdr:row>
      <xdr:rowOff>127000</xdr:rowOff>
    </xdr:to>
    <xdr:cxnSp macro="">
      <xdr:nvCxnSpPr>
        <xdr:cNvPr id="81" name="Connecteur droit avec flèche 80">
          <a:extLst>
            <a:ext uri="{FF2B5EF4-FFF2-40B4-BE49-F238E27FC236}">
              <a16:creationId xmlns:a16="http://schemas.microsoft.com/office/drawing/2014/main" id="{00000000-0008-0000-3200-000051000000}"/>
            </a:ext>
          </a:extLst>
        </xdr:cNvPr>
        <xdr:cNvCxnSpPr>
          <a:cxnSpLocks/>
        </xdr:cNvCxnSpPr>
      </xdr:nvCxnSpPr>
      <xdr:spPr>
        <a:xfrm>
          <a:off x="12911667" y="4107392"/>
          <a:ext cx="963083" cy="1506008"/>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52917</xdr:colOff>
      <xdr:row>50</xdr:row>
      <xdr:rowOff>105833</xdr:rowOff>
    </xdr:from>
    <xdr:to>
      <xdr:col>15</xdr:col>
      <xdr:colOff>1026584</xdr:colOff>
      <xdr:row>53</xdr:row>
      <xdr:rowOff>43884</xdr:rowOff>
    </xdr:to>
    <xdr:cxnSp macro="">
      <xdr:nvCxnSpPr>
        <xdr:cNvPr id="82" name="Connecteur droit avec flèche 81">
          <a:extLst>
            <a:ext uri="{FF2B5EF4-FFF2-40B4-BE49-F238E27FC236}">
              <a16:creationId xmlns:a16="http://schemas.microsoft.com/office/drawing/2014/main" id="{00000000-0008-0000-3200-000052000000}"/>
            </a:ext>
          </a:extLst>
        </xdr:cNvPr>
        <xdr:cNvCxnSpPr>
          <a:cxnSpLocks/>
        </xdr:cNvCxnSpPr>
      </xdr:nvCxnSpPr>
      <xdr:spPr>
        <a:xfrm flipV="1">
          <a:off x="12911667" y="5992283"/>
          <a:ext cx="973667" cy="53812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52917</xdr:colOff>
      <xdr:row>44</xdr:row>
      <xdr:rowOff>95250</xdr:rowOff>
    </xdr:from>
    <xdr:to>
      <xdr:col>15</xdr:col>
      <xdr:colOff>1037167</xdr:colOff>
      <xdr:row>53</xdr:row>
      <xdr:rowOff>42333</xdr:rowOff>
    </xdr:to>
    <xdr:cxnSp macro="">
      <xdr:nvCxnSpPr>
        <xdr:cNvPr id="83" name="Connecteur droit avec flèche 82">
          <a:extLst>
            <a:ext uri="{FF2B5EF4-FFF2-40B4-BE49-F238E27FC236}">
              <a16:creationId xmlns:a16="http://schemas.microsoft.com/office/drawing/2014/main" id="{00000000-0008-0000-3200-000053000000}"/>
            </a:ext>
          </a:extLst>
        </xdr:cNvPr>
        <xdr:cNvCxnSpPr>
          <a:cxnSpLocks/>
        </xdr:cNvCxnSpPr>
      </xdr:nvCxnSpPr>
      <xdr:spPr>
        <a:xfrm flipV="1">
          <a:off x="12911667" y="4781550"/>
          <a:ext cx="984250" cy="174730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116417</xdr:colOff>
      <xdr:row>36</xdr:row>
      <xdr:rowOff>21167</xdr:rowOff>
    </xdr:from>
    <xdr:to>
      <xdr:col>21</xdr:col>
      <xdr:colOff>1026583</xdr:colOff>
      <xdr:row>43</xdr:row>
      <xdr:rowOff>105833</xdr:rowOff>
    </xdr:to>
    <xdr:cxnSp macro="">
      <xdr:nvCxnSpPr>
        <xdr:cNvPr id="84" name="Connecteur droit avec flèche 83">
          <a:extLst>
            <a:ext uri="{FF2B5EF4-FFF2-40B4-BE49-F238E27FC236}">
              <a16:creationId xmlns:a16="http://schemas.microsoft.com/office/drawing/2014/main" id="{00000000-0008-0000-3200-000054000000}"/>
            </a:ext>
          </a:extLst>
        </xdr:cNvPr>
        <xdr:cNvCxnSpPr/>
      </xdr:nvCxnSpPr>
      <xdr:spPr bwMode="auto">
        <a:xfrm>
          <a:off x="18709217" y="3107267"/>
          <a:ext cx="910166" cy="1484841"/>
        </a:xfrm>
        <a:prstGeom prst="straightConnector1">
          <a:avLst/>
        </a:prstGeom>
        <a:ln>
          <a:solidFill>
            <a:srgbClr val="FF0000"/>
          </a:solidFill>
          <a:headEnd type="none" w="med" len="med"/>
          <a:tailEnd type="arrow"/>
        </a:ln>
      </xdr:spPr>
      <xdr:style>
        <a:lnRef idx="2">
          <a:schemeClr val="accent6"/>
        </a:lnRef>
        <a:fillRef idx="0">
          <a:schemeClr val="accent6"/>
        </a:fillRef>
        <a:effectRef idx="1">
          <a:schemeClr val="accent6"/>
        </a:effectRef>
        <a:fontRef idx="minor">
          <a:schemeClr val="tx1"/>
        </a:fontRef>
      </xdr:style>
    </xdr:cxnSp>
    <xdr:clientData/>
  </xdr:twoCellAnchor>
  <xdr:twoCellAnchor>
    <xdr:from>
      <xdr:col>21</xdr:col>
      <xdr:colOff>95250</xdr:colOff>
      <xdr:row>36</xdr:row>
      <xdr:rowOff>127000</xdr:rowOff>
    </xdr:from>
    <xdr:to>
      <xdr:col>21</xdr:col>
      <xdr:colOff>1037167</xdr:colOff>
      <xdr:row>42</xdr:row>
      <xdr:rowOff>21167</xdr:rowOff>
    </xdr:to>
    <xdr:cxnSp macro="">
      <xdr:nvCxnSpPr>
        <xdr:cNvPr id="85" name="Connecteur droit avec flèche 84">
          <a:extLst>
            <a:ext uri="{FF2B5EF4-FFF2-40B4-BE49-F238E27FC236}">
              <a16:creationId xmlns:a16="http://schemas.microsoft.com/office/drawing/2014/main" id="{00000000-0008-0000-3200-000055000000}"/>
            </a:ext>
          </a:extLst>
        </xdr:cNvPr>
        <xdr:cNvCxnSpPr>
          <a:cxnSpLocks/>
        </xdr:cNvCxnSpPr>
      </xdr:nvCxnSpPr>
      <xdr:spPr>
        <a:xfrm flipV="1">
          <a:off x="18688050" y="3213100"/>
          <a:ext cx="941917" cy="109431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162984</xdr:colOff>
      <xdr:row>50</xdr:row>
      <xdr:rowOff>114300</xdr:rowOff>
    </xdr:from>
    <xdr:to>
      <xdr:col>21</xdr:col>
      <xdr:colOff>952500</xdr:colOff>
      <xdr:row>50</xdr:row>
      <xdr:rowOff>127000</xdr:rowOff>
    </xdr:to>
    <xdr:cxnSp macro="">
      <xdr:nvCxnSpPr>
        <xdr:cNvPr id="86" name="Connecteur droit avec flèche 85">
          <a:extLst>
            <a:ext uri="{FF2B5EF4-FFF2-40B4-BE49-F238E27FC236}">
              <a16:creationId xmlns:a16="http://schemas.microsoft.com/office/drawing/2014/main" id="{00000000-0008-0000-3200-000056000000}"/>
            </a:ext>
          </a:extLst>
        </xdr:cNvPr>
        <xdr:cNvCxnSpPr/>
      </xdr:nvCxnSpPr>
      <xdr:spPr bwMode="auto">
        <a:xfrm>
          <a:off x="18755784" y="6000750"/>
          <a:ext cx="789516" cy="12700"/>
        </a:xfrm>
        <a:prstGeom prst="straightConnector1">
          <a:avLst/>
        </a:prstGeom>
        <a:ln>
          <a:solidFill>
            <a:schemeClr val="tx2">
              <a:lumMod val="60000"/>
              <a:lumOff val="40000"/>
            </a:schemeClr>
          </a:solidFill>
          <a:headEnd type="none" w="med" len="med"/>
          <a:tailEnd type="arrow"/>
        </a:ln>
      </xdr:spPr>
      <xdr:style>
        <a:lnRef idx="2">
          <a:schemeClr val="accent6"/>
        </a:lnRef>
        <a:fillRef idx="0">
          <a:schemeClr val="accent6"/>
        </a:fillRef>
        <a:effectRef idx="1">
          <a:schemeClr val="accent6"/>
        </a:effectRef>
        <a:fontRef idx="minor">
          <a:schemeClr val="tx1"/>
        </a:fontRef>
      </xdr:style>
    </xdr:cxnSp>
    <xdr:clientData/>
  </xdr:twoCellAnchor>
  <xdr:twoCellAnchor>
    <xdr:from>
      <xdr:col>15</xdr:col>
      <xdr:colOff>52917</xdr:colOff>
      <xdr:row>35</xdr:row>
      <xdr:rowOff>0</xdr:rowOff>
    </xdr:from>
    <xdr:to>
      <xdr:col>15</xdr:col>
      <xdr:colOff>867834</xdr:colOff>
      <xdr:row>35</xdr:row>
      <xdr:rowOff>0</xdr:rowOff>
    </xdr:to>
    <xdr:cxnSp macro="">
      <xdr:nvCxnSpPr>
        <xdr:cNvPr id="87" name="Connecteur droit avec flèche 86">
          <a:extLst>
            <a:ext uri="{FF2B5EF4-FFF2-40B4-BE49-F238E27FC236}">
              <a16:creationId xmlns:a16="http://schemas.microsoft.com/office/drawing/2014/main" id="{00000000-0008-0000-3200-000057000000}"/>
            </a:ext>
          </a:extLst>
        </xdr:cNvPr>
        <xdr:cNvCxnSpPr>
          <a:cxnSpLocks/>
        </xdr:cNvCxnSpPr>
      </xdr:nvCxnSpPr>
      <xdr:spPr>
        <a:xfrm>
          <a:off x="12911667" y="2886075"/>
          <a:ext cx="814917" cy="0"/>
        </a:xfrm>
        <a:prstGeom prst="straightConnector1">
          <a:avLst/>
        </a:prstGeom>
        <a:ln>
          <a:solidFill>
            <a:srgbClr val="00B0F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146050</xdr:colOff>
      <xdr:row>48</xdr:row>
      <xdr:rowOff>107950</xdr:rowOff>
    </xdr:from>
    <xdr:to>
      <xdr:col>21</xdr:col>
      <xdr:colOff>935566</xdr:colOff>
      <xdr:row>48</xdr:row>
      <xdr:rowOff>120650</xdr:rowOff>
    </xdr:to>
    <xdr:cxnSp macro="">
      <xdr:nvCxnSpPr>
        <xdr:cNvPr id="88" name="Connecteur droit avec flèche 87">
          <a:extLst>
            <a:ext uri="{FF2B5EF4-FFF2-40B4-BE49-F238E27FC236}">
              <a16:creationId xmlns:a16="http://schemas.microsoft.com/office/drawing/2014/main" id="{00000000-0008-0000-3200-000058000000}"/>
            </a:ext>
          </a:extLst>
        </xdr:cNvPr>
        <xdr:cNvCxnSpPr/>
      </xdr:nvCxnSpPr>
      <xdr:spPr bwMode="auto">
        <a:xfrm>
          <a:off x="18738850" y="5594350"/>
          <a:ext cx="789516" cy="12700"/>
        </a:xfrm>
        <a:prstGeom prst="straightConnector1">
          <a:avLst/>
        </a:prstGeom>
        <a:ln>
          <a:solidFill>
            <a:schemeClr val="tx2">
              <a:lumMod val="60000"/>
              <a:lumOff val="40000"/>
            </a:schemeClr>
          </a:solidFill>
          <a:headEnd type="none" w="med" len="med"/>
          <a:tailEnd type="arrow"/>
        </a:ln>
      </xdr:spPr>
      <xdr:style>
        <a:lnRef idx="2">
          <a:schemeClr val="accent6"/>
        </a:lnRef>
        <a:fillRef idx="0">
          <a:schemeClr val="accent6"/>
        </a:fillRef>
        <a:effectRef idx="1">
          <a:schemeClr val="accent6"/>
        </a:effectRef>
        <a:fontRef idx="minor">
          <a:schemeClr val="tx1"/>
        </a:fontRef>
      </xdr:style>
    </xdr:cxnSp>
    <xdr:clientData/>
  </xdr:twoCellAnchor>
  <xdr:twoCellAnchor>
    <xdr:from>
      <xdr:col>21</xdr:col>
      <xdr:colOff>110067</xdr:colOff>
      <xdr:row>41</xdr:row>
      <xdr:rowOff>137583</xdr:rowOff>
    </xdr:from>
    <xdr:to>
      <xdr:col>22</xdr:col>
      <xdr:colOff>10584</xdr:colOff>
      <xdr:row>42</xdr:row>
      <xdr:rowOff>25400</xdr:rowOff>
    </xdr:to>
    <xdr:cxnSp macro="">
      <xdr:nvCxnSpPr>
        <xdr:cNvPr id="89" name="Connecteur droit avec flèche 88">
          <a:extLst>
            <a:ext uri="{FF2B5EF4-FFF2-40B4-BE49-F238E27FC236}">
              <a16:creationId xmlns:a16="http://schemas.microsoft.com/office/drawing/2014/main" id="{00000000-0008-0000-3200-000059000000}"/>
            </a:ext>
          </a:extLst>
        </xdr:cNvPr>
        <xdr:cNvCxnSpPr/>
      </xdr:nvCxnSpPr>
      <xdr:spPr bwMode="auto">
        <a:xfrm flipV="1">
          <a:off x="18702867" y="4223808"/>
          <a:ext cx="957792" cy="87842"/>
        </a:xfrm>
        <a:prstGeom prst="straightConnector1">
          <a:avLst/>
        </a:prstGeom>
        <a:ln>
          <a:solidFill>
            <a:srgbClr val="FF0000"/>
          </a:solidFill>
          <a:headEnd type="none" w="med" len="med"/>
          <a:tailEnd type="arrow"/>
        </a:ln>
      </xdr:spPr>
      <xdr:style>
        <a:lnRef idx="2">
          <a:schemeClr val="accent6"/>
        </a:lnRef>
        <a:fillRef idx="0">
          <a:schemeClr val="accent6"/>
        </a:fillRef>
        <a:effectRef idx="1">
          <a:schemeClr val="accent6"/>
        </a:effectRef>
        <a:fontRef idx="minor">
          <a:schemeClr val="tx1"/>
        </a:fontRef>
      </xdr:style>
    </xdr:cxnSp>
    <xdr:clientData/>
  </xdr:twoCellAnchor>
  <xdr:twoCellAnchor>
    <xdr:from>
      <xdr:col>18</xdr:col>
      <xdr:colOff>2465916</xdr:colOff>
      <xdr:row>49</xdr:row>
      <xdr:rowOff>42333</xdr:rowOff>
    </xdr:from>
    <xdr:to>
      <xdr:col>19</xdr:col>
      <xdr:colOff>645347</xdr:colOff>
      <xdr:row>50</xdr:row>
      <xdr:rowOff>111497</xdr:rowOff>
    </xdr:to>
    <xdr:sp macro="" textlink="">
      <xdr:nvSpPr>
        <xdr:cNvPr id="90" name="Rectangle à coins arrondis 25">
          <a:extLst>
            <a:ext uri="{FF2B5EF4-FFF2-40B4-BE49-F238E27FC236}">
              <a16:creationId xmlns:a16="http://schemas.microsoft.com/office/drawing/2014/main" id="{00000000-0008-0000-3200-00005A000000}"/>
            </a:ext>
          </a:extLst>
        </xdr:cNvPr>
        <xdr:cNvSpPr/>
      </xdr:nvSpPr>
      <xdr:spPr bwMode="auto">
        <a:xfrm>
          <a:off x="17477316" y="5728758"/>
          <a:ext cx="713081" cy="269189"/>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twoCellAnchor>
    <xdr:from>
      <xdr:col>12</xdr:col>
      <xdr:colOff>2222736</xdr:colOff>
      <xdr:row>34</xdr:row>
      <xdr:rowOff>73711</xdr:rowOff>
    </xdr:from>
    <xdr:to>
      <xdr:col>13</xdr:col>
      <xdr:colOff>444501</xdr:colOff>
      <xdr:row>35</xdr:row>
      <xdr:rowOff>142875</xdr:rowOff>
    </xdr:to>
    <xdr:sp macro="" textlink="">
      <xdr:nvSpPr>
        <xdr:cNvPr id="2" name="Rectangle à coins arrondis 25">
          <a:extLst>
            <a:ext uri="{FF2B5EF4-FFF2-40B4-BE49-F238E27FC236}">
              <a16:creationId xmlns:a16="http://schemas.microsoft.com/office/drawing/2014/main" id="{00000000-0008-0000-3200-000002000000}"/>
            </a:ext>
          </a:extLst>
        </xdr:cNvPr>
        <xdr:cNvSpPr/>
      </xdr:nvSpPr>
      <xdr:spPr bwMode="auto">
        <a:xfrm>
          <a:off x="3184761" y="8360461"/>
          <a:ext cx="660165" cy="269189"/>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twoCellAnchor>
    <xdr:from>
      <xdr:col>12</xdr:col>
      <xdr:colOff>2222736</xdr:colOff>
      <xdr:row>47</xdr:row>
      <xdr:rowOff>73711</xdr:rowOff>
    </xdr:from>
    <xdr:to>
      <xdr:col>13</xdr:col>
      <xdr:colOff>444501</xdr:colOff>
      <xdr:row>48</xdr:row>
      <xdr:rowOff>142875</xdr:rowOff>
    </xdr:to>
    <xdr:sp macro="" textlink="">
      <xdr:nvSpPr>
        <xdr:cNvPr id="3" name="Rectangle à coins arrondis 25">
          <a:extLst>
            <a:ext uri="{FF2B5EF4-FFF2-40B4-BE49-F238E27FC236}">
              <a16:creationId xmlns:a16="http://schemas.microsoft.com/office/drawing/2014/main" id="{00000000-0008-0000-3200-000003000000}"/>
            </a:ext>
          </a:extLst>
        </xdr:cNvPr>
        <xdr:cNvSpPr/>
      </xdr:nvSpPr>
      <xdr:spPr bwMode="auto">
        <a:xfrm>
          <a:off x="3184761" y="8360461"/>
          <a:ext cx="660165" cy="269189"/>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361950</xdr:colOff>
      <xdr:row>0</xdr:row>
      <xdr:rowOff>0</xdr:rowOff>
    </xdr:from>
    <xdr:to>
      <xdr:col>13</xdr:col>
      <xdr:colOff>1838324</xdr:colOff>
      <xdr:row>2</xdr:row>
      <xdr:rowOff>28964</xdr:rowOff>
    </xdr:to>
    <xdr:sp macro="" textlink="">
      <xdr:nvSpPr>
        <xdr:cNvPr id="2" name="Text Box 45">
          <a:extLst>
            <a:ext uri="{FF2B5EF4-FFF2-40B4-BE49-F238E27FC236}">
              <a16:creationId xmlns:a16="http://schemas.microsoft.com/office/drawing/2014/main" id="{00000000-0008-0000-0400-000002000000}"/>
            </a:ext>
          </a:extLst>
        </xdr:cNvPr>
        <xdr:cNvSpPr txBox="1">
          <a:spLocks noChangeArrowheads="1"/>
        </xdr:cNvSpPr>
      </xdr:nvSpPr>
      <xdr:spPr bwMode="auto">
        <a:xfrm>
          <a:off x="10887075" y="304800"/>
          <a:ext cx="2209800" cy="3905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Cette feuille est remplie directement lors de l'importation du fichier Internet</a:t>
          </a:r>
          <a:endParaRPr lang="fr-FR"/>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xdr:from>
      <xdr:col>33</xdr:col>
      <xdr:colOff>399143</xdr:colOff>
      <xdr:row>23</xdr:row>
      <xdr:rowOff>168730</xdr:rowOff>
    </xdr:from>
    <xdr:to>
      <xdr:col>33</xdr:col>
      <xdr:colOff>2304143</xdr:colOff>
      <xdr:row>27</xdr:row>
      <xdr:rowOff>100695</xdr:rowOff>
    </xdr:to>
    <xdr:sp macro="[0]!JMK_Trans_FDUEL1" textlink="">
      <xdr:nvSpPr>
        <xdr:cNvPr id="18" name="Rectangle à coins arrondis 17">
          <a:extLst>
            <a:ext uri="{FF2B5EF4-FFF2-40B4-BE49-F238E27FC236}">
              <a16:creationId xmlns:a16="http://schemas.microsoft.com/office/drawing/2014/main" id="{00000000-0008-0000-3300-000012000000}"/>
            </a:ext>
          </a:extLst>
        </xdr:cNvPr>
        <xdr:cNvSpPr/>
      </xdr:nvSpPr>
      <xdr:spPr bwMode="auto">
        <a:xfrm>
          <a:off x="21754193" y="6255205"/>
          <a:ext cx="1905000" cy="7320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1</a:t>
          </a:r>
          <a:r>
            <a:rPr lang="fr-FR" sz="1600"/>
            <a:t> </a:t>
          </a:r>
        </a:p>
      </xdr:txBody>
    </xdr:sp>
    <xdr:clientData fPrintsWithSheet="0"/>
  </xdr:twoCellAnchor>
  <xdr:twoCellAnchor>
    <xdr:from>
      <xdr:col>34</xdr:col>
      <xdr:colOff>293007</xdr:colOff>
      <xdr:row>23</xdr:row>
      <xdr:rowOff>168730</xdr:rowOff>
    </xdr:from>
    <xdr:to>
      <xdr:col>34</xdr:col>
      <xdr:colOff>2198007</xdr:colOff>
      <xdr:row>27</xdr:row>
      <xdr:rowOff>100695</xdr:rowOff>
    </xdr:to>
    <xdr:sp macro="[0]!JMK_Trans_FDUEL2" textlink="">
      <xdr:nvSpPr>
        <xdr:cNvPr id="19" name="Rectangle à coins arrondis 18">
          <a:extLst>
            <a:ext uri="{FF2B5EF4-FFF2-40B4-BE49-F238E27FC236}">
              <a16:creationId xmlns:a16="http://schemas.microsoft.com/office/drawing/2014/main" id="{00000000-0008-0000-3300-000013000000}"/>
            </a:ext>
          </a:extLst>
        </xdr:cNvPr>
        <xdr:cNvSpPr/>
      </xdr:nvSpPr>
      <xdr:spPr bwMode="auto">
        <a:xfrm>
          <a:off x="24105507" y="6255205"/>
          <a:ext cx="1905000" cy="7320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2</a:t>
          </a:r>
          <a:r>
            <a:rPr lang="fr-FR" sz="1600"/>
            <a:t> </a:t>
          </a:r>
        </a:p>
      </xdr:txBody>
    </xdr:sp>
    <xdr:clientData fPrintsWithSheet="0"/>
  </xdr:twoCellAnchor>
  <xdr:twoCellAnchor>
    <xdr:from>
      <xdr:col>35</xdr:col>
      <xdr:colOff>186872</xdr:colOff>
      <xdr:row>23</xdr:row>
      <xdr:rowOff>168730</xdr:rowOff>
    </xdr:from>
    <xdr:to>
      <xdr:col>35</xdr:col>
      <xdr:colOff>2091872</xdr:colOff>
      <xdr:row>27</xdr:row>
      <xdr:rowOff>100695</xdr:rowOff>
    </xdr:to>
    <xdr:sp macro="[0]!JMK_Trans_FDUEL3" textlink="">
      <xdr:nvSpPr>
        <xdr:cNvPr id="20" name="Rectangle à coins arrondis 19">
          <a:extLst>
            <a:ext uri="{FF2B5EF4-FFF2-40B4-BE49-F238E27FC236}">
              <a16:creationId xmlns:a16="http://schemas.microsoft.com/office/drawing/2014/main" id="{00000000-0008-0000-3300-000014000000}"/>
            </a:ext>
          </a:extLst>
        </xdr:cNvPr>
        <xdr:cNvSpPr/>
      </xdr:nvSpPr>
      <xdr:spPr bwMode="auto">
        <a:xfrm>
          <a:off x="26456822" y="6255205"/>
          <a:ext cx="1905000" cy="7320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3</a:t>
          </a:r>
          <a:r>
            <a:rPr lang="fr-FR" sz="1600"/>
            <a:t> </a:t>
          </a:r>
        </a:p>
      </xdr:txBody>
    </xdr:sp>
    <xdr:clientData fPrintsWithSheet="0"/>
  </xdr:twoCellAnchor>
  <xdr:twoCellAnchor>
    <xdr:from>
      <xdr:col>34</xdr:col>
      <xdr:colOff>1492249</xdr:colOff>
      <xdr:row>30</xdr:row>
      <xdr:rowOff>111125</xdr:rowOff>
    </xdr:from>
    <xdr:to>
      <xdr:col>35</xdr:col>
      <xdr:colOff>936624</xdr:colOff>
      <xdr:row>36</xdr:row>
      <xdr:rowOff>142875</xdr:rowOff>
    </xdr:to>
    <xdr:sp macro="[0]!JMK_ZI_Résultat_Final" textlink="">
      <xdr:nvSpPr>
        <xdr:cNvPr id="21" name="Rectangle à coins arrondis 20">
          <a:extLst>
            <a:ext uri="{FF2B5EF4-FFF2-40B4-BE49-F238E27FC236}">
              <a16:creationId xmlns:a16="http://schemas.microsoft.com/office/drawing/2014/main" id="{00000000-0008-0000-3300-000015000000}"/>
            </a:ext>
          </a:extLst>
        </xdr:cNvPr>
        <xdr:cNvSpPr/>
      </xdr:nvSpPr>
      <xdr:spPr bwMode="auto">
        <a:xfrm>
          <a:off x="25304749" y="7597775"/>
          <a:ext cx="1901825" cy="1231900"/>
        </a:xfrm>
        <a:prstGeom prst="roundRect">
          <a:avLst/>
        </a:prstGeom>
        <a:solidFill>
          <a:srgbClr val="00FF99"/>
        </a:solidFill>
        <a:ln w="9525" cap="flat" cmpd="sng" algn="ctr">
          <a:solidFill>
            <a:srgbClr val="400000"/>
          </a:solidFill>
          <a:prstDash val="solid"/>
          <a:round/>
          <a:headEnd type="none" w="med" len="med"/>
          <a:tailEnd type="none" w="med" len="med"/>
        </a:ln>
        <a:effectLst/>
      </xdr:spPr>
      <xdr:txBody>
        <a:bodyPr rot="0" spcFirstLastPara="0" vertOverflow="clip" horzOverflow="clip" vert="horz" wrap="square" lIns="18288" tIns="0" rIns="0" bIns="0" numCol="1" spcCol="0" rtlCol="0" fromWordArt="0" anchor="ctr" anchorCtr="0" forceAA="0" upright="1" compatLnSpc="1">
          <a:prstTxWarp prst="textNoShape">
            <a:avLst/>
          </a:prstTxWarp>
          <a:noAutofit/>
        </a:bodyPr>
        <a:lstStyle/>
        <a:p>
          <a:pPr algn="ctr"/>
          <a:r>
            <a:rPr lang="fr-FR" sz="2000"/>
            <a:t>Impression</a:t>
          </a:r>
          <a:r>
            <a:rPr lang="fr-FR" sz="2000" baseline="0"/>
            <a:t> du CLASSEMENT FINAL</a:t>
          </a:r>
          <a:endParaRPr lang="fr-FR" sz="2000"/>
        </a:p>
      </xdr:txBody>
    </xdr:sp>
    <xdr:clientData fPrintsWithSheet="0"/>
  </xdr:twoCellAnchor>
  <xdr:twoCellAnchor>
    <xdr:from>
      <xdr:col>24</xdr:col>
      <xdr:colOff>603250</xdr:colOff>
      <xdr:row>0</xdr:row>
      <xdr:rowOff>269875</xdr:rowOff>
    </xdr:from>
    <xdr:to>
      <xdr:col>24</xdr:col>
      <xdr:colOff>2127250</xdr:colOff>
      <xdr:row>1</xdr:row>
      <xdr:rowOff>365125</xdr:rowOff>
    </xdr:to>
    <xdr:sp macro="[0]!jmk_RETOUR_MENU" textlink="">
      <xdr:nvSpPr>
        <xdr:cNvPr id="22" name="Rectangle à coins arrondis 21">
          <a:extLst>
            <a:ext uri="{FF2B5EF4-FFF2-40B4-BE49-F238E27FC236}">
              <a16:creationId xmlns:a16="http://schemas.microsoft.com/office/drawing/2014/main" id="{00000000-0008-0000-3300-000016000000}"/>
            </a:ext>
          </a:extLst>
        </xdr:cNvPr>
        <xdr:cNvSpPr/>
      </xdr:nvSpPr>
      <xdr:spPr bwMode="auto">
        <a:xfrm>
          <a:off x="16652875" y="269875"/>
          <a:ext cx="1524000" cy="80010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Retour aux MENUS</a:t>
          </a:r>
        </a:p>
      </xdr:txBody>
    </xdr:sp>
    <xdr:clientData fPrintsWithSheet="0"/>
  </xdr:twoCellAnchor>
  <xdr:twoCellAnchor editAs="oneCell">
    <xdr:from>
      <xdr:col>10</xdr:col>
      <xdr:colOff>190500</xdr:colOff>
      <xdr:row>0</xdr:row>
      <xdr:rowOff>112059</xdr:rowOff>
    </xdr:from>
    <xdr:to>
      <xdr:col>12</xdr:col>
      <xdr:colOff>1154206</xdr:colOff>
      <xdr:row>1</xdr:row>
      <xdr:rowOff>536388</xdr:rowOff>
    </xdr:to>
    <xdr:pic>
      <xdr:nvPicPr>
        <xdr:cNvPr id="39" name="Image 38">
          <a:extLst>
            <a:ext uri="{FF2B5EF4-FFF2-40B4-BE49-F238E27FC236}">
              <a16:creationId xmlns:a16="http://schemas.microsoft.com/office/drawing/2014/main" id="{00000000-0008-0000-33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19600" y="112059"/>
          <a:ext cx="1906681" cy="1129179"/>
        </a:xfrm>
        <a:prstGeom prst="rect">
          <a:avLst/>
        </a:prstGeom>
      </xdr:spPr>
    </xdr:pic>
    <xdr:clientData/>
  </xdr:twoCellAnchor>
  <xdr:twoCellAnchor editAs="oneCell">
    <xdr:from>
      <xdr:col>35</xdr:col>
      <xdr:colOff>1434353</xdr:colOff>
      <xdr:row>2</xdr:row>
      <xdr:rowOff>403413</xdr:rowOff>
    </xdr:from>
    <xdr:to>
      <xdr:col>35</xdr:col>
      <xdr:colOff>2370978</xdr:colOff>
      <xdr:row>4</xdr:row>
      <xdr:rowOff>153881</xdr:rowOff>
    </xdr:to>
    <xdr:pic>
      <xdr:nvPicPr>
        <xdr:cNvPr id="40" name="Image 39">
          <a:extLst>
            <a:ext uri="{FF2B5EF4-FFF2-40B4-BE49-F238E27FC236}">
              <a16:creationId xmlns:a16="http://schemas.microsoft.com/office/drawing/2014/main" id="{00000000-0008-0000-3300-00002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704303" y="1889313"/>
          <a:ext cx="936625" cy="550568"/>
        </a:xfrm>
        <a:prstGeom prst="rect">
          <a:avLst/>
        </a:prstGeom>
      </xdr:spPr>
    </xdr:pic>
    <xdr:clientData/>
  </xdr:twoCellAnchor>
  <xdr:twoCellAnchor>
    <xdr:from>
      <xdr:col>33</xdr:col>
      <xdr:colOff>707572</xdr:colOff>
      <xdr:row>29</xdr:row>
      <xdr:rowOff>13607</xdr:rowOff>
    </xdr:from>
    <xdr:to>
      <xdr:col>33</xdr:col>
      <xdr:colOff>2023043</xdr:colOff>
      <xdr:row>33</xdr:row>
      <xdr:rowOff>36739</xdr:rowOff>
    </xdr:to>
    <xdr:sp macro="[0]!Imp_DUEL_Tableau" textlink="">
      <xdr:nvSpPr>
        <xdr:cNvPr id="41" name="Rectangle à coins arrondis 40">
          <a:extLst>
            <a:ext uri="{FF2B5EF4-FFF2-40B4-BE49-F238E27FC236}">
              <a16:creationId xmlns:a16="http://schemas.microsoft.com/office/drawing/2014/main" id="{00000000-0008-0000-3300-000029000000}"/>
            </a:ext>
          </a:extLst>
        </xdr:cNvPr>
        <xdr:cNvSpPr/>
      </xdr:nvSpPr>
      <xdr:spPr bwMode="auto">
        <a:xfrm>
          <a:off x="22062622" y="7300232"/>
          <a:ext cx="1315471" cy="823232"/>
        </a:xfrm>
        <a:prstGeom prst="roundRect">
          <a:avLst/>
        </a:prstGeom>
        <a:solidFill>
          <a:srgbClr val="E923EE"/>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 TABLEAU des</a:t>
          </a:r>
          <a:r>
            <a:rPr lang="fr-FR" sz="1600" baseline="0"/>
            <a:t> DUELS</a:t>
          </a:r>
          <a:endParaRPr lang="fr-FR" sz="1600"/>
        </a:p>
      </xdr:txBody>
    </xdr:sp>
    <xdr:clientData/>
  </xdr:twoCellAnchor>
  <xdr:twoCellAnchor>
    <xdr:from>
      <xdr:col>21</xdr:col>
      <xdr:colOff>67236</xdr:colOff>
      <xdr:row>35</xdr:row>
      <xdr:rowOff>0</xdr:rowOff>
    </xdr:from>
    <xdr:to>
      <xdr:col>22</xdr:col>
      <xdr:colOff>15875</xdr:colOff>
      <xdr:row>35</xdr:row>
      <xdr:rowOff>190500</xdr:rowOff>
    </xdr:to>
    <xdr:cxnSp macro="">
      <xdr:nvCxnSpPr>
        <xdr:cNvPr id="38" name="Connecteur droit avec flèche 37">
          <a:extLst>
            <a:ext uri="{FF2B5EF4-FFF2-40B4-BE49-F238E27FC236}">
              <a16:creationId xmlns:a16="http://schemas.microsoft.com/office/drawing/2014/main" id="{00000000-0008-0000-3300-000026000000}"/>
            </a:ext>
          </a:extLst>
        </xdr:cNvPr>
        <xdr:cNvCxnSpPr/>
      </xdr:nvCxnSpPr>
      <xdr:spPr>
        <a:xfrm flipV="1">
          <a:off x="18098061" y="2886075"/>
          <a:ext cx="1005914" cy="19050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82315</xdr:colOff>
      <xdr:row>37</xdr:row>
      <xdr:rowOff>38100</xdr:rowOff>
    </xdr:from>
    <xdr:to>
      <xdr:col>22</xdr:col>
      <xdr:colOff>28575</xdr:colOff>
      <xdr:row>41</xdr:row>
      <xdr:rowOff>82315</xdr:rowOff>
    </xdr:to>
    <xdr:cxnSp macro="">
      <xdr:nvCxnSpPr>
        <xdr:cNvPr id="58" name="Connecteur droit avec flèche 57">
          <a:extLst>
            <a:ext uri="{FF2B5EF4-FFF2-40B4-BE49-F238E27FC236}">
              <a16:creationId xmlns:a16="http://schemas.microsoft.com/office/drawing/2014/main" id="{00000000-0008-0000-3300-00003A000000}"/>
            </a:ext>
          </a:extLst>
        </xdr:cNvPr>
        <xdr:cNvCxnSpPr/>
      </xdr:nvCxnSpPr>
      <xdr:spPr>
        <a:xfrm flipV="1">
          <a:off x="18113140" y="3324225"/>
          <a:ext cx="1003535" cy="844315"/>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67236</xdr:colOff>
      <xdr:row>36</xdr:row>
      <xdr:rowOff>11206</xdr:rowOff>
    </xdr:from>
    <xdr:to>
      <xdr:col>22</xdr:col>
      <xdr:colOff>7097</xdr:colOff>
      <xdr:row>41</xdr:row>
      <xdr:rowOff>103724</xdr:rowOff>
    </xdr:to>
    <xdr:cxnSp macro="">
      <xdr:nvCxnSpPr>
        <xdr:cNvPr id="59" name="Connecteur droit avec flèche 58">
          <a:extLst>
            <a:ext uri="{FF2B5EF4-FFF2-40B4-BE49-F238E27FC236}">
              <a16:creationId xmlns:a16="http://schemas.microsoft.com/office/drawing/2014/main" id="{00000000-0008-0000-3300-00003B000000}"/>
            </a:ext>
          </a:extLst>
        </xdr:cNvPr>
        <xdr:cNvCxnSpPr/>
      </xdr:nvCxnSpPr>
      <xdr:spPr>
        <a:xfrm>
          <a:off x="18098061" y="3097306"/>
          <a:ext cx="997136" cy="109264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117593</xdr:colOff>
      <xdr:row>41</xdr:row>
      <xdr:rowOff>105833</xdr:rowOff>
    </xdr:from>
    <xdr:to>
      <xdr:col>22</xdr:col>
      <xdr:colOff>15875</xdr:colOff>
      <xdr:row>43</xdr:row>
      <xdr:rowOff>158750</xdr:rowOff>
    </xdr:to>
    <xdr:cxnSp macro="">
      <xdr:nvCxnSpPr>
        <xdr:cNvPr id="60" name="Connecteur droit avec flèche 59">
          <a:extLst>
            <a:ext uri="{FF2B5EF4-FFF2-40B4-BE49-F238E27FC236}">
              <a16:creationId xmlns:a16="http://schemas.microsoft.com/office/drawing/2014/main" id="{00000000-0008-0000-3300-00003C000000}"/>
            </a:ext>
          </a:extLst>
        </xdr:cNvPr>
        <xdr:cNvCxnSpPr/>
      </xdr:nvCxnSpPr>
      <xdr:spPr>
        <a:xfrm>
          <a:off x="18148418" y="4192058"/>
          <a:ext cx="955557" cy="4529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104937</xdr:colOff>
      <xdr:row>37</xdr:row>
      <xdr:rowOff>31750</xdr:rowOff>
    </xdr:from>
    <xdr:to>
      <xdr:col>16</xdr:col>
      <xdr:colOff>10583</xdr:colOff>
      <xdr:row>41</xdr:row>
      <xdr:rowOff>0</xdr:rowOff>
    </xdr:to>
    <xdr:cxnSp macro="">
      <xdr:nvCxnSpPr>
        <xdr:cNvPr id="61" name="Connecteur droit avec flèche 60">
          <a:extLst>
            <a:ext uri="{FF2B5EF4-FFF2-40B4-BE49-F238E27FC236}">
              <a16:creationId xmlns:a16="http://schemas.microsoft.com/office/drawing/2014/main" id="{00000000-0008-0000-3300-00003D000000}"/>
            </a:ext>
          </a:extLst>
        </xdr:cNvPr>
        <xdr:cNvCxnSpPr>
          <a:cxnSpLocks/>
        </xdr:cNvCxnSpPr>
      </xdr:nvCxnSpPr>
      <xdr:spPr>
        <a:xfrm flipV="1">
          <a:off x="12563637" y="3317875"/>
          <a:ext cx="953396" cy="76835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88792</xdr:colOff>
      <xdr:row>43</xdr:row>
      <xdr:rowOff>84666</xdr:rowOff>
    </xdr:from>
    <xdr:to>
      <xdr:col>15</xdr:col>
      <xdr:colOff>1037167</xdr:colOff>
      <xdr:row>48</xdr:row>
      <xdr:rowOff>0</xdr:rowOff>
    </xdr:to>
    <xdr:cxnSp macro="">
      <xdr:nvCxnSpPr>
        <xdr:cNvPr id="62" name="Connecteur droit avec flèche 61">
          <a:extLst>
            <a:ext uri="{FF2B5EF4-FFF2-40B4-BE49-F238E27FC236}">
              <a16:creationId xmlns:a16="http://schemas.microsoft.com/office/drawing/2014/main" id="{00000000-0008-0000-3300-00003E000000}"/>
            </a:ext>
          </a:extLst>
        </xdr:cNvPr>
        <xdr:cNvCxnSpPr>
          <a:cxnSpLocks/>
        </xdr:cNvCxnSpPr>
      </xdr:nvCxnSpPr>
      <xdr:spPr>
        <a:xfrm flipV="1">
          <a:off x="12547492" y="4570941"/>
          <a:ext cx="948375" cy="91545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80720</xdr:colOff>
      <xdr:row>41</xdr:row>
      <xdr:rowOff>31750</xdr:rowOff>
    </xdr:from>
    <xdr:to>
      <xdr:col>16</xdr:col>
      <xdr:colOff>0</xdr:colOff>
      <xdr:row>54</xdr:row>
      <xdr:rowOff>185657</xdr:rowOff>
    </xdr:to>
    <xdr:cxnSp macro="">
      <xdr:nvCxnSpPr>
        <xdr:cNvPr id="63" name="Connecteur droit avec flèche 62">
          <a:extLst>
            <a:ext uri="{FF2B5EF4-FFF2-40B4-BE49-F238E27FC236}">
              <a16:creationId xmlns:a16="http://schemas.microsoft.com/office/drawing/2014/main" id="{00000000-0008-0000-3300-00003F000000}"/>
            </a:ext>
          </a:extLst>
        </xdr:cNvPr>
        <xdr:cNvCxnSpPr>
          <a:cxnSpLocks/>
        </xdr:cNvCxnSpPr>
      </xdr:nvCxnSpPr>
      <xdr:spPr>
        <a:xfrm flipV="1">
          <a:off x="12539420" y="4117975"/>
          <a:ext cx="967030" cy="2754232"/>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84667</xdr:colOff>
      <xdr:row>48</xdr:row>
      <xdr:rowOff>42334</xdr:rowOff>
    </xdr:from>
    <xdr:to>
      <xdr:col>21</xdr:col>
      <xdr:colOff>1037167</xdr:colOff>
      <xdr:row>48</xdr:row>
      <xdr:rowOff>158750</xdr:rowOff>
    </xdr:to>
    <xdr:cxnSp macro="">
      <xdr:nvCxnSpPr>
        <xdr:cNvPr id="64" name="Connecteur droit avec flèche 63">
          <a:extLst>
            <a:ext uri="{FF2B5EF4-FFF2-40B4-BE49-F238E27FC236}">
              <a16:creationId xmlns:a16="http://schemas.microsoft.com/office/drawing/2014/main" id="{00000000-0008-0000-3300-000040000000}"/>
            </a:ext>
          </a:extLst>
        </xdr:cNvPr>
        <xdr:cNvCxnSpPr/>
      </xdr:nvCxnSpPr>
      <xdr:spPr>
        <a:xfrm>
          <a:off x="18115492" y="5528734"/>
          <a:ext cx="952500" cy="116416"/>
        </a:xfrm>
        <a:prstGeom prst="straightConnector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21</xdr:col>
      <xdr:colOff>84667</xdr:colOff>
      <xdr:row>50</xdr:row>
      <xdr:rowOff>137583</xdr:rowOff>
    </xdr:from>
    <xdr:to>
      <xdr:col>21</xdr:col>
      <xdr:colOff>994833</xdr:colOff>
      <xdr:row>53</xdr:row>
      <xdr:rowOff>148167</xdr:rowOff>
    </xdr:to>
    <xdr:cxnSp macro="">
      <xdr:nvCxnSpPr>
        <xdr:cNvPr id="65" name="Connecteur droit avec flèche 64">
          <a:extLst>
            <a:ext uri="{FF2B5EF4-FFF2-40B4-BE49-F238E27FC236}">
              <a16:creationId xmlns:a16="http://schemas.microsoft.com/office/drawing/2014/main" id="{00000000-0008-0000-3300-000041000000}"/>
            </a:ext>
          </a:extLst>
        </xdr:cNvPr>
        <xdr:cNvCxnSpPr/>
      </xdr:nvCxnSpPr>
      <xdr:spPr>
        <a:xfrm flipV="1">
          <a:off x="18115492" y="6024033"/>
          <a:ext cx="910166" cy="61065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80434</xdr:colOff>
      <xdr:row>53</xdr:row>
      <xdr:rowOff>200027</xdr:rowOff>
    </xdr:from>
    <xdr:to>
      <xdr:col>22</xdr:col>
      <xdr:colOff>31750</xdr:colOff>
      <xdr:row>54</xdr:row>
      <xdr:rowOff>158750</xdr:rowOff>
    </xdr:to>
    <xdr:cxnSp macro="">
      <xdr:nvCxnSpPr>
        <xdr:cNvPr id="66" name="Connecteur droit avec flèche 65">
          <a:extLst>
            <a:ext uri="{FF2B5EF4-FFF2-40B4-BE49-F238E27FC236}">
              <a16:creationId xmlns:a16="http://schemas.microsoft.com/office/drawing/2014/main" id="{00000000-0008-0000-3300-000042000000}"/>
            </a:ext>
          </a:extLst>
        </xdr:cNvPr>
        <xdr:cNvCxnSpPr/>
      </xdr:nvCxnSpPr>
      <xdr:spPr>
        <a:xfrm>
          <a:off x="18111259" y="6686552"/>
          <a:ext cx="1008591" cy="158748"/>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137584</xdr:colOff>
      <xdr:row>34</xdr:row>
      <xdr:rowOff>179916</xdr:rowOff>
    </xdr:from>
    <xdr:to>
      <xdr:col>15</xdr:col>
      <xdr:colOff>1026584</xdr:colOff>
      <xdr:row>35</xdr:row>
      <xdr:rowOff>0</xdr:rowOff>
    </xdr:to>
    <xdr:cxnSp macro="">
      <xdr:nvCxnSpPr>
        <xdr:cNvPr id="67" name="Connecteur droit avec flèche 66">
          <a:extLst>
            <a:ext uri="{FF2B5EF4-FFF2-40B4-BE49-F238E27FC236}">
              <a16:creationId xmlns:a16="http://schemas.microsoft.com/office/drawing/2014/main" id="{00000000-0008-0000-3300-000043000000}"/>
            </a:ext>
          </a:extLst>
        </xdr:cNvPr>
        <xdr:cNvCxnSpPr/>
      </xdr:nvCxnSpPr>
      <xdr:spPr>
        <a:xfrm>
          <a:off x="12596284" y="2865966"/>
          <a:ext cx="889000" cy="20109"/>
        </a:xfrm>
        <a:prstGeom prst="straightConnector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15</xdr:col>
      <xdr:colOff>88792</xdr:colOff>
      <xdr:row>41</xdr:row>
      <xdr:rowOff>8072</xdr:rowOff>
    </xdr:from>
    <xdr:to>
      <xdr:col>16</xdr:col>
      <xdr:colOff>0</xdr:colOff>
      <xdr:row>47</xdr:row>
      <xdr:rowOff>113009</xdr:rowOff>
    </xdr:to>
    <xdr:cxnSp macro="">
      <xdr:nvCxnSpPr>
        <xdr:cNvPr id="68" name="Connecteur droit avec flèche 67">
          <a:extLst>
            <a:ext uri="{FF2B5EF4-FFF2-40B4-BE49-F238E27FC236}">
              <a16:creationId xmlns:a16="http://schemas.microsoft.com/office/drawing/2014/main" id="{00000000-0008-0000-3300-000044000000}"/>
            </a:ext>
          </a:extLst>
        </xdr:cNvPr>
        <xdr:cNvCxnSpPr/>
      </xdr:nvCxnSpPr>
      <xdr:spPr>
        <a:xfrm>
          <a:off x="12547492" y="4094297"/>
          <a:ext cx="958958" cy="130508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96865</xdr:colOff>
      <xdr:row>48</xdr:row>
      <xdr:rowOff>32288</xdr:rowOff>
    </xdr:from>
    <xdr:to>
      <xdr:col>16</xdr:col>
      <xdr:colOff>24216</xdr:colOff>
      <xdr:row>52</xdr:row>
      <xdr:rowOff>137224</xdr:rowOff>
    </xdr:to>
    <xdr:cxnSp macro="">
      <xdr:nvCxnSpPr>
        <xdr:cNvPr id="69" name="Connecteur droit avec flèche 68">
          <a:extLst>
            <a:ext uri="{FF2B5EF4-FFF2-40B4-BE49-F238E27FC236}">
              <a16:creationId xmlns:a16="http://schemas.microsoft.com/office/drawing/2014/main" id="{00000000-0008-0000-3300-000045000000}"/>
            </a:ext>
          </a:extLst>
        </xdr:cNvPr>
        <xdr:cNvCxnSpPr/>
      </xdr:nvCxnSpPr>
      <xdr:spPr>
        <a:xfrm>
          <a:off x="12555565" y="5518688"/>
          <a:ext cx="975101" cy="90503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72648</xdr:colOff>
      <xdr:row>54</xdr:row>
      <xdr:rowOff>137225</xdr:rowOff>
    </xdr:from>
    <xdr:to>
      <xdr:col>15</xdr:col>
      <xdr:colOff>1033220</xdr:colOff>
      <xdr:row>54</xdr:row>
      <xdr:rowOff>177585</xdr:rowOff>
    </xdr:to>
    <xdr:cxnSp macro="">
      <xdr:nvCxnSpPr>
        <xdr:cNvPr id="70" name="Connecteur droit avec flèche 69">
          <a:extLst>
            <a:ext uri="{FF2B5EF4-FFF2-40B4-BE49-F238E27FC236}">
              <a16:creationId xmlns:a16="http://schemas.microsoft.com/office/drawing/2014/main" id="{00000000-0008-0000-3300-000046000000}"/>
            </a:ext>
          </a:extLst>
        </xdr:cNvPr>
        <xdr:cNvCxnSpPr/>
      </xdr:nvCxnSpPr>
      <xdr:spPr>
        <a:xfrm flipV="1">
          <a:off x="12531348" y="6823775"/>
          <a:ext cx="960572" cy="40360"/>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40822</xdr:colOff>
      <xdr:row>6</xdr:row>
      <xdr:rowOff>95250</xdr:rowOff>
    </xdr:from>
    <xdr:to>
      <xdr:col>16</xdr:col>
      <xdr:colOff>0</xdr:colOff>
      <xdr:row>7</xdr:row>
      <xdr:rowOff>176893</xdr:rowOff>
    </xdr:to>
    <xdr:cxnSp macro="">
      <xdr:nvCxnSpPr>
        <xdr:cNvPr id="72" name="Connecteur droit avec flèche 71">
          <a:extLst>
            <a:ext uri="{FF2B5EF4-FFF2-40B4-BE49-F238E27FC236}">
              <a16:creationId xmlns:a16="http://schemas.microsoft.com/office/drawing/2014/main" id="{00000000-0008-0000-3300-000048000000}"/>
            </a:ext>
          </a:extLst>
        </xdr:cNvPr>
        <xdr:cNvCxnSpPr/>
      </xdr:nvCxnSpPr>
      <xdr:spPr>
        <a:xfrm flipV="1">
          <a:off x="12499522" y="2781300"/>
          <a:ext cx="1006928" cy="28166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8</xdr:row>
      <xdr:rowOff>120650</xdr:rowOff>
    </xdr:from>
    <xdr:to>
      <xdr:col>15</xdr:col>
      <xdr:colOff>1044575</xdr:colOff>
      <xdr:row>14</xdr:row>
      <xdr:rowOff>149678</xdr:rowOff>
    </xdr:to>
    <xdr:cxnSp macro="">
      <xdr:nvCxnSpPr>
        <xdr:cNvPr id="73" name="Connecteur droit avec flèche 72">
          <a:extLst>
            <a:ext uri="{FF2B5EF4-FFF2-40B4-BE49-F238E27FC236}">
              <a16:creationId xmlns:a16="http://schemas.microsoft.com/office/drawing/2014/main" id="{00000000-0008-0000-3300-000049000000}"/>
            </a:ext>
          </a:extLst>
        </xdr:cNvPr>
        <xdr:cNvCxnSpPr/>
      </xdr:nvCxnSpPr>
      <xdr:spPr>
        <a:xfrm flipV="1">
          <a:off x="12458700" y="3206750"/>
          <a:ext cx="1044575" cy="122917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14</xdr:row>
      <xdr:rowOff>13607</xdr:rowOff>
    </xdr:from>
    <xdr:to>
      <xdr:col>15</xdr:col>
      <xdr:colOff>1020536</xdr:colOff>
      <xdr:row>21</xdr:row>
      <xdr:rowOff>149679</xdr:rowOff>
    </xdr:to>
    <xdr:cxnSp macro="">
      <xdr:nvCxnSpPr>
        <xdr:cNvPr id="74" name="Connecteur droit avec flèche 73">
          <a:extLst>
            <a:ext uri="{FF2B5EF4-FFF2-40B4-BE49-F238E27FC236}">
              <a16:creationId xmlns:a16="http://schemas.microsoft.com/office/drawing/2014/main" id="{00000000-0008-0000-3300-00004A000000}"/>
            </a:ext>
          </a:extLst>
        </xdr:cNvPr>
        <xdr:cNvCxnSpPr/>
      </xdr:nvCxnSpPr>
      <xdr:spPr>
        <a:xfrm flipV="1">
          <a:off x="12458700" y="4299857"/>
          <a:ext cx="1020536" cy="153624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16</xdr:row>
      <xdr:rowOff>13607</xdr:rowOff>
    </xdr:from>
    <xdr:to>
      <xdr:col>16</xdr:col>
      <xdr:colOff>0</xdr:colOff>
      <xdr:row>29</xdr:row>
      <xdr:rowOff>10582</xdr:rowOff>
    </xdr:to>
    <xdr:cxnSp macro="">
      <xdr:nvCxnSpPr>
        <xdr:cNvPr id="75" name="Connecteur droit avec flèche 74">
          <a:extLst>
            <a:ext uri="{FF2B5EF4-FFF2-40B4-BE49-F238E27FC236}">
              <a16:creationId xmlns:a16="http://schemas.microsoft.com/office/drawing/2014/main" id="{00000000-0008-0000-3300-00004B000000}"/>
            </a:ext>
          </a:extLst>
        </xdr:cNvPr>
        <xdr:cNvCxnSpPr/>
      </xdr:nvCxnSpPr>
      <xdr:spPr>
        <a:xfrm flipV="1">
          <a:off x="12458700" y="4699907"/>
          <a:ext cx="1047750" cy="259730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8</xdr:row>
      <xdr:rowOff>10583</xdr:rowOff>
    </xdr:from>
    <xdr:to>
      <xdr:col>16</xdr:col>
      <xdr:colOff>16934</xdr:colOff>
      <xdr:row>20</xdr:row>
      <xdr:rowOff>146050</xdr:rowOff>
    </xdr:to>
    <xdr:cxnSp macro="">
      <xdr:nvCxnSpPr>
        <xdr:cNvPr id="76" name="Connecteur droit avec flèche 75">
          <a:extLst>
            <a:ext uri="{FF2B5EF4-FFF2-40B4-BE49-F238E27FC236}">
              <a16:creationId xmlns:a16="http://schemas.microsoft.com/office/drawing/2014/main" id="{00000000-0008-0000-3300-00004C000000}"/>
            </a:ext>
          </a:extLst>
        </xdr:cNvPr>
        <xdr:cNvCxnSpPr/>
      </xdr:nvCxnSpPr>
      <xdr:spPr>
        <a:xfrm>
          <a:off x="12475634" y="3096683"/>
          <a:ext cx="1047750" cy="25357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29634</xdr:colOff>
      <xdr:row>15</xdr:row>
      <xdr:rowOff>40216</xdr:rowOff>
    </xdr:from>
    <xdr:to>
      <xdr:col>16</xdr:col>
      <xdr:colOff>25400</xdr:colOff>
      <xdr:row>22</xdr:row>
      <xdr:rowOff>133350</xdr:rowOff>
    </xdr:to>
    <xdr:cxnSp macro="">
      <xdr:nvCxnSpPr>
        <xdr:cNvPr id="77" name="Connecteur droit avec flèche 76">
          <a:extLst>
            <a:ext uri="{FF2B5EF4-FFF2-40B4-BE49-F238E27FC236}">
              <a16:creationId xmlns:a16="http://schemas.microsoft.com/office/drawing/2014/main" id="{00000000-0008-0000-3300-00004D000000}"/>
            </a:ext>
          </a:extLst>
        </xdr:cNvPr>
        <xdr:cNvCxnSpPr/>
      </xdr:nvCxnSpPr>
      <xdr:spPr>
        <a:xfrm>
          <a:off x="12488334" y="4526491"/>
          <a:ext cx="1043516" cy="149330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22</xdr:row>
      <xdr:rowOff>27516</xdr:rowOff>
    </xdr:from>
    <xdr:to>
      <xdr:col>16</xdr:col>
      <xdr:colOff>12700</xdr:colOff>
      <xdr:row>27</xdr:row>
      <xdr:rowOff>107950</xdr:rowOff>
    </xdr:to>
    <xdr:cxnSp macro="">
      <xdr:nvCxnSpPr>
        <xdr:cNvPr id="78" name="Connecteur droit avec flèche 77">
          <a:extLst>
            <a:ext uri="{FF2B5EF4-FFF2-40B4-BE49-F238E27FC236}">
              <a16:creationId xmlns:a16="http://schemas.microsoft.com/office/drawing/2014/main" id="{00000000-0008-0000-3300-00004E000000}"/>
            </a:ext>
          </a:extLst>
        </xdr:cNvPr>
        <xdr:cNvCxnSpPr/>
      </xdr:nvCxnSpPr>
      <xdr:spPr>
        <a:xfrm>
          <a:off x="12475634" y="5913966"/>
          <a:ext cx="1043516" cy="108055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29</xdr:row>
      <xdr:rowOff>10584</xdr:rowOff>
    </xdr:from>
    <xdr:to>
      <xdr:col>15</xdr:col>
      <xdr:colOff>1044575</xdr:colOff>
      <xdr:row>29</xdr:row>
      <xdr:rowOff>133350</xdr:rowOff>
    </xdr:to>
    <xdr:cxnSp macro="">
      <xdr:nvCxnSpPr>
        <xdr:cNvPr id="79" name="Connecteur droit avec flèche 78">
          <a:extLst>
            <a:ext uri="{FF2B5EF4-FFF2-40B4-BE49-F238E27FC236}">
              <a16:creationId xmlns:a16="http://schemas.microsoft.com/office/drawing/2014/main" id="{00000000-0008-0000-3300-00004F000000}"/>
            </a:ext>
          </a:extLst>
        </xdr:cNvPr>
        <xdr:cNvCxnSpPr/>
      </xdr:nvCxnSpPr>
      <xdr:spPr>
        <a:xfrm>
          <a:off x="12475634" y="7297209"/>
          <a:ext cx="1027641" cy="12276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6</xdr:row>
      <xdr:rowOff>120651</xdr:rowOff>
    </xdr:from>
    <xdr:to>
      <xdr:col>22</xdr:col>
      <xdr:colOff>12700</xdr:colOff>
      <xdr:row>8</xdr:row>
      <xdr:rowOff>0</xdr:rowOff>
    </xdr:to>
    <xdr:cxnSp macro="">
      <xdr:nvCxnSpPr>
        <xdr:cNvPr id="80" name="Connecteur droit avec flèche 79">
          <a:extLst>
            <a:ext uri="{FF2B5EF4-FFF2-40B4-BE49-F238E27FC236}">
              <a16:creationId xmlns:a16="http://schemas.microsoft.com/office/drawing/2014/main" id="{00000000-0008-0000-3300-000050000000}"/>
            </a:ext>
          </a:extLst>
        </xdr:cNvPr>
        <xdr:cNvCxnSpPr/>
      </xdr:nvCxnSpPr>
      <xdr:spPr>
        <a:xfrm flipV="1">
          <a:off x="18071647" y="28067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8</xdr:row>
      <xdr:rowOff>120650</xdr:rowOff>
    </xdr:from>
    <xdr:to>
      <xdr:col>22</xdr:col>
      <xdr:colOff>12700</xdr:colOff>
      <xdr:row>15</xdr:row>
      <xdr:rowOff>2116</xdr:rowOff>
    </xdr:to>
    <xdr:cxnSp macro="">
      <xdr:nvCxnSpPr>
        <xdr:cNvPr id="81" name="Connecteur droit avec flèche 80">
          <a:extLst>
            <a:ext uri="{FF2B5EF4-FFF2-40B4-BE49-F238E27FC236}">
              <a16:creationId xmlns:a16="http://schemas.microsoft.com/office/drawing/2014/main" id="{00000000-0008-0000-3300-000051000000}"/>
            </a:ext>
          </a:extLst>
        </xdr:cNvPr>
        <xdr:cNvCxnSpPr/>
      </xdr:nvCxnSpPr>
      <xdr:spPr>
        <a:xfrm flipV="1">
          <a:off x="18047758" y="32067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8</xdr:row>
      <xdr:rowOff>13607</xdr:rowOff>
    </xdr:from>
    <xdr:to>
      <xdr:col>21</xdr:col>
      <xdr:colOff>1060450</xdr:colOff>
      <xdr:row>13</xdr:row>
      <xdr:rowOff>103724</xdr:rowOff>
    </xdr:to>
    <xdr:cxnSp macro="">
      <xdr:nvCxnSpPr>
        <xdr:cNvPr id="82" name="Connecteur droit avec flèche 81">
          <a:extLst>
            <a:ext uri="{FF2B5EF4-FFF2-40B4-BE49-F238E27FC236}">
              <a16:creationId xmlns:a16="http://schemas.microsoft.com/office/drawing/2014/main" id="{00000000-0008-0000-3300-000052000000}"/>
            </a:ext>
          </a:extLst>
        </xdr:cNvPr>
        <xdr:cNvCxnSpPr/>
      </xdr:nvCxnSpPr>
      <xdr:spPr>
        <a:xfrm>
          <a:off x="18044433" y="30997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15</xdr:row>
      <xdr:rowOff>2123</xdr:rowOff>
    </xdr:from>
    <xdr:to>
      <xdr:col>21</xdr:col>
      <xdr:colOff>1059392</xdr:colOff>
      <xdr:row>15</xdr:row>
      <xdr:rowOff>120656</xdr:rowOff>
    </xdr:to>
    <xdr:cxnSp macro="">
      <xdr:nvCxnSpPr>
        <xdr:cNvPr id="83" name="Connecteur droit avec flèche 82">
          <a:extLst>
            <a:ext uri="{FF2B5EF4-FFF2-40B4-BE49-F238E27FC236}">
              <a16:creationId xmlns:a16="http://schemas.microsoft.com/office/drawing/2014/main" id="{00000000-0008-0000-3300-000053000000}"/>
            </a:ext>
          </a:extLst>
        </xdr:cNvPr>
        <xdr:cNvCxnSpPr/>
      </xdr:nvCxnSpPr>
      <xdr:spPr>
        <a:xfrm>
          <a:off x="18030825" y="44883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33867</xdr:colOff>
      <xdr:row>20</xdr:row>
      <xdr:rowOff>120650</xdr:rowOff>
    </xdr:from>
    <xdr:to>
      <xdr:col>22</xdr:col>
      <xdr:colOff>12700</xdr:colOff>
      <xdr:row>20</xdr:row>
      <xdr:rowOff>188383</xdr:rowOff>
    </xdr:to>
    <xdr:cxnSp macro="">
      <xdr:nvCxnSpPr>
        <xdr:cNvPr id="84" name="Connecteur droit avec flèche 83">
          <a:extLst>
            <a:ext uri="{FF2B5EF4-FFF2-40B4-BE49-F238E27FC236}">
              <a16:creationId xmlns:a16="http://schemas.microsoft.com/office/drawing/2014/main" id="{00000000-0008-0000-3300-000054000000}"/>
            </a:ext>
          </a:extLst>
        </xdr:cNvPr>
        <xdr:cNvCxnSpPr/>
      </xdr:nvCxnSpPr>
      <xdr:spPr>
        <a:xfrm flipV="1">
          <a:off x="18064692" y="5607050"/>
          <a:ext cx="1036108" cy="67733"/>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22</xdr:row>
      <xdr:rowOff>120650</xdr:rowOff>
    </xdr:from>
    <xdr:to>
      <xdr:col>22</xdr:col>
      <xdr:colOff>12700</xdr:colOff>
      <xdr:row>29</xdr:row>
      <xdr:rowOff>2116</xdr:rowOff>
    </xdr:to>
    <xdr:cxnSp macro="">
      <xdr:nvCxnSpPr>
        <xdr:cNvPr id="85" name="Connecteur droit avec flèche 84">
          <a:extLst>
            <a:ext uri="{FF2B5EF4-FFF2-40B4-BE49-F238E27FC236}">
              <a16:creationId xmlns:a16="http://schemas.microsoft.com/office/drawing/2014/main" id="{00000000-0008-0000-3300-000055000000}"/>
            </a:ext>
          </a:extLst>
        </xdr:cNvPr>
        <xdr:cNvCxnSpPr/>
      </xdr:nvCxnSpPr>
      <xdr:spPr>
        <a:xfrm flipV="1">
          <a:off x="18047758" y="6007100"/>
          <a:ext cx="1053042" cy="1281641"/>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20</xdr:row>
      <xdr:rowOff>188390</xdr:rowOff>
    </xdr:from>
    <xdr:to>
      <xdr:col>21</xdr:col>
      <xdr:colOff>1060450</xdr:colOff>
      <xdr:row>27</xdr:row>
      <xdr:rowOff>103724</xdr:rowOff>
    </xdr:to>
    <xdr:cxnSp macro="">
      <xdr:nvCxnSpPr>
        <xdr:cNvPr id="86" name="Connecteur droit avec flèche 85">
          <a:extLst>
            <a:ext uri="{FF2B5EF4-FFF2-40B4-BE49-F238E27FC236}">
              <a16:creationId xmlns:a16="http://schemas.microsoft.com/office/drawing/2014/main" id="{00000000-0008-0000-3300-000056000000}"/>
            </a:ext>
          </a:extLst>
        </xdr:cNvPr>
        <xdr:cNvCxnSpPr/>
      </xdr:nvCxnSpPr>
      <xdr:spPr>
        <a:xfrm>
          <a:off x="18030825" y="5674790"/>
          <a:ext cx="1060450" cy="1315509"/>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29</xdr:row>
      <xdr:rowOff>2123</xdr:rowOff>
    </xdr:from>
    <xdr:to>
      <xdr:col>21</xdr:col>
      <xdr:colOff>1059392</xdr:colOff>
      <xdr:row>29</xdr:row>
      <xdr:rowOff>120656</xdr:rowOff>
    </xdr:to>
    <xdr:cxnSp macro="">
      <xdr:nvCxnSpPr>
        <xdr:cNvPr id="87" name="Connecteur droit avec flèche 86">
          <a:extLst>
            <a:ext uri="{FF2B5EF4-FFF2-40B4-BE49-F238E27FC236}">
              <a16:creationId xmlns:a16="http://schemas.microsoft.com/office/drawing/2014/main" id="{00000000-0008-0000-3300-000057000000}"/>
            </a:ext>
          </a:extLst>
        </xdr:cNvPr>
        <xdr:cNvCxnSpPr/>
      </xdr:nvCxnSpPr>
      <xdr:spPr>
        <a:xfrm>
          <a:off x="18030825" y="7288748"/>
          <a:ext cx="1059392" cy="118533"/>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2222736</xdr:colOff>
      <xdr:row>34</xdr:row>
      <xdr:rowOff>73711</xdr:rowOff>
    </xdr:from>
    <xdr:to>
      <xdr:col>13</xdr:col>
      <xdr:colOff>444501</xdr:colOff>
      <xdr:row>35</xdr:row>
      <xdr:rowOff>142875</xdr:rowOff>
    </xdr:to>
    <xdr:sp macro="" textlink="">
      <xdr:nvSpPr>
        <xdr:cNvPr id="89" name="Rectangle à coins arrondis 25">
          <a:extLst>
            <a:ext uri="{FF2B5EF4-FFF2-40B4-BE49-F238E27FC236}">
              <a16:creationId xmlns:a16="http://schemas.microsoft.com/office/drawing/2014/main" id="{00000000-0008-0000-3300-000059000000}"/>
            </a:ext>
          </a:extLst>
        </xdr:cNvPr>
        <xdr:cNvSpPr/>
      </xdr:nvSpPr>
      <xdr:spPr bwMode="auto">
        <a:xfrm>
          <a:off x="3165711" y="10960786"/>
          <a:ext cx="660165" cy="269189"/>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33</xdr:col>
      <xdr:colOff>192768</xdr:colOff>
      <xdr:row>24</xdr:row>
      <xdr:rowOff>184605</xdr:rowOff>
    </xdr:from>
    <xdr:to>
      <xdr:col>33</xdr:col>
      <xdr:colOff>2097768</xdr:colOff>
      <xdr:row>28</xdr:row>
      <xdr:rowOff>116570</xdr:rowOff>
    </xdr:to>
    <xdr:sp macro="[0]!JMK_Trans_FDUEL1" textlink="">
      <xdr:nvSpPr>
        <xdr:cNvPr id="35" name="Rectangle à coins arrondis 34">
          <a:extLst>
            <a:ext uri="{FF2B5EF4-FFF2-40B4-BE49-F238E27FC236}">
              <a16:creationId xmlns:a16="http://schemas.microsoft.com/office/drawing/2014/main" id="{00000000-0008-0000-3400-000023000000}"/>
            </a:ext>
          </a:extLst>
        </xdr:cNvPr>
        <xdr:cNvSpPr/>
      </xdr:nvSpPr>
      <xdr:spPr bwMode="auto">
        <a:xfrm>
          <a:off x="22338393" y="6598105"/>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1</a:t>
          </a:r>
          <a:r>
            <a:rPr lang="fr-FR" sz="1600"/>
            <a:t> </a:t>
          </a:r>
        </a:p>
      </xdr:txBody>
    </xdr:sp>
    <xdr:clientData fPrintsWithSheet="0"/>
  </xdr:twoCellAnchor>
  <xdr:twoCellAnchor>
    <xdr:from>
      <xdr:col>34</xdr:col>
      <xdr:colOff>86632</xdr:colOff>
      <xdr:row>24</xdr:row>
      <xdr:rowOff>184605</xdr:rowOff>
    </xdr:from>
    <xdr:to>
      <xdr:col>34</xdr:col>
      <xdr:colOff>1991632</xdr:colOff>
      <xdr:row>28</xdr:row>
      <xdr:rowOff>116570</xdr:rowOff>
    </xdr:to>
    <xdr:sp macro="[0]!JMK_Trans_FDUEL2" textlink="">
      <xdr:nvSpPr>
        <xdr:cNvPr id="36" name="Rectangle à coins arrondis 35">
          <a:extLst>
            <a:ext uri="{FF2B5EF4-FFF2-40B4-BE49-F238E27FC236}">
              <a16:creationId xmlns:a16="http://schemas.microsoft.com/office/drawing/2014/main" id="{00000000-0008-0000-3400-000024000000}"/>
            </a:ext>
          </a:extLst>
        </xdr:cNvPr>
        <xdr:cNvSpPr/>
      </xdr:nvSpPr>
      <xdr:spPr bwMode="auto">
        <a:xfrm>
          <a:off x="24692882" y="6598105"/>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2</a:t>
          </a:r>
          <a:r>
            <a:rPr lang="fr-FR" sz="1600"/>
            <a:t> </a:t>
          </a:r>
        </a:p>
      </xdr:txBody>
    </xdr:sp>
    <xdr:clientData fPrintsWithSheet="0"/>
  </xdr:twoCellAnchor>
  <xdr:twoCellAnchor>
    <xdr:from>
      <xdr:col>34</xdr:col>
      <xdr:colOff>2441122</xdr:colOff>
      <xdr:row>24</xdr:row>
      <xdr:rowOff>184605</xdr:rowOff>
    </xdr:from>
    <xdr:to>
      <xdr:col>35</xdr:col>
      <xdr:colOff>1885497</xdr:colOff>
      <xdr:row>28</xdr:row>
      <xdr:rowOff>116570</xdr:rowOff>
    </xdr:to>
    <xdr:sp macro="[0]!JMK_Trans_FDUEL3" textlink="">
      <xdr:nvSpPr>
        <xdr:cNvPr id="37" name="Rectangle à coins arrondis 36">
          <a:extLst>
            <a:ext uri="{FF2B5EF4-FFF2-40B4-BE49-F238E27FC236}">
              <a16:creationId xmlns:a16="http://schemas.microsoft.com/office/drawing/2014/main" id="{00000000-0008-0000-3400-000025000000}"/>
            </a:ext>
          </a:extLst>
        </xdr:cNvPr>
        <xdr:cNvSpPr/>
      </xdr:nvSpPr>
      <xdr:spPr bwMode="auto">
        <a:xfrm>
          <a:off x="27047372" y="6598105"/>
          <a:ext cx="1905000" cy="7574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3</a:t>
          </a:r>
          <a:r>
            <a:rPr lang="fr-FR" sz="1600"/>
            <a:t> </a:t>
          </a:r>
        </a:p>
      </xdr:txBody>
    </xdr:sp>
    <xdr:clientData fPrintsWithSheet="0"/>
  </xdr:twoCellAnchor>
  <xdr:twoCellAnchor>
    <xdr:from>
      <xdr:col>34</xdr:col>
      <xdr:colOff>1666874</xdr:colOff>
      <xdr:row>31</xdr:row>
      <xdr:rowOff>142875</xdr:rowOff>
    </xdr:from>
    <xdr:to>
      <xdr:col>35</xdr:col>
      <xdr:colOff>1111249</xdr:colOff>
      <xdr:row>37</xdr:row>
      <xdr:rowOff>174625</xdr:rowOff>
    </xdr:to>
    <xdr:sp macro="[0]!JMK_ZI_Résultat_Final" textlink="">
      <xdr:nvSpPr>
        <xdr:cNvPr id="41" name="Rectangle à coins arrondis 40">
          <a:extLst>
            <a:ext uri="{FF2B5EF4-FFF2-40B4-BE49-F238E27FC236}">
              <a16:creationId xmlns:a16="http://schemas.microsoft.com/office/drawing/2014/main" id="{00000000-0008-0000-3400-000029000000}"/>
            </a:ext>
          </a:extLst>
        </xdr:cNvPr>
        <xdr:cNvSpPr/>
      </xdr:nvSpPr>
      <xdr:spPr bwMode="auto">
        <a:xfrm>
          <a:off x="26273124" y="8001000"/>
          <a:ext cx="1905000" cy="1270000"/>
        </a:xfrm>
        <a:prstGeom prst="roundRect">
          <a:avLst/>
        </a:prstGeom>
        <a:solidFill>
          <a:srgbClr val="00FF99"/>
        </a:solidFill>
        <a:ln w="9525" cap="flat" cmpd="sng" algn="ctr">
          <a:solidFill>
            <a:srgbClr val="400000"/>
          </a:solidFill>
          <a:prstDash val="solid"/>
          <a:round/>
          <a:headEnd type="none" w="med" len="med"/>
          <a:tailEnd type="none" w="med" len="med"/>
        </a:ln>
        <a:effectLst/>
      </xdr:spPr>
      <xdr:txBody>
        <a:bodyPr rot="0" spcFirstLastPara="0" vertOverflow="clip" horzOverflow="clip" vert="horz" wrap="square" lIns="18288" tIns="0" rIns="0" bIns="0" numCol="1" spcCol="0" rtlCol="0" fromWordArt="0" anchor="ctr" anchorCtr="0" forceAA="0" upright="1" compatLnSpc="1">
          <a:prstTxWarp prst="textNoShape">
            <a:avLst/>
          </a:prstTxWarp>
          <a:noAutofit/>
        </a:bodyPr>
        <a:lstStyle/>
        <a:p>
          <a:pPr algn="ctr"/>
          <a:r>
            <a:rPr lang="fr-FR" sz="2000"/>
            <a:t>Impression</a:t>
          </a:r>
          <a:r>
            <a:rPr lang="fr-FR" sz="2000" baseline="0"/>
            <a:t> du CLASSEMENT FINAL</a:t>
          </a:r>
          <a:endParaRPr lang="fr-FR" sz="2000"/>
        </a:p>
      </xdr:txBody>
    </xdr:sp>
    <xdr:clientData fPrintsWithSheet="0"/>
  </xdr:twoCellAnchor>
  <xdr:twoCellAnchor>
    <xdr:from>
      <xdr:col>24</xdr:col>
      <xdr:colOff>873125</xdr:colOff>
      <xdr:row>0</xdr:row>
      <xdr:rowOff>333375</xdr:rowOff>
    </xdr:from>
    <xdr:to>
      <xdr:col>24</xdr:col>
      <xdr:colOff>2397125</xdr:colOff>
      <xdr:row>1</xdr:row>
      <xdr:rowOff>428625</xdr:rowOff>
    </xdr:to>
    <xdr:sp macro="[0]!jmk_RETOUR_MENU" textlink="">
      <xdr:nvSpPr>
        <xdr:cNvPr id="42" name="Rectangle à coins arrondis 41">
          <a:extLst>
            <a:ext uri="{FF2B5EF4-FFF2-40B4-BE49-F238E27FC236}">
              <a16:creationId xmlns:a16="http://schemas.microsoft.com/office/drawing/2014/main" id="{00000000-0008-0000-3400-00002A000000}"/>
            </a:ext>
          </a:extLst>
        </xdr:cNvPr>
        <xdr:cNvSpPr/>
      </xdr:nvSpPr>
      <xdr:spPr bwMode="auto">
        <a:xfrm>
          <a:off x="17684750" y="333375"/>
          <a:ext cx="1524000" cy="79375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Retour aux MENUS</a:t>
          </a:r>
        </a:p>
      </xdr:txBody>
    </xdr:sp>
    <xdr:clientData fPrintsWithSheet="0"/>
  </xdr:twoCellAnchor>
  <xdr:twoCellAnchor editAs="oneCell">
    <xdr:from>
      <xdr:col>10</xdr:col>
      <xdr:colOff>269875</xdr:colOff>
      <xdr:row>0</xdr:row>
      <xdr:rowOff>79375</xdr:rowOff>
    </xdr:from>
    <xdr:to>
      <xdr:col>12</xdr:col>
      <xdr:colOff>1238250</xdr:colOff>
      <xdr:row>1</xdr:row>
      <xdr:rowOff>511175</xdr:rowOff>
    </xdr:to>
    <xdr:pic>
      <xdr:nvPicPr>
        <xdr:cNvPr id="43" name="Image 42">
          <a:extLst>
            <a:ext uri="{FF2B5EF4-FFF2-40B4-BE49-F238E27FC236}">
              <a16:creationId xmlns:a16="http://schemas.microsoft.com/office/drawing/2014/main" id="{00000000-0008-0000-34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54625" y="79375"/>
          <a:ext cx="1905000" cy="1130300"/>
        </a:xfrm>
        <a:prstGeom prst="rect">
          <a:avLst/>
        </a:prstGeom>
      </xdr:spPr>
    </xdr:pic>
    <xdr:clientData/>
  </xdr:twoCellAnchor>
  <xdr:twoCellAnchor editAs="oneCell">
    <xdr:from>
      <xdr:col>35</xdr:col>
      <xdr:colOff>1476375</xdr:colOff>
      <xdr:row>2</xdr:row>
      <xdr:rowOff>412750</xdr:rowOff>
    </xdr:from>
    <xdr:to>
      <xdr:col>35</xdr:col>
      <xdr:colOff>2413000</xdr:colOff>
      <xdr:row>4</xdr:row>
      <xdr:rowOff>160417</xdr:rowOff>
    </xdr:to>
    <xdr:pic>
      <xdr:nvPicPr>
        <xdr:cNvPr id="44" name="Image 43">
          <a:extLst>
            <a:ext uri="{FF2B5EF4-FFF2-40B4-BE49-F238E27FC236}">
              <a16:creationId xmlns:a16="http://schemas.microsoft.com/office/drawing/2014/main" id="{00000000-0008-0000-3400-00002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43250" y="1889125"/>
          <a:ext cx="936625" cy="557292"/>
        </a:xfrm>
        <a:prstGeom prst="rect">
          <a:avLst/>
        </a:prstGeom>
      </xdr:spPr>
    </xdr:pic>
    <xdr:clientData/>
  </xdr:twoCellAnchor>
  <xdr:twoCellAnchor>
    <xdr:from>
      <xdr:col>33</xdr:col>
      <xdr:colOff>555625</xdr:colOff>
      <xdr:row>30</xdr:row>
      <xdr:rowOff>15875</xdr:rowOff>
    </xdr:from>
    <xdr:to>
      <xdr:col>33</xdr:col>
      <xdr:colOff>1873818</xdr:colOff>
      <xdr:row>34</xdr:row>
      <xdr:rowOff>13607</xdr:rowOff>
    </xdr:to>
    <xdr:sp macro="[0]!Imp_DUEL_Tableau" textlink="">
      <xdr:nvSpPr>
        <xdr:cNvPr id="45" name="Rectangle à coins arrondis 44">
          <a:extLst>
            <a:ext uri="{FF2B5EF4-FFF2-40B4-BE49-F238E27FC236}">
              <a16:creationId xmlns:a16="http://schemas.microsoft.com/office/drawing/2014/main" id="{00000000-0008-0000-3400-00002D000000}"/>
            </a:ext>
          </a:extLst>
        </xdr:cNvPr>
        <xdr:cNvSpPr/>
      </xdr:nvSpPr>
      <xdr:spPr bwMode="auto">
        <a:xfrm>
          <a:off x="22701250" y="7667625"/>
          <a:ext cx="1318193" cy="823232"/>
        </a:xfrm>
        <a:prstGeom prst="roundRect">
          <a:avLst/>
        </a:prstGeom>
        <a:solidFill>
          <a:srgbClr val="E923EE"/>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 TABLEAU des</a:t>
          </a:r>
          <a:r>
            <a:rPr lang="fr-FR" sz="1600" baseline="0"/>
            <a:t> DUELS</a:t>
          </a:r>
          <a:endParaRPr lang="fr-FR" sz="1600"/>
        </a:p>
      </xdr:txBody>
    </xdr:sp>
    <xdr:clientData/>
  </xdr:twoCellAnchor>
  <xdr:twoCellAnchor>
    <xdr:from>
      <xdr:col>15</xdr:col>
      <xdr:colOff>40822</xdr:colOff>
      <xdr:row>6</xdr:row>
      <xdr:rowOff>95250</xdr:rowOff>
    </xdr:from>
    <xdr:to>
      <xdr:col>16</xdr:col>
      <xdr:colOff>0</xdr:colOff>
      <xdr:row>7</xdr:row>
      <xdr:rowOff>176893</xdr:rowOff>
    </xdr:to>
    <xdr:cxnSp macro="">
      <xdr:nvCxnSpPr>
        <xdr:cNvPr id="34" name="Connecteur droit avec flèche 33">
          <a:extLst>
            <a:ext uri="{FF2B5EF4-FFF2-40B4-BE49-F238E27FC236}">
              <a16:creationId xmlns:a16="http://schemas.microsoft.com/office/drawing/2014/main" id="{00000000-0008-0000-3400-000022000000}"/>
            </a:ext>
          </a:extLst>
        </xdr:cNvPr>
        <xdr:cNvCxnSpPr/>
      </xdr:nvCxnSpPr>
      <xdr:spPr>
        <a:xfrm flipV="1">
          <a:off x="12499522" y="2781300"/>
          <a:ext cx="1006928" cy="28166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8</xdr:row>
      <xdr:rowOff>120650</xdr:rowOff>
    </xdr:from>
    <xdr:to>
      <xdr:col>15</xdr:col>
      <xdr:colOff>1044575</xdr:colOff>
      <xdr:row>14</xdr:row>
      <xdr:rowOff>149678</xdr:rowOff>
    </xdr:to>
    <xdr:cxnSp macro="">
      <xdr:nvCxnSpPr>
        <xdr:cNvPr id="38" name="Connecteur droit avec flèche 37">
          <a:extLst>
            <a:ext uri="{FF2B5EF4-FFF2-40B4-BE49-F238E27FC236}">
              <a16:creationId xmlns:a16="http://schemas.microsoft.com/office/drawing/2014/main" id="{00000000-0008-0000-3400-000026000000}"/>
            </a:ext>
          </a:extLst>
        </xdr:cNvPr>
        <xdr:cNvCxnSpPr/>
      </xdr:nvCxnSpPr>
      <xdr:spPr>
        <a:xfrm flipV="1">
          <a:off x="12458700" y="3206750"/>
          <a:ext cx="1044575" cy="122917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14</xdr:row>
      <xdr:rowOff>13607</xdr:rowOff>
    </xdr:from>
    <xdr:to>
      <xdr:col>15</xdr:col>
      <xdr:colOff>1020536</xdr:colOff>
      <xdr:row>21</xdr:row>
      <xdr:rowOff>149679</xdr:rowOff>
    </xdr:to>
    <xdr:cxnSp macro="">
      <xdr:nvCxnSpPr>
        <xdr:cNvPr id="39" name="Connecteur droit avec flèche 38">
          <a:extLst>
            <a:ext uri="{FF2B5EF4-FFF2-40B4-BE49-F238E27FC236}">
              <a16:creationId xmlns:a16="http://schemas.microsoft.com/office/drawing/2014/main" id="{00000000-0008-0000-3400-000027000000}"/>
            </a:ext>
          </a:extLst>
        </xdr:cNvPr>
        <xdr:cNvCxnSpPr/>
      </xdr:nvCxnSpPr>
      <xdr:spPr>
        <a:xfrm flipV="1">
          <a:off x="12458700" y="4299857"/>
          <a:ext cx="1020536" cy="153624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16</xdr:row>
      <xdr:rowOff>13607</xdr:rowOff>
    </xdr:from>
    <xdr:to>
      <xdr:col>16</xdr:col>
      <xdr:colOff>0</xdr:colOff>
      <xdr:row>29</xdr:row>
      <xdr:rowOff>10582</xdr:rowOff>
    </xdr:to>
    <xdr:cxnSp macro="">
      <xdr:nvCxnSpPr>
        <xdr:cNvPr id="40" name="Connecteur droit avec flèche 39">
          <a:extLst>
            <a:ext uri="{FF2B5EF4-FFF2-40B4-BE49-F238E27FC236}">
              <a16:creationId xmlns:a16="http://schemas.microsoft.com/office/drawing/2014/main" id="{00000000-0008-0000-3400-000028000000}"/>
            </a:ext>
          </a:extLst>
        </xdr:cNvPr>
        <xdr:cNvCxnSpPr/>
      </xdr:nvCxnSpPr>
      <xdr:spPr>
        <a:xfrm flipV="1">
          <a:off x="12458700" y="4699907"/>
          <a:ext cx="1047750" cy="259730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8</xdr:row>
      <xdr:rowOff>10583</xdr:rowOff>
    </xdr:from>
    <xdr:to>
      <xdr:col>16</xdr:col>
      <xdr:colOff>16934</xdr:colOff>
      <xdr:row>20</xdr:row>
      <xdr:rowOff>146050</xdr:rowOff>
    </xdr:to>
    <xdr:cxnSp macro="">
      <xdr:nvCxnSpPr>
        <xdr:cNvPr id="46" name="Connecteur droit avec flèche 45">
          <a:extLst>
            <a:ext uri="{FF2B5EF4-FFF2-40B4-BE49-F238E27FC236}">
              <a16:creationId xmlns:a16="http://schemas.microsoft.com/office/drawing/2014/main" id="{00000000-0008-0000-3400-00002E000000}"/>
            </a:ext>
          </a:extLst>
        </xdr:cNvPr>
        <xdr:cNvCxnSpPr/>
      </xdr:nvCxnSpPr>
      <xdr:spPr>
        <a:xfrm>
          <a:off x="12475634" y="3096683"/>
          <a:ext cx="1047750" cy="25357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29634</xdr:colOff>
      <xdr:row>15</xdr:row>
      <xdr:rowOff>40216</xdr:rowOff>
    </xdr:from>
    <xdr:to>
      <xdr:col>16</xdr:col>
      <xdr:colOff>25400</xdr:colOff>
      <xdr:row>22</xdr:row>
      <xdr:rowOff>133350</xdr:rowOff>
    </xdr:to>
    <xdr:cxnSp macro="">
      <xdr:nvCxnSpPr>
        <xdr:cNvPr id="47" name="Connecteur droit avec flèche 46">
          <a:extLst>
            <a:ext uri="{FF2B5EF4-FFF2-40B4-BE49-F238E27FC236}">
              <a16:creationId xmlns:a16="http://schemas.microsoft.com/office/drawing/2014/main" id="{00000000-0008-0000-3400-00002F000000}"/>
            </a:ext>
          </a:extLst>
        </xdr:cNvPr>
        <xdr:cNvCxnSpPr/>
      </xdr:nvCxnSpPr>
      <xdr:spPr>
        <a:xfrm>
          <a:off x="12488334" y="4526491"/>
          <a:ext cx="1043516" cy="149330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22</xdr:row>
      <xdr:rowOff>27516</xdr:rowOff>
    </xdr:from>
    <xdr:to>
      <xdr:col>16</xdr:col>
      <xdr:colOff>12700</xdr:colOff>
      <xdr:row>27</xdr:row>
      <xdr:rowOff>107950</xdr:rowOff>
    </xdr:to>
    <xdr:cxnSp macro="">
      <xdr:nvCxnSpPr>
        <xdr:cNvPr id="48" name="Connecteur droit avec flèche 47">
          <a:extLst>
            <a:ext uri="{FF2B5EF4-FFF2-40B4-BE49-F238E27FC236}">
              <a16:creationId xmlns:a16="http://schemas.microsoft.com/office/drawing/2014/main" id="{00000000-0008-0000-3400-000030000000}"/>
            </a:ext>
          </a:extLst>
        </xdr:cNvPr>
        <xdr:cNvCxnSpPr/>
      </xdr:nvCxnSpPr>
      <xdr:spPr>
        <a:xfrm>
          <a:off x="12475634" y="5913966"/>
          <a:ext cx="1043516" cy="108055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29</xdr:row>
      <xdr:rowOff>10584</xdr:rowOff>
    </xdr:from>
    <xdr:to>
      <xdr:col>15</xdr:col>
      <xdr:colOff>1044575</xdr:colOff>
      <xdr:row>29</xdr:row>
      <xdr:rowOff>133350</xdr:rowOff>
    </xdr:to>
    <xdr:cxnSp macro="">
      <xdr:nvCxnSpPr>
        <xdr:cNvPr id="49" name="Connecteur droit avec flèche 48">
          <a:extLst>
            <a:ext uri="{FF2B5EF4-FFF2-40B4-BE49-F238E27FC236}">
              <a16:creationId xmlns:a16="http://schemas.microsoft.com/office/drawing/2014/main" id="{00000000-0008-0000-3400-000031000000}"/>
            </a:ext>
          </a:extLst>
        </xdr:cNvPr>
        <xdr:cNvCxnSpPr/>
      </xdr:nvCxnSpPr>
      <xdr:spPr>
        <a:xfrm>
          <a:off x="12475634" y="7297209"/>
          <a:ext cx="1027641" cy="12276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6</xdr:row>
      <xdr:rowOff>120651</xdr:rowOff>
    </xdr:from>
    <xdr:to>
      <xdr:col>22</xdr:col>
      <xdr:colOff>12700</xdr:colOff>
      <xdr:row>8</xdr:row>
      <xdr:rowOff>0</xdr:rowOff>
    </xdr:to>
    <xdr:cxnSp macro="">
      <xdr:nvCxnSpPr>
        <xdr:cNvPr id="50" name="Connecteur droit avec flèche 49">
          <a:extLst>
            <a:ext uri="{FF2B5EF4-FFF2-40B4-BE49-F238E27FC236}">
              <a16:creationId xmlns:a16="http://schemas.microsoft.com/office/drawing/2014/main" id="{00000000-0008-0000-3400-000032000000}"/>
            </a:ext>
          </a:extLst>
        </xdr:cNvPr>
        <xdr:cNvCxnSpPr/>
      </xdr:nvCxnSpPr>
      <xdr:spPr>
        <a:xfrm flipV="1">
          <a:off x="18071647" y="28067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8</xdr:row>
      <xdr:rowOff>120650</xdr:rowOff>
    </xdr:from>
    <xdr:to>
      <xdr:col>22</xdr:col>
      <xdr:colOff>12700</xdr:colOff>
      <xdr:row>15</xdr:row>
      <xdr:rowOff>2116</xdr:rowOff>
    </xdr:to>
    <xdr:cxnSp macro="">
      <xdr:nvCxnSpPr>
        <xdr:cNvPr id="51" name="Connecteur droit avec flèche 50">
          <a:extLst>
            <a:ext uri="{FF2B5EF4-FFF2-40B4-BE49-F238E27FC236}">
              <a16:creationId xmlns:a16="http://schemas.microsoft.com/office/drawing/2014/main" id="{00000000-0008-0000-3400-000033000000}"/>
            </a:ext>
          </a:extLst>
        </xdr:cNvPr>
        <xdr:cNvCxnSpPr/>
      </xdr:nvCxnSpPr>
      <xdr:spPr>
        <a:xfrm flipV="1">
          <a:off x="18047758" y="32067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8</xdr:row>
      <xdr:rowOff>13607</xdr:rowOff>
    </xdr:from>
    <xdr:to>
      <xdr:col>21</xdr:col>
      <xdr:colOff>1060450</xdr:colOff>
      <xdr:row>13</xdr:row>
      <xdr:rowOff>103724</xdr:rowOff>
    </xdr:to>
    <xdr:cxnSp macro="">
      <xdr:nvCxnSpPr>
        <xdr:cNvPr id="52" name="Connecteur droit avec flèche 51">
          <a:extLst>
            <a:ext uri="{FF2B5EF4-FFF2-40B4-BE49-F238E27FC236}">
              <a16:creationId xmlns:a16="http://schemas.microsoft.com/office/drawing/2014/main" id="{00000000-0008-0000-3400-000034000000}"/>
            </a:ext>
          </a:extLst>
        </xdr:cNvPr>
        <xdr:cNvCxnSpPr/>
      </xdr:nvCxnSpPr>
      <xdr:spPr>
        <a:xfrm>
          <a:off x="18044433" y="30997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15</xdr:row>
      <xdr:rowOff>2123</xdr:rowOff>
    </xdr:from>
    <xdr:to>
      <xdr:col>21</xdr:col>
      <xdr:colOff>1059392</xdr:colOff>
      <xdr:row>15</xdr:row>
      <xdr:rowOff>120656</xdr:rowOff>
    </xdr:to>
    <xdr:cxnSp macro="">
      <xdr:nvCxnSpPr>
        <xdr:cNvPr id="53" name="Connecteur droit avec flèche 52">
          <a:extLst>
            <a:ext uri="{FF2B5EF4-FFF2-40B4-BE49-F238E27FC236}">
              <a16:creationId xmlns:a16="http://schemas.microsoft.com/office/drawing/2014/main" id="{00000000-0008-0000-3400-000035000000}"/>
            </a:ext>
          </a:extLst>
        </xdr:cNvPr>
        <xdr:cNvCxnSpPr/>
      </xdr:nvCxnSpPr>
      <xdr:spPr>
        <a:xfrm>
          <a:off x="18030825" y="44883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33867</xdr:colOff>
      <xdr:row>20</xdr:row>
      <xdr:rowOff>120650</xdr:rowOff>
    </xdr:from>
    <xdr:to>
      <xdr:col>22</xdr:col>
      <xdr:colOff>12700</xdr:colOff>
      <xdr:row>20</xdr:row>
      <xdr:rowOff>188383</xdr:rowOff>
    </xdr:to>
    <xdr:cxnSp macro="">
      <xdr:nvCxnSpPr>
        <xdr:cNvPr id="54" name="Connecteur droit avec flèche 53">
          <a:extLst>
            <a:ext uri="{FF2B5EF4-FFF2-40B4-BE49-F238E27FC236}">
              <a16:creationId xmlns:a16="http://schemas.microsoft.com/office/drawing/2014/main" id="{00000000-0008-0000-3400-000036000000}"/>
            </a:ext>
          </a:extLst>
        </xdr:cNvPr>
        <xdr:cNvCxnSpPr/>
      </xdr:nvCxnSpPr>
      <xdr:spPr>
        <a:xfrm flipV="1">
          <a:off x="18064692" y="5607050"/>
          <a:ext cx="1036108" cy="67733"/>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22</xdr:row>
      <xdr:rowOff>120650</xdr:rowOff>
    </xdr:from>
    <xdr:to>
      <xdr:col>22</xdr:col>
      <xdr:colOff>12700</xdr:colOff>
      <xdr:row>29</xdr:row>
      <xdr:rowOff>2116</xdr:rowOff>
    </xdr:to>
    <xdr:cxnSp macro="">
      <xdr:nvCxnSpPr>
        <xdr:cNvPr id="55" name="Connecteur droit avec flèche 54">
          <a:extLst>
            <a:ext uri="{FF2B5EF4-FFF2-40B4-BE49-F238E27FC236}">
              <a16:creationId xmlns:a16="http://schemas.microsoft.com/office/drawing/2014/main" id="{00000000-0008-0000-3400-000037000000}"/>
            </a:ext>
          </a:extLst>
        </xdr:cNvPr>
        <xdr:cNvCxnSpPr/>
      </xdr:nvCxnSpPr>
      <xdr:spPr>
        <a:xfrm flipV="1">
          <a:off x="18047758" y="6007100"/>
          <a:ext cx="1053042" cy="1281641"/>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20</xdr:row>
      <xdr:rowOff>188390</xdr:rowOff>
    </xdr:from>
    <xdr:to>
      <xdr:col>21</xdr:col>
      <xdr:colOff>1060450</xdr:colOff>
      <xdr:row>27</xdr:row>
      <xdr:rowOff>103724</xdr:rowOff>
    </xdr:to>
    <xdr:cxnSp macro="">
      <xdr:nvCxnSpPr>
        <xdr:cNvPr id="56" name="Connecteur droit avec flèche 55">
          <a:extLst>
            <a:ext uri="{FF2B5EF4-FFF2-40B4-BE49-F238E27FC236}">
              <a16:creationId xmlns:a16="http://schemas.microsoft.com/office/drawing/2014/main" id="{00000000-0008-0000-3400-000038000000}"/>
            </a:ext>
          </a:extLst>
        </xdr:cNvPr>
        <xdr:cNvCxnSpPr/>
      </xdr:nvCxnSpPr>
      <xdr:spPr>
        <a:xfrm>
          <a:off x="18030825" y="5674790"/>
          <a:ext cx="1060450" cy="1315509"/>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29</xdr:row>
      <xdr:rowOff>2123</xdr:rowOff>
    </xdr:from>
    <xdr:to>
      <xdr:col>21</xdr:col>
      <xdr:colOff>1059392</xdr:colOff>
      <xdr:row>29</xdr:row>
      <xdr:rowOff>120656</xdr:rowOff>
    </xdr:to>
    <xdr:cxnSp macro="">
      <xdr:nvCxnSpPr>
        <xdr:cNvPr id="57" name="Connecteur droit avec flèche 56">
          <a:extLst>
            <a:ext uri="{FF2B5EF4-FFF2-40B4-BE49-F238E27FC236}">
              <a16:creationId xmlns:a16="http://schemas.microsoft.com/office/drawing/2014/main" id="{00000000-0008-0000-3400-000039000000}"/>
            </a:ext>
          </a:extLst>
        </xdr:cNvPr>
        <xdr:cNvCxnSpPr/>
      </xdr:nvCxnSpPr>
      <xdr:spPr>
        <a:xfrm>
          <a:off x="18030825" y="7288748"/>
          <a:ext cx="1059392" cy="118533"/>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40822</xdr:colOff>
      <xdr:row>34</xdr:row>
      <xdr:rowOff>95250</xdr:rowOff>
    </xdr:from>
    <xdr:to>
      <xdr:col>16</xdr:col>
      <xdr:colOff>0</xdr:colOff>
      <xdr:row>35</xdr:row>
      <xdr:rowOff>176893</xdr:rowOff>
    </xdr:to>
    <xdr:cxnSp macro="">
      <xdr:nvCxnSpPr>
        <xdr:cNvPr id="58" name="Connecteur droit avec flèche 57">
          <a:extLst>
            <a:ext uri="{FF2B5EF4-FFF2-40B4-BE49-F238E27FC236}">
              <a16:creationId xmlns:a16="http://schemas.microsoft.com/office/drawing/2014/main" id="{00000000-0008-0000-3400-00003A000000}"/>
            </a:ext>
          </a:extLst>
        </xdr:cNvPr>
        <xdr:cNvCxnSpPr/>
      </xdr:nvCxnSpPr>
      <xdr:spPr>
        <a:xfrm flipV="1">
          <a:off x="12499522" y="2781300"/>
          <a:ext cx="1006928" cy="28166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36</xdr:row>
      <xdr:rowOff>120650</xdr:rowOff>
    </xdr:from>
    <xdr:to>
      <xdr:col>15</xdr:col>
      <xdr:colOff>1044575</xdr:colOff>
      <xdr:row>42</xdr:row>
      <xdr:rowOff>149678</xdr:rowOff>
    </xdr:to>
    <xdr:cxnSp macro="">
      <xdr:nvCxnSpPr>
        <xdr:cNvPr id="59" name="Connecteur droit avec flèche 58">
          <a:extLst>
            <a:ext uri="{FF2B5EF4-FFF2-40B4-BE49-F238E27FC236}">
              <a16:creationId xmlns:a16="http://schemas.microsoft.com/office/drawing/2014/main" id="{00000000-0008-0000-3400-00003B000000}"/>
            </a:ext>
          </a:extLst>
        </xdr:cNvPr>
        <xdr:cNvCxnSpPr/>
      </xdr:nvCxnSpPr>
      <xdr:spPr>
        <a:xfrm flipV="1">
          <a:off x="12458700" y="3206750"/>
          <a:ext cx="1044575" cy="122917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42</xdr:row>
      <xdr:rowOff>13607</xdr:rowOff>
    </xdr:from>
    <xdr:to>
      <xdr:col>15</xdr:col>
      <xdr:colOff>1020536</xdr:colOff>
      <xdr:row>49</xdr:row>
      <xdr:rowOff>149679</xdr:rowOff>
    </xdr:to>
    <xdr:cxnSp macro="">
      <xdr:nvCxnSpPr>
        <xdr:cNvPr id="60" name="Connecteur droit avec flèche 59">
          <a:extLst>
            <a:ext uri="{FF2B5EF4-FFF2-40B4-BE49-F238E27FC236}">
              <a16:creationId xmlns:a16="http://schemas.microsoft.com/office/drawing/2014/main" id="{00000000-0008-0000-3400-00003C000000}"/>
            </a:ext>
          </a:extLst>
        </xdr:cNvPr>
        <xdr:cNvCxnSpPr/>
      </xdr:nvCxnSpPr>
      <xdr:spPr>
        <a:xfrm flipV="1">
          <a:off x="12458700" y="4299857"/>
          <a:ext cx="1020536" cy="153624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44</xdr:row>
      <xdr:rowOff>13607</xdr:rowOff>
    </xdr:from>
    <xdr:to>
      <xdr:col>16</xdr:col>
      <xdr:colOff>0</xdr:colOff>
      <xdr:row>57</xdr:row>
      <xdr:rowOff>10582</xdr:rowOff>
    </xdr:to>
    <xdr:cxnSp macro="">
      <xdr:nvCxnSpPr>
        <xdr:cNvPr id="61" name="Connecteur droit avec flèche 60">
          <a:extLst>
            <a:ext uri="{FF2B5EF4-FFF2-40B4-BE49-F238E27FC236}">
              <a16:creationId xmlns:a16="http://schemas.microsoft.com/office/drawing/2014/main" id="{00000000-0008-0000-3400-00003D000000}"/>
            </a:ext>
          </a:extLst>
        </xdr:cNvPr>
        <xdr:cNvCxnSpPr/>
      </xdr:nvCxnSpPr>
      <xdr:spPr>
        <a:xfrm flipV="1">
          <a:off x="12458700" y="4699907"/>
          <a:ext cx="1047750" cy="259730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36</xdr:row>
      <xdr:rowOff>10583</xdr:rowOff>
    </xdr:from>
    <xdr:to>
      <xdr:col>16</xdr:col>
      <xdr:colOff>16934</xdr:colOff>
      <xdr:row>48</xdr:row>
      <xdr:rowOff>146050</xdr:rowOff>
    </xdr:to>
    <xdr:cxnSp macro="">
      <xdr:nvCxnSpPr>
        <xdr:cNvPr id="62" name="Connecteur droit avec flèche 61">
          <a:extLst>
            <a:ext uri="{FF2B5EF4-FFF2-40B4-BE49-F238E27FC236}">
              <a16:creationId xmlns:a16="http://schemas.microsoft.com/office/drawing/2014/main" id="{00000000-0008-0000-3400-00003E000000}"/>
            </a:ext>
          </a:extLst>
        </xdr:cNvPr>
        <xdr:cNvCxnSpPr/>
      </xdr:nvCxnSpPr>
      <xdr:spPr>
        <a:xfrm>
          <a:off x="12475634" y="3096683"/>
          <a:ext cx="1047750" cy="25357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29634</xdr:colOff>
      <xdr:row>43</xdr:row>
      <xdr:rowOff>40216</xdr:rowOff>
    </xdr:from>
    <xdr:to>
      <xdr:col>16</xdr:col>
      <xdr:colOff>25400</xdr:colOff>
      <xdr:row>50</xdr:row>
      <xdr:rowOff>133350</xdr:rowOff>
    </xdr:to>
    <xdr:cxnSp macro="">
      <xdr:nvCxnSpPr>
        <xdr:cNvPr id="63" name="Connecteur droit avec flèche 62">
          <a:extLst>
            <a:ext uri="{FF2B5EF4-FFF2-40B4-BE49-F238E27FC236}">
              <a16:creationId xmlns:a16="http://schemas.microsoft.com/office/drawing/2014/main" id="{00000000-0008-0000-3400-00003F000000}"/>
            </a:ext>
          </a:extLst>
        </xdr:cNvPr>
        <xdr:cNvCxnSpPr/>
      </xdr:nvCxnSpPr>
      <xdr:spPr>
        <a:xfrm>
          <a:off x="12488334" y="4526491"/>
          <a:ext cx="1043516" cy="149330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50</xdr:row>
      <xdr:rowOff>27516</xdr:rowOff>
    </xdr:from>
    <xdr:to>
      <xdr:col>16</xdr:col>
      <xdr:colOff>12700</xdr:colOff>
      <xdr:row>55</xdr:row>
      <xdr:rowOff>107950</xdr:rowOff>
    </xdr:to>
    <xdr:cxnSp macro="">
      <xdr:nvCxnSpPr>
        <xdr:cNvPr id="64" name="Connecteur droit avec flèche 63">
          <a:extLst>
            <a:ext uri="{FF2B5EF4-FFF2-40B4-BE49-F238E27FC236}">
              <a16:creationId xmlns:a16="http://schemas.microsoft.com/office/drawing/2014/main" id="{00000000-0008-0000-3400-000040000000}"/>
            </a:ext>
          </a:extLst>
        </xdr:cNvPr>
        <xdr:cNvCxnSpPr/>
      </xdr:nvCxnSpPr>
      <xdr:spPr>
        <a:xfrm>
          <a:off x="12475634" y="5913966"/>
          <a:ext cx="1043516" cy="108055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57</xdr:row>
      <xdr:rowOff>10584</xdr:rowOff>
    </xdr:from>
    <xdr:to>
      <xdr:col>15</xdr:col>
      <xdr:colOff>1044575</xdr:colOff>
      <xdr:row>57</xdr:row>
      <xdr:rowOff>133350</xdr:rowOff>
    </xdr:to>
    <xdr:cxnSp macro="">
      <xdr:nvCxnSpPr>
        <xdr:cNvPr id="65" name="Connecteur droit avec flèche 64">
          <a:extLst>
            <a:ext uri="{FF2B5EF4-FFF2-40B4-BE49-F238E27FC236}">
              <a16:creationId xmlns:a16="http://schemas.microsoft.com/office/drawing/2014/main" id="{00000000-0008-0000-3400-000041000000}"/>
            </a:ext>
          </a:extLst>
        </xdr:cNvPr>
        <xdr:cNvCxnSpPr/>
      </xdr:nvCxnSpPr>
      <xdr:spPr>
        <a:xfrm>
          <a:off x="12475634" y="7297209"/>
          <a:ext cx="1027641" cy="12276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34</xdr:row>
      <xdr:rowOff>120651</xdr:rowOff>
    </xdr:from>
    <xdr:to>
      <xdr:col>22</xdr:col>
      <xdr:colOff>12700</xdr:colOff>
      <xdr:row>36</xdr:row>
      <xdr:rowOff>0</xdr:rowOff>
    </xdr:to>
    <xdr:cxnSp macro="">
      <xdr:nvCxnSpPr>
        <xdr:cNvPr id="66" name="Connecteur droit avec flèche 65">
          <a:extLst>
            <a:ext uri="{FF2B5EF4-FFF2-40B4-BE49-F238E27FC236}">
              <a16:creationId xmlns:a16="http://schemas.microsoft.com/office/drawing/2014/main" id="{00000000-0008-0000-3400-000042000000}"/>
            </a:ext>
          </a:extLst>
        </xdr:cNvPr>
        <xdr:cNvCxnSpPr/>
      </xdr:nvCxnSpPr>
      <xdr:spPr>
        <a:xfrm flipV="1">
          <a:off x="18071647" y="28067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36</xdr:row>
      <xdr:rowOff>120650</xdr:rowOff>
    </xdr:from>
    <xdr:to>
      <xdr:col>22</xdr:col>
      <xdr:colOff>12700</xdr:colOff>
      <xdr:row>43</xdr:row>
      <xdr:rowOff>2116</xdr:rowOff>
    </xdr:to>
    <xdr:cxnSp macro="">
      <xdr:nvCxnSpPr>
        <xdr:cNvPr id="67" name="Connecteur droit avec flèche 66">
          <a:extLst>
            <a:ext uri="{FF2B5EF4-FFF2-40B4-BE49-F238E27FC236}">
              <a16:creationId xmlns:a16="http://schemas.microsoft.com/office/drawing/2014/main" id="{00000000-0008-0000-3400-000043000000}"/>
            </a:ext>
          </a:extLst>
        </xdr:cNvPr>
        <xdr:cNvCxnSpPr/>
      </xdr:nvCxnSpPr>
      <xdr:spPr>
        <a:xfrm flipV="1">
          <a:off x="18047758" y="32067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36</xdr:row>
      <xdr:rowOff>13607</xdr:rowOff>
    </xdr:from>
    <xdr:to>
      <xdr:col>21</xdr:col>
      <xdr:colOff>1060450</xdr:colOff>
      <xdr:row>41</xdr:row>
      <xdr:rowOff>103724</xdr:rowOff>
    </xdr:to>
    <xdr:cxnSp macro="">
      <xdr:nvCxnSpPr>
        <xdr:cNvPr id="68" name="Connecteur droit avec flèche 67">
          <a:extLst>
            <a:ext uri="{FF2B5EF4-FFF2-40B4-BE49-F238E27FC236}">
              <a16:creationId xmlns:a16="http://schemas.microsoft.com/office/drawing/2014/main" id="{00000000-0008-0000-3400-000044000000}"/>
            </a:ext>
          </a:extLst>
        </xdr:cNvPr>
        <xdr:cNvCxnSpPr/>
      </xdr:nvCxnSpPr>
      <xdr:spPr>
        <a:xfrm>
          <a:off x="18044433" y="30997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43</xdr:row>
      <xdr:rowOff>2123</xdr:rowOff>
    </xdr:from>
    <xdr:to>
      <xdr:col>21</xdr:col>
      <xdr:colOff>1059392</xdr:colOff>
      <xdr:row>43</xdr:row>
      <xdr:rowOff>120656</xdr:rowOff>
    </xdr:to>
    <xdr:cxnSp macro="">
      <xdr:nvCxnSpPr>
        <xdr:cNvPr id="69" name="Connecteur droit avec flèche 68">
          <a:extLst>
            <a:ext uri="{FF2B5EF4-FFF2-40B4-BE49-F238E27FC236}">
              <a16:creationId xmlns:a16="http://schemas.microsoft.com/office/drawing/2014/main" id="{00000000-0008-0000-3400-000045000000}"/>
            </a:ext>
          </a:extLst>
        </xdr:cNvPr>
        <xdr:cNvCxnSpPr/>
      </xdr:nvCxnSpPr>
      <xdr:spPr>
        <a:xfrm>
          <a:off x="18030825" y="44883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33867</xdr:colOff>
      <xdr:row>48</xdr:row>
      <xdr:rowOff>120650</xdr:rowOff>
    </xdr:from>
    <xdr:to>
      <xdr:col>22</xdr:col>
      <xdr:colOff>12700</xdr:colOff>
      <xdr:row>48</xdr:row>
      <xdr:rowOff>188383</xdr:rowOff>
    </xdr:to>
    <xdr:cxnSp macro="">
      <xdr:nvCxnSpPr>
        <xdr:cNvPr id="70" name="Connecteur droit avec flèche 69">
          <a:extLst>
            <a:ext uri="{FF2B5EF4-FFF2-40B4-BE49-F238E27FC236}">
              <a16:creationId xmlns:a16="http://schemas.microsoft.com/office/drawing/2014/main" id="{00000000-0008-0000-3400-000046000000}"/>
            </a:ext>
          </a:extLst>
        </xdr:cNvPr>
        <xdr:cNvCxnSpPr/>
      </xdr:nvCxnSpPr>
      <xdr:spPr>
        <a:xfrm flipV="1">
          <a:off x="18064692" y="5607050"/>
          <a:ext cx="1036108" cy="67733"/>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50</xdr:row>
      <xdr:rowOff>120650</xdr:rowOff>
    </xdr:from>
    <xdr:to>
      <xdr:col>22</xdr:col>
      <xdr:colOff>12700</xdr:colOff>
      <xdr:row>57</xdr:row>
      <xdr:rowOff>2116</xdr:rowOff>
    </xdr:to>
    <xdr:cxnSp macro="">
      <xdr:nvCxnSpPr>
        <xdr:cNvPr id="71" name="Connecteur droit avec flèche 70">
          <a:extLst>
            <a:ext uri="{FF2B5EF4-FFF2-40B4-BE49-F238E27FC236}">
              <a16:creationId xmlns:a16="http://schemas.microsoft.com/office/drawing/2014/main" id="{00000000-0008-0000-3400-000047000000}"/>
            </a:ext>
          </a:extLst>
        </xdr:cNvPr>
        <xdr:cNvCxnSpPr/>
      </xdr:nvCxnSpPr>
      <xdr:spPr>
        <a:xfrm flipV="1">
          <a:off x="18047758" y="6007100"/>
          <a:ext cx="1053042" cy="1281641"/>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48</xdr:row>
      <xdr:rowOff>188390</xdr:rowOff>
    </xdr:from>
    <xdr:to>
      <xdr:col>21</xdr:col>
      <xdr:colOff>1060450</xdr:colOff>
      <xdr:row>55</xdr:row>
      <xdr:rowOff>103724</xdr:rowOff>
    </xdr:to>
    <xdr:cxnSp macro="">
      <xdr:nvCxnSpPr>
        <xdr:cNvPr id="72" name="Connecteur droit avec flèche 71">
          <a:extLst>
            <a:ext uri="{FF2B5EF4-FFF2-40B4-BE49-F238E27FC236}">
              <a16:creationId xmlns:a16="http://schemas.microsoft.com/office/drawing/2014/main" id="{00000000-0008-0000-3400-000048000000}"/>
            </a:ext>
          </a:extLst>
        </xdr:cNvPr>
        <xdr:cNvCxnSpPr/>
      </xdr:nvCxnSpPr>
      <xdr:spPr>
        <a:xfrm>
          <a:off x="18030825" y="5674790"/>
          <a:ext cx="1060450" cy="1315509"/>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57</xdr:row>
      <xdr:rowOff>2123</xdr:rowOff>
    </xdr:from>
    <xdr:to>
      <xdr:col>21</xdr:col>
      <xdr:colOff>1059392</xdr:colOff>
      <xdr:row>57</xdr:row>
      <xdr:rowOff>120656</xdr:rowOff>
    </xdr:to>
    <xdr:cxnSp macro="">
      <xdr:nvCxnSpPr>
        <xdr:cNvPr id="73" name="Connecteur droit avec flèche 72">
          <a:extLst>
            <a:ext uri="{FF2B5EF4-FFF2-40B4-BE49-F238E27FC236}">
              <a16:creationId xmlns:a16="http://schemas.microsoft.com/office/drawing/2014/main" id="{00000000-0008-0000-3400-000049000000}"/>
            </a:ext>
          </a:extLst>
        </xdr:cNvPr>
        <xdr:cNvCxnSpPr/>
      </xdr:nvCxnSpPr>
      <xdr:spPr>
        <a:xfrm>
          <a:off x="18030825" y="7288748"/>
          <a:ext cx="1059392" cy="118533"/>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52.xml><?xml version="1.0" encoding="utf-8"?>
<xdr:wsDr xmlns:xdr="http://schemas.openxmlformats.org/drawingml/2006/spreadsheetDrawing" xmlns:a="http://schemas.openxmlformats.org/drawingml/2006/main">
  <xdr:twoCellAnchor>
    <xdr:from>
      <xdr:col>33</xdr:col>
      <xdr:colOff>367393</xdr:colOff>
      <xdr:row>31</xdr:row>
      <xdr:rowOff>73480</xdr:rowOff>
    </xdr:from>
    <xdr:to>
      <xdr:col>33</xdr:col>
      <xdr:colOff>2272393</xdr:colOff>
      <xdr:row>35</xdr:row>
      <xdr:rowOff>5445</xdr:rowOff>
    </xdr:to>
    <xdr:sp macro="[0]!JMK_Trans_FDUEL1" textlink="">
      <xdr:nvSpPr>
        <xdr:cNvPr id="35" name="Rectangle à coins arrondis 34">
          <a:extLst>
            <a:ext uri="{FF2B5EF4-FFF2-40B4-BE49-F238E27FC236}">
              <a16:creationId xmlns:a16="http://schemas.microsoft.com/office/drawing/2014/main" id="{00000000-0008-0000-3500-000023000000}"/>
            </a:ext>
          </a:extLst>
        </xdr:cNvPr>
        <xdr:cNvSpPr/>
      </xdr:nvSpPr>
      <xdr:spPr bwMode="auto">
        <a:xfrm>
          <a:off x="22474918" y="7760155"/>
          <a:ext cx="1905000" cy="7320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1</a:t>
          </a:r>
          <a:r>
            <a:rPr lang="fr-FR" sz="1600"/>
            <a:t> </a:t>
          </a:r>
        </a:p>
      </xdr:txBody>
    </xdr:sp>
    <xdr:clientData fPrintsWithSheet="0"/>
  </xdr:twoCellAnchor>
  <xdr:twoCellAnchor>
    <xdr:from>
      <xdr:col>34</xdr:col>
      <xdr:colOff>261257</xdr:colOff>
      <xdr:row>31</xdr:row>
      <xdr:rowOff>73480</xdr:rowOff>
    </xdr:from>
    <xdr:to>
      <xdr:col>34</xdr:col>
      <xdr:colOff>2166257</xdr:colOff>
      <xdr:row>35</xdr:row>
      <xdr:rowOff>5445</xdr:rowOff>
    </xdr:to>
    <xdr:sp macro="[0]!JMK_Trans_FDUEL2" textlink="">
      <xdr:nvSpPr>
        <xdr:cNvPr id="36" name="Rectangle à coins arrondis 35">
          <a:extLst>
            <a:ext uri="{FF2B5EF4-FFF2-40B4-BE49-F238E27FC236}">
              <a16:creationId xmlns:a16="http://schemas.microsoft.com/office/drawing/2014/main" id="{00000000-0008-0000-3500-000024000000}"/>
            </a:ext>
          </a:extLst>
        </xdr:cNvPr>
        <xdr:cNvSpPr/>
      </xdr:nvSpPr>
      <xdr:spPr bwMode="auto">
        <a:xfrm>
          <a:off x="24826232" y="7760155"/>
          <a:ext cx="1905000" cy="7320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2</a:t>
          </a:r>
          <a:r>
            <a:rPr lang="fr-FR" sz="1600"/>
            <a:t> </a:t>
          </a:r>
        </a:p>
      </xdr:txBody>
    </xdr:sp>
    <xdr:clientData fPrintsWithSheet="0"/>
  </xdr:twoCellAnchor>
  <xdr:twoCellAnchor>
    <xdr:from>
      <xdr:col>35</xdr:col>
      <xdr:colOff>155122</xdr:colOff>
      <xdr:row>31</xdr:row>
      <xdr:rowOff>73480</xdr:rowOff>
    </xdr:from>
    <xdr:to>
      <xdr:col>35</xdr:col>
      <xdr:colOff>2060122</xdr:colOff>
      <xdr:row>35</xdr:row>
      <xdr:rowOff>5445</xdr:rowOff>
    </xdr:to>
    <xdr:sp macro="[0]!JMK_Trans_FDUEL3" textlink="">
      <xdr:nvSpPr>
        <xdr:cNvPr id="37" name="Rectangle à coins arrondis 36">
          <a:extLst>
            <a:ext uri="{FF2B5EF4-FFF2-40B4-BE49-F238E27FC236}">
              <a16:creationId xmlns:a16="http://schemas.microsoft.com/office/drawing/2014/main" id="{00000000-0008-0000-3500-000025000000}"/>
            </a:ext>
          </a:extLst>
        </xdr:cNvPr>
        <xdr:cNvSpPr/>
      </xdr:nvSpPr>
      <xdr:spPr bwMode="auto">
        <a:xfrm>
          <a:off x="27177547" y="7760155"/>
          <a:ext cx="1905000" cy="7320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3</a:t>
          </a:r>
          <a:r>
            <a:rPr lang="fr-FR" sz="1600"/>
            <a:t> </a:t>
          </a:r>
        </a:p>
      </xdr:txBody>
    </xdr:sp>
    <xdr:clientData fPrintsWithSheet="0"/>
  </xdr:twoCellAnchor>
  <xdr:twoCellAnchor>
    <xdr:from>
      <xdr:col>34</xdr:col>
      <xdr:colOff>1777999</xdr:colOff>
      <xdr:row>38</xdr:row>
      <xdr:rowOff>0</xdr:rowOff>
    </xdr:from>
    <xdr:to>
      <xdr:col>35</xdr:col>
      <xdr:colOff>1222374</xdr:colOff>
      <xdr:row>44</xdr:row>
      <xdr:rowOff>31750</xdr:rowOff>
    </xdr:to>
    <xdr:sp macro="[0]!JMK_ZI_Résultat_Final" textlink="">
      <xdr:nvSpPr>
        <xdr:cNvPr id="41" name="Rectangle à coins arrondis 40">
          <a:extLst>
            <a:ext uri="{FF2B5EF4-FFF2-40B4-BE49-F238E27FC236}">
              <a16:creationId xmlns:a16="http://schemas.microsoft.com/office/drawing/2014/main" id="{00000000-0008-0000-3500-000029000000}"/>
            </a:ext>
          </a:extLst>
        </xdr:cNvPr>
        <xdr:cNvSpPr/>
      </xdr:nvSpPr>
      <xdr:spPr bwMode="auto">
        <a:xfrm>
          <a:off x="26384249" y="9302750"/>
          <a:ext cx="1905000" cy="1270000"/>
        </a:xfrm>
        <a:prstGeom prst="roundRect">
          <a:avLst/>
        </a:prstGeom>
        <a:solidFill>
          <a:srgbClr val="00FF99"/>
        </a:solidFill>
        <a:ln w="9525" cap="flat" cmpd="sng" algn="ctr">
          <a:solidFill>
            <a:srgbClr val="400000"/>
          </a:solidFill>
          <a:prstDash val="solid"/>
          <a:round/>
          <a:headEnd type="none" w="med" len="med"/>
          <a:tailEnd type="none" w="med" len="med"/>
        </a:ln>
        <a:effectLst/>
      </xdr:spPr>
      <xdr:txBody>
        <a:bodyPr rot="0" spcFirstLastPara="0" vertOverflow="clip" horzOverflow="clip" vert="horz" wrap="square" lIns="18288" tIns="0" rIns="0" bIns="0" numCol="1" spcCol="0" rtlCol="0" fromWordArt="0" anchor="ctr" anchorCtr="0" forceAA="0" upright="1" compatLnSpc="1">
          <a:prstTxWarp prst="textNoShape">
            <a:avLst/>
          </a:prstTxWarp>
          <a:noAutofit/>
        </a:bodyPr>
        <a:lstStyle/>
        <a:p>
          <a:pPr algn="ctr"/>
          <a:r>
            <a:rPr lang="fr-FR" sz="2000"/>
            <a:t>Impression</a:t>
          </a:r>
          <a:r>
            <a:rPr lang="fr-FR" sz="2000" baseline="0"/>
            <a:t> du CLASSEMENT FINAL</a:t>
          </a:r>
          <a:endParaRPr lang="fr-FR" sz="2000"/>
        </a:p>
      </xdr:txBody>
    </xdr:sp>
    <xdr:clientData fPrintsWithSheet="0"/>
  </xdr:twoCellAnchor>
  <xdr:twoCellAnchor>
    <xdr:from>
      <xdr:col>24</xdr:col>
      <xdr:colOff>650875</xdr:colOff>
      <xdr:row>0</xdr:row>
      <xdr:rowOff>317500</xdr:rowOff>
    </xdr:from>
    <xdr:to>
      <xdr:col>24</xdr:col>
      <xdr:colOff>2174875</xdr:colOff>
      <xdr:row>1</xdr:row>
      <xdr:rowOff>412750</xdr:rowOff>
    </xdr:to>
    <xdr:sp macro="[0]!jmk_RETOUR_MENU" textlink="">
      <xdr:nvSpPr>
        <xdr:cNvPr id="42" name="Rectangle à coins arrondis 41">
          <a:extLst>
            <a:ext uri="{FF2B5EF4-FFF2-40B4-BE49-F238E27FC236}">
              <a16:creationId xmlns:a16="http://schemas.microsoft.com/office/drawing/2014/main" id="{00000000-0008-0000-3500-00002A000000}"/>
            </a:ext>
          </a:extLst>
        </xdr:cNvPr>
        <xdr:cNvSpPr/>
      </xdr:nvSpPr>
      <xdr:spPr bwMode="auto">
        <a:xfrm>
          <a:off x="17462500" y="317500"/>
          <a:ext cx="1524000" cy="79375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Retour aux MENUS</a:t>
          </a:r>
        </a:p>
      </xdr:txBody>
    </xdr:sp>
    <xdr:clientData fPrintsWithSheet="0"/>
  </xdr:twoCellAnchor>
  <xdr:twoCellAnchor editAs="oneCell">
    <xdr:from>
      <xdr:col>10</xdr:col>
      <xdr:colOff>174625</xdr:colOff>
      <xdr:row>0</xdr:row>
      <xdr:rowOff>142875</xdr:rowOff>
    </xdr:from>
    <xdr:to>
      <xdr:col>12</xdr:col>
      <xdr:colOff>1142999</xdr:colOff>
      <xdr:row>1</xdr:row>
      <xdr:rowOff>574675</xdr:rowOff>
    </xdr:to>
    <xdr:pic>
      <xdr:nvPicPr>
        <xdr:cNvPr id="43" name="Image 42">
          <a:extLst>
            <a:ext uri="{FF2B5EF4-FFF2-40B4-BE49-F238E27FC236}">
              <a16:creationId xmlns:a16="http://schemas.microsoft.com/office/drawing/2014/main" id="{00000000-0008-0000-35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59375" y="142875"/>
          <a:ext cx="1905000" cy="1130300"/>
        </a:xfrm>
        <a:prstGeom prst="rect">
          <a:avLst/>
        </a:prstGeom>
      </xdr:spPr>
    </xdr:pic>
    <xdr:clientData/>
  </xdr:twoCellAnchor>
  <xdr:twoCellAnchor editAs="oneCell">
    <xdr:from>
      <xdr:col>35</xdr:col>
      <xdr:colOff>1460500</xdr:colOff>
      <xdr:row>2</xdr:row>
      <xdr:rowOff>396875</xdr:rowOff>
    </xdr:from>
    <xdr:to>
      <xdr:col>35</xdr:col>
      <xdr:colOff>2397125</xdr:colOff>
      <xdr:row>4</xdr:row>
      <xdr:rowOff>144542</xdr:rowOff>
    </xdr:to>
    <xdr:pic>
      <xdr:nvPicPr>
        <xdr:cNvPr id="44" name="Image 43">
          <a:extLst>
            <a:ext uri="{FF2B5EF4-FFF2-40B4-BE49-F238E27FC236}">
              <a16:creationId xmlns:a16="http://schemas.microsoft.com/office/drawing/2014/main" id="{00000000-0008-0000-3500-00002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27375" y="1873250"/>
          <a:ext cx="936625" cy="557292"/>
        </a:xfrm>
        <a:prstGeom prst="rect">
          <a:avLst/>
        </a:prstGeom>
      </xdr:spPr>
    </xdr:pic>
    <xdr:clientData/>
  </xdr:twoCellAnchor>
  <xdr:twoCellAnchor>
    <xdr:from>
      <xdr:col>33</xdr:col>
      <xdr:colOff>738187</xdr:colOff>
      <xdr:row>36</xdr:row>
      <xdr:rowOff>23813</xdr:rowOff>
    </xdr:from>
    <xdr:to>
      <xdr:col>33</xdr:col>
      <xdr:colOff>2056380</xdr:colOff>
      <xdr:row>40</xdr:row>
      <xdr:rowOff>85045</xdr:rowOff>
    </xdr:to>
    <xdr:sp macro="[0]!Imp_DUEL_Tableau" textlink="">
      <xdr:nvSpPr>
        <xdr:cNvPr id="63" name="Rectangle à coins arrondis 62">
          <a:extLst>
            <a:ext uri="{FF2B5EF4-FFF2-40B4-BE49-F238E27FC236}">
              <a16:creationId xmlns:a16="http://schemas.microsoft.com/office/drawing/2014/main" id="{00000000-0008-0000-3500-00003F000000}"/>
            </a:ext>
          </a:extLst>
        </xdr:cNvPr>
        <xdr:cNvSpPr/>
      </xdr:nvSpPr>
      <xdr:spPr bwMode="auto">
        <a:xfrm>
          <a:off x="25098375" y="8405813"/>
          <a:ext cx="1318193" cy="823232"/>
        </a:xfrm>
        <a:prstGeom prst="roundRect">
          <a:avLst/>
        </a:prstGeom>
        <a:solidFill>
          <a:srgbClr val="E923EE"/>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 TABLEAU des</a:t>
          </a:r>
          <a:r>
            <a:rPr lang="fr-FR" sz="1600" baseline="0"/>
            <a:t> DUELS</a:t>
          </a:r>
          <a:endParaRPr lang="fr-FR" sz="1600"/>
        </a:p>
      </xdr:txBody>
    </xdr:sp>
    <xdr:clientData/>
  </xdr:twoCellAnchor>
  <xdr:twoCellAnchor>
    <xdr:from>
      <xdr:col>15</xdr:col>
      <xdr:colOff>40822</xdr:colOff>
      <xdr:row>6</xdr:row>
      <xdr:rowOff>95250</xdr:rowOff>
    </xdr:from>
    <xdr:to>
      <xdr:col>16</xdr:col>
      <xdr:colOff>0</xdr:colOff>
      <xdr:row>7</xdr:row>
      <xdr:rowOff>176893</xdr:rowOff>
    </xdr:to>
    <xdr:cxnSp macro="">
      <xdr:nvCxnSpPr>
        <xdr:cNvPr id="5" name="Connecteur droit avec flèche 4">
          <a:extLst>
            <a:ext uri="{FF2B5EF4-FFF2-40B4-BE49-F238E27FC236}">
              <a16:creationId xmlns:a16="http://schemas.microsoft.com/office/drawing/2014/main" id="{00000000-0008-0000-3500-000005000000}"/>
            </a:ext>
          </a:extLst>
        </xdr:cNvPr>
        <xdr:cNvCxnSpPr/>
      </xdr:nvCxnSpPr>
      <xdr:spPr>
        <a:xfrm flipV="1">
          <a:off x="4460422" y="2781300"/>
          <a:ext cx="1006928" cy="28166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8</xdr:row>
      <xdr:rowOff>120650</xdr:rowOff>
    </xdr:from>
    <xdr:to>
      <xdr:col>15</xdr:col>
      <xdr:colOff>1044575</xdr:colOff>
      <xdr:row>14</xdr:row>
      <xdr:rowOff>149678</xdr:rowOff>
    </xdr:to>
    <xdr:cxnSp macro="">
      <xdr:nvCxnSpPr>
        <xdr:cNvPr id="6" name="Connecteur droit avec flèche 5">
          <a:extLst>
            <a:ext uri="{FF2B5EF4-FFF2-40B4-BE49-F238E27FC236}">
              <a16:creationId xmlns:a16="http://schemas.microsoft.com/office/drawing/2014/main" id="{00000000-0008-0000-3500-000006000000}"/>
            </a:ext>
          </a:extLst>
        </xdr:cNvPr>
        <xdr:cNvCxnSpPr/>
      </xdr:nvCxnSpPr>
      <xdr:spPr>
        <a:xfrm flipV="1">
          <a:off x="4419600" y="3206750"/>
          <a:ext cx="1044575" cy="122917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14</xdr:row>
      <xdr:rowOff>13607</xdr:rowOff>
    </xdr:from>
    <xdr:to>
      <xdr:col>15</xdr:col>
      <xdr:colOff>1020536</xdr:colOff>
      <xdr:row>21</xdr:row>
      <xdr:rowOff>149679</xdr:rowOff>
    </xdr:to>
    <xdr:cxnSp macro="">
      <xdr:nvCxnSpPr>
        <xdr:cNvPr id="7" name="Connecteur droit avec flèche 6">
          <a:extLst>
            <a:ext uri="{FF2B5EF4-FFF2-40B4-BE49-F238E27FC236}">
              <a16:creationId xmlns:a16="http://schemas.microsoft.com/office/drawing/2014/main" id="{00000000-0008-0000-3500-000007000000}"/>
            </a:ext>
          </a:extLst>
        </xdr:cNvPr>
        <xdr:cNvCxnSpPr/>
      </xdr:nvCxnSpPr>
      <xdr:spPr>
        <a:xfrm flipV="1">
          <a:off x="4419600" y="4299857"/>
          <a:ext cx="1020536" cy="153624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16</xdr:row>
      <xdr:rowOff>13607</xdr:rowOff>
    </xdr:from>
    <xdr:to>
      <xdr:col>16</xdr:col>
      <xdr:colOff>0</xdr:colOff>
      <xdr:row>29</xdr:row>
      <xdr:rowOff>10582</xdr:rowOff>
    </xdr:to>
    <xdr:cxnSp macro="">
      <xdr:nvCxnSpPr>
        <xdr:cNvPr id="8" name="Connecteur droit avec flèche 7">
          <a:extLst>
            <a:ext uri="{FF2B5EF4-FFF2-40B4-BE49-F238E27FC236}">
              <a16:creationId xmlns:a16="http://schemas.microsoft.com/office/drawing/2014/main" id="{00000000-0008-0000-3500-000008000000}"/>
            </a:ext>
          </a:extLst>
        </xdr:cNvPr>
        <xdr:cNvCxnSpPr/>
      </xdr:nvCxnSpPr>
      <xdr:spPr>
        <a:xfrm flipV="1">
          <a:off x="4419600" y="4699907"/>
          <a:ext cx="1047750" cy="259730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8</xdr:row>
      <xdr:rowOff>10583</xdr:rowOff>
    </xdr:from>
    <xdr:to>
      <xdr:col>16</xdr:col>
      <xdr:colOff>16934</xdr:colOff>
      <xdr:row>20</xdr:row>
      <xdr:rowOff>146050</xdr:rowOff>
    </xdr:to>
    <xdr:cxnSp macro="">
      <xdr:nvCxnSpPr>
        <xdr:cNvPr id="9" name="Connecteur droit avec flèche 8">
          <a:extLst>
            <a:ext uri="{FF2B5EF4-FFF2-40B4-BE49-F238E27FC236}">
              <a16:creationId xmlns:a16="http://schemas.microsoft.com/office/drawing/2014/main" id="{00000000-0008-0000-3500-000009000000}"/>
            </a:ext>
          </a:extLst>
        </xdr:cNvPr>
        <xdr:cNvCxnSpPr/>
      </xdr:nvCxnSpPr>
      <xdr:spPr>
        <a:xfrm>
          <a:off x="4436534" y="3096683"/>
          <a:ext cx="1047750" cy="25357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29634</xdr:colOff>
      <xdr:row>15</xdr:row>
      <xdr:rowOff>40216</xdr:rowOff>
    </xdr:from>
    <xdr:to>
      <xdr:col>16</xdr:col>
      <xdr:colOff>25400</xdr:colOff>
      <xdr:row>22</xdr:row>
      <xdr:rowOff>133350</xdr:rowOff>
    </xdr:to>
    <xdr:cxnSp macro="">
      <xdr:nvCxnSpPr>
        <xdr:cNvPr id="10" name="Connecteur droit avec flèche 9">
          <a:extLst>
            <a:ext uri="{FF2B5EF4-FFF2-40B4-BE49-F238E27FC236}">
              <a16:creationId xmlns:a16="http://schemas.microsoft.com/office/drawing/2014/main" id="{00000000-0008-0000-3500-00000A000000}"/>
            </a:ext>
          </a:extLst>
        </xdr:cNvPr>
        <xdr:cNvCxnSpPr/>
      </xdr:nvCxnSpPr>
      <xdr:spPr>
        <a:xfrm>
          <a:off x="4449234" y="4526491"/>
          <a:ext cx="1043516" cy="149330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22</xdr:row>
      <xdr:rowOff>27516</xdr:rowOff>
    </xdr:from>
    <xdr:to>
      <xdr:col>16</xdr:col>
      <xdr:colOff>12700</xdr:colOff>
      <xdr:row>27</xdr:row>
      <xdr:rowOff>107950</xdr:rowOff>
    </xdr:to>
    <xdr:cxnSp macro="">
      <xdr:nvCxnSpPr>
        <xdr:cNvPr id="11" name="Connecteur droit avec flèche 10">
          <a:extLst>
            <a:ext uri="{FF2B5EF4-FFF2-40B4-BE49-F238E27FC236}">
              <a16:creationId xmlns:a16="http://schemas.microsoft.com/office/drawing/2014/main" id="{00000000-0008-0000-3500-00000B000000}"/>
            </a:ext>
          </a:extLst>
        </xdr:cNvPr>
        <xdr:cNvCxnSpPr/>
      </xdr:nvCxnSpPr>
      <xdr:spPr>
        <a:xfrm>
          <a:off x="4436534" y="5913966"/>
          <a:ext cx="1043516" cy="108055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29</xdr:row>
      <xdr:rowOff>10584</xdr:rowOff>
    </xdr:from>
    <xdr:to>
      <xdr:col>15</xdr:col>
      <xdr:colOff>1044575</xdr:colOff>
      <xdr:row>29</xdr:row>
      <xdr:rowOff>133350</xdr:rowOff>
    </xdr:to>
    <xdr:cxnSp macro="">
      <xdr:nvCxnSpPr>
        <xdr:cNvPr id="12" name="Connecteur droit avec flèche 11">
          <a:extLst>
            <a:ext uri="{FF2B5EF4-FFF2-40B4-BE49-F238E27FC236}">
              <a16:creationId xmlns:a16="http://schemas.microsoft.com/office/drawing/2014/main" id="{00000000-0008-0000-3500-00000C000000}"/>
            </a:ext>
          </a:extLst>
        </xdr:cNvPr>
        <xdr:cNvCxnSpPr/>
      </xdr:nvCxnSpPr>
      <xdr:spPr>
        <a:xfrm>
          <a:off x="4436534" y="7297209"/>
          <a:ext cx="1027641" cy="12276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6</xdr:row>
      <xdr:rowOff>120651</xdr:rowOff>
    </xdr:from>
    <xdr:to>
      <xdr:col>22</xdr:col>
      <xdr:colOff>12700</xdr:colOff>
      <xdr:row>8</xdr:row>
      <xdr:rowOff>0</xdr:rowOff>
    </xdr:to>
    <xdr:cxnSp macro="">
      <xdr:nvCxnSpPr>
        <xdr:cNvPr id="18" name="Connecteur droit avec flèche 17">
          <a:extLst>
            <a:ext uri="{FF2B5EF4-FFF2-40B4-BE49-F238E27FC236}">
              <a16:creationId xmlns:a16="http://schemas.microsoft.com/office/drawing/2014/main" id="{00000000-0008-0000-3500-000012000000}"/>
            </a:ext>
          </a:extLst>
        </xdr:cNvPr>
        <xdr:cNvCxnSpPr/>
      </xdr:nvCxnSpPr>
      <xdr:spPr>
        <a:xfrm flipV="1">
          <a:off x="9937297" y="28067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8</xdr:row>
      <xdr:rowOff>120650</xdr:rowOff>
    </xdr:from>
    <xdr:to>
      <xdr:col>22</xdr:col>
      <xdr:colOff>12700</xdr:colOff>
      <xdr:row>15</xdr:row>
      <xdr:rowOff>2116</xdr:rowOff>
    </xdr:to>
    <xdr:cxnSp macro="">
      <xdr:nvCxnSpPr>
        <xdr:cNvPr id="19" name="Connecteur droit avec flèche 18">
          <a:extLst>
            <a:ext uri="{FF2B5EF4-FFF2-40B4-BE49-F238E27FC236}">
              <a16:creationId xmlns:a16="http://schemas.microsoft.com/office/drawing/2014/main" id="{00000000-0008-0000-3500-000013000000}"/>
            </a:ext>
          </a:extLst>
        </xdr:cNvPr>
        <xdr:cNvCxnSpPr/>
      </xdr:nvCxnSpPr>
      <xdr:spPr>
        <a:xfrm flipV="1">
          <a:off x="9913408" y="32067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8</xdr:row>
      <xdr:rowOff>13607</xdr:rowOff>
    </xdr:from>
    <xdr:to>
      <xdr:col>21</xdr:col>
      <xdr:colOff>1060450</xdr:colOff>
      <xdr:row>13</xdr:row>
      <xdr:rowOff>103724</xdr:rowOff>
    </xdr:to>
    <xdr:cxnSp macro="">
      <xdr:nvCxnSpPr>
        <xdr:cNvPr id="20" name="Connecteur droit avec flèche 19">
          <a:extLst>
            <a:ext uri="{FF2B5EF4-FFF2-40B4-BE49-F238E27FC236}">
              <a16:creationId xmlns:a16="http://schemas.microsoft.com/office/drawing/2014/main" id="{00000000-0008-0000-3500-000014000000}"/>
            </a:ext>
          </a:extLst>
        </xdr:cNvPr>
        <xdr:cNvCxnSpPr/>
      </xdr:nvCxnSpPr>
      <xdr:spPr>
        <a:xfrm>
          <a:off x="9910083" y="30997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15</xdr:row>
      <xdr:rowOff>2123</xdr:rowOff>
    </xdr:from>
    <xdr:to>
      <xdr:col>21</xdr:col>
      <xdr:colOff>1059392</xdr:colOff>
      <xdr:row>15</xdr:row>
      <xdr:rowOff>120656</xdr:rowOff>
    </xdr:to>
    <xdr:cxnSp macro="">
      <xdr:nvCxnSpPr>
        <xdr:cNvPr id="21" name="Connecteur droit avec flèche 20">
          <a:extLst>
            <a:ext uri="{FF2B5EF4-FFF2-40B4-BE49-F238E27FC236}">
              <a16:creationId xmlns:a16="http://schemas.microsoft.com/office/drawing/2014/main" id="{00000000-0008-0000-3500-000015000000}"/>
            </a:ext>
          </a:extLst>
        </xdr:cNvPr>
        <xdr:cNvCxnSpPr/>
      </xdr:nvCxnSpPr>
      <xdr:spPr>
        <a:xfrm>
          <a:off x="9896475" y="44883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33867</xdr:colOff>
      <xdr:row>20</xdr:row>
      <xdr:rowOff>120650</xdr:rowOff>
    </xdr:from>
    <xdr:to>
      <xdr:col>22</xdr:col>
      <xdr:colOff>12700</xdr:colOff>
      <xdr:row>20</xdr:row>
      <xdr:rowOff>188383</xdr:rowOff>
    </xdr:to>
    <xdr:cxnSp macro="">
      <xdr:nvCxnSpPr>
        <xdr:cNvPr id="22" name="Connecteur droit avec flèche 21">
          <a:extLst>
            <a:ext uri="{FF2B5EF4-FFF2-40B4-BE49-F238E27FC236}">
              <a16:creationId xmlns:a16="http://schemas.microsoft.com/office/drawing/2014/main" id="{00000000-0008-0000-3500-000016000000}"/>
            </a:ext>
          </a:extLst>
        </xdr:cNvPr>
        <xdr:cNvCxnSpPr/>
      </xdr:nvCxnSpPr>
      <xdr:spPr>
        <a:xfrm flipV="1">
          <a:off x="9930342" y="5607050"/>
          <a:ext cx="1036108" cy="67733"/>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22</xdr:row>
      <xdr:rowOff>120650</xdr:rowOff>
    </xdr:from>
    <xdr:to>
      <xdr:col>22</xdr:col>
      <xdr:colOff>12700</xdr:colOff>
      <xdr:row>29</xdr:row>
      <xdr:rowOff>2116</xdr:rowOff>
    </xdr:to>
    <xdr:cxnSp macro="">
      <xdr:nvCxnSpPr>
        <xdr:cNvPr id="23" name="Connecteur droit avec flèche 22">
          <a:extLst>
            <a:ext uri="{FF2B5EF4-FFF2-40B4-BE49-F238E27FC236}">
              <a16:creationId xmlns:a16="http://schemas.microsoft.com/office/drawing/2014/main" id="{00000000-0008-0000-3500-000017000000}"/>
            </a:ext>
          </a:extLst>
        </xdr:cNvPr>
        <xdr:cNvCxnSpPr/>
      </xdr:nvCxnSpPr>
      <xdr:spPr>
        <a:xfrm flipV="1">
          <a:off x="9913408" y="6007100"/>
          <a:ext cx="1053042" cy="1281641"/>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20</xdr:row>
      <xdr:rowOff>188390</xdr:rowOff>
    </xdr:from>
    <xdr:to>
      <xdr:col>21</xdr:col>
      <xdr:colOff>1060450</xdr:colOff>
      <xdr:row>27</xdr:row>
      <xdr:rowOff>103724</xdr:rowOff>
    </xdr:to>
    <xdr:cxnSp macro="">
      <xdr:nvCxnSpPr>
        <xdr:cNvPr id="24" name="Connecteur droit avec flèche 23">
          <a:extLst>
            <a:ext uri="{FF2B5EF4-FFF2-40B4-BE49-F238E27FC236}">
              <a16:creationId xmlns:a16="http://schemas.microsoft.com/office/drawing/2014/main" id="{00000000-0008-0000-3500-000018000000}"/>
            </a:ext>
          </a:extLst>
        </xdr:cNvPr>
        <xdr:cNvCxnSpPr/>
      </xdr:nvCxnSpPr>
      <xdr:spPr>
        <a:xfrm>
          <a:off x="9896475" y="5674790"/>
          <a:ext cx="1060450" cy="1315509"/>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29</xdr:row>
      <xdr:rowOff>2123</xdr:rowOff>
    </xdr:from>
    <xdr:to>
      <xdr:col>21</xdr:col>
      <xdr:colOff>1059392</xdr:colOff>
      <xdr:row>29</xdr:row>
      <xdr:rowOff>120656</xdr:rowOff>
    </xdr:to>
    <xdr:cxnSp macro="">
      <xdr:nvCxnSpPr>
        <xdr:cNvPr id="25" name="Connecteur droit avec flèche 24">
          <a:extLst>
            <a:ext uri="{FF2B5EF4-FFF2-40B4-BE49-F238E27FC236}">
              <a16:creationId xmlns:a16="http://schemas.microsoft.com/office/drawing/2014/main" id="{00000000-0008-0000-3500-000019000000}"/>
            </a:ext>
          </a:extLst>
        </xdr:cNvPr>
        <xdr:cNvCxnSpPr/>
      </xdr:nvCxnSpPr>
      <xdr:spPr>
        <a:xfrm>
          <a:off x="9896475" y="7288748"/>
          <a:ext cx="1059392" cy="118533"/>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40822</xdr:colOff>
      <xdr:row>34</xdr:row>
      <xdr:rowOff>95250</xdr:rowOff>
    </xdr:from>
    <xdr:to>
      <xdr:col>16</xdr:col>
      <xdr:colOff>0</xdr:colOff>
      <xdr:row>35</xdr:row>
      <xdr:rowOff>176893</xdr:rowOff>
    </xdr:to>
    <xdr:cxnSp macro="">
      <xdr:nvCxnSpPr>
        <xdr:cNvPr id="34" name="Connecteur droit avec flèche 33">
          <a:extLst>
            <a:ext uri="{FF2B5EF4-FFF2-40B4-BE49-F238E27FC236}">
              <a16:creationId xmlns:a16="http://schemas.microsoft.com/office/drawing/2014/main" id="{00000000-0008-0000-3500-000022000000}"/>
            </a:ext>
          </a:extLst>
        </xdr:cNvPr>
        <xdr:cNvCxnSpPr/>
      </xdr:nvCxnSpPr>
      <xdr:spPr>
        <a:xfrm flipV="1">
          <a:off x="4460422" y="8382000"/>
          <a:ext cx="1006928" cy="28166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36</xdr:row>
      <xdr:rowOff>120650</xdr:rowOff>
    </xdr:from>
    <xdr:to>
      <xdr:col>15</xdr:col>
      <xdr:colOff>1044575</xdr:colOff>
      <xdr:row>42</xdr:row>
      <xdr:rowOff>149678</xdr:rowOff>
    </xdr:to>
    <xdr:cxnSp macro="">
      <xdr:nvCxnSpPr>
        <xdr:cNvPr id="38" name="Connecteur droit avec flèche 37">
          <a:extLst>
            <a:ext uri="{FF2B5EF4-FFF2-40B4-BE49-F238E27FC236}">
              <a16:creationId xmlns:a16="http://schemas.microsoft.com/office/drawing/2014/main" id="{00000000-0008-0000-3500-000026000000}"/>
            </a:ext>
          </a:extLst>
        </xdr:cNvPr>
        <xdr:cNvCxnSpPr/>
      </xdr:nvCxnSpPr>
      <xdr:spPr>
        <a:xfrm flipV="1">
          <a:off x="4419600" y="8807450"/>
          <a:ext cx="1044575" cy="122917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42</xdr:row>
      <xdr:rowOff>13607</xdr:rowOff>
    </xdr:from>
    <xdr:to>
      <xdr:col>15</xdr:col>
      <xdr:colOff>1020536</xdr:colOff>
      <xdr:row>49</xdr:row>
      <xdr:rowOff>149679</xdr:rowOff>
    </xdr:to>
    <xdr:cxnSp macro="">
      <xdr:nvCxnSpPr>
        <xdr:cNvPr id="39" name="Connecteur droit avec flèche 38">
          <a:extLst>
            <a:ext uri="{FF2B5EF4-FFF2-40B4-BE49-F238E27FC236}">
              <a16:creationId xmlns:a16="http://schemas.microsoft.com/office/drawing/2014/main" id="{00000000-0008-0000-3500-000027000000}"/>
            </a:ext>
          </a:extLst>
        </xdr:cNvPr>
        <xdr:cNvCxnSpPr/>
      </xdr:nvCxnSpPr>
      <xdr:spPr>
        <a:xfrm flipV="1">
          <a:off x="4419600" y="9900557"/>
          <a:ext cx="1020536" cy="153624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44</xdr:row>
      <xdr:rowOff>13607</xdr:rowOff>
    </xdr:from>
    <xdr:to>
      <xdr:col>16</xdr:col>
      <xdr:colOff>0</xdr:colOff>
      <xdr:row>57</xdr:row>
      <xdr:rowOff>10582</xdr:rowOff>
    </xdr:to>
    <xdr:cxnSp macro="">
      <xdr:nvCxnSpPr>
        <xdr:cNvPr id="40" name="Connecteur droit avec flèche 39">
          <a:extLst>
            <a:ext uri="{FF2B5EF4-FFF2-40B4-BE49-F238E27FC236}">
              <a16:creationId xmlns:a16="http://schemas.microsoft.com/office/drawing/2014/main" id="{00000000-0008-0000-3500-000028000000}"/>
            </a:ext>
          </a:extLst>
        </xdr:cNvPr>
        <xdr:cNvCxnSpPr/>
      </xdr:nvCxnSpPr>
      <xdr:spPr>
        <a:xfrm flipV="1">
          <a:off x="4419600" y="10300607"/>
          <a:ext cx="1047750" cy="259730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36</xdr:row>
      <xdr:rowOff>10583</xdr:rowOff>
    </xdr:from>
    <xdr:to>
      <xdr:col>16</xdr:col>
      <xdr:colOff>16934</xdr:colOff>
      <xdr:row>48</xdr:row>
      <xdr:rowOff>146050</xdr:rowOff>
    </xdr:to>
    <xdr:cxnSp macro="">
      <xdr:nvCxnSpPr>
        <xdr:cNvPr id="64" name="Connecteur droit avec flèche 63">
          <a:extLst>
            <a:ext uri="{FF2B5EF4-FFF2-40B4-BE49-F238E27FC236}">
              <a16:creationId xmlns:a16="http://schemas.microsoft.com/office/drawing/2014/main" id="{00000000-0008-0000-3500-000040000000}"/>
            </a:ext>
          </a:extLst>
        </xdr:cNvPr>
        <xdr:cNvCxnSpPr/>
      </xdr:nvCxnSpPr>
      <xdr:spPr>
        <a:xfrm>
          <a:off x="4436534" y="8697383"/>
          <a:ext cx="1047750" cy="25357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29634</xdr:colOff>
      <xdr:row>43</xdr:row>
      <xdr:rowOff>40216</xdr:rowOff>
    </xdr:from>
    <xdr:to>
      <xdr:col>16</xdr:col>
      <xdr:colOff>25400</xdr:colOff>
      <xdr:row>50</xdr:row>
      <xdr:rowOff>133350</xdr:rowOff>
    </xdr:to>
    <xdr:cxnSp macro="">
      <xdr:nvCxnSpPr>
        <xdr:cNvPr id="65" name="Connecteur droit avec flèche 64">
          <a:extLst>
            <a:ext uri="{FF2B5EF4-FFF2-40B4-BE49-F238E27FC236}">
              <a16:creationId xmlns:a16="http://schemas.microsoft.com/office/drawing/2014/main" id="{00000000-0008-0000-3500-000041000000}"/>
            </a:ext>
          </a:extLst>
        </xdr:cNvPr>
        <xdr:cNvCxnSpPr/>
      </xdr:nvCxnSpPr>
      <xdr:spPr>
        <a:xfrm>
          <a:off x="4449234" y="10127191"/>
          <a:ext cx="1043516" cy="149330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50</xdr:row>
      <xdr:rowOff>27516</xdr:rowOff>
    </xdr:from>
    <xdr:to>
      <xdr:col>16</xdr:col>
      <xdr:colOff>12700</xdr:colOff>
      <xdr:row>55</xdr:row>
      <xdr:rowOff>107950</xdr:rowOff>
    </xdr:to>
    <xdr:cxnSp macro="">
      <xdr:nvCxnSpPr>
        <xdr:cNvPr id="66" name="Connecteur droit avec flèche 65">
          <a:extLst>
            <a:ext uri="{FF2B5EF4-FFF2-40B4-BE49-F238E27FC236}">
              <a16:creationId xmlns:a16="http://schemas.microsoft.com/office/drawing/2014/main" id="{00000000-0008-0000-3500-000042000000}"/>
            </a:ext>
          </a:extLst>
        </xdr:cNvPr>
        <xdr:cNvCxnSpPr/>
      </xdr:nvCxnSpPr>
      <xdr:spPr>
        <a:xfrm>
          <a:off x="4436534" y="11514666"/>
          <a:ext cx="1043516" cy="108055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57</xdr:row>
      <xdr:rowOff>10584</xdr:rowOff>
    </xdr:from>
    <xdr:to>
      <xdr:col>15</xdr:col>
      <xdr:colOff>1044575</xdr:colOff>
      <xdr:row>57</xdr:row>
      <xdr:rowOff>133350</xdr:rowOff>
    </xdr:to>
    <xdr:cxnSp macro="">
      <xdr:nvCxnSpPr>
        <xdr:cNvPr id="67" name="Connecteur droit avec flèche 66">
          <a:extLst>
            <a:ext uri="{FF2B5EF4-FFF2-40B4-BE49-F238E27FC236}">
              <a16:creationId xmlns:a16="http://schemas.microsoft.com/office/drawing/2014/main" id="{00000000-0008-0000-3500-000043000000}"/>
            </a:ext>
          </a:extLst>
        </xdr:cNvPr>
        <xdr:cNvCxnSpPr/>
      </xdr:nvCxnSpPr>
      <xdr:spPr>
        <a:xfrm>
          <a:off x="4436534" y="12897909"/>
          <a:ext cx="1027641" cy="12276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34</xdr:row>
      <xdr:rowOff>120651</xdr:rowOff>
    </xdr:from>
    <xdr:to>
      <xdr:col>22</xdr:col>
      <xdr:colOff>12700</xdr:colOff>
      <xdr:row>36</xdr:row>
      <xdr:rowOff>0</xdr:rowOff>
    </xdr:to>
    <xdr:cxnSp macro="">
      <xdr:nvCxnSpPr>
        <xdr:cNvPr id="68" name="Connecteur droit avec flèche 67">
          <a:extLst>
            <a:ext uri="{FF2B5EF4-FFF2-40B4-BE49-F238E27FC236}">
              <a16:creationId xmlns:a16="http://schemas.microsoft.com/office/drawing/2014/main" id="{00000000-0008-0000-3500-000044000000}"/>
            </a:ext>
          </a:extLst>
        </xdr:cNvPr>
        <xdr:cNvCxnSpPr/>
      </xdr:nvCxnSpPr>
      <xdr:spPr>
        <a:xfrm flipV="1">
          <a:off x="9937297" y="84074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36</xdr:row>
      <xdr:rowOff>120650</xdr:rowOff>
    </xdr:from>
    <xdr:to>
      <xdr:col>22</xdr:col>
      <xdr:colOff>12700</xdr:colOff>
      <xdr:row>43</xdr:row>
      <xdr:rowOff>2116</xdr:rowOff>
    </xdr:to>
    <xdr:cxnSp macro="">
      <xdr:nvCxnSpPr>
        <xdr:cNvPr id="69" name="Connecteur droit avec flèche 68">
          <a:extLst>
            <a:ext uri="{FF2B5EF4-FFF2-40B4-BE49-F238E27FC236}">
              <a16:creationId xmlns:a16="http://schemas.microsoft.com/office/drawing/2014/main" id="{00000000-0008-0000-3500-000045000000}"/>
            </a:ext>
          </a:extLst>
        </xdr:cNvPr>
        <xdr:cNvCxnSpPr/>
      </xdr:nvCxnSpPr>
      <xdr:spPr>
        <a:xfrm flipV="1">
          <a:off x="9913408" y="88074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36</xdr:row>
      <xdr:rowOff>13607</xdr:rowOff>
    </xdr:from>
    <xdr:to>
      <xdr:col>21</xdr:col>
      <xdr:colOff>1060450</xdr:colOff>
      <xdr:row>41</xdr:row>
      <xdr:rowOff>103724</xdr:rowOff>
    </xdr:to>
    <xdr:cxnSp macro="">
      <xdr:nvCxnSpPr>
        <xdr:cNvPr id="70" name="Connecteur droit avec flèche 69">
          <a:extLst>
            <a:ext uri="{FF2B5EF4-FFF2-40B4-BE49-F238E27FC236}">
              <a16:creationId xmlns:a16="http://schemas.microsoft.com/office/drawing/2014/main" id="{00000000-0008-0000-3500-000046000000}"/>
            </a:ext>
          </a:extLst>
        </xdr:cNvPr>
        <xdr:cNvCxnSpPr/>
      </xdr:nvCxnSpPr>
      <xdr:spPr>
        <a:xfrm>
          <a:off x="9910083" y="87004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43</xdr:row>
      <xdr:rowOff>2123</xdr:rowOff>
    </xdr:from>
    <xdr:to>
      <xdr:col>21</xdr:col>
      <xdr:colOff>1059392</xdr:colOff>
      <xdr:row>43</xdr:row>
      <xdr:rowOff>120656</xdr:rowOff>
    </xdr:to>
    <xdr:cxnSp macro="">
      <xdr:nvCxnSpPr>
        <xdr:cNvPr id="71" name="Connecteur droit avec flèche 70">
          <a:extLst>
            <a:ext uri="{FF2B5EF4-FFF2-40B4-BE49-F238E27FC236}">
              <a16:creationId xmlns:a16="http://schemas.microsoft.com/office/drawing/2014/main" id="{00000000-0008-0000-3500-000047000000}"/>
            </a:ext>
          </a:extLst>
        </xdr:cNvPr>
        <xdr:cNvCxnSpPr/>
      </xdr:nvCxnSpPr>
      <xdr:spPr>
        <a:xfrm>
          <a:off x="9896475" y="100890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33867</xdr:colOff>
      <xdr:row>48</xdr:row>
      <xdr:rowOff>120650</xdr:rowOff>
    </xdr:from>
    <xdr:to>
      <xdr:col>22</xdr:col>
      <xdr:colOff>12700</xdr:colOff>
      <xdr:row>48</xdr:row>
      <xdr:rowOff>188383</xdr:rowOff>
    </xdr:to>
    <xdr:cxnSp macro="">
      <xdr:nvCxnSpPr>
        <xdr:cNvPr id="72" name="Connecteur droit avec flèche 71">
          <a:extLst>
            <a:ext uri="{FF2B5EF4-FFF2-40B4-BE49-F238E27FC236}">
              <a16:creationId xmlns:a16="http://schemas.microsoft.com/office/drawing/2014/main" id="{00000000-0008-0000-3500-000048000000}"/>
            </a:ext>
          </a:extLst>
        </xdr:cNvPr>
        <xdr:cNvCxnSpPr/>
      </xdr:nvCxnSpPr>
      <xdr:spPr>
        <a:xfrm flipV="1">
          <a:off x="9930342" y="11207750"/>
          <a:ext cx="1036108" cy="67733"/>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50</xdr:row>
      <xdr:rowOff>120650</xdr:rowOff>
    </xdr:from>
    <xdr:to>
      <xdr:col>22</xdr:col>
      <xdr:colOff>12700</xdr:colOff>
      <xdr:row>57</xdr:row>
      <xdr:rowOff>2116</xdr:rowOff>
    </xdr:to>
    <xdr:cxnSp macro="">
      <xdr:nvCxnSpPr>
        <xdr:cNvPr id="73" name="Connecteur droit avec flèche 72">
          <a:extLst>
            <a:ext uri="{FF2B5EF4-FFF2-40B4-BE49-F238E27FC236}">
              <a16:creationId xmlns:a16="http://schemas.microsoft.com/office/drawing/2014/main" id="{00000000-0008-0000-3500-000049000000}"/>
            </a:ext>
          </a:extLst>
        </xdr:cNvPr>
        <xdr:cNvCxnSpPr/>
      </xdr:nvCxnSpPr>
      <xdr:spPr>
        <a:xfrm flipV="1">
          <a:off x="9913408" y="11607800"/>
          <a:ext cx="1053042" cy="1281641"/>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48</xdr:row>
      <xdr:rowOff>188390</xdr:rowOff>
    </xdr:from>
    <xdr:to>
      <xdr:col>21</xdr:col>
      <xdr:colOff>1060450</xdr:colOff>
      <xdr:row>55</xdr:row>
      <xdr:rowOff>103724</xdr:rowOff>
    </xdr:to>
    <xdr:cxnSp macro="">
      <xdr:nvCxnSpPr>
        <xdr:cNvPr id="74" name="Connecteur droit avec flèche 73">
          <a:extLst>
            <a:ext uri="{FF2B5EF4-FFF2-40B4-BE49-F238E27FC236}">
              <a16:creationId xmlns:a16="http://schemas.microsoft.com/office/drawing/2014/main" id="{00000000-0008-0000-3500-00004A000000}"/>
            </a:ext>
          </a:extLst>
        </xdr:cNvPr>
        <xdr:cNvCxnSpPr/>
      </xdr:nvCxnSpPr>
      <xdr:spPr>
        <a:xfrm>
          <a:off x="9896475" y="11275490"/>
          <a:ext cx="1060450" cy="1315509"/>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57</xdr:row>
      <xdr:rowOff>2123</xdr:rowOff>
    </xdr:from>
    <xdr:to>
      <xdr:col>21</xdr:col>
      <xdr:colOff>1059392</xdr:colOff>
      <xdr:row>57</xdr:row>
      <xdr:rowOff>120656</xdr:rowOff>
    </xdr:to>
    <xdr:cxnSp macro="">
      <xdr:nvCxnSpPr>
        <xdr:cNvPr id="75" name="Connecteur droit avec flèche 74">
          <a:extLst>
            <a:ext uri="{FF2B5EF4-FFF2-40B4-BE49-F238E27FC236}">
              <a16:creationId xmlns:a16="http://schemas.microsoft.com/office/drawing/2014/main" id="{00000000-0008-0000-3500-00004B000000}"/>
            </a:ext>
          </a:extLst>
        </xdr:cNvPr>
        <xdr:cNvCxnSpPr/>
      </xdr:nvCxnSpPr>
      <xdr:spPr>
        <a:xfrm>
          <a:off x="9896475" y="12889448"/>
          <a:ext cx="1059392" cy="118533"/>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95250</xdr:colOff>
      <xdr:row>62</xdr:row>
      <xdr:rowOff>176893</xdr:rowOff>
    </xdr:from>
    <xdr:to>
      <xdr:col>15</xdr:col>
      <xdr:colOff>984250</xdr:colOff>
      <xdr:row>62</xdr:row>
      <xdr:rowOff>196885</xdr:rowOff>
    </xdr:to>
    <xdr:cxnSp macro="">
      <xdr:nvCxnSpPr>
        <xdr:cNvPr id="76" name="Connecteur droit avec flèche 75">
          <a:extLst>
            <a:ext uri="{FF2B5EF4-FFF2-40B4-BE49-F238E27FC236}">
              <a16:creationId xmlns:a16="http://schemas.microsoft.com/office/drawing/2014/main" id="{00000000-0008-0000-3500-00004C000000}"/>
            </a:ext>
          </a:extLst>
        </xdr:cNvPr>
        <xdr:cNvCxnSpPr/>
      </xdr:nvCxnSpPr>
      <xdr:spPr>
        <a:xfrm>
          <a:off x="4562475" y="8463643"/>
          <a:ext cx="889000" cy="19992"/>
        </a:xfrm>
        <a:prstGeom prst="straightConnector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21</xdr:col>
      <xdr:colOff>57150</xdr:colOff>
      <xdr:row>63</xdr:row>
      <xdr:rowOff>2721</xdr:rowOff>
    </xdr:from>
    <xdr:to>
      <xdr:col>21</xdr:col>
      <xdr:colOff>946150</xdr:colOff>
      <xdr:row>63</xdr:row>
      <xdr:rowOff>22713</xdr:rowOff>
    </xdr:to>
    <xdr:cxnSp macro="">
      <xdr:nvCxnSpPr>
        <xdr:cNvPr id="77" name="Connecteur droit avec flèche 76">
          <a:extLst>
            <a:ext uri="{FF2B5EF4-FFF2-40B4-BE49-F238E27FC236}">
              <a16:creationId xmlns:a16="http://schemas.microsoft.com/office/drawing/2014/main" id="{00000000-0008-0000-3500-00004D000000}"/>
            </a:ext>
          </a:extLst>
        </xdr:cNvPr>
        <xdr:cNvCxnSpPr/>
      </xdr:nvCxnSpPr>
      <xdr:spPr>
        <a:xfrm>
          <a:off x="10134600" y="8489496"/>
          <a:ext cx="889000" cy="19992"/>
        </a:xfrm>
        <a:prstGeom prst="straightConnector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12</xdr:col>
      <xdr:colOff>2286000</xdr:colOff>
      <xdr:row>62</xdr:row>
      <xdr:rowOff>68036</xdr:rowOff>
    </xdr:from>
    <xdr:to>
      <xdr:col>13</xdr:col>
      <xdr:colOff>504741</xdr:colOff>
      <xdr:row>63</xdr:row>
      <xdr:rowOff>134176</xdr:rowOff>
    </xdr:to>
    <xdr:sp macro="" textlink="">
      <xdr:nvSpPr>
        <xdr:cNvPr id="78" name="Rectangle à coins arrondis 25">
          <a:extLst>
            <a:ext uri="{FF2B5EF4-FFF2-40B4-BE49-F238E27FC236}">
              <a16:creationId xmlns:a16="http://schemas.microsoft.com/office/drawing/2014/main" id="{00000000-0008-0000-3500-00004E000000}"/>
            </a:ext>
          </a:extLst>
        </xdr:cNvPr>
        <xdr:cNvSpPr/>
      </xdr:nvSpPr>
      <xdr:spPr bwMode="auto">
        <a:xfrm>
          <a:off x="3228975" y="8354786"/>
          <a:ext cx="704766" cy="266165"/>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33</xdr:col>
      <xdr:colOff>367393</xdr:colOff>
      <xdr:row>31</xdr:row>
      <xdr:rowOff>73480</xdr:rowOff>
    </xdr:from>
    <xdr:to>
      <xdr:col>33</xdr:col>
      <xdr:colOff>2272393</xdr:colOff>
      <xdr:row>35</xdr:row>
      <xdr:rowOff>5445</xdr:rowOff>
    </xdr:to>
    <xdr:sp macro="[0]!JMK_Trans_FDUEL1" textlink="">
      <xdr:nvSpPr>
        <xdr:cNvPr id="39" name="Rectangle à coins arrondis 38">
          <a:extLst>
            <a:ext uri="{FF2B5EF4-FFF2-40B4-BE49-F238E27FC236}">
              <a16:creationId xmlns:a16="http://schemas.microsoft.com/office/drawing/2014/main" id="{00000000-0008-0000-3600-000027000000}"/>
            </a:ext>
          </a:extLst>
        </xdr:cNvPr>
        <xdr:cNvSpPr/>
      </xdr:nvSpPr>
      <xdr:spPr bwMode="auto">
        <a:xfrm>
          <a:off x="22474918" y="7760155"/>
          <a:ext cx="1905000" cy="7320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1</a:t>
          </a:r>
          <a:r>
            <a:rPr lang="fr-FR" sz="1600"/>
            <a:t> </a:t>
          </a:r>
        </a:p>
      </xdr:txBody>
    </xdr:sp>
    <xdr:clientData fPrintsWithSheet="0"/>
  </xdr:twoCellAnchor>
  <xdr:twoCellAnchor>
    <xdr:from>
      <xdr:col>34</xdr:col>
      <xdr:colOff>261257</xdr:colOff>
      <xdr:row>31</xdr:row>
      <xdr:rowOff>73480</xdr:rowOff>
    </xdr:from>
    <xdr:to>
      <xdr:col>34</xdr:col>
      <xdr:colOff>2166257</xdr:colOff>
      <xdr:row>35</xdr:row>
      <xdr:rowOff>5445</xdr:rowOff>
    </xdr:to>
    <xdr:sp macro="[0]!JMK_Trans_FDUEL2" textlink="">
      <xdr:nvSpPr>
        <xdr:cNvPr id="40" name="Rectangle à coins arrondis 39">
          <a:extLst>
            <a:ext uri="{FF2B5EF4-FFF2-40B4-BE49-F238E27FC236}">
              <a16:creationId xmlns:a16="http://schemas.microsoft.com/office/drawing/2014/main" id="{00000000-0008-0000-3600-000028000000}"/>
            </a:ext>
          </a:extLst>
        </xdr:cNvPr>
        <xdr:cNvSpPr/>
      </xdr:nvSpPr>
      <xdr:spPr bwMode="auto">
        <a:xfrm>
          <a:off x="24826232" y="7760155"/>
          <a:ext cx="1905000" cy="7320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2</a:t>
          </a:r>
          <a:r>
            <a:rPr lang="fr-FR" sz="1600"/>
            <a:t> </a:t>
          </a:r>
        </a:p>
      </xdr:txBody>
    </xdr:sp>
    <xdr:clientData fPrintsWithSheet="0"/>
  </xdr:twoCellAnchor>
  <xdr:twoCellAnchor>
    <xdr:from>
      <xdr:col>35</xdr:col>
      <xdr:colOff>155122</xdr:colOff>
      <xdr:row>31</xdr:row>
      <xdr:rowOff>73480</xdr:rowOff>
    </xdr:from>
    <xdr:to>
      <xdr:col>35</xdr:col>
      <xdr:colOff>2060122</xdr:colOff>
      <xdr:row>35</xdr:row>
      <xdr:rowOff>5445</xdr:rowOff>
    </xdr:to>
    <xdr:sp macro="[0]!JMK_Trans_FDUEL3" textlink="">
      <xdr:nvSpPr>
        <xdr:cNvPr id="41" name="Rectangle à coins arrondis 40">
          <a:extLst>
            <a:ext uri="{FF2B5EF4-FFF2-40B4-BE49-F238E27FC236}">
              <a16:creationId xmlns:a16="http://schemas.microsoft.com/office/drawing/2014/main" id="{00000000-0008-0000-3600-000029000000}"/>
            </a:ext>
          </a:extLst>
        </xdr:cNvPr>
        <xdr:cNvSpPr/>
      </xdr:nvSpPr>
      <xdr:spPr bwMode="auto">
        <a:xfrm>
          <a:off x="27177547" y="7760155"/>
          <a:ext cx="1905000" cy="7320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3</a:t>
          </a:r>
          <a:r>
            <a:rPr lang="fr-FR" sz="1600"/>
            <a:t> </a:t>
          </a:r>
        </a:p>
      </xdr:txBody>
    </xdr:sp>
    <xdr:clientData fPrintsWithSheet="0"/>
  </xdr:twoCellAnchor>
  <xdr:twoCellAnchor>
    <xdr:from>
      <xdr:col>34</xdr:col>
      <xdr:colOff>1698624</xdr:colOff>
      <xdr:row>38</xdr:row>
      <xdr:rowOff>15875</xdr:rowOff>
    </xdr:from>
    <xdr:to>
      <xdr:col>35</xdr:col>
      <xdr:colOff>1142999</xdr:colOff>
      <xdr:row>44</xdr:row>
      <xdr:rowOff>47625</xdr:rowOff>
    </xdr:to>
    <xdr:sp macro="[0]!JMK_ZI_Résultat_Final" textlink="">
      <xdr:nvSpPr>
        <xdr:cNvPr id="45" name="Rectangle à coins arrondis 44">
          <a:extLst>
            <a:ext uri="{FF2B5EF4-FFF2-40B4-BE49-F238E27FC236}">
              <a16:creationId xmlns:a16="http://schemas.microsoft.com/office/drawing/2014/main" id="{00000000-0008-0000-3600-00002D000000}"/>
            </a:ext>
          </a:extLst>
        </xdr:cNvPr>
        <xdr:cNvSpPr/>
      </xdr:nvSpPr>
      <xdr:spPr bwMode="auto">
        <a:xfrm>
          <a:off x="26304874" y="9318625"/>
          <a:ext cx="1905000" cy="1270000"/>
        </a:xfrm>
        <a:prstGeom prst="roundRect">
          <a:avLst/>
        </a:prstGeom>
        <a:solidFill>
          <a:srgbClr val="00FF99"/>
        </a:solidFill>
        <a:ln w="9525" cap="flat" cmpd="sng" algn="ctr">
          <a:solidFill>
            <a:srgbClr val="400000"/>
          </a:solidFill>
          <a:prstDash val="solid"/>
          <a:round/>
          <a:headEnd type="none" w="med" len="med"/>
          <a:tailEnd type="none" w="med" len="med"/>
        </a:ln>
        <a:effectLst/>
      </xdr:spPr>
      <xdr:txBody>
        <a:bodyPr rot="0" spcFirstLastPara="0" vertOverflow="clip" horzOverflow="clip" vert="horz" wrap="square" lIns="18288" tIns="0" rIns="0" bIns="0" numCol="1" spcCol="0" rtlCol="0" fromWordArt="0" anchor="ctr" anchorCtr="0" forceAA="0" upright="1" compatLnSpc="1">
          <a:prstTxWarp prst="textNoShape">
            <a:avLst/>
          </a:prstTxWarp>
          <a:noAutofit/>
        </a:bodyPr>
        <a:lstStyle/>
        <a:p>
          <a:pPr algn="ctr"/>
          <a:r>
            <a:rPr lang="fr-FR" sz="2000"/>
            <a:t>Impression</a:t>
          </a:r>
          <a:r>
            <a:rPr lang="fr-FR" sz="2000" baseline="0"/>
            <a:t> du CLASSEMENT FINAL</a:t>
          </a:r>
          <a:endParaRPr lang="fr-FR" sz="2000"/>
        </a:p>
      </xdr:txBody>
    </xdr:sp>
    <xdr:clientData fPrintsWithSheet="0"/>
  </xdr:twoCellAnchor>
  <xdr:twoCellAnchor>
    <xdr:from>
      <xdr:col>24</xdr:col>
      <xdr:colOff>968375</xdr:colOff>
      <xdr:row>0</xdr:row>
      <xdr:rowOff>333375</xdr:rowOff>
    </xdr:from>
    <xdr:to>
      <xdr:col>25</xdr:col>
      <xdr:colOff>47625</xdr:colOff>
      <xdr:row>1</xdr:row>
      <xdr:rowOff>428625</xdr:rowOff>
    </xdr:to>
    <xdr:sp macro="[0]!jmk_RETOUR_MENU" textlink="">
      <xdr:nvSpPr>
        <xdr:cNvPr id="46" name="Rectangle à coins arrondis 45">
          <a:extLst>
            <a:ext uri="{FF2B5EF4-FFF2-40B4-BE49-F238E27FC236}">
              <a16:creationId xmlns:a16="http://schemas.microsoft.com/office/drawing/2014/main" id="{00000000-0008-0000-3600-00002E000000}"/>
            </a:ext>
          </a:extLst>
        </xdr:cNvPr>
        <xdr:cNvSpPr/>
      </xdr:nvSpPr>
      <xdr:spPr bwMode="auto">
        <a:xfrm>
          <a:off x="17780000" y="333375"/>
          <a:ext cx="1524000" cy="79375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Retour aux MENUS</a:t>
          </a:r>
        </a:p>
      </xdr:txBody>
    </xdr:sp>
    <xdr:clientData fPrintsWithSheet="0"/>
  </xdr:twoCellAnchor>
  <xdr:twoCellAnchor editAs="oneCell">
    <xdr:from>
      <xdr:col>10</xdr:col>
      <xdr:colOff>190500</xdr:colOff>
      <xdr:row>0</xdr:row>
      <xdr:rowOff>142875</xdr:rowOff>
    </xdr:from>
    <xdr:to>
      <xdr:col>12</xdr:col>
      <xdr:colOff>1158874</xdr:colOff>
      <xdr:row>1</xdr:row>
      <xdr:rowOff>574675</xdr:rowOff>
    </xdr:to>
    <xdr:pic>
      <xdr:nvPicPr>
        <xdr:cNvPr id="47" name="Image 46">
          <a:extLst>
            <a:ext uri="{FF2B5EF4-FFF2-40B4-BE49-F238E27FC236}">
              <a16:creationId xmlns:a16="http://schemas.microsoft.com/office/drawing/2014/main" id="{00000000-0008-0000-3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75250" y="142875"/>
          <a:ext cx="1905000" cy="1130300"/>
        </a:xfrm>
        <a:prstGeom prst="rect">
          <a:avLst/>
        </a:prstGeom>
      </xdr:spPr>
    </xdr:pic>
    <xdr:clientData/>
  </xdr:twoCellAnchor>
  <xdr:twoCellAnchor editAs="oneCell">
    <xdr:from>
      <xdr:col>35</xdr:col>
      <xdr:colOff>1428750</xdr:colOff>
      <xdr:row>2</xdr:row>
      <xdr:rowOff>412750</xdr:rowOff>
    </xdr:from>
    <xdr:to>
      <xdr:col>35</xdr:col>
      <xdr:colOff>2365375</xdr:colOff>
      <xdr:row>4</xdr:row>
      <xdr:rowOff>160417</xdr:rowOff>
    </xdr:to>
    <xdr:pic>
      <xdr:nvPicPr>
        <xdr:cNvPr id="48" name="Image 47">
          <a:extLst>
            <a:ext uri="{FF2B5EF4-FFF2-40B4-BE49-F238E27FC236}">
              <a16:creationId xmlns:a16="http://schemas.microsoft.com/office/drawing/2014/main" id="{00000000-0008-0000-3600-00003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495625" y="1889125"/>
          <a:ext cx="936625" cy="557292"/>
        </a:xfrm>
        <a:prstGeom prst="rect">
          <a:avLst/>
        </a:prstGeom>
      </xdr:spPr>
    </xdr:pic>
    <xdr:clientData/>
  </xdr:twoCellAnchor>
  <xdr:twoCellAnchor>
    <xdr:from>
      <xdr:col>33</xdr:col>
      <xdr:colOff>666750</xdr:colOff>
      <xdr:row>36</xdr:row>
      <xdr:rowOff>0</xdr:rowOff>
    </xdr:from>
    <xdr:to>
      <xdr:col>33</xdr:col>
      <xdr:colOff>1984943</xdr:colOff>
      <xdr:row>40</xdr:row>
      <xdr:rowOff>61232</xdr:rowOff>
    </xdr:to>
    <xdr:sp macro="[0]!Imp_DUEL_Tableau" textlink="">
      <xdr:nvSpPr>
        <xdr:cNvPr id="49" name="Rectangle à coins arrondis 48">
          <a:extLst>
            <a:ext uri="{FF2B5EF4-FFF2-40B4-BE49-F238E27FC236}">
              <a16:creationId xmlns:a16="http://schemas.microsoft.com/office/drawing/2014/main" id="{00000000-0008-0000-3600-000031000000}"/>
            </a:ext>
          </a:extLst>
        </xdr:cNvPr>
        <xdr:cNvSpPr/>
      </xdr:nvSpPr>
      <xdr:spPr bwMode="auto">
        <a:xfrm>
          <a:off x="25431750" y="8382000"/>
          <a:ext cx="1318193" cy="823232"/>
        </a:xfrm>
        <a:prstGeom prst="roundRect">
          <a:avLst/>
        </a:prstGeom>
        <a:solidFill>
          <a:srgbClr val="E923EE"/>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 TABLEAU des</a:t>
          </a:r>
          <a:r>
            <a:rPr lang="fr-FR" sz="1600" baseline="0"/>
            <a:t> DUELS</a:t>
          </a:r>
          <a:endParaRPr lang="fr-FR" sz="1600"/>
        </a:p>
      </xdr:txBody>
    </xdr:sp>
    <xdr:clientData/>
  </xdr:twoCellAnchor>
  <xdr:twoCellAnchor>
    <xdr:from>
      <xdr:col>15</xdr:col>
      <xdr:colOff>40822</xdr:colOff>
      <xdr:row>6</xdr:row>
      <xdr:rowOff>95250</xdr:rowOff>
    </xdr:from>
    <xdr:to>
      <xdr:col>16</xdr:col>
      <xdr:colOff>0</xdr:colOff>
      <xdr:row>7</xdr:row>
      <xdr:rowOff>176893</xdr:rowOff>
    </xdr:to>
    <xdr:cxnSp macro="">
      <xdr:nvCxnSpPr>
        <xdr:cNvPr id="5" name="Connecteur droit avec flèche 4">
          <a:extLst>
            <a:ext uri="{FF2B5EF4-FFF2-40B4-BE49-F238E27FC236}">
              <a16:creationId xmlns:a16="http://schemas.microsoft.com/office/drawing/2014/main" id="{00000000-0008-0000-3600-000005000000}"/>
            </a:ext>
          </a:extLst>
        </xdr:cNvPr>
        <xdr:cNvCxnSpPr/>
      </xdr:nvCxnSpPr>
      <xdr:spPr>
        <a:xfrm flipV="1">
          <a:off x="4460422" y="2781300"/>
          <a:ext cx="1006928" cy="28166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8</xdr:row>
      <xdr:rowOff>120650</xdr:rowOff>
    </xdr:from>
    <xdr:to>
      <xdr:col>15</xdr:col>
      <xdr:colOff>1044575</xdr:colOff>
      <xdr:row>14</xdr:row>
      <xdr:rowOff>149678</xdr:rowOff>
    </xdr:to>
    <xdr:cxnSp macro="">
      <xdr:nvCxnSpPr>
        <xdr:cNvPr id="6" name="Connecteur droit avec flèche 5">
          <a:extLst>
            <a:ext uri="{FF2B5EF4-FFF2-40B4-BE49-F238E27FC236}">
              <a16:creationId xmlns:a16="http://schemas.microsoft.com/office/drawing/2014/main" id="{00000000-0008-0000-3600-000006000000}"/>
            </a:ext>
          </a:extLst>
        </xdr:cNvPr>
        <xdr:cNvCxnSpPr/>
      </xdr:nvCxnSpPr>
      <xdr:spPr>
        <a:xfrm flipV="1">
          <a:off x="4419600" y="3206750"/>
          <a:ext cx="1044575" cy="122917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14</xdr:row>
      <xdr:rowOff>13607</xdr:rowOff>
    </xdr:from>
    <xdr:to>
      <xdr:col>15</xdr:col>
      <xdr:colOff>1020536</xdr:colOff>
      <xdr:row>21</xdr:row>
      <xdr:rowOff>149679</xdr:rowOff>
    </xdr:to>
    <xdr:cxnSp macro="">
      <xdr:nvCxnSpPr>
        <xdr:cNvPr id="7" name="Connecteur droit avec flèche 6">
          <a:extLst>
            <a:ext uri="{FF2B5EF4-FFF2-40B4-BE49-F238E27FC236}">
              <a16:creationId xmlns:a16="http://schemas.microsoft.com/office/drawing/2014/main" id="{00000000-0008-0000-3600-000007000000}"/>
            </a:ext>
          </a:extLst>
        </xdr:cNvPr>
        <xdr:cNvCxnSpPr/>
      </xdr:nvCxnSpPr>
      <xdr:spPr>
        <a:xfrm flipV="1">
          <a:off x="4419600" y="4299857"/>
          <a:ext cx="1020536" cy="153624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16</xdr:row>
      <xdr:rowOff>13607</xdr:rowOff>
    </xdr:from>
    <xdr:to>
      <xdr:col>16</xdr:col>
      <xdr:colOff>0</xdr:colOff>
      <xdr:row>29</xdr:row>
      <xdr:rowOff>10582</xdr:rowOff>
    </xdr:to>
    <xdr:cxnSp macro="">
      <xdr:nvCxnSpPr>
        <xdr:cNvPr id="8" name="Connecteur droit avec flèche 7">
          <a:extLst>
            <a:ext uri="{FF2B5EF4-FFF2-40B4-BE49-F238E27FC236}">
              <a16:creationId xmlns:a16="http://schemas.microsoft.com/office/drawing/2014/main" id="{00000000-0008-0000-3600-000008000000}"/>
            </a:ext>
          </a:extLst>
        </xdr:cNvPr>
        <xdr:cNvCxnSpPr/>
      </xdr:nvCxnSpPr>
      <xdr:spPr>
        <a:xfrm flipV="1">
          <a:off x="4419600" y="4699907"/>
          <a:ext cx="1047750" cy="259730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8</xdr:row>
      <xdr:rowOff>10583</xdr:rowOff>
    </xdr:from>
    <xdr:to>
      <xdr:col>16</xdr:col>
      <xdr:colOff>16934</xdr:colOff>
      <xdr:row>20</xdr:row>
      <xdr:rowOff>146050</xdr:rowOff>
    </xdr:to>
    <xdr:cxnSp macro="">
      <xdr:nvCxnSpPr>
        <xdr:cNvPr id="9" name="Connecteur droit avec flèche 8">
          <a:extLst>
            <a:ext uri="{FF2B5EF4-FFF2-40B4-BE49-F238E27FC236}">
              <a16:creationId xmlns:a16="http://schemas.microsoft.com/office/drawing/2014/main" id="{00000000-0008-0000-3600-000009000000}"/>
            </a:ext>
          </a:extLst>
        </xdr:cNvPr>
        <xdr:cNvCxnSpPr/>
      </xdr:nvCxnSpPr>
      <xdr:spPr>
        <a:xfrm>
          <a:off x="4436534" y="3096683"/>
          <a:ext cx="1047750" cy="25357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29634</xdr:colOff>
      <xdr:row>15</xdr:row>
      <xdr:rowOff>40216</xdr:rowOff>
    </xdr:from>
    <xdr:to>
      <xdr:col>16</xdr:col>
      <xdr:colOff>25400</xdr:colOff>
      <xdr:row>22</xdr:row>
      <xdr:rowOff>133350</xdr:rowOff>
    </xdr:to>
    <xdr:cxnSp macro="">
      <xdr:nvCxnSpPr>
        <xdr:cNvPr id="10" name="Connecteur droit avec flèche 9">
          <a:extLst>
            <a:ext uri="{FF2B5EF4-FFF2-40B4-BE49-F238E27FC236}">
              <a16:creationId xmlns:a16="http://schemas.microsoft.com/office/drawing/2014/main" id="{00000000-0008-0000-3600-00000A000000}"/>
            </a:ext>
          </a:extLst>
        </xdr:cNvPr>
        <xdr:cNvCxnSpPr/>
      </xdr:nvCxnSpPr>
      <xdr:spPr>
        <a:xfrm>
          <a:off x="4449234" y="4526491"/>
          <a:ext cx="1043516" cy="149330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22</xdr:row>
      <xdr:rowOff>27516</xdr:rowOff>
    </xdr:from>
    <xdr:to>
      <xdr:col>16</xdr:col>
      <xdr:colOff>12700</xdr:colOff>
      <xdr:row>27</xdr:row>
      <xdr:rowOff>107950</xdr:rowOff>
    </xdr:to>
    <xdr:cxnSp macro="">
      <xdr:nvCxnSpPr>
        <xdr:cNvPr id="11" name="Connecteur droit avec flèche 10">
          <a:extLst>
            <a:ext uri="{FF2B5EF4-FFF2-40B4-BE49-F238E27FC236}">
              <a16:creationId xmlns:a16="http://schemas.microsoft.com/office/drawing/2014/main" id="{00000000-0008-0000-3600-00000B000000}"/>
            </a:ext>
          </a:extLst>
        </xdr:cNvPr>
        <xdr:cNvCxnSpPr/>
      </xdr:nvCxnSpPr>
      <xdr:spPr>
        <a:xfrm>
          <a:off x="4436534" y="5913966"/>
          <a:ext cx="1043516" cy="108055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29</xdr:row>
      <xdr:rowOff>10584</xdr:rowOff>
    </xdr:from>
    <xdr:to>
      <xdr:col>15</xdr:col>
      <xdr:colOff>1044575</xdr:colOff>
      <xdr:row>29</xdr:row>
      <xdr:rowOff>133350</xdr:rowOff>
    </xdr:to>
    <xdr:cxnSp macro="">
      <xdr:nvCxnSpPr>
        <xdr:cNvPr id="12" name="Connecteur droit avec flèche 11">
          <a:extLst>
            <a:ext uri="{FF2B5EF4-FFF2-40B4-BE49-F238E27FC236}">
              <a16:creationId xmlns:a16="http://schemas.microsoft.com/office/drawing/2014/main" id="{00000000-0008-0000-3600-00000C000000}"/>
            </a:ext>
          </a:extLst>
        </xdr:cNvPr>
        <xdr:cNvCxnSpPr/>
      </xdr:nvCxnSpPr>
      <xdr:spPr>
        <a:xfrm>
          <a:off x="4436534" y="7297209"/>
          <a:ext cx="1027641" cy="12276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6</xdr:row>
      <xdr:rowOff>120651</xdr:rowOff>
    </xdr:from>
    <xdr:to>
      <xdr:col>22</xdr:col>
      <xdr:colOff>12700</xdr:colOff>
      <xdr:row>8</xdr:row>
      <xdr:rowOff>0</xdr:rowOff>
    </xdr:to>
    <xdr:cxnSp macro="">
      <xdr:nvCxnSpPr>
        <xdr:cNvPr id="18" name="Connecteur droit avec flèche 17">
          <a:extLst>
            <a:ext uri="{FF2B5EF4-FFF2-40B4-BE49-F238E27FC236}">
              <a16:creationId xmlns:a16="http://schemas.microsoft.com/office/drawing/2014/main" id="{00000000-0008-0000-3600-000012000000}"/>
            </a:ext>
          </a:extLst>
        </xdr:cNvPr>
        <xdr:cNvCxnSpPr/>
      </xdr:nvCxnSpPr>
      <xdr:spPr>
        <a:xfrm flipV="1">
          <a:off x="9937297" y="28067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8</xdr:row>
      <xdr:rowOff>120650</xdr:rowOff>
    </xdr:from>
    <xdr:to>
      <xdr:col>22</xdr:col>
      <xdr:colOff>12700</xdr:colOff>
      <xdr:row>15</xdr:row>
      <xdr:rowOff>2116</xdr:rowOff>
    </xdr:to>
    <xdr:cxnSp macro="">
      <xdr:nvCxnSpPr>
        <xdr:cNvPr id="19" name="Connecteur droit avec flèche 18">
          <a:extLst>
            <a:ext uri="{FF2B5EF4-FFF2-40B4-BE49-F238E27FC236}">
              <a16:creationId xmlns:a16="http://schemas.microsoft.com/office/drawing/2014/main" id="{00000000-0008-0000-3600-000013000000}"/>
            </a:ext>
          </a:extLst>
        </xdr:cNvPr>
        <xdr:cNvCxnSpPr/>
      </xdr:nvCxnSpPr>
      <xdr:spPr>
        <a:xfrm flipV="1">
          <a:off x="9913408" y="32067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8</xdr:row>
      <xdr:rowOff>13607</xdr:rowOff>
    </xdr:from>
    <xdr:to>
      <xdr:col>21</xdr:col>
      <xdr:colOff>1060450</xdr:colOff>
      <xdr:row>13</xdr:row>
      <xdr:rowOff>103724</xdr:rowOff>
    </xdr:to>
    <xdr:cxnSp macro="">
      <xdr:nvCxnSpPr>
        <xdr:cNvPr id="20" name="Connecteur droit avec flèche 19">
          <a:extLst>
            <a:ext uri="{FF2B5EF4-FFF2-40B4-BE49-F238E27FC236}">
              <a16:creationId xmlns:a16="http://schemas.microsoft.com/office/drawing/2014/main" id="{00000000-0008-0000-3600-000014000000}"/>
            </a:ext>
          </a:extLst>
        </xdr:cNvPr>
        <xdr:cNvCxnSpPr/>
      </xdr:nvCxnSpPr>
      <xdr:spPr>
        <a:xfrm>
          <a:off x="9910083" y="30997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15</xdr:row>
      <xdr:rowOff>2123</xdr:rowOff>
    </xdr:from>
    <xdr:to>
      <xdr:col>21</xdr:col>
      <xdr:colOff>1059392</xdr:colOff>
      <xdr:row>15</xdr:row>
      <xdr:rowOff>120656</xdr:rowOff>
    </xdr:to>
    <xdr:cxnSp macro="">
      <xdr:nvCxnSpPr>
        <xdr:cNvPr id="21" name="Connecteur droit avec flèche 20">
          <a:extLst>
            <a:ext uri="{FF2B5EF4-FFF2-40B4-BE49-F238E27FC236}">
              <a16:creationId xmlns:a16="http://schemas.microsoft.com/office/drawing/2014/main" id="{00000000-0008-0000-3600-000015000000}"/>
            </a:ext>
          </a:extLst>
        </xdr:cNvPr>
        <xdr:cNvCxnSpPr/>
      </xdr:nvCxnSpPr>
      <xdr:spPr>
        <a:xfrm>
          <a:off x="9896475" y="44883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33867</xdr:colOff>
      <xdr:row>20</xdr:row>
      <xdr:rowOff>120650</xdr:rowOff>
    </xdr:from>
    <xdr:to>
      <xdr:col>22</xdr:col>
      <xdr:colOff>12700</xdr:colOff>
      <xdr:row>20</xdr:row>
      <xdr:rowOff>188383</xdr:rowOff>
    </xdr:to>
    <xdr:cxnSp macro="">
      <xdr:nvCxnSpPr>
        <xdr:cNvPr id="22" name="Connecteur droit avec flèche 21">
          <a:extLst>
            <a:ext uri="{FF2B5EF4-FFF2-40B4-BE49-F238E27FC236}">
              <a16:creationId xmlns:a16="http://schemas.microsoft.com/office/drawing/2014/main" id="{00000000-0008-0000-3600-000016000000}"/>
            </a:ext>
          </a:extLst>
        </xdr:cNvPr>
        <xdr:cNvCxnSpPr/>
      </xdr:nvCxnSpPr>
      <xdr:spPr>
        <a:xfrm flipV="1">
          <a:off x="9930342" y="5607050"/>
          <a:ext cx="1036108" cy="67733"/>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22</xdr:row>
      <xdr:rowOff>120650</xdr:rowOff>
    </xdr:from>
    <xdr:to>
      <xdr:col>22</xdr:col>
      <xdr:colOff>12700</xdr:colOff>
      <xdr:row>29</xdr:row>
      <xdr:rowOff>2116</xdr:rowOff>
    </xdr:to>
    <xdr:cxnSp macro="">
      <xdr:nvCxnSpPr>
        <xdr:cNvPr id="23" name="Connecteur droit avec flèche 22">
          <a:extLst>
            <a:ext uri="{FF2B5EF4-FFF2-40B4-BE49-F238E27FC236}">
              <a16:creationId xmlns:a16="http://schemas.microsoft.com/office/drawing/2014/main" id="{00000000-0008-0000-3600-000017000000}"/>
            </a:ext>
          </a:extLst>
        </xdr:cNvPr>
        <xdr:cNvCxnSpPr/>
      </xdr:nvCxnSpPr>
      <xdr:spPr>
        <a:xfrm flipV="1">
          <a:off x="9913408" y="6007100"/>
          <a:ext cx="1053042" cy="1281641"/>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20</xdr:row>
      <xdr:rowOff>188390</xdr:rowOff>
    </xdr:from>
    <xdr:to>
      <xdr:col>21</xdr:col>
      <xdr:colOff>1060450</xdr:colOff>
      <xdr:row>27</xdr:row>
      <xdr:rowOff>103724</xdr:rowOff>
    </xdr:to>
    <xdr:cxnSp macro="">
      <xdr:nvCxnSpPr>
        <xdr:cNvPr id="24" name="Connecteur droit avec flèche 23">
          <a:extLst>
            <a:ext uri="{FF2B5EF4-FFF2-40B4-BE49-F238E27FC236}">
              <a16:creationId xmlns:a16="http://schemas.microsoft.com/office/drawing/2014/main" id="{00000000-0008-0000-3600-000018000000}"/>
            </a:ext>
          </a:extLst>
        </xdr:cNvPr>
        <xdr:cNvCxnSpPr/>
      </xdr:nvCxnSpPr>
      <xdr:spPr>
        <a:xfrm>
          <a:off x="9896475" y="5674790"/>
          <a:ext cx="1060450" cy="1315509"/>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29</xdr:row>
      <xdr:rowOff>2123</xdr:rowOff>
    </xdr:from>
    <xdr:to>
      <xdr:col>21</xdr:col>
      <xdr:colOff>1059392</xdr:colOff>
      <xdr:row>29</xdr:row>
      <xdr:rowOff>120656</xdr:rowOff>
    </xdr:to>
    <xdr:cxnSp macro="">
      <xdr:nvCxnSpPr>
        <xdr:cNvPr id="25" name="Connecteur droit avec flèche 24">
          <a:extLst>
            <a:ext uri="{FF2B5EF4-FFF2-40B4-BE49-F238E27FC236}">
              <a16:creationId xmlns:a16="http://schemas.microsoft.com/office/drawing/2014/main" id="{00000000-0008-0000-3600-000019000000}"/>
            </a:ext>
          </a:extLst>
        </xdr:cNvPr>
        <xdr:cNvCxnSpPr/>
      </xdr:nvCxnSpPr>
      <xdr:spPr>
        <a:xfrm>
          <a:off x="9896475" y="7288748"/>
          <a:ext cx="1059392" cy="118533"/>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40822</xdr:colOff>
      <xdr:row>34</xdr:row>
      <xdr:rowOff>95250</xdr:rowOff>
    </xdr:from>
    <xdr:to>
      <xdr:col>16</xdr:col>
      <xdr:colOff>0</xdr:colOff>
      <xdr:row>35</xdr:row>
      <xdr:rowOff>176893</xdr:rowOff>
    </xdr:to>
    <xdr:cxnSp macro="">
      <xdr:nvCxnSpPr>
        <xdr:cNvPr id="34" name="Connecteur droit avec flèche 33">
          <a:extLst>
            <a:ext uri="{FF2B5EF4-FFF2-40B4-BE49-F238E27FC236}">
              <a16:creationId xmlns:a16="http://schemas.microsoft.com/office/drawing/2014/main" id="{00000000-0008-0000-3600-000022000000}"/>
            </a:ext>
          </a:extLst>
        </xdr:cNvPr>
        <xdr:cNvCxnSpPr/>
      </xdr:nvCxnSpPr>
      <xdr:spPr>
        <a:xfrm flipV="1">
          <a:off x="4460422" y="8382000"/>
          <a:ext cx="1006928" cy="28166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36</xdr:row>
      <xdr:rowOff>120650</xdr:rowOff>
    </xdr:from>
    <xdr:to>
      <xdr:col>15</xdr:col>
      <xdr:colOff>1044575</xdr:colOff>
      <xdr:row>42</xdr:row>
      <xdr:rowOff>149678</xdr:rowOff>
    </xdr:to>
    <xdr:cxnSp macro="">
      <xdr:nvCxnSpPr>
        <xdr:cNvPr id="35" name="Connecteur droit avec flèche 34">
          <a:extLst>
            <a:ext uri="{FF2B5EF4-FFF2-40B4-BE49-F238E27FC236}">
              <a16:creationId xmlns:a16="http://schemas.microsoft.com/office/drawing/2014/main" id="{00000000-0008-0000-3600-000023000000}"/>
            </a:ext>
          </a:extLst>
        </xdr:cNvPr>
        <xdr:cNvCxnSpPr/>
      </xdr:nvCxnSpPr>
      <xdr:spPr>
        <a:xfrm flipV="1">
          <a:off x="4419600" y="8807450"/>
          <a:ext cx="1044575" cy="122917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42</xdr:row>
      <xdr:rowOff>13607</xdr:rowOff>
    </xdr:from>
    <xdr:to>
      <xdr:col>15</xdr:col>
      <xdr:colOff>1020536</xdr:colOff>
      <xdr:row>49</xdr:row>
      <xdr:rowOff>149679</xdr:rowOff>
    </xdr:to>
    <xdr:cxnSp macro="">
      <xdr:nvCxnSpPr>
        <xdr:cNvPr id="36" name="Connecteur droit avec flèche 35">
          <a:extLst>
            <a:ext uri="{FF2B5EF4-FFF2-40B4-BE49-F238E27FC236}">
              <a16:creationId xmlns:a16="http://schemas.microsoft.com/office/drawing/2014/main" id="{00000000-0008-0000-3600-000024000000}"/>
            </a:ext>
          </a:extLst>
        </xdr:cNvPr>
        <xdr:cNvCxnSpPr/>
      </xdr:nvCxnSpPr>
      <xdr:spPr>
        <a:xfrm flipV="1">
          <a:off x="4419600" y="9900557"/>
          <a:ext cx="1020536" cy="153624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44</xdr:row>
      <xdr:rowOff>13607</xdr:rowOff>
    </xdr:from>
    <xdr:to>
      <xdr:col>16</xdr:col>
      <xdr:colOff>0</xdr:colOff>
      <xdr:row>57</xdr:row>
      <xdr:rowOff>10582</xdr:rowOff>
    </xdr:to>
    <xdr:cxnSp macro="">
      <xdr:nvCxnSpPr>
        <xdr:cNvPr id="37" name="Connecteur droit avec flèche 36">
          <a:extLst>
            <a:ext uri="{FF2B5EF4-FFF2-40B4-BE49-F238E27FC236}">
              <a16:creationId xmlns:a16="http://schemas.microsoft.com/office/drawing/2014/main" id="{00000000-0008-0000-3600-000025000000}"/>
            </a:ext>
          </a:extLst>
        </xdr:cNvPr>
        <xdr:cNvCxnSpPr/>
      </xdr:nvCxnSpPr>
      <xdr:spPr>
        <a:xfrm flipV="1">
          <a:off x="4419600" y="10300607"/>
          <a:ext cx="1047750" cy="259730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36</xdr:row>
      <xdr:rowOff>10583</xdr:rowOff>
    </xdr:from>
    <xdr:to>
      <xdr:col>16</xdr:col>
      <xdr:colOff>16934</xdr:colOff>
      <xdr:row>48</xdr:row>
      <xdr:rowOff>146050</xdr:rowOff>
    </xdr:to>
    <xdr:cxnSp macro="">
      <xdr:nvCxnSpPr>
        <xdr:cNvPr id="38" name="Connecteur droit avec flèche 37">
          <a:extLst>
            <a:ext uri="{FF2B5EF4-FFF2-40B4-BE49-F238E27FC236}">
              <a16:creationId xmlns:a16="http://schemas.microsoft.com/office/drawing/2014/main" id="{00000000-0008-0000-3600-000026000000}"/>
            </a:ext>
          </a:extLst>
        </xdr:cNvPr>
        <xdr:cNvCxnSpPr/>
      </xdr:nvCxnSpPr>
      <xdr:spPr>
        <a:xfrm>
          <a:off x="4436534" y="8697383"/>
          <a:ext cx="1047750" cy="25357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29634</xdr:colOff>
      <xdr:row>43</xdr:row>
      <xdr:rowOff>40216</xdr:rowOff>
    </xdr:from>
    <xdr:to>
      <xdr:col>16</xdr:col>
      <xdr:colOff>25400</xdr:colOff>
      <xdr:row>50</xdr:row>
      <xdr:rowOff>133350</xdr:rowOff>
    </xdr:to>
    <xdr:cxnSp macro="">
      <xdr:nvCxnSpPr>
        <xdr:cNvPr id="42" name="Connecteur droit avec flèche 41">
          <a:extLst>
            <a:ext uri="{FF2B5EF4-FFF2-40B4-BE49-F238E27FC236}">
              <a16:creationId xmlns:a16="http://schemas.microsoft.com/office/drawing/2014/main" id="{00000000-0008-0000-3600-00002A000000}"/>
            </a:ext>
          </a:extLst>
        </xdr:cNvPr>
        <xdr:cNvCxnSpPr/>
      </xdr:nvCxnSpPr>
      <xdr:spPr>
        <a:xfrm>
          <a:off x="4449234" y="10127191"/>
          <a:ext cx="1043516" cy="149330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50</xdr:row>
      <xdr:rowOff>27516</xdr:rowOff>
    </xdr:from>
    <xdr:to>
      <xdr:col>16</xdr:col>
      <xdr:colOff>12700</xdr:colOff>
      <xdr:row>55</xdr:row>
      <xdr:rowOff>107950</xdr:rowOff>
    </xdr:to>
    <xdr:cxnSp macro="">
      <xdr:nvCxnSpPr>
        <xdr:cNvPr id="43" name="Connecteur droit avec flèche 42">
          <a:extLst>
            <a:ext uri="{FF2B5EF4-FFF2-40B4-BE49-F238E27FC236}">
              <a16:creationId xmlns:a16="http://schemas.microsoft.com/office/drawing/2014/main" id="{00000000-0008-0000-3600-00002B000000}"/>
            </a:ext>
          </a:extLst>
        </xdr:cNvPr>
        <xdr:cNvCxnSpPr/>
      </xdr:nvCxnSpPr>
      <xdr:spPr>
        <a:xfrm>
          <a:off x="4436534" y="11514666"/>
          <a:ext cx="1043516" cy="108055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57</xdr:row>
      <xdr:rowOff>10584</xdr:rowOff>
    </xdr:from>
    <xdr:to>
      <xdr:col>15</xdr:col>
      <xdr:colOff>1044575</xdr:colOff>
      <xdr:row>57</xdr:row>
      <xdr:rowOff>133350</xdr:rowOff>
    </xdr:to>
    <xdr:cxnSp macro="">
      <xdr:nvCxnSpPr>
        <xdr:cNvPr id="44" name="Connecteur droit avec flèche 43">
          <a:extLst>
            <a:ext uri="{FF2B5EF4-FFF2-40B4-BE49-F238E27FC236}">
              <a16:creationId xmlns:a16="http://schemas.microsoft.com/office/drawing/2014/main" id="{00000000-0008-0000-3600-00002C000000}"/>
            </a:ext>
          </a:extLst>
        </xdr:cNvPr>
        <xdr:cNvCxnSpPr/>
      </xdr:nvCxnSpPr>
      <xdr:spPr>
        <a:xfrm>
          <a:off x="4436534" y="12897909"/>
          <a:ext cx="1027641" cy="12276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34</xdr:row>
      <xdr:rowOff>120651</xdr:rowOff>
    </xdr:from>
    <xdr:to>
      <xdr:col>22</xdr:col>
      <xdr:colOff>12700</xdr:colOff>
      <xdr:row>36</xdr:row>
      <xdr:rowOff>0</xdr:rowOff>
    </xdr:to>
    <xdr:cxnSp macro="">
      <xdr:nvCxnSpPr>
        <xdr:cNvPr id="50" name="Connecteur droit avec flèche 49">
          <a:extLst>
            <a:ext uri="{FF2B5EF4-FFF2-40B4-BE49-F238E27FC236}">
              <a16:creationId xmlns:a16="http://schemas.microsoft.com/office/drawing/2014/main" id="{00000000-0008-0000-3600-000032000000}"/>
            </a:ext>
          </a:extLst>
        </xdr:cNvPr>
        <xdr:cNvCxnSpPr/>
      </xdr:nvCxnSpPr>
      <xdr:spPr>
        <a:xfrm flipV="1">
          <a:off x="9937297" y="84074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36</xdr:row>
      <xdr:rowOff>120650</xdr:rowOff>
    </xdr:from>
    <xdr:to>
      <xdr:col>22</xdr:col>
      <xdr:colOff>12700</xdr:colOff>
      <xdr:row>43</xdr:row>
      <xdr:rowOff>2116</xdr:rowOff>
    </xdr:to>
    <xdr:cxnSp macro="">
      <xdr:nvCxnSpPr>
        <xdr:cNvPr id="51" name="Connecteur droit avec flèche 50">
          <a:extLst>
            <a:ext uri="{FF2B5EF4-FFF2-40B4-BE49-F238E27FC236}">
              <a16:creationId xmlns:a16="http://schemas.microsoft.com/office/drawing/2014/main" id="{00000000-0008-0000-3600-000033000000}"/>
            </a:ext>
          </a:extLst>
        </xdr:cNvPr>
        <xdr:cNvCxnSpPr/>
      </xdr:nvCxnSpPr>
      <xdr:spPr>
        <a:xfrm flipV="1">
          <a:off x="9913408" y="88074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36</xdr:row>
      <xdr:rowOff>13607</xdr:rowOff>
    </xdr:from>
    <xdr:to>
      <xdr:col>21</xdr:col>
      <xdr:colOff>1060450</xdr:colOff>
      <xdr:row>41</xdr:row>
      <xdr:rowOff>103724</xdr:rowOff>
    </xdr:to>
    <xdr:cxnSp macro="">
      <xdr:nvCxnSpPr>
        <xdr:cNvPr id="52" name="Connecteur droit avec flèche 51">
          <a:extLst>
            <a:ext uri="{FF2B5EF4-FFF2-40B4-BE49-F238E27FC236}">
              <a16:creationId xmlns:a16="http://schemas.microsoft.com/office/drawing/2014/main" id="{00000000-0008-0000-3600-000034000000}"/>
            </a:ext>
          </a:extLst>
        </xdr:cNvPr>
        <xdr:cNvCxnSpPr/>
      </xdr:nvCxnSpPr>
      <xdr:spPr>
        <a:xfrm>
          <a:off x="9910083" y="87004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43</xdr:row>
      <xdr:rowOff>2123</xdr:rowOff>
    </xdr:from>
    <xdr:to>
      <xdr:col>21</xdr:col>
      <xdr:colOff>1059392</xdr:colOff>
      <xdr:row>43</xdr:row>
      <xdr:rowOff>120656</xdr:rowOff>
    </xdr:to>
    <xdr:cxnSp macro="">
      <xdr:nvCxnSpPr>
        <xdr:cNvPr id="53" name="Connecteur droit avec flèche 52">
          <a:extLst>
            <a:ext uri="{FF2B5EF4-FFF2-40B4-BE49-F238E27FC236}">
              <a16:creationId xmlns:a16="http://schemas.microsoft.com/office/drawing/2014/main" id="{00000000-0008-0000-3600-000035000000}"/>
            </a:ext>
          </a:extLst>
        </xdr:cNvPr>
        <xdr:cNvCxnSpPr/>
      </xdr:nvCxnSpPr>
      <xdr:spPr>
        <a:xfrm>
          <a:off x="9896475" y="100890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33867</xdr:colOff>
      <xdr:row>48</xdr:row>
      <xdr:rowOff>120650</xdr:rowOff>
    </xdr:from>
    <xdr:to>
      <xdr:col>22</xdr:col>
      <xdr:colOff>12700</xdr:colOff>
      <xdr:row>48</xdr:row>
      <xdr:rowOff>188383</xdr:rowOff>
    </xdr:to>
    <xdr:cxnSp macro="">
      <xdr:nvCxnSpPr>
        <xdr:cNvPr id="54" name="Connecteur droit avec flèche 53">
          <a:extLst>
            <a:ext uri="{FF2B5EF4-FFF2-40B4-BE49-F238E27FC236}">
              <a16:creationId xmlns:a16="http://schemas.microsoft.com/office/drawing/2014/main" id="{00000000-0008-0000-3600-000036000000}"/>
            </a:ext>
          </a:extLst>
        </xdr:cNvPr>
        <xdr:cNvCxnSpPr/>
      </xdr:nvCxnSpPr>
      <xdr:spPr>
        <a:xfrm flipV="1">
          <a:off x="9930342" y="11207750"/>
          <a:ext cx="1036108" cy="67733"/>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50</xdr:row>
      <xdr:rowOff>120650</xdr:rowOff>
    </xdr:from>
    <xdr:to>
      <xdr:col>22</xdr:col>
      <xdr:colOff>12700</xdr:colOff>
      <xdr:row>57</xdr:row>
      <xdr:rowOff>2116</xdr:rowOff>
    </xdr:to>
    <xdr:cxnSp macro="">
      <xdr:nvCxnSpPr>
        <xdr:cNvPr id="55" name="Connecteur droit avec flèche 54">
          <a:extLst>
            <a:ext uri="{FF2B5EF4-FFF2-40B4-BE49-F238E27FC236}">
              <a16:creationId xmlns:a16="http://schemas.microsoft.com/office/drawing/2014/main" id="{00000000-0008-0000-3600-000037000000}"/>
            </a:ext>
          </a:extLst>
        </xdr:cNvPr>
        <xdr:cNvCxnSpPr/>
      </xdr:nvCxnSpPr>
      <xdr:spPr>
        <a:xfrm flipV="1">
          <a:off x="9913408" y="11607800"/>
          <a:ext cx="1053042" cy="1281641"/>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48</xdr:row>
      <xdr:rowOff>188390</xdr:rowOff>
    </xdr:from>
    <xdr:to>
      <xdr:col>21</xdr:col>
      <xdr:colOff>1060450</xdr:colOff>
      <xdr:row>55</xdr:row>
      <xdr:rowOff>103724</xdr:rowOff>
    </xdr:to>
    <xdr:cxnSp macro="">
      <xdr:nvCxnSpPr>
        <xdr:cNvPr id="56" name="Connecteur droit avec flèche 55">
          <a:extLst>
            <a:ext uri="{FF2B5EF4-FFF2-40B4-BE49-F238E27FC236}">
              <a16:creationId xmlns:a16="http://schemas.microsoft.com/office/drawing/2014/main" id="{00000000-0008-0000-3600-000038000000}"/>
            </a:ext>
          </a:extLst>
        </xdr:cNvPr>
        <xdr:cNvCxnSpPr/>
      </xdr:nvCxnSpPr>
      <xdr:spPr>
        <a:xfrm>
          <a:off x="9896475" y="11275490"/>
          <a:ext cx="1060450" cy="1315509"/>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57</xdr:row>
      <xdr:rowOff>2123</xdr:rowOff>
    </xdr:from>
    <xdr:to>
      <xdr:col>21</xdr:col>
      <xdr:colOff>1059392</xdr:colOff>
      <xdr:row>57</xdr:row>
      <xdr:rowOff>120656</xdr:rowOff>
    </xdr:to>
    <xdr:cxnSp macro="">
      <xdr:nvCxnSpPr>
        <xdr:cNvPr id="57" name="Connecteur droit avec flèche 56">
          <a:extLst>
            <a:ext uri="{FF2B5EF4-FFF2-40B4-BE49-F238E27FC236}">
              <a16:creationId xmlns:a16="http://schemas.microsoft.com/office/drawing/2014/main" id="{00000000-0008-0000-3600-000039000000}"/>
            </a:ext>
          </a:extLst>
        </xdr:cNvPr>
        <xdr:cNvCxnSpPr/>
      </xdr:nvCxnSpPr>
      <xdr:spPr>
        <a:xfrm>
          <a:off x="9896475" y="12889448"/>
          <a:ext cx="1059392" cy="118533"/>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95250</xdr:colOff>
      <xdr:row>65</xdr:row>
      <xdr:rowOff>176893</xdr:rowOff>
    </xdr:from>
    <xdr:to>
      <xdr:col>15</xdr:col>
      <xdr:colOff>984250</xdr:colOff>
      <xdr:row>65</xdr:row>
      <xdr:rowOff>196885</xdr:rowOff>
    </xdr:to>
    <xdr:cxnSp macro="">
      <xdr:nvCxnSpPr>
        <xdr:cNvPr id="58" name="Connecteur droit avec flèche 57">
          <a:extLst>
            <a:ext uri="{FF2B5EF4-FFF2-40B4-BE49-F238E27FC236}">
              <a16:creationId xmlns:a16="http://schemas.microsoft.com/office/drawing/2014/main" id="{00000000-0008-0000-3600-00003A000000}"/>
            </a:ext>
          </a:extLst>
        </xdr:cNvPr>
        <xdr:cNvCxnSpPr/>
      </xdr:nvCxnSpPr>
      <xdr:spPr>
        <a:xfrm>
          <a:off x="5076825" y="9063718"/>
          <a:ext cx="889000" cy="19992"/>
        </a:xfrm>
        <a:prstGeom prst="straightConnector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21</xdr:col>
      <xdr:colOff>57150</xdr:colOff>
      <xdr:row>66</xdr:row>
      <xdr:rowOff>2721</xdr:rowOff>
    </xdr:from>
    <xdr:to>
      <xdr:col>21</xdr:col>
      <xdr:colOff>946150</xdr:colOff>
      <xdr:row>66</xdr:row>
      <xdr:rowOff>22713</xdr:rowOff>
    </xdr:to>
    <xdr:cxnSp macro="">
      <xdr:nvCxnSpPr>
        <xdr:cNvPr id="59" name="Connecteur droit avec flèche 58">
          <a:extLst>
            <a:ext uri="{FF2B5EF4-FFF2-40B4-BE49-F238E27FC236}">
              <a16:creationId xmlns:a16="http://schemas.microsoft.com/office/drawing/2014/main" id="{00000000-0008-0000-3600-00003B000000}"/>
            </a:ext>
          </a:extLst>
        </xdr:cNvPr>
        <xdr:cNvCxnSpPr/>
      </xdr:nvCxnSpPr>
      <xdr:spPr>
        <a:xfrm>
          <a:off x="11029950" y="9089571"/>
          <a:ext cx="889000" cy="19992"/>
        </a:xfrm>
        <a:prstGeom prst="straightConnector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15</xdr:col>
      <xdr:colOff>95250</xdr:colOff>
      <xdr:row>67</xdr:row>
      <xdr:rowOff>176893</xdr:rowOff>
    </xdr:from>
    <xdr:to>
      <xdr:col>15</xdr:col>
      <xdr:colOff>984250</xdr:colOff>
      <xdr:row>67</xdr:row>
      <xdr:rowOff>196885</xdr:rowOff>
    </xdr:to>
    <xdr:cxnSp macro="">
      <xdr:nvCxnSpPr>
        <xdr:cNvPr id="60" name="Connecteur droit avec flèche 59">
          <a:extLst>
            <a:ext uri="{FF2B5EF4-FFF2-40B4-BE49-F238E27FC236}">
              <a16:creationId xmlns:a16="http://schemas.microsoft.com/office/drawing/2014/main" id="{00000000-0008-0000-3600-00003C000000}"/>
            </a:ext>
          </a:extLst>
        </xdr:cNvPr>
        <xdr:cNvCxnSpPr/>
      </xdr:nvCxnSpPr>
      <xdr:spPr>
        <a:xfrm>
          <a:off x="5076825" y="9463768"/>
          <a:ext cx="889000" cy="19992"/>
        </a:xfrm>
        <a:prstGeom prst="straightConnector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21</xdr:col>
      <xdr:colOff>57150</xdr:colOff>
      <xdr:row>68</xdr:row>
      <xdr:rowOff>2721</xdr:rowOff>
    </xdr:from>
    <xdr:to>
      <xdr:col>21</xdr:col>
      <xdr:colOff>946150</xdr:colOff>
      <xdr:row>68</xdr:row>
      <xdr:rowOff>22713</xdr:rowOff>
    </xdr:to>
    <xdr:cxnSp macro="">
      <xdr:nvCxnSpPr>
        <xdr:cNvPr id="61" name="Connecteur droit avec flèche 60">
          <a:extLst>
            <a:ext uri="{FF2B5EF4-FFF2-40B4-BE49-F238E27FC236}">
              <a16:creationId xmlns:a16="http://schemas.microsoft.com/office/drawing/2014/main" id="{00000000-0008-0000-3600-00003D000000}"/>
            </a:ext>
          </a:extLst>
        </xdr:cNvPr>
        <xdr:cNvCxnSpPr/>
      </xdr:nvCxnSpPr>
      <xdr:spPr>
        <a:xfrm>
          <a:off x="11029950" y="9489621"/>
          <a:ext cx="889000" cy="19992"/>
        </a:xfrm>
        <a:prstGeom prst="straightConnector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54.xml><?xml version="1.0" encoding="utf-8"?>
<xdr:wsDr xmlns:xdr="http://schemas.openxmlformats.org/drawingml/2006/spreadsheetDrawing" xmlns:a="http://schemas.openxmlformats.org/drawingml/2006/main">
  <xdr:twoCellAnchor>
    <xdr:from>
      <xdr:col>33</xdr:col>
      <xdr:colOff>367393</xdr:colOff>
      <xdr:row>31</xdr:row>
      <xdr:rowOff>73480</xdr:rowOff>
    </xdr:from>
    <xdr:to>
      <xdr:col>33</xdr:col>
      <xdr:colOff>2272393</xdr:colOff>
      <xdr:row>35</xdr:row>
      <xdr:rowOff>5445</xdr:rowOff>
    </xdr:to>
    <xdr:sp macro="" textlink="">
      <xdr:nvSpPr>
        <xdr:cNvPr id="18" name="Rectangle à coins arrondis 17">
          <a:extLst>
            <a:ext uri="{FF2B5EF4-FFF2-40B4-BE49-F238E27FC236}">
              <a16:creationId xmlns:a16="http://schemas.microsoft.com/office/drawing/2014/main" id="{00000000-0008-0000-3700-000012000000}"/>
            </a:ext>
          </a:extLst>
        </xdr:cNvPr>
        <xdr:cNvSpPr/>
      </xdr:nvSpPr>
      <xdr:spPr bwMode="auto">
        <a:xfrm>
          <a:off x="17359993" y="7760155"/>
          <a:ext cx="1905000" cy="7320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1</a:t>
          </a:r>
          <a:r>
            <a:rPr lang="fr-FR" sz="1600"/>
            <a:t> </a:t>
          </a:r>
        </a:p>
      </xdr:txBody>
    </xdr:sp>
    <xdr:clientData fPrintsWithSheet="0"/>
  </xdr:twoCellAnchor>
  <xdr:twoCellAnchor>
    <xdr:from>
      <xdr:col>34</xdr:col>
      <xdr:colOff>261257</xdr:colOff>
      <xdr:row>31</xdr:row>
      <xdr:rowOff>73480</xdr:rowOff>
    </xdr:from>
    <xdr:to>
      <xdr:col>34</xdr:col>
      <xdr:colOff>2166257</xdr:colOff>
      <xdr:row>35</xdr:row>
      <xdr:rowOff>5445</xdr:rowOff>
    </xdr:to>
    <xdr:sp macro="" textlink="">
      <xdr:nvSpPr>
        <xdr:cNvPr id="19" name="Rectangle à coins arrondis 18">
          <a:extLst>
            <a:ext uri="{FF2B5EF4-FFF2-40B4-BE49-F238E27FC236}">
              <a16:creationId xmlns:a16="http://schemas.microsoft.com/office/drawing/2014/main" id="{00000000-0008-0000-3700-000013000000}"/>
            </a:ext>
          </a:extLst>
        </xdr:cNvPr>
        <xdr:cNvSpPr/>
      </xdr:nvSpPr>
      <xdr:spPr bwMode="auto">
        <a:xfrm>
          <a:off x="19711307" y="7760155"/>
          <a:ext cx="1905000" cy="7320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2</a:t>
          </a:r>
          <a:r>
            <a:rPr lang="fr-FR" sz="1600"/>
            <a:t> </a:t>
          </a:r>
        </a:p>
      </xdr:txBody>
    </xdr:sp>
    <xdr:clientData fPrintsWithSheet="0"/>
  </xdr:twoCellAnchor>
  <xdr:twoCellAnchor>
    <xdr:from>
      <xdr:col>35</xdr:col>
      <xdr:colOff>155122</xdr:colOff>
      <xdr:row>31</xdr:row>
      <xdr:rowOff>73480</xdr:rowOff>
    </xdr:from>
    <xdr:to>
      <xdr:col>35</xdr:col>
      <xdr:colOff>2060122</xdr:colOff>
      <xdr:row>35</xdr:row>
      <xdr:rowOff>5445</xdr:rowOff>
    </xdr:to>
    <xdr:sp macro="" textlink="">
      <xdr:nvSpPr>
        <xdr:cNvPr id="20" name="Rectangle à coins arrondis 19">
          <a:extLst>
            <a:ext uri="{FF2B5EF4-FFF2-40B4-BE49-F238E27FC236}">
              <a16:creationId xmlns:a16="http://schemas.microsoft.com/office/drawing/2014/main" id="{00000000-0008-0000-3700-000014000000}"/>
            </a:ext>
          </a:extLst>
        </xdr:cNvPr>
        <xdr:cNvSpPr/>
      </xdr:nvSpPr>
      <xdr:spPr bwMode="auto">
        <a:xfrm>
          <a:off x="22062622" y="7760155"/>
          <a:ext cx="1905000" cy="7320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3</a:t>
          </a:r>
          <a:r>
            <a:rPr lang="fr-FR" sz="1600"/>
            <a:t> </a:t>
          </a:r>
        </a:p>
      </xdr:txBody>
    </xdr:sp>
    <xdr:clientData fPrintsWithSheet="0"/>
  </xdr:twoCellAnchor>
  <xdr:twoCellAnchor>
    <xdr:from>
      <xdr:col>34</xdr:col>
      <xdr:colOff>1746249</xdr:colOff>
      <xdr:row>38</xdr:row>
      <xdr:rowOff>31750</xdr:rowOff>
    </xdr:from>
    <xdr:to>
      <xdr:col>35</xdr:col>
      <xdr:colOff>1190624</xdr:colOff>
      <xdr:row>44</xdr:row>
      <xdr:rowOff>63500</xdr:rowOff>
    </xdr:to>
    <xdr:sp macro="" textlink="">
      <xdr:nvSpPr>
        <xdr:cNvPr id="24" name="Rectangle à coins arrondis 23">
          <a:extLst>
            <a:ext uri="{FF2B5EF4-FFF2-40B4-BE49-F238E27FC236}">
              <a16:creationId xmlns:a16="http://schemas.microsoft.com/office/drawing/2014/main" id="{00000000-0008-0000-3700-000018000000}"/>
            </a:ext>
          </a:extLst>
        </xdr:cNvPr>
        <xdr:cNvSpPr/>
      </xdr:nvSpPr>
      <xdr:spPr bwMode="auto">
        <a:xfrm>
          <a:off x="21196299" y="9118600"/>
          <a:ext cx="1901825" cy="1231900"/>
        </a:xfrm>
        <a:prstGeom prst="roundRect">
          <a:avLst/>
        </a:prstGeom>
        <a:solidFill>
          <a:srgbClr val="00FF99"/>
        </a:solidFill>
        <a:ln w="9525" cap="flat" cmpd="sng" algn="ctr">
          <a:solidFill>
            <a:srgbClr val="400000"/>
          </a:solidFill>
          <a:prstDash val="solid"/>
          <a:round/>
          <a:headEnd type="none" w="med" len="med"/>
          <a:tailEnd type="none" w="med" len="med"/>
        </a:ln>
        <a:effectLst/>
      </xdr:spPr>
      <xdr:txBody>
        <a:bodyPr rot="0" spcFirstLastPara="0" vertOverflow="clip" horzOverflow="clip" vert="horz" wrap="square" lIns="18288" tIns="0" rIns="0" bIns="0" numCol="1" spcCol="0" rtlCol="0" fromWordArt="0" anchor="ctr" anchorCtr="0" forceAA="0" upright="1" compatLnSpc="1">
          <a:prstTxWarp prst="textNoShape">
            <a:avLst/>
          </a:prstTxWarp>
          <a:noAutofit/>
        </a:bodyPr>
        <a:lstStyle/>
        <a:p>
          <a:pPr algn="ctr"/>
          <a:r>
            <a:rPr lang="fr-FR" sz="2000"/>
            <a:t>Impression</a:t>
          </a:r>
          <a:r>
            <a:rPr lang="fr-FR" sz="2000" baseline="0"/>
            <a:t> du CLASSEMENT FINAL</a:t>
          </a:r>
          <a:endParaRPr lang="fr-FR" sz="2000"/>
        </a:p>
      </xdr:txBody>
    </xdr:sp>
    <xdr:clientData fPrintsWithSheet="0"/>
  </xdr:twoCellAnchor>
  <xdr:twoCellAnchor editAs="oneCell">
    <xdr:from>
      <xdr:col>10</xdr:col>
      <xdr:colOff>111125</xdr:colOff>
      <xdr:row>0</xdr:row>
      <xdr:rowOff>111125</xdr:rowOff>
    </xdr:from>
    <xdr:to>
      <xdr:col>12</xdr:col>
      <xdr:colOff>1231900</xdr:colOff>
      <xdr:row>2</xdr:row>
      <xdr:rowOff>0</xdr:rowOff>
    </xdr:to>
    <xdr:pic>
      <xdr:nvPicPr>
        <xdr:cNvPr id="26" name="Image 25">
          <a:extLst>
            <a:ext uri="{FF2B5EF4-FFF2-40B4-BE49-F238E27FC236}">
              <a16:creationId xmlns:a16="http://schemas.microsoft.com/office/drawing/2014/main" id="{00000000-0008-0000-37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125" y="111125"/>
          <a:ext cx="1911350" cy="1136650"/>
        </a:xfrm>
        <a:prstGeom prst="rect">
          <a:avLst/>
        </a:prstGeom>
      </xdr:spPr>
    </xdr:pic>
    <xdr:clientData/>
  </xdr:twoCellAnchor>
  <xdr:twoCellAnchor editAs="oneCell">
    <xdr:from>
      <xdr:col>35</xdr:col>
      <xdr:colOff>1428750</xdr:colOff>
      <xdr:row>2</xdr:row>
      <xdr:rowOff>428625</xdr:rowOff>
    </xdr:from>
    <xdr:to>
      <xdr:col>35</xdr:col>
      <xdr:colOff>1431925</xdr:colOff>
      <xdr:row>4</xdr:row>
      <xdr:rowOff>157242</xdr:rowOff>
    </xdr:to>
    <xdr:pic>
      <xdr:nvPicPr>
        <xdr:cNvPr id="27" name="Image 26">
          <a:extLst>
            <a:ext uri="{FF2B5EF4-FFF2-40B4-BE49-F238E27FC236}">
              <a16:creationId xmlns:a16="http://schemas.microsoft.com/office/drawing/2014/main" id="{00000000-0008-0000-3700-00001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336250" y="1914525"/>
          <a:ext cx="936625" cy="547767"/>
        </a:xfrm>
        <a:prstGeom prst="rect">
          <a:avLst/>
        </a:prstGeom>
      </xdr:spPr>
    </xdr:pic>
    <xdr:clientData/>
  </xdr:twoCellAnchor>
  <xdr:twoCellAnchor>
    <xdr:from>
      <xdr:col>33</xdr:col>
      <xdr:colOff>1762125</xdr:colOff>
      <xdr:row>38</xdr:row>
      <xdr:rowOff>47625</xdr:rowOff>
    </xdr:from>
    <xdr:to>
      <xdr:col>34</xdr:col>
      <xdr:colOff>622868</xdr:colOff>
      <xdr:row>42</xdr:row>
      <xdr:rowOff>134257</xdr:rowOff>
    </xdr:to>
    <xdr:sp macro="[0]!Imp_DUEL_Tableau" textlink="">
      <xdr:nvSpPr>
        <xdr:cNvPr id="52" name="Rectangle à coins arrondis 51">
          <a:extLst>
            <a:ext uri="{FF2B5EF4-FFF2-40B4-BE49-F238E27FC236}">
              <a16:creationId xmlns:a16="http://schemas.microsoft.com/office/drawing/2014/main" id="{00000000-0008-0000-3700-000034000000}"/>
            </a:ext>
          </a:extLst>
        </xdr:cNvPr>
        <xdr:cNvSpPr/>
      </xdr:nvSpPr>
      <xdr:spPr bwMode="auto">
        <a:xfrm>
          <a:off x="18754725" y="9134475"/>
          <a:ext cx="1318193" cy="886732"/>
        </a:xfrm>
        <a:prstGeom prst="roundRect">
          <a:avLst/>
        </a:prstGeom>
        <a:solidFill>
          <a:srgbClr val="E923EE"/>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 TABLEAU des</a:t>
          </a:r>
          <a:r>
            <a:rPr lang="fr-FR" sz="1600" baseline="0"/>
            <a:t> DUELS</a:t>
          </a:r>
          <a:endParaRPr lang="fr-FR" sz="1600"/>
        </a:p>
      </xdr:txBody>
    </xdr:sp>
    <xdr:clientData/>
  </xdr:twoCellAnchor>
  <xdr:twoCellAnchor>
    <xdr:from>
      <xdr:col>24</xdr:col>
      <xdr:colOff>993321</xdr:colOff>
      <xdr:row>1</xdr:row>
      <xdr:rowOff>27214</xdr:rowOff>
    </xdr:from>
    <xdr:to>
      <xdr:col>25</xdr:col>
      <xdr:colOff>71059</xdr:colOff>
      <xdr:row>2</xdr:row>
      <xdr:rowOff>55939</xdr:rowOff>
    </xdr:to>
    <xdr:sp macro="[0]!jmk_RETOUR_MENU" textlink="">
      <xdr:nvSpPr>
        <xdr:cNvPr id="53" name="Rectangle à coins arrondis 52">
          <a:extLst>
            <a:ext uri="{FF2B5EF4-FFF2-40B4-BE49-F238E27FC236}">
              <a16:creationId xmlns:a16="http://schemas.microsoft.com/office/drawing/2014/main" id="{00000000-0008-0000-3700-000035000000}"/>
            </a:ext>
          </a:extLst>
        </xdr:cNvPr>
        <xdr:cNvSpPr/>
      </xdr:nvSpPr>
      <xdr:spPr bwMode="auto">
        <a:xfrm>
          <a:off x="17117785" y="734785"/>
          <a:ext cx="1513417" cy="804333"/>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Retour aux MENUS</a:t>
          </a:r>
        </a:p>
      </xdr:txBody>
    </xdr:sp>
    <xdr:clientData fPrintsWithSheet="0"/>
  </xdr:twoCellAnchor>
  <xdr:twoCellAnchor>
    <xdr:from>
      <xdr:col>15</xdr:col>
      <xdr:colOff>40822</xdr:colOff>
      <xdr:row>6</xdr:row>
      <xdr:rowOff>95250</xdr:rowOff>
    </xdr:from>
    <xdr:to>
      <xdr:col>16</xdr:col>
      <xdr:colOff>0</xdr:colOff>
      <xdr:row>7</xdr:row>
      <xdr:rowOff>176893</xdr:rowOff>
    </xdr:to>
    <xdr:cxnSp macro="">
      <xdr:nvCxnSpPr>
        <xdr:cNvPr id="21" name="Connecteur droit avec flèche 20">
          <a:extLst>
            <a:ext uri="{FF2B5EF4-FFF2-40B4-BE49-F238E27FC236}">
              <a16:creationId xmlns:a16="http://schemas.microsoft.com/office/drawing/2014/main" id="{00000000-0008-0000-3700-000015000000}"/>
            </a:ext>
          </a:extLst>
        </xdr:cNvPr>
        <xdr:cNvCxnSpPr/>
      </xdr:nvCxnSpPr>
      <xdr:spPr>
        <a:xfrm flipV="1">
          <a:off x="4460422" y="2781300"/>
          <a:ext cx="1006928" cy="28166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8</xdr:row>
      <xdr:rowOff>120650</xdr:rowOff>
    </xdr:from>
    <xdr:to>
      <xdr:col>15</xdr:col>
      <xdr:colOff>1044575</xdr:colOff>
      <xdr:row>14</xdr:row>
      <xdr:rowOff>149678</xdr:rowOff>
    </xdr:to>
    <xdr:cxnSp macro="">
      <xdr:nvCxnSpPr>
        <xdr:cNvPr id="22" name="Connecteur droit avec flèche 21">
          <a:extLst>
            <a:ext uri="{FF2B5EF4-FFF2-40B4-BE49-F238E27FC236}">
              <a16:creationId xmlns:a16="http://schemas.microsoft.com/office/drawing/2014/main" id="{00000000-0008-0000-3700-000016000000}"/>
            </a:ext>
          </a:extLst>
        </xdr:cNvPr>
        <xdr:cNvCxnSpPr/>
      </xdr:nvCxnSpPr>
      <xdr:spPr>
        <a:xfrm flipV="1">
          <a:off x="4419600" y="3206750"/>
          <a:ext cx="1044575" cy="122917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14</xdr:row>
      <xdr:rowOff>13607</xdr:rowOff>
    </xdr:from>
    <xdr:to>
      <xdr:col>15</xdr:col>
      <xdr:colOff>1020536</xdr:colOff>
      <xdr:row>21</xdr:row>
      <xdr:rowOff>149679</xdr:rowOff>
    </xdr:to>
    <xdr:cxnSp macro="">
      <xdr:nvCxnSpPr>
        <xdr:cNvPr id="23" name="Connecteur droit avec flèche 22">
          <a:extLst>
            <a:ext uri="{FF2B5EF4-FFF2-40B4-BE49-F238E27FC236}">
              <a16:creationId xmlns:a16="http://schemas.microsoft.com/office/drawing/2014/main" id="{00000000-0008-0000-3700-000017000000}"/>
            </a:ext>
          </a:extLst>
        </xdr:cNvPr>
        <xdr:cNvCxnSpPr/>
      </xdr:nvCxnSpPr>
      <xdr:spPr>
        <a:xfrm flipV="1">
          <a:off x="4419600" y="4299857"/>
          <a:ext cx="1020536" cy="153624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16</xdr:row>
      <xdr:rowOff>13607</xdr:rowOff>
    </xdr:from>
    <xdr:to>
      <xdr:col>16</xdr:col>
      <xdr:colOff>0</xdr:colOff>
      <xdr:row>29</xdr:row>
      <xdr:rowOff>10582</xdr:rowOff>
    </xdr:to>
    <xdr:cxnSp macro="">
      <xdr:nvCxnSpPr>
        <xdr:cNvPr id="25" name="Connecteur droit avec flèche 24">
          <a:extLst>
            <a:ext uri="{FF2B5EF4-FFF2-40B4-BE49-F238E27FC236}">
              <a16:creationId xmlns:a16="http://schemas.microsoft.com/office/drawing/2014/main" id="{00000000-0008-0000-3700-000019000000}"/>
            </a:ext>
          </a:extLst>
        </xdr:cNvPr>
        <xdr:cNvCxnSpPr/>
      </xdr:nvCxnSpPr>
      <xdr:spPr>
        <a:xfrm flipV="1">
          <a:off x="4419600" y="4699907"/>
          <a:ext cx="1047750" cy="259730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8</xdr:row>
      <xdr:rowOff>10583</xdr:rowOff>
    </xdr:from>
    <xdr:to>
      <xdr:col>16</xdr:col>
      <xdr:colOff>16934</xdr:colOff>
      <xdr:row>20</xdr:row>
      <xdr:rowOff>146050</xdr:rowOff>
    </xdr:to>
    <xdr:cxnSp macro="">
      <xdr:nvCxnSpPr>
        <xdr:cNvPr id="54" name="Connecteur droit avec flèche 53">
          <a:extLst>
            <a:ext uri="{FF2B5EF4-FFF2-40B4-BE49-F238E27FC236}">
              <a16:creationId xmlns:a16="http://schemas.microsoft.com/office/drawing/2014/main" id="{00000000-0008-0000-3700-000036000000}"/>
            </a:ext>
          </a:extLst>
        </xdr:cNvPr>
        <xdr:cNvCxnSpPr/>
      </xdr:nvCxnSpPr>
      <xdr:spPr>
        <a:xfrm>
          <a:off x="4436534" y="3096683"/>
          <a:ext cx="1047750" cy="25357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29634</xdr:colOff>
      <xdr:row>15</xdr:row>
      <xdr:rowOff>40216</xdr:rowOff>
    </xdr:from>
    <xdr:to>
      <xdr:col>16</xdr:col>
      <xdr:colOff>25400</xdr:colOff>
      <xdr:row>22</xdr:row>
      <xdr:rowOff>133350</xdr:rowOff>
    </xdr:to>
    <xdr:cxnSp macro="">
      <xdr:nvCxnSpPr>
        <xdr:cNvPr id="55" name="Connecteur droit avec flèche 54">
          <a:extLst>
            <a:ext uri="{FF2B5EF4-FFF2-40B4-BE49-F238E27FC236}">
              <a16:creationId xmlns:a16="http://schemas.microsoft.com/office/drawing/2014/main" id="{00000000-0008-0000-3700-000037000000}"/>
            </a:ext>
          </a:extLst>
        </xdr:cNvPr>
        <xdr:cNvCxnSpPr/>
      </xdr:nvCxnSpPr>
      <xdr:spPr>
        <a:xfrm>
          <a:off x="4449234" y="4526491"/>
          <a:ext cx="1043516" cy="149330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22</xdr:row>
      <xdr:rowOff>27516</xdr:rowOff>
    </xdr:from>
    <xdr:to>
      <xdr:col>16</xdr:col>
      <xdr:colOff>12700</xdr:colOff>
      <xdr:row>27</xdr:row>
      <xdr:rowOff>107950</xdr:rowOff>
    </xdr:to>
    <xdr:cxnSp macro="">
      <xdr:nvCxnSpPr>
        <xdr:cNvPr id="56" name="Connecteur droit avec flèche 55">
          <a:extLst>
            <a:ext uri="{FF2B5EF4-FFF2-40B4-BE49-F238E27FC236}">
              <a16:creationId xmlns:a16="http://schemas.microsoft.com/office/drawing/2014/main" id="{00000000-0008-0000-3700-000038000000}"/>
            </a:ext>
          </a:extLst>
        </xdr:cNvPr>
        <xdr:cNvCxnSpPr/>
      </xdr:nvCxnSpPr>
      <xdr:spPr>
        <a:xfrm>
          <a:off x="4436534" y="5913966"/>
          <a:ext cx="1043516" cy="108055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29</xdr:row>
      <xdr:rowOff>10584</xdr:rowOff>
    </xdr:from>
    <xdr:to>
      <xdr:col>15</xdr:col>
      <xdr:colOff>1044575</xdr:colOff>
      <xdr:row>29</xdr:row>
      <xdr:rowOff>133350</xdr:rowOff>
    </xdr:to>
    <xdr:cxnSp macro="">
      <xdr:nvCxnSpPr>
        <xdr:cNvPr id="57" name="Connecteur droit avec flèche 56">
          <a:extLst>
            <a:ext uri="{FF2B5EF4-FFF2-40B4-BE49-F238E27FC236}">
              <a16:creationId xmlns:a16="http://schemas.microsoft.com/office/drawing/2014/main" id="{00000000-0008-0000-3700-000039000000}"/>
            </a:ext>
          </a:extLst>
        </xdr:cNvPr>
        <xdr:cNvCxnSpPr/>
      </xdr:nvCxnSpPr>
      <xdr:spPr>
        <a:xfrm>
          <a:off x="4436534" y="7297209"/>
          <a:ext cx="1027641" cy="12276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6</xdr:row>
      <xdr:rowOff>120651</xdr:rowOff>
    </xdr:from>
    <xdr:to>
      <xdr:col>22</xdr:col>
      <xdr:colOff>12700</xdr:colOff>
      <xdr:row>8</xdr:row>
      <xdr:rowOff>0</xdr:rowOff>
    </xdr:to>
    <xdr:cxnSp macro="">
      <xdr:nvCxnSpPr>
        <xdr:cNvPr id="58" name="Connecteur droit avec flèche 57">
          <a:extLst>
            <a:ext uri="{FF2B5EF4-FFF2-40B4-BE49-F238E27FC236}">
              <a16:creationId xmlns:a16="http://schemas.microsoft.com/office/drawing/2014/main" id="{00000000-0008-0000-3700-00003A000000}"/>
            </a:ext>
          </a:extLst>
        </xdr:cNvPr>
        <xdr:cNvCxnSpPr/>
      </xdr:nvCxnSpPr>
      <xdr:spPr>
        <a:xfrm flipV="1">
          <a:off x="9937297" y="28067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8</xdr:row>
      <xdr:rowOff>120650</xdr:rowOff>
    </xdr:from>
    <xdr:to>
      <xdr:col>22</xdr:col>
      <xdr:colOff>12700</xdr:colOff>
      <xdr:row>15</xdr:row>
      <xdr:rowOff>2116</xdr:rowOff>
    </xdr:to>
    <xdr:cxnSp macro="">
      <xdr:nvCxnSpPr>
        <xdr:cNvPr id="59" name="Connecteur droit avec flèche 58">
          <a:extLst>
            <a:ext uri="{FF2B5EF4-FFF2-40B4-BE49-F238E27FC236}">
              <a16:creationId xmlns:a16="http://schemas.microsoft.com/office/drawing/2014/main" id="{00000000-0008-0000-3700-00003B000000}"/>
            </a:ext>
          </a:extLst>
        </xdr:cNvPr>
        <xdr:cNvCxnSpPr/>
      </xdr:nvCxnSpPr>
      <xdr:spPr>
        <a:xfrm flipV="1">
          <a:off x="9913408" y="32067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8</xdr:row>
      <xdr:rowOff>13607</xdr:rowOff>
    </xdr:from>
    <xdr:to>
      <xdr:col>21</xdr:col>
      <xdr:colOff>1060450</xdr:colOff>
      <xdr:row>13</xdr:row>
      <xdr:rowOff>103724</xdr:rowOff>
    </xdr:to>
    <xdr:cxnSp macro="">
      <xdr:nvCxnSpPr>
        <xdr:cNvPr id="60" name="Connecteur droit avec flèche 59">
          <a:extLst>
            <a:ext uri="{FF2B5EF4-FFF2-40B4-BE49-F238E27FC236}">
              <a16:creationId xmlns:a16="http://schemas.microsoft.com/office/drawing/2014/main" id="{00000000-0008-0000-3700-00003C000000}"/>
            </a:ext>
          </a:extLst>
        </xdr:cNvPr>
        <xdr:cNvCxnSpPr/>
      </xdr:nvCxnSpPr>
      <xdr:spPr>
        <a:xfrm>
          <a:off x="9910083" y="30997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15</xdr:row>
      <xdr:rowOff>2123</xdr:rowOff>
    </xdr:from>
    <xdr:to>
      <xdr:col>21</xdr:col>
      <xdr:colOff>1059392</xdr:colOff>
      <xdr:row>15</xdr:row>
      <xdr:rowOff>120656</xdr:rowOff>
    </xdr:to>
    <xdr:cxnSp macro="">
      <xdr:nvCxnSpPr>
        <xdr:cNvPr id="61" name="Connecteur droit avec flèche 60">
          <a:extLst>
            <a:ext uri="{FF2B5EF4-FFF2-40B4-BE49-F238E27FC236}">
              <a16:creationId xmlns:a16="http://schemas.microsoft.com/office/drawing/2014/main" id="{00000000-0008-0000-3700-00003D000000}"/>
            </a:ext>
          </a:extLst>
        </xdr:cNvPr>
        <xdr:cNvCxnSpPr/>
      </xdr:nvCxnSpPr>
      <xdr:spPr>
        <a:xfrm>
          <a:off x="9896475" y="44883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33867</xdr:colOff>
      <xdr:row>20</xdr:row>
      <xdr:rowOff>120650</xdr:rowOff>
    </xdr:from>
    <xdr:to>
      <xdr:col>22</xdr:col>
      <xdr:colOff>12700</xdr:colOff>
      <xdr:row>20</xdr:row>
      <xdr:rowOff>188383</xdr:rowOff>
    </xdr:to>
    <xdr:cxnSp macro="">
      <xdr:nvCxnSpPr>
        <xdr:cNvPr id="62" name="Connecteur droit avec flèche 61">
          <a:extLst>
            <a:ext uri="{FF2B5EF4-FFF2-40B4-BE49-F238E27FC236}">
              <a16:creationId xmlns:a16="http://schemas.microsoft.com/office/drawing/2014/main" id="{00000000-0008-0000-3700-00003E000000}"/>
            </a:ext>
          </a:extLst>
        </xdr:cNvPr>
        <xdr:cNvCxnSpPr/>
      </xdr:nvCxnSpPr>
      <xdr:spPr>
        <a:xfrm flipV="1">
          <a:off x="9930342" y="5607050"/>
          <a:ext cx="1036108" cy="67733"/>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22</xdr:row>
      <xdr:rowOff>120650</xdr:rowOff>
    </xdr:from>
    <xdr:to>
      <xdr:col>22</xdr:col>
      <xdr:colOff>12700</xdr:colOff>
      <xdr:row>29</xdr:row>
      <xdr:rowOff>2116</xdr:rowOff>
    </xdr:to>
    <xdr:cxnSp macro="">
      <xdr:nvCxnSpPr>
        <xdr:cNvPr id="63" name="Connecteur droit avec flèche 62">
          <a:extLst>
            <a:ext uri="{FF2B5EF4-FFF2-40B4-BE49-F238E27FC236}">
              <a16:creationId xmlns:a16="http://schemas.microsoft.com/office/drawing/2014/main" id="{00000000-0008-0000-3700-00003F000000}"/>
            </a:ext>
          </a:extLst>
        </xdr:cNvPr>
        <xdr:cNvCxnSpPr/>
      </xdr:nvCxnSpPr>
      <xdr:spPr>
        <a:xfrm flipV="1">
          <a:off x="9913408" y="6007100"/>
          <a:ext cx="1053042" cy="1281641"/>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20</xdr:row>
      <xdr:rowOff>188390</xdr:rowOff>
    </xdr:from>
    <xdr:to>
      <xdr:col>21</xdr:col>
      <xdr:colOff>1060450</xdr:colOff>
      <xdr:row>27</xdr:row>
      <xdr:rowOff>103724</xdr:rowOff>
    </xdr:to>
    <xdr:cxnSp macro="">
      <xdr:nvCxnSpPr>
        <xdr:cNvPr id="64" name="Connecteur droit avec flèche 63">
          <a:extLst>
            <a:ext uri="{FF2B5EF4-FFF2-40B4-BE49-F238E27FC236}">
              <a16:creationId xmlns:a16="http://schemas.microsoft.com/office/drawing/2014/main" id="{00000000-0008-0000-3700-000040000000}"/>
            </a:ext>
          </a:extLst>
        </xdr:cNvPr>
        <xdr:cNvCxnSpPr/>
      </xdr:nvCxnSpPr>
      <xdr:spPr>
        <a:xfrm>
          <a:off x="9896475" y="5674790"/>
          <a:ext cx="1060450" cy="1315509"/>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29</xdr:row>
      <xdr:rowOff>2123</xdr:rowOff>
    </xdr:from>
    <xdr:to>
      <xdr:col>21</xdr:col>
      <xdr:colOff>1059392</xdr:colOff>
      <xdr:row>29</xdr:row>
      <xdr:rowOff>120656</xdr:rowOff>
    </xdr:to>
    <xdr:cxnSp macro="">
      <xdr:nvCxnSpPr>
        <xdr:cNvPr id="65" name="Connecteur droit avec flèche 64">
          <a:extLst>
            <a:ext uri="{FF2B5EF4-FFF2-40B4-BE49-F238E27FC236}">
              <a16:creationId xmlns:a16="http://schemas.microsoft.com/office/drawing/2014/main" id="{00000000-0008-0000-3700-000041000000}"/>
            </a:ext>
          </a:extLst>
        </xdr:cNvPr>
        <xdr:cNvCxnSpPr/>
      </xdr:nvCxnSpPr>
      <xdr:spPr>
        <a:xfrm>
          <a:off x="9896475" y="7288748"/>
          <a:ext cx="1059392" cy="118533"/>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40822</xdr:colOff>
      <xdr:row>34</xdr:row>
      <xdr:rowOff>95250</xdr:rowOff>
    </xdr:from>
    <xdr:to>
      <xdr:col>16</xdr:col>
      <xdr:colOff>0</xdr:colOff>
      <xdr:row>35</xdr:row>
      <xdr:rowOff>176893</xdr:rowOff>
    </xdr:to>
    <xdr:cxnSp macro="">
      <xdr:nvCxnSpPr>
        <xdr:cNvPr id="66" name="Connecteur droit avec flèche 65">
          <a:extLst>
            <a:ext uri="{FF2B5EF4-FFF2-40B4-BE49-F238E27FC236}">
              <a16:creationId xmlns:a16="http://schemas.microsoft.com/office/drawing/2014/main" id="{00000000-0008-0000-3700-000042000000}"/>
            </a:ext>
          </a:extLst>
        </xdr:cNvPr>
        <xdr:cNvCxnSpPr/>
      </xdr:nvCxnSpPr>
      <xdr:spPr>
        <a:xfrm flipV="1">
          <a:off x="4460422" y="8382000"/>
          <a:ext cx="1006928" cy="28166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36</xdr:row>
      <xdr:rowOff>120650</xdr:rowOff>
    </xdr:from>
    <xdr:to>
      <xdr:col>15</xdr:col>
      <xdr:colOff>1044575</xdr:colOff>
      <xdr:row>42</xdr:row>
      <xdr:rowOff>149678</xdr:rowOff>
    </xdr:to>
    <xdr:cxnSp macro="">
      <xdr:nvCxnSpPr>
        <xdr:cNvPr id="67" name="Connecteur droit avec flèche 66">
          <a:extLst>
            <a:ext uri="{FF2B5EF4-FFF2-40B4-BE49-F238E27FC236}">
              <a16:creationId xmlns:a16="http://schemas.microsoft.com/office/drawing/2014/main" id="{00000000-0008-0000-3700-000043000000}"/>
            </a:ext>
          </a:extLst>
        </xdr:cNvPr>
        <xdr:cNvCxnSpPr/>
      </xdr:nvCxnSpPr>
      <xdr:spPr>
        <a:xfrm flipV="1">
          <a:off x="4419600" y="8807450"/>
          <a:ext cx="1044575" cy="122917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42</xdr:row>
      <xdr:rowOff>13607</xdr:rowOff>
    </xdr:from>
    <xdr:to>
      <xdr:col>15</xdr:col>
      <xdr:colOff>1020536</xdr:colOff>
      <xdr:row>49</xdr:row>
      <xdr:rowOff>149679</xdr:rowOff>
    </xdr:to>
    <xdr:cxnSp macro="">
      <xdr:nvCxnSpPr>
        <xdr:cNvPr id="68" name="Connecteur droit avec flèche 67">
          <a:extLst>
            <a:ext uri="{FF2B5EF4-FFF2-40B4-BE49-F238E27FC236}">
              <a16:creationId xmlns:a16="http://schemas.microsoft.com/office/drawing/2014/main" id="{00000000-0008-0000-3700-000044000000}"/>
            </a:ext>
          </a:extLst>
        </xdr:cNvPr>
        <xdr:cNvCxnSpPr/>
      </xdr:nvCxnSpPr>
      <xdr:spPr>
        <a:xfrm flipV="1">
          <a:off x="4419600" y="9900557"/>
          <a:ext cx="1020536" cy="153624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44</xdr:row>
      <xdr:rowOff>13607</xdr:rowOff>
    </xdr:from>
    <xdr:to>
      <xdr:col>16</xdr:col>
      <xdr:colOff>0</xdr:colOff>
      <xdr:row>57</xdr:row>
      <xdr:rowOff>10582</xdr:rowOff>
    </xdr:to>
    <xdr:cxnSp macro="">
      <xdr:nvCxnSpPr>
        <xdr:cNvPr id="69" name="Connecteur droit avec flèche 68">
          <a:extLst>
            <a:ext uri="{FF2B5EF4-FFF2-40B4-BE49-F238E27FC236}">
              <a16:creationId xmlns:a16="http://schemas.microsoft.com/office/drawing/2014/main" id="{00000000-0008-0000-3700-000045000000}"/>
            </a:ext>
          </a:extLst>
        </xdr:cNvPr>
        <xdr:cNvCxnSpPr/>
      </xdr:nvCxnSpPr>
      <xdr:spPr>
        <a:xfrm flipV="1">
          <a:off x="4419600" y="10300607"/>
          <a:ext cx="1047750" cy="259730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36</xdr:row>
      <xdr:rowOff>10583</xdr:rowOff>
    </xdr:from>
    <xdr:to>
      <xdr:col>16</xdr:col>
      <xdr:colOff>16934</xdr:colOff>
      <xdr:row>48</xdr:row>
      <xdr:rowOff>146050</xdr:rowOff>
    </xdr:to>
    <xdr:cxnSp macro="">
      <xdr:nvCxnSpPr>
        <xdr:cNvPr id="70" name="Connecteur droit avec flèche 69">
          <a:extLst>
            <a:ext uri="{FF2B5EF4-FFF2-40B4-BE49-F238E27FC236}">
              <a16:creationId xmlns:a16="http://schemas.microsoft.com/office/drawing/2014/main" id="{00000000-0008-0000-3700-000046000000}"/>
            </a:ext>
          </a:extLst>
        </xdr:cNvPr>
        <xdr:cNvCxnSpPr/>
      </xdr:nvCxnSpPr>
      <xdr:spPr>
        <a:xfrm>
          <a:off x="4436534" y="8697383"/>
          <a:ext cx="1047750" cy="25357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29634</xdr:colOff>
      <xdr:row>43</xdr:row>
      <xdr:rowOff>40216</xdr:rowOff>
    </xdr:from>
    <xdr:to>
      <xdr:col>16</xdr:col>
      <xdr:colOff>25400</xdr:colOff>
      <xdr:row>50</xdr:row>
      <xdr:rowOff>133350</xdr:rowOff>
    </xdr:to>
    <xdr:cxnSp macro="">
      <xdr:nvCxnSpPr>
        <xdr:cNvPr id="71" name="Connecteur droit avec flèche 70">
          <a:extLst>
            <a:ext uri="{FF2B5EF4-FFF2-40B4-BE49-F238E27FC236}">
              <a16:creationId xmlns:a16="http://schemas.microsoft.com/office/drawing/2014/main" id="{00000000-0008-0000-3700-000047000000}"/>
            </a:ext>
          </a:extLst>
        </xdr:cNvPr>
        <xdr:cNvCxnSpPr/>
      </xdr:nvCxnSpPr>
      <xdr:spPr>
        <a:xfrm>
          <a:off x="4449234" y="10127191"/>
          <a:ext cx="1043516" cy="149330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50</xdr:row>
      <xdr:rowOff>27516</xdr:rowOff>
    </xdr:from>
    <xdr:to>
      <xdr:col>16</xdr:col>
      <xdr:colOff>12700</xdr:colOff>
      <xdr:row>55</xdr:row>
      <xdr:rowOff>107950</xdr:rowOff>
    </xdr:to>
    <xdr:cxnSp macro="">
      <xdr:nvCxnSpPr>
        <xdr:cNvPr id="72" name="Connecteur droit avec flèche 71">
          <a:extLst>
            <a:ext uri="{FF2B5EF4-FFF2-40B4-BE49-F238E27FC236}">
              <a16:creationId xmlns:a16="http://schemas.microsoft.com/office/drawing/2014/main" id="{00000000-0008-0000-3700-000048000000}"/>
            </a:ext>
          </a:extLst>
        </xdr:cNvPr>
        <xdr:cNvCxnSpPr/>
      </xdr:nvCxnSpPr>
      <xdr:spPr>
        <a:xfrm>
          <a:off x="4436534" y="11514666"/>
          <a:ext cx="1043516" cy="108055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57</xdr:row>
      <xdr:rowOff>10584</xdr:rowOff>
    </xdr:from>
    <xdr:to>
      <xdr:col>15</xdr:col>
      <xdr:colOff>1044575</xdr:colOff>
      <xdr:row>57</xdr:row>
      <xdr:rowOff>133350</xdr:rowOff>
    </xdr:to>
    <xdr:cxnSp macro="">
      <xdr:nvCxnSpPr>
        <xdr:cNvPr id="73" name="Connecteur droit avec flèche 72">
          <a:extLst>
            <a:ext uri="{FF2B5EF4-FFF2-40B4-BE49-F238E27FC236}">
              <a16:creationId xmlns:a16="http://schemas.microsoft.com/office/drawing/2014/main" id="{00000000-0008-0000-3700-000049000000}"/>
            </a:ext>
          </a:extLst>
        </xdr:cNvPr>
        <xdr:cNvCxnSpPr/>
      </xdr:nvCxnSpPr>
      <xdr:spPr>
        <a:xfrm>
          <a:off x="4436534" y="12897909"/>
          <a:ext cx="1027641" cy="12276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34</xdr:row>
      <xdr:rowOff>120651</xdr:rowOff>
    </xdr:from>
    <xdr:to>
      <xdr:col>22</xdr:col>
      <xdr:colOff>12700</xdr:colOff>
      <xdr:row>36</xdr:row>
      <xdr:rowOff>0</xdr:rowOff>
    </xdr:to>
    <xdr:cxnSp macro="">
      <xdr:nvCxnSpPr>
        <xdr:cNvPr id="74" name="Connecteur droit avec flèche 73">
          <a:extLst>
            <a:ext uri="{FF2B5EF4-FFF2-40B4-BE49-F238E27FC236}">
              <a16:creationId xmlns:a16="http://schemas.microsoft.com/office/drawing/2014/main" id="{00000000-0008-0000-3700-00004A000000}"/>
            </a:ext>
          </a:extLst>
        </xdr:cNvPr>
        <xdr:cNvCxnSpPr/>
      </xdr:nvCxnSpPr>
      <xdr:spPr>
        <a:xfrm flipV="1">
          <a:off x="9937297" y="84074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36</xdr:row>
      <xdr:rowOff>120650</xdr:rowOff>
    </xdr:from>
    <xdr:to>
      <xdr:col>22</xdr:col>
      <xdr:colOff>12700</xdr:colOff>
      <xdr:row>43</xdr:row>
      <xdr:rowOff>2116</xdr:rowOff>
    </xdr:to>
    <xdr:cxnSp macro="">
      <xdr:nvCxnSpPr>
        <xdr:cNvPr id="75" name="Connecteur droit avec flèche 74">
          <a:extLst>
            <a:ext uri="{FF2B5EF4-FFF2-40B4-BE49-F238E27FC236}">
              <a16:creationId xmlns:a16="http://schemas.microsoft.com/office/drawing/2014/main" id="{00000000-0008-0000-3700-00004B000000}"/>
            </a:ext>
          </a:extLst>
        </xdr:cNvPr>
        <xdr:cNvCxnSpPr/>
      </xdr:nvCxnSpPr>
      <xdr:spPr>
        <a:xfrm flipV="1">
          <a:off x="9913408" y="88074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36</xdr:row>
      <xdr:rowOff>13607</xdr:rowOff>
    </xdr:from>
    <xdr:to>
      <xdr:col>21</xdr:col>
      <xdr:colOff>1060450</xdr:colOff>
      <xdr:row>41</xdr:row>
      <xdr:rowOff>103724</xdr:rowOff>
    </xdr:to>
    <xdr:cxnSp macro="">
      <xdr:nvCxnSpPr>
        <xdr:cNvPr id="76" name="Connecteur droit avec flèche 75">
          <a:extLst>
            <a:ext uri="{FF2B5EF4-FFF2-40B4-BE49-F238E27FC236}">
              <a16:creationId xmlns:a16="http://schemas.microsoft.com/office/drawing/2014/main" id="{00000000-0008-0000-3700-00004C000000}"/>
            </a:ext>
          </a:extLst>
        </xdr:cNvPr>
        <xdr:cNvCxnSpPr/>
      </xdr:nvCxnSpPr>
      <xdr:spPr>
        <a:xfrm>
          <a:off x="9910083" y="87004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43</xdr:row>
      <xdr:rowOff>2123</xdr:rowOff>
    </xdr:from>
    <xdr:to>
      <xdr:col>21</xdr:col>
      <xdr:colOff>1059392</xdr:colOff>
      <xdr:row>43</xdr:row>
      <xdr:rowOff>120656</xdr:rowOff>
    </xdr:to>
    <xdr:cxnSp macro="">
      <xdr:nvCxnSpPr>
        <xdr:cNvPr id="77" name="Connecteur droit avec flèche 76">
          <a:extLst>
            <a:ext uri="{FF2B5EF4-FFF2-40B4-BE49-F238E27FC236}">
              <a16:creationId xmlns:a16="http://schemas.microsoft.com/office/drawing/2014/main" id="{00000000-0008-0000-3700-00004D000000}"/>
            </a:ext>
          </a:extLst>
        </xdr:cNvPr>
        <xdr:cNvCxnSpPr/>
      </xdr:nvCxnSpPr>
      <xdr:spPr>
        <a:xfrm>
          <a:off x="9896475" y="100890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33867</xdr:colOff>
      <xdr:row>48</xdr:row>
      <xdr:rowOff>120650</xdr:rowOff>
    </xdr:from>
    <xdr:to>
      <xdr:col>22</xdr:col>
      <xdr:colOff>12700</xdr:colOff>
      <xdr:row>48</xdr:row>
      <xdr:rowOff>188383</xdr:rowOff>
    </xdr:to>
    <xdr:cxnSp macro="">
      <xdr:nvCxnSpPr>
        <xdr:cNvPr id="78" name="Connecteur droit avec flèche 77">
          <a:extLst>
            <a:ext uri="{FF2B5EF4-FFF2-40B4-BE49-F238E27FC236}">
              <a16:creationId xmlns:a16="http://schemas.microsoft.com/office/drawing/2014/main" id="{00000000-0008-0000-3700-00004E000000}"/>
            </a:ext>
          </a:extLst>
        </xdr:cNvPr>
        <xdr:cNvCxnSpPr/>
      </xdr:nvCxnSpPr>
      <xdr:spPr>
        <a:xfrm flipV="1">
          <a:off x="9930342" y="11207750"/>
          <a:ext cx="1036108" cy="67733"/>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50</xdr:row>
      <xdr:rowOff>120650</xdr:rowOff>
    </xdr:from>
    <xdr:to>
      <xdr:col>22</xdr:col>
      <xdr:colOff>12700</xdr:colOff>
      <xdr:row>57</xdr:row>
      <xdr:rowOff>2116</xdr:rowOff>
    </xdr:to>
    <xdr:cxnSp macro="">
      <xdr:nvCxnSpPr>
        <xdr:cNvPr id="79" name="Connecteur droit avec flèche 78">
          <a:extLst>
            <a:ext uri="{FF2B5EF4-FFF2-40B4-BE49-F238E27FC236}">
              <a16:creationId xmlns:a16="http://schemas.microsoft.com/office/drawing/2014/main" id="{00000000-0008-0000-3700-00004F000000}"/>
            </a:ext>
          </a:extLst>
        </xdr:cNvPr>
        <xdr:cNvCxnSpPr/>
      </xdr:nvCxnSpPr>
      <xdr:spPr>
        <a:xfrm flipV="1">
          <a:off x="9913408" y="11607800"/>
          <a:ext cx="1053042" cy="1281641"/>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48</xdr:row>
      <xdr:rowOff>188390</xdr:rowOff>
    </xdr:from>
    <xdr:to>
      <xdr:col>21</xdr:col>
      <xdr:colOff>1060450</xdr:colOff>
      <xdr:row>55</xdr:row>
      <xdr:rowOff>103724</xdr:rowOff>
    </xdr:to>
    <xdr:cxnSp macro="">
      <xdr:nvCxnSpPr>
        <xdr:cNvPr id="80" name="Connecteur droit avec flèche 79">
          <a:extLst>
            <a:ext uri="{FF2B5EF4-FFF2-40B4-BE49-F238E27FC236}">
              <a16:creationId xmlns:a16="http://schemas.microsoft.com/office/drawing/2014/main" id="{00000000-0008-0000-3700-000050000000}"/>
            </a:ext>
          </a:extLst>
        </xdr:cNvPr>
        <xdr:cNvCxnSpPr/>
      </xdr:nvCxnSpPr>
      <xdr:spPr>
        <a:xfrm>
          <a:off x="9896475" y="11275490"/>
          <a:ext cx="1060450" cy="1315509"/>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57</xdr:row>
      <xdr:rowOff>2123</xdr:rowOff>
    </xdr:from>
    <xdr:to>
      <xdr:col>21</xdr:col>
      <xdr:colOff>1059392</xdr:colOff>
      <xdr:row>57</xdr:row>
      <xdr:rowOff>120656</xdr:rowOff>
    </xdr:to>
    <xdr:cxnSp macro="">
      <xdr:nvCxnSpPr>
        <xdr:cNvPr id="81" name="Connecteur droit avec flèche 80">
          <a:extLst>
            <a:ext uri="{FF2B5EF4-FFF2-40B4-BE49-F238E27FC236}">
              <a16:creationId xmlns:a16="http://schemas.microsoft.com/office/drawing/2014/main" id="{00000000-0008-0000-3700-000051000000}"/>
            </a:ext>
          </a:extLst>
        </xdr:cNvPr>
        <xdr:cNvCxnSpPr/>
      </xdr:nvCxnSpPr>
      <xdr:spPr>
        <a:xfrm>
          <a:off x="9896475" y="12889448"/>
          <a:ext cx="1059392" cy="118533"/>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17859</xdr:colOff>
      <xdr:row>62</xdr:row>
      <xdr:rowOff>190500</xdr:rowOff>
    </xdr:from>
    <xdr:to>
      <xdr:col>16</xdr:col>
      <xdr:colOff>15875</xdr:colOff>
      <xdr:row>62</xdr:row>
      <xdr:rowOff>190502</xdr:rowOff>
    </xdr:to>
    <xdr:cxnSp macro="">
      <xdr:nvCxnSpPr>
        <xdr:cNvPr id="82" name="Connecteur droit avec flèche 81">
          <a:extLst>
            <a:ext uri="{FF2B5EF4-FFF2-40B4-BE49-F238E27FC236}">
              <a16:creationId xmlns:a16="http://schemas.microsoft.com/office/drawing/2014/main" id="{00000000-0008-0000-3700-000052000000}"/>
            </a:ext>
          </a:extLst>
        </xdr:cNvPr>
        <xdr:cNvCxnSpPr/>
      </xdr:nvCxnSpPr>
      <xdr:spPr>
        <a:xfrm>
          <a:off x="4485084" y="2876550"/>
          <a:ext cx="1045766" cy="2"/>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149679</xdr:colOff>
      <xdr:row>62</xdr:row>
      <xdr:rowOff>136072</xdr:rowOff>
    </xdr:from>
    <xdr:to>
      <xdr:col>22</xdr:col>
      <xdr:colOff>22411</xdr:colOff>
      <xdr:row>63</xdr:row>
      <xdr:rowOff>11206</xdr:rowOff>
    </xdr:to>
    <xdr:cxnSp macro="">
      <xdr:nvCxnSpPr>
        <xdr:cNvPr id="83" name="Connecteur droit avec flèche 82">
          <a:extLst>
            <a:ext uri="{FF2B5EF4-FFF2-40B4-BE49-F238E27FC236}">
              <a16:creationId xmlns:a16="http://schemas.microsoft.com/office/drawing/2014/main" id="{00000000-0008-0000-3700-000053000000}"/>
            </a:ext>
          </a:extLst>
        </xdr:cNvPr>
        <xdr:cNvCxnSpPr/>
      </xdr:nvCxnSpPr>
      <xdr:spPr>
        <a:xfrm>
          <a:off x="10089297" y="14132219"/>
          <a:ext cx="926085" cy="7684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68036</xdr:colOff>
      <xdr:row>65</xdr:row>
      <xdr:rowOff>67235</xdr:rowOff>
    </xdr:from>
    <xdr:to>
      <xdr:col>21</xdr:col>
      <xdr:colOff>1030941</xdr:colOff>
      <xdr:row>68</xdr:row>
      <xdr:rowOff>81643</xdr:rowOff>
    </xdr:to>
    <xdr:cxnSp macro="">
      <xdr:nvCxnSpPr>
        <xdr:cNvPr id="84" name="Connecteur droit avec flèche 83">
          <a:extLst>
            <a:ext uri="{FF2B5EF4-FFF2-40B4-BE49-F238E27FC236}">
              <a16:creationId xmlns:a16="http://schemas.microsoft.com/office/drawing/2014/main" id="{00000000-0008-0000-3700-000054000000}"/>
            </a:ext>
          </a:extLst>
        </xdr:cNvPr>
        <xdr:cNvCxnSpPr/>
      </xdr:nvCxnSpPr>
      <xdr:spPr>
        <a:xfrm flipV="1">
          <a:off x="10007654" y="14668500"/>
          <a:ext cx="962905" cy="619525"/>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81410</xdr:colOff>
      <xdr:row>68</xdr:row>
      <xdr:rowOff>97693</xdr:rowOff>
    </xdr:from>
    <xdr:to>
      <xdr:col>22</xdr:col>
      <xdr:colOff>0</xdr:colOff>
      <xdr:row>69</xdr:row>
      <xdr:rowOff>44824</xdr:rowOff>
    </xdr:to>
    <xdr:cxnSp macro="">
      <xdr:nvCxnSpPr>
        <xdr:cNvPr id="85" name="Connecteur droit avec flèche 84">
          <a:extLst>
            <a:ext uri="{FF2B5EF4-FFF2-40B4-BE49-F238E27FC236}">
              <a16:creationId xmlns:a16="http://schemas.microsoft.com/office/drawing/2014/main" id="{00000000-0008-0000-3700-000055000000}"/>
            </a:ext>
          </a:extLst>
        </xdr:cNvPr>
        <xdr:cNvCxnSpPr/>
      </xdr:nvCxnSpPr>
      <xdr:spPr>
        <a:xfrm>
          <a:off x="10021028" y="15304075"/>
          <a:ext cx="971943" cy="14883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3571</xdr:colOff>
      <xdr:row>67</xdr:row>
      <xdr:rowOff>200025</xdr:rowOff>
    </xdr:from>
    <xdr:to>
      <xdr:col>16</xdr:col>
      <xdr:colOff>1587</xdr:colOff>
      <xdr:row>67</xdr:row>
      <xdr:rowOff>200027</xdr:rowOff>
    </xdr:to>
    <xdr:cxnSp macro="">
      <xdr:nvCxnSpPr>
        <xdr:cNvPr id="86" name="Connecteur droit avec flèche 85">
          <a:extLst>
            <a:ext uri="{FF2B5EF4-FFF2-40B4-BE49-F238E27FC236}">
              <a16:creationId xmlns:a16="http://schemas.microsoft.com/office/drawing/2014/main" id="{00000000-0008-0000-3700-000056000000}"/>
            </a:ext>
          </a:extLst>
        </xdr:cNvPr>
        <xdr:cNvCxnSpPr/>
      </xdr:nvCxnSpPr>
      <xdr:spPr>
        <a:xfrm>
          <a:off x="4470796" y="4686300"/>
          <a:ext cx="1045766" cy="2"/>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65128</xdr:colOff>
      <xdr:row>69</xdr:row>
      <xdr:rowOff>73269</xdr:rowOff>
    </xdr:from>
    <xdr:to>
      <xdr:col>16</xdr:col>
      <xdr:colOff>0</xdr:colOff>
      <xdr:row>72</xdr:row>
      <xdr:rowOff>122115</xdr:rowOff>
    </xdr:to>
    <xdr:cxnSp macro="">
      <xdr:nvCxnSpPr>
        <xdr:cNvPr id="87" name="Connecteur droit avec flèche 86">
          <a:extLst>
            <a:ext uri="{FF2B5EF4-FFF2-40B4-BE49-F238E27FC236}">
              <a16:creationId xmlns:a16="http://schemas.microsoft.com/office/drawing/2014/main" id="{00000000-0008-0000-3700-000057000000}"/>
            </a:ext>
          </a:extLst>
        </xdr:cNvPr>
        <xdr:cNvCxnSpPr/>
      </xdr:nvCxnSpPr>
      <xdr:spPr>
        <a:xfrm flipV="1">
          <a:off x="12366218" y="15598205"/>
          <a:ext cx="1302564" cy="659423"/>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2071007</xdr:colOff>
      <xdr:row>67</xdr:row>
      <xdr:rowOff>81644</xdr:rowOff>
    </xdr:from>
    <xdr:to>
      <xdr:col>13</xdr:col>
      <xdr:colOff>344176</xdr:colOff>
      <xdr:row>68</xdr:row>
      <xdr:rowOff>147784</xdr:rowOff>
    </xdr:to>
    <xdr:sp macro="" textlink="">
      <xdr:nvSpPr>
        <xdr:cNvPr id="88" name="Rectangle à coins arrondis 25">
          <a:extLst>
            <a:ext uri="{FF2B5EF4-FFF2-40B4-BE49-F238E27FC236}">
              <a16:creationId xmlns:a16="http://schemas.microsoft.com/office/drawing/2014/main" id="{00000000-0008-0000-3700-000058000000}"/>
            </a:ext>
          </a:extLst>
        </xdr:cNvPr>
        <xdr:cNvSpPr/>
      </xdr:nvSpPr>
      <xdr:spPr bwMode="auto">
        <a:xfrm>
          <a:off x="11228614" y="15634608"/>
          <a:ext cx="708848" cy="270247"/>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twoCellAnchor>
    <xdr:from>
      <xdr:col>12</xdr:col>
      <xdr:colOff>2043793</xdr:colOff>
      <xdr:row>62</xdr:row>
      <xdr:rowOff>57151</xdr:rowOff>
    </xdr:from>
    <xdr:to>
      <xdr:col>13</xdr:col>
      <xdr:colOff>316962</xdr:colOff>
      <xdr:row>63</xdr:row>
      <xdr:rowOff>123291</xdr:rowOff>
    </xdr:to>
    <xdr:sp macro="" textlink="">
      <xdr:nvSpPr>
        <xdr:cNvPr id="89" name="Rectangle à coins arrondis 25">
          <a:extLst>
            <a:ext uri="{FF2B5EF4-FFF2-40B4-BE49-F238E27FC236}">
              <a16:creationId xmlns:a16="http://schemas.microsoft.com/office/drawing/2014/main" id="{00000000-0008-0000-3700-000059000000}"/>
            </a:ext>
          </a:extLst>
        </xdr:cNvPr>
        <xdr:cNvSpPr/>
      </xdr:nvSpPr>
      <xdr:spPr bwMode="auto">
        <a:xfrm>
          <a:off x="11201400" y="14181365"/>
          <a:ext cx="708848" cy="270247"/>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twoCellAnchor>
    <xdr:from>
      <xdr:col>12</xdr:col>
      <xdr:colOff>2084615</xdr:colOff>
      <xdr:row>72</xdr:row>
      <xdr:rowOff>73479</xdr:rowOff>
    </xdr:from>
    <xdr:to>
      <xdr:col>13</xdr:col>
      <xdr:colOff>357784</xdr:colOff>
      <xdr:row>73</xdr:row>
      <xdr:rowOff>139619</xdr:rowOff>
    </xdr:to>
    <xdr:sp macro="" textlink="">
      <xdr:nvSpPr>
        <xdr:cNvPr id="90" name="Rectangle à coins arrondis 25">
          <a:extLst>
            <a:ext uri="{FF2B5EF4-FFF2-40B4-BE49-F238E27FC236}">
              <a16:creationId xmlns:a16="http://schemas.microsoft.com/office/drawing/2014/main" id="{00000000-0008-0000-3700-00005A000000}"/>
            </a:ext>
          </a:extLst>
        </xdr:cNvPr>
        <xdr:cNvSpPr/>
      </xdr:nvSpPr>
      <xdr:spPr bwMode="auto">
        <a:xfrm>
          <a:off x="11242222" y="17055193"/>
          <a:ext cx="708848" cy="270247"/>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twoCellAnchor>
    <xdr:from>
      <xdr:col>18</xdr:col>
      <xdr:colOff>2022021</xdr:colOff>
      <xdr:row>62</xdr:row>
      <xdr:rowOff>48986</xdr:rowOff>
    </xdr:from>
    <xdr:to>
      <xdr:col>19</xdr:col>
      <xdr:colOff>295191</xdr:colOff>
      <xdr:row>63</xdr:row>
      <xdr:rowOff>115126</xdr:rowOff>
    </xdr:to>
    <xdr:sp macro="" textlink="">
      <xdr:nvSpPr>
        <xdr:cNvPr id="91" name="Rectangle à coins arrondis 25">
          <a:extLst>
            <a:ext uri="{FF2B5EF4-FFF2-40B4-BE49-F238E27FC236}">
              <a16:creationId xmlns:a16="http://schemas.microsoft.com/office/drawing/2014/main" id="{00000000-0008-0000-3700-00005B000000}"/>
            </a:ext>
          </a:extLst>
        </xdr:cNvPr>
        <xdr:cNvSpPr/>
      </xdr:nvSpPr>
      <xdr:spPr bwMode="auto">
        <a:xfrm>
          <a:off x="16663307" y="14173200"/>
          <a:ext cx="708848" cy="270247"/>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33</xdr:col>
      <xdr:colOff>367393</xdr:colOff>
      <xdr:row>31</xdr:row>
      <xdr:rowOff>73480</xdr:rowOff>
    </xdr:from>
    <xdr:to>
      <xdr:col>33</xdr:col>
      <xdr:colOff>2272393</xdr:colOff>
      <xdr:row>35</xdr:row>
      <xdr:rowOff>5445</xdr:rowOff>
    </xdr:to>
    <xdr:sp macro="[0]!JMK_Trans_FDUEL1" textlink="">
      <xdr:nvSpPr>
        <xdr:cNvPr id="34" name="Rectangle à coins arrondis 33">
          <a:extLst>
            <a:ext uri="{FF2B5EF4-FFF2-40B4-BE49-F238E27FC236}">
              <a16:creationId xmlns:a16="http://schemas.microsoft.com/office/drawing/2014/main" id="{00000000-0008-0000-3800-000022000000}"/>
            </a:ext>
          </a:extLst>
        </xdr:cNvPr>
        <xdr:cNvSpPr/>
      </xdr:nvSpPr>
      <xdr:spPr bwMode="auto">
        <a:xfrm>
          <a:off x="17493343" y="7760155"/>
          <a:ext cx="1905000" cy="7320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1</a:t>
          </a:r>
          <a:r>
            <a:rPr lang="fr-FR" sz="1600"/>
            <a:t> </a:t>
          </a:r>
        </a:p>
      </xdr:txBody>
    </xdr:sp>
    <xdr:clientData fPrintsWithSheet="0"/>
  </xdr:twoCellAnchor>
  <xdr:twoCellAnchor>
    <xdr:from>
      <xdr:col>34</xdr:col>
      <xdr:colOff>261257</xdr:colOff>
      <xdr:row>31</xdr:row>
      <xdr:rowOff>73480</xdr:rowOff>
    </xdr:from>
    <xdr:to>
      <xdr:col>34</xdr:col>
      <xdr:colOff>2166257</xdr:colOff>
      <xdr:row>35</xdr:row>
      <xdr:rowOff>5445</xdr:rowOff>
    </xdr:to>
    <xdr:sp macro="[0]!JMK_Trans_FDUEL2" textlink="">
      <xdr:nvSpPr>
        <xdr:cNvPr id="35" name="Rectangle à coins arrondis 34">
          <a:extLst>
            <a:ext uri="{FF2B5EF4-FFF2-40B4-BE49-F238E27FC236}">
              <a16:creationId xmlns:a16="http://schemas.microsoft.com/office/drawing/2014/main" id="{00000000-0008-0000-3800-000023000000}"/>
            </a:ext>
          </a:extLst>
        </xdr:cNvPr>
        <xdr:cNvSpPr/>
      </xdr:nvSpPr>
      <xdr:spPr bwMode="auto">
        <a:xfrm>
          <a:off x="19844657" y="7760155"/>
          <a:ext cx="1905000" cy="7320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2</a:t>
          </a:r>
          <a:r>
            <a:rPr lang="fr-FR" sz="1600"/>
            <a:t> </a:t>
          </a:r>
        </a:p>
      </xdr:txBody>
    </xdr:sp>
    <xdr:clientData fPrintsWithSheet="0"/>
  </xdr:twoCellAnchor>
  <xdr:twoCellAnchor>
    <xdr:from>
      <xdr:col>35</xdr:col>
      <xdr:colOff>155122</xdr:colOff>
      <xdr:row>31</xdr:row>
      <xdr:rowOff>73480</xdr:rowOff>
    </xdr:from>
    <xdr:to>
      <xdr:col>35</xdr:col>
      <xdr:colOff>2060122</xdr:colOff>
      <xdr:row>35</xdr:row>
      <xdr:rowOff>5445</xdr:rowOff>
    </xdr:to>
    <xdr:sp macro="[0]!JMK_Trans_FDUEL3" textlink="">
      <xdr:nvSpPr>
        <xdr:cNvPr id="36" name="Rectangle à coins arrondis 35">
          <a:extLst>
            <a:ext uri="{FF2B5EF4-FFF2-40B4-BE49-F238E27FC236}">
              <a16:creationId xmlns:a16="http://schemas.microsoft.com/office/drawing/2014/main" id="{00000000-0008-0000-3800-000024000000}"/>
            </a:ext>
          </a:extLst>
        </xdr:cNvPr>
        <xdr:cNvSpPr/>
      </xdr:nvSpPr>
      <xdr:spPr bwMode="auto">
        <a:xfrm>
          <a:off x="22195972" y="7760155"/>
          <a:ext cx="1905000" cy="7320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3</a:t>
          </a:r>
          <a:r>
            <a:rPr lang="fr-FR" sz="1600"/>
            <a:t> </a:t>
          </a:r>
        </a:p>
      </xdr:txBody>
    </xdr:sp>
    <xdr:clientData fPrintsWithSheet="0"/>
  </xdr:twoCellAnchor>
  <xdr:twoCellAnchor>
    <xdr:from>
      <xdr:col>34</xdr:col>
      <xdr:colOff>1682749</xdr:colOff>
      <xdr:row>38</xdr:row>
      <xdr:rowOff>0</xdr:rowOff>
    </xdr:from>
    <xdr:to>
      <xdr:col>35</xdr:col>
      <xdr:colOff>1127124</xdr:colOff>
      <xdr:row>44</xdr:row>
      <xdr:rowOff>31750</xdr:rowOff>
    </xdr:to>
    <xdr:sp macro="[0]!JMK_ZI_Résultat_Final" textlink="">
      <xdr:nvSpPr>
        <xdr:cNvPr id="40" name="Rectangle à coins arrondis 39">
          <a:extLst>
            <a:ext uri="{FF2B5EF4-FFF2-40B4-BE49-F238E27FC236}">
              <a16:creationId xmlns:a16="http://schemas.microsoft.com/office/drawing/2014/main" id="{00000000-0008-0000-3800-000028000000}"/>
            </a:ext>
          </a:extLst>
        </xdr:cNvPr>
        <xdr:cNvSpPr/>
      </xdr:nvSpPr>
      <xdr:spPr bwMode="auto">
        <a:xfrm>
          <a:off x="21266149" y="9086850"/>
          <a:ext cx="1901825" cy="1231900"/>
        </a:xfrm>
        <a:prstGeom prst="roundRect">
          <a:avLst/>
        </a:prstGeom>
        <a:solidFill>
          <a:srgbClr val="00FF99"/>
        </a:solidFill>
        <a:ln w="9525" cap="flat" cmpd="sng" algn="ctr">
          <a:solidFill>
            <a:srgbClr val="400000"/>
          </a:solidFill>
          <a:prstDash val="solid"/>
          <a:round/>
          <a:headEnd type="none" w="med" len="med"/>
          <a:tailEnd type="none" w="med" len="med"/>
        </a:ln>
        <a:effectLst/>
      </xdr:spPr>
      <xdr:txBody>
        <a:bodyPr rot="0" spcFirstLastPara="0" vertOverflow="clip" horzOverflow="clip" vert="horz" wrap="square" lIns="18288" tIns="0" rIns="0" bIns="0" numCol="1" spcCol="0" rtlCol="0" fromWordArt="0" anchor="ctr" anchorCtr="0" forceAA="0" upright="1" compatLnSpc="1">
          <a:prstTxWarp prst="textNoShape">
            <a:avLst/>
          </a:prstTxWarp>
          <a:noAutofit/>
        </a:bodyPr>
        <a:lstStyle/>
        <a:p>
          <a:pPr algn="ctr"/>
          <a:r>
            <a:rPr lang="fr-FR" sz="2000"/>
            <a:t>Impression</a:t>
          </a:r>
          <a:r>
            <a:rPr lang="fr-FR" sz="2000" baseline="0"/>
            <a:t> du CLASSEMENT FINAL</a:t>
          </a:r>
          <a:endParaRPr lang="fr-FR" sz="2000"/>
        </a:p>
      </xdr:txBody>
    </xdr:sp>
    <xdr:clientData fPrintsWithSheet="0"/>
  </xdr:twoCellAnchor>
  <xdr:twoCellAnchor>
    <xdr:from>
      <xdr:col>24</xdr:col>
      <xdr:colOff>984250</xdr:colOff>
      <xdr:row>0</xdr:row>
      <xdr:rowOff>317500</xdr:rowOff>
    </xdr:from>
    <xdr:to>
      <xdr:col>25</xdr:col>
      <xdr:colOff>63500</xdr:colOff>
      <xdr:row>1</xdr:row>
      <xdr:rowOff>412750</xdr:rowOff>
    </xdr:to>
    <xdr:sp macro="[0]!jmk_RETOUR_MENU" textlink="">
      <xdr:nvSpPr>
        <xdr:cNvPr id="41" name="Rectangle à coins arrondis 40">
          <a:extLst>
            <a:ext uri="{FF2B5EF4-FFF2-40B4-BE49-F238E27FC236}">
              <a16:creationId xmlns:a16="http://schemas.microsoft.com/office/drawing/2014/main" id="{00000000-0008-0000-3800-000029000000}"/>
            </a:ext>
          </a:extLst>
        </xdr:cNvPr>
        <xdr:cNvSpPr/>
      </xdr:nvSpPr>
      <xdr:spPr bwMode="auto">
        <a:xfrm>
          <a:off x="12804775" y="317500"/>
          <a:ext cx="1517650" cy="80010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Retour aux MENUS</a:t>
          </a:r>
        </a:p>
      </xdr:txBody>
    </xdr:sp>
    <xdr:clientData fPrintsWithSheet="0"/>
  </xdr:twoCellAnchor>
  <xdr:twoCellAnchor editAs="oneCell">
    <xdr:from>
      <xdr:col>10</xdr:col>
      <xdr:colOff>95250</xdr:colOff>
      <xdr:row>0</xdr:row>
      <xdr:rowOff>111125</xdr:rowOff>
    </xdr:from>
    <xdr:to>
      <xdr:col>12</xdr:col>
      <xdr:colOff>1063625</xdr:colOff>
      <xdr:row>1</xdr:row>
      <xdr:rowOff>542925</xdr:rowOff>
    </xdr:to>
    <xdr:pic>
      <xdr:nvPicPr>
        <xdr:cNvPr id="42" name="Image 41">
          <a:extLst>
            <a:ext uri="{FF2B5EF4-FFF2-40B4-BE49-F238E27FC236}">
              <a16:creationId xmlns:a16="http://schemas.microsoft.com/office/drawing/2014/main" id="{00000000-0008-0000-38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11125"/>
          <a:ext cx="1911350" cy="1136650"/>
        </a:xfrm>
        <a:prstGeom prst="rect">
          <a:avLst/>
        </a:prstGeom>
      </xdr:spPr>
    </xdr:pic>
    <xdr:clientData/>
  </xdr:twoCellAnchor>
  <xdr:twoCellAnchor editAs="oneCell">
    <xdr:from>
      <xdr:col>35</xdr:col>
      <xdr:colOff>1444625</xdr:colOff>
      <xdr:row>2</xdr:row>
      <xdr:rowOff>396875</xdr:rowOff>
    </xdr:from>
    <xdr:to>
      <xdr:col>35</xdr:col>
      <xdr:colOff>2381250</xdr:colOff>
      <xdr:row>4</xdr:row>
      <xdr:rowOff>144542</xdr:rowOff>
    </xdr:to>
    <xdr:pic>
      <xdr:nvPicPr>
        <xdr:cNvPr id="43" name="Image 42">
          <a:extLst>
            <a:ext uri="{FF2B5EF4-FFF2-40B4-BE49-F238E27FC236}">
              <a16:creationId xmlns:a16="http://schemas.microsoft.com/office/drawing/2014/main" id="{00000000-0008-0000-3800-00002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485475" y="1882775"/>
          <a:ext cx="936625" cy="547767"/>
        </a:xfrm>
        <a:prstGeom prst="rect">
          <a:avLst/>
        </a:prstGeom>
      </xdr:spPr>
    </xdr:pic>
    <xdr:clientData/>
  </xdr:twoCellAnchor>
  <xdr:twoCellAnchor>
    <xdr:from>
      <xdr:col>33</xdr:col>
      <xdr:colOff>698500</xdr:colOff>
      <xdr:row>36</xdr:row>
      <xdr:rowOff>0</xdr:rowOff>
    </xdr:from>
    <xdr:to>
      <xdr:col>33</xdr:col>
      <xdr:colOff>2020661</xdr:colOff>
      <xdr:row>40</xdr:row>
      <xdr:rowOff>13607</xdr:rowOff>
    </xdr:to>
    <xdr:sp macro="[0]!Imp_DUEL_Tableau" textlink="">
      <xdr:nvSpPr>
        <xdr:cNvPr id="54" name="Rectangle à coins arrondis 53">
          <a:extLst>
            <a:ext uri="{FF2B5EF4-FFF2-40B4-BE49-F238E27FC236}">
              <a16:creationId xmlns:a16="http://schemas.microsoft.com/office/drawing/2014/main" id="{00000000-0008-0000-3800-000036000000}"/>
            </a:ext>
          </a:extLst>
        </xdr:cNvPr>
        <xdr:cNvSpPr/>
      </xdr:nvSpPr>
      <xdr:spPr bwMode="auto">
        <a:xfrm>
          <a:off x="22098000" y="8890000"/>
          <a:ext cx="1322161" cy="839107"/>
        </a:xfrm>
        <a:prstGeom prst="roundRect">
          <a:avLst/>
        </a:prstGeom>
        <a:solidFill>
          <a:srgbClr val="E923EE"/>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 TABLEAU des</a:t>
          </a:r>
          <a:r>
            <a:rPr lang="fr-FR" sz="1600" baseline="0"/>
            <a:t> DUELS</a:t>
          </a:r>
          <a:endParaRPr lang="fr-FR" sz="1600"/>
        </a:p>
      </xdr:txBody>
    </xdr:sp>
    <xdr:clientData/>
  </xdr:twoCellAnchor>
  <xdr:twoCellAnchor>
    <xdr:from>
      <xdr:col>15</xdr:col>
      <xdr:colOff>40822</xdr:colOff>
      <xdr:row>6</xdr:row>
      <xdr:rowOff>95250</xdr:rowOff>
    </xdr:from>
    <xdr:to>
      <xdr:col>16</xdr:col>
      <xdr:colOff>0</xdr:colOff>
      <xdr:row>7</xdr:row>
      <xdr:rowOff>176893</xdr:rowOff>
    </xdr:to>
    <xdr:cxnSp macro="">
      <xdr:nvCxnSpPr>
        <xdr:cNvPr id="37" name="Connecteur droit avec flèche 36">
          <a:extLst>
            <a:ext uri="{FF2B5EF4-FFF2-40B4-BE49-F238E27FC236}">
              <a16:creationId xmlns:a16="http://schemas.microsoft.com/office/drawing/2014/main" id="{00000000-0008-0000-3800-000025000000}"/>
            </a:ext>
          </a:extLst>
        </xdr:cNvPr>
        <xdr:cNvCxnSpPr/>
      </xdr:nvCxnSpPr>
      <xdr:spPr>
        <a:xfrm flipV="1">
          <a:off x="4460422" y="2781300"/>
          <a:ext cx="1006928" cy="28166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8</xdr:row>
      <xdr:rowOff>120650</xdr:rowOff>
    </xdr:from>
    <xdr:to>
      <xdr:col>15</xdr:col>
      <xdr:colOff>1044575</xdr:colOff>
      <xdr:row>14</xdr:row>
      <xdr:rowOff>149678</xdr:rowOff>
    </xdr:to>
    <xdr:cxnSp macro="">
      <xdr:nvCxnSpPr>
        <xdr:cNvPr id="38" name="Connecteur droit avec flèche 37">
          <a:extLst>
            <a:ext uri="{FF2B5EF4-FFF2-40B4-BE49-F238E27FC236}">
              <a16:creationId xmlns:a16="http://schemas.microsoft.com/office/drawing/2014/main" id="{00000000-0008-0000-3800-000026000000}"/>
            </a:ext>
          </a:extLst>
        </xdr:cNvPr>
        <xdr:cNvCxnSpPr/>
      </xdr:nvCxnSpPr>
      <xdr:spPr>
        <a:xfrm flipV="1">
          <a:off x="4419600" y="3206750"/>
          <a:ext cx="1044575" cy="122917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14</xdr:row>
      <xdr:rowOff>13607</xdr:rowOff>
    </xdr:from>
    <xdr:to>
      <xdr:col>15</xdr:col>
      <xdr:colOff>1020536</xdr:colOff>
      <xdr:row>21</xdr:row>
      <xdr:rowOff>149679</xdr:rowOff>
    </xdr:to>
    <xdr:cxnSp macro="">
      <xdr:nvCxnSpPr>
        <xdr:cNvPr id="39" name="Connecteur droit avec flèche 38">
          <a:extLst>
            <a:ext uri="{FF2B5EF4-FFF2-40B4-BE49-F238E27FC236}">
              <a16:creationId xmlns:a16="http://schemas.microsoft.com/office/drawing/2014/main" id="{00000000-0008-0000-3800-000027000000}"/>
            </a:ext>
          </a:extLst>
        </xdr:cNvPr>
        <xdr:cNvCxnSpPr/>
      </xdr:nvCxnSpPr>
      <xdr:spPr>
        <a:xfrm flipV="1">
          <a:off x="4419600" y="4299857"/>
          <a:ext cx="1020536" cy="153624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16</xdr:row>
      <xdr:rowOff>13607</xdr:rowOff>
    </xdr:from>
    <xdr:to>
      <xdr:col>16</xdr:col>
      <xdr:colOff>0</xdr:colOff>
      <xdr:row>29</xdr:row>
      <xdr:rowOff>10582</xdr:rowOff>
    </xdr:to>
    <xdr:cxnSp macro="">
      <xdr:nvCxnSpPr>
        <xdr:cNvPr id="55" name="Connecteur droit avec flèche 54">
          <a:extLst>
            <a:ext uri="{FF2B5EF4-FFF2-40B4-BE49-F238E27FC236}">
              <a16:creationId xmlns:a16="http://schemas.microsoft.com/office/drawing/2014/main" id="{00000000-0008-0000-3800-000037000000}"/>
            </a:ext>
          </a:extLst>
        </xdr:cNvPr>
        <xdr:cNvCxnSpPr/>
      </xdr:nvCxnSpPr>
      <xdr:spPr>
        <a:xfrm flipV="1">
          <a:off x="4419600" y="4699907"/>
          <a:ext cx="1047750" cy="259730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8</xdr:row>
      <xdr:rowOff>10583</xdr:rowOff>
    </xdr:from>
    <xdr:to>
      <xdr:col>16</xdr:col>
      <xdr:colOff>16934</xdr:colOff>
      <xdr:row>20</xdr:row>
      <xdr:rowOff>146050</xdr:rowOff>
    </xdr:to>
    <xdr:cxnSp macro="">
      <xdr:nvCxnSpPr>
        <xdr:cNvPr id="56" name="Connecteur droit avec flèche 55">
          <a:extLst>
            <a:ext uri="{FF2B5EF4-FFF2-40B4-BE49-F238E27FC236}">
              <a16:creationId xmlns:a16="http://schemas.microsoft.com/office/drawing/2014/main" id="{00000000-0008-0000-3800-000038000000}"/>
            </a:ext>
          </a:extLst>
        </xdr:cNvPr>
        <xdr:cNvCxnSpPr/>
      </xdr:nvCxnSpPr>
      <xdr:spPr>
        <a:xfrm>
          <a:off x="4436534" y="3096683"/>
          <a:ext cx="1047750" cy="25357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29634</xdr:colOff>
      <xdr:row>15</xdr:row>
      <xdr:rowOff>40216</xdr:rowOff>
    </xdr:from>
    <xdr:to>
      <xdr:col>16</xdr:col>
      <xdr:colOff>25400</xdr:colOff>
      <xdr:row>22</xdr:row>
      <xdr:rowOff>133350</xdr:rowOff>
    </xdr:to>
    <xdr:cxnSp macro="">
      <xdr:nvCxnSpPr>
        <xdr:cNvPr id="57" name="Connecteur droit avec flèche 56">
          <a:extLst>
            <a:ext uri="{FF2B5EF4-FFF2-40B4-BE49-F238E27FC236}">
              <a16:creationId xmlns:a16="http://schemas.microsoft.com/office/drawing/2014/main" id="{00000000-0008-0000-3800-000039000000}"/>
            </a:ext>
          </a:extLst>
        </xdr:cNvPr>
        <xdr:cNvCxnSpPr/>
      </xdr:nvCxnSpPr>
      <xdr:spPr>
        <a:xfrm>
          <a:off x="4449234" y="4526491"/>
          <a:ext cx="1043516" cy="149330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22</xdr:row>
      <xdr:rowOff>27516</xdr:rowOff>
    </xdr:from>
    <xdr:to>
      <xdr:col>16</xdr:col>
      <xdr:colOff>12700</xdr:colOff>
      <xdr:row>27</xdr:row>
      <xdr:rowOff>107950</xdr:rowOff>
    </xdr:to>
    <xdr:cxnSp macro="">
      <xdr:nvCxnSpPr>
        <xdr:cNvPr id="58" name="Connecteur droit avec flèche 57">
          <a:extLst>
            <a:ext uri="{FF2B5EF4-FFF2-40B4-BE49-F238E27FC236}">
              <a16:creationId xmlns:a16="http://schemas.microsoft.com/office/drawing/2014/main" id="{00000000-0008-0000-3800-00003A000000}"/>
            </a:ext>
          </a:extLst>
        </xdr:cNvPr>
        <xdr:cNvCxnSpPr/>
      </xdr:nvCxnSpPr>
      <xdr:spPr>
        <a:xfrm>
          <a:off x="4436534" y="5913966"/>
          <a:ext cx="1043516" cy="108055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29</xdr:row>
      <xdr:rowOff>10584</xdr:rowOff>
    </xdr:from>
    <xdr:to>
      <xdr:col>15</xdr:col>
      <xdr:colOff>1044575</xdr:colOff>
      <xdr:row>29</xdr:row>
      <xdr:rowOff>133350</xdr:rowOff>
    </xdr:to>
    <xdr:cxnSp macro="">
      <xdr:nvCxnSpPr>
        <xdr:cNvPr id="59" name="Connecteur droit avec flèche 58">
          <a:extLst>
            <a:ext uri="{FF2B5EF4-FFF2-40B4-BE49-F238E27FC236}">
              <a16:creationId xmlns:a16="http://schemas.microsoft.com/office/drawing/2014/main" id="{00000000-0008-0000-3800-00003B000000}"/>
            </a:ext>
          </a:extLst>
        </xdr:cNvPr>
        <xdr:cNvCxnSpPr/>
      </xdr:nvCxnSpPr>
      <xdr:spPr>
        <a:xfrm>
          <a:off x="4436534" y="7297209"/>
          <a:ext cx="1027641" cy="12276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6</xdr:row>
      <xdr:rowOff>120651</xdr:rowOff>
    </xdr:from>
    <xdr:to>
      <xdr:col>22</xdr:col>
      <xdr:colOff>12700</xdr:colOff>
      <xdr:row>8</xdr:row>
      <xdr:rowOff>0</xdr:rowOff>
    </xdr:to>
    <xdr:cxnSp macro="">
      <xdr:nvCxnSpPr>
        <xdr:cNvPr id="60" name="Connecteur droit avec flèche 59">
          <a:extLst>
            <a:ext uri="{FF2B5EF4-FFF2-40B4-BE49-F238E27FC236}">
              <a16:creationId xmlns:a16="http://schemas.microsoft.com/office/drawing/2014/main" id="{00000000-0008-0000-3800-00003C000000}"/>
            </a:ext>
          </a:extLst>
        </xdr:cNvPr>
        <xdr:cNvCxnSpPr/>
      </xdr:nvCxnSpPr>
      <xdr:spPr>
        <a:xfrm flipV="1">
          <a:off x="9937297" y="28067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8</xdr:row>
      <xdr:rowOff>120650</xdr:rowOff>
    </xdr:from>
    <xdr:to>
      <xdr:col>22</xdr:col>
      <xdr:colOff>12700</xdr:colOff>
      <xdr:row>15</xdr:row>
      <xdr:rowOff>2116</xdr:rowOff>
    </xdr:to>
    <xdr:cxnSp macro="">
      <xdr:nvCxnSpPr>
        <xdr:cNvPr id="61" name="Connecteur droit avec flèche 60">
          <a:extLst>
            <a:ext uri="{FF2B5EF4-FFF2-40B4-BE49-F238E27FC236}">
              <a16:creationId xmlns:a16="http://schemas.microsoft.com/office/drawing/2014/main" id="{00000000-0008-0000-3800-00003D000000}"/>
            </a:ext>
          </a:extLst>
        </xdr:cNvPr>
        <xdr:cNvCxnSpPr/>
      </xdr:nvCxnSpPr>
      <xdr:spPr>
        <a:xfrm flipV="1">
          <a:off x="9913408" y="32067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8</xdr:row>
      <xdr:rowOff>13607</xdr:rowOff>
    </xdr:from>
    <xdr:to>
      <xdr:col>21</xdr:col>
      <xdr:colOff>1060450</xdr:colOff>
      <xdr:row>13</xdr:row>
      <xdr:rowOff>103724</xdr:rowOff>
    </xdr:to>
    <xdr:cxnSp macro="">
      <xdr:nvCxnSpPr>
        <xdr:cNvPr id="62" name="Connecteur droit avec flèche 61">
          <a:extLst>
            <a:ext uri="{FF2B5EF4-FFF2-40B4-BE49-F238E27FC236}">
              <a16:creationId xmlns:a16="http://schemas.microsoft.com/office/drawing/2014/main" id="{00000000-0008-0000-3800-00003E000000}"/>
            </a:ext>
          </a:extLst>
        </xdr:cNvPr>
        <xdr:cNvCxnSpPr/>
      </xdr:nvCxnSpPr>
      <xdr:spPr>
        <a:xfrm>
          <a:off x="9910083" y="30997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15</xdr:row>
      <xdr:rowOff>2123</xdr:rowOff>
    </xdr:from>
    <xdr:to>
      <xdr:col>21</xdr:col>
      <xdr:colOff>1059392</xdr:colOff>
      <xdr:row>15</xdr:row>
      <xdr:rowOff>120656</xdr:rowOff>
    </xdr:to>
    <xdr:cxnSp macro="">
      <xdr:nvCxnSpPr>
        <xdr:cNvPr id="63" name="Connecteur droit avec flèche 62">
          <a:extLst>
            <a:ext uri="{FF2B5EF4-FFF2-40B4-BE49-F238E27FC236}">
              <a16:creationId xmlns:a16="http://schemas.microsoft.com/office/drawing/2014/main" id="{00000000-0008-0000-3800-00003F000000}"/>
            </a:ext>
          </a:extLst>
        </xdr:cNvPr>
        <xdr:cNvCxnSpPr/>
      </xdr:nvCxnSpPr>
      <xdr:spPr>
        <a:xfrm>
          <a:off x="9896475" y="44883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33867</xdr:colOff>
      <xdr:row>20</xdr:row>
      <xdr:rowOff>120650</xdr:rowOff>
    </xdr:from>
    <xdr:to>
      <xdr:col>22</xdr:col>
      <xdr:colOff>12700</xdr:colOff>
      <xdr:row>20</xdr:row>
      <xdr:rowOff>188383</xdr:rowOff>
    </xdr:to>
    <xdr:cxnSp macro="">
      <xdr:nvCxnSpPr>
        <xdr:cNvPr id="64" name="Connecteur droit avec flèche 63">
          <a:extLst>
            <a:ext uri="{FF2B5EF4-FFF2-40B4-BE49-F238E27FC236}">
              <a16:creationId xmlns:a16="http://schemas.microsoft.com/office/drawing/2014/main" id="{00000000-0008-0000-3800-000040000000}"/>
            </a:ext>
          </a:extLst>
        </xdr:cNvPr>
        <xdr:cNvCxnSpPr/>
      </xdr:nvCxnSpPr>
      <xdr:spPr>
        <a:xfrm flipV="1">
          <a:off x="9930342" y="5607050"/>
          <a:ext cx="1036108" cy="67733"/>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22</xdr:row>
      <xdr:rowOff>120650</xdr:rowOff>
    </xdr:from>
    <xdr:to>
      <xdr:col>22</xdr:col>
      <xdr:colOff>12700</xdr:colOff>
      <xdr:row>29</xdr:row>
      <xdr:rowOff>2116</xdr:rowOff>
    </xdr:to>
    <xdr:cxnSp macro="">
      <xdr:nvCxnSpPr>
        <xdr:cNvPr id="65" name="Connecteur droit avec flèche 64">
          <a:extLst>
            <a:ext uri="{FF2B5EF4-FFF2-40B4-BE49-F238E27FC236}">
              <a16:creationId xmlns:a16="http://schemas.microsoft.com/office/drawing/2014/main" id="{00000000-0008-0000-3800-000041000000}"/>
            </a:ext>
          </a:extLst>
        </xdr:cNvPr>
        <xdr:cNvCxnSpPr/>
      </xdr:nvCxnSpPr>
      <xdr:spPr>
        <a:xfrm flipV="1">
          <a:off x="9913408" y="6007100"/>
          <a:ext cx="1053042" cy="1281641"/>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20</xdr:row>
      <xdr:rowOff>188390</xdr:rowOff>
    </xdr:from>
    <xdr:to>
      <xdr:col>21</xdr:col>
      <xdr:colOff>1060450</xdr:colOff>
      <xdr:row>27</xdr:row>
      <xdr:rowOff>103724</xdr:rowOff>
    </xdr:to>
    <xdr:cxnSp macro="">
      <xdr:nvCxnSpPr>
        <xdr:cNvPr id="66" name="Connecteur droit avec flèche 65">
          <a:extLst>
            <a:ext uri="{FF2B5EF4-FFF2-40B4-BE49-F238E27FC236}">
              <a16:creationId xmlns:a16="http://schemas.microsoft.com/office/drawing/2014/main" id="{00000000-0008-0000-3800-000042000000}"/>
            </a:ext>
          </a:extLst>
        </xdr:cNvPr>
        <xdr:cNvCxnSpPr/>
      </xdr:nvCxnSpPr>
      <xdr:spPr>
        <a:xfrm>
          <a:off x="9896475" y="5674790"/>
          <a:ext cx="1060450" cy="1315509"/>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29</xdr:row>
      <xdr:rowOff>2123</xdr:rowOff>
    </xdr:from>
    <xdr:to>
      <xdr:col>21</xdr:col>
      <xdr:colOff>1059392</xdr:colOff>
      <xdr:row>29</xdr:row>
      <xdr:rowOff>120656</xdr:rowOff>
    </xdr:to>
    <xdr:cxnSp macro="">
      <xdr:nvCxnSpPr>
        <xdr:cNvPr id="67" name="Connecteur droit avec flèche 66">
          <a:extLst>
            <a:ext uri="{FF2B5EF4-FFF2-40B4-BE49-F238E27FC236}">
              <a16:creationId xmlns:a16="http://schemas.microsoft.com/office/drawing/2014/main" id="{00000000-0008-0000-3800-000043000000}"/>
            </a:ext>
          </a:extLst>
        </xdr:cNvPr>
        <xdr:cNvCxnSpPr/>
      </xdr:nvCxnSpPr>
      <xdr:spPr>
        <a:xfrm>
          <a:off x="9896475" y="7288748"/>
          <a:ext cx="1059392" cy="118533"/>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40822</xdr:colOff>
      <xdr:row>34</xdr:row>
      <xdr:rowOff>95250</xdr:rowOff>
    </xdr:from>
    <xdr:to>
      <xdr:col>16</xdr:col>
      <xdr:colOff>0</xdr:colOff>
      <xdr:row>35</xdr:row>
      <xdr:rowOff>176893</xdr:rowOff>
    </xdr:to>
    <xdr:cxnSp macro="">
      <xdr:nvCxnSpPr>
        <xdr:cNvPr id="68" name="Connecteur droit avec flèche 67">
          <a:extLst>
            <a:ext uri="{FF2B5EF4-FFF2-40B4-BE49-F238E27FC236}">
              <a16:creationId xmlns:a16="http://schemas.microsoft.com/office/drawing/2014/main" id="{00000000-0008-0000-3800-000044000000}"/>
            </a:ext>
          </a:extLst>
        </xdr:cNvPr>
        <xdr:cNvCxnSpPr/>
      </xdr:nvCxnSpPr>
      <xdr:spPr>
        <a:xfrm flipV="1">
          <a:off x="4460422" y="8382000"/>
          <a:ext cx="1006928" cy="28166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36</xdr:row>
      <xdr:rowOff>120650</xdr:rowOff>
    </xdr:from>
    <xdr:to>
      <xdr:col>15</xdr:col>
      <xdr:colOff>1044575</xdr:colOff>
      <xdr:row>42</xdr:row>
      <xdr:rowOff>149678</xdr:rowOff>
    </xdr:to>
    <xdr:cxnSp macro="">
      <xdr:nvCxnSpPr>
        <xdr:cNvPr id="69" name="Connecteur droit avec flèche 68">
          <a:extLst>
            <a:ext uri="{FF2B5EF4-FFF2-40B4-BE49-F238E27FC236}">
              <a16:creationId xmlns:a16="http://schemas.microsoft.com/office/drawing/2014/main" id="{00000000-0008-0000-3800-000045000000}"/>
            </a:ext>
          </a:extLst>
        </xdr:cNvPr>
        <xdr:cNvCxnSpPr/>
      </xdr:nvCxnSpPr>
      <xdr:spPr>
        <a:xfrm flipV="1">
          <a:off x="4419600" y="8807450"/>
          <a:ext cx="1044575" cy="122917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42</xdr:row>
      <xdr:rowOff>13607</xdr:rowOff>
    </xdr:from>
    <xdr:to>
      <xdr:col>15</xdr:col>
      <xdr:colOff>1020536</xdr:colOff>
      <xdr:row>49</xdr:row>
      <xdr:rowOff>149679</xdr:rowOff>
    </xdr:to>
    <xdr:cxnSp macro="">
      <xdr:nvCxnSpPr>
        <xdr:cNvPr id="70" name="Connecteur droit avec flèche 69">
          <a:extLst>
            <a:ext uri="{FF2B5EF4-FFF2-40B4-BE49-F238E27FC236}">
              <a16:creationId xmlns:a16="http://schemas.microsoft.com/office/drawing/2014/main" id="{00000000-0008-0000-3800-000046000000}"/>
            </a:ext>
          </a:extLst>
        </xdr:cNvPr>
        <xdr:cNvCxnSpPr/>
      </xdr:nvCxnSpPr>
      <xdr:spPr>
        <a:xfrm flipV="1">
          <a:off x="4419600" y="9900557"/>
          <a:ext cx="1020536" cy="153624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44</xdr:row>
      <xdr:rowOff>13607</xdr:rowOff>
    </xdr:from>
    <xdr:to>
      <xdr:col>16</xdr:col>
      <xdr:colOff>0</xdr:colOff>
      <xdr:row>57</xdr:row>
      <xdr:rowOff>10582</xdr:rowOff>
    </xdr:to>
    <xdr:cxnSp macro="">
      <xdr:nvCxnSpPr>
        <xdr:cNvPr id="71" name="Connecteur droit avec flèche 70">
          <a:extLst>
            <a:ext uri="{FF2B5EF4-FFF2-40B4-BE49-F238E27FC236}">
              <a16:creationId xmlns:a16="http://schemas.microsoft.com/office/drawing/2014/main" id="{00000000-0008-0000-3800-000047000000}"/>
            </a:ext>
          </a:extLst>
        </xdr:cNvPr>
        <xdr:cNvCxnSpPr/>
      </xdr:nvCxnSpPr>
      <xdr:spPr>
        <a:xfrm flipV="1">
          <a:off x="4419600" y="10300607"/>
          <a:ext cx="1047750" cy="259730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36</xdr:row>
      <xdr:rowOff>10583</xdr:rowOff>
    </xdr:from>
    <xdr:to>
      <xdr:col>16</xdr:col>
      <xdr:colOff>16934</xdr:colOff>
      <xdr:row>48</xdr:row>
      <xdr:rowOff>146050</xdr:rowOff>
    </xdr:to>
    <xdr:cxnSp macro="">
      <xdr:nvCxnSpPr>
        <xdr:cNvPr id="72" name="Connecteur droit avec flèche 71">
          <a:extLst>
            <a:ext uri="{FF2B5EF4-FFF2-40B4-BE49-F238E27FC236}">
              <a16:creationId xmlns:a16="http://schemas.microsoft.com/office/drawing/2014/main" id="{00000000-0008-0000-3800-000048000000}"/>
            </a:ext>
          </a:extLst>
        </xdr:cNvPr>
        <xdr:cNvCxnSpPr/>
      </xdr:nvCxnSpPr>
      <xdr:spPr>
        <a:xfrm>
          <a:off x="4436534" y="8697383"/>
          <a:ext cx="1047750" cy="25357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29634</xdr:colOff>
      <xdr:row>43</xdr:row>
      <xdr:rowOff>40216</xdr:rowOff>
    </xdr:from>
    <xdr:to>
      <xdr:col>16</xdr:col>
      <xdr:colOff>25400</xdr:colOff>
      <xdr:row>50</xdr:row>
      <xdr:rowOff>133350</xdr:rowOff>
    </xdr:to>
    <xdr:cxnSp macro="">
      <xdr:nvCxnSpPr>
        <xdr:cNvPr id="73" name="Connecteur droit avec flèche 72">
          <a:extLst>
            <a:ext uri="{FF2B5EF4-FFF2-40B4-BE49-F238E27FC236}">
              <a16:creationId xmlns:a16="http://schemas.microsoft.com/office/drawing/2014/main" id="{00000000-0008-0000-3800-000049000000}"/>
            </a:ext>
          </a:extLst>
        </xdr:cNvPr>
        <xdr:cNvCxnSpPr/>
      </xdr:nvCxnSpPr>
      <xdr:spPr>
        <a:xfrm>
          <a:off x="4449234" y="10127191"/>
          <a:ext cx="1043516" cy="149330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50</xdr:row>
      <xdr:rowOff>27516</xdr:rowOff>
    </xdr:from>
    <xdr:to>
      <xdr:col>16</xdr:col>
      <xdr:colOff>12700</xdr:colOff>
      <xdr:row>55</xdr:row>
      <xdr:rowOff>107950</xdr:rowOff>
    </xdr:to>
    <xdr:cxnSp macro="">
      <xdr:nvCxnSpPr>
        <xdr:cNvPr id="74" name="Connecteur droit avec flèche 73">
          <a:extLst>
            <a:ext uri="{FF2B5EF4-FFF2-40B4-BE49-F238E27FC236}">
              <a16:creationId xmlns:a16="http://schemas.microsoft.com/office/drawing/2014/main" id="{00000000-0008-0000-3800-00004A000000}"/>
            </a:ext>
          </a:extLst>
        </xdr:cNvPr>
        <xdr:cNvCxnSpPr/>
      </xdr:nvCxnSpPr>
      <xdr:spPr>
        <a:xfrm>
          <a:off x="4436534" y="11514666"/>
          <a:ext cx="1043516" cy="108055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57</xdr:row>
      <xdr:rowOff>10584</xdr:rowOff>
    </xdr:from>
    <xdr:to>
      <xdr:col>15</xdr:col>
      <xdr:colOff>1044575</xdr:colOff>
      <xdr:row>57</xdr:row>
      <xdr:rowOff>133350</xdr:rowOff>
    </xdr:to>
    <xdr:cxnSp macro="">
      <xdr:nvCxnSpPr>
        <xdr:cNvPr id="75" name="Connecteur droit avec flèche 74">
          <a:extLst>
            <a:ext uri="{FF2B5EF4-FFF2-40B4-BE49-F238E27FC236}">
              <a16:creationId xmlns:a16="http://schemas.microsoft.com/office/drawing/2014/main" id="{00000000-0008-0000-3800-00004B000000}"/>
            </a:ext>
          </a:extLst>
        </xdr:cNvPr>
        <xdr:cNvCxnSpPr/>
      </xdr:nvCxnSpPr>
      <xdr:spPr>
        <a:xfrm>
          <a:off x="4436534" y="12897909"/>
          <a:ext cx="1027641" cy="12276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34</xdr:row>
      <xdr:rowOff>120651</xdr:rowOff>
    </xdr:from>
    <xdr:to>
      <xdr:col>22</xdr:col>
      <xdr:colOff>12700</xdr:colOff>
      <xdr:row>36</xdr:row>
      <xdr:rowOff>0</xdr:rowOff>
    </xdr:to>
    <xdr:cxnSp macro="">
      <xdr:nvCxnSpPr>
        <xdr:cNvPr id="76" name="Connecteur droit avec flèche 75">
          <a:extLst>
            <a:ext uri="{FF2B5EF4-FFF2-40B4-BE49-F238E27FC236}">
              <a16:creationId xmlns:a16="http://schemas.microsoft.com/office/drawing/2014/main" id="{00000000-0008-0000-3800-00004C000000}"/>
            </a:ext>
          </a:extLst>
        </xdr:cNvPr>
        <xdr:cNvCxnSpPr/>
      </xdr:nvCxnSpPr>
      <xdr:spPr>
        <a:xfrm flipV="1">
          <a:off x="9937297" y="84074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36</xdr:row>
      <xdr:rowOff>120650</xdr:rowOff>
    </xdr:from>
    <xdr:to>
      <xdr:col>22</xdr:col>
      <xdr:colOff>12700</xdr:colOff>
      <xdr:row>43</xdr:row>
      <xdr:rowOff>2116</xdr:rowOff>
    </xdr:to>
    <xdr:cxnSp macro="">
      <xdr:nvCxnSpPr>
        <xdr:cNvPr id="77" name="Connecteur droit avec flèche 76">
          <a:extLst>
            <a:ext uri="{FF2B5EF4-FFF2-40B4-BE49-F238E27FC236}">
              <a16:creationId xmlns:a16="http://schemas.microsoft.com/office/drawing/2014/main" id="{00000000-0008-0000-3800-00004D000000}"/>
            </a:ext>
          </a:extLst>
        </xdr:cNvPr>
        <xdr:cNvCxnSpPr/>
      </xdr:nvCxnSpPr>
      <xdr:spPr>
        <a:xfrm flipV="1">
          <a:off x="9913408" y="88074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36</xdr:row>
      <xdr:rowOff>13607</xdr:rowOff>
    </xdr:from>
    <xdr:to>
      <xdr:col>21</xdr:col>
      <xdr:colOff>1060450</xdr:colOff>
      <xdr:row>41</xdr:row>
      <xdr:rowOff>103724</xdr:rowOff>
    </xdr:to>
    <xdr:cxnSp macro="">
      <xdr:nvCxnSpPr>
        <xdr:cNvPr id="78" name="Connecteur droit avec flèche 77">
          <a:extLst>
            <a:ext uri="{FF2B5EF4-FFF2-40B4-BE49-F238E27FC236}">
              <a16:creationId xmlns:a16="http://schemas.microsoft.com/office/drawing/2014/main" id="{00000000-0008-0000-3800-00004E000000}"/>
            </a:ext>
          </a:extLst>
        </xdr:cNvPr>
        <xdr:cNvCxnSpPr/>
      </xdr:nvCxnSpPr>
      <xdr:spPr>
        <a:xfrm>
          <a:off x="9910083" y="87004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43</xdr:row>
      <xdr:rowOff>2123</xdr:rowOff>
    </xdr:from>
    <xdr:to>
      <xdr:col>21</xdr:col>
      <xdr:colOff>1059392</xdr:colOff>
      <xdr:row>43</xdr:row>
      <xdr:rowOff>120656</xdr:rowOff>
    </xdr:to>
    <xdr:cxnSp macro="">
      <xdr:nvCxnSpPr>
        <xdr:cNvPr id="79" name="Connecteur droit avec flèche 78">
          <a:extLst>
            <a:ext uri="{FF2B5EF4-FFF2-40B4-BE49-F238E27FC236}">
              <a16:creationId xmlns:a16="http://schemas.microsoft.com/office/drawing/2014/main" id="{00000000-0008-0000-3800-00004F000000}"/>
            </a:ext>
          </a:extLst>
        </xdr:cNvPr>
        <xdr:cNvCxnSpPr/>
      </xdr:nvCxnSpPr>
      <xdr:spPr>
        <a:xfrm>
          <a:off x="9896475" y="100890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33867</xdr:colOff>
      <xdr:row>48</xdr:row>
      <xdr:rowOff>120650</xdr:rowOff>
    </xdr:from>
    <xdr:to>
      <xdr:col>22</xdr:col>
      <xdr:colOff>12700</xdr:colOff>
      <xdr:row>48</xdr:row>
      <xdr:rowOff>188383</xdr:rowOff>
    </xdr:to>
    <xdr:cxnSp macro="">
      <xdr:nvCxnSpPr>
        <xdr:cNvPr id="80" name="Connecteur droit avec flèche 79">
          <a:extLst>
            <a:ext uri="{FF2B5EF4-FFF2-40B4-BE49-F238E27FC236}">
              <a16:creationId xmlns:a16="http://schemas.microsoft.com/office/drawing/2014/main" id="{00000000-0008-0000-3800-000050000000}"/>
            </a:ext>
          </a:extLst>
        </xdr:cNvPr>
        <xdr:cNvCxnSpPr/>
      </xdr:nvCxnSpPr>
      <xdr:spPr>
        <a:xfrm flipV="1">
          <a:off x="9930342" y="11207750"/>
          <a:ext cx="1036108" cy="67733"/>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50</xdr:row>
      <xdr:rowOff>120650</xdr:rowOff>
    </xdr:from>
    <xdr:to>
      <xdr:col>22</xdr:col>
      <xdr:colOff>12700</xdr:colOff>
      <xdr:row>57</xdr:row>
      <xdr:rowOff>2116</xdr:rowOff>
    </xdr:to>
    <xdr:cxnSp macro="">
      <xdr:nvCxnSpPr>
        <xdr:cNvPr id="81" name="Connecteur droit avec flèche 80">
          <a:extLst>
            <a:ext uri="{FF2B5EF4-FFF2-40B4-BE49-F238E27FC236}">
              <a16:creationId xmlns:a16="http://schemas.microsoft.com/office/drawing/2014/main" id="{00000000-0008-0000-3800-000051000000}"/>
            </a:ext>
          </a:extLst>
        </xdr:cNvPr>
        <xdr:cNvCxnSpPr/>
      </xdr:nvCxnSpPr>
      <xdr:spPr>
        <a:xfrm flipV="1">
          <a:off x="9913408" y="11607800"/>
          <a:ext cx="1053042" cy="1281641"/>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48</xdr:row>
      <xdr:rowOff>188390</xdr:rowOff>
    </xdr:from>
    <xdr:to>
      <xdr:col>21</xdr:col>
      <xdr:colOff>1060450</xdr:colOff>
      <xdr:row>55</xdr:row>
      <xdr:rowOff>103724</xdr:rowOff>
    </xdr:to>
    <xdr:cxnSp macro="">
      <xdr:nvCxnSpPr>
        <xdr:cNvPr id="82" name="Connecteur droit avec flèche 81">
          <a:extLst>
            <a:ext uri="{FF2B5EF4-FFF2-40B4-BE49-F238E27FC236}">
              <a16:creationId xmlns:a16="http://schemas.microsoft.com/office/drawing/2014/main" id="{00000000-0008-0000-3800-000052000000}"/>
            </a:ext>
          </a:extLst>
        </xdr:cNvPr>
        <xdr:cNvCxnSpPr/>
      </xdr:nvCxnSpPr>
      <xdr:spPr>
        <a:xfrm>
          <a:off x="9896475" y="11275490"/>
          <a:ext cx="1060450" cy="1315509"/>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57</xdr:row>
      <xdr:rowOff>2123</xdr:rowOff>
    </xdr:from>
    <xdr:to>
      <xdr:col>21</xdr:col>
      <xdr:colOff>1059392</xdr:colOff>
      <xdr:row>57</xdr:row>
      <xdr:rowOff>120656</xdr:rowOff>
    </xdr:to>
    <xdr:cxnSp macro="">
      <xdr:nvCxnSpPr>
        <xdr:cNvPr id="83" name="Connecteur droit avec flèche 82">
          <a:extLst>
            <a:ext uri="{FF2B5EF4-FFF2-40B4-BE49-F238E27FC236}">
              <a16:creationId xmlns:a16="http://schemas.microsoft.com/office/drawing/2014/main" id="{00000000-0008-0000-3800-000053000000}"/>
            </a:ext>
          </a:extLst>
        </xdr:cNvPr>
        <xdr:cNvCxnSpPr/>
      </xdr:nvCxnSpPr>
      <xdr:spPr>
        <a:xfrm>
          <a:off x="9896475" y="12889448"/>
          <a:ext cx="1059392" cy="118533"/>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65690</xdr:colOff>
      <xdr:row>71</xdr:row>
      <xdr:rowOff>190500</xdr:rowOff>
    </xdr:from>
    <xdr:to>
      <xdr:col>16</xdr:col>
      <xdr:colOff>0</xdr:colOff>
      <xdr:row>77</xdr:row>
      <xdr:rowOff>153276</xdr:rowOff>
    </xdr:to>
    <xdr:cxnSp macro="">
      <xdr:nvCxnSpPr>
        <xdr:cNvPr id="96" name="Connecteur droit avec flèche 95">
          <a:extLst>
            <a:ext uri="{FF2B5EF4-FFF2-40B4-BE49-F238E27FC236}">
              <a16:creationId xmlns:a16="http://schemas.microsoft.com/office/drawing/2014/main" id="{00000000-0008-0000-3800-000060000000}"/>
            </a:ext>
          </a:extLst>
        </xdr:cNvPr>
        <xdr:cNvCxnSpPr>
          <a:cxnSpLocks/>
        </xdr:cNvCxnSpPr>
      </xdr:nvCxnSpPr>
      <xdr:spPr>
        <a:xfrm flipV="1">
          <a:off x="12426293" y="15671362"/>
          <a:ext cx="985345" cy="114519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10949</xdr:colOff>
      <xdr:row>64</xdr:row>
      <xdr:rowOff>76638</xdr:rowOff>
    </xdr:from>
    <xdr:to>
      <xdr:col>15</xdr:col>
      <xdr:colOff>1029138</xdr:colOff>
      <xdr:row>67</xdr:row>
      <xdr:rowOff>76638</xdr:rowOff>
    </xdr:to>
    <xdr:cxnSp macro="">
      <xdr:nvCxnSpPr>
        <xdr:cNvPr id="97" name="Connecteur droit avec flèche 96">
          <a:extLst>
            <a:ext uri="{FF2B5EF4-FFF2-40B4-BE49-F238E27FC236}">
              <a16:creationId xmlns:a16="http://schemas.microsoft.com/office/drawing/2014/main" id="{00000000-0008-0000-3800-000061000000}"/>
            </a:ext>
          </a:extLst>
        </xdr:cNvPr>
        <xdr:cNvCxnSpPr>
          <a:cxnSpLocks/>
        </xdr:cNvCxnSpPr>
      </xdr:nvCxnSpPr>
      <xdr:spPr>
        <a:xfrm flipV="1">
          <a:off x="12371552" y="14178017"/>
          <a:ext cx="1018189" cy="59120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62</xdr:row>
      <xdr:rowOff>120651</xdr:rowOff>
    </xdr:from>
    <xdr:to>
      <xdr:col>22</xdr:col>
      <xdr:colOff>12700</xdr:colOff>
      <xdr:row>64</xdr:row>
      <xdr:rowOff>0</xdr:rowOff>
    </xdr:to>
    <xdr:cxnSp macro="">
      <xdr:nvCxnSpPr>
        <xdr:cNvPr id="98" name="Connecteur droit avec flèche 97">
          <a:extLst>
            <a:ext uri="{FF2B5EF4-FFF2-40B4-BE49-F238E27FC236}">
              <a16:creationId xmlns:a16="http://schemas.microsoft.com/office/drawing/2014/main" id="{00000000-0008-0000-3800-000062000000}"/>
            </a:ext>
          </a:extLst>
        </xdr:cNvPr>
        <xdr:cNvCxnSpPr/>
      </xdr:nvCxnSpPr>
      <xdr:spPr>
        <a:xfrm flipV="1">
          <a:off x="10080172" y="28067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64</xdr:row>
      <xdr:rowOff>120650</xdr:rowOff>
    </xdr:from>
    <xdr:to>
      <xdr:col>22</xdr:col>
      <xdr:colOff>12700</xdr:colOff>
      <xdr:row>71</xdr:row>
      <xdr:rowOff>2116</xdr:rowOff>
    </xdr:to>
    <xdr:cxnSp macro="">
      <xdr:nvCxnSpPr>
        <xdr:cNvPr id="99" name="Connecteur droit avec flèche 98">
          <a:extLst>
            <a:ext uri="{FF2B5EF4-FFF2-40B4-BE49-F238E27FC236}">
              <a16:creationId xmlns:a16="http://schemas.microsoft.com/office/drawing/2014/main" id="{00000000-0008-0000-3800-000063000000}"/>
            </a:ext>
          </a:extLst>
        </xdr:cNvPr>
        <xdr:cNvCxnSpPr/>
      </xdr:nvCxnSpPr>
      <xdr:spPr>
        <a:xfrm flipV="1">
          <a:off x="10056283" y="32067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64</xdr:row>
      <xdr:rowOff>13607</xdr:rowOff>
    </xdr:from>
    <xdr:to>
      <xdr:col>21</xdr:col>
      <xdr:colOff>1060450</xdr:colOff>
      <xdr:row>69</xdr:row>
      <xdr:rowOff>103724</xdr:rowOff>
    </xdr:to>
    <xdr:cxnSp macro="">
      <xdr:nvCxnSpPr>
        <xdr:cNvPr id="100" name="Connecteur droit avec flèche 99">
          <a:extLst>
            <a:ext uri="{FF2B5EF4-FFF2-40B4-BE49-F238E27FC236}">
              <a16:creationId xmlns:a16="http://schemas.microsoft.com/office/drawing/2014/main" id="{00000000-0008-0000-3800-000064000000}"/>
            </a:ext>
          </a:extLst>
        </xdr:cNvPr>
        <xdr:cNvCxnSpPr/>
      </xdr:nvCxnSpPr>
      <xdr:spPr>
        <a:xfrm>
          <a:off x="10052958" y="30997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71</xdr:row>
      <xdr:rowOff>2123</xdr:rowOff>
    </xdr:from>
    <xdr:to>
      <xdr:col>21</xdr:col>
      <xdr:colOff>1059392</xdr:colOff>
      <xdr:row>71</xdr:row>
      <xdr:rowOff>120656</xdr:rowOff>
    </xdr:to>
    <xdr:cxnSp macro="">
      <xdr:nvCxnSpPr>
        <xdr:cNvPr id="101" name="Connecteur droit avec flèche 100">
          <a:extLst>
            <a:ext uri="{FF2B5EF4-FFF2-40B4-BE49-F238E27FC236}">
              <a16:creationId xmlns:a16="http://schemas.microsoft.com/office/drawing/2014/main" id="{00000000-0008-0000-3800-000065000000}"/>
            </a:ext>
          </a:extLst>
        </xdr:cNvPr>
        <xdr:cNvCxnSpPr/>
      </xdr:nvCxnSpPr>
      <xdr:spPr>
        <a:xfrm>
          <a:off x="10039350" y="44883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62</xdr:row>
      <xdr:rowOff>161192</xdr:rowOff>
    </xdr:from>
    <xdr:to>
      <xdr:col>16</xdr:col>
      <xdr:colOff>43961</xdr:colOff>
      <xdr:row>62</xdr:row>
      <xdr:rowOff>164225</xdr:rowOff>
    </xdr:to>
    <xdr:cxnSp macro="">
      <xdr:nvCxnSpPr>
        <xdr:cNvPr id="102" name="Connecteur droit avec flèche 101">
          <a:extLst>
            <a:ext uri="{FF2B5EF4-FFF2-40B4-BE49-F238E27FC236}">
              <a16:creationId xmlns:a16="http://schemas.microsoft.com/office/drawing/2014/main" id="{00000000-0008-0000-3800-000066000000}"/>
            </a:ext>
          </a:extLst>
        </xdr:cNvPr>
        <xdr:cNvCxnSpPr>
          <a:cxnSpLocks/>
        </xdr:cNvCxnSpPr>
      </xdr:nvCxnSpPr>
      <xdr:spPr>
        <a:xfrm flipV="1">
          <a:off x="12360603" y="13868433"/>
          <a:ext cx="1094996" cy="3033"/>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69</xdr:row>
      <xdr:rowOff>130969</xdr:rowOff>
    </xdr:from>
    <xdr:to>
      <xdr:col>16</xdr:col>
      <xdr:colOff>35719</xdr:colOff>
      <xdr:row>72</xdr:row>
      <xdr:rowOff>142328</xdr:rowOff>
    </xdr:to>
    <xdr:cxnSp macro="">
      <xdr:nvCxnSpPr>
        <xdr:cNvPr id="103" name="Connecteur droit avec flèche 102">
          <a:extLst>
            <a:ext uri="{FF2B5EF4-FFF2-40B4-BE49-F238E27FC236}">
              <a16:creationId xmlns:a16="http://schemas.microsoft.com/office/drawing/2014/main" id="{00000000-0008-0000-3800-000067000000}"/>
            </a:ext>
          </a:extLst>
        </xdr:cNvPr>
        <xdr:cNvCxnSpPr>
          <a:cxnSpLocks/>
        </xdr:cNvCxnSpPr>
      </xdr:nvCxnSpPr>
      <xdr:spPr>
        <a:xfrm flipV="1">
          <a:off x="12360603" y="15217693"/>
          <a:ext cx="1086754" cy="602566"/>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2066410</xdr:colOff>
      <xdr:row>62</xdr:row>
      <xdr:rowOff>87585</xdr:rowOff>
    </xdr:from>
    <xdr:to>
      <xdr:col>13</xdr:col>
      <xdr:colOff>229914</xdr:colOff>
      <xdr:row>63</xdr:row>
      <xdr:rowOff>93985</xdr:rowOff>
    </xdr:to>
    <xdr:sp macro="" textlink="">
      <xdr:nvSpPr>
        <xdr:cNvPr id="105" name="Rectangle à coins arrondis 23">
          <a:extLst>
            <a:ext uri="{FF2B5EF4-FFF2-40B4-BE49-F238E27FC236}">
              <a16:creationId xmlns:a16="http://schemas.microsoft.com/office/drawing/2014/main" id="{00000000-0008-0000-3800-000069000000}"/>
            </a:ext>
          </a:extLst>
        </xdr:cNvPr>
        <xdr:cNvSpPr/>
      </xdr:nvSpPr>
      <xdr:spPr bwMode="auto">
        <a:xfrm>
          <a:off x="10945462" y="13794826"/>
          <a:ext cx="604969" cy="203469"/>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twoCellAnchor>
    <xdr:from>
      <xdr:col>12</xdr:col>
      <xdr:colOff>2066410</xdr:colOff>
      <xdr:row>67</xdr:row>
      <xdr:rowOff>108605</xdr:rowOff>
    </xdr:from>
    <xdr:to>
      <xdr:col>13</xdr:col>
      <xdr:colOff>229914</xdr:colOff>
      <xdr:row>68</xdr:row>
      <xdr:rowOff>115005</xdr:rowOff>
    </xdr:to>
    <xdr:sp macro="" textlink="">
      <xdr:nvSpPr>
        <xdr:cNvPr id="108" name="Rectangle à coins arrondis 23">
          <a:extLst>
            <a:ext uri="{FF2B5EF4-FFF2-40B4-BE49-F238E27FC236}">
              <a16:creationId xmlns:a16="http://schemas.microsoft.com/office/drawing/2014/main" id="{00000000-0008-0000-3800-00006C000000}"/>
            </a:ext>
          </a:extLst>
        </xdr:cNvPr>
        <xdr:cNvSpPr/>
      </xdr:nvSpPr>
      <xdr:spPr bwMode="auto">
        <a:xfrm>
          <a:off x="10945462" y="15195329"/>
          <a:ext cx="604969" cy="203469"/>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twoCellAnchor>
    <xdr:from>
      <xdr:col>12</xdr:col>
      <xdr:colOff>2066410</xdr:colOff>
      <xdr:row>72</xdr:row>
      <xdr:rowOff>85833</xdr:rowOff>
    </xdr:from>
    <xdr:to>
      <xdr:col>13</xdr:col>
      <xdr:colOff>229914</xdr:colOff>
      <xdr:row>73</xdr:row>
      <xdr:rowOff>92233</xdr:rowOff>
    </xdr:to>
    <xdr:sp macro="" textlink="">
      <xdr:nvSpPr>
        <xdr:cNvPr id="109" name="Rectangle à coins arrondis 23">
          <a:extLst>
            <a:ext uri="{FF2B5EF4-FFF2-40B4-BE49-F238E27FC236}">
              <a16:creationId xmlns:a16="http://schemas.microsoft.com/office/drawing/2014/main" id="{00000000-0008-0000-3800-00006D000000}"/>
            </a:ext>
          </a:extLst>
        </xdr:cNvPr>
        <xdr:cNvSpPr/>
      </xdr:nvSpPr>
      <xdr:spPr bwMode="auto">
        <a:xfrm>
          <a:off x="10945462" y="16552040"/>
          <a:ext cx="604969" cy="203469"/>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twoCellAnchor>
    <xdr:from>
      <xdr:col>12</xdr:col>
      <xdr:colOff>2066410</xdr:colOff>
      <xdr:row>77</xdr:row>
      <xdr:rowOff>84958</xdr:rowOff>
    </xdr:from>
    <xdr:to>
      <xdr:col>13</xdr:col>
      <xdr:colOff>229914</xdr:colOff>
      <xdr:row>78</xdr:row>
      <xdr:rowOff>91358</xdr:rowOff>
    </xdr:to>
    <xdr:sp macro="" textlink="">
      <xdr:nvSpPr>
        <xdr:cNvPr id="110" name="Rectangle à coins arrondis 23">
          <a:extLst>
            <a:ext uri="{FF2B5EF4-FFF2-40B4-BE49-F238E27FC236}">
              <a16:creationId xmlns:a16="http://schemas.microsoft.com/office/drawing/2014/main" id="{00000000-0008-0000-3800-00006E000000}"/>
            </a:ext>
          </a:extLst>
        </xdr:cNvPr>
        <xdr:cNvSpPr/>
      </xdr:nvSpPr>
      <xdr:spPr bwMode="auto">
        <a:xfrm>
          <a:off x="10945462" y="17930648"/>
          <a:ext cx="604969" cy="203469"/>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33</xdr:col>
      <xdr:colOff>367393</xdr:colOff>
      <xdr:row>31</xdr:row>
      <xdr:rowOff>73480</xdr:rowOff>
    </xdr:from>
    <xdr:to>
      <xdr:col>33</xdr:col>
      <xdr:colOff>2272393</xdr:colOff>
      <xdr:row>35</xdr:row>
      <xdr:rowOff>5445</xdr:rowOff>
    </xdr:to>
    <xdr:sp macro="[0]!JMK_Trans_FDUEL1" textlink="">
      <xdr:nvSpPr>
        <xdr:cNvPr id="2" name="Rectangle à coins arrondis 33">
          <a:extLst>
            <a:ext uri="{FF2B5EF4-FFF2-40B4-BE49-F238E27FC236}">
              <a16:creationId xmlns:a16="http://schemas.microsoft.com/office/drawing/2014/main" id="{00000000-0008-0000-3900-000002000000}"/>
            </a:ext>
          </a:extLst>
        </xdr:cNvPr>
        <xdr:cNvSpPr/>
      </xdr:nvSpPr>
      <xdr:spPr bwMode="auto">
        <a:xfrm>
          <a:off x="25427668" y="7760155"/>
          <a:ext cx="1905000" cy="7320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1</a:t>
          </a:r>
          <a:r>
            <a:rPr lang="fr-FR" sz="1600"/>
            <a:t> </a:t>
          </a:r>
        </a:p>
      </xdr:txBody>
    </xdr:sp>
    <xdr:clientData fPrintsWithSheet="0"/>
  </xdr:twoCellAnchor>
  <xdr:twoCellAnchor>
    <xdr:from>
      <xdr:col>34</xdr:col>
      <xdr:colOff>261257</xdr:colOff>
      <xdr:row>31</xdr:row>
      <xdr:rowOff>73480</xdr:rowOff>
    </xdr:from>
    <xdr:to>
      <xdr:col>34</xdr:col>
      <xdr:colOff>2166257</xdr:colOff>
      <xdr:row>35</xdr:row>
      <xdr:rowOff>5445</xdr:rowOff>
    </xdr:to>
    <xdr:sp macro="[0]!JMK_Trans_FDUEL2" textlink="">
      <xdr:nvSpPr>
        <xdr:cNvPr id="3" name="Rectangle à coins arrondis 34">
          <a:extLst>
            <a:ext uri="{FF2B5EF4-FFF2-40B4-BE49-F238E27FC236}">
              <a16:creationId xmlns:a16="http://schemas.microsoft.com/office/drawing/2014/main" id="{00000000-0008-0000-3900-000003000000}"/>
            </a:ext>
          </a:extLst>
        </xdr:cNvPr>
        <xdr:cNvSpPr/>
      </xdr:nvSpPr>
      <xdr:spPr bwMode="auto">
        <a:xfrm>
          <a:off x="27778982" y="7760155"/>
          <a:ext cx="1905000" cy="7320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2</a:t>
          </a:r>
          <a:r>
            <a:rPr lang="fr-FR" sz="1600"/>
            <a:t> </a:t>
          </a:r>
        </a:p>
      </xdr:txBody>
    </xdr:sp>
    <xdr:clientData fPrintsWithSheet="0"/>
  </xdr:twoCellAnchor>
  <xdr:twoCellAnchor>
    <xdr:from>
      <xdr:col>35</xdr:col>
      <xdr:colOff>155122</xdr:colOff>
      <xdr:row>31</xdr:row>
      <xdr:rowOff>73480</xdr:rowOff>
    </xdr:from>
    <xdr:to>
      <xdr:col>35</xdr:col>
      <xdr:colOff>2060122</xdr:colOff>
      <xdr:row>35</xdr:row>
      <xdr:rowOff>5445</xdr:rowOff>
    </xdr:to>
    <xdr:sp macro="[0]!JMK_Trans_FDUEL3" textlink="">
      <xdr:nvSpPr>
        <xdr:cNvPr id="4" name="Rectangle à coins arrondis 35">
          <a:extLst>
            <a:ext uri="{FF2B5EF4-FFF2-40B4-BE49-F238E27FC236}">
              <a16:creationId xmlns:a16="http://schemas.microsoft.com/office/drawing/2014/main" id="{00000000-0008-0000-3900-000004000000}"/>
            </a:ext>
          </a:extLst>
        </xdr:cNvPr>
        <xdr:cNvSpPr/>
      </xdr:nvSpPr>
      <xdr:spPr bwMode="auto">
        <a:xfrm>
          <a:off x="30130297" y="7760155"/>
          <a:ext cx="1905000" cy="7320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3</a:t>
          </a:r>
          <a:r>
            <a:rPr lang="fr-FR" sz="1600"/>
            <a:t> </a:t>
          </a:r>
        </a:p>
      </xdr:txBody>
    </xdr:sp>
    <xdr:clientData fPrintsWithSheet="0"/>
  </xdr:twoCellAnchor>
  <xdr:twoCellAnchor>
    <xdr:from>
      <xdr:col>34</xdr:col>
      <xdr:colOff>1682749</xdr:colOff>
      <xdr:row>38</xdr:row>
      <xdr:rowOff>0</xdr:rowOff>
    </xdr:from>
    <xdr:to>
      <xdr:col>35</xdr:col>
      <xdr:colOff>1127124</xdr:colOff>
      <xdr:row>44</xdr:row>
      <xdr:rowOff>31750</xdr:rowOff>
    </xdr:to>
    <xdr:sp macro="[0]!JMK_ZI_Résultat_Final" textlink="">
      <xdr:nvSpPr>
        <xdr:cNvPr id="5" name="Rectangle à coins arrondis 39">
          <a:extLst>
            <a:ext uri="{FF2B5EF4-FFF2-40B4-BE49-F238E27FC236}">
              <a16:creationId xmlns:a16="http://schemas.microsoft.com/office/drawing/2014/main" id="{00000000-0008-0000-3900-000005000000}"/>
            </a:ext>
          </a:extLst>
        </xdr:cNvPr>
        <xdr:cNvSpPr/>
      </xdr:nvSpPr>
      <xdr:spPr bwMode="auto">
        <a:xfrm>
          <a:off x="29200474" y="9086850"/>
          <a:ext cx="1901825" cy="1231900"/>
        </a:xfrm>
        <a:prstGeom prst="roundRect">
          <a:avLst/>
        </a:prstGeom>
        <a:solidFill>
          <a:srgbClr val="00FF99"/>
        </a:solidFill>
        <a:ln w="9525" cap="flat" cmpd="sng" algn="ctr">
          <a:solidFill>
            <a:srgbClr val="400000"/>
          </a:solidFill>
          <a:prstDash val="solid"/>
          <a:round/>
          <a:headEnd type="none" w="med" len="med"/>
          <a:tailEnd type="none" w="med" len="med"/>
        </a:ln>
        <a:effectLst/>
      </xdr:spPr>
      <xdr:txBody>
        <a:bodyPr rot="0" spcFirstLastPara="0" vertOverflow="clip" horzOverflow="clip" vert="horz" wrap="square" lIns="18288" tIns="0" rIns="0" bIns="0" numCol="1" spcCol="0" rtlCol="0" fromWordArt="0" anchor="ctr" anchorCtr="0" forceAA="0" upright="1" compatLnSpc="1">
          <a:prstTxWarp prst="textNoShape">
            <a:avLst/>
          </a:prstTxWarp>
          <a:noAutofit/>
        </a:bodyPr>
        <a:lstStyle/>
        <a:p>
          <a:pPr algn="ctr"/>
          <a:r>
            <a:rPr lang="fr-FR" sz="2000"/>
            <a:t>Impression</a:t>
          </a:r>
          <a:r>
            <a:rPr lang="fr-FR" sz="2000" baseline="0"/>
            <a:t> du CLASSEMENT FINAL</a:t>
          </a:r>
          <a:endParaRPr lang="fr-FR" sz="2000"/>
        </a:p>
      </xdr:txBody>
    </xdr:sp>
    <xdr:clientData fPrintsWithSheet="0"/>
  </xdr:twoCellAnchor>
  <xdr:twoCellAnchor>
    <xdr:from>
      <xdr:col>24</xdr:col>
      <xdr:colOff>984250</xdr:colOff>
      <xdr:row>0</xdr:row>
      <xdr:rowOff>317500</xdr:rowOff>
    </xdr:from>
    <xdr:to>
      <xdr:col>25</xdr:col>
      <xdr:colOff>63500</xdr:colOff>
      <xdr:row>1</xdr:row>
      <xdr:rowOff>412750</xdr:rowOff>
    </xdr:to>
    <xdr:sp macro="[0]!jmk_RETOUR_MENU" textlink="">
      <xdr:nvSpPr>
        <xdr:cNvPr id="6" name="Rectangle à coins arrondis 40">
          <a:extLst>
            <a:ext uri="{FF2B5EF4-FFF2-40B4-BE49-F238E27FC236}">
              <a16:creationId xmlns:a16="http://schemas.microsoft.com/office/drawing/2014/main" id="{00000000-0008-0000-3900-000006000000}"/>
            </a:ext>
          </a:extLst>
        </xdr:cNvPr>
        <xdr:cNvSpPr/>
      </xdr:nvSpPr>
      <xdr:spPr bwMode="auto">
        <a:xfrm>
          <a:off x="20739100" y="317500"/>
          <a:ext cx="1517650" cy="80010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Retour aux MENUS</a:t>
          </a:r>
        </a:p>
      </xdr:txBody>
    </xdr:sp>
    <xdr:clientData fPrintsWithSheet="0"/>
  </xdr:twoCellAnchor>
  <xdr:twoCellAnchor editAs="oneCell">
    <xdr:from>
      <xdr:col>10</xdr:col>
      <xdr:colOff>95250</xdr:colOff>
      <xdr:row>0</xdr:row>
      <xdr:rowOff>111125</xdr:rowOff>
    </xdr:from>
    <xdr:to>
      <xdr:col>12</xdr:col>
      <xdr:colOff>987424</xdr:colOff>
      <xdr:row>1</xdr:row>
      <xdr:rowOff>609600</xdr:rowOff>
    </xdr:to>
    <xdr:pic>
      <xdr:nvPicPr>
        <xdr:cNvPr id="7" name="Image 6">
          <a:extLst>
            <a:ext uri="{FF2B5EF4-FFF2-40B4-BE49-F238E27FC236}">
              <a16:creationId xmlns:a16="http://schemas.microsoft.com/office/drawing/2014/main" id="{00000000-0008-0000-39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29575" y="111125"/>
          <a:ext cx="1835150" cy="1203325"/>
        </a:xfrm>
        <a:prstGeom prst="rect">
          <a:avLst/>
        </a:prstGeom>
      </xdr:spPr>
    </xdr:pic>
    <xdr:clientData/>
  </xdr:twoCellAnchor>
  <xdr:twoCellAnchor editAs="oneCell">
    <xdr:from>
      <xdr:col>35</xdr:col>
      <xdr:colOff>1444625</xdr:colOff>
      <xdr:row>2</xdr:row>
      <xdr:rowOff>396875</xdr:rowOff>
    </xdr:from>
    <xdr:to>
      <xdr:col>35</xdr:col>
      <xdr:colOff>2343150</xdr:colOff>
      <xdr:row>4</xdr:row>
      <xdr:rowOff>180975</xdr:rowOff>
    </xdr:to>
    <xdr:pic>
      <xdr:nvPicPr>
        <xdr:cNvPr id="8" name="Image 7">
          <a:extLst>
            <a:ext uri="{FF2B5EF4-FFF2-40B4-BE49-F238E27FC236}">
              <a16:creationId xmlns:a16="http://schemas.microsoft.com/office/drawing/2014/main" id="{00000000-0008-0000-39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419800" y="1882775"/>
          <a:ext cx="898525" cy="584200"/>
        </a:xfrm>
        <a:prstGeom prst="rect">
          <a:avLst/>
        </a:prstGeom>
      </xdr:spPr>
    </xdr:pic>
    <xdr:clientData/>
  </xdr:twoCellAnchor>
  <xdr:twoCellAnchor>
    <xdr:from>
      <xdr:col>33</xdr:col>
      <xdr:colOff>698500</xdr:colOff>
      <xdr:row>36</xdr:row>
      <xdr:rowOff>0</xdr:rowOff>
    </xdr:from>
    <xdr:to>
      <xdr:col>33</xdr:col>
      <xdr:colOff>2020661</xdr:colOff>
      <xdr:row>40</xdr:row>
      <xdr:rowOff>13607</xdr:rowOff>
    </xdr:to>
    <xdr:sp macro="[0]!Imp_DUEL_Tableau" textlink="">
      <xdr:nvSpPr>
        <xdr:cNvPr id="9" name="Rectangle à coins arrondis 53">
          <a:extLst>
            <a:ext uri="{FF2B5EF4-FFF2-40B4-BE49-F238E27FC236}">
              <a16:creationId xmlns:a16="http://schemas.microsoft.com/office/drawing/2014/main" id="{00000000-0008-0000-3900-000009000000}"/>
            </a:ext>
          </a:extLst>
        </xdr:cNvPr>
        <xdr:cNvSpPr/>
      </xdr:nvSpPr>
      <xdr:spPr bwMode="auto">
        <a:xfrm>
          <a:off x="25758775" y="8686800"/>
          <a:ext cx="1322161" cy="813707"/>
        </a:xfrm>
        <a:prstGeom prst="roundRect">
          <a:avLst/>
        </a:prstGeom>
        <a:solidFill>
          <a:srgbClr val="E923EE"/>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 TABLEAU des</a:t>
          </a:r>
          <a:r>
            <a:rPr lang="fr-FR" sz="1600" baseline="0"/>
            <a:t> DUELS</a:t>
          </a:r>
          <a:endParaRPr lang="fr-FR" sz="1600"/>
        </a:p>
      </xdr:txBody>
    </xdr:sp>
    <xdr:clientData/>
  </xdr:twoCellAnchor>
  <xdr:twoCellAnchor>
    <xdr:from>
      <xdr:col>15</xdr:col>
      <xdr:colOff>40822</xdr:colOff>
      <xdr:row>6</xdr:row>
      <xdr:rowOff>95250</xdr:rowOff>
    </xdr:from>
    <xdr:to>
      <xdr:col>16</xdr:col>
      <xdr:colOff>0</xdr:colOff>
      <xdr:row>7</xdr:row>
      <xdr:rowOff>176893</xdr:rowOff>
    </xdr:to>
    <xdr:cxnSp macro="">
      <xdr:nvCxnSpPr>
        <xdr:cNvPr id="10" name="Connecteur droit avec flèche 9">
          <a:extLst>
            <a:ext uri="{FF2B5EF4-FFF2-40B4-BE49-F238E27FC236}">
              <a16:creationId xmlns:a16="http://schemas.microsoft.com/office/drawing/2014/main" id="{00000000-0008-0000-3900-00000A000000}"/>
            </a:ext>
          </a:extLst>
        </xdr:cNvPr>
        <xdr:cNvCxnSpPr/>
      </xdr:nvCxnSpPr>
      <xdr:spPr>
        <a:xfrm flipV="1">
          <a:off x="12394747" y="2781300"/>
          <a:ext cx="1006928" cy="28166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8</xdr:row>
      <xdr:rowOff>120650</xdr:rowOff>
    </xdr:from>
    <xdr:to>
      <xdr:col>15</xdr:col>
      <xdr:colOff>1044575</xdr:colOff>
      <xdr:row>14</xdr:row>
      <xdr:rowOff>149678</xdr:rowOff>
    </xdr:to>
    <xdr:cxnSp macro="">
      <xdr:nvCxnSpPr>
        <xdr:cNvPr id="11" name="Connecteur droit avec flèche 10">
          <a:extLst>
            <a:ext uri="{FF2B5EF4-FFF2-40B4-BE49-F238E27FC236}">
              <a16:creationId xmlns:a16="http://schemas.microsoft.com/office/drawing/2014/main" id="{00000000-0008-0000-3900-00000B000000}"/>
            </a:ext>
          </a:extLst>
        </xdr:cNvPr>
        <xdr:cNvCxnSpPr/>
      </xdr:nvCxnSpPr>
      <xdr:spPr>
        <a:xfrm flipV="1">
          <a:off x="12353925" y="3206750"/>
          <a:ext cx="1044575" cy="122917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14</xdr:row>
      <xdr:rowOff>13607</xdr:rowOff>
    </xdr:from>
    <xdr:to>
      <xdr:col>15</xdr:col>
      <xdr:colOff>1020536</xdr:colOff>
      <xdr:row>21</xdr:row>
      <xdr:rowOff>149679</xdr:rowOff>
    </xdr:to>
    <xdr:cxnSp macro="">
      <xdr:nvCxnSpPr>
        <xdr:cNvPr id="12" name="Connecteur droit avec flèche 11">
          <a:extLst>
            <a:ext uri="{FF2B5EF4-FFF2-40B4-BE49-F238E27FC236}">
              <a16:creationId xmlns:a16="http://schemas.microsoft.com/office/drawing/2014/main" id="{00000000-0008-0000-3900-00000C000000}"/>
            </a:ext>
          </a:extLst>
        </xdr:cNvPr>
        <xdr:cNvCxnSpPr/>
      </xdr:nvCxnSpPr>
      <xdr:spPr>
        <a:xfrm flipV="1">
          <a:off x="12353925" y="4299857"/>
          <a:ext cx="1020536" cy="153624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16</xdr:row>
      <xdr:rowOff>13607</xdr:rowOff>
    </xdr:from>
    <xdr:to>
      <xdr:col>16</xdr:col>
      <xdr:colOff>0</xdr:colOff>
      <xdr:row>29</xdr:row>
      <xdr:rowOff>10582</xdr:rowOff>
    </xdr:to>
    <xdr:cxnSp macro="">
      <xdr:nvCxnSpPr>
        <xdr:cNvPr id="13" name="Connecteur droit avec flèche 12">
          <a:extLst>
            <a:ext uri="{FF2B5EF4-FFF2-40B4-BE49-F238E27FC236}">
              <a16:creationId xmlns:a16="http://schemas.microsoft.com/office/drawing/2014/main" id="{00000000-0008-0000-3900-00000D000000}"/>
            </a:ext>
          </a:extLst>
        </xdr:cNvPr>
        <xdr:cNvCxnSpPr/>
      </xdr:nvCxnSpPr>
      <xdr:spPr>
        <a:xfrm flipV="1">
          <a:off x="12353925" y="4699907"/>
          <a:ext cx="1047750" cy="259730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8</xdr:row>
      <xdr:rowOff>10583</xdr:rowOff>
    </xdr:from>
    <xdr:to>
      <xdr:col>16</xdr:col>
      <xdr:colOff>16934</xdr:colOff>
      <xdr:row>20</xdr:row>
      <xdr:rowOff>146050</xdr:rowOff>
    </xdr:to>
    <xdr:cxnSp macro="">
      <xdr:nvCxnSpPr>
        <xdr:cNvPr id="14" name="Connecteur droit avec flèche 13">
          <a:extLst>
            <a:ext uri="{FF2B5EF4-FFF2-40B4-BE49-F238E27FC236}">
              <a16:creationId xmlns:a16="http://schemas.microsoft.com/office/drawing/2014/main" id="{00000000-0008-0000-3900-00000E000000}"/>
            </a:ext>
          </a:extLst>
        </xdr:cNvPr>
        <xdr:cNvCxnSpPr/>
      </xdr:nvCxnSpPr>
      <xdr:spPr>
        <a:xfrm>
          <a:off x="12370859" y="3096683"/>
          <a:ext cx="1047750" cy="25357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29634</xdr:colOff>
      <xdr:row>15</xdr:row>
      <xdr:rowOff>40216</xdr:rowOff>
    </xdr:from>
    <xdr:to>
      <xdr:col>16</xdr:col>
      <xdr:colOff>25400</xdr:colOff>
      <xdr:row>22</xdr:row>
      <xdr:rowOff>133350</xdr:rowOff>
    </xdr:to>
    <xdr:cxnSp macro="">
      <xdr:nvCxnSpPr>
        <xdr:cNvPr id="15" name="Connecteur droit avec flèche 14">
          <a:extLst>
            <a:ext uri="{FF2B5EF4-FFF2-40B4-BE49-F238E27FC236}">
              <a16:creationId xmlns:a16="http://schemas.microsoft.com/office/drawing/2014/main" id="{00000000-0008-0000-3900-00000F000000}"/>
            </a:ext>
          </a:extLst>
        </xdr:cNvPr>
        <xdr:cNvCxnSpPr/>
      </xdr:nvCxnSpPr>
      <xdr:spPr>
        <a:xfrm>
          <a:off x="12383559" y="4526491"/>
          <a:ext cx="1043516" cy="149330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22</xdr:row>
      <xdr:rowOff>27516</xdr:rowOff>
    </xdr:from>
    <xdr:to>
      <xdr:col>16</xdr:col>
      <xdr:colOff>12700</xdr:colOff>
      <xdr:row>27</xdr:row>
      <xdr:rowOff>107950</xdr:rowOff>
    </xdr:to>
    <xdr:cxnSp macro="">
      <xdr:nvCxnSpPr>
        <xdr:cNvPr id="16" name="Connecteur droit avec flèche 15">
          <a:extLst>
            <a:ext uri="{FF2B5EF4-FFF2-40B4-BE49-F238E27FC236}">
              <a16:creationId xmlns:a16="http://schemas.microsoft.com/office/drawing/2014/main" id="{00000000-0008-0000-3900-000010000000}"/>
            </a:ext>
          </a:extLst>
        </xdr:cNvPr>
        <xdr:cNvCxnSpPr/>
      </xdr:nvCxnSpPr>
      <xdr:spPr>
        <a:xfrm>
          <a:off x="12370859" y="5913966"/>
          <a:ext cx="1043516" cy="108055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29</xdr:row>
      <xdr:rowOff>10584</xdr:rowOff>
    </xdr:from>
    <xdr:to>
      <xdr:col>15</xdr:col>
      <xdr:colOff>1044575</xdr:colOff>
      <xdr:row>29</xdr:row>
      <xdr:rowOff>133350</xdr:rowOff>
    </xdr:to>
    <xdr:cxnSp macro="">
      <xdr:nvCxnSpPr>
        <xdr:cNvPr id="17" name="Connecteur droit avec flèche 16">
          <a:extLst>
            <a:ext uri="{FF2B5EF4-FFF2-40B4-BE49-F238E27FC236}">
              <a16:creationId xmlns:a16="http://schemas.microsoft.com/office/drawing/2014/main" id="{00000000-0008-0000-3900-000011000000}"/>
            </a:ext>
          </a:extLst>
        </xdr:cNvPr>
        <xdr:cNvCxnSpPr/>
      </xdr:nvCxnSpPr>
      <xdr:spPr>
        <a:xfrm>
          <a:off x="12370859" y="7297209"/>
          <a:ext cx="1027641" cy="12276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6</xdr:row>
      <xdr:rowOff>120651</xdr:rowOff>
    </xdr:from>
    <xdr:to>
      <xdr:col>22</xdr:col>
      <xdr:colOff>12700</xdr:colOff>
      <xdr:row>8</xdr:row>
      <xdr:rowOff>0</xdr:rowOff>
    </xdr:to>
    <xdr:cxnSp macro="">
      <xdr:nvCxnSpPr>
        <xdr:cNvPr id="18" name="Connecteur droit avec flèche 17">
          <a:extLst>
            <a:ext uri="{FF2B5EF4-FFF2-40B4-BE49-F238E27FC236}">
              <a16:creationId xmlns:a16="http://schemas.microsoft.com/office/drawing/2014/main" id="{00000000-0008-0000-3900-000012000000}"/>
            </a:ext>
          </a:extLst>
        </xdr:cNvPr>
        <xdr:cNvCxnSpPr/>
      </xdr:nvCxnSpPr>
      <xdr:spPr>
        <a:xfrm flipV="1">
          <a:off x="17871622" y="28067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8</xdr:row>
      <xdr:rowOff>120650</xdr:rowOff>
    </xdr:from>
    <xdr:to>
      <xdr:col>22</xdr:col>
      <xdr:colOff>12700</xdr:colOff>
      <xdr:row>15</xdr:row>
      <xdr:rowOff>2116</xdr:rowOff>
    </xdr:to>
    <xdr:cxnSp macro="">
      <xdr:nvCxnSpPr>
        <xdr:cNvPr id="19" name="Connecteur droit avec flèche 18">
          <a:extLst>
            <a:ext uri="{FF2B5EF4-FFF2-40B4-BE49-F238E27FC236}">
              <a16:creationId xmlns:a16="http://schemas.microsoft.com/office/drawing/2014/main" id="{00000000-0008-0000-3900-000013000000}"/>
            </a:ext>
          </a:extLst>
        </xdr:cNvPr>
        <xdr:cNvCxnSpPr/>
      </xdr:nvCxnSpPr>
      <xdr:spPr>
        <a:xfrm flipV="1">
          <a:off x="17847733" y="32067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8</xdr:row>
      <xdr:rowOff>13607</xdr:rowOff>
    </xdr:from>
    <xdr:to>
      <xdr:col>21</xdr:col>
      <xdr:colOff>1060450</xdr:colOff>
      <xdr:row>13</xdr:row>
      <xdr:rowOff>103724</xdr:rowOff>
    </xdr:to>
    <xdr:cxnSp macro="">
      <xdr:nvCxnSpPr>
        <xdr:cNvPr id="20" name="Connecteur droit avec flèche 19">
          <a:extLst>
            <a:ext uri="{FF2B5EF4-FFF2-40B4-BE49-F238E27FC236}">
              <a16:creationId xmlns:a16="http://schemas.microsoft.com/office/drawing/2014/main" id="{00000000-0008-0000-3900-000014000000}"/>
            </a:ext>
          </a:extLst>
        </xdr:cNvPr>
        <xdr:cNvCxnSpPr/>
      </xdr:nvCxnSpPr>
      <xdr:spPr>
        <a:xfrm>
          <a:off x="17844408" y="30997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15</xdr:row>
      <xdr:rowOff>2123</xdr:rowOff>
    </xdr:from>
    <xdr:to>
      <xdr:col>21</xdr:col>
      <xdr:colOff>1059392</xdr:colOff>
      <xdr:row>15</xdr:row>
      <xdr:rowOff>120656</xdr:rowOff>
    </xdr:to>
    <xdr:cxnSp macro="">
      <xdr:nvCxnSpPr>
        <xdr:cNvPr id="21" name="Connecteur droit avec flèche 20">
          <a:extLst>
            <a:ext uri="{FF2B5EF4-FFF2-40B4-BE49-F238E27FC236}">
              <a16:creationId xmlns:a16="http://schemas.microsoft.com/office/drawing/2014/main" id="{00000000-0008-0000-3900-000015000000}"/>
            </a:ext>
          </a:extLst>
        </xdr:cNvPr>
        <xdr:cNvCxnSpPr/>
      </xdr:nvCxnSpPr>
      <xdr:spPr>
        <a:xfrm>
          <a:off x="17830800" y="44883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33867</xdr:colOff>
      <xdr:row>20</xdr:row>
      <xdr:rowOff>120650</xdr:rowOff>
    </xdr:from>
    <xdr:to>
      <xdr:col>22</xdr:col>
      <xdr:colOff>12700</xdr:colOff>
      <xdr:row>20</xdr:row>
      <xdr:rowOff>188383</xdr:rowOff>
    </xdr:to>
    <xdr:cxnSp macro="">
      <xdr:nvCxnSpPr>
        <xdr:cNvPr id="22" name="Connecteur droit avec flèche 21">
          <a:extLst>
            <a:ext uri="{FF2B5EF4-FFF2-40B4-BE49-F238E27FC236}">
              <a16:creationId xmlns:a16="http://schemas.microsoft.com/office/drawing/2014/main" id="{00000000-0008-0000-3900-000016000000}"/>
            </a:ext>
          </a:extLst>
        </xdr:cNvPr>
        <xdr:cNvCxnSpPr/>
      </xdr:nvCxnSpPr>
      <xdr:spPr>
        <a:xfrm flipV="1">
          <a:off x="17864667" y="5607050"/>
          <a:ext cx="1036108" cy="67733"/>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22</xdr:row>
      <xdr:rowOff>120650</xdr:rowOff>
    </xdr:from>
    <xdr:to>
      <xdr:col>22</xdr:col>
      <xdr:colOff>12700</xdr:colOff>
      <xdr:row>29</xdr:row>
      <xdr:rowOff>2116</xdr:rowOff>
    </xdr:to>
    <xdr:cxnSp macro="">
      <xdr:nvCxnSpPr>
        <xdr:cNvPr id="23" name="Connecteur droit avec flèche 22">
          <a:extLst>
            <a:ext uri="{FF2B5EF4-FFF2-40B4-BE49-F238E27FC236}">
              <a16:creationId xmlns:a16="http://schemas.microsoft.com/office/drawing/2014/main" id="{00000000-0008-0000-3900-000017000000}"/>
            </a:ext>
          </a:extLst>
        </xdr:cNvPr>
        <xdr:cNvCxnSpPr/>
      </xdr:nvCxnSpPr>
      <xdr:spPr>
        <a:xfrm flipV="1">
          <a:off x="17847733" y="6007100"/>
          <a:ext cx="1053042" cy="1281641"/>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20</xdr:row>
      <xdr:rowOff>188390</xdr:rowOff>
    </xdr:from>
    <xdr:to>
      <xdr:col>21</xdr:col>
      <xdr:colOff>1060450</xdr:colOff>
      <xdr:row>27</xdr:row>
      <xdr:rowOff>103724</xdr:rowOff>
    </xdr:to>
    <xdr:cxnSp macro="">
      <xdr:nvCxnSpPr>
        <xdr:cNvPr id="24" name="Connecteur droit avec flèche 23">
          <a:extLst>
            <a:ext uri="{FF2B5EF4-FFF2-40B4-BE49-F238E27FC236}">
              <a16:creationId xmlns:a16="http://schemas.microsoft.com/office/drawing/2014/main" id="{00000000-0008-0000-3900-000018000000}"/>
            </a:ext>
          </a:extLst>
        </xdr:cNvPr>
        <xdr:cNvCxnSpPr/>
      </xdr:nvCxnSpPr>
      <xdr:spPr>
        <a:xfrm>
          <a:off x="17830800" y="5674790"/>
          <a:ext cx="1060450" cy="1315509"/>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29</xdr:row>
      <xdr:rowOff>2123</xdr:rowOff>
    </xdr:from>
    <xdr:to>
      <xdr:col>21</xdr:col>
      <xdr:colOff>1059392</xdr:colOff>
      <xdr:row>29</xdr:row>
      <xdr:rowOff>120656</xdr:rowOff>
    </xdr:to>
    <xdr:cxnSp macro="">
      <xdr:nvCxnSpPr>
        <xdr:cNvPr id="25" name="Connecteur droit avec flèche 24">
          <a:extLst>
            <a:ext uri="{FF2B5EF4-FFF2-40B4-BE49-F238E27FC236}">
              <a16:creationId xmlns:a16="http://schemas.microsoft.com/office/drawing/2014/main" id="{00000000-0008-0000-3900-000019000000}"/>
            </a:ext>
          </a:extLst>
        </xdr:cNvPr>
        <xdr:cNvCxnSpPr/>
      </xdr:nvCxnSpPr>
      <xdr:spPr>
        <a:xfrm>
          <a:off x="17830800" y="7288748"/>
          <a:ext cx="1059392" cy="118533"/>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40822</xdr:colOff>
      <xdr:row>34</xdr:row>
      <xdr:rowOff>95250</xdr:rowOff>
    </xdr:from>
    <xdr:to>
      <xdr:col>16</xdr:col>
      <xdr:colOff>0</xdr:colOff>
      <xdr:row>35</xdr:row>
      <xdr:rowOff>176893</xdr:rowOff>
    </xdr:to>
    <xdr:cxnSp macro="">
      <xdr:nvCxnSpPr>
        <xdr:cNvPr id="26" name="Connecteur droit avec flèche 25">
          <a:extLst>
            <a:ext uri="{FF2B5EF4-FFF2-40B4-BE49-F238E27FC236}">
              <a16:creationId xmlns:a16="http://schemas.microsoft.com/office/drawing/2014/main" id="{00000000-0008-0000-3900-00001A000000}"/>
            </a:ext>
          </a:extLst>
        </xdr:cNvPr>
        <xdr:cNvCxnSpPr/>
      </xdr:nvCxnSpPr>
      <xdr:spPr>
        <a:xfrm flipV="1">
          <a:off x="12394747" y="8382000"/>
          <a:ext cx="1006928" cy="28166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36</xdr:row>
      <xdr:rowOff>120650</xdr:rowOff>
    </xdr:from>
    <xdr:to>
      <xdr:col>15</xdr:col>
      <xdr:colOff>1044575</xdr:colOff>
      <xdr:row>42</xdr:row>
      <xdr:rowOff>149678</xdr:rowOff>
    </xdr:to>
    <xdr:cxnSp macro="">
      <xdr:nvCxnSpPr>
        <xdr:cNvPr id="27" name="Connecteur droit avec flèche 26">
          <a:extLst>
            <a:ext uri="{FF2B5EF4-FFF2-40B4-BE49-F238E27FC236}">
              <a16:creationId xmlns:a16="http://schemas.microsoft.com/office/drawing/2014/main" id="{00000000-0008-0000-3900-00001B000000}"/>
            </a:ext>
          </a:extLst>
        </xdr:cNvPr>
        <xdr:cNvCxnSpPr/>
      </xdr:nvCxnSpPr>
      <xdr:spPr>
        <a:xfrm flipV="1">
          <a:off x="12353925" y="8807450"/>
          <a:ext cx="1044575" cy="122917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42</xdr:row>
      <xdr:rowOff>13607</xdr:rowOff>
    </xdr:from>
    <xdr:to>
      <xdr:col>15</xdr:col>
      <xdr:colOff>1020536</xdr:colOff>
      <xdr:row>49</xdr:row>
      <xdr:rowOff>149679</xdr:rowOff>
    </xdr:to>
    <xdr:cxnSp macro="">
      <xdr:nvCxnSpPr>
        <xdr:cNvPr id="28" name="Connecteur droit avec flèche 27">
          <a:extLst>
            <a:ext uri="{FF2B5EF4-FFF2-40B4-BE49-F238E27FC236}">
              <a16:creationId xmlns:a16="http://schemas.microsoft.com/office/drawing/2014/main" id="{00000000-0008-0000-3900-00001C000000}"/>
            </a:ext>
          </a:extLst>
        </xdr:cNvPr>
        <xdr:cNvCxnSpPr/>
      </xdr:nvCxnSpPr>
      <xdr:spPr>
        <a:xfrm flipV="1">
          <a:off x="12353925" y="9900557"/>
          <a:ext cx="1020536" cy="153624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44</xdr:row>
      <xdr:rowOff>13607</xdr:rowOff>
    </xdr:from>
    <xdr:to>
      <xdr:col>16</xdr:col>
      <xdr:colOff>0</xdr:colOff>
      <xdr:row>57</xdr:row>
      <xdr:rowOff>10582</xdr:rowOff>
    </xdr:to>
    <xdr:cxnSp macro="">
      <xdr:nvCxnSpPr>
        <xdr:cNvPr id="29" name="Connecteur droit avec flèche 28">
          <a:extLst>
            <a:ext uri="{FF2B5EF4-FFF2-40B4-BE49-F238E27FC236}">
              <a16:creationId xmlns:a16="http://schemas.microsoft.com/office/drawing/2014/main" id="{00000000-0008-0000-3900-00001D000000}"/>
            </a:ext>
          </a:extLst>
        </xdr:cNvPr>
        <xdr:cNvCxnSpPr/>
      </xdr:nvCxnSpPr>
      <xdr:spPr>
        <a:xfrm flipV="1">
          <a:off x="12353925" y="10300607"/>
          <a:ext cx="1047750" cy="259730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36</xdr:row>
      <xdr:rowOff>10583</xdr:rowOff>
    </xdr:from>
    <xdr:to>
      <xdr:col>16</xdr:col>
      <xdr:colOff>16934</xdr:colOff>
      <xdr:row>48</xdr:row>
      <xdr:rowOff>146050</xdr:rowOff>
    </xdr:to>
    <xdr:cxnSp macro="">
      <xdr:nvCxnSpPr>
        <xdr:cNvPr id="30" name="Connecteur droit avec flèche 29">
          <a:extLst>
            <a:ext uri="{FF2B5EF4-FFF2-40B4-BE49-F238E27FC236}">
              <a16:creationId xmlns:a16="http://schemas.microsoft.com/office/drawing/2014/main" id="{00000000-0008-0000-3900-00001E000000}"/>
            </a:ext>
          </a:extLst>
        </xdr:cNvPr>
        <xdr:cNvCxnSpPr/>
      </xdr:nvCxnSpPr>
      <xdr:spPr>
        <a:xfrm>
          <a:off x="12370859" y="8697383"/>
          <a:ext cx="1047750" cy="25357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29634</xdr:colOff>
      <xdr:row>43</xdr:row>
      <xdr:rowOff>40216</xdr:rowOff>
    </xdr:from>
    <xdr:to>
      <xdr:col>16</xdr:col>
      <xdr:colOff>25400</xdr:colOff>
      <xdr:row>50</xdr:row>
      <xdr:rowOff>133350</xdr:rowOff>
    </xdr:to>
    <xdr:cxnSp macro="">
      <xdr:nvCxnSpPr>
        <xdr:cNvPr id="31" name="Connecteur droit avec flèche 30">
          <a:extLst>
            <a:ext uri="{FF2B5EF4-FFF2-40B4-BE49-F238E27FC236}">
              <a16:creationId xmlns:a16="http://schemas.microsoft.com/office/drawing/2014/main" id="{00000000-0008-0000-3900-00001F000000}"/>
            </a:ext>
          </a:extLst>
        </xdr:cNvPr>
        <xdr:cNvCxnSpPr/>
      </xdr:nvCxnSpPr>
      <xdr:spPr>
        <a:xfrm>
          <a:off x="12383559" y="10127191"/>
          <a:ext cx="1043516" cy="149330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50</xdr:row>
      <xdr:rowOff>27516</xdr:rowOff>
    </xdr:from>
    <xdr:to>
      <xdr:col>16</xdr:col>
      <xdr:colOff>12700</xdr:colOff>
      <xdr:row>55</xdr:row>
      <xdr:rowOff>107950</xdr:rowOff>
    </xdr:to>
    <xdr:cxnSp macro="">
      <xdr:nvCxnSpPr>
        <xdr:cNvPr id="32" name="Connecteur droit avec flèche 31">
          <a:extLst>
            <a:ext uri="{FF2B5EF4-FFF2-40B4-BE49-F238E27FC236}">
              <a16:creationId xmlns:a16="http://schemas.microsoft.com/office/drawing/2014/main" id="{00000000-0008-0000-3900-000020000000}"/>
            </a:ext>
          </a:extLst>
        </xdr:cNvPr>
        <xdr:cNvCxnSpPr/>
      </xdr:nvCxnSpPr>
      <xdr:spPr>
        <a:xfrm>
          <a:off x="12370859" y="11514666"/>
          <a:ext cx="1043516" cy="108055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57</xdr:row>
      <xdr:rowOff>10584</xdr:rowOff>
    </xdr:from>
    <xdr:to>
      <xdr:col>15</xdr:col>
      <xdr:colOff>1044575</xdr:colOff>
      <xdr:row>57</xdr:row>
      <xdr:rowOff>133350</xdr:rowOff>
    </xdr:to>
    <xdr:cxnSp macro="">
      <xdr:nvCxnSpPr>
        <xdr:cNvPr id="33" name="Connecteur droit avec flèche 32">
          <a:extLst>
            <a:ext uri="{FF2B5EF4-FFF2-40B4-BE49-F238E27FC236}">
              <a16:creationId xmlns:a16="http://schemas.microsoft.com/office/drawing/2014/main" id="{00000000-0008-0000-3900-000021000000}"/>
            </a:ext>
          </a:extLst>
        </xdr:cNvPr>
        <xdr:cNvCxnSpPr/>
      </xdr:nvCxnSpPr>
      <xdr:spPr>
        <a:xfrm>
          <a:off x="12370859" y="12897909"/>
          <a:ext cx="1027641" cy="12276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34</xdr:row>
      <xdr:rowOff>120651</xdr:rowOff>
    </xdr:from>
    <xdr:to>
      <xdr:col>22</xdr:col>
      <xdr:colOff>12700</xdr:colOff>
      <xdr:row>36</xdr:row>
      <xdr:rowOff>0</xdr:rowOff>
    </xdr:to>
    <xdr:cxnSp macro="">
      <xdr:nvCxnSpPr>
        <xdr:cNvPr id="34" name="Connecteur droit avec flèche 33">
          <a:extLst>
            <a:ext uri="{FF2B5EF4-FFF2-40B4-BE49-F238E27FC236}">
              <a16:creationId xmlns:a16="http://schemas.microsoft.com/office/drawing/2014/main" id="{00000000-0008-0000-3900-000022000000}"/>
            </a:ext>
          </a:extLst>
        </xdr:cNvPr>
        <xdr:cNvCxnSpPr/>
      </xdr:nvCxnSpPr>
      <xdr:spPr>
        <a:xfrm flipV="1">
          <a:off x="17871622" y="84074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36</xdr:row>
      <xdr:rowOff>120650</xdr:rowOff>
    </xdr:from>
    <xdr:to>
      <xdr:col>22</xdr:col>
      <xdr:colOff>12700</xdr:colOff>
      <xdr:row>43</xdr:row>
      <xdr:rowOff>2116</xdr:rowOff>
    </xdr:to>
    <xdr:cxnSp macro="">
      <xdr:nvCxnSpPr>
        <xdr:cNvPr id="35" name="Connecteur droit avec flèche 34">
          <a:extLst>
            <a:ext uri="{FF2B5EF4-FFF2-40B4-BE49-F238E27FC236}">
              <a16:creationId xmlns:a16="http://schemas.microsoft.com/office/drawing/2014/main" id="{00000000-0008-0000-3900-000023000000}"/>
            </a:ext>
          </a:extLst>
        </xdr:cNvPr>
        <xdr:cNvCxnSpPr/>
      </xdr:nvCxnSpPr>
      <xdr:spPr>
        <a:xfrm flipV="1">
          <a:off x="17847733" y="88074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36</xdr:row>
      <xdr:rowOff>13607</xdr:rowOff>
    </xdr:from>
    <xdr:to>
      <xdr:col>21</xdr:col>
      <xdr:colOff>1060450</xdr:colOff>
      <xdr:row>41</xdr:row>
      <xdr:rowOff>103724</xdr:rowOff>
    </xdr:to>
    <xdr:cxnSp macro="">
      <xdr:nvCxnSpPr>
        <xdr:cNvPr id="36" name="Connecteur droit avec flèche 35">
          <a:extLst>
            <a:ext uri="{FF2B5EF4-FFF2-40B4-BE49-F238E27FC236}">
              <a16:creationId xmlns:a16="http://schemas.microsoft.com/office/drawing/2014/main" id="{00000000-0008-0000-3900-000024000000}"/>
            </a:ext>
          </a:extLst>
        </xdr:cNvPr>
        <xdr:cNvCxnSpPr/>
      </xdr:nvCxnSpPr>
      <xdr:spPr>
        <a:xfrm>
          <a:off x="17844408" y="87004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43</xdr:row>
      <xdr:rowOff>2123</xdr:rowOff>
    </xdr:from>
    <xdr:to>
      <xdr:col>21</xdr:col>
      <xdr:colOff>1059392</xdr:colOff>
      <xdr:row>43</xdr:row>
      <xdr:rowOff>120656</xdr:rowOff>
    </xdr:to>
    <xdr:cxnSp macro="">
      <xdr:nvCxnSpPr>
        <xdr:cNvPr id="37" name="Connecteur droit avec flèche 36">
          <a:extLst>
            <a:ext uri="{FF2B5EF4-FFF2-40B4-BE49-F238E27FC236}">
              <a16:creationId xmlns:a16="http://schemas.microsoft.com/office/drawing/2014/main" id="{00000000-0008-0000-3900-000025000000}"/>
            </a:ext>
          </a:extLst>
        </xdr:cNvPr>
        <xdr:cNvCxnSpPr/>
      </xdr:nvCxnSpPr>
      <xdr:spPr>
        <a:xfrm>
          <a:off x="17830800" y="100890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33867</xdr:colOff>
      <xdr:row>48</xdr:row>
      <xdr:rowOff>120650</xdr:rowOff>
    </xdr:from>
    <xdr:to>
      <xdr:col>22</xdr:col>
      <xdr:colOff>12700</xdr:colOff>
      <xdr:row>48</xdr:row>
      <xdr:rowOff>188383</xdr:rowOff>
    </xdr:to>
    <xdr:cxnSp macro="">
      <xdr:nvCxnSpPr>
        <xdr:cNvPr id="38" name="Connecteur droit avec flèche 37">
          <a:extLst>
            <a:ext uri="{FF2B5EF4-FFF2-40B4-BE49-F238E27FC236}">
              <a16:creationId xmlns:a16="http://schemas.microsoft.com/office/drawing/2014/main" id="{00000000-0008-0000-3900-000026000000}"/>
            </a:ext>
          </a:extLst>
        </xdr:cNvPr>
        <xdr:cNvCxnSpPr/>
      </xdr:nvCxnSpPr>
      <xdr:spPr>
        <a:xfrm flipV="1">
          <a:off x="17864667" y="11207750"/>
          <a:ext cx="1036108" cy="67733"/>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50</xdr:row>
      <xdr:rowOff>120650</xdr:rowOff>
    </xdr:from>
    <xdr:to>
      <xdr:col>22</xdr:col>
      <xdr:colOff>12700</xdr:colOff>
      <xdr:row>57</xdr:row>
      <xdr:rowOff>2116</xdr:rowOff>
    </xdr:to>
    <xdr:cxnSp macro="">
      <xdr:nvCxnSpPr>
        <xdr:cNvPr id="39" name="Connecteur droit avec flèche 38">
          <a:extLst>
            <a:ext uri="{FF2B5EF4-FFF2-40B4-BE49-F238E27FC236}">
              <a16:creationId xmlns:a16="http://schemas.microsoft.com/office/drawing/2014/main" id="{00000000-0008-0000-3900-000027000000}"/>
            </a:ext>
          </a:extLst>
        </xdr:cNvPr>
        <xdr:cNvCxnSpPr/>
      </xdr:nvCxnSpPr>
      <xdr:spPr>
        <a:xfrm flipV="1">
          <a:off x="17847733" y="11607800"/>
          <a:ext cx="1053042" cy="1281641"/>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48</xdr:row>
      <xdr:rowOff>188390</xdr:rowOff>
    </xdr:from>
    <xdr:to>
      <xdr:col>21</xdr:col>
      <xdr:colOff>1060450</xdr:colOff>
      <xdr:row>55</xdr:row>
      <xdr:rowOff>103724</xdr:rowOff>
    </xdr:to>
    <xdr:cxnSp macro="">
      <xdr:nvCxnSpPr>
        <xdr:cNvPr id="40" name="Connecteur droit avec flèche 39">
          <a:extLst>
            <a:ext uri="{FF2B5EF4-FFF2-40B4-BE49-F238E27FC236}">
              <a16:creationId xmlns:a16="http://schemas.microsoft.com/office/drawing/2014/main" id="{00000000-0008-0000-3900-000028000000}"/>
            </a:ext>
          </a:extLst>
        </xdr:cNvPr>
        <xdr:cNvCxnSpPr/>
      </xdr:nvCxnSpPr>
      <xdr:spPr>
        <a:xfrm>
          <a:off x="17830800" y="11275490"/>
          <a:ext cx="1060450" cy="1315509"/>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57</xdr:row>
      <xdr:rowOff>2123</xdr:rowOff>
    </xdr:from>
    <xdr:to>
      <xdr:col>21</xdr:col>
      <xdr:colOff>1059392</xdr:colOff>
      <xdr:row>57</xdr:row>
      <xdr:rowOff>120656</xdr:rowOff>
    </xdr:to>
    <xdr:cxnSp macro="">
      <xdr:nvCxnSpPr>
        <xdr:cNvPr id="41" name="Connecteur droit avec flèche 40">
          <a:extLst>
            <a:ext uri="{FF2B5EF4-FFF2-40B4-BE49-F238E27FC236}">
              <a16:creationId xmlns:a16="http://schemas.microsoft.com/office/drawing/2014/main" id="{00000000-0008-0000-3900-000029000000}"/>
            </a:ext>
          </a:extLst>
        </xdr:cNvPr>
        <xdr:cNvCxnSpPr/>
      </xdr:nvCxnSpPr>
      <xdr:spPr>
        <a:xfrm>
          <a:off x="17830800" y="12889448"/>
          <a:ext cx="1059392" cy="118533"/>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169333</xdr:colOff>
      <xdr:row>63</xdr:row>
      <xdr:rowOff>52917</xdr:rowOff>
    </xdr:from>
    <xdr:to>
      <xdr:col>22</xdr:col>
      <xdr:colOff>16564</xdr:colOff>
      <xdr:row>63</xdr:row>
      <xdr:rowOff>66260</xdr:rowOff>
    </xdr:to>
    <xdr:cxnSp macro="">
      <xdr:nvCxnSpPr>
        <xdr:cNvPr id="54" name="Connecteur droit avec flèche 53">
          <a:extLst>
            <a:ext uri="{FF2B5EF4-FFF2-40B4-BE49-F238E27FC236}">
              <a16:creationId xmlns:a16="http://schemas.microsoft.com/office/drawing/2014/main" id="{00000000-0008-0000-3900-000036000000}"/>
            </a:ext>
          </a:extLst>
        </xdr:cNvPr>
        <xdr:cNvCxnSpPr>
          <a:cxnSpLocks/>
        </xdr:cNvCxnSpPr>
      </xdr:nvCxnSpPr>
      <xdr:spPr>
        <a:xfrm>
          <a:off x="10256308" y="2938992"/>
          <a:ext cx="904506" cy="13343"/>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63500</xdr:colOff>
      <xdr:row>65</xdr:row>
      <xdr:rowOff>41413</xdr:rowOff>
    </xdr:from>
    <xdr:to>
      <xdr:col>21</xdr:col>
      <xdr:colOff>1051891</xdr:colOff>
      <xdr:row>70</xdr:row>
      <xdr:rowOff>116417</xdr:rowOff>
    </xdr:to>
    <xdr:cxnSp macro="">
      <xdr:nvCxnSpPr>
        <xdr:cNvPr id="55" name="Connecteur droit avec flèche 54">
          <a:extLst>
            <a:ext uri="{FF2B5EF4-FFF2-40B4-BE49-F238E27FC236}">
              <a16:creationId xmlns:a16="http://schemas.microsoft.com/office/drawing/2014/main" id="{00000000-0008-0000-3900-000037000000}"/>
            </a:ext>
          </a:extLst>
        </xdr:cNvPr>
        <xdr:cNvCxnSpPr/>
      </xdr:nvCxnSpPr>
      <xdr:spPr>
        <a:xfrm flipV="1">
          <a:off x="10150475" y="3327538"/>
          <a:ext cx="988391" cy="107512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137583</xdr:colOff>
      <xdr:row>63</xdr:row>
      <xdr:rowOff>95250</xdr:rowOff>
    </xdr:from>
    <xdr:to>
      <xdr:col>21</xdr:col>
      <xdr:colOff>1037167</xdr:colOff>
      <xdr:row>71</xdr:row>
      <xdr:rowOff>105833</xdr:rowOff>
    </xdr:to>
    <xdr:cxnSp macro="">
      <xdr:nvCxnSpPr>
        <xdr:cNvPr id="56" name="Connecteur droit avec flèche 55">
          <a:extLst>
            <a:ext uri="{FF2B5EF4-FFF2-40B4-BE49-F238E27FC236}">
              <a16:creationId xmlns:a16="http://schemas.microsoft.com/office/drawing/2014/main" id="{00000000-0008-0000-3900-000038000000}"/>
            </a:ext>
          </a:extLst>
        </xdr:cNvPr>
        <xdr:cNvCxnSpPr/>
      </xdr:nvCxnSpPr>
      <xdr:spPr>
        <a:xfrm>
          <a:off x="10224558" y="2981325"/>
          <a:ext cx="899584" cy="161078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222250</xdr:colOff>
      <xdr:row>62</xdr:row>
      <xdr:rowOff>63500</xdr:rowOff>
    </xdr:from>
    <xdr:to>
      <xdr:col>16</xdr:col>
      <xdr:colOff>15875</xdr:colOff>
      <xdr:row>62</xdr:row>
      <xdr:rowOff>174625</xdr:rowOff>
    </xdr:to>
    <xdr:cxnSp macro="">
      <xdr:nvCxnSpPr>
        <xdr:cNvPr id="57" name="Connecteur droit avec flèche 56">
          <a:extLst>
            <a:ext uri="{FF2B5EF4-FFF2-40B4-BE49-F238E27FC236}">
              <a16:creationId xmlns:a16="http://schemas.microsoft.com/office/drawing/2014/main" id="{00000000-0008-0000-3900-000039000000}"/>
            </a:ext>
          </a:extLst>
        </xdr:cNvPr>
        <xdr:cNvCxnSpPr>
          <a:cxnSpLocks/>
        </xdr:cNvCxnSpPr>
      </xdr:nvCxnSpPr>
      <xdr:spPr>
        <a:xfrm>
          <a:off x="4689475" y="2749550"/>
          <a:ext cx="841375" cy="111125"/>
        </a:xfrm>
        <a:prstGeom prst="straightConnector1">
          <a:avLst/>
        </a:prstGeom>
        <a:ln>
          <a:solidFill>
            <a:srgbClr val="00B0F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79375</xdr:colOff>
      <xdr:row>70</xdr:row>
      <xdr:rowOff>0</xdr:rowOff>
    </xdr:from>
    <xdr:to>
      <xdr:col>15</xdr:col>
      <xdr:colOff>1005417</xdr:colOff>
      <xdr:row>75</xdr:row>
      <xdr:rowOff>95250</xdr:rowOff>
    </xdr:to>
    <xdr:cxnSp macro="">
      <xdr:nvCxnSpPr>
        <xdr:cNvPr id="58" name="Connecteur droit avec flèche 57">
          <a:extLst>
            <a:ext uri="{FF2B5EF4-FFF2-40B4-BE49-F238E27FC236}">
              <a16:creationId xmlns:a16="http://schemas.microsoft.com/office/drawing/2014/main" id="{00000000-0008-0000-3900-00003A000000}"/>
            </a:ext>
          </a:extLst>
        </xdr:cNvPr>
        <xdr:cNvCxnSpPr>
          <a:cxnSpLocks/>
        </xdr:cNvCxnSpPr>
      </xdr:nvCxnSpPr>
      <xdr:spPr>
        <a:xfrm flipV="1">
          <a:off x="4546600" y="4286250"/>
          <a:ext cx="926042" cy="1095375"/>
        </a:xfrm>
        <a:prstGeom prst="straightConnector1">
          <a:avLst/>
        </a:prstGeom>
        <a:ln>
          <a:solidFill>
            <a:srgbClr val="00B0F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2222736</xdr:colOff>
      <xdr:row>62</xdr:row>
      <xdr:rowOff>73711</xdr:rowOff>
    </xdr:from>
    <xdr:to>
      <xdr:col>13</xdr:col>
      <xdr:colOff>444501</xdr:colOff>
      <xdr:row>63</xdr:row>
      <xdr:rowOff>142875</xdr:rowOff>
    </xdr:to>
    <xdr:sp macro="" textlink="">
      <xdr:nvSpPr>
        <xdr:cNvPr id="59" name="Rectangle à coins arrondis 25">
          <a:extLst>
            <a:ext uri="{FF2B5EF4-FFF2-40B4-BE49-F238E27FC236}">
              <a16:creationId xmlns:a16="http://schemas.microsoft.com/office/drawing/2014/main" id="{00000000-0008-0000-3900-00003B000000}"/>
            </a:ext>
          </a:extLst>
        </xdr:cNvPr>
        <xdr:cNvSpPr/>
      </xdr:nvSpPr>
      <xdr:spPr bwMode="auto">
        <a:xfrm>
          <a:off x="3165711" y="2759761"/>
          <a:ext cx="707790" cy="269189"/>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twoCellAnchor>
    <xdr:from>
      <xdr:col>15</xdr:col>
      <xdr:colOff>105833</xdr:colOff>
      <xdr:row>64</xdr:row>
      <xdr:rowOff>95250</xdr:rowOff>
    </xdr:from>
    <xdr:to>
      <xdr:col>15</xdr:col>
      <xdr:colOff>984250</xdr:colOff>
      <xdr:row>69</xdr:row>
      <xdr:rowOff>105833</xdr:rowOff>
    </xdr:to>
    <xdr:cxnSp macro="">
      <xdr:nvCxnSpPr>
        <xdr:cNvPr id="60" name="Connecteur droit avec flèche 59">
          <a:extLst>
            <a:ext uri="{FF2B5EF4-FFF2-40B4-BE49-F238E27FC236}">
              <a16:creationId xmlns:a16="http://schemas.microsoft.com/office/drawing/2014/main" id="{00000000-0008-0000-3900-00003C000000}"/>
            </a:ext>
          </a:extLst>
        </xdr:cNvPr>
        <xdr:cNvCxnSpPr>
          <a:cxnSpLocks/>
        </xdr:cNvCxnSpPr>
      </xdr:nvCxnSpPr>
      <xdr:spPr>
        <a:xfrm flipV="1">
          <a:off x="4573058" y="3181350"/>
          <a:ext cx="878417" cy="101070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105833</xdr:colOff>
      <xdr:row>71</xdr:row>
      <xdr:rowOff>127000</xdr:rowOff>
    </xdr:from>
    <xdr:to>
      <xdr:col>21</xdr:col>
      <xdr:colOff>1047750</xdr:colOff>
      <xdr:row>73</xdr:row>
      <xdr:rowOff>84667</xdr:rowOff>
    </xdr:to>
    <xdr:cxnSp macro="">
      <xdr:nvCxnSpPr>
        <xdr:cNvPr id="61" name="Connecteur droit avec flèche 60">
          <a:extLst>
            <a:ext uri="{FF2B5EF4-FFF2-40B4-BE49-F238E27FC236}">
              <a16:creationId xmlns:a16="http://schemas.microsoft.com/office/drawing/2014/main" id="{00000000-0008-0000-3900-00003D000000}"/>
            </a:ext>
          </a:extLst>
        </xdr:cNvPr>
        <xdr:cNvCxnSpPr/>
      </xdr:nvCxnSpPr>
      <xdr:spPr>
        <a:xfrm>
          <a:off x="10192808" y="4613275"/>
          <a:ext cx="941917" cy="35771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84667</xdr:colOff>
      <xdr:row>69</xdr:row>
      <xdr:rowOff>158750</xdr:rowOff>
    </xdr:from>
    <xdr:to>
      <xdr:col>15</xdr:col>
      <xdr:colOff>1037167</xdr:colOff>
      <xdr:row>77</xdr:row>
      <xdr:rowOff>74083</xdr:rowOff>
    </xdr:to>
    <xdr:cxnSp macro="">
      <xdr:nvCxnSpPr>
        <xdr:cNvPr id="62" name="Connecteur droit avec flèche 61">
          <a:extLst>
            <a:ext uri="{FF2B5EF4-FFF2-40B4-BE49-F238E27FC236}">
              <a16:creationId xmlns:a16="http://schemas.microsoft.com/office/drawing/2014/main" id="{00000000-0008-0000-3900-00003E000000}"/>
            </a:ext>
          </a:extLst>
        </xdr:cNvPr>
        <xdr:cNvCxnSpPr/>
      </xdr:nvCxnSpPr>
      <xdr:spPr>
        <a:xfrm>
          <a:off x="4551892" y="4244975"/>
          <a:ext cx="952500" cy="1515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105834</xdr:colOff>
      <xdr:row>71</xdr:row>
      <xdr:rowOff>116416</xdr:rowOff>
    </xdr:from>
    <xdr:to>
      <xdr:col>15</xdr:col>
      <xdr:colOff>994833</xdr:colOff>
      <xdr:row>77</xdr:row>
      <xdr:rowOff>47625</xdr:rowOff>
    </xdr:to>
    <xdr:cxnSp macro="">
      <xdr:nvCxnSpPr>
        <xdr:cNvPr id="63" name="Connecteur droit avec flèche 62">
          <a:extLst>
            <a:ext uri="{FF2B5EF4-FFF2-40B4-BE49-F238E27FC236}">
              <a16:creationId xmlns:a16="http://schemas.microsoft.com/office/drawing/2014/main" id="{00000000-0008-0000-3900-00003F000000}"/>
            </a:ext>
          </a:extLst>
        </xdr:cNvPr>
        <xdr:cNvCxnSpPr>
          <a:cxnSpLocks/>
        </xdr:cNvCxnSpPr>
      </xdr:nvCxnSpPr>
      <xdr:spPr>
        <a:xfrm flipV="1">
          <a:off x="4573059" y="4602691"/>
          <a:ext cx="888999" cy="1131359"/>
        </a:xfrm>
        <a:prstGeom prst="straightConnector1">
          <a:avLst/>
        </a:prstGeom>
        <a:ln>
          <a:solidFill>
            <a:srgbClr val="00B0F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2332803</xdr:colOff>
      <xdr:row>76</xdr:row>
      <xdr:rowOff>88529</xdr:rowOff>
    </xdr:from>
    <xdr:to>
      <xdr:col>13</xdr:col>
      <xdr:colOff>554568</xdr:colOff>
      <xdr:row>77</xdr:row>
      <xdr:rowOff>157692</xdr:rowOff>
    </xdr:to>
    <xdr:sp macro="" textlink="">
      <xdr:nvSpPr>
        <xdr:cNvPr id="64" name="Rectangle à coins arrondis 25">
          <a:extLst>
            <a:ext uri="{FF2B5EF4-FFF2-40B4-BE49-F238E27FC236}">
              <a16:creationId xmlns:a16="http://schemas.microsoft.com/office/drawing/2014/main" id="{00000000-0008-0000-3900-000040000000}"/>
            </a:ext>
          </a:extLst>
        </xdr:cNvPr>
        <xdr:cNvSpPr/>
      </xdr:nvSpPr>
      <xdr:spPr bwMode="auto">
        <a:xfrm>
          <a:off x="3275778" y="5574929"/>
          <a:ext cx="707790" cy="269188"/>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twoCellAnchor>
    <xdr:from>
      <xdr:col>15</xdr:col>
      <xdr:colOff>16934</xdr:colOff>
      <xdr:row>36</xdr:row>
      <xdr:rowOff>10583</xdr:rowOff>
    </xdr:from>
    <xdr:to>
      <xdr:col>16</xdr:col>
      <xdr:colOff>16934</xdr:colOff>
      <xdr:row>48</xdr:row>
      <xdr:rowOff>146050</xdr:rowOff>
    </xdr:to>
    <xdr:cxnSp macro="">
      <xdr:nvCxnSpPr>
        <xdr:cNvPr id="42" name="Connecteur droit avec flèche 41">
          <a:extLst>
            <a:ext uri="{FF2B5EF4-FFF2-40B4-BE49-F238E27FC236}">
              <a16:creationId xmlns:a16="http://schemas.microsoft.com/office/drawing/2014/main" id="{00000000-0008-0000-3900-00002A000000}"/>
            </a:ext>
          </a:extLst>
        </xdr:cNvPr>
        <xdr:cNvCxnSpPr/>
      </xdr:nvCxnSpPr>
      <xdr:spPr>
        <a:xfrm>
          <a:off x="4436534" y="8697383"/>
          <a:ext cx="1047750" cy="25357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29634</xdr:colOff>
      <xdr:row>43</xdr:row>
      <xdr:rowOff>40216</xdr:rowOff>
    </xdr:from>
    <xdr:to>
      <xdr:col>16</xdr:col>
      <xdr:colOff>25400</xdr:colOff>
      <xdr:row>50</xdr:row>
      <xdr:rowOff>133350</xdr:rowOff>
    </xdr:to>
    <xdr:cxnSp macro="">
      <xdr:nvCxnSpPr>
        <xdr:cNvPr id="43" name="Connecteur droit avec flèche 42">
          <a:extLst>
            <a:ext uri="{FF2B5EF4-FFF2-40B4-BE49-F238E27FC236}">
              <a16:creationId xmlns:a16="http://schemas.microsoft.com/office/drawing/2014/main" id="{00000000-0008-0000-3900-00002B000000}"/>
            </a:ext>
          </a:extLst>
        </xdr:cNvPr>
        <xdr:cNvCxnSpPr/>
      </xdr:nvCxnSpPr>
      <xdr:spPr>
        <a:xfrm>
          <a:off x="4449234" y="10127191"/>
          <a:ext cx="1043516" cy="149330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50</xdr:row>
      <xdr:rowOff>27516</xdr:rowOff>
    </xdr:from>
    <xdr:to>
      <xdr:col>16</xdr:col>
      <xdr:colOff>12700</xdr:colOff>
      <xdr:row>55</xdr:row>
      <xdr:rowOff>107950</xdr:rowOff>
    </xdr:to>
    <xdr:cxnSp macro="">
      <xdr:nvCxnSpPr>
        <xdr:cNvPr id="44" name="Connecteur droit avec flèche 43">
          <a:extLst>
            <a:ext uri="{FF2B5EF4-FFF2-40B4-BE49-F238E27FC236}">
              <a16:creationId xmlns:a16="http://schemas.microsoft.com/office/drawing/2014/main" id="{00000000-0008-0000-3900-00002C000000}"/>
            </a:ext>
          </a:extLst>
        </xdr:cNvPr>
        <xdr:cNvCxnSpPr/>
      </xdr:nvCxnSpPr>
      <xdr:spPr>
        <a:xfrm>
          <a:off x="4436534" y="11514666"/>
          <a:ext cx="1043516" cy="108055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34</xdr:row>
      <xdr:rowOff>120651</xdr:rowOff>
    </xdr:from>
    <xdr:to>
      <xdr:col>22</xdr:col>
      <xdr:colOff>12700</xdr:colOff>
      <xdr:row>36</xdr:row>
      <xdr:rowOff>0</xdr:rowOff>
    </xdr:to>
    <xdr:cxnSp macro="">
      <xdr:nvCxnSpPr>
        <xdr:cNvPr id="45" name="Connecteur droit avec flèche 44">
          <a:extLst>
            <a:ext uri="{FF2B5EF4-FFF2-40B4-BE49-F238E27FC236}">
              <a16:creationId xmlns:a16="http://schemas.microsoft.com/office/drawing/2014/main" id="{00000000-0008-0000-3900-00002D000000}"/>
            </a:ext>
          </a:extLst>
        </xdr:cNvPr>
        <xdr:cNvCxnSpPr/>
      </xdr:nvCxnSpPr>
      <xdr:spPr>
        <a:xfrm flipV="1">
          <a:off x="9937297" y="84074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36</xdr:row>
      <xdr:rowOff>120650</xdr:rowOff>
    </xdr:from>
    <xdr:to>
      <xdr:col>22</xdr:col>
      <xdr:colOff>12700</xdr:colOff>
      <xdr:row>43</xdr:row>
      <xdr:rowOff>2116</xdr:rowOff>
    </xdr:to>
    <xdr:cxnSp macro="">
      <xdr:nvCxnSpPr>
        <xdr:cNvPr id="46" name="Connecteur droit avec flèche 45">
          <a:extLst>
            <a:ext uri="{FF2B5EF4-FFF2-40B4-BE49-F238E27FC236}">
              <a16:creationId xmlns:a16="http://schemas.microsoft.com/office/drawing/2014/main" id="{00000000-0008-0000-3900-00002E000000}"/>
            </a:ext>
          </a:extLst>
        </xdr:cNvPr>
        <xdr:cNvCxnSpPr/>
      </xdr:nvCxnSpPr>
      <xdr:spPr>
        <a:xfrm flipV="1">
          <a:off x="9913408" y="88074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36</xdr:row>
      <xdr:rowOff>13607</xdr:rowOff>
    </xdr:from>
    <xdr:to>
      <xdr:col>21</xdr:col>
      <xdr:colOff>1060450</xdr:colOff>
      <xdr:row>41</xdr:row>
      <xdr:rowOff>103724</xdr:rowOff>
    </xdr:to>
    <xdr:cxnSp macro="">
      <xdr:nvCxnSpPr>
        <xdr:cNvPr id="47" name="Connecteur droit avec flèche 46">
          <a:extLst>
            <a:ext uri="{FF2B5EF4-FFF2-40B4-BE49-F238E27FC236}">
              <a16:creationId xmlns:a16="http://schemas.microsoft.com/office/drawing/2014/main" id="{00000000-0008-0000-3900-00002F000000}"/>
            </a:ext>
          </a:extLst>
        </xdr:cNvPr>
        <xdr:cNvCxnSpPr/>
      </xdr:nvCxnSpPr>
      <xdr:spPr>
        <a:xfrm>
          <a:off x="9910083" y="87004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43</xdr:row>
      <xdr:rowOff>2123</xdr:rowOff>
    </xdr:from>
    <xdr:to>
      <xdr:col>21</xdr:col>
      <xdr:colOff>1059392</xdr:colOff>
      <xdr:row>43</xdr:row>
      <xdr:rowOff>120656</xdr:rowOff>
    </xdr:to>
    <xdr:cxnSp macro="">
      <xdr:nvCxnSpPr>
        <xdr:cNvPr id="48" name="Connecteur droit avec flèche 47">
          <a:extLst>
            <a:ext uri="{FF2B5EF4-FFF2-40B4-BE49-F238E27FC236}">
              <a16:creationId xmlns:a16="http://schemas.microsoft.com/office/drawing/2014/main" id="{00000000-0008-0000-3900-000030000000}"/>
            </a:ext>
          </a:extLst>
        </xdr:cNvPr>
        <xdr:cNvCxnSpPr/>
      </xdr:nvCxnSpPr>
      <xdr:spPr>
        <a:xfrm>
          <a:off x="9896475" y="100890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33867</xdr:colOff>
      <xdr:row>48</xdr:row>
      <xdr:rowOff>120650</xdr:rowOff>
    </xdr:from>
    <xdr:to>
      <xdr:col>22</xdr:col>
      <xdr:colOff>12700</xdr:colOff>
      <xdr:row>48</xdr:row>
      <xdr:rowOff>188383</xdr:rowOff>
    </xdr:to>
    <xdr:cxnSp macro="">
      <xdr:nvCxnSpPr>
        <xdr:cNvPr id="49" name="Connecteur droit avec flèche 48">
          <a:extLst>
            <a:ext uri="{FF2B5EF4-FFF2-40B4-BE49-F238E27FC236}">
              <a16:creationId xmlns:a16="http://schemas.microsoft.com/office/drawing/2014/main" id="{00000000-0008-0000-3900-000031000000}"/>
            </a:ext>
          </a:extLst>
        </xdr:cNvPr>
        <xdr:cNvCxnSpPr/>
      </xdr:nvCxnSpPr>
      <xdr:spPr>
        <a:xfrm flipV="1">
          <a:off x="9930342" y="11207750"/>
          <a:ext cx="1036108" cy="67733"/>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50</xdr:row>
      <xdr:rowOff>120650</xdr:rowOff>
    </xdr:from>
    <xdr:to>
      <xdr:col>22</xdr:col>
      <xdr:colOff>12700</xdr:colOff>
      <xdr:row>57</xdr:row>
      <xdr:rowOff>2116</xdr:rowOff>
    </xdr:to>
    <xdr:cxnSp macro="">
      <xdr:nvCxnSpPr>
        <xdr:cNvPr id="50" name="Connecteur droit avec flèche 49">
          <a:extLst>
            <a:ext uri="{FF2B5EF4-FFF2-40B4-BE49-F238E27FC236}">
              <a16:creationId xmlns:a16="http://schemas.microsoft.com/office/drawing/2014/main" id="{00000000-0008-0000-3900-000032000000}"/>
            </a:ext>
          </a:extLst>
        </xdr:cNvPr>
        <xdr:cNvCxnSpPr/>
      </xdr:nvCxnSpPr>
      <xdr:spPr>
        <a:xfrm flipV="1">
          <a:off x="9913408" y="11607800"/>
          <a:ext cx="1053042" cy="1281641"/>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48</xdr:row>
      <xdr:rowOff>188390</xdr:rowOff>
    </xdr:from>
    <xdr:to>
      <xdr:col>21</xdr:col>
      <xdr:colOff>1060450</xdr:colOff>
      <xdr:row>55</xdr:row>
      <xdr:rowOff>103724</xdr:rowOff>
    </xdr:to>
    <xdr:cxnSp macro="">
      <xdr:nvCxnSpPr>
        <xdr:cNvPr id="51" name="Connecteur droit avec flèche 50">
          <a:extLst>
            <a:ext uri="{FF2B5EF4-FFF2-40B4-BE49-F238E27FC236}">
              <a16:creationId xmlns:a16="http://schemas.microsoft.com/office/drawing/2014/main" id="{00000000-0008-0000-3900-000033000000}"/>
            </a:ext>
          </a:extLst>
        </xdr:cNvPr>
        <xdr:cNvCxnSpPr/>
      </xdr:nvCxnSpPr>
      <xdr:spPr>
        <a:xfrm>
          <a:off x="9896475" y="11275490"/>
          <a:ext cx="1060450" cy="1315509"/>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57</xdr:row>
      <xdr:rowOff>2123</xdr:rowOff>
    </xdr:from>
    <xdr:to>
      <xdr:col>21</xdr:col>
      <xdr:colOff>1059392</xdr:colOff>
      <xdr:row>57</xdr:row>
      <xdr:rowOff>120656</xdr:rowOff>
    </xdr:to>
    <xdr:cxnSp macro="">
      <xdr:nvCxnSpPr>
        <xdr:cNvPr id="52" name="Connecteur droit avec flèche 51">
          <a:extLst>
            <a:ext uri="{FF2B5EF4-FFF2-40B4-BE49-F238E27FC236}">
              <a16:creationId xmlns:a16="http://schemas.microsoft.com/office/drawing/2014/main" id="{00000000-0008-0000-3900-000034000000}"/>
            </a:ext>
          </a:extLst>
        </xdr:cNvPr>
        <xdr:cNvCxnSpPr/>
      </xdr:nvCxnSpPr>
      <xdr:spPr>
        <a:xfrm>
          <a:off x="9896475" y="12889448"/>
          <a:ext cx="1059392" cy="118533"/>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222250</xdr:colOff>
      <xdr:row>62</xdr:row>
      <xdr:rowOff>63500</xdr:rowOff>
    </xdr:from>
    <xdr:to>
      <xdr:col>16</xdr:col>
      <xdr:colOff>15875</xdr:colOff>
      <xdr:row>62</xdr:row>
      <xdr:rowOff>174625</xdr:rowOff>
    </xdr:to>
    <xdr:cxnSp macro="">
      <xdr:nvCxnSpPr>
        <xdr:cNvPr id="53" name="Connecteur droit avec flèche 52">
          <a:extLst>
            <a:ext uri="{FF2B5EF4-FFF2-40B4-BE49-F238E27FC236}">
              <a16:creationId xmlns:a16="http://schemas.microsoft.com/office/drawing/2014/main" id="{00000000-0008-0000-3900-000035000000}"/>
            </a:ext>
          </a:extLst>
        </xdr:cNvPr>
        <xdr:cNvCxnSpPr>
          <a:cxnSpLocks/>
        </xdr:cNvCxnSpPr>
      </xdr:nvCxnSpPr>
      <xdr:spPr>
        <a:xfrm>
          <a:off x="4689475" y="2749550"/>
          <a:ext cx="841375" cy="111125"/>
        </a:xfrm>
        <a:prstGeom prst="straightConnector1">
          <a:avLst/>
        </a:prstGeom>
        <a:ln>
          <a:solidFill>
            <a:srgbClr val="00B0F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169333</xdr:colOff>
      <xdr:row>63</xdr:row>
      <xdr:rowOff>52917</xdr:rowOff>
    </xdr:from>
    <xdr:to>
      <xdr:col>22</xdr:col>
      <xdr:colOff>16564</xdr:colOff>
      <xdr:row>63</xdr:row>
      <xdr:rowOff>66260</xdr:rowOff>
    </xdr:to>
    <xdr:cxnSp macro="">
      <xdr:nvCxnSpPr>
        <xdr:cNvPr id="65" name="Connecteur droit avec flèche 64">
          <a:extLst>
            <a:ext uri="{FF2B5EF4-FFF2-40B4-BE49-F238E27FC236}">
              <a16:creationId xmlns:a16="http://schemas.microsoft.com/office/drawing/2014/main" id="{00000000-0008-0000-3900-000041000000}"/>
            </a:ext>
          </a:extLst>
        </xdr:cNvPr>
        <xdr:cNvCxnSpPr>
          <a:cxnSpLocks/>
        </xdr:cNvCxnSpPr>
      </xdr:nvCxnSpPr>
      <xdr:spPr>
        <a:xfrm>
          <a:off x="10256308" y="2938992"/>
          <a:ext cx="904506" cy="13343"/>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57.xml><?xml version="1.0" encoding="utf-8"?>
<xdr:wsDr xmlns:xdr="http://schemas.openxmlformats.org/drawingml/2006/spreadsheetDrawing" xmlns:a="http://schemas.openxmlformats.org/drawingml/2006/main">
  <xdr:twoCellAnchor>
    <xdr:from>
      <xdr:col>33</xdr:col>
      <xdr:colOff>367393</xdr:colOff>
      <xdr:row>31</xdr:row>
      <xdr:rowOff>73480</xdr:rowOff>
    </xdr:from>
    <xdr:to>
      <xdr:col>33</xdr:col>
      <xdr:colOff>2272393</xdr:colOff>
      <xdr:row>35</xdr:row>
      <xdr:rowOff>5445</xdr:rowOff>
    </xdr:to>
    <xdr:sp macro="[0]!JMK_Trans_FDUEL1" textlink="">
      <xdr:nvSpPr>
        <xdr:cNvPr id="2" name="Rectangle à coins arrondis 33">
          <a:extLst>
            <a:ext uri="{FF2B5EF4-FFF2-40B4-BE49-F238E27FC236}">
              <a16:creationId xmlns:a16="http://schemas.microsoft.com/office/drawing/2014/main" id="{00000000-0008-0000-3A00-000002000000}"/>
            </a:ext>
          </a:extLst>
        </xdr:cNvPr>
        <xdr:cNvSpPr/>
      </xdr:nvSpPr>
      <xdr:spPr bwMode="auto">
        <a:xfrm>
          <a:off x="25865818" y="7760155"/>
          <a:ext cx="1905000" cy="7320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1</a:t>
          </a:r>
          <a:r>
            <a:rPr lang="fr-FR" sz="1600"/>
            <a:t> </a:t>
          </a:r>
        </a:p>
      </xdr:txBody>
    </xdr:sp>
    <xdr:clientData fPrintsWithSheet="0"/>
  </xdr:twoCellAnchor>
  <xdr:twoCellAnchor>
    <xdr:from>
      <xdr:col>34</xdr:col>
      <xdr:colOff>261257</xdr:colOff>
      <xdr:row>31</xdr:row>
      <xdr:rowOff>73480</xdr:rowOff>
    </xdr:from>
    <xdr:to>
      <xdr:col>34</xdr:col>
      <xdr:colOff>2166257</xdr:colOff>
      <xdr:row>35</xdr:row>
      <xdr:rowOff>5445</xdr:rowOff>
    </xdr:to>
    <xdr:sp macro="[0]!JMK_Trans_FDUEL2" textlink="">
      <xdr:nvSpPr>
        <xdr:cNvPr id="3" name="Rectangle à coins arrondis 34">
          <a:extLst>
            <a:ext uri="{FF2B5EF4-FFF2-40B4-BE49-F238E27FC236}">
              <a16:creationId xmlns:a16="http://schemas.microsoft.com/office/drawing/2014/main" id="{00000000-0008-0000-3A00-000003000000}"/>
            </a:ext>
          </a:extLst>
        </xdr:cNvPr>
        <xdr:cNvSpPr/>
      </xdr:nvSpPr>
      <xdr:spPr bwMode="auto">
        <a:xfrm>
          <a:off x="28217132" y="7760155"/>
          <a:ext cx="1905000" cy="7320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2</a:t>
          </a:r>
          <a:r>
            <a:rPr lang="fr-FR" sz="1600"/>
            <a:t> </a:t>
          </a:r>
        </a:p>
      </xdr:txBody>
    </xdr:sp>
    <xdr:clientData fPrintsWithSheet="0"/>
  </xdr:twoCellAnchor>
  <xdr:twoCellAnchor>
    <xdr:from>
      <xdr:col>35</xdr:col>
      <xdr:colOff>155122</xdr:colOff>
      <xdr:row>31</xdr:row>
      <xdr:rowOff>73480</xdr:rowOff>
    </xdr:from>
    <xdr:to>
      <xdr:col>35</xdr:col>
      <xdr:colOff>2060122</xdr:colOff>
      <xdr:row>35</xdr:row>
      <xdr:rowOff>5445</xdr:rowOff>
    </xdr:to>
    <xdr:sp macro="[0]!JMK_Trans_FDUEL3" textlink="">
      <xdr:nvSpPr>
        <xdr:cNvPr id="4" name="Rectangle à coins arrondis 35">
          <a:extLst>
            <a:ext uri="{FF2B5EF4-FFF2-40B4-BE49-F238E27FC236}">
              <a16:creationId xmlns:a16="http://schemas.microsoft.com/office/drawing/2014/main" id="{00000000-0008-0000-3A00-000004000000}"/>
            </a:ext>
          </a:extLst>
        </xdr:cNvPr>
        <xdr:cNvSpPr/>
      </xdr:nvSpPr>
      <xdr:spPr bwMode="auto">
        <a:xfrm>
          <a:off x="30568447" y="7760155"/>
          <a:ext cx="1905000" cy="7320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3</a:t>
          </a:r>
          <a:r>
            <a:rPr lang="fr-FR" sz="1600"/>
            <a:t> </a:t>
          </a:r>
        </a:p>
      </xdr:txBody>
    </xdr:sp>
    <xdr:clientData fPrintsWithSheet="0"/>
  </xdr:twoCellAnchor>
  <xdr:twoCellAnchor>
    <xdr:from>
      <xdr:col>34</xdr:col>
      <xdr:colOff>1682749</xdr:colOff>
      <xdr:row>38</xdr:row>
      <xdr:rowOff>0</xdr:rowOff>
    </xdr:from>
    <xdr:to>
      <xdr:col>35</xdr:col>
      <xdr:colOff>1127124</xdr:colOff>
      <xdr:row>44</xdr:row>
      <xdr:rowOff>31750</xdr:rowOff>
    </xdr:to>
    <xdr:sp macro="[0]!JMK_ZI_Résultat_Final" textlink="">
      <xdr:nvSpPr>
        <xdr:cNvPr id="5" name="Rectangle à coins arrondis 39">
          <a:extLst>
            <a:ext uri="{FF2B5EF4-FFF2-40B4-BE49-F238E27FC236}">
              <a16:creationId xmlns:a16="http://schemas.microsoft.com/office/drawing/2014/main" id="{00000000-0008-0000-3A00-000005000000}"/>
            </a:ext>
          </a:extLst>
        </xdr:cNvPr>
        <xdr:cNvSpPr/>
      </xdr:nvSpPr>
      <xdr:spPr bwMode="auto">
        <a:xfrm>
          <a:off x="29638624" y="9086850"/>
          <a:ext cx="1901825" cy="1231900"/>
        </a:xfrm>
        <a:prstGeom prst="roundRect">
          <a:avLst/>
        </a:prstGeom>
        <a:solidFill>
          <a:srgbClr val="00FF99"/>
        </a:solidFill>
        <a:ln w="9525" cap="flat" cmpd="sng" algn="ctr">
          <a:solidFill>
            <a:srgbClr val="400000"/>
          </a:solidFill>
          <a:prstDash val="solid"/>
          <a:round/>
          <a:headEnd type="none" w="med" len="med"/>
          <a:tailEnd type="none" w="med" len="med"/>
        </a:ln>
        <a:effectLst/>
      </xdr:spPr>
      <xdr:txBody>
        <a:bodyPr rot="0" spcFirstLastPara="0" vertOverflow="clip" horzOverflow="clip" vert="horz" wrap="square" lIns="18288" tIns="0" rIns="0" bIns="0" numCol="1" spcCol="0" rtlCol="0" fromWordArt="0" anchor="ctr" anchorCtr="0" forceAA="0" upright="1" compatLnSpc="1">
          <a:prstTxWarp prst="textNoShape">
            <a:avLst/>
          </a:prstTxWarp>
          <a:noAutofit/>
        </a:bodyPr>
        <a:lstStyle/>
        <a:p>
          <a:pPr algn="ctr"/>
          <a:r>
            <a:rPr lang="fr-FR" sz="2000"/>
            <a:t>Impression</a:t>
          </a:r>
          <a:r>
            <a:rPr lang="fr-FR" sz="2000" baseline="0"/>
            <a:t> du CLASSEMENT FINAL</a:t>
          </a:r>
          <a:endParaRPr lang="fr-FR" sz="2000"/>
        </a:p>
      </xdr:txBody>
    </xdr:sp>
    <xdr:clientData fPrintsWithSheet="0"/>
  </xdr:twoCellAnchor>
  <xdr:twoCellAnchor>
    <xdr:from>
      <xdr:col>24</xdr:col>
      <xdr:colOff>984250</xdr:colOff>
      <xdr:row>0</xdr:row>
      <xdr:rowOff>317500</xdr:rowOff>
    </xdr:from>
    <xdr:to>
      <xdr:col>25</xdr:col>
      <xdr:colOff>63500</xdr:colOff>
      <xdr:row>1</xdr:row>
      <xdr:rowOff>412750</xdr:rowOff>
    </xdr:to>
    <xdr:sp macro="[0]!jmk_RETOUR_MENU" textlink="">
      <xdr:nvSpPr>
        <xdr:cNvPr id="6" name="Rectangle à coins arrondis 40">
          <a:extLst>
            <a:ext uri="{FF2B5EF4-FFF2-40B4-BE49-F238E27FC236}">
              <a16:creationId xmlns:a16="http://schemas.microsoft.com/office/drawing/2014/main" id="{00000000-0008-0000-3A00-000006000000}"/>
            </a:ext>
          </a:extLst>
        </xdr:cNvPr>
        <xdr:cNvSpPr/>
      </xdr:nvSpPr>
      <xdr:spPr bwMode="auto">
        <a:xfrm>
          <a:off x="20739100" y="317500"/>
          <a:ext cx="1517650" cy="80010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Retour aux MENUS</a:t>
          </a:r>
        </a:p>
      </xdr:txBody>
    </xdr:sp>
    <xdr:clientData fPrintsWithSheet="0"/>
  </xdr:twoCellAnchor>
  <xdr:twoCellAnchor editAs="oneCell">
    <xdr:from>
      <xdr:col>10</xdr:col>
      <xdr:colOff>95250</xdr:colOff>
      <xdr:row>0</xdr:row>
      <xdr:rowOff>111125</xdr:rowOff>
    </xdr:from>
    <xdr:to>
      <xdr:col>12</xdr:col>
      <xdr:colOff>911225</xdr:colOff>
      <xdr:row>1</xdr:row>
      <xdr:rowOff>495300</xdr:rowOff>
    </xdr:to>
    <xdr:pic>
      <xdr:nvPicPr>
        <xdr:cNvPr id="7" name="Image 6">
          <a:extLst>
            <a:ext uri="{FF2B5EF4-FFF2-40B4-BE49-F238E27FC236}">
              <a16:creationId xmlns:a16="http://schemas.microsoft.com/office/drawing/2014/main" id="{00000000-0008-0000-3A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29575" y="111125"/>
          <a:ext cx="1758950" cy="1089025"/>
        </a:xfrm>
        <a:prstGeom prst="rect">
          <a:avLst/>
        </a:prstGeom>
      </xdr:spPr>
    </xdr:pic>
    <xdr:clientData/>
  </xdr:twoCellAnchor>
  <xdr:twoCellAnchor editAs="oneCell">
    <xdr:from>
      <xdr:col>35</xdr:col>
      <xdr:colOff>1444625</xdr:colOff>
      <xdr:row>2</xdr:row>
      <xdr:rowOff>396875</xdr:rowOff>
    </xdr:from>
    <xdr:to>
      <xdr:col>35</xdr:col>
      <xdr:colOff>2305050</xdr:colOff>
      <xdr:row>4</xdr:row>
      <xdr:rowOff>152400</xdr:rowOff>
    </xdr:to>
    <xdr:pic>
      <xdr:nvPicPr>
        <xdr:cNvPr id="8" name="Image 7">
          <a:extLst>
            <a:ext uri="{FF2B5EF4-FFF2-40B4-BE49-F238E27FC236}">
              <a16:creationId xmlns:a16="http://schemas.microsoft.com/office/drawing/2014/main" id="{00000000-0008-0000-3A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57950" y="1882775"/>
          <a:ext cx="860425" cy="555625"/>
        </a:xfrm>
        <a:prstGeom prst="rect">
          <a:avLst/>
        </a:prstGeom>
      </xdr:spPr>
    </xdr:pic>
    <xdr:clientData/>
  </xdr:twoCellAnchor>
  <xdr:twoCellAnchor>
    <xdr:from>
      <xdr:col>33</xdr:col>
      <xdr:colOff>698500</xdr:colOff>
      <xdr:row>36</xdr:row>
      <xdr:rowOff>0</xdr:rowOff>
    </xdr:from>
    <xdr:to>
      <xdr:col>33</xdr:col>
      <xdr:colOff>2020661</xdr:colOff>
      <xdr:row>40</xdr:row>
      <xdr:rowOff>13607</xdr:rowOff>
    </xdr:to>
    <xdr:sp macro="[0]!Imp_DUEL_Tableau" textlink="">
      <xdr:nvSpPr>
        <xdr:cNvPr id="9" name="Rectangle à coins arrondis 53">
          <a:extLst>
            <a:ext uri="{FF2B5EF4-FFF2-40B4-BE49-F238E27FC236}">
              <a16:creationId xmlns:a16="http://schemas.microsoft.com/office/drawing/2014/main" id="{00000000-0008-0000-3A00-000009000000}"/>
            </a:ext>
          </a:extLst>
        </xdr:cNvPr>
        <xdr:cNvSpPr/>
      </xdr:nvSpPr>
      <xdr:spPr bwMode="auto">
        <a:xfrm>
          <a:off x="26196925" y="8686800"/>
          <a:ext cx="1322161" cy="813707"/>
        </a:xfrm>
        <a:prstGeom prst="roundRect">
          <a:avLst/>
        </a:prstGeom>
        <a:solidFill>
          <a:srgbClr val="E923EE"/>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 TABLEAU des</a:t>
          </a:r>
          <a:r>
            <a:rPr lang="fr-FR" sz="1600" baseline="0"/>
            <a:t> DUELS</a:t>
          </a:r>
          <a:endParaRPr lang="fr-FR" sz="1600"/>
        </a:p>
      </xdr:txBody>
    </xdr:sp>
    <xdr:clientData/>
  </xdr:twoCellAnchor>
  <xdr:twoCellAnchor>
    <xdr:from>
      <xdr:col>15</xdr:col>
      <xdr:colOff>40822</xdr:colOff>
      <xdr:row>6</xdr:row>
      <xdr:rowOff>95250</xdr:rowOff>
    </xdr:from>
    <xdr:to>
      <xdr:col>16</xdr:col>
      <xdr:colOff>0</xdr:colOff>
      <xdr:row>7</xdr:row>
      <xdr:rowOff>176893</xdr:rowOff>
    </xdr:to>
    <xdr:cxnSp macro="">
      <xdr:nvCxnSpPr>
        <xdr:cNvPr id="10" name="Connecteur droit avec flèche 9">
          <a:extLst>
            <a:ext uri="{FF2B5EF4-FFF2-40B4-BE49-F238E27FC236}">
              <a16:creationId xmlns:a16="http://schemas.microsoft.com/office/drawing/2014/main" id="{00000000-0008-0000-3A00-00000A000000}"/>
            </a:ext>
          </a:extLst>
        </xdr:cNvPr>
        <xdr:cNvCxnSpPr/>
      </xdr:nvCxnSpPr>
      <xdr:spPr>
        <a:xfrm flipV="1">
          <a:off x="12394747" y="2781300"/>
          <a:ext cx="1006928" cy="28166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8</xdr:row>
      <xdr:rowOff>120650</xdr:rowOff>
    </xdr:from>
    <xdr:to>
      <xdr:col>15</xdr:col>
      <xdr:colOff>1044575</xdr:colOff>
      <xdr:row>14</xdr:row>
      <xdr:rowOff>149678</xdr:rowOff>
    </xdr:to>
    <xdr:cxnSp macro="">
      <xdr:nvCxnSpPr>
        <xdr:cNvPr id="11" name="Connecteur droit avec flèche 10">
          <a:extLst>
            <a:ext uri="{FF2B5EF4-FFF2-40B4-BE49-F238E27FC236}">
              <a16:creationId xmlns:a16="http://schemas.microsoft.com/office/drawing/2014/main" id="{00000000-0008-0000-3A00-00000B000000}"/>
            </a:ext>
          </a:extLst>
        </xdr:cNvPr>
        <xdr:cNvCxnSpPr/>
      </xdr:nvCxnSpPr>
      <xdr:spPr>
        <a:xfrm flipV="1">
          <a:off x="12353925" y="3206750"/>
          <a:ext cx="1044575" cy="122917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14</xdr:row>
      <xdr:rowOff>13607</xdr:rowOff>
    </xdr:from>
    <xdr:to>
      <xdr:col>15</xdr:col>
      <xdr:colOff>1020536</xdr:colOff>
      <xdr:row>21</xdr:row>
      <xdr:rowOff>149679</xdr:rowOff>
    </xdr:to>
    <xdr:cxnSp macro="">
      <xdr:nvCxnSpPr>
        <xdr:cNvPr id="12" name="Connecteur droit avec flèche 11">
          <a:extLst>
            <a:ext uri="{FF2B5EF4-FFF2-40B4-BE49-F238E27FC236}">
              <a16:creationId xmlns:a16="http://schemas.microsoft.com/office/drawing/2014/main" id="{00000000-0008-0000-3A00-00000C000000}"/>
            </a:ext>
          </a:extLst>
        </xdr:cNvPr>
        <xdr:cNvCxnSpPr/>
      </xdr:nvCxnSpPr>
      <xdr:spPr>
        <a:xfrm flipV="1">
          <a:off x="12353925" y="4299857"/>
          <a:ext cx="1020536" cy="153624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16</xdr:row>
      <xdr:rowOff>13607</xdr:rowOff>
    </xdr:from>
    <xdr:to>
      <xdr:col>16</xdr:col>
      <xdr:colOff>0</xdr:colOff>
      <xdr:row>29</xdr:row>
      <xdr:rowOff>10582</xdr:rowOff>
    </xdr:to>
    <xdr:cxnSp macro="">
      <xdr:nvCxnSpPr>
        <xdr:cNvPr id="13" name="Connecteur droit avec flèche 12">
          <a:extLst>
            <a:ext uri="{FF2B5EF4-FFF2-40B4-BE49-F238E27FC236}">
              <a16:creationId xmlns:a16="http://schemas.microsoft.com/office/drawing/2014/main" id="{00000000-0008-0000-3A00-00000D000000}"/>
            </a:ext>
          </a:extLst>
        </xdr:cNvPr>
        <xdr:cNvCxnSpPr/>
      </xdr:nvCxnSpPr>
      <xdr:spPr>
        <a:xfrm flipV="1">
          <a:off x="12353925" y="4699907"/>
          <a:ext cx="1047750" cy="259730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8</xdr:row>
      <xdr:rowOff>10583</xdr:rowOff>
    </xdr:from>
    <xdr:to>
      <xdr:col>16</xdr:col>
      <xdr:colOff>16934</xdr:colOff>
      <xdr:row>20</xdr:row>
      <xdr:rowOff>146050</xdr:rowOff>
    </xdr:to>
    <xdr:cxnSp macro="">
      <xdr:nvCxnSpPr>
        <xdr:cNvPr id="14" name="Connecteur droit avec flèche 13">
          <a:extLst>
            <a:ext uri="{FF2B5EF4-FFF2-40B4-BE49-F238E27FC236}">
              <a16:creationId xmlns:a16="http://schemas.microsoft.com/office/drawing/2014/main" id="{00000000-0008-0000-3A00-00000E000000}"/>
            </a:ext>
          </a:extLst>
        </xdr:cNvPr>
        <xdr:cNvCxnSpPr/>
      </xdr:nvCxnSpPr>
      <xdr:spPr>
        <a:xfrm>
          <a:off x="12370859" y="3096683"/>
          <a:ext cx="1047750" cy="25357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29634</xdr:colOff>
      <xdr:row>15</xdr:row>
      <xdr:rowOff>40216</xdr:rowOff>
    </xdr:from>
    <xdr:to>
      <xdr:col>16</xdr:col>
      <xdr:colOff>25400</xdr:colOff>
      <xdr:row>22</xdr:row>
      <xdr:rowOff>133350</xdr:rowOff>
    </xdr:to>
    <xdr:cxnSp macro="">
      <xdr:nvCxnSpPr>
        <xdr:cNvPr id="15" name="Connecteur droit avec flèche 14">
          <a:extLst>
            <a:ext uri="{FF2B5EF4-FFF2-40B4-BE49-F238E27FC236}">
              <a16:creationId xmlns:a16="http://schemas.microsoft.com/office/drawing/2014/main" id="{00000000-0008-0000-3A00-00000F000000}"/>
            </a:ext>
          </a:extLst>
        </xdr:cNvPr>
        <xdr:cNvCxnSpPr/>
      </xdr:nvCxnSpPr>
      <xdr:spPr>
        <a:xfrm>
          <a:off x="12383559" y="4526491"/>
          <a:ext cx="1043516" cy="149330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22</xdr:row>
      <xdr:rowOff>27516</xdr:rowOff>
    </xdr:from>
    <xdr:to>
      <xdr:col>16</xdr:col>
      <xdr:colOff>12700</xdr:colOff>
      <xdr:row>27</xdr:row>
      <xdr:rowOff>107950</xdr:rowOff>
    </xdr:to>
    <xdr:cxnSp macro="">
      <xdr:nvCxnSpPr>
        <xdr:cNvPr id="16" name="Connecteur droit avec flèche 15">
          <a:extLst>
            <a:ext uri="{FF2B5EF4-FFF2-40B4-BE49-F238E27FC236}">
              <a16:creationId xmlns:a16="http://schemas.microsoft.com/office/drawing/2014/main" id="{00000000-0008-0000-3A00-000010000000}"/>
            </a:ext>
          </a:extLst>
        </xdr:cNvPr>
        <xdr:cNvCxnSpPr/>
      </xdr:nvCxnSpPr>
      <xdr:spPr>
        <a:xfrm>
          <a:off x="12370859" y="5913966"/>
          <a:ext cx="1043516" cy="108055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29</xdr:row>
      <xdr:rowOff>10584</xdr:rowOff>
    </xdr:from>
    <xdr:to>
      <xdr:col>15</xdr:col>
      <xdr:colOff>1044575</xdr:colOff>
      <xdr:row>29</xdr:row>
      <xdr:rowOff>133350</xdr:rowOff>
    </xdr:to>
    <xdr:cxnSp macro="">
      <xdr:nvCxnSpPr>
        <xdr:cNvPr id="17" name="Connecteur droit avec flèche 16">
          <a:extLst>
            <a:ext uri="{FF2B5EF4-FFF2-40B4-BE49-F238E27FC236}">
              <a16:creationId xmlns:a16="http://schemas.microsoft.com/office/drawing/2014/main" id="{00000000-0008-0000-3A00-000011000000}"/>
            </a:ext>
          </a:extLst>
        </xdr:cNvPr>
        <xdr:cNvCxnSpPr/>
      </xdr:nvCxnSpPr>
      <xdr:spPr>
        <a:xfrm>
          <a:off x="12370859" y="7297209"/>
          <a:ext cx="1027641" cy="12276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6</xdr:row>
      <xdr:rowOff>120651</xdr:rowOff>
    </xdr:from>
    <xdr:to>
      <xdr:col>22</xdr:col>
      <xdr:colOff>12700</xdr:colOff>
      <xdr:row>8</xdr:row>
      <xdr:rowOff>0</xdr:rowOff>
    </xdr:to>
    <xdr:cxnSp macro="">
      <xdr:nvCxnSpPr>
        <xdr:cNvPr id="18" name="Connecteur droit avec flèche 17">
          <a:extLst>
            <a:ext uri="{FF2B5EF4-FFF2-40B4-BE49-F238E27FC236}">
              <a16:creationId xmlns:a16="http://schemas.microsoft.com/office/drawing/2014/main" id="{00000000-0008-0000-3A00-000012000000}"/>
            </a:ext>
          </a:extLst>
        </xdr:cNvPr>
        <xdr:cNvCxnSpPr/>
      </xdr:nvCxnSpPr>
      <xdr:spPr>
        <a:xfrm flipV="1">
          <a:off x="17871622" y="28067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8</xdr:row>
      <xdr:rowOff>120650</xdr:rowOff>
    </xdr:from>
    <xdr:to>
      <xdr:col>22</xdr:col>
      <xdr:colOff>12700</xdr:colOff>
      <xdr:row>15</xdr:row>
      <xdr:rowOff>2116</xdr:rowOff>
    </xdr:to>
    <xdr:cxnSp macro="">
      <xdr:nvCxnSpPr>
        <xdr:cNvPr id="19" name="Connecteur droit avec flèche 18">
          <a:extLst>
            <a:ext uri="{FF2B5EF4-FFF2-40B4-BE49-F238E27FC236}">
              <a16:creationId xmlns:a16="http://schemas.microsoft.com/office/drawing/2014/main" id="{00000000-0008-0000-3A00-000013000000}"/>
            </a:ext>
          </a:extLst>
        </xdr:cNvPr>
        <xdr:cNvCxnSpPr/>
      </xdr:nvCxnSpPr>
      <xdr:spPr>
        <a:xfrm flipV="1">
          <a:off x="17847733" y="32067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8</xdr:row>
      <xdr:rowOff>13607</xdr:rowOff>
    </xdr:from>
    <xdr:to>
      <xdr:col>21</xdr:col>
      <xdr:colOff>1060450</xdr:colOff>
      <xdr:row>13</xdr:row>
      <xdr:rowOff>103724</xdr:rowOff>
    </xdr:to>
    <xdr:cxnSp macro="">
      <xdr:nvCxnSpPr>
        <xdr:cNvPr id="20" name="Connecteur droit avec flèche 19">
          <a:extLst>
            <a:ext uri="{FF2B5EF4-FFF2-40B4-BE49-F238E27FC236}">
              <a16:creationId xmlns:a16="http://schemas.microsoft.com/office/drawing/2014/main" id="{00000000-0008-0000-3A00-000014000000}"/>
            </a:ext>
          </a:extLst>
        </xdr:cNvPr>
        <xdr:cNvCxnSpPr/>
      </xdr:nvCxnSpPr>
      <xdr:spPr>
        <a:xfrm>
          <a:off x="17844408" y="30997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15</xdr:row>
      <xdr:rowOff>2123</xdr:rowOff>
    </xdr:from>
    <xdr:to>
      <xdr:col>21</xdr:col>
      <xdr:colOff>1059392</xdr:colOff>
      <xdr:row>15</xdr:row>
      <xdr:rowOff>120656</xdr:rowOff>
    </xdr:to>
    <xdr:cxnSp macro="">
      <xdr:nvCxnSpPr>
        <xdr:cNvPr id="21" name="Connecteur droit avec flèche 20">
          <a:extLst>
            <a:ext uri="{FF2B5EF4-FFF2-40B4-BE49-F238E27FC236}">
              <a16:creationId xmlns:a16="http://schemas.microsoft.com/office/drawing/2014/main" id="{00000000-0008-0000-3A00-000015000000}"/>
            </a:ext>
          </a:extLst>
        </xdr:cNvPr>
        <xdr:cNvCxnSpPr/>
      </xdr:nvCxnSpPr>
      <xdr:spPr>
        <a:xfrm>
          <a:off x="17830800" y="44883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33867</xdr:colOff>
      <xdr:row>20</xdr:row>
      <xdr:rowOff>120650</xdr:rowOff>
    </xdr:from>
    <xdr:to>
      <xdr:col>22</xdr:col>
      <xdr:colOff>12700</xdr:colOff>
      <xdr:row>20</xdr:row>
      <xdr:rowOff>188383</xdr:rowOff>
    </xdr:to>
    <xdr:cxnSp macro="">
      <xdr:nvCxnSpPr>
        <xdr:cNvPr id="22" name="Connecteur droit avec flèche 21">
          <a:extLst>
            <a:ext uri="{FF2B5EF4-FFF2-40B4-BE49-F238E27FC236}">
              <a16:creationId xmlns:a16="http://schemas.microsoft.com/office/drawing/2014/main" id="{00000000-0008-0000-3A00-000016000000}"/>
            </a:ext>
          </a:extLst>
        </xdr:cNvPr>
        <xdr:cNvCxnSpPr/>
      </xdr:nvCxnSpPr>
      <xdr:spPr>
        <a:xfrm flipV="1">
          <a:off x="17864667" y="5607050"/>
          <a:ext cx="1036108" cy="67733"/>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22</xdr:row>
      <xdr:rowOff>120650</xdr:rowOff>
    </xdr:from>
    <xdr:to>
      <xdr:col>22</xdr:col>
      <xdr:colOff>12700</xdr:colOff>
      <xdr:row>29</xdr:row>
      <xdr:rowOff>2116</xdr:rowOff>
    </xdr:to>
    <xdr:cxnSp macro="">
      <xdr:nvCxnSpPr>
        <xdr:cNvPr id="23" name="Connecteur droit avec flèche 22">
          <a:extLst>
            <a:ext uri="{FF2B5EF4-FFF2-40B4-BE49-F238E27FC236}">
              <a16:creationId xmlns:a16="http://schemas.microsoft.com/office/drawing/2014/main" id="{00000000-0008-0000-3A00-000017000000}"/>
            </a:ext>
          </a:extLst>
        </xdr:cNvPr>
        <xdr:cNvCxnSpPr/>
      </xdr:nvCxnSpPr>
      <xdr:spPr>
        <a:xfrm flipV="1">
          <a:off x="17847733" y="6007100"/>
          <a:ext cx="1053042" cy="1281641"/>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20</xdr:row>
      <xdr:rowOff>188390</xdr:rowOff>
    </xdr:from>
    <xdr:to>
      <xdr:col>21</xdr:col>
      <xdr:colOff>1060450</xdr:colOff>
      <xdr:row>27</xdr:row>
      <xdr:rowOff>103724</xdr:rowOff>
    </xdr:to>
    <xdr:cxnSp macro="">
      <xdr:nvCxnSpPr>
        <xdr:cNvPr id="24" name="Connecteur droit avec flèche 23">
          <a:extLst>
            <a:ext uri="{FF2B5EF4-FFF2-40B4-BE49-F238E27FC236}">
              <a16:creationId xmlns:a16="http://schemas.microsoft.com/office/drawing/2014/main" id="{00000000-0008-0000-3A00-000018000000}"/>
            </a:ext>
          </a:extLst>
        </xdr:cNvPr>
        <xdr:cNvCxnSpPr/>
      </xdr:nvCxnSpPr>
      <xdr:spPr>
        <a:xfrm>
          <a:off x="17830800" y="5674790"/>
          <a:ext cx="1060450" cy="1315509"/>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29</xdr:row>
      <xdr:rowOff>2123</xdr:rowOff>
    </xdr:from>
    <xdr:to>
      <xdr:col>21</xdr:col>
      <xdr:colOff>1059392</xdr:colOff>
      <xdr:row>29</xdr:row>
      <xdr:rowOff>120656</xdr:rowOff>
    </xdr:to>
    <xdr:cxnSp macro="">
      <xdr:nvCxnSpPr>
        <xdr:cNvPr id="25" name="Connecteur droit avec flèche 24">
          <a:extLst>
            <a:ext uri="{FF2B5EF4-FFF2-40B4-BE49-F238E27FC236}">
              <a16:creationId xmlns:a16="http://schemas.microsoft.com/office/drawing/2014/main" id="{00000000-0008-0000-3A00-000019000000}"/>
            </a:ext>
          </a:extLst>
        </xdr:cNvPr>
        <xdr:cNvCxnSpPr/>
      </xdr:nvCxnSpPr>
      <xdr:spPr>
        <a:xfrm>
          <a:off x="17830800" y="7288748"/>
          <a:ext cx="1059392" cy="118533"/>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40822</xdr:colOff>
      <xdr:row>34</xdr:row>
      <xdr:rowOff>95250</xdr:rowOff>
    </xdr:from>
    <xdr:to>
      <xdr:col>16</xdr:col>
      <xdr:colOff>0</xdr:colOff>
      <xdr:row>35</xdr:row>
      <xdr:rowOff>176893</xdr:rowOff>
    </xdr:to>
    <xdr:cxnSp macro="">
      <xdr:nvCxnSpPr>
        <xdr:cNvPr id="26" name="Connecteur droit avec flèche 25">
          <a:extLst>
            <a:ext uri="{FF2B5EF4-FFF2-40B4-BE49-F238E27FC236}">
              <a16:creationId xmlns:a16="http://schemas.microsoft.com/office/drawing/2014/main" id="{00000000-0008-0000-3A00-00001A000000}"/>
            </a:ext>
          </a:extLst>
        </xdr:cNvPr>
        <xdr:cNvCxnSpPr/>
      </xdr:nvCxnSpPr>
      <xdr:spPr>
        <a:xfrm flipV="1">
          <a:off x="12394747" y="8382000"/>
          <a:ext cx="1006928" cy="28166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36</xdr:row>
      <xdr:rowOff>120650</xdr:rowOff>
    </xdr:from>
    <xdr:to>
      <xdr:col>15</xdr:col>
      <xdr:colOff>1044575</xdr:colOff>
      <xdr:row>42</xdr:row>
      <xdr:rowOff>149678</xdr:rowOff>
    </xdr:to>
    <xdr:cxnSp macro="">
      <xdr:nvCxnSpPr>
        <xdr:cNvPr id="27" name="Connecteur droit avec flèche 26">
          <a:extLst>
            <a:ext uri="{FF2B5EF4-FFF2-40B4-BE49-F238E27FC236}">
              <a16:creationId xmlns:a16="http://schemas.microsoft.com/office/drawing/2014/main" id="{00000000-0008-0000-3A00-00001B000000}"/>
            </a:ext>
          </a:extLst>
        </xdr:cNvPr>
        <xdr:cNvCxnSpPr/>
      </xdr:nvCxnSpPr>
      <xdr:spPr>
        <a:xfrm flipV="1">
          <a:off x="12353925" y="8807450"/>
          <a:ext cx="1044575" cy="122917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42</xdr:row>
      <xdr:rowOff>13607</xdr:rowOff>
    </xdr:from>
    <xdr:to>
      <xdr:col>15</xdr:col>
      <xdr:colOff>1020536</xdr:colOff>
      <xdr:row>49</xdr:row>
      <xdr:rowOff>149679</xdr:rowOff>
    </xdr:to>
    <xdr:cxnSp macro="">
      <xdr:nvCxnSpPr>
        <xdr:cNvPr id="28" name="Connecteur droit avec flèche 27">
          <a:extLst>
            <a:ext uri="{FF2B5EF4-FFF2-40B4-BE49-F238E27FC236}">
              <a16:creationId xmlns:a16="http://schemas.microsoft.com/office/drawing/2014/main" id="{00000000-0008-0000-3A00-00001C000000}"/>
            </a:ext>
          </a:extLst>
        </xdr:cNvPr>
        <xdr:cNvCxnSpPr/>
      </xdr:nvCxnSpPr>
      <xdr:spPr>
        <a:xfrm flipV="1">
          <a:off x="12353925" y="9900557"/>
          <a:ext cx="1020536" cy="153624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44</xdr:row>
      <xdr:rowOff>13607</xdr:rowOff>
    </xdr:from>
    <xdr:to>
      <xdr:col>16</xdr:col>
      <xdr:colOff>0</xdr:colOff>
      <xdr:row>57</xdr:row>
      <xdr:rowOff>10582</xdr:rowOff>
    </xdr:to>
    <xdr:cxnSp macro="">
      <xdr:nvCxnSpPr>
        <xdr:cNvPr id="29" name="Connecteur droit avec flèche 28">
          <a:extLst>
            <a:ext uri="{FF2B5EF4-FFF2-40B4-BE49-F238E27FC236}">
              <a16:creationId xmlns:a16="http://schemas.microsoft.com/office/drawing/2014/main" id="{00000000-0008-0000-3A00-00001D000000}"/>
            </a:ext>
          </a:extLst>
        </xdr:cNvPr>
        <xdr:cNvCxnSpPr/>
      </xdr:nvCxnSpPr>
      <xdr:spPr>
        <a:xfrm flipV="1">
          <a:off x="12353925" y="10300607"/>
          <a:ext cx="1047750" cy="259730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36</xdr:row>
      <xdr:rowOff>10583</xdr:rowOff>
    </xdr:from>
    <xdr:to>
      <xdr:col>16</xdr:col>
      <xdr:colOff>16934</xdr:colOff>
      <xdr:row>48</xdr:row>
      <xdr:rowOff>146050</xdr:rowOff>
    </xdr:to>
    <xdr:cxnSp macro="">
      <xdr:nvCxnSpPr>
        <xdr:cNvPr id="30" name="Connecteur droit avec flèche 29">
          <a:extLst>
            <a:ext uri="{FF2B5EF4-FFF2-40B4-BE49-F238E27FC236}">
              <a16:creationId xmlns:a16="http://schemas.microsoft.com/office/drawing/2014/main" id="{00000000-0008-0000-3A00-00001E000000}"/>
            </a:ext>
          </a:extLst>
        </xdr:cNvPr>
        <xdr:cNvCxnSpPr/>
      </xdr:nvCxnSpPr>
      <xdr:spPr>
        <a:xfrm>
          <a:off x="12370859" y="8697383"/>
          <a:ext cx="1047750" cy="25357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29634</xdr:colOff>
      <xdr:row>43</xdr:row>
      <xdr:rowOff>40216</xdr:rowOff>
    </xdr:from>
    <xdr:to>
      <xdr:col>16</xdr:col>
      <xdr:colOff>25400</xdr:colOff>
      <xdr:row>50</xdr:row>
      <xdr:rowOff>133350</xdr:rowOff>
    </xdr:to>
    <xdr:cxnSp macro="">
      <xdr:nvCxnSpPr>
        <xdr:cNvPr id="31" name="Connecteur droit avec flèche 30">
          <a:extLst>
            <a:ext uri="{FF2B5EF4-FFF2-40B4-BE49-F238E27FC236}">
              <a16:creationId xmlns:a16="http://schemas.microsoft.com/office/drawing/2014/main" id="{00000000-0008-0000-3A00-00001F000000}"/>
            </a:ext>
          </a:extLst>
        </xdr:cNvPr>
        <xdr:cNvCxnSpPr/>
      </xdr:nvCxnSpPr>
      <xdr:spPr>
        <a:xfrm>
          <a:off x="12383559" y="10127191"/>
          <a:ext cx="1043516" cy="149330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50</xdr:row>
      <xdr:rowOff>27516</xdr:rowOff>
    </xdr:from>
    <xdr:to>
      <xdr:col>16</xdr:col>
      <xdr:colOff>12700</xdr:colOff>
      <xdr:row>55</xdr:row>
      <xdr:rowOff>107950</xdr:rowOff>
    </xdr:to>
    <xdr:cxnSp macro="">
      <xdr:nvCxnSpPr>
        <xdr:cNvPr id="32" name="Connecteur droit avec flèche 31">
          <a:extLst>
            <a:ext uri="{FF2B5EF4-FFF2-40B4-BE49-F238E27FC236}">
              <a16:creationId xmlns:a16="http://schemas.microsoft.com/office/drawing/2014/main" id="{00000000-0008-0000-3A00-000020000000}"/>
            </a:ext>
          </a:extLst>
        </xdr:cNvPr>
        <xdr:cNvCxnSpPr/>
      </xdr:nvCxnSpPr>
      <xdr:spPr>
        <a:xfrm>
          <a:off x="12370859" y="11514666"/>
          <a:ext cx="1043516" cy="108055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57</xdr:row>
      <xdr:rowOff>10584</xdr:rowOff>
    </xdr:from>
    <xdr:to>
      <xdr:col>15</xdr:col>
      <xdr:colOff>1044575</xdr:colOff>
      <xdr:row>57</xdr:row>
      <xdr:rowOff>133350</xdr:rowOff>
    </xdr:to>
    <xdr:cxnSp macro="">
      <xdr:nvCxnSpPr>
        <xdr:cNvPr id="33" name="Connecteur droit avec flèche 32">
          <a:extLst>
            <a:ext uri="{FF2B5EF4-FFF2-40B4-BE49-F238E27FC236}">
              <a16:creationId xmlns:a16="http://schemas.microsoft.com/office/drawing/2014/main" id="{00000000-0008-0000-3A00-000021000000}"/>
            </a:ext>
          </a:extLst>
        </xdr:cNvPr>
        <xdr:cNvCxnSpPr/>
      </xdr:nvCxnSpPr>
      <xdr:spPr>
        <a:xfrm>
          <a:off x="12370859" y="12897909"/>
          <a:ext cx="1027641" cy="12276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34</xdr:row>
      <xdr:rowOff>120651</xdr:rowOff>
    </xdr:from>
    <xdr:to>
      <xdr:col>22</xdr:col>
      <xdr:colOff>12700</xdr:colOff>
      <xdr:row>36</xdr:row>
      <xdr:rowOff>0</xdr:rowOff>
    </xdr:to>
    <xdr:cxnSp macro="">
      <xdr:nvCxnSpPr>
        <xdr:cNvPr id="34" name="Connecteur droit avec flèche 33">
          <a:extLst>
            <a:ext uri="{FF2B5EF4-FFF2-40B4-BE49-F238E27FC236}">
              <a16:creationId xmlns:a16="http://schemas.microsoft.com/office/drawing/2014/main" id="{00000000-0008-0000-3A00-000022000000}"/>
            </a:ext>
          </a:extLst>
        </xdr:cNvPr>
        <xdr:cNvCxnSpPr/>
      </xdr:nvCxnSpPr>
      <xdr:spPr>
        <a:xfrm flipV="1">
          <a:off x="17871622" y="84074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36</xdr:row>
      <xdr:rowOff>120650</xdr:rowOff>
    </xdr:from>
    <xdr:to>
      <xdr:col>22</xdr:col>
      <xdr:colOff>12700</xdr:colOff>
      <xdr:row>43</xdr:row>
      <xdr:rowOff>2116</xdr:rowOff>
    </xdr:to>
    <xdr:cxnSp macro="">
      <xdr:nvCxnSpPr>
        <xdr:cNvPr id="35" name="Connecteur droit avec flèche 34">
          <a:extLst>
            <a:ext uri="{FF2B5EF4-FFF2-40B4-BE49-F238E27FC236}">
              <a16:creationId xmlns:a16="http://schemas.microsoft.com/office/drawing/2014/main" id="{00000000-0008-0000-3A00-000023000000}"/>
            </a:ext>
          </a:extLst>
        </xdr:cNvPr>
        <xdr:cNvCxnSpPr/>
      </xdr:nvCxnSpPr>
      <xdr:spPr>
        <a:xfrm flipV="1">
          <a:off x="17847733" y="88074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36</xdr:row>
      <xdr:rowOff>13607</xdr:rowOff>
    </xdr:from>
    <xdr:to>
      <xdr:col>21</xdr:col>
      <xdr:colOff>1060450</xdr:colOff>
      <xdr:row>41</xdr:row>
      <xdr:rowOff>103724</xdr:rowOff>
    </xdr:to>
    <xdr:cxnSp macro="">
      <xdr:nvCxnSpPr>
        <xdr:cNvPr id="36" name="Connecteur droit avec flèche 35">
          <a:extLst>
            <a:ext uri="{FF2B5EF4-FFF2-40B4-BE49-F238E27FC236}">
              <a16:creationId xmlns:a16="http://schemas.microsoft.com/office/drawing/2014/main" id="{00000000-0008-0000-3A00-000024000000}"/>
            </a:ext>
          </a:extLst>
        </xdr:cNvPr>
        <xdr:cNvCxnSpPr/>
      </xdr:nvCxnSpPr>
      <xdr:spPr>
        <a:xfrm>
          <a:off x="17844408" y="87004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43</xdr:row>
      <xdr:rowOff>2123</xdr:rowOff>
    </xdr:from>
    <xdr:to>
      <xdr:col>21</xdr:col>
      <xdr:colOff>1059392</xdr:colOff>
      <xdr:row>43</xdr:row>
      <xdr:rowOff>120656</xdr:rowOff>
    </xdr:to>
    <xdr:cxnSp macro="">
      <xdr:nvCxnSpPr>
        <xdr:cNvPr id="37" name="Connecteur droit avec flèche 36">
          <a:extLst>
            <a:ext uri="{FF2B5EF4-FFF2-40B4-BE49-F238E27FC236}">
              <a16:creationId xmlns:a16="http://schemas.microsoft.com/office/drawing/2014/main" id="{00000000-0008-0000-3A00-000025000000}"/>
            </a:ext>
          </a:extLst>
        </xdr:cNvPr>
        <xdr:cNvCxnSpPr/>
      </xdr:nvCxnSpPr>
      <xdr:spPr>
        <a:xfrm>
          <a:off x="17830800" y="100890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33867</xdr:colOff>
      <xdr:row>48</xdr:row>
      <xdr:rowOff>120650</xdr:rowOff>
    </xdr:from>
    <xdr:to>
      <xdr:col>22</xdr:col>
      <xdr:colOff>12700</xdr:colOff>
      <xdr:row>48</xdr:row>
      <xdr:rowOff>188383</xdr:rowOff>
    </xdr:to>
    <xdr:cxnSp macro="">
      <xdr:nvCxnSpPr>
        <xdr:cNvPr id="38" name="Connecteur droit avec flèche 37">
          <a:extLst>
            <a:ext uri="{FF2B5EF4-FFF2-40B4-BE49-F238E27FC236}">
              <a16:creationId xmlns:a16="http://schemas.microsoft.com/office/drawing/2014/main" id="{00000000-0008-0000-3A00-000026000000}"/>
            </a:ext>
          </a:extLst>
        </xdr:cNvPr>
        <xdr:cNvCxnSpPr/>
      </xdr:nvCxnSpPr>
      <xdr:spPr>
        <a:xfrm flipV="1">
          <a:off x="17864667" y="11207750"/>
          <a:ext cx="1036108" cy="67733"/>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50</xdr:row>
      <xdr:rowOff>120650</xdr:rowOff>
    </xdr:from>
    <xdr:to>
      <xdr:col>22</xdr:col>
      <xdr:colOff>12700</xdr:colOff>
      <xdr:row>57</xdr:row>
      <xdr:rowOff>2116</xdr:rowOff>
    </xdr:to>
    <xdr:cxnSp macro="">
      <xdr:nvCxnSpPr>
        <xdr:cNvPr id="39" name="Connecteur droit avec flèche 38">
          <a:extLst>
            <a:ext uri="{FF2B5EF4-FFF2-40B4-BE49-F238E27FC236}">
              <a16:creationId xmlns:a16="http://schemas.microsoft.com/office/drawing/2014/main" id="{00000000-0008-0000-3A00-000027000000}"/>
            </a:ext>
          </a:extLst>
        </xdr:cNvPr>
        <xdr:cNvCxnSpPr/>
      </xdr:nvCxnSpPr>
      <xdr:spPr>
        <a:xfrm flipV="1">
          <a:off x="17847733" y="11607800"/>
          <a:ext cx="1053042" cy="1281641"/>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48</xdr:row>
      <xdr:rowOff>188390</xdr:rowOff>
    </xdr:from>
    <xdr:to>
      <xdr:col>21</xdr:col>
      <xdr:colOff>1060450</xdr:colOff>
      <xdr:row>55</xdr:row>
      <xdr:rowOff>103724</xdr:rowOff>
    </xdr:to>
    <xdr:cxnSp macro="">
      <xdr:nvCxnSpPr>
        <xdr:cNvPr id="40" name="Connecteur droit avec flèche 39">
          <a:extLst>
            <a:ext uri="{FF2B5EF4-FFF2-40B4-BE49-F238E27FC236}">
              <a16:creationId xmlns:a16="http://schemas.microsoft.com/office/drawing/2014/main" id="{00000000-0008-0000-3A00-000028000000}"/>
            </a:ext>
          </a:extLst>
        </xdr:cNvPr>
        <xdr:cNvCxnSpPr/>
      </xdr:nvCxnSpPr>
      <xdr:spPr>
        <a:xfrm>
          <a:off x="17830800" y="11275490"/>
          <a:ext cx="1060450" cy="1315509"/>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57</xdr:row>
      <xdr:rowOff>2123</xdr:rowOff>
    </xdr:from>
    <xdr:to>
      <xdr:col>21</xdr:col>
      <xdr:colOff>1059392</xdr:colOff>
      <xdr:row>57</xdr:row>
      <xdr:rowOff>120656</xdr:rowOff>
    </xdr:to>
    <xdr:cxnSp macro="">
      <xdr:nvCxnSpPr>
        <xdr:cNvPr id="41" name="Connecteur droit avec flèche 40">
          <a:extLst>
            <a:ext uri="{FF2B5EF4-FFF2-40B4-BE49-F238E27FC236}">
              <a16:creationId xmlns:a16="http://schemas.microsoft.com/office/drawing/2014/main" id="{00000000-0008-0000-3A00-000029000000}"/>
            </a:ext>
          </a:extLst>
        </xdr:cNvPr>
        <xdr:cNvCxnSpPr/>
      </xdr:nvCxnSpPr>
      <xdr:spPr>
        <a:xfrm>
          <a:off x="17830800" y="12889448"/>
          <a:ext cx="1059392" cy="118533"/>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52917</xdr:colOff>
      <xdr:row>64</xdr:row>
      <xdr:rowOff>95250</xdr:rowOff>
    </xdr:from>
    <xdr:to>
      <xdr:col>15</xdr:col>
      <xdr:colOff>973667</xdr:colOff>
      <xdr:row>69</xdr:row>
      <xdr:rowOff>0</xdr:rowOff>
    </xdr:to>
    <xdr:cxnSp macro="">
      <xdr:nvCxnSpPr>
        <xdr:cNvPr id="53" name="Connecteur droit avec flèche 52">
          <a:extLst>
            <a:ext uri="{FF2B5EF4-FFF2-40B4-BE49-F238E27FC236}">
              <a16:creationId xmlns:a16="http://schemas.microsoft.com/office/drawing/2014/main" id="{00000000-0008-0000-3A00-000035000000}"/>
            </a:ext>
          </a:extLst>
        </xdr:cNvPr>
        <xdr:cNvCxnSpPr>
          <a:cxnSpLocks/>
        </xdr:cNvCxnSpPr>
      </xdr:nvCxnSpPr>
      <xdr:spPr>
        <a:xfrm flipV="1">
          <a:off x="4520142" y="3181350"/>
          <a:ext cx="920750" cy="904875"/>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52917</xdr:colOff>
      <xdr:row>69</xdr:row>
      <xdr:rowOff>169333</xdr:rowOff>
    </xdr:from>
    <xdr:to>
      <xdr:col>15</xdr:col>
      <xdr:colOff>994834</xdr:colOff>
      <xdr:row>75</xdr:row>
      <xdr:rowOff>74083</xdr:rowOff>
    </xdr:to>
    <xdr:cxnSp macro="">
      <xdr:nvCxnSpPr>
        <xdr:cNvPr id="54" name="Connecteur droit avec flèche 53">
          <a:extLst>
            <a:ext uri="{FF2B5EF4-FFF2-40B4-BE49-F238E27FC236}">
              <a16:creationId xmlns:a16="http://schemas.microsoft.com/office/drawing/2014/main" id="{00000000-0008-0000-3A00-000036000000}"/>
            </a:ext>
          </a:extLst>
        </xdr:cNvPr>
        <xdr:cNvCxnSpPr>
          <a:cxnSpLocks/>
        </xdr:cNvCxnSpPr>
      </xdr:nvCxnSpPr>
      <xdr:spPr>
        <a:xfrm flipV="1">
          <a:off x="4520142" y="4255558"/>
          <a:ext cx="941917" cy="1104900"/>
        </a:xfrm>
        <a:prstGeom prst="straightConnector1">
          <a:avLst/>
        </a:prstGeom>
        <a:ln>
          <a:solidFill>
            <a:srgbClr val="00B0F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105833</xdr:colOff>
      <xdr:row>62</xdr:row>
      <xdr:rowOff>190500</xdr:rowOff>
    </xdr:from>
    <xdr:to>
      <xdr:col>22</xdr:col>
      <xdr:colOff>38100</xdr:colOff>
      <xdr:row>64</xdr:row>
      <xdr:rowOff>0</xdr:rowOff>
    </xdr:to>
    <xdr:cxnSp macro="">
      <xdr:nvCxnSpPr>
        <xdr:cNvPr id="55" name="Connecteur droit avec flèche 54">
          <a:extLst>
            <a:ext uri="{FF2B5EF4-FFF2-40B4-BE49-F238E27FC236}">
              <a16:creationId xmlns:a16="http://schemas.microsoft.com/office/drawing/2014/main" id="{00000000-0008-0000-3A00-000037000000}"/>
            </a:ext>
          </a:extLst>
        </xdr:cNvPr>
        <xdr:cNvCxnSpPr>
          <a:cxnSpLocks/>
        </xdr:cNvCxnSpPr>
      </xdr:nvCxnSpPr>
      <xdr:spPr>
        <a:xfrm flipV="1">
          <a:off x="10307108" y="2876550"/>
          <a:ext cx="989542" cy="20955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52917</xdr:colOff>
      <xdr:row>69</xdr:row>
      <xdr:rowOff>21167</xdr:rowOff>
    </xdr:from>
    <xdr:to>
      <xdr:col>15</xdr:col>
      <xdr:colOff>1016000</xdr:colOff>
      <xdr:row>76</xdr:row>
      <xdr:rowOff>127000</xdr:rowOff>
    </xdr:to>
    <xdr:cxnSp macro="">
      <xdr:nvCxnSpPr>
        <xdr:cNvPr id="56" name="Connecteur droit avec flèche 55">
          <a:extLst>
            <a:ext uri="{FF2B5EF4-FFF2-40B4-BE49-F238E27FC236}">
              <a16:creationId xmlns:a16="http://schemas.microsoft.com/office/drawing/2014/main" id="{00000000-0008-0000-3A00-000038000000}"/>
            </a:ext>
          </a:extLst>
        </xdr:cNvPr>
        <xdr:cNvCxnSpPr>
          <a:cxnSpLocks/>
        </xdr:cNvCxnSpPr>
      </xdr:nvCxnSpPr>
      <xdr:spPr>
        <a:xfrm>
          <a:off x="4520142" y="4107392"/>
          <a:ext cx="963083" cy="1506008"/>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52917</xdr:colOff>
      <xdr:row>78</xdr:row>
      <xdr:rowOff>105833</xdr:rowOff>
    </xdr:from>
    <xdr:to>
      <xdr:col>15</xdr:col>
      <xdr:colOff>1026584</xdr:colOff>
      <xdr:row>81</xdr:row>
      <xdr:rowOff>43884</xdr:rowOff>
    </xdr:to>
    <xdr:cxnSp macro="">
      <xdr:nvCxnSpPr>
        <xdr:cNvPr id="57" name="Connecteur droit avec flèche 56">
          <a:extLst>
            <a:ext uri="{FF2B5EF4-FFF2-40B4-BE49-F238E27FC236}">
              <a16:creationId xmlns:a16="http://schemas.microsoft.com/office/drawing/2014/main" id="{00000000-0008-0000-3A00-000039000000}"/>
            </a:ext>
          </a:extLst>
        </xdr:cNvPr>
        <xdr:cNvCxnSpPr>
          <a:cxnSpLocks/>
        </xdr:cNvCxnSpPr>
      </xdr:nvCxnSpPr>
      <xdr:spPr>
        <a:xfrm flipV="1">
          <a:off x="4520142" y="5992283"/>
          <a:ext cx="973667" cy="53812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52917</xdr:colOff>
      <xdr:row>72</xdr:row>
      <xdr:rowOff>95250</xdr:rowOff>
    </xdr:from>
    <xdr:to>
      <xdr:col>15</xdr:col>
      <xdr:colOff>1037167</xdr:colOff>
      <xdr:row>81</xdr:row>
      <xdr:rowOff>42333</xdr:rowOff>
    </xdr:to>
    <xdr:cxnSp macro="">
      <xdr:nvCxnSpPr>
        <xdr:cNvPr id="58" name="Connecteur droit avec flèche 57">
          <a:extLst>
            <a:ext uri="{FF2B5EF4-FFF2-40B4-BE49-F238E27FC236}">
              <a16:creationId xmlns:a16="http://schemas.microsoft.com/office/drawing/2014/main" id="{00000000-0008-0000-3A00-00003A000000}"/>
            </a:ext>
          </a:extLst>
        </xdr:cNvPr>
        <xdr:cNvCxnSpPr>
          <a:cxnSpLocks/>
        </xdr:cNvCxnSpPr>
      </xdr:nvCxnSpPr>
      <xdr:spPr>
        <a:xfrm flipV="1">
          <a:off x="4520142" y="4781550"/>
          <a:ext cx="984250" cy="174730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116417</xdr:colOff>
      <xdr:row>64</xdr:row>
      <xdr:rowOff>21167</xdr:rowOff>
    </xdr:from>
    <xdr:to>
      <xdr:col>21</xdr:col>
      <xdr:colOff>1026583</xdr:colOff>
      <xdr:row>71</xdr:row>
      <xdr:rowOff>105833</xdr:rowOff>
    </xdr:to>
    <xdr:cxnSp macro="">
      <xdr:nvCxnSpPr>
        <xdr:cNvPr id="59" name="Connecteur droit avec flèche 58">
          <a:extLst>
            <a:ext uri="{FF2B5EF4-FFF2-40B4-BE49-F238E27FC236}">
              <a16:creationId xmlns:a16="http://schemas.microsoft.com/office/drawing/2014/main" id="{00000000-0008-0000-3A00-00003B000000}"/>
            </a:ext>
          </a:extLst>
        </xdr:cNvPr>
        <xdr:cNvCxnSpPr/>
      </xdr:nvCxnSpPr>
      <xdr:spPr bwMode="auto">
        <a:xfrm>
          <a:off x="10317692" y="3107267"/>
          <a:ext cx="910166" cy="1484841"/>
        </a:xfrm>
        <a:prstGeom prst="straightConnector1">
          <a:avLst/>
        </a:prstGeom>
        <a:ln>
          <a:solidFill>
            <a:srgbClr val="FF0000"/>
          </a:solidFill>
          <a:headEnd type="none" w="med" len="med"/>
          <a:tailEnd type="arrow"/>
        </a:ln>
      </xdr:spPr>
      <xdr:style>
        <a:lnRef idx="2">
          <a:schemeClr val="accent6"/>
        </a:lnRef>
        <a:fillRef idx="0">
          <a:schemeClr val="accent6"/>
        </a:fillRef>
        <a:effectRef idx="1">
          <a:schemeClr val="accent6"/>
        </a:effectRef>
        <a:fontRef idx="minor">
          <a:schemeClr val="tx1"/>
        </a:fontRef>
      </xdr:style>
    </xdr:cxnSp>
    <xdr:clientData/>
  </xdr:twoCellAnchor>
  <xdr:twoCellAnchor>
    <xdr:from>
      <xdr:col>21</xdr:col>
      <xdr:colOff>95250</xdr:colOff>
      <xdr:row>64</xdr:row>
      <xdr:rowOff>127000</xdr:rowOff>
    </xdr:from>
    <xdr:to>
      <xdr:col>21</xdr:col>
      <xdr:colOff>1037167</xdr:colOff>
      <xdr:row>70</xdr:row>
      <xdr:rowOff>21167</xdr:rowOff>
    </xdr:to>
    <xdr:cxnSp macro="">
      <xdr:nvCxnSpPr>
        <xdr:cNvPr id="60" name="Connecteur droit avec flèche 59">
          <a:extLst>
            <a:ext uri="{FF2B5EF4-FFF2-40B4-BE49-F238E27FC236}">
              <a16:creationId xmlns:a16="http://schemas.microsoft.com/office/drawing/2014/main" id="{00000000-0008-0000-3A00-00003C000000}"/>
            </a:ext>
          </a:extLst>
        </xdr:cNvPr>
        <xdr:cNvCxnSpPr>
          <a:cxnSpLocks/>
        </xdr:cNvCxnSpPr>
      </xdr:nvCxnSpPr>
      <xdr:spPr>
        <a:xfrm flipV="1">
          <a:off x="10296525" y="3213100"/>
          <a:ext cx="941917" cy="109431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162984</xdr:colOff>
      <xdr:row>78</xdr:row>
      <xdr:rowOff>114300</xdr:rowOff>
    </xdr:from>
    <xdr:to>
      <xdr:col>21</xdr:col>
      <xdr:colOff>952500</xdr:colOff>
      <xdr:row>78</xdr:row>
      <xdr:rowOff>127000</xdr:rowOff>
    </xdr:to>
    <xdr:cxnSp macro="">
      <xdr:nvCxnSpPr>
        <xdr:cNvPr id="61" name="Connecteur droit avec flèche 60">
          <a:extLst>
            <a:ext uri="{FF2B5EF4-FFF2-40B4-BE49-F238E27FC236}">
              <a16:creationId xmlns:a16="http://schemas.microsoft.com/office/drawing/2014/main" id="{00000000-0008-0000-3A00-00003D000000}"/>
            </a:ext>
          </a:extLst>
        </xdr:cNvPr>
        <xdr:cNvCxnSpPr/>
      </xdr:nvCxnSpPr>
      <xdr:spPr bwMode="auto">
        <a:xfrm>
          <a:off x="10364259" y="6000750"/>
          <a:ext cx="789516" cy="12700"/>
        </a:xfrm>
        <a:prstGeom prst="straightConnector1">
          <a:avLst/>
        </a:prstGeom>
        <a:ln>
          <a:solidFill>
            <a:schemeClr val="tx2">
              <a:lumMod val="60000"/>
              <a:lumOff val="40000"/>
            </a:schemeClr>
          </a:solidFill>
          <a:headEnd type="none" w="med" len="med"/>
          <a:tailEnd type="arrow"/>
        </a:ln>
      </xdr:spPr>
      <xdr:style>
        <a:lnRef idx="2">
          <a:schemeClr val="accent6"/>
        </a:lnRef>
        <a:fillRef idx="0">
          <a:schemeClr val="accent6"/>
        </a:fillRef>
        <a:effectRef idx="1">
          <a:schemeClr val="accent6"/>
        </a:effectRef>
        <a:fontRef idx="minor">
          <a:schemeClr val="tx1"/>
        </a:fontRef>
      </xdr:style>
    </xdr:cxnSp>
    <xdr:clientData/>
  </xdr:twoCellAnchor>
  <xdr:twoCellAnchor>
    <xdr:from>
      <xdr:col>15</xdr:col>
      <xdr:colOff>52917</xdr:colOff>
      <xdr:row>63</xdr:row>
      <xdr:rowOff>0</xdr:rowOff>
    </xdr:from>
    <xdr:to>
      <xdr:col>15</xdr:col>
      <xdr:colOff>867834</xdr:colOff>
      <xdr:row>63</xdr:row>
      <xdr:rowOff>0</xdr:rowOff>
    </xdr:to>
    <xdr:cxnSp macro="">
      <xdr:nvCxnSpPr>
        <xdr:cNvPr id="62" name="Connecteur droit avec flèche 61">
          <a:extLst>
            <a:ext uri="{FF2B5EF4-FFF2-40B4-BE49-F238E27FC236}">
              <a16:creationId xmlns:a16="http://schemas.microsoft.com/office/drawing/2014/main" id="{00000000-0008-0000-3A00-00003E000000}"/>
            </a:ext>
          </a:extLst>
        </xdr:cNvPr>
        <xdr:cNvCxnSpPr>
          <a:cxnSpLocks/>
        </xdr:cNvCxnSpPr>
      </xdr:nvCxnSpPr>
      <xdr:spPr>
        <a:xfrm>
          <a:off x="4520142" y="2886075"/>
          <a:ext cx="814917" cy="0"/>
        </a:xfrm>
        <a:prstGeom prst="straightConnector1">
          <a:avLst/>
        </a:prstGeom>
        <a:ln>
          <a:solidFill>
            <a:srgbClr val="00B0F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146050</xdr:colOff>
      <xdr:row>76</xdr:row>
      <xdr:rowOff>107950</xdr:rowOff>
    </xdr:from>
    <xdr:to>
      <xdr:col>21</xdr:col>
      <xdr:colOff>935566</xdr:colOff>
      <xdr:row>76</xdr:row>
      <xdr:rowOff>120650</xdr:rowOff>
    </xdr:to>
    <xdr:cxnSp macro="">
      <xdr:nvCxnSpPr>
        <xdr:cNvPr id="63" name="Connecteur droit avec flèche 62">
          <a:extLst>
            <a:ext uri="{FF2B5EF4-FFF2-40B4-BE49-F238E27FC236}">
              <a16:creationId xmlns:a16="http://schemas.microsoft.com/office/drawing/2014/main" id="{00000000-0008-0000-3A00-00003F000000}"/>
            </a:ext>
          </a:extLst>
        </xdr:cNvPr>
        <xdr:cNvCxnSpPr/>
      </xdr:nvCxnSpPr>
      <xdr:spPr bwMode="auto">
        <a:xfrm>
          <a:off x="10347325" y="5594350"/>
          <a:ext cx="789516" cy="12700"/>
        </a:xfrm>
        <a:prstGeom prst="straightConnector1">
          <a:avLst/>
        </a:prstGeom>
        <a:ln>
          <a:solidFill>
            <a:schemeClr val="tx2">
              <a:lumMod val="60000"/>
              <a:lumOff val="40000"/>
            </a:schemeClr>
          </a:solidFill>
          <a:headEnd type="none" w="med" len="med"/>
          <a:tailEnd type="arrow"/>
        </a:ln>
      </xdr:spPr>
      <xdr:style>
        <a:lnRef idx="2">
          <a:schemeClr val="accent6"/>
        </a:lnRef>
        <a:fillRef idx="0">
          <a:schemeClr val="accent6"/>
        </a:fillRef>
        <a:effectRef idx="1">
          <a:schemeClr val="accent6"/>
        </a:effectRef>
        <a:fontRef idx="minor">
          <a:schemeClr val="tx1"/>
        </a:fontRef>
      </xdr:style>
    </xdr:cxnSp>
    <xdr:clientData/>
  </xdr:twoCellAnchor>
  <xdr:twoCellAnchor>
    <xdr:from>
      <xdr:col>21</xdr:col>
      <xdr:colOff>110067</xdr:colOff>
      <xdr:row>69</xdr:row>
      <xdr:rowOff>137583</xdr:rowOff>
    </xdr:from>
    <xdr:to>
      <xdr:col>22</xdr:col>
      <xdr:colOff>10584</xdr:colOff>
      <xdr:row>70</xdr:row>
      <xdr:rowOff>25400</xdr:rowOff>
    </xdr:to>
    <xdr:cxnSp macro="">
      <xdr:nvCxnSpPr>
        <xdr:cNvPr id="64" name="Connecteur droit avec flèche 63">
          <a:extLst>
            <a:ext uri="{FF2B5EF4-FFF2-40B4-BE49-F238E27FC236}">
              <a16:creationId xmlns:a16="http://schemas.microsoft.com/office/drawing/2014/main" id="{00000000-0008-0000-3A00-000040000000}"/>
            </a:ext>
          </a:extLst>
        </xdr:cNvPr>
        <xdr:cNvCxnSpPr/>
      </xdr:nvCxnSpPr>
      <xdr:spPr bwMode="auto">
        <a:xfrm flipV="1">
          <a:off x="10311342" y="4223808"/>
          <a:ext cx="957792" cy="87842"/>
        </a:xfrm>
        <a:prstGeom prst="straightConnector1">
          <a:avLst/>
        </a:prstGeom>
        <a:ln>
          <a:solidFill>
            <a:srgbClr val="FF0000"/>
          </a:solidFill>
          <a:headEnd type="none" w="med" len="med"/>
          <a:tailEnd type="arrow"/>
        </a:ln>
      </xdr:spPr>
      <xdr:style>
        <a:lnRef idx="2">
          <a:schemeClr val="accent6"/>
        </a:lnRef>
        <a:fillRef idx="0">
          <a:schemeClr val="accent6"/>
        </a:fillRef>
        <a:effectRef idx="1">
          <a:schemeClr val="accent6"/>
        </a:effectRef>
        <a:fontRef idx="minor">
          <a:schemeClr val="tx1"/>
        </a:fontRef>
      </xdr:style>
    </xdr:cxnSp>
    <xdr:clientData/>
  </xdr:twoCellAnchor>
  <xdr:twoCellAnchor>
    <xdr:from>
      <xdr:col>18</xdr:col>
      <xdr:colOff>2465916</xdr:colOff>
      <xdr:row>77</xdr:row>
      <xdr:rowOff>42333</xdr:rowOff>
    </xdr:from>
    <xdr:to>
      <xdr:col>19</xdr:col>
      <xdr:colOff>645347</xdr:colOff>
      <xdr:row>78</xdr:row>
      <xdr:rowOff>111497</xdr:rowOff>
    </xdr:to>
    <xdr:sp macro="" textlink="">
      <xdr:nvSpPr>
        <xdr:cNvPr id="65" name="Rectangle à coins arrondis 25">
          <a:extLst>
            <a:ext uri="{FF2B5EF4-FFF2-40B4-BE49-F238E27FC236}">
              <a16:creationId xmlns:a16="http://schemas.microsoft.com/office/drawing/2014/main" id="{00000000-0008-0000-3A00-000041000000}"/>
            </a:ext>
          </a:extLst>
        </xdr:cNvPr>
        <xdr:cNvSpPr/>
      </xdr:nvSpPr>
      <xdr:spPr bwMode="auto">
        <a:xfrm>
          <a:off x="9085791" y="5728758"/>
          <a:ext cx="713081" cy="269189"/>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twoCellAnchor>
    <xdr:from>
      <xdr:col>12</xdr:col>
      <xdr:colOff>2370667</xdr:colOff>
      <xdr:row>75</xdr:row>
      <xdr:rowOff>52917</xdr:rowOff>
    </xdr:from>
    <xdr:to>
      <xdr:col>13</xdr:col>
      <xdr:colOff>592431</xdr:colOff>
      <xdr:row>76</xdr:row>
      <xdr:rowOff>122081</xdr:rowOff>
    </xdr:to>
    <xdr:sp macro="" textlink="">
      <xdr:nvSpPr>
        <xdr:cNvPr id="66" name="Rectangle à coins arrondis 25">
          <a:extLst>
            <a:ext uri="{FF2B5EF4-FFF2-40B4-BE49-F238E27FC236}">
              <a16:creationId xmlns:a16="http://schemas.microsoft.com/office/drawing/2014/main" id="{00000000-0008-0000-3A00-000042000000}"/>
            </a:ext>
          </a:extLst>
        </xdr:cNvPr>
        <xdr:cNvSpPr/>
      </xdr:nvSpPr>
      <xdr:spPr bwMode="auto">
        <a:xfrm>
          <a:off x="3313642" y="5339292"/>
          <a:ext cx="707789" cy="269189"/>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twoCellAnchor>
    <xdr:from>
      <xdr:col>12</xdr:col>
      <xdr:colOff>2360084</xdr:colOff>
      <xdr:row>62</xdr:row>
      <xdr:rowOff>67734</xdr:rowOff>
    </xdr:from>
    <xdr:to>
      <xdr:col>13</xdr:col>
      <xdr:colOff>581848</xdr:colOff>
      <xdr:row>63</xdr:row>
      <xdr:rowOff>136898</xdr:rowOff>
    </xdr:to>
    <xdr:sp macro="" textlink="">
      <xdr:nvSpPr>
        <xdr:cNvPr id="67" name="Rectangle à coins arrondis 25">
          <a:extLst>
            <a:ext uri="{FF2B5EF4-FFF2-40B4-BE49-F238E27FC236}">
              <a16:creationId xmlns:a16="http://schemas.microsoft.com/office/drawing/2014/main" id="{00000000-0008-0000-3A00-000043000000}"/>
            </a:ext>
          </a:extLst>
        </xdr:cNvPr>
        <xdr:cNvSpPr/>
      </xdr:nvSpPr>
      <xdr:spPr bwMode="auto">
        <a:xfrm>
          <a:off x="3303059" y="2753784"/>
          <a:ext cx="707789" cy="269189"/>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twoCellAnchor>
    <xdr:from>
      <xdr:col>21</xdr:col>
      <xdr:colOff>40822</xdr:colOff>
      <xdr:row>34</xdr:row>
      <xdr:rowOff>120651</xdr:rowOff>
    </xdr:from>
    <xdr:to>
      <xdr:col>22</xdr:col>
      <xdr:colOff>12700</xdr:colOff>
      <xdr:row>36</xdr:row>
      <xdr:rowOff>0</xdr:rowOff>
    </xdr:to>
    <xdr:cxnSp macro="">
      <xdr:nvCxnSpPr>
        <xdr:cNvPr id="68" name="Connecteur droit avec flèche 67">
          <a:extLst>
            <a:ext uri="{FF2B5EF4-FFF2-40B4-BE49-F238E27FC236}">
              <a16:creationId xmlns:a16="http://schemas.microsoft.com/office/drawing/2014/main" id="{00000000-0008-0000-3A00-000044000000}"/>
            </a:ext>
          </a:extLst>
        </xdr:cNvPr>
        <xdr:cNvCxnSpPr/>
      </xdr:nvCxnSpPr>
      <xdr:spPr>
        <a:xfrm flipV="1">
          <a:off x="9937297" y="84074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36</xdr:row>
      <xdr:rowOff>120650</xdr:rowOff>
    </xdr:from>
    <xdr:to>
      <xdr:col>22</xdr:col>
      <xdr:colOff>12700</xdr:colOff>
      <xdr:row>43</xdr:row>
      <xdr:rowOff>2116</xdr:rowOff>
    </xdr:to>
    <xdr:cxnSp macro="">
      <xdr:nvCxnSpPr>
        <xdr:cNvPr id="69" name="Connecteur droit avec flèche 68">
          <a:extLst>
            <a:ext uri="{FF2B5EF4-FFF2-40B4-BE49-F238E27FC236}">
              <a16:creationId xmlns:a16="http://schemas.microsoft.com/office/drawing/2014/main" id="{00000000-0008-0000-3A00-000045000000}"/>
            </a:ext>
          </a:extLst>
        </xdr:cNvPr>
        <xdr:cNvCxnSpPr/>
      </xdr:nvCxnSpPr>
      <xdr:spPr>
        <a:xfrm flipV="1">
          <a:off x="9913408" y="88074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36</xdr:row>
      <xdr:rowOff>13607</xdr:rowOff>
    </xdr:from>
    <xdr:to>
      <xdr:col>21</xdr:col>
      <xdr:colOff>1060450</xdr:colOff>
      <xdr:row>41</xdr:row>
      <xdr:rowOff>103724</xdr:rowOff>
    </xdr:to>
    <xdr:cxnSp macro="">
      <xdr:nvCxnSpPr>
        <xdr:cNvPr id="70" name="Connecteur droit avec flèche 69">
          <a:extLst>
            <a:ext uri="{FF2B5EF4-FFF2-40B4-BE49-F238E27FC236}">
              <a16:creationId xmlns:a16="http://schemas.microsoft.com/office/drawing/2014/main" id="{00000000-0008-0000-3A00-000046000000}"/>
            </a:ext>
          </a:extLst>
        </xdr:cNvPr>
        <xdr:cNvCxnSpPr/>
      </xdr:nvCxnSpPr>
      <xdr:spPr>
        <a:xfrm>
          <a:off x="9910083" y="87004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43</xdr:row>
      <xdr:rowOff>2123</xdr:rowOff>
    </xdr:from>
    <xdr:to>
      <xdr:col>21</xdr:col>
      <xdr:colOff>1059392</xdr:colOff>
      <xdr:row>43</xdr:row>
      <xdr:rowOff>120656</xdr:rowOff>
    </xdr:to>
    <xdr:cxnSp macro="">
      <xdr:nvCxnSpPr>
        <xdr:cNvPr id="71" name="Connecteur droit avec flèche 70">
          <a:extLst>
            <a:ext uri="{FF2B5EF4-FFF2-40B4-BE49-F238E27FC236}">
              <a16:creationId xmlns:a16="http://schemas.microsoft.com/office/drawing/2014/main" id="{00000000-0008-0000-3A00-000047000000}"/>
            </a:ext>
          </a:extLst>
        </xdr:cNvPr>
        <xdr:cNvCxnSpPr/>
      </xdr:nvCxnSpPr>
      <xdr:spPr>
        <a:xfrm>
          <a:off x="9896475" y="100890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33867</xdr:colOff>
      <xdr:row>48</xdr:row>
      <xdr:rowOff>120650</xdr:rowOff>
    </xdr:from>
    <xdr:to>
      <xdr:col>22</xdr:col>
      <xdr:colOff>12700</xdr:colOff>
      <xdr:row>48</xdr:row>
      <xdr:rowOff>188383</xdr:rowOff>
    </xdr:to>
    <xdr:cxnSp macro="">
      <xdr:nvCxnSpPr>
        <xdr:cNvPr id="72" name="Connecteur droit avec flèche 71">
          <a:extLst>
            <a:ext uri="{FF2B5EF4-FFF2-40B4-BE49-F238E27FC236}">
              <a16:creationId xmlns:a16="http://schemas.microsoft.com/office/drawing/2014/main" id="{00000000-0008-0000-3A00-000048000000}"/>
            </a:ext>
          </a:extLst>
        </xdr:cNvPr>
        <xdr:cNvCxnSpPr/>
      </xdr:nvCxnSpPr>
      <xdr:spPr>
        <a:xfrm flipV="1">
          <a:off x="9930342" y="11207750"/>
          <a:ext cx="1036108" cy="67733"/>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50</xdr:row>
      <xdr:rowOff>120650</xdr:rowOff>
    </xdr:from>
    <xdr:to>
      <xdr:col>22</xdr:col>
      <xdr:colOff>12700</xdr:colOff>
      <xdr:row>57</xdr:row>
      <xdr:rowOff>2116</xdr:rowOff>
    </xdr:to>
    <xdr:cxnSp macro="">
      <xdr:nvCxnSpPr>
        <xdr:cNvPr id="73" name="Connecteur droit avec flèche 72">
          <a:extLst>
            <a:ext uri="{FF2B5EF4-FFF2-40B4-BE49-F238E27FC236}">
              <a16:creationId xmlns:a16="http://schemas.microsoft.com/office/drawing/2014/main" id="{00000000-0008-0000-3A00-000049000000}"/>
            </a:ext>
          </a:extLst>
        </xdr:cNvPr>
        <xdr:cNvCxnSpPr/>
      </xdr:nvCxnSpPr>
      <xdr:spPr>
        <a:xfrm flipV="1">
          <a:off x="9913408" y="11607800"/>
          <a:ext cx="1053042" cy="1281641"/>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48</xdr:row>
      <xdr:rowOff>188390</xdr:rowOff>
    </xdr:from>
    <xdr:to>
      <xdr:col>21</xdr:col>
      <xdr:colOff>1060450</xdr:colOff>
      <xdr:row>55</xdr:row>
      <xdr:rowOff>103724</xdr:rowOff>
    </xdr:to>
    <xdr:cxnSp macro="">
      <xdr:nvCxnSpPr>
        <xdr:cNvPr id="74" name="Connecteur droit avec flèche 73">
          <a:extLst>
            <a:ext uri="{FF2B5EF4-FFF2-40B4-BE49-F238E27FC236}">
              <a16:creationId xmlns:a16="http://schemas.microsoft.com/office/drawing/2014/main" id="{00000000-0008-0000-3A00-00004A000000}"/>
            </a:ext>
          </a:extLst>
        </xdr:cNvPr>
        <xdr:cNvCxnSpPr/>
      </xdr:nvCxnSpPr>
      <xdr:spPr>
        <a:xfrm>
          <a:off x="9896475" y="11275490"/>
          <a:ext cx="1060450" cy="1315509"/>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57</xdr:row>
      <xdr:rowOff>2123</xdr:rowOff>
    </xdr:from>
    <xdr:to>
      <xdr:col>21</xdr:col>
      <xdr:colOff>1059392</xdr:colOff>
      <xdr:row>57</xdr:row>
      <xdr:rowOff>120656</xdr:rowOff>
    </xdr:to>
    <xdr:cxnSp macro="">
      <xdr:nvCxnSpPr>
        <xdr:cNvPr id="75" name="Connecteur droit avec flèche 74">
          <a:extLst>
            <a:ext uri="{FF2B5EF4-FFF2-40B4-BE49-F238E27FC236}">
              <a16:creationId xmlns:a16="http://schemas.microsoft.com/office/drawing/2014/main" id="{00000000-0008-0000-3A00-00004B000000}"/>
            </a:ext>
          </a:extLst>
        </xdr:cNvPr>
        <xdr:cNvCxnSpPr/>
      </xdr:nvCxnSpPr>
      <xdr:spPr>
        <a:xfrm>
          <a:off x="9896475" y="12889448"/>
          <a:ext cx="1059392" cy="118533"/>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36</xdr:row>
      <xdr:rowOff>10583</xdr:rowOff>
    </xdr:from>
    <xdr:to>
      <xdr:col>16</xdr:col>
      <xdr:colOff>16934</xdr:colOff>
      <xdr:row>48</xdr:row>
      <xdr:rowOff>146050</xdr:rowOff>
    </xdr:to>
    <xdr:cxnSp macro="">
      <xdr:nvCxnSpPr>
        <xdr:cNvPr id="76" name="Connecteur droit avec flèche 75">
          <a:extLst>
            <a:ext uri="{FF2B5EF4-FFF2-40B4-BE49-F238E27FC236}">
              <a16:creationId xmlns:a16="http://schemas.microsoft.com/office/drawing/2014/main" id="{00000000-0008-0000-3A00-00004C000000}"/>
            </a:ext>
          </a:extLst>
        </xdr:cNvPr>
        <xdr:cNvCxnSpPr/>
      </xdr:nvCxnSpPr>
      <xdr:spPr>
        <a:xfrm>
          <a:off x="4436534" y="8697383"/>
          <a:ext cx="1047750" cy="25357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29634</xdr:colOff>
      <xdr:row>43</xdr:row>
      <xdr:rowOff>40216</xdr:rowOff>
    </xdr:from>
    <xdr:to>
      <xdr:col>16</xdr:col>
      <xdr:colOff>25400</xdr:colOff>
      <xdr:row>50</xdr:row>
      <xdr:rowOff>133350</xdr:rowOff>
    </xdr:to>
    <xdr:cxnSp macro="">
      <xdr:nvCxnSpPr>
        <xdr:cNvPr id="77" name="Connecteur droit avec flèche 76">
          <a:extLst>
            <a:ext uri="{FF2B5EF4-FFF2-40B4-BE49-F238E27FC236}">
              <a16:creationId xmlns:a16="http://schemas.microsoft.com/office/drawing/2014/main" id="{00000000-0008-0000-3A00-00004D000000}"/>
            </a:ext>
          </a:extLst>
        </xdr:cNvPr>
        <xdr:cNvCxnSpPr/>
      </xdr:nvCxnSpPr>
      <xdr:spPr>
        <a:xfrm>
          <a:off x="4449234" y="10127191"/>
          <a:ext cx="1043516" cy="149330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50</xdr:row>
      <xdr:rowOff>27516</xdr:rowOff>
    </xdr:from>
    <xdr:to>
      <xdr:col>16</xdr:col>
      <xdr:colOff>12700</xdr:colOff>
      <xdr:row>55</xdr:row>
      <xdr:rowOff>107950</xdr:rowOff>
    </xdr:to>
    <xdr:cxnSp macro="">
      <xdr:nvCxnSpPr>
        <xdr:cNvPr id="78" name="Connecteur droit avec flèche 77">
          <a:extLst>
            <a:ext uri="{FF2B5EF4-FFF2-40B4-BE49-F238E27FC236}">
              <a16:creationId xmlns:a16="http://schemas.microsoft.com/office/drawing/2014/main" id="{00000000-0008-0000-3A00-00004E000000}"/>
            </a:ext>
          </a:extLst>
        </xdr:cNvPr>
        <xdr:cNvCxnSpPr/>
      </xdr:nvCxnSpPr>
      <xdr:spPr>
        <a:xfrm>
          <a:off x="4436534" y="11514666"/>
          <a:ext cx="1043516" cy="108055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58.xml><?xml version="1.0" encoding="utf-8"?>
<xdr:wsDr xmlns:xdr="http://schemas.openxmlformats.org/drawingml/2006/spreadsheetDrawing" xmlns:a="http://schemas.openxmlformats.org/drawingml/2006/main">
  <xdr:twoCellAnchor>
    <xdr:from>
      <xdr:col>33</xdr:col>
      <xdr:colOff>367393</xdr:colOff>
      <xdr:row>31</xdr:row>
      <xdr:rowOff>73480</xdr:rowOff>
    </xdr:from>
    <xdr:to>
      <xdr:col>33</xdr:col>
      <xdr:colOff>2272393</xdr:colOff>
      <xdr:row>35</xdr:row>
      <xdr:rowOff>5445</xdr:rowOff>
    </xdr:to>
    <xdr:sp macro="[0]!JMK_Trans_FDUEL1" textlink="">
      <xdr:nvSpPr>
        <xdr:cNvPr id="2" name="Rectangle à coins arrondis 33">
          <a:extLst>
            <a:ext uri="{FF2B5EF4-FFF2-40B4-BE49-F238E27FC236}">
              <a16:creationId xmlns:a16="http://schemas.microsoft.com/office/drawing/2014/main" id="{00000000-0008-0000-3B00-000002000000}"/>
            </a:ext>
          </a:extLst>
        </xdr:cNvPr>
        <xdr:cNvSpPr/>
      </xdr:nvSpPr>
      <xdr:spPr bwMode="auto">
        <a:xfrm>
          <a:off x="25865818" y="7760155"/>
          <a:ext cx="1905000" cy="7320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1</a:t>
          </a:r>
          <a:r>
            <a:rPr lang="fr-FR" sz="1600"/>
            <a:t> </a:t>
          </a:r>
        </a:p>
      </xdr:txBody>
    </xdr:sp>
    <xdr:clientData fPrintsWithSheet="0"/>
  </xdr:twoCellAnchor>
  <xdr:twoCellAnchor>
    <xdr:from>
      <xdr:col>34</xdr:col>
      <xdr:colOff>261257</xdr:colOff>
      <xdr:row>31</xdr:row>
      <xdr:rowOff>73480</xdr:rowOff>
    </xdr:from>
    <xdr:to>
      <xdr:col>34</xdr:col>
      <xdr:colOff>2166257</xdr:colOff>
      <xdr:row>35</xdr:row>
      <xdr:rowOff>5445</xdr:rowOff>
    </xdr:to>
    <xdr:sp macro="[0]!JMK_Trans_FDUEL2" textlink="">
      <xdr:nvSpPr>
        <xdr:cNvPr id="3" name="Rectangle à coins arrondis 34">
          <a:extLst>
            <a:ext uri="{FF2B5EF4-FFF2-40B4-BE49-F238E27FC236}">
              <a16:creationId xmlns:a16="http://schemas.microsoft.com/office/drawing/2014/main" id="{00000000-0008-0000-3B00-000003000000}"/>
            </a:ext>
          </a:extLst>
        </xdr:cNvPr>
        <xdr:cNvSpPr/>
      </xdr:nvSpPr>
      <xdr:spPr bwMode="auto">
        <a:xfrm>
          <a:off x="28217132" y="7760155"/>
          <a:ext cx="1905000" cy="7320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2</a:t>
          </a:r>
          <a:r>
            <a:rPr lang="fr-FR" sz="1600"/>
            <a:t> </a:t>
          </a:r>
        </a:p>
      </xdr:txBody>
    </xdr:sp>
    <xdr:clientData fPrintsWithSheet="0"/>
  </xdr:twoCellAnchor>
  <xdr:twoCellAnchor>
    <xdr:from>
      <xdr:col>35</xdr:col>
      <xdr:colOff>155122</xdr:colOff>
      <xdr:row>31</xdr:row>
      <xdr:rowOff>73480</xdr:rowOff>
    </xdr:from>
    <xdr:to>
      <xdr:col>35</xdr:col>
      <xdr:colOff>2060122</xdr:colOff>
      <xdr:row>35</xdr:row>
      <xdr:rowOff>5445</xdr:rowOff>
    </xdr:to>
    <xdr:sp macro="[0]!JMK_Trans_FDUEL3" textlink="">
      <xdr:nvSpPr>
        <xdr:cNvPr id="4" name="Rectangle à coins arrondis 35">
          <a:extLst>
            <a:ext uri="{FF2B5EF4-FFF2-40B4-BE49-F238E27FC236}">
              <a16:creationId xmlns:a16="http://schemas.microsoft.com/office/drawing/2014/main" id="{00000000-0008-0000-3B00-000004000000}"/>
            </a:ext>
          </a:extLst>
        </xdr:cNvPr>
        <xdr:cNvSpPr/>
      </xdr:nvSpPr>
      <xdr:spPr bwMode="auto">
        <a:xfrm>
          <a:off x="30568447" y="7760155"/>
          <a:ext cx="1905000" cy="7320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3</a:t>
          </a:r>
          <a:r>
            <a:rPr lang="fr-FR" sz="1600"/>
            <a:t> </a:t>
          </a:r>
        </a:p>
      </xdr:txBody>
    </xdr:sp>
    <xdr:clientData fPrintsWithSheet="0"/>
  </xdr:twoCellAnchor>
  <xdr:twoCellAnchor>
    <xdr:from>
      <xdr:col>34</xdr:col>
      <xdr:colOff>1682749</xdr:colOff>
      <xdr:row>38</xdr:row>
      <xdr:rowOff>0</xdr:rowOff>
    </xdr:from>
    <xdr:to>
      <xdr:col>35</xdr:col>
      <xdr:colOff>1127124</xdr:colOff>
      <xdr:row>44</xdr:row>
      <xdr:rowOff>31750</xdr:rowOff>
    </xdr:to>
    <xdr:sp macro="[0]!JMK_ZI_Résultat_Final" textlink="">
      <xdr:nvSpPr>
        <xdr:cNvPr id="5" name="Rectangle à coins arrondis 39">
          <a:extLst>
            <a:ext uri="{FF2B5EF4-FFF2-40B4-BE49-F238E27FC236}">
              <a16:creationId xmlns:a16="http://schemas.microsoft.com/office/drawing/2014/main" id="{00000000-0008-0000-3B00-000005000000}"/>
            </a:ext>
          </a:extLst>
        </xdr:cNvPr>
        <xdr:cNvSpPr/>
      </xdr:nvSpPr>
      <xdr:spPr bwMode="auto">
        <a:xfrm>
          <a:off x="29638624" y="9086850"/>
          <a:ext cx="1901825" cy="1231900"/>
        </a:xfrm>
        <a:prstGeom prst="roundRect">
          <a:avLst/>
        </a:prstGeom>
        <a:solidFill>
          <a:srgbClr val="00FF99"/>
        </a:solidFill>
        <a:ln w="9525" cap="flat" cmpd="sng" algn="ctr">
          <a:solidFill>
            <a:srgbClr val="400000"/>
          </a:solidFill>
          <a:prstDash val="solid"/>
          <a:round/>
          <a:headEnd type="none" w="med" len="med"/>
          <a:tailEnd type="none" w="med" len="med"/>
        </a:ln>
        <a:effectLst/>
      </xdr:spPr>
      <xdr:txBody>
        <a:bodyPr rot="0" spcFirstLastPara="0" vertOverflow="clip" horzOverflow="clip" vert="horz" wrap="square" lIns="18288" tIns="0" rIns="0" bIns="0" numCol="1" spcCol="0" rtlCol="0" fromWordArt="0" anchor="ctr" anchorCtr="0" forceAA="0" upright="1" compatLnSpc="1">
          <a:prstTxWarp prst="textNoShape">
            <a:avLst/>
          </a:prstTxWarp>
          <a:noAutofit/>
        </a:bodyPr>
        <a:lstStyle/>
        <a:p>
          <a:pPr algn="ctr"/>
          <a:r>
            <a:rPr lang="fr-FR" sz="2000"/>
            <a:t>Impression</a:t>
          </a:r>
          <a:r>
            <a:rPr lang="fr-FR" sz="2000" baseline="0"/>
            <a:t> du CLASSEMENT FINAL</a:t>
          </a:r>
          <a:endParaRPr lang="fr-FR" sz="2000"/>
        </a:p>
      </xdr:txBody>
    </xdr:sp>
    <xdr:clientData fPrintsWithSheet="0"/>
  </xdr:twoCellAnchor>
  <xdr:twoCellAnchor>
    <xdr:from>
      <xdr:col>24</xdr:col>
      <xdr:colOff>984250</xdr:colOff>
      <xdr:row>0</xdr:row>
      <xdr:rowOff>317500</xdr:rowOff>
    </xdr:from>
    <xdr:to>
      <xdr:col>25</xdr:col>
      <xdr:colOff>63500</xdr:colOff>
      <xdr:row>1</xdr:row>
      <xdr:rowOff>412750</xdr:rowOff>
    </xdr:to>
    <xdr:sp macro="[0]!jmk_RETOUR_MENU" textlink="">
      <xdr:nvSpPr>
        <xdr:cNvPr id="6" name="Rectangle à coins arrondis 40">
          <a:extLst>
            <a:ext uri="{FF2B5EF4-FFF2-40B4-BE49-F238E27FC236}">
              <a16:creationId xmlns:a16="http://schemas.microsoft.com/office/drawing/2014/main" id="{00000000-0008-0000-3B00-000006000000}"/>
            </a:ext>
          </a:extLst>
        </xdr:cNvPr>
        <xdr:cNvSpPr/>
      </xdr:nvSpPr>
      <xdr:spPr bwMode="auto">
        <a:xfrm>
          <a:off x="20739100" y="317500"/>
          <a:ext cx="1517650" cy="80010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Retour aux MENUS</a:t>
          </a:r>
        </a:p>
      </xdr:txBody>
    </xdr:sp>
    <xdr:clientData fPrintsWithSheet="0"/>
  </xdr:twoCellAnchor>
  <xdr:twoCellAnchor editAs="oneCell">
    <xdr:from>
      <xdr:col>10</xdr:col>
      <xdr:colOff>95250</xdr:colOff>
      <xdr:row>0</xdr:row>
      <xdr:rowOff>111125</xdr:rowOff>
    </xdr:from>
    <xdr:to>
      <xdr:col>12</xdr:col>
      <xdr:colOff>835025</xdr:colOff>
      <xdr:row>1</xdr:row>
      <xdr:rowOff>647700</xdr:rowOff>
    </xdr:to>
    <xdr:pic>
      <xdr:nvPicPr>
        <xdr:cNvPr id="7" name="Image 6">
          <a:extLst>
            <a:ext uri="{FF2B5EF4-FFF2-40B4-BE49-F238E27FC236}">
              <a16:creationId xmlns:a16="http://schemas.microsoft.com/office/drawing/2014/main" id="{00000000-0008-0000-3B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29575" y="111125"/>
          <a:ext cx="1682750" cy="1241425"/>
        </a:xfrm>
        <a:prstGeom prst="rect">
          <a:avLst/>
        </a:prstGeom>
      </xdr:spPr>
    </xdr:pic>
    <xdr:clientData/>
  </xdr:twoCellAnchor>
  <xdr:twoCellAnchor editAs="oneCell">
    <xdr:from>
      <xdr:col>35</xdr:col>
      <xdr:colOff>1256383</xdr:colOff>
      <xdr:row>2</xdr:row>
      <xdr:rowOff>276225</xdr:rowOff>
    </xdr:from>
    <xdr:to>
      <xdr:col>35</xdr:col>
      <xdr:colOff>2266951</xdr:colOff>
      <xdr:row>4</xdr:row>
      <xdr:rowOff>123825</xdr:rowOff>
    </xdr:to>
    <xdr:pic>
      <xdr:nvPicPr>
        <xdr:cNvPr id="8" name="Image 7">
          <a:extLst>
            <a:ext uri="{FF2B5EF4-FFF2-40B4-BE49-F238E27FC236}">
              <a16:creationId xmlns:a16="http://schemas.microsoft.com/office/drawing/2014/main" id="{00000000-0008-0000-3B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669708" y="1762125"/>
          <a:ext cx="1010568" cy="647700"/>
        </a:xfrm>
        <a:prstGeom prst="rect">
          <a:avLst/>
        </a:prstGeom>
      </xdr:spPr>
    </xdr:pic>
    <xdr:clientData/>
  </xdr:twoCellAnchor>
  <xdr:twoCellAnchor>
    <xdr:from>
      <xdr:col>33</xdr:col>
      <xdr:colOff>698500</xdr:colOff>
      <xdr:row>36</xdr:row>
      <xdr:rowOff>0</xdr:rowOff>
    </xdr:from>
    <xdr:to>
      <xdr:col>33</xdr:col>
      <xdr:colOff>2020661</xdr:colOff>
      <xdr:row>40</xdr:row>
      <xdr:rowOff>13607</xdr:rowOff>
    </xdr:to>
    <xdr:sp macro="[0]!Imp_DUEL_Tableau" textlink="">
      <xdr:nvSpPr>
        <xdr:cNvPr id="9" name="Rectangle à coins arrondis 53">
          <a:extLst>
            <a:ext uri="{FF2B5EF4-FFF2-40B4-BE49-F238E27FC236}">
              <a16:creationId xmlns:a16="http://schemas.microsoft.com/office/drawing/2014/main" id="{00000000-0008-0000-3B00-000009000000}"/>
            </a:ext>
          </a:extLst>
        </xdr:cNvPr>
        <xdr:cNvSpPr/>
      </xdr:nvSpPr>
      <xdr:spPr bwMode="auto">
        <a:xfrm>
          <a:off x="26196925" y="8686800"/>
          <a:ext cx="1322161" cy="813707"/>
        </a:xfrm>
        <a:prstGeom prst="roundRect">
          <a:avLst/>
        </a:prstGeom>
        <a:solidFill>
          <a:srgbClr val="E923EE"/>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 TABLEAU des</a:t>
          </a:r>
          <a:r>
            <a:rPr lang="fr-FR" sz="1600" baseline="0"/>
            <a:t> DUELS</a:t>
          </a:r>
          <a:endParaRPr lang="fr-FR" sz="1600"/>
        </a:p>
      </xdr:txBody>
    </xdr:sp>
    <xdr:clientData/>
  </xdr:twoCellAnchor>
  <xdr:twoCellAnchor>
    <xdr:from>
      <xdr:col>15</xdr:col>
      <xdr:colOff>40822</xdr:colOff>
      <xdr:row>6</xdr:row>
      <xdr:rowOff>95250</xdr:rowOff>
    </xdr:from>
    <xdr:to>
      <xdr:col>16</xdr:col>
      <xdr:colOff>0</xdr:colOff>
      <xdr:row>7</xdr:row>
      <xdr:rowOff>176893</xdr:rowOff>
    </xdr:to>
    <xdr:cxnSp macro="">
      <xdr:nvCxnSpPr>
        <xdr:cNvPr id="10" name="Connecteur droit avec flèche 9">
          <a:extLst>
            <a:ext uri="{FF2B5EF4-FFF2-40B4-BE49-F238E27FC236}">
              <a16:creationId xmlns:a16="http://schemas.microsoft.com/office/drawing/2014/main" id="{00000000-0008-0000-3B00-00000A000000}"/>
            </a:ext>
          </a:extLst>
        </xdr:cNvPr>
        <xdr:cNvCxnSpPr/>
      </xdr:nvCxnSpPr>
      <xdr:spPr>
        <a:xfrm flipV="1">
          <a:off x="12394747" y="2781300"/>
          <a:ext cx="1006928" cy="28166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8</xdr:row>
      <xdr:rowOff>120650</xdr:rowOff>
    </xdr:from>
    <xdr:to>
      <xdr:col>15</xdr:col>
      <xdr:colOff>1044575</xdr:colOff>
      <xdr:row>14</xdr:row>
      <xdr:rowOff>149678</xdr:rowOff>
    </xdr:to>
    <xdr:cxnSp macro="">
      <xdr:nvCxnSpPr>
        <xdr:cNvPr id="11" name="Connecteur droit avec flèche 10">
          <a:extLst>
            <a:ext uri="{FF2B5EF4-FFF2-40B4-BE49-F238E27FC236}">
              <a16:creationId xmlns:a16="http://schemas.microsoft.com/office/drawing/2014/main" id="{00000000-0008-0000-3B00-00000B000000}"/>
            </a:ext>
          </a:extLst>
        </xdr:cNvPr>
        <xdr:cNvCxnSpPr/>
      </xdr:nvCxnSpPr>
      <xdr:spPr>
        <a:xfrm flipV="1">
          <a:off x="12353925" y="3206750"/>
          <a:ext cx="1044575" cy="122917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14</xdr:row>
      <xdr:rowOff>13607</xdr:rowOff>
    </xdr:from>
    <xdr:to>
      <xdr:col>15</xdr:col>
      <xdr:colOff>1020536</xdr:colOff>
      <xdr:row>21</xdr:row>
      <xdr:rowOff>149679</xdr:rowOff>
    </xdr:to>
    <xdr:cxnSp macro="">
      <xdr:nvCxnSpPr>
        <xdr:cNvPr id="12" name="Connecteur droit avec flèche 11">
          <a:extLst>
            <a:ext uri="{FF2B5EF4-FFF2-40B4-BE49-F238E27FC236}">
              <a16:creationId xmlns:a16="http://schemas.microsoft.com/office/drawing/2014/main" id="{00000000-0008-0000-3B00-00000C000000}"/>
            </a:ext>
          </a:extLst>
        </xdr:cNvPr>
        <xdr:cNvCxnSpPr/>
      </xdr:nvCxnSpPr>
      <xdr:spPr>
        <a:xfrm flipV="1">
          <a:off x="12353925" y="4299857"/>
          <a:ext cx="1020536" cy="153624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16</xdr:row>
      <xdr:rowOff>13607</xdr:rowOff>
    </xdr:from>
    <xdr:to>
      <xdr:col>16</xdr:col>
      <xdr:colOff>0</xdr:colOff>
      <xdr:row>29</xdr:row>
      <xdr:rowOff>10582</xdr:rowOff>
    </xdr:to>
    <xdr:cxnSp macro="">
      <xdr:nvCxnSpPr>
        <xdr:cNvPr id="13" name="Connecteur droit avec flèche 12">
          <a:extLst>
            <a:ext uri="{FF2B5EF4-FFF2-40B4-BE49-F238E27FC236}">
              <a16:creationId xmlns:a16="http://schemas.microsoft.com/office/drawing/2014/main" id="{00000000-0008-0000-3B00-00000D000000}"/>
            </a:ext>
          </a:extLst>
        </xdr:cNvPr>
        <xdr:cNvCxnSpPr/>
      </xdr:nvCxnSpPr>
      <xdr:spPr>
        <a:xfrm flipV="1">
          <a:off x="12353925" y="4699907"/>
          <a:ext cx="1047750" cy="259730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8</xdr:row>
      <xdr:rowOff>10583</xdr:rowOff>
    </xdr:from>
    <xdr:to>
      <xdr:col>16</xdr:col>
      <xdr:colOff>16934</xdr:colOff>
      <xdr:row>20</xdr:row>
      <xdr:rowOff>146050</xdr:rowOff>
    </xdr:to>
    <xdr:cxnSp macro="">
      <xdr:nvCxnSpPr>
        <xdr:cNvPr id="14" name="Connecteur droit avec flèche 13">
          <a:extLst>
            <a:ext uri="{FF2B5EF4-FFF2-40B4-BE49-F238E27FC236}">
              <a16:creationId xmlns:a16="http://schemas.microsoft.com/office/drawing/2014/main" id="{00000000-0008-0000-3B00-00000E000000}"/>
            </a:ext>
          </a:extLst>
        </xdr:cNvPr>
        <xdr:cNvCxnSpPr/>
      </xdr:nvCxnSpPr>
      <xdr:spPr>
        <a:xfrm>
          <a:off x="12370859" y="3096683"/>
          <a:ext cx="1047750" cy="25357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29634</xdr:colOff>
      <xdr:row>15</xdr:row>
      <xdr:rowOff>40216</xdr:rowOff>
    </xdr:from>
    <xdr:to>
      <xdr:col>16</xdr:col>
      <xdr:colOff>25400</xdr:colOff>
      <xdr:row>22</xdr:row>
      <xdr:rowOff>133350</xdr:rowOff>
    </xdr:to>
    <xdr:cxnSp macro="">
      <xdr:nvCxnSpPr>
        <xdr:cNvPr id="15" name="Connecteur droit avec flèche 14">
          <a:extLst>
            <a:ext uri="{FF2B5EF4-FFF2-40B4-BE49-F238E27FC236}">
              <a16:creationId xmlns:a16="http://schemas.microsoft.com/office/drawing/2014/main" id="{00000000-0008-0000-3B00-00000F000000}"/>
            </a:ext>
          </a:extLst>
        </xdr:cNvPr>
        <xdr:cNvCxnSpPr/>
      </xdr:nvCxnSpPr>
      <xdr:spPr>
        <a:xfrm>
          <a:off x="12383559" y="4526491"/>
          <a:ext cx="1043516" cy="149330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22</xdr:row>
      <xdr:rowOff>27516</xdr:rowOff>
    </xdr:from>
    <xdr:to>
      <xdr:col>16</xdr:col>
      <xdr:colOff>12700</xdr:colOff>
      <xdr:row>27</xdr:row>
      <xdr:rowOff>107950</xdr:rowOff>
    </xdr:to>
    <xdr:cxnSp macro="">
      <xdr:nvCxnSpPr>
        <xdr:cNvPr id="16" name="Connecteur droit avec flèche 15">
          <a:extLst>
            <a:ext uri="{FF2B5EF4-FFF2-40B4-BE49-F238E27FC236}">
              <a16:creationId xmlns:a16="http://schemas.microsoft.com/office/drawing/2014/main" id="{00000000-0008-0000-3B00-000010000000}"/>
            </a:ext>
          </a:extLst>
        </xdr:cNvPr>
        <xdr:cNvCxnSpPr/>
      </xdr:nvCxnSpPr>
      <xdr:spPr>
        <a:xfrm>
          <a:off x="12370859" y="5913966"/>
          <a:ext cx="1043516" cy="108055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29</xdr:row>
      <xdr:rowOff>10584</xdr:rowOff>
    </xdr:from>
    <xdr:to>
      <xdr:col>15</xdr:col>
      <xdr:colOff>1044575</xdr:colOff>
      <xdr:row>29</xdr:row>
      <xdr:rowOff>133350</xdr:rowOff>
    </xdr:to>
    <xdr:cxnSp macro="">
      <xdr:nvCxnSpPr>
        <xdr:cNvPr id="17" name="Connecteur droit avec flèche 16">
          <a:extLst>
            <a:ext uri="{FF2B5EF4-FFF2-40B4-BE49-F238E27FC236}">
              <a16:creationId xmlns:a16="http://schemas.microsoft.com/office/drawing/2014/main" id="{00000000-0008-0000-3B00-000011000000}"/>
            </a:ext>
          </a:extLst>
        </xdr:cNvPr>
        <xdr:cNvCxnSpPr/>
      </xdr:nvCxnSpPr>
      <xdr:spPr>
        <a:xfrm>
          <a:off x="12370859" y="7297209"/>
          <a:ext cx="1027641" cy="12276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6</xdr:row>
      <xdr:rowOff>120651</xdr:rowOff>
    </xdr:from>
    <xdr:to>
      <xdr:col>22</xdr:col>
      <xdr:colOff>12700</xdr:colOff>
      <xdr:row>8</xdr:row>
      <xdr:rowOff>0</xdr:rowOff>
    </xdr:to>
    <xdr:cxnSp macro="">
      <xdr:nvCxnSpPr>
        <xdr:cNvPr id="18" name="Connecteur droit avec flèche 17">
          <a:extLst>
            <a:ext uri="{FF2B5EF4-FFF2-40B4-BE49-F238E27FC236}">
              <a16:creationId xmlns:a16="http://schemas.microsoft.com/office/drawing/2014/main" id="{00000000-0008-0000-3B00-000012000000}"/>
            </a:ext>
          </a:extLst>
        </xdr:cNvPr>
        <xdr:cNvCxnSpPr/>
      </xdr:nvCxnSpPr>
      <xdr:spPr>
        <a:xfrm flipV="1">
          <a:off x="17871622" y="28067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8</xdr:row>
      <xdr:rowOff>120650</xdr:rowOff>
    </xdr:from>
    <xdr:to>
      <xdr:col>22</xdr:col>
      <xdr:colOff>12700</xdr:colOff>
      <xdr:row>15</xdr:row>
      <xdr:rowOff>2116</xdr:rowOff>
    </xdr:to>
    <xdr:cxnSp macro="">
      <xdr:nvCxnSpPr>
        <xdr:cNvPr id="19" name="Connecteur droit avec flèche 18">
          <a:extLst>
            <a:ext uri="{FF2B5EF4-FFF2-40B4-BE49-F238E27FC236}">
              <a16:creationId xmlns:a16="http://schemas.microsoft.com/office/drawing/2014/main" id="{00000000-0008-0000-3B00-000013000000}"/>
            </a:ext>
          </a:extLst>
        </xdr:cNvPr>
        <xdr:cNvCxnSpPr/>
      </xdr:nvCxnSpPr>
      <xdr:spPr>
        <a:xfrm flipV="1">
          <a:off x="17847733" y="32067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8</xdr:row>
      <xdr:rowOff>13607</xdr:rowOff>
    </xdr:from>
    <xdr:to>
      <xdr:col>21</xdr:col>
      <xdr:colOff>1060450</xdr:colOff>
      <xdr:row>13</xdr:row>
      <xdr:rowOff>103724</xdr:rowOff>
    </xdr:to>
    <xdr:cxnSp macro="">
      <xdr:nvCxnSpPr>
        <xdr:cNvPr id="20" name="Connecteur droit avec flèche 19">
          <a:extLst>
            <a:ext uri="{FF2B5EF4-FFF2-40B4-BE49-F238E27FC236}">
              <a16:creationId xmlns:a16="http://schemas.microsoft.com/office/drawing/2014/main" id="{00000000-0008-0000-3B00-000014000000}"/>
            </a:ext>
          </a:extLst>
        </xdr:cNvPr>
        <xdr:cNvCxnSpPr/>
      </xdr:nvCxnSpPr>
      <xdr:spPr>
        <a:xfrm>
          <a:off x="17844408" y="30997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15</xdr:row>
      <xdr:rowOff>2123</xdr:rowOff>
    </xdr:from>
    <xdr:to>
      <xdr:col>21</xdr:col>
      <xdr:colOff>1059392</xdr:colOff>
      <xdr:row>15</xdr:row>
      <xdr:rowOff>120656</xdr:rowOff>
    </xdr:to>
    <xdr:cxnSp macro="">
      <xdr:nvCxnSpPr>
        <xdr:cNvPr id="21" name="Connecteur droit avec flèche 20">
          <a:extLst>
            <a:ext uri="{FF2B5EF4-FFF2-40B4-BE49-F238E27FC236}">
              <a16:creationId xmlns:a16="http://schemas.microsoft.com/office/drawing/2014/main" id="{00000000-0008-0000-3B00-000015000000}"/>
            </a:ext>
          </a:extLst>
        </xdr:cNvPr>
        <xdr:cNvCxnSpPr/>
      </xdr:nvCxnSpPr>
      <xdr:spPr>
        <a:xfrm>
          <a:off x="17830800" y="44883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33867</xdr:colOff>
      <xdr:row>20</xdr:row>
      <xdr:rowOff>120650</xdr:rowOff>
    </xdr:from>
    <xdr:to>
      <xdr:col>22</xdr:col>
      <xdr:colOff>12700</xdr:colOff>
      <xdr:row>20</xdr:row>
      <xdr:rowOff>188383</xdr:rowOff>
    </xdr:to>
    <xdr:cxnSp macro="">
      <xdr:nvCxnSpPr>
        <xdr:cNvPr id="22" name="Connecteur droit avec flèche 21">
          <a:extLst>
            <a:ext uri="{FF2B5EF4-FFF2-40B4-BE49-F238E27FC236}">
              <a16:creationId xmlns:a16="http://schemas.microsoft.com/office/drawing/2014/main" id="{00000000-0008-0000-3B00-000016000000}"/>
            </a:ext>
          </a:extLst>
        </xdr:cNvPr>
        <xdr:cNvCxnSpPr/>
      </xdr:nvCxnSpPr>
      <xdr:spPr>
        <a:xfrm flipV="1">
          <a:off x="17864667" y="5607050"/>
          <a:ext cx="1036108" cy="67733"/>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22</xdr:row>
      <xdr:rowOff>120650</xdr:rowOff>
    </xdr:from>
    <xdr:to>
      <xdr:col>22</xdr:col>
      <xdr:colOff>12700</xdr:colOff>
      <xdr:row>29</xdr:row>
      <xdr:rowOff>2116</xdr:rowOff>
    </xdr:to>
    <xdr:cxnSp macro="">
      <xdr:nvCxnSpPr>
        <xdr:cNvPr id="23" name="Connecteur droit avec flèche 22">
          <a:extLst>
            <a:ext uri="{FF2B5EF4-FFF2-40B4-BE49-F238E27FC236}">
              <a16:creationId xmlns:a16="http://schemas.microsoft.com/office/drawing/2014/main" id="{00000000-0008-0000-3B00-000017000000}"/>
            </a:ext>
          </a:extLst>
        </xdr:cNvPr>
        <xdr:cNvCxnSpPr/>
      </xdr:nvCxnSpPr>
      <xdr:spPr>
        <a:xfrm flipV="1">
          <a:off x="17847733" y="6007100"/>
          <a:ext cx="1053042" cy="1281641"/>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20</xdr:row>
      <xdr:rowOff>188390</xdr:rowOff>
    </xdr:from>
    <xdr:to>
      <xdr:col>21</xdr:col>
      <xdr:colOff>1060450</xdr:colOff>
      <xdr:row>27</xdr:row>
      <xdr:rowOff>103724</xdr:rowOff>
    </xdr:to>
    <xdr:cxnSp macro="">
      <xdr:nvCxnSpPr>
        <xdr:cNvPr id="24" name="Connecteur droit avec flèche 23">
          <a:extLst>
            <a:ext uri="{FF2B5EF4-FFF2-40B4-BE49-F238E27FC236}">
              <a16:creationId xmlns:a16="http://schemas.microsoft.com/office/drawing/2014/main" id="{00000000-0008-0000-3B00-000018000000}"/>
            </a:ext>
          </a:extLst>
        </xdr:cNvPr>
        <xdr:cNvCxnSpPr/>
      </xdr:nvCxnSpPr>
      <xdr:spPr>
        <a:xfrm>
          <a:off x="17830800" y="5674790"/>
          <a:ext cx="1060450" cy="1315509"/>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29</xdr:row>
      <xdr:rowOff>2123</xdr:rowOff>
    </xdr:from>
    <xdr:to>
      <xdr:col>21</xdr:col>
      <xdr:colOff>1059392</xdr:colOff>
      <xdr:row>29</xdr:row>
      <xdr:rowOff>120656</xdr:rowOff>
    </xdr:to>
    <xdr:cxnSp macro="">
      <xdr:nvCxnSpPr>
        <xdr:cNvPr id="25" name="Connecteur droit avec flèche 24">
          <a:extLst>
            <a:ext uri="{FF2B5EF4-FFF2-40B4-BE49-F238E27FC236}">
              <a16:creationId xmlns:a16="http://schemas.microsoft.com/office/drawing/2014/main" id="{00000000-0008-0000-3B00-000019000000}"/>
            </a:ext>
          </a:extLst>
        </xdr:cNvPr>
        <xdr:cNvCxnSpPr/>
      </xdr:nvCxnSpPr>
      <xdr:spPr>
        <a:xfrm>
          <a:off x="17830800" y="7288748"/>
          <a:ext cx="1059392" cy="118533"/>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40822</xdr:colOff>
      <xdr:row>34</xdr:row>
      <xdr:rowOff>95250</xdr:rowOff>
    </xdr:from>
    <xdr:to>
      <xdr:col>16</xdr:col>
      <xdr:colOff>0</xdr:colOff>
      <xdr:row>35</xdr:row>
      <xdr:rowOff>176893</xdr:rowOff>
    </xdr:to>
    <xdr:cxnSp macro="">
      <xdr:nvCxnSpPr>
        <xdr:cNvPr id="26" name="Connecteur droit avec flèche 25">
          <a:extLst>
            <a:ext uri="{FF2B5EF4-FFF2-40B4-BE49-F238E27FC236}">
              <a16:creationId xmlns:a16="http://schemas.microsoft.com/office/drawing/2014/main" id="{00000000-0008-0000-3B00-00001A000000}"/>
            </a:ext>
          </a:extLst>
        </xdr:cNvPr>
        <xdr:cNvCxnSpPr/>
      </xdr:nvCxnSpPr>
      <xdr:spPr>
        <a:xfrm flipV="1">
          <a:off x="12394747" y="8382000"/>
          <a:ext cx="1006928" cy="28166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36</xdr:row>
      <xdr:rowOff>120650</xdr:rowOff>
    </xdr:from>
    <xdr:to>
      <xdr:col>15</xdr:col>
      <xdr:colOff>1044575</xdr:colOff>
      <xdr:row>42</xdr:row>
      <xdr:rowOff>149678</xdr:rowOff>
    </xdr:to>
    <xdr:cxnSp macro="">
      <xdr:nvCxnSpPr>
        <xdr:cNvPr id="27" name="Connecteur droit avec flèche 26">
          <a:extLst>
            <a:ext uri="{FF2B5EF4-FFF2-40B4-BE49-F238E27FC236}">
              <a16:creationId xmlns:a16="http://schemas.microsoft.com/office/drawing/2014/main" id="{00000000-0008-0000-3B00-00001B000000}"/>
            </a:ext>
          </a:extLst>
        </xdr:cNvPr>
        <xdr:cNvCxnSpPr/>
      </xdr:nvCxnSpPr>
      <xdr:spPr>
        <a:xfrm flipV="1">
          <a:off x="12353925" y="8807450"/>
          <a:ext cx="1044575" cy="122917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42</xdr:row>
      <xdr:rowOff>13607</xdr:rowOff>
    </xdr:from>
    <xdr:to>
      <xdr:col>15</xdr:col>
      <xdr:colOff>1020536</xdr:colOff>
      <xdr:row>49</xdr:row>
      <xdr:rowOff>149679</xdr:rowOff>
    </xdr:to>
    <xdr:cxnSp macro="">
      <xdr:nvCxnSpPr>
        <xdr:cNvPr id="28" name="Connecteur droit avec flèche 27">
          <a:extLst>
            <a:ext uri="{FF2B5EF4-FFF2-40B4-BE49-F238E27FC236}">
              <a16:creationId xmlns:a16="http://schemas.microsoft.com/office/drawing/2014/main" id="{00000000-0008-0000-3B00-00001C000000}"/>
            </a:ext>
          </a:extLst>
        </xdr:cNvPr>
        <xdr:cNvCxnSpPr/>
      </xdr:nvCxnSpPr>
      <xdr:spPr>
        <a:xfrm flipV="1">
          <a:off x="12353925" y="9900557"/>
          <a:ext cx="1020536" cy="153624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44</xdr:row>
      <xdr:rowOff>13607</xdr:rowOff>
    </xdr:from>
    <xdr:to>
      <xdr:col>16</xdr:col>
      <xdr:colOff>0</xdr:colOff>
      <xdr:row>57</xdr:row>
      <xdr:rowOff>10582</xdr:rowOff>
    </xdr:to>
    <xdr:cxnSp macro="">
      <xdr:nvCxnSpPr>
        <xdr:cNvPr id="29" name="Connecteur droit avec flèche 28">
          <a:extLst>
            <a:ext uri="{FF2B5EF4-FFF2-40B4-BE49-F238E27FC236}">
              <a16:creationId xmlns:a16="http://schemas.microsoft.com/office/drawing/2014/main" id="{00000000-0008-0000-3B00-00001D000000}"/>
            </a:ext>
          </a:extLst>
        </xdr:cNvPr>
        <xdr:cNvCxnSpPr/>
      </xdr:nvCxnSpPr>
      <xdr:spPr>
        <a:xfrm flipV="1">
          <a:off x="12353925" y="10300607"/>
          <a:ext cx="1047750" cy="259730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36</xdr:row>
      <xdr:rowOff>10583</xdr:rowOff>
    </xdr:from>
    <xdr:to>
      <xdr:col>16</xdr:col>
      <xdr:colOff>16934</xdr:colOff>
      <xdr:row>48</xdr:row>
      <xdr:rowOff>146050</xdr:rowOff>
    </xdr:to>
    <xdr:cxnSp macro="">
      <xdr:nvCxnSpPr>
        <xdr:cNvPr id="30" name="Connecteur droit avec flèche 29">
          <a:extLst>
            <a:ext uri="{FF2B5EF4-FFF2-40B4-BE49-F238E27FC236}">
              <a16:creationId xmlns:a16="http://schemas.microsoft.com/office/drawing/2014/main" id="{00000000-0008-0000-3B00-00001E000000}"/>
            </a:ext>
          </a:extLst>
        </xdr:cNvPr>
        <xdr:cNvCxnSpPr/>
      </xdr:nvCxnSpPr>
      <xdr:spPr>
        <a:xfrm>
          <a:off x="12370859" y="8697383"/>
          <a:ext cx="1047750" cy="25357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29634</xdr:colOff>
      <xdr:row>43</xdr:row>
      <xdr:rowOff>40216</xdr:rowOff>
    </xdr:from>
    <xdr:to>
      <xdr:col>16</xdr:col>
      <xdr:colOff>25400</xdr:colOff>
      <xdr:row>50</xdr:row>
      <xdr:rowOff>133350</xdr:rowOff>
    </xdr:to>
    <xdr:cxnSp macro="">
      <xdr:nvCxnSpPr>
        <xdr:cNvPr id="31" name="Connecteur droit avec flèche 30">
          <a:extLst>
            <a:ext uri="{FF2B5EF4-FFF2-40B4-BE49-F238E27FC236}">
              <a16:creationId xmlns:a16="http://schemas.microsoft.com/office/drawing/2014/main" id="{00000000-0008-0000-3B00-00001F000000}"/>
            </a:ext>
          </a:extLst>
        </xdr:cNvPr>
        <xdr:cNvCxnSpPr/>
      </xdr:nvCxnSpPr>
      <xdr:spPr>
        <a:xfrm>
          <a:off x="12383559" y="10127191"/>
          <a:ext cx="1043516" cy="149330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50</xdr:row>
      <xdr:rowOff>27516</xdr:rowOff>
    </xdr:from>
    <xdr:to>
      <xdr:col>16</xdr:col>
      <xdr:colOff>12700</xdr:colOff>
      <xdr:row>55</xdr:row>
      <xdr:rowOff>107950</xdr:rowOff>
    </xdr:to>
    <xdr:cxnSp macro="">
      <xdr:nvCxnSpPr>
        <xdr:cNvPr id="32" name="Connecteur droit avec flèche 31">
          <a:extLst>
            <a:ext uri="{FF2B5EF4-FFF2-40B4-BE49-F238E27FC236}">
              <a16:creationId xmlns:a16="http://schemas.microsoft.com/office/drawing/2014/main" id="{00000000-0008-0000-3B00-000020000000}"/>
            </a:ext>
          </a:extLst>
        </xdr:cNvPr>
        <xdr:cNvCxnSpPr/>
      </xdr:nvCxnSpPr>
      <xdr:spPr>
        <a:xfrm>
          <a:off x="12370859" y="11514666"/>
          <a:ext cx="1043516" cy="108055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57</xdr:row>
      <xdr:rowOff>10584</xdr:rowOff>
    </xdr:from>
    <xdr:to>
      <xdr:col>15</xdr:col>
      <xdr:colOff>1044575</xdr:colOff>
      <xdr:row>57</xdr:row>
      <xdr:rowOff>133350</xdr:rowOff>
    </xdr:to>
    <xdr:cxnSp macro="">
      <xdr:nvCxnSpPr>
        <xdr:cNvPr id="33" name="Connecteur droit avec flèche 32">
          <a:extLst>
            <a:ext uri="{FF2B5EF4-FFF2-40B4-BE49-F238E27FC236}">
              <a16:creationId xmlns:a16="http://schemas.microsoft.com/office/drawing/2014/main" id="{00000000-0008-0000-3B00-000021000000}"/>
            </a:ext>
          </a:extLst>
        </xdr:cNvPr>
        <xdr:cNvCxnSpPr/>
      </xdr:nvCxnSpPr>
      <xdr:spPr>
        <a:xfrm>
          <a:off x="12370859" y="12897909"/>
          <a:ext cx="1027641" cy="12276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34</xdr:row>
      <xdr:rowOff>120651</xdr:rowOff>
    </xdr:from>
    <xdr:to>
      <xdr:col>22</xdr:col>
      <xdr:colOff>12700</xdr:colOff>
      <xdr:row>36</xdr:row>
      <xdr:rowOff>0</xdr:rowOff>
    </xdr:to>
    <xdr:cxnSp macro="">
      <xdr:nvCxnSpPr>
        <xdr:cNvPr id="34" name="Connecteur droit avec flèche 33">
          <a:extLst>
            <a:ext uri="{FF2B5EF4-FFF2-40B4-BE49-F238E27FC236}">
              <a16:creationId xmlns:a16="http://schemas.microsoft.com/office/drawing/2014/main" id="{00000000-0008-0000-3B00-000022000000}"/>
            </a:ext>
          </a:extLst>
        </xdr:cNvPr>
        <xdr:cNvCxnSpPr/>
      </xdr:nvCxnSpPr>
      <xdr:spPr>
        <a:xfrm flipV="1">
          <a:off x="17871622" y="84074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36</xdr:row>
      <xdr:rowOff>120650</xdr:rowOff>
    </xdr:from>
    <xdr:to>
      <xdr:col>22</xdr:col>
      <xdr:colOff>12700</xdr:colOff>
      <xdr:row>43</xdr:row>
      <xdr:rowOff>2116</xdr:rowOff>
    </xdr:to>
    <xdr:cxnSp macro="">
      <xdr:nvCxnSpPr>
        <xdr:cNvPr id="35" name="Connecteur droit avec flèche 34">
          <a:extLst>
            <a:ext uri="{FF2B5EF4-FFF2-40B4-BE49-F238E27FC236}">
              <a16:creationId xmlns:a16="http://schemas.microsoft.com/office/drawing/2014/main" id="{00000000-0008-0000-3B00-000023000000}"/>
            </a:ext>
          </a:extLst>
        </xdr:cNvPr>
        <xdr:cNvCxnSpPr/>
      </xdr:nvCxnSpPr>
      <xdr:spPr>
        <a:xfrm flipV="1">
          <a:off x="17847733" y="88074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36</xdr:row>
      <xdr:rowOff>13607</xdr:rowOff>
    </xdr:from>
    <xdr:to>
      <xdr:col>21</xdr:col>
      <xdr:colOff>1060450</xdr:colOff>
      <xdr:row>41</xdr:row>
      <xdr:rowOff>103724</xdr:rowOff>
    </xdr:to>
    <xdr:cxnSp macro="">
      <xdr:nvCxnSpPr>
        <xdr:cNvPr id="36" name="Connecteur droit avec flèche 35">
          <a:extLst>
            <a:ext uri="{FF2B5EF4-FFF2-40B4-BE49-F238E27FC236}">
              <a16:creationId xmlns:a16="http://schemas.microsoft.com/office/drawing/2014/main" id="{00000000-0008-0000-3B00-000024000000}"/>
            </a:ext>
          </a:extLst>
        </xdr:cNvPr>
        <xdr:cNvCxnSpPr/>
      </xdr:nvCxnSpPr>
      <xdr:spPr>
        <a:xfrm>
          <a:off x="17844408" y="87004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43</xdr:row>
      <xdr:rowOff>2123</xdr:rowOff>
    </xdr:from>
    <xdr:to>
      <xdr:col>21</xdr:col>
      <xdr:colOff>1059392</xdr:colOff>
      <xdr:row>43</xdr:row>
      <xdr:rowOff>120656</xdr:rowOff>
    </xdr:to>
    <xdr:cxnSp macro="">
      <xdr:nvCxnSpPr>
        <xdr:cNvPr id="37" name="Connecteur droit avec flèche 36">
          <a:extLst>
            <a:ext uri="{FF2B5EF4-FFF2-40B4-BE49-F238E27FC236}">
              <a16:creationId xmlns:a16="http://schemas.microsoft.com/office/drawing/2014/main" id="{00000000-0008-0000-3B00-000025000000}"/>
            </a:ext>
          </a:extLst>
        </xdr:cNvPr>
        <xdr:cNvCxnSpPr/>
      </xdr:nvCxnSpPr>
      <xdr:spPr>
        <a:xfrm>
          <a:off x="17830800" y="100890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33867</xdr:colOff>
      <xdr:row>48</xdr:row>
      <xdr:rowOff>120650</xdr:rowOff>
    </xdr:from>
    <xdr:to>
      <xdr:col>22</xdr:col>
      <xdr:colOff>12700</xdr:colOff>
      <xdr:row>48</xdr:row>
      <xdr:rowOff>188383</xdr:rowOff>
    </xdr:to>
    <xdr:cxnSp macro="">
      <xdr:nvCxnSpPr>
        <xdr:cNvPr id="38" name="Connecteur droit avec flèche 37">
          <a:extLst>
            <a:ext uri="{FF2B5EF4-FFF2-40B4-BE49-F238E27FC236}">
              <a16:creationId xmlns:a16="http://schemas.microsoft.com/office/drawing/2014/main" id="{00000000-0008-0000-3B00-000026000000}"/>
            </a:ext>
          </a:extLst>
        </xdr:cNvPr>
        <xdr:cNvCxnSpPr/>
      </xdr:nvCxnSpPr>
      <xdr:spPr>
        <a:xfrm flipV="1">
          <a:off x="17864667" y="11207750"/>
          <a:ext cx="1036108" cy="67733"/>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50</xdr:row>
      <xdr:rowOff>120650</xdr:rowOff>
    </xdr:from>
    <xdr:to>
      <xdr:col>22</xdr:col>
      <xdr:colOff>12700</xdr:colOff>
      <xdr:row>57</xdr:row>
      <xdr:rowOff>2116</xdr:rowOff>
    </xdr:to>
    <xdr:cxnSp macro="">
      <xdr:nvCxnSpPr>
        <xdr:cNvPr id="39" name="Connecteur droit avec flèche 38">
          <a:extLst>
            <a:ext uri="{FF2B5EF4-FFF2-40B4-BE49-F238E27FC236}">
              <a16:creationId xmlns:a16="http://schemas.microsoft.com/office/drawing/2014/main" id="{00000000-0008-0000-3B00-000027000000}"/>
            </a:ext>
          </a:extLst>
        </xdr:cNvPr>
        <xdr:cNvCxnSpPr/>
      </xdr:nvCxnSpPr>
      <xdr:spPr>
        <a:xfrm flipV="1">
          <a:off x="17847733" y="11607800"/>
          <a:ext cx="1053042" cy="1281641"/>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48</xdr:row>
      <xdr:rowOff>188390</xdr:rowOff>
    </xdr:from>
    <xdr:to>
      <xdr:col>21</xdr:col>
      <xdr:colOff>1060450</xdr:colOff>
      <xdr:row>55</xdr:row>
      <xdr:rowOff>103724</xdr:rowOff>
    </xdr:to>
    <xdr:cxnSp macro="">
      <xdr:nvCxnSpPr>
        <xdr:cNvPr id="40" name="Connecteur droit avec flèche 39">
          <a:extLst>
            <a:ext uri="{FF2B5EF4-FFF2-40B4-BE49-F238E27FC236}">
              <a16:creationId xmlns:a16="http://schemas.microsoft.com/office/drawing/2014/main" id="{00000000-0008-0000-3B00-000028000000}"/>
            </a:ext>
          </a:extLst>
        </xdr:cNvPr>
        <xdr:cNvCxnSpPr/>
      </xdr:nvCxnSpPr>
      <xdr:spPr>
        <a:xfrm>
          <a:off x="17830800" y="11275490"/>
          <a:ext cx="1060450" cy="1315509"/>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57</xdr:row>
      <xdr:rowOff>2123</xdr:rowOff>
    </xdr:from>
    <xdr:to>
      <xdr:col>21</xdr:col>
      <xdr:colOff>1059392</xdr:colOff>
      <xdr:row>57</xdr:row>
      <xdr:rowOff>120656</xdr:rowOff>
    </xdr:to>
    <xdr:cxnSp macro="">
      <xdr:nvCxnSpPr>
        <xdr:cNvPr id="41" name="Connecteur droit avec flèche 40">
          <a:extLst>
            <a:ext uri="{FF2B5EF4-FFF2-40B4-BE49-F238E27FC236}">
              <a16:creationId xmlns:a16="http://schemas.microsoft.com/office/drawing/2014/main" id="{00000000-0008-0000-3B00-000029000000}"/>
            </a:ext>
          </a:extLst>
        </xdr:cNvPr>
        <xdr:cNvCxnSpPr/>
      </xdr:nvCxnSpPr>
      <xdr:spPr>
        <a:xfrm>
          <a:off x="17830800" y="12889448"/>
          <a:ext cx="1059392" cy="118533"/>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67236</xdr:colOff>
      <xdr:row>63</xdr:row>
      <xdr:rowOff>0</xdr:rowOff>
    </xdr:from>
    <xdr:to>
      <xdr:col>22</xdr:col>
      <xdr:colOff>15875</xdr:colOff>
      <xdr:row>63</xdr:row>
      <xdr:rowOff>190500</xdr:rowOff>
    </xdr:to>
    <xdr:cxnSp macro="">
      <xdr:nvCxnSpPr>
        <xdr:cNvPr id="57" name="Connecteur droit avec flèche 56">
          <a:extLst>
            <a:ext uri="{FF2B5EF4-FFF2-40B4-BE49-F238E27FC236}">
              <a16:creationId xmlns:a16="http://schemas.microsoft.com/office/drawing/2014/main" id="{00000000-0008-0000-3B00-000039000000}"/>
            </a:ext>
          </a:extLst>
        </xdr:cNvPr>
        <xdr:cNvCxnSpPr/>
      </xdr:nvCxnSpPr>
      <xdr:spPr>
        <a:xfrm flipV="1">
          <a:off x="10106586" y="2886075"/>
          <a:ext cx="1005914" cy="19050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82315</xdr:colOff>
      <xdr:row>65</xdr:row>
      <xdr:rowOff>38100</xdr:rowOff>
    </xdr:from>
    <xdr:to>
      <xdr:col>22</xdr:col>
      <xdr:colOff>28575</xdr:colOff>
      <xdr:row>69</xdr:row>
      <xdr:rowOff>82315</xdr:rowOff>
    </xdr:to>
    <xdr:cxnSp macro="">
      <xdr:nvCxnSpPr>
        <xdr:cNvPr id="58" name="Connecteur droit avec flèche 57">
          <a:extLst>
            <a:ext uri="{FF2B5EF4-FFF2-40B4-BE49-F238E27FC236}">
              <a16:creationId xmlns:a16="http://schemas.microsoft.com/office/drawing/2014/main" id="{00000000-0008-0000-3B00-00003A000000}"/>
            </a:ext>
          </a:extLst>
        </xdr:cNvPr>
        <xdr:cNvCxnSpPr/>
      </xdr:nvCxnSpPr>
      <xdr:spPr>
        <a:xfrm flipV="1">
          <a:off x="10121665" y="3324225"/>
          <a:ext cx="1003535" cy="844315"/>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67236</xdr:colOff>
      <xdr:row>64</xdr:row>
      <xdr:rowOff>11206</xdr:rowOff>
    </xdr:from>
    <xdr:to>
      <xdr:col>22</xdr:col>
      <xdr:colOff>7097</xdr:colOff>
      <xdr:row>69</xdr:row>
      <xdr:rowOff>103724</xdr:rowOff>
    </xdr:to>
    <xdr:cxnSp macro="">
      <xdr:nvCxnSpPr>
        <xdr:cNvPr id="59" name="Connecteur droit avec flèche 58">
          <a:extLst>
            <a:ext uri="{FF2B5EF4-FFF2-40B4-BE49-F238E27FC236}">
              <a16:creationId xmlns:a16="http://schemas.microsoft.com/office/drawing/2014/main" id="{00000000-0008-0000-3B00-00003B000000}"/>
            </a:ext>
          </a:extLst>
        </xdr:cNvPr>
        <xdr:cNvCxnSpPr/>
      </xdr:nvCxnSpPr>
      <xdr:spPr>
        <a:xfrm>
          <a:off x="10106586" y="3097306"/>
          <a:ext cx="997136" cy="109264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117593</xdr:colOff>
      <xdr:row>69</xdr:row>
      <xdr:rowOff>105833</xdr:rowOff>
    </xdr:from>
    <xdr:to>
      <xdr:col>22</xdr:col>
      <xdr:colOff>15875</xdr:colOff>
      <xdr:row>71</xdr:row>
      <xdr:rowOff>158750</xdr:rowOff>
    </xdr:to>
    <xdr:cxnSp macro="">
      <xdr:nvCxnSpPr>
        <xdr:cNvPr id="60" name="Connecteur droit avec flèche 59">
          <a:extLst>
            <a:ext uri="{FF2B5EF4-FFF2-40B4-BE49-F238E27FC236}">
              <a16:creationId xmlns:a16="http://schemas.microsoft.com/office/drawing/2014/main" id="{00000000-0008-0000-3B00-00003C000000}"/>
            </a:ext>
          </a:extLst>
        </xdr:cNvPr>
        <xdr:cNvCxnSpPr/>
      </xdr:nvCxnSpPr>
      <xdr:spPr>
        <a:xfrm>
          <a:off x="10156943" y="4192058"/>
          <a:ext cx="955557" cy="4529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104937</xdr:colOff>
      <xdr:row>65</xdr:row>
      <xdr:rowOff>31750</xdr:rowOff>
    </xdr:from>
    <xdr:to>
      <xdr:col>16</xdr:col>
      <xdr:colOff>10583</xdr:colOff>
      <xdr:row>69</xdr:row>
      <xdr:rowOff>0</xdr:rowOff>
    </xdr:to>
    <xdr:cxnSp macro="">
      <xdr:nvCxnSpPr>
        <xdr:cNvPr id="61" name="Connecteur droit avec flèche 60">
          <a:extLst>
            <a:ext uri="{FF2B5EF4-FFF2-40B4-BE49-F238E27FC236}">
              <a16:creationId xmlns:a16="http://schemas.microsoft.com/office/drawing/2014/main" id="{00000000-0008-0000-3B00-00003D000000}"/>
            </a:ext>
          </a:extLst>
        </xdr:cNvPr>
        <xdr:cNvCxnSpPr>
          <a:cxnSpLocks/>
        </xdr:cNvCxnSpPr>
      </xdr:nvCxnSpPr>
      <xdr:spPr>
        <a:xfrm flipV="1">
          <a:off x="4572162" y="3317875"/>
          <a:ext cx="953396" cy="76835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88792</xdr:colOff>
      <xdr:row>71</xdr:row>
      <xdr:rowOff>84666</xdr:rowOff>
    </xdr:from>
    <xdr:to>
      <xdr:col>15</xdr:col>
      <xdr:colOff>1037167</xdr:colOff>
      <xdr:row>76</xdr:row>
      <xdr:rowOff>0</xdr:rowOff>
    </xdr:to>
    <xdr:cxnSp macro="">
      <xdr:nvCxnSpPr>
        <xdr:cNvPr id="62" name="Connecteur droit avec flèche 61">
          <a:extLst>
            <a:ext uri="{FF2B5EF4-FFF2-40B4-BE49-F238E27FC236}">
              <a16:creationId xmlns:a16="http://schemas.microsoft.com/office/drawing/2014/main" id="{00000000-0008-0000-3B00-00003E000000}"/>
            </a:ext>
          </a:extLst>
        </xdr:cNvPr>
        <xdr:cNvCxnSpPr>
          <a:cxnSpLocks/>
        </xdr:cNvCxnSpPr>
      </xdr:nvCxnSpPr>
      <xdr:spPr>
        <a:xfrm flipV="1">
          <a:off x="4556017" y="4570941"/>
          <a:ext cx="948375" cy="91545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80720</xdr:colOff>
      <xdr:row>69</xdr:row>
      <xdr:rowOff>31750</xdr:rowOff>
    </xdr:from>
    <xdr:to>
      <xdr:col>16</xdr:col>
      <xdr:colOff>0</xdr:colOff>
      <xdr:row>82</xdr:row>
      <xdr:rowOff>185657</xdr:rowOff>
    </xdr:to>
    <xdr:cxnSp macro="">
      <xdr:nvCxnSpPr>
        <xdr:cNvPr id="63" name="Connecteur droit avec flèche 62">
          <a:extLst>
            <a:ext uri="{FF2B5EF4-FFF2-40B4-BE49-F238E27FC236}">
              <a16:creationId xmlns:a16="http://schemas.microsoft.com/office/drawing/2014/main" id="{00000000-0008-0000-3B00-00003F000000}"/>
            </a:ext>
          </a:extLst>
        </xdr:cNvPr>
        <xdr:cNvCxnSpPr>
          <a:cxnSpLocks/>
        </xdr:cNvCxnSpPr>
      </xdr:nvCxnSpPr>
      <xdr:spPr>
        <a:xfrm flipV="1">
          <a:off x="4547945" y="4117975"/>
          <a:ext cx="967030" cy="2754232"/>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84667</xdr:colOff>
      <xdr:row>76</xdr:row>
      <xdr:rowOff>42334</xdr:rowOff>
    </xdr:from>
    <xdr:to>
      <xdr:col>21</xdr:col>
      <xdr:colOff>1037167</xdr:colOff>
      <xdr:row>76</xdr:row>
      <xdr:rowOff>158750</xdr:rowOff>
    </xdr:to>
    <xdr:cxnSp macro="">
      <xdr:nvCxnSpPr>
        <xdr:cNvPr id="64" name="Connecteur droit avec flèche 63">
          <a:extLst>
            <a:ext uri="{FF2B5EF4-FFF2-40B4-BE49-F238E27FC236}">
              <a16:creationId xmlns:a16="http://schemas.microsoft.com/office/drawing/2014/main" id="{00000000-0008-0000-3B00-000040000000}"/>
            </a:ext>
          </a:extLst>
        </xdr:cNvPr>
        <xdr:cNvCxnSpPr/>
      </xdr:nvCxnSpPr>
      <xdr:spPr>
        <a:xfrm>
          <a:off x="10124017" y="5528734"/>
          <a:ext cx="952500" cy="116416"/>
        </a:xfrm>
        <a:prstGeom prst="straightConnector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21</xdr:col>
      <xdr:colOff>84667</xdr:colOff>
      <xdr:row>78</xdr:row>
      <xdr:rowOff>137583</xdr:rowOff>
    </xdr:from>
    <xdr:to>
      <xdr:col>21</xdr:col>
      <xdr:colOff>994833</xdr:colOff>
      <xdr:row>81</xdr:row>
      <xdr:rowOff>148167</xdr:rowOff>
    </xdr:to>
    <xdr:cxnSp macro="">
      <xdr:nvCxnSpPr>
        <xdr:cNvPr id="65" name="Connecteur droit avec flèche 64">
          <a:extLst>
            <a:ext uri="{FF2B5EF4-FFF2-40B4-BE49-F238E27FC236}">
              <a16:creationId xmlns:a16="http://schemas.microsoft.com/office/drawing/2014/main" id="{00000000-0008-0000-3B00-000041000000}"/>
            </a:ext>
          </a:extLst>
        </xdr:cNvPr>
        <xdr:cNvCxnSpPr/>
      </xdr:nvCxnSpPr>
      <xdr:spPr>
        <a:xfrm flipV="1">
          <a:off x="10124017" y="6024033"/>
          <a:ext cx="910166" cy="61065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80434</xdr:colOff>
      <xdr:row>81</xdr:row>
      <xdr:rowOff>200027</xdr:rowOff>
    </xdr:from>
    <xdr:to>
      <xdr:col>22</xdr:col>
      <xdr:colOff>31750</xdr:colOff>
      <xdr:row>82</xdr:row>
      <xdr:rowOff>158750</xdr:rowOff>
    </xdr:to>
    <xdr:cxnSp macro="">
      <xdr:nvCxnSpPr>
        <xdr:cNvPr id="66" name="Connecteur droit avec flèche 65">
          <a:extLst>
            <a:ext uri="{FF2B5EF4-FFF2-40B4-BE49-F238E27FC236}">
              <a16:creationId xmlns:a16="http://schemas.microsoft.com/office/drawing/2014/main" id="{00000000-0008-0000-3B00-000042000000}"/>
            </a:ext>
          </a:extLst>
        </xdr:cNvPr>
        <xdr:cNvCxnSpPr/>
      </xdr:nvCxnSpPr>
      <xdr:spPr>
        <a:xfrm>
          <a:off x="10119784" y="6686552"/>
          <a:ext cx="1008591" cy="158748"/>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137584</xdr:colOff>
      <xdr:row>62</xdr:row>
      <xdr:rowOff>179916</xdr:rowOff>
    </xdr:from>
    <xdr:to>
      <xdr:col>15</xdr:col>
      <xdr:colOff>1026584</xdr:colOff>
      <xdr:row>63</xdr:row>
      <xdr:rowOff>0</xdr:rowOff>
    </xdr:to>
    <xdr:cxnSp macro="">
      <xdr:nvCxnSpPr>
        <xdr:cNvPr id="67" name="Connecteur droit avec flèche 66">
          <a:extLst>
            <a:ext uri="{FF2B5EF4-FFF2-40B4-BE49-F238E27FC236}">
              <a16:creationId xmlns:a16="http://schemas.microsoft.com/office/drawing/2014/main" id="{00000000-0008-0000-3B00-000043000000}"/>
            </a:ext>
          </a:extLst>
        </xdr:cNvPr>
        <xdr:cNvCxnSpPr/>
      </xdr:nvCxnSpPr>
      <xdr:spPr>
        <a:xfrm>
          <a:off x="4604809" y="2865966"/>
          <a:ext cx="889000" cy="20109"/>
        </a:xfrm>
        <a:prstGeom prst="straightConnector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15</xdr:col>
      <xdr:colOff>88792</xdr:colOff>
      <xdr:row>69</xdr:row>
      <xdr:rowOff>8072</xdr:rowOff>
    </xdr:from>
    <xdr:to>
      <xdr:col>16</xdr:col>
      <xdr:colOff>0</xdr:colOff>
      <xdr:row>75</xdr:row>
      <xdr:rowOff>113009</xdr:rowOff>
    </xdr:to>
    <xdr:cxnSp macro="">
      <xdr:nvCxnSpPr>
        <xdr:cNvPr id="68" name="Connecteur droit avec flèche 67">
          <a:extLst>
            <a:ext uri="{FF2B5EF4-FFF2-40B4-BE49-F238E27FC236}">
              <a16:creationId xmlns:a16="http://schemas.microsoft.com/office/drawing/2014/main" id="{00000000-0008-0000-3B00-000044000000}"/>
            </a:ext>
          </a:extLst>
        </xdr:cNvPr>
        <xdr:cNvCxnSpPr/>
      </xdr:nvCxnSpPr>
      <xdr:spPr>
        <a:xfrm>
          <a:off x="4556017" y="4094297"/>
          <a:ext cx="958958" cy="130508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96865</xdr:colOff>
      <xdr:row>76</xdr:row>
      <xdr:rowOff>32288</xdr:rowOff>
    </xdr:from>
    <xdr:to>
      <xdr:col>16</xdr:col>
      <xdr:colOff>24216</xdr:colOff>
      <xdr:row>80</xdr:row>
      <xdr:rowOff>137224</xdr:rowOff>
    </xdr:to>
    <xdr:cxnSp macro="">
      <xdr:nvCxnSpPr>
        <xdr:cNvPr id="69" name="Connecteur droit avec flèche 68">
          <a:extLst>
            <a:ext uri="{FF2B5EF4-FFF2-40B4-BE49-F238E27FC236}">
              <a16:creationId xmlns:a16="http://schemas.microsoft.com/office/drawing/2014/main" id="{00000000-0008-0000-3B00-000045000000}"/>
            </a:ext>
          </a:extLst>
        </xdr:cNvPr>
        <xdr:cNvCxnSpPr/>
      </xdr:nvCxnSpPr>
      <xdr:spPr>
        <a:xfrm>
          <a:off x="4564090" y="5518688"/>
          <a:ext cx="975101" cy="90503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72648</xdr:colOff>
      <xdr:row>82</xdr:row>
      <xdr:rowOff>137225</xdr:rowOff>
    </xdr:from>
    <xdr:to>
      <xdr:col>15</xdr:col>
      <xdr:colOff>1033220</xdr:colOff>
      <xdr:row>82</xdr:row>
      <xdr:rowOff>177585</xdr:rowOff>
    </xdr:to>
    <xdr:cxnSp macro="">
      <xdr:nvCxnSpPr>
        <xdr:cNvPr id="70" name="Connecteur droit avec flèche 69">
          <a:extLst>
            <a:ext uri="{FF2B5EF4-FFF2-40B4-BE49-F238E27FC236}">
              <a16:creationId xmlns:a16="http://schemas.microsoft.com/office/drawing/2014/main" id="{00000000-0008-0000-3B00-000046000000}"/>
            </a:ext>
          </a:extLst>
        </xdr:cNvPr>
        <xdr:cNvCxnSpPr/>
      </xdr:nvCxnSpPr>
      <xdr:spPr>
        <a:xfrm flipV="1">
          <a:off x="4539873" y="6823775"/>
          <a:ext cx="960572" cy="40360"/>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2422408</xdr:colOff>
      <xdr:row>62</xdr:row>
      <xdr:rowOff>58796</xdr:rowOff>
    </xdr:from>
    <xdr:to>
      <xdr:col>13</xdr:col>
      <xdr:colOff>650053</xdr:colOff>
      <xdr:row>63</xdr:row>
      <xdr:rowOff>129135</xdr:rowOff>
    </xdr:to>
    <xdr:sp macro="" textlink="">
      <xdr:nvSpPr>
        <xdr:cNvPr id="71" name="Rectangle à coins arrondis 25">
          <a:extLst>
            <a:ext uri="{FF2B5EF4-FFF2-40B4-BE49-F238E27FC236}">
              <a16:creationId xmlns:a16="http://schemas.microsoft.com/office/drawing/2014/main" id="{00000000-0008-0000-3B00-000047000000}"/>
            </a:ext>
          </a:extLst>
        </xdr:cNvPr>
        <xdr:cNvSpPr/>
      </xdr:nvSpPr>
      <xdr:spPr bwMode="auto">
        <a:xfrm>
          <a:off x="3365383" y="2744846"/>
          <a:ext cx="713670" cy="270364"/>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twoCellAnchor>
    <xdr:from>
      <xdr:col>24</xdr:col>
      <xdr:colOff>2422408</xdr:colOff>
      <xdr:row>82</xdr:row>
      <xdr:rowOff>58796</xdr:rowOff>
    </xdr:from>
    <xdr:to>
      <xdr:col>25</xdr:col>
      <xdr:colOff>650053</xdr:colOff>
      <xdr:row>83</xdr:row>
      <xdr:rowOff>129135</xdr:rowOff>
    </xdr:to>
    <xdr:sp macro="" textlink="">
      <xdr:nvSpPr>
        <xdr:cNvPr id="72" name="Rectangle à coins arrondis 25">
          <a:extLst>
            <a:ext uri="{FF2B5EF4-FFF2-40B4-BE49-F238E27FC236}">
              <a16:creationId xmlns:a16="http://schemas.microsoft.com/office/drawing/2014/main" id="{00000000-0008-0000-3B00-000048000000}"/>
            </a:ext>
          </a:extLst>
        </xdr:cNvPr>
        <xdr:cNvSpPr/>
      </xdr:nvSpPr>
      <xdr:spPr bwMode="auto">
        <a:xfrm>
          <a:off x="14500108" y="6745346"/>
          <a:ext cx="666045" cy="270364"/>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twoCellAnchor>
    <xdr:from>
      <xdr:col>15</xdr:col>
      <xdr:colOff>16934</xdr:colOff>
      <xdr:row>36</xdr:row>
      <xdr:rowOff>10583</xdr:rowOff>
    </xdr:from>
    <xdr:to>
      <xdr:col>16</xdr:col>
      <xdr:colOff>16934</xdr:colOff>
      <xdr:row>48</xdr:row>
      <xdr:rowOff>146050</xdr:rowOff>
    </xdr:to>
    <xdr:cxnSp macro="">
      <xdr:nvCxnSpPr>
        <xdr:cNvPr id="73" name="Connecteur droit avec flèche 72">
          <a:extLst>
            <a:ext uri="{FF2B5EF4-FFF2-40B4-BE49-F238E27FC236}">
              <a16:creationId xmlns:a16="http://schemas.microsoft.com/office/drawing/2014/main" id="{00000000-0008-0000-3B00-000049000000}"/>
            </a:ext>
          </a:extLst>
        </xdr:cNvPr>
        <xdr:cNvCxnSpPr/>
      </xdr:nvCxnSpPr>
      <xdr:spPr>
        <a:xfrm>
          <a:off x="4436534" y="8697383"/>
          <a:ext cx="1047750" cy="25357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29634</xdr:colOff>
      <xdr:row>43</xdr:row>
      <xdr:rowOff>40216</xdr:rowOff>
    </xdr:from>
    <xdr:to>
      <xdr:col>16</xdr:col>
      <xdr:colOff>25400</xdr:colOff>
      <xdr:row>50</xdr:row>
      <xdr:rowOff>133350</xdr:rowOff>
    </xdr:to>
    <xdr:cxnSp macro="">
      <xdr:nvCxnSpPr>
        <xdr:cNvPr id="74" name="Connecteur droit avec flèche 73">
          <a:extLst>
            <a:ext uri="{FF2B5EF4-FFF2-40B4-BE49-F238E27FC236}">
              <a16:creationId xmlns:a16="http://schemas.microsoft.com/office/drawing/2014/main" id="{00000000-0008-0000-3B00-00004A000000}"/>
            </a:ext>
          </a:extLst>
        </xdr:cNvPr>
        <xdr:cNvCxnSpPr/>
      </xdr:nvCxnSpPr>
      <xdr:spPr>
        <a:xfrm>
          <a:off x="4449234" y="10127191"/>
          <a:ext cx="1043516" cy="149330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50</xdr:row>
      <xdr:rowOff>27516</xdr:rowOff>
    </xdr:from>
    <xdr:to>
      <xdr:col>16</xdr:col>
      <xdr:colOff>12700</xdr:colOff>
      <xdr:row>55</xdr:row>
      <xdr:rowOff>107950</xdr:rowOff>
    </xdr:to>
    <xdr:cxnSp macro="">
      <xdr:nvCxnSpPr>
        <xdr:cNvPr id="75" name="Connecteur droit avec flèche 74">
          <a:extLst>
            <a:ext uri="{FF2B5EF4-FFF2-40B4-BE49-F238E27FC236}">
              <a16:creationId xmlns:a16="http://schemas.microsoft.com/office/drawing/2014/main" id="{00000000-0008-0000-3B00-00004B000000}"/>
            </a:ext>
          </a:extLst>
        </xdr:cNvPr>
        <xdr:cNvCxnSpPr/>
      </xdr:nvCxnSpPr>
      <xdr:spPr>
        <a:xfrm>
          <a:off x="4436534" y="11514666"/>
          <a:ext cx="1043516" cy="108055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34</xdr:row>
      <xdr:rowOff>120651</xdr:rowOff>
    </xdr:from>
    <xdr:to>
      <xdr:col>22</xdr:col>
      <xdr:colOff>12700</xdr:colOff>
      <xdr:row>36</xdr:row>
      <xdr:rowOff>0</xdr:rowOff>
    </xdr:to>
    <xdr:cxnSp macro="">
      <xdr:nvCxnSpPr>
        <xdr:cNvPr id="76" name="Connecteur droit avec flèche 75">
          <a:extLst>
            <a:ext uri="{FF2B5EF4-FFF2-40B4-BE49-F238E27FC236}">
              <a16:creationId xmlns:a16="http://schemas.microsoft.com/office/drawing/2014/main" id="{00000000-0008-0000-3B00-00004C000000}"/>
            </a:ext>
          </a:extLst>
        </xdr:cNvPr>
        <xdr:cNvCxnSpPr/>
      </xdr:nvCxnSpPr>
      <xdr:spPr>
        <a:xfrm flipV="1">
          <a:off x="9937297" y="84074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36</xdr:row>
      <xdr:rowOff>120650</xdr:rowOff>
    </xdr:from>
    <xdr:to>
      <xdr:col>22</xdr:col>
      <xdr:colOff>12700</xdr:colOff>
      <xdr:row>43</xdr:row>
      <xdr:rowOff>2116</xdr:rowOff>
    </xdr:to>
    <xdr:cxnSp macro="">
      <xdr:nvCxnSpPr>
        <xdr:cNvPr id="77" name="Connecteur droit avec flèche 76">
          <a:extLst>
            <a:ext uri="{FF2B5EF4-FFF2-40B4-BE49-F238E27FC236}">
              <a16:creationId xmlns:a16="http://schemas.microsoft.com/office/drawing/2014/main" id="{00000000-0008-0000-3B00-00004D000000}"/>
            </a:ext>
          </a:extLst>
        </xdr:cNvPr>
        <xdr:cNvCxnSpPr/>
      </xdr:nvCxnSpPr>
      <xdr:spPr>
        <a:xfrm flipV="1">
          <a:off x="9913408" y="88074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36</xdr:row>
      <xdr:rowOff>13607</xdr:rowOff>
    </xdr:from>
    <xdr:to>
      <xdr:col>21</xdr:col>
      <xdr:colOff>1060450</xdr:colOff>
      <xdr:row>41</xdr:row>
      <xdr:rowOff>103724</xdr:rowOff>
    </xdr:to>
    <xdr:cxnSp macro="">
      <xdr:nvCxnSpPr>
        <xdr:cNvPr id="78" name="Connecteur droit avec flèche 77">
          <a:extLst>
            <a:ext uri="{FF2B5EF4-FFF2-40B4-BE49-F238E27FC236}">
              <a16:creationId xmlns:a16="http://schemas.microsoft.com/office/drawing/2014/main" id="{00000000-0008-0000-3B00-00004E000000}"/>
            </a:ext>
          </a:extLst>
        </xdr:cNvPr>
        <xdr:cNvCxnSpPr/>
      </xdr:nvCxnSpPr>
      <xdr:spPr>
        <a:xfrm>
          <a:off x="9910083" y="87004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43</xdr:row>
      <xdr:rowOff>2123</xdr:rowOff>
    </xdr:from>
    <xdr:to>
      <xdr:col>21</xdr:col>
      <xdr:colOff>1059392</xdr:colOff>
      <xdr:row>43</xdr:row>
      <xdr:rowOff>120656</xdr:rowOff>
    </xdr:to>
    <xdr:cxnSp macro="">
      <xdr:nvCxnSpPr>
        <xdr:cNvPr id="79" name="Connecteur droit avec flèche 78">
          <a:extLst>
            <a:ext uri="{FF2B5EF4-FFF2-40B4-BE49-F238E27FC236}">
              <a16:creationId xmlns:a16="http://schemas.microsoft.com/office/drawing/2014/main" id="{00000000-0008-0000-3B00-00004F000000}"/>
            </a:ext>
          </a:extLst>
        </xdr:cNvPr>
        <xdr:cNvCxnSpPr/>
      </xdr:nvCxnSpPr>
      <xdr:spPr>
        <a:xfrm>
          <a:off x="9896475" y="100890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33867</xdr:colOff>
      <xdr:row>48</xdr:row>
      <xdr:rowOff>120650</xdr:rowOff>
    </xdr:from>
    <xdr:to>
      <xdr:col>22</xdr:col>
      <xdr:colOff>12700</xdr:colOff>
      <xdr:row>48</xdr:row>
      <xdr:rowOff>188383</xdr:rowOff>
    </xdr:to>
    <xdr:cxnSp macro="">
      <xdr:nvCxnSpPr>
        <xdr:cNvPr id="80" name="Connecteur droit avec flèche 79">
          <a:extLst>
            <a:ext uri="{FF2B5EF4-FFF2-40B4-BE49-F238E27FC236}">
              <a16:creationId xmlns:a16="http://schemas.microsoft.com/office/drawing/2014/main" id="{00000000-0008-0000-3B00-000050000000}"/>
            </a:ext>
          </a:extLst>
        </xdr:cNvPr>
        <xdr:cNvCxnSpPr/>
      </xdr:nvCxnSpPr>
      <xdr:spPr>
        <a:xfrm flipV="1">
          <a:off x="9930342" y="11207750"/>
          <a:ext cx="1036108" cy="67733"/>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50</xdr:row>
      <xdr:rowOff>120650</xdr:rowOff>
    </xdr:from>
    <xdr:to>
      <xdr:col>22</xdr:col>
      <xdr:colOff>12700</xdr:colOff>
      <xdr:row>57</xdr:row>
      <xdr:rowOff>2116</xdr:rowOff>
    </xdr:to>
    <xdr:cxnSp macro="">
      <xdr:nvCxnSpPr>
        <xdr:cNvPr id="81" name="Connecteur droit avec flèche 80">
          <a:extLst>
            <a:ext uri="{FF2B5EF4-FFF2-40B4-BE49-F238E27FC236}">
              <a16:creationId xmlns:a16="http://schemas.microsoft.com/office/drawing/2014/main" id="{00000000-0008-0000-3B00-000051000000}"/>
            </a:ext>
          </a:extLst>
        </xdr:cNvPr>
        <xdr:cNvCxnSpPr/>
      </xdr:nvCxnSpPr>
      <xdr:spPr>
        <a:xfrm flipV="1">
          <a:off x="9913408" y="11607800"/>
          <a:ext cx="1053042" cy="1281641"/>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48</xdr:row>
      <xdr:rowOff>188390</xdr:rowOff>
    </xdr:from>
    <xdr:to>
      <xdr:col>21</xdr:col>
      <xdr:colOff>1060450</xdr:colOff>
      <xdr:row>55</xdr:row>
      <xdr:rowOff>103724</xdr:rowOff>
    </xdr:to>
    <xdr:cxnSp macro="">
      <xdr:nvCxnSpPr>
        <xdr:cNvPr id="82" name="Connecteur droit avec flèche 81">
          <a:extLst>
            <a:ext uri="{FF2B5EF4-FFF2-40B4-BE49-F238E27FC236}">
              <a16:creationId xmlns:a16="http://schemas.microsoft.com/office/drawing/2014/main" id="{00000000-0008-0000-3B00-000052000000}"/>
            </a:ext>
          </a:extLst>
        </xdr:cNvPr>
        <xdr:cNvCxnSpPr/>
      </xdr:nvCxnSpPr>
      <xdr:spPr>
        <a:xfrm>
          <a:off x="9896475" y="11275490"/>
          <a:ext cx="1060450" cy="1315509"/>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57</xdr:row>
      <xdr:rowOff>2123</xdr:rowOff>
    </xdr:from>
    <xdr:to>
      <xdr:col>21</xdr:col>
      <xdr:colOff>1059392</xdr:colOff>
      <xdr:row>57</xdr:row>
      <xdr:rowOff>120656</xdr:rowOff>
    </xdr:to>
    <xdr:cxnSp macro="">
      <xdr:nvCxnSpPr>
        <xdr:cNvPr id="83" name="Connecteur droit avec flèche 82">
          <a:extLst>
            <a:ext uri="{FF2B5EF4-FFF2-40B4-BE49-F238E27FC236}">
              <a16:creationId xmlns:a16="http://schemas.microsoft.com/office/drawing/2014/main" id="{00000000-0008-0000-3B00-000053000000}"/>
            </a:ext>
          </a:extLst>
        </xdr:cNvPr>
        <xdr:cNvCxnSpPr/>
      </xdr:nvCxnSpPr>
      <xdr:spPr>
        <a:xfrm>
          <a:off x="9896475" y="12889448"/>
          <a:ext cx="1059392" cy="118533"/>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104937</xdr:colOff>
      <xdr:row>65</xdr:row>
      <xdr:rowOff>31750</xdr:rowOff>
    </xdr:from>
    <xdr:to>
      <xdr:col>16</xdr:col>
      <xdr:colOff>10583</xdr:colOff>
      <xdr:row>69</xdr:row>
      <xdr:rowOff>0</xdr:rowOff>
    </xdr:to>
    <xdr:cxnSp macro="">
      <xdr:nvCxnSpPr>
        <xdr:cNvPr id="84" name="Connecteur droit avec flèche 83">
          <a:extLst>
            <a:ext uri="{FF2B5EF4-FFF2-40B4-BE49-F238E27FC236}">
              <a16:creationId xmlns:a16="http://schemas.microsoft.com/office/drawing/2014/main" id="{00000000-0008-0000-3B00-000054000000}"/>
            </a:ext>
          </a:extLst>
        </xdr:cNvPr>
        <xdr:cNvCxnSpPr>
          <a:cxnSpLocks/>
        </xdr:cNvCxnSpPr>
      </xdr:nvCxnSpPr>
      <xdr:spPr>
        <a:xfrm flipV="1">
          <a:off x="4572162" y="3317875"/>
          <a:ext cx="953396" cy="76835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96865</xdr:colOff>
      <xdr:row>76</xdr:row>
      <xdr:rowOff>32288</xdr:rowOff>
    </xdr:from>
    <xdr:to>
      <xdr:col>16</xdr:col>
      <xdr:colOff>24216</xdr:colOff>
      <xdr:row>80</xdr:row>
      <xdr:rowOff>137224</xdr:rowOff>
    </xdr:to>
    <xdr:cxnSp macro="">
      <xdr:nvCxnSpPr>
        <xdr:cNvPr id="85" name="Connecteur droit avec flèche 84">
          <a:extLst>
            <a:ext uri="{FF2B5EF4-FFF2-40B4-BE49-F238E27FC236}">
              <a16:creationId xmlns:a16="http://schemas.microsoft.com/office/drawing/2014/main" id="{00000000-0008-0000-3B00-000055000000}"/>
            </a:ext>
          </a:extLst>
        </xdr:cNvPr>
        <xdr:cNvCxnSpPr/>
      </xdr:nvCxnSpPr>
      <xdr:spPr>
        <a:xfrm>
          <a:off x="4564090" y="5518688"/>
          <a:ext cx="975101" cy="90503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67236</xdr:colOff>
      <xdr:row>63</xdr:row>
      <xdr:rowOff>0</xdr:rowOff>
    </xdr:from>
    <xdr:to>
      <xdr:col>22</xdr:col>
      <xdr:colOff>15875</xdr:colOff>
      <xdr:row>63</xdr:row>
      <xdr:rowOff>190500</xdr:rowOff>
    </xdr:to>
    <xdr:cxnSp macro="">
      <xdr:nvCxnSpPr>
        <xdr:cNvPr id="86" name="Connecteur droit avec flèche 85">
          <a:extLst>
            <a:ext uri="{FF2B5EF4-FFF2-40B4-BE49-F238E27FC236}">
              <a16:creationId xmlns:a16="http://schemas.microsoft.com/office/drawing/2014/main" id="{00000000-0008-0000-3B00-000056000000}"/>
            </a:ext>
          </a:extLst>
        </xdr:cNvPr>
        <xdr:cNvCxnSpPr/>
      </xdr:nvCxnSpPr>
      <xdr:spPr>
        <a:xfrm flipV="1">
          <a:off x="10106586" y="2886075"/>
          <a:ext cx="1005914" cy="19050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82315</xdr:colOff>
      <xdr:row>65</xdr:row>
      <xdr:rowOff>38100</xdr:rowOff>
    </xdr:from>
    <xdr:to>
      <xdr:col>22</xdr:col>
      <xdr:colOff>28575</xdr:colOff>
      <xdr:row>69</xdr:row>
      <xdr:rowOff>82315</xdr:rowOff>
    </xdr:to>
    <xdr:cxnSp macro="">
      <xdr:nvCxnSpPr>
        <xdr:cNvPr id="87" name="Connecteur droit avec flèche 86">
          <a:extLst>
            <a:ext uri="{FF2B5EF4-FFF2-40B4-BE49-F238E27FC236}">
              <a16:creationId xmlns:a16="http://schemas.microsoft.com/office/drawing/2014/main" id="{00000000-0008-0000-3B00-000057000000}"/>
            </a:ext>
          </a:extLst>
        </xdr:cNvPr>
        <xdr:cNvCxnSpPr/>
      </xdr:nvCxnSpPr>
      <xdr:spPr>
        <a:xfrm flipV="1">
          <a:off x="10121665" y="3324225"/>
          <a:ext cx="1003535" cy="844315"/>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67236</xdr:colOff>
      <xdr:row>64</xdr:row>
      <xdr:rowOff>11206</xdr:rowOff>
    </xdr:from>
    <xdr:to>
      <xdr:col>22</xdr:col>
      <xdr:colOff>7097</xdr:colOff>
      <xdr:row>69</xdr:row>
      <xdr:rowOff>103724</xdr:rowOff>
    </xdr:to>
    <xdr:cxnSp macro="">
      <xdr:nvCxnSpPr>
        <xdr:cNvPr id="88" name="Connecteur droit avec flèche 87">
          <a:extLst>
            <a:ext uri="{FF2B5EF4-FFF2-40B4-BE49-F238E27FC236}">
              <a16:creationId xmlns:a16="http://schemas.microsoft.com/office/drawing/2014/main" id="{00000000-0008-0000-3B00-000058000000}"/>
            </a:ext>
          </a:extLst>
        </xdr:cNvPr>
        <xdr:cNvCxnSpPr/>
      </xdr:nvCxnSpPr>
      <xdr:spPr>
        <a:xfrm>
          <a:off x="10106586" y="3097306"/>
          <a:ext cx="997136" cy="109264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117593</xdr:colOff>
      <xdr:row>69</xdr:row>
      <xdr:rowOff>105833</xdr:rowOff>
    </xdr:from>
    <xdr:to>
      <xdr:col>22</xdr:col>
      <xdr:colOff>15875</xdr:colOff>
      <xdr:row>71</xdr:row>
      <xdr:rowOff>158750</xdr:rowOff>
    </xdr:to>
    <xdr:cxnSp macro="">
      <xdr:nvCxnSpPr>
        <xdr:cNvPr id="89" name="Connecteur droit avec flèche 88">
          <a:extLst>
            <a:ext uri="{FF2B5EF4-FFF2-40B4-BE49-F238E27FC236}">
              <a16:creationId xmlns:a16="http://schemas.microsoft.com/office/drawing/2014/main" id="{00000000-0008-0000-3B00-000059000000}"/>
            </a:ext>
          </a:extLst>
        </xdr:cNvPr>
        <xdr:cNvCxnSpPr/>
      </xdr:nvCxnSpPr>
      <xdr:spPr>
        <a:xfrm>
          <a:off x="10156943" y="4192058"/>
          <a:ext cx="955557" cy="4529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80434</xdr:colOff>
      <xdr:row>81</xdr:row>
      <xdr:rowOff>200027</xdr:rowOff>
    </xdr:from>
    <xdr:to>
      <xdr:col>22</xdr:col>
      <xdr:colOff>31750</xdr:colOff>
      <xdr:row>82</xdr:row>
      <xdr:rowOff>158750</xdr:rowOff>
    </xdr:to>
    <xdr:cxnSp macro="">
      <xdr:nvCxnSpPr>
        <xdr:cNvPr id="90" name="Connecteur droit avec flèche 89">
          <a:extLst>
            <a:ext uri="{FF2B5EF4-FFF2-40B4-BE49-F238E27FC236}">
              <a16:creationId xmlns:a16="http://schemas.microsoft.com/office/drawing/2014/main" id="{00000000-0008-0000-3B00-00005A000000}"/>
            </a:ext>
          </a:extLst>
        </xdr:cNvPr>
        <xdr:cNvCxnSpPr/>
      </xdr:nvCxnSpPr>
      <xdr:spPr>
        <a:xfrm>
          <a:off x="10119784" y="6686552"/>
          <a:ext cx="1008591" cy="158748"/>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24</xdr:col>
      <xdr:colOff>2422408</xdr:colOff>
      <xdr:row>82</xdr:row>
      <xdr:rowOff>58796</xdr:rowOff>
    </xdr:from>
    <xdr:to>
      <xdr:col>25</xdr:col>
      <xdr:colOff>650053</xdr:colOff>
      <xdr:row>83</xdr:row>
      <xdr:rowOff>129135</xdr:rowOff>
    </xdr:to>
    <xdr:sp macro="" textlink="">
      <xdr:nvSpPr>
        <xdr:cNvPr id="91" name="Rectangle à coins arrondis 25">
          <a:extLst>
            <a:ext uri="{FF2B5EF4-FFF2-40B4-BE49-F238E27FC236}">
              <a16:creationId xmlns:a16="http://schemas.microsoft.com/office/drawing/2014/main" id="{00000000-0008-0000-3B00-00005B000000}"/>
            </a:ext>
          </a:extLst>
        </xdr:cNvPr>
        <xdr:cNvSpPr/>
      </xdr:nvSpPr>
      <xdr:spPr bwMode="auto">
        <a:xfrm>
          <a:off x="14500108" y="6745346"/>
          <a:ext cx="666045" cy="270364"/>
        </a:xfrm>
        <a:prstGeom prst="roundRect">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ctr"/>
          <a:r>
            <a:rPr lang="fr-FR" sz="1050">
              <a:effectLst/>
              <a:latin typeface="+mn-lt"/>
              <a:ea typeface="+mn-ea"/>
              <a:cs typeface="+mn-cs"/>
            </a:rPr>
            <a:t>Tir à Vide</a:t>
          </a:r>
          <a:endParaRPr lang="fr-FR" sz="1100"/>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33</xdr:col>
      <xdr:colOff>367393</xdr:colOff>
      <xdr:row>31</xdr:row>
      <xdr:rowOff>73480</xdr:rowOff>
    </xdr:from>
    <xdr:to>
      <xdr:col>33</xdr:col>
      <xdr:colOff>2272393</xdr:colOff>
      <xdr:row>35</xdr:row>
      <xdr:rowOff>5445</xdr:rowOff>
    </xdr:to>
    <xdr:sp macro="[0]!JMK_Trans_FDUEL1" textlink="">
      <xdr:nvSpPr>
        <xdr:cNvPr id="2" name="Rectangle à coins arrondis 33">
          <a:extLst>
            <a:ext uri="{FF2B5EF4-FFF2-40B4-BE49-F238E27FC236}">
              <a16:creationId xmlns:a16="http://schemas.microsoft.com/office/drawing/2014/main" id="{00000000-0008-0000-3C00-000002000000}"/>
            </a:ext>
          </a:extLst>
        </xdr:cNvPr>
        <xdr:cNvSpPr/>
      </xdr:nvSpPr>
      <xdr:spPr bwMode="auto">
        <a:xfrm>
          <a:off x="27037393" y="7760155"/>
          <a:ext cx="1905000" cy="7320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1</a:t>
          </a:r>
          <a:r>
            <a:rPr lang="fr-FR" sz="1600"/>
            <a:t> </a:t>
          </a:r>
        </a:p>
      </xdr:txBody>
    </xdr:sp>
    <xdr:clientData fPrintsWithSheet="0"/>
  </xdr:twoCellAnchor>
  <xdr:twoCellAnchor>
    <xdr:from>
      <xdr:col>34</xdr:col>
      <xdr:colOff>261257</xdr:colOff>
      <xdr:row>31</xdr:row>
      <xdr:rowOff>73480</xdr:rowOff>
    </xdr:from>
    <xdr:to>
      <xdr:col>34</xdr:col>
      <xdr:colOff>2166257</xdr:colOff>
      <xdr:row>35</xdr:row>
      <xdr:rowOff>5445</xdr:rowOff>
    </xdr:to>
    <xdr:sp macro="[0]!JMK_Trans_FDUEL2" textlink="">
      <xdr:nvSpPr>
        <xdr:cNvPr id="3" name="Rectangle à coins arrondis 34">
          <a:extLst>
            <a:ext uri="{FF2B5EF4-FFF2-40B4-BE49-F238E27FC236}">
              <a16:creationId xmlns:a16="http://schemas.microsoft.com/office/drawing/2014/main" id="{00000000-0008-0000-3C00-000003000000}"/>
            </a:ext>
          </a:extLst>
        </xdr:cNvPr>
        <xdr:cNvSpPr/>
      </xdr:nvSpPr>
      <xdr:spPr bwMode="auto">
        <a:xfrm>
          <a:off x="29388707" y="7760155"/>
          <a:ext cx="1905000" cy="7320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2</a:t>
          </a:r>
          <a:r>
            <a:rPr lang="fr-FR" sz="1600"/>
            <a:t> </a:t>
          </a:r>
        </a:p>
      </xdr:txBody>
    </xdr:sp>
    <xdr:clientData fPrintsWithSheet="0"/>
  </xdr:twoCellAnchor>
  <xdr:twoCellAnchor>
    <xdr:from>
      <xdr:col>35</xdr:col>
      <xdr:colOff>155122</xdr:colOff>
      <xdr:row>31</xdr:row>
      <xdr:rowOff>73480</xdr:rowOff>
    </xdr:from>
    <xdr:to>
      <xdr:col>35</xdr:col>
      <xdr:colOff>2060122</xdr:colOff>
      <xdr:row>35</xdr:row>
      <xdr:rowOff>5445</xdr:rowOff>
    </xdr:to>
    <xdr:sp macro="[0]!JMK_Trans_FDUEL3" textlink="">
      <xdr:nvSpPr>
        <xdr:cNvPr id="4" name="Rectangle à coins arrondis 35">
          <a:extLst>
            <a:ext uri="{FF2B5EF4-FFF2-40B4-BE49-F238E27FC236}">
              <a16:creationId xmlns:a16="http://schemas.microsoft.com/office/drawing/2014/main" id="{00000000-0008-0000-3C00-000004000000}"/>
            </a:ext>
          </a:extLst>
        </xdr:cNvPr>
        <xdr:cNvSpPr/>
      </xdr:nvSpPr>
      <xdr:spPr bwMode="auto">
        <a:xfrm>
          <a:off x="31740022" y="7760155"/>
          <a:ext cx="1905000" cy="73206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3</a:t>
          </a:r>
          <a:r>
            <a:rPr lang="fr-FR" sz="1600"/>
            <a:t> </a:t>
          </a:r>
        </a:p>
      </xdr:txBody>
    </xdr:sp>
    <xdr:clientData fPrintsWithSheet="0"/>
  </xdr:twoCellAnchor>
  <xdr:twoCellAnchor>
    <xdr:from>
      <xdr:col>34</xdr:col>
      <xdr:colOff>1682749</xdr:colOff>
      <xdr:row>38</xdr:row>
      <xdr:rowOff>0</xdr:rowOff>
    </xdr:from>
    <xdr:to>
      <xdr:col>35</xdr:col>
      <xdr:colOff>1127124</xdr:colOff>
      <xdr:row>44</xdr:row>
      <xdr:rowOff>31750</xdr:rowOff>
    </xdr:to>
    <xdr:sp macro="[0]!JMK_ZI_Résultat_Final" textlink="">
      <xdr:nvSpPr>
        <xdr:cNvPr id="5" name="Rectangle à coins arrondis 39">
          <a:extLst>
            <a:ext uri="{FF2B5EF4-FFF2-40B4-BE49-F238E27FC236}">
              <a16:creationId xmlns:a16="http://schemas.microsoft.com/office/drawing/2014/main" id="{00000000-0008-0000-3C00-000005000000}"/>
            </a:ext>
          </a:extLst>
        </xdr:cNvPr>
        <xdr:cNvSpPr/>
      </xdr:nvSpPr>
      <xdr:spPr bwMode="auto">
        <a:xfrm>
          <a:off x="30810199" y="9086850"/>
          <a:ext cx="1901825" cy="1231900"/>
        </a:xfrm>
        <a:prstGeom prst="roundRect">
          <a:avLst/>
        </a:prstGeom>
        <a:solidFill>
          <a:srgbClr val="00FF99"/>
        </a:solidFill>
        <a:ln w="9525" cap="flat" cmpd="sng" algn="ctr">
          <a:solidFill>
            <a:srgbClr val="400000"/>
          </a:solidFill>
          <a:prstDash val="solid"/>
          <a:round/>
          <a:headEnd type="none" w="med" len="med"/>
          <a:tailEnd type="none" w="med" len="med"/>
        </a:ln>
        <a:effectLst/>
      </xdr:spPr>
      <xdr:txBody>
        <a:bodyPr rot="0" spcFirstLastPara="0" vertOverflow="clip" horzOverflow="clip" vert="horz" wrap="square" lIns="18288" tIns="0" rIns="0" bIns="0" numCol="1" spcCol="0" rtlCol="0" fromWordArt="0" anchor="ctr" anchorCtr="0" forceAA="0" upright="1" compatLnSpc="1">
          <a:prstTxWarp prst="textNoShape">
            <a:avLst/>
          </a:prstTxWarp>
          <a:noAutofit/>
        </a:bodyPr>
        <a:lstStyle/>
        <a:p>
          <a:pPr algn="ctr"/>
          <a:r>
            <a:rPr lang="fr-FR" sz="2000"/>
            <a:t>Impression</a:t>
          </a:r>
          <a:r>
            <a:rPr lang="fr-FR" sz="2000" baseline="0"/>
            <a:t> du CLASSEMENT FINAL</a:t>
          </a:r>
          <a:endParaRPr lang="fr-FR" sz="2000"/>
        </a:p>
      </xdr:txBody>
    </xdr:sp>
    <xdr:clientData fPrintsWithSheet="0"/>
  </xdr:twoCellAnchor>
  <xdr:twoCellAnchor>
    <xdr:from>
      <xdr:col>24</xdr:col>
      <xdr:colOff>984250</xdr:colOff>
      <xdr:row>0</xdr:row>
      <xdr:rowOff>317500</xdr:rowOff>
    </xdr:from>
    <xdr:to>
      <xdr:col>25</xdr:col>
      <xdr:colOff>63500</xdr:colOff>
      <xdr:row>1</xdr:row>
      <xdr:rowOff>412750</xdr:rowOff>
    </xdr:to>
    <xdr:sp macro="[0]!jmk_RETOUR_MENU" textlink="">
      <xdr:nvSpPr>
        <xdr:cNvPr id="6" name="Rectangle à coins arrondis 40">
          <a:extLst>
            <a:ext uri="{FF2B5EF4-FFF2-40B4-BE49-F238E27FC236}">
              <a16:creationId xmlns:a16="http://schemas.microsoft.com/office/drawing/2014/main" id="{00000000-0008-0000-3C00-000006000000}"/>
            </a:ext>
          </a:extLst>
        </xdr:cNvPr>
        <xdr:cNvSpPr/>
      </xdr:nvSpPr>
      <xdr:spPr bwMode="auto">
        <a:xfrm>
          <a:off x="20739100" y="317500"/>
          <a:ext cx="1517650" cy="80010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Retour aux MENUS</a:t>
          </a:r>
        </a:p>
      </xdr:txBody>
    </xdr:sp>
    <xdr:clientData fPrintsWithSheet="0"/>
  </xdr:twoCellAnchor>
  <xdr:twoCellAnchor editAs="oneCell">
    <xdr:from>
      <xdr:col>10</xdr:col>
      <xdr:colOff>95250</xdr:colOff>
      <xdr:row>0</xdr:row>
      <xdr:rowOff>111125</xdr:rowOff>
    </xdr:from>
    <xdr:to>
      <xdr:col>12</xdr:col>
      <xdr:colOff>758825</xdr:colOff>
      <xdr:row>1</xdr:row>
      <xdr:rowOff>571500</xdr:rowOff>
    </xdr:to>
    <xdr:pic>
      <xdr:nvPicPr>
        <xdr:cNvPr id="7" name="Image 6">
          <a:extLst>
            <a:ext uri="{FF2B5EF4-FFF2-40B4-BE49-F238E27FC236}">
              <a16:creationId xmlns:a16="http://schemas.microsoft.com/office/drawing/2014/main" id="{00000000-0008-0000-3C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29575" y="111125"/>
          <a:ext cx="1606550" cy="1165225"/>
        </a:xfrm>
        <a:prstGeom prst="rect">
          <a:avLst/>
        </a:prstGeom>
      </xdr:spPr>
    </xdr:pic>
    <xdr:clientData/>
  </xdr:twoCellAnchor>
  <xdr:twoCellAnchor editAs="oneCell">
    <xdr:from>
      <xdr:col>35</xdr:col>
      <xdr:colOff>1256383</xdr:colOff>
      <xdr:row>2</xdr:row>
      <xdr:rowOff>276225</xdr:rowOff>
    </xdr:from>
    <xdr:to>
      <xdr:col>35</xdr:col>
      <xdr:colOff>2228851</xdr:colOff>
      <xdr:row>4</xdr:row>
      <xdr:rowOff>142875</xdr:rowOff>
    </xdr:to>
    <xdr:pic>
      <xdr:nvPicPr>
        <xdr:cNvPr id="8" name="Image 7">
          <a:extLst>
            <a:ext uri="{FF2B5EF4-FFF2-40B4-BE49-F238E27FC236}">
              <a16:creationId xmlns:a16="http://schemas.microsoft.com/office/drawing/2014/main" id="{00000000-0008-0000-3C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841283" y="1762125"/>
          <a:ext cx="972468" cy="666750"/>
        </a:xfrm>
        <a:prstGeom prst="rect">
          <a:avLst/>
        </a:prstGeom>
      </xdr:spPr>
    </xdr:pic>
    <xdr:clientData/>
  </xdr:twoCellAnchor>
  <xdr:twoCellAnchor>
    <xdr:from>
      <xdr:col>33</xdr:col>
      <xdr:colOff>698500</xdr:colOff>
      <xdr:row>36</xdr:row>
      <xdr:rowOff>0</xdr:rowOff>
    </xdr:from>
    <xdr:to>
      <xdr:col>33</xdr:col>
      <xdr:colOff>2020661</xdr:colOff>
      <xdr:row>40</xdr:row>
      <xdr:rowOff>13607</xdr:rowOff>
    </xdr:to>
    <xdr:sp macro="[0]!Imp_DUEL_Tableau" textlink="">
      <xdr:nvSpPr>
        <xdr:cNvPr id="9" name="Rectangle à coins arrondis 53">
          <a:extLst>
            <a:ext uri="{FF2B5EF4-FFF2-40B4-BE49-F238E27FC236}">
              <a16:creationId xmlns:a16="http://schemas.microsoft.com/office/drawing/2014/main" id="{00000000-0008-0000-3C00-000009000000}"/>
            </a:ext>
          </a:extLst>
        </xdr:cNvPr>
        <xdr:cNvSpPr/>
      </xdr:nvSpPr>
      <xdr:spPr bwMode="auto">
        <a:xfrm>
          <a:off x="27368500" y="8686800"/>
          <a:ext cx="1322161" cy="813707"/>
        </a:xfrm>
        <a:prstGeom prst="roundRect">
          <a:avLst/>
        </a:prstGeom>
        <a:solidFill>
          <a:srgbClr val="E923EE"/>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 TABLEAU des</a:t>
          </a:r>
          <a:r>
            <a:rPr lang="fr-FR" sz="1600" baseline="0"/>
            <a:t> DUELS</a:t>
          </a:r>
          <a:endParaRPr lang="fr-FR" sz="1600"/>
        </a:p>
      </xdr:txBody>
    </xdr:sp>
    <xdr:clientData/>
  </xdr:twoCellAnchor>
  <xdr:twoCellAnchor>
    <xdr:from>
      <xdr:col>15</xdr:col>
      <xdr:colOff>40822</xdr:colOff>
      <xdr:row>6</xdr:row>
      <xdr:rowOff>95250</xdr:rowOff>
    </xdr:from>
    <xdr:to>
      <xdr:col>16</xdr:col>
      <xdr:colOff>0</xdr:colOff>
      <xdr:row>7</xdr:row>
      <xdr:rowOff>176893</xdr:rowOff>
    </xdr:to>
    <xdr:cxnSp macro="">
      <xdr:nvCxnSpPr>
        <xdr:cNvPr id="10" name="Connecteur droit avec flèche 9">
          <a:extLst>
            <a:ext uri="{FF2B5EF4-FFF2-40B4-BE49-F238E27FC236}">
              <a16:creationId xmlns:a16="http://schemas.microsoft.com/office/drawing/2014/main" id="{00000000-0008-0000-3C00-00000A000000}"/>
            </a:ext>
          </a:extLst>
        </xdr:cNvPr>
        <xdr:cNvCxnSpPr/>
      </xdr:nvCxnSpPr>
      <xdr:spPr>
        <a:xfrm flipV="1">
          <a:off x="12394747" y="2781300"/>
          <a:ext cx="1006928" cy="28166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8</xdr:row>
      <xdr:rowOff>120650</xdr:rowOff>
    </xdr:from>
    <xdr:to>
      <xdr:col>15</xdr:col>
      <xdr:colOff>1044575</xdr:colOff>
      <xdr:row>14</xdr:row>
      <xdr:rowOff>149678</xdr:rowOff>
    </xdr:to>
    <xdr:cxnSp macro="">
      <xdr:nvCxnSpPr>
        <xdr:cNvPr id="11" name="Connecteur droit avec flèche 10">
          <a:extLst>
            <a:ext uri="{FF2B5EF4-FFF2-40B4-BE49-F238E27FC236}">
              <a16:creationId xmlns:a16="http://schemas.microsoft.com/office/drawing/2014/main" id="{00000000-0008-0000-3C00-00000B000000}"/>
            </a:ext>
          </a:extLst>
        </xdr:cNvPr>
        <xdr:cNvCxnSpPr/>
      </xdr:nvCxnSpPr>
      <xdr:spPr>
        <a:xfrm flipV="1">
          <a:off x="12353925" y="3206750"/>
          <a:ext cx="1044575" cy="122917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14</xdr:row>
      <xdr:rowOff>13607</xdr:rowOff>
    </xdr:from>
    <xdr:to>
      <xdr:col>15</xdr:col>
      <xdr:colOff>1020536</xdr:colOff>
      <xdr:row>21</xdr:row>
      <xdr:rowOff>149679</xdr:rowOff>
    </xdr:to>
    <xdr:cxnSp macro="">
      <xdr:nvCxnSpPr>
        <xdr:cNvPr id="12" name="Connecteur droit avec flèche 11">
          <a:extLst>
            <a:ext uri="{FF2B5EF4-FFF2-40B4-BE49-F238E27FC236}">
              <a16:creationId xmlns:a16="http://schemas.microsoft.com/office/drawing/2014/main" id="{00000000-0008-0000-3C00-00000C000000}"/>
            </a:ext>
          </a:extLst>
        </xdr:cNvPr>
        <xdr:cNvCxnSpPr/>
      </xdr:nvCxnSpPr>
      <xdr:spPr>
        <a:xfrm flipV="1">
          <a:off x="12353925" y="4299857"/>
          <a:ext cx="1020536" cy="153624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16</xdr:row>
      <xdr:rowOff>13607</xdr:rowOff>
    </xdr:from>
    <xdr:to>
      <xdr:col>16</xdr:col>
      <xdr:colOff>0</xdr:colOff>
      <xdr:row>29</xdr:row>
      <xdr:rowOff>10582</xdr:rowOff>
    </xdr:to>
    <xdr:cxnSp macro="">
      <xdr:nvCxnSpPr>
        <xdr:cNvPr id="13" name="Connecteur droit avec flèche 12">
          <a:extLst>
            <a:ext uri="{FF2B5EF4-FFF2-40B4-BE49-F238E27FC236}">
              <a16:creationId xmlns:a16="http://schemas.microsoft.com/office/drawing/2014/main" id="{00000000-0008-0000-3C00-00000D000000}"/>
            </a:ext>
          </a:extLst>
        </xdr:cNvPr>
        <xdr:cNvCxnSpPr/>
      </xdr:nvCxnSpPr>
      <xdr:spPr>
        <a:xfrm flipV="1">
          <a:off x="12353925" y="4699907"/>
          <a:ext cx="1047750" cy="259730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8</xdr:row>
      <xdr:rowOff>10583</xdr:rowOff>
    </xdr:from>
    <xdr:to>
      <xdr:col>16</xdr:col>
      <xdr:colOff>16934</xdr:colOff>
      <xdr:row>20</xdr:row>
      <xdr:rowOff>146050</xdr:rowOff>
    </xdr:to>
    <xdr:cxnSp macro="">
      <xdr:nvCxnSpPr>
        <xdr:cNvPr id="14" name="Connecteur droit avec flèche 13">
          <a:extLst>
            <a:ext uri="{FF2B5EF4-FFF2-40B4-BE49-F238E27FC236}">
              <a16:creationId xmlns:a16="http://schemas.microsoft.com/office/drawing/2014/main" id="{00000000-0008-0000-3C00-00000E000000}"/>
            </a:ext>
          </a:extLst>
        </xdr:cNvPr>
        <xdr:cNvCxnSpPr/>
      </xdr:nvCxnSpPr>
      <xdr:spPr>
        <a:xfrm>
          <a:off x="12370859" y="3096683"/>
          <a:ext cx="1047750" cy="25357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29634</xdr:colOff>
      <xdr:row>15</xdr:row>
      <xdr:rowOff>40216</xdr:rowOff>
    </xdr:from>
    <xdr:to>
      <xdr:col>16</xdr:col>
      <xdr:colOff>25400</xdr:colOff>
      <xdr:row>22</xdr:row>
      <xdr:rowOff>133350</xdr:rowOff>
    </xdr:to>
    <xdr:cxnSp macro="">
      <xdr:nvCxnSpPr>
        <xdr:cNvPr id="15" name="Connecteur droit avec flèche 14">
          <a:extLst>
            <a:ext uri="{FF2B5EF4-FFF2-40B4-BE49-F238E27FC236}">
              <a16:creationId xmlns:a16="http://schemas.microsoft.com/office/drawing/2014/main" id="{00000000-0008-0000-3C00-00000F000000}"/>
            </a:ext>
          </a:extLst>
        </xdr:cNvPr>
        <xdr:cNvCxnSpPr/>
      </xdr:nvCxnSpPr>
      <xdr:spPr>
        <a:xfrm>
          <a:off x="12383559" y="4526491"/>
          <a:ext cx="1043516" cy="149330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22</xdr:row>
      <xdr:rowOff>27516</xdr:rowOff>
    </xdr:from>
    <xdr:to>
      <xdr:col>16</xdr:col>
      <xdr:colOff>12700</xdr:colOff>
      <xdr:row>27</xdr:row>
      <xdr:rowOff>107950</xdr:rowOff>
    </xdr:to>
    <xdr:cxnSp macro="">
      <xdr:nvCxnSpPr>
        <xdr:cNvPr id="16" name="Connecteur droit avec flèche 15">
          <a:extLst>
            <a:ext uri="{FF2B5EF4-FFF2-40B4-BE49-F238E27FC236}">
              <a16:creationId xmlns:a16="http://schemas.microsoft.com/office/drawing/2014/main" id="{00000000-0008-0000-3C00-000010000000}"/>
            </a:ext>
          </a:extLst>
        </xdr:cNvPr>
        <xdr:cNvCxnSpPr/>
      </xdr:nvCxnSpPr>
      <xdr:spPr>
        <a:xfrm>
          <a:off x="12370859" y="5913966"/>
          <a:ext cx="1043516" cy="108055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29</xdr:row>
      <xdr:rowOff>10584</xdr:rowOff>
    </xdr:from>
    <xdr:to>
      <xdr:col>15</xdr:col>
      <xdr:colOff>1044575</xdr:colOff>
      <xdr:row>29</xdr:row>
      <xdr:rowOff>133350</xdr:rowOff>
    </xdr:to>
    <xdr:cxnSp macro="">
      <xdr:nvCxnSpPr>
        <xdr:cNvPr id="17" name="Connecteur droit avec flèche 16">
          <a:extLst>
            <a:ext uri="{FF2B5EF4-FFF2-40B4-BE49-F238E27FC236}">
              <a16:creationId xmlns:a16="http://schemas.microsoft.com/office/drawing/2014/main" id="{00000000-0008-0000-3C00-000011000000}"/>
            </a:ext>
          </a:extLst>
        </xdr:cNvPr>
        <xdr:cNvCxnSpPr/>
      </xdr:nvCxnSpPr>
      <xdr:spPr>
        <a:xfrm>
          <a:off x="12370859" y="7297209"/>
          <a:ext cx="1027641" cy="12276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6</xdr:row>
      <xdr:rowOff>120651</xdr:rowOff>
    </xdr:from>
    <xdr:to>
      <xdr:col>22</xdr:col>
      <xdr:colOff>12700</xdr:colOff>
      <xdr:row>8</xdr:row>
      <xdr:rowOff>0</xdr:rowOff>
    </xdr:to>
    <xdr:cxnSp macro="">
      <xdr:nvCxnSpPr>
        <xdr:cNvPr id="18" name="Connecteur droit avec flèche 17">
          <a:extLst>
            <a:ext uri="{FF2B5EF4-FFF2-40B4-BE49-F238E27FC236}">
              <a16:creationId xmlns:a16="http://schemas.microsoft.com/office/drawing/2014/main" id="{00000000-0008-0000-3C00-000012000000}"/>
            </a:ext>
          </a:extLst>
        </xdr:cNvPr>
        <xdr:cNvCxnSpPr/>
      </xdr:nvCxnSpPr>
      <xdr:spPr>
        <a:xfrm flipV="1">
          <a:off x="17871622" y="28067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8</xdr:row>
      <xdr:rowOff>120650</xdr:rowOff>
    </xdr:from>
    <xdr:to>
      <xdr:col>22</xdr:col>
      <xdr:colOff>12700</xdr:colOff>
      <xdr:row>15</xdr:row>
      <xdr:rowOff>2116</xdr:rowOff>
    </xdr:to>
    <xdr:cxnSp macro="">
      <xdr:nvCxnSpPr>
        <xdr:cNvPr id="19" name="Connecteur droit avec flèche 18">
          <a:extLst>
            <a:ext uri="{FF2B5EF4-FFF2-40B4-BE49-F238E27FC236}">
              <a16:creationId xmlns:a16="http://schemas.microsoft.com/office/drawing/2014/main" id="{00000000-0008-0000-3C00-000013000000}"/>
            </a:ext>
          </a:extLst>
        </xdr:cNvPr>
        <xdr:cNvCxnSpPr/>
      </xdr:nvCxnSpPr>
      <xdr:spPr>
        <a:xfrm flipV="1">
          <a:off x="17847733" y="32067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8</xdr:row>
      <xdr:rowOff>13607</xdr:rowOff>
    </xdr:from>
    <xdr:to>
      <xdr:col>21</xdr:col>
      <xdr:colOff>1060450</xdr:colOff>
      <xdr:row>13</xdr:row>
      <xdr:rowOff>103724</xdr:rowOff>
    </xdr:to>
    <xdr:cxnSp macro="">
      <xdr:nvCxnSpPr>
        <xdr:cNvPr id="20" name="Connecteur droit avec flèche 19">
          <a:extLst>
            <a:ext uri="{FF2B5EF4-FFF2-40B4-BE49-F238E27FC236}">
              <a16:creationId xmlns:a16="http://schemas.microsoft.com/office/drawing/2014/main" id="{00000000-0008-0000-3C00-000014000000}"/>
            </a:ext>
          </a:extLst>
        </xdr:cNvPr>
        <xdr:cNvCxnSpPr/>
      </xdr:nvCxnSpPr>
      <xdr:spPr>
        <a:xfrm>
          <a:off x="17844408" y="30997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15</xdr:row>
      <xdr:rowOff>2123</xdr:rowOff>
    </xdr:from>
    <xdr:to>
      <xdr:col>21</xdr:col>
      <xdr:colOff>1059392</xdr:colOff>
      <xdr:row>15</xdr:row>
      <xdr:rowOff>120656</xdr:rowOff>
    </xdr:to>
    <xdr:cxnSp macro="">
      <xdr:nvCxnSpPr>
        <xdr:cNvPr id="21" name="Connecteur droit avec flèche 20">
          <a:extLst>
            <a:ext uri="{FF2B5EF4-FFF2-40B4-BE49-F238E27FC236}">
              <a16:creationId xmlns:a16="http://schemas.microsoft.com/office/drawing/2014/main" id="{00000000-0008-0000-3C00-000015000000}"/>
            </a:ext>
          </a:extLst>
        </xdr:cNvPr>
        <xdr:cNvCxnSpPr/>
      </xdr:nvCxnSpPr>
      <xdr:spPr>
        <a:xfrm>
          <a:off x="17830800" y="44883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33867</xdr:colOff>
      <xdr:row>20</xdr:row>
      <xdr:rowOff>120650</xdr:rowOff>
    </xdr:from>
    <xdr:to>
      <xdr:col>22</xdr:col>
      <xdr:colOff>12700</xdr:colOff>
      <xdr:row>20</xdr:row>
      <xdr:rowOff>188383</xdr:rowOff>
    </xdr:to>
    <xdr:cxnSp macro="">
      <xdr:nvCxnSpPr>
        <xdr:cNvPr id="22" name="Connecteur droit avec flèche 21">
          <a:extLst>
            <a:ext uri="{FF2B5EF4-FFF2-40B4-BE49-F238E27FC236}">
              <a16:creationId xmlns:a16="http://schemas.microsoft.com/office/drawing/2014/main" id="{00000000-0008-0000-3C00-000016000000}"/>
            </a:ext>
          </a:extLst>
        </xdr:cNvPr>
        <xdr:cNvCxnSpPr/>
      </xdr:nvCxnSpPr>
      <xdr:spPr>
        <a:xfrm flipV="1">
          <a:off x="17864667" y="5607050"/>
          <a:ext cx="1036108" cy="67733"/>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22</xdr:row>
      <xdr:rowOff>120650</xdr:rowOff>
    </xdr:from>
    <xdr:to>
      <xdr:col>22</xdr:col>
      <xdr:colOff>12700</xdr:colOff>
      <xdr:row>29</xdr:row>
      <xdr:rowOff>2116</xdr:rowOff>
    </xdr:to>
    <xdr:cxnSp macro="">
      <xdr:nvCxnSpPr>
        <xdr:cNvPr id="23" name="Connecteur droit avec flèche 22">
          <a:extLst>
            <a:ext uri="{FF2B5EF4-FFF2-40B4-BE49-F238E27FC236}">
              <a16:creationId xmlns:a16="http://schemas.microsoft.com/office/drawing/2014/main" id="{00000000-0008-0000-3C00-000017000000}"/>
            </a:ext>
          </a:extLst>
        </xdr:cNvPr>
        <xdr:cNvCxnSpPr/>
      </xdr:nvCxnSpPr>
      <xdr:spPr>
        <a:xfrm flipV="1">
          <a:off x="17847733" y="6007100"/>
          <a:ext cx="1053042" cy="1281641"/>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20</xdr:row>
      <xdr:rowOff>188390</xdr:rowOff>
    </xdr:from>
    <xdr:to>
      <xdr:col>21</xdr:col>
      <xdr:colOff>1060450</xdr:colOff>
      <xdr:row>27</xdr:row>
      <xdr:rowOff>103724</xdr:rowOff>
    </xdr:to>
    <xdr:cxnSp macro="">
      <xdr:nvCxnSpPr>
        <xdr:cNvPr id="24" name="Connecteur droit avec flèche 23">
          <a:extLst>
            <a:ext uri="{FF2B5EF4-FFF2-40B4-BE49-F238E27FC236}">
              <a16:creationId xmlns:a16="http://schemas.microsoft.com/office/drawing/2014/main" id="{00000000-0008-0000-3C00-000018000000}"/>
            </a:ext>
          </a:extLst>
        </xdr:cNvPr>
        <xdr:cNvCxnSpPr/>
      </xdr:nvCxnSpPr>
      <xdr:spPr>
        <a:xfrm>
          <a:off x="17830800" y="5674790"/>
          <a:ext cx="1060450" cy="1315509"/>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29</xdr:row>
      <xdr:rowOff>2123</xdr:rowOff>
    </xdr:from>
    <xdr:to>
      <xdr:col>21</xdr:col>
      <xdr:colOff>1059392</xdr:colOff>
      <xdr:row>29</xdr:row>
      <xdr:rowOff>120656</xdr:rowOff>
    </xdr:to>
    <xdr:cxnSp macro="">
      <xdr:nvCxnSpPr>
        <xdr:cNvPr id="25" name="Connecteur droit avec flèche 24">
          <a:extLst>
            <a:ext uri="{FF2B5EF4-FFF2-40B4-BE49-F238E27FC236}">
              <a16:creationId xmlns:a16="http://schemas.microsoft.com/office/drawing/2014/main" id="{00000000-0008-0000-3C00-000019000000}"/>
            </a:ext>
          </a:extLst>
        </xdr:cNvPr>
        <xdr:cNvCxnSpPr/>
      </xdr:nvCxnSpPr>
      <xdr:spPr>
        <a:xfrm>
          <a:off x="17830800" y="7288748"/>
          <a:ext cx="1059392" cy="118533"/>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40822</xdr:colOff>
      <xdr:row>34</xdr:row>
      <xdr:rowOff>95250</xdr:rowOff>
    </xdr:from>
    <xdr:to>
      <xdr:col>16</xdr:col>
      <xdr:colOff>0</xdr:colOff>
      <xdr:row>35</xdr:row>
      <xdr:rowOff>176893</xdr:rowOff>
    </xdr:to>
    <xdr:cxnSp macro="">
      <xdr:nvCxnSpPr>
        <xdr:cNvPr id="26" name="Connecteur droit avec flèche 25">
          <a:extLst>
            <a:ext uri="{FF2B5EF4-FFF2-40B4-BE49-F238E27FC236}">
              <a16:creationId xmlns:a16="http://schemas.microsoft.com/office/drawing/2014/main" id="{00000000-0008-0000-3C00-00001A000000}"/>
            </a:ext>
          </a:extLst>
        </xdr:cNvPr>
        <xdr:cNvCxnSpPr/>
      </xdr:nvCxnSpPr>
      <xdr:spPr>
        <a:xfrm flipV="1">
          <a:off x="12394747" y="8382000"/>
          <a:ext cx="1006928" cy="28166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36</xdr:row>
      <xdr:rowOff>120650</xdr:rowOff>
    </xdr:from>
    <xdr:to>
      <xdr:col>15</xdr:col>
      <xdr:colOff>1044575</xdr:colOff>
      <xdr:row>42</xdr:row>
      <xdr:rowOff>149678</xdr:rowOff>
    </xdr:to>
    <xdr:cxnSp macro="">
      <xdr:nvCxnSpPr>
        <xdr:cNvPr id="27" name="Connecteur droit avec flèche 26">
          <a:extLst>
            <a:ext uri="{FF2B5EF4-FFF2-40B4-BE49-F238E27FC236}">
              <a16:creationId xmlns:a16="http://schemas.microsoft.com/office/drawing/2014/main" id="{00000000-0008-0000-3C00-00001B000000}"/>
            </a:ext>
          </a:extLst>
        </xdr:cNvPr>
        <xdr:cNvCxnSpPr/>
      </xdr:nvCxnSpPr>
      <xdr:spPr>
        <a:xfrm flipV="1">
          <a:off x="12353925" y="8807450"/>
          <a:ext cx="1044575" cy="122917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42</xdr:row>
      <xdr:rowOff>13607</xdr:rowOff>
    </xdr:from>
    <xdr:to>
      <xdr:col>15</xdr:col>
      <xdr:colOff>1020536</xdr:colOff>
      <xdr:row>49</xdr:row>
      <xdr:rowOff>149679</xdr:rowOff>
    </xdr:to>
    <xdr:cxnSp macro="">
      <xdr:nvCxnSpPr>
        <xdr:cNvPr id="28" name="Connecteur droit avec flèche 27">
          <a:extLst>
            <a:ext uri="{FF2B5EF4-FFF2-40B4-BE49-F238E27FC236}">
              <a16:creationId xmlns:a16="http://schemas.microsoft.com/office/drawing/2014/main" id="{00000000-0008-0000-3C00-00001C000000}"/>
            </a:ext>
          </a:extLst>
        </xdr:cNvPr>
        <xdr:cNvCxnSpPr/>
      </xdr:nvCxnSpPr>
      <xdr:spPr>
        <a:xfrm flipV="1">
          <a:off x="12353925" y="9900557"/>
          <a:ext cx="1020536" cy="153624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44</xdr:row>
      <xdr:rowOff>13607</xdr:rowOff>
    </xdr:from>
    <xdr:to>
      <xdr:col>16</xdr:col>
      <xdr:colOff>0</xdr:colOff>
      <xdr:row>57</xdr:row>
      <xdr:rowOff>10582</xdr:rowOff>
    </xdr:to>
    <xdr:cxnSp macro="">
      <xdr:nvCxnSpPr>
        <xdr:cNvPr id="29" name="Connecteur droit avec flèche 28">
          <a:extLst>
            <a:ext uri="{FF2B5EF4-FFF2-40B4-BE49-F238E27FC236}">
              <a16:creationId xmlns:a16="http://schemas.microsoft.com/office/drawing/2014/main" id="{00000000-0008-0000-3C00-00001D000000}"/>
            </a:ext>
          </a:extLst>
        </xdr:cNvPr>
        <xdr:cNvCxnSpPr/>
      </xdr:nvCxnSpPr>
      <xdr:spPr>
        <a:xfrm flipV="1">
          <a:off x="12353925" y="10300607"/>
          <a:ext cx="1047750" cy="259730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36</xdr:row>
      <xdr:rowOff>10583</xdr:rowOff>
    </xdr:from>
    <xdr:to>
      <xdr:col>16</xdr:col>
      <xdr:colOff>16934</xdr:colOff>
      <xdr:row>48</xdr:row>
      <xdr:rowOff>146050</xdr:rowOff>
    </xdr:to>
    <xdr:cxnSp macro="">
      <xdr:nvCxnSpPr>
        <xdr:cNvPr id="30" name="Connecteur droit avec flèche 29">
          <a:extLst>
            <a:ext uri="{FF2B5EF4-FFF2-40B4-BE49-F238E27FC236}">
              <a16:creationId xmlns:a16="http://schemas.microsoft.com/office/drawing/2014/main" id="{00000000-0008-0000-3C00-00001E000000}"/>
            </a:ext>
          </a:extLst>
        </xdr:cNvPr>
        <xdr:cNvCxnSpPr/>
      </xdr:nvCxnSpPr>
      <xdr:spPr>
        <a:xfrm>
          <a:off x="12370859" y="8697383"/>
          <a:ext cx="1047750" cy="25357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29634</xdr:colOff>
      <xdr:row>43</xdr:row>
      <xdr:rowOff>40216</xdr:rowOff>
    </xdr:from>
    <xdr:to>
      <xdr:col>16</xdr:col>
      <xdr:colOff>25400</xdr:colOff>
      <xdr:row>50</xdr:row>
      <xdr:rowOff>133350</xdr:rowOff>
    </xdr:to>
    <xdr:cxnSp macro="">
      <xdr:nvCxnSpPr>
        <xdr:cNvPr id="31" name="Connecteur droit avec flèche 30">
          <a:extLst>
            <a:ext uri="{FF2B5EF4-FFF2-40B4-BE49-F238E27FC236}">
              <a16:creationId xmlns:a16="http://schemas.microsoft.com/office/drawing/2014/main" id="{00000000-0008-0000-3C00-00001F000000}"/>
            </a:ext>
          </a:extLst>
        </xdr:cNvPr>
        <xdr:cNvCxnSpPr/>
      </xdr:nvCxnSpPr>
      <xdr:spPr>
        <a:xfrm>
          <a:off x="12383559" y="10127191"/>
          <a:ext cx="1043516" cy="149330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50</xdr:row>
      <xdr:rowOff>27516</xdr:rowOff>
    </xdr:from>
    <xdr:to>
      <xdr:col>16</xdr:col>
      <xdr:colOff>12700</xdr:colOff>
      <xdr:row>55</xdr:row>
      <xdr:rowOff>107950</xdr:rowOff>
    </xdr:to>
    <xdr:cxnSp macro="">
      <xdr:nvCxnSpPr>
        <xdr:cNvPr id="32" name="Connecteur droit avec flèche 31">
          <a:extLst>
            <a:ext uri="{FF2B5EF4-FFF2-40B4-BE49-F238E27FC236}">
              <a16:creationId xmlns:a16="http://schemas.microsoft.com/office/drawing/2014/main" id="{00000000-0008-0000-3C00-000020000000}"/>
            </a:ext>
          </a:extLst>
        </xdr:cNvPr>
        <xdr:cNvCxnSpPr/>
      </xdr:nvCxnSpPr>
      <xdr:spPr>
        <a:xfrm>
          <a:off x="12370859" y="11514666"/>
          <a:ext cx="1043516" cy="108055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57</xdr:row>
      <xdr:rowOff>10584</xdr:rowOff>
    </xdr:from>
    <xdr:to>
      <xdr:col>15</xdr:col>
      <xdr:colOff>1044575</xdr:colOff>
      <xdr:row>57</xdr:row>
      <xdr:rowOff>133350</xdr:rowOff>
    </xdr:to>
    <xdr:cxnSp macro="">
      <xdr:nvCxnSpPr>
        <xdr:cNvPr id="33" name="Connecteur droit avec flèche 32">
          <a:extLst>
            <a:ext uri="{FF2B5EF4-FFF2-40B4-BE49-F238E27FC236}">
              <a16:creationId xmlns:a16="http://schemas.microsoft.com/office/drawing/2014/main" id="{00000000-0008-0000-3C00-000021000000}"/>
            </a:ext>
          </a:extLst>
        </xdr:cNvPr>
        <xdr:cNvCxnSpPr/>
      </xdr:nvCxnSpPr>
      <xdr:spPr>
        <a:xfrm>
          <a:off x="12370859" y="12897909"/>
          <a:ext cx="1027641" cy="12276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34</xdr:row>
      <xdr:rowOff>120651</xdr:rowOff>
    </xdr:from>
    <xdr:to>
      <xdr:col>22</xdr:col>
      <xdr:colOff>12700</xdr:colOff>
      <xdr:row>36</xdr:row>
      <xdr:rowOff>0</xdr:rowOff>
    </xdr:to>
    <xdr:cxnSp macro="">
      <xdr:nvCxnSpPr>
        <xdr:cNvPr id="34" name="Connecteur droit avec flèche 33">
          <a:extLst>
            <a:ext uri="{FF2B5EF4-FFF2-40B4-BE49-F238E27FC236}">
              <a16:creationId xmlns:a16="http://schemas.microsoft.com/office/drawing/2014/main" id="{00000000-0008-0000-3C00-000022000000}"/>
            </a:ext>
          </a:extLst>
        </xdr:cNvPr>
        <xdr:cNvCxnSpPr/>
      </xdr:nvCxnSpPr>
      <xdr:spPr>
        <a:xfrm flipV="1">
          <a:off x="17871622" y="84074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36</xdr:row>
      <xdr:rowOff>120650</xdr:rowOff>
    </xdr:from>
    <xdr:to>
      <xdr:col>22</xdr:col>
      <xdr:colOff>12700</xdr:colOff>
      <xdr:row>43</xdr:row>
      <xdr:rowOff>2116</xdr:rowOff>
    </xdr:to>
    <xdr:cxnSp macro="">
      <xdr:nvCxnSpPr>
        <xdr:cNvPr id="35" name="Connecteur droit avec flèche 34">
          <a:extLst>
            <a:ext uri="{FF2B5EF4-FFF2-40B4-BE49-F238E27FC236}">
              <a16:creationId xmlns:a16="http://schemas.microsoft.com/office/drawing/2014/main" id="{00000000-0008-0000-3C00-000023000000}"/>
            </a:ext>
          </a:extLst>
        </xdr:cNvPr>
        <xdr:cNvCxnSpPr/>
      </xdr:nvCxnSpPr>
      <xdr:spPr>
        <a:xfrm flipV="1">
          <a:off x="17847733" y="88074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36</xdr:row>
      <xdr:rowOff>13607</xdr:rowOff>
    </xdr:from>
    <xdr:to>
      <xdr:col>21</xdr:col>
      <xdr:colOff>1060450</xdr:colOff>
      <xdr:row>41</xdr:row>
      <xdr:rowOff>103724</xdr:rowOff>
    </xdr:to>
    <xdr:cxnSp macro="">
      <xdr:nvCxnSpPr>
        <xdr:cNvPr id="36" name="Connecteur droit avec flèche 35">
          <a:extLst>
            <a:ext uri="{FF2B5EF4-FFF2-40B4-BE49-F238E27FC236}">
              <a16:creationId xmlns:a16="http://schemas.microsoft.com/office/drawing/2014/main" id="{00000000-0008-0000-3C00-000024000000}"/>
            </a:ext>
          </a:extLst>
        </xdr:cNvPr>
        <xdr:cNvCxnSpPr/>
      </xdr:nvCxnSpPr>
      <xdr:spPr>
        <a:xfrm>
          <a:off x="17844408" y="87004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43</xdr:row>
      <xdr:rowOff>2123</xdr:rowOff>
    </xdr:from>
    <xdr:to>
      <xdr:col>21</xdr:col>
      <xdr:colOff>1059392</xdr:colOff>
      <xdr:row>43</xdr:row>
      <xdr:rowOff>120656</xdr:rowOff>
    </xdr:to>
    <xdr:cxnSp macro="">
      <xdr:nvCxnSpPr>
        <xdr:cNvPr id="37" name="Connecteur droit avec flèche 36">
          <a:extLst>
            <a:ext uri="{FF2B5EF4-FFF2-40B4-BE49-F238E27FC236}">
              <a16:creationId xmlns:a16="http://schemas.microsoft.com/office/drawing/2014/main" id="{00000000-0008-0000-3C00-000025000000}"/>
            </a:ext>
          </a:extLst>
        </xdr:cNvPr>
        <xdr:cNvCxnSpPr/>
      </xdr:nvCxnSpPr>
      <xdr:spPr>
        <a:xfrm>
          <a:off x="17830800" y="100890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33867</xdr:colOff>
      <xdr:row>48</xdr:row>
      <xdr:rowOff>120650</xdr:rowOff>
    </xdr:from>
    <xdr:to>
      <xdr:col>22</xdr:col>
      <xdr:colOff>12700</xdr:colOff>
      <xdr:row>48</xdr:row>
      <xdr:rowOff>188383</xdr:rowOff>
    </xdr:to>
    <xdr:cxnSp macro="">
      <xdr:nvCxnSpPr>
        <xdr:cNvPr id="38" name="Connecteur droit avec flèche 37">
          <a:extLst>
            <a:ext uri="{FF2B5EF4-FFF2-40B4-BE49-F238E27FC236}">
              <a16:creationId xmlns:a16="http://schemas.microsoft.com/office/drawing/2014/main" id="{00000000-0008-0000-3C00-000026000000}"/>
            </a:ext>
          </a:extLst>
        </xdr:cNvPr>
        <xdr:cNvCxnSpPr/>
      </xdr:nvCxnSpPr>
      <xdr:spPr>
        <a:xfrm flipV="1">
          <a:off x="17864667" y="11207750"/>
          <a:ext cx="1036108" cy="67733"/>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50</xdr:row>
      <xdr:rowOff>120650</xdr:rowOff>
    </xdr:from>
    <xdr:to>
      <xdr:col>22</xdr:col>
      <xdr:colOff>12700</xdr:colOff>
      <xdr:row>57</xdr:row>
      <xdr:rowOff>2116</xdr:rowOff>
    </xdr:to>
    <xdr:cxnSp macro="">
      <xdr:nvCxnSpPr>
        <xdr:cNvPr id="39" name="Connecteur droit avec flèche 38">
          <a:extLst>
            <a:ext uri="{FF2B5EF4-FFF2-40B4-BE49-F238E27FC236}">
              <a16:creationId xmlns:a16="http://schemas.microsoft.com/office/drawing/2014/main" id="{00000000-0008-0000-3C00-000027000000}"/>
            </a:ext>
          </a:extLst>
        </xdr:cNvPr>
        <xdr:cNvCxnSpPr/>
      </xdr:nvCxnSpPr>
      <xdr:spPr>
        <a:xfrm flipV="1">
          <a:off x="17847733" y="11607800"/>
          <a:ext cx="1053042" cy="1281641"/>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48</xdr:row>
      <xdr:rowOff>188390</xdr:rowOff>
    </xdr:from>
    <xdr:to>
      <xdr:col>21</xdr:col>
      <xdr:colOff>1060450</xdr:colOff>
      <xdr:row>55</xdr:row>
      <xdr:rowOff>103724</xdr:rowOff>
    </xdr:to>
    <xdr:cxnSp macro="">
      <xdr:nvCxnSpPr>
        <xdr:cNvPr id="40" name="Connecteur droit avec flèche 39">
          <a:extLst>
            <a:ext uri="{FF2B5EF4-FFF2-40B4-BE49-F238E27FC236}">
              <a16:creationId xmlns:a16="http://schemas.microsoft.com/office/drawing/2014/main" id="{00000000-0008-0000-3C00-000028000000}"/>
            </a:ext>
          </a:extLst>
        </xdr:cNvPr>
        <xdr:cNvCxnSpPr/>
      </xdr:nvCxnSpPr>
      <xdr:spPr>
        <a:xfrm>
          <a:off x="17830800" y="11275490"/>
          <a:ext cx="1060450" cy="1315509"/>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57</xdr:row>
      <xdr:rowOff>2123</xdr:rowOff>
    </xdr:from>
    <xdr:to>
      <xdr:col>21</xdr:col>
      <xdr:colOff>1059392</xdr:colOff>
      <xdr:row>57</xdr:row>
      <xdr:rowOff>120656</xdr:rowOff>
    </xdr:to>
    <xdr:cxnSp macro="">
      <xdr:nvCxnSpPr>
        <xdr:cNvPr id="41" name="Connecteur droit avec flèche 40">
          <a:extLst>
            <a:ext uri="{FF2B5EF4-FFF2-40B4-BE49-F238E27FC236}">
              <a16:creationId xmlns:a16="http://schemas.microsoft.com/office/drawing/2014/main" id="{00000000-0008-0000-3C00-000029000000}"/>
            </a:ext>
          </a:extLst>
        </xdr:cNvPr>
        <xdr:cNvCxnSpPr/>
      </xdr:nvCxnSpPr>
      <xdr:spPr>
        <a:xfrm>
          <a:off x="17830800" y="12889448"/>
          <a:ext cx="1059392" cy="118533"/>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40822</xdr:colOff>
      <xdr:row>62</xdr:row>
      <xdr:rowOff>95250</xdr:rowOff>
    </xdr:from>
    <xdr:to>
      <xdr:col>16</xdr:col>
      <xdr:colOff>0</xdr:colOff>
      <xdr:row>63</xdr:row>
      <xdr:rowOff>176893</xdr:rowOff>
    </xdr:to>
    <xdr:cxnSp macro="">
      <xdr:nvCxnSpPr>
        <xdr:cNvPr id="58" name="Connecteur droit avec flèche 57">
          <a:extLst>
            <a:ext uri="{FF2B5EF4-FFF2-40B4-BE49-F238E27FC236}">
              <a16:creationId xmlns:a16="http://schemas.microsoft.com/office/drawing/2014/main" id="{00000000-0008-0000-3C00-00003A000000}"/>
            </a:ext>
          </a:extLst>
        </xdr:cNvPr>
        <xdr:cNvCxnSpPr/>
      </xdr:nvCxnSpPr>
      <xdr:spPr>
        <a:xfrm flipV="1">
          <a:off x="4508047" y="2781300"/>
          <a:ext cx="1006928" cy="28166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64</xdr:row>
      <xdr:rowOff>120650</xdr:rowOff>
    </xdr:from>
    <xdr:to>
      <xdr:col>15</xdr:col>
      <xdr:colOff>1044575</xdr:colOff>
      <xdr:row>70</xdr:row>
      <xdr:rowOff>149678</xdr:rowOff>
    </xdr:to>
    <xdr:cxnSp macro="">
      <xdr:nvCxnSpPr>
        <xdr:cNvPr id="59" name="Connecteur droit avec flèche 58">
          <a:extLst>
            <a:ext uri="{FF2B5EF4-FFF2-40B4-BE49-F238E27FC236}">
              <a16:creationId xmlns:a16="http://schemas.microsoft.com/office/drawing/2014/main" id="{00000000-0008-0000-3C00-00003B000000}"/>
            </a:ext>
          </a:extLst>
        </xdr:cNvPr>
        <xdr:cNvCxnSpPr/>
      </xdr:nvCxnSpPr>
      <xdr:spPr>
        <a:xfrm flipV="1">
          <a:off x="4467225" y="3206750"/>
          <a:ext cx="1044575" cy="1229178"/>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70</xdr:row>
      <xdr:rowOff>13607</xdr:rowOff>
    </xdr:from>
    <xdr:to>
      <xdr:col>15</xdr:col>
      <xdr:colOff>1020536</xdr:colOff>
      <xdr:row>77</xdr:row>
      <xdr:rowOff>149679</xdr:rowOff>
    </xdr:to>
    <xdr:cxnSp macro="">
      <xdr:nvCxnSpPr>
        <xdr:cNvPr id="60" name="Connecteur droit avec flèche 59">
          <a:extLst>
            <a:ext uri="{FF2B5EF4-FFF2-40B4-BE49-F238E27FC236}">
              <a16:creationId xmlns:a16="http://schemas.microsoft.com/office/drawing/2014/main" id="{00000000-0008-0000-3C00-00003C000000}"/>
            </a:ext>
          </a:extLst>
        </xdr:cNvPr>
        <xdr:cNvCxnSpPr/>
      </xdr:nvCxnSpPr>
      <xdr:spPr>
        <a:xfrm flipV="1">
          <a:off x="4467225" y="4299857"/>
          <a:ext cx="1020536" cy="1536247"/>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0</xdr:colOff>
      <xdr:row>72</xdr:row>
      <xdr:rowOff>13607</xdr:rowOff>
    </xdr:from>
    <xdr:to>
      <xdr:col>16</xdr:col>
      <xdr:colOff>0</xdr:colOff>
      <xdr:row>85</xdr:row>
      <xdr:rowOff>10582</xdr:rowOff>
    </xdr:to>
    <xdr:cxnSp macro="">
      <xdr:nvCxnSpPr>
        <xdr:cNvPr id="61" name="Connecteur droit avec flèche 60">
          <a:extLst>
            <a:ext uri="{FF2B5EF4-FFF2-40B4-BE49-F238E27FC236}">
              <a16:creationId xmlns:a16="http://schemas.microsoft.com/office/drawing/2014/main" id="{00000000-0008-0000-3C00-00003D000000}"/>
            </a:ext>
          </a:extLst>
        </xdr:cNvPr>
        <xdr:cNvCxnSpPr/>
      </xdr:nvCxnSpPr>
      <xdr:spPr>
        <a:xfrm flipV="1">
          <a:off x="4467225" y="4699907"/>
          <a:ext cx="1047750" cy="2597300"/>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64</xdr:row>
      <xdr:rowOff>10583</xdr:rowOff>
    </xdr:from>
    <xdr:to>
      <xdr:col>16</xdr:col>
      <xdr:colOff>16934</xdr:colOff>
      <xdr:row>76</xdr:row>
      <xdr:rowOff>146050</xdr:rowOff>
    </xdr:to>
    <xdr:cxnSp macro="">
      <xdr:nvCxnSpPr>
        <xdr:cNvPr id="62" name="Connecteur droit avec flèche 61">
          <a:extLst>
            <a:ext uri="{FF2B5EF4-FFF2-40B4-BE49-F238E27FC236}">
              <a16:creationId xmlns:a16="http://schemas.microsoft.com/office/drawing/2014/main" id="{00000000-0008-0000-3C00-00003E000000}"/>
            </a:ext>
          </a:extLst>
        </xdr:cNvPr>
        <xdr:cNvCxnSpPr/>
      </xdr:nvCxnSpPr>
      <xdr:spPr>
        <a:xfrm>
          <a:off x="4484159" y="3096683"/>
          <a:ext cx="1047750" cy="25357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29634</xdr:colOff>
      <xdr:row>71</xdr:row>
      <xdr:rowOff>40216</xdr:rowOff>
    </xdr:from>
    <xdr:to>
      <xdr:col>16</xdr:col>
      <xdr:colOff>25400</xdr:colOff>
      <xdr:row>78</xdr:row>
      <xdr:rowOff>133350</xdr:rowOff>
    </xdr:to>
    <xdr:cxnSp macro="">
      <xdr:nvCxnSpPr>
        <xdr:cNvPr id="63" name="Connecteur droit avec flèche 62">
          <a:extLst>
            <a:ext uri="{FF2B5EF4-FFF2-40B4-BE49-F238E27FC236}">
              <a16:creationId xmlns:a16="http://schemas.microsoft.com/office/drawing/2014/main" id="{00000000-0008-0000-3C00-00003F000000}"/>
            </a:ext>
          </a:extLst>
        </xdr:cNvPr>
        <xdr:cNvCxnSpPr/>
      </xdr:nvCxnSpPr>
      <xdr:spPr>
        <a:xfrm>
          <a:off x="4496859" y="4526491"/>
          <a:ext cx="1043516" cy="149330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78</xdr:row>
      <xdr:rowOff>27516</xdr:rowOff>
    </xdr:from>
    <xdr:to>
      <xdr:col>16</xdr:col>
      <xdr:colOff>12700</xdr:colOff>
      <xdr:row>83</xdr:row>
      <xdr:rowOff>107950</xdr:rowOff>
    </xdr:to>
    <xdr:cxnSp macro="">
      <xdr:nvCxnSpPr>
        <xdr:cNvPr id="64" name="Connecteur droit avec flèche 63">
          <a:extLst>
            <a:ext uri="{FF2B5EF4-FFF2-40B4-BE49-F238E27FC236}">
              <a16:creationId xmlns:a16="http://schemas.microsoft.com/office/drawing/2014/main" id="{00000000-0008-0000-3C00-000040000000}"/>
            </a:ext>
          </a:extLst>
        </xdr:cNvPr>
        <xdr:cNvCxnSpPr/>
      </xdr:nvCxnSpPr>
      <xdr:spPr>
        <a:xfrm>
          <a:off x="4484159" y="5913966"/>
          <a:ext cx="1043516" cy="108055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85</xdr:row>
      <xdr:rowOff>10584</xdr:rowOff>
    </xdr:from>
    <xdr:to>
      <xdr:col>15</xdr:col>
      <xdr:colOff>1044575</xdr:colOff>
      <xdr:row>85</xdr:row>
      <xdr:rowOff>133350</xdr:rowOff>
    </xdr:to>
    <xdr:cxnSp macro="">
      <xdr:nvCxnSpPr>
        <xdr:cNvPr id="65" name="Connecteur droit avec flèche 64">
          <a:extLst>
            <a:ext uri="{FF2B5EF4-FFF2-40B4-BE49-F238E27FC236}">
              <a16:creationId xmlns:a16="http://schemas.microsoft.com/office/drawing/2014/main" id="{00000000-0008-0000-3C00-000041000000}"/>
            </a:ext>
          </a:extLst>
        </xdr:cNvPr>
        <xdr:cNvCxnSpPr/>
      </xdr:nvCxnSpPr>
      <xdr:spPr>
        <a:xfrm>
          <a:off x="4484159" y="7297209"/>
          <a:ext cx="1027641" cy="122766"/>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62</xdr:row>
      <xdr:rowOff>120651</xdr:rowOff>
    </xdr:from>
    <xdr:to>
      <xdr:col>22</xdr:col>
      <xdr:colOff>12700</xdr:colOff>
      <xdr:row>64</xdr:row>
      <xdr:rowOff>0</xdr:rowOff>
    </xdr:to>
    <xdr:cxnSp macro="">
      <xdr:nvCxnSpPr>
        <xdr:cNvPr id="66" name="Connecteur droit avec flèche 65">
          <a:extLst>
            <a:ext uri="{FF2B5EF4-FFF2-40B4-BE49-F238E27FC236}">
              <a16:creationId xmlns:a16="http://schemas.microsoft.com/office/drawing/2014/main" id="{00000000-0008-0000-3C00-000042000000}"/>
            </a:ext>
          </a:extLst>
        </xdr:cNvPr>
        <xdr:cNvCxnSpPr/>
      </xdr:nvCxnSpPr>
      <xdr:spPr>
        <a:xfrm flipV="1">
          <a:off x="10080172" y="28067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64</xdr:row>
      <xdr:rowOff>120650</xdr:rowOff>
    </xdr:from>
    <xdr:to>
      <xdr:col>22</xdr:col>
      <xdr:colOff>12700</xdr:colOff>
      <xdr:row>71</xdr:row>
      <xdr:rowOff>2116</xdr:rowOff>
    </xdr:to>
    <xdr:cxnSp macro="">
      <xdr:nvCxnSpPr>
        <xdr:cNvPr id="67" name="Connecteur droit avec flèche 66">
          <a:extLst>
            <a:ext uri="{FF2B5EF4-FFF2-40B4-BE49-F238E27FC236}">
              <a16:creationId xmlns:a16="http://schemas.microsoft.com/office/drawing/2014/main" id="{00000000-0008-0000-3C00-000043000000}"/>
            </a:ext>
          </a:extLst>
        </xdr:cNvPr>
        <xdr:cNvCxnSpPr/>
      </xdr:nvCxnSpPr>
      <xdr:spPr>
        <a:xfrm flipV="1">
          <a:off x="10056283" y="32067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64</xdr:row>
      <xdr:rowOff>13607</xdr:rowOff>
    </xdr:from>
    <xdr:to>
      <xdr:col>21</xdr:col>
      <xdr:colOff>1060450</xdr:colOff>
      <xdr:row>69</xdr:row>
      <xdr:rowOff>103724</xdr:rowOff>
    </xdr:to>
    <xdr:cxnSp macro="">
      <xdr:nvCxnSpPr>
        <xdr:cNvPr id="68" name="Connecteur droit avec flèche 67">
          <a:extLst>
            <a:ext uri="{FF2B5EF4-FFF2-40B4-BE49-F238E27FC236}">
              <a16:creationId xmlns:a16="http://schemas.microsoft.com/office/drawing/2014/main" id="{00000000-0008-0000-3C00-000044000000}"/>
            </a:ext>
          </a:extLst>
        </xdr:cNvPr>
        <xdr:cNvCxnSpPr/>
      </xdr:nvCxnSpPr>
      <xdr:spPr>
        <a:xfrm>
          <a:off x="10052958" y="30997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71</xdr:row>
      <xdr:rowOff>2123</xdr:rowOff>
    </xdr:from>
    <xdr:to>
      <xdr:col>21</xdr:col>
      <xdr:colOff>1059392</xdr:colOff>
      <xdr:row>71</xdr:row>
      <xdr:rowOff>120656</xdr:rowOff>
    </xdr:to>
    <xdr:cxnSp macro="">
      <xdr:nvCxnSpPr>
        <xdr:cNvPr id="69" name="Connecteur droit avec flèche 68">
          <a:extLst>
            <a:ext uri="{FF2B5EF4-FFF2-40B4-BE49-F238E27FC236}">
              <a16:creationId xmlns:a16="http://schemas.microsoft.com/office/drawing/2014/main" id="{00000000-0008-0000-3C00-000045000000}"/>
            </a:ext>
          </a:extLst>
        </xdr:cNvPr>
        <xdr:cNvCxnSpPr/>
      </xdr:nvCxnSpPr>
      <xdr:spPr>
        <a:xfrm>
          <a:off x="10039350" y="44883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33867</xdr:colOff>
      <xdr:row>76</xdr:row>
      <xdr:rowOff>120650</xdr:rowOff>
    </xdr:from>
    <xdr:to>
      <xdr:col>22</xdr:col>
      <xdr:colOff>12700</xdr:colOff>
      <xdr:row>76</xdr:row>
      <xdr:rowOff>188383</xdr:rowOff>
    </xdr:to>
    <xdr:cxnSp macro="">
      <xdr:nvCxnSpPr>
        <xdr:cNvPr id="70" name="Connecteur droit avec flèche 69">
          <a:extLst>
            <a:ext uri="{FF2B5EF4-FFF2-40B4-BE49-F238E27FC236}">
              <a16:creationId xmlns:a16="http://schemas.microsoft.com/office/drawing/2014/main" id="{00000000-0008-0000-3C00-000046000000}"/>
            </a:ext>
          </a:extLst>
        </xdr:cNvPr>
        <xdr:cNvCxnSpPr/>
      </xdr:nvCxnSpPr>
      <xdr:spPr>
        <a:xfrm flipV="1">
          <a:off x="10073217" y="5607050"/>
          <a:ext cx="1036108" cy="67733"/>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78</xdr:row>
      <xdr:rowOff>120650</xdr:rowOff>
    </xdr:from>
    <xdr:to>
      <xdr:col>22</xdr:col>
      <xdr:colOff>12700</xdr:colOff>
      <xdr:row>85</xdr:row>
      <xdr:rowOff>2116</xdr:rowOff>
    </xdr:to>
    <xdr:cxnSp macro="">
      <xdr:nvCxnSpPr>
        <xdr:cNvPr id="71" name="Connecteur droit avec flèche 70">
          <a:extLst>
            <a:ext uri="{FF2B5EF4-FFF2-40B4-BE49-F238E27FC236}">
              <a16:creationId xmlns:a16="http://schemas.microsoft.com/office/drawing/2014/main" id="{00000000-0008-0000-3C00-000047000000}"/>
            </a:ext>
          </a:extLst>
        </xdr:cNvPr>
        <xdr:cNvCxnSpPr/>
      </xdr:nvCxnSpPr>
      <xdr:spPr>
        <a:xfrm flipV="1">
          <a:off x="10056283" y="6007100"/>
          <a:ext cx="1053042" cy="1281641"/>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76</xdr:row>
      <xdr:rowOff>188390</xdr:rowOff>
    </xdr:from>
    <xdr:to>
      <xdr:col>21</xdr:col>
      <xdr:colOff>1060450</xdr:colOff>
      <xdr:row>83</xdr:row>
      <xdr:rowOff>103724</xdr:rowOff>
    </xdr:to>
    <xdr:cxnSp macro="">
      <xdr:nvCxnSpPr>
        <xdr:cNvPr id="72" name="Connecteur droit avec flèche 71">
          <a:extLst>
            <a:ext uri="{FF2B5EF4-FFF2-40B4-BE49-F238E27FC236}">
              <a16:creationId xmlns:a16="http://schemas.microsoft.com/office/drawing/2014/main" id="{00000000-0008-0000-3C00-000048000000}"/>
            </a:ext>
          </a:extLst>
        </xdr:cNvPr>
        <xdr:cNvCxnSpPr/>
      </xdr:nvCxnSpPr>
      <xdr:spPr>
        <a:xfrm>
          <a:off x="10039350" y="5674790"/>
          <a:ext cx="1060450" cy="1315509"/>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85</xdr:row>
      <xdr:rowOff>2123</xdr:rowOff>
    </xdr:from>
    <xdr:to>
      <xdr:col>21</xdr:col>
      <xdr:colOff>1059392</xdr:colOff>
      <xdr:row>85</xdr:row>
      <xdr:rowOff>120656</xdr:rowOff>
    </xdr:to>
    <xdr:cxnSp macro="">
      <xdr:nvCxnSpPr>
        <xdr:cNvPr id="73" name="Connecteur droit avec flèche 72">
          <a:extLst>
            <a:ext uri="{FF2B5EF4-FFF2-40B4-BE49-F238E27FC236}">
              <a16:creationId xmlns:a16="http://schemas.microsoft.com/office/drawing/2014/main" id="{00000000-0008-0000-3C00-000049000000}"/>
            </a:ext>
          </a:extLst>
        </xdr:cNvPr>
        <xdr:cNvCxnSpPr/>
      </xdr:nvCxnSpPr>
      <xdr:spPr>
        <a:xfrm>
          <a:off x="10039350" y="7288748"/>
          <a:ext cx="1059392" cy="118533"/>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34</xdr:row>
      <xdr:rowOff>120651</xdr:rowOff>
    </xdr:from>
    <xdr:to>
      <xdr:col>22</xdr:col>
      <xdr:colOff>12700</xdr:colOff>
      <xdr:row>36</xdr:row>
      <xdr:rowOff>0</xdr:rowOff>
    </xdr:to>
    <xdr:cxnSp macro="">
      <xdr:nvCxnSpPr>
        <xdr:cNvPr id="74" name="Connecteur droit avec flèche 73">
          <a:extLst>
            <a:ext uri="{FF2B5EF4-FFF2-40B4-BE49-F238E27FC236}">
              <a16:creationId xmlns:a16="http://schemas.microsoft.com/office/drawing/2014/main" id="{00000000-0008-0000-3C00-00004A000000}"/>
            </a:ext>
          </a:extLst>
        </xdr:cNvPr>
        <xdr:cNvCxnSpPr/>
      </xdr:nvCxnSpPr>
      <xdr:spPr>
        <a:xfrm flipV="1">
          <a:off x="9937297" y="84074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36</xdr:row>
      <xdr:rowOff>120650</xdr:rowOff>
    </xdr:from>
    <xdr:to>
      <xdr:col>22</xdr:col>
      <xdr:colOff>12700</xdr:colOff>
      <xdr:row>43</xdr:row>
      <xdr:rowOff>2116</xdr:rowOff>
    </xdr:to>
    <xdr:cxnSp macro="">
      <xdr:nvCxnSpPr>
        <xdr:cNvPr id="75" name="Connecteur droit avec flèche 74">
          <a:extLst>
            <a:ext uri="{FF2B5EF4-FFF2-40B4-BE49-F238E27FC236}">
              <a16:creationId xmlns:a16="http://schemas.microsoft.com/office/drawing/2014/main" id="{00000000-0008-0000-3C00-00004B000000}"/>
            </a:ext>
          </a:extLst>
        </xdr:cNvPr>
        <xdr:cNvCxnSpPr/>
      </xdr:nvCxnSpPr>
      <xdr:spPr>
        <a:xfrm flipV="1">
          <a:off x="9913408" y="88074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13608</xdr:colOff>
      <xdr:row>36</xdr:row>
      <xdr:rowOff>13607</xdr:rowOff>
    </xdr:from>
    <xdr:to>
      <xdr:col>21</xdr:col>
      <xdr:colOff>1060450</xdr:colOff>
      <xdr:row>41</xdr:row>
      <xdr:rowOff>103724</xdr:rowOff>
    </xdr:to>
    <xdr:cxnSp macro="">
      <xdr:nvCxnSpPr>
        <xdr:cNvPr id="76" name="Connecteur droit avec flèche 75">
          <a:extLst>
            <a:ext uri="{FF2B5EF4-FFF2-40B4-BE49-F238E27FC236}">
              <a16:creationId xmlns:a16="http://schemas.microsoft.com/office/drawing/2014/main" id="{00000000-0008-0000-3C00-00004C000000}"/>
            </a:ext>
          </a:extLst>
        </xdr:cNvPr>
        <xdr:cNvCxnSpPr/>
      </xdr:nvCxnSpPr>
      <xdr:spPr>
        <a:xfrm>
          <a:off x="9910083" y="8700407"/>
          <a:ext cx="1046842" cy="1090242"/>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43</xdr:row>
      <xdr:rowOff>2123</xdr:rowOff>
    </xdr:from>
    <xdr:to>
      <xdr:col>21</xdr:col>
      <xdr:colOff>1059392</xdr:colOff>
      <xdr:row>43</xdr:row>
      <xdr:rowOff>120656</xdr:rowOff>
    </xdr:to>
    <xdr:cxnSp macro="">
      <xdr:nvCxnSpPr>
        <xdr:cNvPr id="77" name="Connecteur droit avec flèche 76">
          <a:extLst>
            <a:ext uri="{FF2B5EF4-FFF2-40B4-BE49-F238E27FC236}">
              <a16:creationId xmlns:a16="http://schemas.microsoft.com/office/drawing/2014/main" id="{00000000-0008-0000-3C00-00004D000000}"/>
            </a:ext>
          </a:extLst>
        </xdr:cNvPr>
        <xdr:cNvCxnSpPr/>
      </xdr:nvCxnSpPr>
      <xdr:spPr>
        <a:xfrm>
          <a:off x="9896475" y="10089098"/>
          <a:ext cx="1059392" cy="118533"/>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33867</xdr:colOff>
      <xdr:row>48</xdr:row>
      <xdr:rowOff>120650</xdr:rowOff>
    </xdr:from>
    <xdr:to>
      <xdr:col>22</xdr:col>
      <xdr:colOff>12700</xdr:colOff>
      <xdr:row>48</xdr:row>
      <xdr:rowOff>188383</xdr:rowOff>
    </xdr:to>
    <xdr:cxnSp macro="">
      <xdr:nvCxnSpPr>
        <xdr:cNvPr id="78" name="Connecteur droit avec flèche 77">
          <a:extLst>
            <a:ext uri="{FF2B5EF4-FFF2-40B4-BE49-F238E27FC236}">
              <a16:creationId xmlns:a16="http://schemas.microsoft.com/office/drawing/2014/main" id="{00000000-0008-0000-3C00-00004E000000}"/>
            </a:ext>
          </a:extLst>
        </xdr:cNvPr>
        <xdr:cNvCxnSpPr/>
      </xdr:nvCxnSpPr>
      <xdr:spPr>
        <a:xfrm flipV="1">
          <a:off x="9930342" y="11207750"/>
          <a:ext cx="1036108" cy="67733"/>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50</xdr:row>
      <xdr:rowOff>120650</xdr:rowOff>
    </xdr:from>
    <xdr:to>
      <xdr:col>22</xdr:col>
      <xdr:colOff>12700</xdr:colOff>
      <xdr:row>57</xdr:row>
      <xdr:rowOff>2116</xdr:rowOff>
    </xdr:to>
    <xdr:cxnSp macro="">
      <xdr:nvCxnSpPr>
        <xdr:cNvPr id="79" name="Connecteur droit avec flèche 78">
          <a:extLst>
            <a:ext uri="{FF2B5EF4-FFF2-40B4-BE49-F238E27FC236}">
              <a16:creationId xmlns:a16="http://schemas.microsoft.com/office/drawing/2014/main" id="{00000000-0008-0000-3C00-00004F000000}"/>
            </a:ext>
          </a:extLst>
        </xdr:cNvPr>
        <xdr:cNvCxnSpPr/>
      </xdr:nvCxnSpPr>
      <xdr:spPr>
        <a:xfrm flipV="1">
          <a:off x="9913408" y="11607800"/>
          <a:ext cx="1053042" cy="1281641"/>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48</xdr:row>
      <xdr:rowOff>188390</xdr:rowOff>
    </xdr:from>
    <xdr:to>
      <xdr:col>21</xdr:col>
      <xdr:colOff>1060450</xdr:colOff>
      <xdr:row>55</xdr:row>
      <xdr:rowOff>103724</xdr:rowOff>
    </xdr:to>
    <xdr:cxnSp macro="">
      <xdr:nvCxnSpPr>
        <xdr:cNvPr id="80" name="Connecteur droit avec flèche 79">
          <a:extLst>
            <a:ext uri="{FF2B5EF4-FFF2-40B4-BE49-F238E27FC236}">
              <a16:creationId xmlns:a16="http://schemas.microsoft.com/office/drawing/2014/main" id="{00000000-0008-0000-3C00-000050000000}"/>
            </a:ext>
          </a:extLst>
        </xdr:cNvPr>
        <xdr:cNvCxnSpPr/>
      </xdr:nvCxnSpPr>
      <xdr:spPr>
        <a:xfrm>
          <a:off x="9896475" y="11275490"/>
          <a:ext cx="1060450" cy="1315509"/>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57</xdr:row>
      <xdr:rowOff>2123</xdr:rowOff>
    </xdr:from>
    <xdr:to>
      <xdr:col>21</xdr:col>
      <xdr:colOff>1059392</xdr:colOff>
      <xdr:row>57</xdr:row>
      <xdr:rowOff>120656</xdr:rowOff>
    </xdr:to>
    <xdr:cxnSp macro="">
      <xdr:nvCxnSpPr>
        <xdr:cNvPr id="81" name="Connecteur droit avec flèche 80">
          <a:extLst>
            <a:ext uri="{FF2B5EF4-FFF2-40B4-BE49-F238E27FC236}">
              <a16:creationId xmlns:a16="http://schemas.microsoft.com/office/drawing/2014/main" id="{00000000-0008-0000-3C00-000051000000}"/>
            </a:ext>
          </a:extLst>
        </xdr:cNvPr>
        <xdr:cNvCxnSpPr/>
      </xdr:nvCxnSpPr>
      <xdr:spPr>
        <a:xfrm>
          <a:off x="9896475" y="12889448"/>
          <a:ext cx="1059392" cy="118533"/>
        </a:xfrm>
        <a:prstGeom prst="straightConnector1">
          <a:avLst/>
        </a:prstGeom>
        <a:ln>
          <a:solidFill>
            <a:srgbClr val="E46C0A"/>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36</xdr:row>
      <xdr:rowOff>10583</xdr:rowOff>
    </xdr:from>
    <xdr:to>
      <xdr:col>16</xdr:col>
      <xdr:colOff>16934</xdr:colOff>
      <xdr:row>48</xdr:row>
      <xdr:rowOff>146050</xdr:rowOff>
    </xdr:to>
    <xdr:cxnSp macro="">
      <xdr:nvCxnSpPr>
        <xdr:cNvPr id="82" name="Connecteur droit avec flèche 81">
          <a:extLst>
            <a:ext uri="{FF2B5EF4-FFF2-40B4-BE49-F238E27FC236}">
              <a16:creationId xmlns:a16="http://schemas.microsoft.com/office/drawing/2014/main" id="{00000000-0008-0000-3C00-000052000000}"/>
            </a:ext>
          </a:extLst>
        </xdr:cNvPr>
        <xdr:cNvCxnSpPr/>
      </xdr:nvCxnSpPr>
      <xdr:spPr>
        <a:xfrm>
          <a:off x="4436534" y="8697383"/>
          <a:ext cx="1047750" cy="25357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29634</xdr:colOff>
      <xdr:row>43</xdr:row>
      <xdr:rowOff>40216</xdr:rowOff>
    </xdr:from>
    <xdr:to>
      <xdr:col>16</xdr:col>
      <xdr:colOff>25400</xdr:colOff>
      <xdr:row>50</xdr:row>
      <xdr:rowOff>133350</xdr:rowOff>
    </xdr:to>
    <xdr:cxnSp macro="">
      <xdr:nvCxnSpPr>
        <xdr:cNvPr id="83" name="Connecteur droit avec flèche 82">
          <a:extLst>
            <a:ext uri="{FF2B5EF4-FFF2-40B4-BE49-F238E27FC236}">
              <a16:creationId xmlns:a16="http://schemas.microsoft.com/office/drawing/2014/main" id="{00000000-0008-0000-3C00-000053000000}"/>
            </a:ext>
          </a:extLst>
        </xdr:cNvPr>
        <xdr:cNvCxnSpPr/>
      </xdr:nvCxnSpPr>
      <xdr:spPr>
        <a:xfrm>
          <a:off x="4449234" y="10127191"/>
          <a:ext cx="1043516" cy="149330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50</xdr:row>
      <xdr:rowOff>27516</xdr:rowOff>
    </xdr:from>
    <xdr:to>
      <xdr:col>16</xdr:col>
      <xdr:colOff>12700</xdr:colOff>
      <xdr:row>55</xdr:row>
      <xdr:rowOff>107950</xdr:rowOff>
    </xdr:to>
    <xdr:cxnSp macro="">
      <xdr:nvCxnSpPr>
        <xdr:cNvPr id="84" name="Connecteur droit avec flèche 83">
          <a:extLst>
            <a:ext uri="{FF2B5EF4-FFF2-40B4-BE49-F238E27FC236}">
              <a16:creationId xmlns:a16="http://schemas.microsoft.com/office/drawing/2014/main" id="{00000000-0008-0000-3C00-000054000000}"/>
            </a:ext>
          </a:extLst>
        </xdr:cNvPr>
        <xdr:cNvCxnSpPr/>
      </xdr:nvCxnSpPr>
      <xdr:spPr>
        <a:xfrm>
          <a:off x="4436534" y="11514666"/>
          <a:ext cx="1043516" cy="108055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64</xdr:row>
      <xdr:rowOff>10583</xdr:rowOff>
    </xdr:from>
    <xdr:to>
      <xdr:col>16</xdr:col>
      <xdr:colOff>16934</xdr:colOff>
      <xdr:row>76</xdr:row>
      <xdr:rowOff>146050</xdr:rowOff>
    </xdr:to>
    <xdr:cxnSp macro="">
      <xdr:nvCxnSpPr>
        <xdr:cNvPr id="85" name="Connecteur droit avec flèche 84">
          <a:extLst>
            <a:ext uri="{FF2B5EF4-FFF2-40B4-BE49-F238E27FC236}">
              <a16:creationId xmlns:a16="http://schemas.microsoft.com/office/drawing/2014/main" id="{00000000-0008-0000-3C00-000055000000}"/>
            </a:ext>
          </a:extLst>
        </xdr:cNvPr>
        <xdr:cNvCxnSpPr/>
      </xdr:nvCxnSpPr>
      <xdr:spPr>
        <a:xfrm>
          <a:off x="4484159" y="3096683"/>
          <a:ext cx="1047750" cy="2535767"/>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29634</xdr:colOff>
      <xdr:row>71</xdr:row>
      <xdr:rowOff>40216</xdr:rowOff>
    </xdr:from>
    <xdr:to>
      <xdr:col>16</xdr:col>
      <xdr:colOff>25400</xdr:colOff>
      <xdr:row>78</xdr:row>
      <xdr:rowOff>133350</xdr:rowOff>
    </xdr:to>
    <xdr:cxnSp macro="">
      <xdr:nvCxnSpPr>
        <xdr:cNvPr id="86" name="Connecteur droit avec flèche 85">
          <a:extLst>
            <a:ext uri="{FF2B5EF4-FFF2-40B4-BE49-F238E27FC236}">
              <a16:creationId xmlns:a16="http://schemas.microsoft.com/office/drawing/2014/main" id="{00000000-0008-0000-3C00-000056000000}"/>
            </a:ext>
          </a:extLst>
        </xdr:cNvPr>
        <xdr:cNvCxnSpPr/>
      </xdr:nvCxnSpPr>
      <xdr:spPr>
        <a:xfrm>
          <a:off x="4496859" y="4526491"/>
          <a:ext cx="1043516" cy="149330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16934</xdr:colOff>
      <xdr:row>78</xdr:row>
      <xdr:rowOff>27516</xdr:rowOff>
    </xdr:from>
    <xdr:to>
      <xdr:col>16</xdr:col>
      <xdr:colOff>12700</xdr:colOff>
      <xdr:row>83</xdr:row>
      <xdr:rowOff>107950</xdr:rowOff>
    </xdr:to>
    <xdr:cxnSp macro="">
      <xdr:nvCxnSpPr>
        <xdr:cNvPr id="87" name="Connecteur droit avec flèche 86">
          <a:extLst>
            <a:ext uri="{FF2B5EF4-FFF2-40B4-BE49-F238E27FC236}">
              <a16:creationId xmlns:a16="http://schemas.microsoft.com/office/drawing/2014/main" id="{00000000-0008-0000-3C00-000057000000}"/>
            </a:ext>
          </a:extLst>
        </xdr:cNvPr>
        <xdr:cNvCxnSpPr/>
      </xdr:nvCxnSpPr>
      <xdr:spPr>
        <a:xfrm>
          <a:off x="4484159" y="5913966"/>
          <a:ext cx="1043516" cy="1080559"/>
        </a:xfrm>
        <a:prstGeom prst="straightConnector1">
          <a:avLst/>
        </a:prstGeom>
        <a:ln>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40822</xdr:colOff>
      <xdr:row>62</xdr:row>
      <xdr:rowOff>120651</xdr:rowOff>
    </xdr:from>
    <xdr:to>
      <xdr:col>22</xdr:col>
      <xdr:colOff>12700</xdr:colOff>
      <xdr:row>64</xdr:row>
      <xdr:rowOff>0</xdr:rowOff>
    </xdr:to>
    <xdr:cxnSp macro="">
      <xdr:nvCxnSpPr>
        <xdr:cNvPr id="88" name="Connecteur droit avec flèche 87">
          <a:extLst>
            <a:ext uri="{FF2B5EF4-FFF2-40B4-BE49-F238E27FC236}">
              <a16:creationId xmlns:a16="http://schemas.microsoft.com/office/drawing/2014/main" id="{00000000-0008-0000-3C00-000058000000}"/>
            </a:ext>
          </a:extLst>
        </xdr:cNvPr>
        <xdr:cNvCxnSpPr/>
      </xdr:nvCxnSpPr>
      <xdr:spPr>
        <a:xfrm flipV="1">
          <a:off x="10080172" y="2806701"/>
          <a:ext cx="1029153" cy="279399"/>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64</xdr:row>
      <xdr:rowOff>120650</xdr:rowOff>
    </xdr:from>
    <xdr:to>
      <xdr:col>22</xdr:col>
      <xdr:colOff>12700</xdr:colOff>
      <xdr:row>71</xdr:row>
      <xdr:rowOff>2116</xdr:rowOff>
    </xdr:to>
    <xdr:cxnSp macro="">
      <xdr:nvCxnSpPr>
        <xdr:cNvPr id="89" name="Connecteur droit avec flèche 88">
          <a:extLst>
            <a:ext uri="{FF2B5EF4-FFF2-40B4-BE49-F238E27FC236}">
              <a16:creationId xmlns:a16="http://schemas.microsoft.com/office/drawing/2014/main" id="{00000000-0008-0000-3C00-000059000000}"/>
            </a:ext>
          </a:extLst>
        </xdr:cNvPr>
        <xdr:cNvCxnSpPr/>
      </xdr:nvCxnSpPr>
      <xdr:spPr>
        <a:xfrm flipV="1">
          <a:off x="10056283" y="3206750"/>
          <a:ext cx="1053042" cy="1281641"/>
        </a:xfrm>
        <a:prstGeom prst="straightConnector1">
          <a:avLst/>
        </a:prstGeom>
        <a:ln>
          <a:solidFill>
            <a:srgbClr val="008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33867</xdr:colOff>
      <xdr:row>76</xdr:row>
      <xdr:rowOff>120650</xdr:rowOff>
    </xdr:from>
    <xdr:to>
      <xdr:col>22</xdr:col>
      <xdr:colOff>12700</xdr:colOff>
      <xdr:row>76</xdr:row>
      <xdr:rowOff>188383</xdr:rowOff>
    </xdr:to>
    <xdr:cxnSp macro="">
      <xdr:nvCxnSpPr>
        <xdr:cNvPr id="90" name="Connecteur droit avec flèche 89">
          <a:extLst>
            <a:ext uri="{FF2B5EF4-FFF2-40B4-BE49-F238E27FC236}">
              <a16:creationId xmlns:a16="http://schemas.microsoft.com/office/drawing/2014/main" id="{00000000-0008-0000-3C00-00005A000000}"/>
            </a:ext>
          </a:extLst>
        </xdr:cNvPr>
        <xdr:cNvCxnSpPr/>
      </xdr:nvCxnSpPr>
      <xdr:spPr>
        <a:xfrm flipV="1">
          <a:off x="10073217" y="5607050"/>
          <a:ext cx="1036108" cy="67733"/>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16933</xdr:colOff>
      <xdr:row>78</xdr:row>
      <xdr:rowOff>120650</xdr:rowOff>
    </xdr:from>
    <xdr:to>
      <xdr:col>22</xdr:col>
      <xdr:colOff>12700</xdr:colOff>
      <xdr:row>85</xdr:row>
      <xdr:rowOff>2116</xdr:rowOff>
    </xdr:to>
    <xdr:cxnSp macro="">
      <xdr:nvCxnSpPr>
        <xdr:cNvPr id="91" name="Connecteur droit avec flèche 90">
          <a:extLst>
            <a:ext uri="{FF2B5EF4-FFF2-40B4-BE49-F238E27FC236}">
              <a16:creationId xmlns:a16="http://schemas.microsoft.com/office/drawing/2014/main" id="{00000000-0008-0000-3C00-00005B000000}"/>
            </a:ext>
          </a:extLst>
        </xdr:cNvPr>
        <xdr:cNvCxnSpPr/>
      </xdr:nvCxnSpPr>
      <xdr:spPr>
        <a:xfrm flipV="1">
          <a:off x="10056283" y="6007100"/>
          <a:ext cx="1053042" cy="1281641"/>
        </a:xfrm>
        <a:prstGeom prst="straightConnector1">
          <a:avLst/>
        </a:prstGeom>
        <a:ln>
          <a:solidFill>
            <a:schemeClr val="accent3">
              <a:lumMod val="50000"/>
            </a:schemeClr>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19050</xdr:colOff>
      <xdr:row>0</xdr:row>
      <xdr:rowOff>9525</xdr:rowOff>
    </xdr:from>
    <xdr:to>
      <xdr:col>10</xdr:col>
      <xdr:colOff>390525</xdr:colOff>
      <xdr:row>1</xdr:row>
      <xdr:rowOff>0</xdr:rowOff>
    </xdr:to>
    <xdr:sp macro="" textlink="">
      <xdr:nvSpPr>
        <xdr:cNvPr id="9217" name="Text Box 1">
          <a:extLst>
            <a:ext uri="{FF2B5EF4-FFF2-40B4-BE49-F238E27FC236}">
              <a16:creationId xmlns:a16="http://schemas.microsoft.com/office/drawing/2014/main" id="{00000000-0008-0000-0500-000001240000}"/>
            </a:ext>
          </a:extLst>
        </xdr:cNvPr>
        <xdr:cNvSpPr txBox="1">
          <a:spLocks noChangeArrowheads="1"/>
        </xdr:cNvSpPr>
      </xdr:nvSpPr>
      <xdr:spPr bwMode="auto">
        <a:xfrm>
          <a:off x="247650" y="9525"/>
          <a:ext cx="10144125" cy="295275"/>
        </a:xfrm>
        <a:prstGeom prst="rect">
          <a:avLst/>
        </a:prstGeom>
        <a:solidFill>
          <a:srgbClr val="FF0000"/>
        </a:solidFill>
        <a:ln w="9525">
          <a:solidFill>
            <a:srgbClr val="000000"/>
          </a:solidFill>
          <a:miter lim="800000"/>
          <a:headEnd/>
          <a:tailEnd/>
        </a:ln>
      </xdr:spPr>
      <xdr:txBody>
        <a:bodyPr vertOverflow="clip" wrap="square" lIns="45720" tIns="36576" rIns="45720" bIns="0" anchor="t" upright="1"/>
        <a:lstStyle/>
        <a:p>
          <a:pPr algn="ctr" rtl="0">
            <a:defRPr sz="1000"/>
          </a:pPr>
          <a:r>
            <a:rPr lang="fr-FR" sz="1800" b="0" i="0" u="none" strike="noStrike" baseline="0">
              <a:solidFill>
                <a:srgbClr val="CCFFFF"/>
              </a:solidFill>
              <a:latin typeface="Arial"/>
              <a:cs typeface="Arial"/>
            </a:rPr>
            <a:t>Toute modification doit d'abord être effectuée sur la feuille "Listing"</a:t>
          </a:r>
          <a:endParaRPr lang="fr-F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6</xdr:col>
      <xdr:colOff>1114425</xdr:colOff>
      <xdr:row>4</xdr:row>
      <xdr:rowOff>57150</xdr:rowOff>
    </xdr:from>
    <xdr:to>
      <xdr:col>6</xdr:col>
      <xdr:colOff>2009775</xdr:colOff>
      <xdr:row>4</xdr:row>
      <xdr:rowOff>533400</xdr:rowOff>
    </xdr:to>
    <xdr:sp macro="[0]!jmk_export_podiums" textlink="">
      <xdr:nvSpPr>
        <xdr:cNvPr id="2" name="Rectangle à coins arrondis 1">
          <a:extLst>
            <a:ext uri="{FF2B5EF4-FFF2-40B4-BE49-F238E27FC236}">
              <a16:creationId xmlns:a16="http://schemas.microsoft.com/office/drawing/2014/main" id="{00000000-0008-0000-3D00-000002000000}"/>
            </a:ext>
          </a:extLst>
        </xdr:cNvPr>
        <xdr:cNvSpPr/>
      </xdr:nvSpPr>
      <xdr:spPr bwMode="auto">
        <a:xfrm>
          <a:off x="4343400" y="57150"/>
          <a:ext cx="895350" cy="476250"/>
        </a:xfrm>
        <a:prstGeom prst="roundRect">
          <a:avLst/>
        </a:prstGeom>
        <a:solidFill>
          <a:srgbClr val="00FF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Création Fichier BAC</a:t>
          </a:r>
        </a:p>
      </xdr:txBody>
    </xdr:sp>
    <xdr:clientData/>
  </xdr:twoCellAnchor>
  <xdr:twoCellAnchor>
    <xdr:from>
      <xdr:col>6</xdr:col>
      <xdr:colOff>2314575</xdr:colOff>
      <xdr:row>4</xdr:row>
      <xdr:rowOff>76200</xdr:rowOff>
    </xdr:from>
    <xdr:to>
      <xdr:col>7</xdr:col>
      <xdr:colOff>266700</xdr:colOff>
      <xdr:row>4</xdr:row>
      <xdr:rowOff>514350</xdr:rowOff>
    </xdr:to>
    <xdr:sp macro="[0]!jmk_RETOUR_MENU" textlink="">
      <xdr:nvSpPr>
        <xdr:cNvPr id="4" name="Rectangle à coins arrondis 3">
          <a:extLst>
            <a:ext uri="{FF2B5EF4-FFF2-40B4-BE49-F238E27FC236}">
              <a16:creationId xmlns:a16="http://schemas.microsoft.com/office/drawing/2014/main" id="{00000000-0008-0000-3D00-000004000000}"/>
            </a:ext>
          </a:extLst>
        </xdr:cNvPr>
        <xdr:cNvSpPr/>
      </xdr:nvSpPr>
      <xdr:spPr bwMode="auto">
        <a:xfrm>
          <a:off x="5543550" y="76200"/>
          <a:ext cx="800100" cy="43815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 MENUS</a:t>
          </a:r>
        </a:p>
      </xdr:txBody>
    </xdr:sp>
    <xdr:clientData fPrintsWithSheet="0"/>
  </xdr:twoCellAnchor>
  <xdr:twoCellAnchor editAs="oneCell">
    <xdr:from>
      <xdr:col>14</xdr:col>
      <xdr:colOff>57150</xdr:colOff>
      <xdr:row>7</xdr:row>
      <xdr:rowOff>104775</xdr:rowOff>
    </xdr:from>
    <xdr:to>
      <xdr:col>15</xdr:col>
      <xdr:colOff>720725</xdr:colOff>
      <xdr:row>9</xdr:row>
      <xdr:rowOff>68329</xdr:rowOff>
    </xdr:to>
    <xdr:pic>
      <xdr:nvPicPr>
        <xdr:cNvPr id="5" name="Image 4">
          <a:extLst>
            <a:ext uri="{FF2B5EF4-FFF2-40B4-BE49-F238E27FC236}">
              <a16:creationId xmlns:a16="http://schemas.microsoft.com/office/drawing/2014/main" id="{00000000-0008-0000-3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53900" y="1447800"/>
          <a:ext cx="1158875" cy="687454"/>
        </a:xfrm>
        <a:prstGeom prst="rect">
          <a:avLst/>
        </a:prstGeom>
      </xdr:spPr>
    </xdr:pic>
    <xdr:clientData/>
  </xdr:twoCellAnchor>
  <xdr:twoCellAnchor>
    <xdr:from>
      <xdr:col>7</xdr:col>
      <xdr:colOff>600075</xdr:colOff>
      <xdr:row>4</xdr:row>
      <xdr:rowOff>66675</xdr:rowOff>
    </xdr:from>
    <xdr:to>
      <xdr:col>8</xdr:col>
      <xdr:colOff>114300</xdr:colOff>
      <xdr:row>4</xdr:row>
      <xdr:rowOff>542925</xdr:rowOff>
    </xdr:to>
    <xdr:sp macro="[0]!jmk_export_LP_podiums" textlink="">
      <xdr:nvSpPr>
        <xdr:cNvPr id="6" name="Rectangle à coins arrondis 5">
          <a:extLst>
            <a:ext uri="{FF2B5EF4-FFF2-40B4-BE49-F238E27FC236}">
              <a16:creationId xmlns:a16="http://schemas.microsoft.com/office/drawing/2014/main" id="{00000000-0008-0000-3D00-000006000000}"/>
            </a:ext>
          </a:extLst>
        </xdr:cNvPr>
        <xdr:cNvSpPr/>
      </xdr:nvSpPr>
      <xdr:spPr bwMode="auto">
        <a:xfrm>
          <a:off x="7143750" y="66675"/>
          <a:ext cx="1276350" cy="476250"/>
        </a:xfrm>
        <a:prstGeom prst="roundRect">
          <a:avLst/>
        </a:prstGeom>
        <a:solidFill>
          <a:srgbClr val="E923EE"/>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Création Fichier BAC Filière PRO</a:t>
          </a:r>
        </a:p>
      </xdr:txBody>
    </xdr:sp>
    <xdr:clientData/>
  </xdr:twoCellAnchor>
</xdr:wsDr>
</file>

<file path=xl/drawings/drawing61.xml><?xml version="1.0" encoding="utf-8"?>
<xdr:wsDr xmlns:xdr="http://schemas.openxmlformats.org/drawingml/2006/spreadsheetDrawing" xmlns:a="http://schemas.openxmlformats.org/drawingml/2006/main">
  <xdr:twoCellAnchor editAs="oneCell">
    <xdr:from>
      <xdr:col>14</xdr:col>
      <xdr:colOff>176023</xdr:colOff>
      <xdr:row>2</xdr:row>
      <xdr:rowOff>142875</xdr:rowOff>
    </xdr:from>
    <xdr:to>
      <xdr:col>17</xdr:col>
      <xdr:colOff>123825</xdr:colOff>
      <xdr:row>4</xdr:row>
      <xdr:rowOff>209550</xdr:rowOff>
    </xdr:to>
    <xdr:pic>
      <xdr:nvPicPr>
        <xdr:cNvPr id="3" name="Image 1">
          <a:extLst>
            <a:ext uri="{FF2B5EF4-FFF2-40B4-BE49-F238E27FC236}">
              <a16:creationId xmlns:a16="http://schemas.microsoft.com/office/drawing/2014/main" id="{00000000-0008-0000-3E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386323" y="685800"/>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104775</xdr:colOff>
      <xdr:row>0</xdr:row>
      <xdr:rowOff>152399</xdr:rowOff>
    </xdr:from>
    <xdr:to>
      <xdr:col>13</xdr:col>
      <xdr:colOff>47625</xdr:colOff>
      <xdr:row>3</xdr:row>
      <xdr:rowOff>47625</xdr:rowOff>
    </xdr:to>
    <xdr:sp macro="[0]!jmk_RETOUR_MENU" textlink="">
      <xdr:nvSpPr>
        <xdr:cNvPr id="50" name="Rectangle à coins arrondis 49">
          <a:extLst>
            <a:ext uri="{FF2B5EF4-FFF2-40B4-BE49-F238E27FC236}">
              <a16:creationId xmlns:a16="http://schemas.microsoft.com/office/drawing/2014/main" id="{00000000-0008-0000-3E00-000032000000}"/>
            </a:ext>
          </a:extLst>
        </xdr:cNvPr>
        <xdr:cNvSpPr/>
      </xdr:nvSpPr>
      <xdr:spPr bwMode="auto">
        <a:xfrm>
          <a:off x="5153025" y="152399"/>
          <a:ext cx="628650" cy="600076"/>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 MENUS</a:t>
          </a:r>
        </a:p>
      </xdr:txBody>
    </xdr:sp>
    <xdr:clientData fPrintsWithSheet="0"/>
  </xdr:twoCellAnchor>
  <xdr:twoCellAnchor>
    <xdr:from>
      <xdr:col>13</xdr:col>
      <xdr:colOff>361950</xdr:colOff>
      <xdr:row>1</xdr:row>
      <xdr:rowOff>57150</xdr:rowOff>
    </xdr:from>
    <xdr:to>
      <xdr:col>16</xdr:col>
      <xdr:colOff>142875</xdr:colOff>
      <xdr:row>3</xdr:row>
      <xdr:rowOff>85726</xdr:rowOff>
    </xdr:to>
    <xdr:sp macro="[0]!jmk_imp_feuille" textlink="">
      <xdr:nvSpPr>
        <xdr:cNvPr id="51" name="Rectangle à coins arrondis 50">
          <a:extLst>
            <a:ext uri="{FF2B5EF4-FFF2-40B4-BE49-F238E27FC236}">
              <a16:creationId xmlns:a16="http://schemas.microsoft.com/office/drawing/2014/main" id="{00000000-0008-0000-3E00-000033000000}"/>
            </a:ext>
          </a:extLst>
        </xdr:cNvPr>
        <xdr:cNvSpPr/>
      </xdr:nvSpPr>
      <xdr:spPr bwMode="auto">
        <a:xfrm>
          <a:off x="6096000" y="219075"/>
          <a:ext cx="1228725" cy="600076"/>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200"/>
            <a:t>IMPRESSION</a:t>
          </a:r>
        </a:p>
      </xdr:txBody>
    </xdr:sp>
    <xdr:clientData fPrintsWithSheet="0"/>
  </xdr:twoCellAnchor>
  <xdr:twoCellAnchor>
    <xdr:from>
      <xdr:col>0</xdr:col>
      <xdr:colOff>104774</xdr:colOff>
      <xdr:row>26</xdr:row>
      <xdr:rowOff>50799</xdr:rowOff>
    </xdr:from>
    <xdr:to>
      <xdr:col>8</xdr:col>
      <xdr:colOff>209548</xdr:colOff>
      <xdr:row>30</xdr:row>
      <xdr:rowOff>117474</xdr:rowOff>
    </xdr:to>
    <xdr:sp macro="" textlink="">
      <xdr:nvSpPr>
        <xdr:cNvPr id="52" name="Rectangle à coins arrondis 51">
          <a:extLst>
            <a:ext uri="{FF2B5EF4-FFF2-40B4-BE49-F238E27FC236}">
              <a16:creationId xmlns:a16="http://schemas.microsoft.com/office/drawing/2014/main" id="{00000000-0008-0000-3E00-000034000000}"/>
            </a:ext>
          </a:extLst>
        </xdr:cNvPr>
        <xdr:cNvSpPr/>
      </xdr:nvSpPr>
      <xdr:spPr bwMode="auto">
        <a:xfrm>
          <a:off x="104774" y="9655174"/>
          <a:ext cx="2946399"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8</xdr:col>
      <xdr:colOff>342900</xdr:colOff>
      <xdr:row>26</xdr:row>
      <xdr:rowOff>50799</xdr:rowOff>
    </xdr:from>
    <xdr:to>
      <xdr:col>12</xdr:col>
      <xdr:colOff>323849</xdr:colOff>
      <xdr:row>30</xdr:row>
      <xdr:rowOff>117474</xdr:rowOff>
    </xdr:to>
    <xdr:sp macro="" textlink="">
      <xdr:nvSpPr>
        <xdr:cNvPr id="53" name="Rectangle à coins arrondis 52">
          <a:extLst>
            <a:ext uri="{FF2B5EF4-FFF2-40B4-BE49-F238E27FC236}">
              <a16:creationId xmlns:a16="http://schemas.microsoft.com/office/drawing/2014/main" id="{00000000-0008-0000-3E00-000035000000}"/>
            </a:ext>
          </a:extLst>
        </xdr:cNvPr>
        <xdr:cNvSpPr/>
      </xdr:nvSpPr>
      <xdr:spPr bwMode="auto">
        <a:xfrm>
          <a:off x="3184525" y="9655174"/>
          <a:ext cx="206057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12</xdr:col>
      <xdr:colOff>454026</xdr:colOff>
      <xdr:row>26</xdr:row>
      <xdr:rowOff>60324</xdr:rowOff>
    </xdr:from>
    <xdr:to>
      <xdr:col>17</xdr:col>
      <xdr:colOff>212725</xdr:colOff>
      <xdr:row>30</xdr:row>
      <xdr:rowOff>126999</xdr:rowOff>
    </xdr:to>
    <xdr:sp macro="" textlink="">
      <xdr:nvSpPr>
        <xdr:cNvPr id="54" name="Rectangle à coins arrondis 53">
          <a:extLst>
            <a:ext uri="{FF2B5EF4-FFF2-40B4-BE49-F238E27FC236}">
              <a16:creationId xmlns:a16="http://schemas.microsoft.com/office/drawing/2014/main" id="{00000000-0008-0000-3E00-000036000000}"/>
            </a:ext>
          </a:extLst>
        </xdr:cNvPr>
        <xdr:cNvSpPr/>
      </xdr:nvSpPr>
      <xdr:spPr bwMode="auto">
        <a:xfrm>
          <a:off x="5375276" y="9664699"/>
          <a:ext cx="206057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14</xdr:col>
      <xdr:colOff>176023</xdr:colOff>
      <xdr:row>34</xdr:row>
      <xdr:rowOff>142875</xdr:rowOff>
    </xdr:from>
    <xdr:ext cx="966977" cy="895350"/>
    <xdr:pic>
      <xdr:nvPicPr>
        <xdr:cNvPr id="203" name="Image 1">
          <a:extLst>
            <a:ext uri="{FF2B5EF4-FFF2-40B4-BE49-F238E27FC236}">
              <a16:creationId xmlns:a16="http://schemas.microsoft.com/office/drawing/2014/main" id="{00000000-0008-0000-3E00-0000C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386323" y="685800"/>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104774</xdr:colOff>
      <xdr:row>58</xdr:row>
      <xdr:rowOff>50799</xdr:rowOff>
    </xdr:from>
    <xdr:to>
      <xdr:col>8</xdr:col>
      <xdr:colOff>209548</xdr:colOff>
      <xdr:row>62</xdr:row>
      <xdr:rowOff>117474</xdr:rowOff>
    </xdr:to>
    <xdr:sp macro="" textlink="">
      <xdr:nvSpPr>
        <xdr:cNvPr id="206" name="Rectangle à coins arrondis 205">
          <a:extLst>
            <a:ext uri="{FF2B5EF4-FFF2-40B4-BE49-F238E27FC236}">
              <a16:creationId xmlns:a16="http://schemas.microsoft.com/office/drawing/2014/main" id="{00000000-0008-0000-3E00-0000CE000000}"/>
            </a:ext>
          </a:extLst>
        </xdr:cNvPr>
        <xdr:cNvSpPr/>
      </xdr:nvSpPr>
      <xdr:spPr bwMode="auto">
        <a:xfrm>
          <a:off x="104774" y="10080624"/>
          <a:ext cx="2933699"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8</xdr:col>
      <xdr:colOff>342900</xdr:colOff>
      <xdr:row>58</xdr:row>
      <xdr:rowOff>50799</xdr:rowOff>
    </xdr:from>
    <xdr:to>
      <xdr:col>12</xdr:col>
      <xdr:colOff>323849</xdr:colOff>
      <xdr:row>62</xdr:row>
      <xdr:rowOff>117474</xdr:rowOff>
    </xdr:to>
    <xdr:sp macro="" textlink="">
      <xdr:nvSpPr>
        <xdr:cNvPr id="207" name="Rectangle à coins arrondis 206">
          <a:extLst>
            <a:ext uri="{FF2B5EF4-FFF2-40B4-BE49-F238E27FC236}">
              <a16:creationId xmlns:a16="http://schemas.microsoft.com/office/drawing/2014/main" id="{00000000-0008-0000-3E00-0000CF000000}"/>
            </a:ext>
          </a:extLst>
        </xdr:cNvPr>
        <xdr:cNvSpPr/>
      </xdr:nvSpPr>
      <xdr:spPr bwMode="auto">
        <a:xfrm>
          <a:off x="3171825" y="10080624"/>
          <a:ext cx="206692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12</xdr:col>
      <xdr:colOff>454026</xdr:colOff>
      <xdr:row>58</xdr:row>
      <xdr:rowOff>60324</xdr:rowOff>
    </xdr:from>
    <xdr:to>
      <xdr:col>17</xdr:col>
      <xdr:colOff>212725</xdr:colOff>
      <xdr:row>62</xdr:row>
      <xdr:rowOff>126999</xdr:rowOff>
    </xdr:to>
    <xdr:sp macro="" textlink="">
      <xdr:nvSpPr>
        <xdr:cNvPr id="208" name="Rectangle à coins arrondis 207">
          <a:extLst>
            <a:ext uri="{FF2B5EF4-FFF2-40B4-BE49-F238E27FC236}">
              <a16:creationId xmlns:a16="http://schemas.microsoft.com/office/drawing/2014/main" id="{00000000-0008-0000-3E00-0000D0000000}"/>
            </a:ext>
          </a:extLst>
        </xdr:cNvPr>
        <xdr:cNvSpPr/>
      </xdr:nvSpPr>
      <xdr:spPr bwMode="auto">
        <a:xfrm>
          <a:off x="5368926" y="10090149"/>
          <a:ext cx="207327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14</xdr:col>
      <xdr:colOff>176023</xdr:colOff>
      <xdr:row>66</xdr:row>
      <xdr:rowOff>142875</xdr:rowOff>
    </xdr:from>
    <xdr:ext cx="966977" cy="895350"/>
    <xdr:pic>
      <xdr:nvPicPr>
        <xdr:cNvPr id="215" name="Image 1">
          <a:extLst>
            <a:ext uri="{FF2B5EF4-FFF2-40B4-BE49-F238E27FC236}">
              <a16:creationId xmlns:a16="http://schemas.microsoft.com/office/drawing/2014/main" id="{00000000-0008-0000-3E00-0000D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386323" y="11830050"/>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104774</xdr:colOff>
      <xdr:row>90</xdr:row>
      <xdr:rowOff>50799</xdr:rowOff>
    </xdr:from>
    <xdr:to>
      <xdr:col>8</xdr:col>
      <xdr:colOff>209548</xdr:colOff>
      <xdr:row>94</xdr:row>
      <xdr:rowOff>117474</xdr:rowOff>
    </xdr:to>
    <xdr:sp macro="" textlink="">
      <xdr:nvSpPr>
        <xdr:cNvPr id="216" name="Rectangle à coins arrondis 215">
          <a:extLst>
            <a:ext uri="{FF2B5EF4-FFF2-40B4-BE49-F238E27FC236}">
              <a16:creationId xmlns:a16="http://schemas.microsoft.com/office/drawing/2014/main" id="{00000000-0008-0000-3E00-0000D8000000}"/>
            </a:ext>
          </a:extLst>
        </xdr:cNvPr>
        <xdr:cNvSpPr/>
      </xdr:nvSpPr>
      <xdr:spPr bwMode="auto">
        <a:xfrm>
          <a:off x="104774" y="21224874"/>
          <a:ext cx="2933699"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8</xdr:col>
      <xdr:colOff>342900</xdr:colOff>
      <xdr:row>90</xdr:row>
      <xdr:rowOff>50799</xdr:rowOff>
    </xdr:from>
    <xdr:to>
      <xdr:col>12</xdr:col>
      <xdr:colOff>323849</xdr:colOff>
      <xdr:row>94</xdr:row>
      <xdr:rowOff>117474</xdr:rowOff>
    </xdr:to>
    <xdr:sp macro="" textlink="">
      <xdr:nvSpPr>
        <xdr:cNvPr id="217" name="Rectangle à coins arrondis 216">
          <a:extLst>
            <a:ext uri="{FF2B5EF4-FFF2-40B4-BE49-F238E27FC236}">
              <a16:creationId xmlns:a16="http://schemas.microsoft.com/office/drawing/2014/main" id="{00000000-0008-0000-3E00-0000D9000000}"/>
            </a:ext>
          </a:extLst>
        </xdr:cNvPr>
        <xdr:cNvSpPr/>
      </xdr:nvSpPr>
      <xdr:spPr bwMode="auto">
        <a:xfrm>
          <a:off x="3171825" y="21224874"/>
          <a:ext cx="206692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12</xdr:col>
      <xdr:colOff>454026</xdr:colOff>
      <xdr:row>90</xdr:row>
      <xdr:rowOff>60324</xdr:rowOff>
    </xdr:from>
    <xdr:to>
      <xdr:col>17</xdr:col>
      <xdr:colOff>212725</xdr:colOff>
      <xdr:row>94</xdr:row>
      <xdr:rowOff>126999</xdr:rowOff>
    </xdr:to>
    <xdr:sp macro="" textlink="">
      <xdr:nvSpPr>
        <xdr:cNvPr id="218" name="Rectangle à coins arrondis 217">
          <a:extLst>
            <a:ext uri="{FF2B5EF4-FFF2-40B4-BE49-F238E27FC236}">
              <a16:creationId xmlns:a16="http://schemas.microsoft.com/office/drawing/2014/main" id="{00000000-0008-0000-3E00-0000DA000000}"/>
            </a:ext>
          </a:extLst>
        </xdr:cNvPr>
        <xdr:cNvSpPr/>
      </xdr:nvSpPr>
      <xdr:spPr bwMode="auto">
        <a:xfrm>
          <a:off x="5368926" y="21234399"/>
          <a:ext cx="207327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14</xdr:col>
      <xdr:colOff>176023</xdr:colOff>
      <xdr:row>98</xdr:row>
      <xdr:rowOff>142875</xdr:rowOff>
    </xdr:from>
    <xdr:ext cx="966977" cy="895350"/>
    <xdr:pic>
      <xdr:nvPicPr>
        <xdr:cNvPr id="220" name="Image 1">
          <a:extLst>
            <a:ext uri="{FF2B5EF4-FFF2-40B4-BE49-F238E27FC236}">
              <a16:creationId xmlns:a16="http://schemas.microsoft.com/office/drawing/2014/main" id="{00000000-0008-0000-3E00-0000D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386323" y="11830050"/>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104774</xdr:colOff>
      <xdr:row>122</xdr:row>
      <xdr:rowOff>50799</xdr:rowOff>
    </xdr:from>
    <xdr:to>
      <xdr:col>8</xdr:col>
      <xdr:colOff>209548</xdr:colOff>
      <xdr:row>126</xdr:row>
      <xdr:rowOff>117474</xdr:rowOff>
    </xdr:to>
    <xdr:sp macro="" textlink="">
      <xdr:nvSpPr>
        <xdr:cNvPr id="221" name="Rectangle à coins arrondis 220">
          <a:extLst>
            <a:ext uri="{FF2B5EF4-FFF2-40B4-BE49-F238E27FC236}">
              <a16:creationId xmlns:a16="http://schemas.microsoft.com/office/drawing/2014/main" id="{00000000-0008-0000-3E00-0000DD000000}"/>
            </a:ext>
          </a:extLst>
        </xdr:cNvPr>
        <xdr:cNvSpPr/>
      </xdr:nvSpPr>
      <xdr:spPr bwMode="auto">
        <a:xfrm>
          <a:off x="104774" y="21224874"/>
          <a:ext cx="2933699"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8</xdr:col>
      <xdr:colOff>342900</xdr:colOff>
      <xdr:row>122</xdr:row>
      <xdr:rowOff>50799</xdr:rowOff>
    </xdr:from>
    <xdr:to>
      <xdr:col>12</xdr:col>
      <xdr:colOff>323849</xdr:colOff>
      <xdr:row>126</xdr:row>
      <xdr:rowOff>117474</xdr:rowOff>
    </xdr:to>
    <xdr:sp macro="" textlink="">
      <xdr:nvSpPr>
        <xdr:cNvPr id="222" name="Rectangle à coins arrondis 221">
          <a:extLst>
            <a:ext uri="{FF2B5EF4-FFF2-40B4-BE49-F238E27FC236}">
              <a16:creationId xmlns:a16="http://schemas.microsoft.com/office/drawing/2014/main" id="{00000000-0008-0000-3E00-0000DE000000}"/>
            </a:ext>
          </a:extLst>
        </xdr:cNvPr>
        <xdr:cNvSpPr/>
      </xdr:nvSpPr>
      <xdr:spPr bwMode="auto">
        <a:xfrm>
          <a:off x="3171825" y="21224874"/>
          <a:ext cx="206692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12</xdr:col>
      <xdr:colOff>454026</xdr:colOff>
      <xdr:row>122</xdr:row>
      <xdr:rowOff>60324</xdr:rowOff>
    </xdr:from>
    <xdr:to>
      <xdr:col>17</xdr:col>
      <xdr:colOff>212725</xdr:colOff>
      <xdr:row>126</xdr:row>
      <xdr:rowOff>126999</xdr:rowOff>
    </xdr:to>
    <xdr:sp macro="" textlink="">
      <xdr:nvSpPr>
        <xdr:cNvPr id="223" name="Rectangle à coins arrondis 222">
          <a:extLst>
            <a:ext uri="{FF2B5EF4-FFF2-40B4-BE49-F238E27FC236}">
              <a16:creationId xmlns:a16="http://schemas.microsoft.com/office/drawing/2014/main" id="{00000000-0008-0000-3E00-0000DF000000}"/>
            </a:ext>
          </a:extLst>
        </xdr:cNvPr>
        <xdr:cNvSpPr/>
      </xdr:nvSpPr>
      <xdr:spPr bwMode="auto">
        <a:xfrm>
          <a:off x="5368926" y="21234399"/>
          <a:ext cx="207327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14</xdr:col>
      <xdr:colOff>176023</xdr:colOff>
      <xdr:row>130</xdr:row>
      <xdr:rowOff>142875</xdr:rowOff>
    </xdr:from>
    <xdr:ext cx="966977" cy="895350"/>
    <xdr:pic>
      <xdr:nvPicPr>
        <xdr:cNvPr id="225" name="Image 1">
          <a:extLst>
            <a:ext uri="{FF2B5EF4-FFF2-40B4-BE49-F238E27FC236}">
              <a16:creationId xmlns:a16="http://schemas.microsoft.com/office/drawing/2014/main" id="{00000000-0008-0000-3E00-0000E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386323" y="22974300"/>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104774</xdr:colOff>
      <xdr:row>154</xdr:row>
      <xdr:rowOff>50799</xdr:rowOff>
    </xdr:from>
    <xdr:to>
      <xdr:col>8</xdr:col>
      <xdr:colOff>209548</xdr:colOff>
      <xdr:row>158</xdr:row>
      <xdr:rowOff>117474</xdr:rowOff>
    </xdr:to>
    <xdr:sp macro="" textlink="">
      <xdr:nvSpPr>
        <xdr:cNvPr id="226" name="Rectangle à coins arrondis 225">
          <a:extLst>
            <a:ext uri="{FF2B5EF4-FFF2-40B4-BE49-F238E27FC236}">
              <a16:creationId xmlns:a16="http://schemas.microsoft.com/office/drawing/2014/main" id="{00000000-0008-0000-3E00-0000E2000000}"/>
            </a:ext>
          </a:extLst>
        </xdr:cNvPr>
        <xdr:cNvSpPr/>
      </xdr:nvSpPr>
      <xdr:spPr bwMode="auto">
        <a:xfrm>
          <a:off x="104774" y="32369124"/>
          <a:ext cx="2933699"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8</xdr:col>
      <xdr:colOff>342900</xdr:colOff>
      <xdr:row>154</xdr:row>
      <xdr:rowOff>50799</xdr:rowOff>
    </xdr:from>
    <xdr:to>
      <xdr:col>12</xdr:col>
      <xdr:colOff>323849</xdr:colOff>
      <xdr:row>158</xdr:row>
      <xdr:rowOff>117474</xdr:rowOff>
    </xdr:to>
    <xdr:sp macro="" textlink="">
      <xdr:nvSpPr>
        <xdr:cNvPr id="227" name="Rectangle à coins arrondis 226">
          <a:extLst>
            <a:ext uri="{FF2B5EF4-FFF2-40B4-BE49-F238E27FC236}">
              <a16:creationId xmlns:a16="http://schemas.microsoft.com/office/drawing/2014/main" id="{00000000-0008-0000-3E00-0000E3000000}"/>
            </a:ext>
          </a:extLst>
        </xdr:cNvPr>
        <xdr:cNvSpPr/>
      </xdr:nvSpPr>
      <xdr:spPr bwMode="auto">
        <a:xfrm>
          <a:off x="3171825" y="32369124"/>
          <a:ext cx="206692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12</xdr:col>
      <xdr:colOff>454026</xdr:colOff>
      <xdr:row>154</xdr:row>
      <xdr:rowOff>60324</xdr:rowOff>
    </xdr:from>
    <xdr:to>
      <xdr:col>17</xdr:col>
      <xdr:colOff>212725</xdr:colOff>
      <xdr:row>158</xdr:row>
      <xdr:rowOff>126999</xdr:rowOff>
    </xdr:to>
    <xdr:sp macro="" textlink="">
      <xdr:nvSpPr>
        <xdr:cNvPr id="228" name="Rectangle à coins arrondis 227">
          <a:extLst>
            <a:ext uri="{FF2B5EF4-FFF2-40B4-BE49-F238E27FC236}">
              <a16:creationId xmlns:a16="http://schemas.microsoft.com/office/drawing/2014/main" id="{00000000-0008-0000-3E00-0000E4000000}"/>
            </a:ext>
          </a:extLst>
        </xdr:cNvPr>
        <xdr:cNvSpPr/>
      </xdr:nvSpPr>
      <xdr:spPr bwMode="auto">
        <a:xfrm>
          <a:off x="5368926" y="32378649"/>
          <a:ext cx="207327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14</xdr:col>
      <xdr:colOff>176023</xdr:colOff>
      <xdr:row>162</xdr:row>
      <xdr:rowOff>142875</xdr:rowOff>
    </xdr:from>
    <xdr:ext cx="966977" cy="895350"/>
    <xdr:pic>
      <xdr:nvPicPr>
        <xdr:cNvPr id="230" name="Image 1">
          <a:extLst>
            <a:ext uri="{FF2B5EF4-FFF2-40B4-BE49-F238E27FC236}">
              <a16:creationId xmlns:a16="http://schemas.microsoft.com/office/drawing/2014/main" id="{00000000-0008-0000-3E00-0000E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386323" y="11830050"/>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104774</xdr:colOff>
      <xdr:row>186</xdr:row>
      <xdr:rowOff>50799</xdr:rowOff>
    </xdr:from>
    <xdr:to>
      <xdr:col>8</xdr:col>
      <xdr:colOff>209548</xdr:colOff>
      <xdr:row>190</xdr:row>
      <xdr:rowOff>117474</xdr:rowOff>
    </xdr:to>
    <xdr:sp macro="" textlink="">
      <xdr:nvSpPr>
        <xdr:cNvPr id="231" name="Rectangle à coins arrondis 230">
          <a:extLst>
            <a:ext uri="{FF2B5EF4-FFF2-40B4-BE49-F238E27FC236}">
              <a16:creationId xmlns:a16="http://schemas.microsoft.com/office/drawing/2014/main" id="{00000000-0008-0000-3E00-0000E7000000}"/>
            </a:ext>
          </a:extLst>
        </xdr:cNvPr>
        <xdr:cNvSpPr/>
      </xdr:nvSpPr>
      <xdr:spPr bwMode="auto">
        <a:xfrm>
          <a:off x="104774" y="21224874"/>
          <a:ext cx="2933699"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8</xdr:col>
      <xdr:colOff>342900</xdr:colOff>
      <xdr:row>186</xdr:row>
      <xdr:rowOff>50799</xdr:rowOff>
    </xdr:from>
    <xdr:to>
      <xdr:col>12</xdr:col>
      <xdr:colOff>323849</xdr:colOff>
      <xdr:row>190</xdr:row>
      <xdr:rowOff>117474</xdr:rowOff>
    </xdr:to>
    <xdr:sp macro="" textlink="">
      <xdr:nvSpPr>
        <xdr:cNvPr id="232" name="Rectangle à coins arrondis 231">
          <a:extLst>
            <a:ext uri="{FF2B5EF4-FFF2-40B4-BE49-F238E27FC236}">
              <a16:creationId xmlns:a16="http://schemas.microsoft.com/office/drawing/2014/main" id="{00000000-0008-0000-3E00-0000E8000000}"/>
            </a:ext>
          </a:extLst>
        </xdr:cNvPr>
        <xdr:cNvSpPr/>
      </xdr:nvSpPr>
      <xdr:spPr bwMode="auto">
        <a:xfrm>
          <a:off x="3171825" y="21224874"/>
          <a:ext cx="206692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12</xdr:col>
      <xdr:colOff>454026</xdr:colOff>
      <xdr:row>186</xdr:row>
      <xdr:rowOff>60324</xdr:rowOff>
    </xdr:from>
    <xdr:to>
      <xdr:col>17</xdr:col>
      <xdr:colOff>212725</xdr:colOff>
      <xdr:row>190</xdr:row>
      <xdr:rowOff>126999</xdr:rowOff>
    </xdr:to>
    <xdr:sp macro="" textlink="">
      <xdr:nvSpPr>
        <xdr:cNvPr id="233" name="Rectangle à coins arrondis 232">
          <a:extLst>
            <a:ext uri="{FF2B5EF4-FFF2-40B4-BE49-F238E27FC236}">
              <a16:creationId xmlns:a16="http://schemas.microsoft.com/office/drawing/2014/main" id="{00000000-0008-0000-3E00-0000E9000000}"/>
            </a:ext>
          </a:extLst>
        </xdr:cNvPr>
        <xdr:cNvSpPr/>
      </xdr:nvSpPr>
      <xdr:spPr bwMode="auto">
        <a:xfrm>
          <a:off x="5368926" y="21234399"/>
          <a:ext cx="207327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14</xdr:col>
      <xdr:colOff>176023</xdr:colOff>
      <xdr:row>194</xdr:row>
      <xdr:rowOff>142875</xdr:rowOff>
    </xdr:from>
    <xdr:ext cx="966977" cy="895350"/>
    <xdr:pic>
      <xdr:nvPicPr>
        <xdr:cNvPr id="235" name="Image 1">
          <a:extLst>
            <a:ext uri="{FF2B5EF4-FFF2-40B4-BE49-F238E27FC236}">
              <a16:creationId xmlns:a16="http://schemas.microsoft.com/office/drawing/2014/main" id="{00000000-0008-0000-3E00-0000E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386323" y="22974300"/>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104774</xdr:colOff>
      <xdr:row>218</xdr:row>
      <xdr:rowOff>50799</xdr:rowOff>
    </xdr:from>
    <xdr:to>
      <xdr:col>8</xdr:col>
      <xdr:colOff>209548</xdr:colOff>
      <xdr:row>222</xdr:row>
      <xdr:rowOff>117474</xdr:rowOff>
    </xdr:to>
    <xdr:sp macro="" textlink="">
      <xdr:nvSpPr>
        <xdr:cNvPr id="236" name="Rectangle à coins arrondis 235">
          <a:extLst>
            <a:ext uri="{FF2B5EF4-FFF2-40B4-BE49-F238E27FC236}">
              <a16:creationId xmlns:a16="http://schemas.microsoft.com/office/drawing/2014/main" id="{00000000-0008-0000-3E00-0000EC000000}"/>
            </a:ext>
          </a:extLst>
        </xdr:cNvPr>
        <xdr:cNvSpPr/>
      </xdr:nvSpPr>
      <xdr:spPr bwMode="auto">
        <a:xfrm>
          <a:off x="104774" y="32369124"/>
          <a:ext cx="2933699"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8</xdr:col>
      <xdr:colOff>342900</xdr:colOff>
      <xdr:row>218</xdr:row>
      <xdr:rowOff>50799</xdr:rowOff>
    </xdr:from>
    <xdr:to>
      <xdr:col>12</xdr:col>
      <xdr:colOff>323849</xdr:colOff>
      <xdr:row>222</xdr:row>
      <xdr:rowOff>117474</xdr:rowOff>
    </xdr:to>
    <xdr:sp macro="" textlink="">
      <xdr:nvSpPr>
        <xdr:cNvPr id="237" name="Rectangle à coins arrondis 236">
          <a:extLst>
            <a:ext uri="{FF2B5EF4-FFF2-40B4-BE49-F238E27FC236}">
              <a16:creationId xmlns:a16="http://schemas.microsoft.com/office/drawing/2014/main" id="{00000000-0008-0000-3E00-0000ED000000}"/>
            </a:ext>
          </a:extLst>
        </xdr:cNvPr>
        <xdr:cNvSpPr/>
      </xdr:nvSpPr>
      <xdr:spPr bwMode="auto">
        <a:xfrm>
          <a:off x="3171825" y="32369124"/>
          <a:ext cx="206692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12</xdr:col>
      <xdr:colOff>454026</xdr:colOff>
      <xdr:row>218</xdr:row>
      <xdr:rowOff>60324</xdr:rowOff>
    </xdr:from>
    <xdr:to>
      <xdr:col>17</xdr:col>
      <xdr:colOff>212725</xdr:colOff>
      <xdr:row>222</xdr:row>
      <xdr:rowOff>126999</xdr:rowOff>
    </xdr:to>
    <xdr:sp macro="" textlink="">
      <xdr:nvSpPr>
        <xdr:cNvPr id="238" name="Rectangle à coins arrondis 237">
          <a:extLst>
            <a:ext uri="{FF2B5EF4-FFF2-40B4-BE49-F238E27FC236}">
              <a16:creationId xmlns:a16="http://schemas.microsoft.com/office/drawing/2014/main" id="{00000000-0008-0000-3E00-0000EE000000}"/>
            </a:ext>
          </a:extLst>
        </xdr:cNvPr>
        <xdr:cNvSpPr/>
      </xdr:nvSpPr>
      <xdr:spPr bwMode="auto">
        <a:xfrm>
          <a:off x="5368926" y="32378649"/>
          <a:ext cx="207327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14</xdr:col>
      <xdr:colOff>176023</xdr:colOff>
      <xdr:row>226</xdr:row>
      <xdr:rowOff>142875</xdr:rowOff>
    </xdr:from>
    <xdr:ext cx="966977" cy="895350"/>
    <xdr:pic>
      <xdr:nvPicPr>
        <xdr:cNvPr id="240" name="Image 1">
          <a:extLst>
            <a:ext uri="{FF2B5EF4-FFF2-40B4-BE49-F238E27FC236}">
              <a16:creationId xmlns:a16="http://schemas.microsoft.com/office/drawing/2014/main" id="{00000000-0008-0000-3E00-0000F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386323" y="34118550"/>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104774</xdr:colOff>
      <xdr:row>250</xdr:row>
      <xdr:rowOff>50799</xdr:rowOff>
    </xdr:from>
    <xdr:to>
      <xdr:col>8</xdr:col>
      <xdr:colOff>209548</xdr:colOff>
      <xdr:row>254</xdr:row>
      <xdr:rowOff>117474</xdr:rowOff>
    </xdr:to>
    <xdr:sp macro="" textlink="">
      <xdr:nvSpPr>
        <xdr:cNvPr id="241" name="Rectangle à coins arrondis 240">
          <a:extLst>
            <a:ext uri="{FF2B5EF4-FFF2-40B4-BE49-F238E27FC236}">
              <a16:creationId xmlns:a16="http://schemas.microsoft.com/office/drawing/2014/main" id="{00000000-0008-0000-3E00-0000F1000000}"/>
            </a:ext>
          </a:extLst>
        </xdr:cNvPr>
        <xdr:cNvSpPr/>
      </xdr:nvSpPr>
      <xdr:spPr bwMode="auto">
        <a:xfrm>
          <a:off x="104774" y="43513374"/>
          <a:ext cx="2933699"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8</xdr:col>
      <xdr:colOff>342900</xdr:colOff>
      <xdr:row>250</xdr:row>
      <xdr:rowOff>50799</xdr:rowOff>
    </xdr:from>
    <xdr:to>
      <xdr:col>12</xdr:col>
      <xdr:colOff>323849</xdr:colOff>
      <xdr:row>254</xdr:row>
      <xdr:rowOff>117474</xdr:rowOff>
    </xdr:to>
    <xdr:sp macro="" textlink="">
      <xdr:nvSpPr>
        <xdr:cNvPr id="242" name="Rectangle à coins arrondis 241">
          <a:extLst>
            <a:ext uri="{FF2B5EF4-FFF2-40B4-BE49-F238E27FC236}">
              <a16:creationId xmlns:a16="http://schemas.microsoft.com/office/drawing/2014/main" id="{00000000-0008-0000-3E00-0000F2000000}"/>
            </a:ext>
          </a:extLst>
        </xdr:cNvPr>
        <xdr:cNvSpPr/>
      </xdr:nvSpPr>
      <xdr:spPr bwMode="auto">
        <a:xfrm>
          <a:off x="3171825" y="43513374"/>
          <a:ext cx="206692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12</xdr:col>
      <xdr:colOff>454026</xdr:colOff>
      <xdr:row>250</xdr:row>
      <xdr:rowOff>60324</xdr:rowOff>
    </xdr:from>
    <xdr:to>
      <xdr:col>17</xdr:col>
      <xdr:colOff>212725</xdr:colOff>
      <xdr:row>254</xdr:row>
      <xdr:rowOff>126999</xdr:rowOff>
    </xdr:to>
    <xdr:sp macro="" textlink="">
      <xdr:nvSpPr>
        <xdr:cNvPr id="243" name="Rectangle à coins arrondis 242">
          <a:extLst>
            <a:ext uri="{FF2B5EF4-FFF2-40B4-BE49-F238E27FC236}">
              <a16:creationId xmlns:a16="http://schemas.microsoft.com/office/drawing/2014/main" id="{00000000-0008-0000-3E00-0000F3000000}"/>
            </a:ext>
          </a:extLst>
        </xdr:cNvPr>
        <xdr:cNvSpPr/>
      </xdr:nvSpPr>
      <xdr:spPr bwMode="auto">
        <a:xfrm>
          <a:off x="5368926" y="43522899"/>
          <a:ext cx="207327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14</xdr:col>
      <xdr:colOff>176023</xdr:colOff>
      <xdr:row>258</xdr:row>
      <xdr:rowOff>142875</xdr:rowOff>
    </xdr:from>
    <xdr:ext cx="966977" cy="895350"/>
    <xdr:pic>
      <xdr:nvPicPr>
        <xdr:cNvPr id="245" name="Image 1">
          <a:extLst>
            <a:ext uri="{FF2B5EF4-FFF2-40B4-BE49-F238E27FC236}">
              <a16:creationId xmlns:a16="http://schemas.microsoft.com/office/drawing/2014/main" id="{00000000-0008-0000-3E00-0000F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386323" y="45262800"/>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104774</xdr:colOff>
      <xdr:row>282</xdr:row>
      <xdr:rowOff>50799</xdr:rowOff>
    </xdr:from>
    <xdr:to>
      <xdr:col>8</xdr:col>
      <xdr:colOff>209548</xdr:colOff>
      <xdr:row>286</xdr:row>
      <xdr:rowOff>117474</xdr:rowOff>
    </xdr:to>
    <xdr:sp macro="" textlink="">
      <xdr:nvSpPr>
        <xdr:cNvPr id="246" name="Rectangle à coins arrondis 245">
          <a:extLst>
            <a:ext uri="{FF2B5EF4-FFF2-40B4-BE49-F238E27FC236}">
              <a16:creationId xmlns:a16="http://schemas.microsoft.com/office/drawing/2014/main" id="{00000000-0008-0000-3E00-0000F6000000}"/>
            </a:ext>
          </a:extLst>
        </xdr:cNvPr>
        <xdr:cNvSpPr/>
      </xdr:nvSpPr>
      <xdr:spPr bwMode="auto">
        <a:xfrm>
          <a:off x="104774" y="54657624"/>
          <a:ext cx="2933699"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8</xdr:col>
      <xdr:colOff>342900</xdr:colOff>
      <xdr:row>282</xdr:row>
      <xdr:rowOff>50799</xdr:rowOff>
    </xdr:from>
    <xdr:to>
      <xdr:col>12</xdr:col>
      <xdr:colOff>323849</xdr:colOff>
      <xdr:row>286</xdr:row>
      <xdr:rowOff>117474</xdr:rowOff>
    </xdr:to>
    <xdr:sp macro="" textlink="">
      <xdr:nvSpPr>
        <xdr:cNvPr id="247" name="Rectangle à coins arrondis 246">
          <a:extLst>
            <a:ext uri="{FF2B5EF4-FFF2-40B4-BE49-F238E27FC236}">
              <a16:creationId xmlns:a16="http://schemas.microsoft.com/office/drawing/2014/main" id="{00000000-0008-0000-3E00-0000F7000000}"/>
            </a:ext>
          </a:extLst>
        </xdr:cNvPr>
        <xdr:cNvSpPr/>
      </xdr:nvSpPr>
      <xdr:spPr bwMode="auto">
        <a:xfrm>
          <a:off x="3171825" y="54657624"/>
          <a:ext cx="206692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12</xdr:col>
      <xdr:colOff>454026</xdr:colOff>
      <xdr:row>282</xdr:row>
      <xdr:rowOff>60324</xdr:rowOff>
    </xdr:from>
    <xdr:to>
      <xdr:col>17</xdr:col>
      <xdr:colOff>212725</xdr:colOff>
      <xdr:row>286</xdr:row>
      <xdr:rowOff>126999</xdr:rowOff>
    </xdr:to>
    <xdr:sp macro="" textlink="">
      <xdr:nvSpPr>
        <xdr:cNvPr id="248" name="Rectangle à coins arrondis 247">
          <a:extLst>
            <a:ext uri="{FF2B5EF4-FFF2-40B4-BE49-F238E27FC236}">
              <a16:creationId xmlns:a16="http://schemas.microsoft.com/office/drawing/2014/main" id="{00000000-0008-0000-3E00-0000F8000000}"/>
            </a:ext>
          </a:extLst>
        </xdr:cNvPr>
        <xdr:cNvSpPr/>
      </xdr:nvSpPr>
      <xdr:spPr bwMode="auto">
        <a:xfrm>
          <a:off x="5368926" y="54667149"/>
          <a:ext cx="207327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14</xdr:col>
      <xdr:colOff>176023</xdr:colOff>
      <xdr:row>290</xdr:row>
      <xdr:rowOff>142875</xdr:rowOff>
    </xdr:from>
    <xdr:ext cx="966977" cy="895350"/>
    <xdr:pic>
      <xdr:nvPicPr>
        <xdr:cNvPr id="250" name="Image 1">
          <a:extLst>
            <a:ext uri="{FF2B5EF4-FFF2-40B4-BE49-F238E27FC236}">
              <a16:creationId xmlns:a16="http://schemas.microsoft.com/office/drawing/2014/main" id="{00000000-0008-0000-3E00-0000F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386323" y="11830050"/>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104774</xdr:colOff>
      <xdr:row>314</xdr:row>
      <xdr:rowOff>50799</xdr:rowOff>
    </xdr:from>
    <xdr:to>
      <xdr:col>8</xdr:col>
      <xdr:colOff>209548</xdr:colOff>
      <xdr:row>318</xdr:row>
      <xdr:rowOff>117474</xdr:rowOff>
    </xdr:to>
    <xdr:sp macro="" textlink="">
      <xdr:nvSpPr>
        <xdr:cNvPr id="251" name="Rectangle à coins arrondis 250">
          <a:extLst>
            <a:ext uri="{FF2B5EF4-FFF2-40B4-BE49-F238E27FC236}">
              <a16:creationId xmlns:a16="http://schemas.microsoft.com/office/drawing/2014/main" id="{00000000-0008-0000-3E00-0000FB000000}"/>
            </a:ext>
          </a:extLst>
        </xdr:cNvPr>
        <xdr:cNvSpPr/>
      </xdr:nvSpPr>
      <xdr:spPr bwMode="auto">
        <a:xfrm>
          <a:off x="104774" y="21224874"/>
          <a:ext cx="2933699"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8</xdr:col>
      <xdr:colOff>342900</xdr:colOff>
      <xdr:row>314</xdr:row>
      <xdr:rowOff>50799</xdr:rowOff>
    </xdr:from>
    <xdr:to>
      <xdr:col>12</xdr:col>
      <xdr:colOff>323849</xdr:colOff>
      <xdr:row>318</xdr:row>
      <xdr:rowOff>117474</xdr:rowOff>
    </xdr:to>
    <xdr:sp macro="" textlink="">
      <xdr:nvSpPr>
        <xdr:cNvPr id="252" name="Rectangle à coins arrondis 251">
          <a:extLst>
            <a:ext uri="{FF2B5EF4-FFF2-40B4-BE49-F238E27FC236}">
              <a16:creationId xmlns:a16="http://schemas.microsoft.com/office/drawing/2014/main" id="{00000000-0008-0000-3E00-0000FC000000}"/>
            </a:ext>
          </a:extLst>
        </xdr:cNvPr>
        <xdr:cNvSpPr/>
      </xdr:nvSpPr>
      <xdr:spPr bwMode="auto">
        <a:xfrm>
          <a:off x="3171825" y="21224874"/>
          <a:ext cx="206692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12</xdr:col>
      <xdr:colOff>454026</xdr:colOff>
      <xdr:row>314</xdr:row>
      <xdr:rowOff>60324</xdr:rowOff>
    </xdr:from>
    <xdr:to>
      <xdr:col>17</xdr:col>
      <xdr:colOff>212725</xdr:colOff>
      <xdr:row>318</xdr:row>
      <xdr:rowOff>126999</xdr:rowOff>
    </xdr:to>
    <xdr:sp macro="" textlink="">
      <xdr:nvSpPr>
        <xdr:cNvPr id="253" name="Rectangle à coins arrondis 252">
          <a:extLst>
            <a:ext uri="{FF2B5EF4-FFF2-40B4-BE49-F238E27FC236}">
              <a16:creationId xmlns:a16="http://schemas.microsoft.com/office/drawing/2014/main" id="{00000000-0008-0000-3E00-0000FD000000}"/>
            </a:ext>
          </a:extLst>
        </xdr:cNvPr>
        <xdr:cNvSpPr/>
      </xdr:nvSpPr>
      <xdr:spPr bwMode="auto">
        <a:xfrm>
          <a:off x="5368926" y="21234399"/>
          <a:ext cx="207327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14</xdr:col>
      <xdr:colOff>176023</xdr:colOff>
      <xdr:row>322</xdr:row>
      <xdr:rowOff>142875</xdr:rowOff>
    </xdr:from>
    <xdr:ext cx="966977" cy="895350"/>
    <xdr:pic>
      <xdr:nvPicPr>
        <xdr:cNvPr id="255" name="Image 1">
          <a:extLst>
            <a:ext uri="{FF2B5EF4-FFF2-40B4-BE49-F238E27FC236}">
              <a16:creationId xmlns:a16="http://schemas.microsoft.com/office/drawing/2014/main" id="{00000000-0008-0000-3E00-0000F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386323" y="22974300"/>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104774</xdr:colOff>
      <xdr:row>346</xdr:row>
      <xdr:rowOff>50799</xdr:rowOff>
    </xdr:from>
    <xdr:to>
      <xdr:col>8</xdr:col>
      <xdr:colOff>209548</xdr:colOff>
      <xdr:row>350</xdr:row>
      <xdr:rowOff>117474</xdr:rowOff>
    </xdr:to>
    <xdr:sp macro="" textlink="">
      <xdr:nvSpPr>
        <xdr:cNvPr id="256" name="Rectangle à coins arrondis 255">
          <a:extLst>
            <a:ext uri="{FF2B5EF4-FFF2-40B4-BE49-F238E27FC236}">
              <a16:creationId xmlns:a16="http://schemas.microsoft.com/office/drawing/2014/main" id="{00000000-0008-0000-3E00-000000010000}"/>
            </a:ext>
          </a:extLst>
        </xdr:cNvPr>
        <xdr:cNvSpPr/>
      </xdr:nvSpPr>
      <xdr:spPr bwMode="auto">
        <a:xfrm>
          <a:off x="104774" y="32369124"/>
          <a:ext cx="2933699"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8</xdr:col>
      <xdr:colOff>342900</xdr:colOff>
      <xdr:row>346</xdr:row>
      <xdr:rowOff>50799</xdr:rowOff>
    </xdr:from>
    <xdr:to>
      <xdr:col>12</xdr:col>
      <xdr:colOff>323849</xdr:colOff>
      <xdr:row>350</xdr:row>
      <xdr:rowOff>117474</xdr:rowOff>
    </xdr:to>
    <xdr:sp macro="" textlink="">
      <xdr:nvSpPr>
        <xdr:cNvPr id="257" name="Rectangle à coins arrondis 256">
          <a:extLst>
            <a:ext uri="{FF2B5EF4-FFF2-40B4-BE49-F238E27FC236}">
              <a16:creationId xmlns:a16="http://schemas.microsoft.com/office/drawing/2014/main" id="{00000000-0008-0000-3E00-000001010000}"/>
            </a:ext>
          </a:extLst>
        </xdr:cNvPr>
        <xdr:cNvSpPr/>
      </xdr:nvSpPr>
      <xdr:spPr bwMode="auto">
        <a:xfrm>
          <a:off x="3171825" y="32369124"/>
          <a:ext cx="206692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12</xdr:col>
      <xdr:colOff>454026</xdr:colOff>
      <xdr:row>346</xdr:row>
      <xdr:rowOff>60324</xdr:rowOff>
    </xdr:from>
    <xdr:to>
      <xdr:col>17</xdr:col>
      <xdr:colOff>212725</xdr:colOff>
      <xdr:row>350</xdr:row>
      <xdr:rowOff>126999</xdr:rowOff>
    </xdr:to>
    <xdr:sp macro="" textlink="">
      <xdr:nvSpPr>
        <xdr:cNvPr id="258" name="Rectangle à coins arrondis 257">
          <a:extLst>
            <a:ext uri="{FF2B5EF4-FFF2-40B4-BE49-F238E27FC236}">
              <a16:creationId xmlns:a16="http://schemas.microsoft.com/office/drawing/2014/main" id="{00000000-0008-0000-3E00-000002010000}"/>
            </a:ext>
          </a:extLst>
        </xdr:cNvPr>
        <xdr:cNvSpPr/>
      </xdr:nvSpPr>
      <xdr:spPr bwMode="auto">
        <a:xfrm>
          <a:off x="5368926" y="32378649"/>
          <a:ext cx="207327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14</xdr:col>
      <xdr:colOff>176023</xdr:colOff>
      <xdr:row>354</xdr:row>
      <xdr:rowOff>142875</xdr:rowOff>
    </xdr:from>
    <xdr:ext cx="966977" cy="895350"/>
    <xdr:pic>
      <xdr:nvPicPr>
        <xdr:cNvPr id="260" name="Image 1">
          <a:extLst>
            <a:ext uri="{FF2B5EF4-FFF2-40B4-BE49-F238E27FC236}">
              <a16:creationId xmlns:a16="http://schemas.microsoft.com/office/drawing/2014/main" id="{00000000-0008-0000-3E00-00000401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386323" y="34118550"/>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104774</xdr:colOff>
      <xdr:row>378</xdr:row>
      <xdr:rowOff>50799</xdr:rowOff>
    </xdr:from>
    <xdr:to>
      <xdr:col>8</xdr:col>
      <xdr:colOff>209548</xdr:colOff>
      <xdr:row>382</xdr:row>
      <xdr:rowOff>117474</xdr:rowOff>
    </xdr:to>
    <xdr:sp macro="" textlink="">
      <xdr:nvSpPr>
        <xdr:cNvPr id="261" name="Rectangle à coins arrondis 260">
          <a:extLst>
            <a:ext uri="{FF2B5EF4-FFF2-40B4-BE49-F238E27FC236}">
              <a16:creationId xmlns:a16="http://schemas.microsoft.com/office/drawing/2014/main" id="{00000000-0008-0000-3E00-000005010000}"/>
            </a:ext>
          </a:extLst>
        </xdr:cNvPr>
        <xdr:cNvSpPr/>
      </xdr:nvSpPr>
      <xdr:spPr bwMode="auto">
        <a:xfrm>
          <a:off x="104774" y="43513374"/>
          <a:ext cx="2933699"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8</xdr:col>
      <xdr:colOff>342900</xdr:colOff>
      <xdr:row>378</xdr:row>
      <xdr:rowOff>50799</xdr:rowOff>
    </xdr:from>
    <xdr:to>
      <xdr:col>12</xdr:col>
      <xdr:colOff>323849</xdr:colOff>
      <xdr:row>382</xdr:row>
      <xdr:rowOff>117474</xdr:rowOff>
    </xdr:to>
    <xdr:sp macro="" textlink="">
      <xdr:nvSpPr>
        <xdr:cNvPr id="262" name="Rectangle à coins arrondis 261">
          <a:extLst>
            <a:ext uri="{FF2B5EF4-FFF2-40B4-BE49-F238E27FC236}">
              <a16:creationId xmlns:a16="http://schemas.microsoft.com/office/drawing/2014/main" id="{00000000-0008-0000-3E00-000006010000}"/>
            </a:ext>
          </a:extLst>
        </xdr:cNvPr>
        <xdr:cNvSpPr/>
      </xdr:nvSpPr>
      <xdr:spPr bwMode="auto">
        <a:xfrm>
          <a:off x="3171825" y="43513374"/>
          <a:ext cx="206692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12</xdr:col>
      <xdr:colOff>454026</xdr:colOff>
      <xdr:row>378</xdr:row>
      <xdr:rowOff>60324</xdr:rowOff>
    </xdr:from>
    <xdr:to>
      <xdr:col>17</xdr:col>
      <xdr:colOff>212725</xdr:colOff>
      <xdr:row>382</xdr:row>
      <xdr:rowOff>126999</xdr:rowOff>
    </xdr:to>
    <xdr:sp macro="" textlink="">
      <xdr:nvSpPr>
        <xdr:cNvPr id="263" name="Rectangle à coins arrondis 262">
          <a:extLst>
            <a:ext uri="{FF2B5EF4-FFF2-40B4-BE49-F238E27FC236}">
              <a16:creationId xmlns:a16="http://schemas.microsoft.com/office/drawing/2014/main" id="{00000000-0008-0000-3E00-000007010000}"/>
            </a:ext>
          </a:extLst>
        </xdr:cNvPr>
        <xdr:cNvSpPr/>
      </xdr:nvSpPr>
      <xdr:spPr bwMode="auto">
        <a:xfrm>
          <a:off x="5368926" y="43522899"/>
          <a:ext cx="207327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14</xdr:col>
      <xdr:colOff>176023</xdr:colOff>
      <xdr:row>386</xdr:row>
      <xdr:rowOff>142875</xdr:rowOff>
    </xdr:from>
    <xdr:ext cx="966977" cy="895350"/>
    <xdr:pic>
      <xdr:nvPicPr>
        <xdr:cNvPr id="265" name="Image 1">
          <a:extLst>
            <a:ext uri="{FF2B5EF4-FFF2-40B4-BE49-F238E27FC236}">
              <a16:creationId xmlns:a16="http://schemas.microsoft.com/office/drawing/2014/main" id="{00000000-0008-0000-3E00-00000901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386323" y="45262800"/>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104774</xdr:colOff>
      <xdr:row>410</xdr:row>
      <xdr:rowOff>50799</xdr:rowOff>
    </xdr:from>
    <xdr:to>
      <xdr:col>8</xdr:col>
      <xdr:colOff>209548</xdr:colOff>
      <xdr:row>414</xdr:row>
      <xdr:rowOff>117474</xdr:rowOff>
    </xdr:to>
    <xdr:sp macro="" textlink="">
      <xdr:nvSpPr>
        <xdr:cNvPr id="266" name="Rectangle à coins arrondis 265">
          <a:extLst>
            <a:ext uri="{FF2B5EF4-FFF2-40B4-BE49-F238E27FC236}">
              <a16:creationId xmlns:a16="http://schemas.microsoft.com/office/drawing/2014/main" id="{00000000-0008-0000-3E00-00000A010000}"/>
            </a:ext>
          </a:extLst>
        </xdr:cNvPr>
        <xdr:cNvSpPr/>
      </xdr:nvSpPr>
      <xdr:spPr bwMode="auto">
        <a:xfrm>
          <a:off x="104774" y="54657624"/>
          <a:ext cx="2933699"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8</xdr:col>
      <xdr:colOff>342900</xdr:colOff>
      <xdr:row>410</xdr:row>
      <xdr:rowOff>50799</xdr:rowOff>
    </xdr:from>
    <xdr:to>
      <xdr:col>12</xdr:col>
      <xdr:colOff>323849</xdr:colOff>
      <xdr:row>414</xdr:row>
      <xdr:rowOff>117474</xdr:rowOff>
    </xdr:to>
    <xdr:sp macro="" textlink="">
      <xdr:nvSpPr>
        <xdr:cNvPr id="267" name="Rectangle à coins arrondis 266">
          <a:extLst>
            <a:ext uri="{FF2B5EF4-FFF2-40B4-BE49-F238E27FC236}">
              <a16:creationId xmlns:a16="http://schemas.microsoft.com/office/drawing/2014/main" id="{00000000-0008-0000-3E00-00000B010000}"/>
            </a:ext>
          </a:extLst>
        </xdr:cNvPr>
        <xdr:cNvSpPr/>
      </xdr:nvSpPr>
      <xdr:spPr bwMode="auto">
        <a:xfrm>
          <a:off x="3171825" y="54657624"/>
          <a:ext cx="206692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12</xdr:col>
      <xdr:colOff>454026</xdr:colOff>
      <xdr:row>410</xdr:row>
      <xdr:rowOff>60324</xdr:rowOff>
    </xdr:from>
    <xdr:to>
      <xdr:col>17</xdr:col>
      <xdr:colOff>212725</xdr:colOff>
      <xdr:row>414</xdr:row>
      <xdr:rowOff>126999</xdr:rowOff>
    </xdr:to>
    <xdr:sp macro="" textlink="">
      <xdr:nvSpPr>
        <xdr:cNvPr id="268" name="Rectangle à coins arrondis 267">
          <a:extLst>
            <a:ext uri="{FF2B5EF4-FFF2-40B4-BE49-F238E27FC236}">
              <a16:creationId xmlns:a16="http://schemas.microsoft.com/office/drawing/2014/main" id="{00000000-0008-0000-3E00-00000C010000}"/>
            </a:ext>
          </a:extLst>
        </xdr:cNvPr>
        <xdr:cNvSpPr/>
      </xdr:nvSpPr>
      <xdr:spPr bwMode="auto">
        <a:xfrm>
          <a:off x="5368926" y="54667149"/>
          <a:ext cx="207327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14</xdr:col>
      <xdr:colOff>176023</xdr:colOff>
      <xdr:row>418</xdr:row>
      <xdr:rowOff>142875</xdr:rowOff>
    </xdr:from>
    <xdr:ext cx="966977" cy="895350"/>
    <xdr:pic>
      <xdr:nvPicPr>
        <xdr:cNvPr id="270" name="Image 1">
          <a:extLst>
            <a:ext uri="{FF2B5EF4-FFF2-40B4-BE49-F238E27FC236}">
              <a16:creationId xmlns:a16="http://schemas.microsoft.com/office/drawing/2014/main" id="{00000000-0008-0000-3E00-00000E01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386323" y="56407050"/>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104774</xdr:colOff>
      <xdr:row>442</xdr:row>
      <xdr:rowOff>50799</xdr:rowOff>
    </xdr:from>
    <xdr:to>
      <xdr:col>8</xdr:col>
      <xdr:colOff>209548</xdr:colOff>
      <xdr:row>446</xdr:row>
      <xdr:rowOff>117474</xdr:rowOff>
    </xdr:to>
    <xdr:sp macro="" textlink="">
      <xdr:nvSpPr>
        <xdr:cNvPr id="271" name="Rectangle à coins arrondis 270">
          <a:extLst>
            <a:ext uri="{FF2B5EF4-FFF2-40B4-BE49-F238E27FC236}">
              <a16:creationId xmlns:a16="http://schemas.microsoft.com/office/drawing/2014/main" id="{00000000-0008-0000-3E00-00000F010000}"/>
            </a:ext>
          </a:extLst>
        </xdr:cNvPr>
        <xdr:cNvSpPr/>
      </xdr:nvSpPr>
      <xdr:spPr bwMode="auto">
        <a:xfrm>
          <a:off x="104774" y="65801874"/>
          <a:ext cx="2933699"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8</xdr:col>
      <xdr:colOff>342900</xdr:colOff>
      <xdr:row>442</xdr:row>
      <xdr:rowOff>50799</xdr:rowOff>
    </xdr:from>
    <xdr:to>
      <xdr:col>12</xdr:col>
      <xdr:colOff>323849</xdr:colOff>
      <xdr:row>446</xdr:row>
      <xdr:rowOff>117474</xdr:rowOff>
    </xdr:to>
    <xdr:sp macro="" textlink="">
      <xdr:nvSpPr>
        <xdr:cNvPr id="272" name="Rectangle à coins arrondis 271">
          <a:extLst>
            <a:ext uri="{FF2B5EF4-FFF2-40B4-BE49-F238E27FC236}">
              <a16:creationId xmlns:a16="http://schemas.microsoft.com/office/drawing/2014/main" id="{00000000-0008-0000-3E00-000010010000}"/>
            </a:ext>
          </a:extLst>
        </xdr:cNvPr>
        <xdr:cNvSpPr/>
      </xdr:nvSpPr>
      <xdr:spPr bwMode="auto">
        <a:xfrm>
          <a:off x="3171825" y="65801874"/>
          <a:ext cx="206692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12</xdr:col>
      <xdr:colOff>454026</xdr:colOff>
      <xdr:row>442</xdr:row>
      <xdr:rowOff>60324</xdr:rowOff>
    </xdr:from>
    <xdr:to>
      <xdr:col>17</xdr:col>
      <xdr:colOff>212725</xdr:colOff>
      <xdr:row>446</xdr:row>
      <xdr:rowOff>126999</xdr:rowOff>
    </xdr:to>
    <xdr:sp macro="" textlink="">
      <xdr:nvSpPr>
        <xdr:cNvPr id="273" name="Rectangle à coins arrondis 272">
          <a:extLst>
            <a:ext uri="{FF2B5EF4-FFF2-40B4-BE49-F238E27FC236}">
              <a16:creationId xmlns:a16="http://schemas.microsoft.com/office/drawing/2014/main" id="{00000000-0008-0000-3E00-000011010000}"/>
            </a:ext>
          </a:extLst>
        </xdr:cNvPr>
        <xdr:cNvSpPr/>
      </xdr:nvSpPr>
      <xdr:spPr bwMode="auto">
        <a:xfrm>
          <a:off x="5368926" y="65811399"/>
          <a:ext cx="207327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14</xdr:col>
      <xdr:colOff>176023</xdr:colOff>
      <xdr:row>450</xdr:row>
      <xdr:rowOff>142875</xdr:rowOff>
    </xdr:from>
    <xdr:ext cx="966977" cy="895350"/>
    <xdr:pic>
      <xdr:nvPicPr>
        <xdr:cNvPr id="275" name="Image 1">
          <a:extLst>
            <a:ext uri="{FF2B5EF4-FFF2-40B4-BE49-F238E27FC236}">
              <a16:creationId xmlns:a16="http://schemas.microsoft.com/office/drawing/2014/main" id="{00000000-0008-0000-3E00-00001301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386323" y="67551300"/>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104774</xdr:colOff>
      <xdr:row>474</xdr:row>
      <xdr:rowOff>50799</xdr:rowOff>
    </xdr:from>
    <xdr:to>
      <xdr:col>8</xdr:col>
      <xdr:colOff>209548</xdr:colOff>
      <xdr:row>478</xdr:row>
      <xdr:rowOff>117474</xdr:rowOff>
    </xdr:to>
    <xdr:sp macro="" textlink="">
      <xdr:nvSpPr>
        <xdr:cNvPr id="276" name="Rectangle à coins arrondis 275">
          <a:extLst>
            <a:ext uri="{FF2B5EF4-FFF2-40B4-BE49-F238E27FC236}">
              <a16:creationId xmlns:a16="http://schemas.microsoft.com/office/drawing/2014/main" id="{00000000-0008-0000-3E00-000014010000}"/>
            </a:ext>
          </a:extLst>
        </xdr:cNvPr>
        <xdr:cNvSpPr/>
      </xdr:nvSpPr>
      <xdr:spPr bwMode="auto">
        <a:xfrm>
          <a:off x="104774" y="76946124"/>
          <a:ext cx="2933699"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8</xdr:col>
      <xdr:colOff>342900</xdr:colOff>
      <xdr:row>474</xdr:row>
      <xdr:rowOff>50799</xdr:rowOff>
    </xdr:from>
    <xdr:to>
      <xdr:col>12</xdr:col>
      <xdr:colOff>323849</xdr:colOff>
      <xdr:row>478</xdr:row>
      <xdr:rowOff>117474</xdr:rowOff>
    </xdr:to>
    <xdr:sp macro="" textlink="">
      <xdr:nvSpPr>
        <xdr:cNvPr id="277" name="Rectangle à coins arrondis 276">
          <a:extLst>
            <a:ext uri="{FF2B5EF4-FFF2-40B4-BE49-F238E27FC236}">
              <a16:creationId xmlns:a16="http://schemas.microsoft.com/office/drawing/2014/main" id="{00000000-0008-0000-3E00-000015010000}"/>
            </a:ext>
          </a:extLst>
        </xdr:cNvPr>
        <xdr:cNvSpPr/>
      </xdr:nvSpPr>
      <xdr:spPr bwMode="auto">
        <a:xfrm>
          <a:off x="3171825" y="76946124"/>
          <a:ext cx="206692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12</xdr:col>
      <xdr:colOff>454026</xdr:colOff>
      <xdr:row>474</xdr:row>
      <xdr:rowOff>60324</xdr:rowOff>
    </xdr:from>
    <xdr:to>
      <xdr:col>17</xdr:col>
      <xdr:colOff>212725</xdr:colOff>
      <xdr:row>478</xdr:row>
      <xdr:rowOff>126999</xdr:rowOff>
    </xdr:to>
    <xdr:sp macro="" textlink="">
      <xdr:nvSpPr>
        <xdr:cNvPr id="278" name="Rectangle à coins arrondis 277">
          <a:extLst>
            <a:ext uri="{FF2B5EF4-FFF2-40B4-BE49-F238E27FC236}">
              <a16:creationId xmlns:a16="http://schemas.microsoft.com/office/drawing/2014/main" id="{00000000-0008-0000-3E00-000016010000}"/>
            </a:ext>
          </a:extLst>
        </xdr:cNvPr>
        <xdr:cNvSpPr/>
      </xdr:nvSpPr>
      <xdr:spPr bwMode="auto">
        <a:xfrm>
          <a:off x="5368926" y="76955649"/>
          <a:ext cx="207327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14</xdr:col>
      <xdr:colOff>176023</xdr:colOff>
      <xdr:row>482</xdr:row>
      <xdr:rowOff>142875</xdr:rowOff>
    </xdr:from>
    <xdr:ext cx="966977" cy="895350"/>
    <xdr:pic>
      <xdr:nvPicPr>
        <xdr:cNvPr id="280" name="Image 1">
          <a:extLst>
            <a:ext uri="{FF2B5EF4-FFF2-40B4-BE49-F238E27FC236}">
              <a16:creationId xmlns:a16="http://schemas.microsoft.com/office/drawing/2014/main" id="{00000000-0008-0000-3E00-00001801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386323" y="78695550"/>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104774</xdr:colOff>
      <xdr:row>506</xdr:row>
      <xdr:rowOff>50799</xdr:rowOff>
    </xdr:from>
    <xdr:to>
      <xdr:col>8</xdr:col>
      <xdr:colOff>209548</xdr:colOff>
      <xdr:row>510</xdr:row>
      <xdr:rowOff>117474</xdr:rowOff>
    </xdr:to>
    <xdr:sp macro="" textlink="">
      <xdr:nvSpPr>
        <xdr:cNvPr id="281" name="Rectangle à coins arrondis 280">
          <a:extLst>
            <a:ext uri="{FF2B5EF4-FFF2-40B4-BE49-F238E27FC236}">
              <a16:creationId xmlns:a16="http://schemas.microsoft.com/office/drawing/2014/main" id="{00000000-0008-0000-3E00-000019010000}"/>
            </a:ext>
          </a:extLst>
        </xdr:cNvPr>
        <xdr:cNvSpPr/>
      </xdr:nvSpPr>
      <xdr:spPr bwMode="auto">
        <a:xfrm>
          <a:off x="104774" y="88090374"/>
          <a:ext cx="2933699"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8</xdr:col>
      <xdr:colOff>342900</xdr:colOff>
      <xdr:row>506</xdr:row>
      <xdr:rowOff>50799</xdr:rowOff>
    </xdr:from>
    <xdr:to>
      <xdr:col>12</xdr:col>
      <xdr:colOff>323849</xdr:colOff>
      <xdr:row>510</xdr:row>
      <xdr:rowOff>117474</xdr:rowOff>
    </xdr:to>
    <xdr:sp macro="" textlink="">
      <xdr:nvSpPr>
        <xdr:cNvPr id="282" name="Rectangle à coins arrondis 281">
          <a:extLst>
            <a:ext uri="{FF2B5EF4-FFF2-40B4-BE49-F238E27FC236}">
              <a16:creationId xmlns:a16="http://schemas.microsoft.com/office/drawing/2014/main" id="{00000000-0008-0000-3E00-00001A010000}"/>
            </a:ext>
          </a:extLst>
        </xdr:cNvPr>
        <xdr:cNvSpPr/>
      </xdr:nvSpPr>
      <xdr:spPr bwMode="auto">
        <a:xfrm>
          <a:off x="3171825" y="88090374"/>
          <a:ext cx="206692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12</xdr:col>
      <xdr:colOff>454026</xdr:colOff>
      <xdr:row>506</xdr:row>
      <xdr:rowOff>60324</xdr:rowOff>
    </xdr:from>
    <xdr:to>
      <xdr:col>17</xdr:col>
      <xdr:colOff>212725</xdr:colOff>
      <xdr:row>510</xdr:row>
      <xdr:rowOff>126999</xdr:rowOff>
    </xdr:to>
    <xdr:sp macro="" textlink="">
      <xdr:nvSpPr>
        <xdr:cNvPr id="283" name="Rectangle à coins arrondis 282">
          <a:extLst>
            <a:ext uri="{FF2B5EF4-FFF2-40B4-BE49-F238E27FC236}">
              <a16:creationId xmlns:a16="http://schemas.microsoft.com/office/drawing/2014/main" id="{00000000-0008-0000-3E00-00001B010000}"/>
            </a:ext>
          </a:extLst>
        </xdr:cNvPr>
        <xdr:cNvSpPr/>
      </xdr:nvSpPr>
      <xdr:spPr bwMode="auto">
        <a:xfrm>
          <a:off x="5368926" y="88099899"/>
          <a:ext cx="207327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14</xdr:col>
      <xdr:colOff>176023</xdr:colOff>
      <xdr:row>514</xdr:row>
      <xdr:rowOff>142875</xdr:rowOff>
    </xdr:from>
    <xdr:ext cx="966977" cy="895350"/>
    <xdr:pic>
      <xdr:nvPicPr>
        <xdr:cNvPr id="285" name="Image 1">
          <a:extLst>
            <a:ext uri="{FF2B5EF4-FFF2-40B4-BE49-F238E27FC236}">
              <a16:creationId xmlns:a16="http://schemas.microsoft.com/office/drawing/2014/main" id="{00000000-0008-0000-3E00-00001D01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386323" y="89839800"/>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104774</xdr:colOff>
      <xdr:row>538</xdr:row>
      <xdr:rowOff>50799</xdr:rowOff>
    </xdr:from>
    <xdr:to>
      <xdr:col>8</xdr:col>
      <xdr:colOff>209548</xdr:colOff>
      <xdr:row>542</xdr:row>
      <xdr:rowOff>117474</xdr:rowOff>
    </xdr:to>
    <xdr:sp macro="" textlink="">
      <xdr:nvSpPr>
        <xdr:cNvPr id="286" name="Rectangle à coins arrondis 285">
          <a:extLst>
            <a:ext uri="{FF2B5EF4-FFF2-40B4-BE49-F238E27FC236}">
              <a16:creationId xmlns:a16="http://schemas.microsoft.com/office/drawing/2014/main" id="{00000000-0008-0000-3E00-00001E010000}"/>
            </a:ext>
          </a:extLst>
        </xdr:cNvPr>
        <xdr:cNvSpPr/>
      </xdr:nvSpPr>
      <xdr:spPr bwMode="auto">
        <a:xfrm>
          <a:off x="104774" y="99234624"/>
          <a:ext cx="2933699"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8</xdr:col>
      <xdr:colOff>342900</xdr:colOff>
      <xdr:row>538</xdr:row>
      <xdr:rowOff>50799</xdr:rowOff>
    </xdr:from>
    <xdr:to>
      <xdr:col>12</xdr:col>
      <xdr:colOff>323849</xdr:colOff>
      <xdr:row>542</xdr:row>
      <xdr:rowOff>117474</xdr:rowOff>
    </xdr:to>
    <xdr:sp macro="" textlink="">
      <xdr:nvSpPr>
        <xdr:cNvPr id="287" name="Rectangle à coins arrondis 286">
          <a:extLst>
            <a:ext uri="{FF2B5EF4-FFF2-40B4-BE49-F238E27FC236}">
              <a16:creationId xmlns:a16="http://schemas.microsoft.com/office/drawing/2014/main" id="{00000000-0008-0000-3E00-00001F010000}"/>
            </a:ext>
          </a:extLst>
        </xdr:cNvPr>
        <xdr:cNvSpPr/>
      </xdr:nvSpPr>
      <xdr:spPr bwMode="auto">
        <a:xfrm>
          <a:off x="3171825" y="99234624"/>
          <a:ext cx="206692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12</xdr:col>
      <xdr:colOff>454026</xdr:colOff>
      <xdr:row>538</xdr:row>
      <xdr:rowOff>60324</xdr:rowOff>
    </xdr:from>
    <xdr:to>
      <xdr:col>17</xdr:col>
      <xdr:colOff>212725</xdr:colOff>
      <xdr:row>542</xdr:row>
      <xdr:rowOff>126999</xdr:rowOff>
    </xdr:to>
    <xdr:sp macro="" textlink="">
      <xdr:nvSpPr>
        <xdr:cNvPr id="288" name="Rectangle à coins arrondis 287">
          <a:extLst>
            <a:ext uri="{FF2B5EF4-FFF2-40B4-BE49-F238E27FC236}">
              <a16:creationId xmlns:a16="http://schemas.microsoft.com/office/drawing/2014/main" id="{00000000-0008-0000-3E00-000020010000}"/>
            </a:ext>
          </a:extLst>
        </xdr:cNvPr>
        <xdr:cNvSpPr/>
      </xdr:nvSpPr>
      <xdr:spPr bwMode="auto">
        <a:xfrm>
          <a:off x="5368926" y="99244149"/>
          <a:ext cx="207327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14</xdr:col>
      <xdr:colOff>176023</xdr:colOff>
      <xdr:row>546</xdr:row>
      <xdr:rowOff>142875</xdr:rowOff>
    </xdr:from>
    <xdr:ext cx="966977" cy="895350"/>
    <xdr:pic>
      <xdr:nvPicPr>
        <xdr:cNvPr id="290" name="Image 1">
          <a:extLst>
            <a:ext uri="{FF2B5EF4-FFF2-40B4-BE49-F238E27FC236}">
              <a16:creationId xmlns:a16="http://schemas.microsoft.com/office/drawing/2014/main" id="{00000000-0008-0000-3E00-00002201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386323" y="11830050"/>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104774</xdr:colOff>
      <xdr:row>570</xdr:row>
      <xdr:rowOff>50799</xdr:rowOff>
    </xdr:from>
    <xdr:to>
      <xdr:col>8</xdr:col>
      <xdr:colOff>209548</xdr:colOff>
      <xdr:row>574</xdr:row>
      <xdr:rowOff>117474</xdr:rowOff>
    </xdr:to>
    <xdr:sp macro="" textlink="">
      <xdr:nvSpPr>
        <xdr:cNvPr id="291" name="Rectangle à coins arrondis 290">
          <a:extLst>
            <a:ext uri="{FF2B5EF4-FFF2-40B4-BE49-F238E27FC236}">
              <a16:creationId xmlns:a16="http://schemas.microsoft.com/office/drawing/2014/main" id="{00000000-0008-0000-3E00-000023010000}"/>
            </a:ext>
          </a:extLst>
        </xdr:cNvPr>
        <xdr:cNvSpPr/>
      </xdr:nvSpPr>
      <xdr:spPr bwMode="auto">
        <a:xfrm>
          <a:off x="104774" y="21224874"/>
          <a:ext cx="2933699"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8</xdr:col>
      <xdr:colOff>342900</xdr:colOff>
      <xdr:row>570</xdr:row>
      <xdr:rowOff>50799</xdr:rowOff>
    </xdr:from>
    <xdr:to>
      <xdr:col>12</xdr:col>
      <xdr:colOff>323849</xdr:colOff>
      <xdr:row>574</xdr:row>
      <xdr:rowOff>117474</xdr:rowOff>
    </xdr:to>
    <xdr:sp macro="" textlink="">
      <xdr:nvSpPr>
        <xdr:cNvPr id="292" name="Rectangle à coins arrondis 291">
          <a:extLst>
            <a:ext uri="{FF2B5EF4-FFF2-40B4-BE49-F238E27FC236}">
              <a16:creationId xmlns:a16="http://schemas.microsoft.com/office/drawing/2014/main" id="{00000000-0008-0000-3E00-000024010000}"/>
            </a:ext>
          </a:extLst>
        </xdr:cNvPr>
        <xdr:cNvSpPr/>
      </xdr:nvSpPr>
      <xdr:spPr bwMode="auto">
        <a:xfrm>
          <a:off x="3171825" y="21224874"/>
          <a:ext cx="206692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12</xdr:col>
      <xdr:colOff>454026</xdr:colOff>
      <xdr:row>570</xdr:row>
      <xdr:rowOff>60324</xdr:rowOff>
    </xdr:from>
    <xdr:to>
      <xdr:col>17</xdr:col>
      <xdr:colOff>212725</xdr:colOff>
      <xdr:row>574</xdr:row>
      <xdr:rowOff>126999</xdr:rowOff>
    </xdr:to>
    <xdr:sp macro="" textlink="">
      <xdr:nvSpPr>
        <xdr:cNvPr id="293" name="Rectangle à coins arrondis 292">
          <a:extLst>
            <a:ext uri="{FF2B5EF4-FFF2-40B4-BE49-F238E27FC236}">
              <a16:creationId xmlns:a16="http://schemas.microsoft.com/office/drawing/2014/main" id="{00000000-0008-0000-3E00-000025010000}"/>
            </a:ext>
          </a:extLst>
        </xdr:cNvPr>
        <xdr:cNvSpPr/>
      </xdr:nvSpPr>
      <xdr:spPr bwMode="auto">
        <a:xfrm>
          <a:off x="5368926" y="21234399"/>
          <a:ext cx="207327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14</xdr:col>
      <xdr:colOff>176023</xdr:colOff>
      <xdr:row>578</xdr:row>
      <xdr:rowOff>142875</xdr:rowOff>
    </xdr:from>
    <xdr:ext cx="966977" cy="895350"/>
    <xdr:pic>
      <xdr:nvPicPr>
        <xdr:cNvPr id="295" name="Image 1">
          <a:extLst>
            <a:ext uri="{FF2B5EF4-FFF2-40B4-BE49-F238E27FC236}">
              <a16:creationId xmlns:a16="http://schemas.microsoft.com/office/drawing/2014/main" id="{00000000-0008-0000-3E00-00002701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386323" y="22974300"/>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104774</xdr:colOff>
      <xdr:row>602</xdr:row>
      <xdr:rowOff>50799</xdr:rowOff>
    </xdr:from>
    <xdr:to>
      <xdr:col>8</xdr:col>
      <xdr:colOff>209548</xdr:colOff>
      <xdr:row>606</xdr:row>
      <xdr:rowOff>117474</xdr:rowOff>
    </xdr:to>
    <xdr:sp macro="" textlink="">
      <xdr:nvSpPr>
        <xdr:cNvPr id="296" name="Rectangle à coins arrondis 295">
          <a:extLst>
            <a:ext uri="{FF2B5EF4-FFF2-40B4-BE49-F238E27FC236}">
              <a16:creationId xmlns:a16="http://schemas.microsoft.com/office/drawing/2014/main" id="{00000000-0008-0000-3E00-000028010000}"/>
            </a:ext>
          </a:extLst>
        </xdr:cNvPr>
        <xdr:cNvSpPr/>
      </xdr:nvSpPr>
      <xdr:spPr bwMode="auto">
        <a:xfrm>
          <a:off x="104774" y="32369124"/>
          <a:ext cx="2933699"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8</xdr:col>
      <xdr:colOff>342900</xdr:colOff>
      <xdr:row>602</xdr:row>
      <xdr:rowOff>50799</xdr:rowOff>
    </xdr:from>
    <xdr:to>
      <xdr:col>12</xdr:col>
      <xdr:colOff>323849</xdr:colOff>
      <xdr:row>606</xdr:row>
      <xdr:rowOff>117474</xdr:rowOff>
    </xdr:to>
    <xdr:sp macro="" textlink="">
      <xdr:nvSpPr>
        <xdr:cNvPr id="297" name="Rectangle à coins arrondis 296">
          <a:extLst>
            <a:ext uri="{FF2B5EF4-FFF2-40B4-BE49-F238E27FC236}">
              <a16:creationId xmlns:a16="http://schemas.microsoft.com/office/drawing/2014/main" id="{00000000-0008-0000-3E00-000029010000}"/>
            </a:ext>
          </a:extLst>
        </xdr:cNvPr>
        <xdr:cNvSpPr/>
      </xdr:nvSpPr>
      <xdr:spPr bwMode="auto">
        <a:xfrm>
          <a:off x="3171825" y="32369124"/>
          <a:ext cx="206692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12</xdr:col>
      <xdr:colOff>454026</xdr:colOff>
      <xdr:row>602</xdr:row>
      <xdr:rowOff>60324</xdr:rowOff>
    </xdr:from>
    <xdr:to>
      <xdr:col>17</xdr:col>
      <xdr:colOff>212725</xdr:colOff>
      <xdr:row>606</xdr:row>
      <xdr:rowOff>126999</xdr:rowOff>
    </xdr:to>
    <xdr:sp macro="" textlink="">
      <xdr:nvSpPr>
        <xdr:cNvPr id="298" name="Rectangle à coins arrondis 297">
          <a:extLst>
            <a:ext uri="{FF2B5EF4-FFF2-40B4-BE49-F238E27FC236}">
              <a16:creationId xmlns:a16="http://schemas.microsoft.com/office/drawing/2014/main" id="{00000000-0008-0000-3E00-00002A010000}"/>
            </a:ext>
          </a:extLst>
        </xdr:cNvPr>
        <xdr:cNvSpPr/>
      </xdr:nvSpPr>
      <xdr:spPr bwMode="auto">
        <a:xfrm>
          <a:off x="5368926" y="32378649"/>
          <a:ext cx="207327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14</xdr:col>
      <xdr:colOff>176023</xdr:colOff>
      <xdr:row>610</xdr:row>
      <xdr:rowOff>142875</xdr:rowOff>
    </xdr:from>
    <xdr:ext cx="966977" cy="895350"/>
    <xdr:pic>
      <xdr:nvPicPr>
        <xdr:cNvPr id="300" name="Image 1">
          <a:extLst>
            <a:ext uri="{FF2B5EF4-FFF2-40B4-BE49-F238E27FC236}">
              <a16:creationId xmlns:a16="http://schemas.microsoft.com/office/drawing/2014/main" id="{00000000-0008-0000-3E00-00002C01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386323" y="34118550"/>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104774</xdr:colOff>
      <xdr:row>634</xdr:row>
      <xdr:rowOff>50799</xdr:rowOff>
    </xdr:from>
    <xdr:to>
      <xdr:col>8</xdr:col>
      <xdr:colOff>209548</xdr:colOff>
      <xdr:row>638</xdr:row>
      <xdr:rowOff>117474</xdr:rowOff>
    </xdr:to>
    <xdr:sp macro="" textlink="">
      <xdr:nvSpPr>
        <xdr:cNvPr id="301" name="Rectangle à coins arrondis 300">
          <a:extLst>
            <a:ext uri="{FF2B5EF4-FFF2-40B4-BE49-F238E27FC236}">
              <a16:creationId xmlns:a16="http://schemas.microsoft.com/office/drawing/2014/main" id="{00000000-0008-0000-3E00-00002D010000}"/>
            </a:ext>
          </a:extLst>
        </xdr:cNvPr>
        <xdr:cNvSpPr/>
      </xdr:nvSpPr>
      <xdr:spPr bwMode="auto">
        <a:xfrm>
          <a:off x="104774" y="43513374"/>
          <a:ext cx="2933699"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8</xdr:col>
      <xdr:colOff>342900</xdr:colOff>
      <xdr:row>634</xdr:row>
      <xdr:rowOff>50799</xdr:rowOff>
    </xdr:from>
    <xdr:to>
      <xdr:col>12</xdr:col>
      <xdr:colOff>323849</xdr:colOff>
      <xdr:row>638</xdr:row>
      <xdr:rowOff>117474</xdr:rowOff>
    </xdr:to>
    <xdr:sp macro="" textlink="">
      <xdr:nvSpPr>
        <xdr:cNvPr id="302" name="Rectangle à coins arrondis 301">
          <a:extLst>
            <a:ext uri="{FF2B5EF4-FFF2-40B4-BE49-F238E27FC236}">
              <a16:creationId xmlns:a16="http://schemas.microsoft.com/office/drawing/2014/main" id="{00000000-0008-0000-3E00-00002E010000}"/>
            </a:ext>
          </a:extLst>
        </xdr:cNvPr>
        <xdr:cNvSpPr/>
      </xdr:nvSpPr>
      <xdr:spPr bwMode="auto">
        <a:xfrm>
          <a:off x="3171825" y="43513374"/>
          <a:ext cx="206692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12</xdr:col>
      <xdr:colOff>454026</xdr:colOff>
      <xdr:row>634</xdr:row>
      <xdr:rowOff>60324</xdr:rowOff>
    </xdr:from>
    <xdr:to>
      <xdr:col>17</xdr:col>
      <xdr:colOff>212725</xdr:colOff>
      <xdr:row>638</xdr:row>
      <xdr:rowOff>126999</xdr:rowOff>
    </xdr:to>
    <xdr:sp macro="" textlink="">
      <xdr:nvSpPr>
        <xdr:cNvPr id="303" name="Rectangle à coins arrondis 302">
          <a:extLst>
            <a:ext uri="{FF2B5EF4-FFF2-40B4-BE49-F238E27FC236}">
              <a16:creationId xmlns:a16="http://schemas.microsoft.com/office/drawing/2014/main" id="{00000000-0008-0000-3E00-00002F010000}"/>
            </a:ext>
          </a:extLst>
        </xdr:cNvPr>
        <xdr:cNvSpPr/>
      </xdr:nvSpPr>
      <xdr:spPr bwMode="auto">
        <a:xfrm>
          <a:off x="5368926" y="43522899"/>
          <a:ext cx="207327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14</xdr:col>
      <xdr:colOff>176023</xdr:colOff>
      <xdr:row>642</xdr:row>
      <xdr:rowOff>142875</xdr:rowOff>
    </xdr:from>
    <xdr:ext cx="966977" cy="895350"/>
    <xdr:pic>
      <xdr:nvPicPr>
        <xdr:cNvPr id="305" name="Image 1">
          <a:extLst>
            <a:ext uri="{FF2B5EF4-FFF2-40B4-BE49-F238E27FC236}">
              <a16:creationId xmlns:a16="http://schemas.microsoft.com/office/drawing/2014/main" id="{00000000-0008-0000-3E00-00003101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386323" y="45262800"/>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104774</xdr:colOff>
      <xdr:row>666</xdr:row>
      <xdr:rowOff>50799</xdr:rowOff>
    </xdr:from>
    <xdr:to>
      <xdr:col>8</xdr:col>
      <xdr:colOff>209548</xdr:colOff>
      <xdr:row>670</xdr:row>
      <xdr:rowOff>117474</xdr:rowOff>
    </xdr:to>
    <xdr:sp macro="" textlink="">
      <xdr:nvSpPr>
        <xdr:cNvPr id="306" name="Rectangle à coins arrondis 305">
          <a:extLst>
            <a:ext uri="{FF2B5EF4-FFF2-40B4-BE49-F238E27FC236}">
              <a16:creationId xmlns:a16="http://schemas.microsoft.com/office/drawing/2014/main" id="{00000000-0008-0000-3E00-000032010000}"/>
            </a:ext>
          </a:extLst>
        </xdr:cNvPr>
        <xdr:cNvSpPr/>
      </xdr:nvSpPr>
      <xdr:spPr bwMode="auto">
        <a:xfrm>
          <a:off x="104774" y="54657624"/>
          <a:ext cx="2933699"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8</xdr:col>
      <xdr:colOff>342900</xdr:colOff>
      <xdr:row>666</xdr:row>
      <xdr:rowOff>50799</xdr:rowOff>
    </xdr:from>
    <xdr:to>
      <xdr:col>12</xdr:col>
      <xdr:colOff>323849</xdr:colOff>
      <xdr:row>670</xdr:row>
      <xdr:rowOff>117474</xdr:rowOff>
    </xdr:to>
    <xdr:sp macro="" textlink="">
      <xdr:nvSpPr>
        <xdr:cNvPr id="307" name="Rectangle à coins arrondis 306">
          <a:extLst>
            <a:ext uri="{FF2B5EF4-FFF2-40B4-BE49-F238E27FC236}">
              <a16:creationId xmlns:a16="http://schemas.microsoft.com/office/drawing/2014/main" id="{00000000-0008-0000-3E00-000033010000}"/>
            </a:ext>
          </a:extLst>
        </xdr:cNvPr>
        <xdr:cNvSpPr/>
      </xdr:nvSpPr>
      <xdr:spPr bwMode="auto">
        <a:xfrm>
          <a:off x="3171825" y="54657624"/>
          <a:ext cx="206692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12</xdr:col>
      <xdr:colOff>454026</xdr:colOff>
      <xdr:row>666</xdr:row>
      <xdr:rowOff>60324</xdr:rowOff>
    </xdr:from>
    <xdr:to>
      <xdr:col>17</xdr:col>
      <xdr:colOff>212725</xdr:colOff>
      <xdr:row>670</xdr:row>
      <xdr:rowOff>126999</xdr:rowOff>
    </xdr:to>
    <xdr:sp macro="" textlink="">
      <xdr:nvSpPr>
        <xdr:cNvPr id="308" name="Rectangle à coins arrondis 307">
          <a:extLst>
            <a:ext uri="{FF2B5EF4-FFF2-40B4-BE49-F238E27FC236}">
              <a16:creationId xmlns:a16="http://schemas.microsoft.com/office/drawing/2014/main" id="{00000000-0008-0000-3E00-000034010000}"/>
            </a:ext>
          </a:extLst>
        </xdr:cNvPr>
        <xdr:cNvSpPr/>
      </xdr:nvSpPr>
      <xdr:spPr bwMode="auto">
        <a:xfrm>
          <a:off x="5368926" y="54667149"/>
          <a:ext cx="207327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14</xdr:col>
      <xdr:colOff>176023</xdr:colOff>
      <xdr:row>674</xdr:row>
      <xdr:rowOff>142875</xdr:rowOff>
    </xdr:from>
    <xdr:ext cx="966977" cy="895350"/>
    <xdr:pic>
      <xdr:nvPicPr>
        <xdr:cNvPr id="310" name="Image 1">
          <a:extLst>
            <a:ext uri="{FF2B5EF4-FFF2-40B4-BE49-F238E27FC236}">
              <a16:creationId xmlns:a16="http://schemas.microsoft.com/office/drawing/2014/main" id="{00000000-0008-0000-3E00-00003601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386323" y="56407050"/>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104774</xdr:colOff>
      <xdr:row>698</xdr:row>
      <xdr:rowOff>50799</xdr:rowOff>
    </xdr:from>
    <xdr:to>
      <xdr:col>8</xdr:col>
      <xdr:colOff>209548</xdr:colOff>
      <xdr:row>702</xdr:row>
      <xdr:rowOff>117474</xdr:rowOff>
    </xdr:to>
    <xdr:sp macro="" textlink="">
      <xdr:nvSpPr>
        <xdr:cNvPr id="311" name="Rectangle à coins arrondis 310">
          <a:extLst>
            <a:ext uri="{FF2B5EF4-FFF2-40B4-BE49-F238E27FC236}">
              <a16:creationId xmlns:a16="http://schemas.microsoft.com/office/drawing/2014/main" id="{00000000-0008-0000-3E00-000037010000}"/>
            </a:ext>
          </a:extLst>
        </xdr:cNvPr>
        <xdr:cNvSpPr/>
      </xdr:nvSpPr>
      <xdr:spPr bwMode="auto">
        <a:xfrm>
          <a:off x="104774" y="65801874"/>
          <a:ext cx="2933699"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8</xdr:col>
      <xdr:colOff>342900</xdr:colOff>
      <xdr:row>698</xdr:row>
      <xdr:rowOff>50799</xdr:rowOff>
    </xdr:from>
    <xdr:to>
      <xdr:col>12</xdr:col>
      <xdr:colOff>323849</xdr:colOff>
      <xdr:row>702</xdr:row>
      <xdr:rowOff>117474</xdr:rowOff>
    </xdr:to>
    <xdr:sp macro="" textlink="">
      <xdr:nvSpPr>
        <xdr:cNvPr id="312" name="Rectangle à coins arrondis 311">
          <a:extLst>
            <a:ext uri="{FF2B5EF4-FFF2-40B4-BE49-F238E27FC236}">
              <a16:creationId xmlns:a16="http://schemas.microsoft.com/office/drawing/2014/main" id="{00000000-0008-0000-3E00-000038010000}"/>
            </a:ext>
          </a:extLst>
        </xdr:cNvPr>
        <xdr:cNvSpPr/>
      </xdr:nvSpPr>
      <xdr:spPr bwMode="auto">
        <a:xfrm>
          <a:off x="3171825" y="65801874"/>
          <a:ext cx="206692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12</xdr:col>
      <xdr:colOff>454026</xdr:colOff>
      <xdr:row>698</xdr:row>
      <xdr:rowOff>60324</xdr:rowOff>
    </xdr:from>
    <xdr:to>
      <xdr:col>17</xdr:col>
      <xdr:colOff>212725</xdr:colOff>
      <xdr:row>702</xdr:row>
      <xdr:rowOff>126999</xdr:rowOff>
    </xdr:to>
    <xdr:sp macro="" textlink="">
      <xdr:nvSpPr>
        <xdr:cNvPr id="313" name="Rectangle à coins arrondis 312">
          <a:extLst>
            <a:ext uri="{FF2B5EF4-FFF2-40B4-BE49-F238E27FC236}">
              <a16:creationId xmlns:a16="http://schemas.microsoft.com/office/drawing/2014/main" id="{00000000-0008-0000-3E00-000039010000}"/>
            </a:ext>
          </a:extLst>
        </xdr:cNvPr>
        <xdr:cNvSpPr/>
      </xdr:nvSpPr>
      <xdr:spPr bwMode="auto">
        <a:xfrm>
          <a:off x="5368926" y="65811399"/>
          <a:ext cx="207327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14</xdr:col>
      <xdr:colOff>176023</xdr:colOff>
      <xdr:row>706</xdr:row>
      <xdr:rowOff>142875</xdr:rowOff>
    </xdr:from>
    <xdr:ext cx="966977" cy="895350"/>
    <xdr:pic>
      <xdr:nvPicPr>
        <xdr:cNvPr id="315" name="Image 1">
          <a:extLst>
            <a:ext uri="{FF2B5EF4-FFF2-40B4-BE49-F238E27FC236}">
              <a16:creationId xmlns:a16="http://schemas.microsoft.com/office/drawing/2014/main" id="{00000000-0008-0000-3E00-00003B01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386323" y="67551300"/>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104774</xdr:colOff>
      <xdr:row>730</xdr:row>
      <xdr:rowOff>50799</xdr:rowOff>
    </xdr:from>
    <xdr:to>
      <xdr:col>8</xdr:col>
      <xdr:colOff>209548</xdr:colOff>
      <xdr:row>734</xdr:row>
      <xdr:rowOff>117474</xdr:rowOff>
    </xdr:to>
    <xdr:sp macro="" textlink="">
      <xdr:nvSpPr>
        <xdr:cNvPr id="316" name="Rectangle à coins arrondis 315">
          <a:extLst>
            <a:ext uri="{FF2B5EF4-FFF2-40B4-BE49-F238E27FC236}">
              <a16:creationId xmlns:a16="http://schemas.microsoft.com/office/drawing/2014/main" id="{00000000-0008-0000-3E00-00003C010000}"/>
            </a:ext>
          </a:extLst>
        </xdr:cNvPr>
        <xdr:cNvSpPr/>
      </xdr:nvSpPr>
      <xdr:spPr bwMode="auto">
        <a:xfrm>
          <a:off x="104774" y="76946124"/>
          <a:ext cx="2933699"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8</xdr:col>
      <xdr:colOff>342900</xdr:colOff>
      <xdr:row>730</xdr:row>
      <xdr:rowOff>50799</xdr:rowOff>
    </xdr:from>
    <xdr:to>
      <xdr:col>12</xdr:col>
      <xdr:colOff>323849</xdr:colOff>
      <xdr:row>734</xdr:row>
      <xdr:rowOff>117474</xdr:rowOff>
    </xdr:to>
    <xdr:sp macro="" textlink="">
      <xdr:nvSpPr>
        <xdr:cNvPr id="317" name="Rectangle à coins arrondis 316">
          <a:extLst>
            <a:ext uri="{FF2B5EF4-FFF2-40B4-BE49-F238E27FC236}">
              <a16:creationId xmlns:a16="http://schemas.microsoft.com/office/drawing/2014/main" id="{00000000-0008-0000-3E00-00003D010000}"/>
            </a:ext>
          </a:extLst>
        </xdr:cNvPr>
        <xdr:cNvSpPr/>
      </xdr:nvSpPr>
      <xdr:spPr bwMode="auto">
        <a:xfrm>
          <a:off x="3171825" y="76946124"/>
          <a:ext cx="206692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12</xdr:col>
      <xdr:colOff>454026</xdr:colOff>
      <xdr:row>730</xdr:row>
      <xdr:rowOff>60324</xdr:rowOff>
    </xdr:from>
    <xdr:to>
      <xdr:col>17</xdr:col>
      <xdr:colOff>212725</xdr:colOff>
      <xdr:row>734</xdr:row>
      <xdr:rowOff>126999</xdr:rowOff>
    </xdr:to>
    <xdr:sp macro="" textlink="">
      <xdr:nvSpPr>
        <xdr:cNvPr id="318" name="Rectangle à coins arrondis 317">
          <a:extLst>
            <a:ext uri="{FF2B5EF4-FFF2-40B4-BE49-F238E27FC236}">
              <a16:creationId xmlns:a16="http://schemas.microsoft.com/office/drawing/2014/main" id="{00000000-0008-0000-3E00-00003E010000}"/>
            </a:ext>
          </a:extLst>
        </xdr:cNvPr>
        <xdr:cNvSpPr/>
      </xdr:nvSpPr>
      <xdr:spPr bwMode="auto">
        <a:xfrm>
          <a:off x="5368926" y="76955649"/>
          <a:ext cx="207327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14</xdr:col>
      <xdr:colOff>176023</xdr:colOff>
      <xdr:row>738</xdr:row>
      <xdr:rowOff>142875</xdr:rowOff>
    </xdr:from>
    <xdr:ext cx="966977" cy="895350"/>
    <xdr:pic>
      <xdr:nvPicPr>
        <xdr:cNvPr id="320" name="Image 1">
          <a:extLst>
            <a:ext uri="{FF2B5EF4-FFF2-40B4-BE49-F238E27FC236}">
              <a16:creationId xmlns:a16="http://schemas.microsoft.com/office/drawing/2014/main" id="{00000000-0008-0000-3E00-00004001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386323" y="78695550"/>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104774</xdr:colOff>
      <xdr:row>762</xdr:row>
      <xdr:rowOff>50799</xdr:rowOff>
    </xdr:from>
    <xdr:to>
      <xdr:col>8</xdr:col>
      <xdr:colOff>209548</xdr:colOff>
      <xdr:row>766</xdr:row>
      <xdr:rowOff>117474</xdr:rowOff>
    </xdr:to>
    <xdr:sp macro="" textlink="">
      <xdr:nvSpPr>
        <xdr:cNvPr id="321" name="Rectangle à coins arrondis 320">
          <a:extLst>
            <a:ext uri="{FF2B5EF4-FFF2-40B4-BE49-F238E27FC236}">
              <a16:creationId xmlns:a16="http://schemas.microsoft.com/office/drawing/2014/main" id="{00000000-0008-0000-3E00-000041010000}"/>
            </a:ext>
          </a:extLst>
        </xdr:cNvPr>
        <xdr:cNvSpPr/>
      </xdr:nvSpPr>
      <xdr:spPr bwMode="auto">
        <a:xfrm>
          <a:off x="104774" y="88090374"/>
          <a:ext cx="2933699"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8</xdr:col>
      <xdr:colOff>342900</xdr:colOff>
      <xdr:row>762</xdr:row>
      <xdr:rowOff>50799</xdr:rowOff>
    </xdr:from>
    <xdr:to>
      <xdr:col>12</xdr:col>
      <xdr:colOff>323849</xdr:colOff>
      <xdr:row>766</xdr:row>
      <xdr:rowOff>117474</xdr:rowOff>
    </xdr:to>
    <xdr:sp macro="" textlink="">
      <xdr:nvSpPr>
        <xdr:cNvPr id="322" name="Rectangle à coins arrondis 321">
          <a:extLst>
            <a:ext uri="{FF2B5EF4-FFF2-40B4-BE49-F238E27FC236}">
              <a16:creationId xmlns:a16="http://schemas.microsoft.com/office/drawing/2014/main" id="{00000000-0008-0000-3E00-000042010000}"/>
            </a:ext>
          </a:extLst>
        </xdr:cNvPr>
        <xdr:cNvSpPr/>
      </xdr:nvSpPr>
      <xdr:spPr bwMode="auto">
        <a:xfrm>
          <a:off x="3171825" y="88090374"/>
          <a:ext cx="206692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12</xdr:col>
      <xdr:colOff>454026</xdr:colOff>
      <xdr:row>762</xdr:row>
      <xdr:rowOff>60324</xdr:rowOff>
    </xdr:from>
    <xdr:to>
      <xdr:col>17</xdr:col>
      <xdr:colOff>212725</xdr:colOff>
      <xdr:row>766</xdr:row>
      <xdr:rowOff>126999</xdr:rowOff>
    </xdr:to>
    <xdr:sp macro="" textlink="">
      <xdr:nvSpPr>
        <xdr:cNvPr id="323" name="Rectangle à coins arrondis 322">
          <a:extLst>
            <a:ext uri="{FF2B5EF4-FFF2-40B4-BE49-F238E27FC236}">
              <a16:creationId xmlns:a16="http://schemas.microsoft.com/office/drawing/2014/main" id="{00000000-0008-0000-3E00-000043010000}"/>
            </a:ext>
          </a:extLst>
        </xdr:cNvPr>
        <xdr:cNvSpPr/>
      </xdr:nvSpPr>
      <xdr:spPr bwMode="auto">
        <a:xfrm>
          <a:off x="5368926" y="88099899"/>
          <a:ext cx="2073274"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33</xdr:col>
      <xdr:colOff>176023</xdr:colOff>
      <xdr:row>2</xdr:row>
      <xdr:rowOff>142875</xdr:rowOff>
    </xdr:from>
    <xdr:ext cx="959834" cy="888206"/>
    <xdr:pic>
      <xdr:nvPicPr>
        <xdr:cNvPr id="125" name="Image 1">
          <a:extLst>
            <a:ext uri="{FF2B5EF4-FFF2-40B4-BE49-F238E27FC236}">
              <a16:creationId xmlns:a16="http://schemas.microsoft.com/office/drawing/2014/main" id="{00000000-0008-0000-3E00-00007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426804" y="690563"/>
          <a:ext cx="959834" cy="888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19</xdr:col>
      <xdr:colOff>104774</xdr:colOff>
      <xdr:row>26</xdr:row>
      <xdr:rowOff>50799</xdr:rowOff>
    </xdr:from>
    <xdr:to>
      <xdr:col>27</xdr:col>
      <xdr:colOff>209548</xdr:colOff>
      <xdr:row>30</xdr:row>
      <xdr:rowOff>117474</xdr:rowOff>
    </xdr:to>
    <xdr:sp macro="" textlink="">
      <xdr:nvSpPr>
        <xdr:cNvPr id="128" name="Rectangle à coins arrondis 127">
          <a:extLst>
            <a:ext uri="{FF2B5EF4-FFF2-40B4-BE49-F238E27FC236}">
              <a16:creationId xmlns:a16="http://schemas.microsoft.com/office/drawing/2014/main" id="{00000000-0008-0000-3E00-000080000000}"/>
            </a:ext>
          </a:extLst>
        </xdr:cNvPr>
        <xdr:cNvSpPr/>
      </xdr:nvSpPr>
      <xdr:spPr bwMode="auto">
        <a:xfrm>
          <a:off x="104774" y="10052049"/>
          <a:ext cx="2950368"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27</xdr:col>
      <xdr:colOff>342900</xdr:colOff>
      <xdr:row>26</xdr:row>
      <xdr:rowOff>50799</xdr:rowOff>
    </xdr:from>
    <xdr:to>
      <xdr:col>31</xdr:col>
      <xdr:colOff>323849</xdr:colOff>
      <xdr:row>30</xdr:row>
      <xdr:rowOff>117474</xdr:rowOff>
    </xdr:to>
    <xdr:sp macro="" textlink="">
      <xdr:nvSpPr>
        <xdr:cNvPr id="129" name="Rectangle à coins arrondis 128">
          <a:extLst>
            <a:ext uri="{FF2B5EF4-FFF2-40B4-BE49-F238E27FC236}">
              <a16:creationId xmlns:a16="http://schemas.microsoft.com/office/drawing/2014/main" id="{00000000-0008-0000-3E00-000081000000}"/>
            </a:ext>
          </a:extLst>
        </xdr:cNvPr>
        <xdr:cNvSpPr/>
      </xdr:nvSpPr>
      <xdr:spPr bwMode="auto">
        <a:xfrm>
          <a:off x="3188494" y="10052049"/>
          <a:ext cx="2088355"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31</xdr:col>
      <xdr:colOff>454026</xdr:colOff>
      <xdr:row>26</xdr:row>
      <xdr:rowOff>60324</xdr:rowOff>
    </xdr:from>
    <xdr:to>
      <xdr:col>36</xdr:col>
      <xdr:colOff>212725</xdr:colOff>
      <xdr:row>30</xdr:row>
      <xdr:rowOff>126999</xdr:rowOff>
    </xdr:to>
    <xdr:sp macro="" textlink="">
      <xdr:nvSpPr>
        <xdr:cNvPr id="130" name="Rectangle à coins arrondis 129">
          <a:extLst>
            <a:ext uri="{FF2B5EF4-FFF2-40B4-BE49-F238E27FC236}">
              <a16:creationId xmlns:a16="http://schemas.microsoft.com/office/drawing/2014/main" id="{00000000-0008-0000-3E00-000082000000}"/>
            </a:ext>
          </a:extLst>
        </xdr:cNvPr>
        <xdr:cNvSpPr/>
      </xdr:nvSpPr>
      <xdr:spPr bwMode="auto">
        <a:xfrm>
          <a:off x="5407026" y="10061574"/>
          <a:ext cx="2068512"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33</xdr:col>
      <xdr:colOff>176023</xdr:colOff>
      <xdr:row>34</xdr:row>
      <xdr:rowOff>142875</xdr:rowOff>
    </xdr:from>
    <xdr:ext cx="966977" cy="895350"/>
    <xdr:pic>
      <xdr:nvPicPr>
        <xdr:cNvPr id="132" name="Image 1">
          <a:extLst>
            <a:ext uri="{FF2B5EF4-FFF2-40B4-BE49-F238E27FC236}">
              <a16:creationId xmlns:a16="http://schemas.microsoft.com/office/drawing/2014/main" id="{00000000-0008-0000-3E00-00008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426804" y="11811000"/>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19</xdr:col>
      <xdr:colOff>104774</xdr:colOff>
      <xdr:row>58</xdr:row>
      <xdr:rowOff>50799</xdr:rowOff>
    </xdr:from>
    <xdr:to>
      <xdr:col>27</xdr:col>
      <xdr:colOff>209548</xdr:colOff>
      <xdr:row>62</xdr:row>
      <xdr:rowOff>117474</xdr:rowOff>
    </xdr:to>
    <xdr:sp macro="" textlink="">
      <xdr:nvSpPr>
        <xdr:cNvPr id="133" name="Rectangle à coins arrondis 132">
          <a:extLst>
            <a:ext uri="{FF2B5EF4-FFF2-40B4-BE49-F238E27FC236}">
              <a16:creationId xmlns:a16="http://schemas.microsoft.com/office/drawing/2014/main" id="{00000000-0008-0000-3E00-000085000000}"/>
            </a:ext>
          </a:extLst>
        </xdr:cNvPr>
        <xdr:cNvSpPr/>
      </xdr:nvSpPr>
      <xdr:spPr bwMode="auto">
        <a:xfrm>
          <a:off x="104774" y="21172487"/>
          <a:ext cx="2950368"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27</xdr:col>
      <xdr:colOff>342900</xdr:colOff>
      <xdr:row>58</xdr:row>
      <xdr:rowOff>50799</xdr:rowOff>
    </xdr:from>
    <xdr:to>
      <xdr:col>31</xdr:col>
      <xdr:colOff>323849</xdr:colOff>
      <xdr:row>62</xdr:row>
      <xdr:rowOff>117474</xdr:rowOff>
    </xdr:to>
    <xdr:sp macro="" textlink="">
      <xdr:nvSpPr>
        <xdr:cNvPr id="134" name="Rectangle à coins arrondis 133">
          <a:extLst>
            <a:ext uri="{FF2B5EF4-FFF2-40B4-BE49-F238E27FC236}">
              <a16:creationId xmlns:a16="http://schemas.microsoft.com/office/drawing/2014/main" id="{00000000-0008-0000-3E00-000086000000}"/>
            </a:ext>
          </a:extLst>
        </xdr:cNvPr>
        <xdr:cNvSpPr/>
      </xdr:nvSpPr>
      <xdr:spPr bwMode="auto">
        <a:xfrm>
          <a:off x="3188494" y="21172487"/>
          <a:ext cx="2088355"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31</xdr:col>
      <xdr:colOff>454026</xdr:colOff>
      <xdr:row>58</xdr:row>
      <xdr:rowOff>60324</xdr:rowOff>
    </xdr:from>
    <xdr:to>
      <xdr:col>36</xdr:col>
      <xdr:colOff>212725</xdr:colOff>
      <xdr:row>62</xdr:row>
      <xdr:rowOff>126999</xdr:rowOff>
    </xdr:to>
    <xdr:sp macro="" textlink="">
      <xdr:nvSpPr>
        <xdr:cNvPr id="135" name="Rectangle à coins arrondis 134">
          <a:extLst>
            <a:ext uri="{FF2B5EF4-FFF2-40B4-BE49-F238E27FC236}">
              <a16:creationId xmlns:a16="http://schemas.microsoft.com/office/drawing/2014/main" id="{00000000-0008-0000-3E00-000087000000}"/>
            </a:ext>
          </a:extLst>
        </xdr:cNvPr>
        <xdr:cNvSpPr/>
      </xdr:nvSpPr>
      <xdr:spPr bwMode="auto">
        <a:xfrm>
          <a:off x="5407026" y="21182012"/>
          <a:ext cx="2068512"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33</xdr:col>
      <xdr:colOff>176023</xdr:colOff>
      <xdr:row>66</xdr:row>
      <xdr:rowOff>142875</xdr:rowOff>
    </xdr:from>
    <xdr:ext cx="966977" cy="895350"/>
    <xdr:pic>
      <xdr:nvPicPr>
        <xdr:cNvPr id="137" name="Image 1">
          <a:extLst>
            <a:ext uri="{FF2B5EF4-FFF2-40B4-BE49-F238E27FC236}">
              <a16:creationId xmlns:a16="http://schemas.microsoft.com/office/drawing/2014/main" id="{00000000-0008-0000-3E00-00008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426804" y="22931438"/>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19</xdr:col>
      <xdr:colOff>104774</xdr:colOff>
      <xdr:row>90</xdr:row>
      <xdr:rowOff>50799</xdr:rowOff>
    </xdr:from>
    <xdr:to>
      <xdr:col>27</xdr:col>
      <xdr:colOff>209548</xdr:colOff>
      <xdr:row>94</xdr:row>
      <xdr:rowOff>117474</xdr:rowOff>
    </xdr:to>
    <xdr:sp macro="" textlink="">
      <xdr:nvSpPr>
        <xdr:cNvPr id="138" name="Rectangle à coins arrondis 137">
          <a:extLst>
            <a:ext uri="{FF2B5EF4-FFF2-40B4-BE49-F238E27FC236}">
              <a16:creationId xmlns:a16="http://schemas.microsoft.com/office/drawing/2014/main" id="{00000000-0008-0000-3E00-00008A000000}"/>
            </a:ext>
          </a:extLst>
        </xdr:cNvPr>
        <xdr:cNvSpPr/>
      </xdr:nvSpPr>
      <xdr:spPr bwMode="auto">
        <a:xfrm>
          <a:off x="104774" y="32292924"/>
          <a:ext cx="2950368"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27</xdr:col>
      <xdr:colOff>342900</xdr:colOff>
      <xdr:row>90</xdr:row>
      <xdr:rowOff>50799</xdr:rowOff>
    </xdr:from>
    <xdr:to>
      <xdr:col>31</xdr:col>
      <xdr:colOff>323849</xdr:colOff>
      <xdr:row>94</xdr:row>
      <xdr:rowOff>117474</xdr:rowOff>
    </xdr:to>
    <xdr:sp macro="" textlink="">
      <xdr:nvSpPr>
        <xdr:cNvPr id="139" name="Rectangle à coins arrondis 138">
          <a:extLst>
            <a:ext uri="{FF2B5EF4-FFF2-40B4-BE49-F238E27FC236}">
              <a16:creationId xmlns:a16="http://schemas.microsoft.com/office/drawing/2014/main" id="{00000000-0008-0000-3E00-00008B000000}"/>
            </a:ext>
          </a:extLst>
        </xdr:cNvPr>
        <xdr:cNvSpPr/>
      </xdr:nvSpPr>
      <xdr:spPr bwMode="auto">
        <a:xfrm>
          <a:off x="3188494" y="32292924"/>
          <a:ext cx="2088355"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31</xdr:col>
      <xdr:colOff>454026</xdr:colOff>
      <xdr:row>90</xdr:row>
      <xdr:rowOff>60324</xdr:rowOff>
    </xdr:from>
    <xdr:to>
      <xdr:col>36</xdr:col>
      <xdr:colOff>212725</xdr:colOff>
      <xdr:row>94</xdr:row>
      <xdr:rowOff>126999</xdr:rowOff>
    </xdr:to>
    <xdr:sp macro="" textlink="">
      <xdr:nvSpPr>
        <xdr:cNvPr id="140" name="Rectangle à coins arrondis 139">
          <a:extLst>
            <a:ext uri="{FF2B5EF4-FFF2-40B4-BE49-F238E27FC236}">
              <a16:creationId xmlns:a16="http://schemas.microsoft.com/office/drawing/2014/main" id="{00000000-0008-0000-3E00-00008C000000}"/>
            </a:ext>
          </a:extLst>
        </xdr:cNvPr>
        <xdr:cNvSpPr/>
      </xdr:nvSpPr>
      <xdr:spPr bwMode="auto">
        <a:xfrm>
          <a:off x="5407026" y="32302449"/>
          <a:ext cx="2068512"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33</xdr:col>
      <xdr:colOff>176023</xdr:colOff>
      <xdr:row>98</xdr:row>
      <xdr:rowOff>142875</xdr:rowOff>
    </xdr:from>
    <xdr:ext cx="966977" cy="895350"/>
    <xdr:pic>
      <xdr:nvPicPr>
        <xdr:cNvPr id="142" name="Image 1">
          <a:extLst>
            <a:ext uri="{FF2B5EF4-FFF2-40B4-BE49-F238E27FC236}">
              <a16:creationId xmlns:a16="http://schemas.microsoft.com/office/drawing/2014/main" id="{00000000-0008-0000-3E00-00008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426804" y="34051875"/>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19</xdr:col>
      <xdr:colOff>104774</xdr:colOff>
      <xdr:row>122</xdr:row>
      <xdr:rowOff>50799</xdr:rowOff>
    </xdr:from>
    <xdr:to>
      <xdr:col>27</xdr:col>
      <xdr:colOff>209548</xdr:colOff>
      <xdr:row>126</xdr:row>
      <xdr:rowOff>117474</xdr:rowOff>
    </xdr:to>
    <xdr:sp macro="" textlink="">
      <xdr:nvSpPr>
        <xdr:cNvPr id="143" name="Rectangle à coins arrondis 142">
          <a:extLst>
            <a:ext uri="{FF2B5EF4-FFF2-40B4-BE49-F238E27FC236}">
              <a16:creationId xmlns:a16="http://schemas.microsoft.com/office/drawing/2014/main" id="{00000000-0008-0000-3E00-00008F000000}"/>
            </a:ext>
          </a:extLst>
        </xdr:cNvPr>
        <xdr:cNvSpPr/>
      </xdr:nvSpPr>
      <xdr:spPr bwMode="auto">
        <a:xfrm>
          <a:off x="104774" y="43413362"/>
          <a:ext cx="2950368"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27</xdr:col>
      <xdr:colOff>342900</xdr:colOff>
      <xdr:row>122</xdr:row>
      <xdr:rowOff>50799</xdr:rowOff>
    </xdr:from>
    <xdr:to>
      <xdr:col>31</xdr:col>
      <xdr:colOff>323849</xdr:colOff>
      <xdr:row>126</xdr:row>
      <xdr:rowOff>117474</xdr:rowOff>
    </xdr:to>
    <xdr:sp macro="" textlink="">
      <xdr:nvSpPr>
        <xdr:cNvPr id="144" name="Rectangle à coins arrondis 143">
          <a:extLst>
            <a:ext uri="{FF2B5EF4-FFF2-40B4-BE49-F238E27FC236}">
              <a16:creationId xmlns:a16="http://schemas.microsoft.com/office/drawing/2014/main" id="{00000000-0008-0000-3E00-000090000000}"/>
            </a:ext>
          </a:extLst>
        </xdr:cNvPr>
        <xdr:cNvSpPr/>
      </xdr:nvSpPr>
      <xdr:spPr bwMode="auto">
        <a:xfrm>
          <a:off x="3188494" y="43413362"/>
          <a:ext cx="2088355"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31</xdr:col>
      <xdr:colOff>454026</xdr:colOff>
      <xdr:row>122</xdr:row>
      <xdr:rowOff>60324</xdr:rowOff>
    </xdr:from>
    <xdr:to>
      <xdr:col>36</xdr:col>
      <xdr:colOff>212725</xdr:colOff>
      <xdr:row>126</xdr:row>
      <xdr:rowOff>126999</xdr:rowOff>
    </xdr:to>
    <xdr:sp macro="" textlink="">
      <xdr:nvSpPr>
        <xdr:cNvPr id="145" name="Rectangle à coins arrondis 144">
          <a:extLst>
            <a:ext uri="{FF2B5EF4-FFF2-40B4-BE49-F238E27FC236}">
              <a16:creationId xmlns:a16="http://schemas.microsoft.com/office/drawing/2014/main" id="{00000000-0008-0000-3E00-000091000000}"/>
            </a:ext>
          </a:extLst>
        </xdr:cNvPr>
        <xdr:cNvSpPr/>
      </xdr:nvSpPr>
      <xdr:spPr bwMode="auto">
        <a:xfrm>
          <a:off x="5407026" y="43422887"/>
          <a:ext cx="2068512"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33</xdr:col>
      <xdr:colOff>176023</xdr:colOff>
      <xdr:row>130</xdr:row>
      <xdr:rowOff>142875</xdr:rowOff>
    </xdr:from>
    <xdr:ext cx="966977" cy="895350"/>
    <xdr:pic>
      <xdr:nvPicPr>
        <xdr:cNvPr id="147" name="Image 1">
          <a:extLst>
            <a:ext uri="{FF2B5EF4-FFF2-40B4-BE49-F238E27FC236}">
              <a16:creationId xmlns:a16="http://schemas.microsoft.com/office/drawing/2014/main" id="{00000000-0008-0000-3E00-00009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426804" y="45172313"/>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19</xdr:col>
      <xdr:colOff>104774</xdr:colOff>
      <xdr:row>154</xdr:row>
      <xdr:rowOff>50799</xdr:rowOff>
    </xdr:from>
    <xdr:to>
      <xdr:col>27</xdr:col>
      <xdr:colOff>209548</xdr:colOff>
      <xdr:row>158</xdr:row>
      <xdr:rowOff>117474</xdr:rowOff>
    </xdr:to>
    <xdr:sp macro="" textlink="">
      <xdr:nvSpPr>
        <xdr:cNvPr id="148" name="Rectangle à coins arrondis 147">
          <a:extLst>
            <a:ext uri="{FF2B5EF4-FFF2-40B4-BE49-F238E27FC236}">
              <a16:creationId xmlns:a16="http://schemas.microsoft.com/office/drawing/2014/main" id="{00000000-0008-0000-3E00-000094000000}"/>
            </a:ext>
          </a:extLst>
        </xdr:cNvPr>
        <xdr:cNvSpPr/>
      </xdr:nvSpPr>
      <xdr:spPr bwMode="auto">
        <a:xfrm>
          <a:off x="104774" y="54533799"/>
          <a:ext cx="2950368"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27</xdr:col>
      <xdr:colOff>342900</xdr:colOff>
      <xdr:row>154</xdr:row>
      <xdr:rowOff>50799</xdr:rowOff>
    </xdr:from>
    <xdr:to>
      <xdr:col>31</xdr:col>
      <xdr:colOff>323849</xdr:colOff>
      <xdr:row>158</xdr:row>
      <xdr:rowOff>117474</xdr:rowOff>
    </xdr:to>
    <xdr:sp macro="" textlink="">
      <xdr:nvSpPr>
        <xdr:cNvPr id="149" name="Rectangle à coins arrondis 148">
          <a:extLst>
            <a:ext uri="{FF2B5EF4-FFF2-40B4-BE49-F238E27FC236}">
              <a16:creationId xmlns:a16="http://schemas.microsoft.com/office/drawing/2014/main" id="{00000000-0008-0000-3E00-000095000000}"/>
            </a:ext>
          </a:extLst>
        </xdr:cNvPr>
        <xdr:cNvSpPr/>
      </xdr:nvSpPr>
      <xdr:spPr bwMode="auto">
        <a:xfrm>
          <a:off x="3188494" y="54533799"/>
          <a:ext cx="2088355"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31</xdr:col>
      <xdr:colOff>454026</xdr:colOff>
      <xdr:row>154</xdr:row>
      <xdr:rowOff>60324</xdr:rowOff>
    </xdr:from>
    <xdr:to>
      <xdr:col>36</xdr:col>
      <xdr:colOff>212725</xdr:colOff>
      <xdr:row>158</xdr:row>
      <xdr:rowOff>126999</xdr:rowOff>
    </xdr:to>
    <xdr:sp macro="" textlink="">
      <xdr:nvSpPr>
        <xdr:cNvPr id="150" name="Rectangle à coins arrondis 149">
          <a:extLst>
            <a:ext uri="{FF2B5EF4-FFF2-40B4-BE49-F238E27FC236}">
              <a16:creationId xmlns:a16="http://schemas.microsoft.com/office/drawing/2014/main" id="{00000000-0008-0000-3E00-000096000000}"/>
            </a:ext>
          </a:extLst>
        </xdr:cNvPr>
        <xdr:cNvSpPr/>
      </xdr:nvSpPr>
      <xdr:spPr bwMode="auto">
        <a:xfrm>
          <a:off x="5407026" y="54543324"/>
          <a:ext cx="2068512"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33</xdr:col>
      <xdr:colOff>176023</xdr:colOff>
      <xdr:row>162</xdr:row>
      <xdr:rowOff>142875</xdr:rowOff>
    </xdr:from>
    <xdr:ext cx="966977" cy="895350"/>
    <xdr:pic>
      <xdr:nvPicPr>
        <xdr:cNvPr id="152" name="Image 1">
          <a:extLst>
            <a:ext uri="{FF2B5EF4-FFF2-40B4-BE49-F238E27FC236}">
              <a16:creationId xmlns:a16="http://schemas.microsoft.com/office/drawing/2014/main" id="{00000000-0008-0000-3E00-00009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426804" y="56292750"/>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19</xdr:col>
      <xdr:colOff>104774</xdr:colOff>
      <xdr:row>186</xdr:row>
      <xdr:rowOff>50799</xdr:rowOff>
    </xdr:from>
    <xdr:to>
      <xdr:col>27</xdr:col>
      <xdr:colOff>209548</xdr:colOff>
      <xdr:row>190</xdr:row>
      <xdr:rowOff>117474</xdr:rowOff>
    </xdr:to>
    <xdr:sp macro="" textlink="">
      <xdr:nvSpPr>
        <xdr:cNvPr id="153" name="Rectangle à coins arrondis 152">
          <a:extLst>
            <a:ext uri="{FF2B5EF4-FFF2-40B4-BE49-F238E27FC236}">
              <a16:creationId xmlns:a16="http://schemas.microsoft.com/office/drawing/2014/main" id="{00000000-0008-0000-3E00-000099000000}"/>
            </a:ext>
          </a:extLst>
        </xdr:cNvPr>
        <xdr:cNvSpPr/>
      </xdr:nvSpPr>
      <xdr:spPr bwMode="auto">
        <a:xfrm>
          <a:off x="104774" y="65654237"/>
          <a:ext cx="2950368"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27</xdr:col>
      <xdr:colOff>342900</xdr:colOff>
      <xdr:row>186</xdr:row>
      <xdr:rowOff>50799</xdr:rowOff>
    </xdr:from>
    <xdr:to>
      <xdr:col>31</xdr:col>
      <xdr:colOff>323849</xdr:colOff>
      <xdr:row>190</xdr:row>
      <xdr:rowOff>117474</xdr:rowOff>
    </xdr:to>
    <xdr:sp macro="" textlink="">
      <xdr:nvSpPr>
        <xdr:cNvPr id="154" name="Rectangle à coins arrondis 153">
          <a:extLst>
            <a:ext uri="{FF2B5EF4-FFF2-40B4-BE49-F238E27FC236}">
              <a16:creationId xmlns:a16="http://schemas.microsoft.com/office/drawing/2014/main" id="{00000000-0008-0000-3E00-00009A000000}"/>
            </a:ext>
          </a:extLst>
        </xdr:cNvPr>
        <xdr:cNvSpPr/>
      </xdr:nvSpPr>
      <xdr:spPr bwMode="auto">
        <a:xfrm>
          <a:off x="3188494" y="65654237"/>
          <a:ext cx="2088355"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31</xdr:col>
      <xdr:colOff>454026</xdr:colOff>
      <xdr:row>186</xdr:row>
      <xdr:rowOff>60324</xdr:rowOff>
    </xdr:from>
    <xdr:to>
      <xdr:col>36</xdr:col>
      <xdr:colOff>212725</xdr:colOff>
      <xdr:row>190</xdr:row>
      <xdr:rowOff>126999</xdr:rowOff>
    </xdr:to>
    <xdr:sp macro="" textlink="">
      <xdr:nvSpPr>
        <xdr:cNvPr id="155" name="Rectangle à coins arrondis 154">
          <a:extLst>
            <a:ext uri="{FF2B5EF4-FFF2-40B4-BE49-F238E27FC236}">
              <a16:creationId xmlns:a16="http://schemas.microsoft.com/office/drawing/2014/main" id="{00000000-0008-0000-3E00-00009B000000}"/>
            </a:ext>
          </a:extLst>
        </xdr:cNvPr>
        <xdr:cNvSpPr/>
      </xdr:nvSpPr>
      <xdr:spPr bwMode="auto">
        <a:xfrm>
          <a:off x="5407026" y="65663762"/>
          <a:ext cx="2068512"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33</xdr:col>
      <xdr:colOff>176023</xdr:colOff>
      <xdr:row>194</xdr:row>
      <xdr:rowOff>142875</xdr:rowOff>
    </xdr:from>
    <xdr:ext cx="966977" cy="895350"/>
    <xdr:pic>
      <xdr:nvPicPr>
        <xdr:cNvPr id="157" name="Image 1">
          <a:extLst>
            <a:ext uri="{FF2B5EF4-FFF2-40B4-BE49-F238E27FC236}">
              <a16:creationId xmlns:a16="http://schemas.microsoft.com/office/drawing/2014/main" id="{00000000-0008-0000-3E00-00009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426804" y="67413188"/>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19</xdr:col>
      <xdr:colOff>104774</xdr:colOff>
      <xdr:row>218</xdr:row>
      <xdr:rowOff>50799</xdr:rowOff>
    </xdr:from>
    <xdr:to>
      <xdr:col>27</xdr:col>
      <xdr:colOff>209548</xdr:colOff>
      <xdr:row>222</xdr:row>
      <xdr:rowOff>117474</xdr:rowOff>
    </xdr:to>
    <xdr:sp macro="" textlink="">
      <xdr:nvSpPr>
        <xdr:cNvPr id="158" name="Rectangle à coins arrondis 157">
          <a:extLst>
            <a:ext uri="{FF2B5EF4-FFF2-40B4-BE49-F238E27FC236}">
              <a16:creationId xmlns:a16="http://schemas.microsoft.com/office/drawing/2014/main" id="{00000000-0008-0000-3E00-00009E000000}"/>
            </a:ext>
          </a:extLst>
        </xdr:cNvPr>
        <xdr:cNvSpPr/>
      </xdr:nvSpPr>
      <xdr:spPr bwMode="auto">
        <a:xfrm>
          <a:off x="104774" y="76774674"/>
          <a:ext cx="2950368"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27</xdr:col>
      <xdr:colOff>342900</xdr:colOff>
      <xdr:row>218</xdr:row>
      <xdr:rowOff>50799</xdr:rowOff>
    </xdr:from>
    <xdr:to>
      <xdr:col>31</xdr:col>
      <xdr:colOff>323849</xdr:colOff>
      <xdr:row>222</xdr:row>
      <xdr:rowOff>117474</xdr:rowOff>
    </xdr:to>
    <xdr:sp macro="" textlink="">
      <xdr:nvSpPr>
        <xdr:cNvPr id="159" name="Rectangle à coins arrondis 158">
          <a:extLst>
            <a:ext uri="{FF2B5EF4-FFF2-40B4-BE49-F238E27FC236}">
              <a16:creationId xmlns:a16="http://schemas.microsoft.com/office/drawing/2014/main" id="{00000000-0008-0000-3E00-00009F000000}"/>
            </a:ext>
          </a:extLst>
        </xdr:cNvPr>
        <xdr:cNvSpPr/>
      </xdr:nvSpPr>
      <xdr:spPr bwMode="auto">
        <a:xfrm>
          <a:off x="3188494" y="76774674"/>
          <a:ext cx="2088355"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31</xdr:col>
      <xdr:colOff>454026</xdr:colOff>
      <xdr:row>218</xdr:row>
      <xdr:rowOff>60324</xdr:rowOff>
    </xdr:from>
    <xdr:to>
      <xdr:col>36</xdr:col>
      <xdr:colOff>212725</xdr:colOff>
      <xdr:row>222</xdr:row>
      <xdr:rowOff>126999</xdr:rowOff>
    </xdr:to>
    <xdr:sp macro="" textlink="">
      <xdr:nvSpPr>
        <xdr:cNvPr id="160" name="Rectangle à coins arrondis 159">
          <a:extLst>
            <a:ext uri="{FF2B5EF4-FFF2-40B4-BE49-F238E27FC236}">
              <a16:creationId xmlns:a16="http://schemas.microsoft.com/office/drawing/2014/main" id="{00000000-0008-0000-3E00-0000A0000000}"/>
            </a:ext>
          </a:extLst>
        </xdr:cNvPr>
        <xdr:cNvSpPr/>
      </xdr:nvSpPr>
      <xdr:spPr bwMode="auto">
        <a:xfrm>
          <a:off x="5407026" y="76784199"/>
          <a:ext cx="2068512"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33</xdr:col>
      <xdr:colOff>176023</xdr:colOff>
      <xdr:row>226</xdr:row>
      <xdr:rowOff>142875</xdr:rowOff>
    </xdr:from>
    <xdr:ext cx="966977" cy="895350"/>
    <xdr:pic>
      <xdr:nvPicPr>
        <xdr:cNvPr id="162" name="Image 1">
          <a:extLst>
            <a:ext uri="{FF2B5EF4-FFF2-40B4-BE49-F238E27FC236}">
              <a16:creationId xmlns:a16="http://schemas.microsoft.com/office/drawing/2014/main" id="{00000000-0008-0000-3E00-0000A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426804" y="78533625"/>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19</xdr:col>
      <xdr:colOff>104774</xdr:colOff>
      <xdr:row>250</xdr:row>
      <xdr:rowOff>50799</xdr:rowOff>
    </xdr:from>
    <xdr:to>
      <xdr:col>27</xdr:col>
      <xdr:colOff>209548</xdr:colOff>
      <xdr:row>254</xdr:row>
      <xdr:rowOff>117474</xdr:rowOff>
    </xdr:to>
    <xdr:sp macro="" textlink="">
      <xdr:nvSpPr>
        <xdr:cNvPr id="163" name="Rectangle à coins arrondis 162">
          <a:extLst>
            <a:ext uri="{FF2B5EF4-FFF2-40B4-BE49-F238E27FC236}">
              <a16:creationId xmlns:a16="http://schemas.microsoft.com/office/drawing/2014/main" id="{00000000-0008-0000-3E00-0000A3000000}"/>
            </a:ext>
          </a:extLst>
        </xdr:cNvPr>
        <xdr:cNvSpPr/>
      </xdr:nvSpPr>
      <xdr:spPr bwMode="auto">
        <a:xfrm>
          <a:off x="104774" y="87895112"/>
          <a:ext cx="2950368"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27</xdr:col>
      <xdr:colOff>342900</xdr:colOff>
      <xdr:row>250</xdr:row>
      <xdr:rowOff>50799</xdr:rowOff>
    </xdr:from>
    <xdr:to>
      <xdr:col>31</xdr:col>
      <xdr:colOff>323849</xdr:colOff>
      <xdr:row>254</xdr:row>
      <xdr:rowOff>117474</xdr:rowOff>
    </xdr:to>
    <xdr:sp macro="" textlink="">
      <xdr:nvSpPr>
        <xdr:cNvPr id="164" name="Rectangle à coins arrondis 163">
          <a:extLst>
            <a:ext uri="{FF2B5EF4-FFF2-40B4-BE49-F238E27FC236}">
              <a16:creationId xmlns:a16="http://schemas.microsoft.com/office/drawing/2014/main" id="{00000000-0008-0000-3E00-0000A4000000}"/>
            </a:ext>
          </a:extLst>
        </xdr:cNvPr>
        <xdr:cNvSpPr/>
      </xdr:nvSpPr>
      <xdr:spPr bwMode="auto">
        <a:xfrm>
          <a:off x="3188494" y="87895112"/>
          <a:ext cx="2088355"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31</xdr:col>
      <xdr:colOff>454026</xdr:colOff>
      <xdr:row>250</xdr:row>
      <xdr:rowOff>60324</xdr:rowOff>
    </xdr:from>
    <xdr:to>
      <xdr:col>36</xdr:col>
      <xdr:colOff>212725</xdr:colOff>
      <xdr:row>254</xdr:row>
      <xdr:rowOff>126999</xdr:rowOff>
    </xdr:to>
    <xdr:sp macro="" textlink="">
      <xdr:nvSpPr>
        <xdr:cNvPr id="165" name="Rectangle à coins arrondis 164">
          <a:extLst>
            <a:ext uri="{FF2B5EF4-FFF2-40B4-BE49-F238E27FC236}">
              <a16:creationId xmlns:a16="http://schemas.microsoft.com/office/drawing/2014/main" id="{00000000-0008-0000-3E00-0000A5000000}"/>
            </a:ext>
          </a:extLst>
        </xdr:cNvPr>
        <xdr:cNvSpPr/>
      </xdr:nvSpPr>
      <xdr:spPr bwMode="auto">
        <a:xfrm>
          <a:off x="5407026" y="87904637"/>
          <a:ext cx="2068512"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33</xdr:col>
      <xdr:colOff>176023</xdr:colOff>
      <xdr:row>258</xdr:row>
      <xdr:rowOff>142875</xdr:rowOff>
    </xdr:from>
    <xdr:ext cx="966977" cy="895350"/>
    <xdr:pic>
      <xdr:nvPicPr>
        <xdr:cNvPr id="167" name="Image 1">
          <a:extLst>
            <a:ext uri="{FF2B5EF4-FFF2-40B4-BE49-F238E27FC236}">
              <a16:creationId xmlns:a16="http://schemas.microsoft.com/office/drawing/2014/main" id="{00000000-0008-0000-3E00-0000A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426804" y="89654063"/>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19</xdr:col>
      <xdr:colOff>104774</xdr:colOff>
      <xdr:row>282</xdr:row>
      <xdr:rowOff>50799</xdr:rowOff>
    </xdr:from>
    <xdr:to>
      <xdr:col>27</xdr:col>
      <xdr:colOff>209548</xdr:colOff>
      <xdr:row>286</xdr:row>
      <xdr:rowOff>117474</xdr:rowOff>
    </xdr:to>
    <xdr:sp macro="" textlink="">
      <xdr:nvSpPr>
        <xdr:cNvPr id="168" name="Rectangle à coins arrondis 167">
          <a:extLst>
            <a:ext uri="{FF2B5EF4-FFF2-40B4-BE49-F238E27FC236}">
              <a16:creationId xmlns:a16="http://schemas.microsoft.com/office/drawing/2014/main" id="{00000000-0008-0000-3E00-0000A8000000}"/>
            </a:ext>
          </a:extLst>
        </xdr:cNvPr>
        <xdr:cNvSpPr/>
      </xdr:nvSpPr>
      <xdr:spPr bwMode="auto">
        <a:xfrm>
          <a:off x="104774" y="99015549"/>
          <a:ext cx="2950368"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27</xdr:col>
      <xdr:colOff>342900</xdr:colOff>
      <xdr:row>282</xdr:row>
      <xdr:rowOff>50799</xdr:rowOff>
    </xdr:from>
    <xdr:to>
      <xdr:col>31</xdr:col>
      <xdr:colOff>323849</xdr:colOff>
      <xdr:row>286</xdr:row>
      <xdr:rowOff>117474</xdr:rowOff>
    </xdr:to>
    <xdr:sp macro="" textlink="">
      <xdr:nvSpPr>
        <xdr:cNvPr id="169" name="Rectangle à coins arrondis 168">
          <a:extLst>
            <a:ext uri="{FF2B5EF4-FFF2-40B4-BE49-F238E27FC236}">
              <a16:creationId xmlns:a16="http://schemas.microsoft.com/office/drawing/2014/main" id="{00000000-0008-0000-3E00-0000A9000000}"/>
            </a:ext>
          </a:extLst>
        </xdr:cNvPr>
        <xdr:cNvSpPr/>
      </xdr:nvSpPr>
      <xdr:spPr bwMode="auto">
        <a:xfrm>
          <a:off x="3188494" y="99015549"/>
          <a:ext cx="2088355"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31</xdr:col>
      <xdr:colOff>454026</xdr:colOff>
      <xdr:row>282</xdr:row>
      <xdr:rowOff>60324</xdr:rowOff>
    </xdr:from>
    <xdr:to>
      <xdr:col>36</xdr:col>
      <xdr:colOff>212725</xdr:colOff>
      <xdr:row>286</xdr:row>
      <xdr:rowOff>126999</xdr:rowOff>
    </xdr:to>
    <xdr:sp macro="" textlink="">
      <xdr:nvSpPr>
        <xdr:cNvPr id="170" name="Rectangle à coins arrondis 169">
          <a:extLst>
            <a:ext uri="{FF2B5EF4-FFF2-40B4-BE49-F238E27FC236}">
              <a16:creationId xmlns:a16="http://schemas.microsoft.com/office/drawing/2014/main" id="{00000000-0008-0000-3E00-0000AA000000}"/>
            </a:ext>
          </a:extLst>
        </xdr:cNvPr>
        <xdr:cNvSpPr/>
      </xdr:nvSpPr>
      <xdr:spPr bwMode="auto">
        <a:xfrm>
          <a:off x="5407026" y="99025074"/>
          <a:ext cx="2068512"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33</xdr:col>
      <xdr:colOff>176023</xdr:colOff>
      <xdr:row>290</xdr:row>
      <xdr:rowOff>142875</xdr:rowOff>
    </xdr:from>
    <xdr:ext cx="966977" cy="895350"/>
    <xdr:pic>
      <xdr:nvPicPr>
        <xdr:cNvPr id="172" name="Image 1">
          <a:extLst>
            <a:ext uri="{FF2B5EF4-FFF2-40B4-BE49-F238E27FC236}">
              <a16:creationId xmlns:a16="http://schemas.microsoft.com/office/drawing/2014/main" id="{00000000-0008-0000-3E00-0000A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426804" y="100774500"/>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19</xdr:col>
      <xdr:colOff>104774</xdr:colOff>
      <xdr:row>314</xdr:row>
      <xdr:rowOff>50799</xdr:rowOff>
    </xdr:from>
    <xdr:to>
      <xdr:col>27</xdr:col>
      <xdr:colOff>209548</xdr:colOff>
      <xdr:row>318</xdr:row>
      <xdr:rowOff>117474</xdr:rowOff>
    </xdr:to>
    <xdr:sp macro="" textlink="">
      <xdr:nvSpPr>
        <xdr:cNvPr id="173" name="Rectangle à coins arrondis 172">
          <a:extLst>
            <a:ext uri="{FF2B5EF4-FFF2-40B4-BE49-F238E27FC236}">
              <a16:creationId xmlns:a16="http://schemas.microsoft.com/office/drawing/2014/main" id="{00000000-0008-0000-3E00-0000AD000000}"/>
            </a:ext>
          </a:extLst>
        </xdr:cNvPr>
        <xdr:cNvSpPr/>
      </xdr:nvSpPr>
      <xdr:spPr bwMode="auto">
        <a:xfrm>
          <a:off x="104774" y="110135987"/>
          <a:ext cx="2950368"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27</xdr:col>
      <xdr:colOff>342900</xdr:colOff>
      <xdr:row>314</xdr:row>
      <xdr:rowOff>50799</xdr:rowOff>
    </xdr:from>
    <xdr:to>
      <xdr:col>31</xdr:col>
      <xdr:colOff>323849</xdr:colOff>
      <xdr:row>318</xdr:row>
      <xdr:rowOff>117474</xdr:rowOff>
    </xdr:to>
    <xdr:sp macro="" textlink="">
      <xdr:nvSpPr>
        <xdr:cNvPr id="174" name="Rectangle à coins arrondis 173">
          <a:extLst>
            <a:ext uri="{FF2B5EF4-FFF2-40B4-BE49-F238E27FC236}">
              <a16:creationId xmlns:a16="http://schemas.microsoft.com/office/drawing/2014/main" id="{00000000-0008-0000-3E00-0000AE000000}"/>
            </a:ext>
          </a:extLst>
        </xdr:cNvPr>
        <xdr:cNvSpPr/>
      </xdr:nvSpPr>
      <xdr:spPr bwMode="auto">
        <a:xfrm>
          <a:off x="3188494" y="110135987"/>
          <a:ext cx="2088355"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31</xdr:col>
      <xdr:colOff>454026</xdr:colOff>
      <xdr:row>314</xdr:row>
      <xdr:rowOff>60324</xdr:rowOff>
    </xdr:from>
    <xdr:to>
      <xdr:col>36</xdr:col>
      <xdr:colOff>212725</xdr:colOff>
      <xdr:row>318</xdr:row>
      <xdr:rowOff>126999</xdr:rowOff>
    </xdr:to>
    <xdr:sp macro="" textlink="">
      <xdr:nvSpPr>
        <xdr:cNvPr id="175" name="Rectangle à coins arrondis 174">
          <a:extLst>
            <a:ext uri="{FF2B5EF4-FFF2-40B4-BE49-F238E27FC236}">
              <a16:creationId xmlns:a16="http://schemas.microsoft.com/office/drawing/2014/main" id="{00000000-0008-0000-3E00-0000AF000000}"/>
            </a:ext>
          </a:extLst>
        </xdr:cNvPr>
        <xdr:cNvSpPr/>
      </xdr:nvSpPr>
      <xdr:spPr bwMode="auto">
        <a:xfrm>
          <a:off x="5407026" y="110145512"/>
          <a:ext cx="2068512"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33</xdr:col>
      <xdr:colOff>176023</xdr:colOff>
      <xdr:row>322</xdr:row>
      <xdr:rowOff>142875</xdr:rowOff>
    </xdr:from>
    <xdr:ext cx="966977" cy="895350"/>
    <xdr:pic>
      <xdr:nvPicPr>
        <xdr:cNvPr id="177" name="Image 1">
          <a:extLst>
            <a:ext uri="{FF2B5EF4-FFF2-40B4-BE49-F238E27FC236}">
              <a16:creationId xmlns:a16="http://schemas.microsoft.com/office/drawing/2014/main" id="{00000000-0008-0000-3E00-0000B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426804" y="111894938"/>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19</xdr:col>
      <xdr:colOff>104774</xdr:colOff>
      <xdr:row>346</xdr:row>
      <xdr:rowOff>50799</xdr:rowOff>
    </xdr:from>
    <xdr:to>
      <xdr:col>27</xdr:col>
      <xdr:colOff>209548</xdr:colOff>
      <xdr:row>350</xdr:row>
      <xdr:rowOff>117474</xdr:rowOff>
    </xdr:to>
    <xdr:sp macro="" textlink="">
      <xdr:nvSpPr>
        <xdr:cNvPr id="178" name="Rectangle à coins arrondis 177">
          <a:extLst>
            <a:ext uri="{FF2B5EF4-FFF2-40B4-BE49-F238E27FC236}">
              <a16:creationId xmlns:a16="http://schemas.microsoft.com/office/drawing/2014/main" id="{00000000-0008-0000-3E00-0000B2000000}"/>
            </a:ext>
          </a:extLst>
        </xdr:cNvPr>
        <xdr:cNvSpPr/>
      </xdr:nvSpPr>
      <xdr:spPr bwMode="auto">
        <a:xfrm>
          <a:off x="104774" y="121256424"/>
          <a:ext cx="2950368"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27</xdr:col>
      <xdr:colOff>342900</xdr:colOff>
      <xdr:row>346</xdr:row>
      <xdr:rowOff>50799</xdr:rowOff>
    </xdr:from>
    <xdr:to>
      <xdr:col>31</xdr:col>
      <xdr:colOff>323849</xdr:colOff>
      <xdr:row>350</xdr:row>
      <xdr:rowOff>117474</xdr:rowOff>
    </xdr:to>
    <xdr:sp macro="" textlink="">
      <xdr:nvSpPr>
        <xdr:cNvPr id="179" name="Rectangle à coins arrondis 178">
          <a:extLst>
            <a:ext uri="{FF2B5EF4-FFF2-40B4-BE49-F238E27FC236}">
              <a16:creationId xmlns:a16="http://schemas.microsoft.com/office/drawing/2014/main" id="{00000000-0008-0000-3E00-0000B3000000}"/>
            </a:ext>
          </a:extLst>
        </xdr:cNvPr>
        <xdr:cNvSpPr/>
      </xdr:nvSpPr>
      <xdr:spPr bwMode="auto">
        <a:xfrm>
          <a:off x="3188494" y="121256424"/>
          <a:ext cx="2088355"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31</xdr:col>
      <xdr:colOff>454026</xdr:colOff>
      <xdr:row>346</xdr:row>
      <xdr:rowOff>60324</xdr:rowOff>
    </xdr:from>
    <xdr:to>
      <xdr:col>36</xdr:col>
      <xdr:colOff>212725</xdr:colOff>
      <xdr:row>350</xdr:row>
      <xdr:rowOff>126999</xdr:rowOff>
    </xdr:to>
    <xdr:sp macro="" textlink="">
      <xdr:nvSpPr>
        <xdr:cNvPr id="180" name="Rectangle à coins arrondis 179">
          <a:extLst>
            <a:ext uri="{FF2B5EF4-FFF2-40B4-BE49-F238E27FC236}">
              <a16:creationId xmlns:a16="http://schemas.microsoft.com/office/drawing/2014/main" id="{00000000-0008-0000-3E00-0000B4000000}"/>
            </a:ext>
          </a:extLst>
        </xdr:cNvPr>
        <xdr:cNvSpPr/>
      </xdr:nvSpPr>
      <xdr:spPr bwMode="auto">
        <a:xfrm>
          <a:off x="5407026" y="121265949"/>
          <a:ext cx="2068512"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33</xdr:col>
      <xdr:colOff>176023</xdr:colOff>
      <xdr:row>354</xdr:row>
      <xdr:rowOff>142875</xdr:rowOff>
    </xdr:from>
    <xdr:ext cx="966977" cy="895350"/>
    <xdr:pic>
      <xdr:nvPicPr>
        <xdr:cNvPr id="182" name="Image 1">
          <a:extLst>
            <a:ext uri="{FF2B5EF4-FFF2-40B4-BE49-F238E27FC236}">
              <a16:creationId xmlns:a16="http://schemas.microsoft.com/office/drawing/2014/main" id="{00000000-0008-0000-3E00-0000B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426804" y="123015375"/>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19</xdr:col>
      <xdr:colOff>104774</xdr:colOff>
      <xdr:row>378</xdr:row>
      <xdr:rowOff>50799</xdr:rowOff>
    </xdr:from>
    <xdr:to>
      <xdr:col>27</xdr:col>
      <xdr:colOff>209548</xdr:colOff>
      <xdr:row>382</xdr:row>
      <xdr:rowOff>117474</xdr:rowOff>
    </xdr:to>
    <xdr:sp macro="" textlink="">
      <xdr:nvSpPr>
        <xdr:cNvPr id="183" name="Rectangle à coins arrondis 182">
          <a:extLst>
            <a:ext uri="{FF2B5EF4-FFF2-40B4-BE49-F238E27FC236}">
              <a16:creationId xmlns:a16="http://schemas.microsoft.com/office/drawing/2014/main" id="{00000000-0008-0000-3E00-0000B7000000}"/>
            </a:ext>
          </a:extLst>
        </xdr:cNvPr>
        <xdr:cNvSpPr/>
      </xdr:nvSpPr>
      <xdr:spPr bwMode="auto">
        <a:xfrm>
          <a:off x="104774" y="132376862"/>
          <a:ext cx="2950368"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27</xdr:col>
      <xdr:colOff>342900</xdr:colOff>
      <xdr:row>378</xdr:row>
      <xdr:rowOff>50799</xdr:rowOff>
    </xdr:from>
    <xdr:to>
      <xdr:col>31</xdr:col>
      <xdr:colOff>323849</xdr:colOff>
      <xdr:row>382</xdr:row>
      <xdr:rowOff>117474</xdr:rowOff>
    </xdr:to>
    <xdr:sp macro="" textlink="">
      <xdr:nvSpPr>
        <xdr:cNvPr id="184" name="Rectangle à coins arrondis 183">
          <a:extLst>
            <a:ext uri="{FF2B5EF4-FFF2-40B4-BE49-F238E27FC236}">
              <a16:creationId xmlns:a16="http://schemas.microsoft.com/office/drawing/2014/main" id="{00000000-0008-0000-3E00-0000B8000000}"/>
            </a:ext>
          </a:extLst>
        </xdr:cNvPr>
        <xdr:cNvSpPr/>
      </xdr:nvSpPr>
      <xdr:spPr bwMode="auto">
        <a:xfrm>
          <a:off x="3188494" y="132376862"/>
          <a:ext cx="2088355"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31</xdr:col>
      <xdr:colOff>454026</xdr:colOff>
      <xdr:row>378</xdr:row>
      <xdr:rowOff>60324</xdr:rowOff>
    </xdr:from>
    <xdr:to>
      <xdr:col>36</xdr:col>
      <xdr:colOff>212725</xdr:colOff>
      <xdr:row>382</xdr:row>
      <xdr:rowOff>126999</xdr:rowOff>
    </xdr:to>
    <xdr:sp macro="" textlink="">
      <xdr:nvSpPr>
        <xdr:cNvPr id="185" name="Rectangle à coins arrondis 184">
          <a:extLst>
            <a:ext uri="{FF2B5EF4-FFF2-40B4-BE49-F238E27FC236}">
              <a16:creationId xmlns:a16="http://schemas.microsoft.com/office/drawing/2014/main" id="{00000000-0008-0000-3E00-0000B9000000}"/>
            </a:ext>
          </a:extLst>
        </xdr:cNvPr>
        <xdr:cNvSpPr/>
      </xdr:nvSpPr>
      <xdr:spPr bwMode="auto">
        <a:xfrm>
          <a:off x="5407026" y="132386387"/>
          <a:ext cx="2068512"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33</xdr:col>
      <xdr:colOff>176023</xdr:colOff>
      <xdr:row>386</xdr:row>
      <xdr:rowOff>142875</xdr:rowOff>
    </xdr:from>
    <xdr:ext cx="966977" cy="895350"/>
    <xdr:pic>
      <xdr:nvPicPr>
        <xdr:cNvPr id="187" name="Image 1">
          <a:extLst>
            <a:ext uri="{FF2B5EF4-FFF2-40B4-BE49-F238E27FC236}">
              <a16:creationId xmlns:a16="http://schemas.microsoft.com/office/drawing/2014/main" id="{00000000-0008-0000-3E00-0000B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426804" y="134135813"/>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19</xdr:col>
      <xdr:colOff>104774</xdr:colOff>
      <xdr:row>410</xdr:row>
      <xdr:rowOff>50799</xdr:rowOff>
    </xdr:from>
    <xdr:to>
      <xdr:col>27</xdr:col>
      <xdr:colOff>209548</xdr:colOff>
      <xdr:row>414</xdr:row>
      <xdr:rowOff>117474</xdr:rowOff>
    </xdr:to>
    <xdr:sp macro="" textlink="">
      <xdr:nvSpPr>
        <xdr:cNvPr id="188" name="Rectangle à coins arrondis 187">
          <a:extLst>
            <a:ext uri="{FF2B5EF4-FFF2-40B4-BE49-F238E27FC236}">
              <a16:creationId xmlns:a16="http://schemas.microsoft.com/office/drawing/2014/main" id="{00000000-0008-0000-3E00-0000BC000000}"/>
            </a:ext>
          </a:extLst>
        </xdr:cNvPr>
        <xdr:cNvSpPr/>
      </xdr:nvSpPr>
      <xdr:spPr bwMode="auto">
        <a:xfrm>
          <a:off x="104774" y="143497299"/>
          <a:ext cx="2950368"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27</xdr:col>
      <xdr:colOff>342900</xdr:colOff>
      <xdr:row>410</xdr:row>
      <xdr:rowOff>50799</xdr:rowOff>
    </xdr:from>
    <xdr:to>
      <xdr:col>31</xdr:col>
      <xdr:colOff>323849</xdr:colOff>
      <xdr:row>414</xdr:row>
      <xdr:rowOff>117474</xdr:rowOff>
    </xdr:to>
    <xdr:sp macro="" textlink="">
      <xdr:nvSpPr>
        <xdr:cNvPr id="189" name="Rectangle à coins arrondis 188">
          <a:extLst>
            <a:ext uri="{FF2B5EF4-FFF2-40B4-BE49-F238E27FC236}">
              <a16:creationId xmlns:a16="http://schemas.microsoft.com/office/drawing/2014/main" id="{00000000-0008-0000-3E00-0000BD000000}"/>
            </a:ext>
          </a:extLst>
        </xdr:cNvPr>
        <xdr:cNvSpPr/>
      </xdr:nvSpPr>
      <xdr:spPr bwMode="auto">
        <a:xfrm>
          <a:off x="3188494" y="143497299"/>
          <a:ext cx="2088355"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31</xdr:col>
      <xdr:colOff>454026</xdr:colOff>
      <xdr:row>410</xdr:row>
      <xdr:rowOff>60324</xdr:rowOff>
    </xdr:from>
    <xdr:to>
      <xdr:col>36</xdr:col>
      <xdr:colOff>212725</xdr:colOff>
      <xdr:row>414</xdr:row>
      <xdr:rowOff>126999</xdr:rowOff>
    </xdr:to>
    <xdr:sp macro="" textlink="">
      <xdr:nvSpPr>
        <xdr:cNvPr id="190" name="Rectangle à coins arrondis 189">
          <a:extLst>
            <a:ext uri="{FF2B5EF4-FFF2-40B4-BE49-F238E27FC236}">
              <a16:creationId xmlns:a16="http://schemas.microsoft.com/office/drawing/2014/main" id="{00000000-0008-0000-3E00-0000BE000000}"/>
            </a:ext>
          </a:extLst>
        </xdr:cNvPr>
        <xdr:cNvSpPr/>
      </xdr:nvSpPr>
      <xdr:spPr bwMode="auto">
        <a:xfrm>
          <a:off x="5407026" y="143506824"/>
          <a:ext cx="2068512"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33</xdr:col>
      <xdr:colOff>176023</xdr:colOff>
      <xdr:row>418</xdr:row>
      <xdr:rowOff>142875</xdr:rowOff>
    </xdr:from>
    <xdr:ext cx="966977" cy="895350"/>
    <xdr:pic>
      <xdr:nvPicPr>
        <xdr:cNvPr id="192" name="Image 1">
          <a:extLst>
            <a:ext uri="{FF2B5EF4-FFF2-40B4-BE49-F238E27FC236}">
              <a16:creationId xmlns:a16="http://schemas.microsoft.com/office/drawing/2014/main" id="{00000000-0008-0000-3E00-0000C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426804" y="145256250"/>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19</xdr:col>
      <xdr:colOff>104774</xdr:colOff>
      <xdr:row>442</xdr:row>
      <xdr:rowOff>50799</xdr:rowOff>
    </xdr:from>
    <xdr:to>
      <xdr:col>27</xdr:col>
      <xdr:colOff>209548</xdr:colOff>
      <xdr:row>446</xdr:row>
      <xdr:rowOff>117474</xdr:rowOff>
    </xdr:to>
    <xdr:sp macro="" textlink="">
      <xdr:nvSpPr>
        <xdr:cNvPr id="193" name="Rectangle à coins arrondis 192">
          <a:extLst>
            <a:ext uri="{FF2B5EF4-FFF2-40B4-BE49-F238E27FC236}">
              <a16:creationId xmlns:a16="http://schemas.microsoft.com/office/drawing/2014/main" id="{00000000-0008-0000-3E00-0000C1000000}"/>
            </a:ext>
          </a:extLst>
        </xdr:cNvPr>
        <xdr:cNvSpPr/>
      </xdr:nvSpPr>
      <xdr:spPr bwMode="auto">
        <a:xfrm>
          <a:off x="104774" y="154617737"/>
          <a:ext cx="2950368"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27</xdr:col>
      <xdr:colOff>342900</xdr:colOff>
      <xdr:row>442</xdr:row>
      <xdr:rowOff>50799</xdr:rowOff>
    </xdr:from>
    <xdr:to>
      <xdr:col>31</xdr:col>
      <xdr:colOff>323849</xdr:colOff>
      <xdr:row>446</xdr:row>
      <xdr:rowOff>117474</xdr:rowOff>
    </xdr:to>
    <xdr:sp macro="" textlink="">
      <xdr:nvSpPr>
        <xdr:cNvPr id="194" name="Rectangle à coins arrondis 193">
          <a:extLst>
            <a:ext uri="{FF2B5EF4-FFF2-40B4-BE49-F238E27FC236}">
              <a16:creationId xmlns:a16="http://schemas.microsoft.com/office/drawing/2014/main" id="{00000000-0008-0000-3E00-0000C2000000}"/>
            </a:ext>
          </a:extLst>
        </xdr:cNvPr>
        <xdr:cNvSpPr/>
      </xdr:nvSpPr>
      <xdr:spPr bwMode="auto">
        <a:xfrm>
          <a:off x="3188494" y="154617737"/>
          <a:ext cx="2088355"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31</xdr:col>
      <xdr:colOff>454026</xdr:colOff>
      <xdr:row>442</xdr:row>
      <xdr:rowOff>60324</xdr:rowOff>
    </xdr:from>
    <xdr:to>
      <xdr:col>36</xdr:col>
      <xdr:colOff>212725</xdr:colOff>
      <xdr:row>446</xdr:row>
      <xdr:rowOff>126999</xdr:rowOff>
    </xdr:to>
    <xdr:sp macro="" textlink="">
      <xdr:nvSpPr>
        <xdr:cNvPr id="195" name="Rectangle à coins arrondis 194">
          <a:extLst>
            <a:ext uri="{FF2B5EF4-FFF2-40B4-BE49-F238E27FC236}">
              <a16:creationId xmlns:a16="http://schemas.microsoft.com/office/drawing/2014/main" id="{00000000-0008-0000-3E00-0000C3000000}"/>
            </a:ext>
          </a:extLst>
        </xdr:cNvPr>
        <xdr:cNvSpPr/>
      </xdr:nvSpPr>
      <xdr:spPr bwMode="auto">
        <a:xfrm>
          <a:off x="5407026" y="154627262"/>
          <a:ext cx="2068512"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33</xdr:col>
      <xdr:colOff>176023</xdr:colOff>
      <xdr:row>450</xdr:row>
      <xdr:rowOff>142875</xdr:rowOff>
    </xdr:from>
    <xdr:ext cx="966977" cy="895350"/>
    <xdr:pic>
      <xdr:nvPicPr>
        <xdr:cNvPr id="197" name="Image 1">
          <a:extLst>
            <a:ext uri="{FF2B5EF4-FFF2-40B4-BE49-F238E27FC236}">
              <a16:creationId xmlns:a16="http://schemas.microsoft.com/office/drawing/2014/main" id="{00000000-0008-0000-3E00-0000C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426804" y="156376688"/>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19</xdr:col>
      <xdr:colOff>104774</xdr:colOff>
      <xdr:row>474</xdr:row>
      <xdr:rowOff>50799</xdr:rowOff>
    </xdr:from>
    <xdr:to>
      <xdr:col>27</xdr:col>
      <xdr:colOff>209548</xdr:colOff>
      <xdr:row>478</xdr:row>
      <xdr:rowOff>117474</xdr:rowOff>
    </xdr:to>
    <xdr:sp macro="" textlink="">
      <xdr:nvSpPr>
        <xdr:cNvPr id="198" name="Rectangle à coins arrondis 197">
          <a:extLst>
            <a:ext uri="{FF2B5EF4-FFF2-40B4-BE49-F238E27FC236}">
              <a16:creationId xmlns:a16="http://schemas.microsoft.com/office/drawing/2014/main" id="{00000000-0008-0000-3E00-0000C6000000}"/>
            </a:ext>
          </a:extLst>
        </xdr:cNvPr>
        <xdr:cNvSpPr/>
      </xdr:nvSpPr>
      <xdr:spPr bwMode="auto">
        <a:xfrm>
          <a:off x="104774" y="165738174"/>
          <a:ext cx="2950368"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27</xdr:col>
      <xdr:colOff>342900</xdr:colOff>
      <xdr:row>474</xdr:row>
      <xdr:rowOff>50799</xdr:rowOff>
    </xdr:from>
    <xdr:to>
      <xdr:col>31</xdr:col>
      <xdr:colOff>323849</xdr:colOff>
      <xdr:row>478</xdr:row>
      <xdr:rowOff>117474</xdr:rowOff>
    </xdr:to>
    <xdr:sp macro="" textlink="">
      <xdr:nvSpPr>
        <xdr:cNvPr id="199" name="Rectangle à coins arrondis 198">
          <a:extLst>
            <a:ext uri="{FF2B5EF4-FFF2-40B4-BE49-F238E27FC236}">
              <a16:creationId xmlns:a16="http://schemas.microsoft.com/office/drawing/2014/main" id="{00000000-0008-0000-3E00-0000C7000000}"/>
            </a:ext>
          </a:extLst>
        </xdr:cNvPr>
        <xdr:cNvSpPr/>
      </xdr:nvSpPr>
      <xdr:spPr bwMode="auto">
        <a:xfrm>
          <a:off x="3188494" y="165738174"/>
          <a:ext cx="2088355"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31</xdr:col>
      <xdr:colOff>454026</xdr:colOff>
      <xdr:row>474</xdr:row>
      <xdr:rowOff>60324</xdr:rowOff>
    </xdr:from>
    <xdr:to>
      <xdr:col>36</xdr:col>
      <xdr:colOff>212725</xdr:colOff>
      <xdr:row>478</xdr:row>
      <xdr:rowOff>126999</xdr:rowOff>
    </xdr:to>
    <xdr:sp macro="" textlink="">
      <xdr:nvSpPr>
        <xdr:cNvPr id="200" name="Rectangle à coins arrondis 199">
          <a:extLst>
            <a:ext uri="{FF2B5EF4-FFF2-40B4-BE49-F238E27FC236}">
              <a16:creationId xmlns:a16="http://schemas.microsoft.com/office/drawing/2014/main" id="{00000000-0008-0000-3E00-0000C8000000}"/>
            </a:ext>
          </a:extLst>
        </xdr:cNvPr>
        <xdr:cNvSpPr/>
      </xdr:nvSpPr>
      <xdr:spPr bwMode="auto">
        <a:xfrm>
          <a:off x="5407026" y="165747699"/>
          <a:ext cx="2068512"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33</xdr:col>
      <xdr:colOff>176023</xdr:colOff>
      <xdr:row>482</xdr:row>
      <xdr:rowOff>142875</xdr:rowOff>
    </xdr:from>
    <xdr:ext cx="966977" cy="895350"/>
    <xdr:pic>
      <xdr:nvPicPr>
        <xdr:cNvPr id="204" name="Image 1">
          <a:extLst>
            <a:ext uri="{FF2B5EF4-FFF2-40B4-BE49-F238E27FC236}">
              <a16:creationId xmlns:a16="http://schemas.microsoft.com/office/drawing/2014/main" id="{00000000-0008-0000-3E00-0000C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426804" y="167497125"/>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19</xdr:col>
      <xdr:colOff>104774</xdr:colOff>
      <xdr:row>506</xdr:row>
      <xdr:rowOff>50799</xdr:rowOff>
    </xdr:from>
    <xdr:to>
      <xdr:col>27</xdr:col>
      <xdr:colOff>209548</xdr:colOff>
      <xdr:row>510</xdr:row>
      <xdr:rowOff>117474</xdr:rowOff>
    </xdr:to>
    <xdr:sp macro="" textlink="">
      <xdr:nvSpPr>
        <xdr:cNvPr id="205" name="Rectangle à coins arrondis 204">
          <a:extLst>
            <a:ext uri="{FF2B5EF4-FFF2-40B4-BE49-F238E27FC236}">
              <a16:creationId xmlns:a16="http://schemas.microsoft.com/office/drawing/2014/main" id="{00000000-0008-0000-3E00-0000CD000000}"/>
            </a:ext>
          </a:extLst>
        </xdr:cNvPr>
        <xdr:cNvSpPr/>
      </xdr:nvSpPr>
      <xdr:spPr bwMode="auto">
        <a:xfrm>
          <a:off x="104774" y="176858612"/>
          <a:ext cx="2950368"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27</xdr:col>
      <xdr:colOff>342900</xdr:colOff>
      <xdr:row>506</xdr:row>
      <xdr:rowOff>50799</xdr:rowOff>
    </xdr:from>
    <xdr:to>
      <xdr:col>31</xdr:col>
      <xdr:colOff>323849</xdr:colOff>
      <xdr:row>510</xdr:row>
      <xdr:rowOff>117474</xdr:rowOff>
    </xdr:to>
    <xdr:sp macro="" textlink="">
      <xdr:nvSpPr>
        <xdr:cNvPr id="209" name="Rectangle à coins arrondis 208">
          <a:extLst>
            <a:ext uri="{FF2B5EF4-FFF2-40B4-BE49-F238E27FC236}">
              <a16:creationId xmlns:a16="http://schemas.microsoft.com/office/drawing/2014/main" id="{00000000-0008-0000-3E00-0000D1000000}"/>
            </a:ext>
          </a:extLst>
        </xdr:cNvPr>
        <xdr:cNvSpPr/>
      </xdr:nvSpPr>
      <xdr:spPr bwMode="auto">
        <a:xfrm>
          <a:off x="3188494" y="176858612"/>
          <a:ext cx="2088355"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31</xdr:col>
      <xdr:colOff>454026</xdr:colOff>
      <xdr:row>506</xdr:row>
      <xdr:rowOff>60324</xdr:rowOff>
    </xdr:from>
    <xdr:to>
      <xdr:col>36</xdr:col>
      <xdr:colOff>212725</xdr:colOff>
      <xdr:row>510</xdr:row>
      <xdr:rowOff>126999</xdr:rowOff>
    </xdr:to>
    <xdr:sp macro="" textlink="">
      <xdr:nvSpPr>
        <xdr:cNvPr id="210" name="Rectangle à coins arrondis 209">
          <a:extLst>
            <a:ext uri="{FF2B5EF4-FFF2-40B4-BE49-F238E27FC236}">
              <a16:creationId xmlns:a16="http://schemas.microsoft.com/office/drawing/2014/main" id="{00000000-0008-0000-3E00-0000D2000000}"/>
            </a:ext>
          </a:extLst>
        </xdr:cNvPr>
        <xdr:cNvSpPr/>
      </xdr:nvSpPr>
      <xdr:spPr bwMode="auto">
        <a:xfrm>
          <a:off x="5407026" y="176868137"/>
          <a:ext cx="2068512"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33</xdr:col>
      <xdr:colOff>176023</xdr:colOff>
      <xdr:row>514</xdr:row>
      <xdr:rowOff>142875</xdr:rowOff>
    </xdr:from>
    <xdr:ext cx="966977" cy="895350"/>
    <xdr:pic>
      <xdr:nvPicPr>
        <xdr:cNvPr id="212" name="Image 1">
          <a:extLst>
            <a:ext uri="{FF2B5EF4-FFF2-40B4-BE49-F238E27FC236}">
              <a16:creationId xmlns:a16="http://schemas.microsoft.com/office/drawing/2014/main" id="{00000000-0008-0000-3E00-0000D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426804" y="178617563"/>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19</xdr:col>
      <xdr:colOff>104774</xdr:colOff>
      <xdr:row>538</xdr:row>
      <xdr:rowOff>50799</xdr:rowOff>
    </xdr:from>
    <xdr:to>
      <xdr:col>27</xdr:col>
      <xdr:colOff>209548</xdr:colOff>
      <xdr:row>542</xdr:row>
      <xdr:rowOff>117474</xdr:rowOff>
    </xdr:to>
    <xdr:sp macro="" textlink="">
      <xdr:nvSpPr>
        <xdr:cNvPr id="213" name="Rectangle à coins arrondis 212">
          <a:extLst>
            <a:ext uri="{FF2B5EF4-FFF2-40B4-BE49-F238E27FC236}">
              <a16:creationId xmlns:a16="http://schemas.microsoft.com/office/drawing/2014/main" id="{00000000-0008-0000-3E00-0000D5000000}"/>
            </a:ext>
          </a:extLst>
        </xdr:cNvPr>
        <xdr:cNvSpPr/>
      </xdr:nvSpPr>
      <xdr:spPr bwMode="auto">
        <a:xfrm>
          <a:off x="104774" y="187979049"/>
          <a:ext cx="2950368"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27</xdr:col>
      <xdr:colOff>342900</xdr:colOff>
      <xdr:row>538</xdr:row>
      <xdr:rowOff>50799</xdr:rowOff>
    </xdr:from>
    <xdr:to>
      <xdr:col>31</xdr:col>
      <xdr:colOff>323849</xdr:colOff>
      <xdr:row>542</xdr:row>
      <xdr:rowOff>117474</xdr:rowOff>
    </xdr:to>
    <xdr:sp macro="" textlink="">
      <xdr:nvSpPr>
        <xdr:cNvPr id="324" name="Rectangle à coins arrondis 323">
          <a:extLst>
            <a:ext uri="{FF2B5EF4-FFF2-40B4-BE49-F238E27FC236}">
              <a16:creationId xmlns:a16="http://schemas.microsoft.com/office/drawing/2014/main" id="{00000000-0008-0000-3E00-000044010000}"/>
            </a:ext>
          </a:extLst>
        </xdr:cNvPr>
        <xdr:cNvSpPr/>
      </xdr:nvSpPr>
      <xdr:spPr bwMode="auto">
        <a:xfrm>
          <a:off x="3188494" y="187979049"/>
          <a:ext cx="2088355"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31</xdr:col>
      <xdr:colOff>454026</xdr:colOff>
      <xdr:row>538</xdr:row>
      <xdr:rowOff>60324</xdr:rowOff>
    </xdr:from>
    <xdr:to>
      <xdr:col>36</xdr:col>
      <xdr:colOff>212725</xdr:colOff>
      <xdr:row>542</xdr:row>
      <xdr:rowOff>126999</xdr:rowOff>
    </xdr:to>
    <xdr:sp macro="" textlink="">
      <xdr:nvSpPr>
        <xdr:cNvPr id="325" name="Rectangle à coins arrondis 324">
          <a:extLst>
            <a:ext uri="{FF2B5EF4-FFF2-40B4-BE49-F238E27FC236}">
              <a16:creationId xmlns:a16="http://schemas.microsoft.com/office/drawing/2014/main" id="{00000000-0008-0000-3E00-000045010000}"/>
            </a:ext>
          </a:extLst>
        </xdr:cNvPr>
        <xdr:cNvSpPr/>
      </xdr:nvSpPr>
      <xdr:spPr bwMode="auto">
        <a:xfrm>
          <a:off x="5407026" y="187988574"/>
          <a:ext cx="2068512"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33</xdr:col>
      <xdr:colOff>176023</xdr:colOff>
      <xdr:row>546</xdr:row>
      <xdr:rowOff>142875</xdr:rowOff>
    </xdr:from>
    <xdr:ext cx="966977" cy="895350"/>
    <xdr:pic>
      <xdr:nvPicPr>
        <xdr:cNvPr id="327" name="Image 1">
          <a:extLst>
            <a:ext uri="{FF2B5EF4-FFF2-40B4-BE49-F238E27FC236}">
              <a16:creationId xmlns:a16="http://schemas.microsoft.com/office/drawing/2014/main" id="{00000000-0008-0000-3E00-00004701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426804" y="189738000"/>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19</xdr:col>
      <xdr:colOff>104774</xdr:colOff>
      <xdr:row>570</xdr:row>
      <xdr:rowOff>50799</xdr:rowOff>
    </xdr:from>
    <xdr:to>
      <xdr:col>27</xdr:col>
      <xdr:colOff>209548</xdr:colOff>
      <xdr:row>574</xdr:row>
      <xdr:rowOff>117474</xdr:rowOff>
    </xdr:to>
    <xdr:sp macro="" textlink="">
      <xdr:nvSpPr>
        <xdr:cNvPr id="328" name="Rectangle à coins arrondis 327">
          <a:extLst>
            <a:ext uri="{FF2B5EF4-FFF2-40B4-BE49-F238E27FC236}">
              <a16:creationId xmlns:a16="http://schemas.microsoft.com/office/drawing/2014/main" id="{00000000-0008-0000-3E00-000048010000}"/>
            </a:ext>
          </a:extLst>
        </xdr:cNvPr>
        <xdr:cNvSpPr/>
      </xdr:nvSpPr>
      <xdr:spPr bwMode="auto">
        <a:xfrm>
          <a:off x="104774" y="199099487"/>
          <a:ext cx="2950368"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27</xdr:col>
      <xdr:colOff>342900</xdr:colOff>
      <xdr:row>570</xdr:row>
      <xdr:rowOff>50799</xdr:rowOff>
    </xdr:from>
    <xdr:to>
      <xdr:col>31</xdr:col>
      <xdr:colOff>323849</xdr:colOff>
      <xdr:row>574</xdr:row>
      <xdr:rowOff>117474</xdr:rowOff>
    </xdr:to>
    <xdr:sp macro="" textlink="">
      <xdr:nvSpPr>
        <xdr:cNvPr id="329" name="Rectangle à coins arrondis 328">
          <a:extLst>
            <a:ext uri="{FF2B5EF4-FFF2-40B4-BE49-F238E27FC236}">
              <a16:creationId xmlns:a16="http://schemas.microsoft.com/office/drawing/2014/main" id="{00000000-0008-0000-3E00-000049010000}"/>
            </a:ext>
          </a:extLst>
        </xdr:cNvPr>
        <xdr:cNvSpPr/>
      </xdr:nvSpPr>
      <xdr:spPr bwMode="auto">
        <a:xfrm>
          <a:off x="3188494" y="199099487"/>
          <a:ext cx="2088355"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31</xdr:col>
      <xdr:colOff>454026</xdr:colOff>
      <xdr:row>570</xdr:row>
      <xdr:rowOff>60324</xdr:rowOff>
    </xdr:from>
    <xdr:to>
      <xdr:col>36</xdr:col>
      <xdr:colOff>212725</xdr:colOff>
      <xdr:row>574</xdr:row>
      <xdr:rowOff>126999</xdr:rowOff>
    </xdr:to>
    <xdr:sp macro="" textlink="">
      <xdr:nvSpPr>
        <xdr:cNvPr id="330" name="Rectangle à coins arrondis 329">
          <a:extLst>
            <a:ext uri="{FF2B5EF4-FFF2-40B4-BE49-F238E27FC236}">
              <a16:creationId xmlns:a16="http://schemas.microsoft.com/office/drawing/2014/main" id="{00000000-0008-0000-3E00-00004A010000}"/>
            </a:ext>
          </a:extLst>
        </xdr:cNvPr>
        <xdr:cNvSpPr/>
      </xdr:nvSpPr>
      <xdr:spPr bwMode="auto">
        <a:xfrm>
          <a:off x="5407026" y="199109012"/>
          <a:ext cx="2068512"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33</xdr:col>
      <xdr:colOff>176023</xdr:colOff>
      <xdr:row>578</xdr:row>
      <xdr:rowOff>142875</xdr:rowOff>
    </xdr:from>
    <xdr:ext cx="966977" cy="895350"/>
    <xdr:pic>
      <xdr:nvPicPr>
        <xdr:cNvPr id="332" name="Image 1">
          <a:extLst>
            <a:ext uri="{FF2B5EF4-FFF2-40B4-BE49-F238E27FC236}">
              <a16:creationId xmlns:a16="http://schemas.microsoft.com/office/drawing/2014/main" id="{00000000-0008-0000-3E00-00004C01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426804" y="200858438"/>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19</xdr:col>
      <xdr:colOff>104774</xdr:colOff>
      <xdr:row>602</xdr:row>
      <xdr:rowOff>50799</xdr:rowOff>
    </xdr:from>
    <xdr:to>
      <xdr:col>27</xdr:col>
      <xdr:colOff>209548</xdr:colOff>
      <xdr:row>606</xdr:row>
      <xdr:rowOff>117474</xdr:rowOff>
    </xdr:to>
    <xdr:sp macro="" textlink="">
      <xdr:nvSpPr>
        <xdr:cNvPr id="333" name="Rectangle à coins arrondis 332">
          <a:extLst>
            <a:ext uri="{FF2B5EF4-FFF2-40B4-BE49-F238E27FC236}">
              <a16:creationId xmlns:a16="http://schemas.microsoft.com/office/drawing/2014/main" id="{00000000-0008-0000-3E00-00004D010000}"/>
            </a:ext>
          </a:extLst>
        </xdr:cNvPr>
        <xdr:cNvSpPr/>
      </xdr:nvSpPr>
      <xdr:spPr bwMode="auto">
        <a:xfrm>
          <a:off x="104774" y="210219924"/>
          <a:ext cx="2950368"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27</xdr:col>
      <xdr:colOff>342900</xdr:colOff>
      <xdr:row>602</xdr:row>
      <xdr:rowOff>50799</xdr:rowOff>
    </xdr:from>
    <xdr:to>
      <xdr:col>31</xdr:col>
      <xdr:colOff>323849</xdr:colOff>
      <xdr:row>606</xdr:row>
      <xdr:rowOff>117474</xdr:rowOff>
    </xdr:to>
    <xdr:sp macro="" textlink="">
      <xdr:nvSpPr>
        <xdr:cNvPr id="334" name="Rectangle à coins arrondis 333">
          <a:extLst>
            <a:ext uri="{FF2B5EF4-FFF2-40B4-BE49-F238E27FC236}">
              <a16:creationId xmlns:a16="http://schemas.microsoft.com/office/drawing/2014/main" id="{00000000-0008-0000-3E00-00004E010000}"/>
            </a:ext>
          </a:extLst>
        </xdr:cNvPr>
        <xdr:cNvSpPr/>
      </xdr:nvSpPr>
      <xdr:spPr bwMode="auto">
        <a:xfrm>
          <a:off x="3188494" y="210219924"/>
          <a:ext cx="2088355"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31</xdr:col>
      <xdr:colOff>454026</xdr:colOff>
      <xdr:row>602</xdr:row>
      <xdr:rowOff>60324</xdr:rowOff>
    </xdr:from>
    <xdr:to>
      <xdr:col>36</xdr:col>
      <xdr:colOff>212725</xdr:colOff>
      <xdr:row>606</xdr:row>
      <xdr:rowOff>126999</xdr:rowOff>
    </xdr:to>
    <xdr:sp macro="" textlink="">
      <xdr:nvSpPr>
        <xdr:cNvPr id="335" name="Rectangle à coins arrondis 334">
          <a:extLst>
            <a:ext uri="{FF2B5EF4-FFF2-40B4-BE49-F238E27FC236}">
              <a16:creationId xmlns:a16="http://schemas.microsoft.com/office/drawing/2014/main" id="{00000000-0008-0000-3E00-00004F010000}"/>
            </a:ext>
          </a:extLst>
        </xdr:cNvPr>
        <xdr:cNvSpPr/>
      </xdr:nvSpPr>
      <xdr:spPr bwMode="auto">
        <a:xfrm>
          <a:off x="5407026" y="210229449"/>
          <a:ext cx="2068512"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33</xdr:col>
      <xdr:colOff>176023</xdr:colOff>
      <xdr:row>610</xdr:row>
      <xdr:rowOff>142875</xdr:rowOff>
    </xdr:from>
    <xdr:ext cx="966977" cy="895350"/>
    <xdr:pic>
      <xdr:nvPicPr>
        <xdr:cNvPr id="337" name="Image 1">
          <a:extLst>
            <a:ext uri="{FF2B5EF4-FFF2-40B4-BE49-F238E27FC236}">
              <a16:creationId xmlns:a16="http://schemas.microsoft.com/office/drawing/2014/main" id="{00000000-0008-0000-3E00-00005101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426804" y="211978875"/>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19</xdr:col>
      <xdr:colOff>104774</xdr:colOff>
      <xdr:row>634</xdr:row>
      <xdr:rowOff>50799</xdr:rowOff>
    </xdr:from>
    <xdr:to>
      <xdr:col>27</xdr:col>
      <xdr:colOff>209548</xdr:colOff>
      <xdr:row>638</xdr:row>
      <xdr:rowOff>117474</xdr:rowOff>
    </xdr:to>
    <xdr:sp macro="" textlink="">
      <xdr:nvSpPr>
        <xdr:cNvPr id="338" name="Rectangle à coins arrondis 337">
          <a:extLst>
            <a:ext uri="{FF2B5EF4-FFF2-40B4-BE49-F238E27FC236}">
              <a16:creationId xmlns:a16="http://schemas.microsoft.com/office/drawing/2014/main" id="{00000000-0008-0000-3E00-000052010000}"/>
            </a:ext>
          </a:extLst>
        </xdr:cNvPr>
        <xdr:cNvSpPr/>
      </xdr:nvSpPr>
      <xdr:spPr bwMode="auto">
        <a:xfrm>
          <a:off x="104774" y="221340362"/>
          <a:ext cx="2950368"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27</xdr:col>
      <xdr:colOff>342900</xdr:colOff>
      <xdr:row>634</xdr:row>
      <xdr:rowOff>50799</xdr:rowOff>
    </xdr:from>
    <xdr:to>
      <xdr:col>31</xdr:col>
      <xdr:colOff>323849</xdr:colOff>
      <xdr:row>638</xdr:row>
      <xdr:rowOff>117474</xdr:rowOff>
    </xdr:to>
    <xdr:sp macro="" textlink="">
      <xdr:nvSpPr>
        <xdr:cNvPr id="339" name="Rectangle à coins arrondis 338">
          <a:extLst>
            <a:ext uri="{FF2B5EF4-FFF2-40B4-BE49-F238E27FC236}">
              <a16:creationId xmlns:a16="http://schemas.microsoft.com/office/drawing/2014/main" id="{00000000-0008-0000-3E00-000053010000}"/>
            </a:ext>
          </a:extLst>
        </xdr:cNvPr>
        <xdr:cNvSpPr/>
      </xdr:nvSpPr>
      <xdr:spPr bwMode="auto">
        <a:xfrm>
          <a:off x="3188494" y="221340362"/>
          <a:ext cx="2088355"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31</xdr:col>
      <xdr:colOff>454026</xdr:colOff>
      <xdr:row>634</xdr:row>
      <xdr:rowOff>60324</xdr:rowOff>
    </xdr:from>
    <xdr:to>
      <xdr:col>36</xdr:col>
      <xdr:colOff>212725</xdr:colOff>
      <xdr:row>638</xdr:row>
      <xdr:rowOff>126999</xdr:rowOff>
    </xdr:to>
    <xdr:sp macro="" textlink="">
      <xdr:nvSpPr>
        <xdr:cNvPr id="340" name="Rectangle à coins arrondis 339">
          <a:extLst>
            <a:ext uri="{FF2B5EF4-FFF2-40B4-BE49-F238E27FC236}">
              <a16:creationId xmlns:a16="http://schemas.microsoft.com/office/drawing/2014/main" id="{00000000-0008-0000-3E00-000054010000}"/>
            </a:ext>
          </a:extLst>
        </xdr:cNvPr>
        <xdr:cNvSpPr/>
      </xdr:nvSpPr>
      <xdr:spPr bwMode="auto">
        <a:xfrm>
          <a:off x="5407026" y="221349887"/>
          <a:ext cx="2068512"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33</xdr:col>
      <xdr:colOff>176023</xdr:colOff>
      <xdr:row>642</xdr:row>
      <xdr:rowOff>142875</xdr:rowOff>
    </xdr:from>
    <xdr:ext cx="966977" cy="895350"/>
    <xdr:pic>
      <xdr:nvPicPr>
        <xdr:cNvPr id="342" name="Image 1">
          <a:extLst>
            <a:ext uri="{FF2B5EF4-FFF2-40B4-BE49-F238E27FC236}">
              <a16:creationId xmlns:a16="http://schemas.microsoft.com/office/drawing/2014/main" id="{00000000-0008-0000-3E00-00005601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426804" y="223099313"/>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19</xdr:col>
      <xdr:colOff>104774</xdr:colOff>
      <xdr:row>666</xdr:row>
      <xdr:rowOff>50799</xdr:rowOff>
    </xdr:from>
    <xdr:to>
      <xdr:col>27</xdr:col>
      <xdr:colOff>209548</xdr:colOff>
      <xdr:row>670</xdr:row>
      <xdr:rowOff>117474</xdr:rowOff>
    </xdr:to>
    <xdr:sp macro="" textlink="">
      <xdr:nvSpPr>
        <xdr:cNvPr id="343" name="Rectangle à coins arrondis 342">
          <a:extLst>
            <a:ext uri="{FF2B5EF4-FFF2-40B4-BE49-F238E27FC236}">
              <a16:creationId xmlns:a16="http://schemas.microsoft.com/office/drawing/2014/main" id="{00000000-0008-0000-3E00-000057010000}"/>
            </a:ext>
          </a:extLst>
        </xdr:cNvPr>
        <xdr:cNvSpPr/>
      </xdr:nvSpPr>
      <xdr:spPr bwMode="auto">
        <a:xfrm>
          <a:off x="104774" y="232460799"/>
          <a:ext cx="2950368"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27</xdr:col>
      <xdr:colOff>342900</xdr:colOff>
      <xdr:row>666</xdr:row>
      <xdr:rowOff>50799</xdr:rowOff>
    </xdr:from>
    <xdr:to>
      <xdr:col>31</xdr:col>
      <xdr:colOff>323849</xdr:colOff>
      <xdr:row>670</xdr:row>
      <xdr:rowOff>117474</xdr:rowOff>
    </xdr:to>
    <xdr:sp macro="" textlink="">
      <xdr:nvSpPr>
        <xdr:cNvPr id="344" name="Rectangle à coins arrondis 343">
          <a:extLst>
            <a:ext uri="{FF2B5EF4-FFF2-40B4-BE49-F238E27FC236}">
              <a16:creationId xmlns:a16="http://schemas.microsoft.com/office/drawing/2014/main" id="{00000000-0008-0000-3E00-000058010000}"/>
            </a:ext>
          </a:extLst>
        </xdr:cNvPr>
        <xdr:cNvSpPr/>
      </xdr:nvSpPr>
      <xdr:spPr bwMode="auto">
        <a:xfrm>
          <a:off x="3188494" y="232460799"/>
          <a:ext cx="2088355"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31</xdr:col>
      <xdr:colOff>454026</xdr:colOff>
      <xdr:row>666</xdr:row>
      <xdr:rowOff>60324</xdr:rowOff>
    </xdr:from>
    <xdr:to>
      <xdr:col>36</xdr:col>
      <xdr:colOff>212725</xdr:colOff>
      <xdr:row>670</xdr:row>
      <xdr:rowOff>126999</xdr:rowOff>
    </xdr:to>
    <xdr:sp macro="" textlink="">
      <xdr:nvSpPr>
        <xdr:cNvPr id="345" name="Rectangle à coins arrondis 344">
          <a:extLst>
            <a:ext uri="{FF2B5EF4-FFF2-40B4-BE49-F238E27FC236}">
              <a16:creationId xmlns:a16="http://schemas.microsoft.com/office/drawing/2014/main" id="{00000000-0008-0000-3E00-000059010000}"/>
            </a:ext>
          </a:extLst>
        </xdr:cNvPr>
        <xdr:cNvSpPr/>
      </xdr:nvSpPr>
      <xdr:spPr bwMode="auto">
        <a:xfrm>
          <a:off x="5407026" y="232470324"/>
          <a:ext cx="2068512"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33</xdr:col>
      <xdr:colOff>176023</xdr:colOff>
      <xdr:row>674</xdr:row>
      <xdr:rowOff>142875</xdr:rowOff>
    </xdr:from>
    <xdr:ext cx="966977" cy="895350"/>
    <xdr:pic>
      <xdr:nvPicPr>
        <xdr:cNvPr id="347" name="Image 1">
          <a:extLst>
            <a:ext uri="{FF2B5EF4-FFF2-40B4-BE49-F238E27FC236}">
              <a16:creationId xmlns:a16="http://schemas.microsoft.com/office/drawing/2014/main" id="{00000000-0008-0000-3E00-00005B01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426804" y="234219750"/>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19</xdr:col>
      <xdr:colOff>104774</xdr:colOff>
      <xdr:row>698</xdr:row>
      <xdr:rowOff>50799</xdr:rowOff>
    </xdr:from>
    <xdr:to>
      <xdr:col>27</xdr:col>
      <xdr:colOff>209548</xdr:colOff>
      <xdr:row>702</xdr:row>
      <xdr:rowOff>117474</xdr:rowOff>
    </xdr:to>
    <xdr:sp macro="" textlink="">
      <xdr:nvSpPr>
        <xdr:cNvPr id="348" name="Rectangle à coins arrondis 347">
          <a:extLst>
            <a:ext uri="{FF2B5EF4-FFF2-40B4-BE49-F238E27FC236}">
              <a16:creationId xmlns:a16="http://schemas.microsoft.com/office/drawing/2014/main" id="{00000000-0008-0000-3E00-00005C010000}"/>
            </a:ext>
          </a:extLst>
        </xdr:cNvPr>
        <xdr:cNvSpPr/>
      </xdr:nvSpPr>
      <xdr:spPr bwMode="auto">
        <a:xfrm>
          <a:off x="104774" y="243581237"/>
          <a:ext cx="2950368"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27</xdr:col>
      <xdr:colOff>342900</xdr:colOff>
      <xdr:row>698</xdr:row>
      <xdr:rowOff>50799</xdr:rowOff>
    </xdr:from>
    <xdr:to>
      <xdr:col>31</xdr:col>
      <xdr:colOff>323849</xdr:colOff>
      <xdr:row>702</xdr:row>
      <xdr:rowOff>117474</xdr:rowOff>
    </xdr:to>
    <xdr:sp macro="" textlink="">
      <xdr:nvSpPr>
        <xdr:cNvPr id="349" name="Rectangle à coins arrondis 348">
          <a:extLst>
            <a:ext uri="{FF2B5EF4-FFF2-40B4-BE49-F238E27FC236}">
              <a16:creationId xmlns:a16="http://schemas.microsoft.com/office/drawing/2014/main" id="{00000000-0008-0000-3E00-00005D010000}"/>
            </a:ext>
          </a:extLst>
        </xdr:cNvPr>
        <xdr:cNvSpPr/>
      </xdr:nvSpPr>
      <xdr:spPr bwMode="auto">
        <a:xfrm>
          <a:off x="3188494" y="243581237"/>
          <a:ext cx="2088355"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31</xdr:col>
      <xdr:colOff>454026</xdr:colOff>
      <xdr:row>698</xdr:row>
      <xdr:rowOff>60324</xdr:rowOff>
    </xdr:from>
    <xdr:to>
      <xdr:col>36</xdr:col>
      <xdr:colOff>212725</xdr:colOff>
      <xdr:row>702</xdr:row>
      <xdr:rowOff>126999</xdr:rowOff>
    </xdr:to>
    <xdr:sp macro="" textlink="">
      <xdr:nvSpPr>
        <xdr:cNvPr id="350" name="Rectangle à coins arrondis 349">
          <a:extLst>
            <a:ext uri="{FF2B5EF4-FFF2-40B4-BE49-F238E27FC236}">
              <a16:creationId xmlns:a16="http://schemas.microsoft.com/office/drawing/2014/main" id="{00000000-0008-0000-3E00-00005E010000}"/>
            </a:ext>
          </a:extLst>
        </xdr:cNvPr>
        <xdr:cNvSpPr/>
      </xdr:nvSpPr>
      <xdr:spPr bwMode="auto">
        <a:xfrm>
          <a:off x="5407026" y="243590762"/>
          <a:ext cx="2068512"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33</xdr:col>
      <xdr:colOff>176023</xdr:colOff>
      <xdr:row>706</xdr:row>
      <xdr:rowOff>142875</xdr:rowOff>
    </xdr:from>
    <xdr:ext cx="966977" cy="895350"/>
    <xdr:pic>
      <xdr:nvPicPr>
        <xdr:cNvPr id="352" name="Image 1">
          <a:extLst>
            <a:ext uri="{FF2B5EF4-FFF2-40B4-BE49-F238E27FC236}">
              <a16:creationId xmlns:a16="http://schemas.microsoft.com/office/drawing/2014/main" id="{00000000-0008-0000-3E00-00006001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426804" y="245340188"/>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19</xdr:col>
      <xdr:colOff>104774</xdr:colOff>
      <xdr:row>730</xdr:row>
      <xdr:rowOff>50799</xdr:rowOff>
    </xdr:from>
    <xdr:to>
      <xdr:col>27</xdr:col>
      <xdr:colOff>209548</xdr:colOff>
      <xdr:row>734</xdr:row>
      <xdr:rowOff>117474</xdr:rowOff>
    </xdr:to>
    <xdr:sp macro="" textlink="">
      <xdr:nvSpPr>
        <xdr:cNvPr id="353" name="Rectangle à coins arrondis 352">
          <a:extLst>
            <a:ext uri="{FF2B5EF4-FFF2-40B4-BE49-F238E27FC236}">
              <a16:creationId xmlns:a16="http://schemas.microsoft.com/office/drawing/2014/main" id="{00000000-0008-0000-3E00-000061010000}"/>
            </a:ext>
          </a:extLst>
        </xdr:cNvPr>
        <xdr:cNvSpPr/>
      </xdr:nvSpPr>
      <xdr:spPr bwMode="auto">
        <a:xfrm>
          <a:off x="104774" y="254701674"/>
          <a:ext cx="2950368"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27</xdr:col>
      <xdr:colOff>342900</xdr:colOff>
      <xdr:row>730</xdr:row>
      <xdr:rowOff>50799</xdr:rowOff>
    </xdr:from>
    <xdr:to>
      <xdr:col>31</xdr:col>
      <xdr:colOff>323849</xdr:colOff>
      <xdr:row>734</xdr:row>
      <xdr:rowOff>117474</xdr:rowOff>
    </xdr:to>
    <xdr:sp macro="" textlink="">
      <xdr:nvSpPr>
        <xdr:cNvPr id="354" name="Rectangle à coins arrondis 353">
          <a:extLst>
            <a:ext uri="{FF2B5EF4-FFF2-40B4-BE49-F238E27FC236}">
              <a16:creationId xmlns:a16="http://schemas.microsoft.com/office/drawing/2014/main" id="{00000000-0008-0000-3E00-000062010000}"/>
            </a:ext>
          </a:extLst>
        </xdr:cNvPr>
        <xdr:cNvSpPr/>
      </xdr:nvSpPr>
      <xdr:spPr bwMode="auto">
        <a:xfrm>
          <a:off x="3188494" y="254701674"/>
          <a:ext cx="2088355"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31</xdr:col>
      <xdr:colOff>454026</xdr:colOff>
      <xdr:row>730</xdr:row>
      <xdr:rowOff>60324</xdr:rowOff>
    </xdr:from>
    <xdr:to>
      <xdr:col>36</xdr:col>
      <xdr:colOff>212725</xdr:colOff>
      <xdr:row>734</xdr:row>
      <xdr:rowOff>126999</xdr:rowOff>
    </xdr:to>
    <xdr:sp macro="" textlink="">
      <xdr:nvSpPr>
        <xdr:cNvPr id="355" name="Rectangle à coins arrondis 354">
          <a:extLst>
            <a:ext uri="{FF2B5EF4-FFF2-40B4-BE49-F238E27FC236}">
              <a16:creationId xmlns:a16="http://schemas.microsoft.com/office/drawing/2014/main" id="{00000000-0008-0000-3E00-000063010000}"/>
            </a:ext>
          </a:extLst>
        </xdr:cNvPr>
        <xdr:cNvSpPr/>
      </xdr:nvSpPr>
      <xdr:spPr bwMode="auto">
        <a:xfrm>
          <a:off x="5407026" y="254711199"/>
          <a:ext cx="2068512"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33</xdr:col>
      <xdr:colOff>176023</xdr:colOff>
      <xdr:row>738</xdr:row>
      <xdr:rowOff>142875</xdr:rowOff>
    </xdr:from>
    <xdr:ext cx="966977" cy="895350"/>
    <xdr:pic>
      <xdr:nvPicPr>
        <xdr:cNvPr id="357" name="Image 1">
          <a:extLst>
            <a:ext uri="{FF2B5EF4-FFF2-40B4-BE49-F238E27FC236}">
              <a16:creationId xmlns:a16="http://schemas.microsoft.com/office/drawing/2014/main" id="{00000000-0008-0000-3E00-00006501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18" t="8181" r="10909" b="10000"/>
        <a:stretch/>
      </xdr:blipFill>
      <xdr:spPr bwMode="auto">
        <a:xfrm>
          <a:off x="6426804" y="256460625"/>
          <a:ext cx="966977"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19</xdr:col>
      <xdr:colOff>104774</xdr:colOff>
      <xdr:row>762</xdr:row>
      <xdr:rowOff>50799</xdr:rowOff>
    </xdr:from>
    <xdr:to>
      <xdr:col>27</xdr:col>
      <xdr:colOff>209548</xdr:colOff>
      <xdr:row>766</xdr:row>
      <xdr:rowOff>117474</xdr:rowOff>
    </xdr:to>
    <xdr:sp macro="" textlink="">
      <xdr:nvSpPr>
        <xdr:cNvPr id="358" name="Rectangle à coins arrondis 357">
          <a:extLst>
            <a:ext uri="{FF2B5EF4-FFF2-40B4-BE49-F238E27FC236}">
              <a16:creationId xmlns:a16="http://schemas.microsoft.com/office/drawing/2014/main" id="{00000000-0008-0000-3E00-000066010000}"/>
            </a:ext>
          </a:extLst>
        </xdr:cNvPr>
        <xdr:cNvSpPr/>
      </xdr:nvSpPr>
      <xdr:spPr bwMode="auto">
        <a:xfrm>
          <a:off x="104774" y="265822112"/>
          <a:ext cx="2950368"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27</xdr:col>
      <xdr:colOff>342900</xdr:colOff>
      <xdr:row>762</xdr:row>
      <xdr:rowOff>50799</xdr:rowOff>
    </xdr:from>
    <xdr:to>
      <xdr:col>31</xdr:col>
      <xdr:colOff>323849</xdr:colOff>
      <xdr:row>766</xdr:row>
      <xdr:rowOff>117474</xdr:rowOff>
    </xdr:to>
    <xdr:sp macro="" textlink="">
      <xdr:nvSpPr>
        <xdr:cNvPr id="359" name="Rectangle à coins arrondis 358">
          <a:extLst>
            <a:ext uri="{FF2B5EF4-FFF2-40B4-BE49-F238E27FC236}">
              <a16:creationId xmlns:a16="http://schemas.microsoft.com/office/drawing/2014/main" id="{00000000-0008-0000-3E00-000067010000}"/>
            </a:ext>
          </a:extLst>
        </xdr:cNvPr>
        <xdr:cNvSpPr/>
      </xdr:nvSpPr>
      <xdr:spPr bwMode="auto">
        <a:xfrm>
          <a:off x="3188494" y="265822112"/>
          <a:ext cx="2088355"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fr-FR" sz="1800"/>
            <a:t>06.</a:t>
          </a:r>
        </a:p>
      </xdr:txBody>
    </xdr:sp>
    <xdr:clientData/>
  </xdr:twoCellAnchor>
  <xdr:twoCellAnchor>
    <xdr:from>
      <xdr:col>31</xdr:col>
      <xdr:colOff>454026</xdr:colOff>
      <xdr:row>762</xdr:row>
      <xdr:rowOff>60324</xdr:rowOff>
    </xdr:from>
    <xdr:to>
      <xdr:col>36</xdr:col>
      <xdr:colOff>212725</xdr:colOff>
      <xdr:row>766</xdr:row>
      <xdr:rowOff>126999</xdr:rowOff>
    </xdr:to>
    <xdr:sp macro="" textlink="">
      <xdr:nvSpPr>
        <xdr:cNvPr id="360" name="Rectangle à coins arrondis 359">
          <a:extLst>
            <a:ext uri="{FF2B5EF4-FFF2-40B4-BE49-F238E27FC236}">
              <a16:creationId xmlns:a16="http://schemas.microsoft.com/office/drawing/2014/main" id="{00000000-0008-0000-3E00-000068010000}"/>
            </a:ext>
          </a:extLst>
        </xdr:cNvPr>
        <xdr:cNvSpPr/>
      </xdr:nvSpPr>
      <xdr:spPr bwMode="auto">
        <a:xfrm>
          <a:off x="5407026" y="265831637"/>
          <a:ext cx="2068512" cy="828675"/>
        </a:xfrm>
        <a:prstGeom prst="roundRect">
          <a:avLst/>
        </a:prstGeom>
        <a:solidFill>
          <a:schemeClr val="bg1"/>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editAs="oneCell">
    <xdr:from>
      <xdr:col>0</xdr:col>
      <xdr:colOff>83343</xdr:colOff>
      <xdr:row>3</xdr:row>
      <xdr:rowOff>71438</xdr:rowOff>
    </xdr:from>
    <xdr:to>
      <xdr:col>5</xdr:col>
      <xdr:colOff>150688</xdr:colOff>
      <xdr:row>5</xdr:row>
      <xdr:rowOff>189870</xdr:rowOff>
    </xdr:to>
    <xdr:pic>
      <xdr:nvPicPr>
        <xdr:cNvPr id="361" name="Image 360">
          <a:extLst>
            <a:ext uri="{FF2B5EF4-FFF2-40B4-BE49-F238E27FC236}">
              <a16:creationId xmlns:a16="http://schemas.microsoft.com/office/drawing/2014/main" id="{00000000-0008-0000-3E00-000069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343" y="928688"/>
          <a:ext cx="1484189" cy="880432"/>
        </a:xfrm>
        <a:prstGeom prst="rect">
          <a:avLst/>
        </a:prstGeom>
      </xdr:spPr>
    </xdr:pic>
    <xdr:clientData/>
  </xdr:twoCellAnchor>
  <xdr:twoCellAnchor editAs="oneCell">
    <xdr:from>
      <xdr:col>19</xdr:col>
      <xdr:colOff>119063</xdr:colOff>
      <xdr:row>3</xdr:row>
      <xdr:rowOff>83344</xdr:rowOff>
    </xdr:from>
    <xdr:to>
      <xdr:col>24</xdr:col>
      <xdr:colOff>186408</xdr:colOff>
      <xdr:row>5</xdr:row>
      <xdr:rowOff>201776</xdr:rowOff>
    </xdr:to>
    <xdr:pic>
      <xdr:nvPicPr>
        <xdr:cNvPr id="362" name="Image 361">
          <a:extLst>
            <a:ext uri="{FF2B5EF4-FFF2-40B4-BE49-F238E27FC236}">
              <a16:creationId xmlns:a16="http://schemas.microsoft.com/office/drawing/2014/main" id="{00000000-0008-0000-3E00-00006A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77188" y="940594"/>
          <a:ext cx="1484189" cy="880432"/>
        </a:xfrm>
        <a:prstGeom prst="rect">
          <a:avLst/>
        </a:prstGeom>
      </xdr:spPr>
    </xdr:pic>
    <xdr:clientData/>
  </xdr:twoCellAnchor>
  <xdr:twoCellAnchor editAs="oneCell">
    <xdr:from>
      <xdr:col>0</xdr:col>
      <xdr:colOff>250031</xdr:colOff>
      <xdr:row>35</xdr:row>
      <xdr:rowOff>59531</xdr:rowOff>
    </xdr:from>
    <xdr:to>
      <xdr:col>5</xdr:col>
      <xdr:colOff>317376</xdr:colOff>
      <xdr:row>37</xdr:row>
      <xdr:rowOff>177963</xdr:rowOff>
    </xdr:to>
    <xdr:pic>
      <xdr:nvPicPr>
        <xdr:cNvPr id="363" name="Image 362">
          <a:extLst>
            <a:ext uri="{FF2B5EF4-FFF2-40B4-BE49-F238E27FC236}">
              <a16:creationId xmlns:a16="http://schemas.microsoft.com/office/drawing/2014/main" id="{00000000-0008-0000-3E00-00006B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0031" y="12037219"/>
          <a:ext cx="1484189" cy="880432"/>
        </a:xfrm>
        <a:prstGeom prst="rect">
          <a:avLst/>
        </a:prstGeom>
      </xdr:spPr>
    </xdr:pic>
    <xdr:clientData/>
  </xdr:twoCellAnchor>
  <xdr:twoCellAnchor editAs="oneCell">
    <xdr:from>
      <xdr:col>19</xdr:col>
      <xdr:colOff>0</xdr:colOff>
      <xdr:row>35</xdr:row>
      <xdr:rowOff>0</xdr:rowOff>
    </xdr:from>
    <xdr:to>
      <xdr:col>24</xdr:col>
      <xdr:colOff>67345</xdr:colOff>
      <xdr:row>37</xdr:row>
      <xdr:rowOff>118432</xdr:rowOff>
    </xdr:to>
    <xdr:pic>
      <xdr:nvPicPr>
        <xdr:cNvPr id="364" name="Image 363">
          <a:extLst>
            <a:ext uri="{FF2B5EF4-FFF2-40B4-BE49-F238E27FC236}">
              <a16:creationId xmlns:a16="http://schemas.microsoft.com/office/drawing/2014/main" id="{00000000-0008-0000-3E00-00006C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8125" y="11977688"/>
          <a:ext cx="1484189" cy="880432"/>
        </a:xfrm>
        <a:prstGeom prst="rect">
          <a:avLst/>
        </a:prstGeom>
      </xdr:spPr>
    </xdr:pic>
    <xdr:clientData/>
  </xdr:twoCellAnchor>
  <xdr:twoCellAnchor editAs="oneCell">
    <xdr:from>
      <xdr:col>19</xdr:col>
      <xdr:colOff>0</xdr:colOff>
      <xdr:row>67</xdr:row>
      <xdr:rowOff>0</xdr:rowOff>
    </xdr:from>
    <xdr:to>
      <xdr:col>24</xdr:col>
      <xdr:colOff>67345</xdr:colOff>
      <xdr:row>69</xdr:row>
      <xdr:rowOff>118432</xdr:rowOff>
    </xdr:to>
    <xdr:pic>
      <xdr:nvPicPr>
        <xdr:cNvPr id="365" name="Image 364">
          <a:extLst>
            <a:ext uri="{FF2B5EF4-FFF2-40B4-BE49-F238E27FC236}">
              <a16:creationId xmlns:a16="http://schemas.microsoft.com/office/drawing/2014/main" id="{00000000-0008-0000-3E00-00006D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8125" y="23098125"/>
          <a:ext cx="1484189" cy="880432"/>
        </a:xfrm>
        <a:prstGeom prst="rect">
          <a:avLst/>
        </a:prstGeom>
      </xdr:spPr>
    </xdr:pic>
    <xdr:clientData/>
  </xdr:twoCellAnchor>
  <xdr:twoCellAnchor editAs="oneCell">
    <xdr:from>
      <xdr:col>0</xdr:col>
      <xdr:colOff>0</xdr:colOff>
      <xdr:row>67</xdr:row>
      <xdr:rowOff>0</xdr:rowOff>
    </xdr:from>
    <xdr:to>
      <xdr:col>5</xdr:col>
      <xdr:colOff>67345</xdr:colOff>
      <xdr:row>69</xdr:row>
      <xdr:rowOff>118432</xdr:rowOff>
    </xdr:to>
    <xdr:pic>
      <xdr:nvPicPr>
        <xdr:cNvPr id="366" name="Image 365">
          <a:extLst>
            <a:ext uri="{FF2B5EF4-FFF2-40B4-BE49-F238E27FC236}">
              <a16:creationId xmlns:a16="http://schemas.microsoft.com/office/drawing/2014/main" id="{00000000-0008-0000-3E00-00006E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3098125"/>
          <a:ext cx="1484189" cy="880432"/>
        </a:xfrm>
        <a:prstGeom prst="rect">
          <a:avLst/>
        </a:prstGeom>
      </xdr:spPr>
    </xdr:pic>
    <xdr:clientData/>
  </xdr:twoCellAnchor>
  <xdr:twoCellAnchor editAs="oneCell">
    <xdr:from>
      <xdr:col>0</xdr:col>
      <xdr:colOff>0</xdr:colOff>
      <xdr:row>99</xdr:row>
      <xdr:rowOff>0</xdr:rowOff>
    </xdr:from>
    <xdr:to>
      <xdr:col>5</xdr:col>
      <xdr:colOff>67345</xdr:colOff>
      <xdr:row>101</xdr:row>
      <xdr:rowOff>118432</xdr:rowOff>
    </xdr:to>
    <xdr:pic>
      <xdr:nvPicPr>
        <xdr:cNvPr id="367" name="Image 366">
          <a:extLst>
            <a:ext uri="{FF2B5EF4-FFF2-40B4-BE49-F238E27FC236}">
              <a16:creationId xmlns:a16="http://schemas.microsoft.com/office/drawing/2014/main" id="{00000000-0008-0000-3E00-00006F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34218563"/>
          <a:ext cx="1484189" cy="880432"/>
        </a:xfrm>
        <a:prstGeom prst="rect">
          <a:avLst/>
        </a:prstGeom>
      </xdr:spPr>
    </xdr:pic>
    <xdr:clientData/>
  </xdr:twoCellAnchor>
  <xdr:twoCellAnchor editAs="oneCell">
    <xdr:from>
      <xdr:col>19</xdr:col>
      <xdr:colOff>0</xdr:colOff>
      <xdr:row>99</xdr:row>
      <xdr:rowOff>0</xdr:rowOff>
    </xdr:from>
    <xdr:to>
      <xdr:col>24</xdr:col>
      <xdr:colOff>67345</xdr:colOff>
      <xdr:row>101</xdr:row>
      <xdr:rowOff>118432</xdr:rowOff>
    </xdr:to>
    <xdr:pic>
      <xdr:nvPicPr>
        <xdr:cNvPr id="368" name="Image 367">
          <a:extLst>
            <a:ext uri="{FF2B5EF4-FFF2-40B4-BE49-F238E27FC236}">
              <a16:creationId xmlns:a16="http://schemas.microsoft.com/office/drawing/2014/main" id="{00000000-0008-0000-3E00-000070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8125" y="34218563"/>
          <a:ext cx="1484189" cy="880432"/>
        </a:xfrm>
        <a:prstGeom prst="rect">
          <a:avLst/>
        </a:prstGeom>
      </xdr:spPr>
    </xdr:pic>
    <xdr:clientData/>
  </xdr:twoCellAnchor>
  <xdr:twoCellAnchor editAs="oneCell">
    <xdr:from>
      <xdr:col>19</xdr:col>
      <xdr:colOff>0</xdr:colOff>
      <xdr:row>131</xdr:row>
      <xdr:rowOff>0</xdr:rowOff>
    </xdr:from>
    <xdr:to>
      <xdr:col>24</xdr:col>
      <xdr:colOff>67345</xdr:colOff>
      <xdr:row>133</xdr:row>
      <xdr:rowOff>118432</xdr:rowOff>
    </xdr:to>
    <xdr:pic>
      <xdr:nvPicPr>
        <xdr:cNvPr id="369" name="Image 368">
          <a:extLst>
            <a:ext uri="{FF2B5EF4-FFF2-40B4-BE49-F238E27FC236}">
              <a16:creationId xmlns:a16="http://schemas.microsoft.com/office/drawing/2014/main" id="{00000000-0008-0000-3E00-000071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8125" y="45339000"/>
          <a:ext cx="1484189" cy="880432"/>
        </a:xfrm>
        <a:prstGeom prst="rect">
          <a:avLst/>
        </a:prstGeom>
      </xdr:spPr>
    </xdr:pic>
    <xdr:clientData/>
  </xdr:twoCellAnchor>
  <xdr:twoCellAnchor editAs="oneCell">
    <xdr:from>
      <xdr:col>0</xdr:col>
      <xdr:colOff>0</xdr:colOff>
      <xdr:row>131</xdr:row>
      <xdr:rowOff>0</xdr:rowOff>
    </xdr:from>
    <xdr:to>
      <xdr:col>5</xdr:col>
      <xdr:colOff>67345</xdr:colOff>
      <xdr:row>133</xdr:row>
      <xdr:rowOff>118432</xdr:rowOff>
    </xdr:to>
    <xdr:pic>
      <xdr:nvPicPr>
        <xdr:cNvPr id="370" name="Image 369">
          <a:extLst>
            <a:ext uri="{FF2B5EF4-FFF2-40B4-BE49-F238E27FC236}">
              <a16:creationId xmlns:a16="http://schemas.microsoft.com/office/drawing/2014/main" id="{00000000-0008-0000-3E00-000072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5339000"/>
          <a:ext cx="1484189" cy="880432"/>
        </a:xfrm>
        <a:prstGeom prst="rect">
          <a:avLst/>
        </a:prstGeom>
      </xdr:spPr>
    </xdr:pic>
    <xdr:clientData/>
  </xdr:twoCellAnchor>
  <xdr:twoCellAnchor editAs="oneCell">
    <xdr:from>
      <xdr:col>0</xdr:col>
      <xdr:colOff>0</xdr:colOff>
      <xdr:row>163</xdr:row>
      <xdr:rowOff>0</xdr:rowOff>
    </xdr:from>
    <xdr:to>
      <xdr:col>5</xdr:col>
      <xdr:colOff>67345</xdr:colOff>
      <xdr:row>165</xdr:row>
      <xdr:rowOff>118432</xdr:rowOff>
    </xdr:to>
    <xdr:pic>
      <xdr:nvPicPr>
        <xdr:cNvPr id="371" name="Image 370">
          <a:extLst>
            <a:ext uri="{FF2B5EF4-FFF2-40B4-BE49-F238E27FC236}">
              <a16:creationId xmlns:a16="http://schemas.microsoft.com/office/drawing/2014/main" id="{00000000-0008-0000-3E00-000073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6459438"/>
          <a:ext cx="1484189" cy="880432"/>
        </a:xfrm>
        <a:prstGeom prst="rect">
          <a:avLst/>
        </a:prstGeom>
      </xdr:spPr>
    </xdr:pic>
    <xdr:clientData/>
  </xdr:twoCellAnchor>
  <xdr:twoCellAnchor editAs="oneCell">
    <xdr:from>
      <xdr:col>19</xdr:col>
      <xdr:colOff>0</xdr:colOff>
      <xdr:row>163</xdr:row>
      <xdr:rowOff>0</xdr:rowOff>
    </xdr:from>
    <xdr:to>
      <xdr:col>24</xdr:col>
      <xdr:colOff>67345</xdr:colOff>
      <xdr:row>165</xdr:row>
      <xdr:rowOff>118432</xdr:rowOff>
    </xdr:to>
    <xdr:pic>
      <xdr:nvPicPr>
        <xdr:cNvPr id="372" name="Image 371">
          <a:extLst>
            <a:ext uri="{FF2B5EF4-FFF2-40B4-BE49-F238E27FC236}">
              <a16:creationId xmlns:a16="http://schemas.microsoft.com/office/drawing/2014/main" id="{00000000-0008-0000-3E00-000074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8125" y="56459438"/>
          <a:ext cx="1484189" cy="880432"/>
        </a:xfrm>
        <a:prstGeom prst="rect">
          <a:avLst/>
        </a:prstGeom>
      </xdr:spPr>
    </xdr:pic>
    <xdr:clientData/>
  </xdr:twoCellAnchor>
  <xdr:twoCellAnchor editAs="oneCell">
    <xdr:from>
      <xdr:col>0</xdr:col>
      <xdr:colOff>0</xdr:colOff>
      <xdr:row>195</xdr:row>
      <xdr:rowOff>0</xdr:rowOff>
    </xdr:from>
    <xdr:to>
      <xdr:col>5</xdr:col>
      <xdr:colOff>67345</xdr:colOff>
      <xdr:row>197</xdr:row>
      <xdr:rowOff>118432</xdr:rowOff>
    </xdr:to>
    <xdr:pic>
      <xdr:nvPicPr>
        <xdr:cNvPr id="373" name="Image 372">
          <a:extLst>
            <a:ext uri="{FF2B5EF4-FFF2-40B4-BE49-F238E27FC236}">
              <a16:creationId xmlns:a16="http://schemas.microsoft.com/office/drawing/2014/main" id="{00000000-0008-0000-3E00-000075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7579875"/>
          <a:ext cx="1484189" cy="880432"/>
        </a:xfrm>
        <a:prstGeom prst="rect">
          <a:avLst/>
        </a:prstGeom>
      </xdr:spPr>
    </xdr:pic>
    <xdr:clientData/>
  </xdr:twoCellAnchor>
  <xdr:twoCellAnchor editAs="oneCell">
    <xdr:from>
      <xdr:col>19</xdr:col>
      <xdr:colOff>0</xdr:colOff>
      <xdr:row>195</xdr:row>
      <xdr:rowOff>0</xdr:rowOff>
    </xdr:from>
    <xdr:to>
      <xdr:col>24</xdr:col>
      <xdr:colOff>67345</xdr:colOff>
      <xdr:row>197</xdr:row>
      <xdr:rowOff>118432</xdr:rowOff>
    </xdr:to>
    <xdr:pic>
      <xdr:nvPicPr>
        <xdr:cNvPr id="374" name="Image 373">
          <a:extLst>
            <a:ext uri="{FF2B5EF4-FFF2-40B4-BE49-F238E27FC236}">
              <a16:creationId xmlns:a16="http://schemas.microsoft.com/office/drawing/2014/main" id="{00000000-0008-0000-3E00-000076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8125" y="67579875"/>
          <a:ext cx="1484189" cy="880432"/>
        </a:xfrm>
        <a:prstGeom prst="rect">
          <a:avLst/>
        </a:prstGeom>
      </xdr:spPr>
    </xdr:pic>
    <xdr:clientData/>
  </xdr:twoCellAnchor>
  <xdr:twoCellAnchor editAs="oneCell">
    <xdr:from>
      <xdr:col>0</xdr:col>
      <xdr:colOff>0</xdr:colOff>
      <xdr:row>227</xdr:row>
      <xdr:rowOff>0</xdr:rowOff>
    </xdr:from>
    <xdr:to>
      <xdr:col>5</xdr:col>
      <xdr:colOff>67345</xdr:colOff>
      <xdr:row>229</xdr:row>
      <xdr:rowOff>118432</xdr:rowOff>
    </xdr:to>
    <xdr:pic>
      <xdr:nvPicPr>
        <xdr:cNvPr id="375" name="Image 374">
          <a:extLst>
            <a:ext uri="{FF2B5EF4-FFF2-40B4-BE49-F238E27FC236}">
              <a16:creationId xmlns:a16="http://schemas.microsoft.com/office/drawing/2014/main" id="{00000000-0008-0000-3E00-000077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8700313"/>
          <a:ext cx="1484189" cy="880432"/>
        </a:xfrm>
        <a:prstGeom prst="rect">
          <a:avLst/>
        </a:prstGeom>
      </xdr:spPr>
    </xdr:pic>
    <xdr:clientData/>
  </xdr:twoCellAnchor>
  <xdr:twoCellAnchor editAs="oneCell">
    <xdr:from>
      <xdr:col>19</xdr:col>
      <xdr:colOff>0</xdr:colOff>
      <xdr:row>227</xdr:row>
      <xdr:rowOff>0</xdr:rowOff>
    </xdr:from>
    <xdr:to>
      <xdr:col>24</xdr:col>
      <xdr:colOff>67345</xdr:colOff>
      <xdr:row>229</xdr:row>
      <xdr:rowOff>118432</xdr:rowOff>
    </xdr:to>
    <xdr:pic>
      <xdr:nvPicPr>
        <xdr:cNvPr id="376" name="Image 375">
          <a:extLst>
            <a:ext uri="{FF2B5EF4-FFF2-40B4-BE49-F238E27FC236}">
              <a16:creationId xmlns:a16="http://schemas.microsoft.com/office/drawing/2014/main" id="{00000000-0008-0000-3E00-000078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8125" y="78700313"/>
          <a:ext cx="1484189" cy="880432"/>
        </a:xfrm>
        <a:prstGeom prst="rect">
          <a:avLst/>
        </a:prstGeom>
      </xdr:spPr>
    </xdr:pic>
    <xdr:clientData/>
  </xdr:twoCellAnchor>
  <xdr:twoCellAnchor editAs="oneCell">
    <xdr:from>
      <xdr:col>19</xdr:col>
      <xdr:colOff>0</xdr:colOff>
      <xdr:row>259</xdr:row>
      <xdr:rowOff>0</xdr:rowOff>
    </xdr:from>
    <xdr:to>
      <xdr:col>24</xdr:col>
      <xdr:colOff>67345</xdr:colOff>
      <xdr:row>261</xdr:row>
      <xdr:rowOff>118432</xdr:rowOff>
    </xdr:to>
    <xdr:pic>
      <xdr:nvPicPr>
        <xdr:cNvPr id="377" name="Image 376">
          <a:extLst>
            <a:ext uri="{FF2B5EF4-FFF2-40B4-BE49-F238E27FC236}">
              <a16:creationId xmlns:a16="http://schemas.microsoft.com/office/drawing/2014/main" id="{00000000-0008-0000-3E00-000079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8125" y="89820750"/>
          <a:ext cx="1484189" cy="880432"/>
        </a:xfrm>
        <a:prstGeom prst="rect">
          <a:avLst/>
        </a:prstGeom>
      </xdr:spPr>
    </xdr:pic>
    <xdr:clientData/>
  </xdr:twoCellAnchor>
  <xdr:twoCellAnchor editAs="oneCell">
    <xdr:from>
      <xdr:col>0</xdr:col>
      <xdr:colOff>0</xdr:colOff>
      <xdr:row>259</xdr:row>
      <xdr:rowOff>0</xdr:rowOff>
    </xdr:from>
    <xdr:to>
      <xdr:col>5</xdr:col>
      <xdr:colOff>67345</xdr:colOff>
      <xdr:row>261</xdr:row>
      <xdr:rowOff>118432</xdr:rowOff>
    </xdr:to>
    <xdr:pic>
      <xdr:nvPicPr>
        <xdr:cNvPr id="378" name="Image 377">
          <a:extLst>
            <a:ext uri="{FF2B5EF4-FFF2-40B4-BE49-F238E27FC236}">
              <a16:creationId xmlns:a16="http://schemas.microsoft.com/office/drawing/2014/main" id="{00000000-0008-0000-3E00-00007A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89820750"/>
          <a:ext cx="1484189" cy="880432"/>
        </a:xfrm>
        <a:prstGeom prst="rect">
          <a:avLst/>
        </a:prstGeom>
      </xdr:spPr>
    </xdr:pic>
    <xdr:clientData/>
  </xdr:twoCellAnchor>
  <xdr:twoCellAnchor editAs="oneCell">
    <xdr:from>
      <xdr:col>0</xdr:col>
      <xdr:colOff>0</xdr:colOff>
      <xdr:row>291</xdr:row>
      <xdr:rowOff>0</xdr:rowOff>
    </xdr:from>
    <xdr:to>
      <xdr:col>5</xdr:col>
      <xdr:colOff>67345</xdr:colOff>
      <xdr:row>293</xdr:row>
      <xdr:rowOff>118432</xdr:rowOff>
    </xdr:to>
    <xdr:pic>
      <xdr:nvPicPr>
        <xdr:cNvPr id="379" name="Image 378">
          <a:extLst>
            <a:ext uri="{FF2B5EF4-FFF2-40B4-BE49-F238E27FC236}">
              <a16:creationId xmlns:a16="http://schemas.microsoft.com/office/drawing/2014/main" id="{00000000-0008-0000-3E00-00007B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0941188"/>
          <a:ext cx="1484189" cy="880432"/>
        </a:xfrm>
        <a:prstGeom prst="rect">
          <a:avLst/>
        </a:prstGeom>
      </xdr:spPr>
    </xdr:pic>
    <xdr:clientData/>
  </xdr:twoCellAnchor>
  <xdr:twoCellAnchor editAs="oneCell">
    <xdr:from>
      <xdr:col>19</xdr:col>
      <xdr:colOff>0</xdr:colOff>
      <xdr:row>291</xdr:row>
      <xdr:rowOff>0</xdr:rowOff>
    </xdr:from>
    <xdr:to>
      <xdr:col>24</xdr:col>
      <xdr:colOff>67345</xdr:colOff>
      <xdr:row>293</xdr:row>
      <xdr:rowOff>118432</xdr:rowOff>
    </xdr:to>
    <xdr:pic>
      <xdr:nvPicPr>
        <xdr:cNvPr id="380" name="Image 379">
          <a:extLst>
            <a:ext uri="{FF2B5EF4-FFF2-40B4-BE49-F238E27FC236}">
              <a16:creationId xmlns:a16="http://schemas.microsoft.com/office/drawing/2014/main" id="{00000000-0008-0000-3E00-00007C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8125" y="100941188"/>
          <a:ext cx="1484189" cy="880432"/>
        </a:xfrm>
        <a:prstGeom prst="rect">
          <a:avLst/>
        </a:prstGeom>
      </xdr:spPr>
    </xdr:pic>
    <xdr:clientData/>
  </xdr:twoCellAnchor>
  <xdr:twoCellAnchor editAs="oneCell">
    <xdr:from>
      <xdr:col>0</xdr:col>
      <xdr:colOff>0</xdr:colOff>
      <xdr:row>323</xdr:row>
      <xdr:rowOff>0</xdr:rowOff>
    </xdr:from>
    <xdr:to>
      <xdr:col>5</xdr:col>
      <xdr:colOff>67345</xdr:colOff>
      <xdr:row>325</xdr:row>
      <xdr:rowOff>118432</xdr:rowOff>
    </xdr:to>
    <xdr:pic>
      <xdr:nvPicPr>
        <xdr:cNvPr id="381" name="Image 380">
          <a:extLst>
            <a:ext uri="{FF2B5EF4-FFF2-40B4-BE49-F238E27FC236}">
              <a16:creationId xmlns:a16="http://schemas.microsoft.com/office/drawing/2014/main" id="{00000000-0008-0000-3E00-00007D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12061625"/>
          <a:ext cx="1484189" cy="880432"/>
        </a:xfrm>
        <a:prstGeom prst="rect">
          <a:avLst/>
        </a:prstGeom>
      </xdr:spPr>
    </xdr:pic>
    <xdr:clientData/>
  </xdr:twoCellAnchor>
  <xdr:twoCellAnchor editAs="oneCell">
    <xdr:from>
      <xdr:col>19</xdr:col>
      <xdr:colOff>0</xdr:colOff>
      <xdr:row>323</xdr:row>
      <xdr:rowOff>0</xdr:rowOff>
    </xdr:from>
    <xdr:to>
      <xdr:col>24</xdr:col>
      <xdr:colOff>67345</xdr:colOff>
      <xdr:row>325</xdr:row>
      <xdr:rowOff>118432</xdr:rowOff>
    </xdr:to>
    <xdr:pic>
      <xdr:nvPicPr>
        <xdr:cNvPr id="382" name="Image 381">
          <a:extLst>
            <a:ext uri="{FF2B5EF4-FFF2-40B4-BE49-F238E27FC236}">
              <a16:creationId xmlns:a16="http://schemas.microsoft.com/office/drawing/2014/main" id="{00000000-0008-0000-3E00-00007E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8125" y="112061625"/>
          <a:ext cx="1484189" cy="880432"/>
        </a:xfrm>
        <a:prstGeom prst="rect">
          <a:avLst/>
        </a:prstGeom>
      </xdr:spPr>
    </xdr:pic>
    <xdr:clientData/>
  </xdr:twoCellAnchor>
  <xdr:twoCellAnchor editAs="oneCell">
    <xdr:from>
      <xdr:col>19</xdr:col>
      <xdr:colOff>0</xdr:colOff>
      <xdr:row>355</xdr:row>
      <xdr:rowOff>0</xdr:rowOff>
    </xdr:from>
    <xdr:to>
      <xdr:col>24</xdr:col>
      <xdr:colOff>67345</xdr:colOff>
      <xdr:row>357</xdr:row>
      <xdr:rowOff>118432</xdr:rowOff>
    </xdr:to>
    <xdr:pic>
      <xdr:nvPicPr>
        <xdr:cNvPr id="383" name="Image 382">
          <a:extLst>
            <a:ext uri="{FF2B5EF4-FFF2-40B4-BE49-F238E27FC236}">
              <a16:creationId xmlns:a16="http://schemas.microsoft.com/office/drawing/2014/main" id="{00000000-0008-0000-3E00-00007F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8125" y="123182063"/>
          <a:ext cx="1484189" cy="880432"/>
        </a:xfrm>
        <a:prstGeom prst="rect">
          <a:avLst/>
        </a:prstGeom>
      </xdr:spPr>
    </xdr:pic>
    <xdr:clientData/>
  </xdr:twoCellAnchor>
  <xdr:twoCellAnchor editAs="oneCell">
    <xdr:from>
      <xdr:col>0</xdr:col>
      <xdr:colOff>0</xdr:colOff>
      <xdr:row>355</xdr:row>
      <xdr:rowOff>0</xdr:rowOff>
    </xdr:from>
    <xdr:to>
      <xdr:col>5</xdr:col>
      <xdr:colOff>67345</xdr:colOff>
      <xdr:row>357</xdr:row>
      <xdr:rowOff>118432</xdr:rowOff>
    </xdr:to>
    <xdr:pic>
      <xdr:nvPicPr>
        <xdr:cNvPr id="384" name="Image 383">
          <a:extLst>
            <a:ext uri="{FF2B5EF4-FFF2-40B4-BE49-F238E27FC236}">
              <a16:creationId xmlns:a16="http://schemas.microsoft.com/office/drawing/2014/main" id="{00000000-0008-0000-3E00-000080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23182063"/>
          <a:ext cx="1484189" cy="880432"/>
        </a:xfrm>
        <a:prstGeom prst="rect">
          <a:avLst/>
        </a:prstGeom>
      </xdr:spPr>
    </xdr:pic>
    <xdr:clientData/>
  </xdr:twoCellAnchor>
  <xdr:twoCellAnchor editAs="oneCell">
    <xdr:from>
      <xdr:col>0</xdr:col>
      <xdr:colOff>0</xdr:colOff>
      <xdr:row>387</xdr:row>
      <xdr:rowOff>0</xdr:rowOff>
    </xdr:from>
    <xdr:to>
      <xdr:col>5</xdr:col>
      <xdr:colOff>67345</xdr:colOff>
      <xdr:row>389</xdr:row>
      <xdr:rowOff>118432</xdr:rowOff>
    </xdr:to>
    <xdr:pic>
      <xdr:nvPicPr>
        <xdr:cNvPr id="385" name="Image 384">
          <a:extLst>
            <a:ext uri="{FF2B5EF4-FFF2-40B4-BE49-F238E27FC236}">
              <a16:creationId xmlns:a16="http://schemas.microsoft.com/office/drawing/2014/main" id="{00000000-0008-0000-3E00-000081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34302500"/>
          <a:ext cx="1484189" cy="880432"/>
        </a:xfrm>
        <a:prstGeom prst="rect">
          <a:avLst/>
        </a:prstGeom>
      </xdr:spPr>
    </xdr:pic>
    <xdr:clientData/>
  </xdr:twoCellAnchor>
  <xdr:twoCellAnchor editAs="oneCell">
    <xdr:from>
      <xdr:col>19</xdr:col>
      <xdr:colOff>0</xdr:colOff>
      <xdr:row>387</xdr:row>
      <xdr:rowOff>0</xdr:rowOff>
    </xdr:from>
    <xdr:to>
      <xdr:col>24</xdr:col>
      <xdr:colOff>67345</xdr:colOff>
      <xdr:row>389</xdr:row>
      <xdr:rowOff>118432</xdr:rowOff>
    </xdr:to>
    <xdr:pic>
      <xdr:nvPicPr>
        <xdr:cNvPr id="386" name="Image 385">
          <a:extLst>
            <a:ext uri="{FF2B5EF4-FFF2-40B4-BE49-F238E27FC236}">
              <a16:creationId xmlns:a16="http://schemas.microsoft.com/office/drawing/2014/main" id="{00000000-0008-0000-3E00-000082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8125" y="134302500"/>
          <a:ext cx="1484189" cy="880432"/>
        </a:xfrm>
        <a:prstGeom prst="rect">
          <a:avLst/>
        </a:prstGeom>
      </xdr:spPr>
    </xdr:pic>
    <xdr:clientData/>
  </xdr:twoCellAnchor>
  <xdr:twoCellAnchor editAs="oneCell">
    <xdr:from>
      <xdr:col>19</xdr:col>
      <xdr:colOff>0</xdr:colOff>
      <xdr:row>419</xdr:row>
      <xdr:rowOff>0</xdr:rowOff>
    </xdr:from>
    <xdr:to>
      <xdr:col>24</xdr:col>
      <xdr:colOff>67345</xdr:colOff>
      <xdr:row>421</xdr:row>
      <xdr:rowOff>118432</xdr:rowOff>
    </xdr:to>
    <xdr:pic>
      <xdr:nvPicPr>
        <xdr:cNvPr id="387" name="Image 386">
          <a:extLst>
            <a:ext uri="{FF2B5EF4-FFF2-40B4-BE49-F238E27FC236}">
              <a16:creationId xmlns:a16="http://schemas.microsoft.com/office/drawing/2014/main" id="{00000000-0008-0000-3E00-000083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8125" y="145422938"/>
          <a:ext cx="1484189" cy="880432"/>
        </a:xfrm>
        <a:prstGeom prst="rect">
          <a:avLst/>
        </a:prstGeom>
      </xdr:spPr>
    </xdr:pic>
    <xdr:clientData/>
  </xdr:twoCellAnchor>
  <xdr:twoCellAnchor editAs="oneCell">
    <xdr:from>
      <xdr:col>0</xdr:col>
      <xdr:colOff>0</xdr:colOff>
      <xdr:row>419</xdr:row>
      <xdr:rowOff>0</xdr:rowOff>
    </xdr:from>
    <xdr:to>
      <xdr:col>5</xdr:col>
      <xdr:colOff>67345</xdr:colOff>
      <xdr:row>421</xdr:row>
      <xdr:rowOff>118432</xdr:rowOff>
    </xdr:to>
    <xdr:pic>
      <xdr:nvPicPr>
        <xdr:cNvPr id="388" name="Image 387">
          <a:extLst>
            <a:ext uri="{FF2B5EF4-FFF2-40B4-BE49-F238E27FC236}">
              <a16:creationId xmlns:a16="http://schemas.microsoft.com/office/drawing/2014/main" id="{00000000-0008-0000-3E00-000084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45422938"/>
          <a:ext cx="1484189" cy="880432"/>
        </a:xfrm>
        <a:prstGeom prst="rect">
          <a:avLst/>
        </a:prstGeom>
      </xdr:spPr>
    </xdr:pic>
    <xdr:clientData/>
  </xdr:twoCellAnchor>
  <xdr:twoCellAnchor editAs="oneCell">
    <xdr:from>
      <xdr:col>0</xdr:col>
      <xdr:colOff>0</xdr:colOff>
      <xdr:row>451</xdr:row>
      <xdr:rowOff>0</xdr:rowOff>
    </xdr:from>
    <xdr:to>
      <xdr:col>5</xdr:col>
      <xdr:colOff>67345</xdr:colOff>
      <xdr:row>453</xdr:row>
      <xdr:rowOff>118432</xdr:rowOff>
    </xdr:to>
    <xdr:pic>
      <xdr:nvPicPr>
        <xdr:cNvPr id="389" name="Image 388">
          <a:extLst>
            <a:ext uri="{FF2B5EF4-FFF2-40B4-BE49-F238E27FC236}">
              <a16:creationId xmlns:a16="http://schemas.microsoft.com/office/drawing/2014/main" id="{00000000-0008-0000-3E00-000085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56543375"/>
          <a:ext cx="1484189" cy="880432"/>
        </a:xfrm>
        <a:prstGeom prst="rect">
          <a:avLst/>
        </a:prstGeom>
      </xdr:spPr>
    </xdr:pic>
    <xdr:clientData/>
  </xdr:twoCellAnchor>
  <xdr:twoCellAnchor editAs="oneCell">
    <xdr:from>
      <xdr:col>19</xdr:col>
      <xdr:colOff>0</xdr:colOff>
      <xdr:row>451</xdr:row>
      <xdr:rowOff>0</xdr:rowOff>
    </xdr:from>
    <xdr:to>
      <xdr:col>24</xdr:col>
      <xdr:colOff>67345</xdr:colOff>
      <xdr:row>453</xdr:row>
      <xdr:rowOff>118432</xdr:rowOff>
    </xdr:to>
    <xdr:pic>
      <xdr:nvPicPr>
        <xdr:cNvPr id="390" name="Image 389">
          <a:extLst>
            <a:ext uri="{FF2B5EF4-FFF2-40B4-BE49-F238E27FC236}">
              <a16:creationId xmlns:a16="http://schemas.microsoft.com/office/drawing/2014/main" id="{00000000-0008-0000-3E00-000086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8125" y="156543375"/>
          <a:ext cx="1484189" cy="880432"/>
        </a:xfrm>
        <a:prstGeom prst="rect">
          <a:avLst/>
        </a:prstGeom>
      </xdr:spPr>
    </xdr:pic>
    <xdr:clientData/>
  </xdr:twoCellAnchor>
  <xdr:twoCellAnchor editAs="oneCell">
    <xdr:from>
      <xdr:col>19</xdr:col>
      <xdr:colOff>0</xdr:colOff>
      <xdr:row>483</xdr:row>
      <xdr:rowOff>0</xdr:rowOff>
    </xdr:from>
    <xdr:to>
      <xdr:col>24</xdr:col>
      <xdr:colOff>67345</xdr:colOff>
      <xdr:row>485</xdr:row>
      <xdr:rowOff>118432</xdr:rowOff>
    </xdr:to>
    <xdr:pic>
      <xdr:nvPicPr>
        <xdr:cNvPr id="391" name="Image 390">
          <a:extLst>
            <a:ext uri="{FF2B5EF4-FFF2-40B4-BE49-F238E27FC236}">
              <a16:creationId xmlns:a16="http://schemas.microsoft.com/office/drawing/2014/main" id="{00000000-0008-0000-3E00-000087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8125" y="167663813"/>
          <a:ext cx="1484189" cy="880432"/>
        </a:xfrm>
        <a:prstGeom prst="rect">
          <a:avLst/>
        </a:prstGeom>
      </xdr:spPr>
    </xdr:pic>
    <xdr:clientData/>
  </xdr:twoCellAnchor>
  <xdr:twoCellAnchor editAs="oneCell">
    <xdr:from>
      <xdr:col>0</xdr:col>
      <xdr:colOff>0</xdr:colOff>
      <xdr:row>483</xdr:row>
      <xdr:rowOff>0</xdr:rowOff>
    </xdr:from>
    <xdr:to>
      <xdr:col>5</xdr:col>
      <xdr:colOff>67345</xdr:colOff>
      <xdr:row>485</xdr:row>
      <xdr:rowOff>118432</xdr:rowOff>
    </xdr:to>
    <xdr:pic>
      <xdr:nvPicPr>
        <xdr:cNvPr id="392" name="Image 391">
          <a:extLst>
            <a:ext uri="{FF2B5EF4-FFF2-40B4-BE49-F238E27FC236}">
              <a16:creationId xmlns:a16="http://schemas.microsoft.com/office/drawing/2014/main" id="{00000000-0008-0000-3E00-000088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67663813"/>
          <a:ext cx="1484189" cy="880432"/>
        </a:xfrm>
        <a:prstGeom prst="rect">
          <a:avLst/>
        </a:prstGeom>
      </xdr:spPr>
    </xdr:pic>
    <xdr:clientData/>
  </xdr:twoCellAnchor>
  <xdr:twoCellAnchor editAs="oneCell">
    <xdr:from>
      <xdr:col>0</xdr:col>
      <xdr:colOff>0</xdr:colOff>
      <xdr:row>515</xdr:row>
      <xdr:rowOff>0</xdr:rowOff>
    </xdr:from>
    <xdr:to>
      <xdr:col>5</xdr:col>
      <xdr:colOff>67345</xdr:colOff>
      <xdr:row>517</xdr:row>
      <xdr:rowOff>118432</xdr:rowOff>
    </xdr:to>
    <xdr:pic>
      <xdr:nvPicPr>
        <xdr:cNvPr id="393" name="Image 392">
          <a:extLst>
            <a:ext uri="{FF2B5EF4-FFF2-40B4-BE49-F238E27FC236}">
              <a16:creationId xmlns:a16="http://schemas.microsoft.com/office/drawing/2014/main" id="{00000000-0008-0000-3E00-000089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78784250"/>
          <a:ext cx="1484189" cy="880432"/>
        </a:xfrm>
        <a:prstGeom prst="rect">
          <a:avLst/>
        </a:prstGeom>
      </xdr:spPr>
    </xdr:pic>
    <xdr:clientData/>
  </xdr:twoCellAnchor>
  <xdr:twoCellAnchor editAs="oneCell">
    <xdr:from>
      <xdr:col>19</xdr:col>
      <xdr:colOff>0</xdr:colOff>
      <xdr:row>515</xdr:row>
      <xdr:rowOff>0</xdr:rowOff>
    </xdr:from>
    <xdr:to>
      <xdr:col>24</xdr:col>
      <xdr:colOff>67345</xdr:colOff>
      <xdr:row>517</xdr:row>
      <xdr:rowOff>118432</xdr:rowOff>
    </xdr:to>
    <xdr:pic>
      <xdr:nvPicPr>
        <xdr:cNvPr id="394" name="Image 393">
          <a:extLst>
            <a:ext uri="{FF2B5EF4-FFF2-40B4-BE49-F238E27FC236}">
              <a16:creationId xmlns:a16="http://schemas.microsoft.com/office/drawing/2014/main" id="{00000000-0008-0000-3E00-00008A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8125" y="178784250"/>
          <a:ext cx="1484189" cy="880432"/>
        </a:xfrm>
        <a:prstGeom prst="rect">
          <a:avLst/>
        </a:prstGeom>
      </xdr:spPr>
    </xdr:pic>
    <xdr:clientData/>
  </xdr:twoCellAnchor>
  <xdr:twoCellAnchor editAs="oneCell">
    <xdr:from>
      <xdr:col>19</xdr:col>
      <xdr:colOff>0</xdr:colOff>
      <xdr:row>547</xdr:row>
      <xdr:rowOff>0</xdr:rowOff>
    </xdr:from>
    <xdr:to>
      <xdr:col>24</xdr:col>
      <xdr:colOff>67345</xdr:colOff>
      <xdr:row>549</xdr:row>
      <xdr:rowOff>118432</xdr:rowOff>
    </xdr:to>
    <xdr:pic>
      <xdr:nvPicPr>
        <xdr:cNvPr id="395" name="Image 394">
          <a:extLst>
            <a:ext uri="{FF2B5EF4-FFF2-40B4-BE49-F238E27FC236}">
              <a16:creationId xmlns:a16="http://schemas.microsoft.com/office/drawing/2014/main" id="{00000000-0008-0000-3E00-00008B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8125" y="189904688"/>
          <a:ext cx="1484189" cy="880432"/>
        </a:xfrm>
        <a:prstGeom prst="rect">
          <a:avLst/>
        </a:prstGeom>
      </xdr:spPr>
    </xdr:pic>
    <xdr:clientData/>
  </xdr:twoCellAnchor>
  <xdr:twoCellAnchor editAs="oneCell">
    <xdr:from>
      <xdr:col>0</xdr:col>
      <xdr:colOff>0</xdr:colOff>
      <xdr:row>547</xdr:row>
      <xdr:rowOff>0</xdr:rowOff>
    </xdr:from>
    <xdr:to>
      <xdr:col>5</xdr:col>
      <xdr:colOff>67345</xdr:colOff>
      <xdr:row>549</xdr:row>
      <xdr:rowOff>118432</xdr:rowOff>
    </xdr:to>
    <xdr:pic>
      <xdr:nvPicPr>
        <xdr:cNvPr id="396" name="Image 395">
          <a:extLst>
            <a:ext uri="{FF2B5EF4-FFF2-40B4-BE49-F238E27FC236}">
              <a16:creationId xmlns:a16="http://schemas.microsoft.com/office/drawing/2014/main" id="{00000000-0008-0000-3E00-00008C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89904688"/>
          <a:ext cx="1484189" cy="880432"/>
        </a:xfrm>
        <a:prstGeom prst="rect">
          <a:avLst/>
        </a:prstGeom>
      </xdr:spPr>
    </xdr:pic>
    <xdr:clientData/>
  </xdr:twoCellAnchor>
  <xdr:twoCellAnchor editAs="oneCell">
    <xdr:from>
      <xdr:col>0</xdr:col>
      <xdr:colOff>0</xdr:colOff>
      <xdr:row>579</xdr:row>
      <xdr:rowOff>0</xdr:rowOff>
    </xdr:from>
    <xdr:to>
      <xdr:col>5</xdr:col>
      <xdr:colOff>67345</xdr:colOff>
      <xdr:row>581</xdr:row>
      <xdr:rowOff>118432</xdr:rowOff>
    </xdr:to>
    <xdr:pic>
      <xdr:nvPicPr>
        <xdr:cNvPr id="397" name="Image 396">
          <a:extLst>
            <a:ext uri="{FF2B5EF4-FFF2-40B4-BE49-F238E27FC236}">
              <a16:creationId xmlns:a16="http://schemas.microsoft.com/office/drawing/2014/main" id="{00000000-0008-0000-3E00-00008D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01025125"/>
          <a:ext cx="1484189" cy="880432"/>
        </a:xfrm>
        <a:prstGeom prst="rect">
          <a:avLst/>
        </a:prstGeom>
      </xdr:spPr>
    </xdr:pic>
    <xdr:clientData/>
  </xdr:twoCellAnchor>
  <xdr:twoCellAnchor editAs="oneCell">
    <xdr:from>
      <xdr:col>19</xdr:col>
      <xdr:colOff>0</xdr:colOff>
      <xdr:row>579</xdr:row>
      <xdr:rowOff>0</xdr:rowOff>
    </xdr:from>
    <xdr:to>
      <xdr:col>24</xdr:col>
      <xdr:colOff>67345</xdr:colOff>
      <xdr:row>581</xdr:row>
      <xdr:rowOff>118432</xdr:rowOff>
    </xdr:to>
    <xdr:pic>
      <xdr:nvPicPr>
        <xdr:cNvPr id="398" name="Image 397">
          <a:extLst>
            <a:ext uri="{FF2B5EF4-FFF2-40B4-BE49-F238E27FC236}">
              <a16:creationId xmlns:a16="http://schemas.microsoft.com/office/drawing/2014/main" id="{00000000-0008-0000-3E00-00008E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8125" y="201025125"/>
          <a:ext cx="1484189" cy="880432"/>
        </a:xfrm>
        <a:prstGeom prst="rect">
          <a:avLst/>
        </a:prstGeom>
      </xdr:spPr>
    </xdr:pic>
    <xdr:clientData/>
  </xdr:twoCellAnchor>
  <xdr:twoCellAnchor editAs="oneCell">
    <xdr:from>
      <xdr:col>19</xdr:col>
      <xdr:colOff>0</xdr:colOff>
      <xdr:row>611</xdr:row>
      <xdr:rowOff>0</xdr:rowOff>
    </xdr:from>
    <xdr:to>
      <xdr:col>24</xdr:col>
      <xdr:colOff>67345</xdr:colOff>
      <xdr:row>613</xdr:row>
      <xdr:rowOff>118432</xdr:rowOff>
    </xdr:to>
    <xdr:pic>
      <xdr:nvPicPr>
        <xdr:cNvPr id="399" name="Image 398">
          <a:extLst>
            <a:ext uri="{FF2B5EF4-FFF2-40B4-BE49-F238E27FC236}">
              <a16:creationId xmlns:a16="http://schemas.microsoft.com/office/drawing/2014/main" id="{00000000-0008-0000-3E00-00008F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8125" y="212145563"/>
          <a:ext cx="1484189" cy="880432"/>
        </a:xfrm>
        <a:prstGeom prst="rect">
          <a:avLst/>
        </a:prstGeom>
      </xdr:spPr>
    </xdr:pic>
    <xdr:clientData/>
  </xdr:twoCellAnchor>
  <xdr:twoCellAnchor editAs="oneCell">
    <xdr:from>
      <xdr:col>0</xdr:col>
      <xdr:colOff>0</xdr:colOff>
      <xdr:row>611</xdr:row>
      <xdr:rowOff>0</xdr:rowOff>
    </xdr:from>
    <xdr:to>
      <xdr:col>5</xdr:col>
      <xdr:colOff>67345</xdr:colOff>
      <xdr:row>613</xdr:row>
      <xdr:rowOff>118432</xdr:rowOff>
    </xdr:to>
    <xdr:pic>
      <xdr:nvPicPr>
        <xdr:cNvPr id="400" name="Image 399">
          <a:extLst>
            <a:ext uri="{FF2B5EF4-FFF2-40B4-BE49-F238E27FC236}">
              <a16:creationId xmlns:a16="http://schemas.microsoft.com/office/drawing/2014/main" id="{00000000-0008-0000-3E00-000090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12145563"/>
          <a:ext cx="1484189" cy="880432"/>
        </a:xfrm>
        <a:prstGeom prst="rect">
          <a:avLst/>
        </a:prstGeom>
      </xdr:spPr>
    </xdr:pic>
    <xdr:clientData/>
  </xdr:twoCellAnchor>
  <xdr:twoCellAnchor editAs="oneCell">
    <xdr:from>
      <xdr:col>0</xdr:col>
      <xdr:colOff>0</xdr:colOff>
      <xdr:row>643</xdr:row>
      <xdr:rowOff>0</xdr:rowOff>
    </xdr:from>
    <xdr:to>
      <xdr:col>5</xdr:col>
      <xdr:colOff>67345</xdr:colOff>
      <xdr:row>645</xdr:row>
      <xdr:rowOff>118432</xdr:rowOff>
    </xdr:to>
    <xdr:pic>
      <xdr:nvPicPr>
        <xdr:cNvPr id="401" name="Image 400">
          <a:extLst>
            <a:ext uri="{FF2B5EF4-FFF2-40B4-BE49-F238E27FC236}">
              <a16:creationId xmlns:a16="http://schemas.microsoft.com/office/drawing/2014/main" id="{00000000-0008-0000-3E00-000091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23266000"/>
          <a:ext cx="1484189" cy="880432"/>
        </a:xfrm>
        <a:prstGeom prst="rect">
          <a:avLst/>
        </a:prstGeom>
      </xdr:spPr>
    </xdr:pic>
    <xdr:clientData/>
  </xdr:twoCellAnchor>
  <xdr:twoCellAnchor editAs="oneCell">
    <xdr:from>
      <xdr:col>19</xdr:col>
      <xdr:colOff>0</xdr:colOff>
      <xdr:row>643</xdr:row>
      <xdr:rowOff>0</xdr:rowOff>
    </xdr:from>
    <xdr:to>
      <xdr:col>24</xdr:col>
      <xdr:colOff>67345</xdr:colOff>
      <xdr:row>645</xdr:row>
      <xdr:rowOff>118432</xdr:rowOff>
    </xdr:to>
    <xdr:pic>
      <xdr:nvPicPr>
        <xdr:cNvPr id="402" name="Image 401">
          <a:extLst>
            <a:ext uri="{FF2B5EF4-FFF2-40B4-BE49-F238E27FC236}">
              <a16:creationId xmlns:a16="http://schemas.microsoft.com/office/drawing/2014/main" id="{00000000-0008-0000-3E00-000092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8125" y="223266000"/>
          <a:ext cx="1484189" cy="880432"/>
        </a:xfrm>
        <a:prstGeom prst="rect">
          <a:avLst/>
        </a:prstGeom>
      </xdr:spPr>
    </xdr:pic>
    <xdr:clientData/>
  </xdr:twoCellAnchor>
  <xdr:twoCellAnchor editAs="oneCell">
    <xdr:from>
      <xdr:col>19</xdr:col>
      <xdr:colOff>0</xdr:colOff>
      <xdr:row>675</xdr:row>
      <xdr:rowOff>0</xdr:rowOff>
    </xdr:from>
    <xdr:to>
      <xdr:col>24</xdr:col>
      <xdr:colOff>67345</xdr:colOff>
      <xdr:row>677</xdr:row>
      <xdr:rowOff>118432</xdr:rowOff>
    </xdr:to>
    <xdr:pic>
      <xdr:nvPicPr>
        <xdr:cNvPr id="403" name="Image 402">
          <a:extLst>
            <a:ext uri="{FF2B5EF4-FFF2-40B4-BE49-F238E27FC236}">
              <a16:creationId xmlns:a16="http://schemas.microsoft.com/office/drawing/2014/main" id="{00000000-0008-0000-3E00-000093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8125" y="234386438"/>
          <a:ext cx="1484189" cy="880432"/>
        </a:xfrm>
        <a:prstGeom prst="rect">
          <a:avLst/>
        </a:prstGeom>
      </xdr:spPr>
    </xdr:pic>
    <xdr:clientData/>
  </xdr:twoCellAnchor>
  <xdr:twoCellAnchor editAs="oneCell">
    <xdr:from>
      <xdr:col>0</xdr:col>
      <xdr:colOff>0</xdr:colOff>
      <xdr:row>675</xdr:row>
      <xdr:rowOff>0</xdr:rowOff>
    </xdr:from>
    <xdr:to>
      <xdr:col>5</xdr:col>
      <xdr:colOff>67345</xdr:colOff>
      <xdr:row>677</xdr:row>
      <xdr:rowOff>118432</xdr:rowOff>
    </xdr:to>
    <xdr:pic>
      <xdr:nvPicPr>
        <xdr:cNvPr id="404" name="Image 403">
          <a:extLst>
            <a:ext uri="{FF2B5EF4-FFF2-40B4-BE49-F238E27FC236}">
              <a16:creationId xmlns:a16="http://schemas.microsoft.com/office/drawing/2014/main" id="{00000000-0008-0000-3E00-000094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34386438"/>
          <a:ext cx="1484189" cy="880432"/>
        </a:xfrm>
        <a:prstGeom prst="rect">
          <a:avLst/>
        </a:prstGeom>
      </xdr:spPr>
    </xdr:pic>
    <xdr:clientData/>
  </xdr:twoCellAnchor>
  <xdr:twoCellAnchor editAs="oneCell">
    <xdr:from>
      <xdr:col>0</xdr:col>
      <xdr:colOff>0</xdr:colOff>
      <xdr:row>707</xdr:row>
      <xdr:rowOff>0</xdr:rowOff>
    </xdr:from>
    <xdr:to>
      <xdr:col>5</xdr:col>
      <xdr:colOff>67345</xdr:colOff>
      <xdr:row>709</xdr:row>
      <xdr:rowOff>118432</xdr:rowOff>
    </xdr:to>
    <xdr:pic>
      <xdr:nvPicPr>
        <xdr:cNvPr id="405" name="Image 404">
          <a:extLst>
            <a:ext uri="{FF2B5EF4-FFF2-40B4-BE49-F238E27FC236}">
              <a16:creationId xmlns:a16="http://schemas.microsoft.com/office/drawing/2014/main" id="{00000000-0008-0000-3E00-000095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45506875"/>
          <a:ext cx="1484189" cy="880432"/>
        </a:xfrm>
        <a:prstGeom prst="rect">
          <a:avLst/>
        </a:prstGeom>
      </xdr:spPr>
    </xdr:pic>
    <xdr:clientData/>
  </xdr:twoCellAnchor>
  <xdr:twoCellAnchor editAs="oneCell">
    <xdr:from>
      <xdr:col>19</xdr:col>
      <xdr:colOff>0</xdr:colOff>
      <xdr:row>707</xdr:row>
      <xdr:rowOff>0</xdr:rowOff>
    </xdr:from>
    <xdr:to>
      <xdr:col>24</xdr:col>
      <xdr:colOff>67345</xdr:colOff>
      <xdr:row>709</xdr:row>
      <xdr:rowOff>118432</xdr:rowOff>
    </xdr:to>
    <xdr:pic>
      <xdr:nvPicPr>
        <xdr:cNvPr id="406" name="Image 405">
          <a:extLst>
            <a:ext uri="{FF2B5EF4-FFF2-40B4-BE49-F238E27FC236}">
              <a16:creationId xmlns:a16="http://schemas.microsoft.com/office/drawing/2014/main" id="{00000000-0008-0000-3E00-000096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8125" y="245506875"/>
          <a:ext cx="1484189" cy="880432"/>
        </a:xfrm>
        <a:prstGeom prst="rect">
          <a:avLst/>
        </a:prstGeom>
      </xdr:spPr>
    </xdr:pic>
    <xdr:clientData/>
  </xdr:twoCellAnchor>
  <xdr:twoCellAnchor editAs="oneCell">
    <xdr:from>
      <xdr:col>19</xdr:col>
      <xdr:colOff>0</xdr:colOff>
      <xdr:row>739</xdr:row>
      <xdr:rowOff>0</xdr:rowOff>
    </xdr:from>
    <xdr:to>
      <xdr:col>24</xdr:col>
      <xdr:colOff>67345</xdr:colOff>
      <xdr:row>741</xdr:row>
      <xdr:rowOff>118432</xdr:rowOff>
    </xdr:to>
    <xdr:pic>
      <xdr:nvPicPr>
        <xdr:cNvPr id="407" name="Image 406">
          <a:extLst>
            <a:ext uri="{FF2B5EF4-FFF2-40B4-BE49-F238E27FC236}">
              <a16:creationId xmlns:a16="http://schemas.microsoft.com/office/drawing/2014/main" id="{00000000-0008-0000-3E00-000097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8125" y="256627313"/>
          <a:ext cx="1484189" cy="880432"/>
        </a:xfrm>
        <a:prstGeom prst="rect">
          <a:avLst/>
        </a:prstGeom>
      </xdr:spPr>
    </xdr:pic>
    <xdr:clientData/>
  </xdr:twoCellAnchor>
  <xdr:twoCellAnchor editAs="oneCell">
    <xdr:from>
      <xdr:col>0</xdr:col>
      <xdr:colOff>0</xdr:colOff>
      <xdr:row>739</xdr:row>
      <xdr:rowOff>0</xdr:rowOff>
    </xdr:from>
    <xdr:to>
      <xdr:col>5</xdr:col>
      <xdr:colOff>67345</xdr:colOff>
      <xdr:row>741</xdr:row>
      <xdr:rowOff>118432</xdr:rowOff>
    </xdr:to>
    <xdr:pic>
      <xdr:nvPicPr>
        <xdr:cNvPr id="408" name="Image 407">
          <a:extLst>
            <a:ext uri="{FF2B5EF4-FFF2-40B4-BE49-F238E27FC236}">
              <a16:creationId xmlns:a16="http://schemas.microsoft.com/office/drawing/2014/main" id="{00000000-0008-0000-3E00-000098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56627313"/>
          <a:ext cx="1484189" cy="8804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33</xdr:col>
      <xdr:colOff>351518</xdr:colOff>
      <xdr:row>18</xdr:row>
      <xdr:rowOff>25855</xdr:rowOff>
    </xdr:from>
    <xdr:to>
      <xdr:col>33</xdr:col>
      <xdr:colOff>2256518</xdr:colOff>
      <xdr:row>21</xdr:row>
      <xdr:rowOff>164195</xdr:rowOff>
    </xdr:to>
    <xdr:sp macro="[0]!JMK_Trans_FDUEL1" textlink="">
      <xdr:nvSpPr>
        <xdr:cNvPr id="2" name="Rectangle à coins arrondis 21">
          <a:extLst>
            <a:ext uri="{FF2B5EF4-FFF2-40B4-BE49-F238E27FC236}">
              <a16:creationId xmlns:a16="http://schemas.microsoft.com/office/drawing/2014/main" id="{0BA74C56-6717-44D1-9836-B622D79AE54C}"/>
            </a:ext>
          </a:extLst>
        </xdr:cNvPr>
        <xdr:cNvSpPr/>
      </xdr:nvSpPr>
      <xdr:spPr bwMode="auto">
        <a:xfrm>
          <a:off x="26621468" y="5112205"/>
          <a:ext cx="1905000" cy="73841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1</a:t>
          </a:r>
          <a:r>
            <a:rPr lang="fr-FR" sz="1600"/>
            <a:t> </a:t>
          </a:r>
        </a:p>
      </xdr:txBody>
    </xdr:sp>
    <xdr:clientData fPrintsWithSheet="0"/>
  </xdr:twoCellAnchor>
  <xdr:twoCellAnchor>
    <xdr:from>
      <xdr:col>34</xdr:col>
      <xdr:colOff>245382</xdr:colOff>
      <xdr:row>18</xdr:row>
      <xdr:rowOff>25855</xdr:rowOff>
    </xdr:from>
    <xdr:to>
      <xdr:col>34</xdr:col>
      <xdr:colOff>2150382</xdr:colOff>
      <xdr:row>21</xdr:row>
      <xdr:rowOff>164195</xdr:rowOff>
    </xdr:to>
    <xdr:sp macro="[0]!JMK_Trans_FDUEL2" textlink="">
      <xdr:nvSpPr>
        <xdr:cNvPr id="3" name="Rectangle à coins arrondis 22">
          <a:extLst>
            <a:ext uri="{FF2B5EF4-FFF2-40B4-BE49-F238E27FC236}">
              <a16:creationId xmlns:a16="http://schemas.microsoft.com/office/drawing/2014/main" id="{6AFFB3F4-0E6E-4EA1-83B6-243BE38A56D2}"/>
            </a:ext>
          </a:extLst>
        </xdr:cNvPr>
        <xdr:cNvSpPr/>
      </xdr:nvSpPr>
      <xdr:spPr bwMode="auto">
        <a:xfrm>
          <a:off x="28963257" y="5112205"/>
          <a:ext cx="1905000" cy="73841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2</a:t>
          </a:r>
          <a:r>
            <a:rPr lang="fr-FR" sz="1600"/>
            <a:t> </a:t>
          </a:r>
        </a:p>
      </xdr:txBody>
    </xdr:sp>
    <xdr:clientData fPrintsWithSheet="0"/>
  </xdr:twoCellAnchor>
  <xdr:twoCellAnchor>
    <xdr:from>
      <xdr:col>35</xdr:col>
      <xdr:colOff>139247</xdr:colOff>
      <xdr:row>18</xdr:row>
      <xdr:rowOff>25855</xdr:rowOff>
    </xdr:from>
    <xdr:to>
      <xdr:col>35</xdr:col>
      <xdr:colOff>2044247</xdr:colOff>
      <xdr:row>21</xdr:row>
      <xdr:rowOff>164195</xdr:rowOff>
    </xdr:to>
    <xdr:sp macro="[0]!JMK_Trans_FDUEL3" textlink="">
      <xdr:nvSpPr>
        <xdr:cNvPr id="4" name="Rectangle à coins arrondis 23">
          <a:extLst>
            <a:ext uri="{FF2B5EF4-FFF2-40B4-BE49-F238E27FC236}">
              <a16:creationId xmlns:a16="http://schemas.microsoft.com/office/drawing/2014/main" id="{C0AFEFAA-3C40-4335-BC3D-93E03D205389}"/>
            </a:ext>
          </a:extLst>
        </xdr:cNvPr>
        <xdr:cNvSpPr/>
      </xdr:nvSpPr>
      <xdr:spPr bwMode="auto">
        <a:xfrm>
          <a:off x="31314572" y="5112205"/>
          <a:ext cx="1905000" cy="738415"/>
        </a:xfrm>
        <a:prstGeom prst="roundRect">
          <a:avLst/>
        </a:prstGeom>
        <a:solidFill>
          <a:srgbClr val="FFC0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impression Feuilles</a:t>
          </a:r>
        </a:p>
        <a:p>
          <a:pPr algn="ctr"/>
          <a:r>
            <a:rPr lang="fr-FR" sz="1600"/>
            <a:t>DUEL</a:t>
          </a:r>
          <a:r>
            <a:rPr lang="fr-FR" sz="1600" baseline="0"/>
            <a:t> 3</a:t>
          </a:r>
          <a:r>
            <a:rPr lang="fr-FR" sz="1600"/>
            <a:t> </a:t>
          </a:r>
        </a:p>
      </xdr:txBody>
    </xdr:sp>
    <xdr:clientData fPrintsWithSheet="0"/>
  </xdr:twoCellAnchor>
  <xdr:twoCellAnchor>
    <xdr:from>
      <xdr:col>34</xdr:col>
      <xdr:colOff>1762124</xdr:colOff>
      <xdr:row>24</xdr:row>
      <xdr:rowOff>158750</xdr:rowOff>
    </xdr:from>
    <xdr:to>
      <xdr:col>35</xdr:col>
      <xdr:colOff>1206499</xdr:colOff>
      <xdr:row>30</xdr:row>
      <xdr:rowOff>190500</xdr:rowOff>
    </xdr:to>
    <xdr:sp macro="[0]!JMK_ZI_Résultat_Final" textlink="">
      <xdr:nvSpPr>
        <xdr:cNvPr id="5" name="Rectangle à coins arrondis 27">
          <a:extLst>
            <a:ext uri="{FF2B5EF4-FFF2-40B4-BE49-F238E27FC236}">
              <a16:creationId xmlns:a16="http://schemas.microsoft.com/office/drawing/2014/main" id="{33F7CD59-333B-406E-B1FE-7BA3AB0B41CA}"/>
            </a:ext>
          </a:extLst>
        </xdr:cNvPr>
        <xdr:cNvSpPr/>
      </xdr:nvSpPr>
      <xdr:spPr bwMode="auto">
        <a:xfrm>
          <a:off x="30479999" y="6445250"/>
          <a:ext cx="1901825" cy="1231900"/>
        </a:xfrm>
        <a:prstGeom prst="roundRect">
          <a:avLst/>
        </a:prstGeom>
        <a:solidFill>
          <a:srgbClr val="00FF99"/>
        </a:solidFill>
        <a:ln w="9525" cap="flat" cmpd="sng" algn="ctr">
          <a:solidFill>
            <a:srgbClr val="400000"/>
          </a:solidFill>
          <a:prstDash val="solid"/>
          <a:round/>
          <a:headEnd type="none" w="med" len="med"/>
          <a:tailEnd type="none" w="med" len="med"/>
        </a:ln>
        <a:effectLst/>
      </xdr:spPr>
      <xdr:txBody>
        <a:bodyPr rot="0" spcFirstLastPara="0" vertOverflow="clip" horzOverflow="clip" vert="horz" wrap="square" lIns="18288" tIns="0" rIns="0" bIns="0" numCol="1" spcCol="0" rtlCol="0" fromWordArt="0" anchor="ctr" anchorCtr="0" forceAA="0" upright="1" compatLnSpc="1">
          <a:prstTxWarp prst="textNoShape">
            <a:avLst/>
          </a:prstTxWarp>
          <a:noAutofit/>
        </a:bodyPr>
        <a:lstStyle/>
        <a:p>
          <a:pPr algn="ctr"/>
          <a:r>
            <a:rPr lang="fr-FR" sz="2000"/>
            <a:t>Impression</a:t>
          </a:r>
          <a:r>
            <a:rPr lang="fr-FR" sz="2000" baseline="0"/>
            <a:t> du CLASSEMENT FINAL</a:t>
          </a:r>
          <a:endParaRPr lang="fr-FR" sz="2000"/>
        </a:p>
      </xdr:txBody>
    </xdr:sp>
    <xdr:clientData fPrintsWithSheet="0"/>
  </xdr:twoCellAnchor>
  <xdr:twoCellAnchor>
    <xdr:from>
      <xdr:col>24</xdr:col>
      <xdr:colOff>571500</xdr:colOff>
      <xdr:row>0</xdr:row>
      <xdr:rowOff>301625</xdr:rowOff>
    </xdr:from>
    <xdr:to>
      <xdr:col>24</xdr:col>
      <xdr:colOff>2095500</xdr:colOff>
      <xdr:row>1</xdr:row>
      <xdr:rowOff>396875</xdr:rowOff>
    </xdr:to>
    <xdr:sp macro="[0]!jmk_RETOUR_MENU" textlink="">
      <xdr:nvSpPr>
        <xdr:cNvPr id="6" name="Rectangle à coins arrondis 28">
          <a:extLst>
            <a:ext uri="{FF2B5EF4-FFF2-40B4-BE49-F238E27FC236}">
              <a16:creationId xmlns:a16="http://schemas.microsoft.com/office/drawing/2014/main" id="{8ABA1A6F-CFB4-4E4E-A479-0F7ED280FBE2}"/>
            </a:ext>
          </a:extLst>
        </xdr:cNvPr>
        <xdr:cNvSpPr/>
      </xdr:nvSpPr>
      <xdr:spPr bwMode="auto">
        <a:xfrm>
          <a:off x="21459825" y="301625"/>
          <a:ext cx="1524000" cy="80010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800"/>
            <a:t>Retour aux MENUS</a:t>
          </a:r>
        </a:p>
      </xdr:txBody>
    </xdr:sp>
    <xdr:clientData fPrintsWithSheet="0"/>
  </xdr:twoCellAnchor>
  <xdr:twoCellAnchor editAs="oneCell">
    <xdr:from>
      <xdr:col>10</xdr:col>
      <xdr:colOff>142875</xdr:colOff>
      <xdr:row>0</xdr:row>
      <xdr:rowOff>123825</xdr:rowOff>
    </xdr:from>
    <xdr:to>
      <xdr:col>12</xdr:col>
      <xdr:colOff>600075</xdr:colOff>
      <xdr:row>1</xdr:row>
      <xdr:rowOff>542925</xdr:rowOff>
    </xdr:to>
    <xdr:pic>
      <xdr:nvPicPr>
        <xdr:cNvPr id="7" name="Image 6">
          <a:extLst>
            <a:ext uri="{FF2B5EF4-FFF2-40B4-BE49-F238E27FC236}">
              <a16:creationId xmlns:a16="http://schemas.microsoft.com/office/drawing/2014/main" id="{B85F65BF-CA7D-42A9-AC76-2E06A56D97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34350" y="123825"/>
          <a:ext cx="1809750" cy="1123950"/>
        </a:xfrm>
        <a:prstGeom prst="rect">
          <a:avLst/>
        </a:prstGeom>
      </xdr:spPr>
    </xdr:pic>
    <xdr:clientData/>
  </xdr:twoCellAnchor>
  <xdr:twoCellAnchor editAs="oneCell">
    <xdr:from>
      <xdr:col>35</xdr:col>
      <xdr:colOff>1485900</xdr:colOff>
      <xdr:row>2</xdr:row>
      <xdr:rowOff>400051</xdr:rowOff>
    </xdr:from>
    <xdr:to>
      <xdr:col>35</xdr:col>
      <xdr:colOff>2384425</xdr:colOff>
      <xdr:row>4</xdr:row>
      <xdr:rowOff>171451</xdr:rowOff>
    </xdr:to>
    <xdr:pic>
      <xdr:nvPicPr>
        <xdr:cNvPr id="8" name="Image 7">
          <a:extLst>
            <a:ext uri="{FF2B5EF4-FFF2-40B4-BE49-F238E27FC236}">
              <a16:creationId xmlns:a16="http://schemas.microsoft.com/office/drawing/2014/main" id="{074E86B5-4446-4AA1-B743-2EBF2E1C85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61225" y="1885951"/>
          <a:ext cx="898525" cy="571500"/>
        </a:xfrm>
        <a:prstGeom prst="rect">
          <a:avLst/>
        </a:prstGeom>
      </xdr:spPr>
    </xdr:pic>
    <xdr:clientData/>
  </xdr:twoCellAnchor>
  <xdr:twoCellAnchor>
    <xdr:from>
      <xdr:col>33</xdr:col>
      <xdr:colOff>642937</xdr:colOff>
      <xdr:row>24</xdr:row>
      <xdr:rowOff>1</xdr:rowOff>
    </xdr:from>
    <xdr:to>
      <xdr:col>33</xdr:col>
      <xdr:colOff>1961130</xdr:colOff>
      <xdr:row>28</xdr:row>
      <xdr:rowOff>13608</xdr:rowOff>
    </xdr:to>
    <xdr:sp macro="[0]!Imp_DUEL_Tableau" textlink="">
      <xdr:nvSpPr>
        <xdr:cNvPr id="9" name="Rectangle à coins arrondis 33">
          <a:extLst>
            <a:ext uri="{FF2B5EF4-FFF2-40B4-BE49-F238E27FC236}">
              <a16:creationId xmlns:a16="http://schemas.microsoft.com/office/drawing/2014/main" id="{263123E4-1A9B-4EBC-AD5A-A0A34D62B0D4}"/>
            </a:ext>
          </a:extLst>
        </xdr:cNvPr>
        <xdr:cNvSpPr/>
      </xdr:nvSpPr>
      <xdr:spPr bwMode="auto">
        <a:xfrm>
          <a:off x="26912887" y="6286501"/>
          <a:ext cx="1318193" cy="813707"/>
        </a:xfrm>
        <a:prstGeom prst="roundRect">
          <a:avLst/>
        </a:prstGeom>
        <a:solidFill>
          <a:srgbClr val="E923EE"/>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a:t>Imp. TABLEAU des</a:t>
          </a:r>
          <a:r>
            <a:rPr lang="fr-FR" sz="1600" baseline="0"/>
            <a:t> DUELS</a:t>
          </a:r>
          <a:endParaRPr lang="fr-FR" sz="1600"/>
        </a:p>
      </xdr:txBody>
    </xdr:sp>
    <xdr:clientData/>
  </xdr:twoCellAnchor>
  <xdr:twoCellAnchor>
    <xdr:from>
      <xdr:col>15</xdr:col>
      <xdr:colOff>95250</xdr:colOff>
      <xdr:row>9</xdr:row>
      <xdr:rowOff>176893</xdr:rowOff>
    </xdr:from>
    <xdr:to>
      <xdr:col>15</xdr:col>
      <xdr:colOff>984250</xdr:colOff>
      <xdr:row>9</xdr:row>
      <xdr:rowOff>196885</xdr:rowOff>
    </xdr:to>
    <xdr:cxnSp macro="">
      <xdr:nvCxnSpPr>
        <xdr:cNvPr id="10" name="Connecteur droit avec flèche 9">
          <a:extLst>
            <a:ext uri="{FF2B5EF4-FFF2-40B4-BE49-F238E27FC236}">
              <a16:creationId xmlns:a16="http://schemas.microsoft.com/office/drawing/2014/main" id="{607E0CE5-6804-44D3-ACD7-E8B9934DC2E5}"/>
            </a:ext>
          </a:extLst>
        </xdr:cNvPr>
        <xdr:cNvCxnSpPr/>
      </xdr:nvCxnSpPr>
      <xdr:spPr>
        <a:xfrm>
          <a:off x="13068300" y="3463018"/>
          <a:ext cx="889000" cy="19992"/>
        </a:xfrm>
        <a:prstGeom prst="straightConnector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21</xdr:col>
      <xdr:colOff>57150</xdr:colOff>
      <xdr:row>10</xdr:row>
      <xdr:rowOff>2721</xdr:rowOff>
    </xdr:from>
    <xdr:to>
      <xdr:col>21</xdr:col>
      <xdr:colOff>946150</xdr:colOff>
      <xdr:row>10</xdr:row>
      <xdr:rowOff>22713</xdr:rowOff>
    </xdr:to>
    <xdr:cxnSp macro="">
      <xdr:nvCxnSpPr>
        <xdr:cNvPr id="11" name="Connecteur droit avec flèche 10">
          <a:extLst>
            <a:ext uri="{FF2B5EF4-FFF2-40B4-BE49-F238E27FC236}">
              <a16:creationId xmlns:a16="http://schemas.microsoft.com/office/drawing/2014/main" id="{082DF2DB-4054-4F05-BC53-45EB1D3068DB}"/>
            </a:ext>
          </a:extLst>
        </xdr:cNvPr>
        <xdr:cNvCxnSpPr/>
      </xdr:nvCxnSpPr>
      <xdr:spPr>
        <a:xfrm>
          <a:off x="19021425" y="3488871"/>
          <a:ext cx="889000" cy="19992"/>
        </a:xfrm>
        <a:prstGeom prst="straightConnector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15</xdr:col>
      <xdr:colOff>95250</xdr:colOff>
      <xdr:row>11</xdr:row>
      <xdr:rowOff>176893</xdr:rowOff>
    </xdr:from>
    <xdr:to>
      <xdr:col>15</xdr:col>
      <xdr:colOff>984250</xdr:colOff>
      <xdr:row>11</xdr:row>
      <xdr:rowOff>196885</xdr:rowOff>
    </xdr:to>
    <xdr:cxnSp macro="">
      <xdr:nvCxnSpPr>
        <xdr:cNvPr id="12" name="Connecteur droit avec flèche 11">
          <a:extLst>
            <a:ext uri="{FF2B5EF4-FFF2-40B4-BE49-F238E27FC236}">
              <a16:creationId xmlns:a16="http://schemas.microsoft.com/office/drawing/2014/main" id="{E27A0CBE-A52A-4C56-B967-4D29C77205C5}"/>
            </a:ext>
          </a:extLst>
        </xdr:cNvPr>
        <xdr:cNvCxnSpPr/>
      </xdr:nvCxnSpPr>
      <xdr:spPr>
        <a:xfrm>
          <a:off x="13068300" y="3863068"/>
          <a:ext cx="889000" cy="19992"/>
        </a:xfrm>
        <a:prstGeom prst="straightConnector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21</xdr:col>
      <xdr:colOff>57150</xdr:colOff>
      <xdr:row>12</xdr:row>
      <xdr:rowOff>2721</xdr:rowOff>
    </xdr:from>
    <xdr:to>
      <xdr:col>21</xdr:col>
      <xdr:colOff>946150</xdr:colOff>
      <xdr:row>12</xdr:row>
      <xdr:rowOff>22713</xdr:rowOff>
    </xdr:to>
    <xdr:cxnSp macro="">
      <xdr:nvCxnSpPr>
        <xdr:cNvPr id="13" name="Connecteur droit avec flèche 12">
          <a:extLst>
            <a:ext uri="{FF2B5EF4-FFF2-40B4-BE49-F238E27FC236}">
              <a16:creationId xmlns:a16="http://schemas.microsoft.com/office/drawing/2014/main" id="{995C1C07-F3A5-4E22-8A09-ED8EB33DCBAE}"/>
            </a:ext>
          </a:extLst>
        </xdr:cNvPr>
        <xdr:cNvCxnSpPr/>
      </xdr:nvCxnSpPr>
      <xdr:spPr>
        <a:xfrm>
          <a:off x="19021425" y="3888921"/>
          <a:ext cx="889000" cy="19992"/>
        </a:xfrm>
        <a:prstGeom prst="straightConnector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44</xdr:col>
          <xdr:colOff>238125</xdr:colOff>
          <xdr:row>11</xdr:row>
          <xdr:rowOff>9525</xdr:rowOff>
        </xdr:from>
        <xdr:to>
          <xdr:col>48</xdr:col>
          <xdr:colOff>1666875</xdr:colOff>
          <xdr:row>13</xdr:row>
          <xdr:rowOff>47625</xdr:rowOff>
        </xdr:to>
        <xdr:sp macro="" textlink="">
          <xdr:nvSpPr>
            <xdr:cNvPr id="20483" name="Button 3" hidden="1">
              <a:extLst>
                <a:ext uri="{63B3BB69-23CF-44E3-9099-C40C66FF867C}">
                  <a14:compatExt spid="_x0000_s20483"/>
                </a:ext>
                <a:ext uri="{FF2B5EF4-FFF2-40B4-BE49-F238E27FC236}">
                  <a16:creationId xmlns:a16="http://schemas.microsoft.com/office/drawing/2014/main" id="{00000000-0008-0000-0700-0000035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fr-FR" sz="1100" b="1" i="0" u="none" strike="noStrike" baseline="0">
                  <a:solidFill>
                    <a:srgbClr val="FF0000"/>
                  </a:solidFill>
                  <a:latin typeface="Arial"/>
                  <a:cs typeface="Arial"/>
                </a:rPr>
                <a:t>Envoyer sur</a:t>
              </a:r>
            </a:p>
            <a:p>
              <a:pPr algn="ctr" rtl="0">
                <a:defRPr sz="1000"/>
              </a:pPr>
              <a:r>
                <a:rPr lang="fr-FR" sz="1100" b="1" i="0" u="none" strike="noStrike" baseline="0">
                  <a:solidFill>
                    <a:srgbClr val="FF0000"/>
                  </a:solidFill>
                  <a:latin typeface="Arial"/>
                  <a:cs typeface="Arial"/>
                </a:rPr>
                <a:t>fiche de gauche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xdr:col>
          <xdr:colOff>2009775</xdr:colOff>
          <xdr:row>11</xdr:row>
          <xdr:rowOff>9525</xdr:rowOff>
        </xdr:from>
        <xdr:to>
          <xdr:col>50</xdr:col>
          <xdr:colOff>533400</xdr:colOff>
          <xdr:row>13</xdr:row>
          <xdr:rowOff>47625</xdr:rowOff>
        </xdr:to>
        <xdr:sp macro="" textlink="">
          <xdr:nvSpPr>
            <xdr:cNvPr id="20484" name="Button 4" hidden="1">
              <a:extLst>
                <a:ext uri="{63B3BB69-23CF-44E3-9099-C40C66FF867C}">
                  <a14:compatExt spid="_x0000_s20484"/>
                </a:ext>
                <a:ext uri="{FF2B5EF4-FFF2-40B4-BE49-F238E27FC236}">
                  <a16:creationId xmlns:a16="http://schemas.microsoft.com/office/drawing/2014/main" id="{00000000-0008-0000-0700-0000045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fr-FR" sz="1100" b="1" i="0" u="none" strike="noStrike" baseline="0">
                  <a:solidFill>
                    <a:srgbClr val="FF0000"/>
                  </a:solidFill>
                  <a:latin typeface="Arial"/>
                  <a:cs typeface="Arial"/>
                </a:rPr>
                <a:t>Envoyer sur</a:t>
              </a:r>
            </a:p>
            <a:p>
              <a:pPr algn="ctr" rtl="0">
                <a:defRPr sz="1000"/>
              </a:pPr>
              <a:r>
                <a:rPr lang="fr-FR" sz="1100" b="1" i="0" u="none" strike="noStrike" baseline="0">
                  <a:solidFill>
                    <a:srgbClr val="FF0000"/>
                  </a:solidFill>
                  <a:latin typeface="Arial"/>
                  <a:cs typeface="Arial"/>
                </a:rPr>
                <a:t>fiche de droite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44</xdr:col>
          <xdr:colOff>247650</xdr:colOff>
          <xdr:row>13</xdr:row>
          <xdr:rowOff>238125</xdr:rowOff>
        </xdr:from>
        <xdr:to>
          <xdr:col>48</xdr:col>
          <xdr:colOff>1200150</xdr:colOff>
          <xdr:row>16</xdr:row>
          <xdr:rowOff>19050</xdr:rowOff>
        </xdr:to>
        <xdr:sp macro="" textlink="">
          <xdr:nvSpPr>
            <xdr:cNvPr id="20505" name="Button 25" hidden="1">
              <a:extLst>
                <a:ext uri="{63B3BB69-23CF-44E3-9099-C40C66FF867C}">
                  <a14:compatExt spid="_x0000_s20505"/>
                </a:ext>
                <a:ext uri="{FF2B5EF4-FFF2-40B4-BE49-F238E27FC236}">
                  <a16:creationId xmlns:a16="http://schemas.microsoft.com/office/drawing/2014/main" id="{00000000-0008-0000-0700-0000195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fr-FR" sz="1100" b="1" i="0" u="none" strike="noStrike" baseline="0">
                  <a:solidFill>
                    <a:srgbClr val="FF0000"/>
                  </a:solidFill>
                  <a:latin typeface="Arial"/>
                  <a:cs typeface="Arial"/>
                </a:rPr>
                <a:t>Imprimer DUEL</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editAs="absolute">
    <xdr:from>
      <xdr:col>17</xdr:col>
      <xdr:colOff>129987</xdr:colOff>
      <xdr:row>33</xdr:row>
      <xdr:rowOff>132229</xdr:rowOff>
    </xdr:from>
    <xdr:to>
      <xdr:col>19</xdr:col>
      <xdr:colOff>1234889</xdr:colOff>
      <xdr:row>36</xdr:row>
      <xdr:rowOff>132231</xdr:rowOff>
    </xdr:to>
    <xdr:sp macro="[0]!Clt_Equipes" textlink="">
      <xdr:nvSpPr>
        <xdr:cNvPr id="5" name="Text Box 4">
          <a:extLst>
            <a:ext uri="{FF2B5EF4-FFF2-40B4-BE49-F238E27FC236}">
              <a16:creationId xmlns:a16="http://schemas.microsoft.com/office/drawing/2014/main" id="{00000000-0008-0000-0800-000005000000}"/>
            </a:ext>
          </a:extLst>
        </xdr:cNvPr>
        <xdr:cNvSpPr txBox="1">
          <a:spLocks noChangeArrowheads="1"/>
        </xdr:cNvSpPr>
      </xdr:nvSpPr>
      <xdr:spPr bwMode="auto">
        <a:xfrm>
          <a:off x="11033311" y="5275729"/>
          <a:ext cx="3133166" cy="437031"/>
        </a:xfrm>
        <a:prstGeom prst="rect">
          <a:avLst/>
        </a:prstGeom>
        <a:solidFill>
          <a:srgbClr val="FFCC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0000"/>
              </a:solidFill>
              <a:latin typeface="Arial"/>
              <a:cs typeface="Arial"/>
            </a:rPr>
            <a:t>Copier les classements vers 'Imp. Qualif.' </a:t>
          </a:r>
        </a:p>
        <a:p>
          <a:pPr algn="ctr" rtl="0">
            <a:defRPr sz="1000"/>
          </a:pPr>
          <a:r>
            <a:rPr lang="fr-FR" sz="1000" b="1" i="0" u="none" strike="noStrike" baseline="0">
              <a:solidFill>
                <a:srgbClr val="000000"/>
              </a:solidFill>
              <a:latin typeface="Arial"/>
              <a:cs typeface="Arial"/>
            </a:rPr>
            <a:t>et classer les équipes</a:t>
          </a:r>
          <a:endParaRPr lang="fr-FR"/>
        </a:p>
      </xdr:txBody>
    </xdr:sp>
    <xdr:clientData fPrintsWithSheet="0"/>
  </xdr:twoCellAnchor>
  <xdr:twoCellAnchor>
    <xdr:from>
      <xdr:col>17</xdr:col>
      <xdr:colOff>171450</xdr:colOff>
      <xdr:row>0</xdr:row>
      <xdr:rowOff>142875</xdr:rowOff>
    </xdr:from>
    <xdr:to>
      <xdr:col>18</xdr:col>
      <xdr:colOff>742950</xdr:colOff>
      <xdr:row>3</xdr:row>
      <xdr:rowOff>0</xdr:rowOff>
    </xdr:to>
    <xdr:sp macro="[0]!jmk_RETOUR_MENU" textlink="">
      <xdr:nvSpPr>
        <xdr:cNvPr id="3" name="Rectangle à coins arrondis 2">
          <a:extLst>
            <a:ext uri="{FF2B5EF4-FFF2-40B4-BE49-F238E27FC236}">
              <a16:creationId xmlns:a16="http://schemas.microsoft.com/office/drawing/2014/main" id="{00000000-0008-0000-0800-000003000000}"/>
            </a:ext>
          </a:extLst>
        </xdr:cNvPr>
        <xdr:cNvSpPr/>
      </xdr:nvSpPr>
      <xdr:spPr bwMode="auto">
        <a:xfrm>
          <a:off x="8667750" y="142875"/>
          <a:ext cx="800100" cy="438150"/>
        </a:xfrm>
        <a:prstGeom prst="roundRect">
          <a:avLst/>
        </a:prstGeom>
        <a:solidFill>
          <a:srgbClr val="00B0F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Retour aux MENUS</a:t>
          </a:r>
        </a:p>
      </xdr:txBody>
    </xdr:sp>
    <xdr:clientData fPrintsWithSheet="0"/>
  </xdr:twoCellAnchor>
  <xdr:twoCellAnchor editAs="oneCell">
    <xdr:from>
      <xdr:col>15</xdr:col>
      <xdr:colOff>43703</xdr:colOff>
      <xdr:row>0</xdr:row>
      <xdr:rowOff>0</xdr:rowOff>
    </xdr:from>
    <xdr:to>
      <xdr:col>15</xdr:col>
      <xdr:colOff>533400</xdr:colOff>
      <xdr:row>3</xdr:row>
      <xdr:rowOff>152400</xdr:rowOff>
    </xdr:to>
    <xdr:pic>
      <xdr:nvPicPr>
        <xdr:cNvPr id="2559" name="Picture 1" descr="Logo UNSS monochrome copie">
          <a:extLst>
            <a:ext uri="{FF2B5EF4-FFF2-40B4-BE49-F238E27FC236}">
              <a16:creationId xmlns:a16="http://schemas.microsoft.com/office/drawing/2014/main" id="{00000000-0008-0000-0800-0000FF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2879" y="0"/>
          <a:ext cx="489697" cy="735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180975</xdr:colOff>
      <xdr:row>3</xdr:row>
      <xdr:rowOff>152400</xdr:rowOff>
    </xdr:from>
    <xdr:to>
      <xdr:col>13</xdr:col>
      <xdr:colOff>466725</xdr:colOff>
      <xdr:row>5</xdr:row>
      <xdr:rowOff>228600</xdr:rowOff>
    </xdr:to>
    <xdr:sp macro="" textlink="">
      <xdr:nvSpPr>
        <xdr:cNvPr id="2" name="Flèche vers le bas 1">
          <a:extLst>
            <a:ext uri="{FF2B5EF4-FFF2-40B4-BE49-F238E27FC236}">
              <a16:creationId xmlns:a16="http://schemas.microsoft.com/office/drawing/2014/main" id="{00000000-0008-0000-0800-000002000000}"/>
            </a:ext>
          </a:extLst>
        </xdr:cNvPr>
        <xdr:cNvSpPr/>
      </xdr:nvSpPr>
      <xdr:spPr bwMode="auto">
        <a:xfrm>
          <a:off x="8458200" y="733425"/>
          <a:ext cx="285750" cy="419100"/>
        </a:xfrm>
        <a:prstGeom prst="downArrow">
          <a:avLst/>
        </a:prstGeom>
        <a:solidFill>
          <a:srgbClr val="00FF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twoCellAnchor>
    <xdr:from>
      <xdr:col>17</xdr:col>
      <xdr:colOff>190500</xdr:colOff>
      <xdr:row>38</xdr:row>
      <xdr:rowOff>100853</xdr:rowOff>
    </xdr:from>
    <xdr:to>
      <xdr:col>20</xdr:col>
      <xdr:colOff>67235</xdr:colOff>
      <xdr:row>47</xdr:row>
      <xdr:rowOff>100853</xdr:rowOff>
    </xdr:to>
    <xdr:sp macro="" textlink="">
      <xdr:nvSpPr>
        <xdr:cNvPr id="4" name="ZoneTexte 3">
          <a:extLst>
            <a:ext uri="{FF2B5EF4-FFF2-40B4-BE49-F238E27FC236}">
              <a16:creationId xmlns:a16="http://schemas.microsoft.com/office/drawing/2014/main" id="{00000000-0008-0000-0800-000004000000}"/>
            </a:ext>
          </a:extLst>
        </xdr:cNvPr>
        <xdr:cNvSpPr txBox="1"/>
      </xdr:nvSpPr>
      <xdr:spPr>
        <a:xfrm>
          <a:off x="9872382" y="5972735"/>
          <a:ext cx="3227294" cy="131108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solidFill>
                <a:srgbClr val="FF0000"/>
              </a:solidFill>
            </a:rPr>
            <a:t>ATTENTION </a:t>
          </a:r>
          <a:r>
            <a:rPr lang="fr-FR" sz="1100"/>
            <a:t>: La saisie par EQUIPE est prioritaire. C'est elle qui sert de référence dans le score. </a:t>
          </a:r>
        </a:p>
        <a:p>
          <a:r>
            <a:rPr lang="fr-FR" sz="1100"/>
            <a:t>La saisie des scores individuels n'est pas obligatoire. Elle sert de controle éventuel et permet à l'archer de se situer en cas  de publication d'un</a:t>
          </a:r>
          <a:r>
            <a:rPr lang="fr-FR" sz="1100" baseline="0"/>
            <a:t> classement individuel...</a:t>
          </a:r>
          <a:endParaRPr lang="fr-FR" sz="1100"/>
        </a:p>
      </xdr:txBody>
    </xdr:sp>
    <xdr:clientData/>
  </xdr:twoCellAnchor>
  <xdr:twoCellAnchor>
    <xdr:from>
      <xdr:col>20</xdr:col>
      <xdr:colOff>47626</xdr:colOff>
      <xdr:row>34</xdr:row>
      <xdr:rowOff>0</xdr:rowOff>
    </xdr:from>
    <xdr:to>
      <xdr:col>22</xdr:col>
      <xdr:colOff>409576</xdr:colOff>
      <xdr:row>36</xdr:row>
      <xdr:rowOff>123825</xdr:rowOff>
    </xdr:to>
    <xdr:sp macro="[0]!JMK_imp_resultats_indiv_tirs_qualif" textlink="">
      <xdr:nvSpPr>
        <xdr:cNvPr id="6" name="Rectangle 5">
          <a:extLst>
            <a:ext uri="{FF2B5EF4-FFF2-40B4-BE49-F238E27FC236}">
              <a16:creationId xmlns:a16="http://schemas.microsoft.com/office/drawing/2014/main" id="{00000000-0008-0000-0800-000006000000}"/>
            </a:ext>
          </a:extLst>
        </xdr:cNvPr>
        <xdr:cNvSpPr/>
      </xdr:nvSpPr>
      <xdr:spPr bwMode="auto">
        <a:xfrm>
          <a:off x="14297026" y="5210175"/>
          <a:ext cx="2133600" cy="409575"/>
        </a:xfrm>
        <a:prstGeom prst="rect">
          <a:avLst/>
        </a:prstGeom>
        <a:solidFill>
          <a:srgbClr val="00FF00"/>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fr-FR" sz="1100"/>
            <a:t>Copier les résultats individuels vers 'Res. Indiv' et les classer</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00FF00"/>
        </a:solidFill>
        <a:ln w="9525" cap="flat" cmpd="sng" algn="ctr">
          <a:solidFill>
            <a:srgbClr val="400000"/>
          </a:solidFill>
          <a:prstDash val="solid"/>
          <a:round/>
          <a:headEnd type="none" w="med" len="med"/>
          <a:tailEnd type="none" w="med" len="med"/>
        </a:ln>
        <a:effectLst/>
      </a:spPr>
      <a:bodyPr vertOverflow="clip" horzOverflow="clip" wrap="square" lIns="18288" tIns="0" rIns="0" bIns="0" rtlCol="0" anchor="t" upright="1"/>
      <a:lstStyle>
        <a:defPPr algn="l">
          <a:defRPr sz="1100"/>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trlProp" Target="../ctrlProps/ctrlProp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trlProp" Target="../ctrlProps/ctrlProp5.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trlProp" Target="../ctrlProps/ctrlProp6.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2">
    <tabColor rgb="FF0070C0"/>
    <pageSetUpPr fitToPage="1"/>
  </sheetPr>
  <dimension ref="B1:H34"/>
  <sheetViews>
    <sheetView tabSelected="1" zoomScaleNormal="100" workbookViewId="0"/>
  </sheetViews>
  <sheetFormatPr baseColWidth="10" defaultRowHeight="12.75" x14ac:dyDescent="0.2"/>
  <cols>
    <col min="1" max="1" width="4.85546875" customWidth="1"/>
    <col min="2" max="2" width="5.5703125" customWidth="1"/>
  </cols>
  <sheetData>
    <row r="1" spans="2:8" ht="24" customHeight="1" x14ac:dyDescent="0.2">
      <c r="C1" s="953" t="str">
        <f>CATEG_IMPORTEE</f>
        <v>Collèges Mixtes Etablissement</v>
      </c>
      <c r="D1" s="953"/>
      <c r="E1" s="953"/>
      <c r="F1" s="953"/>
      <c r="G1" s="953"/>
      <c r="H1" s="953"/>
    </row>
    <row r="3" spans="2:8" x14ac:dyDescent="0.2">
      <c r="B3" s="1">
        <v>1</v>
      </c>
    </row>
    <row r="4" spans="2:8" x14ac:dyDescent="0.2">
      <c r="B4" s="951"/>
    </row>
    <row r="5" spans="2:8" x14ac:dyDescent="0.2">
      <c r="B5" s="44"/>
    </row>
    <row r="6" spans="2:8" x14ac:dyDescent="0.2">
      <c r="B6" s="44"/>
    </row>
    <row r="7" spans="2:8" x14ac:dyDescent="0.2">
      <c r="B7" s="1">
        <v>2</v>
      </c>
    </row>
    <row r="8" spans="2:8" x14ac:dyDescent="0.2">
      <c r="B8" s="951"/>
    </row>
    <row r="9" spans="2:8" x14ac:dyDescent="0.2">
      <c r="B9" s="44"/>
    </row>
    <row r="10" spans="2:8" x14ac:dyDescent="0.2">
      <c r="B10" s="1">
        <v>3</v>
      </c>
    </row>
    <row r="11" spans="2:8" x14ac:dyDescent="0.2">
      <c r="B11" s="950"/>
    </row>
    <row r="12" spans="2:8" x14ac:dyDescent="0.2">
      <c r="B12" s="950"/>
    </row>
    <row r="13" spans="2:8" x14ac:dyDescent="0.2">
      <c r="B13" s="951"/>
    </row>
    <row r="14" spans="2:8" x14ac:dyDescent="0.2">
      <c r="B14" s="44"/>
    </row>
    <row r="15" spans="2:8" x14ac:dyDescent="0.2">
      <c r="B15" s="1">
        <v>4</v>
      </c>
    </row>
    <row r="16" spans="2:8" x14ac:dyDescent="0.2">
      <c r="B16" s="950"/>
    </row>
    <row r="17" spans="2:2" x14ac:dyDescent="0.2">
      <c r="B17" s="951"/>
    </row>
    <row r="18" spans="2:2" x14ac:dyDescent="0.2">
      <c r="B18" s="44"/>
    </row>
    <row r="19" spans="2:2" x14ac:dyDescent="0.2">
      <c r="B19" s="1">
        <v>5</v>
      </c>
    </row>
    <row r="20" spans="2:2" x14ac:dyDescent="0.2">
      <c r="B20" s="951"/>
    </row>
    <row r="21" spans="2:2" x14ac:dyDescent="0.2">
      <c r="B21" s="44"/>
    </row>
    <row r="22" spans="2:2" x14ac:dyDescent="0.2">
      <c r="B22" s="1">
        <v>6</v>
      </c>
    </row>
    <row r="23" spans="2:2" x14ac:dyDescent="0.2">
      <c r="B23" s="950"/>
    </row>
    <row r="24" spans="2:2" x14ac:dyDescent="0.2">
      <c r="B24" s="950"/>
    </row>
    <row r="25" spans="2:2" x14ac:dyDescent="0.2">
      <c r="B25" s="950"/>
    </row>
    <row r="26" spans="2:2" x14ac:dyDescent="0.2">
      <c r="B26" s="950"/>
    </row>
    <row r="27" spans="2:2" x14ac:dyDescent="0.2">
      <c r="B27" s="950"/>
    </row>
    <row r="28" spans="2:2" x14ac:dyDescent="0.2">
      <c r="B28" s="950"/>
    </row>
    <row r="29" spans="2:2" x14ac:dyDescent="0.2">
      <c r="B29" s="950"/>
    </row>
    <row r="30" spans="2:2" x14ac:dyDescent="0.2">
      <c r="B30" s="951"/>
    </row>
    <row r="32" spans="2:2" x14ac:dyDescent="0.2">
      <c r="B32" s="1">
        <v>7</v>
      </c>
    </row>
    <row r="33" spans="2:8" x14ac:dyDescent="0.2">
      <c r="B33" s="951"/>
      <c r="C33" s="952"/>
      <c r="H33" s="952"/>
    </row>
    <row r="34" spans="2:8" x14ac:dyDescent="0.2">
      <c r="C34" s="952"/>
      <c r="H34" s="952"/>
    </row>
  </sheetData>
  <sheetProtection sheet="1" objects="1" scenarios="1" selectLockedCells="1"/>
  <mergeCells count="10">
    <mergeCell ref="B22:B30"/>
    <mergeCell ref="H33:H34"/>
    <mergeCell ref="C33:C34"/>
    <mergeCell ref="C1:H1"/>
    <mergeCell ref="B10:B13"/>
    <mergeCell ref="B15:B17"/>
    <mergeCell ref="B19:B20"/>
    <mergeCell ref="B7:B8"/>
    <mergeCell ref="B3:B4"/>
    <mergeCell ref="B32:B33"/>
  </mergeCells>
  <pageMargins left="0.25" right="0.25" top="0.75" bottom="0.75" header="0.3" footer="0.3"/>
  <pageSetup paperSize="9" scale="46" orientation="portrait" cellComments="atEnd" r:id="rId1"/>
  <rowBreaks count="1" manualBreakCount="1">
    <brk id="32"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5">
    <pageSetUpPr fitToPage="1"/>
  </sheetPr>
  <dimension ref="A1:I31"/>
  <sheetViews>
    <sheetView workbookViewId="0"/>
  </sheetViews>
  <sheetFormatPr baseColWidth="10" defaultRowHeight="12.75" x14ac:dyDescent="0.2"/>
  <cols>
    <col min="1" max="1" width="3.85546875" style="40" customWidth="1"/>
    <col min="2" max="2" width="50.28515625" style="40" bestFit="1" customWidth="1"/>
    <col min="3" max="3" width="32.28515625" style="40" bestFit="1" customWidth="1"/>
    <col min="4" max="6" width="5.85546875" style="44" customWidth="1"/>
    <col min="7" max="7" width="15.28515625" style="44" customWidth="1"/>
    <col min="8" max="8" width="41.7109375" style="40" bestFit="1" customWidth="1"/>
    <col min="9" max="16384" width="11.42578125" style="40"/>
  </cols>
  <sheetData>
    <row r="1" spans="1:9" ht="2.25" customHeight="1" x14ac:dyDescent="0.2"/>
    <row r="2" spans="1:9" ht="32.25" customHeight="1" x14ac:dyDescent="0.2">
      <c r="B2" s="135" t="str">
        <f>CATEG_IMPORTEE</f>
        <v>Collèges Mixtes Etablissement</v>
      </c>
      <c r="C2" s="129"/>
    </row>
    <row r="3" spans="1:9" ht="27" customHeight="1" x14ac:dyDescent="0.2">
      <c r="B3" s="175" t="s">
        <v>499</v>
      </c>
      <c r="C3" s="129"/>
      <c r="H3"/>
    </row>
    <row r="4" spans="1:9" ht="5.25" customHeight="1" x14ac:dyDescent="0.2">
      <c r="B4" s="129"/>
      <c r="C4" s="130"/>
    </row>
    <row r="5" spans="1:9" ht="25.5" x14ac:dyDescent="0.2">
      <c r="B5" s="1042" t="s">
        <v>485</v>
      </c>
      <c r="C5" s="1042"/>
    </row>
    <row r="6" spans="1:9" ht="13.5" customHeight="1" x14ac:dyDescent="0.2">
      <c r="G6" s="176"/>
      <c r="H6" s="177" t="s">
        <v>500</v>
      </c>
      <c r="I6" s="294" t="s">
        <v>582</v>
      </c>
    </row>
    <row r="7" spans="1:9" ht="20.25" x14ac:dyDescent="0.2">
      <c r="A7" s="69"/>
      <c r="B7" s="132" t="s">
        <v>0</v>
      </c>
      <c r="C7" s="132" t="s">
        <v>375</v>
      </c>
      <c r="D7" s="1043" t="s">
        <v>486</v>
      </c>
      <c r="E7" s="1043"/>
      <c r="F7" s="1043"/>
      <c r="G7" s="174" t="s">
        <v>501</v>
      </c>
      <c r="H7" s="178" t="s">
        <v>502</v>
      </c>
      <c r="I7" s="295" t="s">
        <v>581</v>
      </c>
    </row>
    <row r="8" spans="1:9" s="134" customFormat="1" ht="15.95" customHeight="1" x14ac:dyDescent="0.2">
      <c r="A8" s="128">
        <v>1</v>
      </c>
      <c r="B8" s="267">
        <f>Etab!B3</f>
        <v>0</v>
      </c>
      <c r="C8" s="267">
        <f>Etab!C3</f>
        <v>0</v>
      </c>
      <c r="D8" s="136">
        <v>1</v>
      </c>
      <c r="E8" s="136">
        <v>2</v>
      </c>
      <c r="F8" s="136"/>
      <c r="G8" s="179" t="str">
        <f>IF(C8=0,"",LOOKUP(C8,taille_cibles))</f>
        <v/>
      </c>
      <c r="H8" s="267">
        <f>IF(H9="","",Qualif!$B9)</f>
        <v>0</v>
      </c>
      <c r="I8" s="296"/>
    </row>
    <row r="9" spans="1:9" s="134" customFormat="1" ht="15.95" customHeight="1" x14ac:dyDescent="0.2">
      <c r="A9" s="133">
        <v>2</v>
      </c>
      <c r="B9" s="267">
        <f>Etab!B4</f>
        <v>0</v>
      </c>
      <c r="C9" s="267">
        <f>Etab!C4</f>
        <v>0</v>
      </c>
      <c r="D9" s="136">
        <v>1</v>
      </c>
      <c r="E9" s="136">
        <v>2</v>
      </c>
      <c r="F9" s="136"/>
      <c r="G9" s="179" t="str">
        <f t="shared" ref="G9:G27" si="0">IF(C9=0,"",LOOKUP(C9,taille_cibles))</f>
        <v/>
      </c>
      <c r="H9" s="267">
        <f>IF(B9="","",Qualif!$B8)</f>
        <v>0</v>
      </c>
      <c r="I9" s="296"/>
    </row>
    <row r="10" spans="1:9" s="134" customFormat="1" ht="15.95" customHeight="1" x14ac:dyDescent="0.2">
      <c r="A10" s="128">
        <v>3</v>
      </c>
      <c r="B10" s="267">
        <f>Etab!B5</f>
        <v>0</v>
      </c>
      <c r="C10" s="267">
        <f>Etab!C5</f>
        <v>0</v>
      </c>
      <c r="D10" s="136">
        <v>3</v>
      </c>
      <c r="E10" s="136">
        <v>4</v>
      </c>
      <c r="F10" s="136"/>
      <c r="G10" s="179" t="str">
        <f t="shared" si="0"/>
        <v/>
      </c>
      <c r="H10" s="267">
        <f>IF(H11="","",Qualif!$B11)</f>
        <v>0</v>
      </c>
      <c r="I10" s="296"/>
    </row>
    <row r="11" spans="1:9" s="134" customFormat="1" ht="15.95" customHeight="1" x14ac:dyDescent="0.2">
      <c r="A11" s="133">
        <v>4</v>
      </c>
      <c r="B11" s="267">
        <f>Etab!B6</f>
        <v>0</v>
      </c>
      <c r="C11" s="267">
        <f>Etab!C6</f>
        <v>0</v>
      </c>
      <c r="D11" s="136">
        <v>3</v>
      </c>
      <c r="E11" s="136">
        <v>4</v>
      </c>
      <c r="F11" s="136"/>
      <c r="G11" s="179" t="str">
        <f t="shared" si="0"/>
        <v/>
      </c>
      <c r="H11" s="267">
        <f>IF(B11="","",Qualif!$B10)</f>
        <v>0</v>
      </c>
      <c r="I11" s="296"/>
    </row>
    <row r="12" spans="1:9" s="134" customFormat="1" ht="15.95" customHeight="1" x14ac:dyDescent="0.2">
      <c r="A12" s="128">
        <v>5</v>
      </c>
      <c r="B12" s="267">
        <f>Etab!B7</f>
        <v>0</v>
      </c>
      <c r="C12" s="267">
        <f>Etab!C7</f>
        <v>0</v>
      </c>
      <c r="D12" s="136">
        <v>5</v>
      </c>
      <c r="E12" s="136">
        <v>6</v>
      </c>
      <c r="F12" s="136"/>
      <c r="G12" s="179" t="str">
        <f t="shared" si="0"/>
        <v/>
      </c>
      <c r="H12" s="267">
        <f>IF(H13="","",Qualif!$B13)</f>
        <v>0</v>
      </c>
      <c r="I12" s="296"/>
    </row>
    <row r="13" spans="1:9" s="134" customFormat="1" ht="15.95" customHeight="1" x14ac:dyDescent="0.2">
      <c r="A13" s="133">
        <v>6</v>
      </c>
      <c r="B13" s="267">
        <f>Etab!B8</f>
        <v>0</v>
      </c>
      <c r="C13" s="267">
        <f>Etab!C8</f>
        <v>0</v>
      </c>
      <c r="D13" s="136">
        <v>5</v>
      </c>
      <c r="E13" s="136">
        <v>6</v>
      </c>
      <c r="F13" s="136"/>
      <c r="G13" s="179" t="str">
        <f t="shared" si="0"/>
        <v/>
      </c>
      <c r="H13" s="267">
        <f>IF(B13="","",Qualif!$B12)</f>
        <v>0</v>
      </c>
      <c r="I13" s="296"/>
    </row>
    <row r="14" spans="1:9" s="134" customFormat="1" ht="15.95" customHeight="1" x14ac:dyDescent="0.2">
      <c r="A14" s="128">
        <v>7</v>
      </c>
      <c r="B14" s="267">
        <f>Etab!B9</f>
        <v>0</v>
      </c>
      <c r="C14" s="267">
        <f>Etab!C9</f>
        <v>0</v>
      </c>
      <c r="D14" s="136">
        <v>7</v>
      </c>
      <c r="E14" s="136">
        <v>8</v>
      </c>
      <c r="F14" s="136"/>
      <c r="G14" s="179" t="str">
        <f t="shared" si="0"/>
        <v/>
      </c>
      <c r="H14" s="267">
        <f>IF(H15="","",Qualif!$B15)</f>
        <v>0</v>
      </c>
      <c r="I14" s="296"/>
    </row>
    <row r="15" spans="1:9" s="134" customFormat="1" ht="15.95" customHeight="1" x14ac:dyDescent="0.2">
      <c r="A15" s="133">
        <v>8</v>
      </c>
      <c r="B15" s="267">
        <f>Etab!B10</f>
        <v>0</v>
      </c>
      <c r="C15" s="267">
        <f>Etab!C10</f>
        <v>0</v>
      </c>
      <c r="D15" s="136">
        <v>7</v>
      </c>
      <c r="E15" s="136">
        <v>8</v>
      </c>
      <c r="F15" s="136"/>
      <c r="G15" s="179" t="str">
        <f t="shared" si="0"/>
        <v/>
      </c>
      <c r="H15" s="267">
        <f>IF(B15="","",Qualif!$B14)</f>
        <v>0</v>
      </c>
      <c r="I15" s="296"/>
    </row>
    <row r="16" spans="1:9" s="134" customFormat="1" ht="15.95" customHeight="1" x14ac:dyDescent="0.2">
      <c r="A16" s="128">
        <v>9</v>
      </c>
      <c r="B16" s="267">
        <f>Etab!B11</f>
        <v>0</v>
      </c>
      <c r="C16" s="267">
        <f>Etab!C11</f>
        <v>0</v>
      </c>
      <c r="D16" s="136">
        <v>9</v>
      </c>
      <c r="E16" s="136">
        <v>10</v>
      </c>
      <c r="F16" s="136"/>
      <c r="G16" s="179" t="str">
        <f t="shared" si="0"/>
        <v/>
      </c>
      <c r="H16" s="267">
        <f>IF(H17="","",Qualif!$B17)</f>
        <v>0</v>
      </c>
      <c r="I16" s="296"/>
    </row>
    <row r="17" spans="1:9" s="134" customFormat="1" ht="15.95" customHeight="1" x14ac:dyDescent="0.2">
      <c r="A17" s="133">
        <v>10</v>
      </c>
      <c r="B17" s="267">
        <f>Etab!B12</f>
        <v>0</v>
      </c>
      <c r="C17" s="267">
        <f>Etab!C12</f>
        <v>0</v>
      </c>
      <c r="D17" s="136">
        <v>9</v>
      </c>
      <c r="E17" s="136">
        <v>10</v>
      </c>
      <c r="F17" s="136"/>
      <c r="G17" s="179" t="str">
        <f t="shared" si="0"/>
        <v/>
      </c>
      <c r="H17" s="267">
        <f>IF(B17="","",Qualif!$B16)</f>
        <v>0</v>
      </c>
      <c r="I17" s="296"/>
    </row>
    <row r="18" spans="1:9" s="134" customFormat="1" ht="15.95" customHeight="1" x14ac:dyDescent="0.2">
      <c r="A18" s="128">
        <v>11</v>
      </c>
      <c r="B18" s="267">
        <f>Etab!B13</f>
        <v>0</v>
      </c>
      <c r="C18" s="267">
        <f>Etab!C13</f>
        <v>0</v>
      </c>
      <c r="D18" s="136">
        <v>11</v>
      </c>
      <c r="E18" s="136">
        <v>12</v>
      </c>
      <c r="F18" s="136"/>
      <c r="G18" s="179" t="str">
        <f t="shared" si="0"/>
        <v/>
      </c>
      <c r="H18" s="267">
        <f>IF(H19="","",Qualif!$B19)</f>
        <v>0</v>
      </c>
      <c r="I18" s="296"/>
    </row>
    <row r="19" spans="1:9" s="134" customFormat="1" ht="15.95" customHeight="1" x14ac:dyDescent="0.2">
      <c r="A19" s="133">
        <v>12</v>
      </c>
      <c r="B19" s="267">
        <f>Etab!B14</f>
        <v>0</v>
      </c>
      <c r="C19" s="267">
        <f>Etab!C14</f>
        <v>0</v>
      </c>
      <c r="D19" s="136">
        <v>11</v>
      </c>
      <c r="E19" s="136">
        <v>12</v>
      </c>
      <c r="F19" s="136"/>
      <c r="G19" s="179" t="str">
        <f t="shared" si="0"/>
        <v/>
      </c>
      <c r="H19" s="267">
        <f>IF(B19="","",Qualif!$B18)</f>
        <v>0</v>
      </c>
      <c r="I19" s="296"/>
    </row>
    <row r="20" spans="1:9" s="134" customFormat="1" ht="15.95" customHeight="1" x14ac:dyDescent="0.2">
      <c r="A20" s="128">
        <v>13</v>
      </c>
      <c r="B20" s="267">
        <f>Etab!B15</f>
        <v>0</v>
      </c>
      <c r="C20" s="267">
        <f>Etab!C15</f>
        <v>0</v>
      </c>
      <c r="D20" s="136">
        <v>13</v>
      </c>
      <c r="E20" s="136">
        <v>14</v>
      </c>
      <c r="F20" s="136"/>
      <c r="G20" s="179" t="str">
        <f t="shared" si="0"/>
        <v/>
      </c>
      <c r="H20" s="267" t="str">
        <f>IF(H21="","",Qualif!$B21)</f>
        <v>COL Collège des Gorges de la Loire 1</v>
      </c>
      <c r="I20" s="296"/>
    </row>
    <row r="21" spans="1:9" s="134" customFormat="1" ht="15.95" customHeight="1" x14ac:dyDescent="0.2">
      <c r="A21" s="133">
        <v>14</v>
      </c>
      <c r="B21" s="267" t="str">
        <f>Etab!B16</f>
        <v>COL Collège des Gorges de la Loire 1</v>
      </c>
      <c r="C21" s="267" t="str">
        <f>Etab!C16</f>
        <v>Aurec-sur-Loire</v>
      </c>
      <c r="D21" s="136">
        <v>13</v>
      </c>
      <c r="E21" s="136">
        <v>14</v>
      </c>
      <c r="F21" s="136"/>
      <c r="G21" s="179" t="e">
        <f t="shared" ca="1" si="0"/>
        <v>#N/A</v>
      </c>
      <c r="H21" s="267">
        <f>IF(B21="","",Qualif!$B20)</f>
        <v>0</v>
      </c>
      <c r="I21" s="296"/>
    </row>
    <row r="22" spans="1:9" s="134" customFormat="1" ht="15.95" customHeight="1" x14ac:dyDescent="0.2">
      <c r="A22" s="128">
        <v>15</v>
      </c>
      <c r="B22" s="267" t="str">
        <f>Etab!B17</f>
        <v>EEA Etablissement régional d'enseignement adapté Joël Jeannot 1</v>
      </c>
      <c r="C22" s="267" t="str">
        <f>Etab!C17</f>
        <v>Trélissac</v>
      </c>
      <c r="D22" s="136">
        <v>15</v>
      </c>
      <c r="E22" s="136">
        <v>16</v>
      </c>
      <c r="F22" s="136"/>
      <c r="G22" s="179">
        <f t="shared" ca="1" si="0"/>
        <v>0</v>
      </c>
      <c r="H22" s="267" t="str">
        <f>IF(H23="","",Qualif!$B23)</f>
        <v>LPO Lycée Catherine et Raymond Janot 1</v>
      </c>
      <c r="I22" s="296"/>
    </row>
    <row r="23" spans="1:9" s="134" customFormat="1" ht="15.95" customHeight="1" x14ac:dyDescent="0.2">
      <c r="A23" s="133">
        <v>16</v>
      </c>
      <c r="B23" s="267" t="str">
        <f>Etab!B18</f>
        <v>LPO Lycée Catherine et Raymond Janot 1</v>
      </c>
      <c r="C23" s="267" t="str">
        <f>Etab!C18</f>
        <v>Sens</v>
      </c>
      <c r="D23" s="136">
        <v>15</v>
      </c>
      <c r="E23" s="136">
        <v>16</v>
      </c>
      <c r="F23" s="136"/>
      <c r="G23" s="179" t="e">
        <f t="shared" ca="1" si="0"/>
        <v>#N/A</v>
      </c>
      <c r="H23" s="267" t="str">
        <f>IF(B23="","",Qualif!$B22)</f>
        <v>EEA Etablissement régional d'enseignement adapté Joël Jeannot 1</v>
      </c>
      <c r="I23" s="296"/>
    </row>
    <row r="24" spans="1:9" s="134" customFormat="1" ht="15.95" customHeight="1" x14ac:dyDescent="0.2">
      <c r="A24" s="128">
        <v>17</v>
      </c>
      <c r="B24" s="267" t="str">
        <f>Etab!B19</f>
        <v>LP Lycée professionnel Maréchal Leclerc de Hauteclocque 1</v>
      </c>
      <c r="C24" s="267" t="str">
        <f>Etab!C19</f>
        <v>Château-du-Loir</v>
      </c>
      <c r="D24" s="136">
        <v>17</v>
      </c>
      <c r="E24" s="136">
        <v>18</v>
      </c>
      <c r="F24" s="136"/>
      <c r="G24" s="179" t="e">
        <f t="shared" ca="1" si="0"/>
        <v>#N/A</v>
      </c>
      <c r="H24" s="267" t="str">
        <f>IF(H25="","",Qualif!$B25)</f>
        <v>LP Lycée professionnel Roz Glas 1</v>
      </c>
      <c r="I24" s="296"/>
    </row>
    <row r="25" spans="1:9" s="134" customFormat="1" ht="15.95" customHeight="1" x14ac:dyDescent="0.2">
      <c r="A25" s="133">
        <v>18</v>
      </c>
      <c r="B25" s="267" t="str">
        <f>Etab!B20</f>
        <v>LP Lycée professionnel Roz Glas 1</v>
      </c>
      <c r="C25" s="267" t="str">
        <f>Etab!C20</f>
        <v>Quimperlé</v>
      </c>
      <c r="D25" s="136">
        <v>17</v>
      </c>
      <c r="E25" s="136">
        <v>18</v>
      </c>
      <c r="F25" s="136"/>
      <c r="G25" s="179" t="e">
        <f t="shared" ca="1" si="0"/>
        <v>#N/A</v>
      </c>
      <c r="H25" s="267" t="str">
        <f>IF(B25="","",Qualif!$B24)</f>
        <v>LP Lycée professionnel Maréchal Leclerc de Hauteclocque 1</v>
      </c>
      <c r="I25" s="296"/>
    </row>
    <row r="26" spans="1:9" s="134" customFormat="1" ht="15.95" customHeight="1" x14ac:dyDescent="0.2">
      <c r="A26" s="128">
        <v>19</v>
      </c>
      <c r="B26" s="267">
        <f>Etab!B21</f>
        <v>0</v>
      </c>
      <c r="C26" s="267">
        <f>Etab!C21</f>
        <v>0</v>
      </c>
      <c r="D26" s="136">
        <v>19</v>
      </c>
      <c r="E26" s="136">
        <v>20</v>
      </c>
      <c r="F26" s="136"/>
      <c r="G26" s="179" t="str">
        <f t="shared" si="0"/>
        <v/>
      </c>
      <c r="H26" s="267">
        <f>IF(H27="","",Qualif!$B27)</f>
        <v>0</v>
      </c>
      <c r="I26" s="296"/>
    </row>
    <row r="27" spans="1:9" s="134" customFormat="1" ht="15.95" customHeight="1" x14ac:dyDescent="0.2">
      <c r="A27" s="133">
        <v>20</v>
      </c>
      <c r="B27" s="267">
        <f>Etab!B22</f>
        <v>0</v>
      </c>
      <c r="C27" s="267">
        <f>Etab!C22</f>
        <v>0</v>
      </c>
      <c r="D27" s="136">
        <v>19</v>
      </c>
      <c r="E27" s="136">
        <v>20</v>
      </c>
      <c r="F27" s="136"/>
      <c r="G27" s="179" t="str">
        <f t="shared" si="0"/>
        <v/>
      </c>
      <c r="H27" s="267">
        <f>IF(B27="","",Qualif!$B26)</f>
        <v>0</v>
      </c>
      <c r="I27" s="296"/>
    </row>
    <row r="28" spans="1:9" s="134" customFormat="1" ht="15.95" customHeight="1" x14ac:dyDescent="0.2">
      <c r="A28" s="128">
        <v>21</v>
      </c>
      <c r="B28" s="267">
        <f>Etab!B23</f>
        <v>0</v>
      </c>
      <c r="C28" s="267">
        <f>Etab!C23</f>
        <v>0</v>
      </c>
      <c r="D28" s="136">
        <v>21</v>
      </c>
      <c r="E28" s="136">
        <v>22</v>
      </c>
      <c r="F28" s="136"/>
      <c r="G28" s="179" t="str">
        <f>IF(C28=0,"",LOOKUP(C28,taille_cibles))</f>
        <v/>
      </c>
      <c r="H28" s="267">
        <f>IF(H29="","",Qualif!$B29)</f>
        <v>0</v>
      </c>
      <c r="I28" s="296"/>
    </row>
    <row r="29" spans="1:9" s="134" customFormat="1" ht="15.95" customHeight="1" x14ac:dyDescent="0.2">
      <c r="A29" s="133">
        <v>22</v>
      </c>
      <c r="B29" s="267">
        <f>Etab!B24</f>
        <v>0</v>
      </c>
      <c r="C29" s="267">
        <f>Etab!C24</f>
        <v>0</v>
      </c>
      <c r="D29" s="136">
        <v>21</v>
      </c>
      <c r="E29" s="136">
        <v>22</v>
      </c>
      <c r="F29" s="136"/>
      <c r="G29" s="179" t="str">
        <f>IF(C29=0,"",LOOKUP(C29,taille_cibles))</f>
        <v/>
      </c>
      <c r="H29" s="267">
        <f>IF(B29="","",Qualif!$B28)</f>
        <v>0</v>
      </c>
      <c r="I29" s="296"/>
    </row>
    <row r="30" spans="1:9" ht="15.75" x14ac:dyDescent="0.2">
      <c r="A30" s="128">
        <v>23</v>
      </c>
      <c r="B30" s="267">
        <f>Etab!B25</f>
        <v>0</v>
      </c>
      <c r="C30" s="267">
        <f>Etab!C25</f>
        <v>0</v>
      </c>
      <c r="D30" s="136">
        <v>23</v>
      </c>
      <c r="E30" s="136">
        <v>24</v>
      </c>
      <c r="F30" s="136"/>
      <c r="G30" s="179" t="str">
        <f>IF(C30=0,"",LOOKUP(C30,taille_cibles))</f>
        <v/>
      </c>
      <c r="H30" s="267">
        <f>IF(H31="","",Qualif!$B31)</f>
        <v>0</v>
      </c>
      <c r="I30" s="296"/>
    </row>
    <row r="31" spans="1:9" ht="15.75" x14ac:dyDescent="0.2">
      <c r="A31" s="133">
        <v>24</v>
      </c>
      <c r="B31" s="267">
        <f>Etab!B26</f>
        <v>0</v>
      </c>
      <c r="C31" s="267">
        <f>Etab!C26</f>
        <v>0</v>
      </c>
      <c r="D31" s="136">
        <v>23</v>
      </c>
      <c r="E31" s="136">
        <v>24</v>
      </c>
      <c r="F31" s="136"/>
      <c r="G31" s="179" t="str">
        <f>IF(C31=0,"",LOOKUP(C31,taille_cibles))</f>
        <v/>
      </c>
      <c r="H31" s="267">
        <f>IF(B31="","",Qualif!$B30)</f>
        <v>0</v>
      </c>
      <c r="I31" s="296"/>
    </row>
  </sheetData>
  <mergeCells count="2">
    <mergeCell ref="B5:C5"/>
    <mergeCell ref="D7:F7"/>
  </mergeCells>
  <phoneticPr fontId="34" type="noConversion"/>
  <pageMargins left="0.78740157499999996" right="0.78740157499999996" top="0.984251969" bottom="0.984251969" header="0.4921259845" footer="0.4921259845"/>
  <pageSetup paperSize="9" scale="8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0"/>
  <dimension ref="A1:K32"/>
  <sheetViews>
    <sheetView workbookViewId="0"/>
  </sheetViews>
  <sheetFormatPr baseColWidth="10" defaultRowHeight="12.75" x14ac:dyDescent="0.2"/>
  <cols>
    <col min="1" max="1" width="5.7109375" customWidth="1"/>
    <col min="2" max="2" width="34.5703125" customWidth="1"/>
    <col min="3" max="3" width="26" bestFit="1" customWidth="1"/>
    <col min="4" max="4" width="21.42578125" customWidth="1"/>
    <col min="5" max="5" width="3.5703125" customWidth="1"/>
    <col min="6" max="6" width="26" bestFit="1" customWidth="1"/>
    <col min="7" max="7" width="13.140625" customWidth="1"/>
    <col min="10" max="10" width="26" bestFit="1" customWidth="1"/>
    <col min="11" max="11" width="2" bestFit="1" customWidth="1"/>
  </cols>
  <sheetData>
    <row r="1" spans="1:11" ht="49.5" customHeight="1" x14ac:dyDescent="0.2">
      <c r="A1" s="2" t="s">
        <v>385</v>
      </c>
      <c r="B1" s="2"/>
      <c r="C1" s="2" t="str">
        <f>CATEG_IMPORTEE</f>
        <v>Collèges Mixtes Etablissement</v>
      </c>
      <c r="F1" s="2" t="s">
        <v>498</v>
      </c>
    </row>
    <row r="2" spans="1:11" x14ac:dyDescent="0.2">
      <c r="A2" s="79" t="s">
        <v>388</v>
      </c>
      <c r="B2" s="80" t="s">
        <v>0</v>
      </c>
      <c r="C2" s="80" t="s">
        <v>375</v>
      </c>
      <c r="D2" s="80" t="s">
        <v>374</v>
      </c>
      <c r="G2" s="67" t="s">
        <v>501</v>
      </c>
      <c r="H2" s="301" t="s">
        <v>583</v>
      </c>
      <c r="J2" t="s">
        <v>583</v>
      </c>
    </row>
    <row r="3" spans="1:11" x14ac:dyDescent="0.2">
      <c r="A3" s="77">
        <v>1</v>
      </c>
      <c r="B3" s="78"/>
      <c r="C3" s="78"/>
      <c r="D3" s="78" t="s">
        <v>861</v>
      </c>
      <c r="F3" s="78"/>
      <c r="G3" s="77"/>
      <c r="H3" s="302"/>
      <c r="J3" t="str">
        <f>IF(F3="","",F3)</f>
        <v/>
      </c>
      <c r="K3" t="str">
        <f>IF(J3="","",H3)</f>
        <v/>
      </c>
    </row>
    <row r="4" spans="1:11" x14ac:dyDescent="0.2">
      <c r="A4" s="77">
        <v>2</v>
      </c>
      <c r="B4" s="78"/>
      <c r="C4" s="78"/>
      <c r="D4" s="78" t="s">
        <v>868</v>
      </c>
      <c r="F4" s="78"/>
      <c r="G4" s="77"/>
      <c r="H4" s="302"/>
      <c r="J4" t="str">
        <f t="shared" ref="J4:J24" si="0">IF(F4="","",F4)</f>
        <v/>
      </c>
      <c r="K4" t="str">
        <f t="shared" ref="K4:K24" si="1">IF(J4="","",H4)</f>
        <v/>
      </c>
    </row>
    <row r="5" spans="1:11" x14ac:dyDescent="0.2">
      <c r="A5" s="77">
        <v>3</v>
      </c>
      <c r="B5" s="78"/>
      <c r="C5" s="78"/>
      <c r="D5" s="78" t="s">
        <v>873</v>
      </c>
      <c r="F5" s="78"/>
      <c r="G5" s="77"/>
      <c r="H5" s="302"/>
      <c r="J5" t="str">
        <f t="shared" si="0"/>
        <v/>
      </c>
      <c r="K5" t="str">
        <f t="shared" si="1"/>
        <v/>
      </c>
    </row>
    <row r="6" spans="1:11" x14ac:dyDescent="0.2">
      <c r="A6" s="77">
        <v>4</v>
      </c>
      <c r="B6" s="78"/>
      <c r="C6" s="78"/>
      <c r="D6" s="78" t="s">
        <v>771</v>
      </c>
      <c r="F6" s="78"/>
      <c r="G6" s="77"/>
      <c r="H6" s="302"/>
      <c r="J6" t="str">
        <f t="shared" si="0"/>
        <v/>
      </c>
      <c r="K6" t="str">
        <f t="shared" si="1"/>
        <v/>
      </c>
    </row>
    <row r="7" spans="1:11" x14ac:dyDescent="0.2">
      <c r="A7" s="77">
        <v>5</v>
      </c>
      <c r="B7" s="78"/>
      <c r="C7" s="78"/>
      <c r="D7" s="78" t="s">
        <v>600</v>
      </c>
      <c r="F7" s="78"/>
      <c r="G7" s="77"/>
      <c r="H7" s="302"/>
      <c r="J7" t="str">
        <f t="shared" si="0"/>
        <v/>
      </c>
      <c r="K7" t="str">
        <f t="shared" si="1"/>
        <v/>
      </c>
    </row>
    <row r="8" spans="1:11" x14ac:dyDescent="0.2">
      <c r="A8" s="77">
        <v>6</v>
      </c>
      <c r="B8" s="78"/>
      <c r="C8" s="78"/>
      <c r="D8" s="78" t="s">
        <v>859</v>
      </c>
      <c r="F8" s="78"/>
      <c r="G8" s="77"/>
      <c r="H8" s="302"/>
      <c r="J8" t="str">
        <f t="shared" si="0"/>
        <v/>
      </c>
      <c r="K8" t="str">
        <f t="shared" si="1"/>
        <v/>
      </c>
    </row>
    <row r="9" spans="1:11" x14ac:dyDescent="0.2">
      <c r="A9" s="77">
        <v>7</v>
      </c>
      <c r="B9" s="78"/>
      <c r="C9" s="78"/>
      <c r="D9" s="78" t="s">
        <v>867</v>
      </c>
      <c r="F9" s="78"/>
      <c r="G9" s="77"/>
      <c r="H9" s="302"/>
      <c r="J9" t="str">
        <f t="shared" si="0"/>
        <v/>
      </c>
      <c r="K9" t="str">
        <f t="shared" si="1"/>
        <v/>
      </c>
    </row>
    <row r="10" spans="1:11" x14ac:dyDescent="0.2">
      <c r="A10" s="77">
        <v>8</v>
      </c>
      <c r="B10" s="78"/>
      <c r="C10" s="78"/>
      <c r="D10" s="78" t="s">
        <v>862</v>
      </c>
      <c r="F10" s="78"/>
      <c r="G10" s="77"/>
      <c r="H10" s="302"/>
      <c r="J10" t="str">
        <f t="shared" si="0"/>
        <v/>
      </c>
      <c r="K10" t="str">
        <f t="shared" si="1"/>
        <v/>
      </c>
    </row>
    <row r="11" spans="1:11" x14ac:dyDescent="0.2">
      <c r="A11" s="77">
        <v>9</v>
      </c>
      <c r="B11" s="78"/>
      <c r="C11" s="78"/>
      <c r="D11" s="78" t="s">
        <v>597</v>
      </c>
      <c r="F11" s="78"/>
      <c r="G11" s="77"/>
      <c r="H11" s="302"/>
      <c r="J11" t="str">
        <f t="shared" si="0"/>
        <v/>
      </c>
      <c r="K11" t="str">
        <f t="shared" si="1"/>
        <v/>
      </c>
    </row>
    <row r="12" spans="1:11" x14ac:dyDescent="0.2">
      <c r="A12" s="77">
        <v>10</v>
      </c>
      <c r="B12" s="78"/>
      <c r="C12" s="78"/>
      <c r="D12" s="78" t="s">
        <v>864</v>
      </c>
      <c r="F12" s="78"/>
      <c r="G12" s="77"/>
      <c r="H12" s="302"/>
      <c r="J12" t="str">
        <f t="shared" si="0"/>
        <v/>
      </c>
      <c r="K12" t="str">
        <f t="shared" si="1"/>
        <v/>
      </c>
    </row>
    <row r="13" spans="1:11" x14ac:dyDescent="0.2">
      <c r="A13" s="77">
        <v>11</v>
      </c>
      <c r="B13" s="78"/>
      <c r="C13" s="78"/>
      <c r="D13" s="78" t="s">
        <v>772</v>
      </c>
      <c r="F13" s="78"/>
      <c r="G13" s="77"/>
      <c r="H13" s="302"/>
      <c r="J13" t="str">
        <f t="shared" si="0"/>
        <v/>
      </c>
      <c r="K13" t="str">
        <f t="shared" si="1"/>
        <v/>
      </c>
    </row>
    <row r="14" spans="1:11" x14ac:dyDescent="0.2">
      <c r="A14" s="77">
        <v>12</v>
      </c>
      <c r="B14" s="78"/>
      <c r="C14" s="78"/>
      <c r="D14" s="78" t="s">
        <v>870</v>
      </c>
      <c r="F14" s="78"/>
      <c r="G14" s="77"/>
      <c r="H14" s="302"/>
      <c r="J14" t="str">
        <f t="shared" si="0"/>
        <v/>
      </c>
      <c r="K14" t="str">
        <f t="shared" si="1"/>
        <v/>
      </c>
    </row>
    <row r="15" spans="1:11" x14ac:dyDescent="0.2">
      <c r="A15" s="77">
        <v>13</v>
      </c>
      <c r="B15" s="78"/>
      <c r="C15" s="78"/>
      <c r="D15" s="78" t="s">
        <v>869</v>
      </c>
      <c r="F15" s="78"/>
      <c r="G15" s="77"/>
      <c r="H15" s="302"/>
      <c r="J15" t="str">
        <f t="shared" si="0"/>
        <v/>
      </c>
      <c r="K15" t="str">
        <f t="shared" si="1"/>
        <v/>
      </c>
    </row>
    <row r="16" spans="1:11" x14ac:dyDescent="0.2">
      <c r="A16" s="77">
        <v>14</v>
      </c>
      <c r="B16" s="78" t="s">
        <v>1265</v>
      </c>
      <c r="C16" s="78" t="s">
        <v>1264</v>
      </c>
      <c r="D16" s="78" t="s">
        <v>859</v>
      </c>
      <c r="F16" s="78"/>
      <c r="G16" s="77"/>
      <c r="H16" s="302"/>
      <c r="J16" t="str">
        <f t="shared" si="0"/>
        <v/>
      </c>
      <c r="K16" t="str">
        <f t="shared" si="1"/>
        <v/>
      </c>
    </row>
    <row r="17" spans="1:11" x14ac:dyDescent="0.2">
      <c r="A17" s="77">
        <v>15</v>
      </c>
      <c r="B17" s="78" t="s">
        <v>1259</v>
      </c>
      <c r="C17" s="78" t="s">
        <v>1255</v>
      </c>
      <c r="D17" s="78" t="s">
        <v>857</v>
      </c>
      <c r="F17" s="78"/>
      <c r="G17" s="77"/>
      <c r="H17" s="302"/>
      <c r="J17" t="str">
        <f t="shared" si="0"/>
        <v/>
      </c>
      <c r="K17" t="str">
        <f t="shared" si="1"/>
        <v/>
      </c>
    </row>
    <row r="18" spans="1:11" x14ac:dyDescent="0.2">
      <c r="A18" s="77">
        <v>16</v>
      </c>
      <c r="B18" s="78" t="s">
        <v>1260</v>
      </c>
      <c r="C18" s="78" t="s">
        <v>1256</v>
      </c>
      <c r="D18" s="78" t="s">
        <v>862</v>
      </c>
      <c r="F18" s="78"/>
      <c r="G18" s="77"/>
      <c r="H18" s="302"/>
      <c r="J18" t="str">
        <f t="shared" si="0"/>
        <v/>
      </c>
      <c r="K18" t="str">
        <f t="shared" si="1"/>
        <v/>
      </c>
    </row>
    <row r="19" spans="1:11" x14ac:dyDescent="0.2">
      <c r="A19" s="77">
        <v>17</v>
      </c>
      <c r="B19" s="78" t="s">
        <v>1261</v>
      </c>
      <c r="C19" s="78" t="s">
        <v>1257</v>
      </c>
      <c r="D19" s="78" t="s">
        <v>868</v>
      </c>
      <c r="F19" s="78"/>
      <c r="G19" s="77"/>
      <c r="H19" s="302"/>
      <c r="J19" t="str">
        <f t="shared" si="0"/>
        <v/>
      </c>
      <c r="K19" t="str">
        <f t="shared" si="1"/>
        <v/>
      </c>
    </row>
    <row r="20" spans="1:11" x14ac:dyDescent="0.2">
      <c r="A20" s="77">
        <v>18</v>
      </c>
      <c r="B20" s="78" t="s">
        <v>1262</v>
      </c>
      <c r="C20" s="78" t="s">
        <v>1258</v>
      </c>
      <c r="D20" s="78" t="s">
        <v>871</v>
      </c>
      <c r="F20" s="78"/>
      <c r="G20" s="77"/>
      <c r="H20" s="302"/>
      <c r="J20" t="str">
        <f t="shared" si="0"/>
        <v/>
      </c>
      <c r="K20" t="str">
        <f t="shared" si="1"/>
        <v/>
      </c>
    </row>
    <row r="21" spans="1:11" x14ac:dyDescent="0.2">
      <c r="A21" s="77">
        <v>19</v>
      </c>
      <c r="B21" s="78"/>
      <c r="C21" s="78"/>
      <c r="D21" s="78"/>
      <c r="F21" s="78"/>
      <c r="G21" s="77"/>
      <c r="H21" s="302"/>
      <c r="J21" t="str">
        <f t="shared" si="0"/>
        <v/>
      </c>
      <c r="K21" t="str">
        <f t="shared" si="1"/>
        <v/>
      </c>
    </row>
    <row r="22" spans="1:11" x14ac:dyDescent="0.2">
      <c r="A22" s="77">
        <v>20</v>
      </c>
      <c r="B22" s="78"/>
      <c r="C22" s="78"/>
      <c r="D22" s="78"/>
      <c r="F22" s="78"/>
      <c r="G22" s="77"/>
      <c r="H22" s="302"/>
      <c r="J22" t="str">
        <f t="shared" si="0"/>
        <v/>
      </c>
      <c r="K22" t="str">
        <f t="shared" si="1"/>
        <v/>
      </c>
    </row>
    <row r="23" spans="1:11" x14ac:dyDescent="0.2">
      <c r="A23" s="77">
        <v>21</v>
      </c>
      <c r="B23" s="78"/>
      <c r="C23" s="78"/>
      <c r="D23" s="78"/>
      <c r="F23" s="78"/>
      <c r="G23" s="77"/>
      <c r="H23" s="302"/>
      <c r="J23" t="str">
        <f t="shared" si="0"/>
        <v/>
      </c>
      <c r="K23" t="str">
        <f t="shared" si="1"/>
        <v/>
      </c>
    </row>
    <row r="24" spans="1:11" x14ac:dyDescent="0.2">
      <c r="A24" s="77">
        <v>22</v>
      </c>
      <c r="B24" s="78"/>
      <c r="C24" s="78"/>
      <c r="D24" s="78"/>
      <c r="F24" s="78"/>
      <c r="G24" s="77"/>
      <c r="H24" s="302"/>
      <c r="J24" t="str">
        <f t="shared" si="0"/>
        <v/>
      </c>
      <c r="K24" t="str">
        <f t="shared" si="1"/>
        <v/>
      </c>
    </row>
    <row r="25" spans="1:11" x14ac:dyDescent="0.2">
      <c r="A25" s="77">
        <v>23</v>
      </c>
      <c r="B25" s="78"/>
      <c r="C25" s="78"/>
      <c r="D25" s="78"/>
      <c r="F25" s="78"/>
      <c r="G25" s="77"/>
      <c r="H25" s="302"/>
    </row>
    <row r="26" spans="1:11" x14ac:dyDescent="0.2">
      <c r="A26" s="77">
        <v>24</v>
      </c>
      <c r="B26" s="78"/>
      <c r="C26" s="78"/>
      <c r="D26" s="78"/>
      <c r="F26" s="78"/>
      <c r="G26" s="77"/>
      <c r="H26" s="302"/>
    </row>
    <row r="27" spans="1:11" x14ac:dyDescent="0.2">
      <c r="A27" s="151"/>
      <c r="B27" s="152"/>
      <c r="C27" s="152"/>
      <c r="D27" s="152"/>
    </row>
    <row r="28" spans="1:11" x14ac:dyDescent="0.2">
      <c r="A28" s="151"/>
      <c r="B28" s="152"/>
      <c r="C28" s="152"/>
      <c r="D28" s="152"/>
      <c r="G28" s="3"/>
      <c r="H28" s="3"/>
      <c r="I28" s="3"/>
      <c r="J28" s="3"/>
    </row>
    <row r="29" spans="1:11" x14ac:dyDescent="0.2">
      <c r="A29" s="151"/>
      <c r="B29" s="152"/>
      <c r="C29" s="152"/>
      <c r="D29" s="152"/>
      <c r="G29" s="3"/>
      <c r="H29" s="3"/>
      <c r="I29" s="3"/>
      <c r="J29" s="3"/>
    </row>
    <row r="30" spans="1:11" x14ac:dyDescent="0.2">
      <c r="A30" s="151"/>
      <c r="B30" s="152"/>
      <c r="C30" s="152"/>
      <c r="D30" s="152"/>
      <c r="F30" s="3"/>
      <c r="G30" s="3"/>
      <c r="H30" s="3"/>
      <c r="I30" s="3"/>
      <c r="J30" s="3"/>
    </row>
    <row r="31" spans="1:11" x14ac:dyDescent="0.2">
      <c r="A31" s="151"/>
      <c r="B31" s="152"/>
      <c r="C31" s="152"/>
      <c r="D31" s="152"/>
      <c r="F31" s="3"/>
      <c r="G31" s="3"/>
      <c r="H31" s="3"/>
      <c r="I31" s="3"/>
      <c r="J31" s="3"/>
    </row>
    <row r="32" spans="1:11" x14ac:dyDescent="0.2">
      <c r="A32" s="151"/>
      <c r="B32" s="152"/>
      <c r="C32" s="152"/>
      <c r="D32" s="152"/>
    </row>
  </sheetData>
  <sortState xmlns:xlrd2="http://schemas.microsoft.com/office/spreadsheetml/2017/richdata2" ref="F3:G26">
    <sortCondition ref="F3"/>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6">
    <tabColor indexed="11"/>
    <pageSetUpPr fitToPage="1"/>
  </sheetPr>
  <dimension ref="A1:G29"/>
  <sheetViews>
    <sheetView topLeftCell="A2" workbookViewId="0">
      <selection activeCell="B9" sqref="B9"/>
    </sheetView>
  </sheetViews>
  <sheetFormatPr baseColWidth="10" defaultRowHeight="12.75" x14ac:dyDescent="0.2"/>
  <cols>
    <col min="1" max="1" width="39.140625" customWidth="1"/>
    <col min="2" max="2" width="33" customWidth="1"/>
    <col min="3" max="3" width="25.28515625" customWidth="1"/>
    <col min="4" max="4" width="9.28515625" customWidth="1"/>
    <col min="5" max="5" width="8.42578125" customWidth="1"/>
    <col min="6" max="6" width="1.7109375" customWidth="1"/>
    <col min="7" max="7" width="3" bestFit="1" customWidth="1"/>
  </cols>
  <sheetData>
    <row r="1" spans="1:7" ht="3" customHeight="1" x14ac:dyDescent="0.2"/>
    <row r="2" spans="1:7" ht="30" x14ac:dyDescent="0.4">
      <c r="A2" s="142" t="str">
        <f>CATEG_IMPORTEE</f>
        <v>Collèges Mixtes Etablissement</v>
      </c>
    </row>
    <row r="3" spans="1:7" ht="25.5" x14ac:dyDescent="0.35">
      <c r="A3" s="1044" t="s">
        <v>490</v>
      </c>
      <c r="B3" s="1045"/>
    </row>
    <row r="4" spans="1:7" ht="25.5" x14ac:dyDescent="0.35">
      <c r="A4" s="101" t="s">
        <v>41</v>
      </c>
    </row>
    <row r="5" spans="1:7" ht="26.25" x14ac:dyDescent="0.4">
      <c r="A5" s="1046" t="s">
        <v>49</v>
      </c>
      <c r="B5" s="1046"/>
    </row>
    <row r="6" spans="1:7" ht="4.5" customHeight="1" x14ac:dyDescent="0.35">
      <c r="B6" s="101"/>
    </row>
    <row r="7" spans="1:7" ht="23.25" customHeight="1" x14ac:dyDescent="0.3">
      <c r="A7" s="102" t="s">
        <v>0</v>
      </c>
      <c r="B7" s="102" t="s">
        <v>375</v>
      </c>
      <c r="C7" s="102" t="s">
        <v>374</v>
      </c>
      <c r="D7" s="102" t="s">
        <v>8</v>
      </c>
      <c r="E7" s="102" t="s">
        <v>16</v>
      </c>
    </row>
    <row r="8" spans="1:7" ht="16.5" x14ac:dyDescent="0.25">
      <c r="A8" s="268" t="str">
        <f>'Classement Pair'!A10</f>
        <v/>
      </c>
      <c r="B8" s="268" t="str">
        <f>'Classement Pair'!B10</f>
        <v/>
      </c>
      <c r="C8" s="268" t="str">
        <f>'Classement Pair'!C10</f>
        <v/>
      </c>
      <c r="D8" s="269" t="str">
        <f>'Classement Pair'!D10</f>
        <v/>
      </c>
      <c r="E8" s="141" t="str">
        <f>'Classement Pair'!E10</f>
        <v/>
      </c>
      <c r="G8">
        <v>1</v>
      </c>
    </row>
    <row r="9" spans="1:7" ht="16.5" x14ac:dyDescent="0.25">
      <c r="A9" s="268" t="str">
        <f>'Classement Pair'!A11</f>
        <v/>
      </c>
      <c r="B9" s="268" t="str">
        <f>'Classement Pair'!B11</f>
        <v/>
      </c>
      <c r="C9" s="268" t="str">
        <f>'Classement Pair'!C11</f>
        <v/>
      </c>
      <c r="D9" s="269" t="str">
        <f>'Classement Pair'!D11</f>
        <v/>
      </c>
      <c r="E9" s="141" t="str">
        <f>'Classement Pair'!E11</f>
        <v/>
      </c>
      <c r="G9">
        <v>2</v>
      </c>
    </row>
    <row r="10" spans="1:7" ht="16.5" x14ac:dyDescent="0.25">
      <c r="A10" s="268" t="str">
        <f>'Classement Pair'!A12</f>
        <v/>
      </c>
      <c r="B10" s="268" t="str">
        <f>'Classement Pair'!B12</f>
        <v/>
      </c>
      <c r="C10" s="268" t="str">
        <f>'Classement Pair'!C12</f>
        <v/>
      </c>
      <c r="D10" s="269" t="str">
        <f>'Classement Pair'!D12</f>
        <v/>
      </c>
      <c r="E10" s="141" t="str">
        <f>'Classement Pair'!E12</f>
        <v/>
      </c>
      <c r="G10">
        <v>3</v>
      </c>
    </row>
    <row r="11" spans="1:7" ht="16.5" x14ac:dyDescent="0.25">
      <c r="A11" s="268" t="str">
        <f>'Classement Pair'!A13</f>
        <v/>
      </c>
      <c r="B11" s="268" t="str">
        <f>'Classement Pair'!B13</f>
        <v/>
      </c>
      <c r="C11" s="268" t="str">
        <f>'Classement Pair'!C13</f>
        <v/>
      </c>
      <c r="D11" s="269" t="str">
        <f>'Classement Pair'!D13</f>
        <v/>
      </c>
      <c r="E11" s="141" t="str">
        <f>'Classement Pair'!E13</f>
        <v/>
      </c>
      <c r="G11">
        <v>4</v>
      </c>
    </row>
    <row r="12" spans="1:7" ht="16.5" x14ac:dyDescent="0.25">
      <c r="A12" s="268" t="str">
        <f>'Classement Pair'!A14</f>
        <v/>
      </c>
      <c r="B12" s="268" t="str">
        <f>'Classement Pair'!B14</f>
        <v/>
      </c>
      <c r="C12" s="268" t="str">
        <f>'Classement Pair'!C14</f>
        <v/>
      </c>
      <c r="D12" s="269" t="str">
        <f>'Classement Pair'!D14</f>
        <v/>
      </c>
      <c r="E12" s="141" t="str">
        <f>'Classement Pair'!E14</f>
        <v/>
      </c>
      <c r="G12">
        <v>5</v>
      </c>
    </row>
    <row r="13" spans="1:7" ht="16.5" x14ac:dyDescent="0.25">
      <c r="A13" s="268" t="str">
        <f>'Classement Pair'!A15</f>
        <v/>
      </c>
      <c r="B13" s="268" t="str">
        <f>'Classement Pair'!B15</f>
        <v/>
      </c>
      <c r="C13" s="268" t="str">
        <f>'Classement Pair'!C15</f>
        <v/>
      </c>
      <c r="D13" s="269" t="str">
        <f>'Classement Pair'!D15</f>
        <v/>
      </c>
      <c r="E13" s="141" t="str">
        <f>'Classement Pair'!E15</f>
        <v/>
      </c>
      <c r="G13">
        <v>6</v>
      </c>
    </row>
    <row r="14" spans="1:7" ht="16.5" x14ac:dyDescent="0.25">
      <c r="A14" s="268" t="str">
        <f>'Classement Pair'!A16</f>
        <v/>
      </c>
      <c r="B14" s="268" t="str">
        <f>'Classement Pair'!B16</f>
        <v/>
      </c>
      <c r="C14" s="268" t="str">
        <f>'Classement Pair'!C16</f>
        <v/>
      </c>
      <c r="D14" s="269" t="str">
        <f>'Classement Pair'!D16</f>
        <v/>
      </c>
      <c r="E14" s="141" t="str">
        <f>'Classement Pair'!E16</f>
        <v/>
      </c>
      <c r="G14">
        <v>7</v>
      </c>
    </row>
    <row r="15" spans="1:7" ht="16.5" x14ac:dyDescent="0.25">
      <c r="A15" s="268" t="str">
        <f>'Classement Pair'!A17</f>
        <v/>
      </c>
      <c r="B15" s="268" t="str">
        <f>'Classement Pair'!B17</f>
        <v/>
      </c>
      <c r="C15" s="268" t="str">
        <f>'Classement Pair'!C17</f>
        <v/>
      </c>
      <c r="D15" s="269" t="str">
        <f>'Classement Pair'!D17</f>
        <v/>
      </c>
      <c r="E15" s="141" t="str">
        <f>'Classement Pair'!E17</f>
        <v/>
      </c>
      <c r="G15">
        <v>8</v>
      </c>
    </row>
    <row r="16" spans="1:7" ht="16.5" x14ac:dyDescent="0.25">
      <c r="A16" s="268" t="str">
        <f>'Classement Pair'!A18</f>
        <v/>
      </c>
      <c r="B16" s="268" t="str">
        <f>'Classement Pair'!B18</f>
        <v/>
      </c>
      <c r="C16" s="268" t="str">
        <f>'Classement Pair'!C18</f>
        <v/>
      </c>
      <c r="D16" s="269" t="str">
        <f>'Classement Pair'!D18</f>
        <v/>
      </c>
      <c r="E16" s="141" t="str">
        <f>'Classement Pair'!E18</f>
        <v/>
      </c>
      <c r="G16">
        <v>9</v>
      </c>
    </row>
    <row r="17" spans="1:7" ht="16.5" x14ac:dyDescent="0.25">
      <c r="A17" s="268" t="str">
        <f>'Classement Pair'!A19</f>
        <v/>
      </c>
      <c r="B17" s="268" t="str">
        <f>'Classement Pair'!B19</f>
        <v/>
      </c>
      <c r="C17" s="268" t="str">
        <f>'Classement Pair'!C19</f>
        <v/>
      </c>
      <c r="D17" s="269" t="str">
        <f>'Classement Pair'!D19</f>
        <v/>
      </c>
      <c r="E17" s="141" t="str">
        <f>'Classement Pair'!E19</f>
        <v/>
      </c>
      <c r="G17">
        <v>10</v>
      </c>
    </row>
    <row r="18" spans="1:7" ht="16.5" x14ac:dyDescent="0.25">
      <c r="A18" s="268" t="str">
        <f>'Classement Pair'!A20</f>
        <v/>
      </c>
      <c r="B18" s="268" t="str">
        <f>'Classement Pair'!B20</f>
        <v/>
      </c>
      <c r="C18" s="268" t="str">
        <f>'Classement Pair'!C20</f>
        <v/>
      </c>
      <c r="D18" s="269" t="str">
        <f>'Classement Pair'!D20</f>
        <v/>
      </c>
      <c r="E18" s="141" t="str">
        <f>'Classement Pair'!E20</f>
        <v/>
      </c>
      <c r="G18">
        <v>11</v>
      </c>
    </row>
    <row r="19" spans="1:7" ht="16.5" x14ac:dyDescent="0.25">
      <c r="A19" s="268" t="str">
        <f>'Classement Pair'!A21</f>
        <v/>
      </c>
      <c r="B19" s="268" t="str">
        <f>'Classement Pair'!B21</f>
        <v/>
      </c>
      <c r="C19" s="268" t="str">
        <f>'Classement Pair'!C21</f>
        <v/>
      </c>
      <c r="D19" s="269" t="str">
        <f>'Classement Pair'!D21</f>
        <v/>
      </c>
      <c r="E19" s="141" t="str">
        <f>'Classement Pair'!E21</f>
        <v/>
      </c>
      <c r="G19">
        <v>12</v>
      </c>
    </row>
    <row r="20" spans="1:7" ht="16.5" x14ac:dyDescent="0.25">
      <c r="A20" s="268" t="str">
        <f>'Classement Pair'!A22</f>
        <v/>
      </c>
      <c r="B20" s="268" t="str">
        <f>'Classement Pair'!B22</f>
        <v/>
      </c>
      <c r="C20" s="268" t="str">
        <f>'Classement Pair'!C22</f>
        <v/>
      </c>
      <c r="D20" s="269" t="str">
        <f>'Classement Pair'!D22</f>
        <v/>
      </c>
      <c r="E20" s="141" t="str">
        <f>'Classement Pair'!E22</f>
        <v/>
      </c>
      <c r="G20">
        <v>13</v>
      </c>
    </row>
    <row r="21" spans="1:7" ht="16.5" x14ac:dyDescent="0.25">
      <c r="A21" s="268" t="str">
        <f>'Classement Pair'!A23</f>
        <v/>
      </c>
      <c r="B21" s="268" t="str">
        <f>'Classement Pair'!B23</f>
        <v/>
      </c>
      <c r="C21" s="268" t="str">
        <f>'Classement Pair'!C23</f>
        <v/>
      </c>
      <c r="D21" s="269" t="str">
        <f>'Classement Pair'!D23</f>
        <v/>
      </c>
      <c r="E21" s="141" t="str">
        <f>'Classement Pair'!E23</f>
        <v/>
      </c>
      <c r="G21">
        <v>14</v>
      </c>
    </row>
    <row r="22" spans="1:7" ht="16.5" x14ac:dyDescent="0.25">
      <c r="A22" s="268" t="str">
        <f>'Classement Pair'!A24</f>
        <v/>
      </c>
      <c r="B22" s="268" t="str">
        <f>'Classement Pair'!B24</f>
        <v/>
      </c>
      <c r="C22" s="268" t="str">
        <f>'Classement Pair'!C24</f>
        <v/>
      </c>
      <c r="D22" s="269" t="str">
        <f>'Classement Pair'!D24</f>
        <v/>
      </c>
      <c r="E22" s="141" t="str">
        <f>'Classement Pair'!E24</f>
        <v/>
      </c>
      <c r="G22">
        <v>15</v>
      </c>
    </row>
    <row r="23" spans="1:7" ht="16.5" x14ac:dyDescent="0.25">
      <c r="A23" s="268" t="str">
        <f>'Classement Pair'!A25</f>
        <v/>
      </c>
      <c r="B23" s="268" t="str">
        <f>'Classement Pair'!B25</f>
        <v/>
      </c>
      <c r="C23" s="268" t="str">
        <f>'Classement Pair'!C25</f>
        <v/>
      </c>
      <c r="D23" s="269" t="str">
        <f>'Classement Pair'!D25</f>
        <v/>
      </c>
      <c r="E23" s="141" t="str">
        <f>'Classement Pair'!E25</f>
        <v/>
      </c>
      <c r="G23">
        <v>16</v>
      </c>
    </row>
    <row r="24" spans="1:7" ht="16.5" x14ac:dyDescent="0.25">
      <c r="A24" s="268" t="str">
        <f>'Classement Pair'!A26</f>
        <v/>
      </c>
      <c r="B24" s="268" t="str">
        <f>'Classement Pair'!B26</f>
        <v/>
      </c>
      <c r="C24" s="268" t="str">
        <f>'Classement Pair'!C26</f>
        <v/>
      </c>
      <c r="D24" s="269" t="str">
        <f>'Classement Pair'!D26</f>
        <v/>
      </c>
      <c r="E24" s="141" t="str">
        <f>'Classement Pair'!E26</f>
        <v/>
      </c>
      <c r="G24">
        <v>17</v>
      </c>
    </row>
    <row r="25" spans="1:7" ht="16.5" x14ac:dyDescent="0.25">
      <c r="A25" s="268" t="str">
        <f>'Classement Pair'!A27</f>
        <v/>
      </c>
      <c r="B25" s="268" t="str">
        <f>'Classement Pair'!B27</f>
        <v/>
      </c>
      <c r="C25" s="268" t="str">
        <f>'Classement Pair'!C27</f>
        <v/>
      </c>
      <c r="D25" s="269" t="str">
        <f>'Classement Pair'!D27</f>
        <v/>
      </c>
      <c r="E25" s="141" t="str">
        <f>'Classement Pair'!E27</f>
        <v/>
      </c>
      <c r="G25">
        <v>18</v>
      </c>
    </row>
    <row r="26" spans="1:7" ht="16.5" x14ac:dyDescent="0.25">
      <c r="A26" s="268" t="str">
        <f>'Classement Pair'!A28</f>
        <v/>
      </c>
      <c r="B26" s="268" t="str">
        <f>'Classement Pair'!B28</f>
        <v/>
      </c>
      <c r="C26" s="268" t="str">
        <f>'Classement Pair'!C28</f>
        <v/>
      </c>
      <c r="D26" s="269" t="str">
        <f>'Classement Pair'!D28</f>
        <v/>
      </c>
      <c r="E26" s="141" t="str">
        <f>'Classement Pair'!E28</f>
        <v/>
      </c>
      <c r="G26">
        <v>19</v>
      </c>
    </row>
    <row r="27" spans="1:7" ht="16.5" x14ac:dyDescent="0.25">
      <c r="A27" s="268" t="str">
        <f>'Classement Pair'!A29</f>
        <v/>
      </c>
      <c r="B27" s="268" t="str">
        <f>'Classement Pair'!B29</f>
        <v/>
      </c>
      <c r="C27" s="268" t="str">
        <f>'Classement Pair'!C29</f>
        <v/>
      </c>
      <c r="D27" s="269" t="str">
        <f>'Classement Pair'!D29</f>
        <v/>
      </c>
      <c r="E27" s="141" t="str">
        <f>'Classement Pair'!E29</f>
        <v/>
      </c>
      <c r="G27">
        <v>20</v>
      </c>
    </row>
    <row r="28" spans="1:7" ht="16.5" x14ac:dyDescent="0.25">
      <c r="A28" s="268" t="str">
        <f>'Classement Pair'!A30</f>
        <v/>
      </c>
      <c r="B28" s="268" t="str">
        <f>'Classement Pair'!B30</f>
        <v/>
      </c>
      <c r="C28" s="268" t="str">
        <f>'Classement Pair'!C30</f>
        <v/>
      </c>
      <c r="D28" s="269" t="str">
        <f>'Classement Pair'!D30</f>
        <v/>
      </c>
      <c r="E28" s="141" t="str">
        <f>'Classement Pair'!E30</f>
        <v/>
      </c>
      <c r="G28">
        <v>21</v>
      </c>
    </row>
    <row r="29" spans="1:7" ht="16.5" x14ac:dyDescent="0.25">
      <c r="A29" s="268" t="str">
        <f>'Classement Pair'!A31</f>
        <v/>
      </c>
      <c r="B29" s="268" t="str">
        <f>'Classement Pair'!B31</f>
        <v/>
      </c>
      <c r="C29" s="268" t="str">
        <f>'Classement Pair'!C31</f>
        <v/>
      </c>
      <c r="D29" s="269" t="str">
        <f>'Classement Pair'!D31</f>
        <v/>
      </c>
      <c r="E29" s="141" t="str">
        <f>'Classement Pair'!E31</f>
        <v/>
      </c>
      <c r="G29">
        <v>22</v>
      </c>
    </row>
  </sheetData>
  <mergeCells count="2">
    <mergeCell ref="A3:B3"/>
    <mergeCell ref="A5:B5"/>
  </mergeCells>
  <phoneticPr fontId="34" type="noConversion"/>
  <pageMargins left="0.78740157480314965" right="0.78740157480314965" top="0.39370078740157483" bottom="0.39370078740157483" header="0.51181102362204722" footer="0.51181102362204722"/>
  <pageSetup paperSize="9" fitToWidth="2"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1">
    <tabColor indexed="52"/>
    <pageSetUpPr fitToPage="1"/>
  </sheetPr>
  <dimension ref="B1:EM78"/>
  <sheetViews>
    <sheetView showZeros="0" workbookViewId="0">
      <pane ySplit="6" topLeftCell="A7" activePane="bottomLeft" state="frozenSplit"/>
      <selection activeCell="L21" sqref="L21"/>
      <selection pane="bottomLeft" activeCell="D8" sqref="D8"/>
    </sheetView>
  </sheetViews>
  <sheetFormatPr baseColWidth="10" defaultRowHeight="12.75" x14ac:dyDescent="0.2"/>
  <cols>
    <col min="1" max="1" width="1.42578125" customWidth="1"/>
    <col min="2" max="2" width="3" bestFit="1" customWidth="1"/>
    <col min="3" max="3" width="2" style="72" bestFit="1" customWidth="1"/>
    <col min="4" max="4" width="29" customWidth="1"/>
    <col min="5" max="5" width="5.42578125" customWidth="1"/>
    <col min="6" max="6" width="6.7109375" customWidth="1"/>
    <col min="7" max="7" width="29" customWidth="1"/>
    <col min="8" max="8" width="5.85546875" customWidth="1"/>
    <col min="9" max="9" width="6.140625" customWidth="1"/>
    <col min="10" max="10" width="29" customWidth="1"/>
    <col min="11" max="11" width="5.42578125" customWidth="1"/>
    <col min="12" max="12" width="6.140625" customWidth="1"/>
    <col min="13" max="13" width="23" style="110" bestFit="1" customWidth="1"/>
    <col min="14" max="14" width="3.5703125" style="73" bestFit="1" customWidth="1"/>
    <col min="15" max="15" width="2.7109375" customWidth="1"/>
    <col min="16" max="16" width="4.28515625" customWidth="1"/>
    <col min="17" max="17" width="3.5703125" bestFit="1" customWidth="1"/>
    <col min="27" max="27" width="4.5703125" style="5" bestFit="1" customWidth="1"/>
    <col min="28" max="28" width="3.7109375" bestFit="1" customWidth="1"/>
    <col min="29" max="29" width="3.85546875" customWidth="1"/>
    <col min="30" max="30" width="19.85546875" customWidth="1"/>
    <col min="31" max="31" width="5.42578125" customWidth="1"/>
    <col min="32" max="32" width="6.7109375" customWidth="1"/>
    <col min="33" max="33" width="19.85546875" customWidth="1"/>
    <col min="34" max="34" width="5.85546875" customWidth="1"/>
    <col min="35" max="35" width="6.140625" customWidth="1"/>
    <col min="36" max="36" width="19.85546875" customWidth="1"/>
    <col min="37" max="37" width="5.42578125" customWidth="1"/>
    <col min="38" max="38" width="6.140625" customWidth="1"/>
    <col min="39" max="39" width="23" style="110" bestFit="1" customWidth="1"/>
    <col min="40" max="40" width="3.5703125" style="73" bestFit="1" customWidth="1"/>
    <col min="41" max="41" width="4.5703125" customWidth="1"/>
    <col min="42" max="42" width="6.85546875" bestFit="1" customWidth="1"/>
    <col min="43" max="43" width="19.85546875" customWidth="1"/>
    <col min="44" max="44" width="5.42578125" customWidth="1"/>
    <col min="45" max="45" width="6.7109375" customWidth="1"/>
    <col min="46" max="46" width="19.85546875" customWidth="1"/>
    <col min="47" max="47" width="5.85546875" customWidth="1"/>
    <col min="48" max="48" width="6.140625" customWidth="1"/>
    <col min="49" max="49" width="19.85546875" customWidth="1"/>
    <col min="50" max="50" width="5.42578125" customWidth="1"/>
    <col min="51" max="51" width="6.140625" customWidth="1"/>
    <col min="52" max="52" width="23" style="110" bestFit="1" customWidth="1"/>
    <col min="53" max="53" width="2.7109375" customWidth="1"/>
    <col min="54" max="54" width="4.5703125" customWidth="1"/>
    <col min="55" max="55" width="6.85546875" bestFit="1" customWidth="1"/>
    <col min="56" max="56" width="19.85546875" customWidth="1"/>
    <col min="57" max="57" width="5.42578125" customWidth="1"/>
    <col min="58" max="58" width="6.7109375" customWidth="1"/>
    <col min="59" max="59" width="19.85546875" customWidth="1"/>
    <col min="60" max="60" width="5.85546875" customWidth="1"/>
    <col min="61" max="61" width="6.140625" customWidth="1"/>
    <col min="62" max="62" width="19.85546875" customWidth="1"/>
    <col min="63" max="63" width="5.42578125" customWidth="1"/>
    <col min="64" max="64" width="6.140625" customWidth="1"/>
    <col min="65" max="65" width="23" style="110" bestFit="1" customWidth="1"/>
    <col min="66" max="66" width="5.5703125" customWidth="1"/>
    <col min="67" max="67" width="4.5703125" customWidth="1"/>
    <col min="68" max="68" width="6.85546875" bestFit="1" customWidth="1"/>
    <col min="69" max="69" width="19.85546875" customWidth="1"/>
    <col min="70" max="70" width="5.42578125" customWidth="1"/>
    <col min="71" max="71" width="6.7109375" customWidth="1"/>
    <col min="72" max="72" width="19.85546875" customWidth="1"/>
    <col min="73" max="73" width="5.85546875" customWidth="1"/>
    <col min="74" max="74" width="6.140625" customWidth="1"/>
    <col min="75" max="75" width="19.85546875" customWidth="1"/>
    <col min="76" max="76" width="5.42578125" customWidth="1"/>
    <col min="77" max="77" width="6.140625" customWidth="1"/>
    <col min="78" max="78" width="23" style="110" bestFit="1" customWidth="1"/>
    <col min="79" max="79" width="5" customWidth="1"/>
    <col min="80" max="80" width="4.5703125" customWidth="1"/>
    <col min="81" max="81" width="6.85546875" bestFit="1" customWidth="1"/>
    <col min="82" max="82" width="19.85546875" customWidth="1"/>
    <col min="83" max="83" width="5.42578125" customWidth="1"/>
    <col min="84" max="84" width="6.7109375" customWidth="1"/>
    <col min="85" max="85" width="19.85546875" customWidth="1"/>
    <col min="86" max="86" width="5.85546875" customWidth="1"/>
    <col min="87" max="87" width="6.140625" customWidth="1"/>
    <col min="88" max="88" width="19.85546875" customWidth="1"/>
    <col min="89" max="89" width="5.42578125" customWidth="1"/>
    <col min="90" max="90" width="6.140625" customWidth="1"/>
    <col min="91" max="91" width="23" style="110" bestFit="1" customWidth="1"/>
    <col min="92" max="92" width="5.5703125" customWidth="1"/>
    <col min="93" max="93" width="4.5703125" customWidth="1"/>
    <col min="94" max="94" width="6.85546875" bestFit="1" customWidth="1"/>
    <col min="95" max="95" width="19.85546875" customWidth="1"/>
    <col min="96" max="96" width="5.42578125" customWidth="1"/>
    <col min="97" max="97" width="6.7109375" customWidth="1"/>
    <col min="98" max="98" width="19.85546875" customWidth="1"/>
    <col min="99" max="99" width="5.85546875" customWidth="1"/>
    <col min="100" max="100" width="6.140625" customWidth="1"/>
    <col min="101" max="101" width="19.85546875" customWidth="1"/>
    <col min="102" max="102" width="5.42578125" customWidth="1"/>
    <col min="103" max="103" width="6.140625" customWidth="1"/>
    <col min="104" max="104" width="23" style="110" bestFit="1" customWidth="1"/>
    <col min="105" max="105" width="4.7109375" customWidth="1"/>
    <col min="106" max="106" width="4.5703125" customWidth="1"/>
    <col min="107" max="107" width="6.85546875" bestFit="1" customWidth="1"/>
    <col min="108" max="108" width="19.85546875" customWidth="1"/>
    <col min="109" max="109" width="5.42578125" customWidth="1"/>
    <col min="110" max="110" width="6.7109375" customWidth="1"/>
    <col min="111" max="111" width="19.85546875" customWidth="1"/>
    <col min="112" max="112" width="5.85546875" customWidth="1"/>
    <col min="113" max="113" width="6.140625" customWidth="1"/>
    <col min="114" max="114" width="19.85546875" customWidth="1"/>
    <col min="115" max="115" width="5.42578125" customWidth="1"/>
    <col min="116" max="116" width="6.140625" customWidth="1"/>
    <col min="117" max="117" width="23" style="110" bestFit="1" customWidth="1"/>
    <col min="118" max="118" width="5.5703125" customWidth="1"/>
    <col min="119" max="119" width="4.5703125" customWidth="1"/>
    <col min="120" max="120" width="6.85546875" bestFit="1" customWidth="1"/>
    <col min="121" max="121" width="19.85546875" customWidth="1"/>
    <col min="122" max="122" width="5.42578125" customWidth="1"/>
    <col min="123" max="123" width="6.7109375" customWidth="1"/>
    <col min="124" max="124" width="19.85546875" customWidth="1"/>
    <col min="125" max="125" width="5.85546875" customWidth="1"/>
    <col min="126" max="126" width="6.140625" customWidth="1"/>
    <col min="127" max="127" width="19.85546875" customWidth="1"/>
    <col min="128" max="128" width="5.42578125" customWidth="1"/>
    <col min="129" max="129" width="6.140625" customWidth="1"/>
    <col min="130" max="130" width="23" style="110" bestFit="1" customWidth="1"/>
    <col min="131" max="131" width="6.28515625" customWidth="1"/>
    <col min="132" max="132" width="4.5703125" customWidth="1"/>
    <col min="133" max="133" width="6.85546875" bestFit="1" customWidth="1"/>
    <col min="134" max="134" width="19.85546875" customWidth="1"/>
    <col min="135" max="135" width="5.42578125" customWidth="1"/>
    <col min="136" max="136" width="6.7109375" customWidth="1"/>
    <col min="137" max="137" width="19.85546875" customWidth="1"/>
    <col min="138" max="138" width="5.85546875" customWidth="1"/>
    <col min="139" max="139" width="6.140625" customWidth="1"/>
    <col min="140" max="140" width="19.85546875" customWidth="1"/>
    <col min="141" max="141" width="5.42578125" customWidth="1"/>
    <col min="142" max="142" width="6.140625" customWidth="1"/>
    <col min="143" max="143" width="23" style="110" bestFit="1" customWidth="1"/>
  </cols>
  <sheetData>
    <row r="1" spans="2:143" ht="30" customHeight="1" x14ac:dyDescent="0.2">
      <c r="E1" s="1048" t="s">
        <v>492</v>
      </c>
      <c r="F1" s="1048"/>
      <c r="G1" s="1048"/>
      <c r="H1" s="1048"/>
      <c r="I1" s="1048"/>
      <c r="J1" s="1048"/>
      <c r="K1" s="1048"/>
      <c r="L1" s="1048"/>
      <c r="AE1" s="1052" t="s">
        <v>621</v>
      </c>
      <c r="AF1" s="1052"/>
      <c r="AG1" s="1052"/>
      <c r="AH1" s="1052"/>
      <c r="AI1" s="1052"/>
      <c r="AJ1" s="1052"/>
      <c r="AK1" s="1052"/>
      <c r="AL1" s="1052"/>
      <c r="AR1" s="1052" t="s">
        <v>621</v>
      </c>
      <c r="AS1" s="1052"/>
      <c r="AT1" s="1052"/>
      <c r="AU1" s="1052"/>
      <c r="AV1" s="1052"/>
      <c r="AW1" s="1052"/>
      <c r="AX1" s="1052"/>
      <c r="AY1" s="1052"/>
      <c r="BE1" s="1052" t="s">
        <v>621</v>
      </c>
      <c r="BF1" s="1052"/>
      <c r="BG1" s="1052"/>
      <c r="BH1" s="1052"/>
      <c r="BI1" s="1052"/>
      <c r="BJ1" s="1052"/>
      <c r="BK1" s="1052"/>
      <c r="BL1" s="1052"/>
      <c r="BR1" s="1052" t="s">
        <v>621</v>
      </c>
      <c r="BS1" s="1052"/>
      <c r="BT1" s="1052"/>
      <c r="BU1" s="1052"/>
      <c r="BV1" s="1052"/>
      <c r="BW1" s="1052"/>
      <c r="BX1" s="1052"/>
      <c r="BY1" s="1052"/>
      <c r="CE1" s="1052" t="s">
        <v>621</v>
      </c>
      <c r="CF1" s="1052"/>
      <c r="CG1" s="1052"/>
      <c r="CH1" s="1052"/>
      <c r="CI1" s="1052"/>
      <c r="CJ1" s="1052"/>
      <c r="CK1" s="1052"/>
      <c r="CL1" s="1052"/>
      <c r="CR1" s="1052" t="s">
        <v>621</v>
      </c>
      <c r="CS1" s="1052"/>
      <c r="CT1" s="1052"/>
      <c r="CU1" s="1052"/>
      <c r="CV1" s="1052"/>
      <c r="CW1" s="1052"/>
      <c r="CX1" s="1052"/>
      <c r="CY1" s="1052"/>
      <c r="DE1" s="1052" t="s">
        <v>621</v>
      </c>
      <c r="DF1" s="1052"/>
      <c r="DG1" s="1052"/>
      <c r="DH1" s="1052"/>
      <c r="DI1" s="1052"/>
      <c r="DJ1" s="1052"/>
      <c r="DK1" s="1052"/>
      <c r="DL1" s="1052"/>
      <c r="DR1" s="1052" t="s">
        <v>621</v>
      </c>
      <c r="DS1" s="1052"/>
      <c r="DT1" s="1052"/>
      <c r="DU1" s="1052"/>
      <c r="DV1" s="1052"/>
      <c r="DW1" s="1052"/>
      <c r="DX1" s="1052"/>
      <c r="DY1" s="1052"/>
      <c r="EE1" s="1052" t="s">
        <v>621</v>
      </c>
      <c r="EF1" s="1052"/>
      <c r="EG1" s="1052"/>
      <c r="EH1" s="1052"/>
      <c r="EI1" s="1052"/>
      <c r="EJ1" s="1052"/>
      <c r="EK1" s="1052"/>
      <c r="EL1" s="1052"/>
    </row>
    <row r="2" spans="2:143" s="40" customFormat="1" ht="35.25" customHeight="1" x14ac:dyDescent="0.6">
      <c r="C2" s="61"/>
      <c r="D2" s="270"/>
      <c r="E2" s="270"/>
      <c r="F2" s="270"/>
      <c r="G2" s="1051" t="str">
        <f>CATEG_IMPORTEE</f>
        <v>Collèges Mixtes Etablissement</v>
      </c>
      <c r="H2" s="1051"/>
      <c r="I2" s="1051"/>
      <c r="J2" s="1051"/>
      <c r="K2" s="270"/>
      <c r="L2" s="270"/>
      <c r="M2" s="111"/>
      <c r="N2" s="85"/>
      <c r="AA2" s="47"/>
      <c r="AD2" s="270"/>
      <c r="AE2" s="270"/>
      <c r="AF2" s="270"/>
      <c r="AG2" s="1051">
        <v>22</v>
      </c>
      <c r="AH2" s="1051"/>
      <c r="AI2" s="1051"/>
      <c r="AJ2" s="1051"/>
      <c r="AK2" s="270"/>
      <c r="AL2" s="270"/>
      <c r="AM2" s="111"/>
      <c r="AN2" s="85"/>
      <c r="AQ2" s="270"/>
      <c r="AR2" s="270"/>
      <c r="AS2" s="270"/>
      <c r="AT2" s="1051">
        <v>20</v>
      </c>
      <c r="AU2" s="1051"/>
      <c r="AV2" s="1051"/>
      <c r="AW2" s="1051"/>
      <c r="AX2" s="270"/>
      <c r="AY2" s="270"/>
      <c r="AZ2" s="111"/>
      <c r="BD2" s="270"/>
      <c r="BE2" s="270"/>
      <c r="BF2" s="270"/>
      <c r="BG2" s="1051">
        <v>18</v>
      </c>
      <c r="BH2" s="1051"/>
      <c r="BI2" s="1051"/>
      <c r="BJ2" s="1051"/>
      <c r="BK2" s="270"/>
      <c r="BL2" s="270"/>
      <c r="BM2" s="111"/>
      <c r="BQ2" s="270"/>
      <c r="BR2" s="270"/>
      <c r="BS2" s="270"/>
      <c r="BT2" s="1051">
        <v>16</v>
      </c>
      <c r="BU2" s="1051"/>
      <c r="BV2" s="1051"/>
      <c r="BW2" s="1051"/>
      <c r="BX2" s="270"/>
      <c r="BY2" s="270"/>
      <c r="BZ2" s="111"/>
      <c r="CD2" s="270"/>
      <c r="CE2" s="270"/>
      <c r="CF2" s="270"/>
      <c r="CG2" s="1051">
        <v>14</v>
      </c>
      <c r="CH2" s="1051"/>
      <c r="CI2" s="1051"/>
      <c r="CJ2" s="1051"/>
      <c r="CK2" s="270"/>
      <c r="CL2" s="270"/>
      <c r="CM2" s="111"/>
      <c r="CQ2" s="270"/>
      <c r="CR2" s="270"/>
      <c r="CS2" s="270"/>
      <c r="CT2" s="1051">
        <v>12</v>
      </c>
      <c r="CU2" s="1051"/>
      <c r="CV2" s="1051"/>
      <c r="CW2" s="1051"/>
      <c r="CX2" s="270"/>
      <c r="CY2" s="270"/>
      <c r="CZ2" s="111"/>
      <c r="DD2" s="270"/>
      <c r="DE2" s="270"/>
      <c r="DF2" s="270"/>
      <c r="DG2" s="1051">
        <v>10</v>
      </c>
      <c r="DH2" s="1051"/>
      <c r="DI2" s="1051"/>
      <c r="DJ2" s="1051"/>
      <c r="DK2" s="270"/>
      <c r="DL2" s="270"/>
      <c r="DM2" s="111"/>
      <c r="DQ2" s="270"/>
      <c r="DR2" s="270"/>
      <c r="DS2" s="270"/>
      <c r="DT2" s="1051">
        <v>8</v>
      </c>
      <c r="DU2" s="1051"/>
      <c r="DV2" s="1051"/>
      <c r="DW2" s="1051"/>
      <c r="DX2" s="270"/>
      <c r="DY2" s="270"/>
      <c r="DZ2" s="111"/>
      <c r="ED2" s="270"/>
      <c r="EE2" s="270"/>
      <c r="EF2" s="270"/>
      <c r="EG2" s="1051">
        <v>6</v>
      </c>
      <c r="EH2" s="1051"/>
      <c r="EI2" s="1051"/>
      <c r="EJ2" s="1051"/>
      <c r="EK2" s="270"/>
      <c r="EL2" s="270"/>
      <c r="EM2" s="111"/>
    </row>
    <row r="3" spans="2:143" s="40" customFormat="1" ht="34.5" customHeight="1" x14ac:dyDescent="0.25">
      <c r="C3" s="61"/>
      <c r="D3" s="1049" t="str">
        <f>LIEU</f>
        <v>L’Isle sur la Sorgue</v>
      </c>
      <c r="E3" s="1049"/>
      <c r="F3" s="1049"/>
      <c r="G3" s="1049"/>
      <c r="H3" s="13" t="s">
        <v>491</v>
      </c>
      <c r="I3" s="1050" t="str">
        <f>DATE</f>
        <v>27 au 31 mars 2023</v>
      </c>
      <c r="J3" s="1050"/>
      <c r="K3" s="1050"/>
      <c r="L3" s="1050"/>
      <c r="M3" s="111"/>
      <c r="N3" s="85"/>
      <c r="AA3" s="47"/>
      <c r="AD3" s="1049" t="str">
        <f>LIEU</f>
        <v>L’Isle sur la Sorgue</v>
      </c>
      <c r="AE3" s="1049"/>
      <c r="AF3" s="1049"/>
      <c r="AG3" s="1049"/>
      <c r="AH3" s="13" t="s">
        <v>491</v>
      </c>
      <c r="AI3" s="1050" t="str">
        <f>DATE</f>
        <v>27 au 31 mars 2023</v>
      </c>
      <c r="AJ3" s="1050"/>
      <c r="AK3" s="1050"/>
      <c r="AL3" s="1050"/>
      <c r="AM3" s="111"/>
      <c r="AN3" s="85"/>
      <c r="AQ3" s="1049" t="str">
        <f>LIEU</f>
        <v>L’Isle sur la Sorgue</v>
      </c>
      <c r="AR3" s="1049"/>
      <c r="AS3" s="1049"/>
      <c r="AT3" s="1049"/>
      <c r="AU3" s="13" t="s">
        <v>491</v>
      </c>
      <c r="AV3" s="1050" t="str">
        <f>DATE</f>
        <v>27 au 31 mars 2023</v>
      </c>
      <c r="AW3" s="1050"/>
      <c r="AX3" s="1050"/>
      <c r="AY3" s="1050"/>
      <c r="AZ3" s="111"/>
      <c r="BD3" s="1049" t="str">
        <f>LIEU</f>
        <v>L’Isle sur la Sorgue</v>
      </c>
      <c r="BE3" s="1049"/>
      <c r="BF3" s="1049"/>
      <c r="BG3" s="1049"/>
      <c r="BH3" s="13" t="s">
        <v>491</v>
      </c>
      <c r="BI3" s="1050" t="str">
        <f>DATE</f>
        <v>27 au 31 mars 2023</v>
      </c>
      <c r="BJ3" s="1050"/>
      <c r="BK3" s="1050"/>
      <c r="BL3" s="1050"/>
      <c r="BM3" s="111"/>
      <c r="BQ3" s="1049" t="str">
        <f>LIEU</f>
        <v>L’Isle sur la Sorgue</v>
      </c>
      <c r="BR3" s="1049"/>
      <c r="BS3" s="1049"/>
      <c r="BT3" s="1049"/>
      <c r="BU3" s="13" t="s">
        <v>491</v>
      </c>
      <c r="BV3" s="1050" t="str">
        <f>DATE</f>
        <v>27 au 31 mars 2023</v>
      </c>
      <c r="BW3" s="1050"/>
      <c r="BX3" s="1050"/>
      <c r="BY3" s="1050"/>
      <c r="BZ3" s="111"/>
      <c r="CD3" s="1049" t="str">
        <f>LIEU</f>
        <v>L’Isle sur la Sorgue</v>
      </c>
      <c r="CE3" s="1049"/>
      <c r="CF3" s="1049"/>
      <c r="CG3" s="1049"/>
      <c r="CH3" s="13" t="s">
        <v>491</v>
      </c>
      <c r="CI3" s="1050" t="str">
        <f>DATE</f>
        <v>27 au 31 mars 2023</v>
      </c>
      <c r="CJ3" s="1050"/>
      <c r="CK3" s="1050"/>
      <c r="CL3" s="1050"/>
      <c r="CM3" s="111"/>
      <c r="CQ3" s="1049" t="str">
        <f>LIEU</f>
        <v>L’Isle sur la Sorgue</v>
      </c>
      <c r="CR3" s="1049"/>
      <c r="CS3" s="1049"/>
      <c r="CT3" s="1049"/>
      <c r="CU3" s="13" t="s">
        <v>491</v>
      </c>
      <c r="CV3" s="1050" t="str">
        <f>DATE</f>
        <v>27 au 31 mars 2023</v>
      </c>
      <c r="CW3" s="1050"/>
      <c r="CX3" s="1050"/>
      <c r="CY3" s="1050"/>
      <c r="CZ3" s="111"/>
      <c r="DD3" s="1049" t="str">
        <f>LIEU</f>
        <v>L’Isle sur la Sorgue</v>
      </c>
      <c r="DE3" s="1049"/>
      <c r="DF3" s="1049"/>
      <c r="DG3" s="1049"/>
      <c r="DH3" s="13" t="s">
        <v>491</v>
      </c>
      <c r="DI3" s="1050" t="str">
        <f>DATE</f>
        <v>27 au 31 mars 2023</v>
      </c>
      <c r="DJ3" s="1050"/>
      <c r="DK3" s="1050"/>
      <c r="DL3" s="1050"/>
      <c r="DM3" s="111"/>
      <c r="DQ3" s="1049" t="str">
        <f>LIEU</f>
        <v>L’Isle sur la Sorgue</v>
      </c>
      <c r="DR3" s="1049"/>
      <c r="DS3" s="1049"/>
      <c r="DT3" s="1049"/>
      <c r="DU3" s="13" t="s">
        <v>491</v>
      </c>
      <c r="DV3" s="1050" t="str">
        <f>DATE</f>
        <v>27 au 31 mars 2023</v>
      </c>
      <c r="DW3" s="1050"/>
      <c r="DX3" s="1050"/>
      <c r="DY3" s="1050"/>
      <c r="DZ3" s="111"/>
      <c r="ED3" s="1049" t="str">
        <f>LIEU</f>
        <v>L’Isle sur la Sorgue</v>
      </c>
      <c r="EE3" s="1049"/>
      <c r="EF3" s="1049"/>
      <c r="EG3" s="1049"/>
      <c r="EH3" s="13" t="s">
        <v>491</v>
      </c>
      <c r="EI3" s="1050" t="str">
        <f>DATE</f>
        <v>27 au 31 mars 2023</v>
      </c>
      <c r="EJ3" s="1050"/>
      <c r="EK3" s="1050"/>
      <c r="EL3" s="1050"/>
      <c r="EM3" s="111"/>
    </row>
    <row r="4" spans="2:143" s="40" customFormat="1" ht="12.75" customHeight="1" x14ac:dyDescent="0.2">
      <c r="C4" s="61"/>
      <c r="M4" s="111"/>
      <c r="N4" s="85"/>
      <c r="AA4" s="47"/>
      <c r="AM4" s="111"/>
      <c r="AN4" s="85"/>
      <c r="AZ4" s="111"/>
      <c r="BM4" s="111"/>
      <c r="BZ4" s="111"/>
      <c r="CM4" s="111"/>
      <c r="CZ4" s="111"/>
      <c r="DM4" s="111"/>
      <c r="DZ4" s="111"/>
      <c r="EM4" s="111"/>
    </row>
    <row r="5" spans="2:143" s="40" customFormat="1" ht="15" customHeight="1" x14ac:dyDescent="0.2">
      <c r="C5" s="60"/>
      <c r="D5" s="86" t="s">
        <v>378</v>
      </c>
      <c r="E5" s="87"/>
      <c r="G5" s="86" t="s">
        <v>379</v>
      </c>
      <c r="H5" s="87"/>
      <c r="J5" s="86" t="s">
        <v>380</v>
      </c>
      <c r="K5" s="87"/>
      <c r="M5" s="112" t="s">
        <v>381</v>
      </c>
      <c r="N5" s="85"/>
      <c r="AA5" s="47"/>
      <c r="AD5" s="86" t="s">
        <v>378</v>
      </c>
      <c r="AE5" s="87"/>
      <c r="AG5" s="86" t="s">
        <v>379</v>
      </c>
      <c r="AH5" s="87"/>
      <c r="AJ5" s="86" t="s">
        <v>380</v>
      </c>
      <c r="AK5" s="87"/>
      <c r="AM5" s="112" t="s">
        <v>381</v>
      </c>
      <c r="AN5" s="85"/>
      <c r="AQ5" s="86" t="s">
        <v>378</v>
      </c>
      <c r="AR5" s="87"/>
      <c r="AT5" s="86" t="s">
        <v>379</v>
      </c>
      <c r="AU5" s="87"/>
      <c r="AW5" s="86" t="s">
        <v>380</v>
      </c>
      <c r="AX5" s="87"/>
      <c r="AZ5" s="112" t="s">
        <v>381</v>
      </c>
      <c r="BD5" s="86" t="s">
        <v>378</v>
      </c>
      <c r="BE5" s="87"/>
      <c r="BG5" s="86" t="s">
        <v>379</v>
      </c>
      <c r="BH5" s="87"/>
      <c r="BJ5" s="86" t="s">
        <v>380</v>
      </c>
      <c r="BK5" s="87"/>
      <c r="BM5" s="112" t="s">
        <v>381</v>
      </c>
      <c r="BQ5" s="86" t="s">
        <v>378</v>
      </c>
      <c r="BR5" s="87"/>
      <c r="BT5" s="86" t="s">
        <v>379</v>
      </c>
      <c r="BU5" s="87"/>
      <c r="BW5" s="86" t="s">
        <v>380</v>
      </c>
      <c r="BX5" s="87"/>
      <c r="BZ5" s="112" t="s">
        <v>381</v>
      </c>
      <c r="CD5" s="86" t="s">
        <v>378</v>
      </c>
      <c r="CE5" s="87"/>
      <c r="CG5" s="86" t="s">
        <v>379</v>
      </c>
      <c r="CH5" s="87"/>
      <c r="CJ5" s="86" t="s">
        <v>380</v>
      </c>
      <c r="CK5" s="87"/>
      <c r="CM5" s="112" t="s">
        <v>381</v>
      </c>
      <c r="CQ5" s="86" t="s">
        <v>378</v>
      </c>
      <c r="CR5" s="87"/>
      <c r="CT5" s="86" t="s">
        <v>379</v>
      </c>
      <c r="CU5" s="87"/>
      <c r="CW5" s="86" t="s">
        <v>380</v>
      </c>
      <c r="CX5" s="87"/>
      <c r="CZ5" s="112" t="s">
        <v>381</v>
      </c>
      <c r="DD5" s="86" t="s">
        <v>378</v>
      </c>
      <c r="DE5" s="87"/>
      <c r="DG5" s="86" t="s">
        <v>379</v>
      </c>
      <c r="DH5" s="87"/>
      <c r="DJ5" s="86" t="s">
        <v>380</v>
      </c>
      <c r="DK5" s="87"/>
      <c r="DM5" s="112" t="s">
        <v>381</v>
      </c>
      <c r="DQ5" s="86" t="s">
        <v>378</v>
      </c>
      <c r="DR5" s="87"/>
      <c r="DT5" s="86" t="s">
        <v>379</v>
      </c>
      <c r="DU5" s="87"/>
      <c r="DW5" s="86" t="s">
        <v>380</v>
      </c>
      <c r="DX5" s="87"/>
      <c r="DZ5" s="112" t="s">
        <v>381</v>
      </c>
      <c r="ED5" s="86" t="s">
        <v>378</v>
      </c>
      <c r="EE5" s="87"/>
      <c r="EG5" s="86" t="s">
        <v>379</v>
      </c>
      <c r="EH5" s="87"/>
      <c r="EJ5" s="86" t="s">
        <v>380</v>
      </c>
      <c r="EK5" s="87"/>
      <c r="EM5" s="112" t="s">
        <v>381</v>
      </c>
    </row>
    <row r="6" spans="2:143" s="88" customFormat="1" ht="15" x14ac:dyDescent="0.2">
      <c r="C6" s="89"/>
      <c r="D6" s="86" t="s">
        <v>382</v>
      </c>
      <c r="E6" s="87"/>
      <c r="F6" s="40"/>
      <c r="G6" s="90" t="s">
        <v>383</v>
      </c>
      <c r="H6" s="91"/>
      <c r="I6" s="40"/>
      <c r="J6" s="86" t="s">
        <v>51</v>
      </c>
      <c r="K6" s="87"/>
      <c r="M6" s="112" t="s">
        <v>384</v>
      </c>
      <c r="AA6" s="86"/>
      <c r="AD6" s="86" t="s">
        <v>382</v>
      </c>
      <c r="AE6" s="87"/>
      <c r="AF6" s="40"/>
      <c r="AG6" s="90" t="s">
        <v>383</v>
      </c>
      <c r="AH6" s="91"/>
      <c r="AI6" s="40"/>
      <c r="AJ6" s="86" t="s">
        <v>51</v>
      </c>
      <c r="AK6" s="87"/>
      <c r="AM6" s="112" t="s">
        <v>384</v>
      </c>
      <c r="AQ6" s="86" t="s">
        <v>382</v>
      </c>
      <c r="AR6" s="87"/>
      <c r="AS6" s="40"/>
      <c r="AT6" s="90" t="s">
        <v>383</v>
      </c>
      <c r="AU6" s="91"/>
      <c r="AV6" s="40"/>
      <c r="AW6" s="86" t="s">
        <v>51</v>
      </c>
      <c r="AX6" s="87"/>
      <c r="AZ6" s="112" t="s">
        <v>384</v>
      </c>
      <c r="BD6" s="86" t="s">
        <v>382</v>
      </c>
      <c r="BE6" s="87"/>
      <c r="BF6" s="40"/>
      <c r="BG6" s="90" t="s">
        <v>383</v>
      </c>
      <c r="BH6" s="91"/>
      <c r="BI6" s="40"/>
      <c r="BJ6" s="86" t="s">
        <v>51</v>
      </c>
      <c r="BK6" s="87"/>
      <c r="BM6" s="112" t="s">
        <v>384</v>
      </c>
      <c r="BQ6" s="86" t="s">
        <v>382</v>
      </c>
      <c r="BR6" s="87"/>
      <c r="BS6" s="40"/>
      <c r="BT6" s="90" t="s">
        <v>383</v>
      </c>
      <c r="BU6" s="91"/>
      <c r="BV6" s="40"/>
      <c r="BW6" s="86" t="s">
        <v>51</v>
      </c>
      <c r="BX6" s="87"/>
      <c r="BZ6" s="112" t="s">
        <v>384</v>
      </c>
      <c r="CD6" s="86" t="s">
        <v>382</v>
      </c>
      <c r="CE6" s="87"/>
      <c r="CF6" s="40"/>
      <c r="CG6" s="90" t="s">
        <v>383</v>
      </c>
      <c r="CH6" s="91"/>
      <c r="CI6" s="40"/>
      <c r="CJ6" s="86" t="s">
        <v>51</v>
      </c>
      <c r="CK6" s="87"/>
      <c r="CM6" s="112" t="s">
        <v>384</v>
      </c>
      <c r="CQ6" s="86" t="s">
        <v>382</v>
      </c>
      <c r="CR6" s="87"/>
      <c r="CS6" s="40"/>
      <c r="CT6" s="90" t="s">
        <v>383</v>
      </c>
      <c r="CU6" s="91"/>
      <c r="CV6" s="40"/>
      <c r="CW6" s="86" t="s">
        <v>51</v>
      </c>
      <c r="CX6" s="87"/>
      <c r="CZ6" s="112" t="s">
        <v>384</v>
      </c>
      <c r="DD6" s="86" t="s">
        <v>382</v>
      </c>
      <c r="DE6" s="87"/>
      <c r="DF6" s="40"/>
      <c r="DG6" s="90" t="s">
        <v>383</v>
      </c>
      <c r="DH6" s="91"/>
      <c r="DI6" s="40"/>
      <c r="DJ6" s="86" t="s">
        <v>51</v>
      </c>
      <c r="DK6" s="87"/>
      <c r="DM6" s="112" t="s">
        <v>384</v>
      </c>
      <c r="DQ6" s="86" t="s">
        <v>382</v>
      </c>
      <c r="DR6" s="87"/>
      <c r="DS6" s="40"/>
      <c r="DT6" s="90" t="s">
        <v>383</v>
      </c>
      <c r="DU6" s="91"/>
      <c r="DV6" s="40"/>
      <c r="DW6" s="86" t="s">
        <v>51</v>
      </c>
      <c r="DX6" s="87"/>
      <c r="DZ6" s="112" t="s">
        <v>384</v>
      </c>
      <c r="ED6" s="86" t="s">
        <v>382</v>
      </c>
      <c r="EE6" s="87"/>
      <c r="EF6" s="40"/>
      <c r="EG6" s="90" t="s">
        <v>383</v>
      </c>
      <c r="EH6" s="91"/>
      <c r="EI6" s="40"/>
      <c r="EJ6" s="86" t="s">
        <v>51</v>
      </c>
      <c r="EK6" s="87"/>
      <c r="EM6" s="112" t="s">
        <v>384</v>
      </c>
    </row>
    <row r="7" spans="2:143" s="40" customFormat="1" ht="4.5" customHeight="1" thickBot="1" x14ac:dyDescent="0.25">
      <c r="C7" s="89"/>
      <c r="E7" s="44"/>
      <c r="F7" s="44"/>
      <c r="G7" s="44"/>
      <c r="H7" s="44"/>
      <c r="I7" s="44"/>
      <c r="J7" s="44"/>
      <c r="K7" s="44"/>
      <c r="N7" s="85"/>
      <c r="AA7" s="47"/>
      <c r="AE7" s="44"/>
      <c r="AF7" s="44"/>
      <c r="AG7" s="44"/>
      <c r="AH7" s="44"/>
      <c r="AI7" s="44"/>
      <c r="AJ7" s="44"/>
      <c r="AK7" s="44"/>
      <c r="AN7" s="85"/>
      <c r="AR7" s="44"/>
      <c r="AS7" s="44"/>
      <c r="AT7" s="44"/>
      <c r="AU7" s="44"/>
      <c r="AV7" s="44"/>
      <c r="AW7" s="44"/>
      <c r="AX7" s="44"/>
      <c r="BE7" s="44"/>
      <c r="BF7" s="44"/>
      <c r="BG7" s="44"/>
      <c r="BH7" s="44"/>
      <c r="BI7" s="44"/>
      <c r="BJ7" s="44"/>
      <c r="BK7" s="44"/>
      <c r="BR7" s="44"/>
      <c r="BS7" s="44"/>
      <c r="BT7" s="44"/>
      <c r="BU7" s="44"/>
      <c r="BV7" s="44"/>
      <c r="BW7" s="44"/>
      <c r="BX7" s="44"/>
      <c r="CE7" s="44"/>
      <c r="CF7" s="44"/>
      <c r="CG7" s="44"/>
      <c r="CH7" s="44"/>
      <c r="CI7" s="44"/>
      <c r="CJ7" s="44"/>
      <c r="CK7" s="44"/>
      <c r="CR7" s="44"/>
      <c r="CS7" s="44"/>
      <c r="CT7" s="44"/>
      <c r="CU7" s="44"/>
      <c r="CV7" s="44"/>
      <c r="CW7" s="44"/>
      <c r="CX7" s="44"/>
      <c r="DE7" s="44"/>
      <c r="DF7" s="44"/>
      <c r="DG7" s="44"/>
      <c r="DH7" s="44"/>
      <c r="DI7" s="44"/>
      <c r="DJ7" s="44"/>
      <c r="DK7" s="44"/>
      <c r="DR7" s="44"/>
      <c r="DS7" s="44"/>
      <c r="DT7" s="44"/>
      <c r="DU7" s="44"/>
      <c r="DV7" s="44"/>
      <c r="DW7" s="44"/>
      <c r="DX7" s="44"/>
      <c r="EE7" s="44"/>
      <c r="EF7" s="44"/>
      <c r="EG7" s="44"/>
      <c r="EH7" s="44"/>
      <c r="EI7" s="44"/>
      <c r="EJ7" s="44"/>
      <c r="EK7" s="44"/>
    </row>
    <row r="8" spans="2:143" s="40" customFormat="1" ht="14.25" customHeight="1" thickTop="1" x14ac:dyDescent="0.2">
      <c r="B8" s="40">
        <v>11</v>
      </c>
      <c r="C8">
        <v>1</v>
      </c>
      <c r="D8" s="369" t="str">
        <f ca="1">INDIRECT("'Imp. Qualif.'!L"&amp;INDIRECT("B"&amp;ROW()))</f>
        <v/>
      </c>
      <c r="E8" s="122"/>
      <c r="G8" s="92" t="str">
        <f>IF(E8="","",IF(E8=E11, IF(E9 &gt; E12, D8, D11),IF(E8&gt;E11,D8,D11)))</f>
        <v/>
      </c>
      <c r="H8" s="122"/>
      <c r="J8" s="92" t="str">
        <f>IF(H8="","",IF(H8=H11, IF(H9 &gt; H12, G8, G11),IF(H8&gt;H11,G8,G11)))</f>
        <v/>
      </c>
      <c r="K8" s="122"/>
      <c r="M8" s="113" t="str">
        <f>IF(K8="","",IF(K8=K11, IF(K9 &gt; K12, J8, J11),IF(K8&gt;K11,J8,J11)))</f>
        <v/>
      </c>
      <c r="N8" s="1030">
        <v>1</v>
      </c>
      <c r="Q8" s="61"/>
      <c r="AA8" s="47">
        <v>1</v>
      </c>
      <c r="AB8" s="40">
        <v>11</v>
      </c>
      <c r="AD8" s="369" t="str">
        <f ca="1">INDIRECT("'Imp. Qualif.'!L"&amp;INDIRECT("B"&amp;ROW()))</f>
        <v/>
      </c>
      <c r="AE8" s="122"/>
      <c r="AG8" s="92" t="str">
        <f>IF(AE8="","",IF(AE8=AE11, IF(AE9 &gt; AE12, AD8, AD11),IF(AE8&gt;AE11,AD8,AD11)))</f>
        <v/>
      </c>
      <c r="AH8" s="122"/>
      <c r="AJ8" s="92" t="str">
        <f>IF(AH8="","",IF(AH8=AH11, IF(AH9 &gt; AH12, AG8, AG11),IF(AH8&gt;AH11,AG8,AG11)))</f>
        <v/>
      </c>
      <c r="AK8" s="122"/>
      <c r="AM8" s="113" t="str">
        <f>IF(AK8="","",IF(AK8=AK11, IF(AK9 &gt; AK12, AJ8, AJ11),IF(AK8&gt;AK11,AJ8,AJ11)))</f>
        <v/>
      </c>
      <c r="AN8" s="1030"/>
      <c r="AO8" s="40">
        <v>11</v>
      </c>
      <c r="AP8" s="61">
        <v>1</v>
      </c>
      <c r="AQ8" s="369" t="str">
        <f ca="1">INDIRECT("'Imp. Qualif.'!L"&amp;INDIRECT("B"&amp;ROW()))</f>
        <v/>
      </c>
      <c r="AR8" s="122"/>
      <c r="AT8" s="92" t="str">
        <f>IF(AR8="","",IF(AR8=AR11, IF(AR9 &gt; AR12, AQ8, AQ11),IF(AR8&gt;AR11,AQ8,AQ11)))</f>
        <v/>
      </c>
      <c r="AU8" s="122"/>
      <c r="AW8" s="92" t="str">
        <f>IF(AU8="","",IF(AU8=AU11, IF(AU9 &gt; AU12, AT8, AT11),IF(AU8&gt;AU11,AT8,AT11)))</f>
        <v/>
      </c>
      <c r="AX8" s="122"/>
      <c r="AZ8" s="113" t="str">
        <f>IF(AX8="","",IF(AX8=AX11, IF(AX9 &gt; AX12, AW8, AW11),IF(AX8&gt;AX11,AW8,AW11)))</f>
        <v/>
      </c>
      <c r="BB8" s="40">
        <v>11</v>
      </c>
      <c r="BC8" s="61">
        <v>1</v>
      </c>
      <c r="BD8" s="369" t="str">
        <f ca="1">INDIRECT("'Imp. Qualif.'!L"&amp;INDIRECT("B"&amp;ROW()))</f>
        <v/>
      </c>
      <c r="BE8" s="122"/>
      <c r="BG8" s="92" t="str">
        <f>IF(BE8="","",IF(BE8=BE11, IF(BE9 &gt; BE12, BD8, BD11),IF(BE8&gt;BE11,BD8,BD11)))</f>
        <v/>
      </c>
      <c r="BH8" s="122"/>
      <c r="BJ8" s="92" t="str">
        <f>IF(BH8="","",IF(BH8=BH11, IF(BH9 &gt; BH12, BG8, BG11),IF(BH8&gt;BH11,BG8,BG11)))</f>
        <v/>
      </c>
      <c r="BK8" s="122"/>
      <c r="BM8" s="113" t="str">
        <f>IF(BK8="","",IF(BK8=BK11, IF(BK9 &gt; BK12, BJ8, BJ11),IF(BK8&gt;BK11,BJ8,BJ11)))</f>
        <v/>
      </c>
      <c r="BO8" s="40">
        <v>11</v>
      </c>
      <c r="BP8" s="61">
        <v>1</v>
      </c>
      <c r="BQ8" s="369" t="str">
        <f ca="1">INDIRECT("'Imp. Qualif.'!L"&amp;INDIRECT("B"&amp;ROW()))</f>
        <v/>
      </c>
      <c r="BR8" s="122"/>
      <c r="BT8" s="92" t="str">
        <f>IF(BR8="","",IF(BR8=BR11, IF(BR9 &gt; BR12, BQ8, BQ11),IF(BR8&gt;BR11,BQ8,BQ11)))</f>
        <v/>
      </c>
      <c r="BU8" s="122"/>
      <c r="BW8" s="92" t="str">
        <f>IF(BU8="","",IF(BU8=BU11, IF(BU9 &gt; BU12, BT8, BT11),IF(BU8&gt;BU11,BT8,BT11)))</f>
        <v/>
      </c>
      <c r="BX8" s="122"/>
      <c r="BZ8" s="113" t="str">
        <f>IF(BX8="","",IF(BX8=BX11, IF(BX9 &gt; BX12, BW8, BW11),IF(BX8&gt;BX11,BW8,BW11)))</f>
        <v/>
      </c>
      <c r="CB8" s="40">
        <v>11</v>
      </c>
      <c r="CC8" s="61">
        <v>1</v>
      </c>
      <c r="CD8" s="369" t="str">
        <f ca="1">INDIRECT("'Imp. Qualif.'!L"&amp;INDIRECT("B"&amp;ROW()))</f>
        <v/>
      </c>
      <c r="CE8" s="122"/>
      <c r="CG8" s="92" t="str">
        <f>IF(CE8="","",IF(CE8=CE11, IF(CE9 &gt; CE12, CD8, CD11),IF(CE8&gt;CE11,CD8,CD11)))</f>
        <v/>
      </c>
      <c r="CH8" s="122"/>
      <c r="CJ8" s="92" t="str">
        <f>IF(CH8="","",IF(CH8=CH11, IF(CH9 &gt; CH12, CG8, CG11),IF(CH8&gt;CH11,CG8,CG11)))</f>
        <v/>
      </c>
      <c r="CK8" s="122"/>
      <c r="CM8" s="113" t="str">
        <f>IF(CK8="","",IF(CK8=CK11, IF(CK9 &gt; CK12, CJ8, CJ11),IF(CK8&gt;CK11,CJ8,CJ11)))</f>
        <v/>
      </c>
      <c r="CO8" s="40">
        <v>11</v>
      </c>
      <c r="CP8" s="61">
        <v>1</v>
      </c>
      <c r="CQ8" s="369" t="str">
        <f ca="1">INDIRECT("'Imp. Qualif.'!L"&amp;INDIRECT("B"&amp;ROW()))</f>
        <v/>
      </c>
      <c r="CR8" s="122"/>
      <c r="CT8" s="92" t="str">
        <f>IF(CR8="","",IF(CR8=CR11, IF(CR9 &gt; CR12, CQ8, CQ11),IF(CR8&gt;CR11,CQ8,CQ11)))</f>
        <v/>
      </c>
      <c r="CU8" s="122"/>
      <c r="CW8" s="92" t="str">
        <f>IF(CU8="","",IF(CU8=CU11, IF(CU9 &gt; CU12, CT8, CT11),IF(CU8&gt;CU11,CT8,CT11)))</f>
        <v/>
      </c>
      <c r="CX8" s="122"/>
      <c r="CZ8" s="113" t="str">
        <f>IF(CX8="","",IF(CX8=CX11, IF(CX9 &gt; CX12, CW8, CW11),IF(CX8&gt;CX11,CW8,CW11)))</f>
        <v/>
      </c>
      <c r="DB8" s="40">
        <v>11</v>
      </c>
      <c r="DC8" s="61">
        <v>1</v>
      </c>
      <c r="DD8" s="369" t="str">
        <f ca="1">INDIRECT("'Imp. Qualif.'!L"&amp;INDIRECT("B"&amp;ROW()))</f>
        <v/>
      </c>
      <c r="DE8" s="122"/>
      <c r="DG8" s="92" t="str">
        <f>IF(DE8="","",IF(DE8=DE11, IF(DE9 &gt; DE12, DD8, DD11),IF(DE8&gt;DE11,DD8,DD11)))</f>
        <v/>
      </c>
      <c r="DH8" s="122"/>
      <c r="DJ8" s="92" t="str">
        <f>IF(DH8="","",IF(DH8=DH11, IF(DH9 &gt; DH12, DG8, DG11),IF(DH8&gt;DH11,DG8,DG11)))</f>
        <v/>
      </c>
      <c r="DK8" s="122"/>
      <c r="DM8" s="113" t="str">
        <f>IF(DK8="","",IF(DK8=DK11, IF(DK9 &gt; DK12, DJ8, DJ11),IF(DK8&gt;DK11,DJ8,DJ11)))</f>
        <v/>
      </c>
      <c r="DO8" s="40">
        <v>11</v>
      </c>
      <c r="DP8" s="61">
        <v>1</v>
      </c>
      <c r="DQ8" s="369" t="str">
        <f ca="1">INDIRECT("'Imp. Qualif.'!L"&amp;INDIRECT("B"&amp;ROW()))</f>
        <v/>
      </c>
      <c r="DR8" s="122"/>
      <c r="DT8" s="92" t="str">
        <f>IF(DR8="","",IF(DR8=DR11, IF(DR9 &gt; DR12, DQ8, DQ11),IF(DR8&gt;DR11,DQ8,DQ11)))</f>
        <v/>
      </c>
      <c r="DU8" s="122"/>
      <c r="DW8" s="92" t="str">
        <f>IF(DU8="","",IF(DU8=DU11, IF(DU9 &gt; DU12, DT8, DT11),IF(DU8&gt;DU11,DT8,DT11)))</f>
        <v/>
      </c>
      <c r="DX8" s="122"/>
      <c r="DZ8" s="113" t="str">
        <f>IF(DX8="","",IF(DX8=DX11, IF(DX9 &gt; DX12, DW8, DW11),IF(DX8&gt;DX11,DW8,DW11)))</f>
        <v/>
      </c>
      <c r="EB8" s="40">
        <v>11</v>
      </c>
      <c r="EC8" s="61">
        <v>1</v>
      </c>
      <c r="ED8" s="369" t="str">
        <f ca="1">INDIRECT("'Imp. Qualif.'!L"&amp;INDIRECT("B"&amp;ROW()))</f>
        <v/>
      </c>
      <c r="EE8" s="122"/>
      <c r="EG8" s="92" t="str">
        <f>IF(EE8="","",IF(EE8=EE11, IF(EE9 &gt; EE12, ED8, ED11),IF(EE8&gt;EE11,ED8,ED11)))</f>
        <v/>
      </c>
      <c r="EH8" s="122"/>
      <c r="EJ8" s="92" t="str">
        <f>IF(EH8="","",IF(EH8=EH11, IF(EH9 &gt; EH12, EG8, EG11),IF(EH8&gt;EH11,EG8,EG11)))</f>
        <v/>
      </c>
      <c r="EK8" s="122"/>
      <c r="EM8" s="113" t="str">
        <f>IF(EK8="","",IF(EK8=EK11, IF(EK9 &gt; EK12, EJ8, EJ11),IF(EK8&gt;EK11,EJ8,EJ11)))</f>
        <v/>
      </c>
    </row>
    <row r="9" spans="2:143" s="40" customFormat="1" ht="14.25" customHeight="1" thickBot="1" x14ac:dyDescent="0.25">
      <c r="C9"/>
      <c r="D9" s="372" t="str">
        <f ca="1">INDIRECT("'Imp. Qualif.'!M"&amp;INDIRECT("B"&amp;ROW()-1))</f>
        <v/>
      </c>
      <c r="E9" s="74"/>
      <c r="G9" s="93" t="str">
        <f>IF(E8="","",IF(E8=E11, IF(E9 &gt; E12, D9, D12),IF(E8&gt;E11,D9,D12)))</f>
        <v/>
      </c>
      <c r="H9" s="74"/>
      <c r="J9" s="93" t="str">
        <f>IF(H$8="","",IF(H$8=H$11, IF(H$9 &gt; H$12, G9, G12),IF(H$8&gt;H$11,G9,G12)))</f>
        <v/>
      </c>
      <c r="K9" s="74"/>
      <c r="M9" s="114" t="str">
        <f>IF(K8="","",IF(K8=K11, IF(K9 &gt; K12, J9, J12),IF(K8&gt;K11,J9,J12)))</f>
        <v/>
      </c>
      <c r="N9" s="1030"/>
      <c r="Q9" s="61"/>
      <c r="AA9" s="47"/>
      <c r="AD9" s="372" t="str">
        <f ca="1">INDIRECT("'Imp. Qualif.'!M"&amp;INDIRECT("B"&amp;ROW()-1))</f>
        <v/>
      </c>
      <c r="AE9" s="74"/>
      <c r="AG9" s="93" t="str">
        <f>IF(AE8="","",IF(AE8=AE11, IF(AE9 &gt; AE12, AD9, AD12),IF(AE8&gt;AE11,AD9,AD12)))</f>
        <v/>
      </c>
      <c r="AH9" s="74"/>
      <c r="AJ9" s="93" t="str">
        <f>IF(AH$8="","",IF(AH$8=AH$11, IF(AH$9 &gt; AH$12, AG9, AG12),IF(AH$8&gt;AH$11,AG9,AG12)))</f>
        <v/>
      </c>
      <c r="AK9" s="74"/>
      <c r="AM9" s="114" t="str">
        <f>IF(AK8="","",IF(AK8=AK11, IF(AK9 &gt; AK12, AJ9, AJ12),IF(AK8&gt;AK11,AJ9,AJ12)))</f>
        <v/>
      </c>
      <c r="AN9" s="1030"/>
      <c r="AP9" s="61"/>
      <c r="AQ9" s="372" t="str">
        <f ca="1">INDIRECT("'Imp. Qualif.'!M"&amp;INDIRECT("B"&amp;ROW()-1))</f>
        <v/>
      </c>
      <c r="AR9" s="74"/>
      <c r="AT9" s="93" t="str">
        <f>IF(AR8="","",IF(AR8=AR11, IF(AR9 &gt; AR12, AQ9, AQ12),IF(AR8&gt;AR11,AQ9,AQ12)))</f>
        <v/>
      </c>
      <c r="AU9" s="74"/>
      <c r="AW9" s="93" t="str">
        <f>IF(AU$8="","",IF(AU$8=AU$11, IF(AU$9 &gt; AU$12, AT9, AT12),IF(AU$8&gt;AU$11,AT9,AT12)))</f>
        <v/>
      </c>
      <c r="AX9" s="74"/>
      <c r="AZ9" s="114" t="str">
        <f>IF(AX8="","",IF(AX8=AX11, IF(AX9 &gt; AX12, AW9, AW12),IF(AX8&gt;AX11,AW9,AW12)))</f>
        <v/>
      </c>
      <c r="BC9" s="61"/>
      <c r="BD9" s="372" t="str">
        <f ca="1">INDIRECT("'Imp. Qualif.'!M"&amp;INDIRECT("B"&amp;ROW()-1))</f>
        <v/>
      </c>
      <c r="BE9" s="74"/>
      <c r="BG9" s="93" t="str">
        <f>IF(BE8="","",IF(BE8=BE11, IF(BE9 &gt; BE12, BD9, BD12),IF(BE8&gt;BE11,BD9,BD12)))</f>
        <v/>
      </c>
      <c r="BH9" s="74"/>
      <c r="BJ9" s="93" t="str">
        <f>IF(BH$8="","",IF(BH$8=BH$11, IF(BH$9 &gt; BH$12, BG9, BG12),IF(BH$8&gt;BH$11,BG9,BG12)))</f>
        <v/>
      </c>
      <c r="BK9" s="74"/>
      <c r="BM9" s="114" t="str">
        <f>IF(BK8="","",IF(BK8=BK11, IF(BK9 &gt; BK12, BJ9, BJ12),IF(BK8&gt;BK11,BJ9,BJ12)))</f>
        <v/>
      </c>
      <c r="BP9" s="61"/>
      <c r="BQ9" s="372" t="str">
        <f ca="1">INDIRECT("'Imp. Qualif.'!M"&amp;INDIRECT("B"&amp;ROW()-1))</f>
        <v/>
      </c>
      <c r="BR9" s="74"/>
      <c r="BT9" s="93" t="str">
        <f>IF(BR8="","",IF(BR8=BR11, IF(BR9 &gt; BR12, BQ9, BQ12),IF(BR8&gt;BR11,BQ9,BQ12)))</f>
        <v/>
      </c>
      <c r="BU9" s="74"/>
      <c r="BW9" s="93" t="str">
        <f>IF(BU$8="","",IF(BU$8=BU$11, IF(BU$9 &gt; BU$12, BT9, BT12),IF(BU$8&gt;BU$11,BT9,BT12)))</f>
        <v/>
      </c>
      <c r="BX9" s="74"/>
      <c r="BZ9" s="114" t="str">
        <f>IF(BX8="","",IF(BX8=BX11, IF(BX9 &gt; BX12, BW9, BW12),IF(BX8&gt;BX11,BW9,BW12)))</f>
        <v/>
      </c>
      <c r="CC9" s="61"/>
      <c r="CD9" s="372" t="str">
        <f ca="1">INDIRECT("'Imp. Qualif.'!M"&amp;INDIRECT("B"&amp;ROW()-1))</f>
        <v/>
      </c>
      <c r="CE9" s="74"/>
      <c r="CG9" s="93" t="str">
        <f>IF(CE8="","",IF(CE8=CE11, IF(CE9 &gt; CE12, CD9, CD12),IF(CE8&gt;CE11,CD9,CD12)))</f>
        <v/>
      </c>
      <c r="CH9" s="74"/>
      <c r="CJ9" s="93" t="str">
        <f>IF(CH$8="","",IF(CH$8=CH$11, IF(CH$9 &gt; CH$12, CG9, CG12),IF(CH$8&gt;CH$11,CG9,CG12)))</f>
        <v/>
      </c>
      <c r="CK9" s="74"/>
      <c r="CM9" s="114" t="str">
        <f>IF(CK8="","",IF(CK8=CK11, IF(CK9 &gt; CK12, CJ9, CJ12),IF(CK8&gt;CK11,CJ9,CJ12)))</f>
        <v/>
      </c>
      <c r="CP9" s="61"/>
      <c r="CQ9" s="372" t="str">
        <f ca="1">INDIRECT("'Imp. Qualif.'!M"&amp;INDIRECT("B"&amp;ROW()-1))</f>
        <v/>
      </c>
      <c r="CR9" s="74"/>
      <c r="CT9" s="93" t="str">
        <f>IF(CR8="","",IF(CR8=CR11, IF(CR9 &gt; CR12, CQ9, CQ12),IF(CR8&gt;CR11,CQ9,CQ12)))</f>
        <v/>
      </c>
      <c r="CU9" s="74"/>
      <c r="CW9" s="93" t="str">
        <f>IF(CU$8="","",IF(CU$8=CU$11, IF(CU$9 &gt; CU$12, CT9, CT12),IF(CU$8&gt;CU$11,CT9,CT12)))</f>
        <v/>
      </c>
      <c r="CX9" s="74"/>
      <c r="CZ9" s="114" t="str">
        <f>IF(CX8="","",IF(CX8=CX11, IF(CX9 &gt; CX12, CW9, CW12),IF(CX8&gt;CX11,CW9,CW12)))</f>
        <v/>
      </c>
      <c r="DC9" s="61"/>
      <c r="DD9" s="372" t="str">
        <f ca="1">INDIRECT("'Imp. Qualif.'!M"&amp;INDIRECT("B"&amp;ROW()-1))</f>
        <v/>
      </c>
      <c r="DE9" s="74"/>
      <c r="DG9" s="93" t="str">
        <f>IF(DE8="","",IF(DE8=DE11, IF(DE9 &gt; DE12, DD9, DD12),IF(DE8&gt;DE11,DD9,DD12)))</f>
        <v/>
      </c>
      <c r="DH9" s="74"/>
      <c r="DJ9" s="93" t="str">
        <f>IF(DH$8="","",IF(DH$8=DH$11, IF(DH$9 &gt; DH$12, DG9, DG12),IF(DH$8&gt;DH$11,DG9,DG12)))</f>
        <v/>
      </c>
      <c r="DK9" s="74"/>
      <c r="DM9" s="114" t="str">
        <f>IF(DK8="","",IF(DK8=DK11, IF(DK9 &gt; DK12, DJ9, DJ12),IF(DK8&gt;DK11,DJ9,DJ12)))</f>
        <v/>
      </c>
      <c r="DP9" s="61"/>
      <c r="DQ9" s="372" t="str">
        <f ca="1">INDIRECT("'Imp. Qualif.'!M"&amp;INDIRECT("B"&amp;ROW()-1))</f>
        <v/>
      </c>
      <c r="DR9" s="74"/>
      <c r="DT9" s="93" t="str">
        <f>IF(DR8="","",IF(DR8=DR11, IF(DR9 &gt; DR12, DQ9, DQ12),IF(DR8&gt;DR11,DQ9,DQ12)))</f>
        <v/>
      </c>
      <c r="DU9" s="74"/>
      <c r="DW9" s="93" t="str">
        <f>IF(DU$8="","",IF(DU$8=DU$11, IF(DU$9 &gt; DU$12, DT9, DT12),IF(DU$8&gt;DU$11,DT9,DT12)))</f>
        <v/>
      </c>
      <c r="DX9" s="74"/>
      <c r="DZ9" s="114" t="str">
        <f>IF(DX8="","",IF(DX8=DX11, IF(DX9 &gt; DX12, DW9, DW12),IF(DX8&gt;DX11,DW9,DW12)))</f>
        <v/>
      </c>
      <c r="EC9" s="61"/>
      <c r="ED9" s="372" t="str">
        <f ca="1">INDIRECT("'Imp. Qualif.'!M"&amp;INDIRECT("B"&amp;ROW()-1))</f>
        <v/>
      </c>
      <c r="EE9" s="74"/>
      <c r="EG9" s="93" t="str">
        <f>IF(EE8="","",IF(EE8=EE11, IF(EE9 &gt; EE12, ED9, ED12),IF(EE8&gt;EE11,ED9,ED12)))</f>
        <v/>
      </c>
      <c r="EH9" s="74"/>
      <c r="EJ9" s="93" t="str">
        <f>IF(EH$8="","",IF(EH$8=EH$11, IF(EH$9 &gt; EH$12, EG9, EG12),IF(EH$8&gt;EH$11,EG9,EG12)))</f>
        <v/>
      </c>
      <c r="EK9" s="74"/>
      <c r="EM9" s="114" t="str">
        <f>IF(EK8="","",IF(EK8=EK11, IF(EK9 &gt; EK12, EJ9, EJ12),IF(EK8&gt;EK11,EJ9,EJ12)))</f>
        <v/>
      </c>
    </row>
    <row r="10" spans="2:143" s="40" customFormat="1" ht="14.25" customHeight="1" thickBot="1" x14ac:dyDescent="0.25">
      <c r="C10"/>
      <c r="D10" s="358"/>
      <c r="E10" s="94"/>
      <c r="H10" s="94"/>
      <c r="K10" s="94"/>
      <c r="M10" s="111"/>
      <c r="N10" s="47"/>
      <c r="Q10" s="61"/>
      <c r="AA10" s="47"/>
      <c r="AD10" s="358"/>
      <c r="AE10" s="94"/>
      <c r="AH10" s="94"/>
      <c r="AK10" s="94"/>
      <c r="AM10" s="111"/>
      <c r="AN10" s="47"/>
      <c r="AP10" s="61"/>
      <c r="AQ10" s="358"/>
      <c r="AR10" s="94"/>
      <c r="AU10" s="94"/>
      <c r="AX10" s="94"/>
      <c r="AZ10" s="111"/>
      <c r="BC10" s="61"/>
      <c r="BD10" s="358"/>
      <c r="BE10" s="94"/>
      <c r="BH10" s="94"/>
      <c r="BK10" s="94"/>
      <c r="BM10" s="111"/>
      <c r="BP10" s="61"/>
      <c r="BQ10" s="358"/>
      <c r="BR10" s="94"/>
      <c r="BU10" s="94"/>
      <c r="BX10" s="94"/>
      <c r="BZ10" s="111"/>
      <c r="CC10" s="61"/>
      <c r="CD10" s="358"/>
      <c r="CE10" s="94"/>
      <c r="CH10" s="94"/>
      <c r="CK10" s="94"/>
      <c r="CM10" s="111"/>
      <c r="CP10" s="61"/>
      <c r="CQ10" s="358"/>
      <c r="CR10" s="94"/>
      <c r="CU10" s="94"/>
      <c r="CX10" s="94"/>
      <c r="CZ10" s="111"/>
      <c r="DC10" s="61"/>
      <c r="DD10" s="358"/>
      <c r="DE10" s="94"/>
      <c r="DH10" s="94"/>
      <c r="DK10" s="94"/>
      <c r="DM10" s="111"/>
      <c r="DP10" s="61"/>
      <c r="DQ10" s="358"/>
      <c r="DR10" s="94"/>
      <c r="DU10" s="94"/>
      <c r="DX10" s="94"/>
      <c r="DZ10" s="111"/>
      <c r="EC10" s="61"/>
      <c r="ED10" s="358"/>
      <c r="EE10" s="94"/>
      <c r="EH10" s="94"/>
      <c r="EK10" s="94"/>
      <c r="EM10" s="111"/>
    </row>
    <row r="11" spans="2:143" s="40" customFormat="1" ht="14.25" customHeight="1" x14ac:dyDescent="0.2">
      <c r="B11" s="40">
        <v>12</v>
      </c>
      <c r="C11">
        <v>2</v>
      </c>
      <c r="D11" s="369" t="str">
        <f ca="1">INDIRECT("'Imp. Qualif.'!L"&amp;INDIRECT("B"&amp;ROW()))</f>
        <v/>
      </c>
      <c r="E11" s="122"/>
      <c r="G11" s="92" t="str">
        <f>IF(E14="","",IF(E14=E17, IF(E15 &gt; E18, D14, D17),IF(E14&gt;E17,D14,D17)))</f>
        <v/>
      </c>
      <c r="H11" s="122"/>
      <c r="J11" s="92" t="str">
        <f>IF(H14="","",IF(H14=H17, IF(H15 &gt; H18, G14, G17),IF(H14&gt;H17,G14,G17)))</f>
        <v/>
      </c>
      <c r="K11" s="122"/>
      <c r="M11" s="115" t="str">
        <f>IF(K8="","",IF(K8=K11, IF(K12 &lt; K9, J11, J8),IF(K11 &lt; K8,J11,J8)))</f>
        <v/>
      </c>
      <c r="N11" s="1047">
        <v>2</v>
      </c>
      <c r="Q11" s="61"/>
      <c r="AA11" s="47">
        <v>2</v>
      </c>
      <c r="AB11" s="40">
        <v>12</v>
      </c>
      <c r="AD11" s="369" t="str">
        <f ca="1">INDIRECT("'Imp. Qualif.'!L"&amp;INDIRECT("B"&amp;ROW()))</f>
        <v/>
      </c>
      <c r="AE11" s="122"/>
      <c r="AG11" s="92" t="str">
        <f>IF(AE14="","",IF(AE14=AE17, IF(AE15 &gt; AE18, AD14, AD17),IF(AE14&gt;AE17,AD14,AD17)))</f>
        <v/>
      </c>
      <c r="AH11" s="122"/>
      <c r="AJ11" s="92" t="str">
        <f>IF(AH14="","",IF(AH14=AH17, IF(AH15 &gt; AH18, AG14, AG17),IF(AH14&gt;AH17,AG14,AG17)))</f>
        <v/>
      </c>
      <c r="AK11" s="122"/>
      <c r="AM11" s="115" t="str">
        <f>IF(AK8="","",IF(AK8=AK11, IF(AK12 &lt; AK9, AJ11, AJ8),IF(AK11 &lt; AK8,AJ11,AJ8)))</f>
        <v/>
      </c>
      <c r="AN11" s="1047"/>
      <c r="AO11" s="40">
        <v>12</v>
      </c>
      <c r="AP11" s="61">
        <v>2</v>
      </c>
      <c r="AQ11" s="369" t="str">
        <f ca="1">INDIRECT("'Imp. Qualif.'!L"&amp;INDIRECT("B"&amp;ROW()))</f>
        <v/>
      </c>
      <c r="AR11" s="122"/>
      <c r="AT11" s="92" t="str">
        <f>IF(AR14="","",IF(AR14=AR17, IF(AR15 &gt; AR18, AQ14, AQ17),IF(AR14&gt;AR17,AQ14,AQ17)))</f>
        <v/>
      </c>
      <c r="AU11" s="122"/>
      <c r="AW11" s="92" t="str">
        <f>IF(AU14="","",IF(AU14=AU17, IF(AU15 &gt; AU18, AT14, AT17),IF(AU14&gt;AU17,AT14,AT17)))</f>
        <v/>
      </c>
      <c r="AX11" s="122"/>
      <c r="AZ11" s="115" t="str">
        <f>IF(AX8="","",IF(AX8=AX11, IF(AX12 &lt; AX9, AW11, AW8),IF(AX11 &lt; AX8,AW11,AW8)))</f>
        <v/>
      </c>
      <c r="BB11" s="40">
        <v>12</v>
      </c>
      <c r="BC11" s="61">
        <v>2</v>
      </c>
      <c r="BD11" s="369" t="str">
        <f ca="1">INDIRECT("'Imp. Qualif.'!L"&amp;INDIRECT("B"&amp;ROW()))</f>
        <v/>
      </c>
      <c r="BE11" s="122"/>
      <c r="BG11" s="92" t="str">
        <f>IF(BE14="","",IF(BE14=BE17, IF(BE15 &gt; BE18, BD14, BD17),IF(BE14&gt;BE17,BD14,BD17)))</f>
        <v/>
      </c>
      <c r="BH11" s="122"/>
      <c r="BJ11" s="92" t="str">
        <f>IF(BH14="","",IF(BH14=BH17, IF(BH15 &gt; BH18, BG14, BG17),IF(BH14&gt;BH17,BG14,BG17)))</f>
        <v/>
      </c>
      <c r="BK11" s="122"/>
      <c r="BM11" s="115" t="str">
        <f>IF(BK8="","",IF(BK8=BK11, IF(BK12 &lt; BK9, BJ11, BJ8),IF(BK11 &lt; BK8,BJ11,BJ8)))</f>
        <v/>
      </c>
      <c r="BO11" s="40">
        <v>12</v>
      </c>
      <c r="BP11" s="61">
        <v>2</v>
      </c>
      <c r="BQ11" s="369" t="str">
        <f ca="1">INDIRECT("'Imp. Qualif.'!L"&amp;INDIRECT("B"&amp;ROW()))</f>
        <v/>
      </c>
      <c r="BR11" s="122"/>
      <c r="BT11" s="92" t="str">
        <f>IF(BR14="","",IF(BR14=BR17, IF(BR15 &gt; BR18, BQ14, BQ17),IF(BR14&gt;BR17,BQ14,BQ17)))</f>
        <v/>
      </c>
      <c r="BU11" s="122"/>
      <c r="BW11" s="92" t="str">
        <f>IF(BU14="","",IF(BU14=BU17, IF(BU15 &gt; BU18, BT14, BT17),IF(BU14&gt;BU17,BT14,BT17)))</f>
        <v/>
      </c>
      <c r="BX11" s="122"/>
      <c r="BZ11" s="115" t="str">
        <f>IF(BX8="","",IF(BX8=BX11, IF(BX12 &lt; BX9, BW11, BW8),IF(BX11 &lt; BX8,BW11,BW8)))</f>
        <v/>
      </c>
      <c r="CB11" s="40">
        <v>12</v>
      </c>
      <c r="CC11" s="61">
        <v>2</v>
      </c>
      <c r="CD11" s="369" t="str">
        <f ca="1">INDIRECT("'Imp. Qualif.'!L"&amp;INDIRECT("B"&amp;ROW()))</f>
        <v/>
      </c>
      <c r="CE11" s="122"/>
      <c r="CG11" s="92" t="str">
        <f>IF(CE14="","",IF(CE14=CE17, IF(CE15 &gt; CE18, CD14, CD17),IF(CE14&gt;CE17,CD14,CD17)))</f>
        <v/>
      </c>
      <c r="CH11" s="122"/>
      <c r="CJ11" s="92" t="str">
        <f>IF(CH14="","",IF(CH14=CH17, IF(CH15 &gt; CH18, CG14, CG17),IF(CH14&gt;CH17,CG14,CG17)))</f>
        <v/>
      </c>
      <c r="CK11" s="122"/>
      <c r="CM11" s="115" t="str">
        <f>IF(CK8="","",IF(CK8=CK11, IF(CK12 &lt; CK9, CJ11, CJ8),IF(CK11 &lt; CK8,CJ11,CJ8)))</f>
        <v/>
      </c>
      <c r="CO11" s="40">
        <v>12</v>
      </c>
      <c r="CP11" s="61">
        <v>2</v>
      </c>
      <c r="CQ11" s="369" t="str">
        <f ca="1">INDIRECT("'Imp. Qualif.'!L"&amp;INDIRECT("B"&amp;ROW()))</f>
        <v/>
      </c>
      <c r="CR11" s="122"/>
      <c r="CT11" s="92" t="str">
        <f>IF(CR14="","",IF(CR14=CR17, IF(CR15 &gt; CR18, CQ14, CQ17),IF(CR14&gt;CR17,CQ14,CQ17)))</f>
        <v/>
      </c>
      <c r="CU11" s="122"/>
      <c r="CW11" s="92" t="str">
        <f>IF(CU14="","",IF(CU14=CU17, IF(CU15 &gt; CU18, CT14, CT17),IF(CU14&gt;CU17,CT14,CT17)))</f>
        <v/>
      </c>
      <c r="CX11" s="122"/>
      <c r="CZ11" s="115" t="str">
        <f>IF(CX8="","",IF(CX8=CX11, IF(CX12 &lt; CX9, CW11, CW8),IF(CX11 &lt; CX8,CW11,CW8)))</f>
        <v/>
      </c>
      <c r="DB11" s="40">
        <v>12</v>
      </c>
      <c r="DC11" s="61">
        <v>2</v>
      </c>
      <c r="DD11" s="369" t="str">
        <f ca="1">INDIRECT("'Imp. Qualif.'!L"&amp;INDIRECT("B"&amp;ROW()))</f>
        <v/>
      </c>
      <c r="DE11" s="122"/>
      <c r="DG11" s="92" t="str">
        <f>IF(DE14="","",IF(DE14=DE17, IF(DE15 &gt; DE18, DD14, DD17),IF(DE14&gt;DE17,DD14,DD17)))</f>
        <v/>
      </c>
      <c r="DH11" s="122"/>
      <c r="DJ11" s="92" t="str">
        <f>IF(DH14="","",IF(DH14=DH17, IF(DH15 &gt; DH18, DG14, DG17),IF(DH14&gt;DH17,DG14,DG17)))</f>
        <v/>
      </c>
      <c r="DK11" s="122"/>
      <c r="DM11" s="115" t="str">
        <f>IF(DK8="","",IF(DK8=DK11, IF(DK12 &lt; DK9, DJ11, DJ8),IF(DK11 &lt; DK8,DJ11,DJ8)))</f>
        <v/>
      </c>
      <c r="DO11" s="40">
        <v>12</v>
      </c>
      <c r="DP11" s="61">
        <v>2</v>
      </c>
      <c r="DQ11" s="369" t="str">
        <f ca="1">INDIRECT("'Imp. Qualif.'!L"&amp;INDIRECT("B"&amp;ROW()))</f>
        <v/>
      </c>
      <c r="DR11" s="122"/>
      <c r="DT11" s="92" t="str">
        <f>IF(DR14="","",IF(DR14=DR17, IF(DR15 &gt; DR18, DQ14, DQ17),IF(DR14&gt;DR17,DQ14,DQ17)))</f>
        <v/>
      </c>
      <c r="DU11" s="122"/>
      <c r="DW11" s="92" t="str">
        <f>IF(DU14="","",IF(DU14=DU17, IF(DU15 &gt; DU18, DT14, DT17),IF(DU14&gt;DU17,DT14,DT17)))</f>
        <v/>
      </c>
      <c r="DX11" s="122"/>
      <c r="DZ11" s="115" t="str">
        <f>IF(DX8="","",IF(DX8=DX11, IF(DX12 &lt; DX9, DW11, DW8),IF(DX11 &lt; DX8,DW11,DW8)))</f>
        <v/>
      </c>
      <c r="EB11" s="40">
        <v>12</v>
      </c>
      <c r="EC11" s="61">
        <v>2</v>
      </c>
      <c r="ED11" s="369" t="str">
        <f ca="1">INDIRECT("'Imp. Qualif.'!L"&amp;INDIRECT("B"&amp;ROW()))</f>
        <v/>
      </c>
      <c r="EE11" s="122"/>
      <c r="EG11" s="92" t="str">
        <f>IF(EE14="","",IF(EE14=EE17, IF(EE15 &gt; EE18, ED14, ED17),IF(EE14&gt;EE17,ED14,ED17)))</f>
        <v/>
      </c>
      <c r="EH11" s="122"/>
      <c r="EJ11" s="92" t="str">
        <f>IF(EH14="","",IF(EH14=EH17, IF(EH15 &gt; EH18, EG14, EG17),IF(EH14&gt;EH17,EG14,EG17)))</f>
        <v/>
      </c>
      <c r="EK11" s="122"/>
      <c r="EM11" s="115" t="str">
        <f>IF(EK8="","",IF(EK8=EK11, IF(EK12 &lt; EK9, EJ11, EJ8),IF(EK11 &lt; EK8,EJ11,EJ8)))</f>
        <v/>
      </c>
    </row>
    <row r="12" spans="2:143" s="40" customFormat="1" ht="14.25" customHeight="1" thickBot="1" x14ac:dyDescent="0.25">
      <c r="C12"/>
      <c r="D12" s="372" t="str">
        <f ca="1">INDIRECT("'Imp. Qualif.'!M"&amp;INDIRECT("B"&amp;ROW()-1))</f>
        <v/>
      </c>
      <c r="E12" s="74"/>
      <c r="G12" s="93" t="str">
        <f>IF(E14="","",IF(E14=E17, IF(E15 &gt; E18, D15, D18),IF(E14&gt;E17,D15,D18)))</f>
        <v/>
      </c>
      <c r="H12" s="74"/>
      <c r="J12" s="93" t="str">
        <f>IF(H14="","",IF(H14=H17, IF(H15 &gt; H18, G15, G18),IF(H14&gt;H17,G15,G18)))</f>
        <v/>
      </c>
      <c r="K12" s="74"/>
      <c r="M12" s="116" t="str">
        <f>IF(K8="","",IF(K8=K11, IF(K12 &lt; K9, J12, J9),IF(K11 &lt; K8,J12,J9)))</f>
        <v/>
      </c>
      <c r="N12" s="1047"/>
      <c r="Q12" s="61"/>
      <c r="AA12" s="47"/>
      <c r="AD12" s="372" t="str">
        <f ca="1">INDIRECT("'Imp. Qualif.'!M"&amp;INDIRECT("B"&amp;ROW()-1))</f>
        <v/>
      </c>
      <c r="AE12" s="74"/>
      <c r="AG12" s="93" t="str">
        <f>IF(AE14="","",IF(AE14=AE17, IF(AE15 &gt; AE18, AD15, AD18),IF(AE14&gt;AE17,AD15,AD18)))</f>
        <v/>
      </c>
      <c r="AH12" s="74"/>
      <c r="AJ12" s="93" t="str">
        <f>IF(AH14="","",IF(AH14=AH17, IF(AH15 &gt; AH18, AG15, AG18),IF(AH14&gt;AH17,AG15,AG18)))</f>
        <v/>
      </c>
      <c r="AK12" s="74"/>
      <c r="AM12" s="116" t="str">
        <f>IF(AK8="","",IF(AK8=AK11, IF(AK12 &lt; AK9, AJ12, AJ9),IF(AK11 &lt; AK8,AJ12,AJ9)))</f>
        <v/>
      </c>
      <c r="AN12" s="1047"/>
      <c r="AP12" s="61"/>
      <c r="AQ12" s="372" t="str">
        <f ca="1">INDIRECT("'Imp. Qualif.'!M"&amp;INDIRECT("B"&amp;ROW()-1))</f>
        <v/>
      </c>
      <c r="AR12" s="74"/>
      <c r="AT12" s="93" t="str">
        <f>IF(AR14="","",IF(AR14=AR17, IF(AR15 &gt; AR18, AQ15, AQ18),IF(AR14&gt;AR17,AQ15,AQ18)))</f>
        <v/>
      </c>
      <c r="AU12" s="74"/>
      <c r="AW12" s="93" t="str">
        <f>IF(AU14="","",IF(AU14=AU17, IF(AU15 &gt; AU18, AT15, AT18),IF(AU14&gt;AU17,AT15,AT18)))</f>
        <v/>
      </c>
      <c r="AX12" s="74"/>
      <c r="AZ12" s="116" t="str">
        <f>IF(AX8="","",IF(AX8=AX11, IF(AX12 &lt; AX9, AW12, AW9),IF(AX11 &lt; AX8,AW12,AW9)))</f>
        <v/>
      </c>
      <c r="BC12" s="61"/>
      <c r="BD12" s="372" t="str">
        <f ca="1">INDIRECT("'Imp. Qualif.'!M"&amp;INDIRECT("B"&amp;ROW()-1))</f>
        <v/>
      </c>
      <c r="BE12" s="74"/>
      <c r="BG12" s="93" t="str">
        <f>IF(BE14="","",IF(BE14=BE17, IF(BE15 &gt; BE18, BD15, BD18),IF(BE14&gt;BE17,BD15,BD18)))</f>
        <v/>
      </c>
      <c r="BH12" s="74"/>
      <c r="BJ12" s="93" t="str">
        <f>IF(BH14="","",IF(BH14=BH17, IF(BH15 &gt; BH18, BG15, BG18),IF(BH14&gt;BH17,BG15,BG18)))</f>
        <v/>
      </c>
      <c r="BK12" s="74"/>
      <c r="BM12" s="116" t="str">
        <f>IF(BK8="","",IF(BK8=BK11, IF(BK12 &lt; BK9, BJ12, BJ9),IF(BK11 &lt; BK8,BJ12,BJ9)))</f>
        <v/>
      </c>
      <c r="BP12" s="61"/>
      <c r="BQ12" s="372" t="str">
        <f ca="1">INDIRECT("'Imp. Qualif.'!M"&amp;INDIRECT("B"&amp;ROW()-1))</f>
        <v/>
      </c>
      <c r="BR12" s="74"/>
      <c r="BT12" s="93" t="str">
        <f>IF(BR14="","",IF(BR14=BR17, IF(BR15 &gt; BR18, BQ15, BQ18),IF(BR14&gt;BR17,BQ15,BQ18)))</f>
        <v/>
      </c>
      <c r="BU12" s="74"/>
      <c r="BW12" s="93" t="str">
        <f>IF(BU14="","",IF(BU14=BU17, IF(BU15 &gt; BU18, BT15, BT18),IF(BU14&gt;BU17,BT15,BT18)))</f>
        <v/>
      </c>
      <c r="BX12" s="74"/>
      <c r="BZ12" s="116" t="str">
        <f>IF(BX8="","",IF(BX8=BX11, IF(BX12 &lt; BX9, BW12, BW9),IF(BX11 &lt; BX8,BW12,BW9)))</f>
        <v/>
      </c>
      <c r="CC12" s="61"/>
      <c r="CD12" s="372" t="str">
        <f ca="1">INDIRECT("'Imp. Qualif.'!M"&amp;INDIRECT("B"&amp;ROW()-1))</f>
        <v/>
      </c>
      <c r="CE12" s="74"/>
      <c r="CG12" s="93" t="str">
        <f>IF(CE14="","",IF(CE14=CE17, IF(CE15 &gt; CE18, CD15, CD18),IF(CE14&gt;CE17,CD15,CD18)))</f>
        <v/>
      </c>
      <c r="CH12" s="74"/>
      <c r="CJ12" s="93" t="str">
        <f>IF(CH14="","",IF(CH14=CH17, IF(CH15 &gt; CH18, CG15, CG18),IF(CH14&gt;CH17,CG15,CG18)))</f>
        <v/>
      </c>
      <c r="CK12" s="74"/>
      <c r="CM12" s="116" t="str">
        <f>IF(CK8="","",IF(CK8=CK11, IF(CK12 &lt; CK9, CJ12, CJ9),IF(CK11 &lt; CK8,CJ12,CJ9)))</f>
        <v/>
      </c>
      <c r="CP12" s="61"/>
      <c r="CQ12" s="372" t="str">
        <f ca="1">INDIRECT("'Imp. Qualif.'!M"&amp;INDIRECT("B"&amp;ROW()-1))</f>
        <v/>
      </c>
      <c r="CR12" s="74"/>
      <c r="CT12" s="93" t="str">
        <f>IF(CR14="","",IF(CR14=CR17, IF(CR15 &gt; CR18, CQ15, CQ18),IF(CR14&gt;CR17,CQ15,CQ18)))</f>
        <v/>
      </c>
      <c r="CU12" s="74"/>
      <c r="CW12" s="93" t="str">
        <f>IF(CU14="","",IF(CU14=CU17, IF(CU15 &gt; CU18, CT15, CT18),IF(CU14&gt;CU17,CT15,CT18)))</f>
        <v/>
      </c>
      <c r="CX12" s="74"/>
      <c r="CZ12" s="116" t="str">
        <f>IF(CX8="","",IF(CX8=CX11, IF(CX12 &lt; CX9, CW12, CW9),IF(CX11 &lt; CX8,CW12,CW9)))</f>
        <v/>
      </c>
      <c r="DC12" s="61"/>
      <c r="DD12" s="372" t="str">
        <f ca="1">INDIRECT("'Imp. Qualif.'!M"&amp;INDIRECT("B"&amp;ROW()-1))</f>
        <v/>
      </c>
      <c r="DE12" s="74"/>
      <c r="DG12" s="93" t="str">
        <f>IF(DE14="","",IF(DE14=DE17, IF(DE15 &gt; DE18, DD15, DD18),IF(DE14&gt;DE17,DD15,DD18)))</f>
        <v/>
      </c>
      <c r="DH12" s="74"/>
      <c r="DJ12" s="93" t="str">
        <f>IF(DH14="","",IF(DH14=DH17, IF(DH15 &gt; DH18, DG15, DG18),IF(DH14&gt;DH17,DG15,DG18)))</f>
        <v/>
      </c>
      <c r="DK12" s="74"/>
      <c r="DM12" s="116" t="str">
        <f>IF(DK8="","",IF(DK8=DK11, IF(DK12 &lt; DK9, DJ12, DJ9),IF(DK11 &lt; DK8,DJ12,DJ9)))</f>
        <v/>
      </c>
      <c r="DP12" s="61"/>
      <c r="DQ12" s="372" t="str">
        <f ca="1">INDIRECT("'Imp. Qualif.'!M"&amp;INDIRECT("B"&amp;ROW()-1))</f>
        <v/>
      </c>
      <c r="DR12" s="74"/>
      <c r="DT12" s="93" t="str">
        <f>IF(DR14="","",IF(DR14=DR17, IF(DR15 &gt; DR18, DQ15, DQ18),IF(DR14&gt;DR17,DQ15,DQ18)))</f>
        <v/>
      </c>
      <c r="DU12" s="74"/>
      <c r="DW12" s="93" t="str">
        <f>IF(DU14="","",IF(DU14=DU17, IF(DU15 &gt; DU18, DT15, DT18),IF(DU14&gt;DU17,DT15,DT18)))</f>
        <v/>
      </c>
      <c r="DX12" s="74"/>
      <c r="DZ12" s="116" t="str">
        <f>IF(DX8="","",IF(DX8=DX11, IF(DX12 &lt; DX9, DW12, DW9),IF(DX11 &lt; DX8,DW12,DW9)))</f>
        <v/>
      </c>
      <c r="EC12" s="61"/>
      <c r="ED12" s="372" t="str">
        <f ca="1">INDIRECT("'Imp. Qualif.'!M"&amp;INDIRECT("B"&amp;ROW()-1))</f>
        <v/>
      </c>
      <c r="EE12" s="74"/>
      <c r="EG12" s="93" t="str">
        <f>IF(EE14="","",IF(EE14=EE17, IF(EE15 &gt; EE18, ED15, ED18),IF(EE14&gt;EE17,ED15,ED18)))</f>
        <v/>
      </c>
      <c r="EH12" s="74"/>
      <c r="EJ12" s="93" t="str">
        <f>IF(EH14="","",IF(EH14=EH17, IF(EH15 &gt; EH18, EG15, EG18),IF(EH14&gt;EH17,EG15,EG18)))</f>
        <v/>
      </c>
      <c r="EK12" s="74"/>
      <c r="EM12" s="116" t="str">
        <f>IF(EK8="","",IF(EK8=EK11, IF(EK12 &lt; EK9, EJ12, EJ9),IF(EK11 &lt; EK8,EJ12,EJ9)))</f>
        <v/>
      </c>
    </row>
    <row r="13" spans="2:143" s="40" customFormat="1" ht="14.25" customHeight="1" thickBot="1" x14ac:dyDescent="0.25">
      <c r="C13"/>
      <c r="D13" s="358"/>
      <c r="E13" s="94"/>
      <c r="H13" s="94"/>
      <c r="K13" s="94"/>
      <c r="M13" s="111"/>
      <c r="N13" s="47"/>
      <c r="Q13" s="61"/>
      <c r="AA13" s="47"/>
      <c r="AD13" s="358"/>
      <c r="AE13" s="94"/>
      <c r="AH13" s="94"/>
      <c r="AK13" s="94"/>
      <c r="AM13" s="111"/>
      <c r="AN13" s="47"/>
      <c r="AP13" s="61"/>
      <c r="AQ13" s="358"/>
      <c r="AR13" s="94"/>
      <c r="AU13" s="94"/>
      <c r="AX13" s="94"/>
      <c r="AZ13" s="111"/>
      <c r="BC13" s="61"/>
      <c r="BD13" s="358"/>
      <c r="BE13" s="94"/>
      <c r="BH13" s="94"/>
      <c r="BK13" s="94"/>
      <c r="BM13" s="111"/>
      <c r="BP13" s="61"/>
      <c r="BQ13" s="358"/>
      <c r="BR13" s="94"/>
      <c r="BU13" s="94"/>
      <c r="BX13" s="94"/>
      <c r="BZ13" s="111"/>
      <c r="CC13" s="61"/>
      <c r="CD13" s="358"/>
      <c r="CE13" s="94"/>
      <c r="CH13" s="94"/>
      <c r="CK13" s="94"/>
      <c r="CM13" s="111"/>
      <c r="CP13" s="61"/>
      <c r="CQ13" s="358"/>
      <c r="CR13" s="94"/>
      <c r="CU13" s="94"/>
      <c r="CX13" s="94"/>
      <c r="CZ13" s="111"/>
      <c r="DC13" s="61"/>
      <c r="DD13" s="358"/>
      <c r="DE13" s="94"/>
      <c r="DH13" s="94"/>
      <c r="DK13" s="94"/>
      <c r="DM13" s="111"/>
      <c r="DP13" s="61"/>
      <c r="DQ13" s="358"/>
      <c r="DR13" s="94"/>
      <c r="DU13" s="94"/>
      <c r="DX13" s="94"/>
      <c r="DZ13" s="111"/>
      <c r="EC13" s="61"/>
      <c r="ED13" s="358"/>
      <c r="EE13" s="94"/>
      <c r="EH13" s="94"/>
      <c r="EK13" s="94"/>
      <c r="EM13" s="111"/>
    </row>
    <row r="14" spans="2:143" s="40" customFormat="1" ht="14.25" customHeight="1" x14ac:dyDescent="0.2">
      <c r="B14" s="40">
        <v>13</v>
      </c>
      <c r="C14">
        <v>3</v>
      </c>
      <c r="D14" s="369" t="str">
        <f ca="1">INDIRECT("'Imp. Qualif.'!L"&amp;INDIRECT("B"&amp;ROW()))</f>
        <v/>
      </c>
      <c r="E14" s="122"/>
      <c r="G14" s="92" t="str">
        <f>IF(E8="","",IF(E8=E11, IF(E9 &lt; E12, D8, D11),IF(E8 &lt; E11,D8,D11)))</f>
        <v/>
      </c>
      <c r="H14" s="122"/>
      <c r="J14" s="92" t="str">
        <f>IF(H8="","",IF(H8=H11, IF(H9 &lt; H12, G8, G11),IF(H8 &lt; H11,G8,G11)))</f>
        <v/>
      </c>
      <c r="K14" s="122"/>
      <c r="M14" s="115" t="str">
        <f>IF(K14="","",IF(K14=K17, IF(K15 &gt; K18, J14, J17),IF(K14&gt;K17,J14,J17)))</f>
        <v/>
      </c>
      <c r="N14" s="1047">
        <v>3</v>
      </c>
      <c r="Q14" s="61"/>
      <c r="AA14" s="47">
        <v>3</v>
      </c>
      <c r="AB14" s="40">
        <v>13</v>
      </c>
      <c r="AD14" s="369" t="str">
        <f ca="1">INDIRECT("'Imp. Qualif.'!L"&amp;INDIRECT("B"&amp;ROW()))</f>
        <v/>
      </c>
      <c r="AE14" s="122"/>
      <c r="AG14" s="92" t="str">
        <f>IF(AE8="","",IF(AE8=AE11, IF(AE9 &lt; AE12, AD8, AD11),IF(AE8 &lt; AE11,AD8,AD11)))</f>
        <v/>
      </c>
      <c r="AH14" s="122"/>
      <c r="AJ14" s="92" t="str">
        <f>IF(AH8="","",IF(AH8=AH11, IF(AH9 &lt; AH12, AG8, AG11),IF(AH8 &lt; AH11,AG8,AG11)))</f>
        <v/>
      </c>
      <c r="AK14" s="122"/>
      <c r="AM14" s="115" t="str">
        <f>IF(AK14="","",IF(AK14=AK17, IF(AK15 &gt; AK18, AJ14, AJ17),IF(AK14&gt;AK17,AJ14,AJ17)))</f>
        <v/>
      </c>
      <c r="AN14" s="1047"/>
      <c r="AO14" s="40">
        <v>13</v>
      </c>
      <c r="AP14" s="61">
        <v>3</v>
      </c>
      <c r="AQ14" s="369" t="str">
        <f ca="1">INDIRECT("'Imp. Qualif.'!L"&amp;INDIRECT("B"&amp;ROW()))</f>
        <v/>
      </c>
      <c r="AR14" s="122"/>
      <c r="AT14" s="92" t="str">
        <f>IF(AR8="","",IF(AR8=AR11, IF(AR9 &lt; AR12, AQ8, AQ11),IF(AR8 &lt; AR11,AQ8,AQ11)))</f>
        <v/>
      </c>
      <c r="AU14" s="122"/>
      <c r="AW14" s="92" t="str">
        <f>IF(AU8="","",IF(AU8=AU11, IF(AU9 &lt; AU12, AT8, AT11),IF(AU8 &lt; AU11,AT8,AT11)))</f>
        <v/>
      </c>
      <c r="AX14" s="122"/>
      <c r="AZ14" s="115" t="str">
        <f>IF(AX14="","",IF(AX14=AX17, IF(AX15 &gt; AX18, AW14, AW17),IF(AX14&gt;AX17,AW14,AW17)))</f>
        <v/>
      </c>
      <c r="BB14" s="40">
        <v>13</v>
      </c>
      <c r="BC14" s="61">
        <v>3</v>
      </c>
      <c r="BD14" s="369" t="str">
        <f ca="1">INDIRECT("'Imp. Qualif.'!L"&amp;INDIRECT("B"&amp;ROW()))</f>
        <v/>
      </c>
      <c r="BE14" s="122"/>
      <c r="BG14" s="92" t="str">
        <f>IF(BE8="","",IF(BE8=BE11, IF(BE9 &lt; BE12, BD8, BD11),IF(BE8 &lt; BE11,BD8,BD11)))</f>
        <v/>
      </c>
      <c r="BH14" s="122"/>
      <c r="BJ14" s="92" t="str">
        <f>IF(BH8="","",IF(BH8=BH11, IF(BH9 &lt; BH12, BG8, BG11),IF(BH8 &lt; BH11,BG8,BG11)))</f>
        <v/>
      </c>
      <c r="BK14" s="122"/>
      <c r="BM14" s="115" t="str">
        <f>IF(BK14="","",IF(BK14=BK17, IF(BK15 &gt; BK18, BJ14, BJ17),IF(BK14&gt;BK17,BJ14,BJ17)))</f>
        <v/>
      </c>
      <c r="BO14" s="40">
        <v>13</v>
      </c>
      <c r="BP14" s="61">
        <v>3</v>
      </c>
      <c r="BQ14" s="369" t="str">
        <f ca="1">INDIRECT("'Imp. Qualif.'!L"&amp;INDIRECT("B"&amp;ROW()))</f>
        <v/>
      </c>
      <c r="BR14" s="122"/>
      <c r="BT14" s="92" t="str">
        <f>IF(BR8="","",IF(BR8=BR11, IF(BR9 &lt; BR12, BQ8, BQ11),IF(BR8 &lt; BR11,BQ8,BQ11)))</f>
        <v/>
      </c>
      <c r="BU14" s="122"/>
      <c r="BW14" s="92" t="str">
        <f>IF(BU8="","",IF(BU8=BU11, IF(BU9 &lt; BU12, BT8, BT11),IF(BU8 &lt; BU11,BT8,BT11)))</f>
        <v/>
      </c>
      <c r="BX14" s="122"/>
      <c r="BZ14" s="115" t="str">
        <f>IF(BX14="","",IF(BX14=BX17, IF(BX15 &gt; BX18, BW14, BW17),IF(BX14&gt;BX17,BW14,BW17)))</f>
        <v/>
      </c>
      <c r="CB14" s="40">
        <v>13</v>
      </c>
      <c r="CC14" s="61">
        <v>3</v>
      </c>
      <c r="CD14" s="369" t="str">
        <f ca="1">INDIRECT("'Imp. Qualif.'!L"&amp;INDIRECT("B"&amp;ROW()))</f>
        <v/>
      </c>
      <c r="CE14" s="122"/>
      <c r="CG14" s="92" t="str">
        <f>IF(CE8="","",IF(CE8=CE11, IF(CE9 &lt; CE12, CD8, CD11),IF(CE8 &lt; CE11,CD8,CD11)))</f>
        <v/>
      </c>
      <c r="CH14" s="122"/>
      <c r="CJ14" s="92" t="str">
        <f>IF(CH8="","",IF(CH8=CH11, IF(CH9 &lt; CH12, CG8, CG11),IF(CH8 &lt; CH11,CG8,CG11)))</f>
        <v/>
      </c>
      <c r="CK14" s="122"/>
      <c r="CM14" s="115" t="str">
        <f>IF(CK14="","",IF(CK14=CK17, IF(CK15 &gt; CK18, CJ14, CJ17),IF(CK14&gt;CK17,CJ14,CJ17)))</f>
        <v/>
      </c>
      <c r="CO14" s="40">
        <v>13</v>
      </c>
      <c r="CP14" s="61">
        <v>3</v>
      </c>
      <c r="CQ14" s="369" t="str">
        <f ca="1">INDIRECT("'Imp. Qualif.'!L"&amp;INDIRECT("B"&amp;ROW()))</f>
        <v/>
      </c>
      <c r="CR14" s="122"/>
      <c r="CT14" s="92" t="str">
        <f>IF(CR8="","",IF(CR8=CR11, IF(CR9 &lt; CR12, CQ8, CQ11),IF(CR8 &lt; CR11,CQ8,CQ11)))</f>
        <v/>
      </c>
      <c r="CU14" s="122"/>
      <c r="CW14" s="92" t="str">
        <f>IF(CU8="","",IF(CU8=CU11, IF(CU9 &lt; CU12, CT8, CT11),IF(CU8 &lt; CU11,CT8,CT11)))</f>
        <v/>
      </c>
      <c r="CX14" s="122"/>
      <c r="CZ14" s="115" t="str">
        <f>IF(CX14="","",IF(CX14=CX17, IF(CX15 &gt; CX18, CW14, CW17),IF(CX14&gt;CX17,CW14,CW17)))</f>
        <v/>
      </c>
      <c r="DB14" s="40">
        <v>13</v>
      </c>
      <c r="DC14" s="61">
        <v>3</v>
      </c>
      <c r="DD14" s="369" t="str">
        <f ca="1">INDIRECT("'Imp. Qualif.'!L"&amp;INDIRECT("B"&amp;ROW()))</f>
        <v/>
      </c>
      <c r="DE14" s="122"/>
      <c r="DG14" s="92" t="str">
        <f>IF(DE8="","",IF(DE8=DE11, IF(DE9 &lt; DE12, DD8, DD11),IF(DE8 &lt; DE11,DD8,DD11)))</f>
        <v/>
      </c>
      <c r="DH14" s="122"/>
      <c r="DJ14" s="92" t="str">
        <f>IF(DH8="","",IF(DH8=DH11, IF(DH9 &lt; DH12, DG8, DG11),IF(DH8 &lt; DH11,DG8,DG11)))</f>
        <v/>
      </c>
      <c r="DK14" s="122"/>
      <c r="DM14" s="115" t="str">
        <f>IF(DK14="","",IF(DK14=DK17, IF(DK15 &gt; DK18, DJ14, DJ17),IF(DK14&gt;DK17,DJ14,DJ17)))</f>
        <v/>
      </c>
      <c r="DO14" s="40">
        <v>13</v>
      </c>
      <c r="DP14" s="61">
        <v>3</v>
      </c>
      <c r="DQ14" s="369" t="str">
        <f ca="1">INDIRECT("'Imp. Qualif.'!L"&amp;INDIRECT("B"&amp;ROW()))</f>
        <v/>
      </c>
      <c r="DR14" s="122"/>
      <c r="DT14" s="92" t="str">
        <f>IF(DR8="","",IF(DR8=DR11, IF(DR9 &lt; DR12, DQ8, DQ11),IF(DR8 &lt; DR11,DQ8,DQ11)))</f>
        <v/>
      </c>
      <c r="DU14" s="122"/>
      <c r="DW14" s="92" t="str">
        <f>IF(DU8="","",IF(DU8=DU11, IF(DU9 &lt; DU12, DT8, DT11),IF(DU8 &lt; DU11,DT8,DT11)))</f>
        <v/>
      </c>
      <c r="DX14" s="122"/>
      <c r="DZ14" s="115" t="str">
        <f>IF(DX14="","",IF(DX14=DX17, IF(DX15 &gt; DX18, DW14, DW17),IF(DX14&gt;DX17,DW14,DW17)))</f>
        <v/>
      </c>
      <c r="EB14" s="40">
        <v>13</v>
      </c>
      <c r="EC14" s="61">
        <v>3</v>
      </c>
      <c r="ED14" s="369" t="str">
        <f ca="1">INDIRECT("'Imp. Qualif.'!L"&amp;INDIRECT("B"&amp;ROW()))</f>
        <v/>
      </c>
      <c r="EE14" s="122"/>
      <c r="EG14" s="92" t="str">
        <f>IF(EE8="","",IF(EE8=EE11, IF(EE9 &lt; EE12, ED8, ED11),IF(EE8 &lt; EE11,ED8,ED11)))</f>
        <v/>
      </c>
      <c r="EH14" s="122"/>
      <c r="EJ14" s="92" t="str">
        <f>IF(EH8="","",IF(EH8=EH11, IF(EH9 &lt; EH12, EG8, EG11),IF(EH8 &lt; EH11,EG8,EG11)))</f>
        <v/>
      </c>
      <c r="EK14" s="122"/>
      <c r="EM14" s="117" t="str">
        <f>IF(EK14="","",IF(EK14=EK17, IF(EK15 &gt; EK18, EJ14, EJ17),IF(EK14&gt;EK17,EJ14,EJ17)))</f>
        <v/>
      </c>
    </row>
    <row r="15" spans="2:143" s="40" customFormat="1" ht="14.25" customHeight="1" thickBot="1" x14ac:dyDescent="0.25">
      <c r="C15"/>
      <c r="D15" s="372" t="str">
        <f ca="1">INDIRECT("'Imp. Qualif.'!M"&amp;INDIRECT("B"&amp;ROW()-1))</f>
        <v/>
      </c>
      <c r="E15" s="74"/>
      <c r="G15" s="93" t="str">
        <f>IF(E8="","",IF(E8=E11, IF(E9 &lt; E12, D9, D12),IF(E8 &lt; E11,D9,D12)))</f>
        <v/>
      </c>
      <c r="H15" s="74"/>
      <c r="J15" s="93" t="str">
        <f>IF(H8="","",IF(H8=H11, IF(H9 &lt; H12, G9, G12),IF(H8 &lt; H11,G9,G12)))</f>
        <v/>
      </c>
      <c r="K15" s="74"/>
      <c r="M15" s="116" t="str">
        <f>IF(K14="","",IF(K14=K17, IF(K15 &gt; K18, J15, J18),IF(K14&gt;K17,J15,J18)))</f>
        <v/>
      </c>
      <c r="N15" s="1047"/>
      <c r="Q15" s="61"/>
      <c r="AA15" s="47"/>
      <c r="AD15" s="372" t="str">
        <f ca="1">INDIRECT("'Imp. Qualif.'!M"&amp;INDIRECT("B"&amp;ROW()-1))</f>
        <v/>
      </c>
      <c r="AE15" s="74"/>
      <c r="AG15" s="93" t="str">
        <f>IF(AE8="","",IF(AE8=AE11, IF(AE9 &lt; AE12, AD9, AD12),IF(AE8 &lt; AE11,AD9,AD12)))</f>
        <v/>
      </c>
      <c r="AH15" s="74"/>
      <c r="AJ15" s="93" t="str">
        <f>IF(AH8="","",IF(AH8=AH11, IF(AH9 &lt; AH12, AG9, AG12),IF(AH8 &lt; AH11,AG9,AG12)))</f>
        <v/>
      </c>
      <c r="AK15" s="74"/>
      <c r="AM15" s="116" t="str">
        <f>IF(AK14="","",IF(AK14=AK17, IF(AK15 &gt; AK18, AJ15, AJ18),IF(AK14&gt;AK17,AJ15,AJ18)))</f>
        <v/>
      </c>
      <c r="AN15" s="1047"/>
      <c r="AP15" s="61"/>
      <c r="AQ15" s="372" t="str">
        <f ca="1">INDIRECT("'Imp. Qualif.'!M"&amp;INDIRECT("B"&amp;ROW()-1))</f>
        <v/>
      </c>
      <c r="AR15" s="74"/>
      <c r="AT15" s="93" t="str">
        <f>IF(AR8="","",IF(AR8=AR11, IF(AR9 &lt; AR12, AQ9, AQ12),IF(AR8 &lt; AR11,AQ9,AQ12)))</f>
        <v/>
      </c>
      <c r="AU15" s="74"/>
      <c r="AW15" s="93" t="str">
        <f>IF(AU8="","",IF(AU8=AU11, IF(AU9 &lt; AU12, AT9, AT12),IF(AU8 &lt; AU11,AT9,AT12)))</f>
        <v/>
      </c>
      <c r="AX15" s="74"/>
      <c r="AZ15" s="116" t="str">
        <f>IF(AX14="","",IF(AX14=AX17, IF(AX15 &gt; AX18, AW15, AW18),IF(AX14&gt;AX17,AW15,AW18)))</f>
        <v/>
      </c>
      <c r="BC15" s="61"/>
      <c r="BD15" s="372" t="str">
        <f ca="1">INDIRECT("'Imp. Qualif.'!M"&amp;INDIRECT("B"&amp;ROW()-1))</f>
        <v/>
      </c>
      <c r="BE15" s="74"/>
      <c r="BG15" s="93" t="str">
        <f>IF(BE8="","",IF(BE8=BE11, IF(BE9 &lt; BE12, BD9, BD12),IF(BE8 &lt; BE11,BD9,BD12)))</f>
        <v/>
      </c>
      <c r="BH15" s="74"/>
      <c r="BJ15" s="93" t="str">
        <f>IF(BH8="","",IF(BH8=BH11, IF(BH9 &lt; BH12, BG9, BG12),IF(BH8 &lt; BH11,BG9,BG12)))</f>
        <v/>
      </c>
      <c r="BK15" s="74"/>
      <c r="BM15" s="116" t="str">
        <f>IF(BK14="","",IF(BK14=BK17, IF(BK15 &gt; BK18, BJ15, BJ18),IF(BK14&gt;BK17,BJ15,BJ18)))</f>
        <v/>
      </c>
      <c r="BP15" s="61"/>
      <c r="BQ15" s="372" t="str">
        <f ca="1">INDIRECT("'Imp. Qualif.'!M"&amp;INDIRECT("B"&amp;ROW()-1))</f>
        <v/>
      </c>
      <c r="BR15" s="74"/>
      <c r="BT15" s="93" t="str">
        <f>IF(BR8="","",IF(BR8=BR11, IF(BR9 &lt; BR12, BQ9, BQ12),IF(BR8 &lt; BR11,BQ9,BQ12)))</f>
        <v/>
      </c>
      <c r="BU15" s="74"/>
      <c r="BW15" s="93" t="str">
        <f>IF(BU8="","",IF(BU8=BU11, IF(BU9 &lt; BU12, BT9, BT12),IF(BU8 &lt; BU11,BT9,BT12)))</f>
        <v/>
      </c>
      <c r="BX15" s="74"/>
      <c r="BZ15" s="116" t="str">
        <f>IF(BX14="","",IF(BX14=BX17, IF(BX15 &gt; BX18, BW15, BW18),IF(BX14&gt;BX17,BW15,BW18)))</f>
        <v/>
      </c>
      <c r="CC15" s="61"/>
      <c r="CD15" s="372" t="str">
        <f ca="1">INDIRECT("'Imp. Qualif.'!M"&amp;INDIRECT("B"&amp;ROW()-1))</f>
        <v/>
      </c>
      <c r="CE15" s="74"/>
      <c r="CG15" s="93" t="str">
        <f>IF(CE8="","",IF(CE8=CE11, IF(CE9 &lt; CE12, CD9, CD12),IF(CE8 &lt; CE11,CD9,CD12)))</f>
        <v/>
      </c>
      <c r="CH15" s="74"/>
      <c r="CJ15" s="93" t="str">
        <f>IF(CH8="","",IF(CH8=CH11, IF(CH9 &lt; CH12, CG9, CG12),IF(CH8 &lt; CH11,CG9,CG12)))</f>
        <v/>
      </c>
      <c r="CK15" s="74"/>
      <c r="CM15" s="116" t="str">
        <f>IF(CK14="","",IF(CK14=CK17, IF(CK15 &gt; CK18, CJ15, CJ18),IF(CK14&gt;CK17,CJ15,CJ18)))</f>
        <v/>
      </c>
      <c r="CP15" s="61"/>
      <c r="CQ15" s="372" t="str">
        <f ca="1">INDIRECT("'Imp. Qualif.'!M"&amp;INDIRECT("B"&amp;ROW()-1))</f>
        <v/>
      </c>
      <c r="CR15" s="74"/>
      <c r="CT15" s="93" t="str">
        <f>IF(CR8="","",IF(CR8=CR11, IF(CR9 &lt; CR12, CQ9, CQ12),IF(CR8 &lt; CR11,CQ9,CQ12)))</f>
        <v/>
      </c>
      <c r="CU15" s="74"/>
      <c r="CW15" s="93" t="str">
        <f>IF(CU8="","",IF(CU8=CU11, IF(CU9 &lt; CU12, CT9, CT12),IF(CU8 &lt; CU11,CT9,CT12)))</f>
        <v/>
      </c>
      <c r="CX15" s="74"/>
      <c r="CZ15" s="116" t="str">
        <f>IF(CX14="","",IF(CX14=CX17, IF(CX15 &gt; CX18, CW15, CW18),IF(CX14&gt;CX17,CW15,CW18)))</f>
        <v/>
      </c>
      <c r="DC15" s="61"/>
      <c r="DD15" s="372" t="str">
        <f ca="1">INDIRECT("'Imp. Qualif.'!M"&amp;INDIRECT("B"&amp;ROW()-1))</f>
        <v/>
      </c>
      <c r="DE15" s="74"/>
      <c r="DG15" s="93" t="str">
        <f>IF(DE8="","",IF(DE8=DE11, IF(DE9 &lt; DE12, DD9, DD12),IF(DE8 &lt; DE11,DD9,DD12)))</f>
        <v/>
      </c>
      <c r="DH15" s="74"/>
      <c r="DJ15" s="93" t="str">
        <f>IF(DH8="","",IF(DH8=DH11, IF(DH9 &lt; DH12, DG9, DG12),IF(DH8 &lt; DH11,DG9,DG12)))</f>
        <v/>
      </c>
      <c r="DK15" s="74"/>
      <c r="DM15" s="116" t="str">
        <f>IF(DK14="","",IF(DK14=DK17, IF(DK15 &gt; DK18, DJ15, DJ18),IF(DK14&gt;DK17,DJ15,DJ18)))</f>
        <v/>
      </c>
      <c r="DP15" s="61"/>
      <c r="DQ15" s="372" t="str">
        <f ca="1">INDIRECT("'Imp. Qualif.'!M"&amp;INDIRECT("B"&amp;ROW()-1))</f>
        <v/>
      </c>
      <c r="DR15" s="74"/>
      <c r="DT15" s="93" t="str">
        <f>IF(DR8="","",IF(DR8=DR11, IF(DR9 &lt; DR12, DQ9, DQ12),IF(DR8 &lt; DR11,DQ9,DQ12)))</f>
        <v/>
      </c>
      <c r="DU15" s="74"/>
      <c r="DW15" s="93" t="str">
        <f>IF(DU8="","",IF(DU8=DU11, IF(DU9 &lt; DU12, DT9, DT12),IF(DU8 &lt; DU11,DT9,DT12)))</f>
        <v/>
      </c>
      <c r="DX15" s="74"/>
      <c r="DZ15" s="116" t="str">
        <f>IF(DX14="","",IF(DX14=DX17, IF(DX15 &gt; DX18, DW15, DW18),IF(DX14&gt;DX17,DW15,DW18)))</f>
        <v/>
      </c>
      <c r="EC15" s="61"/>
      <c r="ED15" s="372" t="str">
        <f ca="1">INDIRECT("'Imp. Qualif.'!M"&amp;INDIRECT("B"&amp;ROW()-1))</f>
        <v/>
      </c>
      <c r="EE15" s="74"/>
      <c r="EG15" s="93" t="str">
        <f>IF(EE8="","",IF(EE8=EE11, IF(EE9 &lt; EE12, ED9, ED12),IF(EE8 &lt; EE11,ED9,ED12)))</f>
        <v/>
      </c>
      <c r="EH15" s="74"/>
      <c r="EJ15" s="93" t="str">
        <f>IF(EH8="","",IF(EH8=EH11, IF(EH9 &lt; EH12, EG9, EG12),IF(EH8 &lt; EH11,EG9,EG12)))</f>
        <v/>
      </c>
      <c r="EK15" s="74"/>
      <c r="EM15" s="118" t="str">
        <f>IF(EK14="","",IF(EK14=EK17, IF(EK15 &gt; EK18, EJ15, EJ18),IF(EK14&gt;EK17,EJ15,EJ18)))</f>
        <v/>
      </c>
    </row>
    <row r="16" spans="2:143" s="40" customFormat="1" ht="14.25" customHeight="1" x14ac:dyDescent="0.2">
      <c r="C16"/>
      <c r="D16" s="358"/>
      <c r="E16" s="94"/>
      <c r="H16" s="94"/>
      <c r="K16" s="94"/>
      <c r="M16" s="111"/>
      <c r="N16" s="85"/>
      <c r="Q16" s="61"/>
      <c r="AA16" s="47"/>
      <c r="AD16" s="358"/>
      <c r="AE16" s="94"/>
      <c r="AH16" s="94"/>
      <c r="AK16" s="94"/>
      <c r="AM16" s="111"/>
      <c r="AN16" s="85"/>
      <c r="AP16" s="61"/>
      <c r="AQ16" s="358"/>
      <c r="AR16" s="94"/>
      <c r="AU16" s="94"/>
      <c r="AX16" s="94"/>
      <c r="AZ16" s="111"/>
      <c r="BC16" s="61"/>
      <c r="BD16" s="358"/>
      <c r="BE16" s="94"/>
      <c r="BH16" s="94"/>
      <c r="BK16" s="94"/>
      <c r="BM16" s="111"/>
      <c r="BP16" s="61"/>
      <c r="BQ16" s="358"/>
      <c r="BR16" s="97"/>
      <c r="BU16" s="97"/>
      <c r="BX16" s="97"/>
      <c r="BZ16" s="111"/>
      <c r="CC16" s="61"/>
      <c r="CD16" s="358"/>
      <c r="CE16" s="97"/>
      <c r="CH16" s="97"/>
      <c r="CK16" s="97"/>
      <c r="CM16" s="111"/>
      <c r="CP16" s="61"/>
      <c r="CQ16" s="358"/>
      <c r="CR16" s="97"/>
      <c r="CU16" s="97"/>
      <c r="CX16" s="97"/>
      <c r="CZ16" s="111"/>
      <c r="DC16" s="61"/>
      <c r="DD16" s="358"/>
      <c r="DE16" s="97"/>
      <c r="DH16" s="97"/>
      <c r="DK16" s="97"/>
      <c r="DM16" s="111"/>
      <c r="DP16" s="61"/>
      <c r="DQ16" s="358"/>
      <c r="DR16" s="97"/>
      <c r="DU16" s="97"/>
      <c r="DX16" s="97"/>
      <c r="DZ16" s="111"/>
      <c r="EC16" s="61"/>
      <c r="ED16" s="358"/>
      <c r="EE16" s="97"/>
      <c r="EH16" s="97"/>
      <c r="EK16" s="97"/>
      <c r="EM16" s="111"/>
    </row>
    <row r="17" spans="2:143" s="40" customFormat="1" ht="14.25" customHeight="1" x14ac:dyDescent="0.2">
      <c r="B17" s="40">
        <v>14</v>
      </c>
      <c r="C17">
        <v>4</v>
      </c>
      <c r="D17" s="369" t="str">
        <f ca="1">INDIRECT("'Imp. Qualif.'!L"&amp;INDIRECT("B"&amp;ROW()))</f>
        <v/>
      </c>
      <c r="E17" s="122"/>
      <c r="G17" s="92" t="str">
        <f>IF(E20="","",IF(E20=E23, IF(E21 &gt; E24, D20, D23),IF(E20&gt;E23,D20,D23)))</f>
        <v/>
      </c>
      <c r="H17" s="122"/>
      <c r="J17" s="92" t="str">
        <f>IF(H20="","",IF(H20=H23, IF(H21 &gt; H24, G20, G23),IF(H20&gt;H23,G20,G23)))</f>
        <v/>
      </c>
      <c r="K17" s="122"/>
      <c r="M17" s="117" t="str">
        <f>IF(K14="","",IF(K14=K17, IF(K18 &lt; K15, J17, J14),IF(K17 &lt; K14,J17,J14)))</f>
        <v/>
      </c>
      <c r="N17" s="95">
        <v>4</v>
      </c>
      <c r="Q17" s="61"/>
      <c r="AA17" s="47">
        <v>4</v>
      </c>
      <c r="AB17" s="40">
        <v>14</v>
      </c>
      <c r="AD17" s="369" t="str">
        <f ca="1">INDIRECT("'Imp. Qualif.'!L"&amp;INDIRECT("B"&amp;ROW()))</f>
        <v/>
      </c>
      <c r="AE17" s="122"/>
      <c r="AG17" s="92" t="str">
        <f>IF(AE20="","",IF(AE20=AE23, IF(AE21 &gt; AE24, AD20, AD23),IF(AE20&gt;AE23,AD20,AD23)))</f>
        <v/>
      </c>
      <c r="AH17" s="122"/>
      <c r="AJ17" s="92" t="str">
        <f>IF(AH20="","",IF(AH20=AH23, IF(AH21 &gt; AH24, AG20, AG23),IF(AH20&gt;AH23,AG20,AG23)))</f>
        <v/>
      </c>
      <c r="AK17" s="122"/>
      <c r="AM17" s="117" t="str">
        <f>IF(AK14="","",IF(AK14=AK17, IF(AK18 &lt; AK15, AJ17, AJ14),IF(AK17 &lt; AK14,AJ17,AJ14)))</f>
        <v/>
      </c>
      <c r="AN17" s="95"/>
      <c r="AO17" s="40">
        <v>14</v>
      </c>
      <c r="AP17" s="61">
        <v>4</v>
      </c>
      <c r="AQ17" s="369" t="str">
        <f ca="1">INDIRECT("'Imp. Qualif.'!L"&amp;INDIRECT("B"&amp;ROW()))</f>
        <v/>
      </c>
      <c r="AR17" s="122"/>
      <c r="AT17" s="92" t="str">
        <f>IF(AR20="","",IF(AR20=AR23, IF(AR21 &gt; AR24, AQ20, AQ23),IF(AR20&gt;AR23,AQ20,AQ23)))</f>
        <v/>
      </c>
      <c r="AU17" s="122"/>
      <c r="AW17" s="92" t="str">
        <f>IF(AU20="","",IF(AU20=AU23, IF(AU21 &gt; AU24, AT20, AT23),IF(AU20&gt;AU23,AT20,AT23)))</f>
        <v/>
      </c>
      <c r="AX17" s="122"/>
      <c r="AZ17" s="117" t="str">
        <f>IF(AX14="","",IF(AX14=AX17, IF(AX18 &lt; AX15, AW17, AW14),IF(AX17 &lt; AX14,AW17,AW14)))</f>
        <v/>
      </c>
      <c r="BB17" s="40">
        <v>14</v>
      </c>
      <c r="BC17" s="61">
        <v>4</v>
      </c>
      <c r="BD17" s="369" t="str">
        <f ca="1">INDIRECT("'Imp. Qualif.'!L"&amp;INDIRECT("B"&amp;ROW()))</f>
        <v/>
      </c>
      <c r="BE17" s="122"/>
      <c r="BG17" s="92" t="str">
        <f>IF(BE20="","",IF(BE20=BE23, IF(BE21 &gt; BE24, BD20, BD23),IF(BE20&gt;BE23,BD20,BD23)))</f>
        <v/>
      </c>
      <c r="BH17" s="122"/>
      <c r="BJ17" s="92" t="str">
        <f>IF(BH20="","",IF(BH20=BH23, IF(BH21 &gt; BH24, BG20, BG23),IF(BH20&gt;BH23,BG20,BG23)))</f>
        <v/>
      </c>
      <c r="BK17" s="122"/>
      <c r="BM17" s="117" t="str">
        <f>IF(BK14="","",IF(BK14=BK17, IF(BK18 &lt; BK15, BJ17, BJ14),IF(BK17 &lt; BK14,BJ17,BJ14)))</f>
        <v/>
      </c>
      <c r="BO17" s="40">
        <v>14</v>
      </c>
      <c r="BP17" s="61">
        <v>4</v>
      </c>
      <c r="BQ17" s="369" t="str">
        <f ca="1">INDIRECT("'Imp. Qualif.'!L"&amp;INDIRECT("B"&amp;ROW()))</f>
        <v/>
      </c>
      <c r="BR17" s="122"/>
      <c r="BT17" s="92" t="str">
        <f>IF(BR20="","",IF(BR20=BR23, IF(BR21 &gt; BR24, BQ20, BQ23),IF(BR20&gt;BR23,BQ20,BQ23)))</f>
        <v/>
      </c>
      <c r="BU17" s="122"/>
      <c r="BW17" s="92" t="str">
        <f>IF(BU20="","",IF(BU20=BU23, IF(BU21 &gt; BU24, BT20, BT23),IF(BU20&gt;BU23,BT20,BT23)))</f>
        <v/>
      </c>
      <c r="BX17" s="122"/>
      <c r="BZ17" s="117" t="str">
        <f>IF(BX14="","",IF(BX14=BX17, IF(BX18 &lt; BX15, BW17, BW14),IF(BX17 &lt; BX14,BW17,BW14)))</f>
        <v/>
      </c>
      <c r="CB17" s="40">
        <v>14</v>
      </c>
      <c r="CC17" s="61">
        <v>4</v>
      </c>
      <c r="CD17" s="369" t="str">
        <f ca="1">INDIRECT("'Imp. Qualif.'!L"&amp;INDIRECT("B"&amp;ROW()))</f>
        <v/>
      </c>
      <c r="CE17" s="122"/>
      <c r="CG17" s="92" t="str">
        <f>IF(CE20="","",IF(CE20=CE23, IF(CE21 &gt; CE24, CD20, CD23),IF(CE20&gt;CE23,CD20,CD23)))</f>
        <v/>
      </c>
      <c r="CH17" s="122"/>
      <c r="CJ17" s="92" t="str">
        <f>IF(CH20="","",IF(CH20=CH23, IF(CH21 &gt; CH24, CG20, CG23),IF(CH20&gt;CH23,CG20,CG23)))</f>
        <v/>
      </c>
      <c r="CK17" s="122"/>
      <c r="CM17" s="117" t="str">
        <f>IF(CK14="","",IF(CK14=CK17, IF(CK18 &lt; CK15, CJ17, CJ14),IF(CK17 &lt; CK14,CJ17,CJ14)))</f>
        <v/>
      </c>
      <c r="CO17" s="40">
        <v>14</v>
      </c>
      <c r="CP17" s="61">
        <v>4</v>
      </c>
      <c r="CQ17" s="369" t="str">
        <f ca="1">INDIRECT("'Imp. Qualif.'!L"&amp;INDIRECT("B"&amp;ROW()))</f>
        <v/>
      </c>
      <c r="CR17" s="122"/>
      <c r="CT17" s="92" t="str">
        <f>IF(CR20="","",IF(CR20=CR23, IF(CR21 &gt; CR24, CQ20, CQ23),IF(CR20&gt;CR23,CQ20,CQ23)))</f>
        <v/>
      </c>
      <c r="CU17" s="122"/>
      <c r="CW17" s="92" t="str">
        <f>IF(CU20="","",IF(CU20=CU23, IF(CU21 &gt; CU24, CT20, CT23),IF(CU20&gt;CU23,CT20,CT23)))</f>
        <v/>
      </c>
      <c r="CX17" s="122"/>
      <c r="CZ17" s="117" t="str">
        <f>IF(CX14="","",IF(CX14=CX17, IF(CX18 &lt; CX15, CW17, CW14),IF(CX17 &lt; CX14,CW17,CW14)))</f>
        <v/>
      </c>
      <c r="DB17" s="40">
        <v>14</v>
      </c>
      <c r="DC17" s="61">
        <v>4</v>
      </c>
      <c r="DD17" s="369" t="str">
        <f ca="1">INDIRECT("'Imp. Qualif.'!L"&amp;INDIRECT("B"&amp;ROW()))</f>
        <v/>
      </c>
      <c r="DE17" s="122"/>
      <c r="DG17" s="92" t="str">
        <f>IF(DE20="","",IF(DE20=DE23, IF(DE21 &gt; DE24, DD20, DD23),IF(DE20&gt;DE23,DD20,DD23)))</f>
        <v/>
      </c>
      <c r="DH17" s="122"/>
      <c r="DJ17" s="92" t="str">
        <f>IF(DH20="","",IF(DH20=DH23, IF(DH21 &gt; DH24, DG20, DG23),IF(DH20&gt;DH23,DG20,DG23)))</f>
        <v/>
      </c>
      <c r="DK17" s="122"/>
      <c r="DM17" s="117" t="str">
        <f>IF(DK14="","",IF(DK14=DK17, IF(DK18 &lt; DK15, DJ17, DJ14),IF(DK17 &lt; DK14,DJ17,DJ14)))</f>
        <v/>
      </c>
      <c r="DO17" s="40">
        <v>14</v>
      </c>
      <c r="DP17" s="61">
        <v>4</v>
      </c>
      <c r="DQ17" s="369" t="str">
        <f ca="1">INDIRECT("'Imp. Qualif.'!L"&amp;INDIRECT("B"&amp;ROW()))</f>
        <v/>
      </c>
      <c r="DR17" s="122"/>
      <c r="DT17" s="92" t="str">
        <f>IF(DR20="","",IF(DR20=DR23, IF(DR21 &gt; DR24, DQ20, DQ23),IF(DR20&gt;DR23,DQ20,DQ23)))</f>
        <v/>
      </c>
      <c r="DU17" s="122"/>
      <c r="DW17" s="92" t="str">
        <f>IF(DU20="","",IF(DU20=DU23, IF(DU21 &gt; DU24, DT20, DT23),IF(DU20&gt;DU23,DT20,DT23)))</f>
        <v/>
      </c>
      <c r="DX17" s="122"/>
      <c r="DZ17" s="117" t="str">
        <f>IF(DX14="","",IF(DX14=DX17, IF(DX18 &lt; DX15, DW17, DW14),IF(DX17 &lt; DX14,DW17,DW14)))</f>
        <v/>
      </c>
      <c r="EB17" s="40">
        <v>14</v>
      </c>
      <c r="EC17" s="61">
        <v>4</v>
      </c>
      <c r="ED17" s="369" t="str">
        <f ca="1">INDIRECT("'Imp. Qualif.'!L"&amp;INDIRECT("B"&amp;ROW()))</f>
        <v/>
      </c>
      <c r="EE17" s="122"/>
      <c r="EG17" s="92" t="str">
        <f>IF(EE20="","",IF(EE20=EE23, IF(EE21 &gt; EE24, ED20, ED23),IF(EE20&gt;EE23,ED20,ED23)))</f>
        <v/>
      </c>
      <c r="EH17" s="122"/>
      <c r="EJ17" s="92" t="str">
        <f>IF(EH20="","",IF(EH20=EH23, IF(EH21 &gt; EH24, EG20, EG23),IF(EH20&gt;EH23,EG20,EG23)))</f>
        <v/>
      </c>
      <c r="EK17" s="122"/>
      <c r="EM17" s="117" t="str">
        <f>IF(EK14="","",IF(EK14=EK17, IF(EK18 &lt; EK15, EJ17, EJ14),IF(EK17 &lt; EK14,EJ17,EJ14)))</f>
        <v/>
      </c>
    </row>
    <row r="18" spans="2:143" s="40" customFormat="1" ht="14.25" customHeight="1" thickBot="1" x14ac:dyDescent="0.25">
      <c r="C18"/>
      <c r="D18" s="372" t="str">
        <f ca="1">INDIRECT("'Imp. Qualif.'!M"&amp;INDIRECT("B"&amp;ROW()-1))</f>
        <v/>
      </c>
      <c r="E18" s="74"/>
      <c r="G18" s="96" t="str">
        <f>IF(E20="","",IF(E20=E23, IF(E21 &gt; E24, D21, D24),IF(E20&gt;E23,D21,D24)))</f>
        <v/>
      </c>
      <c r="H18" s="74"/>
      <c r="J18" s="96" t="str">
        <f>IF(H20="","",IF(H20=H23, IF(H21 &gt; H24, G21, G24),IF(H20&gt;H23,G21,G24)))</f>
        <v/>
      </c>
      <c r="K18" s="74"/>
      <c r="M18" s="118" t="str">
        <f>IF(K14="","",IF(K14=K17, IF(K18 &lt; K15, J18, J15),IF(K17 &lt; K14,J18,J15)))</f>
        <v/>
      </c>
      <c r="N18" s="95"/>
      <c r="Q18" s="61"/>
      <c r="AA18" s="47"/>
      <c r="AD18" s="372" t="str">
        <f ca="1">INDIRECT("'Imp. Qualif.'!M"&amp;INDIRECT("B"&amp;ROW()-1))</f>
        <v/>
      </c>
      <c r="AE18" s="74"/>
      <c r="AG18" s="93" t="str">
        <f>IF(AE20="","",IF(AE20=AE23, IF(AE21 &gt; AE24, AD21, AD24),IF(AE20&gt;AE23,AD21,AD24)))</f>
        <v/>
      </c>
      <c r="AH18" s="74"/>
      <c r="AJ18" s="93" t="str">
        <f>IF(AH20="","",IF(AH20=AH23, IF(AH21 &gt; AH24, AG21, AG24),IF(AH20&gt;AH23,AG21,AG24)))</f>
        <v/>
      </c>
      <c r="AK18" s="74"/>
      <c r="AM18" s="118" t="str">
        <f>IF(AK14="","",IF(AK14=AK17, IF(AK18 &lt; AK15, AJ18, AJ15),IF(AK17 &lt; AK14,AJ18,AJ15)))</f>
        <v/>
      </c>
      <c r="AN18" s="95"/>
      <c r="AP18" s="61"/>
      <c r="AQ18" s="372" t="str">
        <f ca="1">INDIRECT("'Imp. Qualif.'!M"&amp;INDIRECT("B"&amp;ROW()-1))</f>
        <v/>
      </c>
      <c r="AR18" s="74"/>
      <c r="AT18" s="96" t="str">
        <f>IF(AR20="","",IF(AR20=AR23, IF(AR21 &gt; AR24, AQ21, AQ24),IF(AR20&gt;AR23,AQ21,AQ24)))</f>
        <v/>
      </c>
      <c r="AU18" s="74"/>
      <c r="AW18" s="96" t="str">
        <f>IF(AU20="","",IF(AU20=AU23, IF(AU21 &gt; AU24, AT21, AT24),IF(AU20&gt;AU23,AT21,AT24)))</f>
        <v/>
      </c>
      <c r="AX18" s="74"/>
      <c r="AZ18" s="118" t="str">
        <f>IF(AX14="","",IF(AX14=AX17, IF(AX18 &lt; AX15, AW18, AW15),IF(AX17 &lt; AX14,AW18,AW15)))</f>
        <v/>
      </c>
      <c r="BC18" s="61"/>
      <c r="BD18" s="372" t="str">
        <f ca="1">INDIRECT("'Imp. Qualif.'!M"&amp;INDIRECT("B"&amp;ROW()-1))</f>
        <v/>
      </c>
      <c r="BE18" s="74"/>
      <c r="BG18" s="93" t="str">
        <f>IF(BE20="","",IF(BE20=BE23, IF(BE21 &gt; BE24, BD21, BD24),IF(BE20&gt;BE23,BD21,BD24)))</f>
        <v/>
      </c>
      <c r="BH18" s="74"/>
      <c r="BJ18" s="93" t="str">
        <f>IF(BH20="","",IF(BH20=BH23, IF(BH21 &gt; BH24, BG21, BG24),IF(BH20&gt;BH23,BG21,BG24)))</f>
        <v/>
      </c>
      <c r="BK18" s="74"/>
      <c r="BM18" s="118" t="str">
        <f>IF(BK14="","",IF(BK14=BK17, IF(BK18 &lt; BK15, BJ18, BJ15),IF(BK17 &lt; BK14,BJ18,BJ15)))</f>
        <v/>
      </c>
      <c r="BP18" s="61"/>
      <c r="BQ18" s="372" t="str">
        <f ca="1">INDIRECT("'Imp. Qualif.'!M"&amp;INDIRECT("B"&amp;ROW()-1))</f>
        <v/>
      </c>
      <c r="BR18" s="74"/>
      <c r="BT18" s="96" t="str">
        <f>IF(BR20="","",IF(BR20=BR23, IF(BR21 &gt; BR24, BQ21, BQ24),IF(BR20&gt;BR23,BQ21,BQ24)))</f>
        <v/>
      </c>
      <c r="BU18" s="74"/>
      <c r="BW18" s="96" t="str">
        <f>IF(BU20="","",IF(BU20=BU23, IF(BU21 &gt; BU24, BT21, BT24),IF(BU20&gt;BU23,BT21,BT24)))</f>
        <v/>
      </c>
      <c r="BX18" s="74"/>
      <c r="BZ18" s="118" t="str">
        <f>IF(BX14="","",IF(BX14=BX17, IF(BX18 &lt; BX15, BW18, BW15),IF(BX17 &lt; BX14,BW18,BW15)))</f>
        <v/>
      </c>
      <c r="CC18" s="61"/>
      <c r="CD18" s="372" t="str">
        <f ca="1">INDIRECT("'Imp. Qualif.'!M"&amp;INDIRECT("B"&amp;ROW()-1))</f>
        <v/>
      </c>
      <c r="CE18" s="74"/>
      <c r="CG18" s="96" t="str">
        <f>IF(CE20="","",IF(CE20=CE23, IF(CE21 &gt; CE24, CD21, CD24),IF(CE20&gt;CE23,CD21,CD24)))</f>
        <v/>
      </c>
      <c r="CH18" s="74"/>
      <c r="CJ18" s="96" t="str">
        <f>IF(CH20="","",IF(CH20=CH23, IF(CH21 &gt; CH24, CG21, CG24),IF(CH20&gt;CH23,CG21,CG24)))</f>
        <v/>
      </c>
      <c r="CK18" s="74"/>
      <c r="CM18" s="118" t="str">
        <f>IF(CK14="","",IF(CK14=CK17, IF(CK18 &lt; CK15, CJ18, CJ15),IF(CK17 &lt; CK14,CJ18,CJ15)))</f>
        <v/>
      </c>
      <c r="CP18" s="61"/>
      <c r="CQ18" s="372" t="str">
        <f ca="1">INDIRECT("'Imp. Qualif.'!M"&amp;INDIRECT("B"&amp;ROW()-1))</f>
        <v/>
      </c>
      <c r="CR18" s="74"/>
      <c r="CT18" s="96" t="str">
        <f>IF(CR20="","",IF(CR20=CR23, IF(CR21 &gt; CR24, CQ21, CQ24),IF(CR20&gt;CR23,CQ21,CQ24)))</f>
        <v/>
      </c>
      <c r="CU18" s="74"/>
      <c r="CW18" s="96" t="str">
        <f>IF(CU20="","",IF(CU20=CU23, IF(CU21 &gt; CU24, CT21, CT24),IF(CU20&gt;CU23,CT21,CT24)))</f>
        <v/>
      </c>
      <c r="CX18" s="74"/>
      <c r="CZ18" s="118" t="str">
        <f>IF(CX14="","",IF(CX14=CX17, IF(CX18 &lt; CX15, CW18, CW15),IF(CX17 &lt; CX14,CW18,CW15)))</f>
        <v/>
      </c>
      <c r="DC18" s="61"/>
      <c r="DD18" s="372" t="str">
        <f ca="1">INDIRECT("'Imp. Qualif.'!M"&amp;INDIRECT("B"&amp;ROW()-1))</f>
        <v/>
      </c>
      <c r="DE18" s="74"/>
      <c r="DG18" s="96" t="str">
        <f>IF(DE20="","",IF(DE20=DE23, IF(DE21 &gt; DE24, DD21, DD24),IF(DE20&gt;DE23,DD21,DD24)))</f>
        <v/>
      </c>
      <c r="DH18" s="74"/>
      <c r="DJ18" s="96" t="str">
        <f>IF(DH20="","",IF(DH20=DH23, IF(DH21 &gt; DH24, DG21, DG24),IF(DH20&gt;DH23,DG21,DG24)))</f>
        <v/>
      </c>
      <c r="DK18" s="74"/>
      <c r="DM18" s="118" t="str">
        <f>IF(DK14="","",IF(DK14=DK17, IF(DK18 &lt; DK15, DJ18, DJ15),IF(DK17 &lt; DK14,DJ18,DJ15)))</f>
        <v/>
      </c>
      <c r="DP18" s="61"/>
      <c r="DQ18" s="372" t="str">
        <f ca="1">INDIRECT("'Imp. Qualif.'!M"&amp;INDIRECT("B"&amp;ROW()-1))</f>
        <v/>
      </c>
      <c r="DR18" s="74"/>
      <c r="DT18" s="96" t="str">
        <f>IF(DR20="","",IF(DR20=DR23, IF(DR21 &gt; DR24, DQ21, DQ24),IF(DR20&gt;DR23,DQ21,DQ24)))</f>
        <v/>
      </c>
      <c r="DU18" s="74"/>
      <c r="DW18" s="96" t="str">
        <f>IF(DU20="","",IF(DU20=DU23, IF(DU21 &gt; DU24, DT21, DT24),IF(DU20&gt;DU23,DT21,DT24)))</f>
        <v/>
      </c>
      <c r="DX18" s="74"/>
      <c r="DZ18" s="118" t="str">
        <f>IF(DX14="","",IF(DX14=DX17, IF(DX18 &lt; DX15, DW18, DW15),IF(DX17 &lt; DX14,DW18,DW15)))</f>
        <v/>
      </c>
      <c r="EC18" s="61"/>
      <c r="ED18" s="372" t="str">
        <f ca="1">INDIRECT("'Imp. Qualif.'!M"&amp;INDIRECT("B"&amp;ROW()-1))</f>
        <v/>
      </c>
      <c r="EE18" s="74"/>
      <c r="EG18" s="96" t="str">
        <f>IF(EE20="","",IF(EE20=EE23, IF(EE21 &gt; EE24, ED21, ED24),IF(EE20&gt;EE23,ED21,ED24)))</f>
        <v/>
      </c>
      <c r="EH18" s="74"/>
      <c r="EJ18" s="96" t="str">
        <f>IF(EH20="","",IF(EH20=EH23, IF(EH21 &gt; EH24, EG21, EG24),IF(EH20&gt;EH23,EG21,EG24)))</f>
        <v/>
      </c>
      <c r="EK18" s="74"/>
      <c r="EM18" s="118" t="str">
        <f>IF(EK14="","",IF(EK14=EK17, IF(EK18 &lt; EK15, EJ18, EJ15),IF(EK17 &lt; EK14,EJ18,EJ15)))</f>
        <v/>
      </c>
    </row>
    <row r="19" spans="2:143" s="40" customFormat="1" ht="14.25" customHeight="1" x14ac:dyDescent="0.2">
      <c r="C19"/>
      <c r="D19" s="358"/>
      <c r="E19" s="94"/>
      <c r="H19" s="94"/>
      <c r="K19" s="94"/>
      <c r="M19" s="111"/>
      <c r="N19" s="95"/>
      <c r="Q19" s="61"/>
      <c r="AA19" s="47"/>
      <c r="AD19" s="358"/>
      <c r="AE19" s="94"/>
      <c r="AH19" s="94"/>
      <c r="AK19" s="94"/>
      <c r="AM19" s="111"/>
      <c r="AN19" s="95"/>
      <c r="AP19" s="61"/>
      <c r="AQ19" s="358"/>
      <c r="AR19" s="94"/>
      <c r="AU19" s="94"/>
      <c r="AX19" s="94"/>
      <c r="AZ19" s="111"/>
      <c r="BC19" s="61"/>
      <c r="BD19" s="358"/>
      <c r="BE19" s="94"/>
      <c r="BH19" s="94"/>
      <c r="BK19" s="94"/>
      <c r="BM19" s="111"/>
      <c r="BP19" s="61"/>
      <c r="BQ19" s="358"/>
      <c r="BR19" s="97"/>
      <c r="BU19" s="97"/>
      <c r="BX19" s="97"/>
      <c r="BZ19" s="111"/>
      <c r="CC19" s="61"/>
      <c r="CD19" s="358"/>
      <c r="CE19" s="109"/>
      <c r="CG19" s="103"/>
      <c r="CH19" s="109"/>
      <c r="CJ19" s="103"/>
      <c r="CK19" s="109"/>
      <c r="CM19" s="111"/>
      <c r="CP19" s="61"/>
      <c r="CQ19" s="358"/>
      <c r="CR19" s="109"/>
      <c r="CT19" s="103"/>
      <c r="CU19" s="109"/>
      <c r="CW19" s="103"/>
      <c r="CX19" s="109"/>
      <c r="CZ19" s="111"/>
      <c r="DC19" s="61"/>
      <c r="DD19" s="358"/>
      <c r="DE19" s="109"/>
      <c r="DG19" s="103"/>
      <c r="DH19" s="109"/>
      <c r="DJ19" s="103"/>
      <c r="DK19" s="109"/>
      <c r="DM19" s="111"/>
      <c r="DP19" s="61"/>
      <c r="DQ19" s="358"/>
      <c r="DR19" s="109"/>
      <c r="DT19" s="119"/>
      <c r="DU19" s="109"/>
      <c r="DW19" s="119"/>
      <c r="DX19" s="109"/>
      <c r="DZ19" s="111"/>
      <c r="EC19" s="61"/>
      <c r="ED19" s="358"/>
      <c r="EE19" s="109"/>
      <c r="EG19" s="103"/>
      <c r="EH19" s="109"/>
      <c r="EJ19" s="103"/>
      <c r="EK19" s="109"/>
      <c r="EM19" s="111"/>
    </row>
    <row r="20" spans="2:143" s="40" customFormat="1" ht="14.25" customHeight="1" x14ac:dyDescent="0.2">
      <c r="B20" s="40">
        <v>15</v>
      </c>
      <c r="C20">
        <v>5</v>
      </c>
      <c r="D20" s="369" t="str">
        <f ca="1">INDIRECT("'Imp. Qualif.'!L"&amp;INDIRECT("B"&amp;ROW()))</f>
        <v/>
      </c>
      <c r="E20" s="122"/>
      <c r="G20" s="92" t="str">
        <f>IF(E14="","",IF(E14=E17, IF(E15 &lt; E18, D14, D17),IF(E14 &lt; E17,D14,D17)))</f>
        <v/>
      </c>
      <c r="H20" s="122"/>
      <c r="J20" s="92" t="str">
        <f>IF(H14="","",IF(H14=H17, IF(H15 &lt; H18, G14, G17),IF(H14 &lt; H17,G14,G17)))</f>
        <v/>
      </c>
      <c r="K20" s="122"/>
      <c r="M20" s="117" t="str">
        <f>IF(K20="","",IF(K20=K23, IF(K21 &gt; K24, J20, J23),IF(K20&gt;K23,J20,J23)))</f>
        <v/>
      </c>
      <c r="N20" s="95">
        <v>5</v>
      </c>
      <c r="Q20" s="61"/>
      <c r="AA20" s="47">
        <v>5</v>
      </c>
      <c r="AB20" s="40">
        <v>15</v>
      </c>
      <c r="AD20" s="369" t="str">
        <f ca="1">INDIRECT("'Imp. Qualif.'!L"&amp;INDIRECT("B"&amp;ROW()))</f>
        <v/>
      </c>
      <c r="AE20" s="122"/>
      <c r="AG20" s="92" t="str">
        <f>IF(AE14="","",IF(AE14=AE17, IF(AE15 &lt; AE18, AD14, AD17),IF(AE14 &lt; AE17,AD14,AD17)))</f>
        <v/>
      </c>
      <c r="AH20" s="122"/>
      <c r="AJ20" s="92" t="str">
        <f>IF(AH14="","",IF(AH14=AH17, IF(AH15 &lt; AH18, AG14, AG17),IF(AH14 &lt; AH17,AG14,AG17)))</f>
        <v/>
      </c>
      <c r="AK20" s="122"/>
      <c r="AM20" s="117" t="str">
        <f>IF(AK20="","",IF(AK20=AK23, IF(AK21 &gt; AK24, AJ20, AJ23),IF(AK20&gt;AK23,AJ20,AJ23)))</f>
        <v/>
      </c>
      <c r="AN20" s="95"/>
      <c r="AO20" s="40">
        <v>15</v>
      </c>
      <c r="AP20" s="61">
        <v>5</v>
      </c>
      <c r="AQ20" s="369" t="str">
        <f ca="1">INDIRECT("'Imp. Qualif.'!L"&amp;INDIRECT("B"&amp;ROW()))</f>
        <v/>
      </c>
      <c r="AR20" s="122"/>
      <c r="AT20" s="92" t="str">
        <f>IF(AR14="","",IF(AR14=AR17, IF(AR15 &lt; AR18, AQ14, AQ17),IF(AR14 &lt; AR17,AQ14,AQ17)))</f>
        <v/>
      </c>
      <c r="AU20" s="122"/>
      <c r="AW20" s="92" t="str">
        <f>IF(AU14="","",IF(AU14=AU17, IF(AU15 &lt; AU18, AT14, AT17),IF(AU14 &lt; AU17,AT14,AT17)))</f>
        <v/>
      </c>
      <c r="AX20" s="122"/>
      <c r="AZ20" s="117" t="str">
        <f>IF(AX20="","",IF(AX20=AX23, IF(AX21 &gt; AX24, AW20, AW23),IF(AX20&gt;AX23,AW20,AW23)))</f>
        <v/>
      </c>
      <c r="BB20" s="40">
        <v>15</v>
      </c>
      <c r="BC20" s="61">
        <v>5</v>
      </c>
      <c r="BD20" s="369" t="str">
        <f ca="1">INDIRECT("'Imp. Qualif.'!L"&amp;INDIRECT("B"&amp;ROW()))</f>
        <v/>
      </c>
      <c r="BE20" s="122"/>
      <c r="BG20" s="92" t="str">
        <f>IF(BE14="","",IF(BE14=BE17, IF(BE15 &lt; BE18, BD14, BD17),IF(BE14 &lt; BE17,BD14,BD17)))</f>
        <v/>
      </c>
      <c r="BH20" s="122"/>
      <c r="BJ20" s="92" t="str">
        <f>IF(BH14="","",IF(BH14=BH17, IF(BH15 &lt; BH18, BG14, BG17),IF(BH14 &lt; BH17,BG14,BG17)))</f>
        <v/>
      </c>
      <c r="BK20" s="122"/>
      <c r="BM20" s="117" t="str">
        <f>IF(BK20="","",IF(BK20=BK23, IF(BK21 &gt; BK24, BJ20, BJ23),IF(BK20&gt;BK23,BJ20,BJ23)))</f>
        <v/>
      </c>
      <c r="BO20" s="40">
        <v>15</v>
      </c>
      <c r="BP20" s="61">
        <v>5</v>
      </c>
      <c r="BQ20" s="369" t="str">
        <f ca="1">INDIRECT("'Imp. Qualif.'!L"&amp;INDIRECT("B"&amp;ROW()))</f>
        <v/>
      </c>
      <c r="BR20" s="122"/>
      <c r="BT20" s="92" t="str">
        <f>IF(BR14="","",IF(BR14=BR17, IF(BR15 &lt; BR18, BQ14, BQ17),IF(BR14 &lt; BR17,BQ14,BQ17)))</f>
        <v/>
      </c>
      <c r="BU20" s="122"/>
      <c r="BW20" s="92" t="str">
        <f>IF(BU14="","",IF(BU14=BU17, IF(BU15 &lt; BU18, BT14, BT17),IF(BU14 &lt; BU17,BT14,BT17)))</f>
        <v/>
      </c>
      <c r="BX20" s="122"/>
      <c r="BZ20" s="117" t="str">
        <f>IF(BX20="","",IF(BX20=BX23, IF(BX21 &gt; BX24, BW20, BW23),IF(BX20&gt;BX23,BW20,BW23)))</f>
        <v/>
      </c>
      <c r="CB20" s="40">
        <v>15</v>
      </c>
      <c r="CC20" s="61">
        <v>5</v>
      </c>
      <c r="CD20" s="369" t="str">
        <f ca="1">INDIRECT("'Imp. Qualif.'!L"&amp;INDIRECT("B"&amp;ROW()))</f>
        <v/>
      </c>
      <c r="CE20" s="122"/>
      <c r="CG20" s="92" t="str">
        <f>IF(CE14="","",IF(CE14=CE17, IF(CE15 &lt; CE18, CD14, CD17),IF(CE14 &lt; CE17,CD14,CD17)))</f>
        <v/>
      </c>
      <c r="CH20" s="122"/>
      <c r="CJ20" s="92" t="str">
        <f>IF(CH14="","",IF(CH14=CH17, IF(CH15 &lt; CH18, CG14, CG17),IF(CH14 &lt; CH17,CG14,CG17)))</f>
        <v/>
      </c>
      <c r="CK20" s="122"/>
      <c r="CM20" s="117" t="str">
        <f>IF(CK20="","",IF(CK20=CK23, IF(CK21 &gt; CK24, CJ20, CJ23),IF(CK20&gt;CK23,CJ20,CJ23)))</f>
        <v/>
      </c>
      <c r="CO20" s="40">
        <v>15</v>
      </c>
      <c r="CP20" s="61">
        <v>5</v>
      </c>
      <c r="CQ20" s="369" t="str">
        <f ca="1">INDIRECT("'Imp. Qualif.'!L"&amp;INDIRECT("B"&amp;ROW()))</f>
        <v/>
      </c>
      <c r="CR20" s="122"/>
      <c r="CT20" s="92" t="str">
        <f>IF(CR14="","",IF(CR14=CR17, IF(CR15 &lt; CR18, CQ14, CQ17),IF(CR14 &lt; CR17,CQ14,CQ17)))</f>
        <v/>
      </c>
      <c r="CU20" s="122"/>
      <c r="CW20" s="92" t="str">
        <f>IF(CU14="","",IF(CU14=CU17, IF(CU15 &lt; CU18, CT14, CT17),IF(CU14 &lt; CU17,CT14,CT17)))</f>
        <v/>
      </c>
      <c r="CX20" s="122"/>
      <c r="CZ20" s="117" t="str">
        <f>IF(CX20="","",IF(CX20=CX23, IF(CX21 &gt; CX24, CW20, CW23),IF(CX20&gt;CX23,CW20,CW23)))</f>
        <v/>
      </c>
      <c r="DB20" s="40">
        <v>15</v>
      </c>
      <c r="DC20" s="61">
        <v>5</v>
      </c>
      <c r="DD20" s="369" t="str">
        <f ca="1">INDIRECT("'Imp. Qualif.'!L"&amp;INDIRECT("B"&amp;ROW()))</f>
        <v/>
      </c>
      <c r="DE20" s="122"/>
      <c r="DG20" s="92" t="str">
        <f>IF(DE14="","",IF(DE14=DE17, IF(DE15 &lt; DE18, DD14, DD17),IF(DE14 &lt; DE17,DD14,DD17)))</f>
        <v/>
      </c>
      <c r="DH20" s="122"/>
      <c r="DJ20" s="92" t="str">
        <f>IF(DH14="","",IF(DH14=DH17, IF(DH15 &lt; DH18, DG14, DG17),IF(DH14 &lt; DH17,DG14,DG17)))</f>
        <v/>
      </c>
      <c r="DK20" s="122"/>
      <c r="DM20" s="117" t="str">
        <f>IF(DK20="","",IF(DK20=DK23, IF(DK21 &gt; DK24, DJ20, DJ23),IF(DK20&gt;DK23,DJ20,DJ23)))</f>
        <v/>
      </c>
      <c r="DO20" s="40">
        <v>15</v>
      </c>
      <c r="DP20" s="61">
        <v>5</v>
      </c>
      <c r="DQ20" s="369" t="str">
        <f ca="1">INDIRECT("'Imp. Qualif.'!L"&amp;INDIRECT("B"&amp;ROW()))</f>
        <v/>
      </c>
      <c r="DR20" s="122"/>
      <c r="DT20" s="92" t="str">
        <f>IF(DR14="","",IF(DR14=DR17, IF(DR15 &lt; DR18, DQ14, DQ17),IF(DR14 &lt; DR17,DQ14,DQ17)))</f>
        <v/>
      </c>
      <c r="DU20" s="122"/>
      <c r="DW20" s="92" t="str">
        <f>IF(DU14="","",IF(DU14=DU17, IF(DU15 &lt; DU18, DT14, DT17),IF(DU14 &lt; DU17,DT14,DT17)))</f>
        <v/>
      </c>
      <c r="DX20" s="122"/>
      <c r="DZ20" s="117" t="str">
        <f>IF(DX20="","",IF(DX20=DX23, IF(DX21 &gt; DX24, DW20, DW23),IF(DX20&gt;DX23,DW20,DW23)))</f>
        <v/>
      </c>
      <c r="EB20" s="40">
        <v>15</v>
      </c>
      <c r="EC20" s="61">
        <v>5</v>
      </c>
      <c r="ED20" s="369" t="str">
        <f ca="1">INDIRECT("'Imp. Qualif.'!L"&amp;INDIRECT("B"&amp;ROW()))</f>
        <v/>
      </c>
      <c r="EE20" s="122"/>
      <c r="EG20" s="92" t="str">
        <f>IF(EE14="","",IF(EE14=EE17, IF(EE15 &lt; EE18, ED14, ED17),IF(EE14 &lt; EE17,ED14,ED17)))</f>
        <v/>
      </c>
      <c r="EH20" s="122"/>
      <c r="EJ20" s="92" t="str">
        <f>IF(EH14="","",IF(EH14=EH17, IF(EH15 &lt; EH18, EG14, EG17),IF(EH14 &lt; EH17,EG14,EG17)))</f>
        <v/>
      </c>
      <c r="EK20" s="122"/>
      <c r="EM20" s="117" t="str">
        <f>IF(EK20="","",IF(EK20=EK23, IF(EK21 &gt; EK24, EJ20, EJ23),IF(EK20&gt;EK23,EJ20,EJ23)))</f>
        <v/>
      </c>
    </row>
    <row r="21" spans="2:143" s="40" customFormat="1" ht="14.25" customHeight="1" thickBot="1" x14ac:dyDescent="0.25">
      <c r="C21"/>
      <c r="D21" s="372" t="str">
        <f ca="1">INDIRECT("'Imp. Qualif.'!M"&amp;INDIRECT("B"&amp;ROW()-1))</f>
        <v/>
      </c>
      <c r="E21" s="74"/>
      <c r="G21" s="93" t="str">
        <f>IF(E14="","",IF(E14=E17, IF(E15 &lt; E18, D15, D18),IF(E14 &lt; E17,D15,D18)))</f>
        <v/>
      </c>
      <c r="H21" s="74"/>
      <c r="J21" s="93" t="str">
        <f>IF(H14="","",IF(H14=H17, IF(H15 &lt; H18, G15, G18),IF(H14 &lt; H17,G15,G18)))</f>
        <v/>
      </c>
      <c r="K21" s="74"/>
      <c r="M21" s="118" t="str">
        <f>IF(K20="","",IF(K20=K23, IF(K21 &gt; K24, J21, J24),IF(K20&gt;K23,J21,J24)))</f>
        <v/>
      </c>
      <c r="N21" s="95"/>
      <c r="Q21" s="61"/>
      <c r="AA21" s="47"/>
      <c r="AD21" s="372" t="str">
        <f ca="1">INDIRECT("'Imp. Qualif.'!M"&amp;INDIRECT("B"&amp;ROW()-1))</f>
        <v/>
      </c>
      <c r="AE21" s="74"/>
      <c r="AG21" s="93" t="str">
        <f>IF(AE14="","",IF(AE14=AE17, IF(AE15 &lt; AE18, AD15, AD18),IF(AE14 &lt; AE17,AD15,AD18)))</f>
        <v/>
      </c>
      <c r="AH21" s="74"/>
      <c r="AJ21" s="93" t="str">
        <f>IF(AH14="","",IF(AH14=AH17, IF(AH15 &lt; AH18, AG15, AG18),IF(AH14 &lt; AH17,AG15,AG18)))</f>
        <v/>
      </c>
      <c r="AK21" s="74"/>
      <c r="AM21" s="118" t="str">
        <f>IF(AK20="","",IF(AK20=AK23, IF(AK21 &gt; AK24, AJ21, AJ24),IF(AK20&gt;AK23,AJ21,AJ24)))</f>
        <v/>
      </c>
      <c r="AN21" s="95"/>
      <c r="AP21" s="61"/>
      <c r="AQ21" s="372" t="str">
        <f ca="1">INDIRECT("'Imp. Qualif.'!M"&amp;INDIRECT("B"&amp;ROW()-1))</f>
        <v/>
      </c>
      <c r="AR21" s="74"/>
      <c r="AT21" s="93" t="str">
        <f>IF(AR14="","",IF(AR14=AR17, IF(AR15 &lt; AR18, AQ15, AQ18),IF(AR14 &lt; AR17,AQ15,AQ18)))</f>
        <v/>
      </c>
      <c r="AU21" s="74"/>
      <c r="AW21" s="93" t="str">
        <f>IF(AU14="","",IF(AU14=AU17, IF(AU15 &lt; AU18, AT15, AT18),IF(AU14 &lt; AU17,AT15,AT18)))</f>
        <v/>
      </c>
      <c r="AX21" s="74"/>
      <c r="AZ21" s="118" t="str">
        <f>IF(AX20="","",IF(AX20=AX23, IF(AX21 &gt; AX24, AW21, AW24),IF(AX20&gt;AX23,AW21,AW24)))</f>
        <v/>
      </c>
      <c r="BC21" s="61"/>
      <c r="BD21" s="372" t="str">
        <f ca="1">INDIRECT("'Imp. Qualif.'!M"&amp;INDIRECT("B"&amp;ROW()-1))</f>
        <v/>
      </c>
      <c r="BE21" s="74"/>
      <c r="BG21" s="93" t="str">
        <f>IF(BE14="","",IF(BE14=BE17, IF(BE15 &lt; BE18, BD15, BD18),IF(BE14 &lt; BE17,BD15,BD18)))</f>
        <v/>
      </c>
      <c r="BH21" s="74"/>
      <c r="BJ21" s="93" t="str">
        <f>IF(BH14="","",IF(BH14=BH17, IF(BH15 &lt; BH18, BG15, BG18),IF(BH14 &lt; BH17,BG15,BG18)))</f>
        <v/>
      </c>
      <c r="BK21" s="74"/>
      <c r="BM21" s="118" t="str">
        <f>IF(BK20="","",IF(BK20=BK23, IF(BK21 &gt; BK24, BJ21, BJ24),IF(BK20&gt;BK23,BJ21,BJ24)))</f>
        <v/>
      </c>
      <c r="BP21" s="61"/>
      <c r="BQ21" s="372" t="str">
        <f ca="1">INDIRECT("'Imp. Qualif.'!M"&amp;INDIRECT("B"&amp;ROW()-1))</f>
        <v/>
      </c>
      <c r="BR21" s="74"/>
      <c r="BT21" s="93" t="str">
        <f>IF(BR14="","",IF(BR14=BR17, IF(BR15 &lt; BR18, BQ15, BQ18),IF(BR14 &lt; BR17,BQ15,BQ18)))</f>
        <v/>
      </c>
      <c r="BU21" s="74"/>
      <c r="BW21" s="93" t="str">
        <f>IF(BU14="","",IF(BU14=BU17, IF(BU15 &lt; BU18, BT15, BT18),IF(BU14 &lt; BU17,BT15,BT18)))</f>
        <v/>
      </c>
      <c r="BX21" s="74"/>
      <c r="BZ21" s="118" t="str">
        <f>IF(BX20="","",IF(BX20=BX23, IF(BX21 &gt; BX24, BW21, BW24),IF(BX20&gt;BX23,BW21,BW24)))</f>
        <v/>
      </c>
      <c r="CC21" s="61"/>
      <c r="CD21" s="372" t="str">
        <f ca="1">INDIRECT("'Imp. Qualif.'!M"&amp;INDIRECT("B"&amp;ROW()-1))</f>
        <v/>
      </c>
      <c r="CE21" s="74"/>
      <c r="CG21" s="93" t="str">
        <f>IF(CE14="","",IF(CE14=CE17, IF(CE15 &lt; CE18, CD15, CD18),IF(CE14 &lt; CE17,CD15,CD18)))</f>
        <v/>
      </c>
      <c r="CH21" s="74"/>
      <c r="CJ21" s="93" t="str">
        <f>IF(CH14="","",IF(CH14=CH17, IF(CH15 &lt; CH18, CG15, CG18),IF(CH14 &lt; CH17,CG15,CG18)))</f>
        <v/>
      </c>
      <c r="CK21" s="74"/>
      <c r="CM21" s="118" t="str">
        <f>IF(CK20="","",IF(CK20=CK23, IF(CK21 &gt; CK24, CJ21, CJ24),IF(CK20&gt;CK23,CJ21,CJ24)))</f>
        <v/>
      </c>
      <c r="CP21" s="61"/>
      <c r="CQ21" s="372" t="str">
        <f ca="1">INDIRECT("'Imp. Qualif.'!M"&amp;INDIRECT("B"&amp;ROW()-1))</f>
        <v/>
      </c>
      <c r="CR21" s="74"/>
      <c r="CT21" s="93" t="str">
        <f>IF(CR14="","",IF(CR14=CR17, IF(CR15 &lt; CR18, CQ15, CQ18),IF(CR14 &lt; CR17,CQ15,CQ18)))</f>
        <v/>
      </c>
      <c r="CU21" s="74"/>
      <c r="CW21" s="93" t="str">
        <f>IF(CU14="","",IF(CU14=CU17, IF(CU15 &lt; CU18, CT15, CT18),IF(CU14 &lt; CU17,CT15,CT18)))</f>
        <v/>
      </c>
      <c r="CX21" s="74"/>
      <c r="CZ21" s="118" t="str">
        <f>IF(CX20="","",IF(CX20=CX23, IF(CX21 &gt; CX24, CW21, CW24),IF(CX20&gt;CX23,CW21,CW24)))</f>
        <v/>
      </c>
      <c r="DC21" s="61"/>
      <c r="DD21" s="372" t="str">
        <f ca="1">INDIRECT("'Imp. Qualif.'!M"&amp;INDIRECT("B"&amp;ROW()-1))</f>
        <v/>
      </c>
      <c r="DE21" s="74"/>
      <c r="DG21" s="93" t="str">
        <f>IF(DE14="","",IF(DE14=DE17, IF(DE15 &lt; DE18, DD15, DD18),IF(DE14 &lt; DE17,DD15,DD18)))</f>
        <v/>
      </c>
      <c r="DH21" s="74"/>
      <c r="DJ21" s="93" t="str">
        <f>IF(DH14="","",IF(DH14=DH17, IF(DH15 &lt; DH18, DG15, DG18),IF(DH14 &lt; DH17,DG15,DG18)))</f>
        <v/>
      </c>
      <c r="DK21" s="74"/>
      <c r="DM21" s="118" t="str">
        <f>IF(DK20="","",IF(DK20=DK23, IF(DK21 &gt; DK24, DJ21, DJ24),IF(DK20&gt;DK23,DJ21,DJ24)))</f>
        <v/>
      </c>
      <c r="DP21" s="61"/>
      <c r="DQ21" s="372" t="str">
        <f ca="1">INDIRECT("'Imp. Qualif.'!M"&amp;INDIRECT("B"&amp;ROW()-1))</f>
        <v/>
      </c>
      <c r="DR21" s="74"/>
      <c r="DT21" s="93" t="str">
        <f>IF(DR14="","",IF(DR14=DR17, IF(DR15 &lt; DR18, DQ15, DQ18),IF(DR14 &lt; DR17,DQ15,DQ18)))</f>
        <v/>
      </c>
      <c r="DU21" s="74"/>
      <c r="DW21" s="93" t="str">
        <f>IF(DU14="","",IF(DU14=DU17, IF(DU15 &lt; DU18, DT15, DT18),IF(DU14 &lt; DU17,DT15,DT18)))</f>
        <v/>
      </c>
      <c r="DX21" s="74"/>
      <c r="DZ21" s="118" t="str">
        <f>IF(DX20="","",IF(DX20=DX23, IF(DX21 &gt; DX24, DW21, DW24),IF(DX20&gt;DX23,DW21,DW24)))</f>
        <v/>
      </c>
      <c r="EC21" s="61"/>
      <c r="ED21" s="372" t="str">
        <f ca="1">INDIRECT("'Imp. Qualif.'!M"&amp;INDIRECT("B"&amp;ROW()-1))</f>
        <v/>
      </c>
      <c r="EE21" s="74"/>
      <c r="EG21" s="93" t="str">
        <f>IF(EE14="","",IF(EE14=EE17, IF(EE15 &lt; EE18, ED15, ED18),IF(EE14 &lt; EE17,ED15,ED18)))</f>
        <v/>
      </c>
      <c r="EH21" s="74"/>
      <c r="EJ21" s="93" t="str">
        <f>IF(EH14="","",IF(EH14=EH17, IF(EH15 &lt; EH18, EG15, EG18),IF(EH14 &lt; EH17,EG15,EG18)))</f>
        <v/>
      </c>
      <c r="EK21" s="74"/>
      <c r="EM21" s="118" t="str">
        <f>IF(EK20="","",IF(EK20=EK23, IF(EK21 &gt; EK24, EJ21, EJ24),IF(EK20&gt;EK23,EJ21,EJ24)))</f>
        <v/>
      </c>
    </row>
    <row r="22" spans="2:143" s="40" customFormat="1" ht="14.25" customHeight="1" x14ac:dyDescent="0.2">
      <c r="C22"/>
      <c r="D22" s="358"/>
      <c r="E22" s="94"/>
      <c r="H22" s="94"/>
      <c r="K22" s="94"/>
      <c r="M22" s="111"/>
      <c r="N22" s="95"/>
      <c r="Q22" s="61"/>
      <c r="AA22" s="47"/>
      <c r="AD22" s="358"/>
      <c r="AE22" s="94"/>
      <c r="AH22" s="94"/>
      <c r="AK22" s="94"/>
      <c r="AM22" s="111"/>
      <c r="AN22" s="95"/>
      <c r="AP22" s="61"/>
      <c r="AQ22" s="358"/>
      <c r="AR22" s="94"/>
      <c r="AU22" s="94"/>
      <c r="AX22" s="94"/>
      <c r="AZ22" s="111"/>
      <c r="BC22" s="61"/>
      <c r="BD22" s="358"/>
      <c r="BE22" s="97"/>
      <c r="BH22" s="97"/>
      <c r="BK22" s="97"/>
      <c r="BM22" s="111"/>
      <c r="BP22" s="61"/>
      <c r="BQ22" s="358"/>
      <c r="BR22" s="97"/>
      <c r="BU22" s="97"/>
      <c r="BX22" s="97"/>
      <c r="BZ22" s="111"/>
      <c r="CC22" s="61"/>
      <c r="CD22" s="358"/>
      <c r="CE22" s="97"/>
      <c r="CH22" s="97"/>
      <c r="CK22" s="97"/>
      <c r="CM22" s="111"/>
      <c r="CP22" s="61"/>
      <c r="CQ22" s="358"/>
      <c r="CR22" s="97"/>
      <c r="CU22" s="97"/>
      <c r="CX22" s="97"/>
      <c r="CZ22" s="111"/>
      <c r="DC22" s="61"/>
      <c r="DD22" s="358"/>
      <c r="DE22" s="97"/>
      <c r="DH22" s="97"/>
      <c r="DK22" s="97"/>
      <c r="DM22" s="111"/>
      <c r="DP22" s="61"/>
      <c r="DQ22" s="358"/>
      <c r="DR22" s="97"/>
      <c r="DU22" s="97"/>
      <c r="DX22" s="97"/>
      <c r="DZ22" s="111"/>
      <c r="EC22" s="61"/>
      <c r="ED22" s="358"/>
      <c r="EE22" s="109"/>
      <c r="EG22" s="103"/>
      <c r="EH22" s="109"/>
      <c r="EJ22" s="103"/>
      <c r="EK22" s="109"/>
      <c r="EM22" s="111"/>
    </row>
    <row r="23" spans="2:143" s="40" customFormat="1" ht="14.25" customHeight="1" x14ac:dyDescent="0.2">
      <c r="B23" s="40">
        <v>16</v>
      </c>
      <c r="C23">
        <v>6</v>
      </c>
      <c r="D23" s="369" t="str">
        <f ca="1">INDIRECT("'Imp. Qualif.'!L"&amp;INDIRECT("B"&amp;ROW()))</f>
        <v/>
      </c>
      <c r="E23" s="122"/>
      <c r="G23" s="92" t="str">
        <f>IF(E26="","",IF(E26=E29, IF(E27 &gt; E30, D26, D29),IF(E26&gt;E29,D26,D29)))</f>
        <v/>
      </c>
      <c r="H23" s="122"/>
      <c r="J23" s="92" t="str">
        <f>IF(H26="","",IF(H26=H29, IF(H27 &gt; H30, G26, G29),IF(H26&gt;H29,G26,G29)))</f>
        <v/>
      </c>
      <c r="K23" s="122"/>
      <c r="M23" s="117" t="str">
        <f>IF(K20="","",IF(K20=K23, IF(K24 &lt; K21, J23, J20),IF(K23 &lt; K20,J23,J20)))</f>
        <v/>
      </c>
      <c r="N23" s="95">
        <v>6</v>
      </c>
      <c r="Q23" s="61"/>
      <c r="AA23" s="47">
        <v>6</v>
      </c>
      <c r="AB23" s="40">
        <v>16</v>
      </c>
      <c r="AD23" s="369" t="str">
        <f ca="1">INDIRECT("'Imp. Qualif.'!L"&amp;INDIRECT("B"&amp;ROW()))</f>
        <v/>
      </c>
      <c r="AE23" s="122"/>
      <c r="AG23" s="92" t="str">
        <f>IF(AE26="","",IF(AE26=AE29, IF(AE27 &gt; AE30, AD26, AD29),IF(AE26&gt;AE29,AD26,AD29)))</f>
        <v/>
      </c>
      <c r="AH23" s="122"/>
      <c r="AJ23" s="92" t="str">
        <f>IF(AH26="","",IF(AH26=AH29, IF(AH27 &gt; AH30, AG26, AG29),IF(AH26&gt;AH29,AG26,AG29)))</f>
        <v/>
      </c>
      <c r="AK23" s="122"/>
      <c r="AM23" s="117" t="str">
        <f>IF(AK20="","",IF(AK20=AK23, IF(AK24 &lt; AK21, AJ23, AJ20),IF(AK23 &lt; AK20,AJ23,AJ20)))</f>
        <v/>
      </c>
      <c r="AN23" s="95"/>
      <c r="AO23" s="40">
        <v>16</v>
      </c>
      <c r="AP23" s="61">
        <v>6</v>
      </c>
      <c r="AQ23" s="369" t="str">
        <f ca="1">INDIRECT("'Imp. Qualif.'!L"&amp;INDIRECT("B"&amp;ROW()))</f>
        <v/>
      </c>
      <c r="AR23" s="122"/>
      <c r="AT23" s="92" t="str">
        <f>IF(AR26="","",IF(AR26=AR29, IF(AR27 &gt; AR30, AQ26, AQ29),IF(AR26&gt;AR29,AQ26,AQ29)))</f>
        <v/>
      </c>
      <c r="AU23" s="122"/>
      <c r="AW23" s="92" t="str">
        <f>IF(AU26="","",IF(AU26=AU29, IF(AU27 &gt; AU30, AT26, AT29),IF(AU26&gt;AU29,AT26,AT29)))</f>
        <v/>
      </c>
      <c r="AX23" s="122"/>
      <c r="AZ23" s="117" t="str">
        <f>IF(AX20="","",IF(AX20=AX23, IF(AX24 &lt; AX21, AW23, AW20),IF(AX23 &lt; AX20,AW23,AW20)))</f>
        <v/>
      </c>
      <c r="BB23" s="40">
        <v>16</v>
      </c>
      <c r="BC23" s="61">
        <v>6</v>
      </c>
      <c r="BD23" s="369" t="str">
        <f ca="1">INDIRECT("'Imp. Qualif.'!L"&amp;INDIRECT("B"&amp;ROW()))</f>
        <v/>
      </c>
      <c r="BE23" s="122"/>
      <c r="BG23" s="92" t="str">
        <f>IF(BE26="","",IF(BE26=BE29, IF(BE27 &gt; BE30, BD26, BD29),IF(BE26&gt;BE29,BD26,BD29)))</f>
        <v/>
      </c>
      <c r="BH23" s="122"/>
      <c r="BJ23" s="92" t="str">
        <f>IF(BH26="","",IF(BH26=BH29, IF(BH27 &gt; BH30, BG26, BG29),IF(BH26&gt;BH29,BG26,BG29)))</f>
        <v/>
      </c>
      <c r="BK23" s="122"/>
      <c r="BM23" s="117" t="str">
        <f>IF(BK20="","",IF(BK20=BK23, IF(BK24 &lt; BK21, BJ23, BJ20),IF(BK23 &lt; BK20,BJ23,BJ20)))</f>
        <v/>
      </c>
      <c r="BO23" s="40">
        <v>16</v>
      </c>
      <c r="BP23" s="61">
        <v>6</v>
      </c>
      <c r="BQ23" s="369" t="str">
        <f ca="1">INDIRECT("'Imp. Qualif.'!L"&amp;INDIRECT("B"&amp;ROW()))</f>
        <v/>
      </c>
      <c r="BR23" s="122"/>
      <c r="BT23" s="92" t="str">
        <f>IF(BR26="","",IF(BR26=BR29, IF(BR27 &gt; BR30, BQ26, BQ29),IF(BR26&gt;BR29,BQ26,BQ29)))</f>
        <v/>
      </c>
      <c r="BU23" s="122"/>
      <c r="BW23" s="92" t="str">
        <f>IF(BU26="","",IF(BU26=BU29, IF(BU27 &gt; BU30, BT26, BT29),IF(BU26&gt;BU29,BT26,BT29)))</f>
        <v/>
      </c>
      <c r="BX23" s="122"/>
      <c r="BZ23" s="117" t="str">
        <f>IF(BX20="","",IF(BX20=BX23, IF(BX24 &lt; BX21, BW23, BW20),IF(BX23 &lt; BX20,BW23,BW20)))</f>
        <v/>
      </c>
      <c r="CB23" s="40">
        <v>16</v>
      </c>
      <c r="CC23" s="61">
        <v>6</v>
      </c>
      <c r="CD23" s="369" t="str">
        <f ca="1">INDIRECT("'Imp. Qualif.'!L"&amp;INDIRECT("B"&amp;ROW()))</f>
        <v/>
      </c>
      <c r="CE23" s="122"/>
      <c r="CG23" s="92" t="str">
        <f>IF(CE26="","",IF(CE26=CE29, IF(CE27 &gt; CE30, CD26, CD29),IF(CE26&gt;CE29,CD26,CD29)))</f>
        <v/>
      </c>
      <c r="CH23" s="122"/>
      <c r="CJ23" s="92" t="str">
        <f>IF(CH26="","",IF(CH26=CH29, IF(CH27 &gt; CH30, CG26, CG29),IF(CH26&gt;CH29,CG26,CG29)))</f>
        <v/>
      </c>
      <c r="CK23" s="122"/>
      <c r="CM23" s="117" t="str">
        <f>IF(CK20="","",IF(CK20=CK23, IF(CK24 &lt; CK21, CJ23, CJ20),IF(CK23 &lt; CK20,CJ23,CJ20)))</f>
        <v/>
      </c>
      <c r="CO23" s="40">
        <v>16</v>
      </c>
      <c r="CP23" s="61">
        <v>6</v>
      </c>
      <c r="CQ23" s="369" t="str">
        <f ca="1">INDIRECT("'Imp. Qualif.'!L"&amp;INDIRECT("B"&amp;ROW()))</f>
        <v/>
      </c>
      <c r="CR23" s="122"/>
      <c r="CT23" s="92" t="str">
        <f>IF(CR26="","",IF(CR26=CR29, IF(CR27 &gt; CR30, CQ26, CQ29),IF(CR26&gt;CR29,CQ26,CQ29)))</f>
        <v/>
      </c>
      <c r="CU23" s="122"/>
      <c r="CW23" s="92" t="str">
        <f>IF(CU26="","",IF(CU26=CU29, IF(CU27 &gt; CU30, CT26, CT29),IF(CU26&gt;CU29,CT26,CT29)))</f>
        <v/>
      </c>
      <c r="CX23" s="122"/>
      <c r="CZ23" s="117" t="str">
        <f>IF(CX20="","",IF(CX20=CX23, IF(CX24 &lt; CX21, CW23, CW20),IF(CX23 &lt; CX20,CW23,CW20)))</f>
        <v/>
      </c>
      <c r="DB23" s="40">
        <v>16</v>
      </c>
      <c r="DC23" s="61">
        <v>6</v>
      </c>
      <c r="DD23" s="369" t="str">
        <f ca="1">INDIRECT("'Imp. Qualif.'!L"&amp;INDIRECT("B"&amp;ROW()))</f>
        <v/>
      </c>
      <c r="DE23" s="122"/>
      <c r="DG23" s="92" t="str">
        <f>IF(DE26="","",IF(DE26=DE29, IF(DE27 &gt; DE30, DD26, DD29),IF(DE26&gt;DE29,DD26,DD29)))</f>
        <v/>
      </c>
      <c r="DH23" s="122"/>
      <c r="DJ23" s="92" t="str">
        <f>IF(DH26="","",IF(DH26=DH29, IF(DH27 &gt; DH30, DG26, DG29),IF(DH26&gt;DH29,DG26,DG29)))</f>
        <v/>
      </c>
      <c r="DK23" s="122"/>
      <c r="DM23" s="117" t="str">
        <f>IF(DK20="","",IF(DK20=DK23, IF(DK24 &lt; DK21, DJ23, DJ20),IF(DK23 &lt; DK20,DJ23,DJ20)))</f>
        <v/>
      </c>
      <c r="DO23" s="40">
        <v>16</v>
      </c>
      <c r="DP23" s="61">
        <v>6</v>
      </c>
      <c r="DQ23" s="369" t="str">
        <f ca="1">INDIRECT("'Imp. Qualif.'!L"&amp;INDIRECT("B"&amp;ROW()))</f>
        <v/>
      </c>
      <c r="DR23" s="122"/>
      <c r="DT23" s="92" t="str">
        <f>IF(DR26="","",IF(DR26=DR29, IF(DR27 &gt; DR30, DQ26, DQ29),IF(DR26&gt;DR29,DQ26,DQ29)))</f>
        <v/>
      </c>
      <c r="DU23" s="122"/>
      <c r="DW23" s="92" t="str">
        <f>IF(DU26="","",IF(DU26=DU29, IF(DU27 &gt; DU30, DT26, DT29),IF(DU26&gt;DU29,DT26,DT29)))</f>
        <v/>
      </c>
      <c r="DX23" s="122"/>
      <c r="DZ23" s="117" t="str">
        <f>IF(DX20="","",IF(DX20=DX23, IF(DX24 &lt; DX21, DW23, DW20),IF(DX23 &lt; DX20,DW23,DW20)))</f>
        <v/>
      </c>
      <c r="EB23" s="40">
        <v>16</v>
      </c>
      <c r="EC23" s="61">
        <v>6</v>
      </c>
      <c r="ED23" s="369" t="str">
        <f ca="1">INDIRECT("'Imp. Qualif.'!L"&amp;INDIRECT("B"&amp;ROW()))</f>
        <v/>
      </c>
      <c r="EE23" s="122"/>
      <c r="EG23" s="92" t="str">
        <f>IF(EE23="","",IF(EE20=EE23, IF(EE21 &lt; EE24, ED20, ED23),IF(EE20&lt;EE23,ED20,ED23)))</f>
        <v/>
      </c>
      <c r="EH23" s="122"/>
      <c r="EJ23" s="92" t="str">
        <f>IF(EH23="","",IF(EH20=EH23, IF(EH21&lt; EH24, EG20, EG23),IF(EH20&lt;EH23,EG20,EG23)))</f>
        <v/>
      </c>
      <c r="EK23" s="122"/>
      <c r="EM23" s="117" t="str">
        <f>IF(EK20="","",IF(EK20=EK23, IF(EK24 &lt; EK21, EJ23, EJ20),IF(EK23 &lt; EK20,EJ23,EJ20)))</f>
        <v/>
      </c>
    </row>
    <row r="24" spans="2:143" s="40" customFormat="1" ht="14.25" customHeight="1" thickBot="1" x14ac:dyDescent="0.25">
      <c r="C24"/>
      <c r="D24" s="372" t="str">
        <f ca="1">INDIRECT("'Imp. Qualif.'!M"&amp;INDIRECT("B"&amp;ROW()-1))</f>
        <v/>
      </c>
      <c r="E24" s="74"/>
      <c r="G24" s="93" t="str">
        <f>IF(E26="","",IF(E26=E29, IF(E27 &gt; E30, D27, D30),IF(E26&gt;E29,D27,D30)))</f>
        <v/>
      </c>
      <c r="H24" s="74"/>
      <c r="J24" s="93" t="str">
        <f>IF(H26="","",IF(H26=H29, IF(H27 &gt; H30, G27, G30),IF(H26&gt;H29,G27,G30)))</f>
        <v/>
      </c>
      <c r="K24" s="74"/>
      <c r="M24" s="118" t="str">
        <f>IF(K20="","",IF(K20=K23, IF(K24 &lt; K21, J24, J21),IF(K23 &lt; K20,J24,J21)))</f>
        <v/>
      </c>
      <c r="N24" s="95"/>
      <c r="Q24" s="61"/>
      <c r="AA24" s="47"/>
      <c r="AD24" s="372" t="str">
        <f ca="1">INDIRECT("'Imp. Qualif.'!M"&amp;INDIRECT("B"&amp;ROW()-1))</f>
        <v/>
      </c>
      <c r="AE24" s="74"/>
      <c r="AG24" s="96" t="str">
        <f>IF(AE26="","",IF(AE26=AE29, IF(AE27 &gt; AE30, AD27, AD30),IF(AE26&gt;AE29,AD27,AD30)))</f>
        <v/>
      </c>
      <c r="AH24" s="74"/>
      <c r="AJ24" s="96" t="str">
        <f>IF(AH26="","",IF(AH26=AH29, IF(AH27 &gt; AH30, AG27, AG30),IF(AH26&gt;AH29,AG27,AG30)))</f>
        <v/>
      </c>
      <c r="AK24" s="74"/>
      <c r="AM24" s="118" t="str">
        <f>IF(AK20="","",IF(AK20=AK23, IF(AK24 &lt; AK21, AJ24, AJ21),IF(AK23 &lt; AK20,AJ24,AJ21)))</f>
        <v/>
      </c>
      <c r="AN24" s="95"/>
      <c r="AP24" s="61"/>
      <c r="AQ24" s="372" t="str">
        <f ca="1">INDIRECT("'Imp. Qualif.'!M"&amp;INDIRECT("B"&amp;ROW()-1))</f>
        <v/>
      </c>
      <c r="AR24" s="74"/>
      <c r="AT24" s="93" t="str">
        <f>IF(AR26="","",IF(AR26=AR29, IF(AR27 &gt; AR30, AQ27, AQ30),IF(AR26&gt;AR29,AQ27,AQ30)))</f>
        <v/>
      </c>
      <c r="AU24" s="74"/>
      <c r="AW24" s="93" t="str">
        <f>IF(AU26="","",IF(AU26=AU29, IF(AU27 &gt; AU30, AT27, AT30),IF(AU26&gt;AU29,AT27,AT30)))</f>
        <v/>
      </c>
      <c r="AX24" s="74"/>
      <c r="AZ24" s="118" t="str">
        <f>IF(AX20="","",IF(AX20=AX23, IF(AX24 &lt; AX21, AW24, AW21),IF(AX23 &lt; AX20,AW24,AW21)))</f>
        <v/>
      </c>
      <c r="BC24" s="61"/>
      <c r="BD24" s="372" t="str">
        <f ca="1">INDIRECT("'Imp. Qualif.'!M"&amp;INDIRECT("B"&amp;ROW()-1))</f>
        <v/>
      </c>
      <c r="BE24" s="74"/>
      <c r="BG24" s="96" t="str">
        <f>IF(BE26="","",IF(BE26=BE29, IF(BE27 &gt; BE30, BD27, BD30),IF(BE26&gt;BE29,BD27,BD30)))</f>
        <v/>
      </c>
      <c r="BH24" s="74"/>
      <c r="BJ24" s="96" t="str">
        <f>IF(BH26="","",IF(BH26=BH29, IF(BH27 &gt; BH30, BG27, BG30),IF(BH26&gt;BH29,BG27,BG30)))</f>
        <v/>
      </c>
      <c r="BK24" s="74"/>
      <c r="BM24" s="118" t="str">
        <f>IF(BK20="","",IF(BK20=BK23, IF(BK24 &lt; BK21, BJ24, BJ21),IF(BK23 &lt; BK20,BJ24,BJ21)))</f>
        <v/>
      </c>
      <c r="BP24" s="61"/>
      <c r="BQ24" s="372" t="str">
        <f ca="1">INDIRECT("'Imp. Qualif.'!M"&amp;INDIRECT("B"&amp;ROW()-1))</f>
        <v/>
      </c>
      <c r="BR24" s="74"/>
      <c r="BT24" s="96" t="str">
        <f>IF(BR26="","",IF(BR26=BR29, IF(BR27 &gt; BR30, BQ27, BQ30),IF(BR26&gt;BR29,BQ27,BQ30)))</f>
        <v/>
      </c>
      <c r="BU24" s="74"/>
      <c r="BW24" s="96" t="str">
        <f>IF(BU26="","",IF(BU26=BU29, IF(BU27 &gt; BU30, BT27, BT30),IF(BU26&gt;BU29,BT27,BT30)))</f>
        <v/>
      </c>
      <c r="BX24" s="74"/>
      <c r="BZ24" s="118" t="str">
        <f>IF(BX20="","",IF(BX20=BX23, IF(BX24 &lt; BX21, BW24, BW21),IF(BX23 &lt; BX20,BW24,BW21)))</f>
        <v/>
      </c>
      <c r="CC24" s="61"/>
      <c r="CD24" s="372" t="str">
        <f ca="1">INDIRECT("'Imp. Qualif.'!M"&amp;INDIRECT("B"&amp;ROW()-1))</f>
        <v/>
      </c>
      <c r="CE24" s="74"/>
      <c r="CG24" s="96" t="str">
        <f>IF(CE26="","",IF(CE26=CE29, IF(CE27 &gt; CE30, CD27, CD30),IF(CE26&gt;CE29,CD27,CD30)))</f>
        <v/>
      </c>
      <c r="CH24" s="74"/>
      <c r="CJ24" s="96" t="str">
        <f>IF(CH26="","",IF(CH26=CH29, IF(CH27 &gt; CH30, CG27, CG30),IF(CH26&gt;CH29,CG27,CG30)))</f>
        <v/>
      </c>
      <c r="CK24" s="74"/>
      <c r="CM24" s="118" t="str">
        <f>IF(CK20="","",IF(CK20=CK23, IF(CK24 &lt; CK21, CJ24, CJ21),IF(CK23 &lt; CK20,CJ24,CJ21)))</f>
        <v/>
      </c>
      <c r="CP24" s="61"/>
      <c r="CQ24" s="372" t="str">
        <f ca="1">INDIRECT("'Imp. Qualif.'!M"&amp;INDIRECT("B"&amp;ROW()-1))</f>
        <v/>
      </c>
      <c r="CR24" s="74"/>
      <c r="CT24" s="96" t="str">
        <f>IF(CR26="","",IF(CR26=CR29, IF(CR27 &gt; CR30, CQ27, CQ30),IF(CR26&gt;CR29,CQ27,CQ30)))</f>
        <v/>
      </c>
      <c r="CU24" s="74"/>
      <c r="CW24" s="96" t="str">
        <f>IF(CU26="","",IF(CU26=CU29, IF(CU27 &gt; CU30, CT27, CT30),IF(CU26&gt;CU29,CT27,CT30)))</f>
        <v/>
      </c>
      <c r="CX24" s="74"/>
      <c r="CZ24" s="118" t="str">
        <f>IF(CX20="","",IF(CX20=CX23, IF(CX24 &lt; CX21, CW24, CW21),IF(CX23 &lt; CX20,CW24,CW21)))</f>
        <v/>
      </c>
      <c r="DC24" s="61"/>
      <c r="DD24" s="372" t="str">
        <f ca="1">INDIRECT("'Imp. Qualif.'!M"&amp;INDIRECT("B"&amp;ROW()-1))</f>
        <v/>
      </c>
      <c r="DE24" s="74"/>
      <c r="DG24" s="96" t="str">
        <f>IF(DE26="","",IF(DE26=DE29, IF(DE27 &gt; DE30, DD27, DD30),IF(DE26&gt;DE29,DD27,DD30)))</f>
        <v/>
      </c>
      <c r="DH24" s="74"/>
      <c r="DJ24" s="96" t="str">
        <f>IF(DH26="","",IF(DH26=DH29, IF(DH27 &gt; DH30, DG27, DG30),IF(DH26&gt;DH29,DG27,DG30)))</f>
        <v/>
      </c>
      <c r="DK24" s="74"/>
      <c r="DM24" s="118" t="str">
        <f>IF(DK20="","",IF(DK20=DK23, IF(DK24 &lt; DK21, DJ24, DJ21),IF(DK23 &lt; DK20,DJ24,DJ21)))</f>
        <v/>
      </c>
      <c r="DP24" s="61"/>
      <c r="DQ24" s="372" t="str">
        <f ca="1">INDIRECT("'Imp. Qualif.'!M"&amp;INDIRECT("B"&amp;ROW()-1))</f>
        <v/>
      </c>
      <c r="DR24" s="74"/>
      <c r="DT24" s="96" t="str">
        <f>IF(DR26="","",IF(DR26=DR29, IF(DR27 &gt; DR30, DQ27, DQ30),IF(DR26&gt;DR29,DQ27,DQ30)))</f>
        <v/>
      </c>
      <c r="DU24" s="74"/>
      <c r="DW24" s="96" t="str">
        <f>IF(DU26="","",IF(DU26=DU29, IF(DU27 &gt; DU30, DT27, DT30),IF(DU26&gt;DU29,DT27,DT30)))</f>
        <v/>
      </c>
      <c r="DX24" s="74"/>
      <c r="DZ24" s="118" t="str">
        <f>IF(DX20="","",IF(DX20=DX23, IF(DX24 &lt; DX21, DW24, DW21),IF(DX23 &lt; DX20,DW24,DW21)))</f>
        <v/>
      </c>
      <c r="EC24" s="61"/>
      <c r="ED24" s="380" t="str">
        <f ca="1">INDIRECT("'Imp. Qualif.'!M"&amp;INDIRECT("B"&amp;ROW()-1))</f>
        <v/>
      </c>
      <c r="EE24" s="74"/>
      <c r="EG24" s="93" t="str">
        <f>IF(EE23="","",IF(EE23=EE20, IF(EE24 &lt; EE21, ED24, ED21),IF(EE23&lt;EE20,ED24,ED21)))</f>
        <v/>
      </c>
      <c r="EH24" s="74"/>
      <c r="EJ24" s="93" t="str">
        <f>IF(EH23="","",IF(EH20=EH23, IF(EH21&lt; EH24, EG21, EG24),IF(EH20&lt;EH23,EG21,EG24)))</f>
        <v/>
      </c>
      <c r="EK24" s="74"/>
      <c r="EM24" s="118" t="str">
        <f>IF(EK20="","",IF(EK20=EK23, IF(EK24 &lt; EK21, EJ24, EJ21),IF(EK23 &lt; EK20,EJ24,EJ21)))</f>
        <v/>
      </c>
    </row>
    <row r="25" spans="2:143" s="40" customFormat="1" ht="14.25" customHeight="1" x14ac:dyDescent="0.2">
      <c r="C25"/>
      <c r="D25" s="358"/>
      <c r="E25" s="94"/>
      <c r="H25" s="94"/>
      <c r="K25" s="94"/>
      <c r="M25" s="111"/>
      <c r="N25" s="95"/>
      <c r="Q25" s="61"/>
      <c r="AA25" s="47"/>
      <c r="AD25" s="358"/>
      <c r="AE25" s="94"/>
      <c r="AH25" s="94"/>
      <c r="AK25" s="94"/>
      <c r="AM25" s="111"/>
      <c r="AN25" s="95"/>
      <c r="AP25" s="61"/>
      <c r="AQ25" s="358"/>
      <c r="AR25" s="94"/>
      <c r="AU25" s="94"/>
      <c r="AX25" s="94"/>
      <c r="AZ25" s="111"/>
      <c r="BC25" s="61"/>
      <c r="BD25" s="358"/>
      <c r="BE25" s="97"/>
      <c r="BH25" s="97"/>
      <c r="BK25" s="97"/>
      <c r="BM25" s="111"/>
      <c r="BP25" s="61"/>
      <c r="BQ25" s="358"/>
      <c r="BR25" s="109"/>
      <c r="BT25" s="103"/>
      <c r="BU25" s="109"/>
      <c r="BW25" s="103"/>
      <c r="BX25" s="109"/>
      <c r="BZ25" s="111"/>
      <c r="CC25" s="61"/>
      <c r="CD25" s="358"/>
      <c r="CE25" s="109"/>
      <c r="CG25" s="103"/>
      <c r="CH25" s="109"/>
      <c r="CJ25" s="103"/>
      <c r="CK25" s="109"/>
      <c r="CM25" s="111"/>
      <c r="CP25" s="61"/>
      <c r="CQ25" s="358"/>
      <c r="CR25" s="109"/>
      <c r="CT25" s="103"/>
      <c r="CU25" s="109"/>
      <c r="CW25" s="103"/>
      <c r="CX25" s="109"/>
      <c r="CZ25" s="111"/>
      <c r="DC25" s="61"/>
      <c r="DD25" s="358"/>
      <c r="DE25" s="109"/>
      <c r="DG25" s="119"/>
      <c r="DH25" s="109"/>
      <c r="DJ25" s="119"/>
      <c r="DK25" s="109"/>
      <c r="DM25" s="111"/>
      <c r="DP25" s="61"/>
      <c r="DQ25" s="358"/>
      <c r="DR25" s="109"/>
      <c r="DT25" s="103"/>
      <c r="DU25" s="109"/>
      <c r="DW25" s="103"/>
      <c r="DX25" s="109"/>
      <c r="DZ25" s="111"/>
      <c r="EC25" s="61"/>
      <c r="ED25" s="103"/>
      <c r="EE25" s="109"/>
      <c r="EG25" s="103"/>
      <c r="EH25" s="109"/>
      <c r="EJ25" s="103"/>
      <c r="EK25" s="109"/>
      <c r="EM25" s="111"/>
    </row>
    <row r="26" spans="2:143" s="40" customFormat="1" ht="14.25" customHeight="1" x14ac:dyDescent="0.2">
      <c r="B26" s="40">
        <v>17</v>
      </c>
      <c r="C26">
        <v>7</v>
      </c>
      <c r="D26" s="369" t="str">
        <f ca="1">INDIRECT("'Imp. Qualif.'!L"&amp;INDIRECT("B"&amp;ROW()))</f>
        <v/>
      </c>
      <c r="E26" s="122"/>
      <c r="G26" s="92" t="str">
        <f>IF(E20="","",IF(E20=E23, IF(E21 &lt; E24, D20, D23),IF(E20 &lt; E23,D20,D23)))</f>
        <v/>
      </c>
      <c r="H26" s="122"/>
      <c r="J26" s="92" t="str">
        <f>IF(H20="","",IF(H20=H23, IF(H21 &lt; H24, G20, G23),IF(H20 &lt; H23,G20,G23)))</f>
        <v/>
      </c>
      <c r="K26" s="122"/>
      <c r="M26" s="117" t="str">
        <f>IF(K26="","",IF(K26=K29, IF(K27 &gt; K30, J26, J29),IF(K26&gt;K29,J26,J29)))</f>
        <v/>
      </c>
      <c r="N26" s="95">
        <v>7</v>
      </c>
      <c r="Q26" s="61"/>
      <c r="AA26" s="47">
        <v>7</v>
      </c>
      <c r="AB26" s="40">
        <v>17</v>
      </c>
      <c r="AD26" s="369" t="str">
        <f ca="1">INDIRECT("'Imp. Qualif.'!L"&amp;INDIRECT("B"&amp;ROW()))</f>
        <v/>
      </c>
      <c r="AE26" s="122"/>
      <c r="AG26" s="92" t="str">
        <f>IF(AE20="","",IF(AE20=AE23, IF(AE21 &lt; AE24, AD20, AD23),IF(AE20 &lt; AE23,AD20,AD23)))</f>
        <v/>
      </c>
      <c r="AH26" s="122"/>
      <c r="AJ26" s="92" t="str">
        <f>IF(AH20="","",IF(AH20=AH23, IF(AH21 &lt; AH24, AG20, AG23),IF(AH20 &lt; AH23,AG20,AG23)))</f>
        <v/>
      </c>
      <c r="AK26" s="122"/>
      <c r="AM26" s="117" t="str">
        <f>IF(AK26="","",IF(AK26=AK29, IF(AK27 &gt; AK30, AJ26, AJ29),IF(AK26&gt;AK29,AJ26,AJ29)))</f>
        <v/>
      </c>
      <c r="AN26" s="95"/>
      <c r="AO26" s="40">
        <v>17</v>
      </c>
      <c r="AP26" s="61">
        <v>7</v>
      </c>
      <c r="AQ26" s="369" t="str">
        <f ca="1">INDIRECT("'Imp. Qualif.'!L"&amp;INDIRECT("B"&amp;ROW()))</f>
        <v/>
      </c>
      <c r="AR26" s="122"/>
      <c r="AT26" s="92" t="str">
        <f>IF(AR20="","",IF(AR20=AR23, IF(AR21 &lt; AR24, AQ20, AQ23),IF(AR20 &lt; AR23,AQ20,AQ23)))</f>
        <v/>
      </c>
      <c r="AU26" s="122"/>
      <c r="AW26" s="92" t="str">
        <f>IF(AU20="","",IF(AU20=AU23, IF(AU21 &lt; AU24, AT20, AT23),IF(AU20 &lt; AU23,AT20,AT23)))</f>
        <v/>
      </c>
      <c r="AX26" s="122"/>
      <c r="AZ26" s="117" t="str">
        <f>IF(AX26="","",IF(AX26=AX29, IF(AX27 &gt; AX30, AW26, AW29),IF(AX26&gt;AX29,AW26,AW29)))</f>
        <v/>
      </c>
      <c r="BB26" s="40">
        <v>17</v>
      </c>
      <c r="BC26" s="61">
        <v>7</v>
      </c>
      <c r="BD26" s="369" t="str">
        <f ca="1">INDIRECT("'Imp. Qualif.'!L"&amp;INDIRECT("B"&amp;ROW()))</f>
        <v/>
      </c>
      <c r="BE26" s="122"/>
      <c r="BG26" s="92" t="str">
        <f>IF(BE20="","",IF(BE20=BE23, IF(BE21 &lt; BE24, BD20, BD23),IF(BE20 &lt; BE23,BD20,BD23)))</f>
        <v/>
      </c>
      <c r="BH26" s="122"/>
      <c r="BJ26" s="92" t="str">
        <f>IF(BH20="","",IF(BH20=BH23, IF(BH21 &lt; BH24, BG20, BG23),IF(BH20 &lt; BH23,BG20,BG23)))</f>
        <v/>
      </c>
      <c r="BK26" s="122"/>
      <c r="BM26" s="117" t="str">
        <f>IF(BK26="","",IF(BK26=BK29, IF(BK27 &gt; BK30, BJ26, BJ29),IF(BK26&gt;BK29,BJ26,BJ29)))</f>
        <v/>
      </c>
      <c r="BO26" s="40">
        <v>17</v>
      </c>
      <c r="BP26" s="61">
        <v>7</v>
      </c>
      <c r="BQ26" s="369" t="str">
        <f ca="1">INDIRECT("'Imp. Qualif.'!L"&amp;INDIRECT("B"&amp;ROW()))</f>
        <v/>
      </c>
      <c r="BR26" s="122"/>
      <c r="BT26" s="92" t="str">
        <f>IF(BR20="","",IF(BR20=BR23, IF(BR21 &lt; BR24, BQ20, BQ23),IF(BR20 &lt; BR23,BQ20,BQ23)))</f>
        <v/>
      </c>
      <c r="BU26" s="122"/>
      <c r="BW26" s="92" t="str">
        <f>IF(BU20="","",IF(BU20=BU23, IF(BU21 &lt; BU24, BT20, BT23),IF(BU20 &lt; BU23,BT20,BT23)))</f>
        <v/>
      </c>
      <c r="BX26" s="122"/>
      <c r="BZ26" s="117" t="str">
        <f>IF(BX26="","",IF(BX26=BX29, IF(BX27 &gt; BX30, BW26, BW29),IF(BX26&gt;BX29,BW26,BW29)))</f>
        <v/>
      </c>
      <c r="CB26" s="40">
        <v>17</v>
      </c>
      <c r="CC26" s="61">
        <v>7</v>
      </c>
      <c r="CD26" s="369" t="str">
        <f ca="1">INDIRECT("'Imp. Qualif.'!L"&amp;INDIRECT("B"&amp;ROW()))</f>
        <v/>
      </c>
      <c r="CE26" s="122"/>
      <c r="CG26" s="92" t="str">
        <f>IF(CE20="","",IF(CE20=CE23, IF(CE21 &lt; CE24, CD20, CD23),IF(CE20 &lt; CE23,CD20,CD23)))</f>
        <v/>
      </c>
      <c r="CH26" s="122"/>
      <c r="CJ26" s="92" t="str">
        <f>IF(CH20="","",IF(CH20=CH23, IF(CH21 &lt; CH24, CG20, CG23),IF(CH20 &lt; CH23,CG20,CG23)))</f>
        <v/>
      </c>
      <c r="CK26" s="122"/>
      <c r="CM26" s="117" t="str">
        <f>IF(CK26="","",IF(CK26=CK29, IF(CK27 &gt; CK30, CJ26, CJ29),IF(CK26&gt;CK29,CJ26,CJ29)))</f>
        <v/>
      </c>
      <c r="CO26" s="40">
        <v>17</v>
      </c>
      <c r="CP26" s="61">
        <v>7</v>
      </c>
      <c r="CQ26" s="369" t="str">
        <f ca="1">INDIRECT("'Imp. Qualif.'!L"&amp;INDIRECT("B"&amp;ROW()))</f>
        <v/>
      </c>
      <c r="CR26" s="122"/>
      <c r="CT26" s="92" t="str">
        <f>IF(CR20="","",IF(CR20=CR23, IF(CR21 &lt; CR24, CQ20, CQ23),IF(CR20 &lt; CR23,CQ20,CQ23)))</f>
        <v/>
      </c>
      <c r="CU26" s="122"/>
      <c r="CW26" s="92" t="str">
        <f>IF(CU20="","",IF(CU20=CU23, IF(CU21 &lt; CU24, CT20, CT23),IF(CU20 &lt; CU23,CT20,CT23)))</f>
        <v/>
      </c>
      <c r="CX26" s="122"/>
      <c r="CZ26" s="117" t="str">
        <f>IF(CX26="","",IF(CX26=CX29, IF(CX27 &gt; CX30, CW26, CW29),IF(CX26&gt;CX29,CW26,CW29)))</f>
        <v/>
      </c>
      <c r="DB26" s="40">
        <v>17</v>
      </c>
      <c r="DC26" s="61">
        <v>7</v>
      </c>
      <c r="DD26" s="369" t="str">
        <f ca="1">INDIRECT("'Imp. Qualif.'!L"&amp;INDIRECT("B"&amp;ROW()))</f>
        <v/>
      </c>
      <c r="DE26" s="122"/>
      <c r="DG26" s="92" t="str">
        <f>IF(DE20="","",IF(DE20=DE23, IF(DE21 &lt; DE24, DD20, DD23),IF(DE20 &lt; DE23,DD20,DD23)))</f>
        <v/>
      </c>
      <c r="DH26" s="122"/>
      <c r="DJ26" s="92" t="str">
        <f>IF(DH20="","",IF(DH20=DH23, IF(DH21 &lt; DH24, DG20, DG23),IF(DH20 &lt; DH23,DG20,DG23)))</f>
        <v/>
      </c>
      <c r="DK26" s="122"/>
      <c r="DM26" s="117" t="str">
        <f>IF(DK26="","",IF(DK26=DK29, IF(DK27 &gt; DK30, DJ26, DJ29),IF(DK26&gt;DK29,DJ26,DJ29)))</f>
        <v/>
      </c>
      <c r="DO26" s="40">
        <v>17</v>
      </c>
      <c r="DP26" s="61">
        <v>7</v>
      </c>
      <c r="DQ26" s="369" t="str">
        <f ca="1">INDIRECT("'Imp. Qualif.'!L"&amp;INDIRECT("B"&amp;ROW()))</f>
        <v/>
      </c>
      <c r="DR26" s="122"/>
      <c r="DT26" s="92" t="str">
        <f>IF(DR20="","",IF(DR20=DR23, IF(DR21 &lt; DR24, DQ20, DQ23),IF(DR20 &lt; DR23,DQ20,DQ23)))</f>
        <v/>
      </c>
      <c r="DU26" s="122"/>
      <c r="DW26" s="92" t="str">
        <f>IF(DU20="","",IF(DU20=DU23, IF(DU21 &lt; DU24, DT20, DT23),IF(DU20 &lt; DU23,DT20,DT23)))</f>
        <v/>
      </c>
      <c r="DX26" s="122"/>
      <c r="DZ26" s="117" t="str">
        <f>IF(DX26="","",IF(DX26=DX29, IF(DX27 &gt; DX30, DW26, DW29),IF(DX26&gt;DX29,DW26,DW29)))</f>
        <v/>
      </c>
      <c r="EB26" s="40">
        <v>17</v>
      </c>
      <c r="EC26" s="61">
        <v>7</v>
      </c>
      <c r="ED26" s="103"/>
      <c r="EE26" s="109"/>
      <c r="EG26" s="103"/>
      <c r="EH26" s="109"/>
      <c r="EJ26" s="103"/>
      <c r="EK26" s="109"/>
      <c r="EM26" s="111"/>
    </row>
    <row r="27" spans="2:143" s="40" customFormat="1" ht="14.25" customHeight="1" thickBot="1" x14ac:dyDescent="0.25">
      <c r="C27"/>
      <c r="D27" s="372" t="str">
        <f ca="1">INDIRECT("'Imp. Qualif.'!M"&amp;INDIRECT("B"&amp;ROW()-1))</f>
        <v/>
      </c>
      <c r="E27" s="74"/>
      <c r="G27" s="93" t="str">
        <f>IF(E20="","",IF(E20=E23, IF(E21 &lt; E24, D21, D24),IF(E20 &lt; E23,D21,D24)))</f>
        <v/>
      </c>
      <c r="H27" s="74"/>
      <c r="J27" s="93" t="str">
        <f>IF(H20="","",IF(H20=H23, IF(H21 &lt; H24, G21, G24),IF(H20 &lt; H23,G21,G24)))</f>
        <v/>
      </c>
      <c r="K27" s="74"/>
      <c r="M27" s="118" t="str">
        <f>IF(K26="","",IF(K26=K29, IF(K27 &gt; K30, J27, J30),IF(K26&gt;K29,J27,J30)))</f>
        <v/>
      </c>
      <c r="N27" s="95"/>
      <c r="Q27" s="61"/>
      <c r="AA27" s="47"/>
      <c r="AD27" s="372" t="str">
        <f ca="1">INDIRECT("'Imp. Qualif.'!M"&amp;INDIRECT("B"&amp;ROW()-1))</f>
        <v/>
      </c>
      <c r="AE27" s="74"/>
      <c r="AG27" s="93" t="str">
        <f>IF(AE20="","",IF(AE20=AE23, IF(AE21 &lt; AE24, AD21, AD24),IF(AE20 &lt; AE23,AD21,AD24)))</f>
        <v/>
      </c>
      <c r="AH27" s="74"/>
      <c r="AJ27" s="93" t="str">
        <f>IF(AH20="","",IF(AH20=AH23, IF(AH21 &lt; AH24, AG21, AG24),IF(AH20 &lt; AH23,AG21,AG24)))</f>
        <v/>
      </c>
      <c r="AK27" s="74"/>
      <c r="AM27" s="118" t="str">
        <f>IF(AK26="","",IF(AK26=AK29, IF(AK27 &gt; AK30, AJ27, AJ30),IF(AK26&gt;AK29,AJ27,AJ30)))</f>
        <v/>
      </c>
      <c r="AN27" s="95"/>
      <c r="AP27" s="61"/>
      <c r="AQ27" s="372" t="str">
        <f ca="1">INDIRECT("'Imp. Qualif.'!M"&amp;INDIRECT("B"&amp;ROW()-1))</f>
        <v/>
      </c>
      <c r="AR27" s="74"/>
      <c r="AT27" s="93" t="str">
        <f>IF(AR20="","",IF(AR20=AR23, IF(AR21 &lt; AR24, AQ21, AQ24),IF(AR20 &lt; AR23,AQ21,AQ24)))</f>
        <v/>
      </c>
      <c r="AU27" s="74"/>
      <c r="AW27" s="93" t="str">
        <f>IF(AU20="","",IF(AU20=AU23, IF(AU21 &lt; AU24, AT21, AT24),IF(AU20 &lt; AU23,AT21,AT24)))</f>
        <v/>
      </c>
      <c r="AX27" s="74"/>
      <c r="AZ27" s="118" t="str">
        <f>IF(AX26="","",IF(AX26=AX29, IF(AX27 &gt; AX30, AW27, AW30),IF(AX26&gt;AX29,AW27,AW30)))</f>
        <v/>
      </c>
      <c r="BC27" s="61"/>
      <c r="BD27" s="372" t="str">
        <f ca="1">INDIRECT("'Imp. Qualif.'!M"&amp;INDIRECT("B"&amp;ROW()-1))</f>
        <v/>
      </c>
      <c r="BE27" s="74"/>
      <c r="BG27" s="93" t="str">
        <f>IF(BE20="","",IF(BE20=BE23, IF(BE21 &lt; BE24, BD21, BD24),IF(BE20 &lt; BE23,BD21,BD24)))</f>
        <v/>
      </c>
      <c r="BH27" s="74"/>
      <c r="BJ27" s="93" t="str">
        <f>IF(BH20="","",IF(BH20=BH23, IF(BH21 &lt; BH24, BG21, BG24),IF(BH20 &lt; BH23,BG21,BG24)))</f>
        <v/>
      </c>
      <c r="BK27" s="74"/>
      <c r="BM27" s="118" t="str">
        <f>IF(BK26="","",IF(BK26=BK29, IF(BK27 &gt; BK30, BJ27, BJ30),IF(BK26&gt;BK29,BJ27,BJ30)))</f>
        <v/>
      </c>
      <c r="BP27" s="61"/>
      <c r="BQ27" s="372" t="str">
        <f ca="1">INDIRECT("'Imp. Qualif.'!M"&amp;INDIRECT("B"&amp;ROW()-1))</f>
        <v/>
      </c>
      <c r="BR27" s="74"/>
      <c r="BT27" s="93" t="str">
        <f>IF(BR20="","",IF(BR20=BR23, IF(BR21 &lt; BR24, BQ21, BQ24),IF(BR20 &lt; BR23,BQ21,BQ24)))</f>
        <v/>
      </c>
      <c r="BU27" s="74"/>
      <c r="BW27" s="93" t="str">
        <f>IF(BU20="","",IF(BU20=BU23, IF(BU21 &lt; BU24, BT21, BT24),IF(BU20 &lt; BU23,BT21,BT24)))</f>
        <v/>
      </c>
      <c r="BX27" s="74"/>
      <c r="BZ27" s="118" t="str">
        <f>IF(BX26="","",IF(BX26=BX29, IF(BX27 &gt; BX30, BW27, BW30),IF(BX26&gt;BX29,BW27,BW30)))</f>
        <v/>
      </c>
      <c r="CC27" s="61"/>
      <c r="CD27" s="372" t="str">
        <f ca="1">INDIRECT("'Imp. Qualif.'!M"&amp;INDIRECT("B"&amp;ROW()-1))</f>
        <v/>
      </c>
      <c r="CE27" s="74"/>
      <c r="CG27" s="93" t="str">
        <f>IF(CE20="","",IF(CE20=CE23, IF(CE21 &lt; CE24, CD21, CD24),IF(CE20 &lt; CE23,CD21,CD24)))</f>
        <v/>
      </c>
      <c r="CH27" s="74"/>
      <c r="CJ27" s="93" t="str">
        <f>IF(CH20="","",IF(CH20=CH23, IF(CH21 &lt; CH24, CG21, CG24),IF(CH20 &lt; CH23,CG21,CG24)))</f>
        <v/>
      </c>
      <c r="CK27" s="74"/>
      <c r="CM27" s="118" t="str">
        <f>IF(CK26="","",IF(CK26=CK29, IF(CK27 &gt; CK30, CJ27, CJ30),IF(CK26&gt;CK29,CJ27,CJ30)))</f>
        <v/>
      </c>
      <c r="CP27" s="61"/>
      <c r="CQ27" s="372" t="str">
        <f ca="1">INDIRECT("'Imp. Qualif.'!M"&amp;INDIRECT("B"&amp;ROW()-1))</f>
        <v/>
      </c>
      <c r="CR27" s="74"/>
      <c r="CT27" s="93" t="str">
        <f>IF(CR20="","",IF(CR20=CR23, IF(CR21 &lt; CR24, CQ21, CQ24),IF(CR20 &lt; CR23,CQ21,CQ24)))</f>
        <v/>
      </c>
      <c r="CU27" s="74"/>
      <c r="CW27" s="93" t="str">
        <f>IF(CU20="","",IF(CU20=CU23, IF(CU21 &lt; CU24, CT21, CT24),IF(CU20 &lt; CU23,CT21,CT24)))</f>
        <v/>
      </c>
      <c r="CX27" s="74"/>
      <c r="CZ27" s="118" t="str">
        <f>IF(CX26="","",IF(CX26=CX29, IF(CX27 &gt; CX30, CW27, CW30),IF(CX26&gt;CX29,CW27,CW30)))</f>
        <v/>
      </c>
      <c r="DC27" s="61"/>
      <c r="DD27" s="372" t="str">
        <f ca="1">INDIRECT("'Imp. Qualif.'!M"&amp;INDIRECT("B"&amp;ROW()-1))</f>
        <v/>
      </c>
      <c r="DE27" s="74"/>
      <c r="DG27" s="93" t="str">
        <f>IF(DE20="","",IF(DE20=DE23, IF(DE21 &lt; DE24, DD21, DD24),IF(DE20 &lt; DE23,DD21,DD24)))</f>
        <v/>
      </c>
      <c r="DH27" s="74"/>
      <c r="DJ27" s="93" t="str">
        <f>IF(DH20="","",IF(DH20=DH23, IF(DH21 &lt; DH24, DG21, DG24),IF(DH20 &lt; DH23,DG21,DG24)))</f>
        <v/>
      </c>
      <c r="DK27" s="74"/>
      <c r="DM27" s="118" t="str">
        <f>IF(DK26="","",IF(DK26=DK29, IF(DK27 &gt; DK30, DJ27, DJ30),IF(DK26&gt;DK29,DJ27,DJ30)))</f>
        <v/>
      </c>
      <c r="DP27" s="61"/>
      <c r="DQ27" s="372" t="str">
        <f ca="1">INDIRECT("'Imp. Qualif.'!M"&amp;INDIRECT("B"&amp;ROW()-1))</f>
        <v/>
      </c>
      <c r="DR27" s="74"/>
      <c r="DT27" s="93" t="str">
        <f>IF(DR20="","",IF(DR20=DR23, IF(DR21 &lt; DR24, DQ21, DQ24),IF(DR20 &lt; DR23,DQ21,DQ24)))</f>
        <v/>
      </c>
      <c r="DU27" s="74"/>
      <c r="DW27" s="93" t="str">
        <f>IF(DU20="","",IF(DU20=DU23, IF(DU21 &lt; DU24, DT21, DT24),IF(DU20 &lt; DU23,DT21,DT24)))</f>
        <v/>
      </c>
      <c r="DX27" s="74"/>
      <c r="DZ27" s="118" t="str">
        <f>IF(DX26="","",IF(DX26=DX29, IF(DX27 &gt; DX30, DW27, DW30),IF(DX26&gt;DX29,DW27,DW30)))</f>
        <v/>
      </c>
      <c r="EC27" s="61"/>
      <c r="ED27" s="75" t="s">
        <v>386</v>
      </c>
      <c r="EE27" s="120"/>
      <c r="EF27" s="75" t="s">
        <v>387</v>
      </c>
      <c r="EG27" s="75"/>
      <c r="EH27" s="75"/>
      <c r="EI27" s="75"/>
      <c r="EJ27"/>
      <c r="EK27" s="109"/>
      <c r="EM27" s="111"/>
    </row>
    <row r="28" spans="2:143" s="40" customFormat="1" ht="14.25" customHeight="1" thickBot="1" x14ac:dyDescent="0.25">
      <c r="C28"/>
      <c r="D28" s="358"/>
      <c r="E28" s="97"/>
      <c r="H28" s="97"/>
      <c r="K28" s="97"/>
      <c r="M28" s="111"/>
      <c r="N28" s="95"/>
      <c r="Q28" s="61"/>
      <c r="AA28" s="47"/>
      <c r="AD28" s="358"/>
      <c r="AE28" s="94"/>
      <c r="AH28" s="94"/>
      <c r="AK28" s="94"/>
      <c r="AM28" s="111"/>
      <c r="AN28" s="95"/>
      <c r="AP28" s="61"/>
      <c r="AQ28" s="358"/>
      <c r="AR28" s="97"/>
      <c r="AU28" s="97"/>
      <c r="AX28" s="97"/>
      <c r="AZ28" s="111"/>
      <c r="BC28" s="61"/>
      <c r="BD28" s="358"/>
      <c r="BE28" s="97"/>
      <c r="BH28" s="97"/>
      <c r="BK28" s="97"/>
      <c r="BM28" s="111"/>
      <c r="BP28" s="61"/>
      <c r="BQ28" s="358"/>
      <c r="BR28" s="97"/>
      <c r="BU28" s="97"/>
      <c r="BX28" s="97"/>
      <c r="BZ28" s="111"/>
      <c r="CC28" s="61"/>
      <c r="CD28" s="358"/>
      <c r="CE28" s="97"/>
      <c r="CH28" s="97"/>
      <c r="CK28" s="97"/>
      <c r="CM28" s="111"/>
      <c r="CP28" s="61"/>
      <c r="CQ28" s="358"/>
      <c r="CR28" s="97"/>
      <c r="CU28" s="97"/>
      <c r="CX28" s="97"/>
      <c r="CZ28" s="111"/>
      <c r="DC28" s="61"/>
      <c r="DD28" s="358"/>
      <c r="DE28" s="97"/>
      <c r="DH28" s="97"/>
      <c r="DK28" s="97"/>
      <c r="DM28" s="111"/>
      <c r="DP28" s="61"/>
      <c r="DQ28" s="358"/>
      <c r="DR28" s="109"/>
      <c r="DT28" s="103"/>
      <c r="DU28" s="109"/>
      <c r="DW28" s="103"/>
      <c r="DX28" s="109"/>
      <c r="DZ28" s="111"/>
      <c r="EC28" s="61"/>
      <c r="ED28" s="75" t="s">
        <v>386</v>
      </c>
      <c r="EE28" s="76"/>
      <c r="EF28" s="75" t="s">
        <v>493</v>
      </c>
      <c r="EG28" s="75"/>
      <c r="EH28" s="75"/>
      <c r="EI28" s="75"/>
      <c r="EJ28"/>
      <c r="EK28"/>
      <c r="EL28"/>
      <c r="EM28" s="110"/>
    </row>
    <row r="29" spans="2:143" s="40" customFormat="1" ht="14.25" customHeight="1" x14ac:dyDescent="0.2">
      <c r="B29" s="40">
        <v>18</v>
      </c>
      <c r="C29">
        <v>8</v>
      </c>
      <c r="D29" s="369" t="str">
        <f ca="1">INDIRECT("'Imp. Qualif.'!L"&amp;INDIRECT("B"&amp;ROW()))</f>
        <v/>
      </c>
      <c r="E29" s="122"/>
      <c r="G29" s="92" t="str">
        <f>IF(E32="","",IF(E32=E35, IF(E33 &gt; E36, D32, D35),IF(E32&gt;E35,D32,D35)))</f>
        <v/>
      </c>
      <c r="H29" s="122"/>
      <c r="J29" s="92" t="str">
        <f>IF(H32="","",IF(H32=H35, IF(H33 &gt; H36, G32, G35),IF(H32&gt;H35,G32,G35)))</f>
        <v/>
      </c>
      <c r="K29" s="122"/>
      <c r="M29" s="117" t="str">
        <f>IF(K26="","",IF(K26=K29, IF(K30 &lt; K27, J29, J26),IF(K29 &lt; K26,J29,J26)))</f>
        <v/>
      </c>
      <c r="N29" s="95">
        <v>8</v>
      </c>
      <c r="Q29" s="61"/>
      <c r="AA29" s="47">
        <v>8</v>
      </c>
      <c r="AB29" s="40">
        <v>18</v>
      </c>
      <c r="AD29" s="369" t="str">
        <f ca="1">INDIRECT("'Imp. Qualif.'!L"&amp;INDIRECT("B"&amp;ROW()))</f>
        <v/>
      </c>
      <c r="AE29" s="122"/>
      <c r="AG29" s="92" t="str">
        <f>IF(AE32="","",IF(AE32=AE35, IF(AE33 &gt; AE36, AD32, AD35),IF(AE32&gt;AE35,AD32,AD35)))</f>
        <v/>
      </c>
      <c r="AH29" s="122"/>
      <c r="AJ29" s="92" t="str">
        <f>IF(AH32="","",IF(AH32=AH35, IF(AH33 &gt; AH36, AG32, AG35),IF(AH32&gt;AH35,AG32,AG35)))</f>
        <v/>
      </c>
      <c r="AK29" s="122"/>
      <c r="AM29" s="117" t="str">
        <f>IF(AK26="","",IF(AK26=AK29, IF(AK30 &lt; AK27, AJ29, AJ26),IF(AK29 &lt; AK26,AJ29,AJ26)))</f>
        <v/>
      </c>
      <c r="AN29" s="95"/>
      <c r="AO29" s="40">
        <v>18</v>
      </c>
      <c r="AP29" s="61">
        <v>8</v>
      </c>
      <c r="AQ29" s="369" t="str">
        <f ca="1">INDIRECT("'Imp. Qualif.'!L"&amp;INDIRECT("B"&amp;ROW()))</f>
        <v/>
      </c>
      <c r="AR29" s="122"/>
      <c r="AT29" s="92" t="str">
        <f>IF(AR32="","",IF(AR32=AR35, IF(AR33 &gt; AR36, AQ32, AQ35),IF(AR32&gt;AR35,AQ32,AQ35)))</f>
        <v/>
      </c>
      <c r="AU29" s="122"/>
      <c r="AW29" s="92" t="str">
        <f>IF(AU32="","",IF(AU32=AU35, IF(AU33 &gt; AU36, AT32, AT35),IF(AU32&gt;AU35,AT32,AT35)))</f>
        <v/>
      </c>
      <c r="AX29" s="122"/>
      <c r="AZ29" s="117" t="str">
        <f>IF(AX26="","",IF(AX26=AX29, IF(AX30 &lt; AX27, AW29, AW26),IF(AX29 &lt; AX26,AW29,AW26)))</f>
        <v/>
      </c>
      <c r="BB29" s="40">
        <v>18</v>
      </c>
      <c r="BC29" s="61">
        <v>8</v>
      </c>
      <c r="BD29" s="369" t="str">
        <f ca="1">INDIRECT("'Imp. Qualif.'!L"&amp;INDIRECT("B"&amp;ROW()))</f>
        <v/>
      </c>
      <c r="BE29" s="122"/>
      <c r="BG29" s="92" t="str">
        <f>IF(BE32="","",IF(BE32=BE35, IF(BE33 &gt; BE36, BD32, BD35),IF(BE32&gt;BE35,BD32,BD35)))</f>
        <v/>
      </c>
      <c r="BH29" s="122"/>
      <c r="BJ29" s="92" t="str">
        <f>IF(BH32="","",IF(BH32=BH35, IF(BH33 &gt; BH36, BG32, BG35),IF(BH32&gt;BH35,BG32,BG35)))</f>
        <v/>
      </c>
      <c r="BK29" s="122"/>
      <c r="BM29" s="117" t="str">
        <f>IF(BK26="","",IF(BK26=BK29, IF(BK30 &lt; BK27, BJ29, BJ26),IF(BK29 &lt; BK26,BJ29,BJ26)))</f>
        <v/>
      </c>
      <c r="BO29" s="40">
        <v>18</v>
      </c>
      <c r="BP29" s="61">
        <v>8</v>
      </c>
      <c r="BQ29" s="369" t="str">
        <f ca="1">INDIRECT("'Imp. Qualif.'!L"&amp;INDIRECT("B"&amp;ROW()))</f>
        <v/>
      </c>
      <c r="BR29" s="122"/>
      <c r="BT29" s="92" t="str">
        <f>IF(BR32="","",IF(BR32=BR35, IF(BR33 &gt; BR36, BQ32, BQ35),IF(BR32&gt;BR35,BQ32,BQ35)))</f>
        <v/>
      </c>
      <c r="BU29" s="122"/>
      <c r="BW29" s="92" t="str">
        <f>IF(BU32="","",IF(BU32=BU35, IF(BU33 &gt; BU36, BT32, BT35),IF(BU32&gt;BU35,BT32,BT35)))</f>
        <v/>
      </c>
      <c r="BX29" s="122"/>
      <c r="BZ29" s="117" t="str">
        <f>IF(BX26="","",IF(BX26=BX29, IF(BX30 &lt; BX27, BW29, BW26),IF(BX29 &lt; BX26,BW29,BW26)))</f>
        <v/>
      </c>
      <c r="CB29" s="40">
        <v>18</v>
      </c>
      <c r="CC29" s="61">
        <v>8</v>
      </c>
      <c r="CD29" s="369" t="str">
        <f ca="1">INDIRECT("'Imp. Qualif.'!L"&amp;INDIRECT("B"&amp;ROW()))</f>
        <v/>
      </c>
      <c r="CE29" s="122"/>
      <c r="CG29" s="92" t="str">
        <f>IF(CE32="","",IF(CE32=CE35, IF(CE33 &gt; CE36, CD32, CD35),IF(CE32&gt;CE35,CD32,CD35)))</f>
        <v/>
      </c>
      <c r="CH29" s="122"/>
      <c r="CJ29" s="92" t="str">
        <f>IF(CH32="","",IF(CH32=CH35, IF(CH33 &gt; CH36, CG32, CG35),IF(CH32&gt;CH35,CG32,CG35)))</f>
        <v/>
      </c>
      <c r="CK29" s="122"/>
      <c r="CM29" s="117" t="str">
        <f>IF(CK26="","",IF(CK26=CK29, IF(CK30 &lt; CK27, CJ29, CJ26),IF(CK29 &lt; CK26,CJ29,CJ26)))</f>
        <v/>
      </c>
      <c r="CO29" s="40">
        <v>18</v>
      </c>
      <c r="CP29" s="61">
        <v>8</v>
      </c>
      <c r="CQ29" s="369" t="str">
        <f ca="1">INDIRECT("'Imp. Qualif.'!L"&amp;INDIRECT("B"&amp;ROW()))</f>
        <v/>
      </c>
      <c r="CR29" s="122"/>
      <c r="CT29" s="92" t="str">
        <f>IF(CR32="","",IF(CR32=CR35, IF(CR33 &gt; CR36, CQ32, CQ35),IF(CR32&gt;CR35,CQ32,CQ35)))</f>
        <v/>
      </c>
      <c r="CU29" s="122"/>
      <c r="CW29" s="92" t="str">
        <f>IF(CU32="","",IF(CU32=CU35, IF(CU33 &gt; CU36, CT32, CT35),IF(CU32&gt;CU35,CT32,CT35)))</f>
        <v/>
      </c>
      <c r="CX29" s="122"/>
      <c r="CZ29" s="117" t="str">
        <f>IF(CX26="","",IF(CX26=CX29, IF(CX30 &lt; CX27, CW29, CW26),IF(CX29 &lt; CX26,CW29,CW26)))</f>
        <v/>
      </c>
      <c r="DB29" s="40">
        <v>18</v>
      </c>
      <c r="DC29" s="61">
        <v>8</v>
      </c>
      <c r="DD29" s="369" t="str">
        <f ca="1">INDIRECT("'Imp. Qualif.'!L"&amp;INDIRECT("B"&amp;ROW()))</f>
        <v/>
      </c>
      <c r="DE29" s="122"/>
      <c r="DG29" s="92" t="str">
        <f>IF(DE32="","",IF(DE32=DE35, IF(DE33 &gt; DE36, DD32, DD35),IF(DE32&gt;DE35,DD32,DD35)))</f>
        <v/>
      </c>
      <c r="DH29" s="122"/>
      <c r="DJ29" s="92" t="str">
        <f>IF(DH32="","",IF(DH32=DH35, IF(DH33 &gt; DH36, DG32, DG35),IF(DH32&gt;DH35,DG32,DG35)))</f>
        <v/>
      </c>
      <c r="DK29" s="122"/>
      <c r="DM29" s="117" t="str">
        <f>IF(DK26="","",IF(DK26=DK29, IF(DK30 &lt; DK27, DJ29, DJ26),IF(DK29 &lt; DK26,DJ29,DJ26)))</f>
        <v/>
      </c>
      <c r="DO29" s="40">
        <v>18</v>
      </c>
      <c r="DP29" s="61">
        <v>8</v>
      </c>
      <c r="DQ29" s="369" t="str">
        <f ca="1">INDIRECT("'Imp. Qualif.'!L"&amp;INDIRECT("B"&amp;ROW()))</f>
        <v/>
      </c>
      <c r="DR29" s="122"/>
      <c r="DT29" s="92" t="str">
        <f>IF(DR29="","",IF(DR26=DR29, IF(DR27 &lt; DR30, DQ26, DQ29),IF(DR26&lt;DR29,DQ26,DQ29)))</f>
        <v/>
      </c>
      <c r="DU29" s="122"/>
      <c r="DW29" s="92" t="str">
        <f>IF(DU29="","",IF(DU26=DU29, IF(DU27&lt; DU30, DT26, DT29),IF(DU26&lt;DU29,DT26,DT29)))</f>
        <v/>
      </c>
      <c r="DX29" s="122"/>
      <c r="DZ29" s="117" t="str">
        <f>IF(DX26="","",IF(DX26=DX29, IF(DX30 &lt; DX27, DW29, DW26),IF(DX29 &lt; DX26,DW29,DW26)))</f>
        <v/>
      </c>
      <c r="EB29" s="40">
        <v>18</v>
      </c>
      <c r="EC29" s="61">
        <v>8</v>
      </c>
      <c r="ED29"/>
      <c r="EE29"/>
      <c r="EF29"/>
      <c r="EG29"/>
      <c r="EH29"/>
      <c r="EI29"/>
      <c r="EJ29"/>
      <c r="EK29"/>
      <c r="EL29"/>
      <c r="EM29" s="110"/>
    </row>
    <row r="30" spans="2:143" s="40" customFormat="1" ht="14.25" customHeight="1" thickBot="1" x14ac:dyDescent="0.25">
      <c r="C30"/>
      <c r="D30" s="380" t="str">
        <f ca="1">INDIRECT("'Imp. Qualif.'!M"&amp;INDIRECT("B"&amp;ROW()-1))</f>
        <v/>
      </c>
      <c r="E30" s="74"/>
      <c r="G30" s="96" t="str">
        <f>IF(E32="","",IF(E32=E35, IF(E33 &gt; E36, D33, D36),IF(E32&gt;E35,D33,D36)))</f>
        <v/>
      </c>
      <c r="H30" s="74"/>
      <c r="J30" s="96" t="str">
        <f>IF(H32="","",IF(H32=H35, IF(H33 &gt; H36, G33, G36),IF(H32&gt;H35,G33,G36)))</f>
        <v/>
      </c>
      <c r="K30" s="74"/>
      <c r="M30" s="118" t="str">
        <f>IF(K26="","",IF(K26=K29, IF(K30 &lt; K27, J30, J27),IF(K29 &lt; K26,J30,J27)))</f>
        <v/>
      </c>
      <c r="N30" s="95"/>
      <c r="Q30" s="61"/>
      <c r="AA30" s="47"/>
      <c r="AD30" s="380" t="str">
        <f ca="1">INDIRECT("'Imp. Qualif.'!M"&amp;INDIRECT("B"&amp;ROW()-1))</f>
        <v/>
      </c>
      <c r="AE30" s="74"/>
      <c r="AG30" s="93" t="str">
        <f>IF(AE32="","",IF(AE32=AE35, IF(AE33 &gt; AE36, AD33, AD36),IF(AE32&gt;AE35,AD33,AD36)))</f>
        <v/>
      </c>
      <c r="AH30" s="74"/>
      <c r="AJ30" s="93" t="str">
        <f>IF(AH32="","",IF(AH32=AH35, IF(AH33 &gt; AH36, AG33, AG36),IF(AH32&gt;AH35,AG33,AG36)))</f>
        <v/>
      </c>
      <c r="AK30" s="74"/>
      <c r="AM30" s="118" t="str">
        <f>IF(AK26="","",IF(AK26=AK29, IF(AK30 &lt; AK27, AJ30, AJ27),IF(AK29 &lt; AK26,AJ30,AJ27)))</f>
        <v/>
      </c>
      <c r="AN30" s="95"/>
      <c r="AP30" s="61"/>
      <c r="AQ30" s="380" t="str">
        <f ca="1">INDIRECT("'Imp. Qualif.'!M"&amp;INDIRECT("B"&amp;ROW()-1))</f>
        <v/>
      </c>
      <c r="AR30" s="74"/>
      <c r="AT30" s="96" t="str">
        <f>IF(AR32="","",IF(AR32=AR35, IF(AR33 &gt; AR36, AQ33, AQ36),IF(AR32&gt;AR35,AQ33,AQ36)))</f>
        <v/>
      </c>
      <c r="AU30" s="74"/>
      <c r="AW30" s="96" t="str">
        <f>IF(AU32="","",IF(AU32=AU35, IF(AU33 &gt; AU36, AT33, AT36),IF(AU32&gt;AU35,AT33,AT36)))</f>
        <v/>
      </c>
      <c r="AX30" s="74"/>
      <c r="AZ30" s="118" t="str">
        <f>IF(AX26="","",IF(AX26=AX29, IF(AX30 &lt; AX27, AW30, AW27),IF(AX29 &lt; AX26,AW30,AW27)))</f>
        <v/>
      </c>
      <c r="BC30" s="61"/>
      <c r="BD30" s="380" t="str">
        <f ca="1">INDIRECT("'Imp. Qualif.'!M"&amp;INDIRECT("B"&amp;ROW()-1))</f>
        <v/>
      </c>
      <c r="BE30" s="74"/>
      <c r="BG30" s="96" t="str">
        <f>IF(BE32="","",IF(BE32=BE35, IF(BE33 &gt; BE36, BD33, BD36),IF(BE32&gt;BE35,BD33,BD36)))</f>
        <v/>
      </c>
      <c r="BH30" s="74"/>
      <c r="BJ30" s="96" t="str">
        <f>IF(BH32="","",IF(BH32=BH35, IF(BH33 &gt; BH36, BG33, BG36),IF(BH32&gt;BH35,BG33,BG36)))</f>
        <v/>
      </c>
      <c r="BK30" s="74"/>
      <c r="BM30" s="118" t="str">
        <f>IF(BK26="","",IF(BK26=BK29, IF(BK30 &lt; BK27, BJ30, BJ27),IF(BK29 &lt; BK26,BJ30,BJ27)))</f>
        <v/>
      </c>
      <c r="BP30" s="61"/>
      <c r="BQ30" s="380" t="str">
        <f ca="1">INDIRECT("'Imp. Qualif.'!M"&amp;INDIRECT("B"&amp;ROW()-1))</f>
        <v/>
      </c>
      <c r="BR30" s="74"/>
      <c r="BT30" s="96" t="str">
        <f>IF(BR32="","",IF(BR32=BR35, IF(BR33 &gt; BR36, BQ33, BQ36),IF(BR32&gt;BR35,BQ33,BQ36)))</f>
        <v/>
      </c>
      <c r="BU30" s="74"/>
      <c r="BW30" s="96" t="str">
        <f>IF(BU32="","",IF(BU32=BU35, IF(BU33 &gt; BU36, BT33, BT36),IF(BU32&gt;BU35,BT33,BT36)))</f>
        <v/>
      </c>
      <c r="BX30" s="74"/>
      <c r="BZ30" s="118" t="str">
        <f>IF(BX26="","",IF(BX26=BX29, IF(BX30 &lt; BX27, BW30, BW27),IF(BX29 &lt; BX26,BW30,BW27)))</f>
        <v/>
      </c>
      <c r="CC30" s="61"/>
      <c r="CD30" s="380" t="str">
        <f ca="1">INDIRECT("'Imp. Qualif.'!M"&amp;INDIRECT("B"&amp;ROW()-1))</f>
        <v/>
      </c>
      <c r="CE30" s="74"/>
      <c r="CG30" s="96" t="str">
        <f>IF(CE32="","",IF(CE32=CE35, IF(CE33 &gt; CE36, CD33, CD36),IF(CE32&gt;CE35,CD33,CD36)))</f>
        <v/>
      </c>
      <c r="CH30" s="74"/>
      <c r="CJ30" s="96" t="str">
        <f>IF(CH32="","",IF(CH32=CH35, IF(CH33 &gt; CH36, CG33, CG36),IF(CH32&gt;CH35,CG33,CG36)))</f>
        <v/>
      </c>
      <c r="CK30" s="74"/>
      <c r="CM30" s="118" t="str">
        <f>IF(CK26="","",IF(CK26=CK29, IF(CK30 &lt; CK27, CJ30, CJ27),IF(CK29 &lt; CK26,CJ30,CJ27)))</f>
        <v/>
      </c>
      <c r="CP30" s="61"/>
      <c r="CQ30" s="380" t="str">
        <f ca="1">INDIRECT("'Imp. Qualif.'!M"&amp;INDIRECT("B"&amp;ROW()-1))</f>
        <v/>
      </c>
      <c r="CR30" s="74"/>
      <c r="CT30" s="96" t="str">
        <f>IF(CR32="","",IF(CR32=CR35, IF(CR33 &gt; CR36, CQ33, CQ36),IF(CR32&gt;CR35,CQ33,CQ36)))</f>
        <v/>
      </c>
      <c r="CU30" s="74"/>
      <c r="CW30" s="96" t="str">
        <f>IF(CU32="","",IF(CU32=CU35, IF(CU33 &gt; CU36, CT33, CT36),IF(CU32&gt;CU35,CT33,CT36)))</f>
        <v/>
      </c>
      <c r="CX30" s="74"/>
      <c r="CZ30" s="118" t="str">
        <f>IF(CX26="","",IF(CX26=CX29, IF(CX30 &lt; CX27, CW30, CW27),IF(CX29 &lt; CX26,CW30,CW27)))</f>
        <v/>
      </c>
      <c r="DC30" s="61"/>
      <c r="DD30" s="380" t="str">
        <f ca="1">INDIRECT("'Imp. Qualif.'!M"&amp;INDIRECT("B"&amp;ROW()-1))</f>
        <v/>
      </c>
      <c r="DE30" s="74"/>
      <c r="DG30" s="96" t="str">
        <f>IF(DE32="","",IF(DE32=DE35, IF(DE33 &gt; DE36, DD33, DD36),IF(DE32&gt;DE35,DD33,DD36)))</f>
        <v/>
      </c>
      <c r="DH30" s="74"/>
      <c r="DJ30" s="96" t="str">
        <f>IF(DH32="","",IF(DH32=DH35, IF(DH33 &gt; DH36, DG33, DG36),IF(DH32&gt;DH35,DG33,DG36)))</f>
        <v/>
      </c>
      <c r="DK30" s="74"/>
      <c r="DM30" s="118" t="str">
        <f>IF(DK26="","",IF(DK26=DK29, IF(DK30 &lt; DK27, DJ30, DJ27),IF(DK29 &lt; DK26,DJ30,DJ27)))</f>
        <v/>
      </c>
      <c r="DP30" s="61"/>
      <c r="DQ30" s="380" t="str">
        <f ca="1">INDIRECT("'Imp. Qualif.'!M"&amp;INDIRECT("B"&amp;ROW()-1))</f>
        <v/>
      </c>
      <c r="DR30" s="74"/>
      <c r="DT30" s="93" t="str">
        <f>IF(DR29="","",IF(DR29=DR26, IF(DR30 &lt; DR27, DQ30, DQ27),IF(DR29&lt;DR26,DQ30,DQ27)))</f>
        <v/>
      </c>
      <c r="DU30" s="74"/>
      <c r="DW30" s="93" t="str">
        <f>IF(DU29="","",IF(DU26=DU29, IF(DU27&lt; DU30, DT27, DT30),IF(DU26&lt;DU29,DT27,DT30)))</f>
        <v/>
      </c>
      <c r="DX30" s="74"/>
      <c r="DZ30" s="118" t="str">
        <f>IF(DX26="","",IF(DX26=DX29, IF(DX30 &lt; DX27, DW30, DW27),IF(DX29 &lt; DX26,DW30,DW27)))</f>
        <v/>
      </c>
      <c r="EC30" s="61"/>
      <c r="ED30"/>
      <c r="EE30"/>
      <c r="EF30"/>
      <c r="EG30"/>
      <c r="EH30"/>
      <c r="EI30"/>
      <c r="EJ30"/>
      <c r="EK30"/>
      <c r="EL30"/>
      <c r="EM30" s="110"/>
    </row>
    <row r="31" spans="2:143" s="40" customFormat="1" ht="14.25" customHeight="1" x14ac:dyDescent="0.2">
      <c r="C31"/>
      <c r="D31" s="358"/>
      <c r="E31" s="97"/>
      <c r="H31" s="97"/>
      <c r="K31" s="97"/>
      <c r="M31" s="111"/>
      <c r="N31" s="95"/>
      <c r="Q31" s="61"/>
      <c r="AA31" s="47"/>
      <c r="AD31" s="358"/>
      <c r="AE31" s="94"/>
      <c r="AH31" s="94"/>
      <c r="AK31" s="94"/>
      <c r="AM31" s="111"/>
      <c r="AN31" s="95"/>
      <c r="AP31" s="61"/>
      <c r="AQ31" s="358"/>
      <c r="AR31" s="97"/>
      <c r="AU31" s="97"/>
      <c r="AX31" s="97"/>
      <c r="AZ31" s="111"/>
      <c r="BC31" s="61"/>
      <c r="BD31" s="358"/>
      <c r="BE31" s="109"/>
      <c r="BG31" s="103"/>
      <c r="BH31" s="109"/>
      <c r="BJ31" s="103"/>
      <c r="BK31" s="109"/>
      <c r="BM31" s="111"/>
      <c r="BP31" s="61"/>
      <c r="BQ31" s="358"/>
      <c r="BR31" s="109"/>
      <c r="BT31" s="103"/>
      <c r="BU31" s="109"/>
      <c r="BW31" s="103"/>
      <c r="BX31" s="109"/>
      <c r="BZ31" s="111"/>
      <c r="CC31" s="61"/>
      <c r="CD31" s="358"/>
      <c r="CE31" s="109"/>
      <c r="CG31" s="103"/>
      <c r="CH31" s="109"/>
      <c r="CJ31" s="103"/>
      <c r="CK31" s="109"/>
      <c r="CM31" s="111"/>
      <c r="CP31" s="61"/>
      <c r="CQ31" s="358"/>
      <c r="CR31" s="109"/>
      <c r="CT31" s="119"/>
      <c r="CU31" s="109"/>
      <c r="CW31" s="119"/>
      <c r="CX31" s="109"/>
      <c r="CZ31" s="111"/>
      <c r="DC31" s="61"/>
      <c r="DD31" s="358"/>
      <c r="DE31" s="109"/>
      <c r="DG31" s="103"/>
      <c r="DH31" s="109"/>
      <c r="DJ31" s="103"/>
      <c r="DK31" s="109"/>
      <c r="DM31" s="111"/>
      <c r="DP31" s="61"/>
      <c r="DQ31" s="103"/>
      <c r="DR31" s="109"/>
      <c r="DT31" s="103"/>
      <c r="DU31" s="109"/>
      <c r="DW31" s="103"/>
      <c r="DX31" s="109"/>
      <c r="DZ31" s="111"/>
      <c r="EC31" s="61"/>
      <c r="ED31"/>
      <c r="EE31"/>
      <c r="EF31"/>
      <c r="EG31"/>
      <c r="EH31"/>
      <c r="EI31"/>
      <c r="EJ31"/>
      <c r="EK31"/>
      <c r="EL31"/>
      <c r="EM31" s="110"/>
    </row>
    <row r="32" spans="2:143" s="40" customFormat="1" ht="14.25" customHeight="1" x14ac:dyDescent="0.2">
      <c r="B32" s="40">
        <v>19</v>
      </c>
      <c r="C32">
        <v>9</v>
      </c>
      <c r="D32" s="369" t="str">
        <f ca="1">INDIRECT("'Imp. Qualif.'!L"&amp;INDIRECT("B"&amp;ROW()))</f>
        <v/>
      </c>
      <c r="E32" s="122"/>
      <c r="G32" s="92" t="str">
        <f>IF(E26="","",IF(E26=E29, IF(E27 &lt; E30, D26, D29),IF(E26 &lt; E29,D26,D29)))</f>
        <v/>
      </c>
      <c r="H32" s="122"/>
      <c r="J32" s="92" t="str">
        <f>IF(H26="","",IF(H26=H29, IF(H27 &lt; H30, G26, G29),IF(H26 &lt; H29,G26,G29)))</f>
        <v/>
      </c>
      <c r="K32" s="122"/>
      <c r="M32" s="117" t="str">
        <f>IF(K32="","",IF(K32=K35, IF(K33 &gt; K36, J32, J35),IF(K32&gt;K35,J32,J35)))</f>
        <v/>
      </c>
      <c r="N32" s="95">
        <v>9</v>
      </c>
      <c r="Q32" s="61"/>
      <c r="AA32" s="47">
        <v>9</v>
      </c>
      <c r="AB32" s="40">
        <v>19</v>
      </c>
      <c r="AD32" s="369" t="str">
        <f ca="1">INDIRECT("'Imp. Qualif.'!L"&amp;INDIRECT("B"&amp;ROW()))</f>
        <v/>
      </c>
      <c r="AE32" s="122"/>
      <c r="AG32" s="92" t="str">
        <f>IF(AE26="","",IF(AE26=AE29, IF(AE27 &lt; AE30, AD26, AD29),IF(AE26 &lt; AE29,AD26,AD29)))</f>
        <v/>
      </c>
      <c r="AH32" s="122"/>
      <c r="AJ32" s="92" t="str">
        <f>IF(AH26="","",IF(AH26=AH29, IF(AH27 &lt; AH30, AG26, AG29),IF(AH26 &lt; AH29,AG26,AG29)))</f>
        <v/>
      </c>
      <c r="AK32" s="122"/>
      <c r="AM32" s="117" t="str">
        <f>IF(AK32="","",IF(AK32=AK35, IF(AK33 &gt; AK36, AJ32, AJ35),IF(AK32&gt;AK35,AJ32,AJ35)))</f>
        <v/>
      </c>
      <c r="AN32" s="95"/>
      <c r="AO32" s="40">
        <v>19</v>
      </c>
      <c r="AP32" s="61">
        <v>9</v>
      </c>
      <c r="AQ32" s="369" t="str">
        <f ca="1">INDIRECT("'Imp. Qualif.'!L"&amp;INDIRECT("B"&amp;ROW()))</f>
        <v/>
      </c>
      <c r="AR32" s="122"/>
      <c r="AT32" s="92" t="str">
        <f>IF(AR26="","",IF(AR26=AR29, IF(AR27 &lt; AR30, AQ26, AQ29),IF(AR26 &lt; AR29,AQ26,AQ29)))</f>
        <v/>
      </c>
      <c r="AU32" s="122"/>
      <c r="AW32" s="92" t="str">
        <f>IF(AU26="","",IF(AU26=AU29, IF(AU27 &lt; AU30, AT26, AT29),IF(AU26 &lt; AU29,AT26,AT29)))</f>
        <v/>
      </c>
      <c r="AX32" s="122"/>
      <c r="AZ32" s="117" t="str">
        <f>IF(AX32="","",IF(AX32=AX35, IF(AX33 &gt; AX36, AW32, AW35),IF(AX32&gt;AX35,AW32,AW35)))</f>
        <v/>
      </c>
      <c r="BB32" s="40">
        <v>19</v>
      </c>
      <c r="BC32" s="61">
        <v>9</v>
      </c>
      <c r="BD32" s="369" t="str">
        <f ca="1">INDIRECT("'Imp. Qualif.'!L"&amp;INDIRECT("B"&amp;ROW()))</f>
        <v/>
      </c>
      <c r="BE32" s="122"/>
      <c r="BG32" s="92" t="str">
        <f>IF(BE26="","",IF(BE26=BE29, IF(BE27 &lt; BE30, BD26, BD29),IF(BE26 &lt; BE29,BD26,BD29)))</f>
        <v/>
      </c>
      <c r="BH32" s="122"/>
      <c r="BJ32" s="92" t="str">
        <f>IF(BH26="","",IF(BH26=BH29, IF(BH27 &lt; BH30, BG26, BG29),IF(BH26 &lt; BH29,BG26,BG29)))</f>
        <v/>
      </c>
      <c r="BK32" s="122"/>
      <c r="BM32" s="117" t="str">
        <f>IF(BK32="","",IF(BK32=BK35, IF(BK33 &gt; BK36, BJ32, BJ35),IF(BK32&gt;BK35,BJ32,BJ35)))</f>
        <v/>
      </c>
      <c r="BO32" s="40">
        <v>19</v>
      </c>
      <c r="BP32" s="61">
        <v>9</v>
      </c>
      <c r="BQ32" s="369" t="str">
        <f ca="1">INDIRECT("'Imp. Qualif.'!L"&amp;INDIRECT("B"&amp;ROW()))</f>
        <v/>
      </c>
      <c r="BR32" s="122"/>
      <c r="BT32" s="92" t="str">
        <f>IF(BR26="","",IF(BR26=BR29, IF(BR27 &lt; BR30, BQ26, BQ29),IF(BR26 &lt; BR29,BQ26,BQ29)))</f>
        <v/>
      </c>
      <c r="BU32" s="122"/>
      <c r="BW32" s="92" t="str">
        <f>IF(BU26="","",IF(BU26=BU29, IF(BU27 &lt; BU30, BT26, BT29),IF(BU26 &lt; BU29,BT26,BT29)))</f>
        <v/>
      </c>
      <c r="BX32" s="122"/>
      <c r="BZ32" s="117" t="str">
        <f>IF(BX32="","",IF(BX32=BX35, IF(BX33 &gt; BX36, BW32, BW35),IF(BX32&gt;BX35,BW32,BW35)))</f>
        <v/>
      </c>
      <c r="CB32" s="40">
        <v>19</v>
      </c>
      <c r="CC32" s="61">
        <v>9</v>
      </c>
      <c r="CD32" s="369" t="str">
        <f ca="1">INDIRECT("'Imp. Qualif.'!L"&amp;INDIRECT("B"&amp;ROW()))</f>
        <v/>
      </c>
      <c r="CE32" s="122"/>
      <c r="CG32" s="92" t="str">
        <f>IF(CE26="","",IF(CE26=CE29, IF(CE27 &lt; CE30, CD26, CD29),IF(CE26 &lt; CE29,CD26,CD29)))</f>
        <v/>
      </c>
      <c r="CH32" s="122"/>
      <c r="CJ32" s="92" t="str">
        <f>IF(CH26="","",IF(CH26=CH29, IF(CH27 &lt; CH30, CG26, CG29),IF(CH26 &lt; CH29,CG26,CG29)))</f>
        <v/>
      </c>
      <c r="CK32" s="122"/>
      <c r="CM32" s="117" t="str">
        <f>IF(CK32="","",IF(CK32=CK35, IF(CK33 &gt; CK36, CJ32, CJ35),IF(CK32&gt;CK35,CJ32,CJ35)))</f>
        <v/>
      </c>
      <c r="CO32" s="40">
        <v>19</v>
      </c>
      <c r="CP32" s="61">
        <v>9</v>
      </c>
      <c r="CQ32" s="369" t="str">
        <f ca="1">INDIRECT("'Imp. Qualif.'!L"&amp;INDIRECT("B"&amp;ROW()))</f>
        <v/>
      </c>
      <c r="CR32" s="122"/>
      <c r="CT32" s="92" t="str">
        <f>IF(CR26="","",IF(CR26=CR29, IF(CR27 &lt; CR30, CQ26, CQ29),IF(CR26 &lt; CR29,CQ26,CQ29)))</f>
        <v/>
      </c>
      <c r="CU32" s="122"/>
      <c r="CW32" s="92" t="str">
        <f>IF(CU26="","",IF(CU26=CU29, IF(CU27 &lt; CU30, CT26, CT29),IF(CU26 &lt; CU29,CT26,CT29)))</f>
        <v/>
      </c>
      <c r="CX32" s="122"/>
      <c r="CZ32" s="117" t="str">
        <f>IF(CX32="","",IF(CX32=CX35, IF(CX33 &gt; CX36, CW32, CW35),IF(CX32&gt;CX35,CW32,CW35)))</f>
        <v/>
      </c>
      <c r="DB32" s="40">
        <v>19</v>
      </c>
      <c r="DC32" s="61">
        <v>9</v>
      </c>
      <c r="DD32" s="369" t="str">
        <f ca="1">INDIRECT("'Imp. Qualif.'!L"&amp;INDIRECT("B"&amp;ROW()))</f>
        <v/>
      </c>
      <c r="DE32" s="122"/>
      <c r="DG32" s="92" t="str">
        <f>IF(DE26="","",IF(DE26=DE29, IF(DE27 &lt; DE30, DD26, DD29),IF(DE26 &lt; DE29,DD26,DD29)))</f>
        <v/>
      </c>
      <c r="DH32" s="122"/>
      <c r="DJ32" s="92" t="str">
        <f>IF(DH26="","",IF(DH26=DH29, IF(DH27 &lt; DH30, DG26, DG29),IF(DH26 &lt; DH29,DG26,DG29)))</f>
        <v/>
      </c>
      <c r="DK32" s="122"/>
      <c r="DM32" s="117" t="str">
        <f>IF(DK32="","",IF(DK32=DK35, IF(DK33 &gt; DK36, DJ32, DJ35),IF(DK32&gt;DK35,DJ32,DJ35)))</f>
        <v/>
      </c>
      <c r="DO32" s="40">
        <v>19</v>
      </c>
      <c r="DP32" s="61">
        <v>9</v>
      </c>
      <c r="DQ32" s="103"/>
      <c r="DR32" s="109"/>
      <c r="DT32" s="103"/>
      <c r="DU32" s="109"/>
      <c r="DW32" s="103"/>
      <c r="DX32" s="109"/>
      <c r="DZ32" s="111"/>
      <c r="EB32" s="40">
        <v>19</v>
      </c>
      <c r="EC32" s="61">
        <v>9</v>
      </c>
      <c r="ED32"/>
      <c r="EE32"/>
      <c r="EF32"/>
      <c r="EG32"/>
      <c r="EH32"/>
      <c r="EI32"/>
      <c r="EJ32"/>
      <c r="EK32"/>
      <c r="EL32"/>
      <c r="EM32" s="110"/>
    </row>
    <row r="33" spans="2:143" s="40" customFormat="1" ht="14.25" customHeight="1" thickBot="1" x14ac:dyDescent="0.25">
      <c r="C33"/>
      <c r="D33" s="372" t="str">
        <f ca="1">INDIRECT("'Imp. Qualif.'!M"&amp;INDIRECT("B"&amp;ROW()-1))</f>
        <v/>
      </c>
      <c r="E33" s="74"/>
      <c r="G33" s="93" t="str">
        <f>IF(E26="","",IF(E26=E29, IF(E27 &lt; E30, D27, D30),IF(E26 &lt; E29,D27,D30)))</f>
        <v/>
      </c>
      <c r="H33" s="74"/>
      <c r="J33" s="93" t="str">
        <f>IF(H26="","",IF(H26=H29, IF(H27 &lt; H30, G27, G30),IF(H26 &lt; H29,G27,G30)))</f>
        <v/>
      </c>
      <c r="K33" s="74"/>
      <c r="M33" s="118" t="str">
        <f>IF(K32="","",IF(K32=K35, IF(K33 &gt; K36, J33, J36),IF(K32&gt;K35,J33,J36)))</f>
        <v/>
      </c>
      <c r="N33" s="95"/>
      <c r="Q33" s="61"/>
      <c r="AA33" s="47"/>
      <c r="AD33" s="372" t="str">
        <f ca="1">INDIRECT("'Imp. Qualif.'!M"&amp;INDIRECT("B"&amp;ROW()-1))</f>
        <v/>
      </c>
      <c r="AE33" s="74"/>
      <c r="AG33" s="93" t="str">
        <f>IF(AE26="","",IF(AE26=AE29, IF(AE27 &lt; AE30, AD27, AD30),IF(AE26 &lt; AE29,AD27,AD30)))</f>
        <v/>
      </c>
      <c r="AH33" s="74"/>
      <c r="AJ33" s="93" t="str">
        <f>IF(AH26="","",IF(AH26=AH29, IF(AH27 &lt; AH30, AG27, AG30),IF(AH26 &lt; AH29,AG27,AG30)))</f>
        <v/>
      </c>
      <c r="AK33" s="74"/>
      <c r="AM33" s="118" t="str">
        <f>IF(AK32="","",IF(AK32=AK35, IF(AK33 &gt; AK36, AJ33, AJ36),IF(AK32&gt;AK35,AJ33,AJ36)))</f>
        <v/>
      </c>
      <c r="AN33" s="95"/>
      <c r="AP33" s="61"/>
      <c r="AQ33" s="372" t="str">
        <f ca="1">INDIRECT("'Imp. Qualif.'!M"&amp;INDIRECT("B"&amp;ROW()-1))</f>
        <v/>
      </c>
      <c r="AR33" s="74"/>
      <c r="AT33" s="93" t="str">
        <f>IF(AR26="","",IF(AR26=AR29, IF(AR27 &lt; AR30, AQ27, AQ30),IF(AR26 &lt; AR29,AQ27,AQ30)))</f>
        <v/>
      </c>
      <c r="AU33" s="74"/>
      <c r="AW33" s="93" t="str">
        <f>IF(AU26="","",IF(AU26=AU29, IF(AU27 &lt; AU30, AT27, AT30),IF(AU26 &lt; AU29,AT27,AT30)))</f>
        <v/>
      </c>
      <c r="AX33" s="74"/>
      <c r="AZ33" s="118" t="str">
        <f>IF(AX32="","",IF(AX32=AX35, IF(AX33 &gt; AX36, AW33, AW36),IF(AX32&gt;AX35,AW33,AW36)))</f>
        <v/>
      </c>
      <c r="BC33" s="61"/>
      <c r="BD33" s="372" t="str">
        <f ca="1">INDIRECT("'Imp. Qualif.'!M"&amp;INDIRECT("B"&amp;ROW()-1))</f>
        <v/>
      </c>
      <c r="BE33" s="74"/>
      <c r="BG33" s="93" t="str">
        <f>IF(BE26="","",IF(BE26=BE29, IF(BE27 &lt; BE30, BD27, BD30),IF(BE26 &lt; BE29,BD27,BD30)))</f>
        <v/>
      </c>
      <c r="BH33" s="74"/>
      <c r="BJ33" s="93" t="str">
        <f>IF(BH26="","",IF(BH26=BH29, IF(BH27 &lt; BH30, BG27, BG30),IF(BH26 &lt; BH29,BG27,BG30)))</f>
        <v/>
      </c>
      <c r="BK33" s="74"/>
      <c r="BM33" s="118" t="str">
        <f>IF(BK32="","",IF(BK32=BK35, IF(BK33 &gt; BK36, BJ33, BJ36),IF(BK32&gt;BK35,BJ33,BJ36)))</f>
        <v/>
      </c>
      <c r="BP33" s="61"/>
      <c r="BQ33" s="372" t="str">
        <f ca="1">INDIRECT("'Imp. Qualif.'!M"&amp;INDIRECT("B"&amp;ROW()-1))</f>
        <v/>
      </c>
      <c r="BR33" s="74"/>
      <c r="BT33" s="93" t="str">
        <f>IF(BR26="","",IF(BR26=BR29, IF(BR27 &lt; BR30, BQ27, BQ30),IF(BR26 &lt; BR29,BQ27,BQ30)))</f>
        <v/>
      </c>
      <c r="BU33" s="74"/>
      <c r="BW33" s="93" t="str">
        <f>IF(BU26="","",IF(BU26=BU29, IF(BU27 &lt; BU30, BT27, BT30),IF(BU26 &lt; BU29,BT27,BT30)))</f>
        <v/>
      </c>
      <c r="BX33" s="74"/>
      <c r="BZ33" s="118" t="str">
        <f>IF(BX32="","",IF(BX32=BX35, IF(BX33 &gt; BX36, BW33, BW36),IF(BX32&gt;BX35,BW33,BW36)))</f>
        <v/>
      </c>
      <c r="CC33" s="61"/>
      <c r="CD33" s="372" t="str">
        <f ca="1">INDIRECT("'Imp. Qualif.'!M"&amp;INDIRECT("B"&amp;ROW()-1))</f>
        <v/>
      </c>
      <c r="CE33" s="74"/>
      <c r="CG33" s="93" t="str">
        <f>IF(CE26="","",IF(CE26=CE29, IF(CE27 &lt; CE30, CD27, CD30),IF(CE26 &lt; CE29,CD27,CD30)))</f>
        <v/>
      </c>
      <c r="CH33" s="74"/>
      <c r="CJ33" s="93" t="str">
        <f>IF(CH26="","",IF(CH26=CH29, IF(CH27 &lt; CH30, CG27, CG30),IF(CH26 &lt; CH29,CG27,CG30)))</f>
        <v/>
      </c>
      <c r="CK33" s="74"/>
      <c r="CM33" s="118" t="str">
        <f>IF(CK32="","",IF(CK32=CK35, IF(CK33 &gt; CK36, CJ33, CJ36),IF(CK32&gt;CK35,CJ33,CJ36)))</f>
        <v/>
      </c>
      <c r="CP33" s="61"/>
      <c r="CQ33" s="372" t="str">
        <f ca="1">INDIRECT("'Imp. Qualif.'!M"&amp;INDIRECT("B"&amp;ROW()-1))</f>
        <v/>
      </c>
      <c r="CR33" s="74"/>
      <c r="CT33" s="93" t="str">
        <f>IF(CR26="","",IF(CR26=CR29, IF(CR27 &lt; CR30, CQ27, CQ30),IF(CR26 &lt; CR29,CQ27,CQ30)))</f>
        <v/>
      </c>
      <c r="CU33" s="74"/>
      <c r="CW33" s="93" t="str">
        <f>IF(CU26="","",IF(CU26=CU29, IF(CU27 &lt; CU30, CT27, CT30),IF(CU26 &lt; CU29,CT27,CT30)))</f>
        <v/>
      </c>
      <c r="CX33" s="74"/>
      <c r="CZ33" s="118" t="str">
        <f>IF(CX32="","",IF(CX32=CX35, IF(CX33 &gt; CX36, CW33, CW36),IF(CX32&gt;CX35,CW33,CW36)))</f>
        <v/>
      </c>
      <c r="DC33" s="61"/>
      <c r="DD33" s="372" t="str">
        <f ca="1">INDIRECT("'Imp. Qualif.'!M"&amp;INDIRECT("B"&amp;ROW()-1))</f>
        <v/>
      </c>
      <c r="DE33" s="74"/>
      <c r="DG33" s="93" t="str">
        <f>IF(DE26="","",IF(DE26=DE29, IF(DE27 &lt; DE30, DD27, DD30),IF(DE26 &lt; DE29,DD27,DD30)))</f>
        <v/>
      </c>
      <c r="DH33" s="74"/>
      <c r="DJ33" s="93" t="str">
        <f>IF(DH26="","",IF(DH26=DH29, IF(DH27 &lt; DH30, DG27, DG30),IF(DH26 &lt; DH29,DG27,DG30)))</f>
        <v/>
      </c>
      <c r="DK33" s="74"/>
      <c r="DM33" s="118" t="str">
        <f>IF(DK32="","",IF(DK32=DK35, IF(DK33 &gt; DK36, DJ33, DJ36),IF(DK32&gt;DK35,DJ33,DJ36)))</f>
        <v/>
      </c>
      <c r="DP33" s="61"/>
      <c r="DQ33" s="75" t="s">
        <v>386</v>
      </c>
      <c r="DR33" s="120"/>
      <c r="DS33" s="75" t="s">
        <v>387</v>
      </c>
      <c r="DT33" s="75"/>
      <c r="DU33" s="75"/>
      <c r="DV33" s="75"/>
      <c r="DW33"/>
      <c r="DX33" s="109"/>
      <c r="DZ33" s="111"/>
      <c r="EC33" s="61"/>
      <c r="ED33"/>
      <c r="EE33"/>
      <c r="EF33"/>
      <c r="EG33"/>
      <c r="EH33"/>
      <c r="EI33"/>
      <c r="EJ33"/>
      <c r="EK33"/>
      <c r="EL33"/>
      <c r="EM33" s="110"/>
    </row>
    <row r="34" spans="2:143" s="40" customFormat="1" ht="14.25" customHeight="1" thickBot="1" x14ac:dyDescent="0.25">
      <c r="C34"/>
      <c r="D34" s="358"/>
      <c r="E34" s="97"/>
      <c r="H34" s="97"/>
      <c r="K34" s="97"/>
      <c r="M34" s="111"/>
      <c r="N34" s="95"/>
      <c r="Q34" s="61"/>
      <c r="AA34" s="47"/>
      <c r="AD34" s="358"/>
      <c r="AE34" s="97"/>
      <c r="AH34" s="97"/>
      <c r="AK34" s="97"/>
      <c r="AM34" s="111"/>
      <c r="AN34" s="95"/>
      <c r="AP34" s="61"/>
      <c r="AQ34" s="358"/>
      <c r="AR34" s="97"/>
      <c r="AU34" s="97"/>
      <c r="AX34" s="97"/>
      <c r="AZ34" s="111"/>
      <c r="BC34" s="61"/>
      <c r="BD34" s="358"/>
      <c r="BE34" s="97"/>
      <c r="BH34" s="97"/>
      <c r="BK34" s="97"/>
      <c r="BM34" s="111"/>
      <c r="BP34" s="61"/>
      <c r="BQ34" s="358"/>
      <c r="BR34" s="97"/>
      <c r="BU34" s="97"/>
      <c r="BX34" s="97"/>
      <c r="BZ34" s="111"/>
      <c r="CC34" s="61"/>
      <c r="CD34" s="358"/>
      <c r="CE34" s="97"/>
      <c r="CH34" s="97"/>
      <c r="CK34" s="97"/>
      <c r="CM34" s="111"/>
      <c r="CP34" s="61"/>
      <c r="CQ34" s="358"/>
      <c r="CR34" s="97"/>
      <c r="CU34" s="97"/>
      <c r="CX34" s="97"/>
      <c r="CZ34" s="111"/>
      <c r="DC34" s="61"/>
      <c r="DD34" s="358"/>
      <c r="DE34" s="109"/>
      <c r="DG34" s="103"/>
      <c r="DH34" s="109"/>
      <c r="DJ34" s="103"/>
      <c r="DK34" s="109"/>
      <c r="DM34" s="111"/>
      <c r="DP34" s="61"/>
      <c r="DQ34" s="75" t="s">
        <v>386</v>
      </c>
      <c r="DR34" s="76"/>
      <c r="DS34" s="75" t="s">
        <v>493</v>
      </c>
      <c r="DT34" s="75"/>
      <c r="DU34" s="75"/>
      <c r="DV34" s="75"/>
      <c r="DW34"/>
      <c r="DX34"/>
      <c r="DY34"/>
      <c r="DZ34" s="110"/>
      <c r="EC34" s="61"/>
      <c r="ED34"/>
      <c r="EE34"/>
      <c r="EF34"/>
      <c r="EG34"/>
      <c r="EH34"/>
      <c r="EI34"/>
      <c r="EJ34"/>
      <c r="EK34"/>
      <c r="EL34"/>
      <c r="EM34" s="110"/>
    </row>
    <row r="35" spans="2:143" s="40" customFormat="1" ht="14.25" customHeight="1" x14ac:dyDescent="0.2">
      <c r="B35" s="40">
        <v>20</v>
      </c>
      <c r="C35">
        <v>10</v>
      </c>
      <c r="D35" s="369" t="str">
        <f ca="1">INDIRECT("'Imp. Qualif.'!L"&amp;INDIRECT("B"&amp;ROW()))</f>
        <v/>
      </c>
      <c r="E35" s="122"/>
      <c r="G35" s="92" t="str">
        <f>IF(E38="","",IF(E38=E41, IF(E39 &gt; E42, D38, D41),IF(E38&gt;E41,D38,D41)))</f>
        <v/>
      </c>
      <c r="H35" s="122"/>
      <c r="J35" s="92" t="str">
        <f>IF(H38="","",IF(H38=H41, IF(H39 &gt; H42, G38, G41),IF(H38&gt;H41,G38,G41)))</f>
        <v/>
      </c>
      <c r="K35" s="122"/>
      <c r="M35" s="117" t="str">
        <f>IF(K32="","",IF(K32=K35, IF(K36 &lt; K33, J35, J32),IF(K35 &lt; K32,J35,J32)))</f>
        <v/>
      </c>
      <c r="N35" s="95">
        <v>10</v>
      </c>
      <c r="Q35" s="61"/>
      <c r="AA35" s="47">
        <v>10</v>
      </c>
      <c r="AB35" s="40">
        <v>20</v>
      </c>
      <c r="AD35" s="369" t="str">
        <f ca="1">INDIRECT("'Imp. Qualif.'!L"&amp;INDIRECT("B"&amp;ROW()))</f>
        <v/>
      </c>
      <c r="AE35" s="122"/>
      <c r="AG35" s="92" t="str">
        <f>IF(AE38="","",IF(AE38=AE41, IF(AE39 &gt; AE42, AD38, AD41),IF(AE38&gt;AE41,AD38,AD41)))</f>
        <v/>
      </c>
      <c r="AH35" s="122"/>
      <c r="AJ35" s="92" t="str">
        <f>IF(AH38="","",IF(AH38=AH41, IF(AH39 &gt; AH42, AG38, AG41),IF(AH38&gt;AH41,AG38,AG41)))</f>
        <v/>
      </c>
      <c r="AK35" s="122"/>
      <c r="AM35" s="117" t="str">
        <f>IF(AK32="","",IF(AK32=AK35, IF(AK36 &lt; AK33, AJ35, AJ32),IF(AK35 &lt; AK32,AJ35,AJ32)))</f>
        <v/>
      </c>
      <c r="AN35" s="95"/>
      <c r="AO35" s="40">
        <v>20</v>
      </c>
      <c r="AP35" s="61">
        <v>10</v>
      </c>
      <c r="AQ35" s="369" t="str">
        <f ca="1">INDIRECT("'Imp. Qualif.'!L"&amp;INDIRECT("B"&amp;ROW()))</f>
        <v/>
      </c>
      <c r="AR35" s="122"/>
      <c r="AT35" s="92" t="str">
        <f>IF(AR38="","",IF(AR38=AR41, IF(AR39 &gt; AR42, AQ38, AQ41),IF(AR38&gt;AR41,AQ38,AQ41)))</f>
        <v/>
      </c>
      <c r="AU35" s="122"/>
      <c r="AW35" s="92" t="str">
        <f>IF(AU38="","",IF(AU38=AU41, IF(AU39 &gt; AU42, AT38, AT41),IF(AU38&gt;AU41,AT38,AT41)))</f>
        <v/>
      </c>
      <c r="AX35" s="122"/>
      <c r="AZ35" s="117" t="str">
        <f>IF(AX32="","",IF(AX32=AX35, IF(AX36 &lt; AX33, AW35, AW32),IF(AX35 &lt; AX32,AW35,AW32)))</f>
        <v/>
      </c>
      <c r="BB35" s="40">
        <v>20</v>
      </c>
      <c r="BC35" s="61">
        <v>10</v>
      </c>
      <c r="BD35" s="369" t="str">
        <f ca="1">INDIRECT("'Imp. Qualif.'!L"&amp;INDIRECT("B"&amp;ROW()))</f>
        <v/>
      </c>
      <c r="BE35" s="122"/>
      <c r="BG35" s="92" t="str">
        <f>IF(BE38="","",IF(BE38=BE41, IF(BE39 &gt; BE42, BD38, BD41),IF(BE38&gt;BE41,BD38,BD41)))</f>
        <v/>
      </c>
      <c r="BH35" s="122"/>
      <c r="BJ35" s="92" t="str">
        <f>IF(BH38="","",IF(BH38=BH41, IF(BH39 &gt; BH42, BG38, BG41),IF(BH38&gt;BH41,BG38,BG41)))</f>
        <v/>
      </c>
      <c r="BK35" s="122"/>
      <c r="BM35" s="117" t="str">
        <f>IF(BK32="","",IF(BK32=BK35, IF(BK36 &lt; BK33, BJ35, BJ32),IF(BK35 &lt; BK32,BJ35,BJ32)))</f>
        <v/>
      </c>
      <c r="BO35" s="40">
        <v>20</v>
      </c>
      <c r="BP35" s="61">
        <v>10</v>
      </c>
      <c r="BQ35" s="369" t="str">
        <f ca="1">INDIRECT("'Imp. Qualif.'!L"&amp;INDIRECT("B"&amp;ROW()))</f>
        <v/>
      </c>
      <c r="BR35" s="122"/>
      <c r="BT35" s="92" t="str">
        <f>IF(BR38="","",IF(BR38=BR41, IF(BR39 &gt; BR42, BQ38, BQ41),IF(BR38&gt;BR41,BQ38,BQ41)))</f>
        <v/>
      </c>
      <c r="BU35" s="122"/>
      <c r="BW35" s="92" t="str">
        <f>IF(BU38="","",IF(BU38=BU41, IF(BU39 &gt; BU42, BT38, BT41),IF(BU38&gt;BU41,BT38,BT41)))</f>
        <v/>
      </c>
      <c r="BX35" s="122"/>
      <c r="BZ35" s="117" t="str">
        <f>IF(BX32="","",IF(BX32=BX35, IF(BX36 &lt; BX33, BW35, BW32),IF(BX35 &lt; BX32,BW35,BW32)))</f>
        <v/>
      </c>
      <c r="CB35" s="40">
        <v>20</v>
      </c>
      <c r="CC35" s="61">
        <v>10</v>
      </c>
      <c r="CD35" s="369" t="str">
        <f ca="1">INDIRECT("'Imp. Qualif.'!L"&amp;INDIRECT("B"&amp;ROW()))</f>
        <v/>
      </c>
      <c r="CE35" s="122"/>
      <c r="CG35" s="92" t="str">
        <f>IF(CE38="","",IF(CE38=CE41, IF(CE39 &gt; CE42, CD38, CD41),IF(CE38&gt;CE41,CD38,CD41)))</f>
        <v/>
      </c>
      <c r="CH35" s="122"/>
      <c r="CJ35" s="92" t="str">
        <f>IF(CH38="","",IF(CH38=CH41, IF(CH39 &gt; CH42, CG38, CG41),IF(CH38&gt;CH41,CG38,CG41)))</f>
        <v/>
      </c>
      <c r="CK35" s="122"/>
      <c r="CM35" s="117" t="str">
        <f>IF(CK32="","",IF(CK32=CK35, IF(CK36 &lt; CK33, CJ35, CJ32),IF(CK35 &lt; CK32,CJ35,CJ32)))</f>
        <v/>
      </c>
      <c r="CO35" s="40">
        <v>20</v>
      </c>
      <c r="CP35" s="61">
        <v>10</v>
      </c>
      <c r="CQ35" s="369" t="str">
        <f ca="1">INDIRECT("'Imp. Qualif.'!L"&amp;INDIRECT("B"&amp;ROW()))</f>
        <v/>
      </c>
      <c r="CR35" s="122"/>
      <c r="CT35" s="92" t="str">
        <f>IF(CR38="","",IF(CR38=CR41, IF(CR39 &gt; CR42, CQ38, CQ41),IF(CR38&gt;CR41,CQ38,CQ41)))</f>
        <v/>
      </c>
      <c r="CU35" s="122"/>
      <c r="CW35" s="92" t="str">
        <f>IF(CU38="","",IF(CU38=CU41, IF(CU39 &gt; CU42, CT38, CT41),IF(CU38&gt;CU41,CT38,CT41)))</f>
        <v/>
      </c>
      <c r="CX35" s="122"/>
      <c r="CZ35" s="117" t="str">
        <f>IF(CX32="","",IF(CX32=CX35, IF(CX36 &lt; CX33, CW35, CW32),IF(CX35 &lt; CX32,CW35,CW32)))</f>
        <v/>
      </c>
      <c r="DB35" s="40">
        <v>20</v>
      </c>
      <c r="DC35" s="61">
        <v>10</v>
      </c>
      <c r="DD35" s="369" t="str">
        <f ca="1">INDIRECT("'Imp. Qualif.'!L"&amp;INDIRECT("B"&amp;ROW()))</f>
        <v/>
      </c>
      <c r="DE35" s="122"/>
      <c r="DG35" s="92" t="str">
        <f>IF(DE35="","",IF(DE32=DE35, IF(DE33 &lt; DE36, DD32, DD35),IF(DE32&lt;DE35,DD32,DD35)))</f>
        <v/>
      </c>
      <c r="DH35" s="122"/>
      <c r="DJ35" s="92" t="str">
        <f>IF(DH35="","",IF(DH32=DH35, IF(DH33&lt; DH36, DG32, DG35),IF(DH32&lt;DH35,DG32,DG35)))</f>
        <v/>
      </c>
      <c r="DK35" s="122"/>
      <c r="DM35" s="117" t="str">
        <f>IF(DK32="","",IF(DK32=DK35, IF(DK36 &lt; DK33, DJ35, DJ32),IF(DK35 &lt; DK32,DJ35,DJ32)))</f>
        <v/>
      </c>
      <c r="DO35" s="40">
        <v>20</v>
      </c>
      <c r="DP35" s="61">
        <v>10</v>
      </c>
      <c r="DQ35"/>
      <c r="DR35"/>
      <c r="DS35"/>
      <c r="DT35"/>
      <c r="DU35"/>
      <c r="DV35"/>
      <c r="DW35"/>
      <c r="DX35"/>
      <c r="DY35"/>
      <c r="DZ35" s="110"/>
      <c r="EB35" s="40">
        <v>20</v>
      </c>
      <c r="EC35" s="61">
        <v>10</v>
      </c>
      <c r="ED35"/>
      <c r="EE35"/>
      <c r="EF35"/>
      <c r="EG35"/>
      <c r="EH35"/>
      <c r="EI35"/>
      <c r="EJ35"/>
      <c r="EK35"/>
      <c r="EL35"/>
      <c r="EM35" s="110"/>
    </row>
    <row r="36" spans="2:143" s="40" customFormat="1" ht="14.25" customHeight="1" thickBot="1" x14ac:dyDescent="0.25">
      <c r="C36"/>
      <c r="D36" s="372" t="str">
        <f ca="1">INDIRECT("'Imp. Qualif.'!M"&amp;INDIRECT("B"&amp;ROW()-1))</f>
        <v/>
      </c>
      <c r="E36" s="74"/>
      <c r="G36" s="96" t="str">
        <f>IF(E38="","",IF(E38=E41, IF(E39 &gt; E42, D39, D42),IF(E38&gt;E41,D39,D42)))</f>
        <v/>
      </c>
      <c r="H36" s="74"/>
      <c r="J36" s="96" t="str">
        <f>IF(H38="","",IF(H38=H41, IF(H39 &gt; H42, G39, G42),IF(H38&gt;H41,G39,G42)))</f>
        <v/>
      </c>
      <c r="K36" s="74"/>
      <c r="M36" s="118" t="str">
        <f>IF(K32="","",IF(K32=K35, IF(K36 &lt; K33, J36, J33),IF(K35 &lt; K32,J36,J33)))</f>
        <v/>
      </c>
      <c r="N36" s="95"/>
      <c r="Q36" s="61"/>
      <c r="AA36" s="47"/>
      <c r="AD36" s="372" t="str">
        <f ca="1">INDIRECT("'Imp. Qualif.'!M"&amp;INDIRECT("B"&amp;ROW()-1))</f>
        <v/>
      </c>
      <c r="AE36" s="74"/>
      <c r="AG36" s="96" t="str">
        <f>IF(AE38="","",IF(AE38=AE41, IF(AE39 &gt; AE42, AD39, AD42),IF(AE38&gt;AE41,AD39,AD42)))</f>
        <v/>
      </c>
      <c r="AH36" s="74"/>
      <c r="AJ36" s="96" t="str">
        <f>IF(AH38="","",IF(AH38=AH41, IF(AH39 &gt; AH42, AG39, AG42),IF(AH38&gt;AH41,AG39,AG42)))</f>
        <v/>
      </c>
      <c r="AK36" s="74"/>
      <c r="AM36" s="118" t="str">
        <f>IF(AK32="","",IF(AK32=AK35, IF(AK36 &lt; AK33, AJ36, AJ33),IF(AK35 &lt; AK32,AJ36,AJ33)))</f>
        <v/>
      </c>
      <c r="AN36" s="95"/>
      <c r="AP36" s="61"/>
      <c r="AQ36" s="372" t="str">
        <f ca="1">INDIRECT("'Imp. Qualif.'!M"&amp;INDIRECT("B"&amp;ROW()-1))</f>
        <v/>
      </c>
      <c r="AR36" s="74"/>
      <c r="AT36" s="96" t="str">
        <f>IF(AR38="","",IF(AR38=AR41, IF(AR39 &gt; AR42, AQ39, AQ42),IF(AR38&gt;AR41,AQ39,AQ42)))</f>
        <v/>
      </c>
      <c r="AU36" s="74"/>
      <c r="AW36" s="96" t="str">
        <f>IF(AU38="","",IF(AU38=AU41, IF(AU39 &gt; AU42, AT39, AT42),IF(AU38&gt;AU41,AT39,AT42)))</f>
        <v/>
      </c>
      <c r="AX36" s="74"/>
      <c r="AZ36" s="118" t="str">
        <f>IF(AX32="","",IF(AX32=AX35, IF(AX36 &lt; AX33, AW36, AW33),IF(AX35 &lt; AX32,AW36,AW33)))</f>
        <v/>
      </c>
      <c r="BC36" s="61"/>
      <c r="BD36" s="372" t="str">
        <f ca="1">INDIRECT("'Imp. Qualif.'!M"&amp;INDIRECT("B"&amp;ROW()-1))</f>
        <v/>
      </c>
      <c r="BE36" s="74"/>
      <c r="BG36" s="96" t="str">
        <f>IF(BE38="","",IF(BE38=BE41, IF(BE39 &gt; BE42, BD39, BD42),IF(BE38&gt;BE41,BD39,BD42)))</f>
        <v/>
      </c>
      <c r="BH36" s="74"/>
      <c r="BJ36" s="96" t="str">
        <f>IF(BH38="","",IF(BH38=BH41, IF(BH39 &gt; BH42, BG39, BG42),IF(BH38&gt;BH41,BG39,BG42)))</f>
        <v/>
      </c>
      <c r="BK36" s="74"/>
      <c r="BM36" s="118" t="str">
        <f>IF(BK32="","",IF(BK32=BK35, IF(BK36 &lt; BK33, BJ36, BJ33),IF(BK35 &lt; BK32,BJ36,BJ33)))</f>
        <v/>
      </c>
      <c r="BP36" s="61"/>
      <c r="BQ36" s="372" t="str">
        <f ca="1">INDIRECT("'Imp. Qualif.'!M"&amp;INDIRECT("B"&amp;ROW()-1))</f>
        <v/>
      </c>
      <c r="BR36" s="74"/>
      <c r="BT36" s="96" t="str">
        <f>IF(BR38="","",IF(BR38=BR41, IF(BR39 &gt; BR42, BQ39, BQ42),IF(BR38&gt;BR41,BQ39,BQ42)))</f>
        <v/>
      </c>
      <c r="BU36" s="74"/>
      <c r="BW36" s="96" t="str">
        <f>IF(BU38="","",IF(BU38=BU41, IF(BU39 &gt; BU42, BT39, BT42),IF(BU38&gt;BU41,BT39,BT42)))</f>
        <v/>
      </c>
      <c r="BX36" s="74"/>
      <c r="BZ36" s="118" t="str">
        <f>IF(BX32="","",IF(BX32=BX35, IF(BX36 &lt; BX33, BW36, BW33),IF(BX35 &lt; BX32,BW36,BW33)))</f>
        <v/>
      </c>
      <c r="CC36" s="61"/>
      <c r="CD36" s="372" t="str">
        <f ca="1">INDIRECT("'Imp. Qualif.'!M"&amp;INDIRECT("B"&amp;ROW()-1))</f>
        <v/>
      </c>
      <c r="CE36" s="74"/>
      <c r="CG36" s="96" t="str">
        <f>IF(CE38="","",IF(CE38=CE41, IF(CE39 &gt; CE42, CD39, CD42),IF(CE38&gt;CE41,CD39,CD42)))</f>
        <v/>
      </c>
      <c r="CH36" s="74"/>
      <c r="CJ36" s="96" t="str">
        <f>IF(CH38="","",IF(CH38=CH41, IF(CH39 &gt; CH42, CG39, CG42),IF(CH38&gt;CH41,CG39,CG42)))</f>
        <v/>
      </c>
      <c r="CK36" s="74"/>
      <c r="CM36" s="118" t="str">
        <f>IF(CK32="","",IF(CK32=CK35, IF(CK36 &lt; CK33, CJ36, CJ33),IF(CK35 &lt; CK32,CJ36,CJ33)))</f>
        <v/>
      </c>
      <c r="CP36" s="61"/>
      <c r="CQ36" s="372" t="str">
        <f ca="1">INDIRECT("'Imp. Qualif.'!M"&amp;INDIRECT("B"&amp;ROW()-1))</f>
        <v/>
      </c>
      <c r="CR36" s="74"/>
      <c r="CT36" s="96" t="str">
        <f>IF(CR38="","",IF(CR38=CR41, IF(CR39 &gt; CR42, CQ39, CQ42),IF(CR38&gt;CR41,CQ39,CQ42)))</f>
        <v/>
      </c>
      <c r="CU36" s="74"/>
      <c r="CW36" s="96" t="str">
        <f>IF(CU38="","",IF(CU38=CU41, IF(CU39 &gt; CU42, CT39, CT42),IF(CU38&gt;CU41,CT39,CT42)))</f>
        <v/>
      </c>
      <c r="CX36" s="74"/>
      <c r="CZ36" s="118" t="str">
        <f>IF(CX32="","",IF(CX32=CX35, IF(CX36 &lt; CX33, CW36, CW33),IF(CX35 &lt; CX32,CW36,CW33)))</f>
        <v/>
      </c>
      <c r="DC36" s="61"/>
      <c r="DD36" s="372" t="str">
        <f ca="1">INDIRECT("'Imp. Qualif.'!M"&amp;INDIRECT("B"&amp;ROW()-1))</f>
        <v/>
      </c>
      <c r="DE36" s="74"/>
      <c r="DG36" s="93" t="str">
        <f>IF(DE35="","",IF(DE35=DE32, IF(DE36 &lt; DE33, DD36, DD33),IF(DE35&lt;DE32,DD36,DD33)))</f>
        <v/>
      </c>
      <c r="DH36" s="74"/>
      <c r="DJ36" s="93" t="str">
        <f>IF(DH35="","",IF(DH32=DH35, IF(DH33&lt; DH36, DG33, DG36),IF(DH32&lt;DH35,DG33,DG36)))</f>
        <v/>
      </c>
      <c r="DK36" s="74"/>
      <c r="DM36" s="118" t="str">
        <f>IF(DK32="","",IF(DK32=DK35, IF(DK36 &lt; DK33, DJ36, DJ33),IF(DK35 &lt; DK32,DJ36,DJ33)))</f>
        <v/>
      </c>
      <c r="DP36" s="61"/>
      <c r="DQ36"/>
      <c r="DR36"/>
      <c r="DS36"/>
      <c r="DT36"/>
      <c r="DU36"/>
      <c r="DV36"/>
      <c r="DW36"/>
      <c r="DX36"/>
      <c r="DY36"/>
      <c r="DZ36" s="110"/>
      <c r="EC36" s="61"/>
      <c r="ED36"/>
      <c r="EE36"/>
      <c r="EF36"/>
      <c r="EG36"/>
      <c r="EH36"/>
      <c r="EI36"/>
      <c r="EJ36"/>
      <c r="EK36"/>
      <c r="EL36"/>
      <c r="EM36" s="110"/>
    </row>
    <row r="37" spans="2:143" s="40" customFormat="1" ht="14.25" customHeight="1" x14ac:dyDescent="0.2">
      <c r="C37"/>
      <c r="D37" s="358"/>
      <c r="E37" s="109"/>
      <c r="G37" s="103"/>
      <c r="H37" s="109"/>
      <c r="J37" s="103"/>
      <c r="K37" s="109"/>
      <c r="M37" s="111"/>
      <c r="N37" s="95"/>
      <c r="Q37" s="61"/>
      <c r="AA37" s="47"/>
      <c r="AD37" s="358"/>
      <c r="AE37" s="97"/>
      <c r="AH37" s="97"/>
      <c r="AK37" s="97"/>
      <c r="AM37" s="111"/>
      <c r="AN37" s="95"/>
      <c r="AP37" s="61"/>
      <c r="AQ37" s="358"/>
      <c r="AR37" s="109"/>
      <c r="AT37" s="103"/>
      <c r="AU37" s="109"/>
      <c r="AW37" s="103"/>
      <c r="AX37" s="109"/>
      <c r="AZ37" s="111"/>
      <c r="BC37" s="61"/>
      <c r="BD37" s="358"/>
      <c r="BE37" s="109"/>
      <c r="BG37" s="103"/>
      <c r="BH37" s="109"/>
      <c r="BJ37" s="103"/>
      <c r="BK37" s="109"/>
      <c r="BM37" s="111"/>
      <c r="BP37" s="61"/>
      <c r="BQ37" s="358"/>
      <c r="BR37" s="109"/>
      <c r="BT37" s="103"/>
      <c r="BU37" s="109"/>
      <c r="BW37" s="103"/>
      <c r="BX37" s="109"/>
      <c r="BZ37" s="111"/>
      <c r="CC37" s="61"/>
      <c r="CD37" s="358"/>
      <c r="CE37" s="109"/>
      <c r="CG37" s="119"/>
      <c r="CH37" s="109"/>
      <c r="CJ37" s="119"/>
      <c r="CK37" s="109"/>
      <c r="CM37" s="111"/>
      <c r="CP37" s="61"/>
      <c r="CQ37" s="358"/>
      <c r="CR37" s="109"/>
      <c r="CT37" s="103"/>
      <c r="CU37" s="109"/>
      <c r="CW37" s="103"/>
      <c r="CX37" s="109"/>
      <c r="CZ37" s="111"/>
      <c r="DC37" s="61"/>
      <c r="DD37" s="103"/>
      <c r="DE37" s="109"/>
      <c r="DG37" s="103"/>
      <c r="DH37" s="109"/>
      <c r="DJ37" s="103"/>
      <c r="DK37" s="109"/>
      <c r="DM37" s="111"/>
      <c r="DP37" s="61"/>
      <c r="DQ37"/>
      <c r="DR37"/>
      <c r="DS37"/>
      <c r="DT37"/>
      <c r="DU37"/>
      <c r="DV37"/>
      <c r="DW37"/>
      <c r="DX37"/>
      <c r="DY37"/>
      <c r="DZ37" s="110"/>
      <c r="EC37" s="61"/>
      <c r="ED37"/>
      <c r="EE37"/>
      <c r="EF37"/>
      <c r="EG37"/>
      <c r="EH37"/>
      <c r="EI37"/>
      <c r="EJ37"/>
      <c r="EK37"/>
      <c r="EL37"/>
      <c r="EM37" s="110"/>
    </row>
    <row r="38" spans="2:143" s="40" customFormat="1" ht="14.25" customHeight="1" x14ac:dyDescent="0.2">
      <c r="B38" s="40">
        <v>21</v>
      </c>
      <c r="C38">
        <v>11</v>
      </c>
      <c r="D38" s="369" t="str">
        <f ca="1">INDIRECT("'Imp. Qualif.'!L"&amp;INDIRECT("B"&amp;ROW()))</f>
        <v/>
      </c>
      <c r="E38" s="122"/>
      <c r="G38" s="92" t="str">
        <f>IF(E32="","",IF(E32=E35, IF(E33 &lt; E36, D32, D35),IF(E32 &lt; E35,D32,D35)))</f>
        <v/>
      </c>
      <c r="H38" s="122"/>
      <c r="J38" s="92" t="str">
        <f>IF(H32="","",IF(H32=H35, IF(H33 &lt; H36, G32, G35),IF(H32 &lt; H35,G32,G35)))</f>
        <v/>
      </c>
      <c r="K38" s="122"/>
      <c r="M38" s="117" t="str">
        <f>IF(K38="","",IF(K38=K41, IF(K39 &gt; K42, J38, J41),IF(K38&gt;K41,J38,J41)))</f>
        <v/>
      </c>
      <c r="N38" s="95">
        <v>11</v>
      </c>
      <c r="Q38" s="61"/>
      <c r="AA38" s="47">
        <v>11</v>
      </c>
      <c r="AB38" s="40">
        <v>21</v>
      </c>
      <c r="AD38" s="369" t="str">
        <f ca="1">INDIRECT("'Imp. Qualif.'!L"&amp;INDIRECT("B"&amp;ROW()))</f>
        <v/>
      </c>
      <c r="AE38" s="122"/>
      <c r="AG38" s="92" t="str">
        <f>IF(AE32="","",IF(AE32=AE35, IF(AE33 &lt; AE36, AD32, AD35),IF(AE32 &lt; AE35,AD32,AD35)))</f>
        <v/>
      </c>
      <c r="AH38" s="122"/>
      <c r="AJ38" s="92" t="str">
        <f>IF(AH32="","",IF(AH32=AH35, IF(AH33 &lt; AH36, AG32, AG35),IF(AH32 &lt; AH35,AG32,AG35)))</f>
        <v/>
      </c>
      <c r="AK38" s="122"/>
      <c r="AM38" s="117" t="str">
        <f>IF(AK38="","",IF(AK38=AK41, IF(AK39 &gt; AK42, AJ38, AJ41),IF(AK38&gt;AK41,AJ38,AJ41)))</f>
        <v/>
      </c>
      <c r="AN38" s="95"/>
      <c r="AO38" s="40">
        <v>21</v>
      </c>
      <c r="AP38" s="61">
        <v>11</v>
      </c>
      <c r="AQ38" s="369" t="str">
        <f ca="1">INDIRECT("'Imp. Qualif.'!L"&amp;INDIRECT("B"&amp;ROW()))</f>
        <v/>
      </c>
      <c r="AR38" s="122"/>
      <c r="AT38" s="92" t="str">
        <f>IF(AR32="","",IF(AR32=AR35, IF(AR33 &lt; AR36, AQ32, AQ35),IF(AR32 &lt; AR35,AQ32,AQ35)))</f>
        <v/>
      </c>
      <c r="AU38" s="122"/>
      <c r="AW38" s="92" t="str">
        <f>IF(AU32="","",IF(AU32=AU35, IF(AU33 &lt; AU36, AT32, AT35),IF(AU32 &lt; AU35,AT32,AT35)))</f>
        <v/>
      </c>
      <c r="AX38" s="122"/>
      <c r="AZ38" s="117" t="str">
        <f>IF(AX38="","",IF(AX38=AX41, IF(AX39 &gt; AX42, AW38, AW41),IF(AX38&gt;AX41,AW38,AW41)))</f>
        <v/>
      </c>
      <c r="BB38" s="40">
        <v>21</v>
      </c>
      <c r="BC38" s="61">
        <v>11</v>
      </c>
      <c r="BD38" s="369" t="str">
        <f ca="1">INDIRECT("'Imp. Qualif.'!L"&amp;INDIRECT("B"&amp;ROW()))</f>
        <v/>
      </c>
      <c r="BE38" s="122"/>
      <c r="BG38" s="92" t="str">
        <f>IF(BE32="","",IF(BE32=BE35, IF(BE33 &lt; BE36, BD32, BD35),IF(BE32 &lt; BE35,BD32,BD35)))</f>
        <v/>
      </c>
      <c r="BH38" s="122"/>
      <c r="BJ38" s="92" t="str">
        <f>IF(BH32="","",IF(BH32=BH35, IF(BH33 &lt; BH36, BG32, BG35),IF(BH32 &lt; BH35,BG32,BG35)))</f>
        <v/>
      </c>
      <c r="BK38" s="122"/>
      <c r="BM38" s="117" t="str">
        <f>IF(BK38="","",IF(BK38=BK41, IF(BK39 &gt; BK42, BJ38, BJ41),IF(BK38&gt;BK41,BJ38,BJ41)))</f>
        <v/>
      </c>
      <c r="BO38" s="40">
        <v>21</v>
      </c>
      <c r="BP38" s="61">
        <v>11</v>
      </c>
      <c r="BQ38" s="369" t="str">
        <f ca="1">INDIRECT("'Imp. Qualif.'!L"&amp;INDIRECT("B"&amp;ROW()))</f>
        <v/>
      </c>
      <c r="BR38" s="122"/>
      <c r="BT38" s="92" t="str">
        <f>IF(BR32="","",IF(BR32=BR35, IF(BR33 &lt; BR36, BQ32, BQ35),IF(BR32 &lt; BR35,BQ32,BQ35)))</f>
        <v/>
      </c>
      <c r="BU38" s="122"/>
      <c r="BW38" s="92" t="str">
        <f>IF(BU32="","",IF(BU32=BU35, IF(BU33 &lt; BU36, BT32, BT35),IF(BU32 &lt; BU35,BT32,BT35)))</f>
        <v/>
      </c>
      <c r="BX38" s="122"/>
      <c r="BZ38" s="117" t="str">
        <f>IF(BX38="","",IF(BX38=BX41, IF(BX39 &gt; BX42, BW38, BW41),IF(BX38&gt;BX41,BW38,BW41)))</f>
        <v/>
      </c>
      <c r="CB38" s="40">
        <v>21</v>
      </c>
      <c r="CC38" s="61">
        <v>11</v>
      </c>
      <c r="CD38" s="369" t="str">
        <f ca="1">INDIRECT("'Imp. Qualif.'!L"&amp;INDIRECT("B"&amp;ROW()))</f>
        <v/>
      </c>
      <c r="CE38" s="122"/>
      <c r="CG38" s="92" t="str">
        <f>IF(CE32="","",IF(CE32=CE35, IF(CE33 &lt; CE36, CD32, CD35),IF(CE32 &lt; CE35,CD32,CD35)))</f>
        <v/>
      </c>
      <c r="CH38" s="122"/>
      <c r="CJ38" s="92" t="str">
        <f>IF(CH32="","",IF(CH32=CH35, IF(CH33 &lt; CH36, CG32, CG35),IF(CH32 &lt; CH35,CG32,CG35)))</f>
        <v/>
      </c>
      <c r="CK38" s="122"/>
      <c r="CM38" s="117" t="str">
        <f>IF(CK38="","",IF(CK38=CK41, IF(CK39 &gt; CK42, CJ38, CJ41),IF(CK38&gt;CK41,CJ38,CJ41)))</f>
        <v/>
      </c>
      <c r="CO38" s="40">
        <v>21</v>
      </c>
      <c r="CP38" s="61">
        <v>11</v>
      </c>
      <c r="CQ38" s="369" t="str">
        <f ca="1">INDIRECT("'Imp. Qualif.'!L"&amp;INDIRECT("B"&amp;ROW()))</f>
        <v/>
      </c>
      <c r="CR38" s="122"/>
      <c r="CT38" s="92" t="str">
        <f>IF(CR32="","",IF(CR32=CR35, IF(CR33 &lt; CR36, CQ32, CQ35),IF(CR32 &lt; CR35,CQ32,CQ35)))</f>
        <v/>
      </c>
      <c r="CU38" s="122"/>
      <c r="CW38" s="92" t="str">
        <f>IF(CU32="","",IF(CU32=CU35, IF(CU33 &lt; CU36, CT32, CT35),IF(CU32 &lt; CU35,CT32,CT35)))</f>
        <v/>
      </c>
      <c r="CX38" s="122"/>
      <c r="CZ38" s="117" t="str">
        <f>IF(CX38="","",IF(CX38=CX41, IF(CX39 &gt; CX42, CW38, CW41),IF(CX38&gt;CX41,CW38,CW41)))</f>
        <v/>
      </c>
      <c r="DB38" s="40">
        <v>21</v>
      </c>
      <c r="DC38" s="61">
        <v>11</v>
      </c>
      <c r="DD38" s="103"/>
      <c r="DE38" s="109"/>
      <c r="DG38" s="103"/>
      <c r="DH38" s="109"/>
      <c r="DJ38" s="103"/>
      <c r="DK38" s="109"/>
      <c r="DM38" s="111"/>
      <c r="DO38" s="40">
        <v>21</v>
      </c>
      <c r="DP38" s="61">
        <v>11</v>
      </c>
      <c r="DQ38"/>
      <c r="DR38"/>
      <c r="DS38"/>
      <c r="DT38"/>
      <c r="DU38"/>
      <c r="DV38"/>
      <c r="DW38"/>
      <c r="DX38"/>
      <c r="DY38"/>
      <c r="DZ38" s="110"/>
      <c r="EB38" s="40">
        <v>21</v>
      </c>
      <c r="EC38" s="61">
        <v>11</v>
      </c>
      <c r="ED38"/>
      <c r="EE38"/>
      <c r="EF38"/>
      <c r="EG38"/>
      <c r="EH38"/>
      <c r="EI38"/>
      <c r="EJ38"/>
      <c r="EK38"/>
      <c r="EL38"/>
      <c r="EM38" s="110"/>
    </row>
    <row r="39" spans="2:143" s="40" customFormat="1" ht="14.25" customHeight="1" thickBot="1" x14ac:dyDescent="0.25">
      <c r="C39"/>
      <c r="D39" s="372" t="str">
        <f ca="1">INDIRECT("'Imp. Qualif.'!M"&amp;INDIRECT("B"&amp;ROW()-1))</f>
        <v/>
      </c>
      <c r="E39" s="74"/>
      <c r="G39" s="93" t="str">
        <f>IF(E32="","",IF(E32=E35, IF(E33 &lt; E36, D33, D36),IF(E32 &lt; E35,D33,D36)))</f>
        <v/>
      </c>
      <c r="H39" s="74"/>
      <c r="J39" s="93" t="str">
        <f>IF(H32="","",IF(H32=H35, IF(H33 &lt; H36, G33, G36),IF(H32 &lt; H35,G33,G36)))</f>
        <v/>
      </c>
      <c r="K39" s="74"/>
      <c r="M39" s="118" t="str">
        <f>IF(K38="","",IF(K38=K41, IF(K39 &gt; K42, J39, J42),IF(K38&gt;K41,J39,J42)))</f>
        <v/>
      </c>
      <c r="N39" s="95"/>
      <c r="Q39" s="61"/>
      <c r="AA39" s="47"/>
      <c r="AD39" s="372" t="str">
        <f ca="1">INDIRECT("'Imp. Qualif.'!M"&amp;INDIRECT("B"&amp;ROW()-1))</f>
        <v/>
      </c>
      <c r="AE39" s="74"/>
      <c r="AG39" s="93" t="str">
        <f>IF(AE32="","",IF(AE32=AE35, IF(AE33 &lt; AE36, AD33, AD36),IF(AE32 &lt; AE35,AD33,AD36)))</f>
        <v/>
      </c>
      <c r="AH39" s="74"/>
      <c r="AJ39" s="93" t="str">
        <f>IF(AH32="","",IF(AH32=AH35, IF(AH33 &lt; AH36, AG33, AG36),IF(AH32 &lt; AH35,AG33,AG36)))</f>
        <v/>
      </c>
      <c r="AK39" s="74"/>
      <c r="AM39" s="118" t="str">
        <f>IF(AK38="","",IF(AK38=AK41, IF(AK39 &gt; AK42, AJ39, AJ42),IF(AK38&gt;AK41,AJ39,AJ42)))</f>
        <v/>
      </c>
      <c r="AN39" s="95"/>
      <c r="AP39" s="61"/>
      <c r="AQ39" s="372" t="str">
        <f ca="1">INDIRECT("'Imp. Qualif.'!M"&amp;INDIRECT("B"&amp;ROW()-1))</f>
        <v/>
      </c>
      <c r="AR39" s="74"/>
      <c r="AT39" s="93" t="str">
        <f>IF(AR32="","",IF(AR32=AR35, IF(AR33 &lt; AR36, AQ33, AQ36),IF(AR32 &lt; AR35,AQ33,AQ36)))</f>
        <v/>
      </c>
      <c r="AU39" s="74"/>
      <c r="AW39" s="93" t="str">
        <f>IF(AU32="","",IF(AU32=AU35, IF(AU33 &lt; AU36, AT33, AT36),IF(AU32 &lt; AU35,AT33,AT36)))</f>
        <v/>
      </c>
      <c r="AX39" s="74"/>
      <c r="AZ39" s="118" t="str">
        <f>IF(AX38="","",IF(AX38=AX41, IF(AX39 &gt; AX42, AW39, AW42),IF(AX38&gt;AX41,AW39,AW42)))</f>
        <v/>
      </c>
      <c r="BC39" s="61"/>
      <c r="BD39" s="372" t="str">
        <f ca="1">INDIRECT("'Imp. Qualif.'!M"&amp;INDIRECT("B"&amp;ROW()-1))</f>
        <v/>
      </c>
      <c r="BE39" s="74"/>
      <c r="BG39" s="93" t="str">
        <f>IF(BE32="","",IF(BE32=BE35, IF(BE33 &lt; BE36, BD33, BD36),IF(BE32 &lt; BE35,BD33,BD36)))</f>
        <v/>
      </c>
      <c r="BH39" s="74"/>
      <c r="BJ39" s="93" t="str">
        <f>IF(BH32="","",IF(BH32=BH35, IF(BH33 &lt; BH36, BG33, BG36),IF(BH32 &lt; BH35,BG33,BG36)))</f>
        <v/>
      </c>
      <c r="BK39" s="74"/>
      <c r="BM39" s="118" t="str">
        <f>IF(BK38="","",IF(BK38=BK41, IF(BK39 &gt; BK42, BJ39, BJ42),IF(BK38&gt;BK41,BJ39,BJ42)))</f>
        <v/>
      </c>
      <c r="BP39" s="61"/>
      <c r="BQ39" s="372" t="str">
        <f ca="1">INDIRECT("'Imp. Qualif.'!M"&amp;INDIRECT("B"&amp;ROW()-1))</f>
        <v/>
      </c>
      <c r="BR39" s="74"/>
      <c r="BT39" s="93" t="str">
        <f>IF(BR32="","",IF(BR32=BR35, IF(BR33 &lt; BR36, BQ33, BQ36),IF(BR32 &lt; BR35,BQ33,BQ36)))</f>
        <v/>
      </c>
      <c r="BU39" s="74"/>
      <c r="BW39" s="93" t="str">
        <f>IF(BU32="","",IF(BU32=BU35, IF(BU33 &lt; BU36, BT33, BT36),IF(BU32 &lt; BU35,BT33,BT36)))</f>
        <v/>
      </c>
      <c r="BX39" s="74"/>
      <c r="BZ39" s="118" t="str">
        <f>IF(BX38="","",IF(BX38=BX41, IF(BX39 &gt; BX42, BW39, BW42),IF(BX38&gt;BX41,BW39,BW42)))</f>
        <v/>
      </c>
      <c r="CC39" s="61"/>
      <c r="CD39" s="372" t="str">
        <f ca="1">INDIRECT("'Imp. Qualif.'!M"&amp;INDIRECT("B"&amp;ROW()-1))</f>
        <v/>
      </c>
      <c r="CE39" s="74"/>
      <c r="CG39" s="93" t="str">
        <f>IF(CE32="","",IF(CE32=CE35, IF(CE33 &lt; CE36, CD33, CD36),IF(CE32 &lt; CE35,CD33,CD36)))</f>
        <v/>
      </c>
      <c r="CH39" s="74"/>
      <c r="CJ39" s="93" t="str">
        <f>IF(CH32="","",IF(CH32=CH35, IF(CH33 &lt; CH36, CG33, CG36),IF(CH32 &lt; CH35,CG33,CG36)))</f>
        <v/>
      </c>
      <c r="CK39" s="74"/>
      <c r="CM39" s="118" t="str">
        <f>IF(CK38="","",IF(CK38=CK41, IF(CK39 &gt; CK42, CJ39, CJ42),IF(CK38&gt;CK41,CJ39,CJ42)))</f>
        <v/>
      </c>
      <c r="CP39" s="61"/>
      <c r="CQ39" s="372" t="str">
        <f ca="1">INDIRECT("'Imp. Qualif.'!M"&amp;INDIRECT("B"&amp;ROW()-1))</f>
        <v/>
      </c>
      <c r="CR39" s="74"/>
      <c r="CT39" s="93" t="str">
        <f>IF(CR32="","",IF(CR32=CR35, IF(CR33 &lt; CR36, CQ33, CQ36),IF(CR32 &lt; CR35,CQ33,CQ36)))</f>
        <v/>
      </c>
      <c r="CU39" s="74"/>
      <c r="CW39" s="93" t="str">
        <f>IF(CU32="","",IF(CU32=CU35, IF(CU33 &lt; CU36, CT33, CT36),IF(CU32 &lt; CU35,CT33,CT36)))</f>
        <v/>
      </c>
      <c r="CX39" s="74"/>
      <c r="CZ39" s="118" t="str">
        <f>IF(CX38="","",IF(CX38=CX41, IF(CX39 &gt; CX42, CW39, CW42),IF(CX38&gt;CX41,CW39,CW42)))</f>
        <v/>
      </c>
      <c r="DC39" s="61"/>
      <c r="DD39" s="75" t="s">
        <v>386</v>
      </c>
      <c r="DE39" s="120"/>
      <c r="DF39" s="75" t="s">
        <v>387</v>
      </c>
      <c r="DG39" s="75"/>
      <c r="DH39" s="75"/>
      <c r="DI39" s="75"/>
      <c r="DJ39"/>
      <c r="DK39" s="109"/>
      <c r="DM39" s="111"/>
      <c r="DP39" s="61"/>
      <c r="DQ39"/>
      <c r="DR39"/>
      <c r="DS39"/>
      <c r="DT39"/>
      <c r="DU39"/>
      <c r="DV39"/>
      <c r="DW39"/>
      <c r="DX39"/>
      <c r="DY39"/>
      <c r="DZ39" s="110"/>
      <c r="EC39" s="61"/>
      <c r="ED39"/>
      <c r="EE39"/>
      <c r="EF39"/>
      <c r="EG39"/>
      <c r="EH39"/>
      <c r="EI39"/>
      <c r="EJ39"/>
      <c r="EK39"/>
      <c r="EL39"/>
      <c r="EM39" s="110"/>
    </row>
    <row r="40" spans="2:143" s="40" customFormat="1" ht="14.25" customHeight="1" thickBot="1" x14ac:dyDescent="0.25">
      <c r="C40"/>
      <c r="D40" s="358"/>
      <c r="E40" s="97"/>
      <c r="H40" s="97"/>
      <c r="K40" s="97"/>
      <c r="M40" s="111"/>
      <c r="N40" s="95"/>
      <c r="Q40" s="61"/>
      <c r="AA40" s="47"/>
      <c r="AD40" s="358"/>
      <c r="AE40" s="97"/>
      <c r="AH40" s="97"/>
      <c r="AK40" s="97"/>
      <c r="AM40" s="111"/>
      <c r="AN40" s="95"/>
      <c r="AP40" s="61"/>
      <c r="AQ40" s="358"/>
      <c r="AR40" s="97"/>
      <c r="AU40" s="97"/>
      <c r="AX40" s="97"/>
      <c r="AZ40" s="111"/>
      <c r="BC40" s="61"/>
      <c r="BD40" s="358"/>
      <c r="BE40" s="97"/>
      <c r="BH40" s="97"/>
      <c r="BK40" s="97"/>
      <c r="BM40" s="111"/>
      <c r="BP40" s="61"/>
      <c r="BQ40" s="358"/>
      <c r="BR40" s="97"/>
      <c r="BU40" s="97"/>
      <c r="BX40" s="97"/>
      <c r="BZ40" s="111"/>
      <c r="CC40" s="61"/>
      <c r="CD40" s="358"/>
      <c r="CE40" s="97"/>
      <c r="CH40" s="97"/>
      <c r="CK40" s="97"/>
      <c r="CM40" s="111"/>
      <c r="CP40" s="61"/>
      <c r="CQ40" s="358"/>
      <c r="CR40" s="109"/>
      <c r="CT40" s="103"/>
      <c r="CU40" s="109"/>
      <c r="CW40" s="103"/>
      <c r="CX40" s="109"/>
      <c r="CZ40" s="111"/>
      <c r="DC40" s="61"/>
      <c r="DD40" s="75" t="s">
        <v>386</v>
      </c>
      <c r="DE40" s="76"/>
      <c r="DF40" s="75" t="s">
        <v>493</v>
      </c>
      <c r="DG40" s="75"/>
      <c r="DH40" s="75"/>
      <c r="DI40" s="75"/>
      <c r="DJ40"/>
      <c r="DK40"/>
      <c r="DL40"/>
      <c r="DM40" s="110"/>
      <c r="DP40" s="61"/>
      <c r="DQ40"/>
      <c r="DR40"/>
      <c r="DS40"/>
      <c r="DT40"/>
      <c r="DU40"/>
      <c r="DV40"/>
      <c r="DW40"/>
      <c r="DX40"/>
      <c r="DY40"/>
      <c r="DZ40" s="110"/>
      <c r="EC40" s="61"/>
      <c r="ED40"/>
      <c r="EE40"/>
      <c r="EF40"/>
      <c r="EG40"/>
      <c r="EH40"/>
      <c r="EI40"/>
      <c r="EJ40"/>
      <c r="EK40"/>
      <c r="EL40"/>
      <c r="EM40" s="110"/>
    </row>
    <row r="41" spans="2:143" s="40" customFormat="1" ht="14.25" customHeight="1" x14ac:dyDescent="0.2">
      <c r="B41" s="40">
        <v>22</v>
      </c>
      <c r="C41">
        <v>12</v>
      </c>
      <c r="D41" s="369" t="str">
        <f ca="1">INDIRECT("'Imp. Qualif.'!L"&amp;INDIRECT("B"&amp;ROW()))</f>
        <v/>
      </c>
      <c r="E41" s="122"/>
      <c r="G41" s="92" t="str">
        <f>IF(E44="","",IF(E44=E47, IF(E45 &gt; E48, D44, D47),IF(E44&gt;E47,D44,D47)))</f>
        <v/>
      </c>
      <c r="H41" s="122"/>
      <c r="J41" s="92" t="str">
        <f>IF(H44="","",IF(H44=H47, IF(H45 &gt; H48, G44, G47),IF(H44&gt;H47,G44,G47)))</f>
        <v/>
      </c>
      <c r="K41" s="122"/>
      <c r="M41" s="117" t="str">
        <f>IF(K38="","",IF(K38=K41, IF(K42 &lt; K39, J41, J38),IF(K41 &lt; K38,J41,J38)))</f>
        <v/>
      </c>
      <c r="N41" s="95">
        <v>12</v>
      </c>
      <c r="Q41" s="61"/>
      <c r="AA41" s="47">
        <v>12</v>
      </c>
      <c r="AB41" s="40">
        <v>22</v>
      </c>
      <c r="AD41" s="369" t="str">
        <f ca="1">INDIRECT("'Imp. Qualif.'!L"&amp;INDIRECT("B"&amp;ROW()))</f>
        <v/>
      </c>
      <c r="AE41" s="122"/>
      <c r="AG41" s="92" t="str">
        <f>IF(AE44="","",IF(AE44=AE47, IF(AE45 &gt; AE48, AD44, AD47),IF(AE44&gt;AE47,AD44,AD47)))</f>
        <v/>
      </c>
      <c r="AH41" s="122"/>
      <c r="AJ41" s="92" t="str">
        <f>IF(AH44="","",IF(AH44=AH47, IF(AH45 &gt; AH48, AG44, AG47),IF(AH44&gt;AH47,AG44,AG47)))</f>
        <v/>
      </c>
      <c r="AK41" s="122"/>
      <c r="AM41" s="117" t="str">
        <f>IF(AK38="","",IF(AK38=AK41, IF(AK42 &lt; AK39, AJ41, AJ38),IF(AK41 &lt; AK38,AJ41,AJ38)))</f>
        <v/>
      </c>
      <c r="AN41" s="95"/>
      <c r="AO41" s="40">
        <v>22</v>
      </c>
      <c r="AP41" s="61">
        <v>12</v>
      </c>
      <c r="AQ41" s="369" t="str">
        <f ca="1">INDIRECT("'Imp. Qualif.'!L"&amp;INDIRECT("B"&amp;ROW()))</f>
        <v/>
      </c>
      <c r="AR41" s="122"/>
      <c r="AT41" s="92" t="str">
        <f>IF(AR44="","",IF(AR44=AR47, IF(AR45 &gt; AR48, AQ44, AQ47),IF(AR44&gt;AR47,AQ44,AQ47)))</f>
        <v/>
      </c>
      <c r="AU41" s="122"/>
      <c r="AW41" s="92" t="str">
        <f>IF(AU44="","",IF(AU44=AU47, IF(AU45 &gt; AU48, AT44, AT47),IF(AU44&gt;AU47,AT44,AT47)))</f>
        <v/>
      </c>
      <c r="AX41" s="122"/>
      <c r="AZ41" s="117" t="str">
        <f>IF(AX38="","",IF(AX38=AX41, IF(AX42 &lt; AX39, AW41, AW38),IF(AX41 &lt; AX38,AW41,AW38)))</f>
        <v/>
      </c>
      <c r="BB41" s="40">
        <v>22</v>
      </c>
      <c r="BC41" s="61">
        <v>12</v>
      </c>
      <c r="BD41" s="369" t="str">
        <f ca="1">INDIRECT("'Imp. Qualif.'!L"&amp;INDIRECT("B"&amp;ROW()))</f>
        <v/>
      </c>
      <c r="BE41" s="122"/>
      <c r="BG41" s="92" t="str">
        <f>IF(BE44="","",IF(BE44=BE47, IF(BE45 &gt; BE48, BD44, BD47),IF(BE44&gt;BE47,BD44,BD47)))</f>
        <v/>
      </c>
      <c r="BH41" s="122"/>
      <c r="BJ41" s="92" t="str">
        <f>IF(BH44="","",IF(BH44=BH47, IF(BH45 &gt; BH48, BG44, BG47),IF(BH44&gt;BH47,BG44,BG47)))</f>
        <v/>
      </c>
      <c r="BK41" s="122"/>
      <c r="BM41" s="117" t="str">
        <f>IF(BK38="","",IF(BK38=BK41, IF(BK42 &lt; BK39, BJ41, BJ38),IF(BK41 &lt; BK38,BJ41,BJ38)))</f>
        <v/>
      </c>
      <c r="BO41" s="40">
        <v>22</v>
      </c>
      <c r="BP41" s="61">
        <v>12</v>
      </c>
      <c r="BQ41" s="369" t="str">
        <f ca="1">INDIRECT("'Imp. Qualif.'!L"&amp;INDIRECT("B"&amp;ROW()))</f>
        <v/>
      </c>
      <c r="BR41" s="122"/>
      <c r="BT41" s="92" t="str">
        <f>IF(BR44="","",IF(BR44=BR47, IF(BR45 &gt; BR48, BQ44, BQ47),IF(BR44&gt;BR47,BQ44,BQ47)))</f>
        <v/>
      </c>
      <c r="BU41" s="122"/>
      <c r="BW41" s="92" t="str">
        <f>IF(BU44="","",IF(BU44=BU47, IF(BU45 &gt; BU48, BT44, BT47),IF(BU44&gt;BU47,BT44,BT47)))</f>
        <v/>
      </c>
      <c r="BX41" s="122"/>
      <c r="BZ41" s="117" t="str">
        <f>IF(BX38="","",IF(BX38=BX41, IF(BX42 &lt; BX39, BW41, BW38),IF(BX41 &lt; BX38,BW41,BW38)))</f>
        <v/>
      </c>
      <c r="CB41" s="40">
        <v>22</v>
      </c>
      <c r="CC41" s="61">
        <v>12</v>
      </c>
      <c r="CD41" s="369" t="str">
        <f ca="1">INDIRECT("'Imp. Qualif.'!L"&amp;INDIRECT("B"&amp;ROW()))</f>
        <v/>
      </c>
      <c r="CE41" s="122"/>
      <c r="CG41" s="92" t="str">
        <f>IF(CE44="","",IF(CE44=CE47, IF(CE45 &gt; CE48, CD44, CD47),IF(CE44&gt;CE47,CD44,CD47)))</f>
        <v/>
      </c>
      <c r="CH41" s="122"/>
      <c r="CJ41" s="92" t="str">
        <f>IF(CH44="","",IF(CH44=CH47, IF(CH45 &gt; CH48, CG44, CG47),IF(CH44&gt;CH47,CG44,CG47)))</f>
        <v/>
      </c>
      <c r="CK41" s="122"/>
      <c r="CM41" s="117" t="str">
        <f>IF(CK38="","",IF(CK38=CK41, IF(CK42 &lt; CK39, CJ41, CJ38),IF(CK41 &lt; CK38,CJ41,CJ38)))</f>
        <v/>
      </c>
      <c r="CO41" s="40">
        <v>22</v>
      </c>
      <c r="CP41" s="61">
        <v>12</v>
      </c>
      <c r="CQ41" s="369" t="str">
        <f ca="1">INDIRECT("'Imp. Qualif.'!L"&amp;INDIRECT("B"&amp;ROW()))</f>
        <v/>
      </c>
      <c r="CR41" s="122"/>
      <c r="CT41" s="92" t="str">
        <f>IF(CR41="","",IF(CR38=CR41, IF(CR39 &lt; CR42, CQ38, CQ41),IF(CR38&lt;CR41,CQ38,CQ41)))</f>
        <v/>
      </c>
      <c r="CU41" s="122"/>
      <c r="CW41" s="92" t="str">
        <f>IF(CU41="","",IF(CU38=CU41, IF(CU39&lt; CU42, CT38, CT41),IF(CU38&lt;CU41,CT38,CT41)))</f>
        <v/>
      </c>
      <c r="CX41" s="122"/>
      <c r="CZ41" s="117" t="str">
        <f>IF(CX38="","",IF(CX38=CX41, IF(CX42 &lt; CX39, CW41, CW38),IF(CX41 &lt; CX38,CW41,CW38)))</f>
        <v/>
      </c>
      <c r="DB41" s="40">
        <v>22</v>
      </c>
      <c r="DC41" s="61">
        <v>12</v>
      </c>
      <c r="DD41"/>
      <c r="DE41"/>
      <c r="DF41"/>
      <c r="DG41"/>
      <c r="DH41"/>
      <c r="DI41"/>
      <c r="DJ41"/>
      <c r="DK41"/>
      <c r="DL41"/>
      <c r="DM41" s="110"/>
      <c r="DO41" s="40">
        <v>22</v>
      </c>
      <c r="DP41" s="61">
        <v>12</v>
      </c>
      <c r="DQ41"/>
      <c r="DR41"/>
      <c r="DS41"/>
      <c r="DT41"/>
      <c r="DU41"/>
      <c r="DV41"/>
      <c r="DW41"/>
      <c r="DX41"/>
      <c r="DY41"/>
      <c r="DZ41" s="110"/>
      <c r="EB41" s="40">
        <v>22</v>
      </c>
      <c r="EC41" s="61">
        <v>12</v>
      </c>
      <c r="ED41"/>
      <c r="EE41"/>
      <c r="EF41"/>
      <c r="EG41"/>
      <c r="EH41"/>
      <c r="EI41"/>
      <c r="EJ41"/>
      <c r="EK41"/>
      <c r="EL41"/>
      <c r="EM41" s="110"/>
    </row>
    <row r="42" spans="2:143" s="40" customFormat="1" ht="14.25" customHeight="1" thickBot="1" x14ac:dyDescent="0.25">
      <c r="C42"/>
      <c r="D42" s="372" t="str">
        <f ca="1">INDIRECT("'Imp. Qualif.'!M"&amp;INDIRECT("B"&amp;ROW()-1))</f>
        <v/>
      </c>
      <c r="E42" s="74"/>
      <c r="G42" s="96" t="str">
        <f>IF(E44="","",IF(E44=E47, IF(E45 &gt; E48, D45, D48),IF(E44&gt;E47,D45,D48)))</f>
        <v/>
      </c>
      <c r="H42" s="74"/>
      <c r="J42" s="96" t="str">
        <f>IF(H44="","",IF(H44=H47, IF(H45 &gt; H48, G45, G48),IF(H44&gt;H47,G45,G48)))</f>
        <v/>
      </c>
      <c r="K42" s="74"/>
      <c r="M42" s="118" t="str">
        <f>IF(K38="","",IF(K38=K41, IF(K42 &lt; K39, J42, J39),IF(K41 &lt; K38,J42,J39)))</f>
        <v/>
      </c>
      <c r="N42" s="95"/>
      <c r="Q42" s="61"/>
      <c r="AA42" s="47"/>
      <c r="AD42" s="372" t="str">
        <f ca="1">INDIRECT("'Imp. Qualif.'!M"&amp;INDIRECT("B"&amp;ROW()-1))</f>
        <v/>
      </c>
      <c r="AE42" s="74"/>
      <c r="AG42" s="96" t="str">
        <f>IF(AE44="","",IF(AE44=AE47, IF(AE45 &gt; AE48, AD45, AD48),IF(AE44&gt;AE47,AD45,AD48)))</f>
        <v/>
      </c>
      <c r="AH42" s="74"/>
      <c r="AJ42" s="96" t="str">
        <f>IF(AH44="","",IF(AH44=AH47, IF(AH45 &gt; AH48, AG45, AG48),IF(AH44&gt;AH47,AG45,AG48)))</f>
        <v/>
      </c>
      <c r="AK42" s="74"/>
      <c r="AM42" s="118" t="str">
        <f>IF(AK38="","",IF(AK38=AK41, IF(AK42 &lt; AK39, AJ42, AJ39),IF(AK41 &lt; AK38,AJ42,AJ39)))</f>
        <v/>
      </c>
      <c r="AN42" s="95"/>
      <c r="AP42" s="61"/>
      <c r="AQ42" s="372" t="str">
        <f ca="1">INDIRECT("'Imp. Qualif.'!M"&amp;INDIRECT("B"&amp;ROW()-1))</f>
        <v/>
      </c>
      <c r="AR42" s="74"/>
      <c r="AT42" s="96" t="str">
        <f>IF(AR44="","",IF(AR44=AR47, IF(AR45 &gt; AR48, AQ45, AQ48),IF(AR44&gt;AR47,AQ45,AQ48)))</f>
        <v/>
      </c>
      <c r="AU42" s="74"/>
      <c r="AW42" s="96" t="str">
        <f>IF(AU44="","",IF(AU44=AU47, IF(AU45 &gt; AU48, AT45, AT48),IF(AU44&gt;AU47,AT45,AT48)))</f>
        <v/>
      </c>
      <c r="AX42" s="74"/>
      <c r="AZ42" s="118" t="str">
        <f>IF(AX38="","",IF(AX38=AX41, IF(AX42 &lt; AX39, AW42, AW39),IF(AX41 &lt; AX38,AW42,AW39)))</f>
        <v/>
      </c>
      <c r="BC42" s="61"/>
      <c r="BD42" s="372" t="str">
        <f ca="1">INDIRECT("'Imp. Qualif.'!M"&amp;INDIRECT("B"&amp;ROW()-1))</f>
        <v/>
      </c>
      <c r="BE42" s="74"/>
      <c r="BG42" s="96" t="str">
        <f>IF(BE44="","",IF(BE44=BE47, IF(BE45 &gt; BE48, BD45, BD48),IF(BE44&gt;BE47,BD45,BD48)))</f>
        <v/>
      </c>
      <c r="BH42" s="74"/>
      <c r="BJ42" s="96" t="str">
        <f>IF(BH44="","",IF(BH44=BH47, IF(BH45 &gt; BH48, BG45, BG48),IF(BH44&gt;BH47,BG45,BG48)))</f>
        <v/>
      </c>
      <c r="BK42" s="74"/>
      <c r="BM42" s="118" t="str">
        <f>IF(BK38="","",IF(BK38=BK41, IF(BK42 &lt; BK39, BJ42, BJ39),IF(BK41 &lt; BK38,BJ42,BJ39)))</f>
        <v/>
      </c>
      <c r="BP42" s="61"/>
      <c r="BQ42" s="372" t="str">
        <f ca="1">INDIRECT("'Imp. Qualif.'!M"&amp;INDIRECT("B"&amp;ROW()-1))</f>
        <v/>
      </c>
      <c r="BR42" s="74"/>
      <c r="BT42" s="96" t="str">
        <f>IF(BR44="","",IF(BR44=BR47, IF(BR45 &gt; BR48, BQ45, BQ48),IF(BR44&gt;BR47,BQ45,BQ48)))</f>
        <v/>
      </c>
      <c r="BU42" s="74"/>
      <c r="BW42" s="96" t="str">
        <f>IF(BU44="","",IF(BU44=BU47, IF(BU45 &gt; BU48, BT45, BT48),IF(BU44&gt;BU47,BT45,BT48)))</f>
        <v/>
      </c>
      <c r="BX42" s="74"/>
      <c r="BZ42" s="118" t="str">
        <f>IF(BX38="","",IF(BX38=BX41, IF(BX42 &lt; BX39, BW42, BW39),IF(BX41 &lt; BX38,BW42,BW39)))</f>
        <v/>
      </c>
      <c r="CC42" s="61"/>
      <c r="CD42" s="372" t="str">
        <f ca="1">INDIRECT("'Imp. Qualif.'!M"&amp;INDIRECT("B"&amp;ROW()-1))</f>
        <v/>
      </c>
      <c r="CE42" s="74"/>
      <c r="CG42" s="96" t="str">
        <f>IF(CE44="","",IF(CE44=CE47, IF(CE45 &gt; CE48, CD45, CD48),IF(CE44&gt;CE47,CD45,CD48)))</f>
        <v/>
      </c>
      <c r="CH42" s="74"/>
      <c r="CJ42" s="96" t="str">
        <f>IF(CH44="","",IF(CH44=CH47, IF(CH45 &gt; CH48, CG45, CG48),IF(CH44&gt;CH47,CG45,CG48)))</f>
        <v/>
      </c>
      <c r="CK42" s="74"/>
      <c r="CM42" s="118" t="str">
        <f>IF(CK38="","",IF(CK38=CK41, IF(CK42 &lt; CK39, CJ42, CJ39),IF(CK41 &lt; CK38,CJ42,CJ39)))</f>
        <v/>
      </c>
      <c r="CP42" s="61"/>
      <c r="CQ42" s="372" t="str">
        <f ca="1">INDIRECT("'Imp. Qualif.'!M"&amp;INDIRECT("B"&amp;ROW()-1))</f>
        <v/>
      </c>
      <c r="CR42" s="74"/>
      <c r="CT42" s="93" t="str">
        <f>IF(CR41="","",IF(CR41=CR38, IF(CR42 &lt; CR39, CQ42, CQ39),IF(CR41&lt;CR38,CQ42,CQ39)))</f>
        <v/>
      </c>
      <c r="CU42" s="74"/>
      <c r="CW42" s="93" t="str">
        <f>IF(CU41="","",IF(CU38=CU41, IF(CU39&lt; CU42, CT39, CT42),IF(CU38&lt;CU41,CT39,CT42)))</f>
        <v/>
      </c>
      <c r="CX42" s="74"/>
      <c r="CZ42" s="118" t="str">
        <f>IF(CX38="","",IF(CX38=CX41, IF(CX42 &lt; CX39, CW42, CW39),IF(CX41 &lt; CX38,CW42,CW39)))</f>
        <v/>
      </c>
      <c r="DC42" s="61"/>
      <c r="DD42"/>
      <c r="DE42"/>
      <c r="DF42"/>
      <c r="DG42"/>
      <c r="DH42"/>
      <c r="DI42"/>
      <c r="DJ42"/>
      <c r="DK42"/>
      <c r="DL42"/>
      <c r="DM42" s="110"/>
      <c r="DP42" s="61"/>
      <c r="DQ42"/>
      <c r="DR42"/>
      <c r="DS42"/>
      <c r="DT42"/>
      <c r="DU42"/>
      <c r="DV42"/>
      <c r="DW42"/>
      <c r="DX42"/>
      <c r="DY42"/>
      <c r="DZ42" s="110"/>
      <c r="EC42" s="61"/>
      <c r="ED42"/>
      <c r="EE42"/>
      <c r="EF42"/>
      <c r="EG42"/>
      <c r="EH42"/>
      <c r="EI42"/>
      <c r="EJ42"/>
      <c r="EK42"/>
      <c r="EL42"/>
      <c r="EM42" s="110"/>
    </row>
    <row r="43" spans="2:143" s="40" customFormat="1" ht="14.25" customHeight="1" x14ac:dyDescent="0.2">
      <c r="C43"/>
      <c r="D43" s="358"/>
      <c r="E43" s="109"/>
      <c r="G43" s="103"/>
      <c r="H43" s="109"/>
      <c r="J43" s="103"/>
      <c r="K43" s="109"/>
      <c r="M43" s="111"/>
      <c r="N43" s="95"/>
      <c r="Q43" s="61"/>
      <c r="AA43" s="47"/>
      <c r="AD43" s="358"/>
      <c r="AE43" s="109"/>
      <c r="AG43" s="103"/>
      <c r="AH43" s="109"/>
      <c r="AJ43" s="103"/>
      <c r="AK43" s="109"/>
      <c r="AM43" s="111"/>
      <c r="AN43" s="95"/>
      <c r="AP43" s="61"/>
      <c r="AQ43" s="358"/>
      <c r="AR43" s="109"/>
      <c r="AT43" s="103"/>
      <c r="AU43" s="109"/>
      <c r="AW43" s="103"/>
      <c r="AX43" s="109"/>
      <c r="AZ43" s="111"/>
      <c r="BC43" s="61"/>
      <c r="BD43" s="358"/>
      <c r="BE43" s="109"/>
      <c r="BG43" s="103"/>
      <c r="BH43" s="109"/>
      <c r="BJ43" s="103"/>
      <c r="BK43" s="109"/>
      <c r="BM43" s="111"/>
      <c r="BP43" s="61"/>
      <c r="BQ43" s="358"/>
      <c r="BR43" s="109"/>
      <c r="BT43" s="119"/>
      <c r="BU43" s="109"/>
      <c r="BW43" s="119"/>
      <c r="BX43" s="109"/>
      <c r="BZ43" s="111"/>
      <c r="CC43" s="61"/>
      <c r="CD43" s="358"/>
      <c r="CE43" s="109"/>
      <c r="CG43" s="103"/>
      <c r="CH43" s="109"/>
      <c r="CJ43" s="103"/>
      <c r="CK43" s="109"/>
      <c r="CM43" s="111"/>
      <c r="CP43" s="61"/>
      <c r="CQ43" s="103"/>
      <c r="CR43" s="109"/>
      <c r="CT43" s="103"/>
      <c r="CU43" s="109"/>
      <c r="CW43" s="103"/>
      <c r="CX43" s="109"/>
      <c r="CZ43" s="111"/>
      <c r="DC43" s="61"/>
      <c r="DD43"/>
      <c r="DE43"/>
      <c r="DF43"/>
      <c r="DG43"/>
      <c r="DH43"/>
      <c r="DI43"/>
      <c r="DJ43"/>
      <c r="DK43"/>
      <c r="DL43"/>
      <c r="DM43" s="110"/>
      <c r="DP43" s="61"/>
      <c r="DQ43"/>
      <c r="DR43"/>
      <c r="DS43"/>
      <c r="DT43"/>
      <c r="DU43"/>
      <c r="DV43"/>
      <c r="DW43"/>
      <c r="DX43"/>
      <c r="DY43"/>
      <c r="DZ43" s="110"/>
      <c r="EC43" s="61"/>
      <c r="ED43"/>
      <c r="EE43"/>
      <c r="EF43"/>
      <c r="EG43"/>
      <c r="EH43"/>
      <c r="EI43"/>
      <c r="EJ43"/>
      <c r="EK43"/>
      <c r="EL43"/>
      <c r="EM43" s="110"/>
    </row>
    <row r="44" spans="2:143" s="40" customFormat="1" ht="14.25" customHeight="1" x14ac:dyDescent="0.2">
      <c r="B44" s="40">
        <v>23</v>
      </c>
      <c r="C44">
        <v>13</v>
      </c>
      <c r="D44" s="369" t="str">
        <f ca="1">INDIRECT("'Imp. Qualif.'!L"&amp;INDIRECT("B"&amp;ROW()))</f>
        <v/>
      </c>
      <c r="E44" s="122"/>
      <c r="G44" s="92" t="str">
        <f>IF(E38="","",IF(E38=E41, IF(E39 &lt; E42, D38, D41),IF(E38 &lt; E41,D38,D41)))</f>
        <v/>
      </c>
      <c r="H44" s="122"/>
      <c r="J44" s="92" t="str">
        <f>IF(H38="","",IF(H38=H41, IF(H39 &lt; H42, G38, G41),IF(H38 &lt; H41,G38,G41)))</f>
        <v/>
      </c>
      <c r="K44" s="122"/>
      <c r="M44" s="117" t="str">
        <f>IF(K44="","",IF(K44=K47, IF(K45 &gt; K48, J44, J47),IF(K44&gt;K47,J44,J47)))</f>
        <v/>
      </c>
      <c r="N44" s="95">
        <v>13</v>
      </c>
      <c r="Q44" s="61"/>
      <c r="AA44" s="47">
        <v>13</v>
      </c>
      <c r="AB44" s="40">
        <v>23</v>
      </c>
      <c r="AD44" s="369" t="str">
        <f ca="1">INDIRECT("'Imp. Qualif.'!L"&amp;INDIRECT("B"&amp;ROW()))</f>
        <v/>
      </c>
      <c r="AE44" s="122"/>
      <c r="AG44" s="92" t="str">
        <f>IF(AE38="","",IF(AE38=AE41, IF(AE39 &lt; AE42, AD38, AD41),IF(AE38 &lt; AE41,AD38,AD41)))</f>
        <v/>
      </c>
      <c r="AH44" s="122"/>
      <c r="AJ44" s="92" t="str">
        <f>IF(AH38="","",IF(AH38=AH41, IF(AH39 &lt; AH42, AG38, AG41),IF(AH38 &lt; AH41,AG38,AG41)))</f>
        <v/>
      </c>
      <c r="AK44" s="122"/>
      <c r="AM44" s="117" t="str">
        <f>IF(AK44="","",IF(AK44=AK47, IF(AK45 &gt; AK48, AJ44, AJ47),IF(AK44&gt;AK47,AJ44,AJ47)))</f>
        <v/>
      </c>
      <c r="AN44" s="95"/>
      <c r="AO44" s="40">
        <v>23</v>
      </c>
      <c r="AP44" s="61">
        <v>13</v>
      </c>
      <c r="AQ44" s="369" t="str">
        <f ca="1">INDIRECT("'Imp. Qualif.'!L"&amp;INDIRECT("B"&amp;ROW()))</f>
        <v/>
      </c>
      <c r="AR44" s="122"/>
      <c r="AT44" s="92" t="str">
        <f>IF(AR38="","",IF(AR38=AR41, IF(AR39 &lt; AR42, AQ38, AQ41),IF(AR38 &lt; AR41,AQ38,AQ41)))</f>
        <v/>
      </c>
      <c r="AU44" s="122"/>
      <c r="AW44" s="92" t="str">
        <f>IF(AU38="","",IF(AU38=AU41, IF(AU39 &lt; AU42, AT38, AT41),IF(AU38 &lt; AU41,AT38,AT41)))</f>
        <v/>
      </c>
      <c r="AX44" s="122"/>
      <c r="AZ44" s="117" t="str">
        <f>IF(AX44="","",IF(AX44=AX47, IF(AX45 &gt; AX48, AW44, AW47),IF(AX44&gt;AX47,AW44,AW47)))</f>
        <v/>
      </c>
      <c r="BB44" s="40">
        <v>23</v>
      </c>
      <c r="BC44" s="61">
        <v>13</v>
      </c>
      <c r="BD44" s="369" t="str">
        <f ca="1">INDIRECT("'Imp. Qualif.'!L"&amp;INDIRECT("B"&amp;ROW()))</f>
        <v/>
      </c>
      <c r="BE44" s="122"/>
      <c r="BG44" s="92" t="str">
        <f>IF(BE38="","",IF(BE38=BE41, IF(BE39 &lt; BE42, BD38, BD41),IF(BE38 &lt; BE41,BD38,BD41)))</f>
        <v/>
      </c>
      <c r="BH44" s="122"/>
      <c r="BJ44" s="92" t="str">
        <f>IF(BH38="","",IF(BH38=BH41, IF(BH39 &lt; BH42, BG38, BG41),IF(BH38 &lt; BH41,BG38,BG41)))</f>
        <v/>
      </c>
      <c r="BK44" s="122"/>
      <c r="BM44" s="117" t="str">
        <f>IF(BK44="","",IF(BK44=BK47, IF(BK45 &gt; BK48, BJ44, BJ47),IF(BK44&gt;BK47,BJ44,BJ47)))</f>
        <v/>
      </c>
      <c r="BO44" s="40">
        <v>23</v>
      </c>
      <c r="BP44" s="61">
        <v>13</v>
      </c>
      <c r="BQ44" s="369" t="str">
        <f ca="1">INDIRECT("'Imp. Qualif.'!L"&amp;INDIRECT("B"&amp;ROW()))</f>
        <v/>
      </c>
      <c r="BR44" s="122"/>
      <c r="BT44" s="92" t="str">
        <f>IF(BR38="","",IF(BR38=BR41, IF(BR39 &lt; BR42, BQ38, BQ41),IF(BR38 &lt; BR41,BQ38,BQ41)))</f>
        <v/>
      </c>
      <c r="BU44" s="122"/>
      <c r="BW44" s="92" t="str">
        <f>IF(BU38="","",IF(BU38=BU41, IF(BU39 &lt; BU42, BT38, BT41),IF(BU38 &lt; BU41,BT38,BT41)))</f>
        <v/>
      </c>
      <c r="BX44" s="122"/>
      <c r="BZ44" s="117" t="str">
        <f>IF(BX44="","",IF(BX44=BX47, IF(BX45 &gt; BX48, BW44, BW47),IF(BX44&gt;BX47,BW44,BW47)))</f>
        <v/>
      </c>
      <c r="CB44" s="40">
        <v>23</v>
      </c>
      <c r="CC44" s="61">
        <v>13</v>
      </c>
      <c r="CD44" s="369" t="str">
        <f ca="1">INDIRECT("'Imp. Qualif.'!L"&amp;INDIRECT("B"&amp;ROW()))</f>
        <v/>
      </c>
      <c r="CE44" s="122"/>
      <c r="CG44" s="92" t="str">
        <f>IF(CE38="","",IF(CE38=CE41, IF(CE39 &lt; CE42, CD38, CD41),IF(CE38 &lt; CE41,CD38,CD41)))</f>
        <v/>
      </c>
      <c r="CH44" s="122"/>
      <c r="CJ44" s="92" t="str">
        <f>IF(CH38="","",IF(CH38=CH41, IF(CH39 &lt; CH42, CG38, CG41),IF(CH38 &lt; CH41,CG38,CG41)))</f>
        <v/>
      </c>
      <c r="CK44" s="122"/>
      <c r="CM44" s="117" t="str">
        <f>IF(CK44="","",IF(CK44=CK47, IF(CK45 &gt; CK48, CJ44, CJ47),IF(CK44&gt;CK47,CJ44,CJ47)))</f>
        <v/>
      </c>
      <c r="CO44" s="40">
        <v>23</v>
      </c>
      <c r="CP44" s="61">
        <v>13</v>
      </c>
      <c r="CQ44" s="103"/>
      <c r="CR44" s="109"/>
      <c r="CT44" s="103"/>
      <c r="CU44" s="109"/>
      <c r="CW44" s="103"/>
      <c r="CX44" s="109"/>
      <c r="CZ44" s="111"/>
      <c r="DB44" s="40">
        <v>23</v>
      </c>
      <c r="DC44" s="61">
        <v>13</v>
      </c>
      <c r="DD44"/>
      <c r="DE44"/>
      <c r="DF44"/>
      <c r="DG44"/>
      <c r="DH44"/>
      <c r="DI44"/>
      <c r="DJ44"/>
      <c r="DK44"/>
      <c r="DL44"/>
      <c r="DM44" s="110"/>
      <c r="DO44" s="40">
        <v>23</v>
      </c>
      <c r="DP44" s="61">
        <v>13</v>
      </c>
      <c r="DQ44"/>
      <c r="DR44"/>
      <c r="DS44"/>
      <c r="DT44"/>
      <c r="DU44"/>
      <c r="DV44"/>
      <c r="DW44"/>
      <c r="DX44"/>
      <c r="DY44"/>
      <c r="DZ44" s="110"/>
      <c r="EB44" s="40">
        <v>23</v>
      </c>
      <c r="EC44" s="61">
        <v>13</v>
      </c>
      <c r="ED44"/>
      <c r="EE44"/>
      <c r="EF44"/>
      <c r="EG44"/>
      <c r="EH44"/>
      <c r="EI44"/>
      <c r="EJ44"/>
      <c r="EK44"/>
      <c r="EL44"/>
      <c r="EM44" s="110"/>
    </row>
    <row r="45" spans="2:143" s="40" customFormat="1" ht="14.25" customHeight="1" thickBot="1" x14ac:dyDescent="0.25">
      <c r="C45"/>
      <c r="D45" s="372" t="str">
        <f ca="1">INDIRECT("'Imp. Qualif.'!M"&amp;INDIRECT("B"&amp;ROW()-1))</f>
        <v/>
      </c>
      <c r="E45" s="74"/>
      <c r="G45" s="93" t="str">
        <f>IF(E38="","",IF(E38=E41, IF(E39 &lt; E42, D39, D42),IF(E38 &lt; E41,D39,D42)))</f>
        <v/>
      </c>
      <c r="H45" s="74"/>
      <c r="J45" s="93" t="str">
        <f>IF(H38="","",IF(H38=H41, IF(H39 &lt; H42, G39, G42),IF(H38 &lt; H41,G39,G42)))</f>
        <v/>
      </c>
      <c r="K45" s="74"/>
      <c r="M45" s="118" t="str">
        <f>IF(K44="","",IF(K44=K47, IF(K45 &gt; K48, J45, J48),IF(K44&gt;K47,J45,J48)))</f>
        <v/>
      </c>
      <c r="N45" s="95"/>
      <c r="Q45" s="61"/>
      <c r="AA45" s="47"/>
      <c r="AD45" s="372" t="str">
        <f ca="1">INDIRECT("'Imp. Qualif.'!M"&amp;INDIRECT("B"&amp;ROW()-1))</f>
        <v/>
      </c>
      <c r="AE45" s="74"/>
      <c r="AG45" s="93" t="str">
        <f>IF(AE38="","",IF(AE38=AE41, IF(AE39 &lt; AE42, AD39, AD42),IF(AE38 &lt; AE41,AD39,AD42)))</f>
        <v/>
      </c>
      <c r="AH45" s="74"/>
      <c r="AJ45" s="93" t="str">
        <f>IF(AH38="","",IF(AH38=AH41, IF(AH39 &lt; AH42, AG39, AG42),IF(AH38 &lt; AH41,AG39,AG42)))</f>
        <v/>
      </c>
      <c r="AK45" s="74"/>
      <c r="AM45" s="118" t="str">
        <f>IF(AK44="","",IF(AK44=AK47, IF(AK45 &gt; AK48, AJ45, AJ48),IF(AK44&gt;AK47,AJ45,AJ48)))</f>
        <v/>
      </c>
      <c r="AN45" s="95"/>
      <c r="AP45" s="61"/>
      <c r="AQ45" s="372" t="str">
        <f ca="1">INDIRECT("'Imp. Qualif.'!M"&amp;INDIRECT("B"&amp;ROW()-1))</f>
        <v/>
      </c>
      <c r="AR45" s="74"/>
      <c r="AT45" s="93" t="str">
        <f>IF(AR38="","",IF(AR38=AR41, IF(AR39 &lt; AR42, AQ39, AQ42),IF(AR38 &lt; AR41,AQ39,AQ42)))</f>
        <v/>
      </c>
      <c r="AU45" s="74"/>
      <c r="AW45" s="93" t="str">
        <f>IF(AU38="","",IF(AU38=AU41, IF(AU39 &lt; AU42, AT39, AT42),IF(AU38 &lt; AU41,AT39,AT42)))</f>
        <v/>
      </c>
      <c r="AX45" s="74"/>
      <c r="AZ45" s="118" t="str">
        <f>IF(AX44="","",IF(AX44=AX47, IF(AX45 &gt; AX48, AW45, AW48),IF(AX44&gt;AX47,AW45,AW48)))</f>
        <v/>
      </c>
      <c r="BC45" s="61"/>
      <c r="BD45" s="372" t="str">
        <f ca="1">INDIRECT("'Imp. Qualif.'!M"&amp;INDIRECT("B"&amp;ROW()-1))</f>
        <v/>
      </c>
      <c r="BE45" s="74"/>
      <c r="BG45" s="93" t="str">
        <f>IF(BE38="","",IF(BE38=BE41, IF(BE39 &lt; BE42, BD39, BD42),IF(BE38 &lt; BE41,BD39,BD42)))</f>
        <v/>
      </c>
      <c r="BH45" s="74"/>
      <c r="BJ45" s="93" t="str">
        <f>IF(BH38="","",IF(BH38=BH41, IF(BH39 &lt; BH42, BG39, BG42),IF(BH38 &lt; BH41,BG39,BG42)))</f>
        <v/>
      </c>
      <c r="BK45" s="74"/>
      <c r="BM45" s="118" t="str">
        <f>IF(BK44="","",IF(BK44=BK47, IF(BK45 &gt; BK48, BJ45, BJ48),IF(BK44&gt;BK47,BJ45,BJ48)))</f>
        <v/>
      </c>
      <c r="BP45" s="61"/>
      <c r="BQ45" s="372" t="str">
        <f ca="1">INDIRECT("'Imp. Qualif.'!M"&amp;INDIRECT("B"&amp;ROW()-1))</f>
        <v/>
      </c>
      <c r="BR45" s="74"/>
      <c r="BT45" s="93" t="str">
        <f>IF(BR38="","",IF(BR38=BR41, IF(BR39 &lt; BR42, BQ39, BQ42),IF(BR38 &lt; BR41,BQ39,BQ42)))</f>
        <v/>
      </c>
      <c r="BU45" s="74"/>
      <c r="BW45" s="93" t="str">
        <f>IF(BU38="","",IF(BU38=BU41, IF(BU39 &lt; BU42, BT39, BT42),IF(BU38 &lt; BU41,BT39,BT42)))</f>
        <v/>
      </c>
      <c r="BX45" s="74"/>
      <c r="BZ45" s="118" t="str">
        <f>IF(BX44="","",IF(BX44=BX47, IF(BX45 &gt; BX48, BW45, BW48),IF(BX44&gt;BX47,BW45,BW48)))</f>
        <v/>
      </c>
      <c r="CC45" s="61"/>
      <c r="CD45" s="372" t="str">
        <f ca="1">INDIRECT("'Imp. Qualif.'!M"&amp;INDIRECT("B"&amp;ROW()-1))</f>
        <v/>
      </c>
      <c r="CE45" s="74"/>
      <c r="CG45" s="93" t="str">
        <f>IF(CE38="","",IF(CE38=CE41, IF(CE39 &lt; CE42, CD39, CD42),IF(CE38 &lt; CE41,CD39,CD42)))</f>
        <v/>
      </c>
      <c r="CH45" s="74"/>
      <c r="CJ45" s="93" t="str">
        <f>IF(CH38="","",IF(CH38=CH41, IF(CH39 &lt; CH42, CG39, CG42),IF(CH38 &lt; CH41,CG39,CG42)))</f>
        <v/>
      </c>
      <c r="CK45" s="74"/>
      <c r="CM45" s="118" t="str">
        <f>IF(CK44="","",IF(CK44=CK47, IF(CK45 &gt; CK48, CJ45, CJ48),IF(CK44&gt;CK47,CJ45,CJ48)))</f>
        <v/>
      </c>
      <c r="CP45" s="61"/>
      <c r="CQ45" s="75" t="s">
        <v>386</v>
      </c>
      <c r="CR45" s="120"/>
      <c r="CS45" s="75" t="s">
        <v>387</v>
      </c>
      <c r="CT45" s="75"/>
      <c r="CU45" s="75"/>
      <c r="CV45" s="75"/>
      <c r="CW45"/>
      <c r="CX45" s="109"/>
      <c r="CZ45" s="111"/>
      <c r="DC45" s="61"/>
      <c r="DD45"/>
      <c r="DE45"/>
      <c r="DF45"/>
      <c r="DG45"/>
      <c r="DH45"/>
      <c r="DI45"/>
      <c r="DJ45"/>
      <c r="DK45"/>
      <c r="DL45"/>
      <c r="DM45" s="110"/>
      <c r="DP45" s="61"/>
      <c r="DQ45"/>
      <c r="DR45"/>
      <c r="DS45"/>
      <c r="DT45"/>
      <c r="DU45"/>
      <c r="DV45"/>
      <c r="DW45"/>
      <c r="DX45"/>
      <c r="DY45"/>
      <c r="DZ45" s="110"/>
      <c r="EC45" s="61"/>
      <c r="ED45"/>
      <c r="EE45"/>
      <c r="EF45"/>
      <c r="EG45"/>
      <c r="EH45"/>
      <c r="EI45"/>
      <c r="EJ45"/>
      <c r="EK45"/>
      <c r="EL45"/>
      <c r="EM45" s="110"/>
    </row>
    <row r="46" spans="2:143" s="40" customFormat="1" ht="14.25" customHeight="1" thickBot="1" x14ac:dyDescent="0.25">
      <c r="C46"/>
      <c r="D46" s="358"/>
      <c r="E46" s="97"/>
      <c r="H46" s="97"/>
      <c r="K46" s="97"/>
      <c r="M46" s="111"/>
      <c r="N46" s="95"/>
      <c r="Q46" s="61"/>
      <c r="AA46" s="47"/>
      <c r="AD46" s="358"/>
      <c r="AE46" s="97"/>
      <c r="AH46" s="97"/>
      <c r="AK46" s="97"/>
      <c r="AM46" s="111"/>
      <c r="AN46" s="95"/>
      <c r="AP46" s="61"/>
      <c r="AQ46" s="358"/>
      <c r="AR46" s="97"/>
      <c r="AU46" s="97"/>
      <c r="AX46" s="97"/>
      <c r="AZ46" s="111"/>
      <c r="BC46" s="61"/>
      <c r="BD46" s="358"/>
      <c r="BE46" s="97"/>
      <c r="BH46" s="97"/>
      <c r="BK46" s="97"/>
      <c r="BM46" s="111"/>
      <c r="BP46" s="61"/>
      <c r="BQ46" s="358"/>
      <c r="BR46" s="97"/>
      <c r="BU46" s="97"/>
      <c r="BX46" s="97"/>
      <c r="BZ46" s="111"/>
      <c r="CC46" s="61"/>
      <c r="CD46" s="358"/>
      <c r="CE46" s="109"/>
      <c r="CG46" s="103"/>
      <c r="CH46" s="109"/>
      <c r="CJ46" s="103"/>
      <c r="CK46" s="109"/>
      <c r="CM46" s="111"/>
      <c r="CP46" s="61"/>
      <c r="CQ46" s="75" t="s">
        <v>386</v>
      </c>
      <c r="CR46" s="76"/>
      <c r="CS46" s="75" t="s">
        <v>493</v>
      </c>
      <c r="CT46" s="75"/>
      <c r="CU46" s="75"/>
      <c r="CV46" s="75"/>
      <c r="CW46"/>
      <c r="CX46"/>
      <c r="CY46"/>
      <c r="CZ46" s="110"/>
      <c r="DC46" s="61"/>
      <c r="DD46"/>
      <c r="DE46"/>
      <c r="DF46"/>
      <c r="DG46"/>
      <c r="DH46"/>
      <c r="DI46"/>
      <c r="DJ46"/>
      <c r="DK46"/>
      <c r="DL46"/>
      <c r="DM46" s="110"/>
      <c r="DP46" s="61"/>
      <c r="DQ46"/>
      <c r="DR46"/>
      <c r="DS46"/>
      <c r="DT46"/>
      <c r="DU46"/>
      <c r="DV46"/>
      <c r="DW46"/>
      <c r="DX46"/>
      <c r="DY46"/>
      <c r="DZ46" s="110"/>
      <c r="EC46" s="61"/>
      <c r="ED46"/>
      <c r="EE46"/>
      <c r="EF46"/>
      <c r="EG46"/>
      <c r="EH46"/>
      <c r="EI46"/>
      <c r="EJ46"/>
      <c r="EK46"/>
      <c r="EL46"/>
      <c r="EM46" s="110"/>
    </row>
    <row r="47" spans="2:143" s="40" customFormat="1" ht="14.25" customHeight="1" x14ac:dyDescent="0.2">
      <c r="B47" s="40">
        <v>24</v>
      </c>
      <c r="C47">
        <v>14</v>
      </c>
      <c r="D47" s="369" t="str">
        <f ca="1">INDIRECT("'Imp. Qualif.'!L"&amp;INDIRECT("B"&amp;ROW()))</f>
        <v/>
      </c>
      <c r="E47" s="122"/>
      <c r="G47" s="92" t="str">
        <f>IF(E50="","",IF(E50=E53, IF(E51 &gt; E54, D50, D53),IF(E50&gt;E53,D50,D53)))</f>
        <v/>
      </c>
      <c r="H47" s="122"/>
      <c r="J47" s="92" t="str">
        <f>IF(H50="","",IF(H50=H53, IF(H51 &gt; H54, G50, G53),IF(H50&gt;H53,G50,G53)))</f>
        <v/>
      </c>
      <c r="K47" s="122"/>
      <c r="M47" s="117" t="str">
        <f>IF(K44="","",IF(K44=K47, IF(K48 &lt; K45, J47, J44),IF(K47 &lt; K44,J47,J44)))</f>
        <v/>
      </c>
      <c r="N47" s="95">
        <v>14</v>
      </c>
      <c r="Q47" s="61"/>
      <c r="AA47" s="47">
        <v>14</v>
      </c>
      <c r="AB47" s="40">
        <v>24</v>
      </c>
      <c r="AD47" s="369" t="str">
        <f ca="1">INDIRECT("'Imp. Qualif.'!L"&amp;INDIRECT("B"&amp;ROW()))</f>
        <v/>
      </c>
      <c r="AE47" s="122"/>
      <c r="AG47" s="92" t="str">
        <f>IF(AE50="","",IF(AE50=AE53, IF(AE51 &gt; AE54, AD50, AD53),IF(AE50&gt;AE53,AD50,AD53)))</f>
        <v/>
      </c>
      <c r="AH47" s="122"/>
      <c r="AJ47" s="92" t="str">
        <f>IF(AH50="","",IF(AH50=AH53, IF(AH51 &gt; AH54, AG50, AG53),IF(AH50&gt;AH53,AG50,AG53)))</f>
        <v/>
      </c>
      <c r="AK47" s="122"/>
      <c r="AM47" s="117" t="str">
        <f>IF(AK44="","",IF(AK44=AK47, IF(AK48 &lt; AK45, AJ47, AJ44),IF(AK47 &lt; AK44,AJ47,AJ44)))</f>
        <v/>
      </c>
      <c r="AN47" s="95"/>
      <c r="AO47" s="40">
        <v>24</v>
      </c>
      <c r="AP47" s="61">
        <v>14</v>
      </c>
      <c r="AQ47" s="369" t="str">
        <f ca="1">INDIRECT("'Imp. Qualif.'!L"&amp;INDIRECT("B"&amp;ROW()))</f>
        <v/>
      </c>
      <c r="AR47" s="122"/>
      <c r="AT47" s="92" t="str">
        <f>IF(AR50="","",IF(AR50=AR53, IF(AR51 &gt; AR54, AQ50, AQ53),IF(AR50&gt;AR53,AQ50,AQ53)))</f>
        <v/>
      </c>
      <c r="AU47" s="122"/>
      <c r="AW47" s="92" t="str">
        <f>IF(AU50="","",IF(AU50=AU53, IF(AU51 &gt; AU54, AT50, AT53),IF(AU50&gt;AU53,AT50,AT53)))</f>
        <v/>
      </c>
      <c r="AX47" s="122"/>
      <c r="AZ47" s="117" t="str">
        <f>IF(AX44="","",IF(AX44=AX47, IF(AX48 &lt; AX45, AW47, AW44),IF(AX47 &lt; AX44,AW47,AW44)))</f>
        <v/>
      </c>
      <c r="BB47" s="40">
        <v>24</v>
      </c>
      <c r="BC47" s="61">
        <v>14</v>
      </c>
      <c r="BD47" s="369" t="str">
        <f ca="1">INDIRECT("'Imp. Qualif.'!L"&amp;INDIRECT("B"&amp;ROW()))</f>
        <v/>
      </c>
      <c r="BE47" s="122"/>
      <c r="BG47" s="92" t="str">
        <f>IF(BE50="","",IF(BE50=BE53, IF(BE51 &gt; BE54, BD50, BD53),IF(BE50&gt;BE53,BD50,BD53)))</f>
        <v/>
      </c>
      <c r="BH47" s="122"/>
      <c r="BJ47" s="92" t="str">
        <f>IF(BH50="","",IF(BH50=BH53, IF(BH51 &gt; BH54, BG50, BG53),IF(BH50&gt;BH53,BG50,BG53)))</f>
        <v/>
      </c>
      <c r="BK47" s="122"/>
      <c r="BM47" s="117" t="str">
        <f>IF(BK44="","",IF(BK44=BK47, IF(BK48 &lt; BK45, BJ47, BJ44),IF(BK47 &lt; BK44,BJ47,BJ44)))</f>
        <v/>
      </c>
      <c r="BO47" s="40">
        <v>24</v>
      </c>
      <c r="BP47" s="61">
        <v>14</v>
      </c>
      <c r="BQ47" s="369" t="str">
        <f ca="1">INDIRECT("'Imp. Qualif.'!L"&amp;INDIRECT("B"&amp;ROW()))</f>
        <v/>
      </c>
      <c r="BR47" s="122"/>
      <c r="BT47" s="92" t="str">
        <f>IF(BR50="","",IF(BR50=BR53, IF(BR51 &gt; BR54, BQ50, BQ53),IF(BR50&gt;BR53,BQ50,BQ53)))</f>
        <v/>
      </c>
      <c r="BU47" s="122"/>
      <c r="BW47" s="92" t="str">
        <f>IF(BU50="","",IF(BU50=BU53, IF(BU51 &gt; BU54, BT50, BT53),IF(BU50&gt;BU53,BT50,BT53)))</f>
        <v/>
      </c>
      <c r="BX47" s="122"/>
      <c r="BZ47" s="117" t="str">
        <f>IF(BX44="","",IF(BX44=BX47, IF(BX48 &lt; BX45, BW47, BW44),IF(BX47 &lt; BX44,BW47,BW44)))</f>
        <v/>
      </c>
      <c r="CB47" s="40">
        <v>24</v>
      </c>
      <c r="CC47" s="61">
        <v>14</v>
      </c>
      <c r="CD47" s="369" t="str">
        <f ca="1">INDIRECT("'Imp. Qualif.'!L"&amp;INDIRECT("B"&amp;ROW()))</f>
        <v/>
      </c>
      <c r="CE47" s="122"/>
      <c r="CG47" s="92" t="str">
        <f>IF(CE47="","",IF(CE44=CE47, IF(CE45 &lt; CE48, CD44, CD47),IF(CE44&lt;CE47,CD44,CD47)))</f>
        <v/>
      </c>
      <c r="CH47" s="122"/>
      <c r="CJ47" s="92" t="str">
        <f>IF(CH47="","",IF(CH44=CH47, IF(CH45&lt; CH48, CG44, CG47),IF(CH44&lt;CH47,CG44,CG47)))</f>
        <v/>
      </c>
      <c r="CK47" s="122"/>
      <c r="CM47" s="117" t="str">
        <f>IF(CK44="","",IF(CK44=CK47, IF(CK48 &lt; CK45, CJ47, CJ44),IF(CK47 &lt; CK44,CJ47,CJ44)))</f>
        <v/>
      </c>
      <c r="CO47" s="40">
        <v>24</v>
      </c>
      <c r="CP47" s="61">
        <v>14</v>
      </c>
      <c r="CQ47"/>
      <c r="CR47"/>
      <c r="CS47"/>
      <c r="CT47"/>
      <c r="CU47"/>
      <c r="CV47"/>
      <c r="CW47"/>
      <c r="CX47"/>
      <c r="CY47"/>
      <c r="CZ47" s="110"/>
      <c r="DB47" s="40">
        <v>24</v>
      </c>
      <c r="DC47" s="61">
        <v>14</v>
      </c>
      <c r="DD47"/>
      <c r="DE47"/>
      <c r="DF47"/>
      <c r="DG47"/>
      <c r="DH47"/>
      <c r="DI47"/>
      <c r="DJ47"/>
      <c r="DK47"/>
      <c r="DL47"/>
      <c r="DM47" s="110"/>
      <c r="DO47" s="40">
        <v>24</v>
      </c>
      <c r="DP47" s="61">
        <v>14</v>
      </c>
      <c r="DQ47"/>
      <c r="DR47"/>
      <c r="DS47"/>
      <c r="DT47"/>
      <c r="DU47"/>
      <c r="DV47"/>
      <c r="DW47"/>
      <c r="DX47"/>
      <c r="DY47"/>
      <c r="DZ47" s="110"/>
      <c r="EB47" s="40">
        <v>24</v>
      </c>
      <c r="EC47" s="61">
        <v>14</v>
      </c>
      <c r="ED47"/>
      <c r="EE47"/>
      <c r="EF47"/>
      <c r="EG47"/>
      <c r="EH47"/>
      <c r="EI47"/>
      <c r="EJ47"/>
      <c r="EK47"/>
      <c r="EL47"/>
      <c r="EM47" s="110"/>
    </row>
    <row r="48" spans="2:143" s="40" customFormat="1" ht="14.25" customHeight="1" thickBot="1" x14ac:dyDescent="0.25">
      <c r="C48"/>
      <c r="D48" s="372" t="str">
        <f ca="1">INDIRECT("'Imp. Qualif.'!M"&amp;INDIRECT("B"&amp;ROW()-1))</f>
        <v/>
      </c>
      <c r="E48" s="74"/>
      <c r="G48" s="96" t="str">
        <f>IF(E50="","",IF(E50=E53, IF(E51 &gt; E54, D51, D54),IF(E50&gt;E53,D51,D54)))</f>
        <v/>
      </c>
      <c r="H48" s="74"/>
      <c r="J48" s="96" t="str">
        <f>IF(H50="","",IF(H50=H53, IF(H51 &gt; H54, G51, G54),IF(H50&gt;H53,G51,G54)))</f>
        <v/>
      </c>
      <c r="K48" s="74"/>
      <c r="M48" s="118" t="str">
        <f>IF(K44="","",IF(K44=K47, IF(K48 &lt; K45, J48, J45),IF(K47 &lt; K44,J48,J45)))</f>
        <v/>
      </c>
      <c r="N48" s="95"/>
      <c r="Q48" s="61"/>
      <c r="AA48" s="47"/>
      <c r="AD48" s="372" t="str">
        <f ca="1">INDIRECT("'Imp. Qualif.'!M"&amp;INDIRECT("B"&amp;ROW()-1))</f>
        <v/>
      </c>
      <c r="AE48" s="74"/>
      <c r="AG48" s="96" t="str">
        <f>IF(AE50="","",IF(AE50=AE53, IF(AE51 &gt; AE54, AD51, AD54),IF(AE50&gt;AE53,AD51,AD54)))</f>
        <v/>
      </c>
      <c r="AH48" s="74"/>
      <c r="AJ48" s="96" t="str">
        <f>IF(AH50="","",IF(AH50=AH53, IF(AH51 &gt; AH54, AG51, AG54),IF(AH50&gt;AH53,AG51,AG54)))</f>
        <v/>
      </c>
      <c r="AK48" s="74"/>
      <c r="AM48" s="118" t="str">
        <f>IF(AK44="","",IF(AK44=AK47, IF(AK48 &lt; AK45, AJ48, AJ45),IF(AK47 &lt; AK44,AJ48,AJ45)))</f>
        <v/>
      </c>
      <c r="AN48" s="95"/>
      <c r="AP48" s="61"/>
      <c r="AQ48" s="372" t="str">
        <f ca="1">INDIRECT("'Imp. Qualif.'!M"&amp;INDIRECT("B"&amp;ROW()-1))</f>
        <v/>
      </c>
      <c r="AR48" s="74"/>
      <c r="AT48" s="96" t="str">
        <f>IF(AR50="","",IF(AR50=AR53, IF(AR51 &gt; AR54, AQ51, AQ54),IF(AR50&gt;AR53,AQ51,AQ54)))</f>
        <v/>
      </c>
      <c r="AU48" s="74"/>
      <c r="AW48" s="96" t="str">
        <f>IF(AU50="","",IF(AU50=AU53, IF(AU51 &gt; AU54, AT51, AT54),IF(AU50&gt;AU53,AT51,AT54)))</f>
        <v/>
      </c>
      <c r="AX48" s="74"/>
      <c r="AZ48" s="118" t="str">
        <f>IF(AX44="","",IF(AX44=AX47, IF(AX48 &lt; AX45, AW48, AW45),IF(AX47 &lt; AX44,AW48,AW45)))</f>
        <v/>
      </c>
      <c r="BC48" s="61"/>
      <c r="BD48" s="372" t="str">
        <f ca="1">INDIRECT("'Imp. Qualif.'!M"&amp;INDIRECT("B"&amp;ROW()-1))</f>
        <v/>
      </c>
      <c r="BE48" s="74"/>
      <c r="BG48" s="96" t="str">
        <f>IF(BE50="","",IF(BE50=BE53, IF(BE51 &gt; BE54, BD51, BD54),IF(BE50&gt;BE53,BD51,BD54)))</f>
        <v/>
      </c>
      <c r="BH48" s="74"/>
      <c r="BJ48" s="96" t="str">
        <f>IF(BH50="","",IF(BH50=BH53, IF(BH51 &gt; BH54, BG51, BG54),IF(BH50&gt;BH53,BG51,BG54)))</f>
        <v/>
      </c>
      <c r="BK48" s="74"/>
      <c r="BM48" s="118" t="str">
        <f>IF(BK44="","",IF(BK44=BK47, IF(BK48 &lt; BK45, BJ48, BJ45),IF(BK47 &lt; BK44,BJ48,BJ45)))</f>
        <v/>
      </c>
      <c r="BP48" s="61"/>
      <c r="BQ48" s="372" t="str">
        <f ca="1">INDIRECT("'Imp. Qualif.'!M"&amp;INDIRECT("B"&amp;ROW()-1))</f>
        <v/>
      </c>
      <c r="BR48" s="74"/>
      <c r="BT48" s="96" t="str">
        <f>IF(BR50="","",IF(BR50=BR53, IF(BR51 &gt; BR54, BQ51, BQ54),IF(BR50&gt;BR53,BQ51,BQ54)))</f>
        <v/>
      </c>
      <c r="BU48" s="74"/>
      <c r="BW48" s="96" t="str">
        <f>IF(BU50="","",IF(BU50=BU53, IF(BU51 &gt; BU54, BT51, BT54),IF(BU50&gt;BU53,BT51,BT54)))</f>
        <v/>
      </c>
      <c r="BX48" s="74"/>
      <c r="BZ48" s="118" t="str">
        <f>IF(BX44="","",IF(BX44=BX47, IF(BX48 &lt; BX45, BW48, BW45),IF(BX47 &lt; BX44,BW48,BW45)))</f>
        <v/>
      </c>
      <c r="CC48" s="61"/>
      <c r="CD48" s="372" t="str">
        <f ca="1">INDIRECT("'Imp. Qualif.'!M"&amp;INDIRECT("B"&amp;ROW()-1))</f>
        <v/>
      </c>
      <c r="CE48" s="74"/>
      <c r="CG48" s="93" t="str">
        <f>IF(CE47="","",IF(CE47=CE44, IF(CE48 &lt; CE45, CD48, CD45),IF(CE47&lt;CE44,CD48,CD45)))</f>
        <v/>
      </c>
      <c r="CH48" s="74"/>
      <c r="CJ48" s="93" t="str">
        <f>IF(CH47="","",IF(CH44=CH47, IF(CH45&lt; CH48, CG45, CG48),IF(CH44&lt;CH47,CG45,CG48)))</f>
        <v/>
      </c>
      <c r="CK48" s="74"/>
      <c r="CM48" s="118" t="str">
        <f>IF(CK44="","",IF(CK44=CK47, IF(CK48 &lt; CK45, CJ48, CJ45),IF(CK47 &lt; CK44,CJ48,CJ45)))</f>
        <v/>
      </c>
      <c r="CP48" s="61"/>
      <c r="CQ48"/>
      <c r="CR48"/>
      <c r="CS48"/>
      <c r="CT48"/>
      <c r="CU48"/>
      <c r="CV48"/>
      <c r="CW48"/>
      <c r="CX48"/>
      <c r="CY48"/>
      <c r="CZ48" s="110"/>
      <c r="DC48" s="61"/>
      <c r="DD48"/>
      <c r="DE48"/>
      <c r="DF48"/>
      <c r="DG48"/>
      <c r="DH48"/>
      <c r="DI48"/>
      <c r="DJ48"/>
      <c r="DK48"/>
      <c r="DL48"/>
      <c r="DM48" s="110"/>
      <c r="DP48" s="61"/>
      <c r="DQ48"/>
      <c r="DR48"/>
      <c r="DS48"/>
      <c r="DT48"/>
      <c r="DU48"/>
      <c r="DV48"/>
      <c r="DW48"/>
      <c r="DX48"/>
      <c r="DY48"/>
      <c r="DZ48" s="110"/>
      <c r="EC48" s="61"/>
      <c r="ED48"/>
      <c r="EE48"/>
      <c r="EF48"/>
      <c r="EG48"/>
      <c r="EH48"/>
      <c r="EI48"/>
      <c r="EJ48"/>
      <c r="EK48"/>
      <c r="EL48"/>
      <c r="EM48" s="110"/>
    </row>
    <row r="49" spans="2:143" s="40" customFormat="1" ht="14.25" customHeight="1" x14ac:dyDescent="0.2">
      <c r="C49"/>
      <c r="D49" s="358"/>
      <c r="E49" s="109"/>
      <c r="G49" s="103"/>
      <c r="H49" s="109"/>
      <c r="J49" s="103"/>
      <c r="K49" s="109"/>
      <c r="M49" s="111"/>
      <c r="N49" s="95"/>
      <c r="Q49" s="61"/>
      <c r="AA49" s="47"/>
      <c r="AD49" s="358"/>
      <c r="AE49" s="109"/>
      <c r="AG49" s="103"/>
      <c r="AH49" s="109"/>
      <c r="AJ49" s="103"/>
      <c r="AK49" s="109"/>
      <c r="AM49" s="111"/>
      <c r="AN49" s="95"/>
      <c r="AP49" s="61"/>
      <c r="AQ49" s="358"/>
      <c r="AR49" s="109"/>
      <c r="AT49" s="103"/>
      <c r="AU49" s="109"/>
      <c r="AW49" s="103"/>
      <c r="AX49" s="109"/>
      <c r="AZ49" s="111"/>
      <c r="BC49" s="61"/>
      <c r="BD49" s="358"/>
      <c r="BE49" s="109"/>
      <c r="BG49" s="119"/>
      <c r="BH49" s="109"/>
      <c r="BJ49" s="119"/>
      <c r="BK49" s="109"/>
      <c r="BM49" s="111"/>
      <c r="BP49" s="61"/>
      <c r="BQ49" s="358"/>
      <c r="BR49" s="109"/>
      <c r="BT49" s="103"/>
      <c r="BU49" s="109"/>
      <c r="BW49" s="103"/>
      <c r="BX49" s="109"/>
      <c r="BZ49" s="111"/>
      <c r="CC49" s="61"/>
      <c r="CD49" s="103"/>
      <c r="CE49" s="109"/>
      <c r="CG49" s="103"/>
      <c r="CH49" s="109"/>
      <c r="CJ49" s="103"/>
      <c r="CK49" s="109"/>
      <c r="CM49" s="111"/>
      <c r="CP49" s="61"/>
      <c r="CQ49"/>
      <c r="CR49"/>
      <c r="CS49"/>
      <c r="CT49"/>
      <c r="CU49"/>
      <c r="CV49"/>
      <c r="CW49"/>
      <c r="CX49"/>
      <c r="CY49"/>
      <c r="CZ49" s="110"/>
      <c r="DC49" s="61"/>
      <c r="DD49"/>
      <c r="DE49"/>
      <c r="DF49"/>
      <c r="DG49"/>
      <c r="DH49"/>
      <c r="DI49"/>
      <c r="DJ49"/>
      <c r="DK49"/>
      <c r="DL49"/>
      <c r="DM49" s="110"/>
      <c r="DP49" s="61"/>
      <c r="DQ49"/>
      <c r="DR49"/>
      <c r="DS49"/>
      <c r="DT49"/>
      <c r="DU49"/>
      <c r="DV49"/>
      <c r="DW49"/>
      <c r="DX49"/>
      <c r="DY49"/>
      <c r="DZ49" s="110"/>
      <c r="EC49" s="61"/>
      <c r="ED49"/>
      <c r="EE49"/>
      <c r="EF49"/>
      <c r="EG49"/>
      <c r="EH49"/>
      <c r="EI49"/>
      <c r="EJ49"/>
      <c r="EK49"/>
      <c r="EL49"/>
      <c r="EM49" s="110"/>
    </row>
    <row r="50" spans="2:143" s="40" customFormat="1" ht="14.25" customHeight="1" x14ac:dyDescent="0.2">
      <c r="B50" s="40">
        <v>25</v>
      </c>
      <c r="C50">
        <v>15</v>
      </c>
      <c r="D50" s="369" t="str">
        <f ca="1">INDIRECT("'Imp. Qualif.'!L"&amp;INDIRECT("B"&amp;ROW()))</f>
        <v/>
      </c>
      <c r="E50" s="122"/>
      <c r="G50" s="92" t="str">
        <f>IF(E44="","",IF(E44=E47, IF(E45 &lt; E48, D44, D47),IF(E44 &lt; E47,D44,D47)))</f>
        <v/>
      </c>
      <c r="H50" s="122"/>
      <c r="J50" s="92" t="str">
        <f>IF(H44="","",IF(H44=H47, IF(H45 &lt; H48, G44, G47),IF(H44 &lt; H47,G44,G47)))</f>
        <v/>
      </c>
      <c r="K50" s="122"/>
      <c r="M50" s="117" t="str">
        <f>IF(K50="","",IF(K50=K53, IF(K51 &gt; K54, J50, J53),IF(K50&gt;K53,J50,J53)))</f>
        <v/>
      </c>
      <c r="N50" s="95">
        <v>15</v>
      </c>
      <c r="Q50" s="61"/>
      <c r="AA50" s="47">
        <v>5</v>
      </c>
      <c r="AB50" s="40">
        <v>25</v>
      </c>
      <c r="AD50" s="369" t="str">
        <f ca="1">INDIRECT("'Imp. Qualif.'!L"&amp;INDIRECT("B"&amp;ROW()))</f>
        <v/>
      </c>
      <c r="AE50" s="122"/>
      <c r="AG50" s="92" t="str">
        <f>IF(AE44="","",IF(AE44=AE47, IF(AE45 &lt; AE48, AD44, AD47),IF(AE44 &lt; AE47,AD44,AD47)))</f>
        <v/>
      </c>
      <c r="AH50" s="122"/>
      <c r="AJ50" s="92" t="str">
        <f>IF(AH44="","",IF(AH44=AH47, IF(AH45 &lt; AH48, AG44, AG47),IF(AH44 &lt; AH47,AG44,AG47)))</f>
        <v/>
      </c>
      <c r="AK50" s="122"/>
      <c r="AM50" s="117" t="str">
        <f>IF(AK50="","",IF(AK50=AK53, IF(AK51 &gt; AK54, AJ50, AJ53),IF(AK50&gt;AK53,AJ50,AJ53)))</f>
        <v/>
      </c>
      <c r="AN50" s="95"/>
      <c r="AO50" s="40">
        <v>25</v>
      </c>
      <c r="AP50" s="61">
        <v>15</v>
      </c>
      <c r="AQ50" s="369" t="str">
        <f ca="1">INDIRECT("'Imp. Qualif.'!L"&amp;INDIRECT("B"&amp;ROW()))</f>
        <v/>
      </c>
      <c r="AR50" s="122"/>
      <c r="AT50" s="92" t="str">
        <f>IF(AR44="","",IF(AR44=AR47, IF(AR45 &lt; AR48, AQ44, AQ47),IF(AR44 &lt; AR47,AQ44,AQ47)))</f>
        <v/>
      </c>
      <c r="AU50" s="122"/>
      <c r="AW50" s="92" t="str">
        <f>IF(AU44="","",IF(AU44=AU47, IF(AU45 &lt; AU48, AT44, AT47),IF(AU44 &lt; AU47,AT44,AT47)))</f>
        <v/>
      </c>
      <c r="AX50" s="122"/>
      <c r="AZ50" s="117" t="str">
        <f>IF(AX50="","",IF(AX50=AX53, IF(AX51 &gt; AX54, AW50, AW53),IF(AX50&gt;AX53,AW50,AW53)))</f>
        <v/>
      </c>
      <c r="BB50" s="40">
        <v>25</v>
      </c>
      <c r="BC50" s="61">
        <v>15</v>
      </c>
      <c r="BD50" s="369" t="str">
        <f ca="1">INDIRECT("'Imp. Qualif.'!L"&amp;INDIRECT("B"&amp;ROW()))</f>
        <v/>
      </c>
      <c r="BE50" s="122"/>
      <c r="BG50" s="92" t="str">
        <f>IF(BE44="","",IF(BE44=BE47, IF(BE45 &lt; BE48, BD44, BD47),IF(BE44 &lt; BE47,BD44,BD47)))</f>
        <v/>
      </c>
      <c r="BH50" s="122"/>
      <c r="BJ50" s="92" t="str">
        <f>IF(BH44="","",IF(BH44=BH47, IF(BH45 &lt; BH48, BG44, BG47),IF(BH44 &lt; BH47,BG44,BG47)))</f>
        <v/>
      </c>
      <c r="BK50" s="122"/>
      <c r="BM50" s="117" t="str">
        <f>IF(BK50="","",IF(BK50=BK53, IF(BK51 &gt; BK54, BJ50, BJ53),IF(BK50&gt;BK53,BJ50,BJ53)))</f>
        <v/>
      </c>
      <c r="BO50" s="40">
        <v>25</v>
      </c>
      <c r="BP50" s="61">
        <v>15</v>
      </c>
      <c r="BQ50" s="369" t="str">
        <f ca="1">INDIRECT("'Imp. Qualif.'!L"&amp;INDIRECT("B"&amp;ROW()))</f>
        <v/>
      </c>
      <c r="BR50" s="122"/>
      <c r="BT50" s="92" t="str">
        <f>IF(BR44="","",IF(BR44=BR47, IF(BR45 &lt; BR48, BQ44, BQ47),IF(BR44 &lt; BR47,BQ44,BQ47)))</f>
        <v/>
      </c>
      <c r="BU50" s="122"/>
      <c r="BW50" s="92" t="str">
        <f>IF(BU44="","",IF(BU44=BU47, IF(BU45 &lt; BU48, BT44, BT47),IF(BU44 &lt; BU47,BT44,BT47)))</f>
        <v/>
      </c>
      <c r="BX50" s="122"/>
      <c r="BZ50" s="117" t="str">
        <f>IF(BX50="","",IF(BX50=BX53, IF(BX51 &gt; BX54, BW50, BW53),IF(BX50&gt;BX53,BW50,BW53)))</f>
        <v/>
      </c>
      <c r="CB50" s="40">
        <v>25</v>
      </c>
      <c r="CC50" s="61">
        <v>15</v>
      </c>
      <c r="CD50" s="103"/>
      <c r="CE50" s="109"/>
      <c r="CG50" s="103"/>
      <c r="CH50" s="109"/>
      <c r="CJ50" s="103"/>
      <c r="CK50" s="109"/>
      <c r="CM50" s="111"/>
      <c r="CO50" s="40">
        <v>25</v>
      </c>
      <c r="CP50" s="61">
        <v>15</v>
      </c>
      <c r="CQ50"/>
      <c r="CR50"/>
      <c r="CS50"/>
      <c r="CT50"/>
      <c r="CU50"/>
      <c r="CV50"/>
      <c r="CW50"/>
      <c r="CX50"/>
      <c r="CY50"/>
      <c r="CZ50" s="110"/>
      <c r="DB50" s="40">
        <v>25</v>
      </c>
      <c r="DC50" s="61">
        <v>15</v>
      </c>
      <c r="DD50"/>
      <c r="DE50"/>
      <c r="DF50"/>
      <c r="DG50"/>
      <c r="DH50"/>
      <c r="DI50"/>
      <c r="DJ50"/>
      <c r="DK50"/>
      <c r="DL50"/>
      <c r="DM50" s="110"/>
      <c r="DO50" s="40">
        <v>25</v>
      </c>
      <c r="DP50" s="61">
        <v>15</v>
      </c>
      <c r="DQ50"/>
      <c r="DR50"/>
      <c r="DS50"/>
      <c r="DT50"/>
      <c r="DU50"/>
      <c r="DV50"/>
      <c r="DW50"/>
      <c r="DX50"/>
      <c r="DY50"/>
      <c r="DZ50" s="110"/>
      <c r="EB50" s="40">
        <v>25</v>
      </c>
      <c r="EC50" s="61">
        <v>15</v>
      </c>
      <c r="ED50"/>
      <c r="EE50"/>
      <c r="EF50"/>
      <c r="EG50"/>
      <c r="EH50"/>
      <c r="EI50"/>
      <c r="EJ50"/>
      <c r="EK50"/>
      <c r="EL50"/>
      <c r="EM50" s="110"/>
    </row>
    <row r="51" spans="2:143" s="40" customFormat="1" ht="14.25" customHeight="1" thickBot="1" x14ac:dyDescent="0.25">
      <c r="C51"/>
      <c r="D51" s="372" t="str">
        <f ca="1">INDIRECT("'Imp. Qualif.'!M"&amp;INDIRECT("B"&amp;ROW()-1))</f>
        <v/>
      </c>
      <c r="E51" s="74"/>
      <c r="G51" s="93" t="str">
        <f>IF(E44="","",IF(E44=E47, IF(E45 &lt; E48, D45, D48),IF(E44 &lt; E47,D45,D48)))</f>
        <v/>
      </c>
      <c r="H51" s="74"/>
      <c r="J51" s="93" t="str">
        <f>IF(H44="","",IF(H44=H47, IF(H45 &lt; H48, G45, G48),IF(H44 &lt; H47,G45,G48)))</f>
        <v/>
      </c>
      <c r="K51" s="74"/>
      <c r="M51" s="118" t="str">
        <f>IF(K50="","",IF(K50=K53, IF(K51 &gt; K54, J51, J54),IF(K50&gt;K53,J51,J54)))</f>
        <v/>
      </c>
      <c r="N51" s="95"/>
      <c r="Q51" s="61"/>
      <c r="AA51" s="47"/>
      <c r="AD51" s="372" t="str">
        <f ca="1">INDIRECT("'Imp. Qualif.'!M"&amp;INDIRECT("B"&amp;ROW()-1))</f>
        <v/>
      </c>
      <c r="AE51" s="74"/>
      <c r="AG51" s="93" t="str">
        <f>IF(AE44="","",IF(AE44=AE47, IF(AE45 &lt; AE48, AD45, AD48),IF(AE44 &lt; AE47,AD45,AD48)))</f>
        <v/>
      </c>
      <c r="AH51" s="74"/>
      <c r="AJ51" s="93" t="str">
        <f>IF(AH44="","",IF(AH44=AH47, IF(AH45 &lt; AH48, AG45, AG48),IF(AH44 &lt; AH47,AG45,AG48)))</f>
        <v/>
      </c>
      <c r="AK51" s="74"/>
      <c r="AM51" s="118" t="str">
        <f>IF(AK50="","",IF(AK50=AK53, IF(AK51 &gt; AK54, AJ51, AJ54),IF(AK50&gt;AK53,AJ51,AJ54)))</f>
        <v/>
      </c>
      <c r="AN51" s="95"/>
      <c r="AP51" s="61"/>
      <c r="AQ51" s="372" t="str">
        <f ca="1">INDIRECT("'Imp. Qualif.'!M"&amp;INDIRECT("B"&amp;ROW()-1))</f>
        <v/>
      </c>
      <c r="AR51" s="74"/>
      <c r="AT51" s="93" t="str">
        <f>IF(AR44="","",IF(AR44=AR47, IF(AR45 &lt; AR48, AQ45, AQ48),IF(AR44 &lt; AR47,AQ45,AQ48)))</f>
        <v/>
      </c>
      <c r="AU51" s="74"/>
      <c r="AW51" s="93" t="str">
        <f>IF(AU44="","",IF(AU44=AU47, IF(AU45 &lt; AU48, AT45, AT48),IF(AU44 &lt; AU47,AT45,AT48)))</f>
        <v/>
      </c>
      <c r="AX51" s="74"/>
      <c r="AZ51" s="118" t="str">
        <f>IF(AX50="","",IF(AX50=AX53, IF(AX51 &gt; AX54, AW51, AW54),IF(AX50&gt;AX53,AW51,AW54)))</f>
        <v/>
      </c>
      <c r="BC51" s="61"/>
      <c r="BD51" s="372" t="str">
        <f ca="1">INDIRECT("'Imp. Qualif.'!M"&amp;INDIRECT("B"&amp;ROW()-1))</f>
        <v/>
      </c>
      <c r="BE51" s="74"/>
      <c r="BG51" s="93" t="str">
        <f>IF(BE44="","",IF(BE44=BE47, IF(BE45 &lt; BE48, BD45, BD48),IF(BE44 &lt; BE47,BD45,BD48)))</f>
        <v/>
      </c>
      <c r="BH51" s="74"/>
      <c r="BJ51" s="93" t="str">
        <f>IF(BH44="","",IF(BH44=BH47, IF(BH45 &lt; BH48, BG45, BG48),IF(BH44 &lt; BH47,BG45,BG48)))</f>
        <v/>
      </c>
      <c r="BK51" s="74"/>
      <c r="BM51" s="118" t="str">
        <f>IF(BK50="","",IF(BK50=BK53, IF(BK51 &gt; BK54, BJ51, BJ54),IF(BK50&gt;BK53,BJ51,BJ54)))</f>
        <v/>
      </c>
      <c r="BP51" s="61"/>
      <c r="BQ51" s="372" t="str">
        <f ca="1">INDIRECT("'Imp. Qualif.'!M"&amp;INDIRECT("B"&amp;ROW()-1))</f>
        <v/>
      </c>
      <c r="BR51" s="74"/>
      <c r="BT51" s="93" t="str">
        <f>IF(BR44="","",IF(BR44=BR47, IF(BR45 &lt; BR48, BQ45, BQ48),IF(BR44 &lt; BR47,BQ45,BQ48)))</f>
        <v/>
      </c>
      <c r="BU51" s="74"/>
      <c r="BW51" s="93" t="str">
        <f>IF(BU44="","",IF(BU44=BU47, IF(BU45 &lt; BU48, BT45, BT48),IF(BU44 &lt; BU47,BT45,BT48)))</f>
        <v/>
      </c>
      <c r="BX51" s="74"/>
      <c r="BZ51" s="118" t="str">
        <f>IF(BX50="","",IF(BX50=BX53, IF(BX51 &gt; BX54, BW51, BW54),IF(BX50&gt;BX53,BW51,BW54)))</f>
        <v/>
      </c>
      <c r="CC51" s="61"/>
      <c r="CD51" s="75" t="s">
        <v>386</v>
      </c>
      <c r="CE51" s="120"/>
      <c r="CF51" s="75" t="s">
        <v>387</v>
      </c>
      <c r="CG51" s="75"/>
      <c r="CH51" s="75"/>
      <c r="CI51" s="75"/>
      <c r="CJ51"/>
      <c r="CK51" s="109"/>
      <c r="CM51" s="111"/>
      <c r="CP51" s="61"/>
      <c r="CQ51"/>
      <c r="CR51"/>
      <c r="CS51"/>
      <c r="CT51"/>
      <c r="CU51"/>
      <c r="CV51"/>
      <c r="CW51"/>
      <c r="CX51"/>
      <c r="CY51"/>
      <c r="CZ51" s="110"/>
      <c r="DC51" s="61"/>
      <c r="DD51"/>
      <c r="DE51"/>
      <c r="DF51"/>
      <c r="DG51"/>
      <c r="DH51"/>
      <c r="DI51"/>
      <c r="DJ51"/>
      <c r="DK51"/>
      <c r="DL51"/>
      <c r="DM51" s="110"/>
      <c r="DP51" s="61"/>
      <c r="DQ51"/>
      <c r="DR51"/>
      <c r="DS51"/>
      <c r="DT51"/>
      <c r="DU51"/>
      <c r="DV51"/>
      <c r="DW51"/>
      <c r="DX51"/>
      <c r="DY51"/>
      <c r="DZ51" s="110"/>
      <c r="EC51" s="61"/>
      <c r="ED51"/>
      <c r="EE51"/>
      <c r="EF51"/>
      <c r="EG51"/>
      <c r="EH51"/>
      <c r="EI51"/>
      <c r="EJ51"/>
      <c r="EK51"/>
      <c r="EL51"/>
      <c r="EM51" s="110"/>
    </row>
    <row r="52" spans="2:143" s="40" customFormat="1" ht="14.25" customHeight="1" thickBot="1" x14ac:dyDescent="0.25">
      <c r="C52"/>
      <c r="D52" s="358"/>
      <c r="E52" s="97"/>
      <c r="H52" s="97"/>
      <c r="K52" s="97"/>
      <c r="M52" s="111"/>
      <c r="N52" s="95"/>
      <c r="Q52" s="61"/>
      <c r="AA52" s="47"/>
      <c r="AD52" s="358"/>
      <c r="AE52" s="97"/>
      <c r="AH52" s="97"/>
      <c r="AK52" s="97"/>
      <c r="AM52" s="111"/>
      <c r="AN52" s="95"/>
      <c r="AP52" s="61"/>
      <c r="AQ52" s="358"/>
      <c r="AR52" s="97"/>
      <c r="AU52" s="97"/>
      <c r="AX52" s="97"/>
      <c r="AZ52" s="111"/>
      <c r="BC52" s="61"/>
      <c r="BD52" s="358"/>
      <c r="BE52" s="97"/>
      <c r="BH52" s="97"/>
      <c r="BK52" s="97"/>
      <c r="BM52" s="111"/>
      <c r="BP52" s="61"/>
      <c r="BQ52" s="358"/>
      <c r="BR52" s="109"/>
      <c r="BT52" s="103"/>
      <c r="BU52" s="109"/>
      <c r="BW52" s="103"/>
      <c r="BX52" s="109"/>
      <c r="BZ52" s="111"/>
      <c r="CC52" s="61"/>
      <c r="CD52" s="75" t="s">
        <v>386</v>
      </c>
      <c r="CE52" s="76"/>
      <c r="CF52" s="75" t="s">
        <v>493</v>
      </c>
      <c r="CG52" s="75"/>
      <c r="CH52" s="75"/>
      <c r="CI52" s="75"/>
      <c r="CJ52"/>
      <c r="CK52"/>
      <c r="CL52"/>
      <c r="CM52" s="110"/>
      <c r="CP52" s="61"/>
      <c r="CQ52"/>
      <c r="CR52"/>
      <c r="CS52"/>
      <c r="CT52"/>
      <c r="CU52"/>
      <c r="CV52"/>
      <c r="CW52"/>
      <c r="CX52"/>
      <c r="CY52"/>
      <c r="CZ52" s="110"/>
      <c r="DC52" s="61"/>
      <c r="DD52"/>
      <c r="DE52"/>
      <c r="DF52"/>
      <c r="DG52"/>
      <c r="DH52"/>
      <c r="DI52"/>
      <c r="DJ52"/>
      <c r="DK52"/>
      <c r="DL52"/>
      <c r="DM52" s="110"/>
      <c r="DP52" s="61"/>
      <c r="DQ52"/>
      <c r="DR52"/>
      <c r="DS52"/>
      <c r="DT52"/>
      <c r="DU52"/>
      <c r="DV52"/>
      <c r="DW52"/>
      <c r="DX52"/>
      <c r="DY52"/>
      <c r="DZ52" s="110"/>
      <c r="EC52" s="61"/>
      <c r="ED52"/>
      <c r="EE52"/>
      <c r="EF52"/>
      <c r="EG52"/>
      <c r="EH52"/>
      <c r="EI52"/>
      <c r="EJ52"/>
      <c r="EK52"/>
      <c r="EL52"/>
      <c r="EM52" s="110"/>
    </row>
    <row r="53" spans="2:143" s="40" customFormat="1" ht="14.25" customHeight="1" x14ac:dyDescent="0.2">
      <c r="B53" s="40">
        <v>26</v>
      </c>
      <c r="C53">
        <v>16</v>
      </c>
      <c r="D53" s="369" t="str">
        <f ca="1">INDIRECT("'Imp. Qualif.'!L"&amp;INDIRECT("B"&amp;ROW()))</f>
        <v/>
      </c>
      <c r="E53" s="122"/>
      <c r="G53" s="92" t="str">
        <f>IF(E56="","",IF(E56=E59, IF(E57 &gt; E60, D56, D59),IF(E56&gt;E59,D56,D59)))</f>
        <v/>
      </c>
      <c r="H53" s="122"/>
      <c r="J53" s="92" t="str">
        <f>IF(H56="","",IF(H56=H59, IF(H57 &gt; H60, G56, G59),IF(H56&gt;H59,G56,G59)))</f>
        <v/>
      </c>
      <c r="K53" s="122"/>
      <c r="M53" s="117" t="str">
        <f>IF(K50="","",IF(K50=K53, IF(K54 &lt; K51, J53, J50),IF(K53 &lt; K50,J53,J50)))</f>
        <v/>
      </c>
      <c r="N53" s="95">
        <v>16</v>
      </c>
      <c r="Q53" s="61"/>
      <c r="AA53" s="47">
        <v>16</v>
      </c>
      <c r="AB53" s="40">
        <v>26</v>
      </c>
      <c r="AD53" s="369" t="str">
        <f ca="1">INDIRECT("'Imp. Qualif.'!L"&amp;INDIRECT("B"&amp;ROW()))</f>
        <v/>
      </c>
      <c r="AE53" s="122"/>
      <c r="AG53" s="92" t="str">
        <f>IF(AE56="","",IF(AE56=AE59, IF(AE57 &gt; AE60, AD56, AD59),IF(AE56&gt;AE59,AD56,AD59)))</f>
        <v/>
      </c>
      <c r="AH53" s="122"/>
      <c r="AJ53" s="92" t="str">
        <f>IF(AH56="","",IF(AH56=AH59, IF(AH57 &gt; AH60, AG56, AG59),IF(AH56&gt;AH59,AG56,AG59)))</f>
        <v/>
      </c>
      <c r="AK53" s="122"/>
      <c r="AM53" s="117" t="str">
        <f>IF(AK50="","",IF(AK50=AK53, IF(AK54 &lt; AK51, AJ53, AJ50),IF(AK53 &lt; AK50,AJ53,AJ50)))</f>
        <v/>
      </c>
      <c r="AN53" s="95"/>
      <c r="AO53" s="40">
        <v>26</v>
      </c>
      <c r="AP53" s="61">
        <v>16</v>
      </c>
      <c r="AQ53" s="369" t="str">
        <f ca="1">INDIRECT("'Imp. Qualif.'!L"&amp;INDIRECT("B"&amp;ROW()))</f>
        <v/>
      </c>
      <c r="AR53" s="122"/>
      <c r="AT53" s="92" t="str">
        <f>IF(AR56="","",IF(AR56=AR59, IF(AR57 &gt; AR60, AQ56, AQ59),IF(AR56&gt;AR59,AQ56,AQ59)))</f>
        <v/>
      </c>
      <c r="AU53" s="122"/>
      <c r="AW53" s="92" t="str">
        <f>IF(AU56="","",IF(AU56=AU59, IF(AU57 &gt; AU60, AT56, AT59),IF(AU56&gt;AU59,AT56,AT59)))</f>
        <v/>
      </c>
      <c r="AX53" s="122"/>
      <c r="AZ53" s="117" t="str">
        <f>IF(AX50="","",IF(AX50=AX53, IF(AX54 &lt; AX51, AW53, AW50),IF(AX53 &lt; AX50,AW53,AW50)))</f>
        <v/>
      </c>
      <c r="BB53" s="40">
        <v>26</v>
      </c>
      <c r="BC53" s="61">
        <v>16</v>
      </c>
      <c r="BD53" s="369" t="str">
        <f ca="1">INDIRECT("'Imp. Qualif.'!L"&amp;INDIRECT("B"&amp;ROW()))</f>
        <v/>
      </c>
      <c r="BE53" s="122"/>
      <c r="BG53" s="92" t="str">
        <f>IF(BE56="","",IF(BE56=BE59, IF(BE57 &gt; BE60, BD56, BD59),IF(BE56&gt;BE59,BD56,BD59)))</f>
        <v/>
      </c>
      <c r="BH53" s="122"/>
      <c r="BJ53" s="92" t="str">
        <f>IF(BH56="","",IF(BH56=BH59, IF(BH57 &gt; BH60, BG56, BG59),IF(BH56&gt;BH59,BG56,BG59)))</f>
        <v/>
      </c>
      <c r="BK53" s="122"/>
      <c r="BM53" s="117" t="str">
        <f>IF(BK50="","",IF(BK50=BK53, IF(BK54 &lt; BK51, BJ53, BJ50),IF(BK53 &lt; BK50,BJ53,BJ50)))</f>
        <v/>
      </c>
      <c r="BO53" s="40">
        <v>26</v>
      </c>
      <c r="BP53" s="61">
        <v>16</v>
      </c>
      <c r="BQ53" s="369" t="str">
        <f ca="1">INDIRECT("'Imp. Qualif.'!L"&amp;INDIRECT("B"&amp;ROW()))</f>
        <v/>
      </c>
      <c r="BR53" s="122"/>
      <c r="BT53" s="92" t="str">
        <f>IF(BR53="","",IF(BR50=BR53, IF(BR51 &lt; BR54, BQ50, BQ53),IF(BR50&lt;BR53,BQ50,BQ53)))</f>
        <v/>
      </c>
      <c r="BU53" s="122"/>
      <c r="BW53" s="92" t="str">
        <f>IF(BU53="","",IF(BU50=BU53, IF(BU51&lt; BU54, BT50, BT53),IF(BU50&lt;BU53,BT50,BT53)))</f>
        <v/>
      </c>
      <c r="BX53" s="122"/>
      <c r="BZ53" s="117" t="str">
        <f>IF(BX50="","",IF(BX50=BX53, IF(BX54 &lt; BX51, BW53, BW50),IF(BX53 &lt; BX50,BW53,BW50)))</f>
        <v/>
      </c>
      <c r="CB53" s="40">
        <v>26</v>
      </c>
      <c r="CC53" s="61">
        <v>16</v>
      </c>
      <c r="CD53"/>
      <c r="CE53"/>
      <c r="CF53"/>
      <c r="CG53"/>
      <c r="CH53"/>
      <c r="CI53"/>
      <c r="CJ53"/>
      <c r="CK53"/>
      <c r="CL53"/>
      <c r="CM53" s="110"/>
      <c r="CO53" s="40">
        <v>26</v>
      </c>
      <c r="CP53" s="61">
        <v>16</v>
      </c>
      <c r="CQ53"/>
      <c r="CR53"/>
      <c r="CS53"/>
      <c r="CT53"/>
      <c r="CU53"/>
      <c r="CV53"/>
      <c r="CW53"/>
      <c r="CX53"/>
      <c r="CY53"/>
      <c r="CZ53" s="110"/>
      <c r="DB53" s="40">
        <v>26</v>
      </c>
      <c r="DC53" s="61">
        <v>16</v>
      </c>
      <c r="DD53"/>
      <c r="DE53"/>
      <c r="DF53"/>
      <c r="DG53"/>
      <c r="DH53"/>
      <c r="DI53"/>
      <c r="DJ53"/>
      <c r="DK53"/>
      <c r="DL53"/>
      <c r="DM53" s="110"/>
      <c r="DO53" s="40">
        <v>26</v>
      </c>
      <c r="DP53" s="61">
        <v>16</v>
      </c>
      <c r="DQ53"/>
      <c r="DR53"/>
      <c r="DS53"/>
      <c r="DT53"/>
      <c r="DU53"/>
      <c r="DV53"/>
      <c r="DW53"/>
      <c r="DX53"/>
      <c r="DY53"/>
      <c r="DZ53" s="110"/>
      <c r="EB53" s="40">
        <v>26</v>
      </c>
      <c r="EC53" s="61">
        <v>16</v>
      </c>
      <c r="ED53"/>
      <c r="EE53"/>
      <c r="EF53"/>
      <c r="EG53"/>
      <c r="EH53"/>
      <c r="EI53"/>
      <c r="EJ53"/>
      <c r="EK53"/>
      <c r="EL53"/>
      <c r="EM53" s="110"/>
    </row>
    <row r="54" spans="2:143" s="40" customFormat="1" ht="14.25" customHeight="1" thickBot="1" x14ac:dyDescent="0.25">
      <c r="C54"/>
      <c r="D54" s="372" t="str">
        <f ca="1">INDIRECT("'Imp. Qualif.'!M"&amp;INDIRECT("B"&amp;ROW()-1))</f>
        <v/>
      </c>
      <c r="E54" s="74"/>
      <c r="G54" s="96" t="str">
        <f>IF(E56="","",IF(E56=E59, IF(E57 &gt; E60, D57, D60),IF(E56&gt;E59,D57,D60)))</f>
        <v/>
      </c>
      <c r="H54" s="74"/>
      <c r="J54" s="96" t="str">
        <f>IF(H56="","",IF(H56=H59, IF(H57 &gt; H60, G57, G60),IF(H56&gt;H59,G57,G60)))</f>
        <v/>
      </c>
      <c r="K54" s="74"/>
      <c r="M54" s="118" t="str">
        <f>IF(K50="","",IF(K50=K53, IF(K54 &lt; K51, J54, J51),IF(K53 &lt; K50,J54,J51)))</f>
        <v/>
      </c>
      <c r="N54" s="95"/>
      <c r="Q54" s="61"/>
      <c r="AA54" s="47"/>
      <c r="AD54" s="372" t="str">
        <f ca="1">INDIRECT("'Imp. Qualif.'!M"&amp;INDIRECT("B"&amp;ROW()-1))</f>
        <v/>
      </c>
      <c r="AE54" s="74"/>
      <c r="AG54" s="96" t="str">
        <f>IF(AE56="","",IF(AE56=AE59, IF(AE57 &gt; AE60, AD57, AD60),IF(AE56&gt;AE59,AD57,AD60)))</f>
        <v/>
      </c>
      <c r="AH54" s="74"/>
      <c r="AJ54" s="96" t="str">
        <f>IF(AH56="","",IF(AH56=AH59, IF(AH57 &gt; AH60, AG57, AG60),IF(AH56&gt;AH59,AG57,AG60)))</f>
        <v/>
      </c>
      <c r="AK54" s="74"/>
      <c r="AM54" s="118" t="str">
        <f>IF(AK50="","",IF(AK50=AK53, IF(AK54 &lt; AK51, AJ54, AJ51),IF(AK53 &lt; AK50,AJ54,AJ51)))</f>
        <v/>
      </c>
      <c r="AN54" s="95"/>
      <c r="AP54" s="61"/>
      <c r="AQ54" s="372" t="str">
        <f ca="1">INDIRECT("'Imp. Qualif.'!M"&amp;INDIRECT("B"&amp;ROW()-1))</f>
        <v/>
      </c>
      <c r="AR54" s="74"/>
      <c r="AT54" s="96" t="str">
        <f>IF(AR56="","",IF(AR56=AR59, IF(AR57 &gt; AR60, AQ57, AQ60),IF(AR56&gt;AR59,AQ57,AQ60)))</f>
        <v/>
      </c>
      <c r="AU54" s="74"/>
      <c r="AW54" s="96" t="str">
        <f>IF(AU56="","",IF(AU56=AU59, IF(AU57 &gt; AU60, AT57, AT60),IF(AU56&gt;AU59,AT57,AT60)))</f>
        <v/>
      </c>
      <c r="AX54" s="74"/>
      <c r="AZ54" s="118" t="str">
        <f>IF(AX50="","",IF(AX50=AX53, IF(AX54 &lt; AX51, AW54, AW51),IF(AX53 &lt; AX50,AW54,AW51)))</f>
        <v/>
      </c>
      <c r="BC54" s="61"/>
      <c r="BD54" s="372" t="str">
        <f ca="1">INDIRECT("'Imp. Qualif.'!M"&amp;INDIRECT("B"&amp;ROW()-1))</f>
        <v/>
      </c>
      <c r="BE54" s="74"/>
      <c r="BG54" s="96" t="str">
        <f>IF(BE56="","",IF(BE56=BE59, IF(BE57 &gt; BE60, BD57, BD60),IF(BE56&gt;BE59,BD57,BD60)))</f>
        <v/>
      </c>
      <c r="BH54" s="74"/>
      <c r="BJ54" s="96" t="str">
        <f>IF(BH56="","",IF(BH56=BH59, IF(BH57 &gt; BH60, BG57, BG60),IF(BH56&gt;BH59,BG57,BG60)))</f>
        <v/>
      </c>
      <c r="BK54" s="74"/>
      <c r="BM54" s="118" t="str">
        <f>IF(BK50="","",IF(BK50=BK53, IF(BK54 &lt; BK51, BJ54, BJ51),IF(BK53 &lt; BK50,BJ54,BJ51)))</f>
        <v/>
      </c>
      <c r="BP54" s="61"/>
      <c r="BQ54" s="372" t="str">
        <f ca="1">INDIRECT("'Imp. Qualif.'!M"&amp;INDIRECT("B"&amp;ROW()-1))</f>
        <v/>
      </c>
      <c r="BR54" s="74"/>
      <c r="BT54" s="93" t="str">
        <f>IF(BR53="","",IF(BR53=BR50, IF(BR54 &lt; BR51, BQ54, BQ51),IF(BR53&lt;BR50,BQ54,BQ51)))</f>
        <v/>
      </c>
      <c r="BU54" s="74"/>
      <c r="BW54" s="93" t="str">
        <f>IF(BU53="","",IF(BU50=BU53, IF(BU51&lt; BU54, BT51, BT54),IF(BU50&lt;BU53,BT51,BT54)))</f>
        <v/>
      </c>
      <c r="BX54" s="74"/>
      <c r="BZ54" s="118" t="str">
        <f>IF(BX50="","",IF(BX50=BX53, IF(BX54 &lt; BX51, BW54, BW51),IF(BX53 &lt; BX50,BW54,BW51)))</f>
        <v/>
      </c>
      <c r="CC54" s="61"/>
      <c r="CD54"/>
      <c r="CE54"/>
      <c r="CF54"/>
      <c r="CG54"/>
      <c r="CH54"/>
      <c r="CI54"/>
      <c r="CJ54"/>
      <c r="CK54"/>
      <c r="CL54"/>
      <c r="CM54" s="110"/>
      <c r="CP54" s="61"/>
      <c r="CQ54"/>
      <c r="CR54"/>
      <c r="CS54"/>
      <c r="CT54"/>
      <c r="CU54"/>
      <c r="CV54"/>
      <c r="CW54"/>
      <c r="CX54"/>
      <c r="CY54"/>
      <c r="CZ54" s="110"/>
      <c r="DC54" s="61"/>
      <c r="DD54"/>
      <c r="DE54"/>
      <c r="DF54"/>
      <c r="DG54"/>
      <c r="DH54"/>
      <c r="DI54"/>
      <c r="DJ54"/>
      <c r="DK54"/>
      <c r="DL54"/>
      <c r="DM54" s="110"/>
      <c r="DP54" s="61"/>
      <c r="DQ54"/>
      <c r="DR54"/>
      <c r="DS54"/>
      <c r="DT54"/>
      <c r="DU54"/>
      <c r="DV54"/>
      <c r="DW54"/>
      <c r="DX54"/>
      <c r="DY54"/>
      <c r="DZ54" s="110"/>
      <c r="EC54" s="61"/>
      <c r="ED54"/>
      <c r="EE54"/>
      <c r="EF54"/>
      <c r="EG54"/>
      <c r="EH54"/>
      <c r="EI54"/>
      <c r="EJ54"/>
      <c r="EK54"/>
      <c r="EL54"/>
      <c r="EM54" s="110"/>
    </row>
    <row r="55" spans="2:143" s="40" customFormat="1" ht="14.25" customHeight="1" x14ac:dyDescent="0.2">
      <c r="C55"/>
      <c r="D55" s="358"/>
      <c r="E55" s="109"/>
      <c r="G55" s="119"/>
      <c r="H55" s="109"/>
      <c r="J55" s="119"/>
      <c r="K55" s="109"/>
      <c r="M55" s="111"/>
      <c r="N55" s="95"/>
      <c r="Q55" s="61"/>
      <c r="AA55" s="47"/>
      <c r="AD55" s="358"/>
      <c r="AE55" s="109"/>
      <c r="AG55" s="103"/>
      <c r="AH55" s="109"/>
      <c r="AJ55" s="103"/>
      <c r="AK55" s="109"/>
      <c r="AM55" s="111"/>
      <c r="AN55" s="95"/>
      <c r="AP55" s="61"/>
      <c r="AQ55" s="358"/>
      <c r="AR55" s="109"/>
      <c r="AT55" s="119"/>
      <c r="AU55" s="109"/>
      <c r="AW55" s="119"/>
      <c r="AX55" s="109"/>
      <c r="AZ55" s="111"/>
      <c r="BC55" s="61"/>
      <c r="BD55" s="358"/>
      <c r="BE55" s="109"/>
      <c r="BG55" s="103"/>
      <c r="BH55" s="109"/>
      <c r="BJ55" s="103"/>
      <c r="BK55" s="109"/>
      <c r="BM55" s="111"/>
      <c r="BP55" s="61"/>
      <c r="BQ55" s="103"/>
      <c r="BR55" s="109"/>
      <c r="BT55" s="103"/>
      <c r="BU55" s="109"/>
      <c r="BW55" s="103"/>
      <c r="BX55" s="109"/>
      <c r="BZ55" s="111"/>
      <c r="CC55" s="61"/>
      <c r="CD55"/>
      <c r="CE55"/>
      <c r="CF55"/>
      <c r="CG55"/>
      <c r="CH55"/>
      <c r="CI55"/>
      <c r="CJ55"/>
      <c r="CK55"/>
      <c r="CL55"/>
      <c r="CM55" s="110"/>
      <c r="CP55" s="61"/>
      <c r="CQ55"/>
      <c r="CR55"/>
      <c r="CS55"/>
      <c r="CT55"/>
      <c r="CU55"/>
      <c r="CV55"/>
      <c r="CW55"/>
      <c r="CX55"/>
      <c r="CY55"/>
      <c r="CZ55" s="110"/>
      <c r="DC55" s="61"/>
      <c r="DD55"/>
      <c r="DE55"/>
      <c r="DF55"/>
      <c r="DG55"/>
      <c r="DH55"/>
      <c r="DI55"/>
      <c r="DJ55"/>
      <c r="DK55"/>
      <c r="DL55"/>
      <c r="DM55" s="110"/>
      <c r="DP55" s="61"/>
      <c r="DQ55"/>
      <c r="DR55"/>
      <c r="DS55"/>
      <c r="DT55"/>
      <c r="DU55"/>
      <c r="DV55"/>
      <c r="DW55"/>
      <c r="DX55"/>
      <c r="DY55"/>
      <c r="DZ55" s="110"/>
      <c r="EC55" s="61"/>
      <c r="ED55"/>
      <c r="EE55"/>
      <c r="EF55"/>
      <c r="EG55"/>
      <c r="EH55"/>
      <c r="EI55"/>
      <c r="EJ55"/>
      <c r="EK55"/>
      <c r="EL55"/>
      <c r="EM55" s="110"/>
    </row>
    <row r="56" spans="2:143" s="40" customFormat="1" ht="14.25" customHeight="1" x14ac:dyDescent="0.2">
      <c r="B56" s="40">
        <v>27</v>
      </c>
      <c r="C56">
        <v>17</v>
      </c>
      <c r="D56" s="369" t="str">
        <f ca="1">INDIRECT("'Imp. Qualif.'!L"&amp;INDIRECT("B"&amp;ROW()))</f>
        <v/>
      </c>
      <c r="E56" s="122"/>
      <c r="G56" s="92" t="str">
        <f>IF(E50="","",IF(E50=E53, IF(E51 &lt; E54, D50, D53),IF(E50 &lt; E53,D50,D53)))</f>
        <v/>
      </c>
      <c r="H56" s="122"/>
      <c r="J56" s="92" t="str">
        <f>IF(H50="","",IF(H50=H53, IF(H51 &lt; H54, G50, G53),IF(H50 &lt; H53,G50,G53)))</f>
        <v/>
      </c>
      <c r="K56" s="122"/>
      <c r="M56" s="117" t="str">
        <f>IF(K56="","",IF(K56=K59, IF(K57 &gt; K60, J56, J59),IF(K56&gt;K59,J56,J59)))</f>
        <v/>
      </c>
      <c r="N56" s="95">
        <v>17</v>
      </c>
      <c r="Q56" s="61"/>
      <c r="AA56" s="47">
        <v>17</v>
      </c>
      <c r="AB56" s="40">
        <v>27</v>
      </c>
      <c r="AD56" s="369" t="str">
        <f ca="1">INDIRECT("'Imp. Qualif.'!L"&amp;INDIRECT("B"&amp;ROW()))</f>
        <v/>
      </c>
      <c r="AE56" s="122"/>
      <c r="AG56" s="92" t="str">
        <f>IF(AE50="","",IF(AE50=AE53, IF(AE51 &lt; AE54, AD50, AD53),IF(AE50 &lt; AE53,AD50,AD53)))</f>
        <v/>
      </c>
      <c r="AH56" s="122"/>
      <c r="AJ56" s="92" t="str">
        <f>IF(AH50="","",IF(AH50=AH53, IF(AH51 &lt; AH54, AG50, AG53),IF(AH50 &lt; AH53,AG50,AG53)))</f>
        <v/>
      </c>
      <c r="AK56" s="122"/>
      <c r="AM56" s="117" t="str">
        <f>IF(AK56="","",IF(AK56=AK59, IF(AK57 &gt; AK60, AJ56, AJ59),IF(AK56&gt;AK59,AJ56,AJ59)))</f>
        <v/>
      </c>
      <c r="AN56" s="95"/>
      <c r="AO56" s="40">
        <v>27</v>
      </c>
      <c r="AP56" s="61">
        <v>17</v>
      </c>
      <c r="AQ56" s="369" t="str">
        <f ca="1">INDIRECT("'Imp. Qualif.'!L"&amp;INDIRECT("B"&amp;ROW()))</f>
        <v/>
      </c>
      <c r="AR56" s="122"/>
      <c r="AT56" s="92" t="str">
        <f>IF(AR50="","",IF(AR50=AR53, IF(AR51 &lt; AR54, AQ50, AQ53),IF(AR50 &lt; AR53,AQ50,AQ53)))</f>
        <v/>
      </c>
      <c r="AU56" s="122"/>
      <c r="AW56" s="92" t="str">
        <f>IF(AU50="","",IF(AU50=AU53, IF(AU51 &lt; AU54, AT50, AT53),IF(AU50 &lt; AU53,AT50,AT53)))</f>
        <v/>
      </c>
      <c r="AX56" s="122"/>
      <c r="AZ56" s="117" t="str">
        <f>IF(AX56="","",IF(AX56=AX59, IF(AX57 &gt; AX60, AW56, AW59),IF(AX56&gt;AX59,AW56,AW59)))</f>
        <v/>
      </c>
      <c r="BB56" s="40">
        <v>27</v>
      </c>
      <c r="BC56" s="61">
        <v>17</v>
      </c>
      <c r="BD56" s="369" t="str">
        <f ca="1">INDIRECT("'Imp. Qualif.'!L"&amp;INDIRECT("B"&amp;ROW()))</f>
        <v/>
      </c>
      <c r="BE56" s="122"/>
      <c r="BG56" s="92" t="str">
        <f>IF(BE50="","",IF(BE50=BE53, IF(BE51 &lt; BE54, BD50, BD53),IF(BE50 &lt; BE53,BD50,BD53)))</f>
        <v/>
      </c>
      <c r="BH56" s="122"/>
      <c r="BJ56" s="92" t="str">
        <f>IF(BH50="","",IF(BH50=BH53, IF(BH51 &lt; BH54, BG50, BG53),IF(BH50 &lt; BH53,BG50,BG53)))</f>
        <v/>
      </c>
      <c r="BK56" s="122"/>
      <c r="BM56" s="117" t="str">
        <f>IF(BK56="","",IF(BK56=BK59, IF(BK57 &gt; BK60, BJ56, BJ59),IF(BK56&gt;BK59,BJ56,BJ59)))</f>
        <v/>
      </c>
      <c r="BO56" s="40">
        <v>27</v>
      </c>
      <c r="BP56" s="61">
        <v>17</v>
      </c>
      <c r="BQ56" s="103"/>
      <c r="BR56" s="109"/>
      <c r="BT56" s="103"/>
      <c r="BU56" s="109"/>
      <c r="BW56" s="103"/>
      <c r="BX56" s="109"/>
      <c r="BZ56" s="111"/>
      <c r="CB56" s="40">
        <v>27</v>
      </c>
      <c r="CC56" s="61">
        <v>17</v>
      </c>
      <c r="CD56"/>
      <c r="CE56"/>
      <c r="CF56"/>
      <c r="CG56"/>
      <c r="CH56"/>
      <c r="CI56"/>
      <c r="CJ56"/>
      <c r="CK56"/>
      <c r="CL56"/>
      <c r="CM56" s="110"/>
      <c r="CO56" s="40">
        <v>27</v>
      </c>
      <c r="CP56" s="61">
        <v>17</v>
      </c>
      <c r="CQ56"/>
      <c r="CR56"/>
      <c r="CS56"/>
      <c r="CT56"/>
      <c r="CU56"/>
      <c r="CV56"/>
      <c r="CW56"/>
      <c r="CX56"/>
      <c r="CY56"/>
      <c r="CZ56" s="110"/>
      <c r="DB56" s="40">
        <v>27</v>
      </c>
      <c r="DC56" s="61">
        <v>17</v>
      </c>
      <c r="DD56"/>
      <c r="DE56"/>
      <c r="DF56"/>
      <c r="DG56"/>
      <c r="DH56"/>
      <c r="DI56"/>
      <c r="DJ56"/>
      <c r="DK56"/>
      <c r="DL56"/>
      <c r="DM56" s="110"/>
      <c r="DO56" s="40">
        <v>27</v>
      </c>
      <c r="DP56" s="61">
        <v>17</v>
      </c>
      <c r="DQ56"/>
      <c r="DR56"/>
      <c r="DS56"/>
      <c r="DT56"/>
      <c r="DU56"/>
      <c r="DV56"/>
      <c r="DW56"/>
      <c r="DX56"/>
      <c r="DY56"/>
      <c r="DZ56" s="110"/>
      <c r="EB56" s="40">
        <v>27</v>
      </c>
      <c r="EC56" s="61">
        <v>17</v>
      </c>
      <c r="ED56"/>
      <c r="EE56"/>
      <c r="EF56"/>
      <c r="EG56"/>
      <c r="EH56"/>
      <c r="EI56"/>
      <c r="EJ56"/>
      <c r="EK56"/>
      <c r="EL56"/>
      <c r="EM56" s="110"/>
    </row>
    <row r="57" spans="2:143" s="40" customFormat="1" ht="14.25" customHeight="1" thickBot="1" x14ac:dyDescent="0.25">
      <c r="C57"/>
      <c r="D57" s="372" t="str">
        <f ca="1">INDIRECT("'Imp. Qualif.'!M"&amp;INDIRECT("B"&amp;ROW()-1))</f>
        <v/>
      </c>
      <c r="E57" s="74"/>
      <c r="G57" s="93" t="str">
        <f>IF(E50="","",IF(E50=E53, IF(E51 &lt; E54, D51, D54),IF(E50 &lt; E53,D51,D54)))</f>
        <v/>
      </c>
      <c r="H57" s="74"/>
      <c r="J57" s="93" t="str">
        <f>IF(H50="","",IF(H50=H53, IF(H51 &lt; H54, G51, G54),IF(H50 &lt; H53,G51,G54)))</f>
        <v/>
      </c>
      <c r="K57" s="74"/>
      <c r="M57" s="118" t="str">
        <f>IF(K56="","",IF(K56=K59, IF(K57 &gt; K60, J57, J60),IF(K56&gt;K59,J57,J60)))</f>
        <v/>
      </c>
      <c r="N57" s="95"/>
      <c r="Q57" s="61"/>
      <c r="AA57" s="47"/>
      <c r="AD57" s="372" t="str">
        <f ca="1">INDIRECT("'Imp. Qualif.'!M"&amp;INDIRECT("B"&amp;ROW()-1))</f>
        <v/>
      </c>
      <c r="AE57" s="74"/>
      <c r="AG57" s="93" t="str">
        <f>IF(AE50="","",IF(AE50=AE53, IF(AE51 &lt; AE54, AD51, AD54),IF(AE50 &lt; AE53,AD51,AD54)))</f>
        <v/>
      </c>
      <c r="AH57" s="74"/>
      <c r="AJ57" s="93" t="str">
        <f>IF(AH50="","",IF(AH50=AH53, IF(AH51 &lt; AH54, AG51, AG54),IF(AH50 &lt; AH53,AG51,AG54)))</f>
        <v/>
      </c>
      <c r="AK57" s="74"/>
      <c r="AM57" s="118" t="str">
        <f>IF(AK56="","",IF(AK56=AK59, IF(AK57 &gt; AK60, AJ57, AJ60),IF(AK56&gt;AK59,AJ57,AJ60)))</f>
        <v/>
      </c>
      <c r="AN57" s="95"/>
      <c r="AP57" s="61"/>
      <c r="AQ57" s="372" t="str">
        <f ca="1">INDIRECT("'Imp. Qualif.'!M"&amp;INDIRECT("B"&amp;ROW()-1))</f>
        <v/>
      </c>
      <c r="AR57" s="74"/>
      <c r="AT57" s="93" t="str">
        <f>IF(AR50="","",IF(AR50=AR53, IF(AR51 &lt; AR54, AQ51, AQ54),IF(AR50 &lt; AR53,AQ51,AQ54)))</f>
        <v/>
      </c>
      <c r="AU57" s="74"/>
      <c r="AW57" s="93" t="str">
        <f>IF(AU50="","",IF(AU50=AU53, IF(AU51 &lt; AU54, AT51, AT54),IF(AU50 &lt; AU53,AT51,AT54)))</f>
        <v/>
      </c>
      <c r="AX57" s="74"/>
      <c r="AZ57" s="118" t="str">
        <f>IF(AX56="","",IF(AX56=AX59, IF(AX57 &gt; AX60, AW57, AW60),IF(AX56&gt;AX59,AW57,AW60)))</f>
        <v/>
      </c>
      <c r="BC57" s="61"/>
      <c r="BD57" s="372" t="str">
        <f ca="1">INDIRECT("'Imp. Qualif.'!M"&amp;INDIRECT("B"&amp;ROW()-1))</f>
        <v/>
      </c>
      <c r="BE57" s="74"/>
      <c r="BG57" s="93" t="str">
        <f>IF(BE50="","",IF(BE50=BE53, IF(BE51 &lt; BE54, BD51, BD54),IF(BE50 &lt; BE53,BD51,BD54)))</f>
        <v/>
      </c>
      <c r="BH57" s="74"/>
      <c r="BJ57" s="93" t="str">
        <f>IF(BH50="","",IF(BH50=BH53, IF(BH51 &lt; BH54, BG51, BG54),IF(BH50 &lt; BH53,BG51,BG54)))</f>
        <v/>
      </c>
      <c r="BK57" s="74"/>
      <c r="BM57" s="118" t="str">
        <f>IF(BK56="","",IF(BK56=BK59, IF(BK57 &gt; BK60, BJ57, BJ60),IF(BK56&gt;BK59,BJ57,BJ60)))</f>
        <v/>
      </c>
      <c r="BP57" s="61"/>
      <c r="BQ57" s="75" t="s">
        <v>386</v>
      </c>
      <c r="BR57" s="120"/>
      <c r="BS57" s="75" t="s">
        <v>387</v>
      </c>
      <c r="BT57" s="75"/>
      <c r="BU57" s="75"/>
      <c r="BV57" s="75"/>
      <c r="BW57"/>
      <c r="BX57" s="109"/>
      <c r="BZ57" s="111"/>
      <c r="CC57" s="61"/>
      <c r="CD57"/>
      <c r="CE57"/>
      <c r="CF57"/>
      <c r="CG57"/>
      <c r="CH57"/>
      <c r="CI57"/>
      <c r="CJ57"/>
      <c r="CK57"/>
      <c r="CL57"/>
      <c r="CM57" s="110"/>
      <c r="CP57" s="61"/>
      <c r="CQ57"/>
      <c r="CR57"/>
      <c r="CS57"/>
      <c r="CT57"/>
      <c r="CU57"/>
      <c r="CV57"/>
      <c r="CW57"/>
      <c r="CX57"/>
      <c r="CY57"/>
      <c r="CZ57" s="110"/>
      <c r="DC57" s="61"/>
      <c r="DD57"/>
      <c r="DE57"/>
      <c r="DF57"/>
      <c r="DG57"/>
      <c r="DH57"/>
      <c r="DI57"/>
      <c r="DJ57"/>
      <c r="DK57"/>
      <c r="DL57"/>
      <c r="DM57" s="110"/>
      <c r="DP57" s="61"/>
      <c r="DQ57"/>
      <c r="DR57"/>
      <c r="DS57"/>
      <c r="DT57"/>
      <c r="DU57"/>
      <c r="DV57"/>
      <c r="DW57"/>
      <c r="DX57"/>
      <c r="DY57"/>
      <c r="DZ57" s="110"/>
      <c r="EC57" s="61"/>
      <c r="ED57"/>
      <c r="EE57"/>
      <c r="EF57"/>
      <c r="EG57"/>
      <c r="EH57"/>
      <c r="EI57"/>
      <c r="EJ57"/>
      <c r="EK57"/>
      <c r="EL57"/>
      <c r="EM57" s="110"/>
    </row>
    <row r="58" spans="2:143" s="40" customFormat="1" ht="14.25" customHeight="1" thickBot="1" x14ac:dyDescent="0.25">
      <c r="C58"/>
      <c r="D58" s="358"/>
      <c r="E58" s="97"/>
      <c r="H58" s="97"/>
      <c r="K58" s="97"/>
      <c r="M58" s="111"/>
      <c r="N58" s="95"/>
      <c r="Q58" s="61"/>
      <c r="AA58" s="47"/>
      <c r="AD58" s="358"/>
      <c r="AE58" s="97"/>
      <c r="AH58" s="97"/>
      <c r="AK58" s="97"/>
      <c r="AM58" s="111"/>
      <c r="AN58" s="95"/>
      <c r="AP58" s="61"/>
      <c r="AQ58" s="358"/>
      <c r="AR58" s="97"/>
      <c r="AU58" s="97"/>
      <c r="AX58" s="97"/>
      <c r="AZ58" s="111"/>
      <c r="BC58" s="61"/>
      <c r="BD58" s="358"/>
      <c r="BE58" s="109"/>
      <c r="BG58" s="103"/>
      <c r="BH58" s="109"/>
      <c r="BJ58" s="103"/>
      <c r="BK58" s="109"/>
      <c r="BM58" s="111"/>
      <c r="BP58" s="61"/>
      <c r="BQ58" s="75" t="s">
        <v>386</v>
      </c>
      <c r="BR58" s="76"/>
      <c r="BS58" s="75" t="s">
        <v>493</v>
      </c>
      <c r="BT58" s="75"/>
      <c r="BU58" s="75"/>
      <c r="BV58" s="75"/>
      <c r="BW58"/>
      <c r="BX58"/>
      <c r="BY58"/>
      <c r="BZ58" s="110"/>
      <c r="CC58" s="61"/>
      <c r="CD58"/>
      <c r="CE58"/>
      <c r="CF58"/>
      <c r="CG58"/>
      <c r="CH58"/>
      <c r="CI58"/>
      <c r="CJ58"/>
      <c r="CK58"/>
      <c r="CL58"/>
      <c r="CM58" s="110"/>
      <c r="CP58" s="61"/>
      <c r="CQ58"/>
      <c r="CR58"/>
      <c r="CS58"/>
      <c r="CT58"/>
      <c r="CU58"/>
      <c r="CV58"/>
      <c r="CW58"/>
      <c r="CX58"/>
      <c r="CY58"/>
      <c r="CZ58" s="110"/>
      <c r="DC58" s="61"/>
      <c r="DD58"/>
      <c r="DE58"/>
      <c r="DF58"/>
      <c r="DG58"/>
      <c r="DH58"/>
      <c r="DI58"/>
      <c r="DJ58"/>
      <c r="DK58"/>
      <c r="DL58"/>
      <c r="DM58" s="110"/>
      <c r="DP58" s="61"/>
      <c r="DQ58"/>
      <c r="DR58"/>
      <c r="DS58"/>
      <c r="DT58"/>
      <c r="DU58"/>
      <c r="DV58"/>
      <c r="DW58"/>
      <c r="DX58"/>
      <c r="DY58"/>
      <c r="DZ58" s="110"/>
      <c r="EC58" s="61"/>
      <c r="ED58"/>
      <c r="EE58"/>
      <c r="EF58"/>
      <c r="EG58"/>
      <c r="EH58"/>
      <c r="EI58"/>
      <c r="EJ58"/>
      <c r="EK58"/>
      <c r="EL58"/>
      <c r="EM58" s="110"/>
    </row>
    <row r="59" spans="2:143" x14ac:dyDescent="0.2">
      <c r="B59">
        <v>28</v>
      </c>
      <c r="C59">
        <v>18</v>
      </c>
      <c r="D59" s="369" t="str">
        <f ca="1">INDIRECT("'Imp. Qualif.'!L"&amp;INDIRECT("B"&amp;ROW()))</f>
        <v/>
      </c>
      <c r="E59" s="122"/>
      <c r="F59" s="40"/>
      <c r="G59" s="92" t="str">
        <f>IF(E62="","",IF(E62=E65, IF(E63 &gt; E66, D62, D65),IF(E62&gt;E65,D62,D65)))</f>
        <v/>
      </c>
      <c r="H59" s="122"/>
      <c r="I59" s="40"/>
      <c r="J59" s="92" t="str">
        <f>IF(H62="","",IF(H62=H65, IF(H63 &gt; H66, G62, G65),IF(H62&gt;H65,G62,G65)))</f>
        <v/>
      </c>
      <c r="K59" s="122"/>
      <c r="L59" s="40"/>
      <c r="M59" s="117" t="str">
        <f>IF(K56="","",IF(K56=K59, IF(K60 &lt; K57, J59, J56),IF(K59 &lt; K56,J59,J56)))</f>
        <v/>
      </c>
      <c r="N59" s="95">
        <v>18</v>
      </c>
      <c r="Q59" s="72"/>
      <c r="AA59" s="47">
        <v>18</v>
      </c>
      <c r="AB59">
        <v>28</v>
      </c>
      <c r="AD59" s="369" t="str">
        <f ca="1">INDIRECT("'Imp. Qualif.'!L"&amp;INDIRECT("B"&amp;ROW()))</f>
        <v/>
      </c>
      <c r="AE59" s="122"/>
      <c r="AF59" s="40"/>
      <c r="AG59" s="92" t="str">
        <f>IF(AE62="","",IF(AE62=AE65, IF(AE63 &gt; AE66, AD62, AD65),IF(AE62&gt;AE65,AD62,AD65)))</f>
        <v/>
      </c>
      <c r="AH59" s="122"/>
      <c r="AI59" s="40"/>
      <c r="AJ59" s="92" t="str">
        <f>IF(AH62="","",IF(AH62=AH65, IF(AH63 &gt; AH66, AG62, AG65),IF(AH62&gt;AH65,AG62,AG65)))</f>
        <v/>
      </c>
      <c r="AK59" s="122"/>
      <c r="AL59" s="40"/>
      <c r="AM59" s="117" t="str">
        <f>IF(AK56="","",IF(AK56=AK59, IF(AK60 &lt; AK57, AJ59, AJ56),IF(AK59 &lt; AK56,AJ59,AJ56)))</f>
        <v/>
      </c>
      <c r="AN59" s="95"/>
      <c r="AO59">
        <v>28</v>
      </c>
      <c r="AP59" s="72">
        <v>18</v>
      </c>
      <c r="AQ59" s="369" t="str">
        <f ca="1">INDIRECT("'Imp. Qualif.'!L"&amp;INDIRECT("B"&amp;ROW()))</f>
        <v/>
      </c>
      <c r="AR59" s="122"/>
      <c r="AS59" s="40"/>
      <c r="AT59" s="92" t="str">
        <f>IF(AR62="","",IF(AR62=AR65, IF(AR63 &gt; AR66, AQ62, AQ65),IF(AR62&gt;AR65,AQ62,AQ65)))</f>
        <v/>
      </c>
      <c r="AU59" s="122"/>
      <c r="AV59" s="40"/>
      <c r="AW59" s="92" t="str">
        <f>IF(AU62="","",IF(AU62=AU65, IF(AU63 &gt; AU66, AT62, AT65),IF(AU62&gt;AU65,AT62,AT65)))</f>
        <v/>
      </c>
      <c r="AX59" s="122"/>
      <c r="AY59" s="40"/>
      <c r="AZ59" s="117" t="str">
        <f>IF(AX56="","",IF(AX56=AX59, IF(AX60 &lt; AX57, AW59, AW56),IF(AX59 &lt; AX56,AW59,AW56)))</f>
        <v/>
      </c>
      <c r="BB59">
        <v>28</v>
      </c>
      <c r="BC59" s="72">
        <v>18</v>
      </c>
      <c r="BD59" s="369" t="str">
        <f ca="1">INDIRECT("'Imp. Qualif.'!L"&amp;INDIRECT("B"&amp;ROW()))</f>
        <v/>
      </c>
      <c r="BE59" s="122"/>
      <c r="BF59" s="40"/>
      <c r="BG59" s="92" t="str">
        <f>IF(BE59="","",IF(BE56=BE59, IF(BE57 &lt; BE60, BD56, BD59),IF(BE56&lt;BE59,BD56,BD59)))</f>
        <v/>
      </c>
      <c r="BH59" s="122"/>
      <c r="BI59" s="40"/>
      <c r="BJ59" s="92" t="str">
        <f>IF(BH59="","",IF(BH56=BH59, IF(BH57&lt; BH60, BG56, BG59),IF(BH56&lt;BH59,BG56,BG59)))</f>
        <v/>
      </c>
      <c r="BK59" s="122"/>
      <c r="BL59" s="40"/>
      <c r="BM59" s="117" t="str">
        <f>IF(BK56="","",IF(BK56=BK59, IF(BK60 &lt; BK57, BJ59, BJ56),IF(BK59 &lt; BK56,BJ59,BJ56)))</f>
        <v/>
      </c>
      <c r="BO59">
        <v>28</v>
      </c>
      <c r="BP59" s="72">
        <v>18</v>
      </c>
      <c r="CB59">
        <v>28</v>
      </c>
      <c r="CC59" s="72">
        <v>18</v>
      </c>
      <c r="CO59">
        <v>28</v>
      </c>
      <c r="CP59" s="72">
        <v>18</v>
      </c>
      <c r="DB59">
        <v>28</v>
      </c>
      <c r="DC59" s="72">
        <v>18</v>
      </c>
      <c r="DO59">
        <v>28</v>
      </c>
      <c r="DP59" s="72">
        <v>18</v>
      </c>
      <c r="EB59">
        <v>28</v>
      </c>
      <c r="EC59" s="72">
        <v>18</v>
      </c>
    </row>
    <row r="60" spans="2:143" ht="13.5" thickBot="1" x14ac:dyDescent="0.25">
      <c r="C60"/>
      <c r="D60" s="372" t="str">
        <f ca="1">INDIRECT("'Imp. Qualif.'!M"&amp;INDIRECT("B"&amp;ROW()-1))</f>
        <v/>
      </c>
      <c r="E60" s="74"/>
      <c r="F60" s="40"/>
      <c r="G60" s="96" t="str">
        <f>IF(E62="","",IF(E62=E65, IF(E63 &gt; E66, D63, D66),IF(E62&gt;E65,D63,D66)))</f>
        <v/>
      </c>
      <c r="H60" s="74"/>
      <c r="I60" s="40"/>
      <c r="J60" s="96" t="str">
        <f>IF(H62="","",IF(H62=H65, IF(H63 &gt; H66, G63, G66),IF(H62&gt;H65,G63,G66)))</f>
        <v/>
      </c>
      <c r="K60" s="74"/>
      <c r="L60" s="40"/>
      <c r="M60" s="118" t="str">
        <f>IF(K56="","",IF(K56=K59, IF(K60 &lt; K57, J60, J57),IF(K59 &lt; K56,J60,J57)))</f>
        <v/>
      </c>
      <c r="N60" s="95"/>
      <c r="Q60" s="72"/>
      <c r="AA60" s="47"/>
      <c r="AD60" s="372" t="str">
        <f ca="1">INDIRECT("'Imp. Qualif.'!M"&amp;INDIRECT("B"&amp;ROW()-1))</f>
        <v/>
      </c>
      <c r="AE60" s="74"/>
      <c r="AF60" s="40"/>
      <c r="AG60" s="96" t="str">
        <f>IF(AE62="","",IF(AE62=AE65, IF(AE63 &gt; AE66, AD63, AD66),IF(AE62&gt;AE65,AD63,AD66)))</f>
        <v/>
      </c>
      <c r="AH60" s="74"/>
      <c r="AI60" s="40"/>
      <c r="AJ60" s="96" t="str">
        <f>IF(AH62="","",IF(AH62=AH65, IF(AH63 &gt; AH66, AG63, AG66),IF(AH62&gt;AH65,AG63,AG66)))</f>
        <v/>
      </c>
      <c r="AK60" s="74"/>
      <c r="AL60" s="40"/>
      <c r="AM60" s="118" t="str">
        <f>IF(AK56="","",IF(AK56=AK59, IF(AK60 &lt; AK57, AJ60, AJ57),IF(AK59 &lt; AK56,AJ60,AJ57)))</f>
        <v/>
      </c>
      <c r="AN60" s="95"/>
      <c r="AP60" s="72"/>
      <c r="AQ60" s="372" t="str">
        <f ca="1">INDIRECT("'Imp. Qualif.'!M"&amp;INDIRECT("B"&amp;ROW()-1))</f>
        <v/>
      </c>
      <c r="AR60" s="74"/>
      <c r="AS60" s="40"/>
      <c r="AT60" s="96" t="str">
        <f>IF(AR62="","",IF(AR62=AR65, IF(AR63 &gt; AR66, AQ63, AQ66),IF(AR62&gt;AR65,AQ63,AQ66)))</f>
        <v/>
      </c>
      <c r="AU60" s="74"/>
      <c r="AV60" s="40"/>
      <c r="AW60" s="96" t="str">
        <f>IF(AU62="","",IF(AU62=AU65, IF(AU63 &gt; AU66, AT63, AT66),IF(AU62&gt;AU65,AT63,AT66)))</f>
        <v/>
      </c>
      <c r="AX60" s="74"/>
      <c r="AY60" s="40"/>
      <c r="AZ60" s="118" t="str">
        <f>IF(AX56="","",IF(AX56=AX59, IF(AX60 &lt; AX57, AW60, AW57),IF(AX59 &lt; AX56,AW60,AW57)))</f>
        <v/>
      </c>
      <c r="BC60" s="72"/>
      <c r="BD60" s="372" t="str">
        <f ca="1">INDIRECT("'Imp. Qualif.'!M"&amp;INDIRECT("B"&amp;ROW()-1))</f>
        <v/>
      </c>
      <c r="BE60" s="74"/>
      <c r="BF60" s="40"/>
      <c r="BG60" s="93" t="str">
        <f>IF(BE59="","",IF(BE59=BE56, IF(BE60 &lt; BE57, BD60, BD57),IF(BE59&lt;BE56,BD60,BD57)))</f>
        <v/>
      </c>
      <c r="BH60" s="74"/>
      <c r="BI60" s="40"/>
      <c r="BJ60" s="93" t="str">
        <f>IF(BH59="","",IF(BH56=BH59, IF(BH57&lt; BH60, BG57, BG60),IF(BH56&lt;BH59,BG57,BG60)))</f>
        <v/>
      </c>
      <c r="BK60" s="74"/>
      <c r="BL60" s="40"/>
      <c r="BM60" s="118" t="str">
        <f>IF(BK56="","",IF(BK56=BK59, IF(BK60 &lt; BK57, BJ60, BJ57),IF(BK59 &lt; BK56,BJ60,BJ57)))</f>
        <v/>
      </c>
      <c r="BP60" s="72"/>
      <c r="CC60" s="72"/>
      <c r="CP60" s="72"/>
      <c r="DC60" s="72"/>
      <c r="DP60" s="72"/>
      <c r="EC60" s="72"/>
    </row>
    <row r="61" spans="2:143" x14ac:dyDescent="0.2">
      <c r="C61"/>
      <c r="D61" s="358"/>
      <c r="E61" s="109"/>
      <c r="F61" s="40"/>
      <c r="G61" s="103"/>
      <c r="H61" s="109"/>
      <c r="I61" s="40"/>
      <c r="J61" s="103"/>
      <c r="K61" s="109"/>
      <c r="L61" s="40"/>
      <c r="M61" s="111"/>
      <c r="N61" s="95"/>
      <c r="Q61" s="72"/>
      <c r="AA61" s="47"/>
      <c r="AD61" s="358"/>
      <c r="AE61" s="109"/>
      <c r="AF61" s="40"/>
      <c r="AG61" s="119"/>
      <c r="AH61" s="109"/>
      <c r="AI61" s="40"/>
      <c r="AJ61" s="119"/>
      <c r="AK61" s="109"/>
      <c r="AL61" s="40"/>
      <c r="AM61" s="111"/>
      <c r="AN61" s="95"/>
      <c r="AP61" s="72"/>
      <c r="AQ61" s="358"/>
      <c r="AR61" s="109"/>
      <c r="AS61" s="40"/>
      <c r="AT61" s="103"/>
      <c r="AU61" s="109"/>
      <c r="AV61" s="40"/>
      <c r="AW61" s="103"/>
      <c r="AX61" s="109"/>
      <c r="AY61" s="40"/>
      <c r="AZ61" s="111"/>
      <c r="BC61" s="72"/>
      <c r="BD61" s="103"/>
      <c r="BE61" s="109"/>
      <c r="BF61" s="40"/>
      <c r="BG61" s="103"/>
      <c r="BH61" s="109"/>
      <c r="BI61" s="40"/>
      <c r="BJ61" s="103"/>
      <c r="BK61" s="109"/>
      <c r="BL61" s="40"/>
      <c r="BM61" s="111"/>
      <c r="BP61" s="72"/>
      <c r="CC61" s="72"/>
      <c r="CP61" s="72"/>
      <c r="DC61" s="72"/>
      <c r="DP61" s="72"/>
      <c r="EC61" s="72"/>
    </row>
    <row r="62" spans="2:143" x14ac:dyDescent="0.2">
      <c r="B62">
        <v>29</v>
      </c>
      <c r="C62">
        <v>19</v>
      </c>
      <c r="D62" s="369" t="str">
        <f ca="1">INDIRECT("'Imp. Qualif.'!L"&amp;INDIRECT("B"&amp;ROW()))</f>
        <v/>
      </c>
      <c r="E62" s="122"/>
      <c r="F62" s="40"/>
      <c r="G62" s="92" t="str">
        <f>IF(E56="","",IF(E56=E59, IF(E57 &lt; E60, D56, D59),IF(E56 &lt; E59,D56,D59)))</f>
        <v/>
      </c>
      <c r="H62" s="122"/>
      <c r="I62" s="40"/>
      <c r="J62" s="92" t="str">
        <f>IF(H56="","",IF(H56=H59, IF(H57 &lt; H60, G56, G59),IF(H56 &lt; H59,G56,G59)))</f>
        <v/>
      </c>
      <c r="K62" s="122"/>
      <c r="L62" s="40"/>
      <c r="M62" s="117" t="str">
        <f>IF(K62="","",IF(K62=K65, IF(K63 &gt; K66, J62, J65),IF(K62&gt;K65,J62,J65)))</f>
        <v/>
      </c>
      <c r="N62" s="95">
        <v>19</v>
      </c>
      <c r="Q62" s="72"/>
      <c r="AA62" s="47">
        <v>19</v>
      </c>
      <c r="AB62">
        <v>29</v>
      </c>
      <c r="AD62" s="369" t="str">
        <f ca="1">INDIRECT("'Imp. Qualif.'!L"&amp;INDIRECT("B"&amp;ROW()))</f>
        <v/>
      </c>
      <c r="AE62" s="122"/>
      <c r="AF62" s="40"/>
      <c r="AG62" s="92" t="str">
        <f>IF(AE56="","",IF(AE56=AE59, IF(AE57 &lt; AE60, AD56, AD59),IF(AE56 &lt; AE59,AD56,AD59)))</f>
        <v/>
      </c>
      <c r="AH62" s="122"/>
      <c r="AI62" s="40"/>
      <c r="AJ62" s="92" t="str">
        <f>IF(AH56="","",IF(AH56=AH59, IF(AH57 &lt; AH60, AG56, AG59),IF(AH56 &lt; AH59,AG56,AG59)))</f>
        <v/>
      </c>
      <c r="AK62" s="122"/>
      <c r="AL62" s="40"/>
      <c r="AM62" s="117" t="str">
        <f>IF(AK62="","",IF(AK62=AK65, IF(AK63 &gt; AK66, AJ62, AJ65),IF(AK62&gt;AK65,AJ62,AJ65)))</f>
        <v/>
      </c>
      <c r="AN62" s="95"/>
      <c r="AO62">
        <v>29</v>
      </c>
      <c r="AP62" s="72">
        <v>19</v>
      </c>
      <c r="AQ62" s="369" t="str">
        <f ca="1">INDIRECT("'Imp. Qualif.'!L"&amp;INDIRECT("B"&amp;ROW()))</f>
        <v/>
      </c>
      <c r="AR62" s="122"/>
      <c r="AS62" s="40"/>
      <c r="AT62" s="92" t="str">
        <f>IF(AR56="","",IF(AR56=AR59, IF(AR57 &lt; AR60, AQ56, AQ59),IF(AR56 &lt; AR59,AQ56,AQ59)))</f>
        <v/>
      </c>
      <c r="AU62" s="122"/>
      <c r="AV62" s="40"/>
      <c r="AW62" s="92" t="str">
        <f>IF(AU56="","",IF(AU56=AU59, IF(AU57 &lt; AU60, AT56, AT59),IF(AU56 &lt; AU59,AT56,AT59)))</f>
        <v/>
      </c>
      <c r="AX62" s="122"/>
      <c r="AY62" s="40"/>
      <c r="AZ62" s="117" t="str">
        <f>IF(AX62="","",IF(AX62=AX65, IF(AX63 &gt; AX66, AW62, AW65),IF(AX62&gt;AX65,AW62,AW65)))</f>
        <v/>
      </c>
      <c r="BB62">
        <v>29</v>
      </c>
      <c r="BC62" s="72">
        <v>19</v>
      </c>
      <c r="BD62" s="103"/>
      <c r="BE62" s="109"/>
      <c r="BF62" s="40"/>
      <c r="BG62" s="103"/>
      <c r="BH62" s="109"/>
      <c r="BI62" s="40"/>
      <c r="BJ62" s="103"/>
      <c r="BK62" s="109"/>
      <c r="BL62" s="40"/>
      <c r="BM62" s="111"/>
      <c r="BO62">
        <v>29</v>
      </c>
      <c r="BP62" s="72">
        <v>19</v>
      </c>
      <c r="CB62">
        <v>29</v>
      </c>
      <c r="CC62" s="72">
        <v>19</v>
      </c>
      <c r="CO62">
        <v>29</v>
      </c>
      <c r="CP62" s="72">
        <v>19</v>
      </c>
      <c r="DB62">
        <v>29</v>
      </c>
      <c r="DC62" s="72">
        <v>19</v>
      </c>
      <c r="DO62">
        <v>29</v>
      </c>
      <c r="DP62" s="72">
        <v>19</v>
      </c>
      <c r="EB62">
        <v>29</v>
      </c>
      <c r="EC62" s="72">
        <v>19</v>
      </c>
    </row>
    <row r="63" spans="2:143" ht="15.75" thickBot="1" x14ac:dyDescent="0.25">
      <c r="C63"/>
      <c r="D63" s="372" t="str">
        <f ca="1">INDIRECT("'Imp. Qualif.'!M"&amp;INDIRECT("B"&amp;ROW()-1))</f>
        <v/>
      </c>
      <c r="E63" s="74"/>
      <c r="F63" s="40"/>
      <c r="G63" s="93" t="str">
        <f>IF(E56="","",IF(E56=E59, IF(E57 &lt; E60, D57, D60),IF(E56 &lt; E59,D57,D60)))</f>
        <v/>
      </c>
      <c r="H63" s="74"/>
      <c r="I63" s="40"/>
      <c r="J63" s="93" t="str">
        <f>IF(H56="","",IF(H56=H59, IF(H57 &lt; H60, G57, G60),IF(H56 &lt; H59,G57,G60)))</f>
        <v/>
      </c>
      <c r="K63" s="74"/>
      <c r="L63" s="40"/>
      <c r="M63" s="118" t="str">
        <f>IF(K62="","",IF(K62=K65, IF(K63 &gt; K66, J63, J66),IF(K62&gt;K65,J63,J66)))</f>
        <v/>
      </c>
      <c r="N63" s="95"/>
      <c r="Q63" s="72"/>
      <c r="AA63" s="47"/>
      <c r="AD63" s="372" t="str">
        <f ca="1">INDIRECT("'Imp. Qualif.'!M"&amp;INDIRECT("B"&amp;ROW()-1))</f>
        <v/>
      </c>
      <c r="AE63" s="74"/>
      <c r="AF63" s="40"/>
      <c r="AG63" s="93" t="str">
        <f>IF(AE56="","",IF(AE56=AE59, IF(AE57 &lt; AE60, AD57, AD60),IF(AE56 &lt; AE59,AD57,AD60)))</f>
        <v/>
      </c>
      <c r="AH63" s="74"/>
      <c r="AI63" s="40"/>
      <c r="AJ63" s="93" t="str">
        <f>IF(AH56="","",IF(AH56=AH59, IF(AH57 &lt; AH60, AG57, AG60),IF(AH56 &lt; AH59,AG57,AG60)))</f>
        <v/>
      </c>
      <c r="AK63" s="74"/>
      <c r="AL63" s="40"/>
      <c r="AM63" s="118" t="str">
        <f>IF(AK62="","",IF(AK62=AK65, IF(AK63 &gt; AK66, AJ63, AJ66),IF(AK62&gt;AK65,AJ63,AJ66)))</f>
        <v/>
      </c>
      <c r="AN63" s="95"/>
      <c r="AP63" s="72"/>
      <c r="AQ63" s="372" t="str">
        <f ca="1">INDIRECT("'Imp. Qualif.'!M"&amp;INDIRECT("B"&amp;ROW()-1))</f>
        <v/>
      </c>
      <c r="AR63" s="74"/>
      <c r="AS63" s="40"/>
      <c r="AT63" s="93" t="str">
        <f>IF(AR56="","",IF(AR56=AR59, IF(AR57 &lt; AR60, AQ57, AQ60),IF(AR56 &lt; AR59,AQ57,AQ60)))</f>
        <v/>
      </c>
      <c r="AU63" s="74"/>
      <c r="AV63" s="40"/>
      <c r="AW63" s="93" t="str">
        <f>IF(AU56="","",IF(AU56=AU59, IF(AU57 &lt; AU60, AT57, AT60),IF(AU56 &lt; AU59,AT57,AT60)))</f>
        <v/>
      </c>
      <c r="AX63" s="74"/>
      <c r="AY63" s="40"/>
      <c r="AZ63" s="118" t="str">
        <f>IF(AX62="","",IF(AX62=AX65, IF(AX63 &gt; AX66, AW63, AW66),IF(AX62&gt;AX65,AW63,AW66)))</f>
        <v/>
      </c>
      <c r="BC63" s="72"/>
      <c r="BD63" s="75" t="s">
        <v>386</v>
      </c>
      <c r="BE63" s="120"/>
      <c r="BF63" s="75" t="s">
        <v>387</v>
      </c>
      <c r="BG63" s="75"/>
      <c r="BH63" s="75"/>
      <c r="BI63" s="75"/>
      <c r="BK63" s="109"/>
      <c r="BL63" s="40"/>
      <c r="BM63" s="111"/>
      <c r="BP63" s="72"/>
      <c r="CC63" s="72"/>
      <c r="CP63" s="72"/>
      <c r="DC63" s="72"/>
      <c r="DP63" s="72"/>
      <c r="EC63" s="72"/>
    </row>
    <row r="64" spans="2:143" ht="15.75" thickBot="1" x14ac:dyDescent="0.25">
      <c r="C64"/>
      <c r="D64" s="358"/>
      <c r="E64" s="109"/>
      <c r="F64" s="40"/>
      <c r="G64" s="103"/>
      <c r="H64" s="109"/>
      <c r="I64" s="40"/>
      <c r="J64" s="103"/>
      <c r="K64" s="109"/>
      <c r="L64" s="40"/>
      <c r="M64" s="111"/>
      <c r="N64" s="95"/>
      <c r="Q64" s="72"/>
      <c r="AA64" s="47"/>
      <c r="AD64" s="358"/>
      <c r="AE64" s="97"/>
      <c r="AF64" s="40"/>
      <c r="AG64" s="40"/>
      <c r="AH64" s="97"/>
      <c r="AI64" s="40"/>
      <c r="AJ64" s="40"/>
      <c r="AK64" s="97"/>
      <c r="AL64" s="40"/>
      <c r="AM64" s="111"/>
      <c r="AN64" s="95"/>
      <c r="AP64" s="72"/>
      <c r="AQ64" s="358"/>
      <c r="AR64" s="109"/>
      <c r="AS64" s="40"/>
      <c r="AT64" s="103"/>
      <c r="AU64" s="109"/>
      <c r="AV64" s="40"/>
      <c r="AW64" s="103"/>
      <c r="AX64" s="109"/>
      <c r="AY64" s="40"/>
      <c r="AZ64" s="111"/>
      <c r="BC64" s="72"/>
      <c r="BD64" s="75" t="s">
        <v>386</v>
      </c>
      <c r="BE64" s="76"/>
      <c r="BF64" s="75" t="s">
        <v>493</v>
      </c>
      <c r="BG64" s="75"/>
      <c r="BH64" s="75"/>
      <c r="BI64" s="75"/>
      <c r="BP64" s="72"/>
      <c r="CC64" s="72"/>
      <c r="CP64" s="72"/>
      <c r="DC64" s="72"/>
      <c r="DP64" s="72"/>
      <c r="EC64" s="72"/>
    </row>
    <row r="65" spans="2:133" x14ac:dyDescent="0.2">
      <c r="B65">
        <v>30</v>
      </c>
      <c r="C65">
        <v>20</v>
      </c>
      <c r="D65" s="369" t="str">
        <f ca="1">INDIRECT("'Imp. Qualif.'!L"&amp;INDIRECT("B"&amp;ROW()))</f>
        <v/>
      </c>
      <c r="E65" s="122"/>
      <c r="F65" s="40"/>
      <c r="G65" s="92" t="str">
        <f>IF(E65="","",IF(E62=E65, IF(E63 &lt; E66, D62, D65),IF(E62&lt;E65,D62,D65)))</f>
        <v/>
      </c>
      <c r="H65" s="122"/>
      <c r="I65" s="40"/>
      <c r="J65" s="92" t="str">
        <f>IF(H65="","",IF(H62=H65, IF(H63&lt; H66, G62, G65),IF(H62&lt;H65,G62,G65)))</f>
        <v/>
      </c>
      <c r="K65" s="122"/>
      <c r="L65" s="40"/>
      <c r="M65" s="117" t="str">
        <f>IF(K62="","",IF(K62=K65, IF(K66 &lt; K63, J65, J62),IF(K65 &lt; K62,J65,J62)))</f>
        <v/>
      </c>
      <c r="N65" s="95">
        <v>20</v>
      </c>
      <c r="Q65" s="72"/>
      <c r="S65" t="e">
        <f ca="1">INDIRECT("'Imp. Qualif.'!"&amp;"L"&amp;Q65)</f>
        <v>#REF!</v>
      </c>
      <c r="Y65" t="str">
        <f>IF(W68="","",IF(W68=W71, IF(W69 &gt; W72, V68, V71),IF(W68&gt;W71,V68,V71)))</f>
        <v/>
      </c>
      <c r="AA65" s="47">
        <v>20</v>
      </c>
      <c r="AB65">
        <v>30</v>
      </c>
      <c r="AD65" s="369" t="str">
        <f ca="1">INDIRECT("'Imp. Qualif.'!L"&amp;INDIRECT("B"&amp;ROW()))</f>
        <v/>
      </c>
      <c r="AE65" s="122"/>
      <c r="AF65" s="40"/>
      <c r="AG65" s="92" t="str">
        <f>IF(AE68="","",IF(AE68=AE71, IF(AE69 &gt; AE72, AD68, AD71),IF(AE68&gt;AE71,AD68,AD71)))</f>
        <v/>
      </c>
      <c r="AH65" s="122"/>
      <c r="AI65" s="40"/>
      <c r="AJ65" s="92" t="str">
        <f>IF(AH68="","",IF(AH68=AH71, IF(AH69 &gt; AH72, AG68, AG71),IF(AH68&gt;AH71,AG68,AG71)))</f>
        <v/>
      </c>
      <c r="AK65" s="122"/>
      <c r="AL65" s="40"/>
      <c r="AM65" s="117" t="str">
        <f>IF(AK62="","",IF(AK62=AK65, IF(AK66 &lt; AK63, AJ65, AJ62),IF(AK65 &lt; AK62,AJ65,AJ62)))</f>
        <v/>
      </c>
      <c r="AN65" s="95"/>
      <c r="AO65">
        <v>30</v>
      </c>
      <c r="AP65" s="72">
        <v>20</v>
      </c>
      <c r="AQ65" s="369" t="str">
        <f ca="1">INDIRECT("'Imp. Qualif.'!L"&amp;INDIRECT("B"&amp;ROW()))</f>
        <v/>
      </c>
      <c r="AR65" s="122"/>
      <c r="AS65" s="40"/>
      <c r="AT65" s="92" t="str">
        <f>IF(AR65="","",IF(AR62=AR65, IF(AR63 &lt; AR66, AQ62, AQ65),IF(AR62&lt;AR65,AQ62,AQ65)))</f>
        <v/>
      </c>
      <c r="AU65" s="122"/>
      <c r="AV65" s="40"/>
      <c r="AW65" s="92" t="str">
        <f>IF(AU65="","",IF(AU62=AU65, IF(AU63&lt; AU66, AT62, AT65),IF(AU62&lt;AU65,AT62,AT65)))</f>
        <v/>
      </c>
      <c r="AX65" s="122"/>
      <c r="AY65" s="40"/>
      <c r="AZ65" s="117" t="str">
        <f>IF(AX62="","",IF(AX62=AX65, IF(AX66 &lt; AX63, AW65, AW62),IF(AX65 &lt; AX62,AW65,AW62)))</f>
        <v/>
      </c>
      <c r="BB65">
        <v>30</v>
      </c>
      <c r="BC65" s="72">
        <v>20</v>
      </c>
      <c r="BO65">
        <v>30</v>
      </c>
      <c r="BP65" s="72">
        <v>20</v>
      </c>
      <c r="CB65">
        <v>30</v>
      </c>
      <c r="CC65" s="72">
        <v>20</v>
      </c>
      <c r="CO65">
        <v>30</v>
      </c>
      <c r="CP65" s="72">
        <v>20</v>
      </c>
      <c r="DB65">
        <v>30</v>
      </c>
      <c r="DC65" s="72">
        <v>20</v>
      </c>
      <c r="DO65">
        <v>30</v>
      </c>
      <c r="DP65" s="72">
        <v>20</v>
      </c>
      <c r="EB65">
        <v>30</v>
      </c>
      <c r="EC65" s="72">
        <v>20</v>
      </c>
    </row>
    <row r="66" spans="2:133" ht="13.5" thickBot="1" x14ac:dyDescent="0.25">
      <c r="C66"/>
      <c r="D66" s="372" t="str">
        <f ca="1">INDIRECT("'Imp. Qualif.'!M"&amp;INDIRECT("B"&amp;ROW()-1))</f>
        <v/>
      </c>
      <c r="E66" s="74"/>
      <c r="F66" s="40"/>
      <c r="G66" s="93" t="str">
        <f>IF(E65="","",IF(E65=E62, IF(E66 &lt; E63, D66, D63),IF(E65&lt;E62,D66,D63)))</f>
        <v/>
      </c>
      <c r="H66" s="74"/>
      <c r="I66" s="40"/>
      <c r="J66" s="93" t="str">
        <f>IF(H65="","",IF(H62=H65, IF(H63&lt; H66, G63, G66),IF(H62&lt;H65,G63,G66)))</f>
        <v/>
      </c>
      <c r="K66" s="74"/>
      <c r="L66" s="40"/>
      <c r="M66" s="118" t="str">
        <f>IF(K62="","",IF(K62=K65, IF(K66 &lt; K63, J66, J63),IF(K65 &lt; K62,J66,J63)))</f>
        <v/>
      </c>
      <c r="N66" s="95"/>
      <c r="Q66" s="72"/>
      <c r="S66" t="e">
        <f ca="1">INDIRECT("'Imp. Qualif.'!"&amp;"M"&amp;Q65)</f>
        <v>#REF!</v>
      </c>
      <c r="Y66" t="str">
        <f>IF(W68="","",IF(W68=W71, IF(W69 &gt; W72, V69, V72),IF(W68&gt;W71,V69,V72)))</f>
        <v/>
      </c>
      <c r="AD66" s="372" t="str">
        <f ca="1">INDIRECT("'Imp. Qualif.'!M"&amp;INDIRECT("B"&amp;ROW()-1))</f>
        <v/>
      </c>
      <c r="AE66" s="74"/>
      <c r="AF66" s="40"/>
      <c r="AG66" s="96" t="str">
        <f>IF(AE68="","",IF(AE68=AE71, IF(AE69 &gt; AE72, AD69, AD72),IF(AE68&gt;AE71,AD69,AD72)))</f>
        <v/>
      </c>
      <c r="AH66" s="74"/>
      <c r="AI66" s="40"/>
      <c r="AJ66" s="96" t="str">
        <f>IF(AH68="","",IF(AH68=AH71, IF(AH69 &gt; AH72, AG69, AG72),IF(AH68&gt;AH71,AG69,AG72)))</f>
        <v/>
      </c>
      <c r="AK66" s="74"/>
      <c r="AL66" s="40"/>
      <c r="AM66" s="118" t="str">
        <f>IF(AK62="","",IF(AK62=AK65, IF(AK66 &lt; AK63, AJ66, AJ63),IF(AK65 &lt; AK62,AJ66,AJ63)))</f>
        <v/>
      </c>
      <c r="AN66" s="95"/>
      <c r="AP66" s="72"/>
      <c r="AQ66" s="372" t="str">
        <f ca="1">INDIRECT("'Imp. Qualif.'!M"&amp;INDIRECT("B"&amp;ROW()-1))</f>
        <v/>
      </c>
      <c r="AR66" s="74"/>
      <c r="AS66" s="40"/>
      <c r="AT66" s="93" t="str">
        <f>IF(AR65="","",IF(AR65=AR62, IF(AR66 &lt; AR63, AQ66, AQ63),IF(AR65&lt;AR62,AQ66,AQ63)))</f>
        <v/>
      </c>
      <c r="AU66" s="74"/>
      <c r="AV66" s="40"/>
      <c r="AW66" s="93" t="str">
        <f>IF(AU65="","",IF(AU62=AU65, IF(AU63&lt; AU66, AT63, AT66),IF(AU62&lt;AU65,AT63,AT66)))</f>
        <v/>
      </c>
      <c r="AX66" s="74"/>
      <c r="AY66" s="40"/>
      <c r="AZ66" s="118" t="str">
        <f>IF(AX62="","",IF(AX62=AX65, IF(AX66 &lt; AX63, AW66, AW63),IF(AX65 &lt; AX62,AW66,AW63)))</f>
        <v/>
      </c>
      <c r="BC66" s="72"/>
      <c r="BP66" s="72"/>
      <c r="CC66" s="72"/>
      <c r="CP66" s="72"/>
      <c r="DC66" s="72"/>
      <c r="DP66" s="72"/>
      <c r="EC66" s="72"/>
    </row>
    <row r="67" spans="2:133" x14ac:dyDescent="0.2">
      <c r="C67"/>
      <c r="D67" s="103"/>
      <c r="E67" s="109"/>
      <c r="F67" s="40"/>
      <c r="G67" s="103"/>
      <c r="H67" s="109"/>
      <c r="I67" s="40"/>
      <c r="J67" s="103"/>
      <c r="K67" s="109"/>
      <c r="L67" s="40"/>
      <c r="M67" s="111"/>
      <c r="Q67" s="72"/>
      <c r="AD67" s="358"/>
      <c r="AE67" s="109"/>
      <c r="AF67" s="40"/>
      <c r="AG67" s="103"/>
      <c r="AH67" s="109"/>
      <c r="AI67" s="40"/>
      <c r="AJ67" s="103"/>
      <c r="AK67" s="109"/>
      <c r="AL67" s="40"/>
      <c r="AM67" s="111"/>
      <c r="AP67" s="72"/>
      <c r="AQ67" s="103"/>
      <c r="AR67" s="109"/>
      <c r="AS67" s="40"/>
      <c r="AT67" s="103"/>
      <c r="AU67" s="109"/>
      <c r="AV67" s="40"/>
      <c r="AW67" s="103"/>
      <c r="AX67" s="109"/>
      <c r="AY67" s="40"/>
      <c r="AZ67" s="111"/>
      <c r="BC67" s="72"/>
      <c r="BP67" s="72"/>
      <c r="CC67" s="72"/>
      <c r="CP67" s="72"/>
      <c r="DC67" s="72"/>
      <c r="DP67" s="72"/>
      <c r="EC67" s="72"/>
    </row>
    <row r="68" spans="2:133" x14ac:dyDescent="0.2">
      <c r="C68"/>
      <c r="D68" s="103"/>
      <c r="E68" s="109"/>
      <c r="F68" s="40"/>
      <c r="G68" s="103"/>
      <c r="H68" s="109"/>
      <c r="I68" s="40"/>
      <c r="J68" s="103"/>
      <c r="K68" s="109"/>
      <c r="L68" s="40"/>
      <c r="M68" s="111"/>
      <c r="N68" s="95"/>
      <c r="Q68" s="72"/>
      <c r="S68" t="e">
        <f ca="1">INDIRECT("'Imp. Qualif.'!"&amp;"L"&amp;Q68)</f>
        <v>#REF!</v>
      </c>
      <c r="Y68" t="str">
        <f>IF(W62="","",IF(W62=W65, IF(W63 &lt; W66, V62, V65),IF(W62 &lt; W65,V62,V65)))</f>
        <v/>
      </c>
      <c r="AA68" s="47">
        <v>21</v>
      </c>
      <c r="AB68">
        <v>31</v>
      </c>
      <c r="AD68" s="369" t="e">
        <f ca="1">INDIRECT("'Imp. Qualif.'!L"&amp;INDIRECT("B"&amp;ROW()))</f>
        <v>#REF!</v>
      </c>
      <c r="AE68" s="122"/>
      <c r="AF68" s="40"/>
      <c r="AG68" s="92" t="str">
        <f>IF(AE62="","",IF(AE62=AE65, IF(AE63 &lt; AE66, AD62, AD65),IF(AE62 &lt; AE65,AD62,AD65)))</f>
        <v/>
      </c>
      <c r="AH68" s="122"/>
      <c r="AI68" s="40"/>
      <c r="AJ68" s="92" t="str">
        <f>IF(AH62="","",IF(AH62=AH65, IF(AH63 &lt; AH66, AG62, AG65),IF(AH62 &lt; AH65,AG62,AG65)))</f>
        <v/>
      </c>
      <c r="AK68" s="122"/>
      <c r="AL68" s="40"/>
      <c r="AM68" s="117" t="str">
        <f>IF(AK68="","",IF(AK68=AK71, IF(AK69 &gt; AK72, AJ68, AJ71),IF(AK68&gt;AK71,AJ68,AJ71)))</f>
        <v/>
      </c>
      <c r="AN68" s="95"/>
      <c r="AO68">
        <v>31</v>
      </c>
      <c r="AP68" s="72">
        <v>21</v>
      </c>
      <c r="AQ68" s="103"/>
      <c r="AR68" s="109"/>
      <c r="AS68" s="40"/>
      <c r="AT68" s="103"/>
      <c r="AU68" s="109"/>
      <c r="AV68" s="40"/>
      <c r="AW68" s="103"/>
      <c r="AX68" s="109"/>
      <c r="AY68" s="40"/>
      <c r="AZ68" s="111"/>
      <c r="BB68">
        <v>31</v>
      </c>
      <c r="BC68" s="72">
        <v>21</v>
      </c>
      <c r="BO68">
        <v>31</v>
      </c>
      <c r="BP68" s="72">
        <v>21</v>
      </c>
      <c r="CB68">
        <v>31</v>
      </c>
      <c r="CC68" s="72">
        <v>21</v>
      </c>
      <c r="CO68">
        <v>31</v>
      </c>
      <c r="CP68" s="72">
        <v>21</v>
      </c>
      <c r="DB68">
        <v>31</v>
      </c>
      <c r="DC68" s="72">
        <v>21</v>
      </c>
      <c r="DO68">
        <v>31</v>
      </c>
      <c r="DP68" s="72">
        <v>21</v>
      </c>
      <c r="EB68">
        <v>31</v>
      </c>
      <c r="EC68" s="72">
        <v>21</v>
      </c>
    </row>
    <row r="69" spans="2:133" ht="15.75" thickBot="1" x14ac:dyDescent="0.25">
      <c r="C69"/>
      <c r="D69" s="75" t="s">
        <v>386</v>
      </c>
      <c r="E69" s="120"/>
      <c r="F69" s="75" t="s">
        <v>387</v>
      </c>
      <c r="G69" s="75"/>
      <c r="H69" s="75"/>
      <c r="I69" s="75"/>
      <c r="K69" s="109"/>
      <c r="L69" s="40"/>
      <c r="M69" s="111"/>
      <c r="N69" s="95"/>
      <c r="Q69" s="72"/>
      <c r="S69" t="e">
        <f ca="1">INDIRECT("'Imp. Qualif.'!"&amp;"M"&amp;Q68)</f>
        <v>#REF!</v>
      </c>
      <c r="Y69" t="str">
        <f>IF(W62="","",IF(W62=W65, IF(W63 &lt; W66, V63, V66),IF(W62 &lt; W65,V63,V66)))</f>
        <v/>
      </c>
      <c r="AA69" s="47"/>
      <c r="AD69" s="372" t="e">
        <f ca="1">INDIRECT("'Imp. Qualif.'!M"&amp;INDIRECT("B"&amp;ROW()-1))</f>
        <v>#REF!</v>
      </c>
      <c r="AE69" s="74"/>
      <c r="AF69" s="40"/>
      <c r="AG69" s="93" t="str">
        <f>IF(AE62="","",IF(AE62=AE65, IF(AE63 &lt; AE66, AD63, AD66),IF(AE62 &lt; AE65,AD63,AD66)))</f>
        <v/>
      </c>
      <c r="AH69" s="74"/>
      <c r="AI69" s="40"/>
      <c r="AJ69" s="93" t="str">
        <f>IF(AH62="","",IF(AH62=AH65, IF(AH63 &lt; AH66, AG63, AG66),IF(AH62 &lt; AH65,AG63,AG66)))</f>
        <v/>
      </c>
      <c r="AK69" s="74"/>
      <c r="AL69" s="40"/>
      <c r="AM69" s="118" t="str">
        <f>IF(AK68="","",IF(AK68=AK71, IF(AK69 &gt; AK72, AJ69, AJ72),IF(AK68&gt;AK71,AJ69,AJ72)))</f>
        <v/>
      </c>
      <c r="AN69" s="95"/>
      <c r="AP69" s="72"/>
      <c r="AQ69" s="75" t="s">
        <v>386</v>
      </c>
      <c r="AR69" s="120"/>
      <c r="AS69" s="75" t="s">
        <v>387</v>
      </c>
      <c r="AT69" s="75"/>
      <c r="AU69" s="75"/>
      <c r="AV69" s="75"/>
      <c r="AX69" s="109"/>
      <c r="AY69" s="40"/>
      <c r="AZ69" s="111"/>
      <c r="BC69" s="72"/>
      <c r="BP69" s="72"/>
      <c r="CC69" s="72"/>
      <c r="CP69" s="72"/>
      <c r="DC69" s="72"/>
      <c r="DP69" s="72"/>
      <c r="EC69" s="72"/>
    </row>
    <row r="70" spans="2:133" ht="13.5" thickBot="1" x14ac:dyDescent="0.25">
      <c r="C70"/>
      <c r="D70" s="75" t="s">
        <v>386</v>
      </c>
      <c r="E70" s="76"/>
      <c r="F70" s="75" t="s">
        <v>493</v>
      </c>
      <c r="G70" s="75"/>
      <c r="H70" s="75"/>
      <c r="I70" s="75"/>
      <c r="Q70" s="72"/>
      <c r="AA70" s="47"/>
      <c r="AD70" s="103"/>
      <c r="AE70" s="109"/>
      <c r="AF70" s="40"/>
      <c r="AG70" s="103"/>
      <c r="AH70" s="109"/>
      <c r="AI70" s="40"/>
      <c r="AJ70" s="103"/>
      <c r="AK70" s="109"/>
      <c r="AL70" s="40"/>
      <c r="AM70" s="111"/>
      <c r="AP70" s="72"/>
      <c r="AQ70" s="75" t="s">
        <v>386</v>
      </c>
      <c r="AR70" s="76"/>
      <c r="AS70" s="75" t="s">
        <v>493</v>
      </c>
      <c r="AT70" s="75"/>
      <c r="AU70" s="75"/>
      <c r="AV70" s="75"/>
      <c r="BC70" s="72"/>
      <c r="BP70" s="72"/>
      <c r="CC70" s="72"/>
      <c r="CP70" s="72"/>
      <c r="DC70" s="72"/>
      <c r="DP70" s="72"/>
      <c r="EC70" s="72"/>
    </row>
    <row r="71" spans="2:133" x14ac:dyDescent="0.2">
      <c r="C71"/>
      <c r="N71" s="95"/>
      <c r="Q71" s="72"/>
      <c r="S71" t="e">
        <f ca="1">INDIRECT("'Imp. Qualif.'!"&amp;"L"&amp;Q71)</f>
        <v>#REF!</v>
      </c>
      <c r="Y71" t="str">
        <f>IF(W71="","",IF(W68=W71, IF(W69&lt; W72, V68, V71),IF(W68&lt;W71,V68,V71)))</f>
        <v/>
      </c>
      <c r="AA71" s="47">
        <v>22</v>
      </c>
      <c r="AB71">
        <v>32</v>
      </c>
      <c r="AD71" s="369" t="e">
        <f ca="1">INDIRECT("'Imp. Qualif.'!L"&amp;INDIRECT("B"&amp;ROW()))</f>
        <v>#REF!</v>
      </c>
      <c r="AE71" s="122"/>
      <c r="AF71" s="40"/>
      <c r="AG71" s="92" t="str">
        <f>IF(AE71="","",IF(AE68=AE71, IF(AE69 &lt; AE72, AD68, AD71),IF(AE68&lt;AE71,AD68,AD71)))</f>
        <v/>
      </c>
      <c r="AH71" s="122"/>
      <c r="AI71" s="40"/>
      <c r="AJ71" s="92" t="str">
        <f>IF(AH71="","",IF(AH68=AH71, IF(AH69&lt; AH72, AG68, AG71),IF(AH68&lt;AH71,AG68,AG71)))</f>
        <v/>
      </c>
      <c r="AK71" s="122"/>
      <c r="AL71" s="40"/>
      <c r="AM71" s="117" t="str">
        <f>IF(AK68="","",IF(AK68=AK71, IF(AK72 &lt; AK69, AJ71, AJ68),IF(AK71 &lt; AK68,AJ71,AJ68)))</f>
        <v/>
      </c>
      <c r="AN71" s="95"/>
      <c r="AO71">
        <v>32</v>
      </c>
      <c r="AP71" s="72">
        <v>22</v>
      </c>
      <c r="BB71">
        <v>32</v>
      </c>
      <c r="BC71" s="72">
        <v>22</v>
      </c>
      <c r="BO71">
        <v>32</v>
      </c>
      <c r="BP71" s="72">
        <v>22</v>
      </c>
      <c r="CB71">
        <v>32</v>
      </c>
      <c r="CC71" s="72">
        <v>22</v>
      </c>
      <c r="CO71">
        <v>32</v>
      </c>
      <c r="CP71" s="72">
        <v>22</v>
      </c>
      <c r="DB71">
        <v>32</v>
      </c>
      <c r="DC71" s="72">
        <v>22</v>
      </c>
      <c r="DO71">
        <v>32</v>
      </c>
      <c r="DP71" s="72">
        <v>22</v>
      </c>
      <c r="EB71">
        <v>32</v>
      </c>
      <c r="EC71" s="72">
        <v>22</v>
      </c>
    </row>
    <row r="72" spans="2:133" ht="13.5" thickBot="1" x14ac:dyDescent="0.25">
      <c r="C72"/>
      <c r="N72" s="95"/>
      <c r="Q72" s="72"/>
      <c r="S72" t="e">
        <f ca="1">INDIRECT("'Imp. Qualif.'!"&amp;"M"&amp;Q71)</f>
        <v>#REF!</v>
      </c>
      <c r="Y72" t="str">
        <f>IF(W71="","",IF(W68=W71, IF(W69&lt; W72, V69, V72),IF(W68&lt;W71,V69,V72)))</f>
        <v/>
      </c>
      <c r="AD72" s="372" t="e">
        <f ca="1">INDIRECT("'Imp. Qualif.'!M"&amp;INDIRECT("B"&amp;ROW()-1))</f>
        <v>#REF!</v>
      </c>
      <c r="AE72" s="74"/>
      <c r="AF72" s="40"/>
      <c r="AG72" s="93" t="str">
        <f>IF(AE71="","",IF(AE71=AE68, IF(AE72 &lt; AE69, AD72, AD69),IF(AE71&lt;AE68,AD72,AD69)))</f>
        <v/>
      </c>
      <c r="AH72" s="74"/>
      <c r="AI72" s="40"/>
      <c r="AJ72" s="93" t="str">
        <f>IF(AH71="","",IF(AH68=AH71, IF(AH69&lt; AH72, AG69, AG72),IF(AH68&lt;AH71,AG69,AG72)))</f>
        <v/>
      </c>
      <c r="AK72" s="74"/>
      <c r="AL72" s="40"/>
      <c r="AM72" s="118" t="str">
        <f>IF(AK68="","",IF(AK68=AK71, IF(AK72 &lt; AK69, AJ72, AJ69),IF(AK71 &lt; AK68,AJ72,AJ69)))</f>
        <v/>
      </c>
      <c r="AN72" s="95"/>
      <c r="AP72" s="72"/>
      <c r="BC72" s="72"/>
      <c r="BP72" s="72"/>
      <c r="CC72" s="72"/>
      <c r="CP72" s="72"/>
      <c r="DC72" s="72"/>
      <c r="DP72" s="72"/>
      <c r="EC72" s="72"/>
    </row>
    <row r="73" spans="2:133" x14ac:dyDescent="0.2">
      <c r="AD73" s="103"/>
      <c r="AE73" s="109"/>
      <c r="AF73" s="40"/>
      <c r="AG73" s="103"/>
      <c r="AH73" s="109"/>
      <c r="AI73" s="40"/>
      <c r="AJ73" s="103"/>
      <c r="AK73" s="109"/>
      <c r="AL73" s="40"/>
      <c r="AM73" s="111"/>
    </row>
    <row r="74" spans="2:133" x14ac:dyDescent="0.2">
      <c r="B74">
        <v>33</v>
      </c>
      <c r="C74" s="72">
        <v>23</v>
      </c>
      <c r="N74" s="73">
        <v>23</v>
      </c>
      <c r="AD74" s="103"/>
      <c r="AE74" s="109"/>
      <c r="AF74" s="40"/>
      <c r="AG74" s="103"/>
      <c r="AH74" s="109"/>
      <c r="AI74" s="40"/>
      <c r="AJ74" s="103"/>
      <c r="AK74" s="109"/>
      <c r="AL74" s="40"/>
      <c r="AM74" s="111"/>
    </row>
    <row r="75" spans="2:133" ht="13.5" thickBot="1" x14ac:dyDescent="0.25">
      <c r="AD75" s="103"/>
      <c r="AE75" s="121"/>
      <c r="AF75" s="40"/>
      <c r="AG75" s="103"/>
      <c r="AH75" s="109"/>
      <c r="AI75" s="40"/>
      <c r="AJ75" s="103"/>
      <c r="AK75" s="109"/>
      <c r="AL75" s="40"/>
      <c r="AM75" s="111"/>
    </row>
    <row r="76" spans="2:133" ht="15" x14ac:dyDescent="0.2">
      <c r="AD76" s="75" t="s">
        <v>386</v>
      </c>
      <c r="AE76" s="120"/>
      <c r="AF76" s="75" t="s">
        <v>387</v>
      </c>
      <c r="AG76" s="75"/>
      <c r="AH76" s="75"/>
      <c r="AI76" s="75"/>
    </row>
    <row r="77" spans="2:133" ht="13.5" thickBot="1" x14ac:dyDescent="0.25">
      <c r="B77">
        <v>34</v>
      </c>
      <c r="C77" s="72">
        <v>24</v>
      </c>
      <c r="N77" s="73">
        <v>24</v>
      </c>
      <c r="AD77" s="75" t="s">
        <v>386</v>
      </c>
      <c r="AE77" s="76"/>
      <c r="AF77" s="75" t="s">
        <v>493</v>
      </c>
      <c r="AG77" s="75"/>
      <c r="AH77" s="75"/>
      <c r="AI77" s="75"/>
    </row>
    <row r="78" spans="2:133" x14ac:dyDescent="0.2">
      <c r="AD78" s="75"/>
      <c r="AE78" s="75"/>
      <c r="AF78" s="75"/>
      <c r="AG78" s="75"/>
      <c r="AH78" s="75"/>
      <c r="AI78" s="75"/>
    </row>
  </sheetData>
  <mergeCells count="46">
    <mergeCell ref="EE1:EL1"/>
    <mergeCell ref="EG2:EJ2"/>
    <mergeCell ref="ED3:EG3"/>
    <mergeCell ref="EI3:EL3"/>
    <mergeCell ref="BE1:BL1"/>
    <mergeCell ref="BG2:BJ2"/>
    <mergeCell ref="BD3:BG3"/>
    <mergeCell ref="BI3:BL3"/>
    <mergeCell ref="BR1:BY1"/>
    <mergeCell ref="BT2:BW2"/>
    <mergeCell ref="BQ3:BT3"/>
    <mergeCell ref="BV3:BY3"/>
    <mergeCell ref="CE1:CL1"/>
    <mergeCell ref="CG2:CJ2"/>
    <mergeCell ref="CD3:CG3"/>
    <mergeCell ref="CI3:CL3"/>
    <mergeCell ref="DR1:DY1"/>
    <mergeCell ref="DT2:DW2"/>
    <mergeCell ref="DQ3:DT3"/>
    <mergeCell ref="DV3:DY3"/>
    <mergeCell ref="AR1:AY1"/>
    <mergeCell ref="AT2:AW2"/>
    <mergeCell ref="AQ3:AT3"/>
    <mergeCell ref="AV3:AY3"/>
    <mergeCell ref="CR1:CY1"/>
    <mergeCell ref="CT2:CW2"/>
    <mergeCell ref="CQ3:CT3"/>
    <mergeCell ref="CV3:CY3"/>
    <mergeCell ref="DE1:DL1"/>
    <mergeCell ref="DG2:DJ2"/>
    <mergeCell ref="DD3:DG3"/>
    <mergeCell ref="DI3:DL3"/>
    <mergeCell ref="AN14:AN15"/>
    <mergeCell ref="AN8:AN9"/>
    <mergeCell ref="E1:L1"/>
    <mergeCell ref="N8:N9"/>
    <mergeCell ref="N11:N12"/>
    <mergeCell ref="N14:N15"/>
    <mergeCell ref="D3:G3"/>
    <mergeCell ref="I3:L3"/>
    <mergeCell ref="G2:J2"/>
    <mergeCell ref="AE1:AL1"/>
    <mergeCell ref="AG2:AJ2"/>
    <mergeCell ref="AD3:AG3"/>
    <mergeCell ref="AI3:AL3"/>
    <mergeCell ref="AN11:AN12"/>
  </mergeCells>
  <phoneticPr fontId="0" type="noConversion"/>
  <pageMargins left="0.25" right="0.25" top="0.75" bottom="0.75" header="0.3" footer="0.3"/>
  <pageSetup paperSize="9" scale="64"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21">
    <tabColor indexed="52"/>
    <pageSetUpPr fitToPage="1"/>
  </sheetPr>
  <dimension ref="B1:EL75"/>
  <sheetViews>
    <sheetView showZeros="0" zoomScale="110" zoomScaleNormal="110" workbookViewId="0">
      <pane ySplit="6" topLeftCell="A7" activePane="bottomLeft" state="frozenSplit"/>
      <selection activeCell="L21" sqref="L21"/>
      <selection pane="bottomLeft" activeCell="D11" sqref="D11"/>
    </sheetView>
  </sheetViews>
  <sheetFormatPr baseColWidth="10" defaultRowHeight="12.75" x14ac:dyDescent="0.2"/>
  <cols>
    <col min="1" max="1" width="1.42578125" style="351" customWidth="1"/>
    <col min="2" max="2" width="4.28515625" style="351" hidden="1" customWidth="1"/>
    <col min="3" max="3" width="7" style="352" bestFit="1" customWidth="1"/>
    <col min="4" max="4" width="19.85546875" style="351" customWidth="1"/>
    <col min="5" max="5" width="5.42578125" style="351" customWidth="1"/>
    <col min="6" max="6" width="6.7109375" style="351" customWidth="1"/>
    <col min="7" max="7" width="19.85546875" style="351" customWidth="1"/>
    <col min="8" max="8" width="5.85546875" style="351" customWidth="1"/>
    <col min="9" max="9" width="6.140625" style="351" customWidth="1"/>
    <col min="10" max="10" width="29.42578125" style="351" bestFit="1" customWidth="1"/>
    <col min="11" max="11" width="5.42578125" style="351" customWidth="1"/>
    <col min="12" max="12" width="6.140625" style="351" customWidth="1"/>
    <col min="13" max="13" width="29.42578125" style="353" bestFit="1" customWidth="1"/>
    <col min="14" max="14" width="3.5703125" style="354" bestFit="1" customWidth="1"/>
    <col min="15" max="15" width="11.42578125" style="351"/>
    <col min="16" max="16" width="4.28515625" style="351" bestFit="1" customWidth="1"/>
    <col min="17" max="17" width="6.28515625" style="351" bestFit="1" customWidth="1"/>
    <col min="18" max="18" width="11.42578125" style="351"/>
    <col min="19" max="19" width="17.7109375" style="351" customWidth="1"/>
    <col min="20" max="26" width="11.42578125" style="351"/>
    <col min="27" max="27" width="3" style="351" bestFit="1" customWidth="1"/>
    <col min="28" max="28" width="6.28515625" style="351" bestFit="1" customWidth="1"/>
    <col min="29" max="29" width="19.85546875" style="351" customWidth="1"/>
    <col min="30" max="30" width="5.42578125" style="351" customWidth="1"/>
    <col min="31" max="31" width="6.7109375" style="351" customWidth="1"/>
    <col min="32" max="32" width="19.85546875" style="351" customWidth="1"/>
    <col min="33" max="33" width="5.85546875" style="351" customWidth="1"/>
    <col min="34" max="34" width="6.140625" style="351" customWidth="1"/>
    <col min="35" max="35" width="19.85546875" style="351" customWidth="1"/>
    <col min="36" max="36" width="5.42578125" style="351" customWidth="1"/>
    <col min="37" max="37" width="6.140625" style="351" customWidth="1"/>
    <col min="38" max="38" width="23" style="353" bestFit="1" customWidth="1"/>
    <col min="39" max="39" width="6.28515625" style="351" customWidth="1"/>
    <col min="40" max="40" width="3" style="351" bestFit="1" customWidth="1"/>
    <col min="41" max="41" width="6.28515625" style="351" bestFit="1" customWidth="1"/>
    <col min="42" max="42" width="19.85546875" style="351" customWidth="1"/>
    <col min="43" max="43" width="5.42578125" style="351" customWidth="1"/>
    <col min="44" max="44" width="6.7109375" style="351" customWidth="1"/>
    <col min="45" max="45" width="19.85546875" style="351" customWidth="1"/>
    <col min="46" max="46" width="5.85546875" style="351" customWidth="1"/>
    <col min="47" max="47" width="6.140625" style="351" customWidth="1"/>
    <col min="48" max="48" width="19.85546875" style="351" customWidth="1"/>
    <col min="49" max="49" width="5.42578125" style="351" customWidth="1"/>
    <col min="50" max="50" width="6.140625" style="351" customWidth="1"/>
    <col min="51" max="51" width="23" style="353" bestFit="1" customWidth="1"/>
    <col min="52" max="52" width="4.7109375" style="351" customWidth="1"/>
    <col min="53" max="53" width="3" style="351" bestFit="1" customWidth="1"/>
    <col min="54" max="54" width="6.28515625" style="351" bestFit="1" customWidth="1"/>
    <col min="55" max="55" width="19.85546875" style="351" customWidth="1"/>
    <col min="56" max="56" width="5.42578125" style="351" customWidth="1"/>
    <col min="57" max="57" width="6.7109375" style="351" customWidth="1"/>
    <col min="58" max="58" width="19.85546875" style="351" customWidth="1"/>
    <col min="59" max="59" width="5.85546875" style="351" customWidth="1"/>
    <col min="60" max="60" width="6.140625" style="351" customWidth="1"/>
    <col min="61" max="61" width="19.85546875" style="351" customWidth="1"/>
    <col min="62" max="62" width="5.42578125" style="351" customWidth="1"/>
    <col min="63" max="63" width="6.140625" style="351" customWidth="1"/>
    <col min="64" max="64" width="23" style="353" bestFit="1" customWidth="1"/>
    <col min="65" max="65" width="11.42578125" style="351"/>
    <col min="66" max="66" width="3" style="351" bestFit="1" customWidth="1"/>
    <col min="67" max="67" width="6.28515625" style="351" bestFit="1" customWidth="1"/>
    <col min="68" max="68" width="19.85546875" style="351" customWidth="1"/>
    <col min="69" max="69" width="5.42578125" style="351" customWidth="1"/>
    <col min="70" max="70" width="6.7109375" style="351" customWidth="1"/>
    <col min="71" max="71" width="19.85546875" style="351" customWidth="1"/>
    <col min="72" max="72" width="5.85546875" style="351" customWidth="1"/>
    <col min="73" max="73" width="6.140625" style="351" customWidth="1"/>
    <col min="74" max="74" width="19.85546875" style="351" customWidth="1"/>
    <col min="75" max="75" width="5.42578125" style="351" customWidth="1"/>
    <col min="76" max="76" width="6.140625" style="351" customWidth="1"/>
    <col min="77" max="77" width="23" style="353" bestFit="1" customWidth="1"/>
    <col min="78" max="78" width="11.42578125" style="351"/>
    <col min="79" max="79" width="3" style="351" bestFit="1" customWidth="1"/>
    <col min="80" max="80" width="6.28515625" style="351" bestFit="1" customWidth="1"/>
    <col min="81" max="81" width="19.85546875" style="351" customWidth="1"/>
    <col min="82" max="82" width="5.42578125" style="351" customWidth="1"/>
    <col min="83" max="83" width="6.7109375" style="351" customWidth="1"/>
    <col min="84" max="84" width="19.85546875" style="351" customWidth="1"/>
    <col min="85" max="85" width="5.85546875" style="351" customWidth="1"/>
    <col min="86" max="86" width="6.140625" style="351" customWidth="1"/>
    <col min="87" max="87" width="19.85546875" style="351" customWidth="1"/>
    <col min="88" max="88" width="5.42578125" style="351" customWidth="1"/>
    <col min="89" max="89" width="6.140625" style="351" customWidth="1"/>
    <col min="90" max="90" width="23" style="353" bestFit="1" customWidth="1"/>
    <col min="91" max="91" width="11.42578125" style="351"/>
    <col min="92" max="92" width="3" style="351" bestFit="1" customWidth="1"/>
    <col min="93" max="93" width="6.28515625" style="351" bestFit="1" customWidth="1"/>
    <col min="94" max="94" width="19.85546875" style="351" customWidth="1"/>
    <col min="95" max="95" width="5.42578125" style="351" customWidth="1"/>
    <col min="96" max="96" width="6.7109375" style="351" customWidth="1"/>
    <col min="97" max="97" width="19.85546875" style="351" customWidth="1"/>
    <col min="98" max="98" width="5.85546875" style="351" customWidth="1"/>
    <col min="99" max="99" width="6.140625" style="351" customWidth="1"/>
    <col min="100" max="100" width="19.85546875" style="351" customWidth="1"/>
    <col min="101" max="101" width="5.42578125" style="351" customWidth="1"/>
    <col min="102" max="102" width="6.140625" style="351" customWidth="1"/>
    <col min="103" max="103" width="23" style="353" bestFit="1" customWidth="1"/>
    <col min="104" max="104" width="11.42578125" style="351"/>
    <col min="105" max="105" width="3" style="351" bestFit="1" customWidth="1"/>
    <col min="106" max="106" width="6.28515625" style="351" bestFit="1" customWidth="1"/>
    <col min="107" max="107" width="19.85546875" style="351" customWidth="1"/>
    <col min="108" max="108" width="5.42578125" style="351" customWidth="1"/>
    <col min="109" max="109" width="6.7109375" style="351" customWidth="1"/>
    <col min="110" max="110" width="19.85546875" style="351" customWidth="1"/>
    <col min="111" max="111" width="5.85546875" style="351" customWidth="1"/>
    <col min="112" max="112" width="6.140625" style="351" customWidth="1"/>
    <col min="113" max="113" width="19.85546875" style="351" customWidth="1"/>
    <col min="114" max="114" width="5.42578125" style="351" customWidth="1"/>
    <col min="115" max="115" width="6.140625" style="351" customWidth="1"/>
    <col min="116" max="116" width="23" style="353" bestFit="1" customWidth="1"/>
    <col min="117" max="117" width="6.28515625" style="351" customWidth="1"/>
    <col min="118" max="118" width="3" style="351" bestFit="1" customWidth="1"/>
    <col min="119" max="119" width="6.28515625" style="351" bestFit="1" customWidth="1"/>
    <col min="120" max="120" width="19.85546875" style="351" customWidth="1"/>
    <col min="121" max="121" width="5.42578125" style="351" customWidth="1"/>
    <col min="122" max="122" width="6.7109375" style="351" customWidth="1"/>
    <col min="123" max="123" width="19.85546875" style="351" customWidth="1"/>
    <col min="124" max="124" width="5.85546875" style="351" customWidth="1"/>
    <col min="125" max="125" width="6.140625" style="351" customWidth="1"/>
    <col min="126" max="126" width="19.85546875" style="351" customWidth="1"/>
    <col min="127" max="127" width="5.42578125" style="351" customWidth="1"/>
    <col min="128" max="128" width="6.140625" style="351" customWidth="1"/>
    <col min="129" max="129" width="23" style="353" bestFit="1" customWidth="1"/>
    <col min="130" max="130" width="11.42578125" style="351"/>
    <col min="131" max="131" width="3" style="351" bestFit="1" customWidth="1"/>
    <col min="132" max="132" width="6.28515625" style="351" bestFit="1" customWidth="1"/>
    <col min="133" max="133" width="19.85546875" style="351" customWidth="1"/>
    <col min="134" max="134" width="5.42578125" style="351" customWidth="1"/>
    <col min="135" max="135" width="6.7109375" style="351" customWidth="1"/>
    <col min="136" max="136" width="19.85546875" style="351" customWidth="1"/>
    <col min="137" max="137" width="5.85546875" style="351" customWidth="1"/>
    <col min="138" max="138" width="6.140625" style="351" customWidth="1"/>
    <col min="139" max="139" width="19.85546875" style="351" customWidth="1"/>
    <col min="140" max="140" width="5.42578125" style="351" customWidth="1"/>
    <col min="141" max="141" width="6.140625" style="351" customWidth="1"/>
    <col min="142" max="142" width="23" style="353" bestFit="1" customWidth="1"/>
    <col min="143" max="16384" width="11.42578125" style="351"/>
  </cols>
  <sheetData>
    <row r="1" spans="2:142" ht="30" customHeight="1" x14ac:dyDescent="0.2">
      <c r="E1" s="1052" t="s">
        <v>492</v>
      </c>
      <c r="F1" s="1052"/>
      <c r="G1" s="1052"/>
      <c r="H1" s="1052"/>
      <c r="I1" s="1052"/>
      <c r="J1" s="1052"/>
      <c r="K1" s="1052"/>
      <c r="L1" s="1052"/>
      <c r="AD1" s="1052" t="s">
        <v>621</v>
      </c>
      <c r="AE1" s="1052"/>
      <c r="AF1" s="1052"/>
      <c r="AG1" s="1052"/>
      <c r="AH1" s="1052"/>
      <c r="AI1" s="1052"/>
      <c r="AJ1" s="1052"/>
      <c r="AK1" s="1052"/>
      <c r="AQ1" s="1052" t="s">
        <v>621</v>
      </c>
      <c r="AR1" s="1052"/>
      <c r="AS1" s="1052"/>
      <c r="AT1" s="1052"/>
      <c r="AU1" s="1052"/>
      <c r="AV1" s="1052"/>
      <c r="AW1" s="1052"/>
      <c r="AX1" s="1052"/>
      <c r="BD1" s="1052" t="s">
        <v>621</v>
      </c>
      <c r="BE1" s="1052"/>
      <c r="BF1" s="1052"/>
      <c r="BG1" s="1052"/>
      <c r="BH1" s="1052"/>
      <c r="BI1" s="1052"/>
      <c r="BJ1" s="1052"/>
      <c r="BK1" s="1052"/>
      <c r="BQ1" s="1052" t="s">
        <v>621</v>
      </c>
      <c r="BR1" s="1052"/>
      <c r="BS1" s="1052"/>
      <c r="BT1" s="1052"/>
      <c r="BU1" s="1052"/>
      <c r="BV1" s="1052"/>
      <c r="BW1" s="1052"/>
      <c r="BX1" s="1052"/>
      <c r="CD1" s="1052" t="s">
        <v>621</v>
      </c>
      <c r="CE1" s="1052"/>
      <c r="CF1" s="1052"/>
      <c r="CG1" s="1052"/>
      <c r="CH1" s="1052"/>
      <c r="CI1" s="1052"/>
      <c r="CJ1" s="1052"/>
      <c r="CK1" s="1052"/>
      <c r="CQ1" s="1052" t="s">
        <v>621</v>
      </c>
      <c r="CR1" s="1052"/>
      <c r="CS1" s="1052"/>
      <c r="CT1" s="1052"/>
      <c r="CU1" s="1052"/>
      <c r="CV1" s="1052"/>
      <c r="CW1" s="1052"/>
      <c r="CX1" s="1052"/>
      <c r="DD1" s="1052" t="s">
        <v>621</v>
      </c>
      <c r="DE1" s="1052"/>
      <c r="DF1" s="1052"/>
      <c r="DG1" s="1052"/>
      <c r="DH1" s="1052"/>
      <c r="DI1" s="1052"/>
      <c r="DJ1" s="1052"/>
      <c r="DK1" s="1052"/>
      <c r="DQ1" s="1052" t="s">
        <v>621</v>
      </c>
      <c r="DR1" s="1052"/>
      <c r="DS1" s="1052"/>
      <c r="DT1" s="1052"/>
      <c r="DU1" s="1052"/>
      <c r="DV1" s="1052"/>
      <c r="DW1" s="1052"/>
      <c r="DX1" s="1052"/>
      <c r="ED1" s="1052" t="s">
        <v>621</v>
      </c>
      <c r="EE1" s="1052"/>
      <c r="EF1" s="1052"/>
      <c r="EG1" s="1052"/>
      <c r="EH1" s="1052"/>
      <c r="EI1" s="1052"/>
      <c r="EJ1" s="1052"/>
      <c r="EK1" s="1052"/>
    </row>
    <row r="2" spans="2:142" s="355" customFormat="1" ht="35.25" customHeight="1" x14ac:dyDescent="0.6">
      <c r="C2" s="356"/>
      <c r="D2" s="357"/>
      <c r="E2" s="357"/>
      <c r="F2" s="357"/>
      <c r="G2" s="1051" t="str">
        <f>CATEG_IMPORTEE</f>
        <v>Collèges Mixtes Etablissement</v>
      </c>
      <c r="H2" s="1051"/>
      <c r="I2" s="1051"/>
      <c r="J2" s="1051"/>
      <c r="K2" s="357"/>
      <c r="L2" s="357"/>
      <c r="M2" s="358"/>
      <c r="N2" s="359"/>
      <c r="AC2" s="357"/>
      <c r="AD2" s="357"/>
      <c r="AE2" s="357"/>
      <c r="AF2" s="1051">
        <v>21</v>
      </c>
      <c r="AG2" s="1051"/>
      <c r="AH2" s="1051"/>
      <c r="AI2" s="1051"/>
      <c r="AJ2" s="357"/>
      <c r="AK2" s="357"/>
      <c r="AL2" s="358"/>
      <c r="AP2" s="357"/>
      <c r="AQ2" s="357"/>
      <c r="AR2" s="357"/>
      <c r="AS2" s="1051">
        <v>19</v>
      </c>
      <c r="AT2" s="1051"/>
      <c r="AU2" s="1051"/>
      <c r="AV2" s="1051"/>
      <c r="AW2" s="357"/>
      <c r="AX2" s="357"/>
      <c r="AY2" s="358"/>
      <c r="BC2" s="357"/>
      <c r="BD2" s="357"/>
      <c r="BE2" s="357"/>
      <c r="BF2" s="1051">
        <v>17</v>
      </c>
      <c r="BG2" s="1051"/>
      <c r="BH2" s="1051"/>
      <c r="BI2" s="1051"/>
      <c r="BJ2" s="357"/>
      <c r="BK2" s="357"/>
      <c r="BL2" s="358"/>
      <c r="BP2" s="357"/>
      <c r="BQ2" s="357"/>
      <c r="BR2" s="357"/>
      <c r="BS2" s="1051">
        <v>15</v>
      </c>
      <c r="BT2" s="1051"/>
      <c r="BU2" s="1051"/>
      <c r="BV2" s="1051"/>
      <c r="BW2" s="357"/>
      <c r="BX2" s="357"/>
      <c r="BY2" s="358"/>
      <c r="CC2" s="357"/>
      <c r="CD2" s="357"/>
      <c r="CE2" s="357"/>
      <c r="CF2" s="1051">
        <v>13</v>
      </c>
      <c r="CG2" s="1051"/>
      <c r="CH2" s="1051"/>
      <c r="CI2" s="1051"/>
      <c r="CJ2" s="357"/>
      <c r="CK2" s="357"/>
      <c r="CL2" s="358"/>
      <c r="CP2" s="357"/>
      <c r="CQ2" s="357"/>
      <c r="CR2" s="357"/>
      <c r="CS2" s="1051">
        <v>11</v>
      </c>
      <c r="CT2" s="1051"/>
      <c r="CU2" s="1051"/>
      <c r="CV2" s="1051"/>
      <c r="CW2" s="357"/>
      <c r="CX2" s="357"/>
      <c r="CY2" s="358"/>
      <c r="DC2" s="357"/>
      <c r="DD2" s="357"/>
      <c r="DE2" s="357"/>
      <c r="DF2" s="1051">
        <v>9</v>
      </c>
      <c r="DG2" s="1051"/>
      <c r="DH2" s="1051"/>
      <c r="DI2" s="1051"/>
      <c r="DJ2" s="357"/>
      <c r="DK2" s="357"/>
      <c r="DL2" s="358"/>
      <c r="DP2" s="357"/>
      <c r="DQ2" s="357"/>
      <c r="DR2" s="357"/>
      <c r="DS2" s="1051">
        <v>7</v>
      </c>
      <c r="DT2" s="1051"/>
      <c r="DU2" s="1051"/>
      <c r="DV2" s="1051"/>
      <c r="DW2" s="357"/>
      <c r="DX2" s="357"/>
      <c r="DY2" s="358"/>
      <c r="EC2" s="357"/>
      <c r="ED2" s="357"/>
      <c r="EE2" s="357"/>
      <c r="EF2" s="1051">
        <v>5</v>
      </c>
      <c r="EG2" s="1051"/>
      <c r="EH2" s="1051"/>
      <c r="EI2" s="1051"/>
      <c r="EJ2" s="357"/>
      <c r="EK2" s="357"/>
      <c r="EL2" s="358"/>
    </row>
    <row r="3" spans="2:142" s="355" customFormat="1" ht="34.5" customHeight="1" x14ac:dyDescent="0.25">
      <c r="C3" s="356"/>
      <c r="D3" s="1049" t="str">
        <f>LIEU</f>
        <v>L’Isle sur la Sorgue</v>
      </c>
      <c r="E3" s="1049"/>
      <c r="F3" s="1049"/>
      <c r="G3" s="1049"/>
      <c r="H3" s="360" t="s">
        <v>491</v>
      </c>
      <c r="I3" s="1050" t="str">
        <f>DATE</f>
        <v>27 au 31 mars 2023</v>
      </c>
      <c r="J3" s="1050"/>
      <c r="K3" s="1050"/>
      <c r="L3" s="1050"/>
      <c r="M3" s="358"/>
      <c r="N3" s="359"/>
      <c r="AC3" s="1049" t="str">
        <f>LIEU</f>
        <v>L’Isle sur la Sorgue</v>
      </c>
      <c r="AD3" s="1049"/>
      <c r="AE3" s="1049"/>
      <c r="AF3" s="1049"/>
      <c r="AG3" s="360" t="s">
        <v>491</v>
      </c>
      <c r="AH3" s="1050" t="str">
        <f>DATE</f>
        <v>27 au 31 mars 2023</v>
      </c>
      <c r="AI3" s="1050"/>
      <c r="AJ3" s="1050"/>
      <c r="AK3" s="1050"/>
      <c r="AL3" s="358"/>
      <c r="AP3" s="1049" t="str">
        <f>LIEU</f>
        <v>L’Isle sur la Sorgue</v>
      </c>
      <c r="AQ3" s="1049"/>
      <c r="AR3" s="1049"/>
      <c r="AS3" s="1049"/>
      <c r="AT3" s="360" t="s">
        <v>491</v>
      </c>
      <c r="AU3" s="1050" t="str">
        <f>DATE</f>
        <v>27 au 31 mars 2023</v>
      </c>
      <c r="AV3" s="1050"/>
      <c r="AW3" s="1050"/>
      <c r="AX3" s="1050"/>
      <c r="AY3" s="358"/>
      <c r="BC3" s="1049" t="str">
        <f>LIEU</f>
        <v>L’Isle sur la Sorgue</v>
      </c>
      <c r="BD3" s="1049"/>
      <c r="BE3" s="1049"/>
      <c r="BF3" s="1049"/>
      <c r="BG3" s="360" t="s">
        <v>491</v>
      </c>
      <c r="BH3" s="1050" t="str">
        <f>DATE</f>
        <v>27 au 31 mars 2023</v>
      </c>
      <c r="BI3" s="1050"/>
      <c r="BJ3" s="1050"/>
      <c r="BK3" s="1050"/>
      <c r="BL3" s="358"/>
      <c r="BP3" s="1049" t="str">
        <f>LIEU</f>
        <v>L’Isle sur la Sorgue</v>
      </c>
      <c r="BQ3" s="1049"/>
      <c r="BR3" s="1049"/>
      <c r="BS3" s="1049"/>
      <c r="BT3" s="360" t="s">
        <v>491</v>
      </c>
      <c r="BU3" s="1050" t="str">
        <f>DATE</f>
        <v>27 au 31 mars 2023</v>
      </c>
      <c r="BV3" s="1050"/>
      <c r="BW3" s="1050"/>
      <c r="BX3" s="1050"/>
      <c r="BY3" s="358"/>
      <c r="CC3" s="1049" t="str">
        <f>LIEU</f>
        <v>L’Isle sur la Sorgue</v>
      </c>
      <c r="CD3" s="1049"/>
      <c r="CE3" s="1049"/>
      <c r="CF3" s="1049"/>
      <c r="CG3" s="360" t="s">
        <v>491</v>
      </c>
      <c r="CH3" s="1050" t="str">
        <f>DATE</f>
        <v>27 au 31 mars 2023</v>
      </c>
      <c r="CI3" s="1050"/>
      <c r="CJ3" s="1050"/>
      <c r="CK3" s="1050"/>
      <c r="CL3" s="358"/>
      <c r="CP3" s="1049" t="str">
        <f>LIEU</f>
        <v>L’Isle sur la Sorgue</v>
      </c>
      <c r="CQ3" s="1049"/>
      <c r="CR3" s="1049"/>
      <c r="CS3" s="1049"/>
      <c r="CT3" s="360" t="s">
        <v>491</v>
      </c>
      <c r="CU3" s="1050" t="str">
        <f>DATE</f>
        <v>27 au 31 mars 2023</v>
      </c>
      <c r="CV3" s="1050"/>
      <c r="CW3" s="1050"/>
      <c r="CX3" s="1050"/>
      <c r="CY3" s="358"/>
      <c r="DC3" s="1049" t="str">
        <f>LIEU</f>
        <v>L’Isle sur la Sorgue</v>
      </c>
      <c r="DD3" s="1049"/>
      <c r="DE3" s="1049"/>
      <c r="DF3" s="1049"/>
      <c r="DG3" s="360" t="s">
        <v>491</v>
      </c>
      <c r="DH3" s="1050" t="str">
        <f>DATE</f>
        <v>27 au 31 mars 2023</v>
      </c>
      <c r="DI3" s="1050"/>
      <c r="DJ3" s="1050"/>
      <c r="DK3" s="1050"/>
      <c r="DL3" s="358"/>
      <c r="DP3" s="1049" t="str">
        <f>LIEU</f>
        <v>L’Isle sur la Sorgue</v>
      </c>
      <c r="DQ3" s="1049"/>
      <c r="DR3" s="1049"/>
      <c r="DS3" s="1049"/>
      <c r="DT3" s="360" t="s">
        <v>491</v>
      </c>
      <c r="DU3" s="1050" t="str">
        <f>DATE</f>
        <v>27 au 31 mars 2023</v>
      </c>
      <c r="DV3" s="1050"/>
      <c r="DW3" s="1050"/>
      <c r="DX3" s="1050"/>
      <c r="DY3" s="358"/>
      <c r="EC3" s="1049" t="str">
        <f>LIEU</f>
        <v>L’Isle sur la Sorgue</v>
      </c>
      <c r="ED3" s="1049"/>
      <c r="EE3" s="1049"/>
      <c r="EF3" s="1049"/>
      <c r="EG3" s="360" t="s">
        <v>491</v>
      </c>
      <c r="EH3" s="1050" t="str">
        <f>DATE</f>
        <v>27 au 31 mars 2023</v>
      </c>
      <c r="EI3" s="1050"/>
      <c r="EJ3" s="1050"/>
      <c r="EK3" s="1050"/>
      <c r="EL3" s="358"/>
    </row>
    <row r="4" spans="2:142" s="355" customFormat="1" ht="12.75" customHeight="1" x14ac:dyDescent="0.2">
      <c r="C4" s="356"/>
      <c r="M4" s="358"/>
      <c r="N4" s="359"/>
      <c r="AL4" s="358"/>
      <c r="AY4" s="358"/>
      <c r="BL4" s="358"/>
      <c r="BY4" s="358"/>
      <c r="CL4" s="358"/>
      <c r="CY4" s="358"/>
      <c r="DL4" s="358"/>
      <c r="DY4" s="358"/>
      <c r="EL4" s="358"/>
    </row>
    <row r="5" spans="2:142" s="355" customFormat="1" ht="15" customHeight="1" x14ac:dyDescent="0.2">
      <c r="C5" s="361"/>
      <c r="D5" s="362" t="s">
        <v>378</v>
      </c>
      <c r="E5" s="363"/>
      <c r="G5" s="362" t="s">
        <v>379</v>
      </c>
      <c r="H5" s="363"/>
      <c r="J5" s="362" t="s">
        <v>380</v>
      </c>
      <c r="K5" s="363"/>
      <c r="M5" s="362" t="s">
        <v>381</v>
      </c>
      <c r="N5" s="359"/>
      <c r="AC5" s="362" t="s">
        <v>378</v>
      </c>
      <c r="AD5" s="363"/>
      <c r="AF5" s="362" t="s">
        <v>379</v>
      </c>
      <c r="AG5" s="363"/>
      <c r="AI5" s="362" t="s">
        <v>380</v>
      </c>
      <c r="AJ5" s="363"/>
      <c r="AL5" s="362" t="s">
        <v>381</v>
      </c>
      <c r="AP5" s="362" t="s">
        <v>378</v>
      </c>
      <c r="AQ5" s="363"/>
      <c r="AS5" s="362" t="s">
        <v>379</v>
      </c>
      <c r="AT5" s="363"/>
      <c r="AV5" s="362" t="s">
        <v>380</v>
      </c>
      <c r="AW5" s="363"/>
      <c r="AY5" s="362" t="s">
        <v>381</v>
      </c>
      <c r="BC5" s="362" t="s">
        <v>378</v>
      </c>
      <c r="BD5" s="363"/>
      <c r="BF5" s="362" t="s">
        <v>379</v>
      </c>
      <c r="BG5" s="363"/>
      <c r="BI5" s="362" t="s">
        <v>380</v>
      </c>
      <c r="BJ5" s="363"/>
      <c r="BL5" s="362" t="s">
        <v>381</v>
      </c>
      <c r="BP5" s="362" t="s">
        <v>378</v>
      </c>
      <c r="BQ5" s="363"/>
      <c r="BS5" s="362" t="s">
        <v>379</v>
      </c>
      <c r="BT5" s="363"/>
      <c r="BV5" s="362" t="s">
        <v>380</v>
      </c>
      <c r="BW5" s="363"/>
      <c r="BY5" s="362" t="s">
        <v>381</v>
      </c>
      <c r="CC5" s="362" t="s">
        <v>378</v>
      </c>
      <c r="CD5" s="363"/>
      <c r="CF5" s="362" t="s">
        <v>379</v>
      </c>
      <c r="CG5" s="363"/>
      <c r="CI5" s="362" t="s">
        <v>380</v>
      </c>
      <c r="CJ5" s="363"/>
      <c r="CL5" s="362" t="s">
        <v>381</v>
      </c>
      <c r="CP5" s="362" t="s">
        <v>378</v>
      </c>
      <c r="CQ5" s="363"/>
      <c r="CS5" s="362" t="s">
        <v>379</v>
      </c>
      <c r="CT5" s="363"/>
      <c r="CV5" s="362" t="s">
        <v>380</v>
      </c>
      <c r="CW5" s="363"/>
      <c r="CY5" s="362" t="s">
        <v>381</v>
      </c>
      <c r="DC5" s="362" t="s">
        <v>378</v>
      </c>
      <c r="DD5" s="363"/>
      <c r="DF5" s="362" t="s">
        <v>379</v>
      </c>
      <c r="DG5" s="363"/>
      <c r="DI5" s="362" t="s">
        <v>380</v>
      </c>
      <c r="DJ5" s="363"/>
      <c r="DL5" s="362" t="s">
        <v>381</v>
      </c>
      <c r="DP5" s="362" t="s">
        <v>378</v>
      </c>
      <c r="DQ5" s="363"/>
      <c r="DS5" s="362" t="s">
        <v>379</v>
      </c>
      <c r="DT5" s="363"/>
      <c r="DV5" s="362" t="s">
        <v>380</v>
      </c>
      <c r="DW5" s="363"/>
      <c r="DY5" s="362" t="s">
        <v>381</v>
      </c>
      <c r="EC5" s="362" t="s">
        <v>378</v>
      </c>
      <c r="ED5" s="363"/>
      <c r="EF5" s="362" t="s">
        <v>379</v>
      </c>
      <c r="EG5" s="363"/>
      <c r="EI5" s="362" t="s">
        <v>380</v>
      </c>
      <c r="EJ5" s="363"/>
      <c r="EL5" s="362" t="s">
        <v>381</v>
      </c>
    </row>
    <row r="6" spans="2:142" s="364" customFormat="1" ht="15" x14ac:dyDescent="0.2">
      <c r="C6" s="365"/>
      <c r="D6" s="362" t="s">
        <v>382</v>
      </c>
      <c r="E6" s="363"/>
      <c r="F6" s="355"/>
      <c r="G6" s="366" t="s">
        <v>383</v>
      </c>
      <c r="H6" s="367"/>
      <c r="I6" s="355"/>
      <c r="J6" s="362" t="s">
        <v>51</v>
      </c>
      <c r="K6" s="363"/>
      <c r="M6" s="362" t="s">
        <v>384</v>
      </c>
      <c r="P6" s="362" t="s">
        <v>482</v>
      </c>
      <c r="Q6" s="362" t="s">
        <v>483</v>
      </c>
      <c r="AA6" s="362" t="s">
        <v>482</v>
      </c>
      <c r="AB6" s="362" t="s">
        <v>483</v>
      </c>
      <c r="AC6" s="362" t="s">
        <v>382</v>
      </c>
      <c r="AD6" s="363"/>
      <c r="AE6" s="355"/>
      <c r="AF6" s="366" t="s">
        <v>383</v>
      </c>
      <c r="AG6" s="367"/>
      <c r="AH6" s="355"/>
      <c r="AI6" s="362" t="s">
        <v>51</v>
      </c>
      <c r="AJ6" s="363"/>
      <c r="AL6" s="362" t="s">
        <v>384</v>
      </c>
      <c r="AN6" s="362" t="s">
        <v>482</v>
      </c>
      <c r="AO6" s="362" t="s">
        <v>483</v>
      </c>
      <c r="AP6" s="362" t="s">
        <v>382</v>
      </c>
      <c r="AQ6" s="363"/>
      <c r="AR6" s="355"/>
      <c r="AS6" s="366" t="s">
        <v>383</v>
      </c>
      <c r="AT6" s="367"/>
      <c r="AU6" s="355"/>
      <c r="AV6" s="362" t="s">
        <v>51</v>
      </c>
      <c r="AW6" s="363"/>
      <c r="AY6" s="362" t="s">
        <v>384</v>
      </c>
      <c r="BA6" s="362" t="s">
        <v>482</v>
      </c>
      <c r="BB6" s="362" t="s">
        <v>483</v>
      </c>
      <c r="BC6" s="362" t="s">
        <v>382</v>
      </c>
      <c r="BD6" s="363"/>
      <c r="BE6" s="355"/>
      <c r="BF6" s="366" t="s">
        <v>383</v>
      </c>
      <c r="BG6" s="367"/>
      <c r="BH6" s="355"/>
      <c r="BI6" s="362" t="s">
        <v>51</v>
      </c>
      <c r="BJ6" s="363"/>
      <c r="BL6" s="362" t="s">
        <v>384</v>
      </c>
      <c r="BN6" s="362" t="s">
        <v>482</v>
      </c>
      <c r="BO6" s="362" t="s">
        <v>483</v>
      </c>
      <c r="BP6" s="362" t="s">
        <v>382</v>
      </c>
      <c r="BQ6" s="363"/>
      <c r="BR6" s="355"/>
      <c r="BS6" s="366" t="s">
        <v>383</v>
      </c>
      <c r="BT6" s="367"/>
      <c r="BU6" s="355"/>
      <c r="BV6" s="362" t="s">
        <v>51</v>
      </c>
      <c r="BW6" s="363"/>
      <c r="BY6" s="362" t="s">
        <v>384</v>
      </c>
      <c r="CA6" s="362" t="s">
        <v>482</v>
      </c>
      <c r="CB6" s="362" t="s">
        <v>483</v>
      </c>
      <c r="CC6" s="362" t="s">
        <v>382</v>
      </c>
      <c r="CD6" s="363"/>
      <c r="CE6" s="355"/>
      <c r="CF6" s="366" t="s">
        <v>383</v>
      </c>
      <c r="CG6" s="367"/>
      <c r="CH6" s="355"/>
      <c r="CI6" s="362" t="s">
        <v>51</v>
      </c>
      <c r="CJ6" s="363"/>
      <c r="CL6" s="362" t="s">
        <v>384</v>
      </c>
      <c r="CN6" s="362" t="s">
        <v>482</v>
      </c>
      <c r="CO6" s="362" t="s">
        <v>483</v>
      </c>
      <c r="CP6" s="362" t="s">
        <v>382</v>
      </c>
      <c r="CQ6" s="363"/>
      <c r="CR6" s="355"/>
      <c r="CS6" s="366" t="s">
        <v>383</v>
      </c>
      <c r="CT6" s="367"/>
      <c r="CU6" s="355"/>
      <c r="CV6" s="362" t="s">
        <v>51</v>
      </c>
      <c r="CW6" s="363"/>
      <c r="CY6" s="362" t="s">
        <v>384</v>
      </c>
      <c r="DA6" s="362" t="s">
        <v>482</v>
      </c>
      <c r="DB6" s="362" t="s">
        <v>483</v>
      </c>
      <c r="DC6" s="362" t="s">
        <v>382</v>
      </c>
      <c r="DD6" s="363"/>
      <c r="DE6" s="355"/>
      <c r="DF6" s="366" t="s">
        <v>383</v>
      </c>
      <c r="DG6" s="367"/>
      <c r="DH6" s="355"/>
      <c r="DI6" s="362" t="s">
        <v>51</v>
      </c>
      <c r="DJ6" s="363"/>
      <c r="DL6" s="362" t="s">
        <v>384</v>
      </c>
      <c r="DN6" s="362" t="s">
        <v>482</v>
      </c>
      <c r="DO6" s="362" t="s">
        <v>483</v>
      </c>
      <c r="DP6" s="362" t="s">
        <v>382</v>
      </c>
      <c r="DQ6" s="363"/>
      <c r="DR6" s="355"/>
      <c r="DS6" s="366" t="s">
        <v>383</v>
      </c>
      <c r="DT6" s="367"/>
      <c r="DU6" s="355"/>
      <c r="DV6" s="362" t="s">
        <v>51</v>
      </c>
      <c r="DW6" s="363"/>
      <c r="DY6" s="362" t="s">
        <v>384</v>
      </c>
      <c r="EA6" s="362" t="s">
        <v>482</v>
      </c>
      <c r="EB6" s="362" t="s">
        <v>483</v>
      </c>
      <c r="EC6" s="362" t="s">
        <v>382</v>
      </c>
      <c r="ED6" s="363"/>
      <c r="EE6" s="355"/>
      <c r="EF6" s="366" t="s">
        <v>383</v>
      </c>
      <c r="EG6" s="367"/>
      <c r="EH6" s="355"/>
      <c r="EI6" s="362" t="s">
        <v>51</v>
      </c>
      <c r="EJ6" s="363"/>
      <c r="EL6" s="362" t="s">
        <v>384</v>
      </c>
    </row>
    <row r="7" spans="2:142" s="355" customFormat="1" ht="4.5" customHeight="1" thickBot="1" x14ac:dyDescent="0.25">
      <c r="C7" s="365"/>
      <c r="E7" s="368"/>
      <c r="F7" s="368"/>
      <c r="G7" s="368"/>
      <c r="H7" s="368"/>
      <c r="I7" s="368"/>
      <c r="J7" s="368"/>
      <c r="K7" s="368"/>
      <c r="N7" s="359"/>
      <c r="AD7" s="368"/>
      <c r="AE7" s="368"/>
      <c r="AF7" s="368"/>
      <c r="AG7" s="368"/>
      <c r="AH7" s="368"/>
      <c r="AI7" s="368"/>
      <c r="AJ7" s="368"/>
      <c r="AQ7" s="368"/>
      <c r="AR7" s="368"/>
      <c r="AS7" s="368"/>
      <c r="AT7" s="368"/>
      <c r="AU7" s="368"/>
      <c r="AV7" s="368"/>
      <c r="AW7" s="368"/>
      <c r="BD7" s="368"/>
      <c r="BE7" s="368"/>
      <c r="BF7" s="368"/>
      <c r="BG7" s="368"/>
      <c r="BH7" s="368"/>
      <c r="BI7" s="368"/>
      <c r="BJ7" s="368"/>
      <c r="BQ7" s="368"/>
      <c r="BR7" s="368"/>
      <c r="BS7" s="368"/>
      <c r="BT7" s="368"/>
      <c r="BU7" s="368"/>
      <c r="BV7" s="368"/>
      <c r="BW7" s="368"/>
      <c r="CD7" s="368"/>
      <c r="CE7" s="368"/>
      <c r="CF7" s="368"/>
      <c r="CG7" s="368"/>
      <c r="CH7" s="368"/>
      <c r="CI7" s="368"/>
      <c r="CJ7" s="368"/>
      <c r="CQ7" s="368"/>
      <c r="CR7" s="368"/>
      <c r="CS7" s="368"/>
      <c r="CT7" s="368"/>
      <c r="CU7" s="368"/>
      <c r="CV7" s="368"/>
      <c r="CW7" s="368"/>
      <c r="DD7" s="368"/>
      <c r="DE7" s="368"/>
      <c r="DF7" s="368"/>
      <c r="DG7" s="368"/>
      <c r="DH7" s="368"/>
      <c r="DI7" s="368"/>
      <c r="DJ7" s="368"/>
      <c r="DQ7" s="368"/>
      <c r="DR7" s="368"/>
      <c r="DS7" s="368"/>
      <c r="DT7" s="368"/>
      <c r="DU7" s="368"/>
      <c r="DV7" s="368"/>
      <c r="DW7" s="368"/>
      <c r="ED7" s="368"/>
      <c r="EE7" s="368"/>
      <c r="EF7" s="368"/>
      <c r="EG7" s="368"/>
      <c r="EH7" s="368"/>
      <c r="EI7" s="368"/>
      <c r="EJ7" s="368"/>
    </row>
    <row r="8" spans="2:142" s="355" customFormat="1" ht="14.25" customHeight="1" thickTop="1" x14ac:dyDescent="0.2">
      <c r="B8" s="355">
        <v>11</v>
      </c>
      <c r="C8" s="356">
        <v>1</v>
      </c>
      <c r="D8" s="369" t="str">
        <f ca="1">INDIRECT("'Imp. Qualif.'!L"&amp;INDIRECT("B"&amp;ROW()))</f>
        <v/>
      </c>
      <c r="E8" s="370"/>
      <c r="G8" s="369" t="str">
        <f>IF(E8="","",IF(E8=E11, IF(E9 &gt; E12, D8, D11),IF(E8&gt;E11,D8,D11)))</f>
        <v/>
      </c>
      <c r="H8" s="370"/>
      <c r="J8" s="369" t="str">
        <f>IF(H8="","",IF(H8=H11, IF(H9 &gt; H12, G8, G11),IF(H8&gt;H11,G8,G11)))</f>
        <v/>
      </c>
      <c r="K8" s="370"/>
      <c r="M8" s="371" t="str">
        <f>IF(K8="","",IF(K8=K11, IF(K9 &gt; K12, J8, J11),IF(K8&gt;K11,J8,J11)))</f>
        <v/>
      </c>
      <c r="N8" s="1054">
        <v>1</v>
      </c>
      <c r="P8" s="355">
        <v>11</v>
      </c>
      <c r="Q8" s="356">
        <v>1</v>
      </c>
      <c r="AA8" s="355">
        <v>11</v>
      </c>
      <c r="AB8" s="356">
        <v>1</v>
      </c>
      <c r="AC8" s="369" t="str">
        <f ca="1">INDIRECT("'Imp. Qualif.'!L"&amp;INDIRECT("B"&amp;ROW()))</f>
        <v/>
      </c>
      <c r="AD8" s="370"/>
      <c r="AF8" s="369" t="str">
        <f>IF(AD8="","",IF(AD8=AD11, IF(AD9 &gt; AD12, AC8, AC11),IF(AD8&gt;AD11,AC8,AC11)))</f>
        <v/>
      </c>
      <c r="AG8" s="370"/>
      <c r="AI8" s="369" t="str">
        <f>IF(AG8="","",IF(AG8=AG11, IF(AG9 &gt; AG12, AF8, AF11),IF(AG8&gt;AG11,AF8,AF11)))</f>
        <v/>
      </c>
      <c r="AJ8" s="370"/>
      <c r="AL8" s="371" t="str">
        <f>IF(AJ8="","",IF(AJ8=AJ11, IF(AJ9 &gt; AJ12, AI8, AI11),IF(AJ8&gt;AJ11,AI8,AI11)))</f>
        <v/>
      </c>
      <c r="AN8" s="355">
        <v>11</v>
      </c>
      <c r="AO8" s="356">
        <v>1</v>
      </c>
      <c r="AP8" s="369" t="str">
        <f ca="1">INDIRECT("'Imp. Qualif.'!L"&amp;INDIRECT("B"&amp;ROW()))</f>
        <v/>
      </c>
      <c r="AQ8" s="370"/>
      <c r="AS8" s="369" t="str">
        <f>IF(AQ8="","",IF(AQ8=AQ11, IF(AQ9 &gt; AQ12, AP8, AP11),IF(AQ8&gt;AQ11,AP8,AP11)))</f>
        <v/>
      </c>
      <c r="AT8" s="370"/>
      <c r="AV8" s="369" t="str">
        <f>IF(AT8="","",IF(AT8=AT11, IF(AT9 &gt; AT12, AS8, AS11),IF(AT8&gt;AT11,AS8,AS11)))</f>
        <v/>
      </c>
      <c r="AW8" s="370"/>
      <c r="AY8" s="371" t="str">
        <f>IF(AW8="","",IF(AW8=AW11, IF(AW9 &gt; AW12, AV8, AV11),IF(AW8&gt;AW11,AV8,AV11)))</f>
        <v/>
      </c>
      <c r="BA8" s="355">
        <v>11</v>
      </c>
      <c r="BB8" s="356">
        <v>1</v>
      </c>
      <c r="BC8" s="369" t="str">
        <f ca="1">INDIRECT("'Imp. Qualif.'!L"&amp;INDIRECT("B"&amp;ROW()))</f>
        <v/>
      </c>
      <c r="BD8" s="370"/>
      <c r="BF8" s="369" t="str">
        <f>IF(BD8="","",IF(BD8=BD11, IF(BD9 &gt; BD12, BC8, BC11),IF(BD8&gt;BD11,BC8,BC11)))</f>
        <v/>
      </c>
      <c r="BG8" s="370"/>
      <c r="BI8" s="369" t="str">
        <f>IF(BG8="","",IF(BG8=BG11, IF(BG9 &gt; BG12, BF8, BF11),IF(BG8&gt;BG11,BF8,BF11)))</f>
        <v/>
      </c>
      <c r="BJ8" s="370"/>
      <c r="BL8" s="371" t="str">
        <f>IF(BJ8="","",IF(BJ8=BJ11, IF(BJ9 &gt; BJ12, BI8, BI11),IF(BJ8&gt;BJ11,BI8,BI11)))</f>
        <v/>
      </c>
      <c r="BN8" s="355">
        <v>11</v>
      </c>
      <c r="BO8" s="356">
        <v>1</v>
      </c>
      <c r="BP8" s="369" t="str">
        <f ca="1">INDIRECT("'Imp. Qualif.'!L"&amp;INDIRECT("B"&amp;ROW()))</f>
        <v/>
      </c>
      <c r="BQ8" s="370"/>
      <c r="BS8" s="369" t="str">
        <f>IF(BQ8="","",IF(BQ8=BQ11, IF(BQ9 &gt; BQ12, BP8, BP11),IF(BQ8&gt;BQ11,BP8,BP11)))</f>
        <v/>
      </c>
      <c r="BT8" s="370"/>
      <c r="BV8" s="369" t="str">
        <f>IF(BT8="","",IF(BT8=BT11, IF(BT9 &gt; BT12, BS8, BS11),IF(BT8&gt;BT11,BS8,BS11)))</f>
        <v/>
      </c>
      <c r="BW8" s="370"/>
      <c r="BY8" s="371" t="str">
        <f>IF(BW8="","",IF(BW8=BW11, IF(BW9 &gt; BW12, BV8, BV11),IF(BW8&gt;BW11,BV8,BV11)))</f>
        <v/>
      </c>
      <c r="CA8" s="355">
        <v>11</v>
      </c>
      <c r="CB8" s="356">
        <v>1</v>
      </c>
      <c r="CC8" s="369" t="str">
        <f ca="1">INDIRECT("'Imp. Qualif.'!L"&amp;INDIRECT("B"&amp;ROW()))</f>
        <v/>
      </c>
      <c r="CD8" s="370"/>
      <c r="CF8" s="369" t="str">
        <f>IF(CD8="","",IF(CD8=CD11, IF(CD9 &gt; CD12, CC8, CC11),IF(CD8&gt;CD11,CC8,CC11)))</f>
        <v/>
      </c>
      <c r="CG8" s="370"/>
      <c r="CI8" s="369" t="str">
        <f>IF(CG8="","",IF(CG8=CG11, IF(CG9 &gt; CG12, CF8, CF11),IF(CG8&gt;CG11,CF8,CF11)))</f>
        <v/>
      </c>
      <c r="CJ8" s="370"/>
      <c r="CL8" s="371" t="str">
        <f>IF(CJ8="","",IF(CJ8=CJ11, IF(CJ9 &gt; CJ12, CI8, CI11),IF(CJ8&gt;CJ11,CI8,CI11)))</f>
        <v/>
      </c>
      <c r="CN8" s="355">
        <v>11</v>
      </c>
      <c r="CO8" s="356">
        <v>1</v>
      </c>
      <c r="CP8" s="369" t="str">
        <f ca="1">INDIRECT("'Imp. Qualif.'!L"&amp;INDIRECT("B"&amp;ROW()))</f>
        <v/>
      </c>
      <c r="CQ8" s="370"/>
      <c r="CS8" s="369" t="str">
        <f>IF(CQ8="","",IF(CQ8=CQ11, IF(CQ9 &gt; CQ12, CP8, CP11),IF(CQ8&gt;CQ11,CP8,CP11)))</f>
        <v/>
      </c>
      <c r="CT8" s="370"/>
      <c r="CV8" s="369" t="str">
        <f>IF(CT8="","",IF(CT8=CT11, IF(CT9 &gt; CT12, CS8, CS11),IF(CT8&gt;CT11,CS8,CS11)))</f>
        <v/>
      </c>
      <c r="CW8" s="370"/>
      <c r="CY8" s="371" t="str">
        <f>IF(CW8="","",IF(CW8=CW11, IF(CW9 &gt; CW12, CV8, CV11),IF(CW8&gt;CW11,CV8,CV11)))</f>
        <v/>
      </c>
      <c r="DA8" s="355">
        <v>11</v>
      </c>
      <c r="DB8" s="356">
        <v>1</v>
      </c>
      <c r="DC8" s="369" t="str">
        <f ca="1">INDIRECT("'Imp. Qualif.'!L"&amp;INDIRECT("B"&amp;ROW()))</f>
        <v/>
      </c>
      <c r="DD8" s="370"/>
      <c r="DF8" s="369" t="s">
        <v>11</v>
      </c>
      <c r="DG8" s="370"/>
      <c r="DI8" s="369" t="s">
        <v>11</v>
      </c>
      <c r="DJ8" s="370"/>
      <c r="DL8" s="371" t="s">
        <v>11</v>
      </c>
      <c r="DN8" s="355">
        <v>11</v>
      </c>
      <c r="DO8" s="356">
        <v>1</v>
      </c>
      <c r="DP8" s="369" t="str">
        <f ca="1">INDIRECT("'Imp. Qualif.'!L"&amp;INDIRECT("B"&amp;ROW()))</f>
        <v/>
      </c>
      <c r="DQ8" s="370"/>
      <c r="DS8" s="369" t="s">
        <v>11</v>
      </c>
      <c r="DT8" s="370"/>
      <c r="DV8" s="369" t="s">
        <v>11</v>
      </c>
      <c r="DW8" s="370"/>
      <c r="DY8" s="371" t="s">
        <v>11</v>
      </c>
      <c r="EA8" s="355">
        <v>11</v>
      </c>
      <c r="EB8" s="356">
        <v>1</v>
      </c>
      <c r="EC8" s="369" t="str">
        <f ca="1">INDIRECT("'Imp. Qualif.'!L"&amp;INDIRECT("B"&amp;ROW()))</f>
        <v/>
      </c>
      <c r="ED8" s="370"/>
      <c r="EF8" s="369" t="s">
        <v>11</v>
      </c>
      <c r="EG8" s="370"/>
      <c r="EI8" s="369" t="s">
        <v>11</v>
      </c>
      <c r="EJ8" s="370"/>
      <c r="EL8" s="371" t="s">
        <v>11</v>
      </c>
    </row>
    <row r="9" spans="2:142" s="355" customFormat="1" ht="14.25" customHeight="1" thickBot="1" x14ac:dyDescent="0.25">
      <c r="C9" s="356"/>
      <c r="D9" s="372" t="str">
        <f ca="1">INDIRECT("'Imp. Qualif.'!M"&amp;INDIRECT("B"&amp;ROW()-1))</f>
        <v/>
      </c>
      <c r="E9" s="373"/>
      <c r="G9" s="372" t="str">
        <f>IF(E8="","",IF(E8=E11, IF(E9 &gt; E12, D9, D12),IF(E8&gt;E11,D9,D12)))</f>
        <v/>
      </c>
      <c r="H9" s="373"/>
      <c r="J9" s="372" t="str">
        <f>IF(H$8="","",IF(H$8=H$11, IF(H$9 &gt; H$12, G9, G12),IF(H$8&gt;H$11,G9,G12)))</f>
        <v/>
      </c>
      <c r="K9" s="373"/>
      <c r="M9" s="374" t="str">
        <f>IF(K8="","",IF(K8=K11, IF(K9 &gt; K12, J9, J12),IF(K8&gt;K11,J9,J12)))</f>
        <v/>
      </c>
      <c r="N9" s="1054"/>
      <c r="Q9" s="356"/>
      <c r="AB9" s="356"/>
      <c r="AC9" s="372" t="str">
        <f ca="1">INDIRECT("'Imp. Qualif.'!M"&amp;INDIRECT("B"&amp;ROW()-1))</f>
        <v/>
      </c>
      <c r="AD9" s="373"/>
      <c r="AF9" s="372" t="str">
        <f>IF(AD8="","",IF(AD8=AD11, IF(AD9 &gt; AD12, AC9, AC12),IF(AD8&gt;AD11,AC9,AC12)))</f>
        <v/>
      </c>
      <c r="AG9" s="373"/>
      <c r="AI9" s="372" t="str">
        <f>IF(AG$8="","",IF(AG$8=AG$11, IF(AG$9 &gt; AG$12, AF9, AF12),IF(AG$8&gt;AG$11,AF9,AF12)))</f>
        <v/>
      </c>
      <c r="AJ9" s="373"/>
      <c r="AL9" s="374" t="str">
        <f>IF(AJ8="","",IF(AJ8=AJ11, IF(AJ9 &gt; AJ12, AI9, AI12),IF(AJ8&gt;AJ11,AI9,AI12)))</f>
        <v/>
      </c>
      <c r="AO9" s="356"/>
      <c r="AP9" s="372" t="str">
        <f ca="1">INDIRECT("'Imp. Qualif.'!M"&amp;INDIRECT("B"&amp;ROW()-1))</f>
        <v/>
      </c>
      <c r="AQ9" s="373"/>
      <c r="AS9" s="372" t="str">
        <f>IF(AQ8="","",IF(AQ8=AQ11, IF(AQ9 &gt; AQ12, AP9, AP12),IF(AQ8&gt;AQ11,AP9,AP12)))</f>
        <v/>
      </c>
      <c r="AT9" s="373"/>
      <c r="AV9" s="372" t="str">
        <f>IF(AT$8="","",IF(AT$8=AT$11, IF(AT$9 &gt; AT$12, AS9, AS12),IF(AT$8&gt;AT$11,AS9,AS12)))</f>
        <v/>
      </c>
      <c r="AW9" s="373"/>
      <c r="AY9" s="374" t="str">
        <f>IF(AW8="","",IF(AW8=AW11, IF(AW9 &gt; AW12, AV9, AV12),IF(AW8&gt;AW11,AV9,AV12)))</f>
        <v/>
      </c>
      <c r="BB9" s="356"/>
      <c r="BC9" s="372" t="str">
        <f ca="1">INDIRECT("'Imp. Qualif.'!M"&amp;INDIRECT("B"&amp;ROW()-1))</f>
        <v/>
      </c>
      <c r="BD9" s="373"/>
      <c r="BF9" s="372" t="str">
        <f>IF(BD8="","",IF(BD8=BD11, IF(BD9 &gt; BD12, BC9, BC12),IF(BD8&gt;BD11,BC9,BC12)))</f>
        <v/>
      </c>
      <c r="BG9" s="373"/>
      <c r="BI9" s="372" t="str">
        <f>IF(BG$8="","",IF(BG$8=BG$11, IF(BG$9 &gt; BG$12, BF9, BF12),IF(BG$8&gt;BG$11,BF9,BF12)))</f>
        <v/>
      </c>
      <c r="BJ9" s="373"/>
      <c r="BL9" s="374" t="str">
        <f>IF(BJ8="","",IF(BJ8=BJ11, IF(BJ9 &gt; BJ12, BI9, BI12),IF(BJ8&gt;BJ11,BI9,BI12)))</f>
        <v/>
      </c>
      <c r="BO9" s="356"/>
      <c r="BP9" s="372" t="str">
        <f ca="1">INDIRECT("'Imp. Qualif.'!M"&amp;INDIRECT("B"&amp;ROW()-1))</f>
        <v/>
      </c>
      <c r="BQ9" s="373"/>
      <c r="BS9" s="372" t="str">
        <f>IF(BQ8="","",IF(BQ8=BQ11, IF(BQ9 &gt; BQ12, BP9, BP12),IF(BQ8&gt;BQ11,BP9,BP12)))</f>
        <v/>
      </c>
      <c r="BT9" s="373"/>
      <c r="BV9" s="372" t="str">
        <f>IF(BT$8="","",IF(BT$8=BT$11, IF(BT$9 &gt; BT$12, BS9, BS12),IF(BT$8&gt;BT$11,BS9,BS12)))</f>
        <v/>
      </c>
      <c r="BW9" s="373"/>
      <c r="BY9" s="374" t="str">
        <f>IF(BW8="","",IF(BW8=BW11, IF(BW9 &gt; BW12, BV9, BV12),IF(BW8&gt;BW11,BV9,BV12)))</f>
        <v/>
      </c>
      <c r="CB9" s="356"/>
      <c r="CC9" s="372" t="str">
        <f ca="1">INDIRECT("'Imp. Qualif.'!M"&amp;INDIRECT("B"&amp;ROW()-1))</f>
        <v/>
      </c>
      <c r="CD9" s="373"/>
      <c r="CF9" s="372" t="str">
        <f>IF(CD8="","",IF(CD8=CD11, IF(CD9 &gt; CD12, CC9, CC12),IF(CD8&gt;CD11,CC9,CC12)))</f>
        <v/>
      </c>
      <c r="CG9" s="373"/>
      <c r="CI9" s="372" t="str">
        <f>IF(CG$8="","",IF(CG$8=CG$11, IF(CG$9 &gt; CG$12, CF9, CF12),IF(CG$8&gt;CG$11,CF9,CF12)))</f>
        <v/>
      </c>
      <c r="CJ9" s="373"/>
      <c r="CL9" s="374" t="str">
        <f>IF(CJ8="","",IF(CJ8=CJ11, IF(CJ9 &gt; CJ12, CI9, CI12),IF(CJ8&gt;CJ11,CI9,CI12)))</f>
        <v/>
      </c>
      <c r="CO9" s="356"/>
      <c r="CP9" s="372" t="str">
        <f ca="1">INDIRECT("'Imp. Qualif.'!M"&amp;INDIRECT("B"&amp;ROW()-1))</f>
        <v/>
      </c>
      <c r="CQ9" s="373"/>
      <c r="CS9" s="372" t="str">
        <f>IF(CQ8="","",IF(CQ8=CQ11, IF(CQ9 &gt; CQ12, CP9, CP12),IF(CQ8&gt;CQ11,CP9,CP12)))</f>
        <v/>
      </c>
      <c r="CT9" s="373"/>
      <c r="CV9" s="372" t="str">
        <f>IF(CT$8="","",IF(CT$8=CT$11, IF(CT$9 &gt; CT$12, CS9, CS12),IF(CT$8&gt;CT$11,CS9,CS12)))</f>
        <v/>
      </c>
      <c r="CW9" s="373"/>
      <c r="CY9" s="374" t="str">
        <f>IF(CW8="","",IF(CW8=CW11, IF(CW9 &gt; CW12, CV9, CV12),IF(CW8&gt;CW11,CV9,CV12)))</f>
        <v/>
      </c>
      <c r="DB9" s="356"/>
      <c r="DC9" s="372" t="str">
        <f ca="1">INDIRECT("'Imp. Qualif.'!M"&amp;INDIRECT("B"&amp;ROW()-1))</f>
        <v/>
      </c>
      <c r="DD9" s="373"/>
      <c r="DF9" s="372" t="s">
        <v>11</v>
      </c>
      <c r="DG9" s="373"/>
      <c r="DI9" s="372" t="s">
        <v>11</v>
      </c>
      <c r="DJ9" s="373"/>
      <c r="DL9" s="374" t="s">
        <v>11</v>
      </c>
      <c r="DO9" s="356"/>
      <c r="DP9" s="372" t="str">
        <f ca="1">INDIRECT("'Imp. Qualif.'!M"&amp;INDIRECT("B"&amp;ROW()-1))</f>
        <v/>
      </c>
      <c r="DQ9" s="373"/>
      <c r="DS9" s="372" t="s">
        <v>11</v>
      </c>
      <c r="DT9" s="373"/>
      <c r="DV9" s="372" t="s">
        <v>11</v>
      </c>
      <c r="DW9" s="373"/>
      <c r="DY9" s="374" t="s">
        <v>11</v>
      </c>
      <c r="EB9" s="356"/>
      <c r="EC9" s="372" t="str">
        <f ca="1">INDIRECT("'Imp. Qualif.'!M"&amp;INDIRECT("B"&amp;ROW()-1))</f>
        <v/>
      </c>
      <c r="ED9" s="373"/>
      <c r="EF9" s="372" t="s">
        <v>11</v>
      </c>
      <c r="EG9" s="373"/>
      <c r="EI9" s="372" t="s">
        <v>11</v>
      </c>
      <c r="EJ9" s="373"/>
      <c r="EL9" s="374" t="s">
        <v>11</v>
      </c>
    </row>
    <row r="10" spans="2:142" s="355" customFormat="1" ht="14.25" customHeight="1" thickBot="1" x14ac:dyDescent="0.25">
      <c r="C10" s="356"/>
      <c r="D10" s="358"/>
      <c r="E10" s="375"/>
      <c r="H10" s="375"/>
      <c r="K10" s="375"/>
      <c r="M10" s="358"/>
      <c r="N10" s="376"/>
      <c r="Q10" s="356"/>
      <c r="AB10" s="356"/>
      <c r="AC10" s="358"/>
      <c r="AD10" s="375"/>
      <c r="AG10" s="375"/>
      <c r="AJ10" s="375"/>
      <c r="AL10" s="358"/>
      <c r="AO10" s="356"/>
      <c r="AP10" s="358"/>
      <c r="AQ10" s="375"/>
      <c r="AT10" s="375"/>
      <c r="AW10" s="375"/>
      <c r="AY10" s="358"/>
      <c r="BB10" s="356"/>
      <c r="BC10" s="358"/>
      <c r="BD10" s="375"/>
      <c r="BG10" s="375"/>
      <c r="BJ10" s="375"/>
      <c r="BL10" s="358"/>
      <c r="BO10" s="356"/>
      <c r="BP10" s="358"/>
      <c r="BQ10" s="375"/>
      <c r="BT10" s="375"/>
      <c r="BW10" s="375"/>
      <c r="BY10" s="358"/>
      <c r="CB10" s="356"/>
      <c r="CC10" s="358"/>
      <c r="CD10" s="375"/>
      <c r="CG10" s="375"/>
      <c r="CJ10" s="375"/>
      <c r="CL10" s="358"/>
      <c r="CO10" s="356"/>
      <c r="CP10" s="358"/>
      <c r="CQ10" s="375"/>
      <c r="CT10" s="375"/>
      <c r="CW10" s="375"/>
      <c r="CY10" s="358"/>
      <c r="DB10" s="356"/>
      <c r="DC10" s="358"/>
      <c r="DD10" s="375"/>
      <c r="DG10" s="375"/>
      <c r="DJ10" s="375"/>
      <c r="DL10" s="358"/>
      <c r="DO10" s="356"/>
      <c r="DP10" s="358"/>
      <c r="DQ10" s="375"/>
      <c r="DT10" s="375"/>
      <c r="DW10" s="375"/>
      <c r="DY10" s="358"/>
      <c r="EB10" s="356"/>
      <c r="EC10" s="358"/>
      <c r="ED10" s="375"/>
      <c r="EG10" s="375"/>
      <c r="EJ10" s="375"/>
      <c r="EL10" s="358"/>
    </row>
    <row r="11" spans="2:142" s="355" customFormat="1" ht="14.25" customHeight="1" x14ac:dyDescent="0.2">
      <c r="B11" s="355">
        <v>12</v>
      </c>
      <c r="C11" s="356">
        <v>2</v>
      </c>
      <c r="D11" s="369" t="str">
        <f ca="1">INDIRECT("'Imp. Qualif.'!L"&amp;INDIRECT("B"&amp;ROW()))</f>
        <v/>
      </c>
      <c r="E11" s="370"/>
      <c r="G11" s="369" t="str">
        <f>IF(E14="","",IF(E14=E17, IF(E15 &gt; E18, D14, D17),IF(E14&gt;E17,D14,D17)))</f>
        <v/>
      </c>
      <c r="H11" s="370"/>
      <c r="J11" s="369" t="str">
        <f>IF(H14="","",IF(H14=H17, IF(H15 &gt; H18, G14, G17),IF(H14&gt;H17,G14,G17)))</f>
        <v/>
      </c>
      <c r="K11" s="370"/>
      <c r="M11" s="377" t="str">
        <f>IF(K8="","",IF(K8=K11, IF(K12 &lt; K9, J11, J8),IF(K11 &lt; K8,J11,J8)))</f>
        <v/>
      </c>
      <c r="N11" s="1053">
        <v>2</v>
      </c>
      <c r="P11" s="355">
        <v>12</v>
      </c>
      <c r="Q11" s="356">
        <v>2</v>
      </c>
      <c r="AA11" s="355">
        <v>12</v>
      </c>
      <c r="AB11" s="356">
        <v>2</v>
      </c>
      <c r="AC11" s="369" t="str">
        <f ca="1">INDIRECT("'Imp. Qualif.'!L"&amp;INDIRECT("B"&amp;ROW()))</f>
        <v/>
      </c>
      <c r="AD11" s="370"/>
      <c r="AF11" s="369" t="str">
        <f>IF(AD14="","",IF(AD14=AD17, IF(AD15 &gt; AD18, AC14, AC17),IF(AD14&gt;AD17,AC14,AC17)))</f>
        <v/>
      </c>
      <c r="AG11" s="370"/>
      <c r="AI11" s="369" t="str">
        <f>IF(AG14="","",IF(AG14=AG17, IF(AG15 &gt; AG18, AF14, AF17),IF(AG14&gt;AG17,AF14,AF17)))</f>
        <v/>
      </c>
      <c r="AJ11" s="370"/>
      <c r="AL11" s="377" t="str">
        <f>IF(AJ8="","",IF(AJ8=AJ11, IF(AJ12 &lt; AJ9, AI11, AI8),IF(AJ11 &lt; AJ8,AI11,AI8)))</f>
        <v/>
      </c>
      <c r="AN11" s="355">
        <v>12</v>
      </c>
      <c r="AO11" s="356">
        <v>2</v>
      </c>
      <c r="AP11" s="369" t="str">
        <f ca="1">INDIRECT("'Imp. Qualif.'!L"&amp;INDIRECT("B"&amp;ROW()))</f>
        <v/>
      </c>
      <c r="AQ11" s="370"/>
      <c r="AS11" s="369" t="str">
        <f>IF(AQ14="","",IF(AQ14=AQ17, IF(AQ15 &gt; AQ18, AP14, AP17),IF(AQ14&gt;AQ17,AP14,AP17)))</f>
        <v/>
      </c>
      <c r="AT11" s="370"/>
      <c r="AV11" s="369" t="str">
        <f>IF(AT14="","",IF(AT14=AT17, IF(AT15 &gt; AT18, AS14, AS17),IF(AT14&gt;AT17,AS14,AS17)))</f>
        <v/>
      </c>
      <c r="AW11" s="370"/>
      <c r="AY11" s="377" t="str">
        <f>IF(AW8="","",IF(AW8=AW11, IF(AW12 &lt; AW9, AV11, AV8),IF(AW11 &lt; AW8,AV11,AV8)))</f>
        <v/>
      </c>
      <c r="BA11" s="355">
        <v>12</v>
      </c>
      <c r="BB11" s="356">
        <v>2</v>
      </c>
      <c r="BC11" s="369" t="str">
        <f ca="1">INDIRECT("'Imp. Qualif.'!L"&amp;INDIRECT("B"&amp;ROW()))</f>
        <v/>
      </c>
      <c r="BD11" s="370"/>
      <c r="BF11" s="369" t="str">
        <f>IF(BD14="","",IF(BD14=BD17, IF(BD15 &gt; BD18, BC14, BC17),IF(BD14&gt;BD17,BC14,BC17)))</f>
        <v/>
      </c>
      <c r="BG11" s="370"/>
      <c r="BI11" s="369" t="str">
        <f>IF(BG14="","",IF(BG14=BG17, IF(BG15 &gt; BG18, BF14, BF17),IF(BG14&gt;BG17,BF14,BF17)))</f>
        <v/>
      </c>
      <c r="BJ11" s="370"/>
      <c r="BL11" s="377" t="str">
        <f>IF(BJ8="","",IF(BJ8=BJ11, IF(BJ12 &lt; BJ9, BI11, BI8),IF(BJ11 &lt; BJ8,BI11,BI8)))</f>
        <v/>
      </c>
      <c r="BN11" s="355">
        <v>12</v>
      </c>
      <c r="BO11" s="356">
        <v>2</v>
      </c>
      <c r="BP11" s="369" t="str">
        <f ca="1">INDIRECT("'Imp. Qualif.'!L"&amp;INDIRECT("B"&amp;ROW()))</f>
        <v/>
      </c>
      <c r="BQ11" s="370"/>
      <c r="BS11" s="369" t="str">
        <f>IF(BQ14="","",IF(BQ14=BQ17, IF(BQ15 &gt; BQ18, BP14, BP17),IF(BQ14&gt;BQ17,BP14,BP17)))</f>
        <v/>
      </c>
      <c r="BT11" s="370"/>
      <c r="BV11" s="369" t="str">
        <f>IF(BT14="","",IF(BT14=BT17, IF(BT15 &gt; BT18, BS14, BS17),IF(BT14&gt;BT17,BS14,BS17)))</f>
        <v/>
      </c>
      <c r="BW11" s="370"/>
      <c r="BY11" s="377" t="str">
        <f>IF(BW8="","",IF(BW8=BW11, IF(BW12 &lt; BW9, BV11, BV8),IF(BW11 &lt; BW8,BV11,BV8)))</f>
        <v/>
      </c>
      <c r="CA11" s="355">
        <v>12</v>
      </c>
      <c r="CB11" s="356">
        <v>2</v>
      </c>
      <c r="CC11" s="369" t="str">
        <f ca="1">INDIRECT("'Imp. Qualif.'!L"&amp;INDIRECT("B"&amp;ROW()))</f>
        <v/>
      </c>
      <c r="CD11" s="370"/>
      <c r="CF11" s="369" t="str">
        <f>IF(CD14="","",IF(CD14=CD17, IF(CD15 &gt; CD18, CC14, CC17),IF(CD14&gt;CD17,CC14,CC17)))</f>
        <v/>
      </c>
      <c r="CG11" s="370"/>
      <c r="CI11" s="369" t="str">
        <f>IF(CG14="","",IF(CG14=CG17, IF(CG15 &gt; CG18, CF14, CF17),IF(CG14&gt;CG17,CF14,CF17)))</f>
        <v/>
      </c>
      <c r="CJ11" s="370"/>
      <c r="CL11" s="377" t="str">
        <f>IF(CJ8="","",IF(CJ8=CJ11, IF(CJ12 &lt; CJ9, CI11, CI8),IF(CJ11 &lt; CJ8,CI11,CI8)))</f>
        <v/>
      </c>
      <c r="CN11" s="355">
        <v>12</v>
      </c>
      <c r="CO11" s="356">
        <v>2</v>
      </c>
      <c r="CP11" s="369" t="str">
        <f ca="1">INDIRECT("'Imp. Qualif.'!L"&amp;INDIRECT("B"&amp;ROW()))</f>
        <v/>
      </c>
      <c r="CQ11" s="370"/>
      <c r="CS11" s="369" t="str">
        <f>IF(CQ14="","",IF(CQ14=CQ17, IF(CQ15 &gt; CQ18, CP14, CP17),IF(CQ14&gt;CQ17,CP14,CP17)))</f>
        <v/>
      </c>
      <c r="CT11" s="370"/>
      <c r="CV11" s="369" t="str">
        <f>IF(CT14="","",IF(CT14=CT17, IF(CT15 &gt; CT18, CS14, CS17),IF(CT14&gt;CT17,CS14,CS17)))</f>
        <v/>
      </c>
      <c r="CW11" s="370"/>
      <c r="CY11" s="377" t="str">
        <f>IF(CW8="","",IF(CW8=CW11, IF(CW12 &lt; CW9, CV11, CV8),IF(CW11 &lt; CW8,CV11,CV8)))</f>
        <v/>
      </c>
      <c r="DA11" s="355">
        <v>12</v>
      </c>
      <c r="DB11" s="356">
        <v>2</v>
      </c>
      <c r="DC11" s="369" t="str">
        <f ca="1">INDIRECT("'Imp. Qualif.'!L"&amp;INDIRECT("B"&amp;ROW()))</f>
        <v/>
      </c>
      <c r="DD11" s="370"/>
      <c r="DF11" s="369" t="s">
        <v>11</v>
      </c>
      <c r="DG11" s="370"/>
      <c r="DI11" s="369" t="s">
        <v>11</v>
      </c>
      <c r="DJ11" s="370"/>
      <c r="DL11" s="377" t="s">
        <v>11</v>
      </c>
      <c r="DN11" s="355">
        <v>12</v>
      </c>
      <c r="DO11" s="356">
        <v>2</v>
      </c>
      <c r="DP11" s="369" t="str">
        <f ca="1">INDIRECT("'Imp. Qualif.'!L"&amp;INDIRECT("B"&amp;ROW()))</f>
        <v/>
      </c>
      <c r="DQ11" s="370"/>
      <c r="DS11" s="369" t="s">
        <v>11</v>
      </c>
      <c r="DT11" s="370"/>
      <c r="DV11" s="369" t="s">
        <v>11</v>
      </c>
      <c r="DW11" s="370"/>
      <c r="DY11" s="377" t="s">
        <v>11</v>
      </c>
      <c r="EA11" s="355">
        <v>12</v>
      </c>
      <c r="EB11" s="356">
        <v>2</v>
      </c>
      <c r="EC11" s="369" t="str">
        <f ca="1">INDIRECT("'Imp. Qualif.'!L"&amp;INDIRECT("B"&amp;ROW()))</f>
        <v/>
      </c>
      <c r="ED11" s="370"/>
      <c r="EF11" s="369" t="s">
        <v>11</v>
      </c>
      <c r="EG11" s="370"/>
      <c r="EI11" s="369" t="s">
        <v>11</v>
      </c>
      <c r="EJ11" s="370"/>
      <c r="EL11" s="377" t="s">
        <v>11</v>
      </c>
    </row>
    <row r="12" spans="2:142" s="355" customFormat="1" ht="14.25" customHeight="1" thickBot="1" x14ac:dyDescent="0.25">
      <c r="C12" s="356"/>
      <c r="D12" s="372" t="str">
        <f ca="1">INDIRECT("'Imp. Qualif.'!M"&amp;INDIRECT("B"&amp;ROW()-1))</f>
        <v/>
      </c>
      <c r="E12" s="373"/>
      <c r="G12" s="372" t="str">
        <f>IF(E14="","",IF(E14=E17, IF(E15 &gt; E18, D15, D18),IF(E14&gt;E17,D15,D18)))</f>
        <v/>
      </c>
      <c r="H12" s="373"/>
      <c r="J12" s="372" t="str">
        <f>IF(H14="","",IF(H14=H17, IF(H15 &gt; H18, G15, G18),IF(H14&gt;H17,G15,G18)))</f>
        <v/>
      </c>
      <c r="K12" s="373"/>
      <c r="M12" s="378" t="str">
        <f>IF(K8="","",IF(K8=K11, IF(K12 &lt; K9, J12, J9),IF(K11 &lt; K8,J12,J9)))</f>
        <v/>
      </c>
      <c r="N12" s="1053"/>
      <c r="Q12" s="356"/>
      <c r="AB12" s="356"/>
      <c r="AC12" s="372" t="str">
        <f ca="1">INDIRECT("'Imp. Qualif.'!M"&amp;INDIRECT("B"&amp;ROW()-1))</f>
        <v/>
      </c>
      <c r="AD12" s="373"/>
      <c r="AF12" s="372" t="str">
        <f>IF(AD14="","",IF(AD14=AD17, IF(AD15 &gt; AD18, AC15, AC18),IF(AD14&gt;AD17,AC15,AC18)))</f>
        <v/>
      </c>
      <c r="AG12" s="373"/>
      <c r="AI12" s="372" t="str">
        <f>IF(AG14="","",IF(AG14=AG17, IF(AG15 &gt; AG18, AF15, AF18),IF(AG14&gt;AG17,AF15,AF18)))</f>
        <v/>
      </c>
      <c r="AJ12" s="373"/>
      <c r="AL12" s="378" t="str">
        <f>IF(AJ8="","",IF(AJ8=AJ11, IF(AJ12 &lt; AJ9, AI12, AI9),IF(AJ11 &lt; AJ8,AI12,AI9)))</f>
        <v/>
      </c>
      <c r="AO12" s="356"/>
      <c r="AP12" s="372" t="str">
        <f ca="1">INDIRECT("'Imp. Qualif.'!M"&amp;INDIRECT("B"&amp;ROW()-1))</f>
        <v/>
      </c>
      <c r="AQ12" s="373"/>
      <c r="AS12" s="372" t="str">
        <f>IF(AQ14="","",IF(AQ14=AQ17, IF(AQ15 &gt; AQ18, AP15, AP18),IF(AQ14&gt;AQ17,AP15,AP18)))</f>
        <v/>
      </c>
      <c r="AT12" s="373"/>
      <c r="AV12" s="372" t="str">
        <f>IF(AT14="","",IF(AT14=AT17, IF(AT15 &gt; AT18, AS15, AS18),IF(AT14&gt;AT17,AS15,AS18)))</f>
        <v/>
      </c>
      <c r="AW12" s="373"/>
      <c r="AY12" s="378" t="str">
        <f>IF(AW8="","",IF(AW8=AW11, IF(AW12 &lt; AW9, AV12, AV9),IF(AW11 &lt; AW8,AV12,AV9)))</f>
        <v/>
      </c>
      <c r="BB12" s="356"/>
      <c r="BC12" s="372" t="str">
        <f ca="1">INDIRECT("'Imp. Qualif.'!M"&amp;INDIRECT("B"&amp;ROW()-1))</f>
        <v/>
      </c>
      <c r="BD12" s="373"/>
      <c r="BF12" s="372" t="str">
        <f>IF(BD14="","",IF(BD14=BD17, IF(BD15 &gt; BD18, BC15, BC18),IF(BD14&gt;BD17,BC15,BC18)))</f>
        <v/>
      </c>
      <c r="BG12" s="373"/>
      <c r="BI12" s="372" t="str">
        <f>IF(BG14="","",IF(BG14=BG17, IF(BG15 &gt; BG18, BF15, BF18),IF(BG14&gt;BG17,BF15,BF18)))</f>
        <v/>
      </c>
      <c r="BJ12" s="373"/>
      <c r="BL12" s="378" t="str">
        <f>IF(BJ8="","",IF(BJ8=BJ11, IF(BJ12 &lt; BJ9, BI12, BI9),IF(BJ11 &lt; BJ8,BI12,BI9)))</f>
        <v/>
      </c>
      <c r="BO12" s="356"/>
      <c r="BP12" s="372" t="str">
        <f ca="1">INDIRECT("'Imp. Qualif.'!M"&amp;INDIRECT("B"&amp;ROW()-1))</f>
        <v/>
      </c>
      <c r="BQ12" s="373"/>
      <c r="BS12" s="372" t="str">
        <f>IF(BQ14="","",IF(BQ14=BQ17, IF(BQ15 &gt; BQ18, BP15, BP18),IF(BQ14&gt;BQ17,BP15,BP18)))</f>
        <v/>
      </c>
      <c r="BT12" s="373"/>
      <c r="BV12" s="372" t="str">
        <f>IF(BT14="","",IF(BT14=BT17, IF(BT15 &gt; BT18, BS15, BS18),IF(BT14&gt;BT17,BS15,BS18)))</f>
        <v/>
      </c>
      <c r="BW12" s="373"/>
      <c r="BY12" s="378" t="str">
        <f>IF(BW8="","",IF(BW8=BW11, IF(BW12 &lt; BW9, BV12, BV9),IF(BW11 &lt; BW8,BV12,BV9)))</f>
        <v/>
      </c>
      <c r="CB12" s="356"/>
      <c r="CC12" s="372" t="str">
        <f ca="1">INDIRECT("'Imp. Qualif.'!M"&amp;INDIRECT("B"&amp;ROW()-1))</f>
        <v/>
      </c>
      <c r="CD12" s="373"/>
      <c r="CF12" s="372" t="str">
        <f>IF(CD14="","",IF(CD14=CD17, IF(CD15 &gt; CD18, CC15, CC18),IF(CD14&gt;CD17,CC15,CC18)))</f>
        <v/>
      </c>
      <c r="CG12" s="373"/>
      <c r="CI12" s="372" t="str">
        <f>IF(CG14="","",IF(CG14=CG17, IF(CG15 &gt; CG18, CF15, CF18),IF(CG14&gt;CG17,CF15,CF18)))</f>
        <v/>
      </c>
      <c r="CJ12" s="373"/>
      <c r="CL12" s="378" t="str">
        <f>IF(CJ8="","",IF(CJ8=CJ11, IF(CJ12 &lt; CJ9, CI12, CI9),IF(CJ11 &lt; CJ8,CI12,CI9)))</f>
        <v/>
      </c>
      <c r="CO12" s="356"/>
      <c r="CP12" s="372" t="str">
        <f ca="1">INDIRECT("'Imp. Qualif.'!M"&amp;INDIRECT("B"&amp;ROW()-1))</f>
        <v/>
      </c>
      <c r="CQ12" s="373"/>
      <c r="CS12" s="372" t="str">
        <f>IF(CQ14="","",IF(CQ14=CQ17, IF(CQ15 &gt; CQ18, CP15, CP18),IF(CQ14&gt;CQ17,CP15,CP18)))</f>
        <v/>
      </c>
      <c r="CT12" s="373"/>
      <c r="CV12" s="372" t="str">
        <f>IF(CT14="","",IF(CT14=CT17, IF(CT15 &gt; CT18, CS15, CS18),IF(CT14&gt;CT17,CS15,CS18)))</f>
        <v/>
      </c>
      <c r="CW12" s="373"/>
      <c r="CY12" s="378" t="str">
        <f>IF(CW8="","",IF(CW8=CW11, IF(CW12 &lt; CW9, CV12, CV9),IF(CW11 &lt; CW8,CV12,CV9)))</f>
        <v/>
      </c>
      <c r="DB12" s="356"/>
      <c r="DC12" s="372" t="str">
        <f ca="1">INDIRECT("'Imp. Qualif.'!M"&amp;INDIRECT("B"&amp;ROW()-1))</f>
        <v/>
      </c>
      <c r="DD12" s="373"/>
      <c r="DF12" s="372" t="s">
        <v>11</v>
      </c>
      <c r="DG12" s="373"/>
      <c r="DI12" s="372" t="s">
        <v>11</v>
      </c>
      <c r="DJ12" s="373"/>
      <c r="DL12" s="378" t="s">
        <v>11</v>
      </c>
      <c r="DO12" s="356"/>
      <c r="DP12" s="372" t="str">
        <f ca="1">INDIRECT("'Imp. Qualif.'!M"&amp;INDIRECT("B"&amp;ROW()-1))</f>
        <v/>
      </c>
      <c r="DQ12" s="373"/>
      <c r="DS12" s="372" t="s">
        <v>11</v>
      </c>
      <c r="DT12" s="373"/>
      <c r="DV12" s="372" t="s">
        <v>11</v>
      </c>
      <c r="DW12" s="373"/>
      <c r="DY12" s="378" t="s">
        <v>11</v>
      </c>
      <c r="EB12" s="356"/>
      <c r="EC12" s="372" t="str">
        <f ca="1">INDIRECT("'Imp. Qualif.'!M"&amp;INDIRECT("B"&amp;ROW()-1))</f>
        <v/>
      </c>
      <c r="ED12" s="373"/>
      <c r="EF12" s="372" t="s">
        <v>11</v>
      </c>
      <c r="EG12" s="373"/>
      <c r="EI12" s="372" t="s">
        <v>11</v>
      </c>
      <c r="EJ12" s="373"/>
      <c r="EL12" s="378" t="s">
        <v>11</v>
      </c>
    </row>
    <row r="13" spans="2:142" s="355" customFormat="1" ht="14.25" customHeight="1" thickBot="1" x14ac:dyDescent="0.25">
      <c r="C13" s="356"/>
      <c r="D13" s="358"/>
      <c r="E13" s="375"/>
      <c r="H13" s="375"/>
      <c r="K13" s="375"/>
      <c r="M13" s="358"/>
      <c r="N13" s="376"/>
      <c r="Q13" s="356"/>
      <c r="AB13" s="356"/>
      <c r="AC13" s="358"/>
      <c r="AD13" s="375"/>
      <c r="AG13" s="375"/>
      <c r="AJ13" s="375"/>
      <c r="AL13" s="358"/>
      <c r="AO13" s="356"/>
      <c r="AP13" s="358"/>
      <c r="AQ13" s="375"/>
      <c r="AT13" s="375"/>
      <c r="AW13" s="375"/>
      <c r="AY13" s="358"/>
      <c r="BB13" s="356"/>
      <c r="BC13" s="358"/>
      <c r="BD13" s="375"/>
      <c r="BG13" s="375"/>
      <c r="BJ13" s="375"/>
      <c r="BL13" s="358"/>
      <c r="BO13" s="356"/>
      <c r="BP13" s="358"/>
      <c r="BQ13" s="375"/>
      <c r="BT13" s="375"/>
      <c r="BW13" s="375"/>
      <c r="BY13" s="358"/>
      <c r="CB13" s="356"/>
      <c r="CC13" s="358"/>
      <c r="CD13" s="375"/>
      <c r="CG13" s="375"/>
      <c r="CJ13" s="375"/>
      <c r="CL13" s="358"/>
      <c r="CO13" s="356"/>
      <c r="CP13" s="358"/>
      <c r="CQ13" s="375"/>
      <c r="CT13" s="375"/>
      <c r="CW13" s="375"/>
      <c r="CY13" s="358"/>
      <c r="DB13" s="356"/>
      <c r="DC13" s="358"/>
      <c r="DD13" s="375"/>
      <c r="DG13" s="375"/>
      <c r="DJ13" s="375"/>
      <c r="DL13" s="358"/>
      <c r="DO13" s="356"/>
      <c r="DP13" s="358"/>
      <c r="DQ13" s="375"/>
      <c r="DT13" s="375"/>
      <c r="DW13" s="375"/>
      <c r="DY13" s="358"/>
      <c r="EB13" s="356"/>
      <c r="EC13" s="358"/>
      <c r="ED13" s="375"/>
      <c r="EG13" s="375"/>
      <c r="EJ13" s="375"/>
      <c r="EL13" s="358"/>
    </row>
    <row r="14" spans="2:142" s="355" customFormat="1" ht="14.25" customHeight="1" x14ac:dyDescent="0.2">
      <c r="B14" s="355">
        <v>13</v>
      </c>
      <c r="C14" s="356">
        <v>3</v>
      </c>
      <c r="D14" s="369" t="str">
        <f ca="1">INDIRECT("'Imp. Qualif.'!L"&amp;INDIRECT("B"&amp;ROW()))</f>
        <v/>
      </c>
      <c r="E14" s="370"/>
      <c r="G14" s="369" t="str">
        <f>IF(E8="","",IF(E8=E11, IF(E9 &lt; E12, D8, D11),IF(E8 &lt; E11,D8,D11)))</f>
        <v/>
      </c>
      <c r="H14" s="370"/>
      <c r="J14" s="369" t="str">
        <f>IF(H8="","",IF(H8=H11, IF(H9 &lt; H12, G8, G11),IF(H8 &lt; H11,G8,G11)))</f>
        <v/>
      </c>
      <c r="K14" s="370"/>
      <c r="M14" s="377" t="str">
        <f>IF(K14="","",IF(K14=K17, IF(K15 &gt; K18, J14, J17),IF(K14&gt;K17,J14,J17)))</f>
        <v/>
      </c>
      <c r="N14" s="1053">
        <v>3</v>
      </c>
      <c r="P14" s="355">
        <v>13</v>
      </c>
      <c r="Q14" s="356">
        <v>3</v>
      </c>
      <c r="AA14" s="355">
        <v>13</v>
      </c>
      <c r="AB14" s="356">
        <v>3</v>
      </c>
      <c r="AC14" s="369" t="str">
        <f ca="1">INDIRECT("'Imp. Qualif.'!L"&amp;INDIRECT("B"&amp;ROW()))</f>
        <v/>
      </c>
      <c r="AD14" s="370"/>
      <c r="AF14" s="369" t="str">
        <f>IF(AD8="","",IF(AD8=AD11, IF(AD9 &lt; AD12, AC8, AC11),IF(AD8 &lt; AD11,AC8,AC11)))</f>
        <v/>
      </c>
      <c r="AG14" s="370"/>
      <c r="AI14" s="369" t="str">
        <f>IF(AG8="","",IF(AG8=AG11, IF(AG9 &lt; AG12, AF8, AF11),IF(AG8 &lt; AG11,AF8,AF11)))</f>
        <v/>
      </c>
      <c r="AJ14" s="370"/>
      <c r="AL14" s="377" t="str">
        <f>IF(AJ14="","",IF(AJ14=AJ17, IF(AJ15 &gt; AJ18, AI14, AI17),IF(AJ14&gt;AJ17,AI14,AI17)))</f>
        <v/>
      </c>
      <c r="AN14" s="355">
        <v>13</v>
      </c>
      <c r="AO14" s="356">
        <v>3</v>
      </c>
      <c r="AP14" s="369" t="str">
        <f ca="1">INDIRECT("'Imp. Qualif.'!L"&amp;INDIRECT("B"&amp;ROW()))</f>
        <v/>
      </c>
      <c r="AQ14" s="370"/>
      <c r="AS14" s="369" t="str">
        <f>IF(AQ8="","",IF(AQ8=AQ11, IF(AQ9 &lt; AQ12, AP8, AP11),IF(AQ8 &lt; AQ11,AP8,AP11)))</f>
        <v/>
      </c>
      <c r="AT14" s="370"/>
      <c r="AV14" s="369" t="str">
        <f>IF(AT8="","",IF(AT8=AT11, IF(AT9 &lt; AT12, AS8, AS11),IF(AT8 &lt; AT11,AS8,AS11)))</f>
        <v/>
      </c>
      <c r="AW14" s="370"/>
      <c r="AY14" s="377" t="str">
        <f>IF(AW14="","",IF(AW14=AW17, IF(AW15 &gt; AW18, AV14, AV17),IF(AW14&gt;AW17,AV14,AV17)))</f>
        <v/>
      </c>
      <c r="BA14" s="355">
        <v>13</v>
      </c>
      <c r="BB14" s="356">
        <v>3</v>
      </c>
      <c r="BC14" s="369" t="str">
        <f ca="1">INDIRECT("'Imp. Qualif.'!L"&amp;INDIRECT("B"&amp;ROW()))</f>
        <v/>
      </c>
      <c r="BD14" s="370"/>
      <c r="BF14" s="369" t="str">
        <f>IF(BD8="","",IF(BD8=BD11, IF(BD9 &lt; BD12, BC8, BC11),IF(BD8 &lt; BD11,BC8,BC11)))</f>
        <v/>
      </c>
      <c r="BG14" s="370"/>
      <c r="BI14" s="369" t="str">
        <f>IF(BG8="","",IF(BG8=BG11, IF(BG9 &lt; BG12, BF8, BF11),IF(BG8 &lt; BG11,BF8,BF11)))</f>
        <v/>
      </c>
      <c r="BJ14" s="370"/>
      <c r="BL14" s="377" t="str">
        <f>IF(BJ14="","",IF(BJ14=BJ17, IF(BJ15 &gt; BJ18, BI14, BI17),IF(BJ14&gt;BJ17,BI14,BI17)))</f>
        <v/>
      </c>
      <c r="BN14" s="355">
        <v>13</v>
      </c>
      <c r="BO14" s="356">
        <v>3</v>
      </c>
      <c r="BP14" s="369" t="str">
        <f ca="1">INDIRECT("'Imp. Qualif.'!L"&amp;INDIRECT("B"&amp;ROW()))</f>
        <v/>
      </c>
      <c r="BQ14" s="370"/>
      <c r="BS14" s="369" t="str">
        <f>IF(BQ8="","",IF(BQ8=BQ11, IF(BQ9 &lt; BQ12, BP8, BP11),IF(BQ8 &lt; BQ11,BP8,BP11)))</f>
        <v/>
      </c>
      <c r="BT14" s="370"/>
      <c r="BV14" s="369" t="str">
        <f>IF(BT8="","",IF(BT8=BT11, IF(BT9 &lt; BT12, BS8, BS11),IF(BT8 &lt; BT11,BS8,BS11)))</f>
        <v/>
      </c>
      <c r="BW14" s="370"/>
      <c r="BY14" s="377" t="str">
        <f>IF(BW14="","",IF(BW14=BW17, IF(BW15 &gt; BW18, BV14, BV17),IF(BW14&gt;BW17,BV14,BV17)))</f>
        <v/>
      </c>
      <c r="CA14" s="355">
        <v>13</v>
      </c>
      <c r="CB14" s="356">
        <v>3</v>
      </c>
      <c r="CC14" s="369" t="str">
        <f ca="1">INDIRECT("'Imp. Qualif.'!L"&amp;INDIRECT("B"&amp;ROW()))</f>
        <v/>
      </c>
      <c r="CD14" s="370"/>
      <c r="CF14" s="369" t="str">
        <f>IF(CD8="","",IF(CD8=CD11, IF(CD9 &lt; CD12, CC8, CC11),IF(CD8 &lt; CD11,CC8,CC11)))</f>
        <v/>
      </c>
      <c r="CG14" s="370"/>
      <c r="CI14" s="369" t="str">
        <f>IF(CG8="","",IF(CG8=CG11, IF(CG9 &lt; CG12, CF8, CF11),IF(CG8 &lt; CG11,CF8,CF11)))</f>
        <v/>
      </c>
      <c r="CJ14" s="370"/>
      <c r="CL14" s="377" t="str">
        <f>IF(CJ14="","",IF(CJ14=CJ17, IF(CJ15 &gt; CJ18, CI14, CI17),IF(CJ14&gt;CJ17,CI14,CI17)))</f>
        <v/>
      </c>
      <c r="CN14" s="355">
        <v>13</v>
      </c>
      <c r="CO14" s="356">
        <v>3</v>
      </c>
      <c r="CP14" s="369" t="str">
        <f ca="1">INDIRECT("'Imp. Qualif.'!L"&amp;INDIRECT("B"&amp;ROW()))</f>
        <v/>
      </c>
      <c r="CQ14" s="370"/>
      <c r="CS14" s="369" t="str">
        <f>IF(CQ8="","",IF(CQ8=CQ11, IF(CQ9 &lt; CQ12, CP8, CP11),IF(CQ8 &lt; CQ11,CP8,CP11)))</f>
        <v/>
      </c>
      <c r="CT14" s="370"/>
      <c r="CV14" s="369" t="str">
        <f>IF(CT8="","",IF(CT8=CT11, IF(CT9 &lt; CT12, CS8, CS11),IF(CT8 &lt; CT11,CS8,CS11)))</f>
        <v/>
      </c>
      <c r="CW14" s="370"/>
      <c r="CY14" s="377" t="str">
        <f>IF(CW14="","",IF(CW14=CW17, IF(CW15 &gt; CW18, CV14, CV17),IF(CW14&gt;CW17,CV14,CV17)))</f>
        <v/>
      </c>
      <c r="DA14" s="355">
        <v>13</v>
      </c>
      <c r="DB14" s="356">
        <v>3</v>
      </c>
      <c r="DC14" s="369" t="str">
        <f ca="1">INDIRECT("'Imp. Qualif.'!L"&amp;INDIRECT("B"&amp;ROW()))</f>
        <v/>
      </c>
      <c r="DD14" s="370"/>
      <c r="DF14" s="369" t="s">
        <v>11</v>
      </c>
      <c r="DG14" s="370"/>
      <c r="DI14" s="369" t="s">
        <v>11</v>
      </c>
      <c r="DJ14" s="370"/>
      <c r="DL14" s="377" t="s">
        <v>11</v>
      </c>
      <c r="DN14" s="355">
        <v>13</v>
      </c>
      <c r="DO14" s="356">
        <v>3</v>
      </c>
      <c r="DP14" s="369" t="str">
        <f ca="1">INDIRECT("'Imp. Qualif.'!L"&amp;INDIRECT("B"&amp;ROW()))</f>
        <v/>
      </c>
      <c r="DQ14" s="370"/>
      <c r="DS14" s="369" t="s">
        <v>11</v>
      </c>
      <c r="DT14" s="370"/>
      <c r="DV14" s="369" t="s">
        <v>11</v>
      </c>
      <c r="DW14" s="370"/>
      <c r="DY14" s="377" t="s">
        <v>11</v>
      </c>
      <c r="EA14" s="355">
        <v>13</v>
      </c>
      <c r="EB14" s="356">
        <v>3</v>
      </c>
      <c r="EC14" s="369" t="str">
        <f ca="1">INDIRECT("'Imp. Qualif.'!L"&amp;INDIRECT("B"&amp;ROW()))</f>
        <v/>
      </c>
      <c r="ED14" s="370"/>
      <c r="EE14" s="388" t="str">
        <f>IF(ED14&gt;0,RANK(ED14,(ED14,ED17,ED20),0),"")</f>
        <v/>
      </c>
      <c r="EF14" s="369" t="str">
        <f>IF(ED8="","",IF(ED8=ED11, IF(ED9 &lt; ED12, EC8, EC11),IF(ED8 &lt; ED11,EC8,EC11)))</f>
        <v/>
      </c>
      <c r="EG14" s="370"/>
      <c r="EH14" s="388" t="str">
        <f>IF(EG14&gt;0,RANK(EG14,(EG14,EG17,EG20),0),"")</f>
        <v/>
      </c>
      <c r="EI14" s="369" t="str">
        <f>IF(EG8="","",IF(EG8=EG11, IF(EG9 &lt; EG12, EF8, EF11),IF(EG8 &lt; EG11,EF8,EF11)))</f>
        <v/>
      </c>
      <c r="EJ14" s="370"/>
      <c r="EK14" s="388" t="str">
        <f>IF(EJ14&gt;0,RANK(EJ14,(EJ14,EJ17,EJ20),0),"")</f>
        <v/>
      </c>
      <c r="EL14" s="377" t="str">
        <f>IF(EJ14="","",IF(EK14=1,EI14, IF(EK17 = 1, EI17, IF(EK20=1, EI20, ""))))</f>
        <v/>
      </c>
    </row>
    <row r="15" spans="2:142" s="355" customFormat="1" ht="14.25" customHeight="1" thickBot="1" x14ac:dyDescent="0.25">
      <c r="C15" s="356"/>
      <c r="D15" s="372" t="str">
        <f ca="1">INDIRECT("'Imp. Qualif.'!M"&amp;INDIRECT("B"&amp;ROW()-1))</f>
        <v/>
      </c>
      <c r="E15" s="373"/>
      <c r="G15" s="372" t="str">
        <f>IF(E8="","",IF(E8=E11, IF(E9 &lt; E12, D9, D12),IF(E8 &lt; E11,D9,D12)))</f>
        <v/>
      </c>
      <c r="H15" s="373"/>
      <c r="J15" s="372" t="str">
        <f>IF(H8="","",IF(H8=H11, IF(H9 &lt; H12, G9, G12),IF(H8 &lt; H11,G9,G12)))</f>
        <v/>
      </c>
      <c r="K15" s="373"/>
      <c r="M15" s="378" t="str">
        <f>IF(K14="","",IF(K14=K17, IF(K15 &gt; K18, J15, J18),IF(K14&gt;K17,J15,J18)))</f>
        <v/>
      </c>
      <c r="N15" s="1053"/>
      <c r="Q15" s="356"/>
      <c r="AB15" s="356"/>
      <c r="AC15" s="372" t="str">
        <f ca="1">INDIRECT("'Imp. Qualif.'!M"&amp;INDIRECT("B"&amp;ROW()-1))</f>
        <v/>
      </c>
      <c r="AD15" s="373"/>
      <c r="AF15" s="372" t="str">
        <f>IF(AD8="","",IF(AD8=AD11, IF(AD9 &lt; AD12, AC9, AC12),IF(AD8 &lt; AD11,AC9,AC12)))</f>
        <v/>
      </c>
      <c r="AG15" s="373"/>
      <c r="AI15" s="372" t="str">
        <f>IF(AG8="","",IF(AG8=AG11, IF(AG9 &lt; AG12, AF9, AF12),IF(AG8 &lt; AG11,AF9,AF12)))</f>
        <v/>
      </c>
      <c r="AJ15" s="373"/>
      <c r="AL15" s="378" t="str">
        <f>IF(AJ14="","",IF(AJ14=AJ17, IF(AJ15 &gt; AJ18, AI15, AI18),IF(AJ14&gt;AJ17,AI15,AI18)))</f>
        <v/>
      </c>
      <c r="AO15" s="356"/>
      <c r="AP15" s="372" t="str">
        <f ca="1">INDIRECT("'Imp. Qualif.'!M"&amp;INDIRECT("B"&amp;ROW()-1))</f>
        <v/>
      </c>
      <c r="AQ15" s="373"/>
      <c r="AS15" s="372" t="str">
        <f>IF(AQ8="","",IF(AQ8=AQ11, IF(AQ9 &lt; AQ12, AP9, AP12),IF(AQ8 &lt; AQ11,AP9,AP12)))</f>
        <v/>
      </c>
      <c r="AT15" s="373"/>
      <c r="AV15" s="372" t="str">
        <f>IF(AT8="","",IF(AT8=AT11, IF(AT9 &lt; AT12, AS9, AS12),IF(AT8 &lt; AT11,AS9,AS12)))</f>
        <v/>
      </c>
      <c r="AW15" s="373"/>
      <c r="AY15" s="378" t="str">
        <f>IF(AW14="","",IF(AW14=AW17, IF(AW15 &gt; AW18, AV15, AV18),IF(AW14&gt;AW17,AV15,AV18)))</f>
        <v/>
      </c>
      <c r="BB15" s="356"/>
      <c r="BC15" s="372" t="str">
        <f ca="1">INDIRECT("'Imp. Qualif.'!M"&amp;INDIRECT("B"&amp;ROW()-1))</f>
        <v/>
      </c>
      <c r="BD15" s="373"/>
      <c r="BF15" s="372" t="str">
        <f>IF(BD8="","",IF(BD8=BD11, IF(BD9 &lt; BD12, BC9, BC12),IF(BD8 &lt; BD11,BC9,BC12)))</f>
        <v/>
      </c>
      <c r="BG15" s="373"/>
      <c r="BI15" s="372" t="str">
        <f>IF(BG8="","",IF(BG8=BG11, IF(BG9 &lt; BG12, BF9, BF12),IF(BG8 &lt; BG11,BF9,BF12)))</f>
        <v/>
      </c>
      <c r="BJ15" s="373"/>
      <c r="BL15" s="378" t="str">
        <f>IF(BJ14="","",IF(BJ14=BJ17, IF(BJ15 &gt; BJ18, BI15, BI18),IF(BJ14&gt;BJ17,BI15,BI18)))</f>
        <v/>
      </c>
      <c r="BO15" s="356"/>
      <c r="BP15" s="372" t="str">
        <f ca="1">INDIRECT("'Imp. Qualif.'!M"&amp;INDIRECT("B"&amp;ROW()-1))</f>
        <v/>
      </c>
      <c r="BQ15" s="373"/>
      <c r="BS15" s="372" t="str">
        <f>IF(BQ8="","",IF(BQ8=BQ11, IF(BQ9 &lt; BQ12, BP9, BP12),IF(BQ8 &lt; BQ11,BP9,BP12)))</f>
        <v/>
      </c>
      <c r="BT15" s="373"/>
      <c r="BV15" s="372" t="str">
        <f>IF(BT8="","",IF(BT8=BT11, IF(BT9 &lt; BT12, BS9, BS12),IF(BT8 &lt; BT11,BS9,BS12)))</f>
        <v/>
      </c>
      <c r="BW15" s="373"/>
      <c r="BY15" s="378" t="str">
        <f>IF(BW14="","",IF(BW14=BW17, IF(BW15 &gt; BW18, BV15, BV18),IF(BW14&gt;BW17,BV15,BV18)))</f>
        <v/>
      </c>
      <c r="CB15" s="356"/>
      <c r="CC15" s="372" t="str">
        <f ca="1">INDIRECT("'Imp. Qualif.'!M"&amp;INDIRECT("B"&amp;ROW()-1))</f>
        <v/>
      </c>
      <c r="CD15" s="373"/>
      <c r="CF15" s="372" t="str">
        <f>IF(CD8="","",IF(CD8=CD11, IF(CD9 &lt; CD12, CC9, CC12),IF(CD8 &lt; CD11,CC9,CC12)))</f>
        <v/>
      </c>
      <c r="CG15" s="373"/>
      <c r="CI15" s="372" t="str">
        <f>IF(CG8="","",IF(CG8=CG11, IF(CG9 &lt; CG12, CF9, CF12),IF(CG8 &lt; CG11,CF9,CF12)))</f>
        <v/>
      </c>
      <c r="CJ15" s="373"/>
      <c r="CL15" s="378" t="str">
        <f>IF(CJ14="","",IF(CJ14=CJ17, IF(CJ15 &gt; CJ18, CI15, CI18),IF(CJ14&gt;CJ17,CI15,CI18)))</f>
        <v/>
      </c>
      <c r="CO15" s="356"/>
      <c r="CP15" s="372" t="str">
        <f ca="1">INDIRECT("'Imp. Qualif.'!M"&amp;INDIRECT("B"&amp;ROW()-1))</f>
        <v/>
      </c>
      <c r="CQ15" s="373"/>
      <c r="CS15" s="372" t="str">
        <f>IF(CQ8="","",IF(CQ8=CQ11, IF(CQ9 &lt; CQ12, CP9, CP12),IF(CQ8 &lt; CQ11,CP9,CP12)))</f>
        <v/>
      </c>
      <c r="CT15" s="373"/>
      <c r="CV15" s="372" t="str">
        <f>IF(CT8="","",IF(CT8=CT11, IF(CT9 &lt; CT12, CS9, CS12),IF(CT8 &lt; CT11,CS9,CS12)))</f>
        <v/>
      </c>
      <c r="CW15" s="373"/>
      <c r="CY15" s="378" t="str">
        <f>IF(CW14="","",IF(CW14=CW17, IF(CW15 &gt; CW18, CV15, CV18),IF(CW14&gt;CW17,CV15,CV18)))</f>
        <v/>
      </c>
      <c r="DB15" s="356"/>
      <c r="DC15" s="372" t="str">
        <f ca="1">INDIRECT("'Imp. Qualif.'!M"&amp;INDIRECT("B"&amp;ROW()-1))</f>
        <v/>
      </c>
      <c r="DD15" s="373"/>
      <c r="DF15" s="372" t="s">
        <v>11</v>
      </c>
      <c r="DG15" s="373"/>
      <c r="DI15" s="372" t="s">
        <v>11</v>
      </c>
      <c r="DJ15" s="373"/>
      <c r="DL15" s="378" t="s">
        <v>11</v>
      </c>
      <c r="DO15" s="356"/>
      <c r="DP15" s="372" t="str">
        <f ca="1">INDIRECT("'Imp. Qualif.'!M"&amp;INDIRECT("B"&amp;ROW()-1))</f>
        <v/>
      </c>
      <c r="DQ15" s="373"/>
      <c r="DS15" s="372" t="s">
        <v>11</v>
      </c>
      <c r="DT15" s="373"/>
      <c r="DV15" s="372" t="s">
        <v>11</v>
      </c>
      <c r="DW15" s="373"/>
      <c r="DY15" s="378" t="s">
        <v>11</v>
      </c>
      <c r="EB15" s="356"/>
      <c r="EC15" s="372" t="str">
        <f ca="1">INDIRECT("'Imp. Qualif.'!M"&amp;INDIRECT("B"&amp;ROW()-1))</f>
        <v/>
      </c>
      <c r="ED15" s="373"/>
      <c r="EE15" s="383"/>
      <c r="EF15" s="372" t="str">
        <f>IF(ED8="","",IF(ED8=ED11, IF(ED9 &lt; ED12, EC9, EC12),IF(ED8 &lt; ED11,EC9,EC12)))</f>
        <v/>
      </c>
      <c r="EG15" s="373"/>
      <c r="EH15" s="383"/>
      <c r="EI15" s="372" t="str">
        <f>IF(EG8="","",IF(EG8=EG11, IF(EG9 &lt; EG12, EF9, EF12),IF(EG8 &lt; EG11,EF9,EF12)))</f>
        <v/>
      </c>
      <c r="EJ15" s="373"/>
      <c r="EL15" s="378" t="str">
        <f>IF(EJ14="","",IF(EK14=1,EI15, IF(EK17 = 1, EI18, IF(EK20=1, EI21, ""))))</f>
        <v/>
      </c>
    </row>
    <row r="16" spans="2:142" s="355" customFormat="1" ht="14.25" customHeight="1" x14ac:dyDescent="0.2">
      <c r="C16" s="356"/>
      <c r="D16" s="358"/>
      <c r="E16" s="375"/>
      <c r="H16" s="375"/>
      <c r="K16" s="375"/>
      <c r="M16" s="358"/>
      <c r="N16" s="359"/>
      <c r="Q16" s="356"/>
      <c r="AB16" s="356"/>
      <c r="AC16" s="358"/>
      <c r="AD16" s="375"/>
      <c r="AG16" s="375"/>
      <c r="AJ16" s="375"/>
      <c r="AL16" s="358"/>
      <c r="AO16" s="356"/>
      <c r="AP16" s="358"/>
      <c r="AQ16" s="375"/>
      <c r="AT16" s="375"/>
      <c r="AW16" s="375"/>
      <c r="AY16" s="358"/>
      <c r="BB16" s="356"/>
      <c r="BC16" s="358"/>
      <c r="BD16" s="375"/>
      <c r="BG16" s="375"/>
      <c r="BJ16" s="375"/>
      <c r="BL16" s="358"/>
      <c r="BO16" s="356"/>
      <c r="BP16" s="358"/>
      <c r="BQ16" s="381"/>
      <c r="BT16" s="381"/>
      <c r="BW16" s="381"/>
      <c r="BY16" s="358"/>
      <c r="CB16" s="356"/>
      <c r="CC16" s="358"/>
      <c r="CD16" s="381"/>
      <c r="CG16" s="381"/>
      <c r="CJ16" s="381"/>
      <c r="CL16" s="358"/>
      <c r="CO16" s="356"/>
      <c r="CP16" s="358"/>
      <c r="CQ16" s="381"/>
      <c r="CT16" s="381"/>
      <c r="CW16" s="381"/>
      <c r="CY16" s="358"/>
      <c r="DB16" s="356"/>
      <c r="DC16" s="358"/>
      <c r="DD16" s="381"/>
      <c r="DG16" s="381"/>
      <c r="DJ16" s="381"/>
      <c r="DL16" s="358"/>
      <c r="DO16" s="356"/>
      <c r="DP16" s="358"/>
      <c r="DQ16" s="381"/>
      <c r="DT16" s="381"/>
      <c r="DW16" s="381"/>
      <c r="DY16" s="358"/>
      <c r="EB16" s="356"/>
      <c r="EC16" s="358"/>
      <c r="ED16" s="381"/>
      <c r="EE16" s="383"/>
      <c r="EG16" s="381"/>
      <c r="EH16" s="383"/>
      <c r="EJ16" s="381"/>
      <c r="EL16" s="358"/>
    </row>
    <row r="17" spans="2:142" s="355" customFormat="1" ht="14.25" customHeight="1" x14ac:dyDescent="0.2">
      <c r="B17" s="355">
        <v>14</v>
      </c>
      <c r="C17" s="356">
        <v>4</v>
      </c>
      <c r="D17" s="369" t="str">
        <f ca="1">INDIRECT("'Imp. Qualif.'!L"&amp;INDIRECT("B"&amp;ROW()))</f>
        <v/>
      </c>
      <c r="E17" s="370"/>
      <c r="G17" s="369" t="str">
        <f>IF(E20="","",IF(E20=E23, IF(E21 &gt; E24, D20, D23),IF(E20&gt;E23,D20,D23)))</f>
        <v/>
      </c>
      <c r="H17" s="370"/>
      <c r="J17" s="369" t="str">
        <f>IF(H20="","",IF(H20=H23, IF(H21 &gt; H24, G20, G23),IF(H20&gt;H23,G20,G23)))</f>
        <v/>
      </c>
      <c r="K17" s="370"/>
      <c r="M17" s="369" t="str">
        <f>IF(K14="","",IF(K14=K17, IF(K18 &lt; K15, J17, J14),IF(K17 &lt; K14,J17,J14)))</f>
        <v/>
      </c>
      <c r="N17" s="379">
        <v>4</v>
      </c>
      <c r="P17" s="355">
        <v>14</v>
      </c>
      <c r="Q17" s="356">
        <v>4</v>
      </c>
      <c r="AA17" s="355">
        <v>14</v>
      </c>
      <c r="AB17" s="356">
        <v>4</v>
      </c>
      <c r="AC17" s="369" t="str">
        <f ca="1">INDIRECT("'Imp. Qualif.'!L"&amp;INDIRECT("B"&amp;ROW()))</f>
        <v/>
      </c>
      <c r="AD17" s="370"/>
      <c r="AF17" s="369" t="str">
        <f>IF(AD20="","",IF(AD20=AD23, IF(AD21 &gt; AD24, AC20, AC23),IF(AD20&gt;AD23,AC20,AC23)))</f>
        <v/>
      </c>
      <c r="AG17" s="370"/>
      <c r="AI17" s="369" t="str">
        <f>IF(AG20="","",IF(AG20=AG23, IF(AG21 &gt; AG24, AF20, AF23),IF(AG20&gt;AG23,AF20,AF23)))</f>
        <v/>
      </c>
      <c r="AJ17" s="370"/>
      <c r="AL17" s="369" t="str">
        <f>IF(AJ14="","",IF(AJ14=AJ17, IF(AJ18 &lt; AJ15, AI17, AI14),IF(AJ17 &lt; AJ14,AI17,AI14)))</f>
        <v/>
      </c>
      <c r="AN17" s="355">
        <v>14</v>
      </c>
      <c r="AO17" s="356">
        <v>4</v>
      </c>
      <c r="AP17" s="369" t="str">
        <f ca="1">INDIRECT("'Imp. Qualif.'!L"&amp;INDIRECT("B"&amp;ROW()))</f>
        <v/>
      </c>
      <c r="AQ17" s="370"/>
      <c r="AS17" s="369" t="str">
        <f>IF(AQ20="","",IF(AQ20=AQ23, IF(AQ21 &gt; AQ24, AP20, AP23),IF(AQ20&gt;AQ23,AP20,AP23)))</f>
        <v/>
      </c>
      <c r="AT17" s="370"/>
      <c r="AV17" s="369" t="str">
        <f>IF(AT20="","",IF(AT20=AT23, IF(AT21 &gt; AT24, AS20, AS23),IF(AT20&gt;AT23,AS20,AS23)))</f>
        <v/>
      </c>
      <c r="AW17" s="370"/>
      <c r="AY17" s="369" t="str">
        <f>IF(AW14="","",IF(AW14=AW17, IF(AW18 &lt; AW15, AV17, AV14),IF(AW17 &lt; AW14,AV17,AV14)))</f>
        <v/>
      </c>
      <c r="BA17" s="355">
        <v>14</v>
      </c>
      <c r="BB17" s="356">
        <v>4</v>
      </c>
      <c r="BC17" s="369" t="str">
        <f ca="1">INDIRECT("'Imp. Qualif.'!L"&amp;INDIRECT("B"&amp;ROW()))</f>
        <v/>
      </c>
      <c r="BD17" s="370"/>
      <c r="BF17" s="369" t="str">
        <f>IF(BD20="","",IF(BD20=BD23, IF(BD21 &gt; BD24, BC20, BC23),IF(BD20&gt;BD23,BC20,BC23)))</f>
        <v/>
      </c>
      <c r="BG17" s="370"/>
      <c r="BI17" s="369" t="str">
        <f>IF(BG20="","",IF(BG20=BG23, IF(BG21 &gt; BG24, BF20, BF23),IF(BG20&gt;BG23,BF20,BF23)))</f>
        <v/>
      </c>
      <c r="BJ17" s="370"/>
      <c r="BL17" s="369" t="str">
        <f>IF(BJ14="","",IF(BJ14=BJ17, IF(BJ18 &lt; BJ15, BI17, BI14),IF(BJ17 &lt; BJ14,BI17,BI14)))</f>
        <v/>
      </c>
      <c r="BN17" s="355">
        <v>14</v>
      </c>
      <c r="BO17" s="356">
        <v>4</v>
      </c>
      <c r="BP17" s="369" t="str">
        <f ca="1">INDIRECT("'Imp. Qualif.'!L"&amp;INDIRECT("B"&amp;ROW()))</f>
        <v/>
      </c>
      <c r="BQ17" s="370"/>
      <c r="BS17" s="369" t="str">
        <f>IF(BQ20="","",IF(BQ20=BQ23, IF(BQ21 &gt; BQ24, BP20, BP23),IF(BQ20&gt;BQ23,BP20,BP23)))</f>
        <v/>
      </c>
      <c r="BT17" s="370"/>
      <c r="BV17" s="369" t="str">
        <f>IF(BT20="","",IF(BT20=BT23, IF(BT21 &gt; BT24, BS20, BS23),IF(BT20&gt;BT23,BS20,BS23)))</f>
        <v/>
      </c>
      <c r="BW17" s="370"/>
      <c r="BY17" s="369" t="str">
        <f>IF(BW14="","",IF(BW14=BW17, IF(BW18 &lt; BW15, BV17, BV14),IF(BW17 &lt; BW14,BV17,BV14)))</f>
        <v/>
      </c>
      <c r="CA17" s="355">
        <v>14</v>
      </c>
      <c r="CB17" s="356">
        <v>4</v>
      </c>
      <c r="CC17" s="369" t="str">
        <f ca="1">INDIRECT("'Imp. Qualif.'!L"&amp;INDIRECT("B"&amp;ROW()))</f>
        <v/>
      </c>
      <c r="CD17" s="370"/>
      <c r="CF17" s="369" t="str">
        <f>IF(CD20="","",IF(CD20=CD23, IF(CD21 &gt; CD24, CC20, CC23),IF(CD20&gt;CD23,CC20,CC23)))</f>
        <v/>
      </c>
      <c r="CG17" s="370"/>
      <c r="CI17" s="369" t="str">
        <f>IF(CG20="","",IF(CG20=CG23, IF(CG21 &gt; CG24, CF20, CF23),IF(CG20&gt;CG23,CF20,CF23)))</f>
        <v/>
      </c>
      <c r="CJ17" s="370"/>
      <c r="CL17" s="369" t="str">
        <f>IF(CJ14="","",IF(CJ14=CJ17, IF(CJ18 &lt; CJ15, CI17, CI14),IF(CJ17 &lt; CJ14,CI17,CI14)))</f>
        <v/>
      </c>
      <c r="CN17" s="355">
        <v>14</v>
      </c>
      <c r="CO17" s="356">
        <v>4</v>
      </c>
      <c r="CP17" s="369" t="str">
        <f ca="1">INDIRECT("'Imp. Qualif.'!L"&amp;INDIRECT("B"&amp;ROW()))</f>
        <v/>
      </c>
      <c r="CQ17" s="370"/>
      <c r="CS17" s="369" t="str">
        <f>IF(CQ20="","",IF(CQ20=CQ23, IF(CQ21 &gt; CQ24, CP20, CP23),IF(CQ20&gt;CQ23,CP20,CP23)))</f>
        <v/>
      </c>
      <c r="CT17" s="370"/>
      <c r="CV17" s="369" t="str">
        <f>IF(CT20="","",IF(CT20=CT23, IF(CT21 &gt; CT24, CS20, CS23),IF(CT20&gt;CT23,CS20,CS23)))</f>
        <v/>
      </c>
      <c r="CW17" s="370"/>
      <c r="CY17" s="369" t="str">
        <f>IF(CW14="","",IF(CW14=CW17, IF(CW18 &lt; CW15, CV17, CV14),IF(CW17 &lt; CW14,CV17,CV14)))</f>
        <v/>
      </c>
      <c r="DA17" s="355">
        <v>14</v>
      </c>
      <c r="DB17" s="356">
        <v>4</v>
      </c>
      <c r="DC17" s="369" t="str">
        <f ca="1">INDIRECT("'Imp. Qualif.'!L"&amp;INDIRECT("B"&amp;ROW()))</f>
        <v/>
      </c>
      <c r="DD17" s="370"/>
      <c r="DF17" s="369" t="s">
        <v>11</v>
      </c>
      <c r="DG17" s="370"/>
      <c r="DI17" s="369" t="s">
        <v>11</v>
      </c>
      <c r="DJ17" s="370"/>
      <c r="DL17" s="369" t="s">
        <v>11</v>
      </c>
      <c r="DN17" s="355">
        <v>14</v>
      </c>
      <c r="DO17" s="356">
        <v>4</v>
      </c>
      <c r="DP17" s="369" t="str">
        <f ca="1">INDIRECT("'Imp. Qualif.'!L"&amp;INDIRECT("B"&amp;ROW()))</f>
        <v/>
      </c>
      <c r="DQ17" s="370"/>
      <c r="DS17" s="369" t="s">
        <v>11</v>
      </c>
      <c r="DT17" s="370"/>
      <c r="DV17" s="369" t="s">
        <v>11</v>
      </c>
      <c r="DW17" s="370"/>
      <c r="DY17" s="369" t="s">
        <v>11</v>
      </c>
      <c r="EA17" s="355">
        <v>14</v>
      </c>
      <c r="EB17" s="356">
        <v>4</v>
      </c>
      <c r="EC17" s="369" t="str">
        <f ca="1">INDIRECT("'Imp. Qualif.'!L"&amp;INDIRECT("B"&amp;ROW()))</f>
        <v/>
      </c>
      <c r="ED17" s="370"/>
      <c r="EE17" s="388" t="str">
        <f>IF(ED17&gt;0,RANK(ED17,(ED14,ED17,ED20),0),"")</f>
        <v/>
      </c>
      <c r="EF17" s="369" t="str">
        <f>IF(ED17="","",IF(EE14=2,EC14, IF(EE17 = 2, EC17, IF(EE20=2, EC20, ""))))</f>
        <v/>
      </c>
      <c r="EG17" s="370"/>
      <c r="EH17" s="388" t="str">
        <f>IF(EG17&gt;0,RANK(EG17,(EG14,EG17,EG20),0),"")</f>
        <v/>
      </c>
      <c r="EI17" s="369" t="str">
        <f>IF(EG17="","",IF(EH14=2,EF14, IF(EH17 = 2, EF17, IF(EH20=2, EF20, ""))))</f>
        <v/>
      </c>
      <c r="EJ17" s="370"/>
      <c r="EK17" s="388" t="str">
        <f>IF(EJ17&gt;0,RANK(EJ17,(EJ14,EJ17,EJ20),0),"")</f>
        <v/>
      </c>
      <c r="EL17" s="369" t="str">
        <f>IF(EJ17="","",IF(EK14=2,EI14, IF(EK17 = 2, EI17, IF(EK20=2, EI20, ""))))</f>
        <v/>
      </c>
    </row>
    <row r="18" spans="2:142" s="355" customFormat="1" ht="14.25" customHeight="1" thickBot="1" x14ac:dyDescent="0.25">
      <c r="C18" s="356"/>
      <c r="D18" s="372" t="str">
        <f ca="1">INDIRECT("'Imp. Qualif.'!M"&amp;INDIRECT("B"&amp;ROW()-1))</f>
        <v/>
      </c>
      <c r="E18" s="373"/>
      <c r="G18" s="380" t="str">
        <f>IF(E20="","",IF(E20=E23, IF(E21 &gt; E24, D21, D24),IF(E20&gt;E23,D21,D24)))</f>
        <v/>
      </c>
      <c r="H18" s="373"/>
      <c r="J18" s="380" t="str">
        <f>IF(H20="","",IF(H20=H23, IF(H21 &gt; H24, G21, G24),IF(H20&gt;H23,G21,G24)))</f>
        <v/>
      </c>
      <c r="K18" s="373"/>
      <c r="M18" s="372" t="str">
        <f>IF(K14="","",IF(K14=K17, IF(K18 &lt; K15, J18, J15),IF(K17 &lt; K14,J18,J15)))</f>
        <v/>
      </c>
      <c r="N18" s="379"/>
      <c r="Q18" s="356"/>
      <c r="AB18" s="356"/>
      <c r="AC18" s="372" t="str">
        <f ca="1">INDIRECT("'Imp. Qualif.'!M"&amp;INDIRECT("B"&amp;ROW()-1))</f>
        <v/>
      </c>
      <c r="AD18" s="373"/>
      <c r="AF18" s="372" t="str">
        <f>IF(AD20="","",IF(AD20=AD23, IF(AD21 &gt; AD24, AC21, AC24),IF(AD20&gt;AD23,AC21,AC24)))</f>
        <v/>
      </c>
      <c r="AG18" s="373"/>
      <c r="AI18" s="372" t="str">
        <f>IF(AG20="","",IF(AG20=AG23, IF(AG21 &gt; AG24, AF21, AF24),IF(AG20&gt;AG23,AF21,AF24)))</f>
        <v/>
      </c>
      <c r="AJ18" s="373"/>
      <c r="AL18" s="372" t="str">
        <f>IF(AJ14="","",IF(AJ14=AJ17, IF(AJ18 &lt; AJ15, AI18, AI15),IF(AJ17 &lt; AJ14,AI18,AI15)))</f>
        <v/>
      </c>
      <c r="AO18" s="356"/>
      <c r="AP18" s="372" t="str">
        <f ca="1">INDIRECT("'Imp. Qualif.'!M"&amp;INDIRECT("B"&amp;ROW()-1))</f>
        <v/>
      </c>
      <c r="AQ18" s="373"/>
      <c r="AS18" s="380" t="str">
        <f>IF(AQ20="","",IF(AQ20=AQ23, IF(AQ21 &gt; AQ24, AP21, AP24),IF(AQ20&gt;AQ23,AP21,AP24)))</f>
        <v/>
      </c>
      <c r="AT18" s="373"/>
      <c r="AV18" s="380" t="str">
        <f>IF(AT20="","",IF(AT20=AT23, IF(AT21 &gt; AT24, AS21, AS24),IF(AT20&gt;AT23,AS21,AS24)))</f>
        <v/>
      </c>
      <c r="AW18" s="373"/>
      <c r="AY18" s="372" t="str">
        <f>IF(AW14="","",IF(AW14=AW17, IF(AW18 &lt; AW15, AV18, AV15),IF(AW17 &lt; AW14,AV18,AV15)))</f>
        <v/>
      </c>
      <c r="BB18" s="356"/>
      <c r="BC18" s="372" t="str">
        <f ca="1">INDIRECT("'Imp. Qualif.'!M"&amp;INDIRECT("B"&amp;ROW()-1))</f>
        <v/>
      </c>
      <c r="BD18" s="373"/>
      <c r="BF18" s="372" t="str">
        <f>IF(BD20="","",IF(BD20=BD23, IF(BD21 &gt; BD24, BC21, BC24),IF(BD20&gt;BD23,BC21,BC24)))</f>
        <v/>
      </c>
      <c r="BG18" s="373"/>
      <c r="BI18" s="372" t="str">
        <f>IF(BG20="","",IF(BG20=BG23, IF(BG21 &gt; BG24, BF21, BF24),IF(BG20&gt;BG23,BF21,BF24)))</f>
        <v/>
      </c>
      <c r="BJ18" s="373"/>
      <c r="BL18" s="372" t="str">
        <f>IF(BJ14="","",IF(BJ14=BJ17, IF(BJ18 &lt; BJ15, BI18, BI15),IF(BJ17 &lt; BJ14,BI18,BI15)))</f>
        <v/>
      </c>
      <c r="BO18" s="356"/>
      <c r="BP18" s="372" t="str">
        <f ca="1">INDIRECT("'Imp. Qualif.'!M"&amp;INDIRECT("B"&amp;ROW()-1))</f>
        <v/>
      </c>
      <c r="BQ18" s="373"/>
      <c r="BS18" s="380" t="str">
        <f>IF(BQ20="","",IF(BQ20=BQ23, IF(BQ21 &gt; BQ24, BP21, BP24),IF(BQ20&gt;BQ23,BP21,BP24)))</f>
        <v/>
      </c>
      <c r="BT18" s="373"/>
      <c r="BV18" s="380" t="str">
        <f>IF(BT20="","",IF(BT20=BT23, IF(BT21 &gt; BT24, BS21, BS24),IF(BT20&gt;BT23,BS21,BS24)))</f>
        <v/>
      </c>
      <c r="BW18" s="373"/>
      <c r="BY18" s="372" t="str">
        <f>IF(BW14="","",IF(BW14=BW17, IF(BW18 &lt; BW15, BV18, BV15),IF(BW17 &lt; BW14,BV18,BV15)))</f>
        <v/>
      </c>
      <c r="CB18" s="356"/>
      <c r="CC18" s="372" t="str">
        <f ca="1">INDIRECT("'Imp. Qualif.'!M"&amp;INDIRECT("B"&amp;ROW()-1))</f>
        <v/>
      </c>
      <c r="CD18" s="373"/>
      <c r="CF18" s="380" t="str">
        <f>IF(CD20="","",IF(CD20=CD23, IF(CD21 &gt; CD24, CC21, CC24),IF(CD20&gt;CD23,CC21,CC24)))</f>
        <v/>
      </c>
      <c r="CG18" s="373"/>
      <c r="CI18" s="380" t="str">
        <f>IF(CG20="","",IF(CG20=CG23, IF(CG21 &gt; CG24, CF21, CF24),IF(CG20&gt;CG23,CF21,CF24)))</f>
        <v/>
      </c>
      <c r="CJ18" s="373"/>
      <c r="CL18" s="372" t="str">
        <f>IF(CJ14="","",IF(CJ14=CJ17, IF(CJ18 &lt; CJ15, CI18, CI15),IF(CJ17 &lt; CJ14,CI18,CI15)))</f>
        <v/>
      </c>
      <c r="CO18" s="356"/>
      <c r="CP18" s="372" t="str">
        <f ca="1">INDIRECT("'Imp. Qualif.'!M"&amp;INDIRECT("B"&amp;ROW()-1))</f>
        <v/>
      </c>
      <c r="CQ18" s="373"/>
      <c r="CS18" s="380" t="str">
        <f>IF(CQ20="","",IF(CQ20=CQ23, IF(CQ21 &gt; CQ24, CP21, CP24),IF(CQ20&gt;CQ23,CP21,CP24)))</f>
        <v/>
      </c>
      <c r="CT18" s="373"/>
      <c r="CV18" s="380" t="str">
        <f>IF(CT20="","",IF(CT20=CT23, IF(CT21 &gt; CT24, CS21, CS24),IF(CT20&gt;CT23,CS21,CS24)))</f>
        <v/>
      </c>
      <c r="CW18" s="373"/>
      <c r="CY18" s="372" t="str">
        <f>IF(CW14="","",IF(CW14=CW17, IF(CW18 &lt; CW15, CV18, CV15),IF(CW17 &lt; CW14,CV18,CV15)))</f>
        <v/>
      </c>
      <c r="DB18" s="356"/>
      <c r="DC18" s="372" t="str">
        <f ca="1">INDIRECT("'Imp. Qualif.'!M"&amp;INDIRECT("B"&amp;ROW()-1))</f>
        <v/>
      </c>
      <c r="DD18" s="373"/>
      <c r="DF18" s="380" t="s">
        <v>11</v>
      </c>
      <c r="DG18" s="373"/>
      <c r="DI18" s="380" t="s">
        <v>11</v>
      </c>
      <c r="DJ18" s="373"/>
      <c r="DL18" s="372" t="s">
        <v>11</v>
      </c>
      <c r="DO18" s="356"/>
      <c r="DP18" s="372" t="str">
        <f ca="1">INDIRECT("'Imp. Qualif.'!M"&amp;INDIRECT("B"&amp;ROW()-1))</f>
        <v/>
      </c>
      <c r="DQ18" s="373"/>
      <c r="DS18" s="372" t="s">
        <v>11</v>
      </c>
      <c r="DT18" s="373"/>
      <c r="DV18" s="372" t="s">
        <v>11</v>
      </c>
      <c r="DW18" s="373"/>
      <c r="DY18" s="372" t="s">
        <v>11</v>
      </c>
      <c r="EB18" s="356"/>
      <c r="EC18" s="372" t="str">
        <f ca="1">INDIRECT("'Imp. Qualif.'!M"&amp;INDIRECT("B"&amp;ROW()-1))</f>
        <v/>
      </c>
      <c r="ED18" s="373"/>
      <c r="EF18" s="372" t="str">
        <f>IF(ED17="","",IF(EE14=2,EC15, IF(EE17 = 2, EC18, IF(EE20=2, EC21, ""))))</f>
        <v/>
      </c>
      <c r="EG18" s="373"/>
      <c r="EI18" s="372" t="str">
        <f>IF(EG17="","",IF(EH14=2,EF15, IF(EH17 = 2, EF18, IF(EH20=2, EF21, ""))))</f>
        <v/>
      </c>
      <c r="EJ18" s="373"/>
      <c r="EL18" s="372" t="str">
        <f>IF(EJ17="","",IF(EK14=2,EI15, IF(EK17 = 2, EI18, IF(EK20=2, EI21, ""))))</f>
        <v/>
      </c>
    </row>
    <row r="19" spans="2:142" s="355" customFormat="1" ht="14.25" customHeight="1" x14ac:dyDescent="0.2">
      <c r="C19" s="356"/>
      <c r="D19" s="358"/>
      <c r="E19" s="375"/>
      <c r="H19" s="375"/>
      <c r="K19" s="375"/>
      <c r="M19" s="358"/>
      <c r="N19" s="379"/>
      <c r="Q19" s="356"/>
      <c r="AB19" s="356"/>
      <c r="AC19" s="358"/>
      <c r="AD19" s="375"/>
      <c r="AG19" s="375"/>
      <c r="AJ19" s="375"/>
      <c r="AL19" s="358"/>
      <c r="AO19" s="356"/>
      <c r="AP19" s="358"/>
      <c r="AQ19" s="375"/>
      <c r="AT19" s="375"/>
      <c r="AW19" s="375"/>
      <c r="AY19" s="358"/>
      <c r="BB19" s="356"/>
      <c r="BC19" s="358"/>
      <c r="BD19" s="375"/>
      <c r="BG19" s="375"/>
      <c r="BJ19" s="375"/>
      <c r="BL19" s="358"/>
      <c r="BO19" s="356"/>
      <c r="BP19" s="358"/>
      <c r="BQ19" s="381"/>
      <c r="BT19" s="381"/>
      <c r="BW19" s="381"/>
      <c r="BY19" s="358"/>
      <c r="CB19" s="356"/>
      <c r="CC19" s="358"/>
      <c r="CD19" s="382"/>
      <c r="CF19" s="358"/>
      <c r="CG19" s="382"/>
      <c r="CI19" s="358"/>
      <c r="CJ19" s="382"/>
      <c r="CL19" s="358"/>
      <c r="CO19" s="356"/>
      <c r="CP19" s="358"/>
      <c r="CQ19" s="382"/>
      <c r="CS19" s="358"/>
      <c r="CT19" s="382"/>
      <c r="CV19" s="358"/>
      <c r="CW19" s="382"/>
      <c r="CY19" s="358"/>
      <c r="DB19" s="356"/>
      <c r="DC19" s="358"/>
      <c r="DD19" s="382"/>
      <c r="DF19" s="358"/>
      <c r="DG19" s="382"/>
      <c r="DI19" s="358"/>
      <c r="DJ19" s="382"/>
      <c r="DL19" s="358"/>
      <c r="DO19" s="356"/>
      <c r="DP19" s="358"/>
      <c r="DQ19" s="381"/>
      <c r="DT19" s="381"/>
      <c r="DW19" s="381"/>
      <c r="DY19" s="358"/>
      <c r="EB19" s="356"/>
      <c r="EC19" s="358"/>
      <c r="ED19" s="382"/>
      <c r="EF19" s="358"/>
      <c r="EG19" s="382"/>
      <c r="EI19" s="358"/>
      <c r="EJ19" s="382"/>
      <c r="EL19" s="358"/>
    </row>
    <row r="20" spans="2:142" s="355" customFormat="1" ht="14.25" customHeight="1" x14ac:dyDescent="0.2">
      <c r="B20" s="355">
        <v>15</v>
      </c>
      <c r="C20" s="356">
        <v>5</v>
      </c>
      <c r="D20" s="369" t="str">
        <f ca="1">INDIRECT("'Imp. Qualif.'!L"&amp;INDIRECT("B"&amp;ROW()))</f>
        <v/>
      </c>
      <c r="E20" s="370"/>
      <c r="G20" s="369" t="str">
        <f>IF(E14="","",IF(E14=E17, IF(E15 &lt; E18, D14, D17),IF(E14 &lt; E17,D14,D17)))</f>
        <v/>
      </c>
      <c r="H20" s="370"/>
      <c r="J20" s="369" t="str">
        <f>IF(H14="","",IF(H14=H17, IF(H15 &lt; H18, G14, G17),IF(H14 &lt; H17,G14,G17)))</f>
        <v/>
      </c>
      <c r="K20" s="370"/>
      <c r="M20" s="369" t="str">
        <f>IF(K20="","",IF(K20=K23, IF(K21 &gt; K24, J20, J23),IF(K20&gt;K23,J20,J23)))</f>
        <v/>
      </c>
      <c r="N20" s="379">
        <v>5</v>
      </c>
      <c r="P20" s="355">
        <v>15</v>
      </c>
      <c r="Q20" s="356">
        <v>5</v>
      </c>
      <c r="AA20" s="355">
        <v>15</v>
      </c>
      <c r="AB20" s="356">
        <v>5</v>
      </c>
      <c r="AC20" s="369" t="str">
        <f ca="1">INDIRECT("'Imp. Qualif.'!L"&amp;INDIRECT("B"&amp;ROW()))</f>
        <v/>
      </c>
      <c r="AD20" s="370"/>
      <c r="AF20" s="369" t="str">
        <f>IF(AD14="","",IF(AD14=AD17, IF(AD15 &lt; AD18, AC14, AC17),IF(AD14 &lt; AD17,AC14,AC17)))</f>
        <v/>
      </c>
      <c r="AG20" s="370"/>
      <c r="AI20" s="369" t="str">
        <f>IF(AG14="","",IF(AG14=AG17, IF(AG15 &lt; AG18, AF14, AF17),IF(AG14 &lt; AG17,AF14,AF17)))</f>
        <v/>
      </c>
      <c r="AJ20" s="370"/>
      <c r="AL20" s="369" t="str">
        <f>IF(AJ20="","",IF(AJ20=AJ23, IF(AJ21 &gt; AJ24, AI20, AI23),IF(AJ20&gt;AJ23,AI20,AI23)))</f>
        <v/>
      </c>
      <c r="AN20" s="355">
        <v>15</v>
      </c>
      <c r="AO20" s="356">
        <v>5</v>
      </c>
      <c r="AP20" s="369" t="str">
        <f ca="1">INDIRECT("'Imp. Qualif.'!L"&amp;INDIRECT("B"&amp;ROW()))</f>
        <v/>
      </c>
      <c r="AQ20" s="370"/>
      <c r="AS20" s="369" t="str">
        <f>IF(AQ14="","",IF(AQ14=AQ17, IF(AQ15 &lt; AQ18, AP14, AP17),IF(AQ14 &lt; AQ17,AP14,AP17)))</f>
        <v/>
      </c>
      <c r="AT20" s="370"/>
      <c r="AV20" s="369" t="str">
        <f>IF(AT14="","",IF(AT14=AT17, IF(AT15 &lt; AT18, AS14, AS17),IF(AT14 &lt; AT17,AS14,AS17)))</f>
        <v/>
      </c>
      <c r="AW20" s="370"/>
      <c r="AY20" s="369" t="str">
        <f>IF(AW20="","",IF(AW20=AW23, IF(AW21 &gt; AW24, AV20, AV23),IF(AW20&gt;AW23,AV20,AV23)))</f>
        <v/>
      </c>
      <c r="BA20" s="355">
        <v>15</v>
      </c>
      <c r="BB20" s="356">
        <v>5</v>
      </c>
      <c r="BC20" s="369" t="str">
        <f ca="1">INDIRECT("'Imp. Qualif.'!L"&amp;INDIRECT("B"&amp;ROW()))</f>
        <v/>
      </c>
      <c r="BD20" s="370"/>
      <c r="BF20" s="369" t="str">
        <f>IF(BD14="","",IF(BD14=BD17, IF(BD15 &lt; BD18, BC14, BC17),IF(BD14 &lt; BD17,BC14,BC17)))</f>
        <v/>
      </c>
      <c r="BG20" s="370"/>
      <c r="BI20" s="369" t="str">
        <f>IF(BG14="","",IF(BG14=BG17, IF(BG15 &lt; BG18, BF14, BF17),IF(BG14 &lt; BG17,BF14,BF17)))</f>
        <v/>
      </c>
      <c r="BJ20" s="370"/>
      <c r="BL20" s="369" t="str">
        <f>IF(BJ20="","",IF(BJ20=BJ23, IF(BJ21 &gt; BJ24, BI20, BI23),IF(BJ20&gt;BJ23,BI20,BI23)))</f>
        <v/>
      </c>
      <c r="BN20" s="355">
        <v>15</v>
      </c>
      <c r="BO20" s="356">
        <v>5</v>
      </c>
      <c r="BP20" s="369" t="str">
        <f ca="1">INDIRECT("'Imp. Qualif.'!L"&amp;INDIRECT("B"&amp;ROW()))</f>
        <v/>
      </c>
      <c r="BQ20" s="370"/>
      <c r="BS20" s="369" t="str">
        <f>IF(BQ14="","",IF(BQ14=BQ17, IF(BQ15 &lt; BQ18, BP14, BP17),IF(BQ14 &lt; BQ17,BP14,BP17)))</f>
        <v/>
      </c>
      <c r="BT20" s="370"/>
      <c r="BV20" s="369" t="str">
        <f>IF(BT14="","",IF(BT14=BT17, IF(BT15 &lt; BT18, BS14, BS17),IF(BT14 &lt; BT17,BS14,BS17)))</f>
        <v/>
      </c>
      <c r="BW20" s="370"/>
      <c r="BY20" s="369" t="str">
        <f>IF(BW20="","",IF(BW20=BW23, IF(BW21 &gt; BW24, BV20, BV23),IF(BW20&gt;BW23,BV20,BV23)))</f>
        <v/>
      </c>
      <c r="CA20" s="355">
        <v>15</v>
      </c>
      <c r="CB20" s="356">
        <v>5</v>
      </c>
      <c r="CC20" s="369" t="str">
        <f ca="1">INDIRECT("'Imp. Qualif.'!L"&amp;INDIRECT("B"&amp;ROW()))</f>
        <v/>
      </c>
      <c r="CD20" s="370"/>
      <c r="CF20" s="369" t="str">
        <f>IF(CD14="","",IF(CD14=CD17, IF(CD15 &lt; CD18, CC14, CC17),IF(CD14 &lt; CD17,CC14,CC17)))</f>
        <v/>
      </c>
      <c r="CG20" s="370"/>
      <c r="CI20" s="369" t="str">
        <f>IF(CG14="","",IF(CG14=CG17, IF(CG15 &lt; CG18, CF14, CF17),IF(CG14 &lt; CG17,CF14,CF17)))</f>
        <v/>
      </c>
      <c r="CJ20" s="370"/>
      <c r="CL20" s="369" t="str">
        <f>IF(CJ20="","",IF(CJ20=CJ23, IF(CJ21 &gt; CJ24, CI20, CI23),IF(CJ20&gt;CJ23,CI20,CI23)))</f>
        <v/>
      </c>
      <c r="CN20" s="355">
        <v>15</v>
      </c>
      <c r="CO20" s="356">
        <v>5</v>
      </c>
      <c r="CP20" s="369" t="str">
        <f ca="1">INDIRECT("'Imp. Qualif.'!L"&amp;INDIRECT("B"&amp;ROW()))</f>
        <v/>
      </c>
      <c r="CQ20" s="370"/>
      <c r="CS20" s="369" t="str">
        <f>IF(CQ14="","",IF(CQ14=CQ17, IF(CQ15 &lt; CQ18, CP14, CP17),IF(CQ14 &lt; CQ17,CP14,CP17)))</f>
        <v/>
      </c>
      <c r="CT20" s="370"/>
      <c r="CV20" s="369" t="str">
        <f>IF(CT14="","",IF(CT14=CT17, IF(CT15 &lt; CT18, CS14, CS17),IF(CT14 &lt; CT17,CS14,CS17)))</f>
        <v/>
      </c>
      <c r="CW20" s="370"/>
      <c r="CY20" s="369" t="str">
        <f>IF(CW20="","",IF(CW20=CW23, IF(CW21 &gt; CW24, CV20, CV23),IF(CW20&gt;CW23,CV20,CV23)))</f>
        <v/>
      </c>
      <c r="DA20" s="355">
        <v>15</v>
      </c>
      <c r="DB20" s="356">
        <v>5</v>
      </c>
      <c r="DC20" s="369" t="str">
        <f ca="1">INDIRECT("'Imp. Qualif.'!L"&amp;INDIRECT("B"&amp;ROW()))</f>
        <v/>
      </c>
      <c r="DD20" s="370"/>
      <c r="DF20" s="369" t="s">
        <v>11</v>
      </c>
      <c r="DG20" s="370"/>
      <c r="DI20" s="369" t="s">
        <v>11</v>
      </c>
      <c r="DJ20" s="370"/>
      <c r="DL20" s="369" t="s">
        <v>11</v>
      </c>
      <c r="DN20" s="355">
        <v>15</v>
      </c>
      <c r="DO20" s="356">
        <v>5</v>
      </c>
      <c r="DP20" s="369" t="str">
        <f ca="1">INDIRECT("'Imp. Qualif.'!L"&amp;INDIRECT("B"&amp;ROW()))</f>
        <v/>
      </c>
      <c r="DQ20" s="370"/>
      <c r="DR20" s="388" t="str">
        <f>IF(DQ20&gt;0,RANK(DQ20,(DQ20,DQ23,DQ26),0),"")</f>
        <v/>
      </c>
      <c r="DS20" s="369" t="str">
        <f>IF(DQ14="","",IF(DQ14=DQ17, IF(DQ15 &lt; DQ18, DP14, DP17),IF(DQ14 &lt; DQ17,DP14,DP17)))</f>
        <v/>
      </c>
      <c r="DT20" s="370"/>
      <c r="DU20" s="388" t="str">
        <f>IF(DT20&gt;0,RANK(DT20,(DT20,DT23,DT26),0),"")</f>
        <v/>
      </c>
      <c r="DV20" s="369" t="str">
        <f>IF(DT14="","",IF(DT14=DT17, IF(DT15 &lt; DT18, DS14, DS17),IF(DT14 &lt; DT17,DS14,DS17)))</f>
        <v/>
      </c>
      <c r="DW20" s="370"/>
      <c r="DX20" s="388" t="str">
        <f>IF(DW20&gt;0,RANK(DW20,(DW20,DW23,DW26),0),"")</f>
        <v/>
      </c>
      <c r="DY20" s="369" t="str">
        <f>IF(DW20="","",IF(DX20=1,DV20, IF(DX23 = 1, DV23, IF(DX26=1, DV26, ""))))</f>
        <v/>
      </c>
      <c r="EA20" s="355">
        <v>15</v>
      </c>
      <c r="EB20" s="356">
        <v>5</v>
      </c>
      <c r="EC20" s="369" t="str">
        <f ca="1">INDIRECT("'Imp. Qualif.'!L"&amp;INDIRECT("B"&amp;ROW()))</f>
        <v/>
      </c>
      <c r="ED20" s="370"/>
      <c r="EE20" s="388" t="str">
        <f>IF(ED20&gt;0,RANK(ED20,(ED14,ED17,ED20),0),"")</f>
        <v/>
      </c>
      <c r="EF20" s="369" t="str">
        <f>IF(ED20="","",IF(EE14=3,EC14, IF(EE17 = 3, EC17, IF(EE20=3, EC20, ""))))</f>
        <v/>
      </c>
      <c r="EG20" s="370"/>
      <c r="EH20" s="388" t="str">
        <f>IF(EG20&gt;0,RANK(EG20,(EG14,EG17,EG20),0),"")</f>
        <v/>
      </c>
      <c r="EI20" s="369" t="str">
        <f>IF(EG20="","",IF(EH14=3,EF14, IF(EH17 = 3, EF17, IF(EH20=3, EF20, ""))))</f>
        <v/>
      </c>
      <c r="EJ20" s="370"/>
      <c r="EK20" s="388" t="str">
        <f>IF(EJ20&gt;0,RANK(EJ20,(EJ14,EJ17,EJ20),0),"")</f>
        <v/>
      </c>
      <c r="EL20" s="369" t="str">
        <f>IF(EJ20="","",IF(EK14=3,EI14, IF(EK17 = 3, EI17, IF(EK20=3, EI20, ""))))</f>
        <v/>
      </c>
    </row>
    <row r="21" spans="2:142" s="355" customFormat="1" ht="14.25" customHeight="1" thickBot="1" x14ac:dyDescent="0.25">
      <c r="C21" s="356"/>
      <c r="D21" s="372" t="str">
        <f ca="1">INDIRECT("'Imp. Qualif.'!M"&amp;INDIRECT("B"&amp;ROW()-1))</f>
        <v/>
      </c>
      <c r="E21" s="373"/>
      <c r="G21" s="372" t="str">
        <f>IF(E14="","",IF(E14=E17, IF(E15 &lt; E18, D15, D18),IF(E14 &lt; E17,D15,D18)))</f>
        <v/>
      </c>
      <c r="H21" s="373"/>
      <c r="J21" s="372" t="str">
        <f>IF(H14="","",IF(H14=H17, IF(H15 &lt; H18, G15, G18),IF(H14 &lt; H17,G15,G18)))</f>
        <v/>
      </c>
      <c r="K21" s="373"/>
      <c r="M21" s="372" t="str">
        <f>IF(K20="","",IF(K20=K23, IF(K21 &gt; K24, J21, J24),IF(K20&gt;K23,J21,J24)))</f>
        <v/>
      </c>
      <c r="N21" s="379"/>
      <c r="Q21" s="356"/>
      <c r="AB21" s="356"/>
      <c r="AC21" s="372" t="str">
        <f ca="1">INDIRECT("'Imp. Qualif.'!M"&amp;INDIRECT("B"&amp;ROW()-1))</f>
        <v/>
      </c>
      <c r="AD21" s="373"/>
      <c r="AF21" s="372" t="str">
        <f>IF(AD14="","",IF(AD14=AD17, IF(AD15 &lt; AD18, AC15, AC18),IF(AD14 &lt; AD17,AC15,AC18)))</f>
        <v/>
      </c>
      <c r="AG21" s="373"/>
      <c r="AI21" s="372" t="str">
        <f>IF(AG14="","",IF(AG14=AG17, IF(AG15 &lt; AG18, AF15, AF18),IF(AG14 &lt; AG17,AF15,AF18)))</f>
        <v/>
      </c>
      <c r="AJ21" s="373"/>
      <c r="AL21" s="372" t="str">
        <f>IF(AJ20="","",IF(AJ20=AJ23, IF(AJ21 &gt; AJ24, AI21, AI24),IF(AJ20&gt;AJ23,AI21,AI24)))</f>
        <v/>
      </c>
      <c r="AO21" s="356"/>
      <c r="AP21" s="372" t="str">
        <f ca="1">INDIRECT("'Imp. Qualif.'!M"&amp;INDIRECT("B"&amp;ROW()-1))</f>
        <v/>
      </c>
      <c r="AQ21" s="373"/>
      <c r="AS21" s="372" t="str">
        <f>IF(AQ14="","",IF(AQ14=AQ17, IF(AQ15 &lt; AQ18, AP15, AP18),IF(AQ14 &lt; AQ17,AP15,AP18)))</f>
        <v/>
      </c>
      <c r="AT21" s="373"/>
      <c r="AV21" s="372" t="str">
        <f>IF(AT14="","",IF(AT14=AT17, IF(AT15 &lt; AT18, AS15, AS18),IF(AT14 &lt; AT17,AS15,AS18)))</f>
        <v/>
      </c>
      <c r="AW21" s="373"/>
      <c r="AY21" s="372" t="str">
        <f>IF(AW20="","",IF(AW20=AW23, IF(AW21 &gt; AW24, AV21, AV24),IF(AW20&gt;AW23,AV21,AV24)))</f>
        <v/>
      </c>
      <c r="BB21" s="356"/>
      <c r="BC21" s="372" t="str">
        <f ca="1">INDIRECT("'Imp. Qualif.'!M"&amp;INDIRECT("B"&amp;ROW()-1))</f>
        <v/>
      </c>
      <c r="BD21" s="373"/>
      <c r="BF21" s="372" t="str">
        <f>IF(BD14="","",IF(BD14=BD17, IF(BD15 &lt; BD18, BC15, BC18),IF(BD14 &lt; BD17,BC15,BC18)))</f>
        <v/>
      </c>
      <c r="BG21" s="373"/>
      <c r="BI21" s="372" t="str">
        <f>IF(BG14="","",IF(BG14=BG17, IF(BG15 &lt; BG18, BF15, BF18),IF(BG14 &lt; BG17,BF15,BF18)))</f>
        <v/>
      </c>
      <c r="BJ21" s="373"/>
      <c r="BL21" s="372" t="str">
        <f>IF(BJ20="","",IF(BJ20=BJ23, IF(BJ21 &gt; BJ24, BI21, BI24),IF(BJ20&gt;BJ23,BI21,BI24)))</f>
        <v/>
      </c>
      <c r="BO21" s="356"/>
      <c r="BP21" s="372" t="str">
        <f ca="1">INDIRECT("'Imp. Qualif.'!M"&amp;INDIRECT("B"&amp;ROW()-1))</f>
        <v/>
      </c>
      <c r="BQ21" s="373"/>
      <c r="BS21" s="372" t="str">
        <f>IF(BQ14="","",IF(BQ14=BQ17, IF(BQ15 &lt; BQ18, BP15, BP18),IF(BQ14 &lt; BQ17,BP15,BP18)))</f>
        <v/>
      </c>
      <c r="BT21" s="373"/>
      <c r="BV21" s="372" t="str">
        <f>IF(BT14="","",IF(BT14=BT17, IF(BT15 &lt; BT18, BS15, BS18),IF(BT14 &lt; BT17,BS15,BS18)))</f>
        <v/>
      </c>
      <c r="BW21" s="373"/>
      <c r="BY21" s="372" t="str">
        <f>IF(BW20="","",IF(BW20=BW23, IF(BW21 &gt; BW24, BV21, BV24),IF(BW20&gt;BW23,BV21,BV24)))</f>
        <v/>
      </c>
      <c r="CB21" s="356"/>
      <c r="CC21" s="372" t="str">
        <f ca="1">INDIRECT("'Imp. Qualif.'!M"&amp;INDIRECT("B"&amp;ROW()-1))</f>
        <v/>
      </c>
      <c r="CD21" s="373"/>
      <c r="CF21" s="372" t="str">
        <f>IF(CD14="","",IF(CD14=CD17, IF(CD15 &lt; CD18, CC15, CC18),IF(CD14 &lt; CD17,CC15,CC18)))</f>
        <v/>
      </c>
      <c r="CG21" s="373"/>
      <c r="CI21" s="372" t="str">
        <f>IF(CG14="","",IF(CG14=CG17, IF(CG15 &lt; CG18, CF15, CF18),IF(CG14 &lt; CG17,CF15,CF18)))</f>
        <v/>
      </c>
      <c r="CJ21" s="373"/>
      <c r="CL21" s="372" t="str">
        <f>IF(CJ20="","",IF(CJ20=CJ23, IF(CJ21 &gt; CJ24, CI21, CI24),IF(CJ20&gt;CJ23,CI21,CI24)))</f>
        <v/>
      </c>
      <c r="CO21" s="356"/>
      <c r="CP21" s="372" t="str">
        <f ca="1">INDIRECT("'Imp. Qualif.'!M"&amp;INDIRECT("B"&amp;ROW()-1))</f>
        <v/>
      </c>
      <c r="CQ21" s="373"/>
      <c r="CS21" s="372" t="str">
        <f>IF(CQ14="","",IF(CQ14=CQ17, IF(CQ15 &lt; CQ18, CP15, CP18),IF(CQ14 &lt; CQ17,CP15,CP18)))</f>
        <v/>
      </c>
      <c r="CT21" s="373"/>
      <c r="CV21" s="372" t="str">
        <f>IF(CT14="","",IF(CT14=CT17, IF(CT15 &lt; CT18, CS15, CS18),IF(CT14 &lt; CT17,CS15,CS18)))</f>
        <v/>
      </c>
      <c r="CW21" s="373"/>
      <c r="CY21" s="372" t="str">
        <f>IF(CW20="","",IF(CW20=CW23, IF(CW21 &gt; CW24, CV21, CV24),IF(CW20&gt;CW23,CV21,CV24)))</f>
        <v/>
      </c>
      <c r="DB21" s="356"/>
      <c r="DC21" s="372" t="str">
        <f ca="1">INDIRECT("'Imp. Qualif.'!M"&amp;INDIRECT("B"&amp;ROW()-1))</f>
        <v/>
      </c>
      <c r="DD21" s="373"/>
      <c r="DF21" s="372" t="s">
        <v>11</v>
      </c>
      <c r="DG21" s="373"/>
      <c r="DI21" s="372" t="s">
        <v>11</v>
      </c>
      <c r="DJ21" s="373"/>
      <c r="DL21" s="372" t="s">
        <v>11</v>
      </c>
      <c r="DO21" s="356"/>
      <c r="DP21" s="372" t="str">
        <f ca="1">INDIRECT("'Imp. Qualif.'!M"&amp;INDIRECT("B"&amp;ROW()-1))</f>
        <v/>
      </c>
      <c r="DQ21" s="373"/>
      <c r="DR21" s="383"/>
      <c r="DS21" s="372" t="str">
        <f>IF(DQ14="","",IF(DQ14=DQ17, IF(DQ15 &lt; DQ18, DP15, DP18),IF(DQ14 &lt; DQ17,DP15,DP18)))</f>
        <v/>
      </c>
      <c r="DT21" s="373"/>
      <c r="DU21" s="383"/>
      <c r="DV21" s="372" t="str">
        <f>IF(DT14="","",IF(DT14=DT17, IF(DT15 &lt; DT18, DS15, DS18),IF(DT14 &lt; DT17,DS15,DS18)))</f>
        <v/>
      </c>
      <c r="DW21" s="373"/>
      <c r="DY21" s="372" t="str">
        <f>IF(DW20="","",IF(DX20=1,DV21, IF(DX23 = 1, DV24, IF(DX26=1, DV27, ""))))</f>
        <v/>
      </c>
      <c r="EB21" s="356"/>
      <c r="EC21" s="372" t="str">
        <f ca="1">INDIRECT("'Imp. Qualif.'!M"&amp;INDIRECT("B"&amp;ROW()-1))</f>
        <v/>
      </c>
      <c r="ED21" s="373"/>
      <c r="EF21" s="372" t="str">
        <f>IF(ED20="","",IF(EE14=3,EC15, IF(EE17 = 3, EC18, IF(EE20=3, EC21, ""))))</f>
        <v/>
      </c>
      <c r="EG21" s="373"/>
      <c r="EI21" s="372" t="str">
        <f>IF(EG20="","",IF(EH14=3,EF15, IF(EH17 = 3, EF18, IF(EH20=3, EF21, ""))))</f>
        <v/>
      </c>
      <c r="EJ21" s="373"/>
      <c r="EL21" s="372" t="str">
        <f>IF(EJ20="","",IF(EK14=3,EI15, IF(EK17 = 3, EI18, IF(EK20=3, EI21, ""))))</f>
        <v/>
      </c>
    </row>
    <row r="22" spans="2:142" s="355" customFormat="1" ht="14.25" customHeight="1" x14ac:dyDescent="0.2">
      <c r="C22" s="356"/>
      <c r="D22" s="358"/>
      <c r="E22" s="375"/>
      <c r="H22" s="375"/>
      <c r="K22" s="375"/>
      <c r="M22" s="358"/>
      <c r="N22" s="379"/>
      <c r="Q22" s="356"/>
      <c r="AB22" s="356"/>
      <c r="AC22" s="358"/>
      <c r="AD22" s="375"/>
      <c r="AG22" s="375"/>
      <c r="AJ22" s="375"/>
      <c r="AL22" s="358"/>
      <c r="AO22" s="356"/>
      <c r="AP22" s="358"/>
      <c r="AQ22" s="375"/>
      <c r="AT22" s="375"/>
      <c r="AW22" s="375"/>
      <c r="AY22" s="358"/>
      <c r="BB22" s="356"/>
      <c r="BC22" s="358"/>
      <c r="BD22" s="381"/>
      <c r="BG22" s="381"/>
      <c r="BJ22" s="381"/>
      <c r="BL22" s="358"/>
      <c r="BO22" s="356"/>
      <c r="BP22" s="358"/>
      <c r="BQ22" s="381"/>
      <c r="BT22" s="381"/>
      <c r="BW22" s="381"/>
      <c r="BY22" s="358"/>
      <c r="CB22" s="356"/>
      <c r="CC22" s="358"/>
      <c r="CD22" s="381"/>
      <c r="CG22" s="381"/>
      <c r="CJ22" s="381"/>
      <c r="CL22" s="358"/>
      <c r="CO22" s="356"/>
      <c r="CP22" s="358"/>
      <c r="CQ22" s="381"/>
      <c r="CT22" s="381"/>
      <c r="CW22" s="381"/>
      <c r="CY22" s="358"/>
      <c r="DB22" s="356"/>
      <c r="DC22" s="358"/>
      <c r="DD22" s="381"/>
      <c r="DG22" s="381"/>
      <c r="DJ22" s="381"/>
      <c r="DL22" s="358"/>
      <c r="DO22" s="356"/>
      <c r="DP22" s="358"/>
      <c r="DQ22" s="381"/>
      <c r="DR22" s="383"/>
      <c r="DT22" s="381"/>
      <c r="DU22" s="383"/>
      <c r="DW22" s="381"/>
      <c r="DY22" s="358"/>
      <c r="EB22" s="356"/>
      <c r="EC22" s="358"/>
      <c r="ED22" s="382"/>
      <c r="EF22" s="358"/>
      <c r="EG22" s="382"/>
      <c r="EI22" s="358"/>
      <c r="EJ22" s="382"/>
      <c r="EL22" s="358"/>
    </row>
    <row r="23" spans="2:142" s="355" customFormat="1" ht="14.25" customHeight="1" x14ac:dyDescent="0.2">
      <c r="B23" s="355">
        <v>16</v>
      </c>
      <c r="C23" s="356">
        <v>6</v>
      </c>
      <c r="D23" s="369" t="str">
        <f ca="1">INDIRECT("'Imp. Qualif.'!L"&amp;INDIRECT("B"&amp;ROW()))</f>
        <v/>
      </c>
      <c r="E23" s="370"/>
      <c r="G23" s="369" t="str">
        <f>IF(E26="","",IF(E26=E29, IF(E27 &gt; E30, D26, D29),IF(E26&gt;E29,D26,D29)))</f>
        <v/>
      </c>
      <c r="H23" s="370"/>
      <c r="J23" s="369" t="str">
        <f>IF(H26="","",IF(H26=H29, IF(H27 &gt; H30, G26, G29),IF(H26&gt;H29,G26,G29)))</f>
        <v/>
      </c>
      <c r="K23" s="370"/>
      <c r="M23" s="369" t="str">
        <f>IF(K20="","",IF(K20=K23, IF(K24 &lt; K21, J23, J20),IF(K23 &lt; K20,J23,J20)))</f>
        <v/>
      </c>
      <c r="N23" s="379">
        <v>6</v>
      </c>
      <c r="P23" s="355">
        <v>16</v>
      </c>
      <c r="Q23" s="356">
        <v>6</v>
      </c>
      <c r="AA23" s="355">
        <v>16</v>
      </c>
      <c r="AB23" s="356">
        <v>6</v>
      </c>
      <c r="AC23" s="369" t="str">
        <f ca="1">INDIRECT("'Imp. Qualif.'!L"&amp;INDIRECT("B"&amp;ROW()))</f>
        <v/>
      </c>
      <c r="AD23" s="370"/>
      <c r="AF23" s="369" t="str">
        <f>IF(AD26="","",IF(AD26=AD29, IF(AD27 &gt; AD30, AC26, AC29),IF(AD26&gt;AD29,AC26,AC29)))</f>
        <v/>
      </c>
      <c r="AG23" s="370"/>
      <c r="AI23" s="369" t="str">
        <f>IF(AG26="","",IF(AG26=AG29, IF(AG27 &gt; AG30, AF26, AF29),IF(AG26&gt;AG29,AF26,AF29)))</f>
        <v/>
      </c>
      <c r="AJ23" s="370"/>
      <c r="AL23" s="369" t="str">
        <f>IF(AJ20="","",IF(AJ20=AJ23, IF(AJ24 &lt; AJ21, AI23, AI20),IF(AJ23 &lt; AJ20,AI23,AI20)))</f>
        <v/>
      </c>
      <c r="AN23" s="355">
        <v>16</v>
      </c>
      <c r="AO23" s="356">
        <v>6</v>
      </c>
      <c r="AP23" s="369" t="str">
        <f ca="1">INDIRECT("'Imp. Qualif.'!L"&amp;INDIRECT("B"&amp;ROW()))</f>
        <v/>
      </c>
      <c r="AQ23" s="370"/>
      <c r="AS23" s="369" t="str">
        <f>IF(AQ26="","",IF(AQ26=AQ29, IF(AQ27 &gt; AQ30, AP26, AP29),IF(AQ26&gt;AQ29,AP26,AP29)))</f>
        <v/>
      </c>
      <c r="AT23" s="370"/>
      <c r="AV23" s="369" t="str">
        <f>IF(AT26="","",IF(AT26=AT29, IF(AT27 &gt; AT30, AS26, AS29),IF(AT26&gt;AT29,AS26,AS29)))</f>
        <v/>
      </c>
      <c r="AW23" s="370"/>
      <c r="AY23" s="369" t="str">
        <f>IF(AW20="","",IF(AW20=AW23, IF(AW24 &lt; AW21, AV23, AV20),IF(AW23 &lt; AW20,AV23,AV20)))</f>
        <v/>
      </c>
      <c r="BA23" s="355">
        <v>16</v>
      </c>
      <c r="BB23" s="356">
        <v>6</v>
      </c>
      <c r="BC23" s="369" t="str">
        <f ca="1">INDIRECT("'Imp. Qualif.'!L"&amp;INDIRECT("B"&amp;ROW()))</f>
        <v/>
      </c>
      <c r="BD23" s="370"/>
      <c r="BF23" s="369" t="str">
        <f>IF(BD26="","",IF(BD26=BD29, IF(BD27 &gt; BD30, BC26, BC29),IF(BD26&gt;BD29,BC26,BC29)))</f>
        <v/>
      </c>
      <c r="BG23" s="370"/>
      <c r="BI23" s="369" t="str">
        <f>IF(BG26="","",IF(BG26=BG29, IF(BG27 &gt; BG30, BF26, BF29),IF(BG26&gt;BG29,BF26,BF29)))</f>
        <v/>
      </c>
      <c r="BJ23" s="370"/>
      <c r="BL23" s="369" t="str">
        <f>IF(BJ20="","",IF(BJ20=BJ23, IF(BJ24 &lt; BJ21, BI23, BI20),IF(BJ23 &lt; BJ20,BI23,BI20)))</f>
        <v/>
      </c>
      <c r="BN23" s="355">
        <v>16</v>
      </c>
      <c r="BO23" s="356">
        <v>6</v>
      </c>
      <c r="BP23" s="369" t="str">
        <f ca="1">INDIRECT("'Imp. Qualif.'!L"&amp;INDIRECT("B"&amp;ROW()))</f>
        <v/>
      </c>
      <c r="BQ23" s="370"/>
      <c r="BS23" s="369" t="str">
        <f>IF(BQ26="","",IF(BQ26=BQ29, IF(BQ27 &gt; BQ30, BP26, BP29),IF(BQ26&gt;BQ29,BP26,BP29)))</f>
        <v/>
      </c>
      <c r="BT23" s="370"/>
      <c r="BV23" s="369" t="str">
        <f>IF(BT26="","",IF(BT26=BT29, IF(BT27 &gt; BT30, BS26, BS29),IF(BT26&gt;BT29,BS26,BS29)))</f>
        <v/>
      </c>
      <c r="BW23" s="370"/>
      <c r="BY23" s="369" t="str">
        <f>IF(BW20="","",IF(BW20=BW23, IF(BW24 &lt; BW21, BV23, BV20),IF(BW23 &lt; BW20,BV23,BV20)))</f>
        <v/>
      </c>
      <c r="CA23" s="355">
        <v>16</v>
      </c>
      <c r="CB23" s="356">
        <v>6</v>
      </c>
      <c r="CC23" s="369" t="str">
        <f ca="1">INDIRECT("'Imp. Qualif.'!L"&amp;INDIRECT("B"&amp;ROW()))</f>
        <v/>
      </c>
      <c r="CD23" s="370"/>
      <c r="CF23" s="369" t="str">
        <f>IF(CD26="","",IF(CD26=CD29, IF(CD27 &gt; CD30, CC26, CC29),IF(CD26&gt;CD29,CC26,CC29)))</f>
        <v/>
      </c>
      <c r="CG23" s="370"/>
      <c r="CI23" s="369" t="str">
        <f>IF(CG26="","",IF(CG26=CG29, IF(CG27 &gt; CG30, CF26, CF29),IF(CG26&gt;CG29,CF26,CF29)))</f>
        <v/>
      </c>
      <c r="CJ23" s="370"/>
      <c r="CL23" s="369" t="str">
        <f>IF(CJ20="","",IF(CJ20=CJ23, IF(CJ24 &lt; CJ21, CI23, CI20),IF(CJ23 &lt; CJ20,CI23,CI20)))</f>
        <v/>
      </c>
      <c r="CN23" s="355">
        <v>16</v>
      </c>
      <c r="CO23" s="356">
        <v>6</v>
      </c>
      <c r="CP23" s="369" t="str">
        <f ca="1">INDIRECT("'Imp. Qualif.'!L"&amp;INDIRECT("B"&amp;ROW()))</f>
        <v/>
      </c>
      <c r="CQ23" s="370"/>
      <c r="CS23" s="369" t="str">
        <f>IF(CQ26="","",IF(CQ26=CQ29, IF(CQ27 &gt; CQ30, CP26, CP29),IF(CQ26&gt;CQ29,CP26,CP29)))</f>
        <v/>
      </c>
      <c r="CT23" s="370"/>
      <c r="CV23" s="369" t="str">
        <f>IF(CT26="","",IF(CT26=CT29, IF(CT27 &gt; CT30, CS26, CS29),IF(CT26&gt;CT29,CS26,CS29)))</f>
        <v/>
      </c>
      <c r="CW23" s="370"/>
      <c r="CY23" s="369" t="str">
        <f>IF(CW20="","",IF(CW20=CW23, IF(CW24 &lt; CW21, CV23, CV20),IF(CW23 &lt; CW20,CV23,CV20)))</f>
        <v/>
      </c>
      <c r="DA23" s="355">
        <v>16</v>
      </c>
      <c r="DB23" s="356">
        <v>6</v>
      </c>
      <c r="DC23" s="369" t="str">
        <f ca="1">INDIRECT("'Imp. Qualif.'!L"&amp;INDIRECT("B"&amp;ROW()))</f>
        <v/>
      </c>
      <c r="DD23" s="370"/>
      <c r="DF23" s="369" t="s">
        <v>11</v>
      </c>
      <c r="DG23" s="370"/>
      <c r="DI23" s="369" t="s">
        <v>11</v>
      </c>
      <c r="DJ23" s="370"/>
      <c r="DL23" s="369" t="s">
        <v>11</v>
      </c>
      <c r="DN23" s="355">
        <v>16</v>
      </c>
      <c r="DO23" s="356">
        <v>6</v>
      </c>
      <c r="DP23" s="369" t="str">
        <f ca="1">INDIRECT("'Imp. Qualif.'!L"&amp;INDIRECT("B"&amp;ROW()))</f>
        <v/>
      </c>
      <c r="DQ23" s="370"/>
      <c r="DR23" s="388" t="str">
        <f>IF(DQ23&gt;0,RANK(DQ23,(DQ20,DQ23,DQ26),0),"")</f>
        <v/>
      </c>
      <c r="DS23" s="369" t="str">
        <f>IF(DQ23="","",IF(DR20=2,DP20, IF(DR23 = 2, DP23, IF(DR26=2, DP26, ""))))</f>
        <v/>
      </c>
      <c r="DT23" s="370"/>
      <c r="DU23" s="388" t="str">
        <f>IF(DT23&gt;0,RANK(DT23,(DT20,DT23,DT26),0),"")</f>
        <v/>
      </c>
      <c r="DV23" s="369" t="str">
        <f>IF(DT23="","",IF(DU20=2,DS20, IF(DU23 = 2, DS23, IF(DU26=2, DS26, ""))))</f>
        <v/>
      </c>
      <c r="DW23" s="370"/>
      <c r="DX23" s="388" t="str">
        <f>IF(DW23&gt;0,RANK(DW23,(DW20,DW23,DW26),0),"")</f>
        <v/>
      </c>
      <c r="DY23" s="369" t="str">
        <f>IF(DW23="","",IF(DX20=2,DV20, IF(DX23 = 2, DV23, IF(DX26=2, DV26, ""))))</f>
        <v/>
      </c>
      <c r="EA23" s="355">
        <v>16</v>
      </c>
      <c r="EB23" s="356">
        <v>6</v>
      </c>
      <c r="EC23" s="358"/>
      <c r="ED23" s="382"/>
      <c r="EF23" s="358"/>
      <c r="EG23" s="382"/>
      <c r="EI23" s="358"/>
      <c r="EJ23" s="382"/>
      <c r="EL23" s="358"/>
    </row>
    <row r="24" spans="2:142" s="355" customFormat="1" ht="14.25" customHeight="1" thickBot="1" x14ac:dyDescent="0.25">
      <c r="C24" s="356"/>
      <c r="D24" s="372" t="str">
        <f ca="1">INDIRECT("'Imp. Qualif.'!M"&amp;INDIRECT("B"&amp;ROW()-1))</f>
        <v/>
      </c>
      <c r="E24" s="373"/>
      <c r="G24" s="372" t="str">
        <f>IF(E26="","",IF(E26=E29, IF(E27 &gt; E30, D27, D30),IF(E26&gt;E29,D27,D30)))</f>
        <v/>
      </c>
      <c r="H24" s="373"/>
      <c r="J24" s="372" t="str">
        <f>IF(H26="","",IF(H26=H29, IF(H27 &gt; H30, G27, G30),IF(H26&gt;H29,G27,G30)))</f>
        <v/>
      </c>
      <c r="K24" s="373"/>
      <c r="M24" s="372" t="str">
        <f>IF(K20="","",IF(K20=K23, IF(K24 &lt; K21, J24, J21),IF(K23 &lt; K20,J24,J21)))</f>
        <v/>
      </c>
      <c r="N24" s="379"/>
      <c r="Q24" s="356"/>
      <c r="AB24" s="356"/>
      <c r="AC24" s="372" t="str">
        <f ca="1">INDIRECT("'Imp. Qualif.'!M"&amp;INDIRECT("B"&amp;ROW()-1))</f>
        <v/>
      </c>
      <c r="AD24" s="373"/>
      <c r="AF24" s="380" t="str">
        <f>IF(AD26="","",IF(AD26=AD29, IF(AD27 &gt; AD30, AC27, AC30),IF(AD26&gt;AD29,AC27,AC30)))</f>
        <v/>
      </c>
      <c r="AG24" s="373"/>
      <c r="AI24" s="380" t="str">
        <f>IF(AG26="","",IF(AG26=AG29, IF(AG27 &gt; AG30, AF27, AF30),IF(AG26&gt;AG29,AF27,AF30)))</f>
        <v/>
      </c>
      <c r="AJ24" s="373"/>
      <c r="AL24" s="372" t="str">
        <f>IF(AJ20="","",IF(AJ20=AJ23, IF(AJ24 &lt; AJ21, AI24, AI21),IF(AJ23 &lt; AJ20,AI24,AI21)))</f>
        <v/>
      </c>
      <c r="AO24" s="356"/>
      <c r="AP24" s="372" t="str">
        <f ca="1">INDIRECT("'Imp. Qualif.'!M"&amp;INDIRECT("B"&amp;ROW()-1))</f>
        <v/>
      </c>
      <c r="AQ24" s="373"/>
      <c r="AS24" s="372" t="str">
        <f>IF(AQ26="","",IF(AQ26=AQ29, IF(AQ27 &gt; AQ30, AP27, AP30),IF(AQ26&gt;AQ29,AP27,AP30)))</f>
        <v/>
      </c>
      <c r="AT24" s="373"/>
      <c r="AV24" s="372" t="str">
        <f>IF(AT26="","",IF(AT26=AT29, IF(AT27 &gt; AT30, AS27, AS30),IF(AT26&gt;AT29,AS27,AS30)))</f>
        <v/>
      </c>
      <c r="AW24" s="373"/>
      <c r="AY24" s="372" t="str">
        <f>IF(AW20="","",IF(AW20=AW23, IF(AW24 &lt; AW21, AV24, AV21),IF(AW23 &lt; AW20,AV24,AV21)))</f>
        <v/>
      </c>
      <c r="BB24" s="356"/>
      <c r="BC24" s="372" t="str">
        <f ca="1">INDIRECT("'Imp. Qualif.'!M"&amp;INDIRECT("B"&amp;ROW()-1))</f>
        <v/>
      </c>
      <c r="BD24" s="373"/>
      <c r="BF24" s="380" t="str">
        <f>IF(BD26="","",IF(BD26=BD29, IF(BD27 &gt; BD30, BC27, BC30),IF(BD26&gt;BD29,BC27,BC30)))</f>
        <v/>
      </c>
      <c r="BG24" s="373"/>
      <c r="BI24" s="380" t="str">
        <f>IF(BG26="","",IF(BG26=BG29, IF(BG27 &gt; BG30, BF27, BF30),IF(BG26&gt;BG29,BF27,BF30)))</f>
        <v/>
      </c>
      <c r="BJ24" s="373"/>
      <c r="BL24" s="372" t="str">
        <f>IF(BJ20="","",IF(BJ20=BJ23, IF(BJ24 &lt; BJ21, BI24, BI21),IF(BJ23 &lt; BJ20,BI24,BI21)))</f>
        <v/>
      </c>
      <c r="BO24" s="356"/>
      <c r="BP24" s="372" t="str">
        <f ca="1">INDIRECT("'Imp. Qualif.'!M"&amp;INDIRECT("B"&amp;ROW()-1))</f>
        <v/>
      </c>
      <c r="BQ24" s="373"/>
      <c r="BS24" s="380" t="str">
        <f>IF(BQ26="","",IF(BQ26=BQ29, IF(BQ27 &gt; BQ30, BP27, BP30),IF(BQ26&gt;BQ29,BP27,BP30)))</f>
        <v/>
      </c>
      <c r="BT24" s="373"/>
      <c r="BV24" s="380" t="str">
        <f>IF(BT26="","",IF(BT26=BT29, IF(BT27 &gt; BT30, BS27, BS30),IF(BT26&gt;BT29,BS27,BS30)))</f>
        <v/>
      </c>
      <c r="BW24" s="373"/>
      <c r="BY24" s="372" t="str">
        <f>IF(BW20="","",IF(BW20=BW23, IF(BW24 &lt; BW21, BV24, BV21),IF(BW23 &lt; BW20,BV24,BV21)))</f>
        <v/>
      </c>
      <c r="CB24" s="356"/>
      <c r="CC24" s="372" t="str">
        <f ca="1">INDIRECT("'Imp. Qualif.'!M"&amp;INDIRECT("B"&amp;ROW()-1))</f>
        <v/>
      </c>
      <c r="CD24" s="373"/>
      <c r="CF24" s="380" t="str">
        <f>IF(CD26="","",IF(CD26=CD29, IF(CD27 &gt; CD30, CC27, CC30),IF(CD26&gt;CD29,CC27,CC30)))</f>
        <v/>
      </c>
      <c r="CG24" s="373"/>
      <c r="CI24" s="380" t="str">
        <f>IF(CG26="","",IF(CG26=CG29, IF(CG27 &gt; CG30, CF27, CF30),IF(CG26&gt;CG29,CF27,CF30)))</f>
        <v/>
      </c>
      <c r="CJ24" s="373"/>
      <c r="CL24" s="372" t="str">
        <f>IF(CJ20="","",IF(CJ20=CJ23, IF(CJ24 &lt; CJ21, CI24, CI21),IF(CJ23 &lt; CJ20,CI24,CI21)))</f>
        <v/>
      </c>
      <c r="CO24" s="356"/>
      <c r="CP24" s="372" t="str">
        <f ca="1">INDIRECT("'Imp. Qualif.'!M"&amp;INDIRECT("B"&amp;ROW()-1))</f>
        <v/>
      </c>
      <c r="CQ24" s="373"/>
      <c r="CS24" s="380" t="str">
        <f>IF(CQ26="","",IF(CQ26=CQ29, IF(CQ27 &gt; CQ30, CP27, CP30),IF(CQ26&gt;CQ29,CP27,CP30)))</f>
        <v/>
      </c>
      <c r="CT24" s="373"/>
      <c r="CV24" s="380" t="str">
        <f>IF(CT26="","",IF(CT26=CT29, IF(CT27 &gt; CT30, CS27, CS30),IF(CT26&gt;CT29,CS27,CS30)))</f>
        <v/>
      </c>
      <c r="CW24" s="373"/>
      <c r="CY24" s="372" t="str">
        <f>IF(CW20="","",IF(CW20=CW23, IF(CW24 &lt; CW21, CV24, CV21),IF(CW23 &lt; CW20,CV24,CV21)))</f>
        <v/>
      </c>
      <c r="DB24" s="356"/>
      <c r="DC24" s="372" t="str">
        <f ca="1">INDIRECT("'Imp. Qualif.'!M"&amp;INDIRECT("B"&amp;ROW()-1))</f>
        <v/>
      </c>
      <c r="DD24" s="373"/>
      <c r="DF24" s="372" t="s">
        <v>11</v>
      </c>
      <c r="DG24" s="373"/>
      <c r="DI24" s="372" t="s">
        <v>11</v>
      </c>
      <c r="DJ24" s="373"/>
      <c r="DL24" s="372" t="s">
        <v>11</v>
      </c>
      <c r="DO24" s="356"/>
      <c r="DP24" s="372" t="str">
        <f ca="1">INDIRECT("'Imp. Qualif.'!M"&amp;INDIRECT("B"&amp;ROW()-1))</f>
        <v/>
      </c>
      <c r="DQ24" s="373"/>
      <c r="DS24" s="372" t="str">
        <f>IF(DQ23="","",IF(DR20=2,DP21, IF(DR23 = 2, DP24, IF(DR26=2, DP27, ""))))</f>
        <v/>
      </c>
      <c r="DT24" s="373"/>
      <c r="DV24" s="372" t="str">
        <f>IF(DT23="","",IF(DU20=2,DS21, IF(DU23 = 2, DS24, IF(DU26=2, DS27, ""))))</f>
        <v/>
      </c>
      <c r="DW24" s="373"/>
      <c r="DY24" s="372" t="str">
        <f>IF(DW23="","",IF(DX20=2,DV21, IF(DX23 = 2, DV24, IF(DX26=2, DV27, ""))))</f>
        <v/>
      </c>
      <c r="EB24" s="356"/>
      <c r="EC24" s="358"/>
      <c r="ED24" s="384"/>
      <c r="EF24" s="358"/>
      <c r="EG24" s="382"/>
      <c r="EI24" s="358"/>
      <c r="EJ24" s="382"/>
      <c r="EL24" s="358"/>
    </row>
    <row r="25" spans="2:142" s="355" customFormat="1" ht="14.25" customHeight="1" x14ac:dyDescent="0.2">
      <c r="C25" s="356"/>
      <c r="D25" s="358"/>
      <c r="E25" s="375"/>
      <c r="H25" s="375"/>
      <c r="K25" s="375"/>
      <c r="M25" s="358"/>
      <c r="N25" s="379"/>
      <c r="Q25" s="356"/>
      <c r="AB25" s="356"/>
      <c r="AC25" s="358"/>
      <c r="AD25" s="375"/>
      <c r="AG25" s="375"/>
      <c r="AJ25" s="375"/>
      <c r="AL25" s="358"/>
      <c r="AO25" s="356"/>
      <c r="AP25" s="358"/>
      <c r="AQ25" s="375"/>
      <c r="AT25" s="375"/>
      <c r="AW25" s="375"/>
      <c r="AY25" s="358"/>
      <c r="BB25" s="356"/>
      <c r="BC25" s="358"/>
      <c r="BD25" s="381"/>
      <c r="BG25" s="381"/>
      <c r="BJ25" s="381"/>
      <c r="BL25" s="358"/>
      <c r="BO25" s="356"/>
      <c r="BP25" s="358"/>
      <c r="BQ25" s="382"/>
      <c r="BS25" s="358"/>
      <c r="BT25" s="382"/>
      <c r="BV25" s="358"/>
      <c r="BW25" s="382"/>
      <c r="BY25" s="358"/>
      <c r="CB25" s="356"/>
      <c r="CC25" s="358"/>
      <c r="CD25" s="382"/>
      <c r="CF25" s="358"/>
      <c r="CG25" s="382"/>
      <c r="CI25" s="358"/>
      <c r="CJ25" s="382"/>
      <c r="CL25" s="358"/>
      <c r="CO25" s="356"/>
      <c r="CP25" s="358"/>
      <c r="CQ25" s="382"/>
      <c r="CS25" s="358"/>
      <c r="CT25" s="382"/>
      <c r="CV25" s="358"/>
      <c r="CW25" s="382"/>
      <c r="CY25" s="358"/>
      <c r="DB25" s="356"/>
      <c r="DC25" s="358"/>
      <c r="DD25" s="381"/>
      <c r="DG25" s="381"/>
      <c r="DJ25" s="381"/>
      <c r="DL25" s="358"/>
      <c r="DO25" s="356"/>
      <c r="DP25" s="358"/>
      <c r="DQ25" s="382"/>
      <c r="DS25" s="358"/>
      <c r="DT25" s="382"/>
      <c r="DV25" s="358"/>
      <c r="DW25" s="382"/>
      <c r="DY25" s="358"/>
      <c r="EB25" s="356"/>
      <c r="EC25" s="385" t="s">
        <v>386</v>
      </c>
      <c r="ED25" s="386"/>
      <c r="EE25" s="385" t="s">
        <v>387</v>
      </c>
      <c r="EF25" s="385"/>
      <c r="EG25" s="385"/>
      <c r="EH25" s="385"/>
      <c r="EI25" s="351"/>
      <c r="EJ25" s="351"/>
      <c r="EK25" s="351"/>
      <c r="EL25" s="353"/>
    </row>
    <row r="26" spans="2:142" s="355" customFormat="1" ht="14.25" customHeight="1" thickBot="1" x14ac:dyDescent="0.25">
      <c r="B26" s="355">
        <v>17</v>
      </c>
      <c r="C26" s="356">
        <v>7</v>
      </c>
      <c r="D26" s="369" t="str">
        <f ca="1">INDIRECT("'Imp. Qualif.'!L"&amp;INDIRECT("B"&amp;ROW()))</f>
        <v/>
      </c>
      <c r="E26" s="370"/>
      <c r="G26" s="369" t="str">
        <f>IF(E20="","",IF(E20=E23, IF(E21 &lt; E24, D20, D23),IF(E20 &lt; E23,D20,D23)))</f>
        <v/>
      </c>
      <c r="H26" s="370"/>
      <c r="J26" s="369" t="str">
        <f>IF(H20="","",IF(H20=H23, IF(H21 &lt; H24, G20, G23),IF(H20 &lt; H23,G20,G23)))</f>
        <v/>
      </c>
      <c r="K26" s="370"/>
      <c r="M26" s="369" t="str">
        <f>IF(K26="","",IF(K26=K29, IF(K27 &gt; K30, J26, J29),IF(K26&gt;K29,J26,J29)))</f>
        <v/>
      </c>
      <c r="N26" s="379">
        <v>7</v>
      </c>
      <c r="P26" s="355">
        <v>17</v>
      </c>
      <c r="Q26" s="356">
        <v>7</v>
      </c>
      <c r="AA26" s="355">
        <v>17</v>
      </c>
      <c r="AB26" s="356">
        <v>7</v>
      </c>
      <c r="AC26" s="369" t="str">
        <f ca="1">INDIRECT("'Imp. Qualif.'!L"&amp;INDIRECT("B"&amp;ROW()))</f>
        <v/>
      </c>
      <c r="AD26" s="370"/>
      <c r="AF26" s="369" t="str">
        <f>IF(AD20="","",IF(AD20=AD23, IF(AD21 &lt; AD24, AC20, AC23),IF(AD20 &lt; AD23,AC20,AC23)))</f>
        <v/>
      </c>
      <c r="AG26" s="370"/>
      <c r="AI26" s="369" t="str">
        <f>IF(AG20="","",IF(AG20=AG23, IF(AG21 &lt; AG24, AF20, AF23),IF(AG20 &lt; AG23,AF20,AF23)))</f>
        <v/>
      </c>
      <c r="AJ26" s="370"/>
      <c r="AL26" s="369" t="str">
        <f>IF(AJ26="","",IF(AJ26=AJ29, IF(AJ27 &gt; AJ30, AI26, AI29),IF(AJ26&gt;AJ29,AI26,AI29)))</f>
        <v/>
      </c>
      <c r="AN26" s="355">
        <v>17</v>
      </c>
      <c r="AO26" s="356">
        <v>7</v>
      </c>
      <c r="AP26" s="369" t="str">
        <f ca="1">INDIRECT("'Imp. Qualif.'!L"&amp;INDIRECT("B"&amp;ROW()))</f>
        <v/>
      </c>
      <c r="AQ26" s="370"/>
      <c r="AS26" s="369" t="str">
        <f>IF(AQ20="","",IF(AQ20=AQ23, IF(AQ21 &lt; AQ24, AP20, AP23),IF(AQ20 &lt; AQ23,AP20,AP23)))</f>
        <v/>
      </c>
      <c r="AT26" s="370"/>
      <c r="AV26" s="369" t="str">
        <f>IF(AT20="","",IF(AT20=AT23, IF(AT21 &lt; AT24, AS20, AS23),IF(AT20 &lt; AT23,AS20,AS23)))</f>
        <v/>
      </c>
      <c r="AW26" s="370"/>
      <c r="AY26" s="369" t="str">
        <f>IF(AW26="","",IF(AW26=AW29, IF(AW27 &gt; AW30, AV26, AV29),IF(AW26&gt;AW29,AV26,AV29)))</f>
        <v/>
      </c>
      <c r="BA26" s="355">
        <v>17</v>
      </c>
      <c r="BB26" s="356">
        <v>7</v>
      </c>
      <c r="BC26" s="369" t="str">
        <f ca="1">INDIRECT("'Imp. Qualif.'!L"&amp;INDIRECT("B"&amp;ROW()))</f>
        <v/>
      </c>
      <c r="BD26" s="370"/>
      <c r="BF26" s="369" t="str">
        <f>IF(BD20="","",IF(BD20=BD23, IF(BD21 &lt; BD24, BC20, BC23),IF(BD20 &lt; BD23,BC20,BC23)))</f>
        <v/>
      </c>
      <c r="BG26" s="370"/>
      <c r="BI26" s="369" t="str">
        <f>IF(BG20="","",IF(BG20=BG23, IF(BG21 &lt; BG24, BF20, BF23),IF(BG20 &lt; BG23,BF20,BF23)))</f>
        <v/>
      </c>
      <c r="BJ26" s="370"/>
      <c r="BL26" s="369" t="str">
        <f>IF(BJ26="","",IF(BJ26=BJ29, IF(BJ27 &gt; BJ30, BI26, BI29),IF(BJ26&gt;BJ29,BI26,BI29)))</f>
        <v/>
      </c>
      <c r="BN26" s="355">
        <v>17</v>
      </c>
      <c r="BO26" s="356">
        <v>7</v>
      </c>
      <c r="BP26" s="369" t="str">
        <f ca="1">INDIRECT("'Imp. Qualif.'!L"&amp;INDIRECT("B"&amp;ROW()))</f>
        <v/>
      </c>
      <c r="BQ26" s="370"/>
      <c r="BS26" s="369" t="str">
        <f>IF(BQ20="","",IF(BQ20=BQ23, IF(BQ21 &lt; BQ24, BP20, BP23),IF(BQ20 &lt; BQ23,BP20,BP23)))</f>
        <v/>
      </c>
      <c r="BT26" s="370"/>
      <c r="BV26" s="369" t="str">
        <f>IF(BT20="","",IF(BT20=BT23, IF(BT21 &lt; BT24, BS20, BS23),IF(BT20 &lt; BT23,BS20,BS23)))</f>
        <v/>
      </c>
      <c r="BW26" s="370"/>
      <c r="BY26" s="369" t="str">
        <f>IF(BW26="","",IF(BW26=BW29, IF(BW27 &gt; BW30, BV26, BV29),IF(BW26&gt;BW29,BV26,BV29)))</f>
        <v/>
      </c>
      <c r="CA26" s="355">
        <v>17</v>
      </c>
      <c r="CB26" s="356">
        <v>7</v>
      </c>
      <c r="CC26" s="369" t="str">
        <f ca="1">INDIRECT("'Imp. Qualif.'!L"&amp;INDIRECT("B"&amp;ROW()))</f>
        <v/>
      </c>
      <c r="CD26" s="370"/>
      <c r="CF26" s="369" t="str">
        <f>IF(CD20="","",IF(CD20=CD23, IF(CD21 &lt; CD24, CC20, CC23),IF(CD20 &lt; CD23,CC20,CC23)))</f>
        <v/>
      </c>
      <c r="CG26" s="370"/>
      <c r="CI26" s="369" t="str">
        <f>IF(CG20="","",IF(CG20=CG23, IF(CG21 &lt; CG24, CF20, CF23),IF(CG20 &lt; CG23,CF20,CF23)))</f>
        <v/>
      </c>
      <c r="CJ26" s="370"/>
      <c r="CL26" s="369" t="str">
        <f>IF(CJ26="","",IF(CJ26=CJ29, IF(CJ27 &gt; CJ30, CI26, CI29),IF(CJ26&gt;CJ29,CI26,CI29)))</f>
        <v/>
      </c>
      <c r="CN26" s="355">
        <v>17</v>
      </c>
      <c r="CO26" s="356">
        <v>7</v>
      </c>
      <c r="CP26" s="369" t="str">
        <f ca="1">INDIRECT("'Imp. Qualif.'!L"&amp;INDIRECT("B"&amp;ROW()))</f>
        <v/>
      </c>
      <c r="CQ26" s="370"/>
      <c r="CS26" s="369" t="str">
        <f>IF(CQ20="","",IF(CQ20=CQ23, IF(CQ21 &lt; CQ24, CP20, CP23),IF(CQ20 &lt; CQ23,CP20,CP23)))</f>
        <v/>
      </c>
      <c r="CT26" s="370"/>
      <c r="CV26" s="369" t="str">
        <f>IF(CT20="","",IF(CT20=CT23, IF(CT21 &lt; CT24, CS20, CS23),IF(CT20 &lt; CT23,CS20,CS23)))</f>
        <v/>
      </c>
      <c r="CW26" s="370"/>
      <c r="CY26" s="369" t="str">
        <f>IF(CW26="","",IF(CW26=CW29, IF(CW27 &gt; CW30, CV26, CV29),IF(CW26&gt;CW29,CV26,CV29)))</f>
        <v/>
      </c>
      <c r="DA26" s="355">
        <v>17</v>
      </c>
      <c r="DB26" s="356">
        <v>7</v>
      </c>
      <c r="DC26" s="369" t="str">
        <f ca="1">INDIRECT("'Imp. Qualif.'!L"&amp;INDIRECT("B"&amp;ROW()))</f>
        <v/>
      </c>
      <c r="DD26" s="370"/>
      <c r="DE26" s="388" t="str">
        <f>IF(DD26&gt;0,RANK(DD26,(DD26,DD29,DD32),0),"")</f>
        <v/>
      </c>
      <c r="DF26" s="369" t="str">
        <f>IF(DD20="","",IF(DD20=DD23, IF(DD21 &lt; DD24, DC20, DC23),IF(DD20 &lt; DD23,DC20,DC23)))</f>
        <v/>
      </c>
      <c r="DG26" s="370"/>
      <c r="DH26" s="388" t="str">
        <f>IF(DG26&gt;0,RANK(DG26,(DG26,DG29,DG32),0),"")</f>
        <v/>
      </c>
      <c r="DI26" s="369" t="str">
        <f>IF(DG20="","",IF(DG20=DG23, IF(DG21 &lt; DG24, DF20, DF23),IF(DG20 &lt; DG23,DF20,DF23)))</f>
        <v/>
      </c>
      <c r="DJ26" s="370"/>
      <c r="DK26" s="388" t="str">
        <f>IF(DJ26&gt;0,RANK(DJ26,(DJ26,DJ29,DJ32),0),"")</f>
        <v/>
      </c>
      <c r="DL26" s="369" t="str">
        <f>IF(DJ26="","",IF(DK26=1,DI26, IF(DK29 = 1, DI29, IF(DK32=1, DI32, ""))))</f>
        <v/>
      </c>
      <c r="DN26" s="355">
        <v>17</v>
      </c>
      <c r="DO26" s="356">
        <v>7</v>
      </c>
      <c r="DP26" s="369" t="str">
        <f ca="1">INDIRECT("'Imp. Qualif.'!L"&amp;INDIRECT("B"&amp;ROW()))</f>
        <v/>
      </c>
      <c r="DQ26" s="370"/>
      <c r="DR26" s="388" t="str">
        <f>IF(DQ26&gt;0,RANK(DQ26,(DQ20,DQ23,DQ26),0),"")</f>
        <v/>
      </c>
      <c r="DS26" s="369" t="str">
        <f>IF(DQ26="","",IF(DR20=3,DP20, IF(DR23 = 3, DP23, IF(DR26=3, DP26, ""))))</f>
        <v/>
      </c>
      <c r="DT26" s="370"/>
      <c r="DU26" s="388" t="str">
        <f>IF(DT26&gt;0,RANK(DT26,(DT20,DT23,DT26),0),"")</f>
        <v/>
      </c>
      <c r="DV26" s="369" t="str">
        <f>IF(DT26="","",IF(DU20=3,DS20, IF(DU23 = 3, DS23, IF(DU26=3, DS26, ""))))</f>
        <v/>
      </c>
      <c r="DW26" s="370"/>
      <c r="DX26" s="388" t="str">
        <f>IF(DW26&gt;0,RANK(DW26,(DW20,DW23,DW26),0),"")</f>
        <v/>
      </c>
      <c r="DY26" s="369" t="str">
        <f>IF(DW26="","",IF(DX20=3,DV20, IF(DX23 = 3, DV23, IF(DX26=3, DV26, ""))))</f>
        <v/>
      </c>
      <c r="EA26" s="355">
        <v>17</v>
      </c>
      <c r="EB26" s="356">
        <v>7</v>
      </c>
      <c r="EC26" s="385" t="s">
        <v>386</v>
      </c>
      <c r="ED26" s="387"/>
      <c r="EE26" s="385" t="s">
        <v>493</v>
      </c>
      <c r="EF26" s="385"/>
      <c r="EG26" s="385"/>
      <c r="EH26" s="385"/>
      <c r="EI26" s="351"/>
      <c r="EJ26" s="351"/>
      <c r="EK26" s="351"/>
      <c r="EL26" s="353"/>
    </row>
    <row r="27" spans="2:142" s="355" customFormat="1" ht="14.25" customHeight="1" thickBot="1" x14ac:dyDescent="0.25">
      <c r="C27" s="356"/>
      <c r="D27" s="372" t="str">
        <f ca="1">INDIRECT("'Imp. Qualif.'!M"&amp;INDIRECT("B"&amp;ROW()-1))</f>
        <v/>
      </c>
      <c r="E27" s="373"/>
      <c r="G27" s="372" t="str">
        <f>IF(E20="","",IF(E20=E23, IF(E21 &lt; E24, D21, D24),IF(E20 &lt; E23,D21,D24)))</f>
        <v/>
      </c>
      <c r="H27" s="373"/>
      <c r="J27" s="372" t="str">
        <f>IF(H20="","",IF(H20=H23, IF(H21 &lt; H24, G21, G24),IF(H20 &lt; H23,G21,G24)))</f>
        <v/>
      </c>
      <c r="K27" s="373"/>
      <c r="M27" s="372" t="str">
        <f>IF(K26="","",IF(K26=K29, IF(K27 &gt; K30, J27, J30),IF(K26&gt;K29,J27,J30)))</f>
        <v/>
      </c>
      <c r="N27" s="379"/>
      <c r="Q27" s="356"/>
      <c r="AB27" s="356"/>
      <c r="AC27" s="372" t="str">
        <f ca="1">INDIRECT("'Imp. Qualif.'!M"&amp;INDIRECT("B"&amp;ROW()-1))</f>
        <v/>
      </c>
      <c r="AD27" s="373"/>
      <c r="AF27" s="372" t="str">
        <f>IF(AD20="","",IF(AD20=AD23, IF(AD21 &lt; AD24, AC21, AC24),IF(AD20 &lt; AD23,AC21,AC24)))</f>
        <v/>
      </c>
      <c r="AG27" s="373"/>
      <c r="AI27" s="372" t="str">
        <f>IF(AG20="","",IF(AG20=AG23, IF(AG21 &lt; AG24, AF21, AF24),IF(AG20 &lt; AG23,AF21,AF24)))</f>
        <v/>
      </c>
      <c r="AJ27" s="373"/>
      <c r="AL27" s="372" t="str">
        <f>IF(AJ26="","",IF(AJ26=AJ29, IF(AJ27 &gt; AJ30, AI27, AI30),IF(AJ26&gt;AJ29,AI27,AI30)))</f>
        <v/>
      </c>
      <c r="AO27" s="356"/>
      <c r="AP27" s="372" t="str">
        <f ca="1">INDIRECT("'Imp. Qualif.'!M"&amp;INDIRECT("B"&amp;ROW()-1))</f>
        <v/>
      </c>
      <c r="AQ27" s="373"/>
      <c r="AS27" s="372" t="str">
        <f>IF(AQ20="","",IF(AQ20=AQ23, IF(AQ21 &lt; AQ24, AP21, AP24),IF(AQ20 &lt; AQ23,AP21,AP24)))</f>
        <v/>
      </c>
      <c r="AT27" s="373"/>
      <c r="AV27" s="372" t="str">
        <f>IF(AT20="","",IF(AT20=AT23, IF(AT21 &lt; AT24, AS21, AS24),IF(AT20 &lt; AT23,AS21,AS24)))</f>
        <v/>
      </c>
      <c r="AW27" s="373"/>
      <c r="AY27" s="372" t="str">
        <f>IF(AW26="","",IF(AW26=AW29, IF(AW27 &gt; AW30, AV27, AV30),IF(AW26&gt;AW29,AV27,AV30)))</f>
        <v/>
      </c>
      <c r="BB27" s="356"/>
      <c r="BC27" s="372" t="str">
        <f ca="1">INDIRECT("'Imp. Qualif.'!M"&amp;INDIRECT("B"&amp;ROW()-1))</f>
        <v/>
      </c>
      <c r="BD27" s="373"/>
      <c r="BF27" s="372" t="str">
        <f>IF(BD20="","",IF(BD20=BD23, IF(BD21 &lt; BD24, BC21, BC24),IF(BD20 &lt; BD23,BC21,BC24)))</f>
        <v/>
      </c>
      <c r="BG27" s="373"/>
      <c r="BI27" s="372" t="str">
        <f>IF(BG20="","",IF(BG20=BG23, IF(BG21 &lt; BG24, BF21, BF24),IF(BG20 &lt; BG23,BF21,BF24)))</f>
        <v/>
      </c>
      <c r="BJ27" s="373"/>
      <c r="BL27" s="372" t="str">
        <f>IF(BJ26="","",IF(BJ26=BJ29, IF(BJ27 &gt; BJ30, BI27, BI30),IF(BJ26&gt;BJ29,BI27,BI30)))</f>
        <v/>
      </c>
      <c r="BO27" s="356"/>
      <c r="BP27" s="372" t="str">
        <f ca="1">INDIRECT("'Imp. Qualif.'!M"&amp;INDIRECT("B"&amp;ROW()-1))</f>
        <v/>
      </c>
      <c r="BQ27" s="373"/>
      <c r="BS27" s="372" t="str">
        <f>IF(BQ20="","",IF(BQ20=BQ23, IF(BQ21 &lt; BQ24, BP21, BP24),IF(BQ20 &lt; BQ23,BP21,BP24)))</f>
        <v/>
      </c>
      <c r="BT27" s="373"/>
      <c r="BV27" s="372" t="str">
        <f>IF(BT20="","",IF(BT20=BT23, IF(BT21 &lt; BT24, BS21, BS24),IF(BT20 &lt; BT23,BS21,BS24)))</f>
        <v/>
      </c>
      <c r="BW27" s="373"/>
      <c r="BY27" s="372" t="str">
        <f>IF(BW26="","",IF(BW26=BW29, IF(BW27 &gt; BW30, BV27, BV30),IF(BW26&gt;BW29,BV27,BV30)))</f>
        <v/>
      </c>
      <c r="CB27" s="356"/>
      <c r="CC27" s="372" t="str">
        <f ca="1">INDIRECT("'Imp. Qualif.'!M"&amp;INDIRECT("B"&amp;ROW()-1))</f>
        <v/>
      </c>
      <c r="CD27" s="373"/>
      <c r="CF27" s="372" t="str">
        <f>IF(CD20="","",IF(CD20=CD23, IF(CD21 &lt; CD24, CC21, CC24),IF(CD20 &lt; CD23,CC21,CC24)))</f>
        <v/>
      </c>
      <c r="CG27" s="373"/>
      <c r="CI27" s="372" t="str">
        <f>IF(CG20="","",IF(CG20=CG23, IF(CG21 &lt; CG24, CF21, CF24),IF(CG20 &lt; CG23,CF21,CF24)))</f>
        <v/>
      </c>
      <c r="CJ27" s="373"/>
      <c r="CL27" s="372" t="str">
        <f>IF(CJ26="","",IF(CJ26=CJ29, IF(CJ27 &gt; CJ30, CI27, CI30),IF(CJ26&gt;CJ29,CI27,CI30)))</f>
        <v/>
      </c>
      <c r="CO27" s="356"/>
      <c r="CP27" s="372" t="str">
        <f ca="1">INDIRECT("'Imp. Qualif.'!M"&amp;INDIRECT("B"&amp;ROW()-1))</f>
        <v/>
      </c>
      <c r="CQ27" s="373"/>
      <c r="CS27" s="372" t="str">
        <f>IF(CQ20="","",IF(CQ20=CQ23, IF(CQ21 &lt; CQ24, CP21, CP24),IF(CQ20 &lt; CQ23,CP21,CP24)))</f>
        <v/>
      </c>
      <c r="CT27" s="373"/>
      <c r="CV27" s="372" t="str">
        <f>IF(CT20="","",IF(CT20=CT23, IF(CT21 &lt; CT24, CS21, CS24),IF(CT20 &lt; CT23,CS21,CS24)))</f>
        <v/>
      </c>
      <c r="CW27" s="373"/>
      <c r="CY27" s="372" t="str">
        <f>IF(CW26="","",IF(CW26=CW29, IF(CW27 &gt; CW30, CV27, CV30),IF(CW26&gt;CW29,CV27,CV30)))</f>
        <v/>
      </c>
      <c r="DB27" s="356"/>
      <c r="DC27" s="372" t="str">
        <f ca="1">INDIRECT("'Imp. Qualif.'!M"&amp;INDIRECT("B"&amp;ROW()-1))</f>
        <v/>
      </c>
      <c r="DD27" s="373"/>
      <c r="DE27" s="383"/>
      <c r="DF27" s="372" t="str">
        <f>IF(DD20="","",IF(DD20=DD23, IF(DD21 &lt; DD24, DC21, DC24),IF(DD20 &lt; DD23,DC21,DC24)))</f>
        <v/>
      </c>
      <c r="DG27" s="373"/>
      <c r="DH27" s="383"/>
      <c r="DI27" s="372" t="str">
        <f>IF(DG20="","",IF(DG20=DG23, IF(DG21 &lt; DG24, DF21, DF24),IF(DG20 &lt; DG23,DF21,DF24)))</f>
        <v/>
      </c>
      <c r="DJ27" s="373"/>
      <c r="DL27" s="372" t="str">
        <f>IF(DJ26="","",IF(DK26=1,DI27, IF(DK29 = 1, DI30, IF(DK32=1, DI33, ""))))</f>
        <v/>
      </c>
      <c r="DO27" s="356"/>
      <c r="DP27" s="372" t="str">
        <f ca="1">INDIRECT("'Imp. Qualif.'!M"&amp;INDIRECT("B"&amp;ROW()-1))</f>
        <v/>
      </c>
      <c r="DQ27" s="373"/>
      <c r="DS27" s="372" t="str">
        <f>IF(DQ26="","",IF(DR20=3,DP21, IF(DR23 = 3, DP24, IF(DR26=3, DP27, ""))))</f>
        <v/>
      </c>
      <c r="DT27" s="373"/>
      <c r="DV27" s="372" t="str">
        <f>IF(DT26="","",IF(DU20=3,DS21, IF(DU23 = 3, DS24, IF(DU26=3, DS27, ""))))</f>
        <v/>
      </c>
      <c r="DW27" s="373"/>
      <c r="DY27" s="372" t="str">
        <f>IF(DW26="","",IF(DX20=3,DV21, IF(DX23 = 3, DV24, IF(DX26=3, DV27, ""))))</f>
        <v/>
      </c>
      <c r="EB27" s="356"/>
      <c r="EC27" s="385"/>
      <c r="ED27" s="385"/>
      <c r="EE27" s="385"/>
      <c r="EF27" s="385"/>
      <c r="EG27" s="385"/>
      <c r="EH27" s="385"/>
      <c r="EI27" s="351"/>
      <c r="EJ27" s="351"/>
      <c r="EK27" s="351"/>
      <c r="EL27" s="353"/>
    </row>
    <row r="28" spans="2:142" s="355" customFormat="1" ht="14.25" customHeight="1" x14ac:dyDescent="0.2">
      <c r="C28" s="356"/>
      <c r="D28" s="358"/>
      <c r="E28" s="381"/>
      <c r="H28" s="381"/>
      <c r="K28" s="381"/>
      <c r="M28" s="358"/>
      <c r="N28" s="379"/>
      <c r="Q28" s="356"/>
      <c r="AB28" s="356"/>
      <c r="AC28" s="358"/>
      <c r="AD28" s="375"/>
      <c r="AG28" s="375"/>
      <c r="AJ28" s="375"/>
      <c r="AL28" s="358"/>
      <c r="AO28" s="356"/>
      <c r="AP28" s="358"/>
      <c r="AQ28" s="381"/>
      <c r="AT28" s="381"/>
      <c r="AW28" s="381"/>
      <c r="AY28" s="358"/>
      <c r="BB28" s="356"/>
      <c r="BC28" s="358"/>
      <c r="BD28" s="381"/>
      <c r="BG28" s="381"/>
      <c r="BJ28" s="381"/>
      <c r="BL28" s="358"/>
      <c r="BO28" s="356"/>
      <c r="BP28" s="358"/>
      <c r="BQ28" s="381"/>
      <c r="BT28" s="381"/>
      <c r="BW28" s="381"/>
      <c r="BY28" s="358"/>
      <c r="CB28" s="356"/>
      <c r="CC28" s="358"/>
      <c r="CD28" s="381"/>
      <c r="CG28" s="381"/>
      <c r="CJ28" s="381"/>
      <c r="CL28" s="358"/>
      <c r="CO28" s="356"/>
      <c r="CP28" s="358"/>
      <c r="CQ28" s="381"/>
      <c r="CT28" s="381"/>
      <c r="CW28" s="381"/>
      <c r="CY28" s="358"/>
      <c r="DB28" s="356"/>
      <c r="DC28" s="358"/>
      <c r="DD28" s="381"/>
      <c r="DE28" s="383"/>
      <c r="DG28" s="381"/>
      <c r="DH28" s="383"/>
      <c r="DJ28" s="381"/>
      <c r="DL28" s="358"/>
      <c r="DO28" s="356"/>
      <c r="DP28" s="358"/>
      <c r="DQ28" s="382"/>
      <c r="DS28" s="358"/>
      <c r="DT28" s="382"/>
      <c r="DV28" s="358"/>
      <c r="DW28" s="382"/>
      <c r="DY28" s="358"/>
      <c r="EB28" s="356"/>
      <c r="EC28" s="351"/>
      <c r="ED28" s="351"/>
      <c r="EE28" s="351"/>
      <c r="EF28" s="351"/>
      <c r="EG28" s="351"/>
      <c r="EH28" s="351"/>
      <c r="EI28" s="351"/>
      <c r="EJ28" s="351"/>
      <c r="EK28" s="351"/>
      <c r="EL28" s="353"/>
    </row>
    <row r="29" spans="2:142" s="355" customFormat="1" ht="14.25" customHeight="1" x14ac:dyDescent="0.2">
      <c r="B29" s="355">
        <v>18</v>
      </c>
      <c r="C29" s="356">
        <v>8</v>
      </c>
      <c r="D29" s="369" t="str">
        <f ca="1">INDIRECT("'Imp. Qualif.'!L"&amp;INDIRECT("B"&amp;ROW()))</f>
        <v/>
      </c>
      <c r="E29" s="370"/>
      <c r="G29" s="369" t="str">
        <f>IF(E32="","",IF(E32=E35, IF(E33 &gt; E36, D32, D35),IF(E32&gt;E35,D32,D35)))</f>
        <v/>
      </c>
      <c r="H29" s="370"/>
      <c r="J29" s="369" t="str">
        <f>IF(H32="","",IF(H32=H35, IF(H33 &gt; H36, G32, G35),IF(H32&gt;H35,G32,G35)))</f>
        <v/>
      </c>
      <c r="K29" s="370"/>
      <c r="M29" s="369" t="str">
        <f>IF(K26="","",IF(K26=K29, IF(K30 &lt; K27, J29, J26),IF(K29 &lt; K26,J29,J26)))</f>
        <v/>
      </c>
      <c r="N29" s="379">
        <v>8</v>
      </c>
      <c r="P29" s="355">
        <v>18</v>
      </c>
      <c r="Q29" s="356">
        <v>8</v>
      </c>
      <c r="AA29" s="355">
        <v>18</v>
      </c>
      <c r="AB29" s="356">
        <v>8</v>
      </c>
      <c r="AC29" s="369" t="str">
        <f ca="1">INDIRECT("'Imp. Qualif.'!L"&amp;INDIRECT("B"&amp;ROW()))</f>
        <v/>
      </c>
      <c r="AD29" s="370"/>
      <c r="AF29" s="369" t="str">
        <f>IF(AD32="","",IF(AD32=AD35, IF(AD33 &gt; AD36, AC32, AC35),IF(AD32&gt;AD35,AC32,AC35)))</f>
        <v/>
      </c>
      <c r="AG29" s="370"/>
      <c r="AI29" s="369" t="str">
        <f>IF(AG32="","",IF(AG32=AG35, IF(AG33 &gt; AG36, AF32, AF35),IF(AG32&gt;AG35,AF32,AF35)))</f>
        <v/>
      </c>
      <c r="AJ29" s="370"/>
      <c r="AL29" s="369" t="str">
        <f>IF(AJ26="","",IF(AJ26=AJ29, IF(AJ30 &lt; AJ27, AI29, AI26),IF(AJ29 &lt; AJ26,AI29,AI26)))</f>
        <v/>
      </c>
      <c r="AN29" s="355">
        <v>18</v>
      </c>
      <c r="AO29" s="356">
        <v>8</v>
      </c>
      <c r="AP29" s="369" t="str">
        <f ca="1">INDIRECT("'Imp. Qualif.'!L"&amp;INDIRECT("B"&amp;ROW()))</f>
        <v/>
      </c>
      <c r="AQ29" s="370"/>
      <c r="AS29" s="369" t="str">
        <f>IF(AQ32="","",IF(AQ32=AQ35, IF(AQ33 &gt; AQ36, AP32, AP35),IF(AQ32&gt;AQ35,AP32,AP35)))</f>
        <v/>
      </c>
      <c r="AT29" s="370"/>
      <c r="AV29" s="369" t="str">
        <f>IF(AT32="","",IF(AT32=AT35, IF(AT33 &gt; AT36, AS32, AS35),IF(AT32&gt;AT35,AS32,AS35)))</f>
        <v/>
      </c>
      <c r="AW29" s="370"/>
      <c r="AY29" s="369" t="str">
        <f>IF(AW26="","",IF(AW26=AW29, IF(AW30 &lt; AW27, AV29, AV26),IF(AW29 &lt; AW26,AV29,AV26)))</f>
        <v/>
      </c>
      <c r="BA29" s="355">
        <v>18</v>
      </c>
      <c r="BB29" s="356">
        <v>8</v>
      </c>
      <c r="BC29" s="369" t="str">
        <f ca="1">INDIRECT("'Imp. Qualif.'!L"&amp;INDIRECT("B"&amp;ROW()))</f>
        <v/>
      </c>
      <c r="BD29" s="370"/>
      <c r="BF29" s="369" t="str">
        <f>IF(BD32="","",IF(BD32=BD35, IF(BD33 &gt; BD36, BC32, BC35),IF(BD32&gt;BD35,BC32,BC35)))</f>
        <v/>
      </c>
      <c r="BG29" s="370"/>
      <c r="BI29" s="369" t="str">
        <f>IF(BG32="","",IF(BG32=BG35, IF(BG33 &gt; BG36, BF32, BF35),IF(BG32&gt;BG35,BF32,BF35)))</f>
        <v/>
      </c>
      <c r="BJ29" s="370"/>
      <c r="BL29" s="369" t="str">
        <f>IF(BJ26="","",IF(BJ26=BJ29, IF(BJ30 &lt; BJ27, BI29, BI26),IF(BJ29 &lt; BJ26,BI29,BI26)))</f>
        <v/>
      </c>
      <c r="BN29" s="355">
        <v>18</v>
      </c>
      <c r="BO29" s="356">
        <v>8</v>
      </c>
      <c r="BP29" s="369" t="str">
        <f ca="1">INDIRECT("'Imp. Qualif.'!L"&amp;INDIRECT("B"&amp;ROW()))</f>
        <v/>
      </c>
      <c r="BQ29" s="370"/>
      <c r="BS29" s="369" t="str">
        <f>IF(BQ32="","",IF(BQ32=BQ35, IF(BQ33 &gt; BQ36, BP32, BP35),IF(BQ32&gt;BQ35,BP32,BP35)))</f>
        <v/>
      </c>
      <c r="BT29" s="370"/>
      <c r="BV29" s="369" t="str">
        <f>IF(BT32="","",IF(BT32=BT35, IF(BT33 &gt; BT36, BS32, BS35),IF(BT32&gt;BT35,BS32,BS35)))</f>
        <v/>
      </c>
      <c r="BW29" s="370"/>
      <c r="BY29" s="369" t="str">
        <f>IF(BW26="","",IF(BW26=BW29, IF(BW30 &lt; BW27, BV29, BV26),IF(BW29 &lt; BW26,BV29,BV26)))</f>
        <v/>
      </c>
      <c r="CA29" s="355">
        <v>18</v>
      </c>
      <c r="CB29" s="356">
        <v>8</v>
      </c>
      <c r="CC29" s="369" t="str">
        <f ca="1">INDIRECT("'Imp. Qualif.'!L"&amp;INDIRECT("B"&amp;ROW()))</f>
        <v/>
      </c>
      <c r="CD29" s="370"/>
      <c r="CF29" s="369" t="str">
        <f>IF(CD32="","",IF(CD32=CD35, IF(CD33 &gt; CD36, CC32, CC35),IF(CD32&gt;CD35,CC32,CC35)))</f>
        <v/>
      </c>
      <c r="CG29" s="370"/>
      <c r="CI29" s="369" t="str">
        <f>IF(CG32="","",IF(CG32=CG35, IF(CG33 &gt; CG36, CF32, CF35),IF(CG32&gt;CG35,CF32,CF35)))</f>
        <v/>
      </c>
      <c r="CJ29" s="370"/>
      <c r="CL29" s="369" t="str">
        <f>IF(CJ26="","",IF(CJ26=CJ29, IF(CJ30 &lt; CJ27, CI29, CI26),IF(CJ29 &lt; CJ26,CI29,CI26)))</f>
        <v/>
      </c>
      <c r="CN29" s="355">
        <v>18</v>
      </c>
      <c r="CO29" s="356">
        <v>8</v>
      </c>
      <c r="CP29" s="369" t="str">
        <f ca="1">INDIRECT("'Imp. Qualif.'!L"&amp;INDIRECT("B"&amp;ROW()))</f>
        <v/>
      </c>
      <c r="CQ29" s="370"/>
      <c r="CS29" s="369" t="str">
        <f>IF(CQ32="","",IF(CR32=1,CP32, IF(CR35 = 1, CP35, IF(CR38=1, CP38, ""))))</f>
        <v/>
      </c>
      <c r="CT29" s="370"/>
      <c r="CV29" s="369" t="str">
        <f>IF(CT32="","",IF(CU32=3,CS32, IF(CU35 = 3, CS35, IF(CU38=3, CS38, ""))))</f>
        <v/>
      </c>
      <c r="CW29" s="370"/>
      <c r="CY29" s="369" t="str">
        <f>IF(CW26="","",IF(CW26=CW29, IF(CW30 &lt; CW27, CV29, CV26),IF(CW29 &lt; CW26,CV29,CV26)))</f>
        <v/>
      </c>
      <c r="DA29" s="355">
        <v>18</v>
      </c>
      <c r="DB29" s="356">
        <v>8</v>
      </c>
      <c r="DC29" s="369" t="str">
        <f ca="1">INDIRECT("'Imp. Qualif.'!L"&amp;INDIRECT("B"&amp;ROW()))</f>
        <v/>
      </c>
      <c r="DD29" s="370"/>
      <c r="DE29" s="388" t="str">
        <f>IF(DD29&gt;0,RANK(DD29,(DD26,DD29,DD32),0),"")</f>
        <v/>
      </c>
      <c r="DF29" s="369" t="str">
        <f>IF(DD29="","",IF(DE26=2,DC26, IF(DE29 = 2, DC29, IF(DE32=2, DC32, ""))))</f>
        <v/>
      </c>
      <c r="DG29" s="370"/>
      <c r="DH29" s="388" t="str">
        <f>IF(DG29&gt;0,RANK(DG29,(DG26,DG29,DG32),0),"")</f>
        <v/>
      </c>
      <c r="DI29" s="369" t="str">
        <f>IF(DG29="","",IF(DH26=2,DF26, IF(DH29 = 2, DF29, IF(DH32=2, DF32, ""))))</f>
        <v/>
      </c>
      <c r="DJ29" s="370"/>
      <c r="DK29" s="388" t="str">
        <f>IF(DJ29&gt;0,RANK(DJ29,(DJ26,DJ29,DJ32),0),"")</f>
        <v/>
      </c>
      <c r="DL29" s="369" t="str">
        <f>IF(DJ29="","",IF(DK26=2,DI26, IF(DK29 = 2, DI29, IF(DK32=2, DI32, ""))))</f>
        <v/>
      </c>
      <c r="DN29" s="355">
        <v>18</v>
      </c>
      <c r="DO29" s="356">
        <v>8</v>
      </c>
      <c r="DP29" s="358"/>
      <c r="DQ29" s="382"/>
      <c r="DS29" s="358"/>
      <c r="DT29" s="382"/>
      <c r="DV29" s="358"/>
      <c r="DW29" s="382"/>
      <c r="DY29" s="358"/>
      <c r="EA29" s="355">
        <v>18</v>
      </c>
      <c r="EB29" s="356">
        <v>8</v>
      </c>
      <c r="EC29" s="351"/>
      <c r="ED29" s="351"/>
      <c r="EE29" s="351"/>
      <c r="EF29" s="351"/>
      <c r="EG29" s="351"/>
      <c r="EH29" s="351"/>
      <c r="EI29" s="351"/>
      <c r="EJ29" s="351"/>
      <c r="EK29" s="351"/>
      <c r="EL29" s="353"/>
    </row>
    <row r="30" spans="2:142" s="355" customFormat="1" ht="14.25" customHeight="1" thickBot="1" x14ac:dyDescent="0.25">
      <c r="C30" s="356"/>
      <c r="D30" s="380" t="str">
        <f ca="1">INDIRECT("'Imp. Qualif.'!M"&amp;INDIRECT("B"&amp;ROW()-1))</f>
        <v/>
      </c>
      <c r="E30" s="373"/>
      <c r="G30" s="380" t="str">
        <f>IF(E32="","",IF(E32=E35, IF(E33 &gt; E36, D33, D36),IF(E32&gt;E35,D33,D36)))</f>
        <v/>
      </c>
      <c r="H30" s="373"/>
      <c r="J30" s="380" t="str">
        <f>IF(H32="","",IF(H32=H35, IF(H33 &gt; H36, G33, G36),IF(H32&gt;H35,G33,G36)))</f>
        <v/>
      </c>
      <c r="K30" s="373"/>
      <c r="M30" s="372" t="str">
        <f>IF(K26="","",IF(K26=K29, IF(K30 &lt; K27, J30, J27),IF(K29 &lt; K26,J30,J27)))</f>
        <v/>
      </c>
      <c r="N30" s="379"/>
      <c r="Q30" s="356"/>
      <c r="AB30" s="356"/>
      <c r="AC30" s="380" t="str">
        <f ca="1">INDIRECT("'Imp. Qualif.'!M"&amp;INDIRECT("B"&amp;ROW()-1))</f>
        <v/>
      </c>
      <c r="AD30" s="373"/>
      <c r="AF30" s="372" t="str">
        <f>IF(AD32="","",IF(AD32=AD35, IF(AD33 &gt; AD36, AC33, AC36),IF(AD32&gt;AD35,AC33,AC36)))</f>
        <v/>
      </c>
      <c r="AG30" s="373"/>
      <c r="AI30" s="372" t="str">
        <f>IF(AG32="","",IF(AG32=AG35, IF(AG33 &gt; AG36, AF33, AF36),IF(AG32&gt;AG35,AF33,AF36)))</f>
        <v/>
      </c>
      <c r="AJ30" s="373"/>
      <c r="AL30" s="372" t="str">
        <f>IF(AJ26="","",IF(AJ26=AJ29, IF(AJ30 &lt; AJ27, AI30, AI27),IF(AJ29 &lt; AJ26,AI30,AI27)))</f>
        <v/>
      </c>
      <c r="AO30" s="356"/>
      <c r="AP30" s="380" t="str">
        <f ca="1">INDIRECT("'Imp. Qualif.'!M"&amp;INDIRECT("B"&amp;ROW()-1))</f>
        <v/>
      </c>
      <c r="AQ30" s="373"/>
      <c r="AS30" s="380" t="str">
        <f>IF(AQ32="","",IF(AQ32=AQ35, IF(AQ33 &gt; AQ36, AP33, AP36),IF(AQ32&gt;AQ35,AP33,AP36)))</f>
        <v/>
      </c>
      <c r="AT30" s="373"/>
      <c r="AV30" s="380" t="str">
        <f>IF(AT32="","",IF(AT32=AT35, IF(AT33 &gt; AT36, AS33, AS36),IF(AT32&gt;AT35,AS33,AS36)))</f>
        <v/>
      </c>
      <c r="AW30" s="373"/>
      <c r="AY30" s="372" t="str">
        <f>IF(AW26="","",IF(AW26=AW29, IF(AW30 &lt; AW27, AV30, AV27),IF(AW29 &lt; AW26,AV30,AV27)))</f>
        <v/>
      </c>
      <c r="BB30" s="356"/>
      <c r="BC30" s="380" t="str">
        <f ca="1">INDIRECT("'Imp. Qualif.'!M"&amp;INDIRECT("B"&amp;ROW()-1))</f>
        <v/>
      </c>
      <c r="BD30" s="373"/>
      <c r="BF30" s="380" t="str">
        <f>IF(BD32="","",IF(BD32=BD35, IF(BD33 &gt; BD36, BC33, BC36),IF(BD32&gt;BD35,BC33,BC36)))</f>
        <v/>
      </c>
      <c r="BG30" s="373"/>
      <c r="BI30" s="380" t="str">
        <f>IF(BG32="","",IF(BG32=BG35, IF(BG33 &gt; BG36, BF33, BF36),IF(BG32&gt;BG35,BF33,BF36)))</f>
        <v/>
      </c>
      <c r="BJ30" s="373"/>
      <c r="BL30" s="372" t="str">
        <f>IF(BJ26="","",IF(BJ26=BJ29, IF(BJ30 &lt; BJ27, BI30, BI27),IF(BJ29 &lt; BJ26,BI30,BI27)))</f>
        <v/>
      </c>
      <c r="BO30" s="356"/>
      <c r="BP30" s="380" t="str">
        <f ca="1">INDIRECT("'Imp. Qualif.'!M"&amp;INDIRECT("B"&amp;ROW()-1))</f>
        <v/>
      </c>
      <c r="BQ30" s="373"/>
      <c r="BS30" s="380" t="str">
        <f>IF(BQ32="","",IF(BQ32=BQ35, IF(BQ33 &gt; BQ36, BP33, BP36),IF(BQ32&gt;BQ35,BP33,BP36)))</f>
        <v/>
      </c>
      <c r="BT30" s="373"/>
      <c r="BV30" s="380" t="str">
        <f>IF(BT32="","",IF(BT32=BT35, IF(BT33 &gt; BT36, BS33, BS36),IF(BT32&gt;BT35,BS33,BS36)))</f>
        <v/>
      </c>
      <c r="BW30" s="373"/>
      <c r="BY30" s="372" t="str">
        <f>IF(BW26="","",IF(BW26=BW29, IF(BW30 &lt; BW27, BV30, BV27),IF(BW29 &lt; BW26,BV30,BV27)))</f>
        <v/>
      </c>
      <c r="CB30" s="356"/>
      <c r="CC30" s="380" t="str">
        <f ca="1">INDIRECT("'Imp. Qualif.'!M"&amp;INDIRECT("B"&amp;ROW()-1))</f>
        <v/>
      </c>
      <c r="CD30" s="373"/>
      <c r="CF30" s="380" t="str">
        <f>IF(CD32="","",IF(CD32=CD35, IF(CD33 &gt; CD36, CC33, CC36),IF(CD32&gt;CD35,CC33,CC36)))</f>
        <v/>
      </c>
      <c r="CG30" s="373"/>
      <c r="CI30" s="380" t="str">
        <f>IF(CG32="","",IF(CG32=CG35, IF(CG33 &gt; CG36, CF33, CF36),IF(CG32&gt;CG35,CF33,CF36)))</f>
        <v/>
      </c>
      <c r="CJ30" s="373"/>
      <c r="CL30" s="372" t="str">
        <f>IF(CJ26="","",IF(CJ26=CJ29, IF(CJ30 &lt; CJ27, CI30, CI27),IF(CJ29 &lt; CJ26,CI30,CI27)))</f>
        <v/>
      </c>
      <c r="CO30" s="356"/>
      <c r="CP30" s="380" t="str">
        <f ca="1">INDIRECT("'Imp. Qualif.'!M"&amp;INDIRECT("B"&amp;ROW()-1))</f>
        <v/>
      </c>
      <c r="CQ30" s="373"/>
      <c r="CS30" s="372" t="str">
        <f>IF(CQ32="","",IF(CR32=1,CP33, IF(CR35 = 1, CP36, IF(CR38=1, CP39, ""))))</f>
        <v/>
      </c>
      <c r="CT30" s="373"/>
      <c r="CV30" s="372" t="str">
        <f>IF(CT32="","",IF(CU32=3,CS33, IF(CU35 = 3, CS36, IF(CU38=3, CS39, ""))))</f>
        <v/>
      </c>
      <c r="CW30" s="373"/>
      <c r="CY30" s="372" t="str">
        <f>IF(CW26="","",IF(CW26=CW29, IF(CW30 &lt; CW27, CV30, CV27),IF(CW29 &lt; CW26,CV30,CV27)))</f>
        <v/>
      </c>
      <c r="DB30" s="356"/>
      <c r="DC30" s="380" t="str">
        <f ca="1">INDIRECT("'Imp. Qualif.'!M"&amp;INDIRECT("B"&amp;ROW()-1))</f>
        <v/>
      </c>
      <c r="DD30" s="373"/>
      <c r="DF30" s="372" t="str">
        <f>IF(DD29="","",IF(DE26=2,DC27, IF(DE29 = 2, DC30, IF(DE32=2, DC33, ""))))</f>
        <v/>
      </c>
      <c r="DG30" s="373"/>
      <c r="DI30" s="372" t="str">
        <f>IF(DG29="","",IF(DH26=2,DF27, IF(DH29 = 2, DF30, IF(DH32=2, DF33, ""))))</f>
        <v/>
      </c>
      <c r="DJ30" s="373"/>
      <c r="DL30" s="372" t="str">
        <f>IF(DJ29="","",IF(DK26=2,DI27, IF(DK29 = 2, DI30, IF(DK32=2, DI33, ""))))</f>
        <v/>
      </c>
      <c r="DO30" s="356"/>
      <c r="DP30" s="358"/>
      <c r="DQ30" s="384"/>
      <c r="DS30" s="358"/>
      <c r="DT30" s="382"/>
      <c r="DV30" s="358"/>
      <c r="DW30" s="382"/>
      <c r="DY30" s="358"/>
      <c r="EB30" s="356"/>
      <c r="EC30" s="351"/>
      <c r="ED30" s="351"/>
      <c r="EE30" s="351"/>
      <c r="EF30" s="351"/>
      <c r="EG30" s="351"/>
      <c r="EH30" s="351"/>
      <c r="EI30" s="351"/>
      <c r="EJ30" s="351"/>
      <c r="EK30" s="351"/>
      <c r="EL30" s="353"/>
    </row>
    <row r="31" spans="2:142" s="355" customFormat="1" ht="14.25" customHeight="1" x14ac:dyDescent="0.2">
      <c r="C31" s="356"/>
      <c r="D31" s="358"/>
      <c r="E31" s="381"/>
      <c r="H31" s="381"/>
      <c r="K31" s="381"/>
      <c r="M31" s="358"/>
      <c r="N31" s="379"/>
      <c r="Q31" s="356"/>
      <c r="AB31" s="356"/>
      <c r="AC31" s="358"/>
      <c r="AD31" s="375"/>
      <c r="AG31" s="375"/>
      <c r="AJ31" s="375"/>
      <c r="AL31" s="358"/>
      <c r="AO31" s="356"/>
      <c r="AP31" s="358"/>
      <c r="AQ31" s="381"/>
      <c r="AT31" s="381"/>
      <c r="AW31" s="381"/>
      <c r="AY31" s="358"/>
      <c r="BB31" s="356"/>
      <c r="BC31" s="358"/>
      <c r="BD31" s="382"/>
      <c r="BF31" s="358"/>
      <c r="BG31" s="382"/>
      <c r="BI31" s="358"/>
      <c r="BJ31" s="382"/>
      <c r="BL31" s="358"/>
      <c r="BO31" s="356"/>
      <c r="BP31" s="358"/>
      <c r="BQ31" s="382"/>
      <c r="BS31" s="358"/>
      <c r="BT31" s="382"/>
      <c r="BV31" s="358"/>
      <c r="BW31" s="382"/>
      <c r="BY31" s="358"/>
      <c r="CB31" s="356"/>
      <c r="CC31" s="358"/>
      <c r="CD31" s="382"/>
      <c r="CF31" s="358"/>
      <c r="CG31" s="382"/>
      <c r="CI31" s="358"/>
      <c r="CJ31" s="382"/>
      <c r="CL31" s="358"/>
      <c r="CO31" s="356"/>
      <c r="CP31" s="358"/>
      <c r="CQ31" s="381"/>
      <c r="CT31" s="381"/>
      <c r="CW31" s="381"/>
      <c r="CY31" s="358"/>
      <c r="DB31" s="356"/>
      <c r="DC31" s="358"/>
      <c r="DD31" s="382"/>
      <c r="DF31" s="358"/>
      <c r="DG31" s="382"/>
      <c r="DI31" s="358"/>
      <c r="DJ31" s="382"/>
      <c r="DL31" s="358"/>
      <c r="DO31" s="356"/>
      <c r="DP31" s="385" t="s">
        <v>386</v>
      </c>
      <c r="DQ31" s="386"/>
      <c r="DR31" s="385" t="s">
        <v>387</v>
      </c>
      <c r="DS31" s="385"/>
      <c r="DT31" s="385"/>
      <c r="DU31" s="385"/>
      <c r="DV31" s="351"/>
      <c r="DW31" s="351"/>
      <c r="DX31" s="351"/>
      <c r="DY31" s="353"/>
      <c r="EB31" s="356"/>
      <c r="EC31" s="351"/>
      <c r="ED31" s="351"/>
      <c r="EE31" s="351"/>
      <c r="EF31" s="351"/>
      <c r="EG31" s="351"/>
      <c r="EH31" s="351"/>
      <c r="EI31" s="351"/>
      <c r="EJ31" s="351"/>
      <c r="EK31" s="351"/>
      <c r="EL31" s="353"/>
    </row>
    <row r="32" spans="2:142" s="355" customFormat="1" ht="14.25" customHeight="1" thickBot="1" x14ac:dyDescent="0.25">
      <c r="B32" s="355">
        <v>19</v>
      </c>
      <c r="C32" s="356">
        <v>9</v>
      </c>
      <c r="D32" s="369" t="str">
        <f ca="1">INDIRECT("'Imp. Qualif.'!L"&amp;INDIRECT("B"&amp;ROW()))</f>
        <v/>
      </c>
      <c r="E32" s="370"/>
      <c r="G32" s="369" t="str">
        <f>IF(E26="","",IF(E26=E29, IF(E27 &lt; E30, D26, D29),IF(E26 &lt; E29,D26,D29)))</f>
        <v/>
      </c>
      <c r="H32" s="370"/>
      <c r="J32" s="369" t="str">
        <f>IF(H26="","",IF(H26=H29, IF(H27 &lt; H30, G26, G29),IF(H26 &lt; H29,G26,G29)))</f>
        <v/>
      </c>
      <c r="K32" s="370"/>
      <c r="M32" s="369" t="str">
        <f>IF(K32="","",IF(K32=K35, IF(K33 &gt; K36, J32, J35),IF(K32&gt;K35,J32,J35)))</f>
        <v/>
      </c>
      <c r="N32" s="379">
        <v>9</v>
      </c>
      <c r="P32" s="355">
        <v>19</v>
      </c>
      <c r="Q32" s="356">
        <v>9</v>
      </c>
      <c r="AA32" s="355">
        <v>19</v>
      </c>
      <c r="AB32" s="356">
        <v>9</v>
      </c>
      <c r="AC32" s="369" t="str">
        <f ca="1">INDIRECT("'Imp. Qualif.'!L"&amp;INDIRECT("B"&amp;ROW()))</f>
        <v/>
      </c>
      <c r="AD32" s="370"/>
      <c r="AF32" s="369" t="str">
        <f>IF(AD26="","",IF(AD26=AD29, IF(AD27 &lt; AD30, AC26, AC29),IF(AD26 &lt; AD29,AC26,AC29)))</f>
        <v/>
      </c>
      <c r="AG32" s="370"/>
      <c r="AI32" s="369" t="str">
        <f>IF(AG26="","",IF(AG26=AG29, IF(AG27 &lt; AG30, AF26, AF29),IF(AG26 &lt; AG29,AF26,AF29)))</f>
        <v/>
      </c>
      <c r="AJ32" s="370"/>
      <c r="AL32" s="369" t="str">
        <f>IF(AJ32="","",IF(AJ32=AJ35, IF(AJ33 &gt; AJ36, AI32, AI35),IF(AJ32&gt;AJ35,AI32,AI35)))</f>
        <v/>
      </c>
      <c r="AN32" s="355">
        <v>19</v>
      </c>
      <c r="AO32" s="356">
        <v>9</v>
      </c>
      <c r="AP32" s="369" t="str">
        <f ca="1">INDIRECT("'Imp. Qualif.'!L"&amp;INDIRECT("B"&amp;ROW()))</f>
        <v/>
      </c>
      <c r="AQ32" s="370"/>
      <c r="AS32" s="369" t="str">
        <f>IF(AQ26="","",IF(AQ26=AQ29, IF(AQ27 &lt; AQ30, AP26, AP29),IF(AQ26 &lt; AQ29,AP26,AP29)))</f>
        <v/>
      </c>
      <c r="AT32" s="370"/>
      <c r="AV32" s="369" t="str">
        <f>IF(AT26="","",IF(AT26=AT29, IF(AT27 &lt; AT30, AS26, AS29),IF(AT26 &lt; AT29,AS26,AS29)))</f>
        <v/>
      </c>
      <c r="AW32" s="370"/>
      <c r="AY32" s="369" t="str">
        <f>IF(AW32="","",IF(AW32=AW35, IF(AW33 &gt; AW36, AV32, AV35),IF(AW32&gt;AW35,AV32,AV35)))</f>
        <v/>
      </c>
      <c r="BA32" s="355">
        <v>19</v>
      </c>
      <c r="BB32" s="356">
        <v>9</v>
      </c>
      <c r="BC32" s="369" t="str">
        <f ca="1">INDIRECT("'Imp. Qualif.'!L"&amp;INDIRECT("B"&amp;ROW()))</f>
        <v/>
      </c>
      <c r="BD32" s="370"/>
      <c r="BF32" s="369" t="str">
        <f>IF(BD26="","",IF(BD26=BD29, IF(BD27 &lt; BD30, BC26, BC29),IF(BD26 &lt; BD29,BC26,BC29)))</f>
        <v/>
      </c>
      <c r="BG32" s="370"/>
      <c r="BI32" s="369" t="str">
        <f>IF(BG26="","",IF(BG26=BG29, IF(BG27 &lt; BG30, BF26, BF29),IF(BG26 &lt; BG29,BF26,BF29)))</f>
        <v/>
      </c>
      <c r="BJ32" s="370"/>
      <c r="BL32" s="369" t="str">
        <f>IF(BJ32="","",IF(BJ32=BJ35, IF(BJ33 &gt; BJ36, BI32, BI35),IF(BJ32&gt;BJ35,BI32,BI35)))</f>
        <v/>
      </c>
      <c r="BN32" s="355">
        <v>19</v>
      </c>
      <c r="BO32" s="356">
        <v>9</v>
      </c>
      <c r="BP32" s="369" t="str">
        <f ca="1">INDIRECT("'Imp. Qualif.'!L"&amp;INDIRECT("B"&amp;ROW()))</f>
        <v/>
      </c>
      <c r="BQ32" s="370"/>
      <c r="BS32" s="369" t="str">
        <f>IF(BQ26="","",IF(BQ26=BQ29, IF(BQ27 &lt; BQ30, BP26, BP29),IF(BQ26 &lt; BQ29,BP26,BP29)))</f>
        <v/>
      </c>
      <c r="BT32" s="370"/>
      <c r="BV32" s="369" t="str">
        <f>IF(BT26="","",IF(BT26=BT29, IF(BT27 &lt; BT30, BS26, BS29),IF(BT26 &lt; BT29,BS26,BS29)))</f>
        <v/>
      </c>
      <c r="BW32" s="370"/>
      <c r="BY32" s="369" t="str">
        <f>IF(BW32="","",IF(BW32=BW35, IF(BW33 &gt; BW36, BV32, BV35),IF(BW32&gt;BW35,BV32,BV35)))</f>
        <v/>
      </c>
      <c r="CA32" s="355">
        <v>19</v>
      </c>
      <c r="CB32" s="356">
        <v>9</v>
      </c>
      <c r="CC32" s="369" t="str">
        <f ca="1">INDIRECT("'Imp. Qualif.'!L"&amp;INDIRECT("B"&amp;ROW()))</f>
        <v/>
      </c>
      <c r="CD32" s="370"/>
      <c r="CF32" s="369" t="str">
        <f>IF(CD26="","",IF(CD26=CD29, IF(CD27 &lt; CD30, CC26, CC29),IF(CD26 &lt; CD29,CC26,CC29)))</f>
        <v/>
      </c>
      <c r="CG32" s="370"/>
      <c r="CI32" s="369" t="str">
        <f>IF(CG26="","",IF(CG26=CG29, IF(CG27 &lt; CG30, CF26, CF29),IF(CG26 &lt; CG29,CF26,CF29)))</f>
        <v/>
      </c>
      <c r="CJ32" s="370"/>
      <c r="CL32" s="369" t="str">
        <f>IF(CJ32="","",IF(CJ32=CJ35, IF(CJ33 &gt; CJ36, CI32, CI35),IF(CJ32&gt;CJ35,CI32,CI35)))</f>
        <v/>
      </c>
      <c r="CN32" s="355">
        <v>19</v>
      </c>
      <c r="CO32" s="356">
        <v>9</v>
      </c>
      <c r="CP32" s="369" t="str">
        <f ca="1">INDIRECT("'Imp. Qualif.'!L"&amp;INDIRECT("B"&amp;ROW()))</f>
        <v/>
      </c>
      <c r="CQ32" s="370"/>
      <c r="CR32" s="388" t="str">
        <f>IF(CQ32&gt;0,RANK(CQ32,(CQ32,CQ35,CQ38),0),"")</f>
        <v/>
      </c>
      <c r="CS32" s="369" t="str">
        <f>IF(CQ26="","",IF(CQ26=CQ29, IF(CQ27 &lt; CQ30, CP26, CP29),IF(CQ26 &lt; CQ29,CP26,CP29)))</f>
        <v/>
      </c>
      <c r="CT32" s="370"/>
      <c r="CU32" s="388" t="str">
        <f>IF(CT32&gt;0,RANK(CT32,(CT32,CT35,CT38),0),"")</f>
        <v/>
      </c>
      <c r="CV32" s="369" t="str">
        <f>IF(CT26="","",IF(CT26=CT29, IF(CT27 &lt; CT30, CS26, CS29),IF(CT26 &lt; CT29,CS26,CS29)))</f>
        <v/>
      </c>
      <c r="CW32" s="370"/>
      <c r="CX32" s="388" t="str">
        <f>IF(CW32&gt;0,RANK(CW32,(CW32,CW35,CW38),0),"")</f>
        <v/>
      </c>
      <c r="CY32" s="369" t="str">
        <f>IF(CW32="","",IF(CX32=1,CV32, IF(CX35 = 1, CV35, IF(CX38=1, CV38, ""))))</f>
        <v/>
      </c>
      <c r="DA32" s="355">
        <v>19</v>
      </c>
      <c r="DB32" s="356">
        <v>9</v>
      </c>
      <c r="DC32" s="369" t="str">
        <f ca="1">INDIRECT("'Imp. Qualif.'!L"&amp;INDIRECT("B"&amp;ROW()))</f>
        <v/>
      </c>
      <c r="DD32" s="370"/>
      <c r="DE32" s="388" t="str">
        <f>IF(DD32&gt;0,RANK(DD32,(DD26,DD29,DD32),0),"")</f>
        <v/>
      </c>
      <c r="DF32" s="369" t="str">
        <f>IF(DD32="","",IF(DE26=3,DC26, IF(DE29 = 3, DC29, IF(DE32=3, DC32, ""))))</f>
        <v/>
      </c>
      <c r="DG32" s="370"/>
      <c r="DH32" s="388" t="str">
        <f>IF(DG32&gt;0,RANK(DG32,(DG26,DG29,DG32),0),"")</f>
        <v/>
      </c>
      <c r="DI32" s="369" t="str">
        <f>IF(DG32="","",IF(DH26=3,DF26, IF(DH29 = 3, DF29, IF(DH32=3, DF32, ""))))</f>
        <v/>
      </c>
      <c r="DJ32" s="370"/>
      <c r="DK32" s="388" t="str">
        <f>IF(DJ32&gt;0,RANK(DJ32,(DJ26,DJ29,DJ32),0),"")</f>
        <v/>
      </c>
      <c r="DL32" s="369" t="str">
        <f>IF(DJ32="","",IF(DK26=3,DI26, IF(DK29 = 3, DI29, IF(DK32=3, DI32, ""))))</f>
        <v/>
      </c>
      <c r="DN32" s="355">
        <v>19</v>
      </c>
      <c r="DO32" s="356">
        <v>9</v>
      </c>
      <c r="DP32" s="385" t="s">
        <v>386</v>
      </c>
      <c r="DQ32" s="387"/>
      <c r="DR32" s="385" t="s">
        <v>493</v>
      </c>
      <c r="DS32" s="385"/>
      <c r="DT32" s="385"/>
      <c r="DU32" s="385"/>
      <c r="DV32" s="351"/>
      <c r="DW32" s="351"/>
      <c r="DX32" s="351"/>
      <c r="DY32" s="353"/>
      <c r="EA32" s="355">
        <v>19</v>
      </c>
      <c r="EB32" s="356">
        <v>9</v>
      </c>
      <c r="EC32" s="351"/>
      <c r="ED32" s="351"/>
      <c r="EE32" s="351"/>
      <c r="EF32" s="351"/>
      <c r="EG32" s="351"/>
      <c r="EH32" s="351"/>
      <c r="EI32" s="351"/>
      <c r="EJ32" s="351"/>
      <c r="EK32" s="351"/>
      <c r="EL32" s="353"/>
    </row>
    <row r="33" spans="2:142" s="355" customFormat="1" ht="14.25" customHeight="1" thickBot="1" x14ac:dyDescent="0.25">
      <c r="C33" s="356"/>
      <c r="D33" s="372" t="str">
        <f ca="1">INDIRECT("'Imp. Qualif.'!M"&amp;INDIRECT("B"&amp;ROW()-1))</f>
        <v/>
      </c>
      <c r="E33" s="373"/>
      <c r="G33" s="372" t="str">
        <f>IF(E26="","",IF(E26=E29, IF(E27 &lt; E30, D27, D30),IF(E26 &lt; E29,D27,D30)))</f>
        <v/>
      </c>
      <c r="H33" s="373"/>
      <c r="J33" s="372" t="str">
        <f>IF(H26="","",IF(H26=H29, IF(H27 &lt; H30, G27, G30),IF(H26 &lt; H29,G27,G30)))</f>
        <v/>
      </c>
      <c r="K33" s="373"/>
      <c r="M33" s="372" t="str">
        <f>IF(K32="","",IF(K32=K35, IF(K33 &gt; K36, J33, J36),IF(K32&gt;K35,J33,J36)))</f>
        <v/>
      </c>
      <c r="N33" s="379"/>
      <c r="Q33" s="356"/>
      <c r="AB33" s="356"/>
      <c r="AC33" s="372" t="str">
        <f ca="1">INDIRECT("'Imp. Qualif.'!M"&amp;INDIRECT("B"&amp;ROW()-1))</f>
        <v/>
      </c>
      <c r="AD33" s="373"/>
      <c r="AF33" s="372" t="str">
        <f>IF(AD26="","",IF(AD26=AD29, IF(AD27 &lt; AD30, AC27, AC30),IF(AD26 &lt; AD29,AC27,AC30)))</f>
        <v/>
      </c>
      <c r="AG33" s="373"/>
      <c r="AI33" s="372" t="str">
        <f>IF(AG26="","",IF(AG26=AG29, IF(AG27 &lt; AG30, AF27, AF30),IF(AG26 &lt; AG29,AF27,AF30)))</f>
        <v/>
      </c>
      <c r="AJ33" s="373"/>
      <c r="AL33" s="372" t="str">
        <f>IF(AJ32="","",IF(AJ32=AJ35, IF(AJ33 &gt; AJ36, AI33, AI36),IF(AJ32&gt;AJ35,AI33,AI36)))</f>
        <v/>
      </c>
      <c r="AO33" s="356"/>
      <c r="AP33" s="372" t="str">
        <f ca="1">INDIRECT("'Imp. Qualif.'!M"&amp;INDIRECT("B"&amp;ROW()-1))</f>
        <v/>
      </c>
      <c r="AQ33" s="373"/>
      <c r="AS33" s="372" t="str">
        <f>IF(AQ26="","",IF(AQ26=AQ29, IF(AQ27 &lt; AQ30, AP27, AP30),IF(AQ26 &lt; AQ29,AP27,AP30)))</f>
        <v/>
      </c>
      <c r="AT33" s="373"/>
      <c r="AV33" s="372" t="str">
        <f>IF(AT26="","",IF(AT26=AT29, IF(AT27 &lt; AT30, AS27, AS30),IF(AT26 &lt; AT29,AS27,AS30)))</f>
        <v/>
      </c>
      <c r="AW33" s="373"/>
      <c r="AY33" s="372" t="str">
        <f>IF(AW32="","",IF(AW32=AW35, IF(AW33 &gt; AW36, AV33, AV36),IF(AW32&gt;AW35,AV33,AV36)))</f>
        <v/>
      </c>
      <c r="BB33" s="356"/>
      <c r="BC33" s="372" t="str">
        <f ca="1">INDIRECT("'Imp. Qualif.'!M"&amp;INDIRECT("B"&amp;ROW()-1))</f>
        <v/>
      </c>
      <c r="BD33" s="373"/>
      <c r="BF33" s="372" t="str">
        <f>IF(BD26="","",IF(BD26=BD29, IF(BD27 &lt; BD30, BC27, BC30),IF(BD26 &lt; BD29,BC27,BC30)))</f>
        <v/>
      </c>
      <c r="BG33" s="373"/>
      <c r="BI33" s="372" t="str">
        <f>IF(BG26="","",IF(BG26=BG29, IF(BG27 &lt; BG30, BF27, BF30),IF(BG26 &lt; BG29,BF27,BF30)))</f>
        <v/>
      </c>
      <c r="BJ33" s="373"/>
      <c r="BL33" s="372" t="str">
        <f>IF(BJ32="","",IF(BJ32=BJ35, IF(BJ33 &gt; BJ36, BI33, BI36),IF(BJ32&gt;BJ35,BI33,BI36)))</f>
        <v/>
      </c>
      <c r="BO33" s="356"/>
      <c r="BP33" s="372" t="str">
        <f ca="1">INDIRECT("'Imp. Qualif.'!M"&amp;INDIRECT("B"&amp;ROW()-1))</f>
        <v/>
      </c>
      <c r="BQ33" s="373"/>
      <c r="BS33" s="372" t="str">
        <f>IF(BQ26="","",IF(BQ26=BQ29, IF(BQ27 &lt; BQ30, BP27, BP30),IF(BQ26 &lt; BQ29,BP27,BP30)))</f>
        <v/>
      </c>
      <c r="BT33" s="373"/>
      <c r="BV33" s="372" t="str">
        <f>IF(BT26="","",IF(BT26=BT29, IF(BT27 &lt; BT30, BS27, BS30),IF(BT26 &lt; BT29,BS27,BS30)))</f>
        <v/>
      </c>
      <c r="BW33" s="373"/>
      <c r="BY33" s="372" t="str">
        <f>IF(BW32="","",IF(BW32=BW35, IF(BW33 &gt; BW36, BV33, BV36),IF(BW32&gt;BW35,BV33,BV36)))</f>
        <v/>
      </c>
      <c r="CB33" s="356"/>
      <c r="CC33" s="372" t="str">
        <f ca="1">INDIRECT("'Imp. Qualif.'!M"&amp;INDIRECT("B"&amp;ROW()-1))</f>
        <v/>
      </c>
      <c r="CD33" s="373"/>
      <c r="CF33" s="372" t="str">
        <f>IF(CD26="","",IF(CD26=CD29, IF(CD27 &lt; CD30, CC27, CC30),IF(CD26 &lt; CD29,CC27,CC30)))</f>
        <v/>
      </c>
      <c r="CG33" s="373"/>
      <c r="CI33" s="372" t="str">
        <f>IF(CG26="","",IF(CG26=CG29, IF(CG27 &lt; CG30, CF27, CF30),IF(CG26 &lt; CG29,CF27,CF30)))</f>
        <v/>
      </c>
      <c r="CJ33" s="373"/>
      <c r="CL33" s="372" t="str">
        <f>IF(CJ32="","",IF(CJ32=CJ35, IF(CJ33 &gt; CJ36, CI33, CI36),IF(CJ32&gt;CJ35,CI33,CI36)))</f>
        <v/>
      </c>
      <c r="CO33" s="356"/>
      <c r="CP33" s="372" t="str">
        <f ca="1">INDIRECT("'Imp. Qualif.'!M"&amp;INDIRECT("B"&amp;ROW()-1))</f>
        <v/>
      </c>
      <c r="CQ33" s="373"/>
      <c r="CR33" s="383"/>
      <c r="CS33" s="372" t="str">
        <f>IF(CQ26="","",IF(CQ26=CQ29, IF(CQ27 &lt; CQ30, CP27, CP30),IF(CQ26 &lt; CQ29,CP27,CP30)))</f>
        <v/>
      </c>
      <c r="CT33" s="373"/>
      <c r="CU33" s="383"/>
      <c r="CV33" s="372" t="str">
        <f>IF(CT26="","",IF(CT26=CT29, IF(CT27 &lt; CT30, CS27, CS30),IF(CT26 &lt; CT29,CS27,CS30)))</f>
        <v/>
      </c>
      <c r="CW33" s="373"/>
      <c r="CY33" s="372" t="str">
        <f>IF(CW32="","",IF(CX32=1,CV33, IF(CX35 = 1, CV36, IF(CX38=1, CV39, ""))))</f>
        <v/>
      </c>
      <c r="DB33" s="356"/>
      <c r="DC33" s="372" t="str">
        <f ca="1">INDIRECT("'Imp. Qualif.'!M"&amp;INDIRECT("B"&amp;ROW()-1))</f>
        <v/>
      </c>
      <c r="DD33" s="373"/>
      <c r="DF33" s="372" t="str">
        <f>IF(DD32="","",IF(DE26=3,DC27, IF(DE29 = 3, DC30, IF(DE32=3, DC33, ""))))</f>
        <v/>
      </c>
      <c r="DG33" s="373"/>
      <c r="DI33" s="372" t="str">
        <f>IF(DG32="","",IF(DH26=3,DF27, IF(DH29 = 3, DF30, IF(DH32=3, DF33, ""))))</f>
        <v/>
      </c>
      <c r="DJ33" s="373"/>
      <c r="DL33" s="372" t="str">
        <f>IF(DJ32="","",IF(DK26=3,DI27, IF(DK29 = 3, DI30, IF(DK32=3, DI33, ""))))</f>
        <v/>
      </c>
      <c r="DO33" s="356"/>
      <c r="DP33" s="385"/>
      <c r="DQ33" s="385"/>
      <c r="DR33" s="385"/>
      <c r="DS33" s="385"/>
      <c r="DT33" s="385"/>
      <c r="DU33" s="385"/>
      <c r="DV33" s="351"/>
      <c r="DW33" s="351"/>
      <c r="DX33" s="351"/>
      <c r="DY33" s="353"/>
      <c r="EB33" s="356"/>
      <c r="EC33" s="351"/>
      <c r="ED33" s="351"/>
      <c r="EE33" s="351"/>
      <c r="EF33" s="351"/>
      <c r="EG33" s="351"/>
      <c r="EH33" s="351"/>
      <c r="EI33" s="351"/>
      <c r="EJ33" s="351"/>
      <c r="EK33" s="351"/>
      <c r="EL33" s="353"/>
    </row>
    <row r="34" spans="2:142" s="355" customFormat="1" ht="14.25" customHeight="1" x14ac:dyDescent="0.2">
      <c r="C34" s="356"/>
      <c r="D34" s="358"/>
      <c r="E34" s="381"/>
      <c r="H34" s="381"/>
      <c r="K34" s="381"/>
      <c r="M34" s="358"/>
      <c r="N34" s="379"/>
      <c r="Q34" s="356"/>
      <c r="AB34" s="356"/>
      <c r="AC34" s="358"/>
      <c r="AD34" s="381"/>
      <c r="AG34" s="381"/>
      <c r="AJ34" s="381"/>
      <c r="AL34" s="358"/>
      <c r="AO34" s="356"/>
      <c r="AP34" s="358"/>
      <c r="AQ34" s="381"/>
      <c r="AT34" s="381"/>
      <c r="AW34" s="381"/>
      <c r="AY34" s="358"/>
      <c r="BB34" s="356"/>
      <c r="BC34" s="358"/>
      <c r="BD34" s="381"/>
      <c r="BG34" s="381"/>
      <c r="BJ34" s="381"/>
      <c r="BL34" s="358"/>
      <c r="BO34" s="356"/>
      <c r="BP34" s="358"/>
      <c r="BQ34" s="381"/>
      <c r="BT34" s="381"/>
      <c r="BW34" s="381"/>
      <c r="BY34" s="358"/>
      <c r="CB34" s="356"/>
      <c r="CC34" s="358"/>
      <c r="CD34" s="381"/>
      <c r="CG34" s="381"/>
      <c r="CJ34" s="381"/>
      <c r="CL34" s="358"/>
      <c r="CO34" s="356"/>
      <c r="CP34" s="358"/>
      <c r="CQ34" s="381"/>
      <c r="CR34" s="383"/>
      <c r="CT34" s="381"/>
      <c r="CU34" s="383"/>
      <c r="CW34" s="381"/>
      <c r="CY34" s="358"/>
      <c r="DB34" s="356"/>
      <c r="DC34" s="358"/>
      <c r="DD34" s="382"/>
      <c r="DF34" s="358"/>
      <c r="DG34" s="382"/>
      <c r="DI34" s="358"/>
      <c r="DJ34" s="382"/>
      <c r="DL34" s="358"/>
      <c r="DO34" s="356"/>
      <c r="DP34" s="351"/>
      <c r="DQ34" s="351"/>
      <c r="DR34" s="351"/>
      <c r="DS34" s="351"/>
      <c r="DT34" s="351"/>
      <c r="DU34" s="351"/>
      <c r="DV34" s="351"/>
      <c r="DW34" s="351"/>
      <c r="DX34" s="351"/>
      <c r="DY34" s="353"/>
      <c r="EB34" s="356"/>
      <c r="EC34" s="351"/>
      <c r="ED34" s="351"/>
      <c r="EE34" s="351"/>
      <c r="EF34" s="351"/>
      <c r="EG34" s="351"/>
      <c r="EH34" s="351"/>
      <c r="EI34" s="351"/>
      <c r="EJ34" s="351"/>
      <c r="EK34" s="351"/>
      <c r="EL34" s="353"/>
    </row>
    <row r="35" spans="2:142" s="355" customFormat="1" ht="14.25" customHeight="1" x14ac:dyDescent="0.2">
      <c r="B35" s="355">
        <v>20</v>
      </c>
      <c r="C35" s="356">
        <v>10</v>
      </c>
      <c r="D35" s="369" t="str">
        <f ca="1">INDIRECT("'Imp. Qualif.'!L"&amp;INDIRECT("B"&amp;ROW()))</f>
        <v/>
      </c>
      <c r="E35" s="370"/>
      <c r="G35" s="369" t="str">
        <f>IF(E38="","",IF(E38=E41, IF(E39 &gt; E42, D38, D41),IF(E38&gt;E41,D38,D41)))</f>
        <v/>
      </c>
      <c r="H35" s="370"/>
      <c r="J35" s="369" t="str">
        <f>IF(H38="","",IF(H38=H41, IF(H39 &gt; H42, G38, G41),IF(H38&gt;H41,G38,G41)))</f>
        <v/>
      </c>
      <c r="K35" s="370"/>
      <c r="M35" s="369" t="str">
        <f>IF(K32="","",IF(K32=K35, IF(K36 &lt; K33, J35, J32),IF(K35 &lt; K32,J35,J32)))</f>
        <v/>
      </c>
      <c r="N35" s="379">
        <v>10</v>
      </c>
      <c r="P35" s="355">
        <v>20</v>
      </c>
      <c r="Q35" s="356">
        <v>10</v>
      </c>
      <c r="AA35" s="355">
        <v>20</v>
      </c>
      <c r="AB35" s="356">
        <v>10</v>
      </c>
      <c r="AC35" s="369" t="str">
        <f ca="1">INDIRECT("'Imp. Qualif.'!L"&amp;INDIRECT("B"&amp;ROW()))</f>
        <v/>
      </c>
      <c r="AD35" s="370"/>
      <c r="AF35" s="369" t="str">
        <f>IF(AD38="","",IF(AD38=AD41, IF(AD39 &gt; AD42, AC38, AC41),IF(AD38&gt;AD41,AC38,AC41)))</f>
        <v/>
      </c>
      <c r="AG35" s="370"/>
      <c r="AI35" s="369" t="str">
        <f>IF(AG38="","",IF(AG38=AG41, IF(AG39 &gt; AG42, AF38, AF41),IF(AG38&gt;AG41,AF38,AF41)))</f>
        <v/>
      </c>
      <c r="AJ35" s="370"/>
      <c r="AL35" s="369" t="str">
        <f>IF(AJ32="","",IF(AJ32=AJ35, IF(AJ36 &lt; AJ33, AI35, AI32),IF(AJ35 &lt; AJ32,AI35,AI32)))</f>
        <v/>
      </c>
      <c r="AN35" s="355">
        <v>20</v>
      </c>
      <c r="AO35" s="356">
        <v>10</v>
      </c>
      <c r="AP35" s="369" t="str">
        <f ca="1">INDIRECT("'Imp. Qualif.'!L"&amp;INDIRECT("B"&amp;ROW()))</f>
        <v/>
      </c>
      <c r="AQ35" s="370"/>
      <c r="AS35" s="369" t="str">
        <f>IF(AQ38="","",IF(AQ38=AQ41, IF(AQ39 &gt; AQ42, AP38, AP41),IF(AQ38&gt;AQ41,AP38,AP41)))</f>
        <v/>
      </c>
      <c r="AT35" s="370"/>
      <c r="AV35" s="369" t="str">
        <f>IF(AT38="","",IF(AT38=AT41, IF(AT39 &gt; AT42, AS38, AS41),IF(AT38&gt;AT41,AS38,AS41)))</f>
        <v/>
      </c>
      <c r="AW35" s="370"/>
      <c r="AY35" s="369" t="str">
        <f>IF(AW32="","",IF(AW32=AW35, IF(AW36 &lt; AW33, AV35, AV32),IF(AW35 &lt; AW32,AV35,AV32)))</f>
        <v/>
      </c>
      <c r="BA35" s="355">
        <v>20</v>
      </c>
      <c r="BB35" s="356">
        <v>10</v>
      </c>
      <c r="BC35" s="369" t="str">
        <f ca="1">INDIRECT("'Imp. Qualif.'!L"&amp;INDIRECT("B"&amp;ROW()))</f>
        <v/>
      </c>
      <c r="BD35" s="370"/>
      <c r="BF35" s="369" t="str">
        <f>IF(BD38="","",IF(BD38=BD41, IF(BD39 &gt; BD42, BC38, BC41),IF(BD38&gt;BD41,BC38,BC41)))</f>
        <v/>
      </c>
      <c r="BG35" s="370"/>
      <c r="BI35" s="369" t="str">
        <f>IF(BG38="","",IF(BG38=BG41, IF(BG39 &gt; BG42, BF38, BF41),IF(BG38&gt;BG41,BF38,BF41)))</f>
        <v/>
      </c>
      <c r="BJ35" s="370"/>
      <c r="BL35" s="369" t="str">
        <f>IF(BJ32="","",IF(BJ32=BJ35, IF(BJ36 &lt; BJ33, BI35, BI32),IF(BJ35 &lt; BJ32,BI35,BI32)))</f>
        <v/>
      </c>
      <c r="BN35" s="355">
        <v>20</v>
      </c>
      <c r="BO35" s="356">
        <v>10</v>
      </c>
      <c r="BP35" s="369" t="str">
        <f ca="1">INDIRECT("'Imp. Qualif.'!L"&amp;INDIRECT("B"&amp;ROW()))</f>
        <v/>
      </c>
      <c r="BQ35" s="370"/>
      <c r="BS35" s="369" t="str">
        <f>IF(BQ38="","",IF(BQ38=BQ41, IF(BQ39 &gt; BQ42, BP38, BP41),IF(BQ38&gt;BQ41,BP38,BP41)))</f>
        <v/>
      </c>
      <c r="BT35" s="370"/>
      <c r="BV35" s="369" t="str">
        <f>IF(BT38="","",IF(BT38=BT41, IF(BT39 &gt; BT42, BS38, BS41),IF(BT38&gt;BT41,BS38,BS41)))</f>
        <v/>
      </c>
      <c r="BW35" s="370"/>
      <c r="BY35" s="369" t="str">
        <f>IF(BW32="","",IF(BW32=BW35, IF(BW36 &lt; BW33, BV35, BV32),IF(BW35 &lt; BW32,BV35,BV32)))</f>
        <v/>
      </c>
      <c r="CA35" s="355">
        <v>20</v>
      </c>
      <c r="CB35" s="356">
        <v>10</v>
      </c>
      <c r="CC35" s="369" t="str">
        <f ca="1">INDIRECT("'Imp. Qualif.'!L"&amp;INDIRECT("B"&amp;ROW()))</f>
        <v/>
      </c>
      <c r="CD35" s="370"/>
      <c r="CF35" s="369" t="str">
        <f>IF(CD38="","",IF(CE38=1,CC38, IF(CE41 = 1, CC41, IF(CE44=1, CC44, ""))))</f>
        <v/>
      </c>
      <c r="CG35" s="370"/>
      <c r="CI35" s="369" t="str">
        <f>IF(CG38="","",IF(CH38=3,CF38, IF(CH41 = 3, CF41, IF(CH44=3, CF44, ""))))</f>
        <v/>
      </c>
      <c r="CJ35" s="370"/>
      <c r="CL35" s="369" t="str">
        <f>IF(CJ32="","",IF(CJ32=CJ35, IF(CJ36 &lt; CJ33, CI35, CI32),IF(CJ35 &lt; CJ32,CI35,CI32)))</f>
        <v/>
      </c>
      <c r="CN35" s="355">
        <v>20</v>
      </c>
      <c r="CO35" s="356">
        <v>10</v>
      </c>
      <c r="CP35" s="369" t="str">
        <f ca="1">INDIRECT("'Imp. Qualif.'!L"&amp;INDIRECT("B"&amp;ROW()))</f>
        <v/>
      </c>
      <c r="CQ35" s="370"/>
      <c r="CR35" s="388" t="str">
        <f>IF(CQ35&gt;0,RANK(CQ35,(CQ32,CQ35,CQ38),0),"")</f>
        <v/>
      </c>
      <c r="CS35" s="369" t="str">
        <f>IF(CQ35="","",IF(CR32=2,CP32, IF(CR35 = 2, CP35, IF(CR38=2, CP38, ""))))</f>
        <v/>
      </c>
      <c r="CT35" s="370"/>
      <c r="CU35" s="388" t="str">
        <f>IF(CT35&gt;0,RANK(CT35,(CT32,CT35,CT38),0),"")</f>
        <v/>
      </c>
      <c r="CV35" s="369" t="str">
        <f>IF(CT35="","",IF(CU32=2,CS32, IF(CU35 = 2, CS35, IF(CU38=2, CS38, ""))))</f>
        <v/>
      </c>
      <c r="CW35" s="370"/>
      <c r="CX35" s="388" t="str">
        <f>IF(CW35&gt;0,RANK(CW35,(CW32,CW35,CW38),0),"")</f>
        <v/>
      </c>
      <c r="CY35" s="369" t="str">
        <f>IF(CW35="","",IF(CX32=2,CV32, IF(CX35 = 2, CV35, IF(CX38=2, CV38, ""))))</f>
        <v/>
      </c>
      <c r="DA35" s="355">
        <v>20</v>
      </c>
      <c r="DB35" s="356">
        <v>10</v>
      </c>
      <c r="DC35" s="358"/>
      <c r="DD35" s="382"/>
      <c r="DF35" s="358"/>
      <c r="DG35" s="382"/>
      <c r="DI35" s="358"/>
      <c r="DJ35" s="382"/>
      <c r="DL35" s="358"/>
      <c r="DN35" s="355">
        <v>20</v>
      </c>
      <c r="DO35" s="356">
        <v>10</v>
      </c>
      <c r="DP35" s="351"/>
      <c r="DQ35" s="351"/>
      <c r="DR35" s="351"/>
      <c r="DS35" s="351"/>
      <c r="DT35" s="351"/>
      <c r="DU35" s="351"/>
      <c r="DV35" s="351"/>
      <c r="DW35" s="351"/>
      <c r="DX35" s="351"/>
      <c r="DY35" s="353"/>
      <c r="EA35" s="355">
        <v>20</v>
      </c>
      <c r="EB35" s="356">
        <v>10</v>
      </c>
      <c r="EC35" s="351"/>
      <c r="ED35" s="351"/>
      <c r="EE35" s="351"/>
      <c r="EF35" s="351"/>
      <c r="EG35" s="351"/>
      <c r="EH35" s="351"/>
      <c r="EI35" s="351"/>
      <c r="EJ35" s="351"/>
      <c r="EK35" s="351"/>
      <c r="EL35" s="353"/>
    </row>
    <row r="36" spans="2:142" s="355" customFormat="1" ht="14.25" customHeight="1" thickBot="1" x14ac:dyDescent="0.25">
      <c r="C36" s="356"/>
      <c r="D36" s="372" t="str">
        <f ca="1">INDIRECT("'Imp. Qualif.'!M"&amp;INDIRECT("B"&amp;ROW()-1))</f>
        <v/>
      </c>
      <c r="E36" s="373"/>
      <c r="G36" s="380" t="str">
        <f>IF(E38="","",IF(E38=E41, IF(E39 &gt; E42, D39, D42),IF(E38&gt;E41,D39,D42)))</f>
        <v/>
      </c>
      <c r="H36" s="373"/>
      <c r="J36" s="380" t="str">
        <f>IF(H38="","",IF(H38=H41, IF(H39 &gt; H42, G39, G42),IF(H38&gt;H41,G39,G42)))</f>
        <v/>
      </c>
      <c r="K36" s="373"/>
      <c r="M36" s="372" t="str">
        <f>IF(K32="","",IF(K32=K35, IF(K36 &lt; K33, J36, J33),IF(K35 &lt; K32,J36,J33)))</f>
        <v/>
      </c>
      <c r="N36" s="379"/>
      <c r="Q36" s="356"/>
      <c r="AB36" s="356"/>
      <c r="AC36" s="372" t="str">
        <f ca="1">INDIRECT("'Imp. Qualif.'!M"&amp;INDIRECT("B"&amp;ROW()-1))</f>
        <v/>
      </c>
      <c r="AD36" s="373"/>
      <c r="AF36" s="380" t="str">
        <f>IF(AD38="","",IF(AD38=AD41, IF(AD39 &gt; AD42, AC39, AC42),IF(AD38&gt;AD41,AC39,AC42)))</f>
        <v/>
      </c>
      <c r="AG36" s="373"/>
      <c r="AI36" s="380" t="str">
        <f>IF(AG38="","",IF(AG38=AG41, IF(AG39 &gt; AG42, AF39, AF42),IF(AG38&gt;AG41,AF39,AF42)))</f>
        <v/>
      </c>
      <c r="AJ36" s="373"/>
      <c r="AL36" s="372" t="str">
        <f>IF(AJ32="","",IF(AJ32=AJ35, IF(AJ36 &lt; AJ33, AI36, AI33),IF(AJ35 &lt; AJ32,AI36,AI33)))</f>
        <v/>
      </c>
      <c r="AO36" s="356"/>
      <c r="AP36" s="372" t="str">
        <f ca="1">INDIRECT("'Imp. Qualif.'!M"&amp;INDIRECT("B"&amp;ROW()-1))</f>
        <v/>
      </c>
      <c r="AQ36" s="373"/>
      <c r="AS36" s="380" t="str">
        <f>IF(AQ38="","",IF(AQ38=AQ41, IF(AQ39 &gt; AQ42, AP39, AP42),IF(AQ38&gt;AQ41,AP39,AP42)))</f>
        <v/>
      </c>
      <c r="AT36" s="373"/>
      <c r="AV36" s="380" t="str">
        <f>IF(AT38="","",IF(AT38=AT41, IF(AT39 &gt; AT42, AS39, AS42),IF(AT38&gt;AT41,AS39,AS42)))</f>
        <v/>
      </c>
      <c r="AW36" s="373"/>
      <c r="AY36" s="372" t="str">
        <f>IF(AW32="","",IF(AW32=AW35, IF(AW36 &lt; AW33, AV36, AV33),IF(AW35 &lt; AW32,AV36,AV33)))</f>
        <v/>
      </c>
      <c r="BB36" s="356"/>
      <c r="BC36" s="372" t="str">
        <f ca="1">INDIRECT("'Imp. Qualif.'!M"&amp;INDIRECT("B"&amp;ROW()-1))</f>
        <v/>
      </c>
      <c r="BD36" s="373"/>
      <c r="BF36" s="380" t="str">
        <f>IF(BD38="","",IF(BD38=BD41, IF(BD39 &gt; BD42, BC39, BC42),IF(BD38&gt;BD41,BC39,BC42)))</f>
        <v/>
      </c>
      <c r="BG36" s="373"/>
      <c r="BI36" s="380" t="str">
        <f>IF(BG38="","",IF(BG38=BG41, IF(BG39 &gt; BG42, BF39, BF42),IF(BG38&gt;BG41,BF39,BF42)))</f>
        <v/>
      </c>
      <c r="BJ36" s="373"/>
      <c r="BL36" s="372" t="str">
        <f>IF(BJ32="","",IF(BJ32=BJ35, IF(BJ36 &lt; BJ33, BI36, BI33),IF(BJ35 &lt; BJ32,BI36,BI33)))</f>
        <v/>
      </c>
      <c r="BO36" s="356"/>
      <c r="BP36" s="372" t="str">
        <f ca="1">INDIRECT("'Imp. Qualif.'!M"&amp;INDIRECT("B"&amp;ROW()-1))</f>
        <v/>
      </c>
      <c r="BQ36" s="373"/>
      <c r="BS36" s="380" t="str">
        <f>IF(BQ38="","",IF(BQ38=BQ41, IF(BQ39 &gt; BQ42, BP39, BP42),IF(BQ38&gt;BQ41,BP39,BP42)))</f>
        <v/>
      </c>
      <c r="BT36" s="373"/>
      <c r="BV36" s="380" t="str">
        <f>IF(BT38="","",IF(BT38=BT41, IF(BT39 &gt; BT42, BS39, BS42),IF(BT38&gt;BT41,BS39,BS42)))</f>
        <v/>
      </c>
      <c r="BW36" s="373"/>
      <c r="BY36" s="372" t="str">
        <f>IF(BW32="","",IF(BW32=BW35, IF(BW36 &lt; BW33, BV36, BV33),IF(BW35 &lt; BW32,BV36,BV33)))</f>
        <v/>
      </c>
      <c r="CB36" s="356"/>
      <c r="CC36" s="372" t="str">
        <f ca="1">INDIRECT("'Imp. Qualif.'!M"&amp;INDIRECT("B"&amp;ROW()-1))</f>
        <v/>
      </c>
      <c r="CD36" s="373"/>
      <c r="CF36" s="372" t="str">
        <f>IF(CD38="","",IF(CE38=1,CC39, IF(CE41 = 1, CC42, IF(CE44=1, CC45, ""))))</f>
        <v/>
      </c>
      <c r="CG36" s="373"/>
      <c r="CI36" s="372" t="str">
        <f>IF(CG38="","",IF(CH38=3,CF39, IF(CH41 = 3, CF42, IF(CH44=3, CF45, ""))))</f>
        <v/>
      </c>
      <c r="CJ36" s="373"/>
      <c r="CL36" s="372" t="str">
        <f>IF(CJ32="","",IF(CJ32=CJ35, IF(CJ36 &lt; CJ33, CI36, CI33),IF(CJ35 &lt; CJ32,CI36,CI33)))</f>
        <v/>
      </c>
      <c r="CO36" s="356"/>
      <c r="CP36" s="372" t="str">
        <f ca="1">INDIRECT("'Imp. Qualif.'!M"&amp;INDIRECT("B"&amp;ROW()-1))</f>
        <v/>
      </c>
      <c r="CQ36" s="373"/>
      <c r="CS36" s="372" t="str">
        <f>IF(CQ35="","",IF(CR32=2,CP33, IF(CR35 = 2, CP36, IF(CR38=2, CP39, ""))))</f>
        <v/>
      </c>
      <c r="CT36" s="373"/>
      <c r="CV36" s="372" t="str">
        <f>IF(CT35="","",IF(CU32=2,CS33, IF(CU35 = 2, CS36, IF(CU38=2, CS39, ""))))</f>
        <v/>
      </c>
      <c r="CW36" s="373"/>
      <c r="CY36" s="372" t="str">
        <f>IF(CW35="","",IF(CX32=2,CV33, IF(CX35 = 2, CV36, IF(CX38=2, CV39, ""))))</f>
        <v/>
      </c>
      <c r="DB36" s="356"/>
      <c r="DC36" s="358"/>
      <c r="DD36" s="384"/>
      <c r="DF36" s="358"/>
      <c r="DG36" s="382"/>
      <c r="DI36" s="358"/>
      <c r="DJ36" s="382"/>
      <c r="DL36" s="358"/>
      <c r="DO36" s="356"/>
      <c r="DP36" s="351"/>
      <c r="DQ36" s="351"/>
      <c r="DR36" s="351"/>
      <c r="DS36" s="351"/>
      <c r="DT36" s="351"/>
      <c r="DU36" s="351"/>
      <c r="DV36" s="351"/>
      <c r="DW36" s="351"/>
      <c r="DX36" s="351"/>
      <c r="DY36" s="353"/>
      <c r="EB36" s="356"/>
      <c r="EC36" s="351"/>
      <c r="ED36" s="351"/>
      <c r="EE36" s="351"/>
      <c r="EF36" s="351"/>
      <c r="EG36" s="351"/>
      <c r="EH36" s="351"/>
      <c r="EI36" s="351"/>
      <c r="EJ36" s="351"/>
      <c r="EK36" s="351"/>
      <c r="EL36" s="353"/>
    </row>
    <row r="37" spans="2:142" s="355" customFormat="1" ht="14.25" customHeight="1" x14ac:dyDescent="0.2">
      <c r="C37" s="356"/>
      <c r="D37" s="358"/>
      <c r="E37" s="382"/>
      <c r="G37" s="358"/>
      <c r="H37" s="382"/>
      <c r="J37" s="358"/>
      <c r="K37" s="382"/>
      <c r="M37" s="358"/>
      <c r="N37" s="379"/>
      <c r="Q37" s="356"/>
      <c r="AB37" s="356"/>
      <c r="AC37" s="358"/>
      <c r="AD37" s="381"/>
      <c r="AG37" s="381"/>
      <c r="AJ37" s="381"/>
      <c r="AL37" s="358"/>
      <c r="AO37" s="356"/>
      <c r="AP37" s="358"/>
      <c r="AQ37" s="382"/>
      <c r="AS37" s="358"/>
      <c r="AT37" s="382"/>
      <c r="AV37" s="358"/>
      <c r="AW37" s="382"/>
      <c r="AY37" s="358"/>
      <c r="BB37" s="356"/>
      <c r="BC37" s="358"/>
      <c r="BD37" s="382"/>
      <c r="BF37" s="358"/>
      <c r="BG37" s="382"/>
      <c r="BI37" s="358"/>
      <c r="BJ37" s="382"/>
      <c r="BL37" s="358"/>
      <c r="BO37" s="356"/>
      <c r="BP37" s="358"/>
      <c r="BQ37" s="382"/>
      <c r="BS37" s="358"/>
      <c r="BT37" s="382"/>
      <c r="BV37" s="358"/>
      <c r="BW37" s="382"/>
      <c r="BY37" s="358"/>
      <c r="CB37" s="356"/>
      <c r="CC37" s="358"/>
      <c r="CD37" s="381"/>
      <c r="CG37" s="381"/>
      <c r="CJ37" s="381"/>
      <c r="CL37" s="358"/>
      <c r="CO37" s="356"/>
      <c r="CP37" s="358"/>
      <c r="CQ37" s="382"/>
      <c r="CS37" s="358"/>
      <c r="CT37" s="382"/>
      <c r="CV37" s="358"/>
      <c r="CW37" s="382"/>
      <c r="CY37" s="358"/>
      <c r="DB37" s="356"/>
      <c r="DC37" s="385" t="s">
        <v>386</v>
      </c>
      <c r="DD37" s="386"/>
      <c r="DE37" s="385" t="s">
        <v>387</v>
      </c>
      <c r="DF37" s="385"/>
      <c r="DG37" s="385"/>
      <c r="DH37" s="385"/>
      <c r="DI37" s="351"/>
      <c r="DJ37" s="351"/>
      <c r="DK37" s="351"/>
      <c r="DL37" s="353"/>
      <c r="DO37" s="356"/>
      <c r="DP37" s="351"/>
      <c r="DQ37" s="351"/>
      <c r="DR37" s="351"/>
      <c r="DS37" s="351"/>
      <c r="DT37" s="351"/>
      <c r="DU37" s="351"/>
      <c r="DV37" s="351"/>
      <c r="DW37" s="351"/>
      <c r="DX37" s="351"/>
      <c r="DY37" s="353"/>
      <c r="EB37" s="356"/>
      <c r="EC37" s="351"/>
      <c r="ED37" s="351"/>
      <c r="EE37" s="351"/>
      <c r="EF37" s="351"/>
      <c r="EG37" s="351"/>
      <c r="EH37" s="351"/>
      <c r="EI37" s="351"/>
      <c r="EJ37" s="351"/>
      <c r="EK37" s="351"/>
      <c r="EL37" s="353"/>
    </row>
    <row r="38" spans="2:142" s="355" customFormat="1" ht="14.25" customHeight="1" thickBot="1" x14ac:dyDescent="0.25">
      <c r="B38" s="355">
        <v>21</v>
      </c>
      <c r="C38" s="356">
        <v>11</v>
      </c>
      <c r="D38" s="369" t="str">
        <f ca="1">INDIRECT("'Imp. Qualif.'!L"&amp;INDIRECT("B"&amp;ROW()))</f>
        <v/>
      </c>
      <c r="E38" s="370"/>
      <c r="G38" s="369" t="str">
        <f>IF(E32="","",IF(E32=E35, IF(E33 &lt; E36, D32, D35),IF(E32 &lt; E35,D32,D35)))</f>
        <v/>
      </c>
      <c r="H38" s="370"/>
      <c r="J38" s="369" t="str">
        <f>IF(H32="","",IF(H32=H35, IF(H33 &lt; H36, G32, G35),IF(H32 &lt; H35,G32,G35)))</f>
        <v/>
      </c>
      <c r="K38" s="370"/>
      <c r="M38" s="369" t="str">
        <f>IF(K38="","",IF(K38=K41, IF(K39 &gt; K42, J38, J41),IF(K38&gt;K41,J38,J41)))</f>
        <v/>
      </c>
      <c r="N38" s="379">
        <v>11</v>
      </c>
      <c r="P38" s="355">
        <v>21</v>
      </c>
      <c r="Q38" s="356">
        <v>11</v>
      </c>
      <c r="AA38" s="355">
        <v>21</v>
      </c>
      <c r="AB38" s="356">
        <v>11</v>
      </c>
      <c r="AC38" s="369" t="str">
        <f ca="1">INDIRECT("'Imp. Qualif.'!L"&amp;INDIRECT("B"&amp;ROW()))</f>
        <v/>
      </c>
      <c r="AD38" s="370"/>
      <c r="AF38" s="369" t="str">
        <f>IF(AD32="","",IF(AD32=AD35, IF(AD33 &lt; AD36, AC32, AC35),IF(AD32 &lt; AD35,AC32,AC35)))</f>
        <v/>
      </c>
      <c r="AG38" s="370"/>
      <c r="AI38" s="369" t="str">
        <f>IF(AG32="","",IF(AG32=AG35, IF(AG33 &lt; AG36, AF32, AF35),IF(AG32 &lt; AG35,AF32,AF35)))</f>
        <v/>
      </c>
      <c r="AJ38" s="370"/>
      <c r="AL38" s="369" t="str">
        <f>IF(AJ38="","",IF(AJ38=AJ41, IF(AJ39 &gt; AJ42, AI38, AI41),IF(AJ38&gt;AJ41,AI38,AI41)))</f>
        <v/>
      </c>
      <c r="AN38" s="355">
        <v>21</v>
      </c>
      <c r="AO38" s="356">
        <v>11</v>
      </c>
      <c r="AP38" s="369" t="str">
        <f ca="1">INDIRECT("'Imp. Qualif.'!L"&amp;INDIRECT("B"&amp;ROW()))</f>
        <v/>
      </c>
      <c r="AQ38" s="370"/>
      <c r="AS38" s="369" t="str">
        <f>IF(AQ32="","",IF(AQ32=AQ35, IF(AQ33 &lt; AQ36, AP32, AP35),IF(AQ32 &lt; AQ35,AP32,AP35)))</f>
        <v/>
      </c>
      <c r="AT38" s="370"/>
      <c r="AV38" s="369" t="str">
        <f>IF(AT32="","",IF(AT32=AT35, IF(AT33 &lt; AT36, AS32, AS35),IF(AT32 &lt; AT35,AS32,AS35)))</f>
        <v/>
      </c>
      <c r="AW38" s="370"/>
      <c r="AY38" s="369" t="str">
        <f>IF(AW38="","",IF(AW38=AW41, IF(AW39 &gt; AW42, AV38, AV41),IF(AW38&gt;AW41,AV38,AV41)))</f>
        <v/>
      </c>
      <c r="BA38" s="355">
        <v>21</v>
      </c>
      <c r="BB38" s="356">
        <v>11</v>
      </c>
      <c r="BC38" s="369" t="str">
        <f ca="1">INDIRECT("'Imp. Qualif.'!L"&amp;INDIRECT("B"&amp;ROW()))</f>
        <v/>
      </c>
      <c r="BD38" s="370"/>
      <c r="BF38" s="369" t="str">
        <f>IF(BD32="","",IF(BD32=BD35, IF(BD33 &lt; BD36, BC32, BC35),IF(BD32 &lt; BD35,BC32,BC35)))</f>
        <v/>
      </c>
      <c r="BG38" s="370"/>
      <c r="BI38" s="369" t="str">
        <f>IF(BG32="","",IF(BG32=BG35, IF(BG33 &lt; BG36, BF32, BF35),IF(BG32 &lt; BG35,BF32,BF35)))</f>
        <v/>
      </c>
      <c r="BJ38" s="370"/>
      <c r="BL38" s="369" t="str">
        <f>IF(BJ38="","",IF(BJ38=BJ41, IF(BJ39 &gt; BJ42, BI38, BI41),IF(BJ38&gt;BJ41,BI38,BI41)))</f>
        <v/>
      </c>
      <c r="BN38" s="355">
        <v>21</v>
      </c>
      <c r="BO38" s="356">
        <v>11</v>
      </c>
      <c r="BP38" s="369" t="str">
        <f ca="1">INDIRECT("'Imp. Qualif.'!L"&amp;INDIRECT("B"&amp;ROW()))</f>
        <v/>
      </c>
      <c r="BQ38" s="370"/>
      <c r="BS38" s="369" t="str">
        <f>IF(BQ32="","",IF(BQ32=BQ35, IF(BQ33 &lt; BQ36, BP32, BP35),IF(BQ32 &lt; BQ35,BP32,BP35)))</f>
        <v/>
      </c>
      <c r="BT38" s="370"/>
      <c r="BV38" s="369" t="str">
        <f>IF(BT32="","",IF(BT32=BT35, IF(BT33 &lt; BT36, BS32, BS35),IF(BT32 &lt; BT35,BS32,BS35)))</f>
        <v/>
      </c>
      <c r="BW38" s="370"/>
      <c r="BY38" s="369" t="str">
        <f>IF(BW38="","",IF(BW38=BW41, IF(BW39 &gt; BW42, BV38, BV41),IF(BW38&gt;BW41,BV38,BV41)))</f>
        <v/>
      </c>
      <c r="CA38" s="355">
        <v>21</v>
      </c>
      <c r="CB38" s="356">
        <v>11</v>
      </c>
      <c r="CC38" s="369" t="str">
        <f ca="1">INDIRECT("'Imp. Qualif.'!L"&amp;INDIRECT("B"&amp;ROW()))</f>
        <v/>
      </c>
      <c r="CD38" s="370"/>
      <c r="CE38" s="388" t="str">
        <f>IF(CD38&gt;0,RANK(CD38,(CD38,CD41,CD44),0),"")</f>
        <v/>
      </c>
      <c r="CF38" s="369" t="str">
        <f>IF(CD32="","",IF(CD32=CD35, IF(CD33 &lt; CD36, CC32, CC35),IF(CD32 &lt; CD35,CC32,CC35)))</f>
        <v/>
      </c>
      <c r="CG38" s="370"/>
      <c r="CH38" s="388" t="str">
        <f>IF(CG38&gt;0,RANK(CG38,(CG38,CG41,CG44),0),"")</f>
        <v/>
      </c>
      <c r="CI38" s="369" t="str">
        <f>IF(CG32="","",IF(CG32=CG35, IF(CG33 &lt; CG36, CF32, CF35),IF(CG32 &lt; CG35,CF32,CF35)))</f>
        <v/>
      </c>
      <c r="CJ38" s="370"/>
      <c r="CK38" s="388" t="str">
        <f>IF(CJ38&gt;0,RANK(CJ38,(CJ38,CJ41,CJ44),0),"")</f>
        <v/>
      </c>
      <c r="CL38" s="369" t="str">
        <f>IF(CJ38="","",IF(CK38=1,CI38, IF(CK41 = 1, CI41, IF(CK44=1, CI44, ""))))</f>
        <v/>
      </c>
      <c r="CN38" s="355">
        <v>21</v>
      </c>
      <c r="CO38" s="356">
        <v>11</v>
      </c>
      <c r="CP38" s="369" t="str">
        <f ca="1">INDIRECT("'Imp. Qualif.'!L"&amp;INDIRECT("B"&amp;ROW()))</f>
        <v/>
      </c>
      <c r="CQ38" s="370"/>
      <c r="CR38" s="388" t="str">
        <f>IF(CQ38&gt;0,RANK(CQ38,(CQ32,CQ35,CQ38),0),"")</f>
        <v/>
      </c>
      <c r="CS38" s="369" t="str">
        <f>IF(CQ38="","",IF(CR32=3,CP32, IF(CR35 = 3, CP35, IF(CR38=3, CP38, ""))))</f>
        <v/>
      </c>
      <c r="CT38" s="370"/>
      <c r="CU38" s="388" t="str">
        <f>IF(CT38&gt;0,RANK(CT38,(CT32,CT35,CT38),0),"")</f>
        <v/>
      </c>
      <c r="CV38" s="369" t="str">
        <f>IF(CT38="","",IF(CU32=3,CS32, IF(CU35 = 3, CS35, IF(CU38=3, CS38, ""))))</f>
        <v/>
      </c>
      <c r="CW38" s="370"/>
      <c r="CX38" s="388" t="str">
        <f>IF(CW38&gt;0,RANK(CW38,(CW32,CW35,CW38),0),"")</f>
        <v/>
      </c>
      <c r="CY38" s="369" t="str">
        <f>IF(CW38="","",IF(CX32=3,CV32, IF(CX35 = 3, CV35, IF(CX38=3, CV38, ""))))</f>
        <v/>
      </c>
      <c r="DA38" s="355">
        <v>21</v>
      </c>
      <c r="DB38" s="356">
        <v>11</v>
      </c>
      <c r="DC38" s="385" t="s">
        <v>386</v>
      </c>
      <c r="DD38" s="387"/>
      <c r="DE38" s="385" t="s">
        <v>493</v>
      </c>
      <c r="DF38" s="385"/>
      <c r="DG38" s="385"/>
      <c r="DH38" s="385"/>
      <c r="DI38" s="351"/>
      <c r="DJ38" s="351"/>
      <c r="DK38" s="351"/>
      <c r="DL38" s="353"/>
      <c r="DN38" s="355">
        <v>21</v>
      </c>
      <c r="DO38" s="356">
        <v>11</v>
      </c>
      <c r="DP38" s="351"/>
      <c r="DQ38" s="351"/>
      <c r="DR38" s="351"/>
      <c r="DS38" s="351"/>
      <c r="DT38" s="351"/>
      <c r="DU38" s="351"/>
      <c r="DV38" s="351"/>
      <c r="DW38" s="351"/>
      <c r="DX38" s="351"/>
      <c r="DY38" s="353"/>
      <c r="EA38" s="355">
        <v>21</v>
      </c>
      <c r="EB38" s="356">
        <v>11</v>
      </c>
      <c r="EC38" s="351"/>
      <c r="ED38" s="351"/>
      <c r="EE38" s="351"/>
      <c r="EF38" s="351"/>
      <c r="EG38" s="351"/>
      <c r="EH38" s="351"/>
      <c r="EI38" s="351"/>
      <c r="EJ38" s="351"/>
      <c r="EK38" s="351"/>
      <c r="EL38" s="353"/>
    </row>
    <row r="39" spans="2:142" s="355" customFormat="1" ht="14.25" customHeight="1" thickBot="1" x14ac:dyDescent="0.25">
      <c r="C39" s="356"/>
      <c r="D39" s="372" t="str">
        <f ca="1">INDIRECT("'Imp. Qualif.'!M"&amp;INDIRECT("B"&amp;ROW()-1))</f>
        <v/>
      </c>
      <c r="E39" s="373"/>
      <c r="G39" s="372" t="str">
        <f>IF(E32="","",IF(E32=E35, IF(E33 &lt; E36, D33, D36),IF(E32 &lt; E35,D33,D36)))</f>
        <v/>
      </c>
      <c r="H39" s="373"/>
      <c r="J39" s="372" t="str">
        <f>IF(H32="","",IF(H32=H35, IF(H33 &lt; H36, G33, G36),IF(H32 &lt; H35,G33,G36)))</f>
        <v/>
      </c>
      <c r="K39" s="373"/>
      <c r="M39" s="372" t="str">
        <f>IF(K38="","",IF(K38=K41, IF(K39 &gt; K42, J39, J42),IF(K38&gt;K41,J39,J42)))</f>
        <v/>
      </c>
      <c r="N39" s="379"/>
      <c r="Q39" s="356"/>
      <c r="AB39" s="356"/>
      <c r="AC39" s="372" t="str">
        <f ca="1">INDIRECT("'Imp. Qualif.'!M"&amp;INDIRECT("B"&amp;ROW()-1))</f>
        <v/>
      </c>
      <c r="AD39" s="373"/>
      <c r="AF39" s="372" t="str">
        <f>IF(AD32="","",IF(AD32=AD35, IF(AD33 &lt; AD36, AC33, AC36),IF(AD32 &lt; AD35,AC33,AC36)))</f>
        <v/>
      </c>
      <c r="AG39" s="373"/>
      <c r="AI39" s="372" t="str">
        <f>IF(AG32="","",IF(AG32=AG35, IF(AG33 &lt; AG36, AF33, AF36),IF(AG32 &lt; AG35,AF33,AF36)))</f>
        <v/>
      </c>
      <c r="AJ39" s="373"/>
      <c r="AL39" s="372" t="str">
        <f>IF(AJ38="","",IF(AJ38=AJ41, IF(AJ39 &gt; AJ42, AI39, AI42),IF(AJ38&gt;AJ41,AI39,AI42)))</f>
        <v/>
      </c>
      <c r="AO39" s="356"/>
      <c r="AP39" s="372" t="str">
        <f ca="1">INDIRECT("'Imp. Qualif.'!M"&amp;INDIRECT("B"&amp;ROW()-1))</f>
        <v/>
      </c>
      <c r="AQ39" s="373"/>
      <c r="AS39" s="372" t="str">
        <f>IF(AQ32="","",IF(AQ32=AQ35, IF(AQ33 &lt; AQ36, AP33, AP36),IF(AQ32 &lt; AQ35,AP33,AP36)))</f>
        <v/>
      </c>
      <c r="AT39" s="373"/>
      <c r="AV39" s="372" t="str">
        <f>IF(AT32="","",IF(AT32=AT35, IF(AT33 &lt; AT36, AS33, AS36),IF(AT32 &lt; AT35,AS33,AS36)))</f>
        <v/>
      </c>
      <c r="AW39" s="373"/>
      <c r="AY39" s="372" t="str">
        <f>IF(AW38="","",IF(AW38=AW41, IF(AW39 &gt; AW42, AV39, AV42),IF(AW38&gt;AW41,AV39,AV42)))</f>
        <v/>
      </c>
      <c r="BB39" s="356"/>
      <c r="BC39" s="372" t="str">
        <f ca="1">INDIRECT("'Imp. Qualif.'!M"&amp;INDIRECT("B"&amp;ROW()-1))</f>
        <v/>
      </c>
      <c r="BD39" s="373"/>
      <c r="BF39" s="372" t="str">
        <f>IF(BD32="","",IF(BD32=BD35, IF(BD33 &lt; BD36, BC33, BC36),IF(BD32 &lt; BD35,BC33,BC36)))</f>
        <v/>
      </c>
      <c r="BG39" s="373"/>
      <c r="BI39" s="372" t="str">
        <f>IF(BG32="","",IF(BG32=BG35, IF(BG33 &lt; BG36, BF33, BF36),IF(BG32 &lt; BG35,BF33,BF36)))</f>
        <v/>
      </c>
      <c r="BJ39" s="373"/>
      <c r="BL39" s="372" t="str">
        <f>IF(BJ38="","",IF(BJ38=BJ41, IF(BJ39 &gt; BJ42, BI39, BI42),IF(BJ38&gt;BJ41,BI39,BI42)))</f>
        <v/>
      </c>
      <c r="BO39" s="356"/>
      <c r="BP39" s="372" t="str">
        <f ca="1">INDIRECT("'Imp. Qualif.'!M"&amp;INDIRECT("B"&amp;ROW()-1))</f>
        <v/>
      </c>
      <c r="BQ39" s="373"/>
      <c r="BS39" s="372" t="str">
        <f>IF(BQ32="","",IF(BQ32=BQ35, IF(BQ33 &lt; BQ36, BP33, BP36),IF(BQ32 &lt; BQ35,BP33,BP36)))</f>
        <v/>
      </c>
      <c r="BT39" s="373"/>
      <c r="BV39" s="372" t="str">
        <f>IF(BT32="","",IF(BT32=BT35, IF(BT33 &lt; BT36, BS33, BS36),IF(BT32 &lt; BT35,BS33,BS36)))</f>
        <v/>
      </c>
      <c r="BW39" s="373"/>
      <c r="BY39" s="372" t="str">
        <f>IF(BW38="","",IF(BW38=BW41, IF(BW39 &gt; BW42, BV39, BV42),IF(BW38&gt;BW41,BV39,BV42)))</f>
        <v/>
      </c>
      <c r="CB39" s="356"/>
      <c r="CC39" s="372" t="str">
        <f ca="1">INDIRECT("'Imp. Qualif.'!M"&amp;INDIRECT("B"&amp;ROW()-1))</f>
        <v/>
      </c>
      <c r="CD39" s="373"/>
      <c r="CE39" s="383"/>
      <c r="CF39" s="372" t="str">
        <f>IF(CD32="","",IF(CD32=CD35, IF(CD33 &lt; CD36, CC33, CC36),IF(CD32 &lt; CD35,CC33,CC36)))</f>
        <v/>
      </c>
      <c r="CG39" s="373"/>
      <c r="CH39" s="383"/>
      <c r="CI39" s="372" t="str">
        <f>IF(CG32="","",IF(CG32=CG35, IF(CG33 &lt; CG36, CF33, CF36),IF(CG32 &lt; CG35,CF33,CF36)))</f>
        <v/>
      </c>
      <c r="CJ39" s="373"/>
      <c r="CL39" s="372" t="str">
        <f>IF(CJ38="","",IF(CK38=1,CI39, IF(CK41 = 1, CI42, IF(CK44=1, CI45, ""))))</f>
        <v/>
      </c>
      <c r="CO39" s="356"/>
      <c r="CP39" s="372" t="str">
        <f ca="1">INDIRECT("'Imp. Qualif.'!M"&amp;INDIRECT("B"&amp;ROW()-1))</f>
        <v/>
      </c>
      <c r="CQ39" s="373"/>
      <c r="CS39" s="372" t="str">
        <f>IF(CQ38="","",IF(CR32=3,CP33, IF(CR35 = 3, CP36, IF(CR38=3, CP39, ""))))</f>
        <v/>
      </c>
      <c r="CT39" s="373"/>
      <c r="CV39" s="372" t="str">
        <f>IF(CT38="","",IF(CU32=3,CS33, IF(CU35 = 3, CS36, IF(CU38=3, CS39, ""))))</f>
        <v/>
      </c>
      <c r="CW39" s="373"/>
      <c r="CY39" s="372" t="str">
        <f>IF(CW38="","",IF(CX32=3,CV33, IF(CX35 = 3, CV36, IF(CX38=3, CV39, ""))))</f>
        <v/>
      </c>
      <c r="DB39" s="356"/>
      <c r="DC39" s="385"/>
      <c r="DD39" s="385"/>
      <c r="DE39" s="385"/>
      <c r="DF39" s="385"/>
      <c r="DG39" s="385"/>
      <c r="DH39" s="385"/>
      <c r="DI39" s="351"/>
      <c r="DJ39" s="351"/>
      <c r="DK39" s="351"/>
      <c r="DL39" s="353"/>
      <c r="DO39" s="356"/>
      <c r="DP39" s="351"/>
      <c r="DQ39" s="351"/>
      <c r="DR39" s="351"/>
      <c r="DS39" s="351"/>
      <c r="DT39" s="351"/>
      <c r="DU39" s="351"/>
      <c r="DV39" s="351"/>
      <c r="DW39" s="351"/>
      <c r="DX39" s="351"/>
      <c r="DY39" s="353"/>
      <c r="EB39" s="356"/>
      <c r="EC39" s="351"/>
      <c r="ED39" s="351"/>
      <c r="EE39" s="351"/>
      <c r="EF39" s="351"/>
      <c r="EG39" s="351"/>
      <c r="EH39" s="351"/>
      <c r="EI39" s="351"/>
      <c r="EJ39" s="351"/>
      <c r="EK39" s="351"/>
      <c r="EL39" s="353"/>
    </row>
    <row r="40" spans="2:142" s="355" customFormat="1" ht="14.25" customHeight="1" x14ac:dyDescent="0.2">
      <c r="C40" s="356"/>
      <c r="D40" s="358"/>
      <c r="E40" s="381"/>
      <c r="H40" s="381"/>
      <c r="K40" s="381"/>
      <c r="M40" s="358"/>
      <c r="N40" s="379"/>
      <c r="Q40" s="356"/>
      <c r="AB40" s="356"/>
      <c r="AC40" s="358"/>
      <c r="AD40" s="381"/>
      <c r="AG40" s="381"/>
      <c r="AJ40" s="381"/>
      <c r="AL40" s="358"/>
      <c r="AO40" s="356"/>
      <c r="AP40" s="358"/>
      <c r="AQ40" s="381"/>
      <c r="AT40" s="381"/>
      <c r="AW40" s="381"/>
      <c r="AY40" s="358"/>
      <c r="BB40" s="356"/>
      <c r="BC40" s="358"/>
      <c r="BD40" s="381"/>
      <c r="BG40" s="381"/>
      <c r="BJ40" s="381"/>
      <c r="BL40" s="358"/>
      <c r="BO40" s="356"/>
      <c r="BP40" s="358"/>
      <c r="BQ40" s="381"/>
      <c r="BT40" s="381"/>
      <c r="BW40" s="381"/>
      <c r="BY40" s="358"/>
      <c r="CB40" s="356"/>
      <c r="CC40" s="358"/>
      <c r="CD40" s="381"/>
      <c r="CE40" s="383"/>
      <c r="CG40" s="381"/>
      <c r="CH40" s="383"/>
      <c r="CJ40" s="381"/>
      <c r="CL40" s="358"/>
      <c r="CO40" s="356"/>
      <c r="CP40" s="358"/>
      <c r="CQ40" s="382"/>
      <c r="CS40" s="358"/>
      <c r="CT40" s="382"/>
      <c r="CV40" s="358"/>
      <c r="CW40" s="382"/>
      <c r="CY40" s="358"/>
      <c r="DB40" s="356"/>
      <c r="DC40" s="351"/>
      <c r="DD40" s="351"/>
      <c r="DE40" s="351"/>
      <c r="DF40" s="351"/>
      <c r="DG40" s="351"/>
      <c r="DH40" s="351"/>
      <c r="DI40" s="351"/>
      <c r="DJ40" s="351"/>
      <c r="DK40" s="351"/>
      <c r="DL40" s="353"/>
      <c r="DO40" s="356"/>
      <c r="DP40" s="351"/>
      <c r="DQ40" s="351"/>
      <c r="DR40" s="351"/>
      <c r="DS40" s="351"/>
      <c r="DT40" s="351"/>
      <c r="DU40" s="351"/>
      <c r="DV40" s="351"/>
      <c r="DW40" s="351"/>
      <c r="DX40" s="351"/>
      <c r="DY40" s="353"/>
      <c r="EB40" s="356"/>
      <c r="EC40" s="351"/>
      <c r="ED40" s="351"/>
      <c r="EE40" s="351"/>
      <c r="EF40" s="351"/>
      <c r="EG40" s="351"/>
      <c r="EH40" s="351"/>
      <c r="EI40" s="351"/>
      <c r="EJ40" s="351"/>
      <c r="EK40" s="351"/>
      <c r="EL40" s="353"/>
    </row>
    <row r="41" spans="2:142" s="355" customFormat="1" ht="14.25" customHeight="1" x14ac:dyDescent="0.2">
      <c r="B41" s="355">
        <v>22</v>
      </c>
      <c r="C41" s="356">
        <v>12</v>
      </c>
      <c r="D41" s="369" t="str">
        <f ca="1">INDIRECT("'Imp. Qualif.'!L"&amp;INDIRECT("B"&amp;ROW()))</f>
        <v/>
      </c>
      <c r="E41" s="370"/>
      <c r="G41" s="369" t="str">
        <f>IF(E44="","",IF(E44=E47, IF(E45 &gt; E48, D44, D47),IF(E44&gt;E47,D44,D47)))</f>
        <v/>
      </c>
      <c r="H41" s="370"/>
      <c r="J41" s="369" t="str">
        <f>IF(H44="","",IF(H44=H47, IF(H45 &gt; H48, G44, G47),IF(H44&gt;H47,G44,G47)))</f>
        <v/>
      </c>
      <c r="K41" s="370"/>
      <c r="M41" s="369" t="str">
        <f>IF(K38="","",IF(K38=K41, IF(K42 &lt; K39, J41, J38),IF(K41 &lt; K38,J41,J38)))</f>
        <v/>
      </c>
      <c r="N41" s="379">
        <v>12</v>
      </c>
      <c r="P41" s="355">
        <v>22</v>
      </c>
      <c r="Q41" s="356">
        <v>12</v>
      </c>
      <c r="AA41" s="355">
        <v>22</v>
      </c>
      <c r="AB41" s="356">
        <v>12</v>
      </c>
      <c r="AC41" s="369" t="str">
        <f ca="1">INDIRECT("'Imp. Qualif.'!L"&amp;INDIRECT("B"&amp;ROW()))</f>
        <v/>
      </c>
      <c r="AD41" s="370"/>
      <c r="AF41" s="369" t="str">
        <f>IF(AD44="","",IF(AD44=AD47, IF(AD45 &gt; AD48, AC44, AC47),IF(AD44&gt;AD47,AC44,AC47)))</f>
        <v/>
      </c>
      <c r="AG41" s="370"/>
      <c r="AI41" s="369" t="str">
        <f>IF(AG44="","",IF(AG44=AG47, IF(AG45 &gt; AG48, AF44, AF47),IF(AG44&gt;AG47,AF44,AF47)))</f>
        <v/>
      </c>
      <c r="AJ41" s="370"/>
      <c r="AL41" s="369" t="str">
        <f>IF(AJ38="","",IF(AJ38=AJ41, IF(AJ42 &lt; AJ39, AI41, AI38),IF(AJ41 &lt; AJ38,AI41,AI38)))</f>
        <v/>
      </c>
      <c r="AN41" s="355">
        <v>22</v>
      </c>
      <c r="AO41" s="356">
        <v>12</v>
      </c>
      <c r="AP41" s="369" t="str">
        <f ca="1">INDIRECT("'Imp. Qualif.'!L"&amp;INDIRECT("B"&amp;ROW()))</f>
        <v/>
      </c>
      <c r="AQ41" s="370"/>
      <c r="AS41" s="369" t="str">
        <f>IF(AQ44="","",IF(AQ44=AQ47, IF(AQ45 &gt; AQ48, AP44, AP47),IF(AQ44&gt;AQ47,AP44,AP47)))</f>
        <v/>
      </c>
      <c r="AT41" s="370"/>
      <c r="AV41" s="369" t="str">
        <f>IF(AT44="","",IF(AT44=AT47, IF(AT45 &gt; AT48, AS44, AS47),IF(AT44&gt;AT47,AS44,AS47)))</f>
        <v/>
      </c>
      <c r="AW41" s="370"/>
      <c r="AY41" s="369" t="str">
        <f>IF(AW38="","",IF(AW38=AW41, IF(AW42 &lt; AW39, AV41, AV38),IF(AW41 &lt; AW38,AV41,AV38)))</f>
        <v/>
      </c>
      <c r="BA41" s="355">
        <v>22</v>
      </c>
      <c r="BB41" s="356">
        <v>12</v>
      </c>
      <c r="BC41" s="369" t="str">
        <f ca="1">INDIRECT("'Imp. Qualif.'!L"&amp;INDIRECT("B"&amp;ROW()))</f>
        <v/>
      </c>
      <c r="BD41" s="370"/>
      <c r="BF41" s="369" t="str">
        <f>IF(BD44="","",IF(BD44=BD47, IF(BD45 &gt; BD48, BC44, BC47),IF(BD44&gt;BD47,BC44,BC47)))</f>
        <v/>
      </c>
      <c r="BG41" s="370"/>
      <c r="BI41" s="369" t="str">
        <f>IF(BG44="","",IF(BG44=BG47, IF(BG45 &gt; BG48, BF44, BF47),IF(BG44&gt;BG47,BF44,BF47)))</f>
        <v/>
      </c>
      <c r="BJ41" s="370"/>
      <c r="BL41" s="369" t="str">
        <f>IF(BJ38="","",IF(BJ38=BJ41, IF(BJ42 &lt; BJ39, BI41, BI38),IF(BJ41 &lt; BJ38,BI41,BI38)))</f>
        <v/>
      </c>
      <c r="BN41" s="355">
        <v>22</v>
      </c>
      <c r="BO41" s="356">
        <v>12</v>
      </c>
      <c r="BP41" s="369" t="str">
        <f ca="1">INDIRECT("'Imp. Qualif.'!L"&amp;INDIRECT("B"&amp;ROW()))</f>
        <v/>
      </c>
      <c r="BQ41" s="370"/>
      <c r="BS41" s="369" t="str">
        <f>IF(BQ44="","",IF(BR44=1,BP44, IF(BR47 = 1, BP47, IF(BR50=1, BP50, ""))))</f>
        <v/>
      </c>
      <c r="BT41" s="370"/>
      <c r="BV41" s="369" t="str">
        <f>IF(BT44="","",IF(BU44=3,BS44, IF(BU47 = 3, BS47, IF(BU50=3, BS50, ""))))</f>
        <v/>
      </c>
      <c r="BW41" s="370"/>
      <c r="BY41" s="369" t="str">
        <f>IF(BW38="","",IF(BW38=BW41, IF(BW42 &lt; BW39, BV41, BV38),IF(BW41 &lt; BW38,BV41,BV38)))</f>
        <v/>
      </c>
      <c r="CA41" s="355">
        <v>22</v>
      </c>
      <c r="CB41" s="356">
        <v>12</v>
      </c>
      <c r="CC41" s="369" t="str">
        <f ca="1">INDIRECT("'Imp. Qualif.'!L"&amp;INDIRECT("B"&amp;ROW()))</f>
        <v/>
      </c>
      <c r="CD41" s="370"/>
      <c r="CE41" s="388" t="str">
        <f>IF(CD41&gt;0,RANK(CD41,(CD38,CD41,CD44),0),"")</f>
        <v/>
      </c>
      <c r="CF41" s="369" t="str">
        <f>IF(CD41="","",IF(CE38=2,CC38, IF(CE41 = 2, CC41, IF(CE44=2, CC44, ""))))</f>
        <v/>
      </c>
      <c r="CG41" s="370"/>
      <c r="CH41" s="388" t="str">
        <f>IF(CG41&gt;0,RANK(CG41,(CG38,CG41,CG44),0),"")</f>
        <v/>
      </c>
      <c r="CI41" s="369" t="str">
        <f>IF(CG41="","",IF(CH38=2,CF38, IF(CH41 = 2, CF41, IF(CH44=2, CF44, ""))))</f>
        <v/>
      </c>
      <c r="CJ41" s="370"/>
      <c r="CK41" s="388" t="str">
        <f>IF(CJ41&gt;0,RANK(CJ41,(CJ38,CJ41,CJ44),0),"")</f>
        <v/>
      </c>
      <c r="CL41" s="369" t="str">
        <f>IF(CJ41="","",IF(CK38=2,CI38, IF(CK41 = 2, CI41, IF(CK44=2, CI44, ""))))</f>
        <v/>
      </c>
      <c r="CN41" s="355">
        <v>22</v>
      </c>
      <c r="CO41" s="356">
        <v>12</v>
      </c>
      <c r="CP41" s="358"/>
      <c r="CQ41" s="382"/>
      <c r="CS41" s="358"/>
      <c r="CT41" s="382"/>
      <c r="CV41" s="358"/>
      <c r="CW41" s="382"/>
      <c r="CY41" s="358"/>
      <c r="DA41" s="355">
        <v>22</v>
      </c>
      <c r="DB41" s="356">
        <v>12</v>
      </c>
      <c r="DC41" s="351"/>
      <c r="DD41" s="351"/>
      <c r="DE41" s="351"/>
      <c r="DF41" s="351"/>
      <c r="DG41" s="351"/>
      <c r="DH41" s="351"/>
      <c r="DI41" s="351"/>
      <c r="DJ41" s="351"/>
      <c r="DK41" s="351"/>
      <c r="DL41" s="353"/>
      <c r="DN41" s="355">
        <v>22</v>
      </c>
      <c r="DO41" s="356">
        <v>12</v>
      </c>
      <c r="DP41" s="351"/>
      <c r="DQ41" s="351"/>
      <c r="DR41" s="351"/>
      <c r="DS41" s="351"/>
      <c r="DT41" s="351"/>
      <c r="DU41" s="351"/>
      <c r="DV41" s="351"/>
      <c r="DW41" s="351"/>
      <c r="DX41" s="351"/>
      <c r="DY41" s="353"/>
      <c r="EA41" s="355">
        <v>22</v>
      </c>
      <c r="EB41" s="356">
        <v>12</v>
      </c>
      <c r="EC41" s="351"/>
      <c r="ED41" s="351"/>
      <c r="EE41" s="351"/>
      <c r="EF41" s="351"/>
      <c r="EG41" s="351"/>
      <c r="EH41" s="351"/>
      <c r="EI41" s="351"/>
      <c r="EJ41" s="351"/>
      <c r="EK41" s="351"/>
      <c r="EL41" s="353"/>
    </row>
    <row r="42" spans="2:142" s="355" customFormat="1" ht="14.25" customHeight="1" thickBot="1" x14ac:dyDescent="0.25">
      <c r="C42" s="356"/>
      <c r="D42" s="372" t="str">
        <f ca="1">INDIRECT("'Imp. Qualif.'!M"&amp;INDIRECT("B"&amp;ROW()-1))</f>
        <v/>
      </c>
      <c r="E42" s="373"/>
      <c r="G42" s="380" t="str">
        <f>IF(E44="","",IF(E44=E47, IF(E45 &gt; E48, D45, D48),IF(E44&gt;E47,D45,D48)))</f>
        <v/>
      </c>
      <c r="H42" s="373"/>
      <c r="J42" s="380" t="str">
        <f>IF(H44="","",IF(H44=H47, IF(H45 &gt; H48, G45, G48),IF(H44&gt;H47,G45,G48)))</f>
        <v/>
      </c>
      <c r="K42" s="373"/>
      <c r="M42" s="372" t="str">
        <f>IF(K38="","",IF(K38=K41, IF(K42 &lt; K39, J42, J39),IF(K41 &lt; K38,J42,J39)))</f>
        <v/>
      </c>
      <c r="N42" s="379"/>
      <c r="Q42" s="356"/>
      <c r="AB42" s="356"/>
      <c r="AC42" s="372" t="str">
        <f ca="1">INDIRECT("'Imp. Qualif.'!M"&amp;INDIRECT("B"&amp;ROW()-1))</f>
        <v/>
      </c>
      <c r="AD42" s="373"/>
      <c r="AF42" s="380" t="str">
        <f>IF(AD44="","",IF(AD44=AD47, IF(AD45 &gt; AD48, AC45, AC48),IF(AD44&gt;AD47,AC45,AC48)))</f>
        <v/>
      </c>
      <c r="AG42" s="373"/>
      <c r="AI42" s="380" t="str">
        <f>IF(AG44="","",IF(AG44=AG47, IF(AG45 &gt; AG48, AF45, AF48),IF(AG44&gt;AG47,AF45,AF48)))</f>
        <v/>
      </c>
      <c r="AJ42" s="373"/>
      <c r="AL42" s="372" t="str">
        <f>IF(AJ38="","",IF(AJ38=AJ41, IF(AJ42 &lt; AJ39, AI42, AI39),IF(AJ41 &lt; AJ38,AI42,AI39)))</f>
        <v/>
      </c>
      <c r="AO42" s="356"/>
      <c r="AP42" s="372" t="str">
        <f ca="1">INDIRECT("'Imp. Qualif.'!M"&amp;INDIRECT("B"&amp;ROW()-1))</f>
        <v/>
      </c>
      <c r="AQ42" s="373"/>
      <c r="AS42" s="380" t="str">
        <f>IF(AQ44="","",IF(AQ44=AQ47, IF(AQ45 &gt; AQ48, AP45, AP48),IF(AQ44&gt;AQ47,AP45,AP48)))</f>
        <v/>
      </c>
      <c r="AT42" s="373"/>
      <c r="AV42" s="380" t="str">
        <f>IF(AT44="","",IF(AT44=AT47, IF(AT45 &gt; AT48, AS45, AS48),IF(AT44&gt;AT47,AS45,AS48)))</f>
        <v/>
      </c>
      <c r="AW42" s="373"/>
      <c r="AY42" s="372" t="str">
        <f>IF(AW38="","",IF(AW38=AW41, IF(AW42 &lt; AW39, AV42, AV39),IF(AW41 &lt; AW38,AV42,AV39)))</f>
        <v/>
      </c>
      <c r="BB42" s="356"/>
      <c r="BC42" s="372" t="str">
        <f ca="1">INDIRECT("'Imp. Qualif.'!M"&amp;INDIRECT("B"&amp;ROW()-1))</f>
        <v/>
      </c>
      <c r="BD42" s="373"/>
      <c r="BF42" s="380" t="str">
        <f>IF(BD44="","",IF(BD44=BD47, IF(BD45 &gt; BD48, BC45, BC48),IF(BD44&gt;BD47,BC45,BC48)))</f>
        <v/>
      </c>
      <c r="BG42" s="373"/>
      <c r="BI42" s="380" t="str">
        <f>IF(BG44="","",IF(BG44=BG47, IF(BG45 &gt; BG48, BF45, BF48),IF(BG44&gt;BG47,BF45,BF48)))</f>
        <v/>
      </c>
      <c r="BJ42" s="373"/>
      <c r="BL42" s="372" t="str">
        <f>IF(BJ38="","",IF(BJ38=BJ41, IF(BJ42 &lt; BJ39, BI42, BI39),IF(BJ41 &lt; BJ38,BI42,BI39)))</f>
        <v/>
      </c>
      <c r="BO42" s="356"/>
      <c r="BP42" s="372" t="str">
        <f ca="1">INDIRECT("'Imp. Qualif.'!M"&amp;INDIRECT("B"&amp;ROW()-1))</f>
        <v/>
      </c>
      <c r="BQ42" s="373"/>
      <c r="BS42" s="372" t="str">
        <f>IF(BQ44="","",IF(BR44=1,BP45, IF(BR47 = 1, BP48, IF(BR50=1, BP51, ""))))</f>
        <v/>
      </c>
      <c r="BT42" s="373"/>
      <c r="BV42" s="372" t="str">
        <f>IF(BT44="","",IF(BU44=3,BS45, IF(BU47 = 3, BS48, IF(BU50=3, BS51, ""))))</f>
        <v/>
      </c>
      <c r="BW42" s="373"/>
      <c r="BY42" s="372" t="str">
        <f>IF(BW38="","",IF(BW38=BW41, IF(BW42 &lt; BW39, BV42, BV39),IF(BW41 &lt; BW38,BV42,BV39)))</f>
        <v/>
      </c>
      <c r="CB42" s="356"/>
      <c r="CC42" s="372" t="str">
        <f ca="1">INDIRECT("'Imp. Qualif.'!M"&amp;INDIRECT("B"&amp;ROW()-1))</f>
        <v/>
      </c>
      <c r="CD42" s="373"/>
      <c r="CF42" s="372" t="str">
        <f>IF(CD41="","",IF(CE38=2,CC39, IF(CE41 = 2, CC42, IF(CE44=2, CC45, ""))))</f>
        <v/>
      </c>
      <c r="CG42" s="373"/>
      <c r="CI42" s="372" t="str">
        <f>IF(CG41="","",IF(CH38=2,CF39, IF(CH41 = 2, CF42, IF(CH44=2, CF45, ""))))</f>
        <v/>
      </c>
      <c r="CJ42" s="373"/>
      <c r="CL42" s="372" t="str">
        <f>IF(CJ41="","",IF(CK38=2,CI39, IF(CK41 = 2, CI42, IF(CK44=2, CI45, ""))))</f>
        <v/>
      </c>
      <c r="CO42" s="356"/>
      <c r="CP42" s="358"/>
      <c r="CQ42" s="384"/>
      <c r="CS42" s="358"/>
      <c r="CT42" s="382"/>
      <c r="CV42" s="358"/>
      <c r="CW42" s="382"/>
      <c r="CY42" s="358"/>
      <c r="DB42" s="356"/>
      <c r="DC42" s="351"/>
      <c r="DD42" s="351"/>
      <c r="DE42" s="351"/>
      <c r="DF42" s="351"/>
      <c r="DG42" s="351"/>
      <c r="DH42" s="351"/>
      <c r="DI42" s="351"/>
      <c r="DJ42" s="351"/>
      <c r="DK42" s="351"/>
      <c r="DL42" s="353"/>
      <c r="DO42" s="356"/>
      <c r="DP42" s="351"/>
      <c r="DQ42" s="351"/>
      <c r="DR42" s="351"/>
      <c r="DS42" s="351"/>
      <c r="DT42" s="351"/>
      <c r="DU42" s="351"/>
      <c r="DV42" s="351"/>
      <c r="DW42" s="351"/>
      <c r="DX42" s="351"/>
      <c r="DY42" s="353"/>
      <c r="EB42" s="356"/>
      <c r="EC42" s="351"/>
      <c r="ED42" s="351"/>
      <c r="EE42" s="351"/>
      <c r="EF42" s="351"/>
      <c r="EG42" s="351"/>
      <c r="EH42" s="351"/>
      <c r="EI42" s="351"/>
      <c r="EJ42" s="351"/>
      <c r="EK42" s="351"/>
      <c r="EL42" s="353"/>
    </row>
    <row r="43" spans="2:142" s="355" customFormat="1" ht="14.25" customHeight="1" x14ac:dyDescent="0.2">
      <c r="C43" s="356"/>
      <c r="D43" s="358"/>
      <c r="E43" s="382"/>
      <c r="G43" s="358"/>
      <c r="H43" s="382"/>
      <c r="J43" s="358"/>
      <c r="K43" s="382"/>
      <c r="M43" s="358"/>
      <c r="N43" s="379"/>
      <c r="Q43" s="356"/>
      <c r="AB43" s="356"/>
      <c r="AC43" s="358"/>
      <c r="AD43" s="382"/>
      <c r="AF43" s="358"/>
      <c r="AG43" s="382"/>
      <c r="AI43" s="358"/>
      <c r="AJ43" s="382"/>
      <c r="AL43" s="358"/>
      <c r="AO43" s="356"/>
      <c r="AP43" s="358"/>
      <c r="AQ43" s="382"/>
      <c r="AS43" s="358"/>
      <c r="AT43" s="382"/>
      <c r="AV43" s="358"/>
      <c r="AW43" s="382"/>
      <c r="AY43" s="358"/>
      <c r="BB43" s="356"/>
      <c r="BC43" s="358"/>
      <c r="BD43" s="382"/>
      <c r="BF43" s="358"/>
      <c r="BG43" s="382"/>
      <c r="BI43" s="358"/>
      <c r="BJ43" s="382"/>
      <c r="BL43" s="358"/>
      <c r="BO43" s="356"/>
      <c r="BP43" s="358"/>
      <c r="BQ43" s="381"/>
      <c r="BT43" s="381"/>
      <c r="BW43" s="381"/>
      <c r="BY43" s="358"/>
      <c r="CB43" s="356"/>
      <c r="CC43" s="358"/>
      <c r="CD43" s="382"/>
      <c r="CF43" s="358"/>
      <c r="CG43" s="382"/>
      <c r="CI43" s="358"/>
      <c r="CJ43" s="382"/>
      <c r="CL43" s="358"/>
      <c r="CO43" s="356"/>
      <c r="CP43" s="385" t="s">
        <v>386</v>
      </c>
      <c r="CQ43" s="386"/>
      <c r="CR43" s="385" t="s">
        <v>387</v>
      </c>
      <c r="CS43" s="385"/>
      <c r="CT43" s="385"/>
      <c r="CU43" s="385"/>
      <c r="CV43" s="351"/>
      <c r="CW43" s="351"/>
      <c r="CX43" s="351"/>
      <c r="CY43" s="353"/>
      <c r="DB43" s="356"/>
      <c r="DC43" s="351"/>
      <c r="DD43" s="351"/>
      <c r="DE43" s="351"/>
      <c r="DF43" s="351"/>
      <c r="DG43" s="351"/>
      <c r="DH43" s="351"/>
      <c r="DI43" s="351"/>
      <c r="DJ43" s="351"/>
      <c r="DK43" s="351"/>
      <c r="DL43" s="353"/>
      <c r="DO43" s="356"/>
      <c r="DP43" s="351"/>
      <c r="DQ43" s="351"/>
      <c r="DR43" s="351"/>
      <c r="DS43" s="351"/>
      <c r="DT43" s="351"/>
      <c r="DU43" s="351"/>
      <c r="DV43" s="351"/>
      <c r="DW43" s="351"/>
      <c r="DX43" s="351"/>
      <c r="DY43" s="353"/>
      <c r="EB43" s="356"/>
      <c r="EC43" s="351"/>
      <c r="ED43" s="351"/>
      <c r="EE43" s="351"/>
      <c r="EF43" s="351"/>
      <c r="EG43" s="351"/>
      <c r="EH43" s="351"/>
      <c r="EI43" s="351"/>
      <c r="EJ43" s="351"/>
      <c r="EK43" s="351"/>
      <c r="EL43" s="353"/>
    </row>
    <row r="44" spans="2:142" s="355" customFormat="1" ht="14.25" customHeight="1" thickBot="1" x14ac:dyDescent="0.25">
      <c r="B44" s="355">
        <v>23</v>
      </c>
      <c r="C44" s="356">
        <v>13</v>
      </c>
      <c r="D44" s="369" t="str">
        <f ca="1">INDIRECT("'Imp. Qualif.'!L"&amp;INDIRECT("B"&amp;ROW()))</f>
        <v/>
      </c>
      <c r="E44" s="370"/>
      <c r="G44" s="369" t="str">
        <f>IF(E38="","",IF(E38=E41, IF(E39 &lt; E42, D38, D41),IF(E38 &lt; E41,D38,D41)))</f>
        <v/>
      </c>
      <c r="H44" s="370"/>
      <c r="J44" s="369" t="str">
        <f>IF(H38="","",IF(H38=H41, IF(H39 &lt; H42, G38, G41),IF(H38 &lt; H41,G38,G41)))</f>
        <v/>
      </c>
      <c r="K44" s="370"/>
      <c r="M44" s="369" t="str">
        <f>IF(K44="","",IF(K44=K47, IF(K45 &gt; K48, J44, J47),IF(K44&gt;K47,J44,J47)))</f>
        <v/>
      </c>
      <c r="N44" s="379">
        <v>13</v>
      </c>
      <c r="P44" s="355">
        <v>23</v>
      </c>
      <c r="Q44" s="356">
        <v>13</v>
      </c>
      <c r="AA44" s="355">
        <v>23</v>
      </c>
      <c r="AB44" s="356">
        <v>13</v>
      </c>
      <c r="AC44" s="369" t="str">
        <f ca="1">INDIRECT("'Imp. Qualif.'!L"&amp;INDIRECT("B"&amp;ROW()))</f>
        <v/>
      </c>
      <c r="AD44" s="370"/>
      <c r="AF44" s="369" t="str">
        <f>IF(AD38="","",IF(AD38=AD41, IF(AD39 &lt; AD42, AC38, AC41),IF(AD38 &lt; AD41,AC38,AC41)))</f>
        <v/>
      </c>
      <c r="AG44" s="370"/>
      <c r="AI44" s="369" t="str">
        <f>IF(AG38="","",IF(AG38=AG41, IF(AG39 &lt; AG42, AF38, AF41),IF(AG38 &lt; AG41,AF38,AF41)))</f>
        <v/>
      </c>
      <c r="AJ44" s="370"/>
      <c r="AL44" s="369" t="str">
        <f>IF(AJ44="","",IF(AJ44=AJ47, IF(AJ45 &gt; AJ48, AI44, AI47),IF(AJ44&gt;AJ47,AI44,AI47)))</f>
        <v/>
      </c>
      <c r="AN44" s="355">
        <v>23</v>
      </c>
      <c r="AO44" s="356">
        <v>13</v>
      </c>
      <c r="AP44" s="369" t="str">
        <f ca="1">INDIRECT("'Imp. Qualif.'!L"&amp;INDIRECT("B"&amp;ROW()))</f>
        <v/>
      </c>
      <c r="AQ44" s="370"/>
      <c r="AS44" s="369" t="str">
        <f>IF(AQ38="","",IF(AQ38=AQ41, IF(AQ39 &lt; AQ42, AP38, AP41),IF(AQ38 &lt; AQ41,AP38,AP41)))</f>
        <v/>
      </c>
      <c r="AT44" s="370"/>
      <c r="AV44" s="369" t="str">
        <f>IF(AT38="","",IF(AT38=AT41, IF(AT39 &lt; AT42, AS38, AS41),IF(AT38 &lt; AT41,AS38,AS41)))</f>
        <v/>
      </c>
      <c r="AW44" s="370"/>
      <c r="AY44" s="369" t="str">
        <f>IF(AW44="","",IF(AW44=AW47, IF(AW45 &gt; AW48, AV44, AV47),IF(AW44&gt;AW47,AV44,AV47)))</f>
        <v/>
      </c>
      <c r="BA44" s="355">
        <v>23</v>
      </c>
      <c r="BB44" s="356">
        <v>13</v>
      </c>
      <c r="BC44" s="369" t="str">
        <f ca="1">INDIRECT("'Imp. Qualif.'!L"&amp;INDIRECT("B"&amp;ROW()))</f>
        <v/>
      </c>
      <c r="BD44" s="370"/>
      <c r="BF44" s="369" t="str">
        <f>IF(BD38="","",IF(BD38=BD41, IF(BD39 &lt; BD42, BC38, BC41),IF(BD38 &lt; BD41,BC38,BC41)))</f>
        <v/>
      </c>
      <c r="BG44" s="370"/>
      <c r="BI44" s="369" t="str">
        <f>IF(BG38="","",IF(BG38=BG41, IF(BG39 &lt; BG42, BF38, BF41),IF(BG38 &lt; BG41,BF38,BF41)))</f>
        <v/>
      </c>
      <c r="BJ44" s="370"/>
      <c r="BL44" s="369" t="str">
        <f>IF(BJ44="","",IF(BJ44=BJ47, IF(BJ45 &gt; BJ48, BI44, BI47),IF(BJ44&gt;BJ47,BI44,BI47)))</f>
        <v/>
      </c>
      <c r="BN44" s="355">
        <v>23</v>
      </c>
      <c r="BO44" s="356">
        <v>13</v>
      </c>
      <c r="BP44" s="369" t="str">
        <f ca="1">INDIRECT("'Imp. Qualif.'!L"&amp;INDIRECT("B"&amp;ROW()))</f>
        <v/>
      </c>
      <c r="BQ44" s="370"/>
      <c r="BR44" s="388" t="str">
        <f>IF(BQ44&gt;0,RANK(BQ44,(BQ44,BQ47,BQ50),0),"")</f>
        <v/>
      </c>
      <c r="BS44" s="369" t="str">
        <f>IF(BQ38="","",IF(BQ38=BQ41, IF(BQ39 &lt; BQ42, BP38, BP41),IF(BQ38 &lt; BQ41,BP38,BP41)))</f>
        <v/>
      </c>
      <c r="BT44" s="370"/>
      <c r="BU44" s="388" t="str">
        <f>IF(BT44&gt;0,RANK(BT44,(BT44,BT47,BT50),0),"")</f>
        <v/>
      </c>
      <c r="BV44" s="369" t="str">
        <f>IF(BT38="","",IF(BT38=BT41, IF(BT39 &lt; BT42, BS38, BS41),IF(BT38 &lt; BT41,BS38,BS41)))</f>
        <v/>
      </c>
      <c r="BW44" s="370"/>
      <c r="BX44" s="388" t="str">
        <f>IF(BW44&gt;0,RANK(BW44,(BW44,BW47,BW50),0),"")</f>
        <v/>
      </c>
      <c r="BY44" s="369" t="str">
        <f>IF(BW44="","",IF(BX44=1,BV44, IF(BX47 = 1, BV47, IF(BX50=1, BV50, ""))))</f>
        <v/>
      </c>
      <c r="CA44" s="355">
        <v>23</v>
      </c>
      <c r="CB44" s="356">
        <v>13</v>
      </c>
      <c r="CC44" s="369" t="str">
        <f ca="1">INDIRECT("'Imp. Qualif.'!L"&amp;INDIRECT("B"&amp;ROW()))</f>
        <v/>
      </c>
      <c r="CD44" s="370"/>
      <c r="CE44" s="388" t="str">
        <f>IF(CD44&gt;0,RANK(CD44,(CD38,CD41,CD44),0),"")</f>
        <v/>
      </c>
      <c r="CF44" s="369" t="str">
        <f>IF(CD44="","",IF(CE38=3,CC38, IF(CE41 = 3, CC41, IF(CE44=3, CC44, ""))))</f>
        <v/>
      </c>
      <c r="CG44" s="370"/>
      <c r="CH44" s="388" t="str">
        <f>IF(CG44&gt;0,RANK(CG44,(CG38,CG41,CG44),0),"")</f>
        <v/>
      </c>
      <c r="CI44" s="369" t="str">
        <f>IF(CG44="","",IF(CH38=3,CF38, IF(CH41 = 3, CF41, IF(CH44=3, CF44, ""))))</f>
        <v/>
      </c>
      <c r="CJ44" s="370"/>
      <c r="CK44" s="388" t="str">
        <f>IF(CJ44&gt;0,RANK(CJ44,(CJ38,CJ41,CJ44),0),"")</f>
        <v/>
      </c>
      <c r="CL44" s="369" t="str">
        <f>IF(CJ44="","",IF(CK38=3,CI38, IF(CK41 = 3, CI41, IF(CK44=3, CI44, ""))))</f>
        <v/>
      </c>
      <c r="CN44" s="355">
        <v>23</v>
      </c>
      <c r="CO44" s="356">
        <v>13</v>
      </c>
      <c r="CP44" s="385" t="s">
        <v>386</v>
      </c>
      <c r="CQ44" s="387"/>
      <c r="CR44" s="385" t="s">
        <v>493</v>
      </c>
      <c r="CS44" s="385"/>
      <c r="CT44" s="385"/>
      <c r="CU44" s="385"/>
      <c r="CV44" s="351"/>
      <c r="CW44" s="351"/>
      <c r="CX44" s="351"/>
      <c r="CY44" s="353"/>
      <c r="DA44" s="355">
        <v>23</v>
      </c>
      <c r="DB44" s="356">
        <v>13</v>
      </c>
      <c r="DC44" s="351"/>
      <c r="DD44" s="351"/>
      <c r="DE44" s="351"/>
      <c r="DF44" s="351"/>
      <c r="DG44" s="351"/>
      <c r="DH44" s="351"/>
      <c r="DI44" s="351"/>
      <c r="DJ44" s="351"/>
      <c r="DK44" s="351"/>
      <c r="DL44" s="353"/>
      <c r="DN44" s="355">
        <v>23</v>
      </c>
      <c r="DO44" s="356">
        <v>13</v>
      </c>
      <c r="DP44" s="351"/>
      <c r="DQ44" s="351"/>
      <c r="DR44" s="351"/>
      <c r="DS44" s="351"/>
      <c r="DT44" s="351"/>
      <c r="DU44" s="351"/>
      <c r="DV44" s="351"/>
      <c r="DW44" s="351"/>
      <c r="DX44" s="351"/>
      <c r="DY44" s="353"/>
      <c r="EA44" s="355">
        <v>23</v>
      </c>
      <c r="EB44" s="356">
        <v>13</v>
      </c>
      <c r="EC44" s="351"/>
      <c r="ED44" s="351"/>
      <c r="EE44" s="351"/>
      <c r="EF44" s="351"/>
      <c r="EG44" s="351"/>
      <c r="EH44" s="351"/>
      <c r="EI44" s="351"/>
      <c r="EJ44" s="351"/>
      <c r="EK44" s="351"/>
      <c r="EL44" s="353"/>
    </row>
    <row r="45" spans="2:142" s="355" customFormat="1" ht="14.25" customHeight="1" thickBot="1" x14ac:dyDescent="0.25">
      <c r="C45" s="356"/>
      <c r="D45" s="372" t="str">
        <f ca="1">INDIRECT("'Imp. Qualif.'!M"&amp;INDIRECT("B"&amp;ROW()-1))</f>
        <v/>
      </c>
      <c r="E45" s="373"/>
      <c r="G45" s="372" t="str">
        <f>IF(E38="","",IF(E38=E41, IF(E39 &lt; E42, D39, D42),IF(E38 &lt; E41,D39,D42)))</f>
        <v/>
      </c>
      <c r="H45" s="373"/>
      <c r="J45" s="372" t="str">
        <f>IF(H38="","",IF(H38=H41, IF(H39 &lt; H42, G39, G42),IF(H38 &lt; H41,G39,G42)))</f>
        <v/>
      </c>
      <c r="K45" s="373"/>
      <c r="M45" s="372" t="str">
        <f>IF(K44="","",IF(K44=K47, IF(K45 &gt; K48, J45, J48),IF(K44&gt;K47,J45,J48)))</f>
        <v/>
      </c>
      <c r="N45" s="379"/>
      <c r="Q45" s="356"/>
      <c r="AB45" s="356"/>
      <c r="AC45" s="372" t="str">
        <f ca="1">INDIRECT("'Imp. Qualif.'!M"&amp;INDIRECT("B"&amp;ROW()-1))</f>
        <v/>
      </c>
      <c r="AD45" s="373"/>
      <c r="AF45" s="372" t="str">
        <f>IF(AD38="","",IF(AD38=AD41, IF(AD39 &lt; AD42, AC39, AC42),IF(AD38 &lt; AD41,AC39,AC42)))</f>
        <v/>
      </c>
      <c r="AG45" s="373"/>
      <c r="AI45" s="372" t="str">
        <f>IF(AG38="","",IF(AG38=AG41, IF(AG39 &lt; AG42, AF39, AF42),IF(AG38 &lt; AG41,AF39,AF42)))</f>
        <v/>
      </c>
      <c r="AJ45" s="373"/>
      <c r="AL45" s="372" t="str">
        <f>IF(AJ44="","",IF(AJ44=AJ47, IF(AJ45 &gt; AJ48, AI45, AI48),IF(AJ44&gt;AJ47,AI45,AI48)))</f>
        <v/>
      </c>
      <c r="AO45" s="356"/>
      <c r="AP45" s="372" t="str">
        <f ca="1">INDIRECT("'Imp. Qualif.'!M"&amp;INDIRECT("B"&amp;ROW()-1))</f>
        <v/>
      </c>
      <c r="AQ45" s="373"/>
      <c r="AS45" s="372" t="str">
        <f>IF(AQ38="","",IF(AQ38=AQ41, IF(AQ39 &lt; AQ42, AP39, AP42),IF(AQ38 &lt; AQ41,AP39,AP42)))</f>
        <v/>
      </c>
      <c r="AT45" s="373"/>
      <c r="AV45" s="372" t="str">
        <f>IF(AT38="","",IF(AT38=AT41, IF(AT39 &lt; AT42, AS39, AS42),IF(AT38 &lt; AT41,AS39,AS42)))</f>
        <v/>
      </c>
      <c r="AW45" s="373"/>
      <c r="AY45" s="372" t="str">
        <f>IF(AW44="","",IF(AW44=AW47, IF(AW45 &gt; AW48, AV45, AV48),IF(AW44&gt;AW47,AV45,AV48)))</f>
        <v/>
      </c>
      <c r="BB45" s="356"/>
      <c r="BC45" s="372" t="str">
        <f ca="1">INDIRECT("'Imp. Qualif.'!M"&amp;INDIRECT("B"&amp;ROW()-1))</f>
        <v/>
      </c>
      <c r="BD45" s="373"/>
      <c r="BF45" s="372" t="str">
        <f>IF(BD38="","",IF(BD38=BD41, IF(BD39 &lt; BD42, BC39, BC42),IF(BD38 &lt; BD41,BC39,BC42)))</f>
        <v/>
      </c>
      <c r="BG45" s="373"/>
      <c r="BI45" s="372" t="str">
        <f>IF(BG38="","",IF(BG38=BG41, IF(BG39 &lt; BG42, BF39, BF42),IF(BG38 &lt; BG41,BF39,BF42)))</f>
        <v/>
      </c>
      <c r="BJ45" s="373"/>
      <c r="BL45" s="372" t="str">
        <f>IF(BJ44="","",IF(BJ44=BJ47, IF(BJ45 &gt; BJ48, BI45, BI48),IF(BJ44&gt;BJ47,BI45,BI48)))</f>
        <v/>
      </c>
      <c r="BO45" s="356"/>
      <c r="BP45" s="372" t="str">
        <f ca="1">INDIRECT("'Imp. Qualif.'!M"&amp;INDIRECT("B"&amp;ROW()-1))</f>
        <v/>
      </c>
      <c r="BQ45" s="373"/>
      <c r="BR45" s="383"/>
      <c r="BS45" s="372" t="str">
        <f>IF(BQ38="","",IF(BQ38=BQ41, IF(BQ39 &lt; BQ42, BP39, BP42),IF(BQ38 &lt; BQ41,BP39,BP42)))</f>
        <v/>
      </c>
      <c r="BT45" s="373"/>
      <c r="BU45" s="383"/>
      <c r="BV45" s="372" t="str">
        <f>IF(BT38="","",IF(BT38=BT41, IF(BT39 &lt; BT42, BS39, BS42),IF(BT38 &lt; BT41,BS39,BS42)))</f>
        <v/>
      </c>
      <c r="BW45" s="373"/>
      <c r="BY45" s="372" t="str">
        <f>IF(BW44="","",IF(BX44=1,BV45, IF(BX47 = 1, BV48, IF(BX50=1, BV51, ""))))</f>
        <v/>
      </c>
      <c r="CB45" s="356"/>
      <c r="CC45" s="372" t="str">
        <f ca="1">INDIRECT("'Imp. Qualif.'!M"&amp;INDIRECT("B"&amp;ROW()-1))</f>
        <v/>
      </c>
      <c r="CD45" s="373"/>
      <c r="CF45" s="372" t="str">
        <f>IF(CD44="","",IF(CE38=3,CC39, IF(CE41 = 3, CC42, IF(CE44=3, CC45, ""))))</f>
        <v/>
      </c>
      <c r="CG45" s="373"/>
      <c r="CI45" s="372" t="str">
        <f>IF(CG44="","",IF(CH38=3,CF39, IF(CH41 = 3, CF42, IF(CH44=3, CF45, ""))))</f>
        <v/>
      </c>
      <c r="CJ45" s="373"/>
      <c r="CL45" s="372" t="str">
        <f>IF(CJ44="","",IF(CK38=3,CI39, IF(CK41 = 3, CI42, IF(CK44=3, CI45, ""))))</f>
        <v/>
      </c>
      <c r="CO45" s="356"/>
      <c r="CP45" s="385"/>
      <c r="CQ45" s="385"/>
      <c r="CR45" s="385"/>
      <c r="CS45" s="385"/>
      <c r="CT45" s="385"/>
      <c r="CU45" s="385"/>
      <c r="CV45" s="351"/>
      <c r="CW45" s="351"/>
      <c r="CX45" s="351"/>
      <c r="CY45" s="353"/>
      <c r="DB45" s="356"/>
      <c r="DC45" s="351"/>
      <c r="DD45" s="351"/>
      <c r="DE45" s="351"/>
      <c r="DF45" s="351"/>
      <c r="DG45" s="351"/>
      <c r="DH45" s="351"/>
      <c r="DI45" s="351"/>
      <c r="DJ45" s="351"/>
      <c r="DK45" s="351"/>
      <c r="DL45" s="353"/>
      <c r="DO45" s="356"/>
      <c r="DP45" s="351"/>
      <c r="DQ45" s="351"/>
      <c r="DR45" s="351"/>
      <c r="DS45" s="351"/>
      <c r="DT45" s="351"/>
      <c r="DU45" s="351"/>
      <c r="DV45" s="351"/>
      <c r="DW45" s="351"/>
      <c r="DX45" s="351"/>
      <c r="DY45" s="353"/>
      <c r="EB45" s="356"/>
      <c r="EC45" s="351"/>
      <c r="ED45" s="351"/>
      <c r="EE45" s="351"/>
      <c r="EF45" s="351"/>
      <c r="EG45" s="351"/>
      <c r="EH45" s="351"/>
      <c r="EI45" s="351"/>
      <c r="EJ45" s="351"/>
      <c r="EK45" s="351"/>
      <c r="EL45" s="353"/>
    </row>
    <row r="46" spans="2:142" s="355" customFormat="1" ht="14.25" customHeight="1" x14ac:dyDescent="0.2">
      <c r="C46" s="356"/>
      <c r="D46" s="358"/>
      <c r="E46" s="381"/>
      <c r="H46" s="381"/>
      <c r="K46" s="381"/>
      <c r="M46" s="358"/>
      <c r="N46" s="379"/>
      <c r="Q46" s="356"/>
      <c r="AB46" s="356"/>
      <c r="AC46" s="358"/>
      <c r="AD46" s="381"/>
      <c r="AG46" s="381"/>
      <c r="AJ46" s="381"/>
      <c r="AL46" s="358"/>
      <c r="AO46" s="356"/>
      <c r="AP46" s="358"/>
      <c r="AQ46" s="381"/>
      <c r="AT46" s="381"/>
      <c r="AW46" s="381"/>
      <c r="AY46" s="358"/>
      <c r="BB46" s="356"/>
      <c r="BC46" s="358"/>
      <c r="BD46" s="381"/>
      <c r="BG46" s="381"/>
      <c r="BJ46" s="381"/>
      <c r="BL46" s="358"/>
      <c r="BO46" s="356"/>
      <c r="BP46" s="358"/>
      <c r="BQ46" s="381"/>
      <c r="BR46" s="383"/>
      <c r="BT46" s="381"/>
      <c r="BU46" s="383"/>
      <c r="BW46" s="381"/>
      <c r="BY46" s="358"/>
      <c r="CB46" s="356"/>
      <c r="CC46" s="358"/>
      <c r="CD46" s="382"/>
      <c r="CF46" s="358"/>
      <c r="CG46" s="382"/>
      <c r="CI46" s="358"/>
      <c r="CJ46" s="382"/>
      <c r="CL46" s="358"/>
      <c r="CO46" s="356"/>
      <c r="CP46" s="351"/>
      <c r="CQ46" s="351"/>
      <c r="CR46" s="351"/>
      <c r="CS46" s="351"/>
      <c r="CT46" s="351"/>
      <c r="CU46" s="351"/>
      <c r="CV46" s="351"/>
      <c r="CW46" s="351"/>
      <c r="CX46" s="351"/>
      <c r="CY46" s="353"/>
      <c r="DB46" s="356"/>
      <c r="DC46" s="351"/>
      <c r="DD46" s="351"/>
      <c r="DE46" s="351"/>
      <c r="DF46" s="351"/>
      <c r="DG46" s="351"/>
      <c r="DH46" s="351"/>
      <c r="DI46" s="351"/>
      <c r="DJ46" s="351"/>
      <c r="DK46" s="351"/>
      <c r="DL46" s="353"/>
      <c r="DO46" s="356"/>
      <c r="DP46" s="351"/>
      <c r="DQ46" s="351"/>
      <c r="DR46" s="351"/>
      <c r="DS46" s="351"/>
      <c r="DT46" s="351"/>
      <c r="DU46" s="351"/>
      <c r="DV46" s="351"/>
      <c r="DW46" s="351"/>
      <c r="DX46" s="351"/>
      <c r="DY46" s="353"/>
      <c r="EB46" s="356"/>
      <c r="EC46" s="351"/>
      <c r="ED46" s="351"/>
      <c r="EE46" s="351"/>
      <c r="EF46" s="351"/>
      <c r="EG46" s="351"/>
      <c r="EH46" s="351"/>
      <c r="EI46" s="351"/>
      <c r="EJ46" s="351"/>
      <c r="EK46" s="351"/>
      <c r="EL46" s="353"/>
    </row>
    <row r="47" spans="2:142" s="355" customFormat="1" ht="14.25" customHeight="1" x14ac:dyDescent="0.2">
      <c r="B47" s="355">
        <v>24</v>
      </c>
      <c r="C47" s="356">
        <v>14</v>
      </c>
      <c r="D47" s="369" t="str">
        <f ca="1">INDIRECT("'Imp. Qualif.'!L"&amp;INDIRECT("B"&amp;ROW()))</f>
        <v/>
      </c>
      <c r="E47" s="370"/>
      <c r="G47" s="369" t="str">
        <f>IF(E50="","",IF(E50=E53, IF(E51 &gt; E54, D50, D53),IF(E50&gt;E53,D50,D53)))</f>
        <v/>
      </c>
      <c r="H47" s="370"/>
      <c r="J47" s="369" t="str">
        <f>IF(H50="","",IF(H50=H53, IF(H51 &gt; H54, G50, G53),IF(H50&gt;H53,G50,G53)))</f>
        <v/>
      </c>
      <c r="K47" s="370"/>
      <c r="M47" s="369" t="str">
        <f>IF(K44="","",IF(K44=K47, IF(K48 &lt; K45, J47, J44),IF(K47 &lt; K44,J47,J44)))</f>
        <v/>
      </c>
      <c r="N47" s="379">
        <v>14</v>
      </c>
      <c r="P47" s="355">
        <v>24</v>
      </c>
      <c r="Q47" s="356">
        <v>14</v>
      </c>
      <c r="AA47" s="355">
        <v>24</v>
      </c>
      <c r="AB47" s="356">
        <v>14</v>
      </c>
      <c r="AC47" s="369" t="str">
        <f ca="1">INDIRECT("'Imp. Qualif.'!L"&amp;INDIRECT("B"&amp;ROW()))</f>
        <v/>
      </c>
      <c r="AD47" s="370"/>
      <c r="AF47" s="369" t="str">
        <f>IF(AD50="","",IF(AD50=AD53, IF(AD51 &gt; AD54, AC50, AC53),IF(AD50&gt;AD53,AC50,AC53)))</f>
        <v/>
      </c>
      <c r="AG47" s="370"/>
      <c r="AI47" s="369" t="str">
        <f>IF(AG50="","",IF(AG50=AG53, IF(AG51 &gt; AG54, AF50, AF53),IF(AG50&gt;AG53,AF50,AF53)))</f>
        <v/>
      </c>
      <c r="AJ47" s="370"/>
      <c r="AL47" s="369" t="str">
        <f>IF(AJ44="","",IF(AJ44=AJ47, IF(AJ48 &lt; AJ45, AI47, AI44),IF(AJ47 &lt; AJ44,AI47,AI44)))</f>
        <v/>
      </c>
      <c r="AN47" s="355">
        <v>24</v>
      </c>
      <c r="AO47" s="356">
        <v>14</v>
      </c>
      <c r="AP47" s="369" t="str">
        <f ca="1">INDIRECT("'Imp. Qualif.'!L"&amp;INDIRECT("B"&amp;ROW()))</f>
        <v/>
      </c>
      <c r="AQ47" s="370"/>
      <c r="AS47" s="369" t="str">
        <f>IF(AQ50="","",IF(AQ50=AQ53, IF(AQ51 &gt; AQ54, AP50, AP53),IF(AQ50&gt;AQ53,AP50,AP53)))</f>
        <v/>
      </c>
      <c r="AT47" s="370"/>
      <c r="AV47" s="369" t="str">
        <f>IF(AT50="","",IF(AT50=AT53, IF(AT51 &gt; AT54, AS50, AS53),IF(AT50&gt;AT53,AS50,AS53)))</f>
        <v/>
      </c>
      <c r="AW47" s="370"/>
      <c r="AY47" s="369" t="str">
        <f>IF(AW44="","",IF(AW44=AW47, IF(AW48 &lt; AW45, AV47, AV44),IF(AW47 &lt; AW44,AV47,AV44)))</f>
        <v/>
      </c>
      <c r="BA47" s="355">
        <v>24</v>
      </c>
      <c r="BB47" s="356">
        <v>14</v>
      </c>
      <c r="BC47" s="369" t="str">
        <f ca="1">INDIRECT("'Imp. Qualif.'!L"&amp;INDIRECT("B"&amp;ROW()))</f>
        <v/>
      </c>
      <c r="BD47" s="370"/>
      <c r="BF47" s="369" t="str">
        <f>IF(BD50="","",IF(BE50=1,BC50, IF(BE53 = 1, BC53, IF(BE56=1, BC56, ""))))</f>
        <v/>
      </c>
      <c r="BG47" s="370"/>
      <c r="BI47" s="369" t="str">
        <f>IF(BG50="","",IF(BH50=3,BF50, IF(BH53 = 3, BF53, IF(BH56=3, BF56, ""))))</f>
        <v/>
      </c>
      <c r="BJ47" s="370"/>
      <c r="BL47" s="369" t="str">
        <f>IF(BJ44="","",IF(BJ44=BJ47, IF(BJ48 &lt; BJ45, BI47, BI44),IF(BJ47 &lt; BJ44,BI47,BI44)))</f>
        <v/>
      </c>
      <c r="BN47" s="355">
        <v>24</v>
      </c>
      <c r="BO47" s="356">
        <v>14</v>
      </c>
      <c r="BP47" s="369" t="str">
        <f ca="1">INDIRECT("'Imp. Qualif.'!L"&amp;INDIRECT("B"&amp;ROW()))</f>
        <v/>
      </c>
      <c r="BQ47" s="370"/>
      <c r="BR47" s="388" t="str">
        <f>IF(BQ47&gt;0,RANK(BQ47,(BQ44,BQ47,BQ50),0),"")</f>
        <v/>
      </c>
      <c r="BS47" s="369" t="str">
        <f>IF(BQ47="","",IF(BR44=2,BP44, IF(BR47 = 2, BP47, IF(BR50=2, BP50, ""))))</f>
        <v/>
      </c>
      <c r="BT47" s="370"/>
      <c r="BU47" s="388" t="str">
        <f>IF(BT47&gt;0,RANK(BT47,(BT44,BT47,BT50),0),"")</f>
        <v/>
      </c>
      <c r="BV47" s="369" t="str">
        <f>IF(BT47="","",IF(BU44=2,BS44, IF(BU47 = 2, BS47, IF(BU50=2, BS50, ""))))</f>
        <v/>
      </c>
      <c r="BW47" s="370"/>
      <c r="BX47" s="388" t="str">
        <f>IF(BW47&gt;0,RANK(BW47,(BW44,BW47,BW50),0),"")</f>
        <v/>
      </c>
      <c r="BY47" s="369" t="str">
        <f>IF(BW47="","",IF(BX44=2,BV44, IF(BX47 = 2, BV47, IF(BX50=2, BV50, ""))))</f>
        <v/>
      </c>
      <c r="CA47" s="355">
        <v>24</v>
      </c>
      <c r="CB47" s="356">
        <v>14</v>
      </c>
      <c r="CC47" s="358"/>
      <c r="CD47" s="382"/>
      <c r="CF47" s="358"/>
      <c r="CG47" s="382"/>
      <c r="CI47" s="358"/>
      <c r="CJ47" s="382"/>
      <c r="CL47" s="358"/>
      <c r="CN47" s="355">
        <v>24</v>
      </c>
      <c r="CO47" s="356">
        <v>14</v>
      </c>
      <c r="CP47" s="351"/>
      <c r="CQ47" s="351"/>
      <c r="CR47" s="351"/>
      <c r="CS47" s="351"/>
      <c r="CT47" s="351"/>
      <c r="CU47" s="351"/>
      <c r="CV47" s="351"/>
      <c r="CW47" s="351"/>
      <c r="CX47" s="351"/>
      <c r="CY47" s="353"/>
      <c r="DA47" s="355">
        <v>24</v>
      </c>
      <c r="DB47" s="356">
        <v>14</v>
      </c>
      <c r="DC47" s="351"/>
      <c r="DD47" s="351"/>
      <c r="DE47" s="351"/>
      <c r="DF47" s="351"/>
      <c r="DG47" s="351"/>
      <c r="DH47" s="351"/>
      <c r="DI47" s="351"/>
      <c r="DJ47" s="351"/>
      <c r="DK47" s="351"/>
      <c r="DL47" s="353"/>
      <c r="DN47" s="355">
        <v>24</v>
      </c>
      <c r="DO47" s="356">
        <v>14</v>
      </c>
      <c r="DP47" s="351"/>
      <c r="DQ47" s="351"/>
      <c r="DR47" s="351"/>
      <c r="DS47" s="351"/>
      <c r="DT47" s="351"/>
      <c r="DU47" s="351"/>
      <c r="DV47" s="351"/>
      <c r="DW47" s="351"/>
      <c r="DX47" s="351"/>
      <c r="DY47" s="353"/>
      <c r="EA47" s="355">
        <v>24</v>
      </c>
      <c r="EB47" s="356">
        <v>14</v>
      </c>
      <c r="EC47" s="351"/>
      <c r="ED47" s="351"/>
      <c r="EE47" s="351"/>
      <c r="EF47" s="351"/>
      <c r="EG47" s="351"/>
      <c r="EH47" s="351"/>
      <c r="EI47" s="351"/>
      <c r="EJ47" s="351"/>
      <c r="EK47" s="351"/>
      <c r="EL47" s="353"/>
    </row>
    <row r="48" spans="2:142" s="355" customFormat="1" ht="14.25" customHeight="1" thickBot="1" x14ac:dyDescent="0.25">
      <c r="C48" s="356"/>
      <c r="D48" s="372" t="str">
        <f ca="1">INDIRECT("'Imp. Qualif.'!M"&amp;INDIRECT("B"&amp;ROW()-1))</f>
        <v/>
      </c>
      <c r="E48" s="373"/>
      <c r="G48" s="380" t="str">
        <f>IF(E50="","",IF(E50=E53, IF(E51 &gt; E54, D51, D54),IF(E50&gt;E53,D51,D54)))</f>
        <v/>
      </c>
      <c r="H48" s="373"/>
      <c r="J48" s="380" t="str">
        <f>IF(H50="","",IF(H50=H53, IF(H51 &gt; H54, G51, G54),IF(H50&gt;H53,G51,G54)))</f>
        <v/>
      </c>
      <c r="K48" s="373"/>
      <c r="M48" s="372" t="str">
        <f>IF(K44="","",IF(K44=K47, IF(K48 &lt; K45, J48, J45),IF(K47 &lt; K44,J48,J45)))</f>
        <v/>
      </c>
      <c r="N48" s="379"/>
      <c r="Q48" s="356"/>
      <c r="AB48" s="356"/>
      <c r="AC48" s="372" t="str">
        <f ca="1">INDIRECT("'Imp. Qualif.'!M"&amp;INDIRECT("B"&amp;ROW()-1))</f>
        <v/>
      </c>
      <c r="AD48" s="373"/>
      <c r="AF48" s="380" t="str">
        <f>IF(AD50="","",IF(AD50=AD53, IF(AD51 &gt; AD54, AC51, AC54),IF(AD50&gt;AD53,AC51,AC54)))</f>
        <v/>
      </c>
      <c r="AG48" s="373"/>
      <c r="AI48" s="380" t="str">
        <f>IF(AG50="","",IF(AG50=AG53, IF(AG51 &gt; AG54, AF51, AF54),IF(AG50&gt;AG53,AF51,AF54)))</f>
        <v/>
      </c>
      <c r="AJ48" s="373"/>
      <c r="AL48" s="372" t="str">
        <f>IF(AJ44="","",IF(AJ44=AJ47, IF(AJ48 &lt; AJ45, AI48, AI45),IF(AJ47 &lt; AJ44,AI48,AI45)))</f>
        <v/>
      </c>
      <c r="AO48" s="356"/>
      <c r="AP48" s="372" t="str">
        <f ca="1">INDIRECT("'Imp. Qualif.'!M"&amp;INDIRECT("B"&amp;ROW()-1))</f>
        <v/>
      </c>
      <c r="AQ48" s="373"/>
      <c r="AS48" s="380" t="str">
        <f>IF(AQ50="","",IF(AQ50=AQ53, IF(AQ51 &gt; AQ54, AP51, AP54),IF(AQ50&gt;AQ53,AP51,AP54)))</f>
        <v/>
      </c>
      <c r="AT48" s="373"/>
      <c r="AV48" s="380" t="str">
        <f>IF(AT50="","",IF(AT50=AT53, IF(AT51 &gt; AT54, AS51, AS54),IF(AT50&gt;AT53,AS51,AS54)))</f>
        <v/>
      </c>
      <c r="AW48" s="373"/>
      <c r="AY48" s="372" t="str">
        <f>IF(AW44="","",IF(AW44=AW47, IF(AW48 &lt; AW45, AV48, AV45),IF(AW47 &lt; AW44,AV48,AV45)))</f>
        <v/>
      </c>
      <c r="BB48" s="356"/>
      <c r="BC48" s="372" t="str">
        <f ca="1">INDIRECT("'Imp. Qualif.'!M"&amp;INDIRECT("B"&amp;ROW()-1))</f>
        <v/>
      </c>
      <c r="BD48" s="373"/>
      <c r="BF48" s="372" t="str">
        <f>IF(BD50="","",IF(BE50=1,BC51, IF(BE53 = 1, BC54, IF(BE56=1, BC57, ""))))</f>
        <v/>
      </c>
      <c r="BG48" s="373"/>
      <c r="BI48" s="372" t="str">
        <f>IF(BG50="","",IF(BH50=3,BF51, IF(BH53 = 3, BF54, IF(BH56=3, BF57, ""))))</f>
        <v/>
      </c>
      <c r="BJ48" s="373"/>
      <c r="BL48" s="372" t="str">
        <f>IF(BJ44="","",IF(BJ44=BJ47, IF(BJ48 &lt; BJ45, BI48, BI45),IF(BJ47 &lt; BJ44,BI48,BI45)))</f>
        <v/>
      </c>
      <c r="BO48" s="356"/>
      <c r="BP48" s="372" t="str">
        <f ca="1">INDIRECT("'Imp. Qualif.'!M"&amp;INDIRECT("B"&amp;ROW()-1))</f>
        <v/>
      </c>
      <c r="BQ48" s="373"/>
      <c r="BS48" s="372" t="str">
        <f>IF(BQ47="","",IF(BR44=2,BP45, IF(BR47 = 2, BP48, IF(BR50=2, BP51, ""))))</f>
        <v/>
      </c>
      <c r="BT48" s="373"/>
      <c r="BV48" s="372" t="str">
        <f>IF(BT47="","",IF(BU44=2,BS45, IF(BU47 = 2, BS48, IF(BU50=2, BS51, ""))))</f>
        <v/>
      </c>
      <c r="BW48" s="373"/>
      <c r="BY48" s="372" t="str">
        <f>IF(BW47="","",IF(BX44=2,BV45, IF(BX47 = 2, BV48, IF(BX50=2, BV51, ""))))</f>
        <v/>
      </c>
      <c r="CB48" s="356"/>
      <c r="CC48" s="358"/>
      <c r="CD48" s="384"/>
      <c r="CF48" s="358"/>
      <c r="CG48" s="382"/>
      <c r="CI48" s="358"/>
      <c r="CJ48" s="382"/>
      <c r="CL48" s="358"/>
      <c r="CO48" s="356"/>
      <c r="CP48" s="351"/>
      <c r="CQ48" s="351"/>
      <c r="CR48" s="351"/>
      <c r="CS48" s="351"/>
      <c r="CT48" s="351"/>
      <c r="CU48" s="351"/>
      <c r="CV48" s="351"/>
      <c r="CW48" s="351"/>
      <c r="CX48" s="351"/>
      <c r="CY48" s="353"/>
      <c r="DB48" s="356"/>
      <c r="DC48" s="351"/>
      <c r="DD48" s="351"/>
      <c r="DE48" s="351"/>
      <c r="DF48" s="351"/>
      <c r="DG48" s="351"/>
      <c r="DH48" s="351"/>
      <c r="DI48" s="351"/>
      <c r="DJ48" s="351"/>
      <c r="DK48" s="351"/>
      <c r="DL48" s="353"/>
      <c r="DO48" s="356"/>
      <c r="DP48" s="351"/>
      <c r="DQ48" s="351"/>
      <c r="DR48" s="351"/>
      <c r="DS48" s="351"/>
      <c r="DT48" s="351"/>
      <c r="DU48" s="351"/>
      <c r="DV48" s="351"/>
      <c r="DW48" s="351"/>
      <c r="DX48" s="351"/>
      <c r="DY48" s="353"/>
      <c r="EB48" s="356"/>
      <c r="EC48" s="351"/>
      <c r="ED48" s="351"/>
      <c r="EE48" s="351"/>
      <c r="EF48" s="351"/>
      <c r="EG48" s="351"/>
      <c r="EH48" s="351"/>
      <c r="EI48" s="351"/>
      <c r="EJ48" s="351"/>
      <c r="EK48" s="351"/>
      <c r="EL48" s="353"/>
    </row>
    <row r="49" spans="2:142" s="355" customFormat="1" ht="14.25" customHeight="1" x14ac:dyDescent="0.2">
      <c r="C49" s="356"/>
      <c r="D49" s="358"/>
      <c r="E49" s="382"/>
      <c r="G49" s="358"/>
      <c r="H49" s="382"/>
      <c r="J49" s="358"/>
      <c r="K49" s="382"/>
      <c r="M49" s="358"/>
      <c r="N49" s="379"/>
      <c r="Q49" s="356"/>
      <c r="AB49" s="356"/>
      <c r="AC49" s="358"/>
      <c r="AD49" s="382"/>
      <c r="AF49" s="358"/>
      <c r="AG49" s="382"/>
      <c r="AI49" s="358"/>
      <c r="AJ49" s="382"/>
      <c r="AL49" s="358"/>
      <c r="AO49" s="356"/>
      <c r="AP49" s="358"/>
      <c r="AQ49" s="382"/>
      <c r="AS49" s="358"/>
      <c r="AT49" s="382"/>
      <c r="AV49" s="358"/>
      <c r="AW49" s="382"/>
      <c r="AY49" s="358"/>
      <c r="BB49" s="356"/>
      <c r="BC49" s="358"/>
      <c r="BD49" s="381"/>
      <c r="BG49" s="381"/>
      <c r="BJ49" s="381"/>
      <c r="BL49" s="358"/>
      <c r="BO49" s="356"/>
      <c r="BP49" s="358"/>
      <c r="BQ49" s="382"/>
      <c r="BS49" s="358"/>
      <c r="BT49" s="382"/>
      <c r="BV49" s="358"/>
      <c r="BW49" s="382"/>
      <c r="BY49" s="358"/>
      <c r="CB49" s="356"/>
      <c r="CC49" s="385" t="s">
        <v>386</v>
      </c>
      <c r="CD49" s="386"/>
      <c r="CE49" s="385" t="s">
        <v>387</v>
      </c>
      <c r="CF49" s="385"/>
      <c r="CG49" s="385"/>
      <c r="CH49" s="385"/>
      <c r="CI49" s="351"/>
      <c r="CJ49" s="351"/>
      <c r="CK49" s="351"/>
      <c r="CL49" s="353"/>
      <c r="CO49" s="356"/>
      <c r="CP49" s="351"/>
      <c r="CQ49" s="351"/>
      <c r="CR49" s="351"/>
      <c r="CS49" s="351"/>
      <c r="CT49" s="351"/>
      <c r="CU49" s="351"/>
      <c r="CV49" s="351"/>
      <c r="CW49" s="351"/>
      <c r="CX49" s="351"/>
      <c r="CY49" s="353"/>
      <c r="DB49" s="356"/>
      <c r="DC49" s="351"/>
      <c r="DD49" s="351"/>
      <c r="DE49" s="351"/>
      <c r="DF49" s="351"/>
      <c r="DG49" s="351"/>
      <c r="DH49" s="351"/>
      <c r="DI49" s="351"/>
      <c r="DJ49" s="351"/>
      <c r="DK49" s="351"/>
      <c r="DL49" s="353"/>
      <c r="DO49" s="356"/>
      <c r="DP49" s="351"/>
      <c r="DQ49" s="351"/>
      <c r="DR49" s="351"/>
      <c r="DS49" s="351"/>
      <c r="DT49" s="351"/>
      <c r="DU49" s="351"/>
      <c r="DV49" s="351"/>
      <c r="DW49" s="351"/>
      <c r="DX49" s="351"/>
      <c r="DY49" s="353"/>
      <c r="EB49" s="356"/>
      <c r="EC49" s="351"/>
      <c r="ED49" s="351"/>
      <c r="EE49" s="351"/>
      <c r="EF49" s="351"/>
      <c r="EG49" s="351"/>
      <c r="EH49" s="351"/>
      <c r="EI49" s="351"/>
      <c r="EJ49" s="351"/>
      <c r="EK49" s="351"/>
      <c r="EL49" s="353"/>
    </row>
    <row r="50" spans="2:142" s="355" customFormat="1" ht="14.25" customHeight="1" thickBot="1" x14ac:dyDescent="0.25">
      <c r="B50" s="355">
        <v>25</v>
      </c>
      <c r="C50" s="356">
        <v>15</v>
      </c>
      <c r="D50" s="369" t="str">
        <f ca="1">INDIRECT("'Imp. Qualif.'!L"&amp;INDIRECT("B"&amp;ROW()))</f>
        <v/>
      </c>
      <c r="E50" s="370"/>
      <c r="G50" s="369" t="str">
        <f>IF(E44="","",IF(E44=E47, IF(E45 &lt; E48, D44, D47),IF(E44 &lt; E47,D44,D47)))</f>
        <v/>
      </c>
      <c r="H50" s="370"/>
      <c r="J50" s="369" t="str">
        <f>IF(H44="","",IF(H44=H47, IF(H45 &lt; H48, G44, G47),IF(H44 &lt; H47,G44,G47)))</f>
        <v/>
      </c>
      <c r="K50" s="370"/>
      <c r="M50" s="369" t="str">
        <f>IF(K50="","",IF(K50=K53, IF(K51 &gt; K54, J50, J53),IF(K50&gt;K53,J50,J53)))</f>
        <v/>
      </c>
      <c r="N50" s="379">
        <v>15</v>
      </c>
      <c r="P50" s="355">
        <v>25</v>
      </c>
      <c r="Q50" s="356">
        <v>15</v>
      </c>
      <c r="AA50" s="355">
        <v>25</v>
      </c>
      <c r="AB50" s="356">
        <v>15</v>
      </c>
      <c r="AC50" s="369" t="str">
        <f ca="1">INDIRECT("'Imp. Qualif.'!L"&amp;INDIRECT("B"&amp;ROW()))</f>
        <v/>
      </c>
      <c r="AD50" s="370"/>
      <c r="AF50" s="369" t="str">
        <f>IF(AD44="","",IF(AD44=AD47, IF(AD45 &lt; AD48, AC44, AC47),IF(AD44 &lt; AD47,AC44,AC47)))</f>
        <v/>
      </c>
      <c r="AG50" s="370"/>
      <c r="AI50" s="369" t="str">
        <f>IF(AG44="","",IF(AG44=AG47, IF(AG45 &lt; AG48, AF44, AF47),IF(AG44 &lt; AG47,AF44,AF47)))</f>
        <v/>
      </c>
      <c r="AJ50" s="370"/>
      <c r="AL50" s="369" t="str">
        <f>IF(AJ50="","",IF(AJ50=AJ53, IF(AJ51 &gt; AJ54, AI50, AI53),IF(AJ50&gt;AJ53,AI50,AI53)))</f>
        <v/>
      </c>
      <c r="AN50" s="355">
        <v>25</v>
      </c>
      <c r="AO50" s="356">
        <v>15</v>
      </c>
      <c r="AP50" s="369" t="str">
        <f ca="1">INDIRECT("'Imp. Qualif.'!L"&amp;INDIRECT("B"&amp;ROW()))</f>
        <v/>
      </c>
      <c r="AQ50" s="370"/>
      <c r="AS50" s="369" t="str">
        <f>IF(AQ44="","",IF(AQ44=AQ47, IF(AQ45 &lt; AQ48, AP44, AP47),IF(AQ44 &lt; AQ47,AP44,AP47)))</f>
        <v/>
      </c>
      <c r="AT50" s="370"/>
      <c r="AV50" s="369" t="str">
        <f>IF(AT44="","",IF(AT44=AT47, IF(AT45 &lt; AT48, AS44, AS47),IF(AT44 &lt; AT47,AS44,AS47)))</f>
        <v/>
      </c>
      <c r="AW50" s="370"/>
      <c r="AY50" s="369" t="str">
        <f>IF(AW50="","",IF(AW50=AW53, IF(AW51 &gt; AW54, AV50, AV53),IF(AW50&gt;AW53,AV50,AV53)))</f>
        <v/>
      </c>
      <c r="BA50" s="355">
        <v>25</v>
      </c>
      <c r="BB50" s="356">
        <v>15</v>
      </c>
      <c r="BC50" s="369" t="str">
        <f ca="1">INDIRECT("'Imp. Qualif.'!L"&amp;INDIRECT("B"&amp;ROW()))</f>
        <v/>
      </c>
      <c r="BD50" s="370"/>
      <c r="BE50" s="388" t="str">
        <f>IF(BD50&gt;0,RANK(BD50,(BD50,BD53,BD56),0),"")</f>
        <v/>
      </c>
      <c r="BF50" s="369" t="str">
        <f>IF(BD44="","",IF(BD44=BD47, IF(BD45 &lt; BD48, BC44, BC47),IF(BD44 &lt; BD47,BC44,BC47)))</f>
        <v/>
      </c>
      <c r="BG50" s="370"/>
      <c r="BH50" s="388" t="str">
        <f>IF(BG50&gt;0,RANK(BG50,(BG50,BG53,BG56),0),"")</f>
        <v/>
      </c>
      <c r="BI50" s="369" t="str">
        <f>IF(BG44="","",IF(BG44=BG47, IF(BG45 &lt; BG48, BF44, BF47),IF(BG44 &lt; BG47,BF44,BF47)))</f>
        <v/>
      </c>
      <c r="BJ50" s="370"/>
      <c r="BK50" s="388" t="str">
        <f>IF(BJ50&gt;0,RANK(BJ50,(BJ50,BJ53,BJ56),0),"")</f>
        <v/>
      </c>
      <c r="BL50" s="369" t="str">
        <f>IF(BJ50="","",IF(BK50=1,BI50, IF(BK53 = 1, BI53, IF(BK56=1, BI56, ""))))</f>
        <v/>
      </c>
      <c r="BN50" s="355">
        <v>25</v>
      </c>
      <c r="BO50" s="356">
        <v>15</v>
      </c>
      <c r="BP50" s="369" t="str">
        <f ca="1">INDIRECT("'Imp. Qualif.'!L"&amp;INDIRECT("B"&amp;ROW()))</f>
        <v/>
      </c>
      <c r="BQ50" s="370"/>
      <c r="BR50" s="388" t="str">
        <f>IF(BQ50&gt;0,RANK(BQ50,(BQ44,BQ47,BQ50),0),"")</f>
        <v/>
      </c>
      <c r="BS50" s="369" t="str">
        <f>IF(BQ50="","",IF(BR44=3,BP44, IF(BR47 = 3, BP47, IF(BR50=3, BP50, ""))))</f>
        <v/>
      </c>
      <c r="BT50" s="370"/>
      <c r="BU50" s="388" t="str">
        <f>IF(BT50&gt;0,RANK(BT50,(BT44,BT47,BT50),0),"")</f>
        <v/>
      </c>
      <c r="BV50" s="369" t="str">
        <f>IF(BT50="","",IF(BU44=3,BS44, IF(BU47 = 3, BS47, IF(BU50=3, BS50, ""))))</f>
        <v/>
      </c>
      <c r="BW50" s="370"/>
      <c r="BX50" s="388" t="str">
        <f>IF(BW50&gt;0,RANK(BW50,(BW44,BW47,BW50),0),"")</f>
        <v/>
      </c>
      <c r="BY50" s="369" t="str">
        <f>IF(BW50="","",IF(BX44=3,BV44, IF(BX47 = 3, BV47, IF(BX50=3, BV50, ""))))</f>
        <v/>
      </c>
      <c r="CA50" s="355">
        <v>25</v>
      </c>
      <c r="CB50" s="356">
        <v>15</v>
      </c>
      <c r="CC50" s="385" t="s">
        <v>386</v>
      </c>
      <c r="CD50" s="387"/>
      <c r="CE50" s="385" t="s">
        <v>493</v>
      </c>
      <c r="CF50" s="385"/>
      <c r="CG50" s="385"/>
      <c r="CH50" s="385"/>
      <c r="CI50" s="351"/>
      <c r="CJ50" s="351"/>
      <c r="CK50" s="351"/>
      <c r="CL50" s="353"/>
      <c r="CN50" s="355">
        <v>25</v>
      </c>
      <c r="CO50" s="356">
        <v>15</v>
      </c>
      <c r="CP50" s="351"/>
      <c r="CQ50" s="351"/>
      <c r="CR50" s="351"/>
      <c r="CS50" s="351"/>
      <c r="CT50" s="351"/>
      <c r="CU50" s="351"/>
      <c r="CV50" s="351"/>
      <c r="CW50" s="351"/>
      <c r="CX50" s="351"/>
      <c r="CY50" s="353"/>
      <c r="DA50" s="355">
        <v>25</v>
      </c>
      <c r="DB50" s="356">
        <v>15</v>
      </c>
      <c r="DC50" s="351"/>
      <c r="DD50" s="351"/>
      <c r="DE50" s="351"/>
      <c r="DF50" s="351"/>
      <c r="DG50" s="351"/>
      <c r="DH50" s="351"/>
      <c r="DI50" s="351"/>
      <c r="DJ50" s="351"/>
      <c r="DK50" s="351"/>
      <c r="DL50" s="353"/>
      <c r="DN50" s="355">
        <v>25</v>
      </c>
      <c r="DO50" s="356">
        <v>15</v>
      </c>
      <c r="DP50" s="351"/>
      <c r="DQ50" s="351"/>
      <c r="DR50" s="351"/>
      <c r="DS50" s="351"/>
      <c r="DT50" s="351"/>
      <c r="DU50" s="351"/>
      <c r="DV50" s="351"/>
      <c r="DW50" s="351"/>
      <c r="DX50" s="351"/>
      <c r="DY50" s="353"/>
      <c r="EA50" s="355">
        <v>25</v>
      </c>
      <c r="EB50" s="356">
        <v>15</v>
      </c>
      <c r="EC50" s="351"/>
      <c r="ED50" s="351"/>
      <c r="EE50" s="351"/>
      <c r="EF50" s="351"/>
      <c r="EG50" s="351"/>
      <c r="EH50" s="351"/>
      <c r="EI50" s="351"/>
      <c r="EJ50" s="351"/>
      <c r="EK50" s="351"/>
      <c r="EL50" s="353"/>
    </row>
    <row r="51" spans="2:142" s="355" customFormat="1" ht="14.25" customHeight="1" thickBot="1" x14ac:dyDescent="0.25">
      <c r="C51" s="356"/>
      <c r="D51" s="372" t="str">
        <f ca="1">INDIRECT("'Imp. Qualif.'!M"&amp;INDIRECT("B"&amp;ROW()-1))</f>
        <v/>
      </c>
      <c r="E51" s="373"/>
      <c r="G51" s="372" t="str">
        <f>IF(E44="","",IF(E44=E47, IF(E45 &lt; E48, D45, D48),IF(E44 &lt; E47,D45,D48)))</f>
        <v/>
      </c>
      <c r="H51" s="373"/>
      <c r="J51" s="372" t="str">
        <f>IF(H44="","",IF(H44=H47, IF(H45 &lt; H48, G45, G48),IF(H44 &lt; H47,G45,G48)))</f>
        <v/>
      </c>
      <c r="K51" s="373"/>
      <c r="M51" s="372" t="str">
        <f>IF(K50="","",IF(K50=K53, IF(K51 &gt; K54, J51, J54),IF(K50&gt;K53,J51,J54)))</f>
        <v/>
      </c>
      <c r="N51" s="379"/>
      <c r="Q51" s="356"/>
      <c r="AB51" s="356"/>
      <c r="AC51" s="372" t="str">
        <f ca="1">INDIRECT("'Imp. Qualif.'!M"&amp;INDIRECT("B"&amp;ROW()-1))</f>
        <v/>
      </c>
      <c r="AD51" s="373"/>
      <c r="AF51" s="372" t="str">
        <f>IF(AD44="","",IF(AD44=AD47, IF(AD45 &lt; AD48, AC45, AC48),IF(AD44 &lt; AD47,AC45,AC48)))</f>
        <v/>
      </c>
      <c r="AG51" s="373"/>
      <c r="AI51" s="372" t="str">
        <f>IF(AG44="","",IF(AG44=AG47, IF(AG45 &lt; AG48, AF45, AF48),IF(AG44 &lt; AG47,AF45,AF48)))</f>
        <v/>
      </c>
      <c r="AJ51" s="373"/>
      <c r="AL51" s="372" t="str">
        <f>IF(AJ50="","",IF(AJ50=AJ53, IF(AJ51 &gt; AJ54, AI51, AI54),IF(AJ50&gt;AJ53,AI51,AI54)))</f>
        <v/>
      </c>
      <c r="AO51" s="356"/>
      <c r="AP51" s="372" t="str">
        <f ca="1">INDIRECT("'Imp. Qualif.'!M"&amp;INDIRECT("B"&amp;ROW()-1))</f>
        <v/>
      </c>
      <c r="AQ51" s="373"/>
      <c r="AS51" s="372" t="str">
        <f>IF(AQ44="","",IF(AQ44=AQ47, IF(AQ45 &lt; AQ48, AP45, AP48),IF(AQ44 &lt; AQ47,AP45,AP48)))</f>
        <v/>
      </c>
      <c r="AT51" s="373"/>
      <c r="AV51" s="372" t="str">
        <f>IF(AT44="","",IF(AT44=AT47, IF(AT45 &lt; AT48, AS45, AS48),IF(AT44 &lt; AT47,AS45,AS48)))</f>
        <v/>
      </c>
      <c r="AW51" s="373"/>
      <c r="AY51" s="372" t="str">
        <f>IF(AW50="","",IF(AW50=AW53, IF(AW51 &gt; AW54, AV51, AV54),IF(AW50&gt;AW53,AV51,AV54)))</f>
        <v/>
      </c>
      <c r="BB51" s="356"/>
      <c r="BC51" s="372" t="str">
        <f ca="1">INDIRECT("'Imp. Qualif.'!M"&amp;INDIRECT("B"&amp;ROW()-1))</f>
        <v/>
      </c>
      <c r="BD51" s="373"/>
      <c r="BE51" s="383"/>
      <c r="BF51" s="372" t="str">
        <f>IF(BD44="","",IF(BD44=BD47, IF(BD45 &lt; BD48, BC45, BC48),IF(BD44 &lt; BD47,BC45,BC48)))</f>
        <v/>
      </c>
      <c r="BG51" s="373"/>
      <c r="BH51" s="383"/>
      <c r="BI51" s="372" t="str">
        <f>IF(BG44="","",IF(BG44=BG47, IF(BG45 &lt; BG48, BF45, BF48),IF(BG44 &lt; BG47,BF45,BF48)))</f>
        <v/>
      </c>
      <c r="BJ51" s="373"/>
      <c r="BL51" s="372" t="str">
        <f>IF(BJ50="","",IF(BK50=1,BI51, IF(BK53 = 1, BI54, IF(BK56=1, BI57, ""))))</f>
        <v/>
      </c>
      <c r="BO51" s="356"/>
      <c r="BP51" s="372" t="str">
        <f ca="1">INDIRECT("'Imp. Qualif.'!M"&amp;INDIRECT("B"&amp;ROW()-1))</f>
        <v/>
      </c>
      <c r="BQ51" s="373"/>
      <c r="BS51" s="372" t="str">
        <f>IF(BQ50="","",IF(BR44=3,BP45, IF(BR47 = 3, BP48, IF(BR50=3, BP51, ""))))</f>
        <v/>
      </c>
      <c r="BT51" s="373"/>
      <c r="BV51" s="372" t="str">
        <f>IF(BT50="","",IF(BU44=3,BS45, IF(BU47 = 3, BS48, IF(BU50=3, BS51, ""))))</f>
        <v/>
      </c>
      <c r="BW51" s="373"/>
      <c r="BY51" s="372" t="str">
        <f>IF(BW50="","",IF(BX44=3,BV45, IF(BX47 = 3, BV48, IF(BX50=3, BV51, ""))))</f>
        <v/>
      </c>
      <c r="CB51" s="356"/>
      <c r="CC51" s="385"/>
      <c r="CD51" s="385"/>
      <c r="CE51" s="385"/>
      <c r="CF51" s="385"/>
      <c r="CG51" s="385"/>
      <c r="CH51" s="385"/>
      <c r="CI51" s="351"/>
      <c r="CJ51" s="351"/>
      <c r="CK51" s="351"/>
      <c r="CL51" s="353"/>
      <c r="CO51" s="356"/>
      <c r="CP51" s="351"/>
      <c r="CQ51" s="351"/>
      <c r="CR51" s="351"/>
      <c r="CS51" s="351"/>
      <c r="CT51" s="351"/>
      <c r="CU51" s="351"/>
      <c r="CV51" s="351"/>
      <c r="CW51" s="351"/>
      <c r="CX51" s="351"/>
      <c r="CY51" s="353"/>
      <c r="DB51" s="356"/>
      <c r="DC51" s="351"/>
      <c r="DD51" s="351"/>
      <c r="DE51" s="351"/>
      <c r="DF51" s="351"/>
      <c r="DG51" s="351"/>
      <c r="DH51" s="351"/>
      <c r="DI51" s="351"/>
      <c r="DJ51" s="351"/>
      <c r="DK51" s="351"/>
      <c r="DL51" s="353"/>
      <c r="DO51" s="356"/>
      <c r="DP51" s="351"/>
      <c r="DQ51" s="351"/>
      <c r="DR51" s="351"/>
      <c r="DS51" s="351"/>
      <c r="DT51" s="351"/>
      <c r="DU51" s="351"/>
      <c r="DV51" s="351"/>
      <c r="DW51" s="351"/>
      <c r="DX51" s="351"/>
      <c r="DY51" s="353"/>
      <c r="EB51" s="356"/>
      <c r="EC51" s="351"/>
      <c r="ED51" s="351"/>
      <c r="EE51" s="351"/>
      <c r="EF51" s="351"/>
      <c r="EG51" s="351"/>
      <c r="EH51" s="351"/>
      <c r="EI51" s="351"/>
      <c r="EJ51" s="351"/>
      <c r="EK51" s="351"/>
      <c r="EL51" s="353"/>
    </row>
    <row r="52" spans="2:142" s="355" customFormat="1" ht="14.25" customHeight="1" x14ac:dyDescent="0.2">
      <c r="C52" s="356"/>
      <c r="D52" s="358"/>
      <c r="E52" s="381"/>
      <c r="H52" s="381"/>
      <c r="K52" s="381"/>
      <c r="M52" s="358"/>
      <c r="N52" s="379"/>
      <c r="Q52" s="356"/>
      <c r="AB52" s="356"/>
      <c r="AC52" s="358"/>
      <c r="AD52" s="381"/>
      <c r="AG52" s="381"/>
      <c r="AJ52" s="381"/>
      <c r="AL52" s="358"/>
      <c r="AO52" s="356"/>
      <c r="AP52" s="358"/>
      <c r="AQ52" s="381"/>
      <c r="AT52" s="381"/>
      <c r="AW52" s="381"/>
      <c r="AY52" s="358"/>
      <c r="BB52" s="356"/>
      <c r="BC52" s="358"/>
      <c r="BD52" s="381"/>
      <c r="BE52" s="383"/>
      <c r="BG52" s="381"/>
      <c r="BH52" s="383"/>
      <c r="BJ52" s="381"/>
      <c r="BL52" s="358"/>
      <c r="BO52" s="356"/>
      <c r="BP52" s="358"/>
      <c r="BQ52" s="382"/>
      <c r="BS52" s="358"/>
      <c r="BT52" s="382"/>
      <c r="BV52" s="358"/>
      <c r="BW52" s="382"/>
      <c r="BY52" s="358"/>
      <c r="CB52" s="356"/>
      <c r="CC52" s="351"/>
      <c r="CD52" s="351"/>
      <c r="CE52" s="351"/>
      <c r="CF52" s="351"/>
      <c r="CG52" s="351"/>
      <c r="CH52" s="351"/>
      <c r="CI52" s="351"/>
      <c r="CJ52" s="351"/>
      <c r="CK52" s="351"/>
      <c r="CL52" s="353"/>
      <c r="CO52" s="356"/>
      <c r="CP52" s="351"/>
      <c r="CQ52" s="351"/>
      <c r="CR52" s="351"/>
      <c r="CS52" s="351"/>
      <c r="CT52" s="351"/>
      <c r="CU52" s="351"/>
      <c r="CV52" s="351"/>
      <c r="CW52" s="351"/>
      <c r="CX52" s="351"/>
      <c r="CY52" s="353"/>
      <c r="DB52" s="356"/>
      <c r="DC52" s="351"/>
      <c r="DD52" s="351"/>
      <c r="DE52" s="351"/>
      <c r="DF52" s="351"/>
      <c r="DG52" s="351"/>
      <c r="DH52" s="351"/>
      <c r="DI52" s="351"/>
      <c r="DJ52" s="351"/>
      <c r="DK52" s="351"/>
      <c r="DL52" s="353"/>
      <c r="DO52" s="356"/>
      <c r="DP52" s="351"/>
      <c r="DQ52" s="351"/>
      <c r="DR52" s="351"/>
      <c r="DS52" s="351"/>
      <c r="DT52" s="351"/>
      <c r="DU52" s="351"/>
      <c r="DV52" s="351"/>
      <c r="DW52" s="351"/>
      <c r="DX52" s="351"/>
      <c r="DY52" s="353"/>
      <c r="EB52" s="356"/>
      <c r="EC52" s="351"/>
      <c r="ED52" s="351"/>
      <c r="EE52" s="351"/>
      <c r="EF52" s="351"/>
      <c r="EG52" s="351"/>
      <c r="EH52" s="351"/>
      <c r="EI52" s="351"/>
      <c r="EJ52" s="351"/>
      <c r="EK52" s="351"/>
      <c r="EL52" s="353"/>
    </row>
    <row r="53" spans="2:142" s="355" customFormat="1" ht="14.25" customHeight="1" x14ac:dyDescent="0.2">
      <c r="B53" s="355">
        <v>26</v>
      </c>
      <c r="C53" s="356">
        <v>16</v>
      </c>
      <c r="D53" s="369" t="str">
        <f ca="1">INDIRECT("'Imp. Qualif.'!L"&amp;INDIRECT("B"&amp;ROW()))</f>
        <v/>
      </c>
      <c r="E53" s="370"/>
      <c r="G53" s="369" t="str">
        <f>IF(E56="","",IF(F56=1,D56, IF(F59 = 1, D59, IF(F62=1, D62, ""))))</f>
        <v/>
      </c>
      <c r="H53" s="370"/>
      <c r="J53" s="369" t="str">
        <f>IF(H56="","",IF(I56=3,G56, IF(I59 = 3, G59, IF(I62=3, G62, ""))))</f>
        <v/>
      </c>
      <c r="K53" s="370"/>
      <c r="M53" s="369" t="str">
        <f>IF(K50="","",IF(K50=K53, IF(K54 &lt; K51, J53, J50),IF(K53 &lt; K50,J53,J50)))</f>
        <v/>
      </c>
      <c r="N53" s="379">
        <v>16</v>
      </c>
      <c r="P53" s="355">
        <v>26</v>
      </c>
      <c r="Q53" s="356">
        <v>16</v>
      </c>
      <c r="AA53" s="355">
        <v>26</v>
      </c>
      <c r="AB53" s="356">
        <v>16</v>
      </c>
      <c r="AC53" s="369" t="str">
        <f ca="1">INDIRECT("'Imp. Qualif.'!L"&amp;INDIRECT("B"&amp;ROW()))</f>
        <v/>
      </c>
      <c r="AD53" s="370"/>
      <c r="AF53" s="369" t="str">
        <f>IF(AD56="","",IF(AD56=AD59, IF(AD57 &gt; AD60, AC56, AC59),IF(AD56&gt;AD59,AC56,AC59)))</f>
        <v/>
      </c>
      <c r="AG53" s="370"/>
      <c r="AI53" s="369" t="str">
        <f>IF(AG56="","",IF(AG56=AG59, IF(AG57 &gt; AG60, AF56, AF59),IF(AG56&gt;AG59,AF56,AF59)))</f>
        <v/>
      </c>
      <c r="AJ53" s="370"/>
      <c r="AL53" s="369" t="str">
        <f>IF(AJ50="","",IF(AJ50=AJ53, IF(AJ54 &lt; AJ51, AI53, AI50),IF(AJ53 &lt; AJ50,AI53,AI50)))</f>
        <v/>
      </c>
      <c r="AN53" s="355">
        <v>26</v>
      </c>
      <c r="AO53" s="356">
        <v>16</v>
      </c>
      <c r="AP53" s="369" t="str">
        <f ca="1">INDIRECT("'Imp. Qualif.'!L"&amp;INDIRECT("B"&amp;ROW()))</f>
        <v/>
      </c>
      <c r="AQ53" s="370"/>
      <c r="AS53" s="369" t="str">
        <f>IF(AQ56="","",IF(AR56=1,AP56, IF(AR59 = 1, AP59, IF(AR62=1, AP62, ""))))</f>
        <v/>
      </c>
      <c r="AT53" s="370"/>
      <c r="AV53" s="369" t="str">
        <f>IF(AT56="","",IF(AU56=3,AS56, IF(AU59 = 3, AS59, IF(AU62=3, AS62, ""))))</f>
        <v/>
      </c>
      <c r="AW53" s="370"/>
      <c r="AY53" s="369" t="str">
        <f>IF(AW50="","",IF(AW50=AW53, IF(AW54 &lt; AW51, AV53, AV50),IF(AW53 &lt; AW50,AV53,AV50)))</f>
        <v/>
      </c>
      <c r="BA53" s="355">
        <v>26</v>
      </c>
      <c r="BB53" s="356">
        <v>16</v>
      </c>
      <c r="BC53" s="369" t="str">
        <f ca="1">INDIRECT("'Imp. Qualif.'!L"&amp;INDIRECT("B"&amp;ROW()))</f>
        <v/>
      </c>
      <c r="BD53" s="370"/>
      <c r="BE53" s="388" t="str">
        <f>IF(BD53&gt;0,RANK(BD53,(BD50,BD53,BD56),0),"")</f>
        <v/>
      </c>
      <c r="BF53" s="369" t="str">
        <f>IF(BD53="","",IF(BE50=2,BC50, IF(BE53 = 2, BC53, IF(BE56=2, BC56, ""))))</f>
        <v/>
      </c>
      <c r="BG53" s="370"/>
      <c r="BH53" s="388" t="str">
        <f>IF(BG53&gt;0,RANK(BG53,(BG50,BG53,BG56),0),"")</f>
        <v/>
      </c>
      <c r="BI53" s="369" t="str">
        <f>IF(BG53="","",IF(BH50=2,BF50, IF(BH53 = 2, BF53, IF(BH56=2, BF56, ""))))</f>
        <v/>
      </c>
      <c r="BJ53" s="370"/>
      <c r="BK53" s="388" t="str">
        <f>IF(BJ53&gt;0,RANK(BJ53,(BJ50,BJ53,BJ56),0),"")</f>
        <v/>
      </c>
      <c r="BL53" s="369" t="str">
        <f>IF(BJ53="","",IF(BK50=2,BI50, IF(BK53 = 2, BI53, IF(BK56=2, BI56, ""))))</f>
        <v/>
      </c>
      <c r="BN53" s="355">
        <v>26</v>
      </c>
      <c r="BO53" s="356">
        <v>16</v>
      </c>
      <c r="BP53" s="358"/>
      <c r="BQ53" s="382"/>
      <c r="BS53" s="358"/>
      <c r="BT53" s="382"/>
      <c r="BV53" s="358"/>
      <c r="BW53" s="382"/>
      <c r="BY53" s="358"/>
      <c r="CA53" s="355">
        <v>26</v>
      </c>
      <c r="CB53" s="356">
        <v>16</v>
      </c>
      <c r="CC53" s="351"/>
      <c r="CD53" s="351"/>
      <c r="CE53" s="351"/>
      <c r="CF53" s="351"/>
      <c r="CG53" s="351"/>
      <c r="CH53" s="351"/>
      <c r="CI53" s="351"/>
      <c r="CJ53" s="351"/>
      <c r="CK53" s="351"/>
      <c r="CL53" s="353"/>
      <c r="CN53" s="355">
        <v>26</v>
      </c>
      <c r="CO53" s="356">
        <v>16</v>
      </c>
      <c r="CP53" s="351"/>
      <c r="CQ53" s="351"/>
      <c r="CR53" s="351"/>
      <c r="CS53" s="351"/>
      <c r="CT53" s="351"/>
      <c r="CU53" s="351"/>
      <c r="CV53" s="351"/>
      <c r="CW53" s="351"/>
      <c r="CX53" s="351"/>
      <c r="CY53" s="353"/>
      <c r="DA53" s="355">
        <v>26</v>
      </c>
      <c r="DB53" s="356">
        <v>16</v>
      </c>
      <c r="DC53" s="351"/>
      <c r="DD53" s="351"/>
      <c r="DE53" s="351"/>
      <c r="DF53" s="351"/>
      <c r="DG53" s="351"/>
      <c r="DH53" s="351"/>
      <c r="DI53" s="351"/>
      <c r="DJ53" s="351"/>
      <c r="DK53" s="351"/>
      <c r="DL53" s="353"/>
      <c r="DN53" s="355">
        <v>26</v>
      </c>
      <c r="DO53" s="356">
        <v>16</v>
      </c>
      <c r="DP53" s="351"/>
      <c r="DQ53" s="351"/>
      <c r="DR53" s="351"/>
      <c r="DS53" s="351"/>
      <c r="DT53" s="351"/>
      <c r="DU53" s="351"/>
      <c r="DV53" s="351"/>
      <c r="DW53" s="351"/>
      <c r="DX53" s="351"/>
      <c r="DY53" s="353"/>
      <c r="EA53" s="355">
        <v>26</v>
      </c>
      <c r="EB53" s="356">
        <v>16</v>
      </c>
      <c r="EC53" s="351"/>
      <c r="ED53" s="351"/>
      <c r="EE53" s="351"/>
      <c r="EF53" s="351"/>
      <c r="EG53" s="351"/>
      <c r="EH53" s="351"/>
      <c r="EI53" s="351"/>
      <c r="EJ53" s="351"/>
      <c r="EK53" s="351"/>
      <c r="EL53" s="353"/>
    </row>
    <row r="54" spans="2:142" s="355" customFormat="1" ht="14.25" customHeight="1" thickBot="1" x14ac:dyDescent="0.25">
      <c r="C54" s="356"/>
      <c r="D54" s="372" t="str">
        <f ca="1">INDIRECT("'Imp. Qualif.'!M"&amp;INDIRECT("B"&amp;ROW()-1))</f>
        <v/>
      </c>
      <c r="E54" s="373"/>
      <c r="G54" s="372" t="str">
        <f>IF(E56="","",IF(F56=1,D57, IF(F59 = 1, D60, IF(F62=1, D63, ""))))</f>
        <v/>
      </c>
      <c r="H54" s="373"/>
      <c r="J54" s="372" t="str">
        <f>IF(H56="","",IF(I56=3,G57, IF(I59 = 3, G60, IF(I62=3, G63, ""))))</f>
        <v/>
      </c>
      <c r="K54" s="373"/>
      <c r="M54" s="372" t="str">
        <f>IF(K50="","",IF(K50=K53, IF(K54 &lt; K51, J54, J51),IF(K53 &lt; K50,J54,J51)))</f>
        <v/>
      </c>
      <c r="N54" s="379"/>
      <c r="Q54" s="356"/>
      <c r="AB54" s="356"/>
      <c r="AC54" s="372" t="str">
        <f ca="1">INDIRECT("'Imp. Qualif.'!M"&amp;INDIRECT("B"&amp;ROW()-1))</f>
        <v/>
      </c>
      <c r="AD54" s="373"/>
      <c r="AF54" s="380" t="str">
        <f>IF(AD56="","",IF(AD56=AD59, IF(AD57 &gt; AD60, AC57, AC60),IF(AD56&gt;AD59,AC57,AC60)))</f>
        <v/>
      </c>
      <c r="AG54" s="373"/>
      <c r="AI54" s="380" t="str">
        <f>IF(AG56="","",IF(AG56=AG59, IF(AG57 &gt; AG60, AF57, AF60),IF(AG56&gt;AG59,AF57,AF60)))</f>
        <v/>
      </c>
      <c r="AJ54" s="373"/>
      <c r="AL54" s="372" t="str">
        <f>IF(AJ50="","",IF(AJ50=AJ53, IF(AJ54 &lt; AJ51, AI54, AI51),IF(AJ53 &lt; AJ50,AI54,AI51)))</f>
        <v/>
      </c>
      <c r="AO54" s="356"/>
      <c r="AP54" s="372" t="str">
        <f ca="1">INDIRECT("'Imp. Qualif.'!M"&amp;INDIRECT("B"&amp;ROW()-1))</f>
        <v/>
      </c>
      <c r="AQ54" s="373"/>
      <c r="AS54" s="372" t="str">
        <f>IF(AQ56="","",IF(AR56=1,AP57, IF(AR59 = 1, AP60, IF(AR62=1, AP63, ""))))</f>
        <v/>
      </c>
      <c r="AT54" s="373"/>
      <c r="AV54" s="372" t="str">
        <f>IF(AT56="","",IF(AU56=3,AS57, IF(AU59 = 3, AS60, IF(AU62=3, AS63, ""))))</f>
        <v/>
      </c>
      <c r="AW54" s="373"/>
      <c r="AY54" s="372" t="str">
        <f>IF(AW50="","",IF(AW50=AW53, IF(AW54 &lt; AW51, AV54, AV51),IF(AW53 &lt; AW50,AV54,AV51)))</f>
        <v/>
      </c>
      <c r="BB54" s="356"/>
      <c r="BC54" s="372" t="str">
        <f ca="1">INDIRECT("'Imp. Qualif.'!M"&amp;INDIRECT("B"&amp;ROW()-1))</f>
        <v/>
      </c>
      <c r="BD54" s="373"/>
      <c r="BF54" s="372" t="str">
        <f>IF(BD53="","",IF(BE50=2,BC51, IF(BE53 = 2, BC54, IF(BE56=2, BC57, ""))))</f>
        <v/>
      </c>
      <c r="BG54" s="373"/>
      <c r="BI54" s="372" t="str">
        <f>IF(BG53="","",IF(BH50=2,BF51, IF(BH53 = 2, BF54, IF(BH56=2, BF57, ""))))</f>
        <v/>
      </c>
      <c r="BJ54" s="373"/>
      <c r="BL54" s="372" t="str">
        <f>IF(BJ53="","",IF(BK50=2,BI51, IF(BK53 = 2, BI54, IF(BK56=2, BI57, ""))))</f>
        <v/>
      </c>
      <c r="BO54" s="356"/>
      <c r="BP54" s="358"/>
      <c r="BQ54" s="384"/>
      <c r="BS54" s="358"/>
      <c r="BT54" s="382"/>
      <c r="BV54" s="358"/>
      <c r="BW54" s="382"/>
      <c r="BY54" s="358"/>
      <c r="CB54" s="356"/>
      <c r="CC54" s="351"/>
      <c r="CD54" s="351"/>
      <c r="CE54" s="351"/>
      <c r="CF54" s="351"/>
      <c r="CG54" s="351"/>
      <c r="CH54" s="351"/>
      <c r="CI54" s="351"/>
      <c r="CJ54" s="351"/>
      <c r="CK54" s="351"/>
      <c r="CL54" s="353"/>
      <c r="CO54" s="356"/>
      <c r="CP54" s="351"/>
      <c r="CQ54" s="351"/>
      <c r="CR54" s="351"/>
      <c r="CS54" s="351"/>
      <c r="CT54" s="351"/>
      <c r="CU54" s="351"/>
      <c r="CV54" s="351"/>
      <c r="CW54" s="351"/>
      <c r="CX54" s="351"/>
      <c r="CY54" s="353"/>
      <c r="DB54" s="356"/>
      <c r="DC54" s="351"/>
      <c r="DD54" s="351"/>
      <c r="DE54" s="351"/>
      <c r="DF54" s="351"/>
      <c r="DG54" s="351"/>
      <c r="DH54" s="351"/>
      <c r="DI54" s="351"/>
      <c r="DJ54" s="351"/>
      <c r="DK54" s="351"/>
      <c r="DL54" s="353"/>
      <c r="DO54" s="356"/>
      <c r="DP54" s="351"/>
      <c r="DQ54" s="351"/>
      <c r="DR54" s="351"/>
      <c r="DS54" s="351"/>
      <c r="DT54" s="351"/>
      <c r="DU54" s="351"/>
      <c r="DV54" s="351"/>
      <c r="DW54" s="351"/>
      <c r="DX54" s="351"/>
      <c r="DY54" s="353"/>
      <c r="EB54" s="356"/>
      <c r="EC54" s="351"/>
      <c r="ED54" s="351"/>
      <c r="EE54" s="351"/>
      <c r="EF54" s="351"/>
      <c r="EG54" s="351"/>
      <c r="EH54" s="351"/>
      <c r="EI54" s="351"/>
      <c r="EJ54" s="351"/>
      <c r="EK54" s="351"/>
      <c r="EL54" s="353"/>
    </row>
    <row r="55" spans="2:142" s="355" customFormat="1" ht="14.25" customHeight="1" x14ac:dyDescent="0.2">
      <c r="C55" s="356"/>
      <c r="D55" s="358"/>
      <c r="E55" s="381"/>
      <c r="H55" s="381"/>
      <c r="K55" s="381"/>
      <c r="M55" s="358"/>
      <c r="N55" s="379"/>
      <c r="Q55" s="356"/>
      <c r="AB55" s="356"/>
      <c r="AC55" s="358"/>
      <c r="AD55" s="382"/>
      <c r="AF55" s="358"/>
      <c r="AG55" s="382"/>
      <c r="AI55" s="358"/>
      <c r="AJ55" s="382"/>
      <c r="AL55" s="358"/>
      <c r="AO55" s="356"/>
      <c r="AP55" s="358"/>
      <c r="AQ55" s="381"/>
      <c r="AT55" s="381"/>
      <c r="AW55" s="381"/>
      <c r="AY55" s="358"/>
      <c r="BB55" s="356"/>
      <c r="BC55" s="358"/>
      <c r="BD55" s="382"/>
      <c r="BF55" s="358"/>
      <c r="BG55" s="382"/>
      <c r="BI55" s="358"/>
      <c r="BJ55" s="382"/>
      <c r="BL55" s="358"/>
      <c r="BO55" s="356"/>
      <c r="BP55" s="385" t="s">
        <v>386</v>
      </c>
      <c r="BQ55" s="386"/>
      <c r="BR55" s="385" t="s">
        <v>387</v>
      </c>
      <c r="BS55" s="385"/>
      <c r="BT55" s="385"/>
      <c r="BU55" s="385"/>
      <c r="BV55" s="351"/>
      <c r="BW55" s="351"/>
      <c r="BX55" s="351"/>
      <c r="BY55" s="353"/>
      <c r="CB55" s="356"/>
      <c r="CC55" s="351"/>
      <c r="CD55" s="351"/>
      <c r="CE55" s="351"/>
      <c r="CF55" s="351"/>
      <c r="CG55" s="351"/>
      <c r="CH55" s="351"/>
      <c r="CI55" s="351"/>
      <c r="CJ55" s="351"/>
      <c r="CK55" s="351"/>
      <c r="CL55" s="353"/>
      <c r="CO55" s="356"/>
      <c r="CP55" s="351"/>
      <c r="CQ55" s="351"/>
      <c r="CR55" s="351"/>
      <c r="CS55" s="351"/>
      <c r="CT55" s="351"/>
      <c r="CU55" s="351"/>
      <c r="CV55" s="351"/>
      <c r="CW55" s="351"/>
      <c r="CX55" s="351"/>
      <c r="CY55" s="353"/>
      <c r="DB55" s="356"/>
      <c r="DC55" s="351"/>
      <c r="DD55" s="351"/>
      <c r="DE55" s="351"/>
      <c r="DF55" s="351"/>
      <c r="DG55" s="351"/>
      <c r="DH55" s="351"/>
      <c r="DI55" s="351"/>
      <c r="DJ55" s="351"/>
      <c r="DK55" s="351"/>
      <c r="DL55" s="353"/>
      <c r="DO55" s="356"/>
      <c r="DP55" s="351"/>
      <c r="DQ55" s="351"/>
      <c r="DR55" s="351"/>
      <c r="DS55" s="351"/>
      <c r="DT55" s="351"/>
      <c r="DU55" s="351"/>
      <c r="DV55" s="351"/>
      <c r="DW55" s="351"/>
      <c r="DX55" s="351"/>
      <c r="DY55" s="353"/>
      <c r="EB55" s="356"/>
      <c r="EC55" s="351"/>
      <c r="ED55" s="351"/>
      <c r="EE55" s="351"/>
      <c r="EF55" s="351"/>
      <c r="EG55" s="351"/>
      <c r="EH55" s="351"/>
      <c r="EI55" s="351"/>
      <c r="EJ55" s="351"/>
      <c r="EK55" s="351"/>
      <c r="EL55" s="353"/>
    </row>
    <row r="56" spans="2:142" s="355" customFormat="1" ht="14.25" customHeight="1" thickBot="1" x14ac:dyDescent="0.25">
      <c r="B56" s="355">
        <v>27</v>
      </c>
      <c r="C56" s="356">
        <v>17</v>
      </c>
      <c r="D56" s="369" t="str">
        <f ca="1">INDIRECT("'Imp. Qualif.'!L"&amp;INDIRECT("B"&amp;ROW()))</f>
        <v/>
      </c>
      <c r="E56" s="370"/>
      <c r="F56" s="388" t="str">
        <f>IF(E56&gt;0,RANK(E56,(E56,E59,E62),0),"")</f>
        <v/>
      </c>
      <c r="G56" s="369" t="str">
        <f>IF(E50="","",IF(E50=E53, IF(E51 &lt; E54, D50, D53),IF(E50 &lt; E53,D50,D53)))</f>
        <v/>
      </c>
      <c r="H56" s="370"/>
      <c r="I56" s="388" t="str">
        <f>IF(H56&gt;0,RANK(H56,(H56,H59,H62),0),"")</f>
        <v/>
      </c>
      <c r="J56" s="369" t="str">
        <f>IF(H50="","",IF(H50=H53, IF(H51 &lt; H54, G50, G53),IF(H50 &lt; H53,G50,G53)))</f>
        <v/>
      </c>
      <c r="K56" s="370"/>
      <c r="L56" s="388" t="str">
        <f>IF(K56&gt;0,RANK(K56,(K56,K59,K62),0),"")</f>
        <v/>
      </c>
      <c r="M56" s="369" t="str">
        <f>IF(K56="","",IF(L56=1,J56, IF(L59 = 1, J59, IF(L62=1, J62, ""))))</f>
        <v/>
      </c>
      <c r="N56" s="379">
        <v>17</v>
      </c>
      <c r="P56" s="355">
        <v>27</v>
      </c>
      <c r="Q56" s="356">
        <v>17</v>
      </c>
      <c r="AA56" s="355">
        <v>27</v>
      </c>
      <c r="AB56" s="356">
        <v>17</v>
      </c>
      <c r="AC56" s="369" t="str">
        <f ca="1">INDIRECT("'Imp. Qualif.'!L"&amp;INDIRECT("B"&amp;ROW()))</f>
        <v/>
      </c>
      <c r="AD56" s="370"/>
      <c r="AF56" s="369" t="str">
        <f>IF(AD50="","",IF(AD50=AD53, IF(AD51 &lt; AD54, AC50, AC53),IF(AD50 &lt; AD53,AC50,AC53)))</f>
        <v/>
      </c>
      <c r="AG56" s="370"/>
      <c r="AI56" s="369" t="str">
        <f>IF(AG50="","",IF(AG50=AG53, IF(AG51 &lt; AG54, AF50, AF53),IF(AG50 &lt; AG53,AF50,AF53)))</f>
        <v/>
      </c>
      <c r="AJ56" s="370"/>
      <c r="AL56" s="369" t="str">
        <f>IF(AJ56="","",IF(AJ56=AJ59, IF(AJ57 &gt; AJ60, AI56, AI59),IF(AJ56&gt;AJ59,AI56,AI59)))</f>
        <v/>
      </c>
      <c r="AN56" s="355">
        <v>27</v>
      </c>
      <c r="AO56" s="356">
        <v>17</v>
      </c>
      <c r="AP56" s="369" t="str">
        <f ca="1">INDIRECT("'Imp. Qualif.'!L"&amp;INDIRECT("B"&amp;ROW()))</f>
        <v/>
      </c>
      <c r="AQ56" s="370"/>
      <c r="AR56" s="388" t="str">
        <f>IF(AQ56&gt;0,RANK(AQ56,(AQ56,AQ59,AQ62),0),"")</f>
        <v/>
      </c>
      <c r="AS56" s="369" t="str">
        <f>IF(AQ50="","",IF(AQ50=AQ53, IF(AQ51 &lt; AQ54, AP50, AP53),IF(AQ50 &lt; AQ53,AP50,AP53)))</f>
        <v/>
      </c>
      <c r="AT56" s="370"/>
      <c r="AU56" s="388" t="str">
        <f>IF(AT56&gt;0,RANK(AT56,(AT56,AT59,AT62),0),"")</f>
        <v/>
      </c>
      <c r="AV56" s="369" t="str">
        <f>IF(AT50="","",IF(AT50=AT53, IF(AT51 &lt; AT54, AS50, AS53),IF(AT50 &lt; AT53,AS50,AS53)))</f>
        <v/>
      </c>
      <c r="AW56" s="370"/>
      <c r="AX56" s="388" t="str">
        <f>IF(AW56&gt;0,RANK(AW56,(AW56,AW59,AW62),0),"")</f>
        <v/>
      </c>
      <c r="AY56" s="369" t="str">
        <f>IF(AW56="","",IF(AX56=1,AV56, IF(AX59 = 1, AV59, IF(AX62=1, AV62, ""))))</f>
        <v/>
      </c>
      <c r="BA56" s="355">
        <v>27</v>
      </c>
      <c r="BB56" s="356">
        <v>17</v>
      </c>
      <c r="BC56" s="369" t="str">
        <f ca="1">INDIRECT("'Imp. Qualif.'!L"&amp;INDIRECT("B"&amp;ROW()))</f>
        <v/>
      </c>
      <c r="BD56" s="370"/>
      <c r="BE56" s="388" t="str">
        <f>IF(BD56&gt;0,RANK(BD56,(BD50,BD53,BD56),0),"")</f>
        <v/>
      </c>
      <c r="BF56" s="369" t="str">
        <f>IF(BD56="","",IF(BE50=3,BC50, IF(BE53 = 3, BC53, IF(BE56=3, BC56, ""))))</f>
        <v/>
      </c>
      <c r="BG56" s="370"/>
      <c r="BH56" s="388" t="str">
        <f>IF(BG56&gt;0,RANK(BG56,(BG50,BG53,BG56),0),"")</f>
        <v/>
      </c>
      <c r="BI56" s="369" t="str">
        <f>IF(BG56="","",IF(BH50=3,BF50, IF(BH53 = 3, BF53, IF(BH56=3, BF56, ""))))</f>
        <v/>
      </c>
      <c r="BJ56" s="370"/>
      <c r="BK56" s="388" t="str">
        <f>IF(BJ56&gt;0,RANK(BJ56,(BJ50,BJ53,BJ56),0),"")</f>
        <v/>
      </c>
      <c r="BL56" s="369" t="str">
        <f>IF(BJ56="","",IF(BK50=3,BI50, IF(BK53 = 3, BI53, IF(BK56=3, BI56, ""))))</f>
        <v/>
      </c>
      <c r="BN56" s="355">
        <v>27</v>
      </c>
      <c r="BO56" s="356">
        <v>17</v>
      </c>
      <c r="BP56" s="385" t="s">
        <v>386</v>
      </c>
      <c r="BQ56" s="387"/>
      <c r="BR56" s="385" t="s">
        <v>493</v>
      </c>
      <c r="BS56" s="385"/>
      <c r="BT56" s="385"/>
      <c r="BU56" s="385"/>
      <c r="BV56" s="351"/>
      <c r="BW56" s="351"/>
      <c r="BX56" s="351"/>
      <c r="BY56" s="353"/>
      <c r="CA56" s="355">
        <v>27</v>
      </c>
      <c r="CB56" s="356">
        <v>17</v>
      </c>
      <c r="CC56" s="351"/>
      <c r="CD56" s="351"/>
      <c r="CE56" s="351"/>
      <c r="CF56" s="351"/>
      <c r="CG56" s="351"/>
      <c r="CH56" s="351"/>
      <c r="CI56" s="351"/>
      <c r="CJ56" s="351"/>
      <c r="CK56" s="351"/>
      <c r="CL56" s="353"/>
      <c r="CN56" s="355">
        <v>27</v>
      </c>
      <c r="CO56" s="356">
        <v>17</v>
      </c>
      <c r="CP56" s="351"/>
      <c r="CQ56" s="351"/>
      <c r="CR56" s="351"/>
      <c r="CS56" s="351"/>
      <c r="CT56" s="351"/>
      <c r="CU56" s="351"/>
      <c r="CV56" s="351"/>
      <c r="CW56" s="351"/>
      <c r="CX56" s="351"/>
      <c r="CY56" s="353"/>
      <c r="DA56" s="355">
        <v>27</v>
      </c>
      <c r="DB56" s="356">
        <v>17</v>
      </c>
      <c r="DC56" s="351"/>
      <c r="DD56" s="351"/>
      <c r="DE56" s="351"/>
      <c r="DF56" s="351"/>
      <c r="DG56" s="351"/>
      <c r="DH56" s="351"/>
      <c r="DI56" s="351"/>
      <c r="DJ56" s="351"/>
      <c r="DK56" s="351"/>
      <c r="DL56" s="353"/>
      <c r="DN56" s="355">
        <v>27</v>
      </c>
      <c r="DO56" s="356">
        <v>17</v>
      </c>
      <c r="DP56" s="351"/>
      <c r="DQ56" s="351"/>
      <c r="DR56" s="351"/>
      <c r="DS56" s="351"/>
      <c r="DT56" s="351"/>
      <c r="DU56" s="351"/>
      <c r="DV56" s="351"/>
      <c r="DW56" s="351"/>
      <c r="DX56" s="351"/>
      <c r="DY56" s="353"/>
      <c r="EA56" s="355">
        <v>27</v>
      </c>
      <c r="EB56" s="356">
        <v>17</v>
      </c>
      <c r="EC56" s="351"/>
      <c r="ED56" s="351"/>
      <c r="EE56" s="351"/>
      <c r="EF56" s="351"/>
      <c r="EG56" s="351"/>
      <c r="EH56" s="351"/>
      <c r="EI56" s="351"/>
      <c r="EJ56" s="351"/>
      <c r="EK56" s="351"/>
      <c r="EL56" s="353"/>
    </row>
    <row r="57" spans="2:142" s="355" customFormat="1" ht="14.25" customHeight="1" thickBot="1" x14ac:dyDescent="0.25">
      <c r="C57" s="356"/>
      <c r="D57" s="372" t="str">
        <f ca="1">INDIRECT("'Imp. Qualif.'!M"&amp;INDIRECT("B"&amp;ROW()-1))</f>
        <v/>
      </c>
      <c r="E57" s="373"/>
      <c r="F57" s="383"/>
      <c r="G57" s="372" t="str">
        <f>IF(E50="","",IF(E50=E53, IF(E51 &lt; E54, D51, D54),IF(E50 &lt; E53,D51,D54)))</f>
        <v/>
      </c>
      <c r="H57" s="373"/>
      <c r="I57" s="383"/>
      <c r="J57" s="372" t="str">
        <f>IF(H50="","",IF(H50=H53, IF(H51 &lt; H54, G51, G54),IF(H50 &lt; H53,G51,G54)))</f>
        <v/>
      </c>
      <c r="K57" s="373"/>
      <c r="M57" s="372" t="str">
        <f>IF(K56="","",IF(L56=1,J57, IF(L59 = 1, J60, IF(L62=1, J63, ""))))</f>
        <v/>
      </c>
      <c r="N57" s="379"/>
      <c r="Q57" s="356"/>
      <c r="AB57" s="356"/>
      <c r="AC57" s="372" t="str">
        <f ca="1">INDIRECT("'Imp. Qualif.'!M"&amp;INDIRECT("B"&amp;ROW()-1))</f>
        <v/>
      </c>
      <c r="AD57" s="373"/>
      <c r="AF57" s="372" t="str">
        <f>IF(AD50="","",IF(AD50=AD53, IF(AD51 &lt; AD54, AC51, AC54),IF(AD50 &lt; AD53,AC51,AC54)))</f>
        <v/>
      </c>
      <c r="AG57" s="373"/>
      <c r="AI57" s="372" t="str">
        <f>IF(AG50="","",IF(AG50=AG53, IF(AG51 &lt; AG54, AF51, AF54),IF(AG50 &lt; AG53,AF51,AF54)))</f>
        <v/>
      </c>
      <c r="AJ57" s="373"/>
      <c r="AL57" s="372" t="str">
        <f>IF(AJ56="","",IF(AJ56=AJ59, IF(AJ57 &gt; AJ60, AI57, AI60),IF(AJ56&gt;AJ59,AI57,AI60)))</f>
        <v/>
      </c>
      <c r="AO57" s="356"/>
      <c r="AP57" s="372" t="str">
        <f ca="1">INDIRECT("'Imp. Qualif.'!M"&amp;INDIRECT("B"&amp;ROW()-1))</f>
        <v/>
      </c>
      <c r="AQ57" s="373"/>
      <c r="AR57" s="383"/>
      <c r="AS57" s="372" t="str">
        <f>IF(AQ50="","",IF(AQ50=AQ53, IF(AQ51 &lt; AQ54, AP51, AP54),IF(AQ50 &lt; AQ53,AP51,AP54)))</f>
        <v/>
      </c>
      <c r="AT57" s="373"/>
      <c r="AU57" s="383"/>
      <c r="AV57" s="372" t="str">
        <f>IF(AT50="","",IF(AT50=AT53, IF(AT51 &lt; AT54, AS51, AS54),IF(AT50 &lt; AT53,AS51,AS54)))</f>
        <v/>
      </c>
      <c r="AW57" s="373"/>
      <c r="AY57" s="372" t="str">
        <f>IF(AW56="","",IF(AX56=1,AV57, IF(AX59 = 1, AV60, IF(AX62=1, AV63, ""))))</f>
        <v/>
      </c>
      <c r="BB57" s="356"/>
      <c r="BC57" s="372" t="str">
        <f ca="1">INDIRECT("'Imp. Qualif.'!M"&amp;INDIRECT("B"&amp;ROW()-1))</f>
        <v/>
      </c>
      <c r="BD57" s="373"/>
      <c r="BF57" s="372" t="str">
        <f>IF(BD56="","",IF(BE50=3,BC51, IF(BE53 = 3, BC54, IF(BE56=3, BC57, ""))))</f>
        <v/>
      </c>
      <c r="BG57" s="373"/>
      <c r="BI57" s="372" t="str">
        <f>IF(BG56="","",IF(BH50=3,BF51, IF(BH53 = 3, BF54, IF(BH56=3, BF57, ""))))</f>
        <v/>
      </c>
      <c r="BJ57" s="373"/>
      <c r="BL57" s="372" t="str">
        <f>IF(BJ56="","",IF(BK50=3,BI51, IF(BK53 = 3, BI54, IF(BK56=3, BI57, ""))))</f>
        <v/>
      </c>
      <c r="BO57" s="356"/>
      <c r="BP57" s="385"/>
      <c r="BQ57" s="385"/>
      <c r="BR57" s="385"/>
      <c r="BS57" s="385"/>
      <c r="BT57" s="385"/>
      <c r="BU57" s="385"/>
      <c r="BV57" s="351"/>
      <c r="BW57" s="351"/>
      <c r="BX57" s="351"/>
      <c r="BY57" s="353"/>
      <c r="CB57" s="356"/>
      <c r="CC57" s="351"/>
      <c r="CD57" s="351"/>
      <c r="CE57" s="351"/>
      <c r="CF57" s="351"/>
      <c r="CG57" s="351"/>
      <c r="CH57" s="351"/>
      <c r="CI57" s="351"/>
      <c r="CJ57" s="351"/>
      <c r="CK57" s="351"/>
      <c r="CL57" s="353"/>
      <c r="CO57" s="356"/>
      <c r="CP57" s="351"/>
      <c r="CQ57" s="351"/>
      <c r="CR57" s="351"/>
      <c r="CS57" s="351"/>
      <c r="CT57" s="351"/>
      <c r="CU57" s="351"/>
      <c r="CV57" s="351"/>
      <c r="CW57" s="351"/>
      <c r="CX57" s="351"/>
      <c r="CY57" s="353"/>
      <c r="DB57" s="356"/>
      <c r="DC57" s="351"/>
      <c r="DD57" s="351"/>
      <c r="DE57" s="351"/>
      <c r="DF57" s="351"/>
      <c r="DG57" s="351"/>
      <c r="DH57" s="351"/>
      <c r="DI57" s="351"/>
      <c r="DJ57" s="351"/>
      <c r="DK57" s="351"/>
      <c r="DL57" s="353"/>
      <c r="DO57" s="356"/>
      <c r="DP57" s="351"/>
      <c r="DQ57" s="351"/>
      <c r="DR57" s="351"/>
      <c r="DS57" s="351"/>
      <c r="DT57" s="351"/>
      <c r="DU57" s="351"/>
      <c r="DV57" s="351"/>
      <c r="DW57" s="351"/>
      <c r="DX57" s="351"/>
      <c r="DY57" s="353"/>
      <c r="EB57" s="356"/>
      <c r="EC57" s="351"/>
      <c r="ED57" s="351"/>
      <c r="EE57" s="351"/>
      <c r="EF57" s="351"/>
      <c r="EG57" s="351"/>
      <c r="EH57" s="351"/>
      <c r="EI57" s="351"/>
      <c r="EJ57" s="351"/>
      <c r="EK57" s="351"/>
      <c r="EL57" s="353"/>
    </row>
    <row r="58" spans="2:142" s="355" customFormat="1" ht="14.25" customHeight="1" x14ac:dyDescent="0.2">
      <c r="C58" s="356"/>
      <c r="D58" s="358"/>
      <c r="E58" s="381"/>
      <c r="F58" s="383"/>
      <c r="H58" s="381"/>
      <c r="I58" s="383"/>
      <c r="K58" s="381"/>
      <c r="M58" s="358"/>
      <c r="N58" s="379"/>
      <c r="Q58" s="356"/>
      <c r="AB58" s="356"/>
      <c r="AC58" s="358"/>
      <c r="AD58" s="381"/>
      <c r="AG58" s="381"/>
      <c r="AJ58" s="381"/>
      <c r="AL58" s="358"/>
      <c r="AO58" s="356"/>
      <c r="AP58" s="358"/>
      <c r="AQ58" s="381"/>
      <c r="AR58" s="383"/>
      <c r="AT58" s="381"/>
      <c r="AU58" s="383"/>
      <c r="AW58" s="381"/>
      <c r="AY58" s="358"/>
      <c r="BB58" s="356"/>
      <c r="BC58" s="358"/>
      <c r="BD58" s="382"/>
      <c r="BF58" s="358"/>
      <c r="BG58" s="382"/>
      <c r="BI58" s="358"/>
      <c r="BJ58" s="382"/>
      <c r="BL58" s="358"/>
      <c r="BO58" s="356"/>
      <c r="BP58" s="351"/>
      <c r="BQ58" s="351"/>
      <c r="BR58" s="351"/>
      <c r="BS58" s="351"/>
      <c r="BT58" s="351"/>
      <c r="BU58" s="351"/>
      <c r="BV58" s="351"/>
      <c r="BW58" s="351"/>
      <c r="BX58" s="351"/>
      <c r="BY58" s="353"/>
      <c r="CB58" s="356"/>
      <c r="CC58" s="351"/>
      <c r="CD58" s="351"/>
      <c r="CE58" s="351"/>
      <c r="CF58" s="351"/>
      <c r="CG58" s="351"/>
      <c r="CH58" s="351"/>
      <c r="CI58" s="351"/>
      <c r="CJ58" s="351"/>
      <c r="CK58" s="351"/>
      <c r="CL58" s="353"/>
      <c r="CO58" s="356"/>
      <c r="CP58" s="351"/>
      <c r="CQ58" s="351"/>
      <c r="CR58" s="351"/>
      <c r="CS58" s="351"/>
      <c r="CT58" s="351"/>
      <c r="CU58" s="351"/>
      <c r="CV58" s="351"/>
      <c r="CW58" s="351"/>
      <c r="CX58" s="351"/>
      <c r="CY58" s="353"/>
      <c r="DB58" s="356"/>
      <c r="DC58" s="351"/>
      <c r="DD58" s="351"/>
      <c r="DE58" s="351"/>
      <c r="DF58" s="351"/>
      <c r="DG58" s="351"/>
      <c r="DH58" s="351"/>
      <c r="DI58" s="351"/>
      <c r="DJ58" s="351"/>
      <c r="DK58" s="351"/>
      <c r="DL58" s="353"/>
      <c r="DO58" s="356"/>
      <c r="DP58" s="351"/>
      <c r="DQ58" s="351"/>
      <c r="DR58" s="351"/>
      <c r="DS58" s="351"/>
      <c r="DT58" s="351"/>
      <c r="DU58" s="351"/>
      <c r="DV58" s="351"/>
      <c r="DW58" s="351"/>
      <c r="DX58" s="351"/>
      <c r="DY58" s="353"/>
      <c r="EB58" s="356"/>
      <c r="EC58" s="351"/>
      <c r="ED58" s="351"/>
      <c r="EE58" s="351"/>
      <c r="EF58" s="351"/>
      <c r="EG58" s="351"/>
      <c r="EH58" s="351"/>
      <c r="EI58" s="351"/>
      <c r="EJ58" s="351"/>
      <c r="EK58" s="351"/>
      <c r="EL58" s="353"/>
    </row>
    <row r="59" spans="2:142" x14ac:dyDescent="0.2">
      <c r="B59" s="351">
        <v>28</v>
      </c>
      <c r="C59" s="356">
        <v>18</v>
      </c>
      <c r="D59" s="369" t="str">
        <f ca="1">INDIRECT("'Imp. Qualif.'!L"&amp;INDIRECT("B"&amp;ROW()))</f>
        <v/>
      </c>
      <c r="E59" s="370"/>
      <c r="F59" s="388" t="str">
        <f>IF(E59&gt;0,RANK(E59,(E56,E59,E62),0),"")</f>
        <v/>
      </c>
      <c r="G59" s="369" t="str">
        <f>IF(E59="","",IF(F56=2,D56, IF(F59 = 2, D59, IF(F62=2, D62, ""))))</f>
        <v/>
      </c>
      <c r="H59" s="370"/>
      <c r="I59" s="388" t="str">
        <f>IF(H59&gt;0,RANK(H59,(H56,H59,H62),0),"")</f>
        <v/>
      </c>
      <c r="J59" s="369" t="str">
        <f>IF(H59="","",IF(I56=2,G56, IF(I59 = 2, G59, IF(I62=2, G62, ""))))</f>
        <v/>
      </c>
      <c r="K59" s="370"/>
      <c r="L59" s="388" t="str">
        <f>IF(K59&gt;0,RANK(K59,(K56,K59,K62),0),"")</f>
        <v/>
      </c>
      <c r="M59" s="369" t="str">
        <f>IF(K59="","",IF(L56=2,J56, IF(L59 = 2, J59, IF(L62=2, J62, ""))))</f>
        <v/>
      </c>
      <c r="N59" s="379">
        <v>18</v>
      </c>
      <c r="P59" s="351">
        <v>28</v>
      </c>
      <c r="Q59" s="356">
        <v>18</v>
      </c>
      <c r="S59" s="355"/>
      <c r="AA59" s="351">
        <v>28</v>
      </c>
      <c r="AB59" s="356">
        <v>18</v>
      </c>
      <c r="AC59" s="369" t="str">
        <f ca="1">INDIRECT("'Imp. Qualif.'!L"&amp;INDIRECT("B"&amp;ROW()))</f>
        <v/>
      </c>
      <c r="AD59" s="370"/>
      <c r="AE59" s="355"/>
      <c r="AF59" s="369" t="str">
        <f>IF(AD62="","",IF(AE62=1,AC62, IF(AE65 = 1, AC65, IF(AE68=1, AC68, ""))))</f>
        <v/>
      </c>
      <c r="AG59" s="370"/>
      <c r="AH59" s="355"/>
      <c r="AI59" s="369" t="str">
        <f>IF(AG62="","",IF(AH62=3,AF62, IF(AH65 = 3, AF65, IF(AH68=3, AF68, ""))))</f>
        <v/>
      </c>
      <c r="AJ59" s="370"/>
      <c r="AK59" s="355"/>
      <c r="AL59" s="369" t="str">
        <f>IF(AJ56="","",IF(AJ56=AJ59, IF(AJ60 &lt; AJ57, AI59, AI56),IF(AJ59 &lt; AJ56,AI59,AI56)))</f>
        <v/>
      </c>
      <c r="AN59" s="351">
        <v>28</v>
      </c>
      <c r="AO59" s="356">
        <v>18</v>
      </c>
      <c r="AP59" s="369" t="str">
        <f ca="1">INDIRECT("'Imp. Qualif.'!L"&amp;INDIRECT("B"&amp;ROW()))</f>
        <v/>
      </c>
      <c r="AQ59" s="370"/>
      <c r="AR59" s="388" t="str">
        <f>IF(AQ59&gt;0,RANK(AQ59,(AQ56,AQ59,AQ62),0),"")</f>
        <v/>
      </c>
      <c r="AS59" s="369" t="str">
        <f>IF(AQ59="","",IF(AR56=2,AP56, IF(AR59 = 2, AP59, IF(AR62=2, AP62, ""))))</f>
        <v/>
      </c>
      <c r="AT59" s="370"/>
      <c r="AU59" s="388" t="str">
        <f>IF(AT59&gt;0,RANK(AT59,(AT56,AT59,AT62),0),"")</f>
        <v/>
      </c>
      <c r="AV59" s="369" t="str">
        <f>IF(AT59="","",IF(AU56=2,AS56, IF(AU59 = 2, AS59, IF(AU62=2, AS62, ""))))</f>
        <v/>
      </c>
      <c r="AW59" s="370"/>
      <c r="AX59" s="388" t="str">
        <f>IF(AW59&gt;0,RANK(AW59,(AW56,AW59,AW62),0),"")</f>
        <v/>
      </c>
      <c r="AY59" s="369" t="str">
        <f>IF(AW59="","",IF(AX56=2,AV56, IF(AX59 = 2, AV59, IF(AX62=2, AV62, ""))))</f>
        <v/>
      </c>
      <c r="BA59" s="351">
        <v>28</v>
      </c>
      <c r="BB59" s="356">
        <v>18</v>
      </c>
      <c r="BC59" s="358"/>
      <c r="BD59" s="382"/>
      <c r="BE59" s="355"/>
      <c r="BF59" s="358"/>
      <c r="BG59" s="382"/>
      <c r="BH59" s="355"/>
      <c r="BI59" s="358"/>
      <c r="BJ59" s="382"/>
      <c r="BK59" s="355"/>
      <c r="BL59" s="358"/>
      <c r="BN59" s="351">
        <v>28</v>
      </c>
      <c r="BO59" s="356">
        <v>18</v>
      </c>
      <c r="CA59" s="351">
        <v>28</v>
      </c>
      <c r="CB59" s="356">
        <v>18</v>
      </c>
      <c r="CN59" s="351">
        <v>28</v>
      </c>
      <c r="CO59" s="356">
        <v>18</v>
      </c>
      <c r="DA59" s="351">
        <v>28</v>
      </c>
      <c r="DB59" s="356">
        <v>18</v>
      </c>
      <c r="DN59" s="351">
        <v>28</v>
      </c>
      <c r="DO59" s="356">
        <v>18</v>
      </c>
      <c r="EA59" s="351">
        <v>28</v>
      </c>
      <c r="EB59" s="356">
        <v>18</v>
      </c>
    </row>
    <row r="60" spans="2:142" ht="13.5" thickBot="1" x14ac:dyDescent="0.25">
      <c r="C60" s="356"/>
      <c r="D60" s="372" t="str">
        <f ca="1">INDIRECT("'Imp. Qualif.'!M"&amp;INDIRECT("B"&amp;ROW()-1))</f>
        <v/>
      </c>
      <c r="E60" s="373"/>
      <c r="F60" s="355"/>
      <c r="G60" s="372" t="str">
        <f>IF(E59="","",IF(F56=2,D57, IF(F59 = 2, D60, IF(F62=2, D63, ""))))</f>
        <v/>
      </c>
      <c r="H60" s="373"/>
      <c r="I60" s="355"/>
      <c r="J60" s="372" t="str">
        <f>IF(H59="","",IF(I56=2,G57, IF(I59 = 2, G60, IF(I62=2, G63, ""))))</f>
        <v/>
      </c>
      <c r="K60" s="373"/>
      <c r="L60" s="355"/>
      <c r="M60" s="372" t="str">
        <f>IF(K59="","",IF(L56=2,J57, IF(L59 = 2, J60, IF(L62=2, J63, ""))))</f>
        <v/>
      </c>
      <c r="N60" s="379"/>
      <c r="Q60" s="356"/>
      <c r="S60" s="355"/>
      <c r="AB60" s="356"/>
      <c r="AC60" s="372" t="str">
        <f ca="1">INDIRECT("'Imp. Qualif.'!M"&amp;INDIRECT("B"&amp;ROW()-1))</f>
        <v/>
      </c>
      <c r="AD60" s="373"/>
      <c r="AE60" s="355"/>
      <c r="AF60" s="372" t="str">
        <f>IF(AD62="","",IF(AE62=1,AC63, IF(AE65 = 1, AC66, IF(AE68=1, AC69, ""))))</f>
        <v/>
      </c>
      <c r="AG60" s="373"/>
      <c r="AH60" s="355"/>
      <c r="AI60" s="372" t="str">
        <f>IF(AG62="","",IF(AH62=3,AF63, IF(AH65 = 3, AF66, IF(AH68=3, AF69, ""))))</f>
        <v/>
      </c>
      <c r="AJ60" s="373"/>
      <c r="AK60" s="355"/>
      <c r="AL60" s="372" t="str">
        <f>IF(AJ56="","",IF(AJ56=AJ59, IF(AJ60 &lt; AJ57, AI60, AI57),IF(AJ59 &lt; AJ56,AI60,AI57)))</f>
        <v/>
      </c>
      <c r="AO60" s="356"/>
      <c r="AP60" s="372" t="str">
        <f ca="1">INDIRECT("'Imp. Qualif.'!M"&amp;INDIRECT("B"&amp;ROW()-1))</f>
        <v/>
      </c>
      <c r="AQ60" s="373"/>
      <c r="AR60" s="355"/>
      <c r="AS60" s="372" t="str">
        <f>IF(AQ59="","",IF(AR56=2,AP57, IF(AR59 = 2, AP60, IF(AR62=2, AP63, ""))))</f>
        <v/>
      </c>
      <c r="AT60" s="373"/>
      <c r="AU60" s="355"/>
      <c r="AV60" s="372" t="str">
        <f>IF(AT59="","",IF(AU56=2,AS57, IF(AU59 = 2, AS60, IF(AU62=2, AS63, ""))))</f>
        <v/>
      </c>
      <c r="AW60" s="373"/>
      <c r="AX60" s="355"/>
      <c r="AY60" s="372" t="str">
        <f>IF(AW59="","",IF(AX56=2,AV57, IF(AX59 = 2, AV60, IF(AX62=2, AV63, ""))))</f>
        <v/>
      </c>
      <c r="BB60" s="356"/>
      <c r="BC60" s="358"/>
      <c r="BD60" s="384"/>
      <c r="BE60" s="355"/>
      <c r="BF60" s="358"/>
      <c r="BG60" s="382"/>
      <c r="BH60" s="355"/>
      <c r="BI60" s="358"/>
      <c r="BJ60" s="382"/>
      <c r="BK60" s="355"/>
      <c r="BL60" s="358"/>
      <c r="BO60" s="356"/>
      <c r="CB60" s="356"/>
      <c r="CO60" s="356"/>
      <c r="DB60" s="356"/>
      <c r="DO60" s="356"/>
      <c r="EB60" s="356"/>
    </row>
    <row r="61" spans="2:142" ht="15" x14ac:dyDescent="0.2">
      <c r="C61" s="356"/>
      <c r="D61" s="358"/>
      <c r="E61" s="382"/>
      <c r="F61" s="355"/>
      <c r="G61" s="358"/>
      <c r="H61" s="382"/>
      <c r="I61" s="355"/>
      <c r="J61" s="358"/>
      <c r="K61" s="382"/>
      <c r="L61" s="355"/>
      <c r="M61" s="358"/>
      <c r="N61" s="379"/>
      <c r="Q61" s="356"/>
      <c r="S61" s="355"/>
      <c r="AB61" s="356"/>
      <c r="AC61" s="358"/>
      <c r="AD61" s="381"/>
      <c r="AE61" s="355"/>
      <c r="AF61" s="355"/>
      <c r="AG61" s="381"/>
      <c r="AH61" s="355"/>
      <c r="AI61" s="355"/>
      <c r="AJ61" s="381"/>
      <c r="AK61" s="355"/>
      <c r="AL61" s="358"/>
      <c r="AO61" s="356"/>
      <c r="AP61" s="358"/>
      <c r="AQ61" s="382"/>
      <c r="AR61" s="355"/>
      <c r="AS61" s="358"/>
      <c r="AT61" s="382"/>
      <c r="AU61" s="355"/>
      <c r="AV61" s="358"/>
      <c r="AW61" s="382"/>
      <c r="AX61" s="355"/>
      <c r="AY61" s="358"/>
      <c r="BB61" s="356"/>
      <c r="BC61" s="385" t="s">
        <v>386</v>
      </c>
      <c r="BD61" s="386"/>
      <c r="BE61" s="385" t="s">
        <v>387</v>
      </c>
      <c r="BF61" s="385"/>
      <c r="BG61" s="385"/>
      <c r="BH61" s="385"/>
      <c r="BO61" s="356"/>
      <c r="CB61" s="356"/>
      <c r="CO61" s="356"/>
      <c r="DB61" s="356"/>
      <c r="DO61" s="356"/>
      <c r="EB61" s="356"/>
    </row>
    <row r="62" spans="2:142" ht="13.5" thickBot="1" x14ac:dyDescent="0.25">
      <c r="B62" s="351">
        <v>29</v>
      </c>
      <c r="C62" s="356">
        <v>19</v>
      </c>
      <c r="D62" s="369" t="str">
        <f ca="1">INDIRECT("'Imp. Qualif.'!L"&amp;INDIRECT("B"&amp;ROW()))</f>
        <v/>
      </c>
      <c r="E62" s="370"/>
      <c r="F62" s="388" t="str">
        <f>IF(E62&gt;0,RANK(E62,(E56,E59,E62),0),"")</f>
        <v/>
      </c>
      <c r="G62" s="369" t="str">
        <f>IF(E62="","",IF(F56=3,D56, IF(F59 = 3, D59, IF(F62=3, D62, ""))))</f>
        <v/>
      </c>
      <c r="H62" s="370"/>
      <c r="I62" s="388" t="str">
        <f>IF(H62&gt;0,RANK(H62,(H56,H59,H62),0),"")</f>
        <v/>
      </c>
      <c r="J62" s="369" t="str">
        <f>IF(H62="","",IF(I56=3,G56, IF(I59 = 3, G59, IF(I62=3, G62, ""))))</f>
        <v/>
      </c>
      <c r="K62" s="370"/>
      <c r="L62" s="388" t="str">
        <f>IF(K62&gt;0,RANK(K62,(K56,K59,K62),0),"")</f>
        <v/>
      </c>
      <c r="M62" s="369" t="str">
        <f>IF(K62="","",IF(L56=3,J56, IF(L59 = 3, J59, IF(L62=3, J62, ""))))</f>
        <v/>
      </c>
      <c r="N62" s="379">
        <v>19</v>
      </c>
      <c r="P62" s="351">
        <v>29</v>
      </c>
      <c r="Q62" s="356">
        <v>19</v>
      </c>
      <c r="S62" s="355"/>
      <c r="AA62" s="351">
        <v>29</v>
      </c>
      <c r="AB62" s="356">
        <v>19</v>
      </c>
      <c r="AC62" s="369" t="str">
        <f ca="1">INDIRECT("'Imp. Qualif.'!L"&amp;INDIRECT("B"&amp;ROW()))</f>
        <v/>
      </c>
      <c r="AD62" s="370"/>
      <c r="AE62" s="388" t="str">
        <f>IF(AD62&gt;0,RANK(AD62,(AD62,AD65,AD68),0),"")</f>
        <v/>
      </c>
      <c r="AF62" s="369" t="str">
        <f>IF(AD56="","",IF(AD56=AD59, IF(AD57 &lt; AD60, AC56, AC59),IF(AD56 &lt; AD59,AC56,AC59)))</f>
        <v/>
      </c>
      <c r="AG62" s="370"/>
      <c r="AH62" s="388" t="str">
        <f>IF(AG62&gt;0,RANK(AG62,(AG62,AG65,AG68),0),"")</f>
        <v/>
      </c>
      <c r="AI62" s="369" t="str">
        <f>IF(AG56="","",IF(AG56=AG59, IF(AG57 &lt; AG60, AF56, AF59),IF(AG56 &lt; AG59,AF56,AF59)))</f>
        <v/>
      </c>
      <c r="AJ62" s="370"/>
      <c r="AK62" s="388" t="str">
        <f>IF(AJ62&gt;0,RANK(AJ62,(AJ62,AJ65,AJ68),0),"")</f>
        <v/>
      </c>
      <c r="AL62" s="369" t="str">
        <f>IF(AJ62="","",IF(AK62=1,AI62, IF(AK65 = 1, AI65, IF(AK68=1, AI68, ""))))</f>
        <v/>
      </c>
      <c r="AN62" s="351">
        <v>29</v>
      </c>
      <c r="AO62" s="356">
        <v>19</v>
      </c>
      <c r="AP62" s="369" t="str">
        <f ca="1">INDIRECT("'Imp. Qualif.'!L"&amp;INDIRECT("B"&amp;ROW()))</f>
        <v/>
      </c>
      <c r="AQ62" s="370"/>
      <c r="AR62" s="388" t="str">
        <f>IF(AQ62&gt;0,RANK(AQ62,(AQ56,AQ59,AQ62),0),"")</f>
        <v/>
      </c>
      <c r="AS62" s="369" t="str">
        <f>IF(AQ62="","",IF(AR56=3,AP56, IF(AR59 = 3, AP59, IF(AR62=3, AP62, ""))))</f>
        <v/>
      </c>
      <c r="AT62" s="370"/>
      <c r="AU62" s="388" t="str">
        <f>IF(AT62&gt;0,RANK(AT62,(AT56,AT59,AT62),0),"")</f>
        <v/>
      </c>
      <c r="AV62" s="369" t="str">
        <f>IF(AT62="","",IF(AU56=3,AS56, IF(AU59 = 3, AS59, IF(AU62=3, AS62, ""))))</f>
        <v/>
      </c>
      <c r="AW62" s="370"/>
      <c r="AX62" s="388" t="str">
        <f>IF(AW62&gt;0,RANK(AW62,(AW56,AW59,AW62),0),"")</f>
        <v/>
      </c>
      <c r="AY62" s="369" t="str">
        <f>IF(AW62="","",IF(AX56=3,AV56, IF(AX59 = 3, AV59, IF(AX62=3, AV62, ""))))</f>
        <v/>
      </c>
      <c r="BA62" s="351">
        <v>29</v>
      </c>
      <c r="BB62" s="356">
        <v>19</v>
      </c>
      <c r="BC62" s="385" t="s">
        <v>386</v>
      </c>
      <c r="BD62" s="387"/>
      <c r="BE62" s="385" t="s">
        <v>493</v>
      </c>
      <c r="BF62" s="385"/>
      <c r="BG62" s="385"/>
      <c r="BH62" s="385"/>
      <c r="BN62" s="351">
        <v>29</v>
      </c>
      <c r="BO62" s="356">
        <v>19</v>
      </c>
      <c r="CA62" s="351">
        <v>29</v>
      </c>
      <c r="CB62" s="356">
        <v>19</v>
      </c>
      <c r="CN62" s="351">
        <v>29</v>
      </c>
      <c r="CO62" s="356">
        <v>19</v>
      </c>
      <c r="DA62" s="351">
        <v>29</v>
      </c>
      <c r="DB62" s="356">
        <v>19</v>
      </c>
      <c r="DN62" s="351">
        <v>29</v>
      </c>
      <c r="DO62" s="356">
        <v>19</v>
      </c>
      <c r="EA62" s="351">
        <v>29</v>
      </c>
      <c r="EB62" s="356">
        <v>19</v>
      </c>
    </row>
    <row r="63" spans="2:142" ht="13.5" thickBot="1" x14ac:dyDescent="0.25">
      <c r="C63" s="356"/>
      <c r="D63" s="372" t="str">
        <f ca="1">INDIRECT("'Imp. Qualif.'!M"&amp;INDIRECT("B"&amp;ROW()-1))</f>
        <v/>
      </c>
      <c r="E63" s="373"/>
      <c r="F63" s="355"/>
      <c r="G63" s="372" t="str">
        <f>IF(E62="","",IF(F56=3,D57, IF(F59 = 3, D60, IF(F62=3, D63, ""))))</f>
        <v/>
      </c>
      <c r="H63" s="373"/>
      <c r="I63" s="355"/>
      <c r="J63" s="372" t="str">
        <f>IF(H62="","",IF(I56=3,G57, IF(I59 = 3, G60, IF(I62=3, G63, ""))))</f>
        <v/>
      </c>
      <c r="K63" s="373"/>
      <c r="L63" s="355"/>
      <c r="M63" s="372" t="str">
        <f>IF(K62="","",IF(L56=3,J57, IF(L59 = 3, J60, IF(L62=3, J63, ""))))</f>
        <v/>
      </c>
      <c r="N63" s="379"/>
      <c r="Q63" s="356"/>
      <c r="S63" s="355"/>
      <c r="AB63" s="356"/>
      <c r="AC63" s="372" t="str">
        <f ca="1">INDIRECT("'Imp. Qualif.'!M"&amp;INDIRECT("B"&amp;ROW()-1))</f>
        <v/>
      </c>
      <c r="AD63" s="373"/>
      <c r="AE63" s="383"/>
      <c r="AF63" s="372" t="str">
        <f>IF(AD56="","",IF(AD56=AD59, IF(AD57 &lt; AD60, AC57, AC60),IF(AD56 &lt; AD59,AC57,AC60)))</f>
        <v/>
      </c>
      <c r="AG63" s="373"/>
      <c r="AH63" s="383"/>
      <c r="AI63" s="372" t="str">
        <f>IF(AG56="","",IF(AG56=AG59, IF(AG57 &lt; AG60, AF57, AF60),IF(AG56 &lt; AG59,AF57,AF60)))</f>
        <v/>
      </c>
      <c r="AJ63" s="373"/>
      <c r="AK63" s="355"/>
      <c r="AL63" s="372" t="str">
        <f>IF(AJ62="","",IF(AK62=1,AI63, IF(AK65 = 1, AI66, IF(AK68=1, AI69, ""))))</f>
        <v/>
      </c>
      <c r="AO63" s="356"/>
      <c r="AP63" s="372" t="str">
        <f ca="1">INDIRECT("'Imp. Qualif.'!M"&amp;INDIRECT("B"&amp;ROW()-1))</f>
        <v/>
      </c>
      <c r="AQ63" s="373"/>
      <c r="AR63" s="355"/>
      <c r="AS63" s="372" t="str">
        <f>IF(AQ62="","",IF(AR56=3,AP57, IF(AR59 = 3, AP60, IF(AR62=3, AP63, ""))))</f>
        <v/>
      </c>
      <c r="AT63" s="373"/>
      <c r="AU63" s="355"/>
      <c r="AV63" s="372" t="str">
        <f>IF(AT62="","",IF(AU56=3,AS57, IF(AU59 = 3, AS60, IF(AU62=3, AS63, ""))))</f>
        <v/>
      </c>
      <c r="AW63" s="373"/>
      <c r="AX63" s="355"/>
      <c r="AY63" s="372" t="str">
        <f>IF(AW62="","",IF(AX56=3,AV57, IF(AX59 = 3, AV60, IF(AX62=3, AV63, ""))))</f>
        <v/>
      </c>
      <c r="BB63" s="356"/>
      <c r="BC63" s="385"/>
      <c r="BD63" s="385"/>
      <c r="BE63" s="385"/>
      <c r="BF63" s="385"/>
      <c r="BG63" s="385"/>
      <c r="BH63" s="385"/>
      <c r="BO63" s="356"/>
      <c r="CB63" s="356"/>
      <c r="CO63" s="356"/>
      <c r="DB63" s="356"/>
      <c r="DO63" s="356"/>
      <c r="EB63" s="356"/>
    </row>
    <row r="64" spans="2:142" ht="15" x14ac:dyDescent="0.2">
      <c r="C64" s="356"/>
      <c r="D64" s="358"/>
      <c r="E64" s="382"/>
      <c r="F64" s="355"/>
      <c r="G64" s="358"/>
      <c r="H64" s="382"/>
      <c r="I64" s="355"/>
      <c r="J64" s="358"/>
      <c r="K64" s="382"/>
      <c r="L64" s="355"/>
      <c r="M64" s="358"/>
      <c r="N64" s="379"/>
      <c r="Q64" s="356"/>
      <c r="S64" s="355"/>
      <c r="AB64" s="356"/>
      <c r="AC64" s="358"/>
      <c r="AD64" s="381"/>
      <c r="AE64" s="355"/>
      <c r="AF64" s="355"/>
      <c r="AG64" s="381"/>
      <c r="AH64" s="383"/>
      <c r="AI64" s="355"/>
      <c r="AJ64" s="381"/>
      <c r="AK64" s="355"/>
      <c r="AL64" s="358"/>
      <c r="AO64" s="356"/>
      <c r="AP64" s="358"/>
      <c r="AQ64" s="382"/>
      <c r="AR64" s="355"/>
      <c r="AS64" s="358"/>
      <c r="AT64" s="382"/>
      <c r="AU64" s="355"/>
      <c r="AV64" s="358"/>
      <c r="AW64" s="382"/>
      <c r="AX64" s="355"/>
      <c r="AY64" s="358"/>
      <c r="BB64" s="356"/>
      <c r="BO64" s="356"/>
      <c r="CB64" s="356"/>
      <c r="CO64" s="356"/>
      <c r="DB64" s="356"/>
      <c r="DO64" s="356"/>
      <c r="EB64" s="356"/>
    </row>
    <row r="65" spans="3:132" x14ac:dyDescent="0.2">
      <c r="C65" s="356"/>
      <c r="D65" s="358"/>
      <c r="E65" s="382"/>
      <c r="F65" s="355"/>
      <c r="G65" s="358"/>
      <c r="H65" s="382"/>
      <c r="I65" s="355"/>
      <c r="J65" s="358"/>
      <c r="K65" s="382"/>
      <c r="L65" s="355"/>
      <c r="M65" s="358"/>
      <c r="N65" s="379"/>
      <c r="P65" s="351">
        <v>30</v>
      </c>
      <c r="Q65" s="356">
        <v>20</v>
      </c>
      <c r="S65" s="355"/>
      <c r="AA65" s="351">
        <v>30</v>
      </c>
      <c r="AB65" s="356">
        <v>20</v>
      </c>
      <c r="AC65" s="369" t="e">
        <f ca="1">INDIRECT("'Imp. Qualif.'!L"&amp;INDIRECT("B"&amp;ROW()))</f>
        <v>#REF!</v>
      </c>
      <c r="AD65" s="370"/>
      <c r="AE65" s="389" t="str">
        <f>IF(AD65&gt;0,RANK(AD65,(AD62,AD65,AD68),0),"")</f>
        <v/>
      </c>
      <c r="AF65" s="369" t="str">
        <f>IF(AD65="","",IF(AE62=2,AC62, IF(AE65 = 2, AC65, IF(AE68=2, AC68, ""))))</f>
        <v/>
      </c>
      <c r="AG65" s="370"/>
      <c r="AH65" s="388" t="str">
        <f>IF(AG65&gt;0,RANK(AG65,(AG62,AG65,AG68),0),"")</f>
        <v/>
      </c>
      <c r="AI65" s="369" t="str">
        <f>IF(AG65="","",IF(AH62=2,AF62, IF(AH65 = 2, AF65, IF(AH68=2, AF68, ""))))</f>
        <v/>
      </c>
      <c r="AJ65" s="370"/>
      <c r="AK65" s="388" t="str">
        <f>IF(AJ65&gt;0,RANK(AJ65,(AJ62,AJ65,AJ68),0),"")</f>
        <v/>
      </c>
      <c r="AL65" s="369" t="str">
        <f>IF(AJ65="","",IF(AK62=2,AI62, IF(AK65 = 2, AI65, IF(AK68=2, AI68, ""))))</f>
        <v/>
      </c>
      <c r="AN65" s="351">
        <v>30</v>
      </c>
      <c r="AO65" s="356">
        <v>20</v>
      </c>
      <c r="AP65" s="358"/>
      <c r="AQ65" s="382"/>
      <c r="AR65" s="355"/>
      <c r="AS65" s="358"/>
      <c r="AT65" s="382"/>
      <c r="AU65" s="355"/>
      <c r="AV65" s="358"/>
      <c r="AW65" s="382"/>
      <c r="AX65" s="355"/>
      <c r="AY65" s="358"/>
      <c r="BA65" s="351">
        <v>30</v>
      </c>
      <c r="BB65" s="356">
        <v>20</v>
      </c>
      <c r="BN65" s="351">
        <v>30</v>
      </c>
      <c r="BO65" s="356">
        <v>20</v>
      </c>
      <c r="CA65" s="351">
        <v>30</v>
      </c>
      <c r="CB65" s="356">
        <v>20</v>
      </c>
      <c r="CN65" s="351">
        <v>30</v>
      </c>
      <c r="CO65" s="356">
        <v>20</v>
      </c>
      <c r="DA65" s="351">
        <v>30</v>
      </c>
      <c r="DB65" s="356">
        <v>20</v>
      </c>
      <c r="DN65" s="351">
        <v>30</v>
      </c>
      <c r="DO65" s="356">
        <v>20</v>
      </c>
      <c r="EA65" s="351">
        <v>30</v>
      </c>
      <c r="EB65" s="356">
        <v>20</v>
      </c>
    </row>
    <row r="66" spans="3:132" ht="13.5" thickBot="1" x14ac:dyDescent="0.25">
      <c r="C66" s="356"/>
      <c r="D66" s="358"/>
      <c r="E66" s="384"/>
      <c r="F66" s="355"/>
      <c r="G66" s="358"/>
      <c r="H66" s="382"/>
      <c r="I66" s="355"/>
      <c r="J66" s="358"/>
      <c r="K66" s="382"/>
      <c r="L66" s="355"/>
      <c r="M66" s="358"/>
      <c r="N66" s="379"/>
      <c r="Q66" s="356"/>
      <c r="S66" s="355"/>
      <c r="AB66" s="356"/>
      <c r="AC66" s="372" t="e">
        <f ca="1">INDIRECT("'Imp. Qualif.'!M"&amp;INDIRECT("B"&amp;ROW()-1))</f>
        <v>#REF!</v>
      </c>
      <c r="AD66" s="373"/>
      <c r="AE66" s="355"/>
      <c r="AF66" s="372" t="str">
        <f>IF(AD65="","",IF(AE62=2,AC63, IF(AE65 = 2, AC66, IF(AE68=2, AC69, ""))))</f>
        <v/>
      </c>
      <c r="AG66" s="373"/>
      <c r="AH66" s="355"/>
      <c r="AI66" s="372" t="str">
        <f>IF(AG65="","",IF(AH62=2,AF63, IF(AH65 = 2, AF66, IF(AH68=2, AF69, ""))))</f>
        <v/>
      </c>
      <c r="AJ66" s="373"/>
      <c r="AK66" s="355"/>
      <c r="AL66" s="372" t="str">
        <f>IF(AJ65="","",IF(AK62=2,AI63, IF(AK65 = 2, AI66, IF(AK68=2, AI69, ""))))</f>
        <v/>
      </c>
      <c r="AO66" s="356"/>
      <c r="AP66" s="358"/>
      <c r="AQ66" s="384"/>
      <c r="AR66" s="355"/>
      <c r="AS66" s="358"/>
      <c r="AT66" s="382"/>
      <c r="AU66" s="355"/>
      <c r="AV66" s="358"/>
      <c r="AW66" s="382"/>
      <c r="AX66" s="355"/>
      <c r="AY66" s="358"/>
      <c r="BB66" s="356"/>
      <c r="BO66" s="356"/>
      <c r="CB66" s="356"/>
      <c r="CO66" s="356"/>
      <c r="DB66" s="356"/>
      <c r="DO66" s="356"/>
      <c r="EB66" s="356"/>
    </row>
    <row r="67" spans="3:132" ht="15" x14ac:dyDescent="0.2">
      <c r="C67" s="356"/>
      <c r="D67" s="385" t="s">
        <v>386</v>
      </c>
      <c r="E67" s="386"/>
      <c r="F67" s="385" t="s">
        <v>387</v>
      </c>
      <c r="G67" s="385"/>
      <c r="H67" s="385"/>
      <c r="I67" s="385"/>
      <c r="N67" s="379"/>
      <c r="Q67" s="356"/>
      <c r="S67" s="355"/>
      <c r="AB67" s="356"/>
      <c r="AC67" s="358"/>
      <c r="AD67" s="382"/>
      <c r="AE67" s="355"/>
      <c r="AF67" s="358"/>
      <c r="AG67" s="382"/>
      <c r="AH67" s="355"/>
      <c r="AI67" s="358"/>
      <c r="AJ67" s="382"/>
      <c r="AK67" s="355"/>
      <c r="AL67" s="358"/>
      <c r="AO67" s="356"/>
      <c r="AP67" s="385" t="s">
        <v>386</v>
      </c>
      <c r="AQ67" s="386"/>
      <c r="AR67" s="385" t="s">
        <v>387</v>
      </c>
      <c r="AS67" s="385"/>
      <c r="AT67" s="385"/>
      <c r="AU67" s="385"/>
      <c r="BB67" s="356"/>
      <c r="BO67" s="356"/>
      <c r="CB67" s="356"/>
      <c r="CO67" s="356"/>
      <c r="DB67" s="356"/>
      <c r="DO67" s="356"/>
      <c r="EB67" s="356"/>
    </row>
    <row r="68" spans="3:132" ht="13.5" thickBot="1" x14ac:dyDescent="0.25">
      <c r="C68" s="356"/>
      <c r="D68" s="385" t="s">
        <v>386</v>
      </c>
      <c r="E68" s="387"/>
      <c r="F68" s="385" t="s">
        <v>493</v>
      </c>
      <c r="G68" s="385"/>
      <c r="H68" s="385"/>
      <c r="I68" s="385"/>
      <c r="N68" s="379"/>
      <c r="P68" s="351">
        <v>31</v>
      </c>
      <c r="Q68" s="356">
        <v>21</v>
      </c>
      <c r="S68" s="355"/>
      <c r="AA68" s="351">
        <v>31</v>
      </c>
      <c r="AB68" s="356">
        <v>21</v>
      </c>
      <c r="AC68" s="369" t="e">
        <f ca="1">INDIRECT("'Imp. Qualif.'!L"&amp;INDIRECT("B"&amp;ROW()))</f>
        <v>#REF!</v>
      </c>
      <c r="AD68" s="370"/>
      <c r="AE68" s="390" t="str">
        <f>IF(AD68&gt;0,RANK(AD68,(AD62,AD65,AD68),0),"")</f>
        <v/>
      </c>
      <c r="AF68" s="369" t="str">
        <f>IF(AD68="","",IF(AE62=3,AC62, IF(AE65 = 3, AC65, IF(AE68=3, AC68, ""))))</f>
        <v/>
      </c>
      <c r="AG68" s="370"/>
      <c r="AH68" s="388" t="str">
        <f>IF(AG68&gt;0,RANK(AG68,(AG62,AG65,AG68),0),"")</f>
        <v/>
      </c>
      <c r="AI68" s="369" t="str">
        <f>IF(AG68="","",IF(AH62=3,AF62, IF(AH65 = 3, AF65, IF(AH68=3, AF68, ""))))</f>
        <v/>
      </c>
      <c r="AJ68" s="370"/>
      <c r="AK68" s="388" t="str">
        <f>IF(AJ68&gt;0,RANK(AJ68,(AJ62,AJ65,AJ68),0),"")</f>
        <v/>
      </c>
      <c r="AL68" s="369" t="str">
        <f>IF(AJ68="","",IF(AK62=3,AI62, IF(AK65 = 3, AI65, IF(AK68=3, AI68, ""))))</f>
        <v/>
      </c>
      <c r="AN68" s="351">
        <v>31</v>
      </c>
      <c r="AO68" s="356">
        <v>21</v>
      </c>
      <c r="AP68" s="385" t="s">
        <v>386</v>
      </c>
      <c r="AQ68" s="387"/>
      <c r="AR68" s="385" t="s">
        <v>493</v>
      </c>
      <c r="AS68" s="385"/>
      <c r="AT68" s="385"/>
      <c r="AU68" s="385"/>
      <c r="BA68" s="351">
        <v>31</v>
      </c>
      <c r="BB68" s="356">
        <v>21</v>
      </c>
      <c r="BN68" s="351">
        <v>31</v>
      </c>
      <c r="BO68" s="356">
        <v>21</v>
      </c>
      <c r="CA68" s="351">
        <v>31</v>
      </c>
      <c r="CB68" s="356">
        <v>21</v>
      </c>
      <c r="CN68" s="351">
        <v>31</v>
      </c>
      <c r="CO68" s="356">
        <v>21</v>
      </c>
      <c r="DA68" s="351">
        <v>31</v>
      </c>
      <c r="DB68" s="356">
        <v>21</v>
      </c>
      <c r="DN68" s="351">
        <v>31</v>
      </c>
      <c r="DO68" s="356">
        <v>21</v>
      </c>
      <c r="EA68" s="351">
        <v>31</v>
      </c>
      <c r="EB68" s="356">
        <v>21</v>
      </c>
    </row>
    <row r="69" spans="3:132" ht="13.5" thickBot="1" x14ac:dyDescent="0.25">
      <c r="C69" s="356"/>
      <c r="N69" s="379"/>
      <c r="Q69" s="356"/>
      <c r="S69" s="355"/>
      <c r="AB69" s="356"/>
      <c r="AC69" s="372" t="e">
        <f ca="1">INDIRECT("'Imp. Qualif.'!M"&amp;INDIRECT("B"&amp;ROW()-1))</f>
        <v>#REF!</v>
      </c>
      <c r="AD69" s="373"/>
      <c r="AE69" s="355"/>
      <c r="AF69" s="372" t="str">
        <f>IF(AD68="","",IF(AE62=3,AC63, IF(AE65 = 3, AC66, IF(AE68=3, AC69, ""))))</f>
        <v/>
      </c>
      <c r="AG69" s="373"/>
      <c r="AH69" s="355"/>
      <c r="AI69" s="372" t="str">
        <f>IF(AG68="","",IF(AH62=3,AF63, IF(AH65 = 3, AF66, IF(AH68=3, AF69, ""))))</f>
        <v/>
      </c>
      <c r="AJ69" s="373"/>
      <c r="AK69" s="355"/>
      <c r="AL69" s="372" t="str">
        <f>IF(AJ68="","",IF(AK62=3,AI63, IF(AK65 = 3, AI66, IF(AK68=3, AI69, ""))))</f>
        <v/>
      </c>
      <c r="AO69" s="356"/>
      <c r="AP69" s="385"/>
      <c r="AQ69" s="385"/>
      <c r="AR69" s="385"/>
      <c r="AS69" s="385"/>
      <c r="AT69" s="385"/>
      <c r="AU69" s="385"/>
      <c r="BB69" s="356"/>
      <c r="BO69" s="356"/>
      <c r="CB69" s="356"/>
      <c r="CO69" s="356"/>
      <c r="DB69" s="356"/>
      <c r="DO69" s="356"/>
      <c r="EB69" s="356"/>
    </row>
    <row r="70" spans="3:132" x14ac:dyDescent="0.2">
      <c r="S70" s="355"/>
      <c r="AC70" s="358"/>
      <c r="AD70" s="382"/>
      <c r="AE70" s="355"/>
      <c r="AF70" s="358"/>
      <c r="AG70" s="382"/>
      <c r="AH70" s="355"/>
      <c r="AI70" s="358"/>
      <c r="AJ70" s="382"/>
      <c r="AK70" s="355"/>
      <c r="AL70" s="358"/>
    </row>
    <row r="71" spans="3:132" x14ac:dyDescent="0.2">
      <c r="AC71" s="358"/>
      <c r="AD71" s="382"/>
      <c r="AE71" s="355"/>
      <c r="AF71" s="358"/>
      <c r="AG71" s="382"/>
      <c r="AH71" s="355"/>
      <c r="AI71" s="358"/>
      <c r="AJ71" s="382"/>
      <c r="AK71" s="355"/>
      <c r="AL71" s="358"/>
    </row>
    <row r="72" spans="3:132" ht="13.5" thickBot="1" x14ac:dyDescent="0.25">
      <c r="AC72" s="358"/>
      <c r="AD72" s="384"/>
      <c r="AE72" s="355"/>
      <c r="AF72" s="358"/>
      <c r="AG72" s="382"/>
      <c r="AH72" s="355"/>
      <c r="AI72" s="358"/>
      <c r="AJ72" s="382"/>
      <c r="AK72" s="355"/>
      <c r="AL72" s="358"/>
    </row>
    <row r="73" spans="3:132" ht="15" x14ac:dyDescent="0.2">
      <c r="AC73" s="385" t="s">
        <v>386</v>
      </c>
      <c r="AD73" s="386"/>
      <c r="AE73" s="385" t="s">
        <v>387</v>
      </c>
      <c r="AF73" s="385"/>
      <c r="AG73" s="385"/>
      <c r="AH73" s="385"/>
    </row>
    <row r="74" spans="3:132" ht="13.5" thickBot="1" x14ac:dyDescent="0.25">
      <c r="AC74" s="385" t="s">
        <v>386</v>
      </c>
      <c r="AD74" s="387"/>
      <c r="AE74" s="385" t="s">
        <v>493</v>
      </c>
      <c r="AF74" s="385"/>
      <c r="AG74" s="385"/>
      <c r="AH74" s="385"/>
    </row>
    <row r="75" spans="3:132" x14ac:dyDescent="0.2">
      <c r="AC75" s="385"/>
      <c r="AD75" s="385"/>
      <c r="AE75" s="385"/>
      <c r="AF75" s="385"/>
      <c r="AG75" s="385"/>
      <c r="AH75" s="385"/>
    </row>
  </sheetData>
  <mergeCells count="43">
    <mergeCell ref="N14:N15"/>
    <mergeCell ref="E1:L1"/>
    <mergeCell ref="G2:J2"/>
    <mergeCell ref="D3:G3"/>
    <mergeCell ref="I3:L3"/>
    <mergeCell ref="N8:N9"/>
    <mergeCell ref="N11:N12"/>
    <mergeCell ref="AD1:AK1"/>
    <mergeCell ref="AF2:AI2"/>
    <mergeCell ref="AC3:AF3"/>
    <mergeCell ref="AH3:AK3"/>
    <mergeCell ref="AQ1:AX1"/>
    <mergeCell ref="AS2:AV2"/>
    <mergeCell ref="AP3:AS3"/>
    <mergeCell ref="AU3:AX3"/>
    <mergeCell ref="BD1:BK1"/>
    <mergeCell ref="BF2:BI2"/>
    <mergeCell ref="BC3:BF3"/>
    <mergeCell ref="BH3:BK3"/>
    <mergeCell ref="BQ1:BX1"/>
    <mergeCell ref="BS2:BV2"/>
    <mergeCell ref="BP3:BS3"/>
    <mergeCell ref="BU3:BX3"/>
    <mergeCell ref="CD1:CK1"/>
    <mergeCell ref="CF2:CI2"/>
    <mergeCell ref="CC3:CF3"/>
    <mergeCell ref="CH3:CK3"/>
    <mergeCell ref="CQ1:CX1"/>
    <mergeCell ref="CS2:CV2"/>
    <mergeCell ref="CP3:CS3"/>
    <mergeCell ref="CU3:CX3"/>
    <mergeCell ref="ED1:EK1"/>
    <mergeCell ref="EF2:EI2"/>
    <mergeCell ref="EC3:EF3"/>
    <mergeCell ref="EH3:EK3"/>
    <mergeCell ref="DD1:DK1"/>
    <mergeCell ref="DF2:DI2"/>
    <mergeCell ref="DC3:DF3"/>
    <mergeCell ref="DH3:DK3"/>
    <mergeCell ref="DQ1:DX1"/>
    <mergeCell ref="DS2:DV2"/>
    <mergeCell ref="DP3:DS3"/>
    <mergeCell ref="DU3:DX3"/>
  </mergeCells>
  <printOptions horizontalCentered="1"/>
  <pageMargins left="0.35433070866141736" right="0.11811023622047245" top="0.31496062992125984" bottom="0.31496062992125984" header="0" footer="0.51181102362204722"/>
  <pageSetup paperSize="9" scale="7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4">
    <pageSetUpPr fitToPage="1"/>
  </sheetPr>
  <dimension ref="A2:Z99"/>
  <sheetViews>
    <sheetView zoomScale="80" zoomScaleNormal="80" workbookViewId="0">
      <pane ySplit="11" topLeftCell="A12" activePane="bottomLeft" state="frozenSplit"/>
      <selection activeCell="L21" sqref="L21"/>
      <selection pane="bottomLeft" activeCell="M4" sqref="M4"/>
    </sheetView>
  </sheetViews>
  <sheetFormatPr baseColWidth="10" defaultRowHeight="12.75" x14ac:dyDescent="0.2"/>
  <cols>
    <col min="1" max="1" width="31.28515625" customWidth="1"/>
    <col min="2" max="2" width="19.85546875" customWidth="1"/>
    <col min="3" max="3" width="19.140625" customWidth="1"/>
    <col min="4" max="4" width="10.28515625" style="3" customWidth="1"/>
    <col min="5" max="5" width="9.5703125" style="3" customWidth="1"/>
    <col min="6" max="6" width="4.42578125" style="3" customWidth="1"/>
    <col min="7" max="7" width="34.42578125" bestFit="1" customWidth="1"/>
    <col min="8" max="8" width="5.7109375" style="5" customWidth="1"/>
    <col min="9" max="9" width="2.42578125" customWidth="1"/>
    <col min="10" max="10" width="34.42578125" bestFit="1" customWidth="1"/>
    <col min="11" max="11" width="5.7109375" style="5" customWidth="1"/>
    <col min="12" max="12" width="2.5703125" customWidth="1"/>
    <col min="13" max="13" width="34.42578125" bestFit="1" customWidth="1"/>
    <col min="14" max="14" width="5.7109375" style="2" customWidth="1"/>
    <col min="15" max="15" width="3.28515625" customWidth="1"/>
    <col min="16" max="16" width="8.42578125" customWidth="1"/>
    <col min="17" max="17" width="27.28515625" customWidth="1"/>
    <col min="18" max="18" width="35.5703125" customWidth="1"/>
    <col min="19" max="19" width="9.85546875" bestFit="1" customWidth="1"/>
    <col min="21" max="21" width="23.5703125" bestFit="1" customWidth="1"/>
    <col min="22" max="22" width="7.140625" bestFit="1" customWidth="1"/>
    <col min="23" max="23" width="7" bestFit="1" customWidth="1"/>
    <col min="24" max="24" width="5.42578125" bestFit="1" customWidth="1"/>
    <col min="25" max="25" width="7.5703125" bestFit="1" customWidth="1"/>
  </cols>
  <sheetData>
    <row r="2" spans="1:25" ht="3.75" customHeight="1" x14ac:dyDescent="0.2"/>
    <row r="3" spans="1:25" ht="24.75" customHeight="1" x14ac:dyDescent="0.4">
      <c r="M3" s="1057" t="str">
        <f>CATEG_IMPORTEE</f>
        <v>Collèges Mixtes Etablissement</v>
      </c>
      <c r="N3" s="1057"/>
      <c r="O3" s="1057"/>
      <c r="P3" s="1057"/>
      <c r="Q3" s="1057"/>
    </row>
    <row r="5" spans="1:25" ht="20.25" x14ac:dyDescent="0.3">
      <c r="N5" s="1055" t="s">
        <v>494</v>
      </c>
      <c r="O5" s="1055"/>
      <c r="P5" s="1055"/>
      <c r="Q5" s="147" t="str">
        <f>Niveau</f>
        <v>de France de Tir à l'ARC</v>
      </c>
    </row>
    <row r="6" spans="1:25" ht="20.25" x14ac:dyDescent="0.3">
      <c r="N6" s="173" t="s">
        <v>495</v>
      </c>
      <c r="O6" s="148" t="str">
        <f>LIEU</f>
        <v>L’Isle sur la Sorgue</v>
      </c>
      <c r="P6" s="146"/>
    </row>
    <row r="7" spans="1:25" ht="15.75" x14ac:dyDescent="0.25">
      <c r="A7" s="2" t="s">
        <v>38</v>
      </c>
      <c r="B7" s="2"/>
      <c r="C7" s="2"/>
      <c r="N7" s="173" t="s">
        <v>491</v>
      </c>
      <c r="O7" s="1056" t="str">
        <f>DATE</f>
        <v>27 au 31 mars 2023</v>
      </c>
      <c r="P7" s="1056"/>
      <c r="Q7" s="1056"/>
    </row>
    <row r="8" spans="1:25" ht="12.75" customHeight="1" x14ac:dyDescent="0.2">
      <c r="A8" s="2" t="s">
        <v>40</v>
      </c>
      <c r="B8" s="2"/>
      <c r="C8" s="2"/>
    </row>
    <row r="9" spans="1:25" x14ac:dyDescent="0.2">
      <c r="A9" s="51" t="s">
        <v>0</v>
      </c>
      <c r="B9" s="51" t="s">
        <v>375</v>
      </c>
      <c r="C9" s="51" t="s">
        <v>374</v>
      </c>
      <c r="D9" s="68" t="s">
        <v>3</v>
      </c>
      <c r="E9" s="68" t="s">
        <v>24</v>
      </c>
    </row>
    <row r="10" spans="1:25" ht="15.75" x14ac:dyDescent="0.25">
      <c r="A10" s="16" t="str">
        <f>IF(ISBLANK('Imp. Qualif.'!L11),"",'Imp. Qualif.'!L11)</f>
        <v/>
      </c>
      <c r="B10" s="16" t="str">
        <f>IF(ISBLANK('Imp. Qualif.'!M11),"",'Imp. Qualif.'!M11)</f>
        <v/>
      </c>
      <c r="C10" s="16" t="str">
        <f>IF(ISBLANK('Imp. Qualif.'!N11),"",'Imp. Qualif.'!N11)</f>
        <v/>
      </c>
      <c r="D10" s="17" t="str">
        <f>IF(ISBLANK('Imp. Qualif.'!O11),"",'Imp. Qualif.'!O11)</f>
        <v/>
      </c>
      <c r="E10" s="17" t="str">
        <f>IF(ISBLANK('Imp. Qualif.'!P11),"",'Imp. Qualif.'!P11)</f>
        <v/>
      </c>
      <c r="G10" s="13" t="s">
        <v>22</v>
      </c>
      <c r="H10" s="13"/>
      <c r="J10" s="13" t="s">
        <v>23</v>
      </c>
      <c r="K10" s="13"/>
      <c r="M10" s="13" t="s">
        <v>51</v>
      </c>
      <c r="N10" s="145"/>
      <c r="O10" s="145"/>
      <c r="P10" s="2" t="s">
        <v>24</v>
      </c>
      <c r="Q10" s="149" t="s">
        <v>37</v>
      </c>
    </row>
    <row r="11" spans="1:25" ht="14.1" customHeight="1" thickBot="1" x14ac:dyDescent="0.25">
      <c r="A11" s="16" t="str">
        <f>IF(ISBLANK('Imp. Qualif.'!L12),"",'Imp. Qualif.'!L12)</f>
        <v/>
      </c>
      <c r="B11" s="16" t="str">
        <f>IF(ISBLANK('Imp. Qualif.'!M12),"",'Imp. Qualif.'!M12)</f>
        <v/>
      </c>
      <c r="C11" s="16" t="str">
        <f>IF(ISBLANK('Imp. Qualif.'!N12),"",'Imp. Qualif.'!N12)</f>
        <v/>
      </c>
      <c r="D11" s="17" t="str">
        <f>IF(ISBLANK('Imp. Qualif.'!O12),"",'Imp. Qualif.'!O12)</f>
        <v/>
      </c>
      <c r="E11" s="17" t="str">
        <f>IF(ISBLANK('Imp. Qualif.'!P12),"",'Imp. Qualif.'!P12)</f>
        <v/>
      </c>
      <c r="H11" s="4" t="s">
        <v>3</v>
      </c>
      <c r="K11" s="4" t="s">
        <v>3</v>
      </c>
      <c r="N11" s="72" t="s">
        <v>3</v>
      </c>
      <c r="O11" s="72"/>
      <c r="U11" s="2"/>
    </row>
    <row r="12" spans="1:25" ht="14.1" customHeight="1" x14ac:dyDescent="0.25">
      <c r="A12" s="16" t="str">
        <f>IF(ISBLANK('Imp. Qualif.'!L13),"",'Imp. Qualif.'!L13)</f>
        <v/>
      </c>
      <c r="B12" s="16" t="str">
        <f>IF(ISBLANK('Imp. Qualif.'!M13),"",'Imp. Qualif.'!M13)</f>
        <v/>
      </c>
      <c r="C12" s="16" t="str">
        <f>IF(ISBLANK('Imp. Qualif.'!N13),"",'Imp. Qualif.'!N13)</f>
        <v/>
      </c>
      <c r="D12" s="17" t="str">
        <f>IF(ISBLANK('Imp. Qualif.'!O13),"",'Imp. Qualif.'!O13)</f>
        <v/>
      </c>
      <c r="E12" s="17" t="str">
        <f>IF(ISBLANK('Imp. Qualif.'!P13),"",'Imp. Qualif.'!P13)</f>
        <v/>
      </c>
      <c r="F12" s="3">
        <v>1</v>
      </c>
      <c r="G12" s="11" t="str">
        <f>IF(ISBLANK(A10),"",A10)</f>
        <v/>
      </c>
      <c r="H12" s="143"/>
      <c r="J12" s="11" t="str">
        <f>IF(ISBLANK(H12),"",IF(H12&gt;H13,G12,G13))</f>
        <v/>
      </c>
      <c r="K12" s="143"/>
      <c r="M12" s="11" t="str">
        <f>IF(ISBLANK(K12),"",IF(K12&gt;K13,J12,J13))</f>
        <v/>
      </c>
      <c r="N12" s="143"/>
      <c r="P12" s="6">
        <v>1</v>
      </c>
      <c r="Q12" s="172" t="str">
        <f>IF(ISBLANK(N12),"",IF(N12&gt;N13,M12,M13))</f>
        <v/>
      </c>
      <c r="V12" s="3"/>
      <c r="W12" s="3"/>
      <c r="X12" s="3"/>
      <c r="Y12" s="3"/>
    </row>
    <row r="13" spans="1:25" ht="14.1" customHeight="1" thickBot="1" x14ac:dyDescent="0.3">
      <c r="A13" s="16" t="str">
        <f>IF(ISBLANK('Imp. Qualif.'!L14),"",'Imp. Qualif.'!L14)</f>
        <v/>
      </c>
      <c r="B13" s="16" t="str">
        <f>IF(ISBLANK('Imp. Qualif.'!M14),"",'Imp. Qualif.'!M14)</f>
        <v/>
      </c>
      <c r="C13" s="16" t="str">
        <f>IF(ISBLANK('Imp. Qualif.'!N14),"",'Imp. Qualif.'!N14)</f>
        <v/>
      </c>
      <c r="D13" s="17" t="str">
        <f>IF(ISBLANK('Imp. Qualif.'!O14),"",'Imp. Qualif.'!O14)</f>
        <v/>
      </c>
      <c r="E13" s="17" t="str">
        <f>IF(ISBLANK('Imp. Qualif.'!P14),"",'Imp. Qualif.'!P14)</f>
        <v/>
      </c>
      <c r="F13" s="3">
        <v>2</v>
      </c>
      <c r="G13" s="12" t="str">
        <f>IF(ISBLANK(A11),"",A11)</f>
        <v/>
      </c>
      <c r="H13" s="143"/>
      <c r="J13" s="12" t="str">
        <f>IF(ISBLANK(H15),"",IF(H15&gt;H16,G15,G16))</f>
        <v/>
      </c>
      <c r="K13" s="143"/>
      <c r="M13" s="12" t="str">
        <f>IF(ISBLANK(K15),"",IF(K15&gt;K16,J15,J16))</f>
        <v/>
      </c>
      <c r="N13" s="143"/>
      <c r="P13" s="6">
        <v>2</v>
      </c>
      <c r="Q13" s="172" t="str">
        <f>IF(ISBLANK(N13),"",IF(N13&lt;N12,M13,M12))</f>
        <v/>
      </c>
      <c r="V13" s="3"/>
      <c r="W13" s="3"/>
      <c r="X13" s="3"/>
      <c r="Y13" s="3"/>
    </row>
    <row r="14" spans="1:25" ht="14.1" customHeight="1" thickBot="1" x14ac:dyDescent="0.3">
      <c r="A14" s="16" t="str">
        <f>IF(ISBLANK('Imp. Qualif.'!L15),"",'Imp. Qualif.'!L15)</f>
        <v/>
      </c>
      <c r="B14" s="16" t="str">
        <f>IF(ISBLANK('Imp. Qualif.'!M15),"",'Imp. Qualif.'!M15)</f>
        <v/>
      </c>
      <c r="C14" s="16" t="str">
        <f>IF(ISBLANK('Imp. Qualif.'!N15),"",'Imp. Qualif.'!N15)</f>
        <v/>
      </c>
      <c r="D14" s="17" t="str">
        <f>IF(ISBLANK('Imp. Qualif.'!O15),"",'Imp. Qualif.'!O15)</f>
        <v/>
      </c>
      <c r="E14" s="17" t="str">
        <f>IF(ISBLANK('Imp. Qualif.'!P15),"",'Imp. Qualif.'!P15)</f>
        <v/>
      </c>
      <c r="N14" s="5"/>
      <c r="P14" s="6">
        <v>3</v>
      </c>
      <c r="Q14" s="172" t="str">
        <f>IF(ISBLANK(N15),"",IF(N15&gt;N16,M15,M16))</f>
        <v/>
      </c>
      <c r="R14" s="5"/>
      <c r="S14" s="5"/>
      <c r="V14" s="3"/>
      <c r="W14" s="3"/>
      <c r="X14" s="3"/>
      <c r="Y14" s="3"/>
    </row>
    <row r="15" spans="1:25" ht="14.1" customHeight="1" x14ac:dyDescent="0.25">
      <c r="A15" s="16" t="str">
        <f>IF(ISBLANK('Imp. Qualif.'!L16),"",'Imp. Qualif.'!L16)</f>
        <v/>
      </c>
      <c r="B15" s="16" t="str">
        <f>IF(ISBLANK('Imp. Qualif.'!M16),"",'Imp. Qualif.'!M16)</f>
        <v/>
      </c>
      <c r="C15" s="16" t="str">
        <f>IF(ISBLANK('Imp. Qualif.'!N16),"",'Imp. Qualif.'!N16)</f>
        <v/>
      </c>
      <c r="D15" s="17" t="str">
        <f>IF(ISBLANK('Imp. Qualif.'!O16),"",'Imp. Qualif.'!O16)</f>
        <v/>
      </c>
      <c r="E15" s="17" t="str">
        <f>IF(ISBLANK('Imp. Qualif.'!P16),"",'Imp. Qualif.'!P16)</f>
        <v/>
      </c>
      <c r="F15" s="3">
        <v>3</v>
      </c>
      <c r="G15" s="100" t="str">
        <f>IF(ISBLANK(A12),"",A12)</f>
        <v/>
      </c>
      <c r="H15" s="143"/>
      <c r="J15" s="99" t="str">
        <f>IF(ISBLANK(H13),"",IF(H13&lt;H12,G13,G12))</f>
        <v/>
      </c>
      <c r="K15" s="143"/>
      <c r="M15" s="11" t="str">
        <f>IF(ISBLANK(K13),"",IF(K13&lt;K12,J13,J12))</f>
        <v/>
      </c>
      <c r="N15" s="143"/>
      <c r="P15" s="6">
        <v>4</v>
      </c>
      <c r="Q15" s="150" t="str">
        <f>IF(ISBLANK(N16),"",IF(N16&lt;N15,M16,M15))</f>
        <v/>
      </c>
      <c r="R15" s="5"/>
      <c r="S15" s="5"/>
      <c r="V15" s="3"/>
      <c r="W15" s="3"/>
      <c r="X15" s="3"/>
      <c r="Y15" s="3"/>
    </row>
    <row r="16" spans="1:25" ht="14.1" customHeight="1" thickBot="1" x14ac:dyDescent="0.3">
      <c r="A16" s="16" t="str">
        <f>IF(ISBLANK('Imp. Qualif.'!L17),"",'Imp. Qualif.'!L17)</f>
        <v/>
      </c>
      <c r="B16" s="16" t="str">
        <f>IF(ISBLANK('Imp. Qualif.'!M17),"",'Imp. Qualif.'!M17)</f>
        <v/>
      </c>
      <c r="C16" s="16" t="str">
        <f>IF(ISBLANK('Imp. Qualif.'!N17),"",'Imp. Qualif.'!N17)</f>
        <v/>
      </c>
      <c r="D16" s="17" t="str">
        <f>IF(ISBLANK('Imp. Qualif.'!O17),"",'Imp. Qualif.'!O17)</f>
        <v/>
      </c>
      <c r="E16" s="17" t="str">
        <f>IF(ISBLANK('Imp. Qualif.'!P17),"",'Imp. Qualif.'!P17)</f>
        <v/>
      </c>
      <c r="F16" s="3">
        <v>4</v>
      </c>
      <c r="G16" s="12" t="str">
        <f>IF(ISBLANK(A13),"",A13)</f>
        <v/>
      </c>
      <c r="H16" s="143"/>
      <c r="J16" s="12" t="str">
        <f>IF(ISBLANK(H18),"",IF(H18&gt;H19,G18,G19))</f>
        <v/>
      </c>
      <c r="K16" s="143"/>
      <c r="M16" s="12" t="str">
        <f>IF(ISBLANK(K18),"",IF(K18&gt;K19,J18,J19))</f>
        <v/>
      </c>
      <c r="N16" s="143"/>
      <c r="P16" s="6">
        <v>5</v>
      </c>
      <c r="Q16" s="150" t="str">
        <f>IF(ISBLANK(N18),"",IF(N18&gt;N19,M18,M19))</f>
        <v/>
      </c>
      <c r="R16" s="5"/>
      <c r="S16" s="5"/>
      <c r="V16" s="3"/>
      <c r="W16" s="3"/>
      <c r="X16" s="3"/>
      <c r="Y16" s="3"/>
    </row>
    <row r="17" spans="1:26" ht="14.1" customHeight="1" thickBot="1" x14ac:dyDescent="0.3">
      <c r="A17" s="16" t="str">
        <f>IF(ISBLANK('Imp. Qualif.'!L18),"",'Imp. Qualif.'!L18)</f>
        <v/>
      </c>
      <c r="B17" s="16" t="str">
        <f>IF(ISBLANK('Imp. Qualif.'!M18),"",'Imp. Qualif.'!M18)</f>
        <v/>
      </c>
      <c r="C17" s="16" t="str">
        <f>IF(ISBLANK('Imp. Qualif.'!N18),"",'Imp. Qualif.'!N18)</f>
        <v/>
      </c>
      <c r="D17" s="17" t="str">
        <f>IF(ISBLANK('Imp. Qualif.'!O18),"",'Imp. Qualif.'!O18)</f>
        <v/>
      </c>
      <c r="E17" s="17" t="str">
        <f>IF(ISBLANK('Imp. Qualif.'!P18),"",'Imp. Qualif.'!P18)</f>
        <v/>
      </c>
      <c r="N17" s="5"/>
      <c r="P17" s="6">
        <v>6</v>
      </c>
      <c r="Q17" s="150" t="str">
        <f>IF(ISBLANK(N19),"",IF(N19&lt;N18,M19,M18))</f>
        <v/>
      </c>
      <c r="R17" s="5"/>
      <c r="S17" s="5"/>
      <c r="V17" s="3"/>
      <c r="W17" s="3"/>
      <c r="X17" s="3"/>
      <c r="Y17" s="3"/>
    </row>
    <row r="18" spans="1:26" ht="14.1" customHeight="1" x14ac:dyDescent="0.25">
      <c r="A18" s="16" t="str">
        <f>IF(ISBLANK('Imp. Qualif.'!L19),"",'Imp. Qualif.'!L19)</f>
        <v/>
      </c>
      <c r="B18" s="16" t="str">
        <f>IF(ISBLANK('Imp. Qualif.'!M19),"",'Imp. Qualif.'!M19)</f>
        <v/>
      </c>
      <c r="C18" s="16" t="str">
        <f>IF(ISBLANK('Imp. Qualif.'!N19),"",'Imp. Qualif.'!N19)</f>
        <v/>
      </c>
      <c r="D18" s="17" t="str">
        <f>IF(ISBLANK('Imp. Qualif.'!O19),"",'Imp. Qualif.'!O19)</f>
        <v/>
      </c>
      <c r="E18" s="17" t="str">
        <f>IF(ISBLANK('Imp. Qualif.'!P19),"",'Imp. Qualif.'!P19)</f>
        <v/>
      </c>
      <c r="F18" s="3">
        <v>5</v>
      </c>
      <c r="G18" s="11" t="str">
        <f>IF(ISBLANK(A14),"",A14)</f>
        <v/>
      </c>
      <c r="H18" s="143"/>
      <c r="J18" s="11" t="str">
        <f>IF(ISBLANK(H16),"",IF(H16&lt;H15,G16,G15))</f>
        <v/>
      </c>
      <c r="K18" s="143"/>
      <c r="M18" s="11" t="str">
        <f>IF(ISBLANK(K16),"",IF(K16&lt;K15,J16,J15))</f>
        <v/>
      </c>
      <c r="N18" s="143"/>
      <c r="P18" s="6">
        <v>7</v>
      </c>
      <c r="Q18" s="150" t="str">
        <f>IF(ISBLANK(N21),"",IF(N21&gt;N22,M21,M22))</f>
        <v/>
      </c>
      <c r="R18" s="5"/>
      <c r="S18" s="5"/>
    </row>
    <row r="19" spans="1:26" ht="14.1" customHeight="1" thickBot="1" x14ac:dyDescent="0.3">
      <c r="A19" s="16" t="str">
        <f>IF(ISBLANK('Imp. Qualif.'!L20),"",'Imp. Qualif.'!L20)</f>
        <v/>
      </c>
      <c r="B19" s="16" t="str">
        <f>IF(ISBLANK('Imp. Qualif.'!M20),"",'Imp. Qualif.'!M20)</f>
        <v/>
      </c>
      <c r="C19" s="16" t="str">
        <f>IF(ISBLANK('Imp. Qualif.'!N20),"",'Imp. Qualif.'!N20)</f>
        <v/>
      </c>
      <c r="D19" s="17" t="str">
        <f>IF(ISBLANK('Imp. Qualif.'!O20),"",'Imp. Qualif.'!O20)</f>
        <v/>
      </c>
      <c r="E19" s="17" t="str">
        <f>IF(ISBLANK('Imp. Qualif.'!P20),"",'Imp. Qualif.'!P20)</f>
        <v/>
      </c>
      <c r="F19" s="3">
        <v>6</v>
      </c>
      <c r="G19" s="12" t="str">
        <f>IF(ISBLANK(A15),"",A15)</f>
        <v/>
      </c>
      <c r="H19" s="143"/>
      <c r="J19" s="12" t="str">
        <f>IF(ISBLANK(H21),"",IF(H21&gt;H22,G21,G22))</f>
        <v/>
      </c>
      <c r="K19" s="143"/>
      <c r="M19" s="12" t="str">
        <f>IF(ISBLANK(K21),"",IF(K21&gt;K22,J21,J22))</f>
        <v/>
      </c>
      <c r="N19" s="143"/>
      <c r="P19" s="6">
        <v>8</v>
      </c>
      <c r="Q19" s="150" t="str">
        <f>IF(ISBLANK(N22),"",IF(N22&lt;N21,M22,M21))</f>
        <v/>
      </c>
      <c r="R19" s="5"/>
      <c r="S19" s="5"/>
    </row>
    <row r="20" spans="1:26" ht="14.1" customHeight="1" thickBot="1" x14ac:dyDescent="0.3">
      <c r="A20" s="16" t="str">
        <f>IF(ISBLANK('Imp. Qualif.'!L21),"",'Imp. Qualif.'!L21)</f>
        <v/>
      </c>
      <c r="B20" s="16" t="str">
        <f>IF(ISBLANK('Imp. Qualif.'!M21),"",'Imp. Qualif.'!M21)</f>
        <v/>
      </c>
      <c r="C20" s="16" t="str">
        <f>IF(ISBLANK('Imp. Qualif.'!N21),"",'Imp. Qualif.'!N21)</f>
        <v/>
      </c>
      <c r="D20" s="17" t="str">
        <f>IF(ISBLANK('Imp. Qualif.'!O21),"",'Imp. Qualif.'!O21)</f>
        <v/>
      </c>
      <c r="E20" s="17" t="str">
        <f>IF(ISBLANK('Imp. Qualif.'!P21),"",'Imp. Qualif.'!P21)</f>
        <v/>
      </c>
      <c r="N20" s="5"/>
      <c r="P20" s="6">
        <v>9</v>
      </c>
      <c r="Q20" s="150" t="str">
        <f>IF(ISBLANK(N24),"",IF(N24&gt;N25,M24,M25))</f>
        <v/>
      </c>
      <c r="S20" s="5"/>
    </row>
    <row r="21" spans="1:26" ht="14.1" customHeight="1" x14ac:dyDescent="0.25">
      <c r="A21" s="16" t="str">
        <f>IF(ISBLANK('Imp. Qualif.'!L22),"",'Imp. Qualif.'!L22)</f>
        <v/>
      </c>
      <c r="B21" s="16" t="str">
        <f>IF(ISBLANK('Imp. Qualif.'!M22),"",'Imp. Qualif.'!M22)</f>
        <v/>
      </c>
      <c r="C21" s="16" t="str">
        <f>IF(ISBLANK('Imp. Qualif.'!N22),"",'Imp. Qualif.'!N22)</f>
        <v/>
      </c>
      <c r="D21" s="17" t="str">
        <f>IF(ISBLANK('Imp. Qualif.'!O22),"",'Imp. Qualif.'!O22)</f>
        <v/>
      </c>
      <c r="E21" s="17" t="str">
        <f>IF(ISBLANK('Imp. Qualif.'!P22),"",'Imp. Qualif.'!P22)</f>
        <v/>
      </c>
      <c r="F21" s="3">
        <v>7</v>
      </c>
      <c r="G21" s="11" t="str">
        <f>IF(ISBLANK(A16),"",A16)</f>
        <v/>
      </c>
      <c r="H21" s="143"/>
      <c r="J21" s="11" t="str">
        <f>IF(ISBLANK(H19),"",IF(H19&lt;H18,G19,G18))</f>
        <v/>
      </c>
      <c r="K21" s="143"/>
      <c r="M21" s="11" t="str">
        <f>IF(ISBLANK(K19),"",IF(K19&lt;K18,J19,J18))</f>
        <v/>
      </c>
      <c r="N21" s="143"/>
      <c r="P21" s="6">
        <v>10</v>
      </c>
      <c r="Q21" s="150" t="str">
        <f>IF(ISBLANK(N25),"",IF(N25&lt;N24,M25,M24))</f>
        <v/>
      </c>
      <c r="R21" s="9"/>
      <c r="S21" s="9"/>
      <c r="U21" s="2"/>
    </row>
    <row r="22" spans="1:26" ht="14.1" customHeight="1" thickBot="1" x14ac:dyDescent="0.3">
      <c r="A22" s="16" t="str">
        <f>IF(ISBLANK('Imp. Qualif.'!L23),"",'Imp. Qualif.'!L23)</f>
        <v/>
      </c>
      <c r="B22" s="16" t="str">
        <f>IF(ISBLANK('Imp. Qualif.'!M23),"",'Imp. Qualif.'!M23)</f>
        <v/>
      </c>
      <c r="C22" s="16" t="str">
        <f>IF(ISBLANK('Imp. Qualif.'!N23),"",'Imp. Qualif.'!N23)</f>
        <v/>
      </c>
      <c r="D22" s="17" t="str">
        <f>IF(ISBLANK('Imp. Qualif.'!O23),"",'Imp. Qualif.'!O23)</f>
        <v/>
      </c>
      <c r="E22" s="17" t="str">
        <f>IF(ISBLANK('Imp. Qualif.'!P23),"",'Imp. Qualif.'!P23)</f>
        <v/>
      </c>
      <c r="F22" s="3">
        <v>8</v>
      </c>
      <c r="G22" s="12" t="str">
        <f>IF(ISBLANK(A17),"",A17)</f>
        <v/>
      </c>
      <c r="H22" s="143"/>
      <c r="J22" s="12" t="str">
        <f>IF(ISBLANK(H24),"",IF(H24&gt;H25,G24,G25))</f>
        <v/>
      </c>
      <c r="K22" s="143"/>
      <c r="M22" s="12" t="str">
        <f>IF(ISBLANK(K24),"",IF(K24&gt;K25,J24,J25))</f>
        <v/>
      </c>
      <c r="N22" s="143"/>
      <c r="P22" s="6">
        <v>11</v>
      </c>
      <c r="Q22" s="150" t="str">
        <f>IF(ISBLANK(N27),"",IF(N27&gt;N28,M27,M28))</f>
        <v/>
      </c>
      <c r="U22" s="3"/>
      <c r="V22" s="3"/>
      <c r="W22" s="3"/>
      <c r="X22" s="3"/>
      <c r="Y22" s="3"/>
    </row>
    <row r="23" spans="1:26" ht="14.1" customHeight="1" thickBot="1" x14ac:dyDescent="0.3">
      <c r="A23" s="16" t="str">
        <f>IF(ISBLANK('Imp. Qualif.'!L24),"",'Imp. Qualif.'!L24)</f>
        <v/>
      </c>
      <c r="B23" s="16" t="str">
        <f>IF(ISBLANK('Imp. Qualif.'!M24),"",'Imp. Qualif.'!M24)</f>
        <v/>
      </c>
      <c r="C23" s="16" t="str">
        <f>IF(ISBLANK('Imp. Qualif.'!N24),"",'Imp. Qualif.'!N24)</f>
        <v/>
      </c>
      <c r="D23" s="17" t="str">
        <f>IF(ISBLANK('Imp. Qualif.'!O24),"",'Imp. Qualif.'!O24)</f>
        <v/>
      </c>
      <c r="E23" s="17" t="str">
        <f>IF(ISBLANK('Imp. Qualif.'!P24),"",'Imp. Qualif.'!P24)</f>
        <v/>
      </c>
      <c r="N23" s="5"/>
      <c r="P23" s="6">
        <v>12</v>
      </c>
      <c r="Q23" s="150" t="str">
        <f>IF(ISBLANK(N28),"",IF(N28&lt;N27,M28,M27))</f>
        <v/>
      </c>
      <c r="U23" s="3"/>
      <c r="V23" s="3"/>
      <c r="W23" s="3"/>
      <c r="X23" s="3"/>
      <c r="Y23" s="3"/>
    </row>
    <row r="24" spans="1:26" ht="14.1" customHeight="1" x14ac:dyDescent="0.25">
      <c r="A24" s="16" t="str">
        <f>IF(ISBLANK('Imp. Qualif.'!L25),"",'Imp. Qualif.'!L25)</f>
        <v/>
      </c>
      <c r="B24" s="16" t="str">
        <f>IF(ISBLANK('Imp. Qualif.'!M25),"",'Imp. Qualif.'!M25)</f>
        <v/>
      </c>
      <c r="C24" s="16" t="str">
        <f>IF(ISBLANK('Imp. Qualif.'!N25),"",'Imp. Qualif.'!N25)</f>
        <v/>
      </c>
      <c r="D24" s="17" t="str">
        <f>IF(ISBLANK('Imp. Qualif.'!O25),"",'Imp. Qualif.'!O25)</f>
        <v/>
      </c>
      <c r="E24" s="17" t="str">
        <f>IF(ISBLANK('Imp. Qualif.'!P25),"",'Imp. Qualif.'!P25)</f>
        <v/>
      </c>
      <c r="F24" s="3">
        <v>9</v>
      </c>
      <c r="G24" s="11" t="str">
        <f>IF(ISBLANK(A18),"",A18)</f>
        <v/>
      </c>
      <c r="H24" s="143"/>
      <c r="J24" s="11" t="str">
        <f>IF(ISBLANK(H22),"",IF(H22&lt;H21,G22,G21))</f>
        <v/>
      </c>
      <c r="K24" s="143"/>
      <c r="M24" s="11" t="str">
        <f>IF(ISBLANK(K22),"",IF(K22&lt;K21,J22,J21))</f>
        <v/>
      </c>
      <c r="N24" s="143"/>
      <c r="P24" s="6">
        <v>13</v>
      </c>
      <c r="Q24" s="150" t="str">
        <f>IF(ISBLANK(N30),"",IF(N30&gt;N31,M30,M31))</f>
        <v/>
      </c>
      <c r="U24" s="3"/>
      <c r="V24" s="3"/>
      <c r="W24" s="3"/>
      <c r="X24" s="3"/>
      <c r="Y24" s="3"/>
    </row>
    <row r="25" spans="1:26" ht="14.1" customHeight="1" thickBot="1" x14ac:dyDescent="0.3">
      <c r="A25" s="16" t="str">
        <f>IF(ISBLANK('Imp. Qualif.'!L26),"",'Imp. Qualif.'!L26)</f>
        <v/>
      </c>
      <c r="B25" s="16" t="str">
        <f>IF(ISBLANK('Imp. Qualif.'!M26),"",'Imp. Qualif.'!M26)</f>
        <v/>
      </c>
      <c r="C25" s="16" t="str">
        <f>IF(ISBLANK('Imp. Qualif.'!N26),"",'Imp. Qualif.'!N26)</f>
        <v/>
      </c>
      <c r="D25" s="17" t="str">
        <f>IF(ISBLANK('Imp. Qualif.'!O26),"",'Imp. Qualif.'!O26)</f>
        <v/>
      </c>
      <c r="E25" s="17" t="str">
        <f>IF(ISBLANK('Imp. Qualif.'!P26),"",'Imp. Qualif.'!P26)</f>
        <v/>
      </c>
      <c r="F25" s="3">
        <v>10</v>
      </c>
      <c r="G25" s="12" t="str">
        <f>IF(ISBLANK(A19),"",A19)</f>
        <v/>
      </c>
      <c r="H25" s="143"/>
      <c r="J25" s="12" t="str">
        <f>IF(ISBLANK(H27),"",IF(H27&gt;H28,G27,G28))</f>
        <v/>
      </c>
      <c r="K25" s="143"/>
      <c r="M25" s="12" t="str">
        <f>IF(ISBLANK(K27),"",IF(K27&gt;K28,J27,J28))</f>
        <v/>
      </c>
      <c r="N25" s="143"/>
      <c r="P25" s="6">
        <v>14</v>
      </c>
      <c r="Q25" s="150" t="str">
        <f>IF(ISBLANK(N31),"",IF(N31&lt;N30,M31,M30))</f>
        <v/>
      </c>
      <c r="U25" s="3"/>
      <c r="V25" s="3"/>
      <c r="W25" s="3"/>
      <c r="X25" s="3"/>
      <c r="Y25" s="3"/>
    </row>
    <row r="26" spans="1:26" ht="14.1" customHeight="1" thickBot="1" x14ac:dyDescent="0.3">
      <c r="A26" s="16" t="str">
        <f>IF(ISBLANK('Imp. Qualif.'!L27),"",'Imp. Qualif.'!L27)</f>
        <v/>
      </c>
      <c r="B26" s="16" t="str">
        <f>IF(ISBLANK('Imp. Qualif.'!M27),"",'Imp. Qualif.'!M27)</f>
        <v/>
      </c>
      <c r="C26" s="16" t="str">
        <f>IF(ISBLANK('Imp. Qualif.'!N27),"",'Imp. Qualif.'!N27)</f>
        <v/>
      </c>
      <c r="D26" s="17" t="str">
        <f>IF(ISBLANK('Imp. Qualif.'!O27),"",'Imp. Qualif.'!O27)</f>
        <v/>
      </c>
      <c r="E26" s="17" t="str">
        <f>IF(ISBLANK('Imp. Qualif.'!P27),"",'Imp. Qualif.'!P27)</f>
        <v/>
      </c>
      <c r="N26" s="5"/>
      <c r="P26" s="6">
        <v>15</v>
      </c>
      <c r="Q26" s="150" t="str">
        <f>IF(ISBLANK(N33),"",IF(N33&gt;N34,M33,M34))</f>
        <v/>
      </c>
      <c r="U26" s="3"/>
      <c r="V26" s="3"/>
      <c r="W26" s="3"/>
      <c r="X26" s="3"/>
      <c r="Y26" s="3"/>
    </row>
    <row r="27" spans="1:26" ht="14.1" customHeight="1" x14ac:dyDescent="0.25">
      <c r="A27" s="16" t="str">
        <f>IF(ISBLANK('Imp. Qualif.'!L28),"",'Imp. Qualif.'!L28)</f>
        <v/>
      </c>
      <c r="B27" s="16" t="str">
        <f>IF(ISBLANK('Imp. Qualif.'!M28),"",'Imp. Qualif.'!M28)</f>
        <v/>
      </c>
      <c r="C27" s="16" t="str">
        <f>IF(ISBLANK('Imp. Qualif.'!N28),"",'Imp. Qualif.'!N28)</f>
        <v/>
      </c>
      <c r="D27" s="17" t="str">
        <f>IF(ISBLANK('Imp. Qualif.'!O28),"",'Imp. Qualif.'!O28)</f>
        <v/>
      </c>
      <c r="E27" s="17" t="str">
        <f>IF(ISBLANK('Imp. Qualif.'!P28),"",'Imp. Qualif.'!P28)</f>
        <v/>
      </c>
      <c r="F27" s="3">
        <v>11</v>
      </c>
      <c r="G27" s="11" t="str">
        <f>IF(ISBLANK(A20),"",A20)</f>
        <v/>
      </c>
      <c r="H27" s="143"/>
      <c r="J27" s="11" t="str">
        <f>IF(ISBLANK(H25),"",IF(H25&lt;H24,G25,G24))</f>
        <v/>
      </c>
      <c r="K27" s="143"/>
      <c r="M27" s="11" t="str">
        <f>IF(ISBLANK(K25),"",IF(K25&lt;K24,J25,J24))</f>
        <v/>
      </c>
      <c r="N27" s="143"/>
      <c r="P27" s="6">
        <v>16</v>
      </c>
      <c r="Q27" s="150" t="str">
        <f>IF(ISBLANK(N34),"",IF(N34&lt;N33,M34,M33))</f>
        <v/>
      </c>
    </row>
    <row r="28" spans="1:26" ht="14.1" customHeight="1" thickBot="1" x14ac:dyDescent="0.3">
      <c r="A28" s="16" t="str">
        <f>IF(ISBLANK('Imp. Qualif.'!L29),"",'Imp. Qualif.'!L29)</f>
        <v/>
      </c>
      <c r="B28" s="16" t="str">
        <f>IF(ISBLANK('Imp. Qualif.'!M29),"",'Imp. Qualif.'!M29)</f>
        <v/>
      </c>
      <c r="C28" s="16" t="str">
        <f>IF(ISBLANK('Imp. Qualif.'!N29),"",'Imp. Qualif.'!N29)</f>
        <v/>
      </c>
      <c r="D28" s="17" t="str">
        <f>IF(ISBLANK('Imp. Qualif.'!O29),"",'Imp. Qualif.'!O29)</f>
        <v/>
      </c>
      <c r="E28" s="17" t="str">
        <f>IF(ISBLANK('Imp. Qualif.'!P29),"",'Imp. Qualif.'!P29)</f>
        <v/>
      </c>
      <c r="F28" s="3">
        <v>12</v>
      </c>
      <c r="G28" s="12" t="str">
        <f>IF(ISBLANK(A21),"",A21)</f>
        <v/>
      </c>
      <c r="H28" s="143"/>
      <c r="J28" s="12" t="str">
        <f>IF(ISBLANK(H30),"",IF(H30&gt;H31,G30,G31))</f>
        <v/>
      </c>
      <c r="K28" s="143"/>
      <c r="M28" s="12" t="str">
        <f>IF(ISBLANK(K30),"",IF(K30&gt;K31,J30,J31))</f>
        <v/>
      </c>
      <c r="N28" s="143"/>
      <c r="P28" s="6">
        <v>17</v>
      </c>
      <c r="Q28" s="150" t="str">
        <f>IF(ISBLANK(N36),"",IF(N36&gt;N37,M36,M37))</f>
        <v/>
      </c>
    </row>
    <row r="29" spans="1:26" ht="14.1" customHeight="1" thickBot="1" x14ac:dyDescent="0.3">
      <c r="A29" s="16" t="str">
        <f>IF(ISBLANK('Imp. Qualif.'!L30),"",'Imp. Qualif.'!L30)</f>
        <v/>
      </c>
      <c r="B29" s="16" t="str">
        <f>IF(ISBLANK('Imp. Qualif.'!M30),"",'Imp. Qualif.'!M30)</f>
        <v/>
      </c>
      <c r="C29" s="16" t="str">
        <f>IF(ISBLANK('Imp. Qualif.'!N30),"",'Imp. Qualif.'!N30)</f>
        <v/>
      </c>
      <c r="D29" s="17" t="str">
        <f>IF(ISBLANK('Imp. Qualif.'!O30),"",'Imp. Qualif.'!O30)</f>
        <v/>
      </c>
      <c r="E29" s="17" t="str">
        <f>IF(ISBLANK('Imp. Qualif.'!P30),"",'Imp. Qualif.'!P30)</f>
        <v/>
      </c>
      <c r="N29" s="5"/>
      <c r="P29" s="6">
        <v>18</v>
      </c>
      <c r="Q29" s="150" t="str">
        <f>IF(ISBLANK(N37),"",IF(N37&lt;N36,M37,M36))</f>
        <v/>
      </c>
    </row>
    <row r="30" spans="1:26" ht="14.1" customHeight="1" x14ac:dyDescent="0.25">
      <c r="A30" s="16" t="str">
        <f>IF(ISBLANK('Imp. Qualif.'!L31),"",'Imp. Qualif.'!L31)</f>
        <v/>
      </c>
      <c r="B30" s="16" t="str">
        <f>IF(ISBLANK('Imp. Qualif.'!M31),"",'Imp. Qualif.'!M31)</f>
        <v/>
      </c>
      <c r="C30" s="16" t="str">
        <f>IF(ISBLANK('Imp. Qualif.'!N31),"",'Imp. Qualif.'!N31)</f>
        <v/>
      </c>
      <c r="D30" s="17" t="str">
        <f>IF(ISBLANK('Imp. Qualif.'!O31),"",'Imp. Qualif.'!O31)</f>
        <v/>
      </c>
      <c r="E30" s="17" t="str">
        <f>IF(ISBLANK('Imp. Qualif.'!P31),"",'Imp. Qualif.'!P31)</f>
        <v/>
      </c>
      <c r="F30" s="3">
        <v>13</v>
      </c>
      <c r="G30" s="11" t="str">
        <f>IF(ISBLANK(A22),"",A22)</f>
        <v/>
      </c>
      <c r="H30" s="143"/>
      <c r="J30" s="11" t="str">
        <f>IF(ISBLANK(H28),"",IF(H28&lt;H27,G28,G27))</f>
        <v/>
      </c>
      <c r="K30" s="143"/>
      <c r="M30" s="11" t="str">
        <f>IF(ISBLANK(K28),"",IF(K28&lt;K27,J28,J27))</f>
        <v/>
      </c>
      <c r="N30" s="143"/>
      <c r="P30" s="6">
        <v>19</v>
      </c>
      <c r="Q30" s="21" t="str">
        <f>IF(ISBLANK(N39),"",IF(N39&gt;N40,M39,M40))</f>
        <v/>
      </c>
      <c r="U30" s="2"/>
    </row>
    <row r="31" spans="1:26" ht="14.1" customHeight="1" thickBot="1" x14ac:dyDescent="0.3">
      <c r="A31" s="16" t="str">
        <f>IF(ISBLANK('Imp. Qualif.'!L32),"",'Imp. Qualif.'!L32)</f>
        <v/>
      </c>
      <c r="B31" s="16" t="str">
        <f>IF(ISBLANK('Imp. Qualif.'!M32),"",'Imp. Qualif.'!M32)</f>
        <v/>
      </c>
      <c r="C31" s="16" t="str">
        <f>IF(ISBLANK('Imp. Qualif.'!N32),"",'Imp. Qualif.'!N32)</f>
        <v/>
      </c>
      <c r="D31" s="17" t="str">
        <f>IF(ISBLANK('Imp. Qualif.'!O32),"",'Imp. Qualif.'!O32)</f>
        <v/>
      </c>
      <c r="E31" s="17" t="str">
        <f>IF(ISBLANK('Imp. Qualif.'!P32),"",'Imp. Qualif.'!P32)</f>
        <v/>
      </c>
      <c r="F31" s="3">
        <v>14</v>
      </c>
      <c r="G31" s="12" t="str">
        <f>IF(ISBLANK(A23),"",A23)</f>
        <v/>
      </c>
      <c r="H31" s="143"/>
      <c r="J31" s="12" t="str">
        <f>IF(ISBLANK(H33),"",IF(H33&gt;H34,G33,G34))</f>
        <v/>
      </c>
      <c r="K31" s="143"/>
      <c r="M31" s="12" t="str">
        <f>IF(ISBLANK(K33),"",IF(K33&gt;K34,J33,J34))</f>
        <v/>
      </c>
      <c r="N31" s="143"/>
      <c r="P31" s="108">
        <v>20</v>
      </c>
      <c r="Q31" s="150" t="str">
        <f>IF(ISBLANK(N40),"",IF(N40&lt;N39,M40,M39))</f>
        <v/>
      </c>
      <c r="U31" s="3"/>
      <c r="V31" s="3"/>
      <c r="W31" s="3"/>
      <c r="X31" s="3"/>
      <c r="Y31" s="3"/>
      <c r="Z31" s="3"/>
    </row>
    <row r="32" spans="1:26" ht="14.1" customHeight="1" thickBot="1" x14ac:dyDescent="0.3">
      <c r="A32" s="10" t="str">
        <f>IF(ISBLANK('Imp. Qualif.'!L33),"",'Imp. Qualif.'!L33)</f>
        <v/>
      </c>
      <c r="B32" s="10" t="str">
        <f>IF(ISBLANK('Imp. Qualif.'!M33),"",'Imp. Qualif.'!M33)</f>
        <v/>
      </c>
      <c r="C32" s="10" t="str">
        <f>IF(ISBLANK('Imp. Qualif.'!N33),"",'Imp. Qualif.'!N33)</f>
        <v/>
      </c>
      <c r="D32" s="19" t="str">
        <f>IF(ISBLANK('Imp. Qualif.'!O33),"",'Imp. Qualif.'!O33)</f>
        <v/>
      </c>
      <c r="E32" s="19" t="str">
        <f>IF(ISBLANK('Imp. Qualif.'!P33),"",'Imp. Qualif.'!P33)</f>
        <v/>
      </c>
      <c r="N32" s="5"/>
      <c r="P32" s="6">
        <v>21</v>
      </c>
      <c r="Q32" s="21" t="str">
        <f>IF(ISBLANK(N42),"",IF(N42&gt;N43,M42,M43))</f>
        <v/>
      </c>
      <c r="U32" s="3"/>
      <c r="V32" s="3"/>
      <c r="W32" s="3"/>
      <c r="X32" s="3"/>
      <c r="Y32" s="3"/>
      <c r="Z32" s="3"/>
    </row>
    <row r="33" spans="1:26" ht="14.1" customHeight="1" x14ac:dyDescent="0.25">
      <c r="A33" s="10" t="str">
        <f>IF(ISBLANK('Imp. Qualif.'!L34),"",'Imp. Qualif.'!L34)</f>
        <v/>
      </c>
      <c r="B33" s="10" t="str">
        <f>IF(ISBLANK('Imp. Qualif.'!M34),"",'Imp. Qualif.'!M34)</f>
        <v/>
      </c>
      <c r="C33" s="10" t="str">
        <f>IF(ISBLANK('Imp. Qualif.'!N34),"",'Imp. Qualif.'!N34)</f>
        <v/>
      </c>
      <c r="D33" s="19" t="str">
        <f>IF(ISBLANK('Imp. Qualif.'!O34),"",'Imp. Qualif.'!O34)</f>
        <v/>
      </c>
      <c r="E33" s="19" t="str">
        <f>IF(ISBLANK('Imp. Qualif.'!P34),"",'Imp. Qualif.'!P34)</f>
        <v/>
      </c>
      <c r="F33" s="3">
        <v>15</v>
      </c>
      <c r="G33" s="11" t="str">
        <f>IF(ISBLANK(A24),"",A24)</f>
        <v/>
      </c>
      <c r="H33" s="143"/>
      <c r="J33" s="11" t="str">
        <f>IF(ISBLANK(H31),"",IF(H31&lt;H30,G31,G30))</f>
        <v/>
      </c>
      <c r="K33" s="143"/>
      <c r="M33" s="11" t="str">
        <f>IF(ISBLANK(K31),"",IF(K31&lt;K30,J31,J30))</f>
        <v/>
      </c>
      <c r="N33" s="143"/>
      <c r="P33" s="108">
        <v>22</v>
      </c>
      <c r="Q33" s="150" t="str">
        <f>IF(ISBLANK(N43),"",IF(N43&lt;N42,M43,M42))</f>
        <v/>
      </c>
      <c r="U33" s="3"/>
      <c r="V33" s="3"/>
      <c r="W33" s="3"/>
      <c r="X33" s="3"/>
      <c r="Y33" s="3"/>
      <c r="Z33" s="3"/>
    </row>
    <row r="34" spans="1:26" ht="14.1" customHeight="1" thickBot="1" x14ac:dyDescent="0.25">
      <c r="A34" s="10" t="str">
        <f>IF(ISBLANK('Imp. Qualif.'!L35),"",'Imp. Qualif.'!L35)</f>
        <v/>
      </c>
      <c r="B34" s="10" t="str">
        <f>IF(ISBLANK('Imp. Qualif.'!M35),"",'Imp. Qualif.'!M35)</f>
        <v/>
      </c>
      <c r="C34" s="10" t="str">
        <f>IF(ISBLANK('Imp. Qualif.'!N35),"",'Imp. Qualif.'!N35)</f>
        <v/>
      </c>
      <c r="D34" s="19" t="str">
        <f>IF(ISBLANK('Imp. Qualif.'!O35),"",'Imp. Qualif.'!O35)</f>
        <v/>
      </c>
      <c r="E34" s="19" t="str">
        <f>IF(ISBLANK('Imp. Qualif.'!P35),"",'Imp. Qualif.'!P35)</f>
        <v/>
      </c>
      <c r="F34" s="3">
        <v>16</v>
      </c>
      <c r="G34" s="12" t="str">
        <f>IF(ISBLANK(A25),"",A25)</f>
        <v/>
      </c>
      <c r="H34" s="143"/>
      <c r="J34" s="12" t="str">
        <f>IF(ISBLANK(H36),"",IF(H36&gt;H37,G36,G37))</f>
        <v/>
      </c>
      <c r="K34" s="143"/>
      <c r="M34" s="12" t="str">
        <f>IF(ISBLANK(K36),"",IF(K36&gt;K37,J36,J37))</f>
        <v/>
      </c>
      <c r="N34" s="143"/>
      <c r="U34" s="3"/>
      <c r="V34" s="3"/>
      <c r="W34" s="3"/>
      <c r="X34" s="3"/>
      <c r="Y34" s="3"/>
      <c r="Z34" s="3"/>
    </row>
    <row r="35" spans="1:26" ht="14.1" customHeight="1" thickBot="1" x14ac:dyDescent="0.25">
      <c r="A35" s="10"/>
      <c r="B35" s="10"/>
      <c r="C35" s="10"/>
      <c r="D35" s="19"/>
      <c r="E35" s="19"/>
      <c r="N35" s="5"/>
      <c r="U35" s="3"/>
      <c r="V35" s="3"/>
      <c r="W35" s="3"/>
      <c r="X35" s="3"/>
      <c r="Y35" s="3"/>
      <c r="Z35" s="3"/>
    </row>
    <row r="36" spans="1:26" ht="14.1" customHeight="1" x14ac:dyDescent="0.2">
      <c r="A36" s="10"/>
      <c r="B36" s="10"/>
      <c r="C36" s="10"/>
      <c r="D36" s="19"/>
      <c r="E36" s="19"/>
      <c r="F36" s="3">
        <v>17</v>
      </c>
      <c r="G36" s="11" t="str">
        <f>IF(ISBLANK(A26),"",A26)</f>
        <v/>
      </c>
      <c r="H36" s="143"/>
      <c r="J36" s="11" t="str">
        <f>IF(ISBLANK(H34),"",IF(H34&lt;H33,G34,G33))</f>
        <v/>
      </c>
      <c r="K36" s="143"/>
      <c r="M36" s="11" t="str">
        <f>IF(ISBLANK(K34),"",IF(K34&lt;K33,J34,J33))</f>
        <v/>
      </c>
      <c r="N36" s="143"/>
    </row>
    <row r="37" spans="1:26" ht="14.1" customHeight="1" thickBot="1" x14ac:dyDescent="0.25">
      <c r="A37" s="10"/>
      <c r="B37" s="10"/>
      <c r="C37" s="10"/>
      <c r="D37" s="19"/>
      <c r="E37" s="19"/>
      <c r="F37" s="3">
        <v>18</v>
      </c>
      <c r="G37" s="12" t="str">
        <f>IF(ISBLANK(A27),"",A27)</f>
        <v/>
      </c>
      <c r="H37" s="143"/>
      <c r="J37" s="12" t="str">
        <f>IF(ISBLANK(H39),"",IF(H39&gt;H40,G39,G40))</f>
        <v/>
      </c>
      <c r="K37" s="143"/>
      <c r="M37" s="12" t="str">
        <f>IF(ISBLANK(K39),"",IF(K39&gt;K40,J39,J40))</f>
        <v/>
      </c>
      <c r="N37" s="143"/>
    </row>
    <row r="38" spans="1:26" ht="14.1" customHeight="1" thickBot="1" x14ac:dyDescent="0.25">
      <c r="A38" s="10"/>
      <c r="B38" s="10"/>
      <c r="C38" s="10"/>
      <c r="D38" s="19"/>
      <c r="E38" s="19"/>
      <c r="G38" s="105"/>
      <c r="H38" s="144"/>
      <c r="N38" s="144"/>
    </row>
    <row r="39" spans="1:26" ht="14.1" customHeight="1" x14ac:dyDescent="0.2">
      <c r="F39" s="3">
        <v>19</v>
      </c>
      <c r="G39" s="106" t="str">
        <f>IF(ISBLANK(A28),"",A28)</f>
        <v/>
      </c>
      <c r="H39" s="143"/>
      <c r="J39" s="11" t="str">
        <f>IF(ISBLANK(H37),"",IF(H37&lt;H36,G37,G36))</f>
        <v/>
      </c>
      <c r="K39" s="143"/>
      <c r="M39" s="11" t="str">
        <f>IF(ISBLANK(K37),"",IF(K37&lt;K36,J37,J36))</f>
        <v/>
      </c>
      <c r="N39" s="143"/>
    </row>
    <row r="40" spans="1:26" ht="14.1" customHeight="1" thickBot="1" x14ac:dyDescent="0.25">
      <c r="F40" s="3">
        <v>20</v>
      </c>
      <c r="G40" s="107" t="str">
        <f>IF(ISBLANK(A29),"",A29)</f>
        <v/>
      </c>
      <c r="H40" s="143"/>
      <c r="J40" s="12" t="str">
        <f>IF(ISBLANK(H42),"",IF(H42&gt;H43,G42,G43))</f>
        <v/>
      </c>
      <c r="K40" s="143"/>
      <c r="M40" s="12" t="str">
        <f>IF(ISBLANK(K42),"",IF(K42&gt;K43,J42,J43))</f>
        <v/>
      </c>
      <c r="N40" s="143"/>
    </row>
    <row r="41" spans="1:26" ht="13.5" thickBot="1" x14ac:dyDescent="0.25">
      <c r="G41" s="105"/>
      <c r="H41" s="144"/>
      <c r="N41" s="144"/>
      <c r="P41" s="2"/>
    </row>
    <row r="42" spans="1:26" x14ac:dyDescent="0.2">
      <c r="F42" s="3">
        <v>21</v>
      </c>
      <c r="G42" s="106" t="str">
        <f>IF(ISBLANK(A30),"",A30)</f>
        <v/>
      </c>
      <c r="H42" s="143"/>
      <c r="J42" s="11" t="str">
        <f>IF(ISBLANK(H40),"",IF(H40&lt;H39,G40,G39))</f>
        <v/>
      </c>
      <c r="K42" s="143"/>
      <c r="M42" s="11" t="str">
        <f>IF(ISBLANK(K40),"",IF(K40&lt;K39,J40,J39))</f>
        <v/>
      </c>
      <c r="N42" s="143"/>
      <c r="P42" s="2"/>
      <c r="Q42" t="str">
        <f>IF(ISBLANK(N47),"",IF(N47&gt;N48,M47,M48))</f>
        <v/>
      </c>
    </row>
    <row r="43" spans="1:26" ht="13.5" thickBot="1" x14ac:dyDescent="0.25">
      <c r="F43" s="3">
        <v>22</v>
      </c>
      <c r="G43" s="107" t="str">
        <f>IF(ISBLANK(A31),"",A31)</f>
        <v/>
      </c>
      <c r="H43" s="143"/>
      <c r="J43" s="12" t="str">
        <f>IF(ISBLANK(H43),"",IF(H43&gt;H42,G42,G43))</f>
        <v/>
      </c>
      <c r="K43" s="143"/>
      <c r="M43" s="12" t="str">
        <f>IF(ISBLANK(K43),"",IF(K43&lt;K42,J43,J42))</f>
        <v/>
      </c>
      <c r="N43" s="143"/>
      <c r="P43" s="2"/>
      <c r="Q43" t="str">
        <f>IF(ISBLANK(N48),"",IF(N48&lt;N47,M48,M47))</f>
        <v/>
      </c>
    </row>
    <row r="44" spans="1:26" x14ac:dyDescent="0.2">
      <c r="P44" s="2"/>
    </row>
    <row r="45" spans="1:26" ht="15.75" customHeight="1" x14ac:dyDescent="0.2"/>
    <row r="66" spans="16:17" x14ac:dyDescent="0.2">
      <c r="P66" s="2"/>
      <c r="Q66" s="2"/>
    </row>
    <row r="67" spans="16:17" x14ac:dyDescent="0.2">
      <c r="P67" s="2"/>
      <c r="Q67" s="2"/>
    </row>
    <row r="68" spans="16:17" x14ac:dyDescent="0.2">
      <c r="P68" s="2"/>
      <c r="Q68" s="2"/>
    </row>
    <row r="69" spans="16:17" x14ac:dyDescent="0.2">
      <c r="P69" s="2"/>
      <c r="Q69" s="2"/>
    </row>
    <row r="70" spans="16:17" x14ac:dyDescent="0.2">
      <c r="P70" s="2"/>
      <c r="Q70" s="2"/>
    </row>
    <row r="71" spans="16:17" x14ac:dyDescent="0.2">
      <c r="P71" s="2"/>
      <c r="Q71" s="2"/>
    </row>
    <row r="94" spans="16:17" x14ac:dyDescent="0.2">
      <c r="P94" s="2"/>
      <c r="Q94" s="2"/>
    </row>
    <row r="95" spans="16:17" x14ac:dyDescent="0.2">
      <c r="P95" s="2"/>
      <c r="Q95" s="2"/>
    </row>
    <row r="96" spans="16:17" x14ac:dyDescent="0.2">
      <c r="P96" s="2"/>
      <c r="Q96" s="2"/>
    </row>
    <row r="97" spans="16:17" x14ac:dyDescent="0.2">
      <c r="P97" s="2"/>
      <c r="Q97" s="2"/>
    </row>
    <row r="98" spans="16:17" x14ac:dyDescent="0.2">
      <c r="P98" s="2"/>
      <c r="Q98" s="2"/>
    </row>
    <row r="99" spans="16:17" x14ac:dyDescent="0.2">
      <c r="P99" s="2"/>
      <c r="Q99" s="2"/>
    </row>
  </sheetData>
  <mergeCells count="3">
    <mergeCell ref="N5:P5"/>
    <mergeCell ref="O7:Q7"/>
    <mergeCell ref="M3:Q3"/>
  </mergeCells>
  <phoneticPr fontId="0" type="noConversion"/>
  <pageMargins left="0.78740157480314965" right="0.78740157480314965" top="0.98425196850393704" bottom="0.7" header="0.51181102362204722" footer="0.51181102362204722"/>
  <pageSetup paperSize="9" scale="78" fitToHeight="2" orientation="landscape"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34">
    <tabColor rgb="FFFF0000"/>
    <pageSetUpPr fitToPage="1"/>
  </sheetPr>
  <dimension ref="A2:N102"/>
  <sheetViews>
    <sheetView topLeftCell="A3" workbookViewId="0"/>
  </sheetViews>
  <sheetFormatPr baseColWidth="10" defaultRowHeight="12.75" x14ac:dyDescent="0.2"/>
  <cols>
    <col min="1" max="1" width="3.42578125" bestFit="1" customWidth="1"/>
    <col min="2" max="2" width="30.42578125" bestFit="1" customWidth="1"/>
    <col min="3" max="3" width="21" bestFit="1" customWidth="1"/>
    <col min="4" max="4" width="19.5703125" bestFit="1" customWidth="1"/>
    <col min="5" max="5" width="20.7109375" customWidth="1"/>
    <col min="6" max="6" width="14.28515625" customWidth="1"/>
    <col min="7" max="12" width="4.140625" style="3" customWidth="1"/>
    <col min="13" max="13" width="8" style="3" customWidth="1"/>
    <col min="14" max="14" width="8" style="3" hidden="1" customWidth="1"/>
    <col min="15" max="15" width="8" customWidth="1"/>
  </cols>
  <sheetData>
    <row r="2" spans="1:14" s="40" customFormat="1" ht="17.25" customHeight="1" x14ac:dyDescent="0.2">
      <c r="B2" s="1031" t="s">
        <v>924</v>
      </c>
      <c r="C2" s="1031"/>
      <c r="D2" s="1031"/>
      <c r="E2" s="299" t="s">
        <v>28</v>
      </c>
      <c r="F2" s="59" t="str">
        <f>Niveau</f>
        <v>de France de Tir à l'ARC</v>
      </c>
      <c r="G2" s="44"/>
      <c r="H2" s="44"/>
      <c r="I2" s="44"/>
      <c r="J2" s="44"/>
      <c r="K2" s="44"/>
      <c r="L2" s="44"/>
      <c r="M2" s="44"/>
      <c r="N2" s="44"/>
    </row>
    <row r="3" spans="1:14" s="40" customFormat="1" ht="15.75" customHeight="1" x14ac:dyDescent="0.2">
      <c r="B3" s="1025" t="str">
        <f>CATEG</f>
        <v>Collèges Mixtes Etablissement</v>
      </c>
      <c r="C3" s="1025"/>
      <c r="D3" s="1025"/>
      <c r="E3" s="48" t="s">
        <v>44</v>
      </c>
      <c r="F3" s="59" t="str">
        <f>LIEU</f>
        <v>L’Isle sur la Sorgue</v>
      </c>
      <c r="G3" s="44"/>
      <c r="H3" s="44"/>
      <c r="I3" s="44"/>
      <c r="J3" s="44"/>
      <c r="K3" s="44"/>
      <c r="L3" s="44"/>
      <c r="M3" s="44"/>
      <c r="N3" s="44"/>
    </row>
    <row r="4" spans="1:14" s="40" customFormat="1" ht="14.25" customHeight="1" x14ac:dyDescent="0.2">
      <c r="B4" s="1025"/>
      <c r="C4" s="1025"/>
      <c r="D4" s="1025"/>
      <c r="E4" s="127"/>
      <c r="G4" s="1030" t="s">
        <v>509</v>
      </c>
      <c r="H4" s="1030"/>
      <c r="I4" s="1030"/>
      <c r="J4" s="1030"/>
      <c r="K4" s="1030"/>
      <c r="L4" s="1030"/>
      <c r="M4" s="47"/>
      <c r="N4" s="47"/>
    </row>
    <row r="5" spans="1:14" s="40" customFormat="1" ht="12.75" customHeight="1" x14ac:dyDescent="0.2">
      <c r="C5" s="127"/>
      <c r="D5" s="127"/>
      <c r="E5" s="127"/>
      <c r="F5" s="61"/>
      <c r="G5" s="60">
        <v>1</v>
      </c>
      <c r="H5" s="60">
        <v>2</v>
      </c>
      <c r="I5" s="60">
        <v>3</v>
      </c>
      <c r="J5" s="60">
        <v>4</v>
      </c>
      <c r="K5" s="60">
        <v>5</v>
      </c>
      <c r="L5" s="60">
        <v>6</v>
      </c>
      <c r="M5" s="600" t="s">
        <v>7</v>
      </c>
      <c r="N5" s="600"/>
    </row>
    <row r="6" spans="1:14" s="40" customFormat="1" ht="22.5" customHeight="1" x14ac:dyDescent="0.2">
      <c r="B6" s="123" t="s">
        <v>0</v>
      </c>
      <c r="C6" s="123" t="s">
        <v>375</v>
      </c>
      <c r="D6" s="123" t="s">
        <v>374</v>
      </c>
      <c r="E6" s="123" t="s">
        <v>1</v>
      </c>
      <c r="F6" s="123" t="s">
        <v>2</v>
      </c>
      <c r="G6" s="124"/>
      <c r="H6" s="124"/>
      <c r="I6" s="124"/>
      <c r="J6" s="124"/>
      <c r="K6" s="124"/>
      <c r="L6" s="124"/>
      <c r="M6" s="600" t="s">
        <v>921</v>
      </c>
      <c r="N6" s="600"/>
    </row>
    <row r="7" spans="1:14" s="40" customFormat="1" ht="11.45" customHeight="1" x14ac:dyDescent="0.2">
      <c r="A7" s="44"/>
      <c r="B7" s="603" t="s">
        <v>1070</v>
      </c>
      <c r="C7" s="603" t="s">
        <v>993</v>
      </c>
      <c r="D7" s="603" t="s">
        <v>869</v>
      </c>
      <c r="E7" s="603" t="s">
        <v>1226</v>
      </c>
      <c r="F7" s="603" t="s">
        <v>1139</v>
      </c>
      <c r="G7" s="265"/>
      <c r="H7" s="266"/>
      <c r="I7" s="265"/>
      <c r="J7" s="266"/>
      <c r="K7" s="265"/>
      <c r="L7" s="266"/>
      <c r="M7" s="604" t="s">
        <v>11</v>
      </c>
      <c r="N7" s="604">
        <f t="shared" ref="N7:N38" si="0">SUM(H7:M7)</f>
        <v>0</v>
      </c>
    </row>
    <row r="8" spans="1:14" s="40" customFormat="1" ht="11.45" customHeight="1" x14ac:dyDescent="0.2">
      <c r="A8" s="44"/>
      <c r="B8" s="603" t="s">
        <v>1070</v>
      </c>
      <c r="C8" s="603" t="s">
        <v>993</v>
      </c>
      <c r="D8" s="603" t="s">
        <v>869</v>
      </c>
      <c r="E8" s="603" t="s">
        <v>1227</v>
      </c>
      <c r="F8" s="603" t="s">
        <v>1140</v>
      </c>
      <c r="G8" s="265"/>
      <c r="H8" s="266"/>
      <c r="I8" s="265"/>
      <c r="J8" s="266"/>
      <c r="K8" s="265"/>
      <c r="L8" s="266"/>
      <c r="M8" s="604" t="s">
        <v>11</v>
      </c>
      <c r="N8" s="604">
        <f t="shared" si="0"/>
        <v>0</v>
      </c>
    </row>
    <row r="9" spans="1:14" s="40" customFormat="1" ht="11.45" customHeight="1" x14ac:dyDescent="0.2">
      <c r="A9" s="44"/>
      <c r="B9" s="603" t="s">
        <v>1070</v>
      </c>
      <c r="C9" s="603" t="s">
        <v>993</v>
      </c>
      <c r="D9" s="603" t="s">
        <v>869</v>
      </c>
      <c r="E9" s="603" t="s">
        <v>1228</v>
      </c>
      <c r="F9" s="603" t="s">
        <v>1141</v>
      </c>
      <c r="G9" s="265"/>
      <c r="H9" s="266"/>
      <c r="I9" s="265"/>
      <c r="J9" s="266"/>
      <c r="K9" s="265"/>
      <c r="L9" s="266"/>
      <c r="M9" s="604" t="s">
        <v>11</v>
      </c>
      <c r="N9" s="604">
        <f t="shared" si="0"/>
        <v>0</v>
      </c>
    </row>
    <row r="10" spans="1:14" s="40" customFormat="1" ht="11.45" customHeight="1" x14ac:dyDescent="0.2">
      <c r="A10" s="44"/>
      <c r="B10" s="603" t="s">
        <v>1070</v>
      </c>
      <c r="C10" s="603" t="s">
        <v>993</v>
      </c>
      <c r="D10" s="603" t="s">
        <v>869</v>
      </c>
      <c r="E10" s="603" t="s">
        <v>1229</v>
      </c>
      <c r="F10" s="603" t="s">
        <v>1142</v>
      </c>
      <c r="G10" s="265"/>
      <c r="H10" s="266"/>
      <c r="I10" s="265"/>
      <c r="J10" s="266"/>
      <c r="K10" s="265"/>
      <c r="L10" s="266"/>
      <c r="M10" s="604" t="s">
        <v>11</v>
      </c>
      <c r="N10" s="604">
        <f t="shared" si="0"/>
        <v>0</v>
      </c>
    </row>
    <row r="11" spans="1:14" s="40" customFormat="1" ht="11.45" customHeight="1" x14ac:dyDescent="0.2">
      <c r="A11" s="44"/>
      <c r="B11" s="603" t="s">
        <v>1069</v>
      </c>
      <c r="C11" s="603" t="s">
        <v>1048</v>
      </c>
      <c r="D11" s="603" t="s">
        <v>868</v>
      </c>
      <c r="E11" s="603" t="s">
        <v>1230</v>
      </c>
      <c r="F11" s="603" t="s">
        <v>1095</v>
      </c>
      <c r="G11" s="265"/>
      <c r="H11" s="266"/>
      <c r="I11" s="265"/>
      <c r="J11" s="266"/>
      <c r="K11" s="265"/>
      <c r="L11" s="266"/>
      <c r="M11" s="604" t="s">
        <v>11</v>
      </c>
      <c r="N11" s="604">
        <f t="shared" si="0"/>
        <v>0</v>
      </c>
    </row>
    <row r="12" spans="1:14" s="40" customFormat="1" ht="11.45" customHeight="1" x14ac:dyDescent="0.2">
      <c r="A12" s="44"/>
      <c r="B12" s="603" t="s">
        <v>1069</v>
      </c>
      <c r="C12" s="603" t="s">
        <v>1048</v>
      </c>
      <c r="D12" s="603" t="s">
        <v>868</v>
      </c>
      <c r="E12" s="603" t="s">
        <v>1231</v>
      </c>
      <c r="F12" s="603" t="s">
        <v>1047</v>
      </c>
      <c r="G12" s="265"/>
      <c r="H12" s="266"/>
      <c r="I12" s="265"/>
      <c r="J12" s="266"/>
      <c r="K12" s="265"/>
      <c r="L12" s="266"/>
      <c r="M12" s="604" t="s">
        <v>11</v>
      </c>
      <c r="N12" s="604">
        <f t="shared" si="0"/>
        <v>0</v>
      </c>
    </row>
    <row r="13" spans="1:14" s="40" customFormat="1" ht="11.45" customHeight="1" x14ac:dyDescent="0.2">
      <c r="A13" s="44"/>
      <c r="B13" s="603" t="s">
        <v>1069</v>
      </c>
      <c r="C13" s="603" t="s">
        <v>1048</v>
      </c>
      <c r="D13" s="603" t="s">
        <v>868</v>
      </c>
      <c r="E13" s="603" t="s">
        <v>1232</v>
      </c>
      <c r="F13" s="603" t="s">
        <v>1049</v>
      </c>
      <c r="G13" s="265"/>
      <c r="H13" s="266"/>
      <c r="I13" s="265"/>
      <c r="J13" s="266"/>
      <c r="K13" s="265"/>
      <c r="L13" s="266"/>
      <c r="M13" s="604" t="s">
        <v>11</v>
      </c>
      <c r="N13" s="604">
        <f t="shared" si="0"/>
        <v>0</v>
      </c>
    </row>
    <row r="14" spans="1:14" s="40" customFormat="1" ht="11.45" customHeight="1" x14ac:dyDescent="0.2">
      <c r="A14" s="44"/>
      <c r="B14" s="603" t="s">
        <v>1069</v>
      </c>
      <c r="C14" s="603" t="s">
        <v>1048</v>
      </c>
      <c r="D14" s="603" t="s">
        <v>868</v>
      </c>
      <c r="E14" s="603" t="s">
        <v>1233</v>
      </c>
      <c r="F14" s="603" t="s">
        <v>1050</v>
      </c>
      <c r="G14" s="265"/>
      <c r="H14" s="266"/>
      <c r="I14" s="265"/>
      <c r="J14" s="266"/>
      <c r="K14" s="265"/>
      <c r="L14" s="266"/>
      <c r="M14" s="604" t="s">
        <v>11</v>
      </c>
      <c r="N14" s="604">
        <f t="shared" si="0"/>
        <v>0</v>
      </c>
    </row>
    <row r="15" spans="1:14" s="40" customFormat="1" ht="11.45" customHeight="1" x14ac:dyDescent="0.2">
      <c r="A15" s="44"/>
      <c r="B15" s="603" t="s">
        <v>1067</v>
      </c>
      <c r="C15" s="603" t="s">
        <v>1041</v>
      </c>
      <c r="D15" s="603" t="s">
        <v>868</v>
      </c>
      <c r="E15" s="603" t="s">
        <v>1174</v>
      </c>
      <c r="F15" s="603" t="s">
        <v>1042</v>
      </c>
      <c r="G15" s="265"/>
      <c r="H15" s="266"/>
      <c r="I15" s="265"/>
      <c r="J15" s="266"/>
      <c r="K15" s="265"/>
      <c r="L15" s="266"/>
      <c r="M15" s="604" t="s">
        <v>11</v>
      </c>
      <c r="N15" s="604">
        <f t="shared" si="0"/>
        <v>0</v>
      </c>
    </row>
    <row r="16" spans="1:14" s="40" customFormat="1" ht="11.45" customHeight="1" x14ac:dyDescent="0.2">
      <c r="A16" s="44"/>
      <c r="B16" s="603" t="s">
        <v>1067</v>
      </c>
      <c r="C16" s="603" t="s">
        <v>1041</v>
      </c>
      <c r="D16" s="603" t="s">
        <v>868</v>
      </c>
      <c r="E16" s="603" t="s">
        <v>1175</v>
      </c>
      <c r="F16" s="603" t="s">
        <v>1043</v>
      </c>
      <c r="G16" s="265"/>
      <c r="H16" s="266"/>
      <c r="I16" s="265"/>
      <c r="J16" s="266"/>
      <c r="K16" s="265"/>
      <c r="L16" s="266"/>
      <c r="M16" s="604" t="s">
        <v>11</v>
      </c>
      <c r="N16" s="604">
        <f t="shared" si="0"/>
        <v>0</v>
      </c>
    </row>
    <row r="17" spans="1:14" s="40" customFormat="1" ht="11.45" customHeight="1" x14ac:dyDescent="0.2">
      <c r="A17" s="44"/>
      <c r="B17" s="603" t="s">
        <v>1067</v>
      </c>
      <c r="C17" s="603" t="s">
        <v>1041</v>
      </c>
      <c r="D17" s="603" t="s">
        <v>868</v>
      </c>
      <c r="E17" s="603" t="s">
        <v>1176</v>
      </c>
      <c r="F17" s="603" t="s">
        <v>1044</v>
      </c>
      <c r="G17" s="265"/>
      <c r="H17" s="266"/>
      <c r="I17" s="265"/>
      <c r="J17" s="266"/>
      <c r="K17" s="265"/>
      <c r="L17" s="266"/>
      <c r="M17" s="604" t="s">
        <v>11</v>
      </c>
      <c r="N17" s="604">
        <f t="shared" si="0"/>
        <v>0</v>
      </c>
    </row>
    <row r="18" spans="1:14" s="40" customFormat="1" ht="11.45" customHeight="1" x14ac:dyDescent="0.2">
      <c r="A18" s="44"/>
      <c r="B18" s="603" t="s">
        <v>1067</v>
      </c>
      <c r="C18" s="603" t="s">
        <v>1041</v>
      </c>
      <c r="D18" s="603" t="s">
        <v>868</v>
      </c>
      <c r="E18" s="603" t="s">
        <v>1177</v>
      </c>
      <c r="F18" s="603" t="s">
        <v>1117</v>
      </c>
      <c r="G18" s="265"/>
      <c r="H18" s="266"/>
      <c r="I18" s="265"/>
      <c r="J18" s="266"/>
      <c r="K18" s="265"/>
      <c r="L18" s="266"/>
      <c r="M18" s="604" t="s">
        <v>11</v>
      </c>
      <c r="N18" s="604">
        <f t="shared" si="0"/>
        <v>0</v>
      </c>
    </row>
    <row r="19" spans="1:14" s="40" customFormat="1" ht="11.45" customHeight="1" x14ac:dyDescent="0.2">
      <c r="A19" s="44"/>
      <c r="B19" s="603" t="s">
        <v>1024</v>
      </c>
      <c r="C19" s="603" t="s">
        <v>1021</v>
      </c>
      <c r="D19" s="603" t="s">
        <v>857</v>
      </c>
      <c r="E19" s="603" t="s">
        <v>1222</v>
      </c>
      <c r="F19" s="603" t="s">
        <v>417</v>
      </c>
      <c r="G19" s="265"/>
      <c r="H19" s="266"/>
      <c r="I19" s="265"/>
      <c r="J19" s="266"/>
      <c r="K19" s="265"/>
      <c r="L19" s="266"/>
      <c r="M19" s="604" t="s">
        <v>11</v>
      </c>
      <c r="N19" s="604">
        <f t="shared" si="0"/>
        <v>0</v>
      </c>
    </row>
    <row r="20" spans="1:14" s="40" customFormat="1" ht="11.45" customHeight="1" x14ac:dyDescent="0.2">
      <c r="A20" s="44"/>
      <c r="B20" s="603" t="s">
        <v>1024</v>
      </c>
      <c r="C20" s="603" t="s">
        <v>1021</v>
      </c>
      <c r="D20" s="603" t="s">
        <v>857</v>
      </c>
      <c r="E20" s="603" t="s">
        <v>1223</v>
      </c>
      <c r="F20" s="603" t="s">
        <v>1137</v>
      </c>
      <c r="G20" s="265"/>
      <c r="H20" s="266"/>
      <c r="I20" s="265"/>
      <c r="J20" s="266"/>
      <c r="K20" s="265"/>
      <c r="L20" s="266"/>
      <c r="M20" s="604" t="s">
        <v>11</v>
      </c>
      <c r="N20" s="604">
        <f t="shared" si="0"/>
        <v>0</v>
      </c>
    </row>
    <row r="21" spans="1:14" s="40" customFormat="1" ht="11.45" customHeight="1" x14ac:dyDescent="0.2">
      <c r="A21" s="44"/>
      <c r="B21" s="603" t="s">
        <v>1024</v>
      </c>
      <c r="C21" s="603" t="s">
        <v>1021</v>
      </c>
      <c r="D21" s="603" t="s">
        <v>857</v>
      </c>
      <c r="E21" s="603" t="s">
        <v>1224</v>
      </c>
      <c r="F21" s="603" t="s">
        <v>1138</v>
      </c>
      <c r="G21" s="265"/>
      <c r="H21" s="266"/>
      <c r="I21" s="265"/>
      <c r="J21" s="266"/>
      <c r="K21" s="265"/>
      <c r="L21" s="266"/>
      <c r="M21" s="604" t="s">
        <v>11</v>
      </c>
      <c r="N21" s="604">
        <f t="shared" si="0"/>
        <v>0</v>
      </c>
    </row>
    <row r="22" spans="1:14" s="40" customFormat="1" ht="11.45" customHeight="1" x14ac:dyDescent="0.2">
      <c r="A22" s="44"/>
      <c r="B22" s="603" t="s">
        <v>1024</v>
      </c>
      <c r="C22" s="603" t="s">
        <v>1021</v>
      </c>
      <c r="D22" s="603" t="s">
        <v>857</v>
      </c>
      <c r="E22" s="603" t="s">
        <v>1225</v>
      </c>
      <c r="F22" s="603" t="s">
        <v>1063</v>
      </c>
      <c r="G22" s="265"/>
      <c r="H22" s="266"/>
      <c r="I22" s="265"/>
      <c r="J22" s="266"/>
      <c r="K22" s="265"/>
      <c r="L22" s="266"/>
      <c r="M22" s="604" t="s">
        <v>11</v>
      </c>
      <c r="N22" s="604">
        <f t="shared" si="0"/>
        <v>0</v>
      </c>
    </row>
    <row r="23" spans="1:14" s="40" customFormat="1" ht="11.45" customHeight="1" x14ac:dyDescent="0.2">
      <c r="A23" s="44"/>
      <c r="B23" s="603" t="s">
        <v>1150</v>
      </c>
      <c r="C23" s="603" t="s">
        <v>1056</v>
      </c>
      <c r="D23" s="603" t="s">
        <v>871</v>
      </c>
      <c r="E23" s="603" t="s">
        <v>1186</v>
      </c>
      <c r="F23" s="603" t="s">
        <v>1111</v>
      </c>
      <c r="G23" s="265"/>
      <c r="H23" s="266"/>
      <c r="I23" s="265"/>
      <c r="J23" s="266"/>
      <c r="K23" s="265"/>
      <c r="L23" s="266"/>
      <c r="M23" s="604" t="s">
        <v>11</v>
      </c>
      <c r="N23" s="604">
        <f t="shared" si="0"/>
        <v>0</v>
      </c>
    </row>
    <row r="24" spans="1:14" s="40" customFormat="1" ht="11.45" customHeight="1" x14ac:dyDescent="0.2">
      <c r="A24" s="44"/>
      <c r="B24" s="603" t="s">
        <v>1150</v>
      </c>
      <c r="C24" s="603" t="s">
        <v>1056</v>
      </c>
      <c r="D24" s="603" t="s">
        <v>871</v>
      </c>
      <c r="E24" s="603" t="s">
        <v>1187</v>
      </c>
      <c r="F24" s="603" t="s">
        <v>1047</v>
      </c>
      <c r="G24" s="265"/>
      <c r="H24" s="266"/>
      <c r="I24" s="265"/>
      <c r="J24" s="266"/>
      <c r="K24" s="265"/>
      <c r="L24" s="266"/>
      <c r="M24" s="604" t="s">
        <v>11</v>
      </c>
      <c r="N24" s="604">
        <f t="shared" si="0"/>
        <v>0</v>
      </c>
    </row>
    <row r="25" spans="1:14" s="40" customFormat="1" ht="11.45" customHeight="1" x14ac:dyDescent="0.2">
      <c r="A25" s="44"/>
      <c r="B25" s="603" t="s">
        <v>1150</v>
      </c>
      <c r="C25" s="603" t="s">
        <v>1056</v>
      </c>
      <c r="D25" s="603" t="s">
        <v>871</v>
      </c>
      <c r="E25" s="603" t="s">
        <v>1188</v>
      </c>
      <c r="F25" s="603" t="s">
        <v>1057</v>
      </c>
      <c r="G25" s="265"/>
      <c r="H25" s="266"/>
      <c r="I25" s="265"/>
      <c r="J25" s="266"/>
      <c r="K25" s="265"/>
      <c r="L25" s="266"/>
      <c r="M25" s="604" t="s">
        <v>11</v>
      </c>
      <c r="N25" s="604">
        <f t="shared" si="0"/>
        <v>0</v>
      </c>
    </row>
    <row r="26" spans="1:14" s="40" customFormat="1" ht="11.45" customHeight="1" x14ac:dyDescent="0.2">
      <c r="A26" s="44"/>
      <c r="B26" s="603" t="s">
        <v>1150</v>
      </c>
      <c r="C26" s="603" t="s">
        <v>1056</v>
      </c>
      <c r="D26" s="603" t="s">
        <v>871</v>
      </c>
      <c r="E26" s="603" t="s">
        <v>1189</v>
      </c>
      <c r="F26" s="603" t="s">
        <v>1101</v>
      </c>
      <c r="G26" s="265"/>
      <c r="H26" s="266"/>
      <c r="I26" s="265"/>
      <c r="J26" s="266"/>
      <c r="K26" s="265"/>
      <c r="L26" s="266"/>
      <c r="M26" s="604" t="s">
        <v>11</v>
      </c>
      <c r="N26" s="604">
        <f t="shared" si="0"/>
        <v>0</v>
      </c>
    </row>
    <row r="27" spans="1:14" s="40" customFormat="1" ht="11.45" customHeight="1" x14ac:dyDescent="0.2">
      <c r="A27" s="44"/>
      <c r="B27" s="603" t="s">
        <v>1155</v>
      </c>
      <c r="C27" s="603" t="s">
        <v>1108</v>
      </c>
      <c r="D27" s="603" t="s">
        <v>859</v>
      </c>
      <c r="E27" s="603" t="s">
        <v>1214</v>
      </c>
      <c r="F27" s="603" t="s">
        <v>1133</v>
      </c>
      <c r="G27" s="265"/>
      <c r="H27" s="266"/>
      <c r="I27" s="265"/>
      <c r="J27" s="266"/>
      <c r="K27" s="265"/>
      <c r="L27" s="266"/>
      <c r="M27" s="604" t="s">
        <v>11</v>
      </c>
      <c r="N27" s="604">
        <f t="shared" si="0"/>
        <v>0</v>
      </c>
    </row>
    <row r="28" spans="1:14" s="40" customFormat="1" ht="11.45" customHeight="1" x14ac:dyDescent="0.2">
      <c r="A28" s="44"/>
      <c r="B28" s="603" t="s">
        <v>1155</v>
      </c>
      <c r="C28" s="603" t="s">
        <v>1108</v>
      </c>
      <c r="D28" s="603" t="s">
        <v>859</v>
      </c>
      <c r="E28" s="603" t="s">
        <v>1215</v>
      </c>
      <c r="F28" s="603" t="s">
        <v>1071</v>
      </c>
      <c r="G28" s="265"/>
      <c r="H28" s="266"/>
      <c r="I28" s="265"/>
      <c r="J28" s="266"/>
      <c r="K28" s="265"/>
      <c r="L28" s="266"/>
      <c r="M28" s="604" t="s">
        <v>11</v>
      </c>
      <c r="N28" s="604">
        <f t="shared" si="0"/>
        <v>0</v>
      </c>
    </row>
    <row r="29" spans="1:14" s="40" customFormat="1" ht="11.45" customHeight="1" x14ac:dyDescent="0.2">
      <c r="A29" s="44"/>
      <c r="B29" s="603" t="s">
        <v>1155</v>
      </c>
      <c r="C29" s="603" t="s">
        <v>1108</v>
      </c>
      <c r="D29" s="603" t="s">
        <v>859</v>
      </c>
      <c r="E29" s="603" t="s">
        <v>1216</v>
      </c>
      <c r="F29" s="603" t="s">
        <v>1098</v>
      </c>
      <c r="G29" s="265"/>
      <c r="H29" s="266"/>
      <c r="I29" s="265"/>
      <c r="J29" s="266"/>
      <c r="K29" s="265"/>
      <c r="L29" s="266"/>
      <c r="M29" s="604" t="s">
        <v>11</v>
      </c>
      <c r="N29" s="604">
        <f t="shared" si="0"/>
        <v>0</v>
      </c>
    </row>
    <row r="30" spans="1:14" s="40" customFormat="1" ht="11.45" customHeight="1" x14ac:dyDescent="0.2">
      <c r="A30" s="44"/>
      <c r="B30" s="603" t="s">
        <v>1155</v>
      </c>
      <c r="C30" s="603" t="s">
        <v>1108</v>
      </c>
      <c r="D30" s="603" t="s">
        <v>859</v>
      </c>
      <c r="E30" s="603" t="s">
        <v>1217</v>
      </c>
      <c r="F30" s="603" t="s">
        <v>1134</v>
      </c>
      <c r="G30" s="265"/>
      <c r="H30" s="266"/>
      <c r="I30" s="265"/>
      <c r="J30" s="266"/>
      <c r="K30" s="265"/>
      <c r="L30" s="266"/>
      <c r="M30" s="604" t="s">
        <v>11</v>
      </c>
      <c r="N30" s="604">
        <f t="shared" si="0"/>
        <v>0</v>
      </c>
    </row>
    <row r="31" spans="1:14" s="40" customFormat="1" ht="11.45" customHeight="1" x14ac:dyDescent="0.2">
      <c r="A31" s="44"/>
      <c r="B31" s="603" t="s">
        <v>1147</v>
      </c>
      <c r="C31" s="603" t="s">
        <v>1037</v>
      </c>
      <c r="D31" s="603" t="s">
        <v>856</v>
      </c>
      <c r="E31" s="603" t="s">
        <v>1166</v>
      </c>
      <c r="F31" s="603" t="s">
        <v>1101</v>
      </c>
      <c r="G31" s="265"/>
      <c r="H31" s="266"/>
      <c r="I31" s="265"/>
      <c r="J31" s="266"/>
      <c r="K31" s="265"/>
      <c r="L31" s="266"/>
      <c r="M31" s="604" t="s">
        <v>11</v>
      </c>
      <c r="N31" s="604">
        <f t="shared" si="0"/>
        <v>0</v>
      </c>
    </row>
    <row r="32" spans="1:14" s="40" customFormat="1" ht="11.45" customHeight="1" x14ac:dyDescent="0.2">
      <c r="A32" s="44"/>
      <c r="B32" s="603" t="s">
        <v>1147</v>
      </c>
      <c r="C32" s="603" t="s">
        <v>1037</v>
      </c>
      <c r="D32" s="603" t="s">
        <v>856</v>
      </c>
      <c r="E32" s="603" t="s">
        <v>1167</v>
      </c>
      <c r="F32" s="603" t="s">
        <v>1113</v>
      </c>
      <c r="G32" s="265"/>
      <c r="H32" s="266"/>
      <c r="I32" s="265"/>
      <c r="J32" s="266"/>
      <c r="K32" s="265"/>
      <c r="L32" s="266"/>
      <c r="M32" s="604" t="s">
        <v>11</v>
      </c>
      <c r="N32" s="604">
        <f t="shared" si="0"/>
        <v>0</v>
      </c>
    </row>
    <row r="33" spans="1:14" s="40" customFormat="1" ht="11.45" customHeight="1" x14ac:dyDescent="0.2">
      <c r="A33" s="44"/>
      <c r="B33" s="603" t="s">
        <v>1147</v>
      </c>
      <c r="C33" s="603" t="s">
        <v>1037</v>
      </c>
      <c r="D33" s="603" t="s">
        <v>856</v>
      </c>
      <c r="E33" s="603" t="s">
        <v>1168</v>
      </c>
      <c r="F33" s="603" t="s">
        <v>1114</v>
      </c>
      <c r="G33" s="265"/>
      <c r="H33" s="266"/>
      <c r="I33" s="265"/>
      <c r="J33" s="266"/>
      <c r="K33" s="265"/>
      <c r="L33" s="266"/>
      <c r="M33" s="604" t="s">
        <v>11</v>
      </c>
      <c r="N33" s="604">
        <f t="shared" si="0"/>
        <v>0</v>
      </c>
    </row>
    <row r="34" spans="1:14" s="40" customFormat="1" ht="11.45" customHeight="1" x14ac:dyDescent="0.2">
      <c r="A34" s="44"/>
      <c r="B34" s="603" t="s">
        <v>1147</v>
      </c>
      <c r="C34" s="603" t="s">
        <v>1037</v>
      </c>
      <c r="D34" s="603" t="s">
        <v>856</v>
      </c>
      <c r="E34" s="603" t="s">
        <v>1169</v>
      </c>
      <c r="F34" s="603" t="s">
        <v>1093</v>
      </c>
      <c r="G34" s="265"/>
      <c r="H34" s="266"/>
      <c r="I34" s="265"/>
      <c r="J34" s="266"/>
      <c r="K34" s="265"/>
      <c r="L34" s="266"/>
      <c r="M34" s="604" t="s">
        <v>11</v>
      </c>
      <c r="N34" s="604">
        <f t="shared" si="0"/>
        <v>0</v>
      </c>
    </row>
    <row r="35" spans="1:14" s="40" customFormat="1" ht="11.45" customHeight="1" x14ac:dyDescent="0.2">
      <c r="A35" s="44"/>
      <c r="B35" s="603" t="s">
        <v>1156</v>
      </c>
      <c r="C35" s="603" t="s">
        <v>1092</v>
      </c>
      <c r="D35" s="603" t="s">
        <v>773</v>
      </c>
      <c r="E35" s="603" t="s">
        <v>1218</v>
      </c>
      <c r="F35" s="603" t="s">
        <v>1093</v>
      </c>
      <c r="G35" s="265"/>
      <c r="H35" s="266"/>
      <c r="I35" s="265"/>
      <c r="J35" s="266"/>
      <c r="K35" s="265"/>
      <c r="L35" s="266"/>
      <c r="M35" s="604" t="s">
        <v>11</v>
      </c>
      <c r="N35" s="604">
        <f t="shared" si="0"/>
        <v>0</v>
      </c>
    </row>
    <row r="36" spans="1:14" s="40" customFormat="1" ht="11.45" customHeight="1" x14ac:dyDescent="0.2">
      <c r="A36" s="44"/>
      <c r="B36" s="603" t="s">
        <v>1156</v>
      </c>
      <c r="C36" s="603" t="s">
        <v>1092</v>
      </c>
      <c r="D36" s="603" t="s">
        <v>773</v>
      </c>
      <c r="E36" s="603" t="s">
        <v>1219</v>
      </c>
      <c r="F36" s="603" t="s">
        <v>1135</v>
      </c>
      <c r="G36" s="265"/>
      <c r="H36" s="266"/>
      <c r="I36" s="265"/>
      <c r="J36" s="266"/>
      <c r="K36" s="265"/>
      <c r="L36" s="266"/>
      <c r="M36" s="604" t="s">
        <v>11</v>
      </c>
      <c r="N36" s="604">
        <f t="shared" si="0"/>
        <v>0</v>
      </c>
    </row>
    <row r="37" spans="1:14" s="40" customFormat="1" ht="11.45" customHeight="1" x14ac:dyDescent="0.2">
      <c r="A37" s="44"/>
      <c r="B37" s="603" t="s">
        <v>1156</v>
      </c>
      <c r="C37" s="603" t="s">
        <v>1092</v>
      </c>
      <c r="D37" s="603" t="s">
        <v>773</v>
      </c>
      <c r="E37" s="603" t="s">
        <v>1220</v>
      </c>
      <c r="F37" s="603" t="s">
        <v>1136</v>
      </c>
      <c r="G37" s="265"/>
      <c r="H37" s="266"/>
      <c r="I37" s="265"/>
      <c r="J37" s="266"/>
      <c r="K37" s="265"/>
      <c r="L37" s="266"/>
      <c r="M37" s="604" t="s">
        <v>11</v>
      </c>
      <c r="N37" s="604">
        <f t="shared" si="0"/>
        <v>0</v>
      </c>
    </row>
    <row r="38" spans="1:14" s="40" customFormat="1" ht="11.45" customHeight="1" x14ac:dyDescent="0.2">
      <c r="A38" s="44"/>
      <c r="B38" s="603" t="s">
        <v>1156</v>
      </c>
      <c r="C38" s="603" t="s">
        <v>1092</v>
      </c>
      <c r="D38" s="603" t="s">
        <v>773</v>
      </c>
      <c r="E38" s="603" t="s">
        <v>1221</v>
      </c>
      <c r="F38" s="603" t="s">
        <v>423</v>
      </c>
      <c r="G38" s="265"/>
      <c r="H38" s="266"/>
      <c r="I38" s="265"/>
      <c r="J38" s="266"/>
      <c r="K38" s="265"/>
      <c r="L38" s="266"/>
      <c r="M38" s="604" t="s">
        <v>11</v>
      </c>
      <c r="N38" s="604">
        <f t="shared" si="0"/>
        <v>0</v>
      </c>
    </row>
    <row r="39" spans="1:14" s="40" customFormat="1" ht="11.45" customHeight="1" x14ac:dyDescent="0.2">
      <c r="A39" s="44"/>
      <c r="B39" s="603" t="s">
        <v>1152</v>
      </c>
      <c r="C39" s="603" t="s">
        <v>1126</v>
      </c>
      <c r="D39" s="603" t="s">
        <v>871</v>
      </c>
      <c r="E39" s="603" t="s">
        <v>1202</v>
      </c>
      <c r="F39" s="603" t="s">
        <v>1125</v>
      </c>
      <c r="G39" s="265"/>
      <c r="H39" s="266"/>
      <c r="I39" s="265"/>
      <c r="J39" s="266"/>
      <c r="K39" s="265"/>
      <c r="L39" s="266"/>
      <c r="M39" s="604" t="s">
        <v>11</v>
      </c>
      <c r="N39" s="604">
        <f t="shared" ref="N39:N70" si="1">SUM(H39:M39)</f>
        <v>0</v>
      </c>
    </row>
    <row r="40" spans="1:14" s="40" customFormat="1" ht="11.45" customHeight="1" x14ac:dyDescent="0.2">
      <c r="A40" s="44"/>
      <c r="B40" s="603" t="s">
        <v>1152</v>
      </c>
      <c r="C40" s="603" t="s">
        <v>1126</v>
      </c>
      <c r="D40" s="603" t="s">
        <v>871</v>
      </c>
      <c r="E40" s="603" t="s">
        <v>1203</v>
      </c>
      <c r="F40" s="603" t="s">
        <v>1093</v>
      </c>
      <c r="G40" s="265"/>
      <c r="H40" s="266"/>
      <c r="I40" s="265"/>
      <c r="J40" s="266"/>
      <c r="K40" s="265"/>
      <c r="L40" s="266"/>
      <c r="M40" s="604" t="s">
        <v>11</v>
      </c>
      <c r="N40" s="604">
        <f t="shared" si="1"/>
        <v>0</v>
      </c>
    </row>
    <row r="41" spans="1:14" s="40" customFormat="1" ht="11.45" customHeight="1" x14ac:dyDescent="0.2">
      <c r="A41" s="44"/>
      <c r="B41" s="603" t="s">
        <v>1152</v>
      </c>
      <c r="C41" s="603" t="s">
        <v>1126</v>
      </c>
      <c r="D41" s="603" t="s">
        <v>871</v>
      </c>
      <c r="E41" s="603" t="s">
        <v>1204</v>
      </c>
      <c r="F41" s="603" t="s">
        <v>1127</v>
      </c>
      <c r="G41" s="265"/>
      <c r="H41" s="266"/>
      <c r="I41" s="265"/>
      <c r="J41" s="266"/>
      <c r="K41" s="265"/>
      <c r="L41" s="266"/>
      <c r="M41" s="604" t="s">
        <v>11</v>
      </c>
      <c r="N41" s="604">
        <f t="shared" si="1"/>
        <v>0</v>
      </c>
    </row>
    <row r="42" spans="1:14" s="40" customFormat="1" ht="11.45" customHeight="1" x14ac:dyDescent="0.2">
      <c r="A42" s="44"/>
      <c r="B42" s="603" t="s">
        <v>1152</v>
      </c>
      <c r="C42" s="603" t="s">
        <v>1126</v>
      </c>
      <c r="D42" s="603" t="s">
        <v>871</v>
      </c>
      <c r="E42" s="603" t="s">
        <v>1205</v>
      </c>
      <c r="F42" s="603" t="s">
        <v>1065</v>
      </c>
      <c r="G42" s="265"/>
      <c r="H42" s="266"/>
      <c r="I42" s="265"/>
      <c r="J42" s="266"/>
      <c r="K42" s="265"/>
      <c r="L42" s="266"/>
      <c r="M42" s="604" t="s">
        <v>11</v>
      </c>
      <c r="N42" s="604">
        <f t="shared" si="1"/>
        <v>0</v>
      </c>
    </row>
    <row r="43" spans="1:14" s="40" customFormat="1" ht="11.45" customHeight="1" x14ac:dyDescent="0.2">
      <c r="A43" s="44"/>
      <c r="B43" s="603" t="s">
        <v>1149</v>
      </c>
      <c r="C43" s="603" t="s">
        <v>1107</v>
      </c>
      <c r="D43" s="603" t="s">
        <v>862</v>
      </c>
      <c r="E43" s="603" t="s">
        <v>1182</v>
      </c>
      <c r="F43" s="603" t="s">
        <v>1118</v>
      </c>
      <c r="G43" s="265"/>
      <c r="H43" s="266"/>
      <c r="I43" s="265"/>
      <c r="J43" s="266"/>
      <c r="K43" s="265"/>
      <c r="L43" s="266"/>
      <c r="M43" s="604" t="s">
        <v>11</v>
      </c>
      <c r="N43" s="604">
        <f t="shared" si="1"/>
        <v>0</v>
      </c>
    </row>
    <row r="44" spans="1:14" s="40" customFormat="1" ht="11.45" customHeight="1" x14ac:dyDescent="0.2">
      <c r="A44" s="44"/>
      <c r="B44" s="603" t="s">
        <v>1149</v>
      </c>
      <c r="C44" s="603" t="s">
        <v>1107</v>
      </c>
      <c r="D44" s="603" t="s">
        <v>862</v>
      </c>
      <c r="E44" s="603" t="s">
        <v>1183</v>
      </c>
      <c r="F44" s="603" t="s">
        <v>405</v>
      </c>
      <c r="G44" s="265"/>
      <c r="H44" s="266"/>
      <c r="I44" s="265"/>
      <c r="J44" s="266"/>
      <c r="K44" s="265"/>
      <c r="L44" s="266"/>
      <c r="M44" s="604" t="s">
        <v>11</v>
      </c>
      <c r="N44" s="604">
        <f t="shared" si="1"/>
        <v>0</v>
      </c>
    </row>
    <row r="45" spans="1:14" s="40" customFormat="1" ht="11.45" customHeight="1" x14ac:dyDescent="0.2">
      <c r="A45" s="44"/>
      <c r="B45" s="603" t="s">
        <v>1149</v>
      </c>
      <c r="C45" s="603" t="s">
        <v>1107</v>
      </c>
      <c r="D45" s="603" t="s">
        <v>862</v>
      </c>
      <c r="E45" s="603" t="s">
        <v>1184</v>
      </c>
      <c r="F45" s="603" t="s">
        <v>1119</v>
      </c>
      <c r="G45" s="265"/>
      <c r="H45" s="266"/>
      <c r="I45" s="265"/>
      <c r="J45" s="266"/>
      <c r="K45" s="265"/>
      <c r="L45" s="266"/>
      <c r="M45" s="604" t="s">
        <v>11</v>
      </c>
      <c r="N45" s="604">
        <f t="shared" si="1"/>
        <v>0</v>
      </c>
    </row>
    <row r="46" spans="1:14" s="40" customFormat="1" ht="11.45" customHeight="1" x14ac:dyDescent="0.2">
      <c r="A46" s="44"/>
      <c r="B46" s="603" t="s">
        <v>1149</v>
      </c>
      <c r="C46" s="603" t="s">
        <v>1107</v>
      </c>
      <c r="D46" s="603" t="s">
        <v>862</v>
      </c>
      <c r="E46" s="603" t="s">
        <v>1185</v>
      </c>
      <c r="F46" s="603" t="s">
        <v>1055</v>
      </c>
      <c r="G46" s="265"/>
      <c r="H46" s="266"/>
      <c r="I46" s="265"/>
      <c r="J46" s="266"/>
      <c r="K46" s="265"/>
      <c r="L46" s="266"/>
      <c r="M46" s="604" t="s">
        <v>11</v>
      </c>
      <c r="N46" s="604">
        <f t="shared" si="1"/>
        <v>0</v>
      </c>
    </row>
    <row r="47" spans="1:14" s="40" customFormat="1" ht="11.45" customHeight="1" x14ac:dyDescent="0.2">
      <c r="A47" s="44"/>
      <c r="B47" s="603" t="s">
        <v>1151</v>
      </c>
      <c r="C47" s="603" t="s">
        <v>771</v>
      </c>
      <c r="D47" s="603" t="s">
        <v>771</v>
      </c>
      <c r="E47" s="603" t="s">
        <v>1194</v>
      </c>
      <c r="F47" s="603" t="s">
        <v>1046</v>
      </c>
      <c r="G47" s="265"/>
      <c r="H47" s="266"/>
      <c r="I47" s="265"/>
      <c r="J47" s="266"/>
      <c r="K47" s="265"/>
      <c r="L47" s="266"/>
      <c r="M47" s="604" t="s">
        <v>11</v>
      </c>
      <c r="N47" s="604">
        <f t="shared" si="1"/>
        <v>0</v>
      </c>
    </row>
    <row r="48" spans="1:14" s="40" customFormat="1" ht="11.45" customHeight="1" x14ac:dyDescent="0.2">
      <c r="A48" s="44"/>
      <c r="B48" s="603" t="s">
        <v>1151</v>
      </c>
      <c r="C48" s="603" t="s">
        <v>771</v>
      </c>
      <c r="D48" s="603" t="s">
        <v>771</v>
      </c>
      <c r="E48" s="603" t="s">
        <v>1195</v>
      </c>
      <c r="F48" s="603" t="s">
        <v>1121</v>
      </c>
      <c r="G48" s="265"/>
      <c r="H48" s="266"/>
      <c r="I48" s="265"/>
      <c r="J48" s="266"/>
      <c r="K48" s="265"/>
      <c r="L48" s="266"/>
      <c r="M48" s="604" t="s">
        <v>11</v>
      </c>
      <c r="N48" s="604">
        <f t="shared" si="1"/>
        <v>0</v>
      </c>
    </row>
    <row r="49" spans="1:14" s="40" customFormat="1" ht="11.45" customHeight="1" x14ac:dyDescent="0.2">
      <c r="A49" s="44"/>
      <c r="B49" s="603" t="s">
        <v>1151</v>
      </c>
      <c r="C49" s="603" t="s">
        <v>771</v>
      </c>
      <c r="D49" s="603" t="s">
        <v>771</v>
      </c>
      <c r="E49" s="603" t="s">
        <v>1196</v>
      </c>
      <c r="F49" s="603" t="s">
        <v>407</v>
      </c>
      <c r="G49" s="265"/>
      <c r="H49" s="266"/>
      <c r="I49" s="265"/>
      <c r="J49" s="266"/>
      <c r="K49" s="265"/>
      <c r="L49" s="266"/>
      <c r="M49" s="604" t="s">
        <v>11</v>
      </c>
      <c r="N49" s="604">
        <f t="shared" si="1"/>
        <v>0</v>
      </c>
    </row>
    <row r="50" spans="1:14" s="40" customFormat="1" ht="11.45" customHeight="1" x14ac:dyDescent="0.2">
      <c r="A50" s="44"/>
      <c r="B50" s="603" t="s">
        <v>1151</v>
      </c>
      <c r="C50" s="603" t="s">
        <v>771</v>
      </c>
      <c r="D50" s="603" t="s">
        <v>771</v>
      </c>
      <c r="E50" s="603" t="s">
        <v>1197</v>
      </c>
      <c r="F50" s="603" t="s">
        <v>1122</v>
      </c>
      <c r="G50" s="265"/>
      <c r="H50" s="266"/>
      <c r="I50" s="265"/>
      <c r="J50" s="266"/>
      <c r="K50" s="265"/>
      <c r="L50" s="266"/>
      <c r="M50" s="604" t="s">
        <v>11</v>
      </c>
      <c r="N50" s="604">
        <f t="shared" si="1"/>
        <v>0</v>
      </c>
    </row>
    <row r="51" spans="1:14" s="40" customFormat="1" ht="11.45" customHeight="1" x14ac:dyDescent="0.2">
      <c r="A51" s="44"/>
      <c r="B51" s="603" t="s">
        <v>1068</v>
      </c>
      <c r="C51" s="603" t="s">
        <v>1045</v>
      </c>
      <c r="D51" s="603" t="s">
        <v>864</v>
      </c>
      <c r="E51" s="603" t="s">
        <v>1198</v>
      </c>
      <c r="F51" s="603" t="s">
        <v>1123</v>
      </c>
      <c r="G51" s="265"/>
      <c r="H51" s="266"/>
      <c r="I51" s="265"/>
      <c r="J51" s="266"/>
      <c r="K51" s="265"/>
      <c r="L51" s="266"/>
      <c r="M51" s="604" t="s">
        <v>11</v>
      </c>
      <c r="N51" s="604">
        <f t="shared" si="1"/>
        <v>0</v>
      </c>
    </row>
    <row r="52" spans="1:14" s="40" customFormat="1" ht="11.45" customHeight="1" x14ac:dyDescent="0.2">
      <c r="A52" s="44"/>
      <c r="B52" s="603" t="s">
        <v>1068</v>
      </c>
      <c r="C52" s="603" t="s">
        <v>1045</v>
      </c>
      <c r="D52" s="603" t="s">
        <v>864</v>
      </c>
      <c r="E52" s="603" t="s">
        <v>1199</v>
      </c>
      <c r="F52" s="603" t="s">
        <v>1039</v>
      </c>
      <c r="G52" s="265"/>
      <c r="H52" s="266"/>
      <c r="I52" s="265"/>
      <c r="J52" s="266"/>
      <c r="K52" s="265"/>
      <c r="L52" s="266"/>
      <c r="M52" s="604" t="s">
        <v>11</v>
      </c>
      <c r="N52" s="604">
        <f t="shared" si="1"/>
        <v>0</v>
      </c>
    </row>
    <row r="53" spans="1:14" s="40" customFormat="1" ht="11.45" customHeight="1" x14ac:dyDescent="0.2">
      <c r="A53" s="44"/>
      <c r="B53" s="603" t="s">
        <v>1068</v>
      </c>
      <c r="C53" s="603" t="s">
        <v>1045</v>
      </c>
      <c r="D53" s="603" t="s">
        <v>864</v>
      </c>
      <c r="E53" s="603" t="s">
        <v>1200</v>
      </c>
      <c r="F53" s="603" t="s">
        <v>1012</v>
      </c>
      <c r="G53" s="265"/>
      <c r="H53" s="266"/>
      <c r="I53" s="265"/>
      <c r="J53" s="266"/>
      <c r="K53" s="265"/>
      <c r="L53" s="266"/>
      <c r="M53" s="604" t="s">
        <v>11</v>
      </c>
      <c r="N53" s="604">
        <f t="shared" si="1"/>
        <v>0</v>
      </c>
    </row>
    <row r="54" spans="1:14" s="40" customFormat="1" ht="11.45" customHeight="1" x14ac:dyDescent="0.2">
      <c r="A54" s="44"/>
      <c r="B54" s="603" t="s">
        <v>1068</v>
      </c>
      <c r="C54" s="603" t="s">
        <v>1045</v>
      </c>
      <c r="D54" s="603" t="s">
        <v>864</v>
      </c>
      <c r="E54" s="603" t="s">
        <v>1201</v>
      </c>
      <c r="F54" s="603" t="s">
        <v>1124</v>
      </c>
      <c r="G54" s="265"/>
      <c r="H54" s="266"/>
      <c r="I54" s="265"/>
      <c r="J54" s="266"/>
      <c r="K54" s="265"/>
      <c r="L54" s="266"/>
      <c r="M54" s="604" t="s">
        <v>11</v>
      </c>
      <c r="N54" s="604">
        <f t="shared" si="1"/>
        <v>0</v>
      </c>
    </row>
    <row r="55" spans="1:14" s="40" customFormat="1" ht="11.45" customHeight="1" x14ac:dyDescent="0.2">
      <c r="A55" s="44"/>
      <c r="B55" s="603" t="s">
        <v>1023</v>
      </c>
      <c r="C55" s="603" t="s">
        <v>1020</v>
      </c>
      <c r="D55" s="603" t="s">
        <v>861</v>
      </c>
      <c r="E55" s="603" t="s">
        <v>1190</v>
      </c>
      <c r="F55" s="603" t="s">
        <v>1120</v>
      </c>
      <c r="G55" s="265"/>
      <c r="H55" s="266"/>
      <c r="I55" s="265"/>
      <c r="J55" s="266"/>
      <c r="K55" s="265"/>
      <c r="L55" s="266"/>
      <c r="M55" s="604" t="s">
        <v>11</v>
      </c>
      <c r="N55" s="604">
        <f t="shared" si="1"/>
        <v>0</v>
      </c>
    </row>
    <row r="56" spans="1:14" s="40" customFormat="1" ht="11.45" customHeight="1" x14ac:dyDescent="0.2">
      <c r="A56" s="44"/>
      <c r="B56" s="603" t="s">
        <v>1023</v>
      </c>
      <c r="C56" s="603" t="s">
        <v>1020</v>
      </c>
      <c r="D56" s="603" t="s">
        <v>861</v>
      </c>
      <c r="E56" s="603" t="s">
        <v>1191</v>
      </c>
      <c r="F56" s="603" t="s">
        <v>1061</v>
      </c>
      <c r="G56" s="265"/>
      <c r="H56" s="266"/>
      <c r="I56" s="265"/>
      <c r="J56" s="266"/>
      <c r="K56" s="265"/>
      <c r="L56" s="266"/>
      <c r="M56" s="604" t="s">
        <v>11</v>
      </c>
      <c r="N56" s="604">
        <f t="shared" si="1"/>
        <v>0</v>
      </c>
    </row>
    <row r="57" spans="1:14" s="40" customFormat="1" ht="11.45" customHeight="1" x14ac:dyDescent="0.2">
      <c r="A57" s="44"/>
      <c r="B57" s="603" t="s">
        <v>1023</v>
      </c>
      <c r="C57" s="603" t="s">
        <v>1020</v>
      </c>
      <c r="D57" s="603" t="s">
        <v>861</v>
      </c>
      <c r="E57" s="603" t="s">
        <v>1192</v>
      </c>
      <c r="F57" s="603" t="s">
        <v>1062</v>
      </c>
      <c r="G57" s="265"/>
      <c r="H57" s="266"/>
      <c r="I57" s="265"/>
      <c r="J57" s="266"/>
      <c r="K57" s="265"/>
      <c r="L57" s="266"/>
      <c r="M57" s="604" t="s">
        <v>11</v>
      </c>
      <c r="N57" s="604">
        <f t="shared" si="1"/>
        <v>0</v>
      </c>
    </row>
    <row r="58" spans="1:14" s="40" customFormat="1" ht="11.45" customHeight="1" x14ac:dyDescent="0.2">
      <c r="A58" s="44"/>
      <c r="B58" s="603" t="s">
        <v>1023</v>
      </c>
      <c r="C58" s="603" t="s">
        <v>1020</v>
      </c>
      <c r="D58" s="603" t="s">
        <v>861</v>
      </c>
      <c r="E58" s="603" t="s">
        <v>1193</v>
      </c>
      <c r="F58" s="603" t="s">
        <v>942</v>
      </c>
      <c r="G58" s="265"/>
      <c r="H58" s="266"/>
      <c r="I58" s="265"/>
      <c r="J58" s="266"/>
      <c r="K58" s="265"/>
      <c r="L58" s="266"/>
      <c r="M58" s="604" t="s">
        <v>11</v>
      </c>
      <c r="N58" s="604">
        <f t="shared" si="1"/>
        <v>0</v>
      </c>
    </row>
    <row r="59" spans="1:14" s="40" customFormat="1" ht="11.45" customHeight="1" x14ac:dyDescent="0.2">
      <c r="A59" s="44"/>
      <c r="B59" s="603" t="s">
        <v>1154</v>
      </c>
      <c r="C59" s="603" t="s">
        <v>1129</v>
      </c>
      <c r="D59" s="603" t="s">
        <v>867</v>
      </c>
      <c r="E59" s="603" t="s">
        <v>1210</v>
      </c>
      <c r="F59" s="603" t="s">
        <v>1094</v>
      </c>
      <c r="G59" s="265"/>
      <c r="H59" s="266"/>
      <c r="I59" s="265"/>
      <c r="J59" s="266"/>
      <c r="K59" s="265"/>
      <c r="L59" s="266"/>
      <c r="M59" s="604" t="s">
        <v>11</v>
      </c>
      <c r="N59" s="604">
        <f t="shared" si="1"/>
        <v>0</v>
      </c>
    </row>
    <row r="60" spans="1:14" s="40" customFormat="1" ht="11.45" customHeight="1" x14ac:dyDescent="0.2">
      <c r="A60" s="44"/>
      <c r="B60" s="603" t="s">
        <v>1154</v>
      </c>
      <c r="C60" s="603" t="s">
        <v>1129</v>
      </c>
      <c r="D60" s="603" t="s">
        <v>867</v>
      </c>
      <c r="E60" s="603" t="s">
        <v>1211</v>
      </c>
      <c r="F60" s="603" t="s">
        <v>1130</v>
      </c>
      <c r="G60" s="265"/>
      <c r="H60" s="266"/>
      <c r="I60" s="265"/>
      <c r="J60" s="266"/>
      <c r="K60" s="265"/>
      <c r="L60" s="266"/>
      <c r="M60" s="604" t="s">
        <v>11</v>
      </c>
      <c r="N60" s="604">
        <f t="shared" si="1"/>
        <v>0</v>
      </c>
    </row>
    <row r="61" spans="1:14" s="40" customFormat="1" ht="11.45" customHeight="1" x14ac:dyDescent="0.2">
      <c r="A61" s="44"/>
      <c r="B61" s="603" t="s">
        <v>1154</v>
      </c>
      <c r="C61" s="603" t="s">
        <v>1129</v>
      </c>
      <c r="D61" s="603" t="s">
        <v>867</v>
      </c>
      <c r="E61" s="603" t="s">
        <v>1212</v>
      </c>
      <c r="F61" s="603" t="s">
        <v>1131</v>
      </c>
      <c r="G61" s="265"/>
      <c r="H61" s="266"/>
      <c r="I61" s="265"/>
      <c r="J61" s="266"/>
      <c r="K61" s="265"/>
      <c r="L61" s="266"/>
      <c r="M61" s="604" t="s">
        <v>11</v>
      </c>
      <c r="N61" s="604">
        <f t="shared" si="1"/>
        <v>0</v>
      </c>
    </row>
    <row r="62" spans="1:14" s="40" customFormat="1" ht="11.45" customHeight="1" x14ac:dyDescent="0.2">
      <c r="A62" s="44"/>
      <c r="B62" s="603" t="s">
        <v>1154</v>
      </c>
      <c r="C62" s="603" t="s">
        <v>1129</v>
      </c>
      <c r="D62" s="603" t="s">
        <v>867</v>
      </c>
      <c r="E62" s="603" t="s">
        <v>1213</v>
      </c>
      <c r="F62" s="603" t="s">
        <v>1132</v>
      </c>
      <c r="G62" s="265"/>
      <c r="H62" s="266"/>
      <c r="I62" s="265"/>
      <c r="J62" s="266"/>
      <c r="K62" s="265"/>
      <c r="L62" s="266"/>
      <c r="M62" s="604" t="s">
        <v>11</v>
      </c>
      <c r="N62" s="604">
        <f t="shared" si="1"/>
        <v>0</v>
      </c>
    </row>
    <row r="63" spans="1:14" s="40" customFormat="1" ht="11.45" customHeight="1" x14ac:dyDescent="0.2">
      <c r="A63" s="44"/>
      <c r="B63" s="603" t="s">
        <v>1148</v>
      </c>
      <c r="C63" s="603" t="s">
        <v>1115</v>
      </c>
      <c r="D63" s="603" t="s">
        <v>870</v>
      </c>
      <c r="E63" s="603" t="s">
        <v>1170</v>
      </c>
      <c r="F63" s="603" t="s">
        <v>423</v>
      </c>
      <c r="G63" s="265"/>
      <c r="H63" s="266"/>
      <c r="I63" s="265"/>
      <c r="J63" s="266"/>
      <c r="K63" s="265"/>
      <c r="L63" s="266"/>
      <c r="M63" s="604" t="s">
        <v>11</v>
      </c>
      <c r="N63" s="604">
        <f t="shared" si="1"/>
        <v>0</v>
      </c>
    </row>
    <row r="64" spans="1:14" s="40" customFormat="1" ht="11.45" customHeight="1" x14ac:dyDescent="0.2">
      <c r="A64" s="44"/>
      <c r="B64" s="603" t="s">
        <v>1148</v>
      </c>
      <c r="C64" s="603" t="s">
        <v>1115</v>
      </c>
      <c r="D64" s="603" t="s">
        <v>870</v>
      </c>
      <c r="E64" s="603" t="s">
        <v>1171</v>
      </c>
      <c r="F64" s="603" t="s">
        <v>1102</v>
      </c>
      <c r="G64" s="265"/>
      <c r="H64" s="266"/>
      <c r="I64" s="265"/>
      <c r="J64" s="266"/>
      <c r="K64" s="265"/>
      <c r="L64" s="266"/>
      <c r="M64" s="604" t="s">
        <v>11</v>
      </c>
      <c r="N64" s="604">
        <f t="shared" si="1"/>
        <v>0</v>
      </c>
    </row>
    <row r="65" spans="1:14" s="40" customFormat="1" ht="11.45" customHeight="1" x14ac:dyDescent="0.2">
      <c r="A65" s="44"/>
      <c r="B65" s="603" t="s">
        <v>1148</v>
      </c>
      <c r="C65" s="603" t="s">
        <v>1115</v>
      </c>
      <c r="D65" s="603" t="s">
        <v>870</v>
      </c>
      <c r="E65" s="603" t="s">
        <v>1172</v>
      </c>
      <c r="F65" s="603" t="s">
        <v>1116</v>
      </c>
      <c r="G65" s="265"/>
      <c r="H65" s="266"/>
      <c r="I65" s="265"/>
      <c r="J65" s="266"/>
      <c r="K65" s="265"/>
      <c r="L65" s="266"/>
      <c r="M65" s="604" t="s">
        <v>11</v>
      </c>
      <c r="N65" s="604">
        <f t="shared" si="1"/>
        <v>0</v>
      </c>
    </row>
    <row r="66" spans="1:14" s="40" customFormat="1" ht="11.45" customHeight="1" x14ac:dyDescent="0.2">
      <c r="A66" s="44"/>
      <c r="B66" s="603" t="s">
        <v>1148</v>
      </c>
      <c r="C66" s="603" t="s">
        <v>1115</v>
      </c>
      <c r="D66" s="603" t="s">
        <v>870</v>
      </c>
      <c r="E66" s="603" t="s">
        <v>1173</v>
      </c>
      <c r="F66" s="603" t="s">
        <v>1100</v>
      </c>
      <c r="G66" s="265"/>
      <c r="H66" s="266"/>
      <c r="I66" s="265"/>
      <c r="J66" s="266"/>
      <c r="K66" s="265"/>
      <c r="L66" s="266"/>
      <c r="M66" s="604" t="s">
        <v>11</v>
      </c>
      <c r="N66" s="604">
        <f t="shared" si="1"/>
        <v>0</v>
      </c>
    </row>
    <row r="67" spans="1:14" s="40" customFormat="1" ht="11.45" customHeight="1" x14ac:dyDescent="0.2">
      <c r="A67" s="44"/>
      <c r="B67" s="603" t="s">
        <v>1153</v>
      </c>
      <c r="C67" s="603" t="s">
        <v>1058</v>
      </c>
      <c r="D67" s="603" t="s">
        <v>597</v>
      </c>
      <c r="E67" s="603" t="s">
        <v>1206</v>
      </c>
      <c r="F67" s="603" t="s">
        <v>1059</v>
      </c>
      <c r="G67" s="265"/>
      <c r="H67" s="266"/>
      <c r="I67" s="265"/>
      <c r="J67" s="266"/>
      <c r="K67" s="265"/>
      <c r="L67" s="266"/>
      <c r="M67" s="604" t="s">
        <v>11</v>
      </c>
      <c r="N67" s="604">
        <f t="shared" si="1"/>
        <v>0</v>
      </c>
    </row>
    <row r="68" spans="1:14" s="40" customFormat="1" ht="11.45" customHeight="1" x14ac:dyDescent="0.2">
      <c r="A68" s="44"/>
      <c r="B68" s="603" t="s">
        <v>1153</v>
      </c>
      <c r="C68" s="603" t="s">
        <v>1058</v>
      </c>
      <c r="D68" s="603" t="s">
        <v>597</v>
      </c>
      <c r="E68" s="603" t="s">
        <v>1207</v>
      </c>
      <c r="F68" s="603" t="s">
        <v>1053</v>
      </c>
      <c r="G68" s="265"/>
      <c r="H68" s="266"/>
      <c r="I68" s="265"/>
      <c r="J68" s="266"/>
      <c r="K68" s="265"/>
      <c r="L68" s="266"/>
      <c r="M68" s="604" t="s">
        <v>11</v>
      </c>
      <c r="N68" s="604">
        <f t="shared" si="1"/>
        <v>0</v>
      </c>
    </row>
    <row r="69" spans="1:14" s="40" customFormat="1" ht="11.45" customHeight="1" x14ac:dyDescent="0.2">
      <c r="A69" s="44"/>
      <c r="B69" s="603" t="s">
        <v>1153</v>
      </c>
      <c r="C69" s="603" t="s">
        <v>1058</v>
      </c>
      <c r="D69" s="603" t="s">
        <v>597</v>
      </c>
      <c r="E69" s="603" t="s">
        <v>1208</v>
      </c>
      <c r="F69" s="603" t="s">
        <v>1060</v>
      </c>
      <c r="G69" s="265"/>
      <c r="H69" s="266"/>
      <c r="I69" s="265"/>
      <c r="J69" s="266"/>
      <c r="K69" s="265"/>
      <c r="L69" s="266"/>
      <c r="M69" s="604" t="s">
        <v>11</v>
      </c>
      <c r="N69" s="604">
        <f t="shared" si="1"/>
        <v>0</v>
      </c>
    </row>
    <row r="70" spans="1:14" s="40" customFormat="1" ht="11.45" customHeight="1" x14ac:dyDescent="0.2">
      <c r="A70" s="44"/>
      <c r="B70" s="603" t="s">
        <v>1153</v>
      </c>
      <c r="C70" s="603" t="s">
        <v>1058</v>
      </c>
      <c r="D70" s="603" t="s">
        <v>597</v>
      </c>
      <c r="E70" s="603" t="s">
        <v>1209</v>
      </c>
      <c r="F70" s="603" t="s">
        <v>1128</v>
      </c>
      <c r="G70" s="265"/>
      <c r="H70" s="266"/>
      <c r="I70" s="265"/>
      <c r="J70" s="266"/>
      <c r="K70" s="265"/>
      <c r="L70" s="266"/>
      <c r="M70" s="604" t="s">
        <v>11</v>
      </c>
      <c r="N70" s="604">
        <f t="shared" si="1"/>
        <v>0</v>
      </c>
    </row>
    <row r="71" spans="1:14" s="40" customFormat="1" ht="11.45" customHeight="1" x14ac:dyDescent="0.2">
      <c r="A71" s="44"/>
      <c r="B71" s="603" t="s">
        <v>1025</v>
      </c>
      <c r="C71" s="603" t="s">
        <v>1022</v>
      </c>
      <c r="D71" s="603" t="s">
        <v>873</v>
      </c>
      <c r="E71" s="603" t="s">
        <v>1178</v>
      </c>
      <c r="F71" s="603" t="s">
        <v>1099</v>
      </c>
      <c r="G71" s="265"/>
      <c r="H71" s="266"/>
      <c r="I71" s="265"/>
      <c r="J71" s="266"/>
      <c r="K71" s="265"/>
      <c r="L71" s="266"/>
      <c r="M71" s="604" t="s">
        <v>11</v>
      </c>
      <c r="N71" s="604">
        <f t="shared" ref="N71:N81" si="2">SUM(H71:M71)</f>
        <v>0</v>
      </c>
    </row>
    <row r="72" spans="1:14" s="40" customFormat="1" ht="11.45" customHeight="1" x14ac:dyDescent="0.2">
      <c r="A72" s="44"/>
      <c r="B72" s="603" t="s">
        <v>1025</v>
      </c>
      <c r="C72" s="603" t="s">
        <v>1022</v>
      </c>
      <c r="D72" s="603" t="s">
        <v>873</v>
      </c>
      <c r="E72" s="603" t="s">
        <v>1179</v>
      </c>
      <c r="F72" s="603" t="s">
        <v>1064</v>
      </c>
      <c r="G72" s="265"/>
      <c r="H72" s="266"/>
      <c r="I72" s="265"/>
      <c r="J72" s="266"/>
      <c r="K72" s="265"/>
      <c r="L72" s="266"/>
      <c r="M72" s="604" t="s">
        <v>11</v>
      </c>
      <c r="N72" s="604">
        <f t="shared" si="2"/>
        <v>0</v>
      </c>
    </row>
    <row r="73" spans="1:14" s="40" customFormat="1" ht="11.45" customHeight="1" x14ac:dyDescent="0.2">
      <c r="A73" s="44"/>
      <c r="B73" s="603" t="s">
        <v>1025</v>
      </c>
      <c r="C73" s="603" t="s">
        <v>1022</v>
      </c>
      <c r="D73" s="603" t="s">
        <v>873</v>
      </c>
      <c r="E73" s="603" t="s">
        <v>1180</v>
      </c>
      <c r="F73" s="603" t="s">
        <v>1012</v>
      </c>
      <c r="G73" s="265"/>
      <c r="H73" s="266"/>
      <c r="I73" s="265"/>
      <c r="J73" s="266"/>
      <c r="K73" s="265"/>
      <c r="L73" s="266"/>
      <c r="M73" s="604" t="s">
        <v>11</v>
      </c>
      <c r="N73" s="604">
        <f t="shared" si="2"/>
        <v>0</v>
      </c>
    </row>
    <row r="74" spans="1:14" s="40" customFormat="1" ht="11.45" customHeight="1" x14ac:dyDescent="0.2">
      <c r="A74" s="44"/>
      <c r="B74" s="603" t="s">
        <v>1025</v>
      </c>
      <c r="C74" s="603" t="s">
        <v>1022</v>
      </c>
      <c r="D74" s="603" t="s">
        <v>873</v>
      </c>
      <c r="E74" s="603" t="s">
        <v>1181</v>
      </c>
      <c r="F74" s="603" t="s">
        <v>1050</v>
      </c>
      <c r="G74" s="265"/>
      <c r="H74" s="266"/>
      <c r="I74" s="265"/>
      <c r="J74" s="266"/>
      <c r="K74" s="265"/>
      <c r="L74" s="266"/>
      <c r="M74" s="604" t="s">
        <v>11</v>
      </c>
      <c r="N74" s="604">
        <f t="shared" si="2"/>
        <v>0</v>
      </c>
    </row>
    <row r="75" spans="1:14" s="40" customFormat="1" ht="11.45" customHeight="1" x14ac:dyDescent="0.2">
      <c r="A75" s="44"/>
      <c r="B75" s="603" t="s">
        <v>1157</v>
      </c>
      <c r="C75" s="603" t="s">
        <v>771</v>
      </c>
      <c r="D75" s="603" t="s">
        <v>771</v>
      </c>
      <c r="E75" s="603" t="s">
        <v>1234</v>
      </c>
      <c r="F75" s="603" t="s">
        <v>1110</v>
      </c>
      <c r="G75" s="265"/>
      <c r="H75" s="266"/>
      <c r="I75" s="265"/>
      <c r="J75" s="266"/>
      <c r="K75" s="265"/>
      <c r="L75" s="266"/>
      <c r="M75" s="604" t="s">
        <v>11</v>
      </c>
      <c r="N75" s="604">
        <f t="shared" si="2"/>
        <v>0</v>
      </c>
    </row>
    <row r="76" spans="1:14" s="40" customFormat="1" ht="11.45" customHeight="1" x14ac:dyDescent="0.2">
      <c r="A76" s="44"/>
      <c r="B76" s="603" t="s">
        <v>1157</v>
      </c>
      <c r="C76" s="603" t="s">
        <v>771</v>
      </c>
      <c r="D76" s="603" t="s">
        <v>771</v>
      </c>
      <c r="E76" s="603" t="s">
        <v>1235</v>
      </c>
      <c r="F76" s="603" t="s">
        <v>1143</v>
      </c>
      <c r="G76" s="265"/>
      <c r="H76" s="266"/>
      <c r="I76" s="265"/>
      <c r="J76" s="266"/>
      <c r="K76" s="265"/>
      <c r="L76" s="266"/>
      <c r="M76" s="604" t="s">
        <v>11</v>
      </c>
      <c r="N76" s="604">
        <f t="shared" si="2"/>
        <v>0</v>
      </c>
    </row>
    <row r="77" spans="1:14" s="40" customFormat="1" ht="11.45" customHeight="1" x14ac:dyDescent="0.2">
      <c r="A77" s="44"/>
      <c r="B77" s="603" t="s">
        <v>1157</v>
      </c>
      <c r="C77" s="603" t="s">
        <v>771</v>
      </c>
      <c r="D77" s="603" t="s">
        <v>771</v>
      </c>
      <c r="E77" s="603" t="s">
        <v>1236</v>
      </c>
      <c r="F77" s="603" t="s">
        <v>1096</v>
      </c>
      <c r="G77" s="265"/>
      <c r="H77" s="266"/>
      <c r="I77" s="265"/>
      <c r="J77" s="266"/>
      <c r="K77" s="265"/>
      <c r="L77" s="266"/>
      <c r="M77" s="604" t="s">
        <v>11</v>
      </c>
      <c r="N77" s="604">
        <f t="shared" si="2"/>
        <v>0</v>
      </c>
    </row>
    <row r="78" spans="1:14" s="40" customFormat="1" ht="11.45" customHeight="1" x14ac:dyDescent="0.2">
      <c r="A78" s="44"/>
      <c r="B78" s="603" t="s">
        <v>1157</v>
      </c>
      <c r="C78" s="603" t="s">
        <v>771</v>
      </c>
      <c r="D78" s="603" t="s">
        <v>771</v>
      </c>
      <c r="E78" s="603" t="s">
        <v>1237</v>
      </c>
      <c r="F78" s="603" t="s">
        <v>1144</v>
      </c>
      <c r="G78" s="265"/>
      <c r="H78" s="266"/>
      <c r="I78" s="265"/>
      <c r="J78" s="266"/>
      <c r="K78" s="265"/>
      <c r="L78" s="266"/>
      <c r="M78" s="604" t="s">
        <v>11</v>
      </c>
      <c r="N78" s="604">
        <f t="shared" si="2"/>
        <v>0</v>
      </c>
    </row>
    <row r="79" spans="1:14" s="40" customFormat="1" ht="11.45" customHeight="1" x14ac:dyDescent="0.2">
      <c r="A79" s="44"/>
      <c r="B79" s="603" t="s">
        <v>1145</v>
      </c>
      <c r="C79" s="603" t="s">
        <v>1051</v>
      </c>
      <c r="D79" s="603" t="s">
        <v>874</v>
      </c>
      <c r="E79" s="603" t="s">
        <v>1158</v>
      </c>
      <c r="F79" s="603" t="s">
        <v>1097</v>
      </c>
      <c r="G79" s="265"/>
      <c r="H79" s="266"/>
      <c r="I79" s="265"/>
      <c r="J79" s="266"/>
      <c r="K79" s="265"/>
      <c r="L79" s="266"/>
      <c r="M79" s="604" t="s">
        <v>11</v>
      </c>
      <c r="N79" s="604">
        <f t="shared" si="2"/>
        <v>0</v>
      </c>
    </row>
    <row r="80" spans="1:14" s="40" customFormat="1" ht="11.45" customHeight="1" x14ac:dyDescent="0.2">
      <c r="A80" s="44"/>
      <c r="B80" s="603" t="s">
        <v>1145</v>
      </c>
      <c r="C80" s="603" t="s">
        <v>1051</v>
      </c>
      <c r="D80" s="603" t="s">
        <v>874</v>
      </c>
      <c r="E80" s="603" t="s">
        <v>1159</v>
      </c>
      <c r="F80" s="603" t="s">
        <v>1102</v>
      </c>
      <c r="G80" s="265"/>
      <c r="H80" s="266"/>
      <c r="I80" s="265"/>
      <c r="J80" s="266"/>
      <c r="K80" s="265"/>
      <c r="L80" s="266"/>
      <c r="M80" s="604" t="s">
        <v>11</v>
      </c>
      <c r="N80" s="604">
        <f t="shared" si="2"/>
        <v>0</v>
      </c>
    </row>
    <row r="81" spans="1:14" s="40" customFormat="1" ht="11.45" customHeight="1" x14ac:dyDescent="0.2">
      <c r="A81" s="44"/>
      <c r="B81" s="603" t="s">
        <v>1145</v>
      </c>
      <c r="C81" s="603" t="s">
        <v>1051</v>
      </c>
      <c r="D81" s="603" t="s">
        <v>874</v>
      </c>
      <c r="E81" s="603" t="s">
        <v>1160</v>
      </c>
      <c r="F81" s="603" t="s">
        <v>1052</v>
      </c>
      <c r="G81" s="265"/>
      <c r="H81" s="266"/>
      <c r="I81" s="265"/>
      <c r="J81" s="266"/>
      <c r="K81" s="265"/>
      <c r="L81" s="266"/>
      <c r="M81" s="604" t="s">
        <v>11</v>
      </c>
      <c r="N81" s="604">
        <f t="shared" si="2"/>
        <v>0</v>
      </c>
    </row>
    <row r="82" spans="1:14" s="40" customFormat="1" ht="11.45" customHeight="1" x14ac:dyDescent="0.2">
      <c r="A82" s="44"/>
      <c r="B82" s="603" t="s">
        <v>1145</v>
      </c>
      <c r="C82" s="603" t="s">
        <v>1051</v>
      </c>
      <c r="D82" s="603" t="s">
        <v>874</v>
      </c>
      <c r="E82" s="603" t="s">
        <v>1161</v>
      </c>
      <c r="F82" s="603" t="s">
        <v>1109</v>
      </c>
      <c r="G82" s="265"/>
      <c r="H82" s="266"/>
      <c r="I82" s="265"/>
      <c r="J82" s="266"/>
      <c r="K82" s="265"/>
      <c r="L82" s="266"/>
      <c r="M82" s="604" t="s">
        <v>11</v>
      </c>
      <c r="N82" s="604">
        <f>SUM(G82:L82)</f>
        <v>0</v>
      </c>
    </row>
    <row r="83" spans="1:14" s="40" customFormat="1" ht="11.45" customHeight="1" x14ac:dyDescent="0.2">
      <c r="A83" s="44"/>
      <c r="B83" s="603" t="s">
        <v>1146</v>
      </c>
      <c r="C83" s="603" t="s">
        <v>1054</v>
      </c>
      <c r="D83" s="603" t="s">
        <v>606</v>
      </c>
      <c r="E83" s="603" t="s">
        <v>1162</v>
      </c>
      <c r="F83" s="603" t="s">
        <v>1040</v>
      </c>
      <c r="G83" s="265"/>
      <c r="H83" s="266"/>
      <c r="I83" s="265"/>
      <c r="J83" s="266"/>
      <c r="K83" s="265"/>
      <c r="L83" s="266"/>
      <c r="M83" s="604" t="s">
        <v>11</v>
      </c>
      <c r="N83" s="604">
        <f t="shared" ref="N83:N102" si="3">SUM(H83:M83)</f>
        <v>0</v>
      </c>
    </row>
    <row r="84" spans="1:14" s="40" customFormat="1" ht="11.45" customHeight="1" x14ac:dyDescent="0.2">
      <c r="A84" s="44"/>
      <c r="B84" s="603" t="s">
        <v>1146</v>
      </c>
      <c r="C84" s="603" t="s">
        <v>1054</v>
      </c>
      <c r="D84" s="603" t="s">
        <v>606</v>
      </c>
      <c r="E84" s="603" t="s">
        <v>1163</v>
      </c>
      <c r="F84" s="603" t="s">
        <v>417</v>
      </c>
      <c r="G84" s="265"/>
      <c r="H84" s="266"/>
      <c r="I84" s="265"/>
      <c r="J84" s="266"/>
      <c r="K84" s="265"/>
      <c r="L84" s="266"/>
      <c r="M84" s="604" t="s">
        <v>11</v>
      </c>
      <c r="N84" s="604">
        <f t="shared" si="3"/>
        <v>0</v>
      </c>
    </row>
    <row r="85" spans="1:14" s="40" customFormat="1" ht="11.45" customHeight="1" x14ac:dyDescent="0.2">
      <c r="A85" s="44"/>
      <c r="B85" s="603" t="s">
        <v>1146</v>
      </c>
      <c r="C85" s="603" t="s">
        <v>1054</v>
      </c>
      <c r="D85" s="603" t="s">
        <v>606</v>
      </c>
      <c r="E85" s="603" t="s">
        <v>1164</v>
      </c>
      <c r="F85" s="603" t="s">
        <v>943</v>
      </c>
      <c r="G85" s="265"/>
      <c r="H85" s="266"/>
      <c r="I85" s="265"/>
      <c r="J85" s="266"/>
      <c r="K85" s="265"/>
      <c r="L85" s="266"/>
      <c r="M85" s="604" t="s">
        <v>11</v>
      </c>
      <c r="N85" s="604">
        <f t="shared" si="3"/>
        <v>0</v>
      </c>
    </row>
    <row r="86" spans="1:14" s="40" customFormat="1" ht="11.45" customHeight="1" x14ac:dyDescent="0.2">
      <c r="A86" s="44"/>
      <c r="B86" s="603" t="s">
        <v>1146</v>
      </c>
      <c r="C86" s="603" t="s">
        <v>1054</v>
      </c>
      <c r="D86" s="603" t="s">
        <v>606</v>
      </c>
      <c r="E86" s="603" t="s">
        <v>1165</v>
      </c>
      <c r="F86" s="603" t="s">
        <v>1112</v>
      </c>
      <c r="G86" s="265"/>
      <c r="H86" s="266"/>
      <c r="I86" s="265"/>
      <c r="J86" s="266"/>
      <c r="K86" s="265"/>
      <c r="L86" s="266"/>
      <c r="M86" s="604" t="s">
        <v>11</v>
      </c>
      <c r="N86" s="604">
        <f t="shared" si="3"/>
        <v>0</v>
      </c>
    </row>
    <row r="87" spans="1:14" x14ac:dyDescent="0.2">
      <c r="A87" s="44"/>
      <c r="B87" s="603" t="s">
        <v>11</v>
      </c>
      <c r="C87" s="603" t="s">
        <v>11</v>
      </c>
      <c r="D87" s="603" t="s">
        <v>11</v>
      </c>
      <c r="E87" s="603" t="s">
        <v>11</v>
      </c>
      <c r="F87" s="603" t="s">
        <v>11</v>
      </c>
      <c r="G87" s="265"/>
      <c r="H87" s="266"/>
      <c r="I87" s="265"/>
      <c r="J87" s="266"/>
      <c r="K87" s="265"/>
      <c r="L87" s="266"/>
      <c r="M87" s="604" t="s">
        <v>11</v>
      </c>
      <c r="N87" s="604">
        <f t="shared" si="3"/>
        <v>0</v>
      </c>
    </row>
    <row r="88" spans="1:14" x14ac:dyDescent="0.2">
      <c r="A88" s="44"/>
      <c r="B88" s="603" t="s">
        <v>11</v>
      </c>
      <c r="C88" s="603" t="s">
        <v>11</v>
      </c>
      <c r="D88" s="603" t="s">
        <v>11</v>
      </c>
      <c r="E88" s="603" t="s">
        <v>11</v>
      </c>
      <c r="F88" s="603" t="s">
        <v>11</v>
      </c>
      <c r="G88" s="265"/>
      <c r="H88" s="266"/>
      <c r="I88" s="265"/>
      <c r="J88" s="266"/>
      <c r="K88" s="265"/>
      <c r="L88" s="266"/>
      <c r="M88" s="604" t="s">
        <v>11</v>
      </c>
      <c r="N88" s="604">
        <f t="shared" si="3"/>
        <v>0</v>
      </c>
    </row>
    <row r="89" spans="1:14" x14ac:dyDescent="0.2">
      <c r="A89" s="44"/>
      <c r="B89" s="603" t="s">
        <v>11</v>
      </c>
      <c r="C89" s="603" t="s">
        <v>11</v>
      </c>
      <c r="D89" s="603" t="s">
        <v>11</v>
      </c>
      <c r="E89" s="603" t="s">
        <v>11</v>
      </c>
      <c r="F89" s="603" t="s">
        <v>11</v>
      </c>
      <c r="G89" s="265"/>
      <c r="H89" s="266"/>
      <c r="I89" s="265"/>
      <c r="J89" s="266"/>
      <c r="K89" s="265"/>
      <c r="L89" s="266"/>
      <c r="M89" s="604" t="s">
        <v>11</v>
      </c>
      <c r="N89" s="604">
        <f t="shared" si="3"/>
        <v>0</v>
      </c>
    </row>
    <row r="90" spans="1:14" x14ac:dyDescent="0.2">
      <c r="A90" s="44"/>
      <c r="B90" s="603" t="s">
        <v>11</v>
      </c>
      <c r="C90" s="603" t="s">
        <v>11</v>
      </c>
      <c r="D90" s="603" t="s">
        <v>11</v>
      </c>
      <c r="E90" s="603" t="s">
        <v>11</v>
      </c>
      <c r="F90" s="603" t="s">
        <v>11</v>
      </c>
      <c r="G90" s="265"/>
      <c r="H90" s="266"/>
      <c r="I90" s="265"/>
      <c r="J90" s="266"/>
      <c r="K90" s="265"/>
      <c r="L90" s="266"/>
      <c r="M90" s="604" t="s">
        <v>11</v>
      </c>
      <c r="N90" s="604">
        <f t="shared" si="3"/>
        <v>0</v>
      </c>
    </row>
    <row r="91" spans="1:14" x14ac:dyDescent="0.2">
      <c r="A91" s="44"/>
      <c r="B91" s="603" t="s">
        <v>11</v>
      </c>
      <c r="C91" s="603" t="s">
        <v>11</v>
      </c>
      <c r="D91" s="603" t="s">
        <v>11</v>
      </c>
      <c r="E91" s="603" t="s">
        <v>11</v>
      </c>
      <c r="F91" s="603" t="s">
        <v>11</v>
      </c>
      <c r="G91" s="265"/>
      <c r="H91" s="266"/>
      <c r="I91" s="265"/>
      <c r="J91" s="266"/>
      <c r="K91" s="265"/>
      <c r="L91" s="266"/>
      <c r="M91" s="604" t="s">
        <v>11</v>
      </c>
      <c r="N91" s="604">
        <f t="shared" si="3"/>
        <v>0</v>
      </c>
    </row>
    <row r="92" spans="1:14" x14ac:dyDescent="0.2">
      <c r="A92" s="44"/>
      <c r="B92" s="603" t="s">
        <v>11</v>
      </c>
      <c r="C92" s="603" t="s">
        <v>11</v>
      </c>
      <c r="D92" s="603" t="s">
        <v>11</v>
      </c>
      <c r="E92" s="603" t="s">
        <v>11</v>
      </c>
      <c r="F92" s="603" t="s">
        <v>11</v>
      </c>
      <c r="G92" s="265"/>
      <c r="H92" s="266"/>
      <c r="I92" s="265"/>
      <c r="J92" s="266"/>
      <c r="K92" s="265"/>
      <c r="L92" s="266"/>
      <c r="M92" s="604" t="s">
        <v>11</v>
      </c>
      <c r="N92" s="604">
        <f t="shared" si="3"/>
        <v>0</v>
      </c>
    </row>
    <row r="93" spans="1:14" x14ac:dyDescent="0.2">
      <c r="A93" s="44"/>
      <c r="B93" s="603" t="s">
        <v>11</v>
      </c>
      <c r="C93" s="603" t="s">
        <v>11</v>
      </c>
      <c r="D93" s="603" t="s">
        <v>11</v>
      </c>
      <c r="E93" s="603" t="s">
        <v>11</v>
      </c>
      <c r="F93" s="603" t="s">
        <v>11</v>
      </c>
      <c r="G93" s="265"/>
      <c r="H93" s="266"/>
      <c r="I93" s="265"/>
      <c r="J93" s="266"/>
      <c r="K93" s="265"/>
      <c r="L93" s="266"/>
      <c r="M93" s="604" t="s">
        <v>11</v>
      </c>
      <c r="N93" s="604">
        <f t="shared" si="3"/>
        <v>0</v>
      </c>
    </row>
    <row r="94" spans="1:14" x14ac:dyDescent="0.2">
      <c r="A94" s="44"/>
      <c r="B94" s="603" t="s">
        <v>11</v>
      </c>
      <c r="C94" s="603" t="s">
        <v>11</v>
      </c>
      <c r="D94" s="603" t="s">
        <v>11</v>
      </c>
      <c r="E94" s="603" t="s">
        <v>11</v>
      </c>
      <c r="F94" s="603" t="s">
        <v>11</v>
      </c>
      <c r="G94" s="265"/>
      <c r="H94" s="266"/>
      <c r="I94" s="265"/>
      <c r="J94" s="266"/>
      <c r="K94" s="265"/>
      <c r="L94" s="266"/>
      <c r="M94" s="604" t="s">
        <v>11</v>
      </c>
      <c r="N94" s="604">
        <f t="shared" si="3"/>
        <v>0</v>
      </c>
    </row>
    <row r="95" spans="1:14" x14ac:dyDescent="0.2">
      <c r="A95" s="44"/>
      <c r="B95" s="603" t="s">
        <v>11</v>
      </c>
      <c r="C95" s="603" t="s">
        <v>11</v>
      </c>
      <c r="D95" s="603" t="s">
        <v>11</v>
      </c>
      <c r="E95" s="603" t="s">
        <v>11</v>
      </c>
      <c r="F95" s="603" t="s">
        <v>11</v>
      </c>
      <c r="G95" s="265"/>
      <c r="H95" s="266"/>
      <c r="I95" s="265"/>
      <c r="J95" s="266"/>
      <c r="K95" s="265"/>
      <c r="L95" s="266"/>
      <c r="M95" s="604" t="s">
        <v>11</v>
      </c>
      <c r="N95" s="604">
        <f t="shared" si="3"/>
        <v>0</v>
      </c>
    </row>
    <row r="96" spans="1:14" x14ac:dyDescent="0.2">
      <c r="A96" s="44"/>
      <c r="B96" s="603" t="s">
        <v>11</v>
      </c>
      <c r="C96" s="603" t="s">
        <v>11</v>
      </c>
      <c r="D96" s="603" t="s">
        <v>11</v>
      </c>
      <c r="E96" s="603" t="s">
        <v>11</v>
      </c>
      <c r="F96" s="603" t="s">
        <v>11</v>
      </c>
      <c r="G96" s="265"/>
      <c r="H96" s="266"/>
      <c r="I96" s="265"/>
      <c r="J96" s="266"/>
      <c r="K96" s="265"/>
      <c r="L96" s="266"/>
      <c r="M96" s="604" t="s">
        <v>11</v>
      </c>
      <c r="N96" s="604">
        <f t="shared" si="3"/>
        <v>0</v>
      </c>
    </row>
    <row r="97" spans="1:14" x14ac:dyDescent="0.2">
      <c r="A97" s="44"/>
      <c r="B97" s="603" t="s">
        <v>11</v>
      </c>
      <c r="C97" s="603" t="s">
        <v>11</v>
      </c>
      <c r="D97" s="603" t="s">
        <v>11</v>
      </c>
      <c r="E97" s="603" t="s">
        <v>11</v>
      </c>
      <c r="F97" s="603" t="s">
        <v>11</v>
      </c>
      <c r="G97" s="265"/>
      <c r="H97" s="266"/>
      <c r="I97" s="265"/>
      <c r="J97" s="266"/>
      <c r="K97" s="265"/>
      <c r="L97" s="266"/>
      <c r="M97" s="604" t="s">
        <v>11</v>
      </c>
      <c r="N97" s="604">
        <f t="shared" si="3"/>
        <v>0</v>
      </c>
    </row>
    <row r="98" spans="1:14" x14ac:dyDescent="0.2">
      <c r="A98" s="44"/>
      <c r="B98" s="603" t="s">
        <v>11</v>
      </c>
      <c r="C98" s="603" t="s">
        <v>11</v>
      </c>
      <c r="D98" s="603" t="s">
        <v>11</v>
      </c>
      <c r="E98" s="603" t="s">
        <v>11</v>
      </c>
      <c r="F98" s="603" t="s">
        <v>11</v>
      </c>
      <c r="G98" s="265"/>
      <c r="H98" s="266"/>
      <c r="I98" s="265"/>
      <c r="J98" s="266"/>
      <c r="K98" s="265"/>
      <c r="L98" s="266"/>
      <c r="M98" s="604" t="s">
        <v>11</v>
      </c>
      <c r="N98" s="604">
        <f t="shared" si="3"/>
        <v>0</v>
      </c>
    </row>
    <row r="99" spans="1:14" x14ac:dyDescent="0.2">
      <c r="A99" s="44"/>
      <c r="B99" s="603" t="s">
        <v>11</v>
      </c>
      <c r="C99" s="603" t="s">
        <v>11</v>
      </c>
      <c r="D99" s="603" t="s">
        <v>11</v>
      </c>
      <c r="E99" s="603" t="s">
        <v>11</v>
      </c>
      <c r="F99" s="603" t="s">
        <v>11</v>
      </c>
      <c r="G99" s="265"/>
      <c r="H99" s="266"/>
      <c r="I99" s="265"/>
      <c r="J99" s="266"/>
      <c r="K99" s="265"/>
      <c r="L99" s="266"/>
      <c r="M99" s="604" t="s">
        <v>11</v>
      </c>
      <c r="N99" s="604">
        <f t="shared" si="3"/>
        <v>0</v>
      </c>
    </row>
    <row r="100" spans="1:14" x14ac:dyDescent="0.2">
      <c r="A100" s="44"/>
      <c r="B100" s="603" t="s">
        <v>11</v>
      </c>
      <c r="C100" s="603" t="s">
        <v>11</v>
      </c>
      <c r="D100" s="603" t="s">
        <v>11</v>
      </c>
      <c r="E100" s="603" t="s">
        <v>11</v>
      </c>
      <c r="F100" s="603" t="s">
        <v>11</v>
      </c>
      <c r="G100" s="265"/>
      <c r="H100" s="266"/>
      <c r="I100" s="265"/>
      <c r="J100" s="266"/>
      <c r="K100" s="265"/>
      <c r="L100" s="266"/>
      <c r="M100" s="604" t="s">
        <v>11</v>
      </c>
      <c r="N100" s="604">
        <f t="shared" si="3"/>
        <v>0</v>
      </c>
    </row>
    <row r="101" spans="1:14" x14ac:dyDescent="0.2">
      <c r="A101" s="44"/>
      <c r="B101" s="603" t="s">
        <v>11</v>
      </c>
      <c r="C101" s="603" t="s">
        <v>11</v>
      </c>
      <c r="D101" s="603" t="s">
        <v>11</v>
      </c>
      <c r="E101" s="603" t="s">
        <v>11</v>
      </c>
      <c r="F101" s="603" t="s">
        <v>11</v>
      </c>
      <c r="G101" s="598"/>
      <c r="H101" s="599"/>
      <c r="I101" s="598"/>
      <c r="J101" s="599"/>
      <c r="K101" s="598"/>
      <c r="L101" s="599"/>
      <c r="M101" s="604" t="s">
        <v>11</v>
      </c>
      <c r="N101" s="604">
        <f t="shared" si="3"/>
        <v>0</v>
      </c>
    </row>
    <row r="102" spans="1:14" x14ac:dyDescent="0.2">
      <c r="A102" s="44"/>
      <c r="B102" s="603" t="s">
        <v>11</v>
      </c>
      <c r="C102" s="603" t="s">
        <v>11</v>
      </c>
      <c r="D102" s="603" t="s">
        <v>11</v>
      </c>
      <c r="E102" s="603" t="s">
        <v>11</v>
      </c>
      <c r="F102" s="603" t="s">
        <v>11</v>
      </c>
      <c r="G102" s="265"/>
      <c r="H102" s="266"/>
      <c r="I102" s="265"/>
      <c r="J102" s="266"/>
      <c r="K102" s="265"/>
      <c r="L102" s="266"/>
      <c r="M102" s="604" t="s">
        <v>11</v>
      </c>
      <c r="N102" s="604">
        <f t="shared" si="3"/>
        <v>0</v>
      </c>
    </row>
  </sheetData>
  <sheetProtection sheet="1" objects="1" scenarios="1"/>
  <sortState xmlns:xlrd2="http://schemas.microsoft.com/office/spreadsheetml/2017/richdata2" ref="B7:N102">
    <sortCondition descending="1" ref="N7:N102"/>
  </sortState>
  <mergeCells count="3">
    <mergeCell ref="B2:D2"/>
    <mergeCell ref="B3:D4"/>
    <mergeCell ref="G4:L4"/>
  </mergeCells>
  <conditionalFormatting sqref="J87:L102 G87:H102">
    <cfRule type="cellIs" dxfId="2215" priority="1" stopIfTrue="1" operator="notBetween">
      <formula>0</formula>
      <formula>300</formula>
    </cfRule>
  </conditionalFormatting>
  <pageMargins left="0.39370078740157483" right="0.39370078740157483" top="0.39370078740157483" bottom="0.39370078740157483" header="0.31496062992125984" footer="0.31496062992125984"/>
  <pageSetup paperSize="9" scale="90" fitToHeight="2"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24">
    <tabColor rgb="FF00FF00"/>
    <pageSetUpPr fitToPage="1"/>
  </sheetPr>
  <dimension ref="B1:AV1513"/>
  <sheetViews>
    <sheetView zoomScale="77" zoomScaleNormal="77" zoomScaleSheetLayoutView="50" workbookViewId="0"/>
  </sheetViews>
  <sheetFormatPr baseColWidth="10" defaultRowHeight="15" x14ac:dyDescent="0.2"/>
  <cols>
    <col min="1" max="1" width="2.7109375" customWidth="1"/>
    <col min="2" max="15" width="3.28515625" style="185" customWidth="1"/>
    <col min="16" max="23" width="3.7109375" style="185" customWidth="1"/>
    <col min="24" max="39" width="3.28515625" style="185" customWidth="1"/>
    <col min="40" max="47" width="3.7109375" style="185" customWidth="1"/>
    <col min="48" max="48" width="3.28515625" style="185" customWidth="1"/>
  </cols>
  <sheetData>
    <row r="1" spans="2:48" ht="57.75" customHeight="1" x14ac:dyDescent="0.2">
      <c r="B1" s="1058" t="str">
        <f>Championnat</f>
        <v>Championnat de France de Tir à l'ARC</v>
      </c>
      <c r="C1" s="1058"/>
      <c r="D1" s="1058"/>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58"/>
      <c r="AI1" s="1058"/>
      <c r="AJ1" s="1058"/>
      <c r="AK1" s="1058"/>
      <c r="AL1" s="1058"/>
      <c r="AM1" s="1058"/>
      <c r="AN1" s="1058"/>
      <c r="AO1" s="1058"/>
      <c r="AP1" s="1058"/>
    </row>
    <row r="2" spans="2:48" ht="45" customHeight="1" thickBot="1" x14ac:dyDescent="0.25">
      <c r="B2" s="1018" t="str">
        <f>LIEU&amp;" - "&amp;DATE&amp;" - "&amp;CATEG</f>
        <v>L’Isle sur la Sorgue - 27 au 31 mars 2023 - Collèges Mixtes Etablissement</v>
      </c>
      <c r="C2" s="1018"/>
      <c r="D2" s="1018"/>
      <c r="E2" s="1018"/>
      <c r="F2" s="1018"/>
      <c r="G2" s="1018"/>
      <c r="H2" s="1018"/>
      <c r="I2" s="1018"/>
      <c r="J2" s="1018"/>
      <c r="K2" s="1018"/>
      <c r="L2" s="1018"/>
      <c r="M2" s="1018"/>
      <c r="N2" s="1018"/>
      <c r="O2" s="1018"/>
      <c r="P2" s="1018"/>
      <c r="Q2" s="1018"/>
      <c r="R2" s="1018"/>
      <c r="S2" s="1018"/>
      <c r="T2" s="1018"/>
      <c r="U2" s="1018"/>
      <c r="V2" s="1018"/>
      <c r="W2" s="1018"/>
      <c r="X2" s="1018"/>
      <c r="Y2" s="1018"/>
      <c r="Z2" s="1018"/>
      <c r="AA2" s="1018"/>
      <c r="AB2" s="1018"/>
      <c r="AC2" s="1018"/>
      <c r="AD2" s="1018"/>
      <c r="AE2" s="1018"/>
      <c r="AF2" s="1018"/>
      <c r="AG2" s="1018"/>
      <c r="AH2" s="1018"/>
      <c r="AI2" s="1018"/>
      <c r="AJ2" s="1018"/>
      <c r="AK2" s="1018"/>
      <c r="AL2" s="1018"/>
      <c r="AM2" s="1018"/>
      <c r="AN2" s="1018"/>
      <c r="AO2" s="1018"/>
      <c r="AP2" s="1018"/>
      <c r="AQ2" s="182"/>
      <c r="AR2" s="182"/>
      <c r="AS2" s="182"/>
      <c r="AT2" s="182"/>
      <c r="AU2" s="182"/>
      <c r="AV2" s="182"/>
    </row>
    <row r="3" spans="2:48" ht="26.25" x14ac:dyDescent="0.2">
      <c r="B3" s="1059" t="str">
        <f>CATEG_IMPORTEE</f>
        <v>Collèges Mixtes Etablissement</v>
      </c>
      <c r="C3" s="1059"/>
      <c r="D3" s="1059"/>
      <c r="E3" s="1059"/>
      <c r="F3" s="1059"/>
      <c r="G3" s="1059"/>
      <c r="H3" s="1059"/>
      <c r="I3" s="1059"/>
      <c r="J3" s="1059"/>
      <c r="K3" s="1059"/>
      <c r="L3" s="1059"/>
      <c r="M3" s="1059"/>
      <c r="N3" s="1059"/>
      <c r="O3" s="1059"/>
      <c r="P3" s="1059"/>
      <c r="Q3" s="1059"/>
      <c r="R3" s="1059"/>
      <c r="S3" s="1059"/>
      <c r="T3" s="1059"/>
      <c r="U3" s="1059"/>
      <c r="V3" s="1059"/>
      <c r="W3" s="1059"/>
      <c r="X3" s="1059"/>
      <c r="Y3" s="1059"/>
      <c r="Z3" s="1059"/>
      <c r="AA3" s="1059"/>
      <c r="AB3" s="1059"/>
      <c r="AC3" s="1059"/>
      <c r="AD3" s="1059"/>
      <c r="AE3" s="1059"/>
      <c r="AF3" s="1059"/>
      <c r="AG3" s="1059"/>
      <c r="AH3" s="1059"/>
      <c r="AI3" s="1059"/>
      <c r="AJ3" s="1059"/>
      <c r="AK3" s="1059"/>
      <c r="AL3" s="1059"/>
      <c r="AM3" s="1059"/>
      <c r="AN3" s="1059"/>
      <c r="AO3" s="1059"/>
      <c r="AP3" s="1059"/>
      <c r="AQ3" s="182"/>
      <c r="AR3" s="1060">
        <f>Num_Cible</f>
        <v>1</v>
      </c>
      <c r="AS3" s="1061"/>
      <c r="AT3" s="1062"/>
      <c r="AU3" s="182"/>
      <c r="AV3" s="182"/>
    </row>
    <row r="4" spans="2:48" ht="18" x14ac:dyDescent="0.2">
      <c r="B4" s="182"/>
      <c r="C4" s="182"/>
      <c r="D4" s="182"/>
      <c r="E4" s="182"/>
      <c r="F4" s="182"/>
      <c r="G4" s="182"/>
      <c r="H4" s="182"/>
      <c r="I4" s="182"/>
      <c r="J4" s="182"/>
      <c r="K4" s="182"/>
      <c r="L4" s="182"/>
      <c r="M4" s="182"/>
      <c r="N4" s="182"/>
      <c r="O4" s="182"/>
      <c r="P4" s="182"/>
      <c r="Q4" s="182"/>
      <c r="R4" s="182"/>
      <c r="S4" s="182"/>
      <c r="T4" s="182"/>
      <c r="U4" s="182"/>
      <c r="V4" s="182"/>
      <c r="W4" s="182"/>
      <c r="X4" s="183"/>
      <c r="Y4" s="184"/>
      <c r="Z4" s="182"/>
      <c r="AA4" s="182"/>
      <c r="AB4" s="182"/>
      <c r="AC4" s="182"/>
      <c r="AD4" s="182"/>
      <c r="AE4" s="182"/>
      <c r="AF4" s="182"/>
      <c r="AG4" s="182"/>
      <c r="AH4" s="182"/>
      <c r="AI4" s="182"/>
      <c r="AJ4" s="182"/>
      <c r="AK4" s="182"/>
      <c r="AL4" s="182"/>
      <c r="AM4" s="182"/>
      <c r="AN4" s="182"/>
      <c r="AO4" s="182"/>
      <c r="AP4" s="182"/>
      <c r="AQ4" s="182"/>
      <c r="AR4" s="1063"/>
      <c r="AS4" s="1064"/>
      <c r="AT4" s="1065"/>
      <c r="AU4" s="182"/>
      <c r="AV4" s="182"/>
    </row>
    <row r="5" spans="2:48" ht="18.75" thickBot="1" x14ac:dyDescent="0.25">
      <c r="B5" s="182"/>
      <c r="C5" s="182"/>
      <c r="D5" s="182"/>
      <c r="E5" s="182"/>
      <c r="F5" s="182"/>
      <c r="G5" s="182"/>
      <c r="H5" s="992" t="s">
        <v>374</v>
      </c>
      <c r="I5" s="992"/>
      <c r="J5" s="992"/>
      <c r="K5" s="992"/>
      <c r="L5" s="992"/>
      <c r="M5" s="992"/>
      <c r="N5" s="992"/>
      <c r="O5" s="992"/>
      <c r="P5" s="992"/>
      <c r="Q5" s="992"/>
      <c r="R5" s="182"/>
      <c r="S5" s="182"/>
      <c r="T5" s="182"/>
      <c r="U5" s="182"/>
      <c r="V5" s="182"/>
      <c r="W5" s="182"/>
      <c r="X5" s="183"/>
      <c r="Y5" s="182"/>
      <c r="Z5" s="182"/>
      <c r="AA5" s="182"/>
      <c r="AB5" s="182"/>
      <c r="AC5" s="182"/>
      <c r="AD5" s="182"/>
      <c r="AE5" s="992" t="s">
        <v>374</v>
      </c>
      <c r="AF5" s="992"/>
      <c r="AG5" s="992"/>
      <c r="AH5" s="992"/>
      <c r="AI5" s="992"/>
      <c r="AJ5" s="992"/>
      <c r="AK5" s="992"/>
      <c r="AL5" s="992"/>
      <c r="AM5" s="992"/>
      <c r="AN5" s="992"/>
      <c r="AO5" s="182"/>
      <c r="AP5" s="182"/>
      <c r="AQ5" s="182"/>
      <c r="AR5" s="1066"/>
      <c r="AS5" s="1067"/>
      <c r="AT5" s="1068"/>
      <c r="AU5" s="182"/>
      <c r="AV5" s="182"/>
    </row>
    <row r="6" spans="2:48" ht="18" x14ac:dyDescent="0.2">
      <c r="B6" s="182"/>
      <c r="C6" s="182"/>
      <c r="D6" s="182"/>
      <c r="E6" s="182"/>
      <c r="F6" s="182"/>
      <c r="G6" s="182"/>
      <c r="H6" s="1022" t="e">
        <f>VLOOKUP(U15,ID_archer_cible,4,FALSE)</f>
        <v>#N/A</v>
      </c>
      <c r="I6" s="1023"/>
      <c r="J6" s="1023"/>
      <c r="K6" s="1023"/>
      <c r="L6" s="1023"/>
      <c r="M6" s="1023"/>
      <c r="N6" s="1023"/>
      <c r="O6" s="1023"/>
      <c r="P6" s="1023"/>
      <c r="Q6" s="1024"/>
      <c r="R6" s="182"/>
      <c r="S6" s="182"/>
      <c r="T6" s="182"/>
      <c r="U6" s="182"/>
      <c r="V6" s="182"/>
      <c r="W6" s="182"/>
      <c r="X6" s="183"/>
      <c r="Y6" s="182"/>
      <c r="Z6" s="182"/>
      <c r="AA6" s="182"/>
      <c r="AB6" s="182"/>
      <c r="AC6" s="182"/>
      <c r="AD6" s="182"/>
      <c r="AE6" s="1022" t="e">
        <f>VLOOKUP(AS15,ID_archer_cible,4,FALSE)</f>
        <v>#N/A</v>
      </c>
      <c r="AF6" s="1023"/>
      <c r="AG6" s="1023"/>
      <c r="AH6" s="1023"/>
      <c r="AI6" s="1023"/>
      <c r="AJ6" s="1023"/>
      <c r="AK6" s="1023"/>
      <c r="AL6" s="1023"/>
      <c r="AM6" s="1023"/>
      <c r="AN6" s="1024"/>
      <c r="AO6" s="182"/>
      <c r="AP6" s="182"/>
      <c r="AQ6" s="182"/>
      <c r="AR6" s="182"/>
      <c r="AS6" s="182"/>
      <c r="AT6" s="182"/>
      <c r="AU6" s="182"/>
      <c r="AV6" s="182"/>
    </row>
    <row r="7" spans="2:48" x14ac:dyDescent="0.2">
      <c r="X7" s="186"/>
    </row>
    <row r="8" spans="2:48" x14ac:dyDescent="0.2">
      <c r="B8" s="1021" t="s">
        <v>0</v>
      </c>
      <c r="C8" s="1021"/>
      <c r="D8" s="1021"/>
      <c r="E8" s="1021"/>
      <c r="F8" s="1021"/>
      <c r="G8" s="1021"/>
      <c r="H8" s="1021"/>
      <c r="I8" s="1021"/>
      <c r="J8" s="1021"/>
      <c r="K8" s="1021"/>
      <c r="L8" s="1021"/>
      <c r="M8" s="187"/>
      <c r="P8" s="992" t="s">
        <v>375</v>
      </c>
      <c r="Q8" s="992"/>
      <c r="R8" s="992"/>
      <c r="S8" s="992"/>
      <c r="T8" s="992"/>
      <c r="U8" s="992"/>
      <c r="V8" s="992"/>
      <c r="W8" s="992"/>
      <c r="X8" s="188"/>
      <c r="Z8" s="1021" t="s">
        <v>0</v>
      </c>
      <c r="AA8" s="1021"/>
      <c r="AB8" s="1021"/>
      <c r="AC8" s="1021"/>
      <c r="AD8" s="1021"/>
      <c r="AE8" s="1021"/>
      <c r="AF8" s="1021"/>
      <c r="AG8" s="1021"/>
      <c r="AH8" s="1021"/>
      <c r="AI8" s="1021"/>
      <c r="AJ8" s="1021"/>
      <c r="AK8" s="187"/>
      <c r="AN8" s="992" t="s">
        <v>375</v>
      </c>
      <c r="AO8" s="992"/>
      <c r="AP8" s="992"/>
      <c r="AQ8" s="992"/>
      <c r="AR8" s="992"/>
      <c r="AS8" s="992"/>
      <c r="AT8" s="992"/>
      <c r="AU8" s="992"/>
      <c r="AV8" s="187"/>
    </row>
    <row r="9" spans="2:48" x14ac:dyDescent="0.2">
      <c r="B9" s="999" t="e">
        <f>VLOOKUP(U15,ID_archer_cible,2,FALSE)</f>
        <v>#N/A</v>
      </c>
      <c r="C9" s="1000"/>
      <c r="D9" s="1000"/>
      <c r="E9" s="1000"/>
      <c r="F9" s="1000"/>
      <c r="G9" s="1000"/>
      <c r="H9" s="1000"/>
      <c r="I9" s="1000"/>
      <c r="J9" s="1000"/>
      <c r="K9" s="1000"/>
      <c r="L9" s="1000"/>
      <c r="M9" s="1001"/>
      <c r="P9" s="999" t="e">
        <f>VLOOKUP(U15,ID_archer_cible,3,FALSE)</f>
        <v>#N/A</v>
      </c>
      <c r="Q9" s="1000"/>
      <c r="R9" s="1000"/>
      <c r="S9" s="1000"/>
      <c r="T9" s="1000"/>
      <c r="U9" s="1000"/>
      <c r="V9" s="1000"/>
      <c r="W9" s="1001"/>
      <c r="X9" s="186"/>
      <c r="Y9"/>
      <c r="Z9" s="999" t="e">
        <f>VLOOKUP(AS15,ID_archer_cible,2,FALSE)</f>
        <v>#N/A</v>
      </c>
      <c r="AA9" s="1000"/>
      <c r="AB9" s="1000"/>
      <c r="AC9" s="1000"/>
      <c r="AD9" s="1000"/>
      <c r="AE9" s="1000"/>
      <c r="AF9" s="1000"/>
      <c r="AG9" s="1000"/>
      <c r="AH9" s="1000"/>
      <c r="AI9" s="1000"/>
      <c r="AJ9" s="1000"/>
      <c r="AK9" s="1001"/>
      <c r="AN9" s="999" t="e">
        <f>VLOOKUP(AS15,ID_archer_cible,3,FALSE)</f>
        <v>#N/A</v>
      </c>
      <c r="AO9" s="1000"/>
      <c r="AP9" s="1000"/>
      <c r="AQ9" s="1000"/>
      <c r="AR9" s="1000"/>
      <c r="AS9" s="1000"/>
      <c r="AT9" s="1000"/>
      <c r="AU9" s="1001"/>
    </row>
    <row r="10" spans="2:48" x14ac:dyDescent="0.2">
      <c r="X10" s="186"/>
      <c r="Y10"/>
    </row>
    <row r="11" spans="2:48" ht="16.5" thickBot="1" x14ac:dyDescent="0.25">
      <c r="B11" s="1017" t="s">
        <v>1</v>
      </c>
      <c r="C11" s="1017"/>
      <c r="D11" s="1017"/>
      <c r="E11" s="1017"/>
      <c r="F11" s="1017"/>
      <c r="G11" s="1017"/>
      <c r="H11" s="1017"/>
      <c r="I11" s="1017"/>
      <c r="J11" s="1017"/>
      <c r="L11" s="1017" t="s">
        <v>505</v>
      </c>
      <c r="M11" s="1017"/>
      <c r="N11" s="1017"/>
      <c r="O11" s="1017"/>
      <c r="P11" s="1017"/>
      <c r="Q11" s="1017"/>
      <c r="S11" s="992" t="s">
        <v>506</v>
      </c>
      <c r="T11" s="992"/>
      <c r="U11" s="992"/>
      <c r="V11" s="992"/>
      <c r="W11" s="992"/>
      <c r="X11" s="188"/>
      <c r="Y11"/>
      <c r="Z11" s="1017" t="s">
        <v>1</v>
      </c>
      <c r="AA11" s="1017"/>
      <c r="AB11" s="1017"/>
      <c r="AC11" s="1017"/>
      <c r="AD11" s="1017"/>
      <c r="AE11" s="1017"/>
      <c r="AF11" s="1017"/>
      <c r="AG11" s="1017"/>
      <c r="AH11" s="1017"/>
      <c r="AJ11" s="1017" t="s">
        <v>505</v>
      </c>
      <c r="AK11" s="1017"/>
      <c r="AL11" s="1017"/>
      <c r="AM11" s="1017"/>
      <c r="AN11" s="1017"/>
      <c r="AO11" s="1017"/>
      <c r="AQ11" s="992" t="s">
        <v>506</v>
      </c>
      <c r="AR11" s="992"/>
      <c r="AS11" s="992"/>
      <c r="AT11" s="992"/>
      <c r="AU11" s="992"/>
      <c r="AV11" s="187"/>
    </row>
    <row r="12" spans="2:48" ht="16.5" thickBot="1" x14ac:dyDescent="0.25">
      <c r="B12" s="1014" t="e">
        <f>VLOOKUP(U15,ID_archer_cible,5,FALSE)</f>
        <v>#N/A</v>
      </c>
      <c r="C12" s="1015"/>
      <c r="D12" s="1015"/>
      <c r="E12" s="1015"/>
      <c r="F12" s="1015"/>
      <c r="G12" s="1015"/>
      <c r="H12" s="1015"/>
      <c r="I12" s="1015"/>
      <c r="J12" s="1016"/>
      <c r="L12" s="1014" t="e">
        <f>VLOOKUP(U15,ID_archer_cible,6,FALSE)</f>
        <v>#N/A</v>
      </c>
      <c r="M12" s="1015"/>
      <c r="N12" s="1015"/>
      <c r="O12" s="1015"/>
      <c r="P12" s="1015"/>
      <c r="Q12" s="1016"/>
      <c r="S12" s="999" t="e">
        <f>VLOOKUP(U15,ID_archer_cible,8,FALSE)</f>
        <v>#N/A</v>
      </c>
      <c r="T12" s="1000"/>
      <c r="U12" s="1000"/>
      <c r="V12" s="1000"/>
      <c r="W12" s="1001"/>
      <c r="X12" s="186"/>
      <c r="Y12"/>
      <c r="Z12" s="1014" t="e">
        <f>VLOOKUP(AS15,ID_archer_cible,5,FALSE)</f>
        <v>#N/A</v>
      </c>
      <c r="AA12" s="1015"/>
      <c r="AB12" s="1015"/>
      <c r="AC12" s="1015"/>
      <c r="AD12" s="1015"/>
      <c r="AE12" s="1015"/>
      <c r="AF12" s="1015"/>
      <c r="AG12" s="1015"/>
      <c r="AH12" s="1016"/>
      <c r="AJ12" s="1014" t="e">
        <f>VLOOKUP(AS15,ID_archer_cible,6,FALSE)</f>
        <v>#N/A</v>
      </c>
      <c r="AK12" s="1015"/>
      <c r="AL12" s="1015"/>
      <c r="AM12" s="1015"/>
      <c r="AN12" s="1015"/>
      <c r="AO12" s="1016"/>
      <c r="AQ12" s="999" t="e">
        <f>VLOOKUP(AS15,ID_archer_cible,8,FALSE)</f>
        <v>#N/A</v>
      </c>
      <c r="AR12" s="1000"/>
      <c r="AS12" s="1000"/>
      <c r="AT12" s="1000"/>
      <c r="AU12" s="1001"/>
    </row>
    <row r="13" spans="2:48" x14ac:dyDescent="0.2">
      <c r="X13" s="186"/>
      <c r="Y13"/>
    </row>
    <row r="14" spans="2:48" x14ac:dyDescent="0.2">
      <c r="B14" s="992" t="s">
        <v>530</v>
      </c>
      <c r="C14" s="992"/>
      <c r="D14" s="992"/>
      <c r="E14" s="992"/>
      <c r="F14" s="992"/>
      <c r="G14" s="187"/>
      <c r="H14" s="992" t="s">
        <v>504</v>
      </c>
      <c r="I14" s="992"/>
      <c r="J14" s="992"/>
      <c r="K14" s="992"/>
      <c r="M14" s="992" t="s">
        <v>39</v>
      </c>
      <c r="N14" s="992"/>
      <c r="O14" s="992"/>
      <c r="Q14" s="1021"/>
      <c r="R14" s="1021"/>
      <c r="S14" s="1021"/>
      <c r="U14" s="992" t="s">
        <v>507</v>
      </c>
      <c r="V14" s="992"/>
      <c r="W14" s="992"/>
      <c r="X14" s="188"/>
      <c r="Y14"/>
      <c r="Z14" s="992" t="s">
        <v>530</v>
      </c>
      <c r="AA14" s="992"/>
      <c r="AB14" s="992"/>
      <c r="AC14" s="992"/>
      <c r="AD14" s="992"/>
      <c r="AE14" s="187"/>
      <c r="AF14" s="992" t="s">
        <v>504</v>
      </c>
      <c r="AG14" s="992"/>
      <c r="AH14" s="992"/>
      <c r="AI14" s="992"/>
      <c r="AK14" s="992" t="s">
        <v>39</v>
      </c>
      <c r="AL14" s="992"/>
      <c r="AM14" s="992"/>
      <c r="AO14" s="1021"/>
      <c r="AP14" s="1021"/>
      <c r="AQ14" s="1021"/>
      <c r="AS14" s="992" t="s">
        <v>507</v>
      </c>
      <c r="AT14" s="992"/>
      <c r="AU14" s="992"/>
      <c r="AV14" s="187"/>
    </row>
    <row r="15" spans="2:48" ht="15.75" x14ac:dyDescent="0.2">
      <c r="B15" s="1011" t="e">
        <f>VLOOKUP(U15,ID_archer_cible,7,FALSE)</f>
        <v>#N/A</v>
      </c>
      <c r="C15" s="1012"/>
      <c r="D15" s="1012"/>
      <c r="E15" s="1012"/>
      <c r="F15" s="1013"/>
      <c r="H15" s="999" t="e">
        <f>VLOOKUP(U15,ID_archer_cible,9,FALSE)</f>
        <v>#N/A</v>
      </c>
      <c r="I15" s="1000"/>
      <c r="J15" s="1000"/>
      <c r="K15" s="1001"/>
      <c r="M15" s="999" t="e">
        <f>VLOOKUP(U15,ID_archer_cible,10,FALSE)</f>
        <v>#N/A</v>
      </c>
      <c r="N15" s="1000"/>
      <c r="O15" s="1001"/>
      <c r="Q15" s="1021"/>
      <c r="R15" s="1021"/>
      <c r="S15" s="1021"/>
      <c r="T15" s="187"/>
      <c r="U15" s="996" t="str">
        <f>AR3&amp;"A"</f>
        <v>1A</v>
      </c>
      <c r="V15" s="997"/>
      <c r="W15" s="998"/>
      <c r="X15" s="188"/>
      <c r="Y15"/>
      <c r="Z15" s="1011" t="e">
        <f>VLOOKUP(AS15,ID_archer_cible,7,FALSE)</f>
        <v>#N/A</v>
      </c>
      <c r="AA15" s="1012"/>
      <c r="AB15" s="1012"/>
      <c r="AC15" s="1012"/>
      <c r="AD15" s="1013"/>
      <c r="AF15" s="999" t="e">
        <f>VLOOKUP(AS15,ID_archer_cible,9,FALSE)</f>
        <v>#N/A</v>
      </c>
      <c r="AG15" s="1000"/>
      <c r="AH15" s="1000"/>
      <c r="AI15" s="1001"/>
      <c r="AK15" s="999" t="e">
        <f>VLOOKUP(AS15,ID_archer_cible,10,FALSE)</f>
        <v>#N/A</v>
      </c>
      <c r="AL15" s="1000"/>
      <c r="AM15" s="1001"/>
      <c r="AO15" s="1021"/>
      <c r="AP15" s="1021"/>
      <c r="AQ15" s="1021"/>
      <c r="AR15" s="187"/>
      <c r="AS15" s="996" t="str">
        <f>AR3&amp;"B"</f>
        <v>1B</v>
      </c>
      <c r="AT15" s="997"/>
      <c r="AU15" s="998"/>
      <c r="AV15" s="187"/>
    </row>
    <row r="16" spans="2:48" x14ac:dyDescent="0.2">
      <c r="X16" s="186"/>
    </row>
    <row r="17" spans="2:48" x14ac:dyDescent="0.2">
      <c r="B17" s="185" t="s">
        <v>509</v>
      </c>
      <c r="E17" s="992" t="s">
        <v>510</v>
      </c>
      <c r="F17" s="992"/>
      <c r="G17" s="992"/>
      <c r="H17" s="992"/>
      <c r="I17" s="992"/>
      <c r="J17" s="992"/>
      <c r="K17" s="992"/>
      <c r="L17" s="992"/>
      <c r="M17" s="992"/>
      <c r="N17" s="992"/>
      <c r="P17" s="992" t="s">
        <v>511</v>
      </c>
      <c r="Q17" s="992"/>
      <c r="R17" s="992"/>
      <c r="X17" s="186"/>
      <c r="Z17" s="185" t="s">
        <v>509</v>
      </c>
      <c r="AC17" s="992" t="s">
        <v>510</v>
      </c>
      <c r="AD17" s="992"/>
      <c r="AE17" s="992"/>
      <c r="AF17" s="992"/>
      <c r="AG17" s="992"/>
      <c r="AH17" s="992"/>
      <c r="AI17" s="992"/>
      <c r="AJ17" s="992"/>
      <c r="AK17" s="992"/>
      <c r="AL17" s="992"/>
      <c r="AN17" s="992" t="s">
        <v>511</v>
      </c>
      <c r="AO17" s="992"/>
      <c r="AP17" s="992"/>
    </row>
    <row r="18" spans="2:48" ht="20.25" customHeight="1" x14ac:dyDescent="0.2">
      <c r="B18" s="1009" t="s">
        <v>513</v>
      </c>
      <c r="C18" s="1009"/>
      <c r="E18" s="189"/>
      <c r="F18" s="191"/>
      <c r="G18" s="189"/>
      <c r="H18" s="191"/>
      <c r="I18" s="189"/>
      <c r="J18" s="191"/>
      <c r="K18" s="189"/>
      <c r="L18" s="191"/>
      <c r="M18" s="189"/>
      <c r="N18" s="191"/>
      <c r="P18" s="189"/>
      <c r="Q18" s="190"/>
      <c r="R18" s="191"/>
      <c r="T18" s="992" t="s">
        <v>512</v>
      </c>
      <c r="U18" s="992"/>
      <c r="V18" s="992"/>
      <c r="W18" s="992"/>
      <c r="X18" s="188"/>
      <c r="Z18" s="1009" t="s">
        <v>513</v>
      </c>
      <c r="AA18" s="1009"/>
      <c r="AC18" s="189"/>
      <c r="AD18" s="191"/>
      <c r="AE18" s="189"/>
      <c r="AF18" s="191"/>
      <c r="AG18" s="189"/>
      <c r="AH18" s="191"/>
      <c r="AI18" s="189"/>
      <c r="AJ18" s="191"/>
      <c r="AK18" s="189"/>
      <c r="AL18" s="191"/>
      <c r="AN18" s="189"/>
      <c r="AO18" s="190"/>
      <c r="AP18" s="191"/>
      <c r="AR18" s="992" t="s">
        <v>512</v>
      </c>
      <c r="AS18" s="992"/>
      <c r="AT18" s="992"/>
      <c r="AU18" s="992"/>
      <c r="AV18" s="187"/>
    </row>
    <row r="19" spans="2:48" ht="20.25" customHeight="1" x14ac:dyDescent="0.2">
      <c r="B19" s="1009" t="s">
        <v>514</v>
      </c>
      <c r="C19" s="1009"/>
      <c r="E19" s="189"/>
      <c r="F19" s="191"/>
      <c r="G19" s="189"/>
      <c r="H19" s="191"/>
      <c r="I19" s="189"/>
      <c r="J19" s="191"/>
      <c r="K19" s="189"/>
      <c r="L19" s="191"/>
      <c r="M19" s="189"/>
      <c r="N19" s="191"/>
      <c r="P19" s="189"/>
      <c r="Q19" s="190"/>
      <c r="R19" s="191"/>
      <c r="T19" s="189"/>
      <c r="U19" s="190"/>
      <c r="V19" s="190"/>
      <c r="W19" s="191"/>
      <c r="X19" s="186"/>
      <c r="Z19" s="1009" t="s">
        <v>514</v>
      </c>
      <c r="AA19" s="1009"/>
      <c r="AC19" s="189"/>
      <c r="AD19" s="191"/>
      <c r="AE19" s="189"/>
      <c r="AF19" s="191"/>
      <c r="AG19" s="189"/>
      <c r="AH19" s="191"/>
      <c r="AI19" s="189"/>
      <c r="AJ19" s="191"/>
      <c r="AK19" s="189"/>
      <c r="AL19" s="191"/>
      <c r="AN19" s="189"/>
      <c r="AO19" s="190"/>
      <c r="AP19" s="191"/>
      <c r="AR19" s="189"/>
      <c r="AS19" s="190"/>
      <c r="AT19" s="190"/>
      <c r="AU19" s="191"/>
    </row>
    <row r="20" spans="2:48" ht="20.25" customHeight="1" x14ac:dyDescent="0.2">
      <c r="B20" s="1009" t="s">
        <v>515</v>
      </c>
      <c r="C20" s="1009"/>
      <c r="E20" s="189"/>
      <c r="F20" s="191"/>
      <c r="G20" s="189"/>
      <c r="H20" s="191"/>
      <c r="I20" s="189"/>
      <c r="J20" s="191"/>
      <c r="K20" s="189"/>
      <c r="L20" s="191"/>
      <c r="M20" s="189"/>
      <c r="N20" s="191"/>
      <c r="P20" s="189"/>
      <c r="Q20" s="190"/>
      <c r="R20" s="191"/>
      <c r="T20" s="189"/>
      <c r="U20" s="190"/>
      <c r="V20" s="190"/>
      <c r="W20" s="191"/>
      <c r="X20" s="186"/>
      <c r="Z20" s="1009" t="s">
        <v>515</v>
      </c>
      <c r="AA20" s="1009"/>
      <c r="AC20" s="189"/>
      <c r="AD20" s="191"/>
      <c r="AE20" s="189"/>
      <c r="AF20" s="191"/>
      <c r="AG20" s="189"/>
      <c r="AH20" s="191"/>
      <c r="AI20" s="189"/>
      <c r="AJ20" s="191"/>
      <c r="AK20" s="189"/>
      <c r="AL20" s="191"/>
      <c r="AN20" s="189"/>
      <c r="AO20" s="190"/>
      <c r="AP20" s="191"/>
      <c r="AR20" s="189"/>
      <c r="AS20" s="190"/>
      <c r="AT20" s="190"/>
      <c r="AU20" s="191"/>
    </row>
    <row r="21" spans="2:48" ht="20.25" customHeight="1" x14ac:dyDescent="0.2">
      <c r="B21" s="1009" t="s">
        <v>516</v>
      </c>
      <c r="C21" s="1009"/>
      <c r="E21" s="189"/>
      <c r="F21" s="191"/>
      <c r="G21" s="189"/>
      <c r="H21" s="191"/>
      <c r="I21" s="189"/>
      <c r="J21" s="191"/>
      <c r="K21" s="189"/>
      <c r="L21" s="191"/>
      <c r="M21" s="189"/>
      <c r="N21" s="191"/>
      <c r="P21" s="189"/>
      <c r="Q21" s="190"/>
      <c r="R21" s="191"/>
      <c r="T21" s="189"/>
      <c r="U21" s="190"/>
      <c r="V21" s="190"/>
      <c r="W21" s="191"/>
      <c r="X21" s="186"/>
      <c r="Z21" s="1009" t="s">
        <v>516</v>
      </c>
      <c r="AA21" s="1009"/>
      <c r="AC21" s="189"/>
      <c r="AD21" s="191"/>
      <c r="AE21" s="189"/>
      <c r="AF21" s="191"/>
      <c r="AG21" s="189"/>
      <c r="AH21" s="191"/>
      <c r="AI21" s="189"/>
      <c r="AJ21" s="191"/>
      <c r="AK21" s="189"/>
      <c r="AL21" s="191"/>
      <c r="AN21" s="189"/>
      <c r="AO21" s="190"/>
      <c r="AP21" s="191"/>
      <c r="AR21" s="189"/>
      <c r="AS21" s="190"/>
      <c r="AT21" s="190"/>
      <c r="AU21" s="191"/>
    </row>
    <row r="22" spans="2:48" ht="20.25" customHeight="1" x14ac:dyDescent="0.2">
      <c r="B22" s="1009" t="s">
        <v>517</v>
      </c>
      <c r="C22" s="1009"/>
      <c r="E22" s="189"/>
      <c r="F22" s="191"/>
      <c r="G22" s="189"/>
      <c r="H22" s="191"/>
      <c r="I22" s="189"/>
      <c r="J22" s="191"/>
      <c r="K22" s="189"/>
      <c r="L22" s="191"/>
      <c r="M22" s="189"/>
      <c r="N22" s="191"/>
      <c r="P22" s="189"/>
      <c r="Q22" s="190"/>
      <c r="R22" s="191"/>
      <c r="T22" s="189"/>
      <c r="U22" s="190"/>
      <c r="V22" s="190"/>
      <c r="W22" s="191"/>
      <c r="X22" s="186"/>
      <c r="Z22" s="1009" t="s">
        <v>517</v>
      </c>
      <c r="AA22" s="1009"/>
      <c r="AC22" s="189"/>
      <c r="AD22" s="191"/>
      <c r="AE22" s="189"/>
      <c r="AF22" s="191"/>
      <c r="AG22" s="189"/>
      <c r="AH22" s="191"/>
      <c r="AI22" s="189"/>
      <c r="AJ22" s="191"/>
      <c r="AK22" s="189"/>
      <c r="AL22" s="191"/>
      <c r="AN22" s="189"/>
      <c r="AO22" s="190"/>
      <c r="AP22" s="191"/>
      <c r="AR22" s="189"/>
      <c r="AS22" s="190"/>
      <c r="AT22" s="190"/>
      <c r="AU22" s="191"/>
    </row>
    <row r="23" spans="2:48" ht="20.25" customHeight="1" x14ac:dyDescent="0.2">
      <c r="B23" s="1009" t="s">
        <v>518</v>
      </c>
      <c r="C23" s="1009"/>
      <c r="E23" s="189"/>
      <c r="F23" s="191"/>
      <c r="G23" s="189"/>
      <c r="H23" s="191"/>
      <c r="I23" s="189"/>
      <c r="J23" s="191"/>
      <c r="K23" s="189"/>
      <c r="L23" s="191"/>
      <c r="M23" s="189"/>
      <c r="N23" s="191"/>
      <c r="P23" s="189"/>
      <c r="Q23" s="190"/>
      <c r="R23" s="191"/>
      <c r="T23" s="189"/>
      <c r="U23" s="190"/>
      <c r="V23" s="190"/>
      <c r="W23" s="191"/>
      <c r="X23" s="186"/>
      <c r="Z23" s="1009" t="s">
        <v>518</v>
      </c>
      <c r="AA23" s="1009"/>
      <c r="AC23" s="189"/>
      <c r="AD23" s="191"/>
      <c r="AE23" s="189"/>
      <c r="AF23" s="191"/>
      <c r="AG23" s="189"/>
      <c r="AH23" s="191"/>
      <c r="AI23" s="189"/>
      <c r="AJ23" s="191"/>
      <c r="AK23" s="189"/>
      <c r="AL23" s="191"/>
      <c r="AN23" s="189"/>
      <c r="AO23" s="190"/>
      <c r="AP23" s="191"/>
      <c r="AR23" s="189"/>
      <c r="AS23" s="190"/>
      <c r="AT23" s="190"/>
      <c r="AU23" s="191"/>
    </row>
    <row r="24" spans="2:48" ht="15.75" thickBot="1" x14ac:dyDescent="0.25">
      <c r="B24" s="187"/>
      <c r="C24" s="187"/>
      <c r="X24" s="186"/>
      <c r="Z24" s="187"/>
      <c r="AA24" s="187"/>
    </row>
    <row r="25" spans="2:48" ht="20.25" customHeight="1" thickBot="1" x14ac:dyDescent="0.25">
      <c r="P25" s="197" t="s">
        <v>519</v>
      </c>
      <c r="Q25" s="197"/>
      <c r="R25" s="197"/>
      <c r="S25" s="197"/>
      <c r="T25" s="192"/>
      <c r="U25" s="193"/>
      <c r="V25" s="193"/>
      <c r="W25" s="194"/>
      <c r="X25" s="186"/>
      <c r="AN25" s="197" t="s">
        <v>519</v>
      </c>
      <c r="AO25" s="197"/>
      <c r="AP25" s="197"/>
      <c r="AQ25" s="197"/>
      <c r="AR25" s="192"/>
      <c r="AS25" s="193"/>
      <c r="AT25" s="193"/>
      <c r="AU25" s="194"/>
    </row>
    <row r="26" spans="2:48" x14ac:dyDescent="0.2">
      <c r="E26" s="196"/>
      <c r="F26" s="196"/>
      <c r="G26" s="196"/>
      <c r="H26" s="196"/>
      <c r="I26" s="196"/>
      <c r="J26" s="196"/>
      <c r="K26" s="196"/>
      <c r="L26" s="196"/>
      <c r="M26" s="196"/>
      <c r="X26" s="186"/>
      <c r="AC26" s="196"/>
      <c r="AD26" s="196"/>
      <c r="AE26" s="196"/>
      <c r="AF26" s="196"/>
      <c r="AG26" s="196"/>
      <c r="AH26" s="196"/>
      <c r="AI26" s="196"/>
      <c r="AJ26" s="196"/>
      <c r="AK26" s="196"/>
    </row>
    <row r="27" spans="2:48" x14ac:dyDescent="0.2">
      <c r="B27" s="1010" t="s">
        <v>521</v>
      </c>
      <c r="C27" s="1010"/>
      <c r="D27" s="1010"/>
      <c r="E27" s="1010"/>
      <c r="F27" s="1010"/>
      <c r="G27" s="1010"/>
      <c r="H27" s="195"/>
      <c r="I27" s="1010" t="s">
        <v>522</v>
      </c>
      <c r="J27" s="1010"/>
      <c r="K27" s="1010"/>
      <c r="L27" s="1010"/>
      <c r="M27" s="1010"/>
      <c r="N27" s="1010"/>
      <c r="O27" s="1010"/>
      <c r="P27" s="1010"/>
      <c r="Q27" s="1010"/>
      <c r="R27" s="1010"/>
      <c r="S27" s="1010"/>
      <c r="T27" s="1010"/>
      <c r="U27" s="1010"/>
      <c r="V27" s="1010"/>
      <c r="W27" s="1010"/>
      <c r="X27" s="198"/>
      <c r="Y27" s="195"/>
      <c r="Z27" s="1010" t="s">
        <v>521</v>
      </c>
      <c r="AA27" s="1010"/>
      <c r="AB27" s="1010"/>
      <c r="AC27" s="1010"/>
      <c r="AD27" s="1010"/>
      <c r="AE27" s="1010"/>
      <c r="AF27" s="195"/>
      <c r="AG27" s="1004" t="s">
        <v>522</v>
      </c>
      <c r="AH27" s="1004"/>
      <c r="AI27" s="1004"/>
      <c r="AJ27" s="1004"/>
      <c r="AK27" s="1004"/>
      <c r="AL27" s="1004"/>
      <c r="AM27" s="1004"/>
      <c r="AN27" s="1004"/>
      <c r="AO27" s="1004"/>
      <c r="AP27" s="1004"/>
      <c r="AQ27" s="1004"/>
      <c r="AR27" s="1004"/>
      <c r="AS27" s="1004"/>
      <c r="AT27" s="1004"/>
      <c r="AU27" s="1004"/>
      <c r="AV27" s="195"/>
    </row>
    <row r="28" spans="2:48" x14ac:dyDescent="0.2">
      <c r="B28" s="1005" t="s">
        <v>520</v>
      </c>
      <c r="C28" s="1006"/>
      <c r="D28" s="1006"/>
      <c r="E28" s="1006"/>
      <c r="F28" s="1006"/>
      <c r="G28" s="1007"/>
      <c r="I28" s="1005" t="s">
        <v>0</v>
      </c>
      <c r="J28" s="1006"/>
      <c r="K28" s="1006"/>
      <c r="L28" s="1006"/>
      <c r="M28" s="1006"/>
      <c r="N28" s="1006"/>
      <c r="O28" s="1006"/>
      <c r="P28" s="1006"/>
      <c r="Q28" s="1006"/>
      <c r="R28" s="1006"/>
      <c r="S28" s="1006"/>
      <c r="T28" s="1006"/>
      <c r="U28" s="1006"/>
      <c r="V28" s="1006"/>
      <c r="W28" s="1007"/>
      <c r="X28" s="186"/>
      <c r="Z28" s="1005" t="s">
        <v>520</v>
      </c>
      <c r="AA28" s="1006"/>
      <c r="AB28" s="1006"/>
      <c r="AC28" s="1006"/>
      <c r="AD28" s="1006"/>
      <c r="AE28" s="1007"/>
      <c r="AG28" s="1005" t="s">
        <v>0</v>
      </c>
      <c r="AH28" s="1006"/>
      <c r="AI28" s="1006"/>
      <c r="AJ28" s="1006"/>
      <c r="AK28" s="1006"/>
      <c r="AL28" s="1006"/>
      <c r="AM28" s="1006"/>
      <c r="AN28" s="1006"/>
      <c r="AO28" s="1006"/>
      <c r="AP28" s="1006"/>
      <c r="AQ28" s="1006"/>
      <c r="AR28" s="1006"/>
      <c r="AS28" s="1006"/>
      <c r="AT28" s="1006"/>
      <c r="AU28" s="1007"/>
    </row>
    <row r="29" spans="2:48" x14ac:dyDescent="0.2">
      <c r="B29" s="199"/>
      <c r="C29" s="200"/>
      <c r="D29" s="200"/>
      <c r="E29" s="200"/>
      <c r="F29" s="200"/>
      <c r="G29" s="201"/>
      <c r="I29" s="199"/>
      <c r="J29" s="200"/>
      <c r="K29" s="200"/>
      <c r="L29" s="200"/>
      <c r="M29" s="200"/>
      <c r="N29" s="200"/>
      <c r="O29" s="200"/>
      <c r="P29" s="200"/>
      <c r="Q29" s="200"/>
      <c r="R29" s="200"/>
      <c r="S29" s="200"/>
      <c r="T29" s="200"/>
      <c r="U29" s="200"/>
      <c r="V29" s="200"/>
      <c r="W29" s="201"/>
      <c r="X29" s="186"/>
      <c r="Z29" s="199"/>
      <c r="AA29" s="200"/>
      <c r="AB29" s="200"/>
      <c r="AC29" s="200"/>
      <c r="AD29" s="200"/>
      <c r="AE29" s="201"/>
      <c r="AG29" s="199"/>
      <c r="AH29" s="200"/>
      <c r="AI29" s="200"/>
      <c r="AJ29" s="200"/>
      <c r="AK29" s="200"/>
      <c r="AL29" s="200"/>
      <c r="AM29" s="200"/>
      <c r="AN29" s="200"/>
      <c r="AO29" s="200"/>
      <c r="AP29" s="200"/>
      <c r="AQ29" s="200"/>
      <c r="AR29" s="200"/>
      <c r="AS29" s="200"/>
      <c r="AT29" s="200"/>
      <c r="AU29" s="201"/>
    </row>
    <row r="30" spans="2:48" x14ac:dyDescent="0.2">
      <c r="X30" s="186"/>
    </row>
    <row r="31" spans="2:48" x14ac:dyDescent="0.2">
      <c r="I31" s="1005" t="s">
        <v>481</v>
      </c>
      <c r="J31" s="1006"/>
      <c r="K31" s="1006"/>
      <c r="L31" s="1006"/>
      <c r="M31" s="1006"/>
      <c r="N31" s="1006"/>
      <c r="O31" s="1006"/>
      <c r="P31" s="1006"/>
      <c r="Q31" s="1007"/>
      <c r="R31" s="1005" t="s">
        <v>520</v>
      </c>
      <c r="S31" s="1006"/>
      <c r="T31" s="1006"/>
      <c r="U31" s="1006"/>
      <c r="V31" s="1006"/>
      <c r="W31" s="1007"/>
      <c r="X31" s="186"/>
      <c r="AG31" s="1005" t="s">
        <v>481</v>
      </c>
      <c r="AH31" s="1006"/>
      <c r="AI31" s="1006"/>
      <c r="AJ31" s="1006"/>
      <c r="AK31" s="1006"/>
      <c r="AL31" s="1006"/>
      <c r="AM31" s="1006"/>
      <c r="AN31" s="1006"/>
      <c r="AO31" s="1007"/>
      <c r="AP31" s="1005" t="s">
        <v>520</v>
      </c>
      <c r="AQ31" s="1006"/>
      <c r="AR31" s="1006"/>
      <c r="AS31" s="1006"/>
      <c r="AT31" s="1006"/>
      <c r="AU31" s="1007"/>
    </row>
    <row r="32" spans="2:48" x14ac:dyDescent="0.2">
      <c r="I32" s="199"/>
      <c r="J32" s="200"/>
      <c r="K32" s="200"/>
      <c r="L32" s="200"/>
      <c r="M32" s="200"/>
      <c r="N32" s="200"/>
      <c r="O32" s="200"/>
      <c r="P32" s="200"/>
      <c r="Q32" s="200"/>
      <c r="R32" s="199"/>
      <c r="S32" s="200"/>
      <c r="T32" s="200"/>
      <c r="U32" s="200"/>
      <c r="V32" s="200"/>
      <c r="W32" s="201"/>
      <c r="X32" s="186"/>
      <c r="AG32" s="199"/>
      <c r="AH32" s="200"/>
      <c r="AI32" s="200"/>
      <c r="AJ32" s="200"/>
      <c r="AK32" s="200"/>
      <c r="AL32" s="200"/>
      <c r="AM32" s="200"/>
      <c r="AN32" s="200"/>
      <c r="AO32" s="200"/>
      <c r="AP32" s="199"/>
      <c r="AQ32" s="200"/>
      <c r="AR32" s="200"/>
      <c r="AS32" s="200"/>
      <c r="AT32" s="200"/>
      <c r="AU32" s="201"/>
    </row>
    <row r="33" spans="2:48" ht="39" customHeight="1" x14ac:dyDescent="0.2">
      <c r="B33" s="392"/>
      <c r="C33" s="392"/>
      <c r="D33" s="392"/>
      <c r="E33" s="392"/>
      <c r="F33" s="392"/>
      <c r="G33" s="392"/>
      <c r="H33" s="392"/>
      <c r="I33" s="392"/>
      <c r="J33" s="392"/>
      <c r="K33" s="392"/>
      <c r="L33" s="392"/>
      <c r="M33" s="392"/>
      <c r="N33" s="392"/>
      <c r="O33" s="392"/>
      <c r="P33" s="392"/>
      <c r="Q33" s="392"/>
      <c r="R33" s="392"/>
      <c r="S33" s="392"/>
      <c r="T33" s="392"/>
      <c r="U33" s="392"/>
      <c r="V33" s="392"/>
      <c r="W33" s="392"/>
      <c r="X33" s="393"/>
      <c r="Y33" s="394"/>
      <c r="Z33" s="392"/>
      <c r="AA33" s="392"/>
      <c r="AB33" s="392"/>
      <c r="AC33" s="392"/>
      <c r="AD33" s="392"/>
      <c r="AE33" s="392"/>
      <c r="AF33" s="392"/>
      <c r="AG33" s="392"/>
      <c r="AH33" s="392"/>
      <c r="AI33" s="392"/>
      <c r="AJ33" s="392"/>
      <c r="AK33" s="392"/>
      <c r="AL33" s="392"/>
      <c r="AM33" s="392"/>
      <c r="AN33" s="392"/>
      <c r="AO33" s="392"/>
      <c r="AP33" s="392"/>
      <c r="AQ33" s="392"/>
      <c r="AR33" s="392"/>
      <c r="AS33" s="392"/>
      <c r="AT33" s="392"/>
      <c r="AU33" s="392"/>
      <c r="AV33" s="392"/>
    </row>
    <row r="34" spans="2:48" ht="39" customHeight="1" x14ac:dyDescent="0.2">
      <c r="B34" s="182"/>
      <c r="C34" s="182"/>
      <c r="D34" s="182"/>
      <c r="E34" s="182"/>
      <c r="F34" s="182"/>
      <c r="G34" s="182"/>
      <c r="H34" s="182"/>
      <c r="I34" s="182"/>
      <c r="J34" s="182"/>
      <c r="K34" s="182"/>
      <c r="L34" s="182"/>
      <c r="M34" s="182"/>
      <c r="N34" s="182"/>
      <c r="O34" s="182"/>
      <c r="P34" s="182"/>
      <c r="Q34" s="182"/>
      <c r="R34" s="182"/>
      <c r="S34" s="182"/>
      <c r="T34" s="182"/>
      <c r="U34" s="182"/>
      <c r="V34" s="182"/>
      <c r="W34" s="182"/>
      <c r="X34" s="183"/>
      <c r="Y34" s="184"/>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row>
    <row r="35" spans="2:48" ht="18" x14ac:dyDescent="0.2">
      <c r="B35" s="182"/>
      <c r="C35" s="182"/>
      <c r="D35" s="182"/>
      <c r="E35" s="182"/>
      <c r="F35" s="182"/>
      <c r="G35" s="182"/>
      <c r="H35" s="992" t="s">
        <v>374</v>
      </c>
      <c r="I35" s="992"/>
      <c r="J35" s="992"/>
      <c r="K35" s="992"/>
      <c r="L35" s="992"/>
      <c r="M35" s="992"/>
      <c r="N35" s="992"/>
      <c r="O35" s="992"/>
      <c r="P35" s="992"/>
      <c r="Q35" s="992"/>
      <c r="R35" s="182"/>
      <c r="S35" s="182"/>
      <c r="T35" s="182"/>
      <c r="U35" s="182"/>
      <c r="V35" s="182"/>
      <c r="W35" s="182"/>
      <c r="X35" s="183"/>
      <c r="Y35" s="182"/>
      <c r="Z35" s="182"/>
      <c r="AA35" s="182"/>
      <c r="AB35" s="182"/>
      <c r="AC35" s="182"/>
      <c r="AD35" s="182"/>
      <c r="AE35" s="992" t="s">
        <v>374</v>
      </c>
      <c r="AF35" s="992"/>
      <c r="AG35" s="992"/>
      <c r="AH35" s="992"/>
      <c r="AI35" s="992"/>
      <c r="AJ35" s="992"/>
      <c r="AK35" s="992"/>
      <c r="AL35" s="992"/>
      <c r="AM35" s="992"/>
      <c r="AN35" s="992"/>
      <c r="AO35" s="182"/>
      <c r="AP35" s="182"/>
      <c r="AQ35" s="182"/>
      <c r="AR35" s="182"/>
      <c r="AS35" s="182"/>
      <c r="AT35" s="182"/>
      <c r="AU35" s="182"/>
      <c r="AV35" s="182"/>
    </row>
    <row r="36" spans="2:48" ht="18" x14ac:dyDescent="0.2">
      <c r="B36" s="182"/>
      <c r="C36" s="182"/>
      <c r="D36" s="182"/>
      <c r="E36" s="182"/>
      <c r="F36" s="182"/>
      <c r="G36" s="182"/>
      <c r="H36" s="1022" t="e">
        <f>VLOOKUP(U45,ID_archer_cible,4,FALSE)</f>
        <v>#N/A</v>
      </c>
      <c r="I36" s="1023"/>
      <c r="J36" s="1023"/>
      <c r="K36" s="1023"/>
      <c r="L36" s="1023"/>
      <c r="M36" s="1023"/>
      <c r="N36" s="1023"/>
      <c r="O36" s="1023"/>
      <c r="P36" s="1023"/>
      <c r="Q36" s="1024"/>
      <c r="R36" s="182"/>
      <c r="S36" s="182"/>
      <c r="T36" s="182"/>
      <c r="U36" s="182"/>
      <c r="V36" s="182"/>
      <c r="W36" s="182"/>
      <c r="X36" s="183"/>
      <c r="Y36" s="182"/>
      <c r="Z36" s="182"/>
      <c r="AA36" s="182"/>
      <c r="AB36" s="182"/>
      <c r="AC36" s="182"/>
      <c r="AD36" s="182"/>
      <c r="AE36" s="1022" t="e">
        <f>VLOOKUP(AS45,ID_archer_cible,4,FALSE)</f>
        <v>#N/A</v>
      </c>
      <c r="AF36" s="1023"/>
      <c r="AG36" s="1023"/>
      <c r="AH36" s="1023"/>
      <c r="AI36" s="1023"/>
      <c r="AJ36" s="1023"/>
      <c r="AK36" s="1023"/>
      <c r="AL36" s="1023"/>
      <c r="AM36" s="1023"/>
      <c r="AN36" s="1024"/>
      <c r="AO36" s="182"/>
      <c r="AP36" s="182"/>
      <c r="AQ36" s="182"/>
      <c r="AR36" s="182"/>
      <c r="AS36" s="182"/>
      <c r="AT36" s="182"/>
      <c r="AU36" s="182"/>
      <c r="AV36" s="182"/>
    </row>
    <row r="37" spans="2:48" x14ac:dyDescent="0.2">
      <c r="X37" s="186"/>
    </row>
    <row r="38" spans="2:48" x14ac:dyDescent="0.2">
      <c r="B38" s="1021" t="s">
        <v>0</v>
      </c>
      <c r="C38" s="1021"/>
      <c r="D38" s="1021"/>
      <c r="E38" s="1021"/>
      <c r="F38" s="1021"/>
      <c r="G38" s="1021"/>
      <c r="H38" s="1021"/>
      <c r="I38" s="1021"/>
      <c r="J38" s="1021"/>
      <c r="K38" s="1021"/>
      <c r="L38" s="1021"/>
      <c r="M38" s="187"/>
      <c r="P38" s="992" t="s">
        <v>375</v>
      </c>
      <c r="Q38" s="992"/>
      <c r="R38" s="992"/>
      <c r="S38" s="992"/>
      <c r="T38" s="992"/>
      <c r="U38" s="992"/>
      <c r="V38" s="992"/>
      <c r="W38" s="992"/>
      <c r="X38" s="188"/>
      <c r="Z38" s="1021" t="s">
        <v>0</v>
      </c>
      <c r="AA38" s="1021"/>
      <c r="AB38" s="1021"/>
      <c r="AC38" s="1021"/>
      <c r="AD38" s="1021"/>
      <c r="AE38" s="1021"/>
      <c r="AF38" s="1021"/>
      <c r="AG38" s="1021"/>
      <c r="AH38" s="1021"/>
      <c r="AI38" s="1021"/>
      <c r="AJ38" s="1021"/>
      <c r="AK38" s="187"/>
      <c r="AN38" s="992" t="s">
        <v>375</v>
      </c>
      <c r="AO38" s="992"/>
      <c r="AP38" s="992"/>
      <c r="AQ38" s="992"/>
      <c r="AR38" s="992"/>
      <c r="AS38" s="992"/>
      <c r="AT38" s="992"/>
      <c r="AU38" s="992"/>
      <c r="AV38" s="187"/>
    </row>
    <row r="39" spans="2:48" x14ac:dyDescent="0.2">
      <c r="B39" s="999" t="e">
        <f>VLOOKUP(U45,ID_archer_cible,2,FALSE)</f>
        <v>#N/A</v>
      </c>
      <c r="C39" s="1000"/>
      <c r="D39" s="1000"/>
      <c r="E39" s="1000"/>
      <c r="F39" s="1000"/>
      <c r="G39" s="1000"/>
      <c r="H39" s="1000"/>
      <c r="I39" s="1000"/>
      <c r="J39" s="1000"/>
      <c r="K39" s="1000"/>
      <c r="L39" s="1000"/>
      <c r="M39" s="1001"/>
      <c r="P39" s="999" t="e">
        <f>VLOOKUP(U45,ID_archer_cible,3,FALSE)</f>
        <v>#N/A</v>
      </c>
      <c r="Q39" s="1000"/>
      <c r="R39" s="1000"/>
      <c r="S39" s="1000"/>
      <c r="T39" s="1000"/>
      <c r="U39" s="1000"/>
      <c r="V39" s="1000"/>
      <c r="W39" s="1001"/>
      <c r="X39" s="186"/>
      <c r="Y39"/>
      <c r="Z39" s="999" t="e">
        <f>VLOOKUP(AS45,ID_archer_cible,2,FALSE)</f>
        <v>#N/A</v>
      </c>
      <c r="AA39" s="1000"/>
      <c r="AB39" s="1000"/>
      <c r="AC39" s="1000"/>
      <c r="AD39" s="1000"/>
      <c r="AE39" s="1000"/>
      <c r="AF39" s="1000"/>
      <c r="AG39" s="1000"/>
      <c r="AH39" s="1000"/>
      <c r="AI39" s="1000"/>
      <c r="AJ39" s="1000"/>
      <c r="AK39" s="1001"/>
      <c r="AN39" s="999" t="e">
        <f>VLOOKUP(AS45,ID_archer_cible,3,FALSE)</f>
        <v>#N/A</v>
      </c>
      <c r="AO39" s="1000"/>
      <c r="AP39" s="1000"/>
      <c r="AQ39" s="1000"/>
      <c r="AR39" s="1000"/>
      <c r="AS39" s="1000"/>
      <c r="AT39" s="1000"/>
      <c r="AU39" s="1001"/>
    </row>
    <row r="40" spans="2:48" x14ac:dyDescent="0.2">
      <c r="X40" s="186"/>
      <c r="Y40"/>
    </row>
    <row r="41" spans="2:48" ht="16.5" thickBot="1" x14ac:dyDescent="0.25">
      <c r="B41" s="1017" t="s">
        <v>1</v>
      </c>
      <c r="C41" s="1017"/>
      <c r="D41" s="1017"/>
      <c r="E41" s="1017"/>
      <c r="F41" s="1017"/>
      <c r="G41" s="1017"/>
      <c r="H41" s="1017"/>
      <c r="I41" s="1017"/>
      <c r="J41" s="1017"/>
      <c r="L41" s="1017" t="s">
        <v>505</v>
      </c>
      <c r="M41" s="1017"/>
      <c r="N41" s="1017"/>
      <c r="O41" s="1017"/>
      <c r="P41" s="1017"/>
      <c r="Q41" s="1017"/>
      <c r="S41" s="992" t="s">
        <v>506</v>
      </c>
      <c r="T41" s="992"/>
      <c r="U41" s="992"/>
      <c r="V41" s="992"/>
      <c r="W41" s="992"/>
      <c r="X41" s="188"/>
      <c r="Y41"/>
      <c r="Z41" s="1017" t="s">
        <v>1</v>
      </c>
      <c r="AA41" s="1017"/>
      <c r="AB41" s="1017"/>
      <c r="AC41" s="1017"/>
      <c r="AD41" s="1017"/>
      <c r="AE41" s="1017"/>
      <c r="AF41" s="1017"/>
      <c r="AG41" s="1017"/>
      <c r="AH41" s="1017"/>
      <c r="AJ41" s="1017" t="s">
        <v>505</v>
      </c>
      <c r="AK41" s="1017"/>
      <c r="AL41" s="1017"/>
      <c r="AM41" s="1017"/>
      <c r="AN41" s="1017"/>
      <c r="AO41" s="1017"/>
      <c r="AQ41" s="992" t="s">
        <v>506</v>
      </c>
      <c r="AR41" s="992"/>
      <c r="AS41" s="992"/>
      <c r="AT41" s="992"/>
      <c r="AU41" s="992"/>
      <c r="AV41" s="187"/>
    </row>
    <row r="42" spans="2:48" ht="16.5" thickBot="1" x14ac:dyDescent="0.25">
      <c r="B42" s="1014" t="e">
        <f>VLOOKUP(U45,ID_archer_cible,5,FALSE)</f>
        <v>#N/A</v>
      </c>
      <c r="C42" s="1015"/>
      <c r="D42" s="1015"/>
      <c r="E42" s="1015"/>
      <c r="F42" s="1015"/>
      <c r="G42" s="1015"/>
      <c r="H42" s="1015"/>
      <c r="I42" s="1015"/>
      <c r="J42" s="1016"/>
      <c r="L42" s="1014" t="e">
        <f>VLOOKUP(U45,ID_archer_cible,6,FALSE)</f>
        <v>#N/A</v>
      </c>
      <c r="M42" s="1015"/>
      <c r="N42" s="1015"/>
      <c r="O42" s="1015"/>
      <c r="P42" s="1015"/>
      <c r="Q42" s="1016"/>
      <c r="S42" s="999" t="e">
        <f>VLOOKUP(U45,ID_archer_cible,8,FALSE)</f>
        <v>#N/A</v>
      </c>
      <c r="T42" s="1000"/>
      <c r="U42" s="1000"/>
      <c r="V42" s="1000"/>
      <c r="W42" s="1001"/>
      <c r="X42" s="186"/>
      <c r="Y42"/>
      <c r="Z42" s="1014" t="e">
        <f>VLOOKUP(AS45,ID_archer_cible,5,FALSE)</f>
        <v>#N/A</v>
      </c>
      <c r="AA42" s="1015"/>
      <c r="AB42" s="1015"/>
      <c r="AC42" s="1015"/>
      <c r="AD42" s="1015"/>
      <c r="AE42" s="1015"/>
      <c r="AF42" s="1015"/>
      <c r="AG42" s="1015"/>
      <c r="AH42" s="1016"/>
      <c r="AJ42" s="1014" t="e">
        <f>VLOOKUP(AS45,ID_archer_cible,6,FALSE)</f>
        <v>#N/A</v>
      </c>
      <c r="AK42" s="1015"/>
      <c r="AL42" s="1015"/>
      <c r="AM42" s="1015"/>
      <c r="AN42" s="1015"/>
      <c r="AO42" s="1016"/>
      <c r="AQ42" s="999" t="e">
        <f>VLOOKUP(AS45,ID_archer_cible,8,FALSE)</f>
        <v>#N/A</v>
      </c>
      <c r="AR42" s="1000"/>
      <c r="AS42" s="1000"/>
      <c r="AT42" s="1000"/>
      <c r="AU42" s="1001"/>
    </row>
    <row r="43" spans="2:48" x14ac:dyDescent="0.2">
      <c r="X43" s="186"/>
      <c r="Y43"/>
    </row>
    <row r="44" spans="2:48" x14ac:dyDescent="0.2">
      <c r="B44" s="992" t="s">
        <v>530</v>
      </c>
      <c r="C44" s="992"/>
      <c r="D44" s="992"/>
      <c r="E44" s="992"/>
      <c r="F44" s="992"/>
      <c r="G44" s="187"/>
      <c r="H44" s="992" t="s">
        <v>504</v>
      </c>
      <c r="I44" s="992"/>
      <c r="J44" s="992"/>
      <c r="K44" s="992"/>
      <c r="M44" s="992" t="s">
        <v>39</v>
      </c>
      <c r="N44" s="992"/>
      <c r="O44" s="992"/>
      <c r="Q44" s="1021"/>
      <c r="R44" s="1021"/>
      <c r="S44" s="1021"/>
      <c r="U44" s="992" t="s">
        <v>507</v>
      </c>
      <c r="V44" s="992"/>
      <c r="W44" s="992"/>
      <c r="X44" s="188"/>
      <c r="Y44"/>
      <c r="Z44" s="992" t="s">
        <v>530</v>
      </c>
      <c r="AA44" s="992"/>
      <c r="AB44" s="992"/>
      <c r="AC44" s="992"/>
      <c r="AD44" s="992"/>
      <c r="AE44" s="187"/>
      <c r="AF44" s="992" t="s">
        <v>504</v>
      </c>
      <c r="AG44" s="992"/>
      <c r="AH44" s="992"/>
      <c r="AI44" s="992"/>
      <c r="AK44" s="992" t="s">
        <v>39</v>
      </c>
      <c r="AL44" s="992"/>
      <c r="AM44" s="992"/>
      <c r="AO44" s="1021"/>
      <c r="AP44" s="1021"/>
      <c r="AQ44" s="1021"/>
      <c r="AS44" s="992" t="s">
        <v>507</v>
      </c>
      <c r="AT44" s="992"/>
      <c r="AU44" s="992"/>
      <c r="AV44" s="187"/>
    </row>
    <row r="45" spans="2:48" ht="15.75" x14ac:dyDescent="0.2">
      <c r="B45" s="1011" t="e">
        <f>VLOOKUP(U45,ID_archer_cible,7,FALSE)</f>
        <v>#N/A</v>
      </c>
      <c r="C45" s="1012"/>
      <c r="D45" s="1012"/>
      <c r="E45" s="1012"/>
      <c r="F45" s="1013"/>
      <c r="H45" s="999" t="e">
        <f>VLOOKUP(U45,ID_archer_cible,9,FALSE)</f>
        <v>#N/A</v>
      </c>
      <c r="I45" s="1000"/>
      <c r="J45" s="1000"/>
      <c r="K45" s="1001"/>
      <c r="M45" s="999" t="e">
        <f>VLOOKUP(U45,ID_archer_cible,10,FALSE)</f>
        <v>#N/A</v>
      </c>
      <c r="N45" s="1000"/>
      <c r="O45" s="1001"/>
      <c r="Q45" s="1021"/>
      <c r="R45" s="1021"/>
      <c r="S45" s="1021"/>
      <c r="T45" s="187"/>
      <c r="U45" s="996" t="str">
        <f>AR3&amp;"C"</f>
        <v>1C</v>
      </c>
      <c r="V45" s="997"/>
      <c r="W45" s="998"/>
      <c r="X45" s="188"/>
      <c r="Y45"/>
      <c r="Z45" s="1011" t="e">
        <f>VLOOKUP(AS45,ID_archer_cible,7,FALSE)</f>
        <v>#N/A</v>
      </c>
      <c r="AA45" s="1012"/>
      <c r="AB45" s="1012"/>
      <c r="AC45" s="1012"/>
      <c r="AD45" s="1013"/>
      <c r="AF45" s="999" t="e">
        <f>VLOOKUP(AS45,ID_archer_cible,9,FALSE)</f>
        <v>#N/A</v>
      </c>
      <c r="AG45" s="1000"/>
      <c r="AH45" s="1000"/>
      <c r="AI45" s="1001"/>
      <c r="AK45" s="999" t="e">
        <f>VLOOKUP(AS45,ID_archer_cible,10,FALSE)</f>
        <v>#N/A</v>
      </c>
      <c r="AL45" s="1000"/>
      <c r="AM45" s="1001"/>
      <c r="AO45" s="1021"/>
      <c r="AP45" s="1021"/>
      <c r="AQ45" s="1021"/>
      <c r="AR45" s="187"/>
      <c r="AS45" s="996" t="str">
        <f>AR3&amp;"D"</f>
        <v>1D</v>
      </c>
      <c r="AT45" s="997"/>
      <c r="AU45" s="998"/>
      <c r="AV45" s="187"/>
    </row>
    <row r="46" spans="2:48" x14ac:dyDescent="0.2">
      <c r="X46" s="186"/>
    </row>
    <row r="47" spans="2:48" x14ac:dyDescent="0.2">
      <c r="B47" s="185" t="s">
        <v>509</v>
      </c>
      <c r="E47" s="992" t="s">
        <v>510</v>
      </c>
      <c r="F47" s="992"/>
      <c r="G47" s="992"/>
      <c r="H47" s="992"/>
      <c r="I47" s="992"/>
      <c r="J47" s="992"/>
      <c r="K47" s="992"/>
      <c r="L47" s="992"/>
      <c r="M47" s="992"/>
      <c r="N47" s="992"/>
      <c r="P47" s="992" t="s">
        <v>511</v>
      </c>
      <c r="Q47" s="992"/>
      <c r="R47" s="992"/>
      <c r="X47" s="186"/>
      <c r="Z47" s="185" t="s">
        <v>509</v>
      </c>
      <c r="AC47" s="992" t="s">
        <v>510</v>
      </c>
      <c r="AD47" s="992"/>
      <c r="AE47" s="992"/>
      <c r="AF47" s="992"/>
      <c r="AG47" s="992"/>
      <c r="AH47" s="992"/>
      <c r="AI47" s="992"/>
      <c r="AJ47" s="992"/>
      <c r="AK47" s="992"/>
      <c r="AL47" s="992"/>
      <c r="AN47" s="992" t="s">
        <v>511</v>
      </c>
      <c r="AO47" s="992"/>
      <c r="AP47" s="992"/>
    </row>
    <row r="48" spans="2:48" ht="20.25" customHeight="1" x14ac:dyDescent="0.2">
      <c r="B48" s="1009" t="s">
        <v>513</v>
      </c>
      <c r="C48" s="1009"/>
      <c r="E48" s="189"/>
      <c r="F48" s="191"/>
      <c r="G48" s="189"/>
      <c r="H48" s="191"/>
      <c r="I48" s="189"/>
      <c r="J48" s="191"/>
      <c r="K48" s="189"/>
      <c r="L48" s="191"/>
      <c r="M48" s="189"/>
      <c r="N48" s="191"/>
      <c r="P48" s="189"/>
      <c r="Q48" s="190"/>
      <c r="R48" s="191"/>
      <c r="T48" s="992" t="s">
        <v>512</v>
      </c>
      <c r="U48" s="992"/>
      <c r="V48" s="992"/>
      <c r="W48" s="992"/>
      <c r="X48" s="188"/>
      <c r="Z48" s="1009" t="s">
        <v>513</v>
      </c>
      <c r="AA48" s="1009"/>
      <c r="AC48" s="189"/>
      <c r="AD48" s="191"/>
      <c r="AE48" s="189"/>
      <c r="AF48" s="191"/>
      <c r="AG48" s="189"/>
      <c r="AH48" s="191"/>
      <c r="AI48" s="189"/>
      <c r="AJ48" s="191"/>
      <c r="AK48" s="189"/>
      <c r="AL48" s="191"/>
      <c r="AN48" s="189"/>
      <c r="AO48" s="190"/>
      <c r="AP48" s="191"/>
      <c r="AR48" s="992" t="s">
        <v>512</v>
      </c>
      <c r="AS48" s="992"/>
      <c r="AT48" s="992"/>
      <c r="AU48" s="992"/>
      <c r="AV48" s="187"/>
    </row>
    <row r="49" spans="2:48" ht="20.25" customHeight="1" x14ac:dyDescent="0.2">
      <c r="B49" s="1009" t="s">
        <v>514</v>
      </c>
      <c r="C49" s="1009"/>
      <c r="E49" s="189"/>
      <c r="F49" s="191"/>
      <c r="G49" s="189"/>
      <c r="H49" s="191"/>
      <c r="I49" s="189"/>
      <c r="J49" s="191"/>
      <c r="K49" s="189"/>
      <c r="L49" s="191"/>
      <c r="M49" s="189"/>
      <c r="N49" s="191"/>
      <c r="P49" s="189"/>
      <c r="Q49" s="190"/>
      <c r="R49" s="191"/>
      <c r="T49" s="189"/>
      <c r="U49" s="190"/>
      <c r="V49" s="190"/>
      <c r="W49" s="191"/>
      <c r="X49" s="186"/>
      <c r="Z49" s="1009" t="s">
        <v>514</v>
      </c>
      <c r="AA49" s="1009"/>
      <c r="AC49" s="189"/>
      <c r="AD49" s="191"/>
      <c r="AE49" s="189"/>
      <c r="AF49" s="191"/>
      <c r="AG49" s="189"/>
      <c r="AH49" s="191"/>
      <c r="AI49" s="189"/>
      <c r="AJ49" s="191"/>
      <c r="AK49" s="189"/>
      <c r="AL49" s="191"/>
      <c r="AN49" s="189"/>
      <c r="AO49" s="190"/>
      <c r="AP49" s="191"/>
      <c r="AR49" s="189"/>
      <c r="AS49" s="190"/>
      <c r="AT49" s="190"/>
      <c r="AU49" s="191"/>
    </row>
    <row r="50" spans="2:48" ht="20.25" customHeight="1" x14ac:dyDescent="0.2">
      <c r="B50" s="1009" t="s">
        <v>515</v>
      </c>
      <c r="C50" s="1009"/>
      <c r="E50" s="189"/>
      <c r="F50" s="191"/>
      <c r="G50" s="189"/>
      <c r="H50" s="191"/>
      <c r="I50" s="189"/>
      <c r="J50" s="191"/>
      <c r="K50" s="189"/>
      <c r="L50" s="191"/>
      <c r="M50" s="189"/>
      <c r="N50" s="191"/>
      <c r="P50" s="189"/>
      <c r="Q50" s="190"/>
      <c r="R50" s="191"/>
      <c r="T50" s="189"/>
      <c r="U50" s="190"/>
      <c r="V50" s="190"/>
      <c r="W50" s="191"/>
      <c r="X50" s="186"/>
      <c r="Z50" s="1009" t="s">
        <v>515</v>
      </c>
      <c r="AA50" s="1009"/>
      <c r="AC50" s="189"/>
      <c r="AD50" s="191"/>
      <c r="AE50" s="189"/>
      <c r="AF50" s="191"/>
      <c r="AG50" s="189"/>
      <c r="AH50" s="191"/>
      <c r="AI50" s="189"/>
      <c r="AJ50" s="191"/>
      <c r="AK50" s="189"/>
      <c r="AL50" s="191"/>
      <c r="AN50" s="189"/>
      <c r="AO50" s="190"/>
      <c r="AP50" s="191"/>
      <c r="AR50" s="189"/>
      <c r="AS50" s="190"/>
      <c r="AT50" s="190"/>
      <c r="AU50" s="191"/>
    </row>
    <row r="51" spans="2:48" ht="20.25" customHeight="1" x14ac:dyDescent="0.2">
      <c r="B51" s="1009" t="s">
        <v>516</v>
      </c>
      <c r="C51" s="1009"/>
      <c r="E51" s="189"/>
      <c r="F51" s="191"/>
      <c r="G51" s="189"/>
      <c r="H51" s="191"/>
      <c r="I51" s="189"/>
      <c r="J51" s="191"/>
      <c r="K51" s="189"/>
      <c r="L51" s="191"/>
      <c r="M51" s="189"/>
      <c r="N51" s="191"/>
      <c r="P51" s="189"/>
      <c r="Q51" s="190"/>
      <c r="R51" s="191"/>
      <c r="T51" s="189"/>
      <c r="U51" s="190"/>
      <c r="V51" s="190"/>
      <c r="W51" s="191"/>
      <c r="X51" s="186"/>
      <c r="Z51" s="1009" t="s">
        <v>516</v>
      </c>
      <c r="AA51" s="1009"/>
      <c r="AC51" s="189"/>
      <c r="AD51" s="191"/>
      <c r="AE51" s="189"/>
      <c r="AF51" s="191"/>
      <c r="AG51" s="189"/>
      <c r="AH51" s="191"/>
      <c r="AI51" s="189"/>
      <c r="AJ51" s="191"/>
      <c r="AK51" s="189"/>
      <c r="AL51" s="191"/>
      <c r="AN51" s="189"/>
      <c r="AO51" s="190"/>
      <c r="AP51" s="191"/>
      <c r="AR51" s="189"/>
      <c r="AS51" s="190"/>
      <c r="AT51" s="190"/>
      <c r="AU51" s="191"/>
    </row>
    <row r="52" spans="2:48" ht="20.25" customHeight="1" x14ac:dyDescent="0.2">
      <c r="B52" s="1009" t="s">
        <v>517</v>
      </c>
      <c r="C52" s="1009"/>
      <c r="E52" s="189"/>
      <c r="F52" s="191"/>
      <c r="G52" s="189"/>
      <c r="H52" s="191"/>
      <c r="I52" s="189"/>
      <c r="J52" s="191"/>
      <c r="K52" s="189"/>
      <c r="L52" s="191"/>
      <c r="M52" s="189"/>
      <c r="N52" s="191"/>
      <c r="P52" s="189"/>
      <c r="Q52" s="190"/>
      <c r="R52" s="191"/>
      <c r="T52" s="189"/>
      <c r="U52" s="190"/>
      <c r="V52" s="190"/>
      <c r="W52" s="191"/>
      <c r="X52" s="186"/>
      <c r="Z52" s="1009" t="s">
        <v>517</v>
      </c>
      <c r="AA52" s="1009"/>
      <c r="AC52" s="189"/>
      <c r="AD52" s="191"/>
      <c r="AE52" s="189"/>
      <c r="AF52" s="191"/>
      <c r="AG52" s="189"/>
      <c r="AH52" s="191"/>
      <c r="AI52" s="189"/>
      <c r="AJ52" s="191"/>
      <c r="AK52" s="189"/>
      <c r="AL52" s="191"/>
      <c r="AN52" s="189"/>
      <c r="AO52" s="190"/>
      <c r="AP52" s="191"/>
      <c r="AR52" s="189"/>
      <c r="AS52" s="190"/>
      <c r="AT52" s="190"/>
      <c r="AU52" s="191"/>
    </row>
    <row r="53" spans="2:48" ht="20.25" customHeight="1" x14ac:dyDescent="0.2">
      <c r="B53" s="1009" t="s">
        <v>518</v>
      </c>
      <c r="C53" s="1009"/>
      <c r="E53" s="189"/>
      <c r="F53" s="191"/>
      <c r="G53" s="189"/>
      <c r="H53" s="191"/>
      <c r="I53" s="189"/>
      <c r="J53" s="191"/>
      <c r="K53" s="189"/>
      <c r="L53" s="191"/>
      <c r="M53" s="189"/>
      <c r="N53" s="191"/>
      <c r="P53" s="189"/>
      <c r="Q53" s="190"/>
      <c r="R53" s="191"/>
      <c r="T53" s="189"/>
      <c r="U53" s="190"/>
      <c r="V53" s="190"/>
      <c r="W53" s="191"/>
      <c r="X53" s="186"/>
      <c r="Z53" s="1009" t="s">
        <v>518</v>
      </c>
      <c r="AA53" s="1009"/>
      <c r="AC53" s="189"/>
      <c r="AD53" s="191"/>
      <c r="AE53" s="189"/>
      <c r="AF53" s="191"/>
      <c r="AG53" s="189"/>
      <c r="AH53" s="191"/>
      <c r="AI53" s="189"/>
      <c r="AJ53" s="191"/>
      <c r="AK53" s="189"/>
      <c r="AL53" s="191"/>
      <c r="AN53" s="189"/>
      <c r="AO53" s="190"/>
      <c r="AP53" s="191"/>
      <c r="AR53" s="189"/>
      <c r="AS53" s="190"/>
      <c r="AT53" s="190"/>
      <c r="AU53" s="191"/>
    </row>
    <row r="54" spans="2:48" ht="15.75" thickBot="1" x14ac:dyDescent="0.25">
      <c r="B54" s="187"/>
      <c r="C54" s="187"/>
      <c r="X54" s="186"/>
      <c r="Z54" s="187"/>
      <c r="AA54" s="187"/>
    </row>
    <row r="55" spans="2:48" ht="20.25" customHeight="1" thickBot="1" x14ac:dyDescent="0.25">
      <c r="P55" s="197" t="s">
        <v>519</v>
      </c>
      <c r="Q55" s="197"/>
      <c r="R55" s="197"/>
      <c r="S55" s="197"/>
      <c r="T55" s="192"/>
      <c r="U55" s="193"/>
      <c r="V55" s="193"/>
      <c r="W55" s="194"/>
      <c r="X55" s="186"/>
      <c r="AN55" s="197" t="s">
        <v>519</v>
      </c>
      <c r="AO55" s="197"/>
      <c r="AP55" s="197"/>
      <c r="AQ55" s="197"/>
      <c r="AR55" s="192"/>
      <c r="AS55" s="193"/>
      <c r="AT55" s="193"/>
      <c r="AU55" s="194"/>
    </row>
    <row r="56" spans="2:48" x14ac:dyDescent="0.2">
      <c r="E56" s="196"/>
      <c r="F56" s="196"/>
      <c r="G56" s="196"/>
      <c r="H56" s="196"/>
      <c r="I56" s="196"/>
      <c r="J56" s="196"/>
      <c r="K56" s="196"/>
      <c r="L56" s="196"/>
      <c r="M56" s="196"/>
      <c r="X56" s="186"/>
      <c r="AC56" s="196"/>
      <c r="AD56" s="196"/>
      <c r="AE56" s="196"/>
      <c r="AF56" s="196"/>
      <c r="AG56" s="196"/>
      <c r="AH56" s="196"/>
      <c r="AI56" s="196"/>
      <c r="AJ56" s="196"/>
      <c r="AK56" s="196"/>
    </row>
    <row r="57" spans="2:48" x14ac:dyDescent="0.2">
      <c r="B57" s="1010" t="s">
        <v>521</v>
      </c>
      <c r="C57" s="1010"/>
      <c r="D57" s="1010"/>
      <c r="E57" s="1010"/>
      <c r="F57" s="1010"/>
      <c r="G57" s="1010"/>
      <c r="H57" s="195"/>
      <c r="I57" s="1004" t="s">
        <v>522</v>
      </c>
      <c r="J57" s="1004"/>
      <c r="K57" s="1004"/>
      <c r="L57" s="1004"/>
      <c r="M57" s="1004"/>
      <c r="N57" s="1004"/>
      <c r="O57" s="1004"/>
      <c r="P57" s="1004"/>
      <c r="Q57" s="1004"/>
      <c r="R57" s="1004"/>
      <c r="S57" s="1004"/>
      <c r="T57" s="1004"/>
      <c r="U57" s="1004"/>
      <c r="V57" s="1004"/>
      <c r="W57" s="1004"/>
      <c r="X57" s="198"/>
      <c r="Y57" s="195"/>
      <c r="Z57" s="1010" t="s">
        <v>521</v>
      </c>
      <c r="AA57" s="1010"/>
      <c r="AB57" s="1010"/>
      <c r="AC57" s="1010"/>
      <c r="AD57" s="1010"/>
      <c r="AE57" s="1010"/>
      <c r="AF57" s="195"/>
      <c r="AG57" s="1004" t="s">
        <v>522</v>
      </c>
      <c r="AH57" s="1004"/>
      <c r="AI57" s="1004"/>
      <c r="AJ57" s="1004"/>
      <c r="AK57" s="1004"/>
      <c r="AL57" s="1004"/>
      <c r="AM57" s="1004"/>
      <c r="AN57" s="1004"/>
      <c r="AO57" s="1004"/>
      <c r="AP57" s="1004"/>
      <c r="AQ57" s="1004"/>
      <c r="AR57" s="1004"/>
      <c r="AS57" s="1004"/>
      <c r="AT57" s="1004"/>
      <c r="AU57" s="1004"/>
      <c r="AV57" s="195"/>
    </row>
    <row r="58" spans="2:48" x14ac:dyDescent="0.2">
      <c r="B58" s="1005" t="s">
        <v>520</v>
      </c>
      <c r="C58" s="1006"/>
      <c r="D58" s="1006"/>
      <c r="E58" s="1006"/>
      <c r="F58" s="1006"/>
      <c r="G58" s="1007"/>
      <c r="I58" s="1005" t="s">
        <v>0</v>
      </c>
      <c r="J58" s="1006"/>
      <c r="K58" s="1006"/>
      <c r="L58" s="1006"/>
      <c r="M58" s="1006"/>
      <c r="N58" s="1006"/>
      <c r="O58" s="1006"/>
      <c r="P58" s="1006"/>
      <c r="Q58" s="1006"/>
      <c r="R58" s="1006"/>
      <c r="S58" s="1006"/>
      <c r="T58" s="1006"/>
      <c r="U58" s="1006"/>
      <c r="V58" s="1006"/>
      <c r="W58" s="1007"/>
      <c r="X58" s="186"/>
      <c r="Z58" s="1005" t="s">
        <v>520</v>
      </c>
      <c r="AA58" s="1006"/>
      <c r="AB58" s="1006"/>
      <c r="AC58" s="1006"/>
      <c r="AD58" s="1006"/>
      <c r="AE58" s="1007"/>
      <c r="AG58" s="1005" t="s">
        <v>0</v>
      </c>
      <c r="AH58" s="1006"/>
      <c r="AI58" s="1006"/>
      <c r="AJ58" s="1006"/>
      <c r="AK58" s="1006"/>
      <c r="AL58" s="1006"/>
      <c r="AM58" s="1006"/>
      <c r="AN58" s="1006"/>
      <c r="AO58" s="1006"/>
      <c r="AP58" s="1006"/>
      <c r="AQ58" s="1006"/>
      <c r="AR58" s="1006"/>
      <c r="AS58" s="1006"/>
      <c r="AT58" s="1006"/>
      <c r="AU58" s="1007"/>
    </row>
    <row r="59" spans="2:48" x14ac:dyDescent="0.2">
      <c r="B59" s="199"/>
      <c r="C59" s="200"/>
      <c r="D59" s="200"/>
      <c r="E59" s="200"/>
      <c r="F59" s="200"/>
      <c r="G59" s="201"/>
      <c r="I59" s="199"/>
      <c r="J59" s="200"/>
      <c r="K59" s="200"/>
      <c r="L59" s="200"/>
      <c r="M59" s="200"/>
      <c r="N59" s="200"/>
      <c r="O59" s="200"/>
      <c r="P59" s="200"/>
      <c r="Q59" s="200"/>
      <c r="R59" s="200"/>
      <c r="S59" s="200"/>
      <c r="T59" s="200"/>
      <c r="U59" s="200"/>
      <c r="V59" s="200"/>
      <c r="W59" s="201"/>
      <c r="X59" s="186"/>
      <c r="Z59" s="199"/>
      <c r="AA59" s="200"/>
      <c r="AB59" s="200"/>
      <c r="AC59" s="200"/>
      <c r="AD59" s="200"/>
      <c r="AE59" s="201"/>
      <c r="AG59" s="199"/>
      <c r="AH59" s="200"/>
      <c r="AI59" s="200"/>
      <c r="AJ59" s="200"/>
      <c r="AK59" s="200"/>
      <c r="AL59" s="200"/>
      <c r="AM59" s="200"/>
      <c r="AN59" s="200"/>
      <c r="AO59" s="200"/>
      <c r="AP59" s="200"/>
      <c r="AQ59" s="200"/>
      <c r="AR59" s="200"/>
      <c r="AS59" s="200"/>
      <c r="AT59" s="200"/>
      <c r="AU59" s="201"/>
    </row>
    <row r="60" spans="2:48" x14ac:dyDescent="0.2">
      <c r="X60" s="186"/>
    </row>
    <row r="61" spans="2:48" x14ac:dyDescent="0.2">
      <c r="I61" s="1005" t="s">
        <v>481</v>
      </c>
      <c r="J61" s="1006"/>
      <c r="K61" s="1006"/>
      <c r="L61" s="1006"/>
      <c r="M61" s="1006"/>
      <c r="N61" s="1006"/>
      <c r="O61" s="1006"/>
      <c r="P61" s="1006"/>
      <c r="Q61" s="1007"/>
      <c r="R61" s="1005" t="s">
        <v>520</v>
      </c>
      <c r="S61" s="1006"/>
      <c r="T61" s="1006"/>
      <c r="U61" s="1006"/>
      <c r="V61" s="1006"/>
      <c r="W61" s="1007"/>
      <c r="X61" s="186"/>
      <c r="AG61" s="1005" t="s">
        <v>481</v>
      </c>
      <c r="AH61" s="1006"/>
      <c r="AI61" s="1006"/>
      <c r="AJ61" s="1006"/>
      <c r="AK61" s="1006"/>
      <c r="AL61" s="1006"/>
      <c r="AM61" s="1006"/>
      <c r="AN61" s="1006"/>
      <c r="AO61" s="1007"/>
      <c r="AP61" s="1005" t="s">
        <v>520</v>
      </c>
      <c r="AQ61" s="1006"/>
      <c r="AR61" s="1006"/>
      <c r="AS61" s="1006"/>
      <c r="AT61" s="1006"/>
      <c r="AU61" s="1007"/>
    </row>
    <row r="62" spans="2:48" x14ac:dyDescent="0.2">
      <c r="I62" s="199"/>
      <c r="J62" s="200"/>
      <c r="K62" s="200"/>
      <c r="L62" s="200"/>
      <c r="M62" s="200"/>
      <c r="N62" s="200"/>
      <c r="O62" s="200"/>
      <c r="P62" s="200"/>
      <c r="Q62" s="200"/>
      <c r="R62" s="199"/>
      <c r="S62" s="200"/>
      <c r="T62" s="200"/>
      <c r="U62" s="200"/>
      <c r="V62" s="200"/>
      <c r="W62" s="201"/>
      <c r="X62" s="186"/>
      <c r="AG62" s="199"/>
      <c r="AH62" s="200"/>
      <c r="AI62" s="200"/>
      <c r="AJ62" s="200"/>
      <c r="AK62" s="200"/>
      <c r="AL62" s="200"/>
      <c r="AM62" s="200"/>
      <c r="AN62" s="200"/>
      <c r="AO62" s="200"/>
      <c r="AP62" s="199"/>
      <c r="AQ62" s="200"/>
      <c r="AR62" s="200"/>
      <c r="AS62" s="200"/>
      <c r="AT62" s="200"/>
      <c r="AU62" s="201"/>
    </row>
    <row r="64" spans="2:48" ht="57.75" customHeight="1" x14ac:dyDescent="0.2">
      <c r="B64" s="1058" t="str">
        <f>Championnat</f>
        <v>Championnat de France de Tir à l'ARC</v>
      </c>
      <c r="C64" s="1058"/>
      <c r="D64" s="1058"/>
      <c r="E64" s="1058"/>
      <c r="F64" s="1058"/>
      <c r="G64" s="1058"/>
      <c r="H64" s="1058"/>
      <c r="I64" s="1058"/>
      <c r="J64" s="1058"/>
      <c r="K64" s="1058"/>
      <c r="L64" s="1058"/>
      <c r="M64" s="1058"/>
      <c r="N64" s="1058"/>
      <c r="O64" s="1058"/>
      <c r="P64" s="1058"/>
      <c r="Q64" s="1058"/>
      <c r="R64" s="1058"/>
      <c r="S64" s="1058"/>
      <c r="T64" s="1058"/>
      <c r="U64" s="1058"/>
      <c r="V64" s="1058"/>
      <c r="W64" s="1058"/>
      <c r="X64" s="1058"/>
      <c r="Y64" s="1058"/>
      <c r="Z64" s="1058"/>
      <c r="AA64" s="1058"/>
      <c r="AB64" s="1058"/>
      <c r="AC64" s="1058"/>
      <c r="AD64" s="1058"/>
      <c r="AE64" s="1058"/>
      <c r="AF64" s="1058"/>
      <c r="AG64" s="1058"/>
      <c r="AH64" s="1058"/>
      <c r="AI64" s="1058"/>
      <c r="AJ64" s="1058"/>
      <c r="AK64" s="1058"/>
      <c r="AL64" s="1058"/>
      <c r="AM64" s="1058"/>
      <c r="AN64" s="1058"/>
      <c r="AO64" s="1058"/>
      <c r="AP64" s="1058"/>
    </row>
    <row r="65" spans="2:48" ht="45" customHeight="1" thickBot="1" x14ac:dyDescent="0.25">
      <c r="B65" s="1018" t="str">
        <f>LIEU&amp;" - "&amp;DATE&amp;" - "&amp;CATEG</f>
        <v>L’Isle sur la Sorgue - 27 au 31 mars 2023 - Collèges Mixtes Etablissement</v>
      </c>
      <c r="C65" s="1018"/>
      <c r="D65" s="1018"/>
      <c r="E65" s="1018"/>
      <c r="F65" s="1018"/>
      <c r="G65" s="1018"/>
      <c r="H65" s="1018"/>
      <c r="I65" s="1018"/>
      <c r="J65" s="1018"/>
      <c r="K65" s="1018"/>
      <c r="L65" s="1018"/>
      <c r="M65" s="1018"/>
      <c r="N65" s="1018"/>
      <c r="O65" s="1018"/>
      <c r="P65" s="1018"/>
      <c r="Q65" s="1018"/>
      <c r="R65" s="1018"/>
      <c r="S65" s="1018"/>
      <c r="T65" s="1018"/>
      <c r="U65" s="1018"/>
      <c r="V65" s="1018"/>
      <c r="W65" s="1018"/>
      <c r="X65" s="1018"/>
      <c r="Y65" s="1018"/>
      <c r="Z65" s="1018"/>
      <c r="AA65" s="1018"/>
      <c r="AB65" s="1018"/>
      <c r="AC65" s="1018"/>
      <c r="AD65" s="1018"/>
      <c r="AE65" s="1018"/>
      <c r="AF65" s="1018"/>
      <c r="AG65" s="1018"/>
      <c r="AH65" s="1018"/>
      <c r="AI65" s="1018"/>
      <c r="AJ65" s="1018"/>
      <c r="AK65" s="1018"/>
      <c r="AL65" s="1018"/>
      <c r="AM65" s="1018"/>
      <c r="AN65" s="1018"/>
      <c r="AO65" s="1018"/>
      <c r="AP65" s="1018"/>
      <c r="AQ65" s="182"/>
      <c r="AR65" s="182"/>
      <c r="AS65" s="182"/>
      <c r="AT65" s="182"/>
      <c r="AU65" s="182"/>
      <c r="AV65" s="182"/>
    </row>
    <row r="66" spans="2:48" ht="26.25" x14ac:dyDescent="0.2">
      <c r="B66" s="1059" t="str">
        <f>CATEG_IMPORTEE</f>
        <v>Collèges Mixtes Etablissement</v>
      </c>
      <c r="C66" s="1059"/>
      <c r="D66" s="1059"/>
      <c r="E66" s="1059"/>
      <c r="F66" s="1059"/>
      <c r="G66" s="1059"/>
      <c r="H66" s="1059"/>
      <c r="I66" s="1059"/>
      <c r="J66" s="1059"/>
      <c r="K66" s="1059"/>
      <c r="L66" s="1059"/>
      <c r="M66" s="1059"/>
      <c r="N66" s="1059"/>
      <c r="O66" s="1059"/>
      <c r="P66" s="1059"/>
      <c r="Q66" s="1059"/>
      <c r="R66" s="1059"/>
      <c r="S66" s="1059"/>
      <c r="T66" s="1059"/>
      <c r="U66" s="1059"/>
      <c r="V66" s="1059"/>
      <c r="W66" s="1059"/>
      <c r="X66" s="1059"/>
      <c r="Y66" s="1059"/>
      <c r="Z66" s="1059"/>
      <c r="AA66" s="1059"/>
      <c r="AB66" s="1059"/>
      <c r="AC66" s="1059"/>
      <c r="AD66" s="1059"/>
      <c r="AE66" s="1059"/>
      <c r="AF66" s="1059"/>
      <c r="AG66" s="1059"/>
      <c r="AH66" s="1059"/>
      <c r="AI66" s="1059"/>
      <c r="AJ66" s="1059"/>
      <c r="AK66" s="1059"/>
      <c r="AL66" s="1059"/>
      <c r="AM66" s="1059"/>
      <c r="AN66" s="1059"/>
      <c r="AO66" s="1059"/>
      <c r="AP66" s="1059"/>
      <c r="AQ66" s="182"/>
      <c r="AR66" s="1060">
        <f>AR3+1</f>
        <v>2</v>
      </c>
      <c r="AS66" s="1061"/>
      <c r="AT66" s="1062"/>
      <c r="AU66" s="182"/>
      <c r="AV66" s="182"/>
    </row>
    <row r="67" spans="2:48" ht="18" x14ac:dyDescent="0.2">
      <c r="B67" s="182"/>
      <c r="C67" s="182"/>
      <c r="D67" s="182"/>
      <c r="E67" s="182"/>
      <c r="F67" s="182"/>
      <c r="G67" s="182"/>
      <c r="H67" s="182"/>
      <c r="I67" s="182"/>
      <c r="J67" s="182"/>
      <c r="K67" s="182"/>
      <c r="L67" s="182"/>
      <c r="M67" s="182"/>
      <c r="N67" s="182"/>
      <c r="O67" s="182"/>
      <c r="P67" s="182"/>
      <c r="Q67" s="182"/>
      <c r="R67" s="182"/>
      <c r="S67" s="182"/>
      <c r="T67" s="182"/>
      <c r="U67" s="182"/>
      <c r="V67" s="182"/>
      <c r="W67" s="182"/>
      <c r="X67" s="183"/>
      <c r="Y67" s="184"/>
      <c r="Z67" s="182"/>
      <c r="AA67" s="182"/>
      <c r="AB67" s="182"/>
      <c r="AC67" s="182"/>
      <c r="AD67" s="182"/>
      <c r="AE67" s="182"/>
      <c r="AF67" s="182"/>
      <c r="AG67" s="182"/>
      <c r="AH67" s="182"/>
      <c r="AI67" s="182"/>
      <c r="AJ67" s="182"/>
      <c r="AK67" s="182"/>
      <c r="AL67" s="182"/>
      <c r="AM67" s="182"/>
      <c r="AN67" s="182"/>
      <c r="AO67" s="182"/>
      <c r="AP67" s="182"/>
      <c r="AQ67" s="182"/>
      <c r="AR67" s="1063"/>
      <c r="AS67" s="1064"/>
      <c r="AT67" s="1065"/>
      <c r="AU67" s="182"/>
      <c r="AV67" s="182"/>
    </row>
    <row r="68" spans="2:48" ht="18.75" thickBot="1" x14ac:dyDescent="0.25">
      <c r="B68" s="182"/>
      <c r="C68" s="182"/>
      <c r="D68" s="182"/>
      <c r="E68" s="182"/>
      <c r="F68" s="182"/>
      <c r="G68" s="182"/>
      <c r="H68" s="992" t="s">
        <v>374</v>
      </c>
      <c r="I68" s="992"/>
      <c r="J68" s="992"/>
      <c r="K68" s="992"/>
      <c r="L68" s="992"/>
      <c r="M68" s="992"/>
      <c r="N68" s="992"/>
      <c r="O68" s="992"/>
      <c r="P68" s="992"/>
      <c r="Q68" s="992"/>
      <c r="R68" s="182"/>
      <c r="S68" s="182"/>
      <c r="T68" s="182"/>
      <c r="U68" s="182"/>
      <c r="V68" s="182"/>
      <c r="W68" s="182"/>
      <c r="X68" s="183"/>
      <c r="Y68" s="182"/>
      <c r="Z68" s="182"/>
      <c r="AA68" s="182"/>
      <c r="AB68" s="182"/>
      <c r="AC68" s="182"/>
      <c r="AD68" s="182"/>
      <c r="AE68" s="992" t="s">
        <v>374</v>
      </c>
      <c r="AF68" s="992"/>
      <c r="AG68" s="992"/>
      <c r="AH68" s="992"/>
      <c r="AI68" s="992"/>
      <c r="AJ68" s="992"/>
      <c r="AK68" s="992"/>
      <c r="AL68" s="992"/>
      <c r="AM68" s="992"/>
      <c r="AN68" s="992"/>
      <c r="AO68" s="182"/>
      <c r="AP68" s="182"/>
      <c r="AQ68" s="182"/>
      <c r="AR68" s="1066"/>
      <c r="AS68" s="1067"/>
      <c r="AT68" s="1068"/>
      <c r="AU68" s="182"/>
      <c r="AV68" s="182"/>
    </row>
    <row r="69" spans="2:48" ht="18" x14ac:dyDescent="0.2">
      <c r="B69" s="182"/>
      <c r="C69" s="182"/>
      <c r="D69" s="182"/>
      <c r="E69" s="182"/>
      <c r="F69" s="182"/>
      <c r="G69" s="182"/>
      <c r="H69" s="1022" t="e">
        <f>VLOOKUP(U78,ID_archer_cible,4,FALSE)</f>
        <v>#N/A</v>
      </c>
      <c r="I69" s="1023"/>
      <c r="J69" s="1023"/>
      <c r="K69" s="1023"/>
      <c r="L69" s="1023"/>
      <c r="M69" s="1023"/>
      <c r="N69" s="1023"/>
      <c r="O69" s="1023"/>
      <c r="P69" s="1023"/>
      <c r="Q69" s="1024"/>
      <c r="R69" s="182"/>
      <c r="S69" s="182"/>
      <c r="T69" s="182"/>
      <c r="U69" s="182"/>
      <c r="V69" s="182"/>
      <c r="W69" s="182"/>
      <c r="X69" s="183"/>
      <c r="Y69" s="182"/>
      <c r="Z69" s="182"/>
      <c r="AA69" s="182"/>
      <c r="AB69" s="182"/>
      <c r="AC69" s="182"/>
      <c r="AD69" s="182"/>
      <c r="AE69" s="1022" t="e">
        <f>VLOOKUP(AS78,ID_archer_cible,4,FALSE)</f>
        <v>#N/A</v>
      </c>
      <c r="AF69" s="1023"/>
      <c r="AG69" s="1023"/>
      <c r="AH69" s="1023"/>
      <c r="AI69" s="1023"/>
      <c r="AJ69" s="1023"/>
      <c r="AK69" s="1023"/>
      <c r="AL69" s="1023"/>
      <c r="AM69" s="1023"/>
      <c r="AN69" s="1024"/>
      <c r="AO69" s="182"/>
      <c r="AP69" s="182"/>
      <c r="AQ69" s="182"/>
      <c r="AR69" s="182"/>
      <c r="AS69" s="182"/>
      <c r="AT69" s="182"/>
      <c r="AU69" s="182"/>
      <c r="AV69" s="182"/>
    </row>
    <row r="70" spans="2:48" x14ac:dyDescent="0.2">
      <c r="X70" s="186"/>
    </row>
    <row r="71" spans="2:48" x14ac:dyDescent="0.2">
      <c r="B71" s="1021" t="s">
        <v>0</v>
      </c>
      <c r="C71" s="1021"/>
      <c r="D71" s="1021"/>
      <c r="E71" s="1021"/>
      <c r="F71" s="1021"/>
      <c r="G71" s="1021"/>
      <c r="H71" s="1021"/>
      <c r="I71" s="1021"/>
      <c r="J71" s="1021"/>
      <c r="K71" s="1021"/>
      <c r="L71" s="1021"/>
      <c r="M71" s="187"/>
      <c r="P71" s="992" t="s">
        <v>375</v>
      </c>
      <c r="Q71" s="992"/>
      <c r="R71" s="992"/>
      <c r="S71" s="992"/>
      <c r="T71" s="992"/>
      <c r="U71" s="992"/>
      <c r="V71" s="992"/>
      <c r="W71" s="992"/>
      <c r="X71" s="188"/>
      <c r="Z71" s="1021" t="s">
        <v>0</v>
      </c>
      <c r="AA71" s="1021"/>
      <c r="AB71" s="1021"/>
      <c r="AC71" s="1021"/>
      <c r="AD71" s="1021"/>
      <c r="AE71" s="1021"/>
      <c r="AF71" s="1021"/>
      <c r="AG71" s="1021"/>
      <c r="AH71" s="1021"/>
      <c r="AI71" s="1021"/>
      <c r="AJ71" s="1021"/>
      <c r="AK71" s="187"/>
      <c r="AN71" s="992" t="s">
        <v>375</v>
      </c>
      <c r="AO71" s="992"/>
      <c r="AP71" s="992"/>
      <c r="AQ71" s="992"/>
      <c r="AR71" s="992"/>
      <c r="AS71" s="992"/>
      <c r="AT71" s="992"/>
      <c r="AU71" s="992"/>
      <c r="AV71" s="187"/>
    </row>
    <row r="72" spans="2:48" x14ac:dyDescent="0.2">
      <c r="B72" s="999" t="e">
        <f>VLOOKUP(U78,ID_archer_cible,2,FALSE)</f>
        <v>#N/A</v>
      </c>
      <c r="C72" s="1000"/>
      <c r="D72" s="1000"/>
      <c r="E72" s="1000"/>
      <c r="F72" s="1000"/>
      <c r="G72" s="1000"/>
      <c r="H72" s="1000"/>
      <c r="I72" s="1000"/>
      <c r="J72" s="1000"/>
      <c r="K72" s="1000"/>
      <c r="L72" s="1000"/>
      <c r="M72" s="1001"/>
      <c r="P72" s="999" t="e">
        <f>VLOOKUP(U78,ID_archer_cible,3,FALSE)</f>
        <v>#N/A</v>
      </c>
      <c r="Q72" s="1000"/>
      <c r="R72" s="1000"/>
      <c r="S72" s="1000"/>
      <c r="T72" s="1000"/>
      <c r="U72" s="1000"/>
      <c r="V72" s="1000"/>
      <c r="W72" s="1001"/>
      <c r="X72" s="186"/>
      <c r="Y72"/>
      <c r="Z72" s="999" t="e">
        <f>VLOOKUP(AS78,ID_archer_cible,2,FALSE)</f>
        <v>#N/A</v>
      </c>
      <c r="AA72" s="1000"/>
      <c r="AB72" s="1000"/>
      <c r="AC72" s="1000"/>
      <c r="AD72" s="1000"/>
      <c r="AE72" s="1000"/>
      <c r="AF72" s="1000"/>
      <c r="AG72" s="1000"/>
      <c r="AH72" s="1000"/>
      <c r="AI72" s="1000"/>
      <c r="AJ72" s="1000"/>
      <c r="AK72" s="1001"/>
      <c r="AN72" s="999" t="e">
        <f>VLOOKUP(AS78,ID_archer_cible,3,FALSE)</f>
        <v>#N/A</v>
      </c>
      <c r="AO72" s="1000"/>
      <c r="AP72" s="1000"/>
      <c r="AQ72" s="1000"/>
      <c r="AR72" s="1000"/>
      <c r="AS72" s="1000"/>
      <c r="AT72" s="1000"/>
      <c r="AU72" s="1001"/>
    </row>
    <row r="73" spans="2:48" x14ac:dyDescent="0.2">
      <c r="X73" s="186"/>
      <c r="Y73"/>
    </row>
    <row r="74" spans="2:48" ht="16.5" thickBot="1" x14ac:dyDescent="0.25">
      <c r="B74" s="1017" t="s">
        <v>1</v>
      </c>
      <c r="C74" s="1017"/>
      <c r="D74" s="1017"/>
      <c r="E74" s="1017"/>
      <c r="F74" s="1017"/>
      <c r="G74" s="1017"/>
      <c r="H74" s="1017"/>
      <c r="I74" s="1017"/>
      <c r="J74" s="1017"/>
      <c r="L74" s="1017" t="s">
        <v>505</v>
      </c>
      <c r="M74" s="1017"/>
      <c r="N74" s="1017"/>
      <c r="O74" s="1017"/>
      <c r="P74" s="1017"/>
      <c r="Q74" s="1017"/>
      <c r="S74" s="992" t="s">
        <v>506</v>
      </c>
      <c r="T74" s="992"/>
      <c r="U74" s="992"/>
      <c r="V74" s="992"/>
      <c r="W74" s="992"/>
      <c r="X74" s="188"/>
      <c r="Y74"/>
      <c r="Z74" s="1017" t="s">
        <v>1</v>
      </c>
      <c r="AA74" s="1017"/>
      <c r="AB74" s="1017"/>
      <c r="AC74" s="1017"/>
      <c r="AD74" s="1017"/>
      <c r="AE74" s="1017"/>
      <c r="AF74" s="1017"/>
      <c r="AG74" s="1017"/>
      <c r="AH74" s="1017"/>
      <c r="AJ74" s="1017" t="s">
        <v>505</v>
      </c>
      <c r="AK74" s="1017"/>
      <c r="AL74" s="1017"/>
      <c r="AM74" s="1017"/>
      <c r="AN74" s="1017"/>
      <c r="AO74" s="1017"/>
      <c r="AQ74" s="992" t="s">
        <v>506</v>
      </c>
      <c r="AR74" s="992"/>
      <c r="AS74" s="992"/>
      <c r="AT74" s="992"/>
      <c r="AU74" s="992"/>
      <c r="AV74" s="187"/>
    </row>
    <row r="75" spans="2:48" ht="16.5" thickBot="1" x14ac:dyDescent="0.25">
      <c r="B75" s="1014" t="e">
        <f>VLOOKUP(U78,ID_archer_cible,5,FALSE)</f>
        <v>#N/A</v>
      </c>
      <c r="C75" s="1015"/>
      <c r="D75" s="1015"/>
      <c r="E75" s="1015"/>
      <c r="F75" s="1015"/>
      <c r="G75" s="1015"/>
      <c r="H75" s="1015"/>
      <c r="I75" s="1015"/>
      <c r="J75" s="1016"/>
      <c r="L75" s="1014" t="e">
        <f>VLOOKUP(U78,ID_archer_cible,6,FALSE)</f>
        <v>#N/A</v>
      </c>
      <c r="M75" s="1015"/>
      <c r="N75" s="1015"/>
      <c r="O75" s="1015"/>
      <c r="P75" s="1015"/>
      <c r="Q75" s="1016"/>
      <c r="S75" s="999" t="e">
        <f>VLOOKUP(U78,ID_archer_cible,8,FALSE)</f>
        <v>#N/A</v>
      </c>
      <c r="T75" s="1000"/>
      <c r="U75" s="1000"/>
      <c r="V75" s="1000"/>
      <c r="W75" s="1001"/>
      <c r="X75" s="186"/>
      <c r="Y75"/>
      <c r="Z75" s="1014" t="e">
        <f>VLOOKUP(AS78,ID_archer_cible,5,FALSE)</f>
        <v>#N/A</v>
      </c>
      <c r="AA75" s="1015"/>
      <c r="AB75" s="1015"/>
      <c r="AC75" s="1015"/>
      <c r="AD75" s="1015"/>
      <c r="AE75" s="1015"/>
      <c r="AF75" s="1015"/>
      <c r="AG75" s="1015"/>
      <c r="AH75" s="1016"/>
      <c r="AJ75" s="1014" t="e">
        <f>VLOOKUP(AS78,ID_archer_cible,6,FALSE)</f>
        <v>#N/A</v>
      </c>
      <c r="AK75" s="1015"/>
      <c r="AL75" s="1015"/>
      <c r="AM75" s="1015"/>
      <c r="AN75" s="1015"/>
      <c r="AO75" s="1016"/>
      <c r="AQ75" s="999" t="e">
        <f>VLOOKUP(AS78,ID_archer_cible,8,FALSE)</f>
        <v>#N/A</v>
      </c>
      <c r="AR75" s="1000"/>
      <c r="AS75" s="1000"/>
      <c r="AT75" s="1000"/>
      <c r="AU75" s="1001"/>
    </row>
    <row r="76" spans="2:48" x14ac:dyDescent="0.2">
      <c r="X76" s="186"/>
      <c r="Y76"/>
    </row>
    <row r="77" spans="2:48" x14ac:dyDescent="0.2">
      <c r="B77" s="992" t="s">
        <v>530</v>
      </c>
      <c r="C77" s="992"/>
      <c r="D77" s="992"/>
      <c r="E77" s="992"/>
      <c r="F77" s="992"/>
      <c r="G77" s="187"/>
      <c r="H77" s="992" t="s">
        <v>504</v>
      </c>
      <c r="I77" s="992"/>
      <c r="J77" s="992"/>
      <c r="K77" s="992"/>
      <c r="M77" s="992" t="s">
        <v>39</v>
      </c>
      <c r="N77" s="992"/>
      <c r="O77" s="992"/>
      <c r="Q77" s="1021"/>
      <c r="R77" s="1021"/>
      <c r="S77" s="1021"/>
      <c r="U77" s="992" t="s">
        <v>507</v>
      </c>
      <c r="V77" s="992"/>
      <c r="W77" s="992"/>
      <c r="X77" s="188"/>
      <c r="Y77"/>
      <c r="Z77" s="992" t="s">
        <v>530</v>
      </c>
      <c r="AA77" s="992"/>
      <c r="AB77" s="992"/>
      <c r="AC77" s="992"/>
      <c r="AD77" s="992"/>
      <c r="AE77" s="187"/>
      <c r="AF77" s="992" t="s">
        <v>504</v>
      </c>
      <c r="AG77" s="992"/>
      <c r="AH77" s="992"/>
      <c r="AI77" s="992"/>
      <c r="AK77" s="992" t="s">
        <v>39</v>
      </c>
      <c r="AL77" s="992"/>
      <c r="AM77" s="992"/>
      <c r="AO77" s="1021"/>
      <c r="AP77" s="1021"/>
      <c r="AQ77" s="1021"/>
      <c r="AS77" s="992" t="s">
        <v>507</v>
      </c>
      <c r="AT77" s="992"/>
      <c r="AU77" s="992"/>
      <c r="AV77" s="187"/>
    </row>
    <row r="78" spans="2:48" ht="15.75" x14ac:dyDescent="0.2">
      <c r="B78" s="1011" t="e">
        <f>VLOOKUP(U78,ID_archer_cible,7,FALSE)</f>
        <v>#N/A</v>
      </c>
      <c r="C78" s="1012"/>
      <c r="D78" s="1012"/>
      <c r="E78" s="1012"/>
      <c r="F78" s="1013"/>
      <c r="H78" s="999" t="e">
        <f>VLOOKUP(U78,ID_archer_cible,9,FALSE)</f>
        <v>#N/A</v>
      </c>
      <c r="I78" s="1000"/>
      <c r="J78" s="1000"/>
      <c r="K78" s="1001"/>
      <c r="M78" s="999" t="e">
        <f>VLOOKUP(U78,ID_archer_cible,10,FALSE)</f>
        <v>#N/A</v>
      </c>
      <c r="N78" s="1000"/>
      <c r="O78" s="1001"/>
      <c r="Q78" s="1021"/>
      <c r="R78" s="1021"/>
      <c r="S78" s="1021"/>
      <c r="T78" s="187"/>
      <c r="U78" s="996" t="str">
        <f>AR66&amp;"A"</f>
        <v>2A</v>
      </c>
      <c r="V78" s="997"/>
      <c r="W78" s="998"/>
      <c r="X78" s="188"/>
      <c r="Y78"/>
      <c r="Z78" s="1011" t="e">
        <f>VLOOKUP(AS78,ID_archer_cible,7,FALSE)</f>
        <v>#N/A</v>
      </c>
      <c r="AA78" s="1012"/>
      <c r="AB78" s="1012"/>
      <c r="AC78" s="1012"/>
      <c r="AD78" s="1013"/>
      <c r="AF78" s="999" t="e">
        <f>VLOOKUP(AS78,ID_archer_cible,9,FALSE)</f>
        <v>#N/A</v>
      </c>
      <c r="AG78" s="1000"/>
      <c r="AH78" s="1000"/>
      <c r="AI78" s="1001"/>
      <c r="AK78" s="999" t="e">
        <f>VLOOKUP(AS78,ID_archer_cible,10,FALSE)</f>
        <v>#N/A</v>
      </c>
      <c r="AL78" s="1000"/>
      <c r="AM78" s="1001"/>
      <c r="AO78" s="1021"/>
      <c r="AP78" s="1021"/>
      <c r="AQ78" s="1021"/>
      <c r="AR78" s="187"/>
      <c r="AS78" s="996" t="str">
        <f>AR66&amp;"B"</f>
        <v>2B</v>
      </c>
      <c r="AT78" s="997"/>
      <c r="AU78" s="998"/>
      <c r="AV78" s="187"/>
    </row>
    <row r="79" spans="2:48" x14ac:dyDescent="0.2">
      <c r="X79" s="186"/>
    </row>
    <row r="80" spans="2:48" x14ac:dyDescent="0.2">
      <c r="B80" s="185" t="s">
        <v>509</v>
      </c>
      <c r="E80" s="992" t="s">
        <v>510</v>
      </c>
      <c r="F80" s="992"/>
      <c r="G80" s="992"/>
      <c r="H80" s="992"/>
      <c r="I80" s="992"/>
      <c r="J80" s="992"/>
      <c r="K80" s="992"/>
      <c r="L80" s="992"/>
      <c r="M80" s="992"/>
      <c r="N80" s="992"/>
      <c r="P80" s="992" t="s">
        <v>511</v>
      </c>
      <c r="Q80" s="992"/>
      <c r="R80" s="992"/>
      <c r="X80" s="186"/>
      <c r="Z80" s="185" t="s">
        <v>509</v>
      </c>
      <c r="AC80" s="992" t="s">
        <v>510</v>
      </c>
      <c r="AD80" s="992"/>
      <c r="AE80" s="992"/>
      <c r="AF80" s="992"/>
      <c r="AG80" s="992"/>
      <c r="AH80" s="992"/>
      <c r="AI80" s="992"/>
      <c r="AJ80" s="992"/>
      <c r="AK80" s="992"/>
      <c r="AL80" s="992"/>
      <c r="AN80" s="992" t="s">
        <v>511</v>
      </c>
      <c r="AO80" s="992"/>
      <c r="AP80" s="992"/>
    </row>
    <row r="81" spans="2:48" ht="20.25" customHeight="1" x14ac:dyDescent="0.2">
      <c r="B81" s="1009" t="s">
        <v>513</v>
      </c>
      <c r="C81" s="1009"/>
      <c r="E81" s="189"/>
      <c r="F81" s="191"/>
      <c r="G81" s="189"/>
      <c r="H81" s="191"/>
      <c r="I81" s="189"/>
      <c r="J81" s="191"/>
      <c r="K81" s="189"/>
      <c r="L81" s="191"/>
      <c r="M81" s="189"/>
      <c r="N81" s="191"/>
      <c r="P81" s="189"/>
      <c r="Q81" s="190"/>
      <c r="R81" s="191"/>
      <c r="T81" s="992" t="s">
        <v>512</v>
      </c>
      <c r="U81" s="992"/>
      <c r="V81" s="992"/>
      <c r="W81" s="992"/>
      <c r="X81" s="188"/>
      <c r="Z81" s="1009" t="s">
        <v>513</v>
      </c>
      <c r="AA81" s="1009"/>
      <c r="AC81" s="189"/>
      <c r="AD81" s="191"/>
      <c r="AE81" s="189"/>
      <c r="AF81" s="191"/>
      <c r="AG81" s="189"/>
      <c r="AH81" s="191"/>
      <c r="AI81" s="189"/>
      <c r="AJ81" s="191"/>
      <c r="AK81" s="189"/>
      <c r="AL81" s="191"/>
      <c r="AN81" s="189"/>
      <c r="AO81" s="190"/>
      <c r="AP81" s="191"/>
      <c r="AR81" s="992" t="s">
        <v>512</v>
      </c>
      <c r="AS81" s="992"/>
      <c r="AT81" s="992"/>
      <c r="AU81" s="992"/>
      <c r="AV81" s="187"/>
    </row>
    <row r="82" spans="2:48" ht="20.25" customHeight="1" x14ac:dyDescent="0.2">
      <c r="B82" s="1009" t="s">
        <v>514</v>
      </c>
      <c r="C82" s="1009"/>
      <c r="E82" s="189"/>
      <c r="F82" s="191"/>
      <c r="G82" s="189"/>
      <c r="H82" s="191"/>
      <c r="I82" s="189"/>
      <c r="J82" s="191"/>
      <c r="K82" s="189"/>
      <c r="L82" s="191"/>
      <c r="M82" s="189"/>
      <c r="N82" s="191"/>
      <c r="P82" s="189"/>
      <c r="Q82" s="190"/>
      <c r="R82" s="191"/>
      <c r="T82" s="189"/>
      <c r="U82" s="190"/>
      <c r="V82" s="190"/>
      <c r="W82" s="191"/>
      <c r="X82" s="186"/>
      <c r="Z82" s="1009" t="s">
        <v>514</v>
      </c>
      <c r="AA82" s="1009"/>
      <c r="AC82" s="189"/>
      <c r="AD82" s="191"/>
      <c r="AE82" s="189"/>
      <c r="AF82" s="191"/>
      <c r="AG82" s="189"/>
      <c r="AH82" s="191"/>
      <c r="AI82" s="189"/>
      <c r="AJ82" s="191"/>
      <c r="AK82" s="189"/>
      <c r="AL82" s="191"/>
      <c r="AN82" s="189"/>
      <c r="AO82" s="190"/>
      <c r="AP82" s="191"/>
      <c r="AR82" s="189"/>
      <c r="AS82" s="190"/>
      <c r="AT82" s="190"/>
      <c r="AU82" s="191"/>
    </row>
    <row r="83" spans="2:48" ht="20.25" customHeight="1" x14ac:dyDescent="0.2">
      <c r="B83" s="1009" t="s">
        <v>515</v>
      </c>
      <c r="C83" s="1009"/>
      <c r="E83" s="189"/>
      <c r="F83" s="191"/>
      <c r="G83" s="189"/>
      <c r="H83" s="191"/>
      <c r="I83" s="189"/>
      <c r="J83" s="191"/>
      <c r="K83" s="189"/>
      <c r="L83" s="191"/>
      <c r="M83" s="189"/>
      <c r="N83" s="191"/>
      <c r="P83" s="189"/>
      <c r="Q83" s="190"/>
      <c r="R83" s="191"/>
      <c r="T83" s="189"/>
      <c r="U83" s="190"/>
      <c r="V83" s="190"/>
      <c r="W83" s="191"/>
      <c r="X83" s="186"/>
      <c r="Z83" s="1009" t="s">
        <v>515</v>
      </c>
      <c r="AA83" s="1009"/>
      <c r="AC83" s="189"/>
      <c r="AD83" s="191"/>
      <c r="AE83" s="189"/>
      <c r="AF83" s="191"/>
      <c r="AG83" s="189"/>
      <c r="AH83" s="191"/>
      <c r="AI83" s="189"/>
      <c r="AJ83" s="191"/>
      <c r="AK83" s="189"/>
      <c r="AL83" s="191"/>
      <c r="AN83" s="189"/>
      <c r="AO83" s="190"/>
      <c r="AP83" s="191"/>
      <c r="AR83" s="189"/>
      <c r="AS83" s="190"/>
      <c r="AT83" s="190"/>
      <c r="AU83" s="191"/>
    </row>
    <row r="84" spans="2:48" ht="20.25" customHeight="1" x14ac:dyDescent="0.2">
      <c r="B84" s="1009" t="s">
        <v>516</v>
      </c>
      <c r="C84" s="1009"/>
      <c r="E84" s="189"/>
      <c r="F84" s="191"/>
      <c r="G84" s="189"/>
      <c r="H84" s="191"/>
      <c r="I84" s="189"/>
      <c r="J84" s="191"/>
      <c r="K84" s="189"/>
      <c r="L84" s="191"/>
      <c r="M84" s="189"/>
      <c r="N84" s="191"/>
      <c r="P84" s="189"/>
      <c r="Q84" s="190"/>
      <c r="R84" s="191"/>
      <c r="T84" s="189"/>
      <c r="U84" s="190"/>
      <c r="V84" s="190"/>
      <c r="W84" s="191"/>
      <c r="X84" s="186"/>
      <c r="Z84" s="1009" t="s">
        <v>516</v>
      </c>
      <c r="AA84" s="1009"/>
      <c r="AC84" s="189"/>
      <c r="AD84" s="191"/>
      <c r="AE84" s="189"/>
      <c r="AF84" s="191"/>
      <c r="AG84" s="189"/>
      <c r="AH84" s="191"/>
      <c r="AI84" s="189"/>
      <c r="AJ84" s="191"/>
      <c r="AK84" s="189"/>
      <c r="AL84" s="191"/>
      <c r="AN84" s="189"/>
      <c r="AO84" s="190"/>
      <c r="AP84" s="191"/>
      <c r="AR84" s="189"/>
      <c r="AS84" s="190"/>
      <c r="AT84" s="190"/>
      <c r="AU84" s="191"/>
    </row>
    <row r="85" spans="2:48" ht="20.25" customHeight="1" x14ac:dyDescent="0.2">
      <c r="B85" s="1009" t="s">
        <v>517</v>
      </c>
      <c r="C85" s="1009"/>
      <c r="E85" s="189"/>
      <c r="F85" s="191"/>
      <c r="G85" s="189"/>
      <c r="H85" s="191"/>
      <c r="I85" s="189"/>
      <c r="J85" s="191"/>
      <c r="K85" s="189"/>
      <c r="L85" s="191"/>
      <c r="M85" s="189"/>
      <c r="N85" s="191"/>
      <c r="P85" s="189"/>
      <c r="Q85" s="190"/>
      <c r="R85" s="191"/>
      <c r="T85" s="189"/>
      <c r="U85" s="190"/>
      <c r="V85" s="190"/>
      <c r="W85" s="191"/>
      <c r="X85" s="186"/>
      <c r="Z85" s="1009" t="s">
        <v>517</v>
      </c>
      <c r="AA85" s="1009"/>
      <c r="AC85" s="189"/>
      <c r="AD85" s="191"/>
      <c r="AE85" s="189"/>
      <c r="AF85" s="191"/>
      <c r="AG85" s="189"/>
      <c r="AH85" s="191"/>
      <c r="AI85" s="189"/>
      <c r="AJ85" s="191"/>
      <c r="AK85" s="189"/>
      <c r="AL85" s="191"/>
      <c r="AN85" s="189"/>
      <c r="AO85" s="190"/>
      <c r="AP85" s="191"/>
      <c r="AR85" s="189"/>
      <c r="AS85" s="190"/>
      <c r="AT85" s="190"/>
      <c r="AU85" s="191"/>
    </row>
    <row r="86" spans="2:48" ht="20.25" customHeight="1" x14ac:dyDescent="0.2">
      <c r="B86" s="1009" t="s">
        <v>518</v>
      </c>
      <c r="C86" s="1009"/>
      <c r="E86" s="189"/>
      <c r="F86" s="191"/>
      <c r="G86" s="189"/>
      <c r="H86" s="191"/>
      <c r="I86" s="189"/>
      <c r="J86" s="191"/>
      <c r="K86" s="189"/>
      <c r="L86" s="191"/>
      <c r="M86" s="189"/>
      <c r="N86" s="191"/>
      <c r="P86" s="189"/>
      <c r="Q86" s="190"/>
      <c r="R86" s="191"/>
      <c r="T86" s="189"/>
      <c r="U86" s="190"/>
      <c r="V86" s="190"/>
      <c r="W86" s="191"/>
      <c r="X86" s="186"/>
      <c r="Z86" s="1009" t="s">
        <v>518</v>
      </c>
      <c r="AA86" s="1009"/>
      <c r="AC86" s="189"/>
      <c r="AD86" s="191"/>
      <c r="AE86" s="189"/>
      <c r="AF86" s="191"/>
      <c r="AG86" s="189"/>
      <c r="AH86" s="191"/>
      <c r="AI86" s="189"/>
      <c r="AJ86" s="191"/>
      <c r="AK86" s="189"/>
      <c r="AL86" s="191"/>
      <c r="AN86" s="189"/>
      <c r="AO86" s="190"/>
      <c r="AP86" s="191"/>
      <c r="AR86" s="189"/>
      <c r="AS86" s="190"/>
      <c r="AT86" s="190"/>
      <c r="AU86" s="191"/>
    </row>
    <row r="87" spans="2:48" ht="15.75" thickBot="1" x14ac:dyDescent="0.25">
      <c r="B87" s="187"/>
      <c r="C87" s="187"/>
      <c r="X87" s="186"/>
      <c r="Z87" s="187"/>
      <c r="AA87" s="187"/>
    </row>
    <row r="88" spans="2:48" ht="20.25" customHeight="1" thickBot="1" x14ac:dyDescent="0.25">
      <c r="P88" s="197" t="s">
        <v>519</v>
      </c>
      <c r="Q88" s="197"/>
      <c r="R88" s="197"/>
      <c r="S88" s="197"/>
      <c r="T88" s="192"/>
      <c r="U88" s="193"/>
      <c r="V88" s="193"/>
      <c r="W88" s="194"/>
      <c r="X88" s="186"/>
      <c r="AN88" s="197" t="s">
        <v>519</v>
      </c>
      <c r="AO88" s="197"/>
      <c r="AP88" s="197"/>
      <c r="AQ88" s="197"/>
      <c r="AR88" s="192"/>
      <c r="AS88" s="193"/>
      <c r="AT88" s="193"/>
      <c r="AU88" s="194"/>
    </row>
    <row r="89" spans="2:48" x14ac:dyDescent="0.2">
      <c r="E89" s="196"/>
      <c r="F89" s="196"/>
      <c r="G89" s="196"/>
      <c r="H89" s="196"/>
      <c r="I89" s="196"/>
      <c r="J89" s="196"/>
      <c r="K89" s="196"/>
      <c r="L89" s="196"/>
      <c r="M89" s="196"/>
      <c r="X89" s="186"/>
      <c r="AC89" s="196"/>
      <c r="AD89" s="196"/>
      <c r="AE89" s="196"/>
      <c r="AF89" s="196"/>
      <c r="AG89" s="196"/>
      <c r="AH89" s="196"/>
      <c r="AI89" s="196"/>
      <c r="AJ89" s="196"/>
      <c r="AK89" s="196"/>
    </row>
    <row r="90" spans="2:48" x14ac:dyDescent="0.2">
      <c r="B90" s="1010" t="s">
        <v>521</v>
      </c>
      <c r="C90" s="1010"/>
      <c r="D90" s="1010"/>
      <c r="E90" s="1010"/>
      <c r="F90" s="1010"/>
      <c r="G90" s="1010"/>
      <c r="H90" s="195"/>
      <c r="I90" s="1010" t="s">
        <v>522</v>
      </c>
      <c r="J90" s="1010"/>
      <c r="K90" s="1010"/>
      <c r="L90" s="1010"/>
      <c r="M90" s="1010"/>
      <c r="N90" s="1010"/>
      <c r="O90" s="1010"/>
      <c r="P90" s="1010"/>
      <c r="Q90" s="1010"/>
      <c r="R90" s="1010"/>
      <c r="S90" s="1010"/>
      <c r="T90" s="1010"/>
      <c r="U90" s="1010"/>
      <c r="V90" s="1010"/>
      <c r="W90" s="1010"/>
      <c r="X90" s="198"/>
      <c r="Y90" s="195"/>
      <c r="Z90" s="1010" t="s">
        <v>521</v>
      </c>
      <c r="AA90" s="1010"/>
      <c r="AB90" s="1010"/>
      <c r="AC90" s="1010"/>
      <c r="AD90" s="1010"/>
      <c r="AE90" s="1010"/>
      <c r="AF90" s="195"/>
      <c r="AG90" s="1004" t="s">
        <v>522</v>
      </c>
      <c r="AH90" s="1004"/>
      <c r="AI90" s="1004"/>
      <c r="AJ90" s="1004"/>
      <c r="AK90" s="1004"/>
      <c r="AL90" s="1004"/>
      <c r="AM90" s="1004"/>
      <c r="AN90" s="1004"/>
      <c r="AO90" s="1004"/>
      <c r="AP90" s="1004"/>
      <c r="AQ90" s="1004"/>
      <c r="AR90" s="1004"/>
      <c r="AS90" s="1004"/>
      <c r="AT90" s="1004"/>
      <c r="AU90" s="1004"/>
      <c r="AV90" s="195"/>
    </row>
    <row r="91" spans="2:48" x14ac:dyDescent="0.2">
      <c r="B91" s="1005" t="s">
        <v>520</v>
      </c>
      <c r="C91" s="1006"/>
      <c r="D91" s="1006"/>
      <c r="E91" s="1006"/>
      <c r="F91" s="1006"/>
      <c r="G91" s="1007"/>
      <c r="I91" s="1005" t="s">
        <v>0</v>
      </c>
      <c r="J91" s="1006"/>
      <c r="K91" s="1006"/>
      <c r="L91" s="1006"/>
      <c r="M91" s="1006"/>
      <c r="N91" s="1006"/>
      <c r="O91" s="1006"/>
      <c r="P91" s="1006"/>
      <c r="Q91" s="1006"/>
      <c r="R91" s="1006"/>
      <c r="S91" s="1006"/>
      <c r="T91" s="1006"/>
      <c r="U91" s="1006"/>
      <c r="V91" s="1006"/>
      <c r="W91" s="1007"/>
      <c r="X91" s="186"/>
      <c r="Z91" s="1005" t="s">
        <v>520</v>
      </c>
      <c r="AA91" s="1006"/>
      <c r="AB91" s="1006"/>
      <c r="AC91" s="1006"/>
      <c r="AD91" s="1006"/>
      <c r="AE91" s="1007"/>
      <c r="AG91" s="1005" t="s">
        <v>0</v>
      </c>
      <c r="AH91" s="1006"/>
      <c r="AI91" s="1006"/>
      <c r="AJ91" s="1006"/>
      <c r="AK91" s="1006"/>
      <c r="AL91" s="1006"/>
      <c r="AM91" s="1006"/>
      <c r="AN91" s="1006"/>
      <c r="AO91" s="1006"/>
      <c r="AP91" s="1006"/>
      <c r="AQ91" s="1006"/>
      <c r="AR91" s="1006"/>
      <c r="AS91" s="1006"/>
      <c r="AT91" s="1006"/>
      <c r="AU91" s="1007"/>
    </row>
    <row r="92" spans="2:48" x14ac:dyDescent="0.2">
      <c r="B92" s="199"/>
      <c r="C92" s="200"/>
      <c r="D92" s="200"/>
      <c r="E92" s="200"/>
      <c r="F92" s="200"/>
      <c r="G92" s="201"/>
      <c r="I92" s="199"/>
      <c r="J92" s="200"/>
      <c r="K92" s="200"/>
      <c r="L92" s="200"/>
      <c r="M92" s="200"/>
      <c r="N92" s="200"/>
      <c r="O92" s="200"/>
      <c r="P92" s="200"/>
      <c r="Q92" s="200"/>
      <c r="R92" s="200"/>
      <c r="S92" s="200"/>
      <c r="T92" s="200"/>
      <c r="U92" s="200"/>
      <c r="V92" s="200"/>
      <c r="W92" s="201"/>
      <c r="X92" s="186"/>
      <c r="Z92" s="199"/>
      <c r="AA92" s="200"/>
      <c r="AB92" s="200"/>
      <c r="AC92" s="200"/>
      <c r="AD92" s="200"/>
      <c r="AE92" s="201"/>
      <c r="AG92" s="199"/>
      <c r="AH92" s="200"/>
      <c r="AI92" s="200"/>
      <c r="AJ92" s="200"/>
      <c r="AK92" s="200"/>
      <c r="AL92" s="200"/>
      <c r="AM92" s="200"/>
      <c r="AN92" s="200"/>
      <c r="AO92" s="200"/>
      <c r="AP92" s="200"/>
      <c r="AQ92" s="200"/>
      <c r="AR92" s="200"/>
      <c r="AS92" s="200"/>
      <c r="AT92" s="200"/>
      <c r="AU92" s="201"/>
    </row>
    <row r="93" spans="2:48" x14ac:dyDescent="0.2">
      <c r="X93" s="186"/>
    </row>
    <row r="94" spans="2:48" x14ac:dyDescent="0.2">
      <c r="I94" s="1005" t="s">
        <v>481</v>
      </c>
      <c r="J94" s="1006"/>
      <c r="K94" s="1006"/>
      <c r="L94" s="1006"/>
      <c r="M94" s="1006"/>
      <c r="N94" s="1006"/>
      <c r="O94" s="1006"/>
      <c r="P94" s="1006"/>
      <c r="Q94" s="1007"/>
      <c r="R94" s="1005" t="s">
        <v>520</v>
      </c>
      <c r="S94" s="1006"/>
      <c r="T94" s="1006"/>
      <c r="U94" s="1006"/>
      <c r="V94" s="1006"/>
      <c r="W94" s="1007"/>
      <c r="X94" s="186"/>
      <c r="AG94" s="1005" t="s">
        <v>481</v>
      </c>
      <c r="AH94" s="1006"/>
      <c r="AI94" s="1006"/>
      <c r="AJ94" s="1006"/>
      <c r="AK94" s="1006"/>
      <c r="AL94" s="1006"/>
      <c r="AM94" s="1006"/>
      <c r="AN94" s="1006"/>
      <c r="AO94" s="1007"/>
      <c r="AP94" s="1005" t="s">
        <v>520</v>
      </c>
      <c r="AQ94" s="1006"/>
      <c r="AR94" s="1006"/>
      <c r="AS94" s="1006"/>
      <c r="AT94" s="1006"/>
      <c r="AU94" s="1007"/>
    </row>
    <row r="95" spans="2:48" x14ac:dyDescent="0.2">
      <c r="I95" s="199"/>
      <c r="J95" s="200"/>
      <c r="K95" s="200"/>
      <c r="L95" s="200"/>
      <c r="M95" s="200"/>
      <c r="N95" s="200"/>
      <c r="O95" s="200"/>
      <c r="P95" s="200"/>
      <c r="Q95" s="200"/>
      <c r="R95" s="199"/>
      <c r="S95" s="200"/>
      <c r="T95" s="200"/>
      <c r="U95" s="200"/>
      <c r="V95" s="200"/>
      <c r="W95" s="201"/>
      <c r="X95" s="186"/>
      <c r="AG95" s="199"/>
      <c r="AH95" s="200"/>
      <c r="AI95" s="200"/>
      <c r="AJ95" s="200"/>
      <c r="AK95" s="200"/>
      <c r="AL95" s="200"/>
      <c r="AM95" s="200"/>
      <c r="AN95" s="200"/>
      <c r="AO95" s="200"/>
      <c r="AP95" s="199"/>
      <c r="AQ95" s="200"/>
      <c r="AR95" s="200"/>
      <c r="AS95" s="200"/>
      <c r="AT95" s="200"/>
      <c r="AU95" s="201"/>
    </row>
    <row r="96" spans="2:48" ht="39" customHeight="1" x14ac:dyDescent="0.2">
      <c r="B96" s="392"/>
      <c r="C96" s="392"/>
      <c r="D96" s="392"/>
      <c r="E96" s="392"/>
      <c r="F96" s="392"/>
      <c r="G96" s="392"/>
      <c r="H96" s="392"/>
      <c r="I96" s="392"/>
      <c r="J96" s="392"/>
      <c r="K96" s="392"/>
      <c r="L96" s="392"/>
      <c r="M96" s="392"/>
      <c r="N96" s="392"/>
      <c r="O96" s="392"/>
      <c r="P96" s="392"/>
      <c r="Q96" s="392"/>
      <c r="R96" s="392"/>
      <c r="S96" s="392"/>
      <c r="T96" s="392"/>
      <c r="U96" s="392"/>
      <c r="V96" s="392"/>
      <c r="W96" s="392"/>
      <c r="X96" s="393"/>
      <c r="Y96" s="394"/>
      <c r="Z96" s="392"/>
      <c r="AA96" s="392"/>
      <c r="AB96" s="392"/>
      <c r="AC96" s="392"/>
      <c r="AD96" s="392"/>
      <c r="AE96" s="392"/>
      <c r="AF96" s="392"/>
      <c r="AG96" s="392"/>
      <c r="AH96" s="392"/>
      <c r="AI96" s="392"/>
      <c r="AJ96" s="392"/>
      <c r="AK96" s="392"/>
      <c r="AL96" s="392"/>
      <c r="AM96" s="392"/>
      <c r="AN96" s="392"/>
      <c r="AO96" s="392"/>
      <c r="AP96" s="392"/>
      <c r="AQ96" s="392"/>
      <c r="AR96" s="392"/>
      <c r="AS96" s="392"/>
      <c r="AT96" s="392"/>
      <c r="AU96" s="392"/>
      <c r="AV96" s="392"/>
    </row>
    <row r="97" spans="2:48" ht="39" customHeight="1" x14ac:dyDescent="0.2">
      <c r="B97" s="182"/>
      <c r="C97" s="182"/>
      <c r="D97" s="182"/>
      <c r="E97" s="182"/>
      <c r="F97" s="182"/>
      <c r="G97" s="182"/>
      <c r="H97" s="182"/>
      <c r="I97" s="182"/>
      <c r="J97" s="182"/>
      <c r="K97" s="182"/>
      <c r="L97" s="182"/>
      <c r="M97" s="182"/>
      <c r="N97" s="182"/>
      <c r="O97" s="182"/>
      <c r="P97" s="182"/>
      <c r="Q97" s="182"/>
      <c r="R97" s="182"/>
      <c r="S97" s="182"/>
      <c r="T97" s="182"/>
      <c r="U97" s="182"/>
      <c r="V97" s="182"/>
      <c r="W97" s="182"/>
      <c r="X97" s="183"/>
      <c r="Y97" s="184"/>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row>
    <row r="98" spans="2:48" ht="18" x14ac:dyDescent="0.2">
      <c r="B98" s="182"/>
      <c r="C98" s="182"/>
      <c r="D98" s="182"/>
      <c r="E98" s="182"/>
      <c r="F98" s="182"/>
      <c r="G98" s="182"/>
      <c r="H98" s="992" t="s">
        <v>374</v>
      </c>
      <c r="I98" s="992"/>
      <c r="J98" s="992"/>
      <c r="K98" s="992"/>
      <c r="L98" s="992"/>
      <c r="M98" s="992"/>
      <c r="N98" s="992"/>
      <c r="O98" s="992"/>
      <c r="P98" s="992"/>
      <c r="Q98" s="992"/>
      <c r="R98" s="182"/>
      <c r="S98" s="182"/>
      <c r="T98" s="182"/>
      <c r="U98" s="182"/>
      <c r="V98" s="182"/>
      <c r="W98" s="182"/>
      <c r="X98" s="183"/>
      <c r="Y98" s="182"/>
      <c r="Z98" s="182"/>
      <c r="AA98" s="182"/>
      <c r="AB98" s="182"/>
      <c r="AC98" s="182"/>
      <c r="AD98" s="182"/>
      <c r="AE98" s="992" t="s">
        <v>374</v>
      </c>
      <c r="AF98" s="992"/>
      <c r="AG98" s="992"/>
      <c r="AH98" s="992"/>
      <c r="AI98" s="992"/>
      <c r="AJ98" s="992"/>
      <c r="AK98" s="992"/>
      <c r="AL98" s="992"/>
      <c r="AM98" s="992"/>
      <c r="AN98" s="992"/>
      <c r="AO98" s="182"/>
      <c r="AP98" s="182"/>
      <c r="AQ98" s="182"/>
      <c r="AR98" s="182"/>
      <c r="AS98" s="182"/>
      <c r="AT98" s="182"/>
      <c r="AU98" s="182"/>
      <c r="AV98" s="182"/>
    </row>
    <row r="99" spans="2:48" ht="18" x14ac:dyDescent="0.2">
      <c r="B99" s="182"/>
      <c r="C99" s="182"/>
      <c r="D99" s="182"/>
      <c r="E99" s="182"/>
      <c r="F99" s="182"/>
      <c r="G99" s="182"/>
      <c r="H99" s="1022" t="e">
        <f>VLOOKUP(U108,ID_archer_cible,4,FALSE)</f>
        <v>#N/A</v>
      </c>
      <c r="I99" s="1023"/>
      <c r="J99" s="1023"/>
      <c r="K99" s="1023"/>
      <c r="L99" s="1023"/>
      <c r="M99" s="1023"/>
      <c r="N99" s="1023"/>
      <c r="O99" s="1023"/>
      <c r="P99" s="1023"/>
      <c r="Q99" s="1024"/>
      <c r="R99" s="182"/>
      <c r="S99" s="182"/>
      <c r="T99" s="182"/>
      <c r="U99" s="182"/>
      <c r="V99" s="182"/>
      <c r="W99" s="182"/>
      <c r="X99" s="183"/>
      <c r="Y99" s="182"/>
      <c r="Z99" s="182"/>
      <c r="AA99" s="182"/>
      <c r="AB99" s="182"/>
      <c r="AC99" s="182"/>
      <c r="AD99" s="182"/>
      <c r="AE99" s="1022" t="e">
        <f>VLOOKUP(AS108,ID_archer_cible,4,FALSE)</f>
        <v>#N/A</v>
      </c>
      <c r="AF99" s="1023"/>
      <c r="AG99" s="1023"/>
      <c r="AH99" s="1023"/>
      <c r="AI99" s="1023"/>
      <c r="AJ99" s="1023"/>
      <c r="AK99" s="1023"/>
      <c r="AL99" s="1023"/>
      <c r="AM99" s="1023"/>
      <c r="AN99" s="1024"/>
      <c r="AO99" s="182"/>
      <c r="AP99" s="182"/>
      <c r="AQ99" s="182"/>
      <c r="AR99" s="182"/>
      <c r="AS99" s="182"/>
      <c r="AT99" s="182"/>
      <c r="AU99" s="182"/>
      <c r="AV99" s="182"/>
    </row>
    <row r="100" spans="2:48" x14ac:dyDescent="0.2">
      <c r="X100" s="186"/>
    </row>
    <row r="101" spans="2:48" x14ac:dyDescent="0.2">
      <c r="B101" s="1021" t="s">
        <v>0</v>
      </c>
      <c r="C101" s="1021"/>
      <c r="D101" s="1021"/>
      <c r="E101" s="1021"/>
      <c r="F101" s="1021"/>
      <c r="G101" s="1021"/>
      <c r="H101" s="1021"/>
      <c r="I101" s="1021"/>
      <c r="J101" s="1021"/>
      <c r="K101" s="1021"/>
      <c r="L101" s="1021"/>
      <c r="M101" s="187"/>
      <c r="P101" s="992" t="s">
        <v>375</v>
      </c>
      <c r="Q101" s="992"/>
      <c r="R101" s="992"/>
      <c r="S101" s="992"/>
      <c r="T101" s="992"/>
      <c r="U101" s="992"/>
      <c r="V101" s="992"/>
      <c r="W101" s="992"/>
      <c r="X101" s="188"/>
      <c r="Z101" s="1021" t="s">
        <v>0</v>
      </c>
      <c r="AA101" s="1021"/>
      <c r="AB101" s="1021"/>
      <c r="AC101" s="1021"/>
      <c r="AD101" s="1021"/>
      <c r="AE101" s="1021"/>
      <c r="AF101" s="1021"/>
      <c r="AG101" s="1021"/>
      <c r="AH101" s="1021"/>
      <c r="AI101" s="1021"/>
      <c r="AJ101" s="1021"/>
      <c r="AK101" s="187"/>
      <c r="AN101" s="992" t="s">
        <v>375</v>
      </c>
      <c r="AO101" s="992"/>
      <c r="AP101" s="992"/>
      <c r="AQ101" s="992"/>
      <c r="AR101" s="992"/>
      <c r="AS101" s="992"/>
      <c r="AT101" s="992"/>
      <c r="AU101" s="992"/>
      <c r="AV101" s="187"/>
    </row>
    <row r="102" spans="2:48" x14ac:dyDescent="0.2">
      <c r="B102" s="999" t="e">
        <f>VLOOKUP(U108,ID_archer_cible,2,FALSE)</f>
        <v>#N/A</v>
      </c>
      <c r="C102" s="1000"/>
      <c r="D102" s="1000"/>
      <c r="E102" s="1000"/>
      <c r="F102" s="1000"/>
      <c r="G102" s="1000"/>
      <c r="H102" s="1000"/>
      <c r="I102" s="1000"/>
      <c r="J102" s="1000"/>
      <c r="K102" s="1000"/>
      <c r="L102" s="1000"/>
      <c r="M102" s="1001"/>
      <c r="P102" s="999" t="e">
        <f>VLOOKUP(U108,ID_archer_cible,3,FALSE)</f>
        <v>#N/A</v>
      </c>
      <c r="Q102" s="1000"/>
      <c r="R102" s="1000"/>
      <c r="S102" s="1000"/>
      <c r="T102" s="1000"/>
      <c r="U102" s="1000"/>
      <c r="V102" s="1000"/>
      <c r="W102" s="1001"/>
      <c r="X102" s="186"/>
      <c r="Y102"/>
      <c r="Z102" s="999" t="e">
        <f>VLOOKUP(AS108,ID_archer_cible,2,FALSE)</f>
        <v>#N/A</v>
      </c>
      <c r="AA102" s="1000"/>
      <c r="AB102" s="1000"/>
      <c r="AC102" s="1000"/>
      <c r="AD102" s="1000"/>
      <c r="AE102" s="1000"/>
      <c r="AF102" s="1000"/>
      <c r="AG102" s="1000"/>
      <c r="AH102" s="1000"/>
      <c r="AI102" s="1000"/>
      <c r="AJ102" s="1000"/>
      <c r="AK102" s="1001"/>
      <c r="AN102" s="999" t="e">
        <f>VLOOKUP(AS108,ID_archer_cible,3,FALSE)</f>
        <v>#N/A</v>
      </c>
      <c r="AO102" s="1000"/>
      <c r="AP102" s="1000"/>
      <c r="AQ102" s="1000"/>
      <c r="AR102" s="1000"/>
      <c r="AS102" s="1000"/>
      <c r="AT102" s="1000"/>
      <c r="AU102" s="1001"/>
    </row>
    <row r="103" spans="2:48" x14ac:dyDescent="0.2">
      <c r="X103" s="186"/>
      <c r="Y103"/>
    </row>
    <row r="104" spans="2:48" ht="16.5" thickBot="1" x14ac:dyDescent="0.25">
      <c r="B104" s="1017" t="s">
        <v>1</v>
      </c>
      <c r="C104" s="1017"/>
      <c r="D104" s="1017"/>
      <c r="E104" s="1017"/>
      <c r="F104" s="1017"/>
      <c r="G104" s="1017"/>
      <c r="H104" s="1017"/>
      <c r="I104" s="1017"/>
      <c r="J104" s="1017"/>
      <c r="L104" s="1017" t="s">
        <v>505</v>
      </c>
      <c r="M104" s="1017"/>
      <c r="N104" s="1017"/>
      <c r="O104" s="1017"/>
      <c r="P104" s="1017"/>
      <c r="Q104" s="1017"/>
      <c r="S104" s="992" t="s">
        <v>506</v>
      </c>
      <c r="T104" s="992"/>
      <c r="U104" s="992"/>
      <c r="V104" s="992"/>
      <c r="W104" s="992"/>
      <c r="X104" s="188"/>
      <c r="Y104"/>
      <c r="Z104" s="1017" t="s">
        <v>1</v>
      </c>
      <c r="AA104" s="1017"/>
      <c r="AB104" s="1017"/>
      <c r="AC104" s="1017"/>
      <c r="AD104" s="1017"/>
      <c r="AE104" s="1017"/>
      <c r="AF104" s="1017"/>
      <c r="AG104" s="1017"/>
      <c r="AH104" s="1017"/>
      <c r="AJ104" s="1017" t="s">
        <v>505</v>
      </c>
      <c r="AK104" s="1017"/>
      <c r="AL104" s="1017"/>
      <c r="AM104" s="1017"/>
      <c r="AN104" s="1017"/>
      <c r="AO104" s="1017"/>
      <c r="AQ104" s="992" t="s">
        <v>506</v>
      </c>
      <c r="AR104" s="992"/>
      <c r="AS104" s="992"/>
      <c r="AT104" s="992"/>
      <c r="AU104" s="992"/>
      <c r="AV104" s="187"/>
    </row>
    <row r="105" spans="2:48" ht="16.5" thickBot="1" x14ac:dyDescent="0.25">
      <c r="B105" s="1014" t="e">
        <f>VLOOKUP(U108,ID_archer_cible,5,FALSE)</f>
        <v>#N/A</v>
      </c>
      <c r="C105" s="1015"/>
      <c r="D105" s="1015"/>
      <c r="E105" s="1015"/>
      <c r="F105" s="1015"/>
      <c r="G105" s="1015"/>
      <c r="H105" s="1015"/>
      <c r="I105" s="1015"/>
      <c r="J105" s="1016"/>
      <c r="L105" s="1014" t="e">
        <f>VLOOKUP(U108,ID_archer_cible,6,FALSE)</f>
        <v>#N/A</v>
      </c>
      <c r="M105" s="1015"/>
      <c r="N105" s="1015"/>
      <c r="O105" s="1015"/>
      <c r="P105" s="1015"/>
      <c r="Q105" s="1016"/>
      <c r="S105" s="999" t="e">
        <f>VLOOKUP(U108,ID_archer_cible,8,FALSE)</f>
        <v>#N/A</v>
      </c>
      <c r="T105" s="1000"/>
      <c r="U105" s="1000"/>
      <c r="V105" s="1000"/>
      <c r="W105" s="1001"/>
      <c r="X105" s="186"/>
      <c r="Y105"/>
      <c r="Z105" s="1014" t="e">
        <f>VLOOKUP(AS108,ID_archer_cible,5,FALSE)</f>
        <v>#N/A</v>
      </c>
      <c r="AA105" s="1015"/>
      <c r="AB105" s="1015"/>
      <c r="AC105" s="1015"/>
      <c r="AD105" s="1015"/>
      <c r="AE105" s="1015"/>
      <c r="AF105" s="1015"/>
      <c r="AG105" s="1015"/>
      <c r="AH105" s="1016"/>
      <c r="AJ105" s="1014" t="e">
        <f>VLOOKUP(AS108,ID_archer_cible,6,FALSE)</f>
        <v>#N/A</v>
      </c>
      <c r="AK105" s="1015"/>
      <c r="AL105" s="1015"/>
      <c r="AM105" s="1015"/>
      <c r="AN105" s="1015"/>
      <c r="AO105" s="1016"/>
      <c r="AQ105" s="999" t="e">
        <f>VLOOKUP(AS108,ID_archer_cible,8,FALSE)</f>
        <v>#N/A</v>
      </c>
      <c r="AR105" s="1000"/>
      <c r="AS105" s="1000"/>
      <c r="AT105" s="1000"/>
      <c r="AU105" s="1001"/>
    </row>
    <row r="106" spans="2:48" x14ac:dyDescent="0.2">
      <c r="X106" s="186"/>
      <c r="Y106"/>
    </row>
    <row r="107" spans="2:48" x14ac:dyDescent="0.2">
      <c r="B107" s="992" t="s">
        <v>530</v>
      </c>
      <c r="C107" s="992"/>
      <c r="D107" s="992"/>
      <c r="E107" s="992"/>
      <c r="F107" s="992"/>
      <c r="G107" s="187"/>
      <c r="H107" s="992" t="s">
        <v>504</v>
      </c>
      <c r="I107" s="992"/>
      <c r="J107" s="992"/>
      <c r="K107" s="992"/>
      <c r="M107" s="992" t="s">
        <v>39</v>
      </c>
      <c r="N107" s="992"/>
      <c r="O107" s="992"/>
      <c r="Q107" s="1021"/>
      <c r="R107" s="1021"/>
      <c r="S107" s="1021"/>
      <c r="U107" s="992" t="s">
        <v>507</v>
      </c>
      <c r="V107" s="992"/>
      <c r="W107" s="992"/>
      <c r="X107" s="188"/>
      <c r="Y107"/>
      <c r="Z107" s="992" t="s">
        <v>530</v>
      </c>
      <c r="AA107" s="992"/>
      <c r="AB107" s="992"/>
      <c r="AC107" s="992"/>
      <c r="AD107" s="992"/>
      <c r="AE107" s="187"/>
      <c r="AF107" s="992" t="s">
        <v>504</v>
      </c>
      <c r="AG107" s="992"/>
      <c r="AH107" s="992"/>
      <c r="AI107" s="992"/>
      <c r="AK107" s="992" t="s">
        <v>39</v>
      </c>
      <c r="AL107" s="992"/>
      <c r="AM107" s="992"/>
      <c r="AO107" s="1021"/>
      <c r="AP107" s="1021"/>
      <c r="AQ107" s="1021"/>
      <c r="AS107" s="992" t="s">
        <v>507</v>
      </c>
      <c r="AT107" s="992"/>
      <c r="AU107" s="992"/>
      <c r="AV107" s="187"/>
    </row>
    <row r="108" spans="2:48" ht="15.75" x14ac:dyDescent="0.2">
      <c r="B108" s="1011" t="e">
        <f>VLOOKUP(U108,ID_archer_cible,7,FALSE)</f>
        <v>#N/A</v>
      </c>
      <c r="C108" s="1012"/>
      <c r="D108" s="1012"/>
      <c r="E108" s="1012"/>
      <c r="F108" s="1013"/>
      <c r="H108" s="999" t="e">
        <f>VLOOKUP(U108,ID_archer_cible,9,FALSE)</f>
        <v>#N/A</v>
      </c>
      <c r="I108" s="1000"/>
      <c r="J108" s="1000"/>
      <c r="K108" s="1001"/>
      <c r="M108" s="999" t="e">
        <f>VLOOKUP(U108,ID_archer_cible,10,FALSE)</f>
        <v>#N/A</v>
      </c>
      <c r="N108" s="1000"/>
      <c r="O108" s="1001"/>
      <c r="Q108" s="1021"/>
      <c r="R108" s="1021"/>
      <c r="S108" s="1021"/>
      <c r="T108" s="187"/>
      <c r="U108" s="996" t="str">
        <f>AR66&amp;"C"</f>
        <v>2C</v>
      </c>
      <c r="V108" s="997"/>
      <c r="W108" s="998"/>
      <c r="X108" s="188"/>
      <c r="Y108"/>
      <c r="Z108" s="1011" t="e">
        <f>VLOOKUP(AS108,ID_archer_cible,7,FALSE)</f>
        <v>#N/A</v>
      </c>
      <c r="AA108" s="1012"/>
      <c r="AB108" s="1012"/>
      <c r="AC108" s="1012"/>
      <c r="AD108" s="1013"/>
      <c r="AF108" s="999" t="e">
        <f>VLOOKUP(AS108,ID_archer_cible,9,FALSE)</f>
        <v>#N/A</v>
      </c>
      <c r="AG108" s="1000"/>
      <c r="AH108" s="1000"/>
      <c r="AI108" s="1001"/>
      <c r="AK108" s="999" t="e">
        <f>VLOOKUP(AS108,ID_archer_cible,10,FALSE)</f>
        <v>#N/A</v>
      </c>
      <c r="AL108" s="1000"/>
      <c r="AM108" s="1001"/>
      <c r="AO108" s="1021"/>
      <c r="AP108" s="1021"/>
      <c r="AQ108" s="1021"/>
      <c r="AR108" s="187"/>
      <c r="AS108" s="996" t="str">
        <f>AR66&amp;"D"</f>
        <v>2D</v>
      </c>
      <c r="AT108" s="997"/>
      <c r="AU108" s="998"/>
      <c r="AV108" s="187"/>
    </row>
    <row r="109" spans="2:48" x14ac:dyDescent="0.2">
      <c r="X109" s="186"/>
    </row>
    <row r="110" spans="2:48" x14ac:dyDescent="0.2">
      <c r="B110" s="185" t="s">
        <v>509</v>
      </c>
      <c r="E110" s="992" t="s">
        <v>510</v>
      </c>
      <c r="F110" s="992"/>
      <c r="G110" s="992"/>
      <c r="H110" s="992"/>
      <c r="I110" s="992"/>
      <c r="J110" s="992"/>
      <c r="K110" s="992"/>
      <c r="L110" s="992"/>
      <c r="M110" s="992"/>
      <c r="N110" s="992"/>
      <c r="P110" s="992" t="s">
        <v>511</v>
      </c>
      <c r="Q110" s="992"/>
      <c r="R110" s="992"/>
      <c r="X110" s="186"/>
      <c r="Z110" s="185" t="s">
        <v>509</v>
      </c>
      <c r="AC110" s="992" t="s">
        <v>510</v>
      </c>
      <c r="AD110" s="992"/>
      <c r="AE110" s="992"/>
      <c r="AF110" s="992"/>
      <c r="AG110" s="992"/>
      <c r="AH110" s="992"/>
      <c r="AI110" s="992"/>
      <c r="AJ110" s="992"/>
      <c r="AK110" s="992"/>
      <c r="AL110" s="992"/>
      <c r="AN110" s="992" t="s">
        <v>511</v>
      </c>
      <c r="AO110" s="992"/>
      <c r="AP110" s="992"/>
    </row>
    <row r="111" spans="2:48" ht="20.25" customHeight="1" x14ac:dyDescent="0.2">
      <c r="B111" s="1009" t="s">
        <v>513</v>
      </c>
      <c r="C111" s="1009"/>
      <c r="E111" s="189"/>
      <c r="F111" s="191"/>
      <c r="G111" s="189"/>
      <c r="H111" s="191"/>
      <c r="I111" s="189"/>
      <c r="J111" s="191"/>
      <c r="K111" s="189"/>
      <c r="L111" s="191"/>
      <c r="M111" s="189"/>
      <c r="N111" s="191"/>
      <c r="P111" s="189"/>
      <c r="Q111" s="190"/>
      <c r="R111" s="191"/>
      <c r="T111" s="992" t="s">
        <v>512</v>
      </c>
      <c r="U111" s="992"/>
      <c r="V111" s="992"/>
      <c r="W111" s="992"/>
      <c r="X111" s="188"/>
      <c r="Z111" s="1009" t="s">
        <v>513</v>
      </c>
      <c r="AA111" s="1009"/>
      <c r="AC111" s="189"/>
      <c r="AD111" s="191"/>
      <c r="AE111" s="189"/>
      <c r="AF111" s="191"/>
      <c r="AG111" s="189"/>
      <c r="AH111" s="191"/>
      <c r="AI111" s="189"/>
      <c r="AJ111" s="191"/>
      <c r="AK111" s="189"/>
      <c r="AL111" s="191"/>
      <c r="AN111" s="189"/>
      <c r="AO111" s="190"/>
      <c r="AP111" s="191"/>
      <c r="AR111" s="992" t="s">
        <v>512</v>
      </c>
      <c r="AS111" s="992"/>
      <c r="AT111" s="992"/>
      <c r="AU111" s="992"/>
      <c r="AV111" s="187"/>
    </row>
    <row r="112" spans="2:48" ht="20.25" customHeight="1" x14ac:dyDescent="0.2">
      <c r="B112" s="1009" t="s">
        <v>514</v>
      </c>
      <c r="C112" s="1009"/>
      <c r="E112" s="189"/>
      <c r="F112" s="191"/>
      <c r="G112" s="189"/>
      <c r="H112" s="191"/>
      <c r="I112" s="189"/>
      <c r="J112" s="191"/>
      <c r="K112" s="189"/>
      <c r="L112" s="191"/>
      <c r="M112" s="189"/>
      <c r="N112" s="191"/>
      <c r="P112" s="189"/>
      <c r="Q112" s="190"/>
      <c r="R112" s="191"/>
      <c r="T112" s="189"/>
      <c r="U112" s="190"/>
      <c r="V112" s="190"/>
      <c r="W112" s="191"/>
      <c r="X112" s="186"/>
      <c r="Z112" s="1009" t="s">
        <v>514</v>
      </c>
      <c r="AA112" s="1009"/>
      <c r="AC112" s="189"/>
      <c r="AD112" s="191"/>
      <c r="AE112" s="189"/>
      <c r="AF112" s="191"/>
      <c r="AG112" s="189"/>
      <c r="AH112" s="191"/>
      <c r="AI112" s="189"/>
      <c r="AJ112" s="191"/>
      <c r="AK112" s="189"/>
      <c r="AL112" s="191"/>
      <c r="AN112" s="189"/>
      <c r="AO112" s="190"/>
      <c r="AP112" s="191"/>
      <c r="AR112" s="189"/>
      <c r="AS112" s="190"/>
      <c r="AT112" s="190"/>
      <c r="AU112" s="191"/>
    </row>
    <row r="113" spans="2:48" ht="20.25" customHeight="1" x14ac:dyDescent="0.2">
      <c r="B113" s="1009" t="s">
        <v>515</v>
      </c>
      <c r="C113" s="1009"/>
      <c r="E113" s="189"/>
      <c r="F113" s="191"/>
      <c r="G113" s="189"/>
      <c r="H113" s="191"/>
      <c r="I113" s="189"/>
      <c r="J113" s="191"/>
      <c r="K113" s="189"/>
      <c r="L113" s="191"/>
      <c r="M113" s="189"/>
      <c r="N113" s="191"/>
      <c r="P113" s="189"/>
      <c r="Q113" s="190"/>
      <c r="R113" s="191"/>
      <c r="T113" s="189"/>
      <c r="U113" s="190"/>
      <c r="V113" s="190"/>
      <c r="W113" s="191"/>
      <c r="X113" s="186"/>
      <c r="Z113" s="1009" t="s">
        <v>515</v>
      </c>
      <c r="AA113" s="1009"/>
      <c r="AC113" s="189"/>
      <c r="AD113" s="191"/>
      <c r="AE113" s="189"/>
      <c r="AF113" s="191"/>
      <c r="AG113" s="189"/>
      <c r="AH113" s="191"/>
      <c r="AI113" s="189"/>
      <c r="AJ113" s="191"/>
      <c r="AK113" s="189"/>
      <c r="AL113" s="191"/>
      <c r="AN113" s="189"/>
      <c r="AO113" s="190"/>
      <c r="AP113" s="191"/>
      <c r="AR113" s="189"/>
      <c r="AS113" s="190"/>
      <c r="AT113" s="190"/>
      <c r="AU113" s="191"/>
    </row>
    <row r="114" spans="2:48" ht="20.25" customHeight="1" x14ac:dyDescent="0.2">
      <c r="B114" s="1009" t="s">
        <v>516</v>
      </c>
      <c r="C114" s="1009"/>
      <c r="E114" s="189"/>
      <c r="F114" s="191"/>
      <c r="G114" s="189"/>
      <c r="H114" s="191"/>
      <c r="I114" s="189"/>
      <c r="J114" s="191"/>
      <c r="K114" s="189"/>
      <c r="L114" s="191"/>
      <c r="M114" s="189"/>
      <c r="N114" s="191"/>
      <c r="P114" s="189"/>
      <c r="Q114" s="190"/>
      <c r="R114" s="191"/>
      <c r="T114" s="189"/>
      <c r="U114" s="190"/>
      <c r="V114" s="190"/>
      <c r="W114" s="191"/>
      <c r="X114" s="186"/>
      <c r="Z114" s="1009" t="s">
        <v>516</v>
      </c>
      <c r="AA114" s="1009"/>
      <c r="AC114" s="189"/>
      <c r="AD114" s="191"/>
      <c r="AE114" s="189"/>
      <c r="AF114" s="191"/>
      <c r="AG114" s="189"/>
      <c r="AH114" s="191"/>
      <c r="AI114" s="189"/>
      <c r="AJ114" s="191"/>
      <c r="AK114" s="189"/>
      <c r="AL114" s="191"/>
      <c r="AN114" s="189"/>
      <c r="AO114" s="190"/>
      <c r="AP114" s="191"/>
      <c r="AR114" s="189"/>
      <c r="AS114" s="190"/>
      <c r="AT114" s="190"/>
      <c r="AU114" s="191"/>
    </row>
    <row r="115" spans="2:48" ht="20.25" customHeight="1" x14ac:dyDescent="0.2">
      <c r="B115" s="1009" t="s">
        <v>517</v>
      </c>
      <c r="C115" s="1009"/>
      <c r="E115" s="189"/>
      <c r="F115" s="191"/>
      <c r="G115" s="189"/>
      <c r="H115" s="191"/>
      <c r="I115" s="189"/>
      <c r="J115" s="191"/>
      <c r="K115" s="189"/>
      <c r="L115" s="191"/>
      <c r="M115" s="189"/>
      <c r="N115" s="191"/>
      <c r="P115" s="189"/>
      <c r="Q115" s="190"/>
      <c r="R115" s="191"/>
      <c r="T115" s="189"/>
      <c r="U115" s="190"/>
      <c r="V115" s="190"/>
      <c r="W115" s="191"/>
      <c r="X115" s="186"/>
      <c r="Z115" s="1009" t="s">
        <v>517</v>
      </c>
      <c r="AA115" s="1009"/>
      <c r="AC115" s="189"/>
      <c r="AD115" s="191"/>
      <c r="AE115" s="189"/>
      <c r="AF115" s="191"/>
      <c r="AG115" s="189"/>
      <c r="AH115" s="191"/>
      <c r="AI115" s="189"/>
      <c r="AJ115" s="191"/>
      <c r="AK115" s="189"/>
      <c r="AL115" s="191"/>
      <c r="AN115" s="189"/>
      <c r="AO115" s="190"/>
      <c r="AP115" s="191"/>
      <c r="AR115" s="189"/>
      <c r="AS115" s="190"/>
      <c r="AT115" s="190"/>
      <c r="AU115" s="191"/>
    </row>
    <row r="116" spans="2:48" ht="20.25" customHeight="1" x14ac:dyDescent="0.2">
      <c r="B116" s="1009" t="s">
        <v>518</v>
      </c>
      <c r="C116" s="1009"/>
      <c r="E116" s="189"/>
      <c r="F116" s="191"/>
      <c r="G116" s="189"/>
      <c r="H116" s="191"/>
      <c r="I116" s="189"/>
      <c r="J116" s="191"/>
      <c r="K116" s="189"/>
      <c r="L116" s="191"/>
      <c r="M116" s="189"/>
      <c r="N116" s="191"/>
      <c r="P116" s="189"/>
      <c r="Q116" s="190"/>
      <c r="R116" s="191"/>
      <c r="T116" s="189"/>
      <c r="U116" s="190"/>
      <c r="V116" s="190"/>
      <c r="W116" s="191"/>
      <c r="X116" s="186"/>
      <c r="Z116" s="1009" t="s">
        <v>518</v>
      </c>
      <c r="AA116" s="1009"/>
      <c r="AC116" s="189"/>
      <c r="AD116" s="191"/>
      <c r="AE116" s="189"/>
      <c r="AF116" s="191"/>
      <c r="AG116" s="189"/>
      <c r="AH116" s="191"/>
      <c r="AI116" s="189"/>
      <c r="AJ116" s="191"/>
      <c r="AK116" s="189"/>
      <c r="AL116" s="191"/>
      <c r="AN116" s="189"/>
      <c r="AO116" s="190"/>
      <c r="AP116" s="191"/>
      <c r="AR116" s="189"/>
      <c r="AS116" s="190"/>
      <c r="AT116" s="190"/>
      <c r="AU116" s="191"/>
    </row>
    <row r="117" spans="2:48" ht="15.75" thickBot="1" x14ac:dyDescent="0.25">
      <c r="B117" s="187"/>
      <c r="C117" s="187"/>
      <c r="X117" s="186"/>
      <c r="Z117" s="187"/>
      <c r="AA117" s="187"/>
    </row>
    <row r="118" spans="2:48" ht="20.25" customHeight="1" thickBot="1" x14ac:dyDescent="0.25">
      <c r="P118" s="197" t="s">
        <v>519</v>
      </c>
      <c r="Q118" s="197"/>
      <c r="R118" s="197"/>
      <c r="S118" s="197"/>
      <c r="T118" s="192"/>
      <c r="U118" s="193"/>
      <c r="V118" s="193"/>
      <c r="W118" s="194"/>
      <c r="X118" s="186"/>
      <c r="AN118" s="197" t="s">
        <v>519</v>
      </c>
      <c r="AO118" s="197"/>
      <c r="AP118" s="197"/>
      <c r="AQ118" s="197"/>
      <c r="AR118" s="192"/>
      <c r="AS118" s="193"/>
      <c r="AT118" s="193"/>
      <c r="AU118" s="194"/>
    </row>
    <row r="119" spans="2:48" x14ac:dyDescent="0.2">
      <c r="E119" s="196"/>
      <c r="F119" s="196"/>
      <c r="G119" s="196"/>
      <c r="H119" s="196"/>
      <c r="I119" s="196"/>
      <c r="J119" s="196"/>
      <c r="K119" s="196"/>
      <c r="L119" s="196"/>
      <c r="M119" s="196"/>
      <c r="X119" s="186"/>
      <c r="AC119" s="196"/>
      <c r="AD119" s="196"/>
      <c r="AE119" s="196"/>
      <c r="AF119" s="196"/>
      <c r="AG119" s="196"/>
      <c r="AH119" s="196"/>
      <c r="AI119" s="196"/>
      <c r="AJ119" s="196"/>
      <c r="AK119" s="196"/>
    </row>
    <row r="120" spans="2:48" x14ac:dyDescent="0.2">
      <c r="B120" s="1010" t="s">
        <v>521</v>
      </c>
      <c r="C120" s="1010"/>
      <c r="D120" s="1010"/>
      <c r="E120" s="1010"/>
      <c r="F120" s="1010"/>
      <c r="G120" s="1010"/>
      <c r="H120" s="195"/>
      <c r="I120" s="1004" t="s">
        <v>522</v>
      </c>
      <c r="J120" s="1004"/>
      <c r="K120" s="1004"/>
      <c r="L120" s="1004"/>
      <c r="M120" s="1004"/>
      <c r="N120" s="1004"/>
      <c r="O120" s="1004"/>
      <c r="P120" s="1004"/>
      <c r="Q120" s="1004"/>
      <c r="R120" s="1004"/>
      <c r="S120" s="1004"/>
      <c r="T120" s="1004"/>
      <c r="U120" s="1004"/>
      <c r="V120" s="1004"/>
      <c r="W120" s="1004"/>
      <c r="X120" s="198"/>
      <c r="Y120" s="195"/>
      <c r="Z120" s="1010" t="s">
        <v>521</v>
      </c>
      <c r="AA120" s="1010"/>
      <c r="AB120" s="1010"/>
      <c r="AC120" s="1010"/>
      <c r="AD120" s="1010"/>
      <c r="AE120" s="1010"/>
      <c r="AF120" s="195"/>
      <c r="AG120" s="1004" t="s">
        <v>522</v>
      </c>
      <c r="AH120" s="1004"/>
      <c r="AI120" s="1004"/>
      <c r="AJ120" s="1004"/>
      <c r="AK120" s="1004"/>
      <c r="AL120" s="1004"/>
      <c r="AM120" s="1004"/>
      <c r="AN120" s="1004"/>
      <c r="AO120" s="1004"/>
      <c r="AP120" s="1004"/>
      <c r="AQ120" s="1004"/>
      <c r="AR120" s="1004"/>
      <c r="AS120" s="1004"/>
      <c r="AT120" s="1004"/>
      <c r="AU120" s="1004"/>
      <c r="AV120" s="195"/>
    </row>
    <row r="121" spans="2:48" x14ac:dyDescent="0.2">
      <c r="B121" s="1005" t="s">
        <v>520</v>
      </c>
      <c r="C121" s="1006"/>
      <c r="D121" s="1006"/>
      <c r="E121" s="1006"/>
      <c r="F121" s="1006"/>
      <c r="G121" s="1007"/>
      <c r="I121" s="1005" t="s">
        <v>0</v>
      </c>
      <c r="J121" s="1006"/>
      <c r="K121" s="1006"/>
      <c r="L121" s="1006"/>
      <c r="M121" s="1006"/>
      <c r="N121" s="1006"/>
      <c r="O121" s="1006"/>
      <c r="P121" s="1006"/>
      <c r="Q121" s="1006"/>
      <c r="R121" s="1006"/>
      <c r="S121" s="1006"/>
      <c r="T121" s="1006"/>
      <c r="U121" s="1006"/>
      <c r="V121" s="1006"/>
      <c r="W121" s="1007"/>
      <c r="X121" s="186"/>
      <c r="Z121" s="1005" t="s">
        <v>520</v>
      </c>
      <c r="AA121" s="1006"/>
      <c r="AB121" s="1006"/>
      <c r="AC121" s="1006"/>
      <c r="AD121" s="1006"/>
      <c r="AE121" s="1007"/>
      <c r="AG121" s="1005" t="s">
        <v>0</v>
      </c>
      <c r="AH121" s="1006"/>
      <c r="AI121" s="1006"/>
      <c r="AJ121" s="1006"/>
      <c r="AK121" s="1006"/>
      <c r="AL121" s="1006"/>
      <c r="AM121" s="1006"/>
      <c r="AN121" s="1006"/>
      <c r="AO121" s="1006"/>
      <c r="AP121" s="1006"/>
      <c r="AQ121" s="1006"/>
      <c r="AR121" s="1006"/>
      <c r="AS121" s="1006"/>
      <c r="AT121" s="1006"/>
      <c r="AU121" s="1007"/>
    </row>
    <row r="122" spans="2:48" x14ac:dyDescent="0.2">
      <c r="B122" s="199"/>
      <c r="C122" s="200"/>
      <c r="D122" s="200"/>
      <c r="E122" s="200"/>
      <c r="F122" s="200"/>
      <c r="G122" s="201"/>
      <c r="I122" s="199"/>
      <c r="J122" s="200"/>
      <c r="K122" s="200"/>
      <c r="L122" s="200"/>
      <c r="M122" s="200"/>
      <c r="N122" s="200"/>
      <c r="O122" s="200"/>
      <c r="P122" s="200"/>
      <c r="Q122" s="200"/>
      <c r="R122" s="200"/>
      <c r="S122" s="200"/>
      <c r="T122" s="200"/>
      <c r="U122" s="200"/>
      <c r="V122" s="200"/>
      <c r="W122" s="201"/>
      <c r="X122" s="186"/>
      <c r="Z122" s="199"/>
      <c r="AA122" s="200"/>
      <c r="AB122" s="200"/>
      <c r="AC122" s="200"/>
      <c r="AD122" s="200"/>
      <c r="AE122" s="201"/>
      <c r="AG122" s="199"/>
      <c r="AH122" s="200"/>
      <c r="AI122" s="200"/>
      <c r="AJ122" s="200"/>
      <c r="AK122" s="200"/>
      <c r="AL122" s="200"/>
      <c r="AM122" s="200"/>
      <c r="AN122" s="200"/>
      <c r="AO122" s="200"/>
      <c r="AP122" s="200"/>
      <c r="AQ122" s="200"/>
      <c r="AR122" s="200"/>
      <c r="AS122" s="200"/>
      <c r="AT122" s="200"/>
      <c r="AU122" s="201"/>
    </row>
    <row r="123" spans="2:48" x14ac:dyDescent="0.2">
      <c r="X123" s="186"/>
    </row>
    <row r="124" spans="2:48" x14ac:dyDescent="0.2">
      <c r="I124" s="1005" t="s">
        <v>481</v>
      </c>
      <c r="J124" s="1006"/>
      <c r="K124" s="1006"/>
      <c r="L124" s="1006"/>
      <c r="M124" s="1006"/>
      <c r="N124" s="1006"/>
      <c r="O124" s="1006"/>
      <c r="P124" s="1006"/>
      <c r="Q124" s="1007"/>
      <c r="R124" s="1005" t="s">
        <v>520</v>
      </c>
      <c r="S124" s="1006"/>
      <c r="T124" s="1006"/>
      <c r="U124" s="1006"/>
      <c r="V124" s="1006"/>
      <c r="W124" s="1007"/>
      <c r="X124" s="186"/>
      <c r="AG124" s="1005" t="s">
        <v>481</v>
      </c>
      <c r="AH124" s="1006"/>
      <c r="AI124" s="1006"/>
      <c r="AJ124" s="1006"/>
      <c r="AK124" s="1006"/>
      <c r="AL124" s="1006"/>
      <c r="AM124" s="1006"/>
      <c r="AN124" s="1006"/>
      <c r="AO124" s="1007"/>
      <c r="AP124" s="1005" t="s">
        <v>520</v>
      </c>
      <c r="AQ124" s="1006"/>
      <c r="AR124" s="1006"/>
      <c r="AS124" s="1006"/>
      <c r="AT124" s="1006"/>
      <c r="AU124" s="1007"/>
    </row>
    <row r="125" spans="2:48" x14ac:dyDescent="0.2">
      <c r="I125" s="199"/>
      <c r="J125" s="200"/>
      <c r="K125" s="200"/>
      <c r="L125" s="200"/>
      <c r="M125" s="200"/>
      <c r="N125" s="200"/>
      <c r="O125" s="200"/>
      <c r="P125" s="200"/>
      <c r="Q125" s="200"/>
      <c r="R125" s="199"/>
      <c r="S125" s="200"/>
      <c r="T125" s="200"/>
      <c r="U125" s="200"/>
      <c r="V125" s="200"/>
      <c r="W125" s="201"/>
      <c r="X125" s="186"/>
      <c r="AG125" s="199"/>
      <c r="AH125" s="200"/>
      <c r="AI125" s="200"/>
      <c r="AJ125" s="200"/>
      <c r="AK125" s="200"/>
      <c r="AL125" s="200"/>
      <c r="AM125" s="200"/>
      <c r="AN125" s="200"/>
      <c r="AO125" s="200"/>
      <c r="AP125" s="199"/>
      <c r="AQ125" s="200"/>
      <c r="AR125" s="200"/>
      <c r="AS125" s="200"/>
      <c r="AT125" s="200"/>
      <c r="AU125" s="201"/>
    </row>
    <row r="127" spans="2:48" ht="57.75" customHeight="1" x14ac:dyDescent="0.2">
      <c r="B127" s="1058" t="str">
        <f>Championnat</f>
        <v>Championnat de France de Tir à l'ARC</v>
      </c>
      <c r="C127" s="1058"/>
      <c r="D127" s="1058"/>
      <c r="E127" s="1058"/>
      <c r="F127" s="1058"/>
      <c r="G127" s="1058"/>
      <c r="H127" s="1058"/>
      <c r="I127" s="1058"/>
      <c r="J127" s="1058"/>
      <c r="K127" s="1058"/>
      <c r="L127" s="1058"/>
      <c r="M127" s="1058"/>
      <c r="N127" s="1058"/>
      <c r="O127" s="1058"/>
      <c r="P127" s="1058"/>
      <c r="Q127" s="1058"/>
      <c r="R127" s="1058"/>
      <c r="S127" s="1058"/>
      <c r="T127" s="1058"/>
      <c r="U127" s="1058"/>
      <c r="V127" s="1058"/>
      <c r="W127" s="1058"/>
      <c r="X127" s="1058"/>
      <c r="Y127" s="1058"/>
      <c r="Z127" s="1058"/>
      <c r="AA127" s="1058"/>
      <c r="AB127" s="1058"/>
      <c r="AC127" s="1058"/>
      <c r="AD127" s="1058"/>
      <c r="AE127" s="1058"/>
      <c r="AF127" s="1058"/>
      <c r="AG127" s="1058"/>
      <c r="AH127" s="1058"/>
      <c r="AI127" s="1058"/>
      <c r="AJ127" s="1058"/>
      <c r="AK127" s="1058"/>
      <c r="AL127" s="1058"/>
      <c r="AM127" s="1058"/>
      <c r="AN127" s="1058"/>
      <c r="AO127" s="1058"/>
      <c r="AP127" s="1058"/>
    </row>
    <row r="128" spans="2:48" ht="45" customHeight="1" thickBot="1" x14ac:dyDescent="0.25">
      <c r="B128" s="1018" t="str">
        <f>LIEU&amp;" - "&amp;DATE&amp;" - "&amp;CATEG</f>
        <v>L’Isle sur la Sorgue - 27 au 31 mars 2023 - Collèges Mixtes Etablissement</v>
      </c>
      <c r="C128" s="1018"/>
      <c r="D128" s="1018"/>
      <c r="E128" s="1018"/>
      <c r="F128" s="1018"/>
      <c r="G128" s="1018"/>
      <c r="H128" s="1018"/>
      <c r="I128" s="1018"/>
      <c r="J128" s="1018"/>
      <c r="K128" s="1018"/>
      <c r="L128" s="1018"/>
      <c r="M128" s="1018"/>
      <c r="N128" s="1018"/>
      <c r="O128" s="1018"/>
      <c r="P128" s="1018"/>
      <c r="Q128" s="1018"/>
      <c r="R128" s="1018"/>
      <c r="S128" s="1018"/>
      <c r="T128" s="1018"/>
      <c r="U128" s="1018"/>
      <c r="V128" s="1018"/>
      <c r="W128" s="1018"/>
      <c r="X128" s="1018"/>
      <c r="Y128" s="1018"/>
      <c r="Z128" s="1018"/>
      <c r="AA128" s="1018"/>
      <c r="AB128" s="1018"/>
      <c r="AC128" s="1018"/>
      <c r="AD128" s="1018"/>
      <c r="AE128" s="1018"/>
      <c r="AF128" s="1018"/>
      <c r="AG128" s="1018"/>
      <c r="AH128" s="1018"/>
      <c r="AI128" s="1018"/>
      <c r="AJ128" s="1018"/>
      <c r="AK128" s="1018"/>
      <c r="AL128" s="1018"/>
      <c r="AM128" s="1018"/>
      <c r="AN128" s="1018"/>
      <c r="AO128" s="1018"/>
      <c r="AP128" s="1018"/>
      <c r="AQ128" s="182"/>
      <c r="AR128" s="182"/>
      <c r="AS128" s="182"/>
      <c r="AT128" s="182"/>
      <c r="AU128" s="182"/>
      <c r="AV128" s="182"/>
    </row>
    <row r="129" spans="2:48" ht="26.25" customHeight="1" x14ac:dyDescent="0.2">
      <c r="B129" s="1059" t="str">
        <f>CATEG_IMPORTEE</f>
        <v>Collèges Mixtes Etablissement</v>
      </c>
      <c r="C129" s="1059"/>
      <c r="D129" s="1059"/>
      <c r="E129" s="1059"/>
      <c r="F129" s="1059"/>
      <c r="G129" s="1059"/>
      <c r="H129" s="1059"/>
      <c r="I129" s="1059"/>
      <c r="J129" s="1059"/>
      <c r="K129" s="1059"/>
      <c r="L129" s="1059"/>
      <c r="M129" s="1059"/>
      <c r="N129" s="1059"/>
      <c r="O129" s="1059"/>
      <c r="P129" s="1059"/>
      <c r="Q129" s="1059"/>
      <c r="R129" s="1059"/>
      <c r="S129" s="1059"/>
      <c r="T129" s="1059"/>
      <c r="U129" s="1059"/>
      <c r="V129" s="1059"/>
      <c r="W129" s="1059"/>
      <c r="X129" s="1059"/>
      <c r="Y129" s="1059"/>
      <c r="Z129" s="1059"/>
      <c r="AA129" s="1059"/>
      <c r="AB129" s="1059"/>
      <c r="AC129" s="1059"/>
      <c r="AD129" s="1059"/>
      <c r="AE129" s="1059"/>
      <c r="AF129" s="1059"/>
      <c r="AG129" s="1059"/>
      <c r="AH129" s="1059"/>
      <c r="AI129" s="1059"/>
      <c r="AJ129" s="1059"/>
      <c r="AK129" s="1059"/>
      <c r="AL129" s="1059"/>
      <c r="AM129" s="1059"/>
      <c r="AN129" s="1059"/>
      <c r="AO129" s="1059"/>
      <c r="AP129" s="1059"/>
      <c r="AQ129" s="182"/>
      <c r="AR129" s="1060">
        <f>AR66+1</f>
        <v>3</v>
      </c>
      <c r="AS129" s="1061"/>
      <c r="AT129" s="1062"/>
      <c r="AU129" s="182"/>
      <c r="AV129" s="182"/>
    </row>
    <row r="130" spans="2:48" ht="18" customHeight="1" x14ac:dyDescent="0.2">
      <c r="B130" s="182"/>
      <c r="C130" s="182"/>
      <c r="D130" s="182"/>
      <c r="E130" s="182"/>
      <c r="F130" s="182"/>
      <c r="G130" s="182"/>
      <c r="H130" s="182"/>
      <c r="I130" s="182"/>
      <c r="J130" s="182"/>
      <c r="K130" s="182"/>
      <c r="L130" s="182"/>
      <c r="M130" s="182"/>
      <c r="N130" s="182"/>
      <c r="O130" s="182"/>
      <c r="P130" s="182"/>
      <c r="Q130" s="182"/>
      <c r="R130" s="182"/>
      <c r="S130" s="182"/>
      <c r="T130" s="182"/>
      <c r="U130" s="182"/>
      <c r="V130" s="182"/>
      <c r="W130" s="182"/>
      <c r="X130" s="183"/>
      <c r="Y130" s="184"/>
      <c r="Z130" s="182"/>
      <c r="AA130" s="182"/>
      <c r="AB130" s="182"/>
      <c r="AC130" s="182"/>
      <c r="AD130" s="182"/>
      <c r="AE130" s="182"/>
      <c r="AF130" s="182"/>
      <c r="AG130" s="182"/>
      <c r="AH130" s="182"/>
      <c r="AI130" s="182"/>
      <c r="AJ130" s="182"/>
      <c r="AK130" s="182"/>
      <c r="AL130" s="182"/>
      <c r="AM130" s="182"/>
      <c r="AN130" s="182"/>
      <c r="AO130" s="182"/>
      <c r="AP130" s="182"/>
      <c r="AQ130" s="182"/>
      <c r="AR130" s="1063"/>
      <c r="AS130" s="1064"/>
      <c r="AT130" s="1065"/>
      <c r="AU130" s="182"/>
      <c r="AV130" s="182"/>
    </row>
    <row r="131" spans="2:48" ht="18.75" customHeight="1" thickBot="1" x14ac:dyDescent="0.25">
      <c r="B131" s="182"/>
      <c r="C131" s="182"/>
      <c r="D131" s="182"/>
      <c r="E131" s="182"/>
      <c r="F131" s="182"/>
      <c r="G131" s="182"/>
      <c r="H131" s="992" t="s">
        <v>374</v>
      </c>
      <c r="I131" s="992"/>
      <c r="J131" s="992"/>
      <c r="K131" s="992"/>
      <c r="L131" s="992"/>
      <c r="M131" s="992"/>
      <c r="N131" s="992"/>
      <c r="O131" s="992"/>
      <c r="P131" s="992"/>
      <c r="Q131" s="992"/>
      <c r="R131" s="182"/>
      <c r="S131" s="182"/>
      <c r="T131" s="182"/>
      <c r="U131" s="182"/>
      <c r="V131" s="182"/>
      <c r="W131" s="182"/>
      <c r="X131" s="183"/>
      <c r="Y131" s="182"/>
      <c r="Z131" s="182"/>
      <c r="AA131" s="182"/>
      <c r="AB131" s="182"/>
      <c r="AC131" s="182"/>
      <c r="AD131" s="182"/>
      <c r="AE131" s="992" t="s">
        <v>374</v>
      </c>
      <c r="AF131" s="992"/>
      <c r="AG131" s="992"/>
      <c r="AH131" s="992"/>
      <c r="AI131" s="992"/>
      <c r="AJ131" s="992"/>
      <c r="AK131" s="992"/>
      <c r="AL131" s="992"/>
      <c r="AM131" s="992"/>
      <c r="AN131" s="992"/>
      <c r="AO131" s="182"/>
      <c r="AP131" s="182"/>
      <c r="AQ131" s="182"/>
      <c r="AR131" s="1066"/>
      <c r="AS131" s="1067"/>
      <c r="AT131" s="1068"/>
      <c r="AU131" s="182"/>
      <c r="AV131" s="182"/>
    </row>
    <row r="132" spans="2:48" ht="18" x14ac:dyDescent="0.2">
      <c r="B132" s="182"/>
      <c r="C132" s="182"/>
      <c r="D132" s="182"/>
      <c r="E132" s="182"/>
      <c r="F132" s="182"/>
      <c r="G132" s="182"/>
      <c r="H132" s="1022" t="e">
        <f>VLOOKUP(U141,ID_archer_cible,4,FALSE)</f>
        <v>#N/A</v>
      </c>
      <c r="I132" s="1023"/>
      <c r="J132" s="1023"/>
      <c r="K132" s="1023"/>
      <c r="L132" s="1023"/>
      <c r="M132" s="1023"/>
      <c r="N132" s="1023"/>
      <c r="O132" s="1023"/>
      <c r="P132" s="1023"/>
      <c r="Q132" s="1024"/>
      <c r="R132" s="182"/>
      <c r="S132" s="182"/>
      <c r="T132" s="182"/>
      <c r="U132" s="182"/>
      <c r="V132" s="182"/>
      <c r="W132" s="182"/>
      <c r="X132" s="183"/>
      <c r="Y132" s="182"/>
      <c r="Z132" s="182"/>
      <c r="AA132" s="182"/>
      <c r="AB132" s="182"/>
      <c r="AC132" s="182"/>
      <c r="AD132" s="182"/>
      <c r="AE132" s="1022" t="e">
        <f>VLOOKUP(AS141,ID_archer_cible,4,FALSE)</f>
        <v>#N/A</v>
      </c>
      <c r="AF132" s="1023"/>
      <c r="AG132" s="1023"/>
      <c r="AH132" s="1023"/>
      <c r="AI132" s="1023"/>
      <c r="AJ132" s="1023"/>
      <c r="AK132" s="1023"/>
      <c r="AL132" s="1023"/>
      <c r="AM132" s="1023"/>
      <c r="AN132" s="1024"/>
      <c r="AO132" s="182"/>
      <c r="AP132" s="182"/>
      <c r="AQ132" s="182"/>
      <c r="AR132" s="182"/>
      <c r="AS132" s="182"/>
      <c r="AT132" s="182"/>
      <c r="AU132" s="182"/>
      <c r="AV132" s="182"/>
    </row>
    <row r="133" spans="2:48" x14ac:dyDescent="0.2">
      <c r="X133" s="186"/>
    </row>
    <row r="134" spans="2:48" x14ac:dyDescent="0.2">
      <c r="B134" s="1021" t="s">
        <v>0</v>
      </c>
      <c r="C134" s="1021"/>
      <c r="D134" s="1021"/>
      <c r="E134" s="1021"/>
      <c r="F134" s="1021"/>
      <c r="G134" s="1021"/>
      <c r="H134" s="1021"/>
      <c r="I134" s="1021"/>
      <c r="J134" s="1021"/>
      <c r="K134" s="1021"/>
      <c r="L134" s="1021"/>
      <c r="M134" s="187"/>
      <c r="P134" s="992" t="s">
        <v>375</v>
      </c>
      <c r="Q134" s="992"/>
      <c r="R134" s="992"/>
      <c r="S134" s="992"/>
      <c r="T134" s="992"/>
      <c r="U134" s="992"/>
      <c r="V134" s="992"/>
      <c r="W134" s="992"/>
      <c r="X134" s="188"/>
      <c r="Z134" s="1021" t="s">
        <v>0</v>
      </c>
      <c r="AA134" s="1021"/>
      <c r="AB134" s="1021"/>
      <c r="AC134" s="1021"/>
      <c r="AD134" s="1021"/>
      <c r="AE134" s="1021"/>
      <c r="AF134" s="1021"/>
      <c r="AG134" s="1021"/>
      <c r="AH134" s="1021"/>
      <c r="AI134" s="1021"/>
      <c r="AJ134" s="1021"/>
      <c r="AK134" s="187"/>
      <c r="AN134" s="992" t="s">
        <v>375</v>
      </c>
      <c r="AO134" s="992"/>
      <c r="AP134" s="992"/>
      <c r="AQ134" s="992"/>
      <c r="AR134" s="992"/>
      <c r="AS134" s="992"/>
      <c r="AT134" s="992"/>
      <c r="AU134" s="992"/>
      <c r="AV134" s="187"/>
    </row>
    <row r="135" spans="2:48" x14ac:dyDescent="0.2">
      <c r="B135" s="999" t="e">
        <f>VLOOKUP(U141,ID_archer_cible,2,FALSE)</f>
        <v>#N/A</v>
      </c>
      <c r="C135" s="1000"/>
      <c r="D135" s="1000"/>
      <c r="E135" s="1000"/>
      <c r="F135" s="1000"/>
      <c r="G135" s="1000"/>
      <c r="H135" s="1000"/>
      <c r="I135" s="1000"/>
      <c r="J135" s="1000"/>
      <c r="K135" s="1000"/>
      <c r="L135" s="1000"/>
      <c r="M135" s="1001"/>
      <c r="P135" s="999" t="e">
        <f>VLOOKUP(U141,ID_archer_cible,3,FALSE)</f>
        <v>#N/A</v>
      </c>
      <c r="Q135" s="1000"/>
      <c r="R135" s="1000"/>
      <c r="S135" s="1000"/>
      <c r="T135" s="1000"/>
      <c r="U135" s="1000"/>
      <c r="V135" s="1000"/>
      <c r="W135" s="1001"/>
      <c r="X135" s="186"/>
      <c r="Y135"/>
      <c r="Z135" s="999" t="e">
        <f>VLOOKUP(AS141,ID_archer_cible,2,FALSE)</f>
        <v>#N/A</v>
      </c>
      <c r="AA135" s="1000"/>
      <c r="AB135" s="1000"/>
      <c r="AC135" s="1000"/>
      <c r="AD135" s="1000"/>
      <c r="AE135" s="1000"/>
      <c r="AF135" s="1000"/>
      <c r="AG135" s="1000"/>
      <c r="AH135" s="1000"/>
      <c r="AI135" s="1000"/>
      <c r="AJ135" s="1000"/>
      <c r="AK135" s="1001"/>
      <c r="AN135" s="999" t="e">
        <f>VLOOKUP(AS141,ID_archer_cible,3,FALSE)</f>
        <v>#N/A</v>
      </c>
      <c r="AO135" s="1000"/>
      <c r="AP135" s="1000"/>
      <c r="AQ135" s="1000"/>
      <c r="AR135" s="1000"/>
      <c r="AS135" s="1000"/>
      <c r="AT135" s="1000"/>
      <c r="AU135" s="1001"/>
    </row>
    <row r="136" spans="2:48" x14ac:dyDescent="0.2">
      <c r="X136" s="186"/>
      <c r="Y136"/>
    </row>
    <row r="137" spans="2:48" ht="16.5" thickBot="1" x14ac:dyDescent="0.25">
      <c r="B137" s="1017" t="s">
        <v>1</v>
      </c>
      <c r="C137" s="1017"/>
      <c r="D137" s="1017"/>
      <c r="E137" s="1017"/>
      <c r="F137" s="1017"/>
      <c r="G137" s="1017"/>
      <c r="H137" s="1017"/>
      <c r="I137" s="1017"/>
      <c r="J137" s="1017"/>
      <c r="L137" s="1017" t="s">
        <v>505</v>
      </c>
      <c r="M137" s="1017"/>
      <c r="N137" s="1017"/>
      <c r="O137" s="1017"/>
      <c r="P137" s="1017"/>
      <c r="Q137" s="1017"/>
      <c r="S137" s="992" t="s">
        <v>506</v>
      </c>
      <c r="T137" s="992"/>
      <c r="U137" s="992"/>
      <c r="V137" s="992"/>
      <c r="W137" s="992"/>
      <c r="X137" s="188"/>
      <c r="Y137"/>
      <c r="Z137" s="1017" t="s">
        <v>1</v>
      </c>
      <c r="AA137" s="1017"/>
      <c r="AB137" s="1017"/>
      <c r="AC137" s="1017"/>
      <c r="AD137" s="1017"/>
      <c r="AE137" s="1017"/>
      <c r="AF137" s="1017"/>
      <c r="AG137" s="1017"/>
      <c r="AH137" s="1017"/>
      <c r="AJ137" s="1017" t="s">
        <v>505</v>
      </c>
      <c r="AK137" s="1017"/>
      <c r="AL137" s="1017"/>
      <c r="AM137" s="1017"/>
      <c r="AN137" s="1017"/>
      <c r="AO137" s="1017"/>
      <c r="AQ137" s="992" t="s">
        <v>506</v>
      </c>
      <c r="AR137" s="992"/>
      <c r="AS137" s="992"/>
      <c r="AT137" s="992"/>
      <c r="AU137" s="992"/>
      <c r="AV137" s="187"/>
    </row>
    <row r="138" spans="2:48" ht="16.5" thickBot="1" x14ac:dyDescent="0.25">
      <c r="B138" s="1014" t="e">
        <f>VLOOKUP(U141,ID_archer_cible,5,FALSE)</f>
        <v>#N/A</v>
      </c>
      <c r="C138" s="1015"/>
      <c r="D138" s="1015"/>
      <c r="E138" s="1015"/>
      <c r="F138" s="1015"/>
      <c r="G138" s="1015"/>
      <c r="H138" s="1015"/>
      <c r="I138" s="1015"/>
      <c r="J138" s="1016"/>
      <c r="L138" s="1014" t="e">
        <f>VLOOKUP(U141,ID_archer_cible,6,FALSE)</f>
        <v>#N/A</v>
      </c>
      <c r="M138" s="1015"/>
      <c r="N138" s="1015"/>
      <c r="O138" s="1015"/>
      <c r="P138" s="1015"/>
      <c r="Q138" s="1016"/>
      <c r="S138" s="999" t="e">
        <f>VLOOKUP(U141,ID_archer_cible,8,FALSE)</f>
        <v>#N/A</v>
      </c>
      <c r="T138" s="1000"/>
      <c r="U138" s="1000"/>
      <c r="V138" s="1000"/>
      <c r="W138" s="1001"/>
      <c r="X138" s="186"/>
      <c r="Y138"/>
      <c r="Z138" s="1014" t="e">
        <f>VLOOKUP(AS141,ID_archer_cible,5,FALSE)</f>
        <v>#N/A</v>
      </c>
      <c r="AA138" s="1015"/>
      <c r="AB138" s="1015"/>
      <c r="AC138" s="1015"/>
      <c r="AD138" s="1015"/>
      <c r="AE138" s="1015"/>
      <c r="AF138" s="1015"/>
      <c r="AG138" s="1015"/>
      <c r="AH138" s="1016"/>
      <c r="AJ138" s="1014" t="e">
        <f>VLOOKUP(AS141,ID_archer_cible,6,FALSE)</f>
        <v>#N/A</v>
      </c>
      <c r="AK138" s="1015"/>
      <c r="AL138" s="1015"/>
      <c r="AM138" s="1015"/>
      <c r="AN138" s="1015"/>
      <c r="AO138" s="1016"/>
      <c r="AQ138" s="999" t="e">
        <f>VLOOKUP(AS141,ID_archer_cible,8,FALSE)</f>
        <v>#N/A</v>
      </c>
      <c r="AR138" s="1000"/>
      <c r="AS138" s="1000"/>
      <c r="AT138" s="1000"/>
      <c r="AU138" s="1001"/>
    </row>
    <row r="139" spans="2:48" x14ac:dyDescent="0.2">
      <c r="X139" s="186"/>
      <c r="Y139"/>
    </row>
    <row r="140" spans="2:48" x14ac:dyDescent="0.2">
      <c r="B140" s="992" t="s">
        <v>530</v>
      </c>
      <c r="C140" s="992"/>
      <c r="D140" s="992"/>
      <c r="E140" s="992"/>
      <c r="F140" s="992"/>
      <c r="G140" s="187"/>
      <c r="H140" s="992" t="s">
        <v>504</v>
      </c>
      <c r="I140" s="992"/>
      <c r="J140" s="992"/>
      <c r="K140" s="992"/>
      <c r="M140" s="992" t="s">
        <v>39</v>
      </c>
      <c r="N140" s="992"/>
      <c r="O140" s="992"/>
      <c r="Q140" s="1021"/>
      <c r="R140" s="1021"/>
      <c r="S140" s="1021"/>
      <c r="U140" s="992" t="s">
        <v>507</v>
      </c>
      <c r="V140" s="992"/>
      <c r="W140" s="992"/>
      <c r="X140" s="188"/>
      <c r="Y140"/>
      <c r="Z140" s="992" t="s">
        <v>530</v>
      </c>
      <c r="AA140" s="992"/>
      <c r="AB140" s="992"/>
      <c r="AC140" s="992"/>
      <c r="AD140" s="992"/>
      <c r="AE140" s="187"/>
      <c r="AF140" s="992" t="s">
        <v>504</v>
      </c>
      <c r="AG140" s="992"/>
      <c r="AH140" s="992"/>
      <c r="AI140" s="992"/>
      <c r="AK140" s="992" t="s">
        <v>39</v>
      </c>
      <c r="AL140" s="992"/>
      <c r="AM140" s="992"/>
      <c r="AO140" s="1021"/>
      <c r="AP140" s="1021"/>
      <c r="AQ140" s="1021"/>
      <c r="AS140" s="992" t="s">
        <v>507</v>
      </c>
      <c r="AT140" s="992"/>
      <c r="AU140" s="992"/>
      <c r="AV140" s="187"/>
    </row>
    <row r="141" spans="2:48" ht="15.75" x14ac:dyDescent="0.2">
      <c r="B141" s="1011" t="e">
        <f>VLOOKUP(U141,ID_archer_cible,7,FALSE)</f>
        <v>#N/A</v>
      </c>
      <c r="C141" s="1012"/>
      <c r="D141" s="1012"/>
      <c r="E141" s="1012"/>
      <c r="F141" s="1013"/>
      <c r="H141" s="999" t="e">
        <f>VLOOKUP(U141,ID_archer_cible,9,FALSE)</f>
        <v>#N/A</v>
      </c>
      <c r="I141" s="1000"/>
      <c r="J141" s="1000"/>
      <c r="K141" s="1001"/>
      <c r="M141" s="999" t="e">
        <f>VLOOKUP(U141,ID_archer_cible,10,FALSE)</f>
        <v>#N/A</v>
      </c>
      <c r="N141" s="1000"/>
      <c r="O141" s="1001"/>
      <c r="Q141" s="1021"/>
      <c r="R141" s="1021"/>
      <c r="S141" s="1021"/>
      <c r="T141" s="187"/>
      <c r="U141" s="996" t="str">
        <f>AR129&amp;"A"</f>
        <v>3A</v>
      </c>
      <c r="V141" s="997"/>
      <c r="W141" s="998"/>
      <c r="X141" s="188"/>
      <c r="Y141"/>
      <c r="Z141" s="1011" t="e">
        <f>VLOOKUP(AS141,ID_archer_cible,7,FALSE)</f>
        <v>#N/A</v>
      </c>
      <c r="AA141" s="1012"/>
      <c r="AB141" s="1012"/>
      <c r="AC141" s="1012"/>
      <c r="AD141" s="1013"/>
      <c r="AF141" s="999" t="e">
        <f>VLOOKUP(AS141,ID_archer_cible,9,FALSE)</f>
        <v>#N/A</v>
      </c>
      <c r="AG141" s="1000"/>
      <c r="AH141" s="1000"/>
      <c r="AI141" s="1001"/>
      <c r="AK141" s="999" t="e">
        <f>VLOOKUP(AS141,ID_archer_cible,10,FALSE)</f>
        <v>#N/A</v>
      </c>
      <c r="AL141" s="1000"/>
      <c r="AM141" s="1001"/>
      <c r="AO141" s="1021"/>
      <c r="AP141" s="1021"/>
      <c r="AQ141" s="1021"/>
      <c r="AR141" s="187"/>
      <c r="AS141" s="996" t="str">
        <f>AR129&amp;"B"</f>
        <v>3B</v>
      </c>
      <c r="AT141" s="997"/>
      <c r="AU141" s="998"/>
      <c r="AV141" s="187"/>
    </row>
    <row r="142" spans="2:48" x14ac:dyDescent="0.2">
      <c r="X142" s="186"/>
    </row>
    <row r="143" spans="2:48" x14ac:dyDescent="0.2">
      <c r="B143" s="185" t="s">
        <v>509</v>
      </c>
      <c r="E143" s="992" t="s">
        <v>510</v>
      </c>
      <c r="F143" s="992"/>
      <c r="G143" s="992"/>
      <c r="H143" s="992"/>
      <c r="I143" s="992"/>
      <c r="J143" s="992"/>
      <c r="K143" s="992"/>
      <c r="L143" s="992"/>
      <c r="M143" s="992"/>
      <c r="N143" s="992"/>
      <c r="P143" s="992" t="s">
        <v>511</v>
      </c>
      <c r="Q143" s="992"/>
      <c r="R143" s="992"/>
      <c r="X143" s="186"/>
      <c r="Z143" s="185" t="s">
        <v>509</v>
      </c>
      <c r="AC143" s="992" t="s">
        <v>510</v>
      </c>
      <c r="AD143" s="992"/>
      <c r="AE143" s="992"/>
      <c r="AF143" s="992"/>
      <c r="AG143" s="992"/>
      <c r="AH143" s="992"/>
      <c r="AI143" s="992"/>
      <c r="AJ143" s="992"/>
      <c r="AK143" s="992"/>
      <c r="AL143" s="992"/>
      <c r="AN143" s="992" t="s">
        <v>511</v>
      </c>
      <c r="AO143" s="992"/>
      <c r="AP143" s="992"/>
    </row>
    <row r="144" spans="2:48" ht="20.25" customHeight="1" x14ac:dyDescent="0.2">
      <c r="B144" s="1009" t="s">
        <v>513</v>
      </c>
      <c r="C144" s="1009"/>
      <c r="E144" s="189"/>
      <c r="F144" s="191"/>
      <c r="G144" s="189"/>
      <c r="H144" s="191"/>
      <c r="I144" s="189"/>
      <c r="J144" s="191"/>
      <c r="K144" s="189"/>
      <c r="L144" s="191"/>
      <c r="M144" s="189"/>
      <c r="N144" s="191"/>
      <c r="P144" s="189"/>
      <c r="Q144" s="190"/>
      <c r="R144" s="191"/>
      <c r="T144" s="992" t="s">
        <v>512</v>
      </c>
      <c r="U144" s="992"/>
      <c r="V144" s="992"/>
      <c r="W144" s="992"/>
      <c r="X144" s="188"/>
      <c r="Z144" s="1009" t="s">
        <v>513</v>
      </c>
      <c r="AA144" s="1009"/>
      <c r="AC144" s="189"/>
      <c r="AD144" s="191"/>
      <c r="AE144" s="189"/>
      <c r="AF144" s="191"/>
      <c r="AG144" s="189"/>
      <c r="AH144" s="191"/>
      <c r="AI144" s="189"/>
      <c r="AJ144" s="191"/>
      <c r="AK144" s="189"/>
      <c r="AL144" s="191"/>
      <c r="AN144" s="189"/>
      <c r="AO144" s="190"/>
      <c r="AP144" s="191"/>
      <c r="AR144" s="992" t="s">
        <v>512</v>
      </c>
      <c r="AS144" s="992"/>
      <c r="AT144" s="992"/>
      <c r="AU144" s="992"/>
      <c r="AV144" s="187"/>
    </row>
    <row r="145" spans="2:48" ht="20.25" customHeight="1" x14ac:dyDescent="0.2">
      <c r="B145" s="1009" t="s">
        <v>514</v>
      </c>
      <c r="C145" s="1009"/>
      <c r="E145" s="189"/>
      <c r="F145" s="191"/>
      <c r="G145" s="189"/>
      <c r="H145" s="191"/>
      <c r="I145" s="189"/>
      <c r="J145" s="191"/>
      <c r="K145" s="189"/>
      <c r="L145" s="191"/>
      <c r="M145" s="189"/>
      <c r="N145" s="191"/>
      <c r="P145" s="189"/>
      <c r="Q145" s="190"/>
      <c r="R145" s="191"/>
      <c r="T145" s="189"/>
      <c r="U145" s="190"/>
      <c r="V145" s="190"/>
      <c r="W145" s="191"/>
      <c r="X145" s="186"/>
      <c r="Z145" s="1009" t="s">
        <v>514</v>
      </c>
      <c r="AA145" s="1009"/>
      <c r="AC145" s="189"/>
      <c r="AD145" s="191"/>
      <c r="AE145" s="189"/>
      <c r="AF145" s="191"/>
      <c r="AG145" s="189"/>
      <c r="AH145" s="191"/>
      <c r="AI145" s="189"/>
      <c r="AJ145" s="191"/>
      <c r="AK145" s="189"/>
      <c r="AL145" s="191"/>
      <c r="AN145" s="189"/>
      <c r="AO145" s="190"/>
      <c r="AP145" s="191"/>
      <c r="AR145" s="189"/>
      <c r="AS145" s="190"/>
      <c r="AT145" s="190"/>
      <c r="AU145" s="191"/>
    </row>
    <row r="146" spans="2:48" ht="20.25" customHeight="1" x14ac:dyDescent="0.2">
      <c r="B146" s="1009" t="s">
        <v>515</v>
      </c>
      <c r="C146" s="1009"/>
      <c r="E146" s="189"/>
      <c r="F146" s="191"/>
      <c r="G146" s="189"/>
      <c r="H146" s="191"/>
      <c r="I146" s="189"/>
      <c r="J146" s="191"/>
      <c r="K146" s="189"/>
      <c r="L146" s="191"/>
      <c r="M146" s="189"/>
      <c r="N146" s="191"/>
      <c r="P146" s="189"/>
      <c r="Q146" s="190"/>
      <c r="R146" s="191"/>
      <c r="T146" s="189"/>
      <c r="U146" s="190"/>
      <c r="V146" s="190"/>
      <c r="W146" s="191"/>
      <c r="X146" s="186"/>
      <c r="Z146" s="1009" t="s">
        <v>515</v>
      </c>
      <c r="AA146" s="1009"/>
      <c r="AC146" s="189"/>
      <c r="AD146" s="191"/>
      <c r="AE146" s="189"/>
      <c r="AF146" s="191"/>
      <c r="AG146" s="189"/>
      <c r="AH146" s="191"/>
      <c r="AI146" s="189"/>
      <c r="AJ146" s="191"/>
      <c r="AK146" s="189"/>
      <c r="AL146" s="191"/>
      <c r="AN146" s="189"/>
      <c r="AO146" s="190"/>
      <c r="AP146" s="191"/>
      <c r="AR146" s="189"/>
      <c r="AS146" s="190"/>
      <c r="AT146" s="190"/>
      <c r="AU146" s="191"/>
    </row>
    <row r="147" spans="2:48" ht="20.25" customHeight="1" x14ac:dyDescent="0.2">
      <c r="B147" s="1009" t="s">
        <v>516</v>
      </c>
      <c r="C147" s="1009"/>
      <c r="E147" s="189"/>
      <c r="F147" s="191"/>
      <c r="G147" s="189"/>
      <c r="H147" s="191"/>
      <c r="I147" s="189"/>
      <c r="J147" s="191"/>
      <c r="K147" s="189"/>
      <c r="L147" s="191"/>
      <c r="M147" s="189"/>
      <c r="N147" s="191"/>
      <c r="P147" s="189"/>
      <c r="Q147" s="190"/>
      <c r="R147" s="191"/>
      <c r="T147" s="189"/>
      <c r="U147" s="190"/>
      <c r="V147" s="190"/>
      <c r="W147" s="191"/>
      <c r="X147" s="186"/>
      <c r="Z147" s="1009" t="s">
        <v>516</v>
      </c>
      <c r="AA147" s="1009"/>
      <c r="AC147" s="189"/>
      <c r="AD147" s="191"/>
      <c r="AE147" s="189"/>
      <c r="AF147" s="191"/>
      <c r="AG147" s="189"/>
      <c r="AH147" s="191"/>
      <c r="AI147" s="189"/>
      <c r="AJ147" s="191"/>
      <c r="AK147" s="189"/>
      <c r="AL147" s="191"/>
      <c r="AN147" s="189"/>
      <c r="AO147" s="190"/>
      <c r="AP147" s="191"/>
      <c r="AR147" s="189"/>
      <c r="AS147" s="190"/>
      <c r="AT147" s="190"/>
      <c r="AU147" s="191"/>
    </row>
    <row r="148" spans="2:48" ht="20.25" customHeight="1" x14ac:dyDescent="0.2">
      <c r="B148" s="1009" t="s">
        <v>517</v>
      </c>
      <c r="C148" s="1009"/>
      <c r="E148" s="189"/>
      <c r="F148" s="191"/>
      <c r="G148" s="189"/>
      <c r="H148" s="191"/>
      <c r="I148" s="189"/>
      <c r="J148" s="191"/>
      <c r="K148" s="189"/>
      <c r="L148" s="191"/>
      <c r="M148" s="189"/>
      <c r="N148" s="191"/>
      <c r="P148" s="189"/>
      <c r="Q148" s="190"/>
      <c r="R148" s="191"/>
      <c r="T148" s="189"/>
      <c r="U148" s="190"/>
      <c r="V148" s="190"/>
      <c r="W148" s="191"/>
      <c r="X148" s="186"/>
      <c r="Z148" s="1009" t="s">
        <v>517</v>
      </c>
      <c r="AA148" s="1009"/>
      <c r="AC148" s="189"/>
      <c r="AD148" s="191"/>
      <c r="AE148" s="189"/>
      <c r="AF148" s="191"/>
      <c r="AG148" s="189"/>
      <c r="AH148" s="191"/>
      <c r="AI148" s="189"/>
      <c r="AJ148" s="191"/>
      <c r="AK148" s="189"/>
      <c r="AL148" s="191"/>
      <c r="AN148" s="189"/>
      <c r="AO148" s="190"/>
      <c r="AP148" s="191"/>
      <c r="AR148" s="189"/>
      <c r="AS148" s="190"/>
      <c r="AT148" s="190"/>
      <c r="AU148" s="191"/>
    </row>
    <row r="149" spans="2:48" ht="20.25" customHeight="1" x14ac:dyDescent="0.2">
      <c r="B149" s="1009" t="s">
        <v>518</v>
      </c>
      <c r="C149" s="1009"/>
      <c r="E149" s="189"/>
      <c r="F149" s="191"/>
      <c r="G149" s="189"/>
      <c r="H149" s="191"/>
      <c r="I149" s="189"/>
      <c r="J149" s="191"/>
      <c r="K149" s="189"/>
      <c r="L149" s="191"/>
      <c r="M149" s="189"/>
      <c r="N149" s="191"/>
      <c r="P149" s="189"/>
      <c r="Q149" s="190"/>
      <c r="R149" s="191"/>
      <c r="T149" s="189"/>
      <c r="U149" s="190"/>
      <c r="V149" s="190"/>
      <c r="W149" s="191"/>
      <c r="X149" s="186"/>
      <c r="Z149" s="1009" t="s">
        <v>518</v>
      </c>
      <c r="AA149" s="1009"/>
      <c r="AC149" s="189"/>
      <c r="AD149" s="191"/>
      <c r="AE149" s="189"/>
      <c r="AF149" s="191"/>
      <c r="AG149" s="189"/>
      <c r="AH149" s="191"/>
      <c r="AI149" s="189"/>
      <c r="AJ149" s="191"/>
      <c r="AK149" s="189"/>
      <c r="AL149" s="191"/>
      <c r="AN149" s="189"/>
      <c r="AO149" s="190"/>
      <c r="AP149" s="191"/>
      <c r="AR149" s="189"/>
      <c r="AS149" s="190"/>
      <c r="AT149" s="190"/>
      <c r="AU149" s="191"/>
    </row>
    <row r="150" spans="2:48" ht="15.75" thickBot="1" x14ac:dyDescent="0.25">
      <c r="B150" s="187"/>
      <c r="C150" s="187"/>
      <c r="X150" s="186"/>
      <c r="Z150" s="187"/>
      <c r="AA150" s="187"/>
    </row>
    <row r="151" spans="2:48" ht="20.25" customHeight="1" thickBot="1" x14ac:dyDescent="0.25">
      <c r="P151" s="197" t="s">
        <v>519</v>
      </c>
      <c r="Q151" s="197"/>
      <c r="R151" s="197"/>
      <c r="S151" s="197"/>
      <c r="T151" s="192"/>
      <c r="U151" s="193"/>
      <c r="V151" s="193"/>
      <c r="W151" s="194"/>
      <c r="X151" s="186"/>
      <c r="AN151" s="197" t="s">
        <v>519</v>
      </c>
      <c r="AO151" s="197"/>
      <c r="AP151" s="197"/>
      <c r="AQ151" s="197"/>
      <c r="AR151" s="192"/>
      <c r="AS151" s="193"/>
      <c r="AT151" s="193"/>
      <c r="AU151" s="194"/>
    </row>
    <row r="152" spans="2:48" x14ac:dyDescent="0.2">
      <c r="E152" s="196"/>
      <c r="F152" s="196"/>
      <c r="G152" s="196"/>
      <c r="H152" s="196"/>
      <c r="I152" s="196"/>
      <c r="J152" s="196"/>
      <c r="K152" s="196"/>
      <c r="L152" s="196"/>
      <c r="M152" s="196"/>
      <c r="X152" s="186"/>
      <c r="AC152" s="196"/>
      <c r="AD152" s="196"/>
      <c r="AE152" s="196"/>
      <c r="AF152" s="196"/>
      <c r="AG152" s="196"/>
      <c r="AH152" s="196"/>
      <c r="AI152" s="196"/>
      <c r="AJ152" s="196"/>
      <c r="AK152" s="196"/>
    </row>
    <row r="153" spans="2:48" x14ac:dyDescent="0.2">
      <c r="B153" s="1010" t="s">
        <v>521</v>
      </c>
      <c r="C153" s="1010"/>
      <c r="D153" s="1010"/>
      <c r="E153" s="1010"/>
      <c r="F153" s="1010"/>
      <c r="G153" s="1010"/>
      <c r="H153" s="195"/>
      <c r="I153" s="1010" t="s">
        <v>522</v>
      </c>
      <c r="J153" s="1010"/>
      <c r="K153" s="1010"/>
      <c r="L153" s="1010"/>
      <c r="M153" s="1010"/>
      <c r="N153" s="1010"/>
      <c r="O153" s="1010"/>
      <c r="P153" s="1010"/>
      <c r="Q153" s="1010"/>
      <c r="R153" s="1010"/>
      <c r="S153" s="1010"/>
      <c r="T153" s="1010"/>
      <c r="U153" s="1010"/>
      <c r="V153" s="1010"/>
      <c r="W153" s="1010"/>
      <c r="X153" s="198"/>
      <c r="Y153" s="195"/>
      <c r="Z153" s="1010" t="s">
        <v>521</v>
      </c>
      <c r="AA153" s="1010"/>
      <c r="AB153" s="1010"/>
      <c r="AC153" s="1010"/>
      <c r="AD153" s="1010"/>
      <c r="AE153" s="1010"/>
      <c r="AF153" s="195"/>
      <c r="AG153" s="1004" t="s">
        <v>522</v>
      </c>
      <c r="AH153" s="1004"/>
      <c r="AI153" s="1004"/>
      <c r="AJ153" s="1004"/>
      <c r="AK153" s="1004"/>
      <c r="AL153" s="1004"/>
      <c r="AM153" s="1004"/>
      <c r="AN153" s="1004"/>
      <c r="AO153" s="1004"/>
      <c r="AP153" s="1004"/>
      <c r="AQ153" s="1004"/>
      <c r="AR153" s="1004"/>
      <c r="AS153" s="1004"/>
      <c r="AT153" s="1004"/>
      <c r="AU153" s="1004"/>
      <c r="AV153" s="195"/>
    </row>
    <row r="154" spans="2:48" x14ac:dyDescent="0.2">
      <c r="B154" s="1005" t="s">
        <v>520</v>
      </c>
      <c r="C154" s="1006"/>
      <c r="D154" s="1006"/>
      <c r="E154" s="1006"/>
      <c r="F154" s="1006"/>
      <c r="G154" s="1007"/>
      <c r="I154" s="1005" t="s">
        <v>0</v>
      </c>
      <c r="J154" s="1006"/>
      <c r="K154" s="1006"/>
      <c r="L154" s="1006"/>
      <c r="M154" s="1006"/>
      <c r="N154" s="1006"/>
      <c r="O154" s="1006"/>
      <c r="P154" s="1006"/>
      <c r="Q154" s="1006"/>
      <c r="R154" s="1006"/>
      <c r="S154" s="1006"/>
      <c r="T154" s="1006"/>
      <c r="U154" s="1006"/>
      <c r="V154" s="1006"/>
      <c r="W154" s="1007"/>
      <c r="X154" s="186"/>
      <c r="Z154" s="1005" t="s">
        <v>520</v>
      </c>
      <c r="AA154" s="1006"/>
      <c r="AB154" s="1006"/>
      <c r="AC154" s="1006"/>
      <c r="AD154" s="1006"/>
      <c r="AE154" s="1007"/>
      <c r="AG154" s="1005" t="s">
        <v>0</v>
      </c>
      <c r="AH154" s="1006"/>
      <c r="AI154" s="1006"/>
      <c r="AJ154" s="1006"/>
      <c r="AK154" s="1006"/>
      <c r="AL154" s="1006"/>
      <c r="AM154" s="1006"/>
      <c r="AN154" s="1006"/>
      <c r="AO154" s="1006"/>
      <c r="AP154" s="1006"/>
      <c r="AQ154" s="1006"/>
      <c r="AR154" s="1006"/>
      <c r="AS154" s="1006"/>
      <c r="AT154" s="1006"/>
      <c r="AU154" s="1007"/>
    </row>
    <row r="155" spans="2:48" x14ac:dyDescent="0.2">
      <c r="B155" s="199"/>
      <c r="C155" s="200"/>
      <c r="D155" s="200"/>
      <c r="E155" s="200"/>
      <c r="F155" s="200"/>
      <c r="G155" s="201"/>
      <c r="I155" s="199"/>
      <c r="J155" s="200"/>
      <c r="K155" s="200"/>
      <c r="L155" s="200"/>
      <c r="M155" s="200"/>
      <c r="N155" s="200"/>
      <c r="O155" s="200"/>
      <c r="P155" s="200"/>
      <c r="Q155" s="200"/>
      <c r="R155" s="200"/>
      <c r="S155" s="200"/>
      <c r="T155" s="200"/>
      <c r="U155" s="200"/>
      <c r="V155" s="200"/>
      <c r="W155" s="201"/>
      <c r="X155" s="186"/>
      <c r="Z155" s="199"/>
      <c r="AA155" s="200"/>
      <c r="AB155" s="200"/>
      <c r="AC155" s="200"/>
      <c r="AD155" s="200"/>
      <c r="AE155" s="201"/>
      <c r="AG155" s="199"/>
      <c r="AH155" s="200"/>
      <c r="AI155" s="200"/>
      <c r="AJ155" s="200"/>
      <c r="AK155" s="200"/>
      <c r="AL155" s="200"/>
      <c r="AM155" s="200"/>
      <c r="AN155" s="200"/>
      <c r="AO155" s="200"/>
      <c r="AP155" s="200"/>
      <c r="AQ155" s="200"/>
      <c r="AR155" s="200"/>
      <c r="AS155" s="200"/>
      <c r="AT155" s="200"/>
      <c r="AU155" s="201"/>
    </row>
    <row r="156" spans="2:48" x14ac:dyDescent="0.2">
      <c r="X156" s="186"/>
    </row>
    <row r="157" spans="2:48" x14ac:dyDescent="0.2">
      <c r="I157" s="1005" t="s">
        <v>481</v>
      </c>
      <c r="J157" s="1006"/>
      <c r="K157" s="1006"/>
      <c r="L157" s="1006"/>
      <c r="M157" s="1006"/>
      <c r="N157" s="1006"/>
      <c r="O157" s="1006"/>
      <c r="P157" s="1006"/>
      <c r="Q157" s="1007"/>
      <c r="R157" s="1005" t="s">
        <v>520</v>
      </c>
      <c r="S157" s="1006"/>
      <c r="T157" s="1006"/>
      <c r="U157" s="1006"/>
      <c r="V157" s="1006"/>
      <c r="W157" s="1007"/>
      <c r="X157" s="186"/>
      <c r="AG157" s="1005" t="s">
        <v>481</v>
      </c>
      <c r="AH157" s="1006"/>
      <c r="AI157" s="1006"/>
      <c r="AJ157" s="1006"/>
      <c r="AK157" s="1006"/>
      <c r="AL157" s="1006"/>
      <c r="AM157" s="1006"/>
      <c r="AN157" s="1006"/>
      <c r="AO157" s="1007"/>
      <c r="AP157" s="1005" t="s">
        <v>520</v>
      </c>
      <c r="AQ157" s="1006"/>
      <c r="AR157" s="1006"/>
      <c r="AS157" s="1006"/>
      <c r="AT157" s="1006"/>
      <c r="AU157" s="1007"/>
    </row>
    <row r="158" spans="2:48" x14ac:dyDescent="0.2">
      <c r="I158" s="199"/>
      <c r="J158" s="200"/>
      <c r="K158" s="200"/>
      <c r="L158" s="200"/>
      <c r="M158" s="200"/>
      <c r="N158" s="200"/>
      <c r="O158" s="200"/>
      <c r="P158" s="200"/>
      <c r="Q158" s="200"/>
      <c r="R158" s="199"/>
      <c r="S158" s="200"/>
      <c r="T158" s="200"/>
      <c r="U158" s="200"/>
      <c r="V158" s="200"/>
      <c r="W158" s="201"/>
      <c r="X158" s="186"/>
      <c r="AG158" s="199"/>
      <c r="AH158" s="200"/>
      <c r="AI158" s="200"/>
      <c r="AJ158" s="200"/>
      <c r="AK158" s="200"/>
      <c r="AL158" s="200"/>
      <c r="AM158" s="200"/>
      <c r="AN158" s="200"/>
      <c r="AO158" s="200"/>
      <c r="AP158" s="199"/>
      <c r="AQ158" s="200"/>
      <c r="AR158" s="200"/>
      <c r="AS158" s="200"/>
      <c r="AT158" s="200"/>
      <c r="AU158" s="201"/>
    </row>
    <row r="159" spans="2:48" ht="39" customHeight="1" x14ac:dyDescent="0.2">
      <c r="B159" s="392"/>
      <c r="C159" s="392"/>
      <c r="D159" s="392"/>
      <c r="E159" s="392"/>
      <c r="F159" s="392"/>
      <c r="G159" s="392"/>
      <c r="H159" s="392"/>
      <c r="I159" s="392"/>
      <c r="J159" s="392"/>
      <c r="K159" s="392"/>
      <c r="L159" s="392"/>
      <c r="M159" s="392"/>
      <c r="N159" s="392"/>
      <c r="O159" s="392"/>
      <c r="P159" s="392"/>
      <c r="Q159" s="392"/>
      <c r="R159" s="392"/>
      <c r="S159" s="392"/>
      <c r="T159" s="392"/>
      <c r="U159" s="392"/>
      <c r="V159" s="392"/>
      <c r="W159" s="392"/>
      <c r="X159" s="393"/>
      <c r="Y159" s="394"/>
      <c r="Z159" s="392"/>
      <c r="AA159" s="392"/>
      <c r="AB159" s="392"/>
      <c r="AC159" s="392"/>
      <c r="AD159" s="392"/>
      <c r="AE159" s="392"/>
      <c r="AF159" s="392"/>
      <c r="AG159" s="392"/>
      <c r="AH159" s="392"/>
      <c r="AI159" s="392"/>
      <c r="AJ159" s="392"/>
      <c r="AK159" s="392"/>
      <c r="AL159" s="392"/>
      <c r="AM159" s="392"/>
      <c r="AN159" s="392"/>
      <c r="AO159" s="392"/>
      <c r="AP159" s="392"/>
      <c r="AQ159" s="392"/>
      <c r="AR159" s="392"/>
      <c r="AS159" s="392"/>
      <c r="AT159" s="392"/>
      <c r="AU159" s="392"/>
      <c r="AV159" s="392"/>
    </row>
    <row r="160" spans="2:48" ht="39" customHeight="1" x14ac:dyDescent="0.2">
      <c r="B160" s="182"/>
      <c r="C160" s="182"/>
      <c r="D160" s="182"/>
      <c r="E160" s="182"/>
      <c r="F160" s="182"/>
      <c r="G160" s="182"/>
      <c r="H160" s="182"/>
      <c r="I160" s="182"/>
      <c r="J160" s="182"/>
      <c r="K160" s="182"/>
      <c r="L160" s="182"/>
      <c r="M160" s="182"/>
      <c r="N160" s="182"/>
      <c r="O160" s="182"/>
      <c r="P160" s="182"/>
      <c r="Q160" s="182"/>
      <c r="R160" s="182"/>
      <c r="S160" s="182"/>
      <c r="T160" s="182"/>
      <c r="U160" s="182"/>
      <c r="V160" s="182"/>
      <c r="W160" s="182"/>
      <c r="X160" s="183"/>
      <c r="Y160" s="184"/>
      <c r="Z160" s="182"/>
      <c r="AA160" s="182"/>
      <c r="AB160" s="182"/>
      <c r="AC160" s="182"/>
      <c r="AD160" s="182"/>
      <c r="AE160" s="182"/>
      <c r="AF160" s="182"/>
      <c r="AG160" s="182"/>
      <c r="AH160" s="182"/>
      <c r="AI160" s="182"/>
      <c r="AJ160" s="182"/>
      <c r="AK160" s="182"/>
      <c r="AL160" s="182"/>
      <c r="AM160" s="182"/>
      <c r="AN160" s="182"/>
      <c r="AO160" s="182"/>
      <c r="AP160" s="182"/>
      <c r="AQ160" s="182"/>
      <c r="AR160" s="182"/>
      <c r="AS160" s="182"/>
      <c r="AT160" s="182"/>
      <c r="AU160" s="182"/>
      <c r="AV160" s="182"/>
    </row>
    <row r="161" spans="2:48" ht="18" x14ac:dyDescent="0.2">
      <c r="B161" s="182"/>
      <c r="C161" s="182"/>
      <c r="D161" s="182"/>
      <c r="E161" s="182"/>
      <c r="F161" s="182"/>
      <c r="G161" s="182"/>
      <c r="H161" s="992" t="s">
        <v>374</v>
      </c>
      <c r="I161" s="992"/>
      <c r="J161" s="992"/>
      <c r="K161" s="992"/>
      <c r="L161" s="992"/>
      <c r="M161" s="992"/>
      <c r="N161" s="992"/>
      <c r="O161" s="992"/>
      <c r="P161" s="992"/>
      <c r="Q161" s="992"/>
      <c r="R161" s="182"/>
      <c r="S161" s="182"/>
      <c r="T161" s="182"/>
      <c r="U161" s="182"/>
      <c r="V161" s="182"/>
      <c r="W161" s="182"/>
      <c r="X161" s="183"/>
      <c r="Y161" s="182"/>
      <c r="Z161" s="182"/>
      <c r="AA161" s="182"/>
      <c r="AB161" s="182"/>
      <c r="AC161" s="182"/>
      <c r="AD161" s="182"/>
      <c r="AE161" s="992" t="s">
        <v>374</v>
      </c>
      <c r="AF161" s="992"/>
      <c r="AG161" s="992"/>
      <c r="AH161" s="992"/>
      <c r="AI161" s="992"/>
      <c r="AJ161" s="992"/>
      <c r="AK161" s="992"/>
      <c r="AL161" s="992"/>
      <c r="AM161" s="992"/>
      <c r="AN161" s="992"/>
      <c r="AO161" s="182"/>
      <c r="AP161" s="182"/>
      <c r="AQ161" s="182"/>
      <c r="AR161" s="182"/>
      <c r="AS161" s="182"/>
      <c r="AT161" s="182"/>
      <c r="AU161" s="182"/>
      <c r="AV161" s="182"/>
    </row>
    <row r="162" spans="2:48" ht="18" x14ac:dyDescent="0.2">
      <c r="B162" s="182"/>
      <c r="C162" s="182"/>
      <c r="D162" s="182"/>
      <c r="E162" s="182"/>
      <c r="F162" s="182"/>
      <c r="G162" s="182"/>
      <c r="H162" s="1022" t="e">
        <f>VLOOKUP(U171,ID_archer_cible,4,FALSE)</f>
        <v>#N/A</v>
      </c>
      <c r="I162" s="1023"/>
      <c r="J162" s="1023"/>
      <c r="K162" s="1023"/>
      <c r="L162" s="1023"/>
      <c r="M162" s="1023"/>
      <c r="N162" s="1023"/>
      <c r="O162" s="1023"/>
      <c r="P162" s="1023"/>
      <c r="Q162" s="1024"/>
      <c r="R162" s="182"/>
      <c r="S162" s="182"/>
      <c r="T162" s="182"/>
      <c r="U162" s="182"/>
      <c r="V162" s="182"/>
      <c r="W162" s="182"/>
      <c r="X162" s="183"/>
      <c r="Y162" s="182"/>
      <c r="Z162" s="182"/>
      <c r="AA162" s="182"/>
      <c r="AB162" s="182"/>
      <c r="AC162" s="182"/>
      <c r="AD162" s="182"/>
      <c r="AE162" s="1022" t="e">
        <f>VLOOKUP(AS171,ID_archer_cible,4,FALSE)</f>
        <v>#N/A</v>
      </c>
      <c r="AF162" s="1023"/>
      <c r="AG162" s="1023"/>
      <c r="AH162" s="1023"/>
      <c r="AI162" s="1023"/>
      <c r="AJ162" s="1023"/>
      <c r="AK162" s="1023"/>
      <c r="AL162" s="1023"/>
      <c r="AM162" s="1023"/>
      <c r="AN162" s="1024"/>
      <c r="AO162" s="182"/>
      <c r="AP162" s="182"/>
      <c r="AQ162" s="182"/>
      <c r="AR162" s="182"/>
      <c r="AS162" s="182"/>
      <c r="AT162" s="182"/>
      <c r="AU162" s="182"/>
      <c r="AV162" s="182"/>
    </row>
    <row r="163" spans="2:48" x14ac:dyDescent="0.2">
      <c r="X163" s="186"/>
    </row>
    <row r="164" spans="2:48" x14ac:dyDescent="0.2">
      <c r="B164" s="1021" t="s">
        <v>0</v>
      </c>
      <c r="C164" s="1021"/>
      <c r="D164" s="1021"/>
      <c r="E164" s="1021"/>
      <c r="F164" s="1021"/>
      <c r="G164" s="1021"/>
      <c r="H164" s="1021"/>
      <c r="I164" s="1021"/>
      <c r="J164" s="1021"/>
      <c r="K164" s="1021"/>
      <c r="L164" s="1021"/>
      <c r="M164" s="187"/>
      <c r="P164" s="992" t="s">
        <v>375</v>
      </c>
      <c r="Q164" s="992"/>
      <c r="R164" s="992"/>
      <c r="S164" s="992"/>
      <c r="T164" s="992"/>
      <c r="U164" s="992"/>
      <c r="V164" s="992"/>
      <c r="W164" s="992"/>
      <c r="X164" s="188"/>
      <c r="Z164" s="1021" t="s">
        <v>0</v>
      </c>
      <c r="AA164" s="1021"/>
      <c r="AB164" s="1021"/>
      <c r="AC164" s="1021"/>
      <c r="AD164" s="1021"/>
      <c r="AE164" s="1021"/>
      <c r="AF164" s="1021"/>
      <c r="AG164" s="1021"/>
      <c r="AH164" s="1021"/>
      <c r="AI164" s="1021"/>
      <c r="AJ164" s="1021"/>
      <c r="AK164" s="187"/>
      <c r="AN164" s="992" t="s">
        <v>375</v>
      </c>
      <c r="AO164" s="992"/>
      <c r="AP164" s="992"/>
      <c r="AQ164" s="992"/>
      <c r="AR164" s="992"/>
      <c r="AS164" s="992"/>
      <c r="AT164" s="992"/>
      <c r="AU164" s="992"/>
      <c r="AV164" s="187"/>
    </row>
    <row r="165" spans="2:48" x14ac:dyDescent="0.2">
      <c r="B165" s="999" t="e">
        <f>VLOOKUP(U171,ID_archer_cible,2,FALSE)</f>
        <v>#N/A</v>
      </c>
      <c r="C165" s="1000"/>
      <c r="D165" s="1000"/>
      <c r="E165" s="1000"/>
      <c r="F165" s="1000"/>
      <c r="G165" s="1000"/>
      <c r="H165" s="1000"/>
      <c r="I165" s="1000"/>
      <c r="J165" s="1000"/>
      <c r="K165" s="1000"/>
      <c r="L165" s="1000"/>
      <c r="M165" s="1001"/>
      <c r="P165" s="999" t="e">
        <f>VLOOKUP(U171,ID_archer_cible,3,FALSE)</f>
        <v>#N/A</v>
      </c>
      <c r="Q165" s="1000"/>
      <c r="R165" s="1000"/>
      <c r="S165" s="1000"/>
      <c r="T165" s="1000"/>
      <c r="U165" s="1000"/>
      <c r="V165" s="1000"/>
      <c r="W165" s="1001"/>
      <c r="X165" s="186"/>
      <c r="Y165"/>
      <c r="Z165" s="999" t="e">
        <f>VLOOKUP(AS171,ID_archer_cible,2,FALSE)</f>
        <v>#N/A</v>
      </c>
      <c r="AA165" s="1000"/>
      <c r="AB165" s="1000"/>
      <c r="AC165" s="1000"/>
      <c r="AD165" s="1000"/>
      <c r="AE165" s="1000"/>
      <c r="AF165" s="1000"/>
      <c r="AG165" s="1000"/>
      <c r="AH165" s="1000"/>
      <c r="AI165" s="1000"/>
      <c r="AJ165" s="1000"/>
      <c r="AK165" s="1001"/>
      <c r="AN165" s="999" t="e">
        <f>VLOOKUP(AS171,ID_archer_cible,3,FALSE)</f>
        <v>#N/A</v>
      </c>
      <c r="AO165" s="1000"/>
      <c r="AP165" s="1000"/>
      <c r="AQ165" s="1000"/>
      <c r="AR165" s="1000"/>
      <c r="AS165" s="1000"/>
      <c r="AT165" s="1000"/>
      <c r="AU165" s="1001"/>
    </row>
    <row r="166" spans="2:48" x14ac:dyDescent="0.2">
      <c r="X166" s="186"/>
      <c r="Y166"/>
    </row>
    <row r="167" spans="2:48" ht="16.5" thickBot="1" x14ac:dyDescent="0.25">
      <c r="B167" s="1017" t="s">
        <v>1</v>
      </c>
      <c r="C167" s="1017"/>
      <c r="D167" s="1017"/>
      <c r="E167" s="1017"/>
      <c r="F167" s="1017"/>
      <c r="G167" s="1017"/>
      <c r="H167" s="1017"/>
      <c r="I167" s="1017"/>
      <c r="J167" s="1017"/>
      <c r="L167" s="1017" t="s">
        <v>505</v>
      </c>
      <c r="M167" s="1017"/>
      <c r="N167" s="1017"/>
      <c r="O167" s="1017"/>
      <c r="P167" s="1017"/>
      <c r="Q167" s="1017"/>
      <c r="S167" s="992" t="s">
        <v>506</v>
      </c>
      <c r="T167" s="992"/>
      <c r="U167" s="992"/>
      <c r="V167" s="992"/>
      <c r="W167" s="992"/>
      <c r="X167" s="188"/>
      <c r="Y167"/>
      <c r="Z167" s="1017" t="s">
        <v>1</v>
      </c>
      <c r="AA167" s="1017"/>
      <c r="AB167" s="1017"/>
      <c r="AC167" s="1017"/>
      <c r="AD167" s="1017"/>
      <c r="AE167" s="1017"/>
      <c r="AF167" s="1017"/>
      <c r="AG167" s="1017"/>
      <c r="AH167" s="1017"/>
      <c r="AJ167" s="1017" t="s">
        <v>505</v>
      </c>
      <c r="AK167" s="1017"/>
      <c r="AL167" s="1017"/>
      <c r="AM167" s="1017"/>
      <c r="AN167" s="1017"/>
      <c r="AO167" s="1017"/>
      <c r="AQ167" s="992" t="s">
        <v>506</v>
      </c>
      <c r="AR167" s="992"/>
      <c r="AS167" s="992"/>
      <c r="AT167" s="992"/>
      <c r="AU167" s="992"/>
      <c r="AV167" s="187"/>
    </row>
    <row r="168" spans="2:48" ht="16.5" thickBot="1" x14ac:dyDescent="0.25">
      <c r="B168" s="1014" t="e">
        <f>VLOOKUP(U171,ID_archer_cible,5,FALSE)</f>
        <v>#N/A</v>
      </c>
      <c r="C168" s="1015"/>
      <c r="D168" s="1015"/>
      <c r="E168" s="1015"/>
      <c r="F168" s="1015"/>
      <c r="G168" s="1015"/>
      <c r="H168" s="1015"/>
      <c r="I168" s="1015"/>
      <c r="J168" s="1016"/>
      <c r="L168" s="1014" t="e">
        <f>VLOOKUP(U171,ID_archer_cible,6,FALSE)</f>
        <v>#N/A</v>
      </c>
      <c r="M168" s="1015"/>
      <c r="N168" s="1015"/>
      <c r="O168" s="1015"/>
      <c r="P168" s="1015"/>
      <c r="Q168" s="1016"/>
      <c r="S168" s="999" t="e">
        <f>VLOOKUP(U171,ID_archer_cible,8,FALSE)</f>
        <v>#N/A</v>
      </c>
      <c r="T168" s="1000"/>
      <c r="U168" s="1000"/>
      <c r="V168" s="1000"/>
      <c r="W168" s="1001"/>
      <c r="X168" s="186"/>
      <c r="Y168"/>
      <c r="Z168" s="1014" t="e">
        <f>VLOOKUP(AS171,ID_archer_cible,5,FALSE)</f>
        <v>#N/A</v>
      </c>
      <c r="AA168" s="1015"/>
      <c r="AB168" s="1015"/>
      <c r="AC168" s="1015"/>
      <c r="AD168" s="1015"/>
      <c r="AE168" s="1015"/>
      <c r="AF168" s="1015"/>
      <c r="AG168" s="1015"/>
      <c r="AH168" s="1016"/>
      <c r="AJ168" s="1014" t="e">
        <f>VLOOKUP(AS171,ID_archer_cible,6,FALSE)</f>
        <v>#N/A</v>
      </c>
      <c r="AK168" s="1015"/>
      <c r="AL168" s="1015"/>
      <c r="AM168" s="1015"/>
      <c r="AN168" s="1015"/>
      <c r="AO168" s="1016"/>
      <c r="AQ168" s="999" t="e">
        <f>VLOOKUP(AS171,ID_archer_cible,8,FALSE)</f>
        <v>#N/A</v>
      </c>
      <c r="AR168" s="1000"/>
      <c r="AS168" s="1000"/>
      <c r="AT168" s="1000"/>
      <c r="AU168" s="1001"/>
    </row>
    <row r="169" spans="2:48" x14ac:dyDescent="0.2">
      <c r="X169" s="186"/>
      <c r="Y169"/>
    </row>
    <row r="170" spans="2:48" x14ac:dyDescent="0.2">
      <c r="B170" s="992" t="s">
        <v>530</v>
      </c>
      <c r="C170" s="992"/>
      <c r="D170" s="992"/>
      <c r="E170" s="992"/>
      <c r="F170" s="992"/>
      <c r="G170" s="187"/>
      <c r="H170" s="992" t="s">
        <v>504</v>
      </c>
      <c r="I170" s="992"/>
      <c r="J170" s="992"/>
      <c r="K170" s="992"/>
      <c r="M170" s="992" t="s">
        <v>39</v>
      </c>
      <c r="N170" s="992"/>
      <c r="O170" s="992"/>
      <c r="Q170" s="1021"/>
      <c r="R170" s="1021"/>
      <c r="S170" s="1021"/>
      <c r="U170" s="992" t="s">
        <v>507</v>
      </c>
      <c r="V170" s="992"/>
      <c r="W170" s="992"/>
      <c r="X170" s="188"/>
      <c r="Y170"/>
      <c r="Z170" s="992" t="s">
        <v>530</v>
      </c>
      <c r="AA170" s="992"/>
      <c r="AB170" s="992"/>
      <c r="AC170" s="992"/>
      <c r="AD170" s="992"/>
      <c r="AE170" s="187"/>
      <c r="AF170" s="992" t="s">
        <v>504</v>
      </c>
      <c r="AG170" s="992"/>
      <c r="AH170" s="992"/>
      <c r="AI170" s="992"/>
      <c r="AK170" s="992" t="s">
        <v>39</v>
      </c>
      <c r="AL170" s="992"/>
      <c r="AM170" s="992"/>
      <c r="AO170" s="1021"/>
      <c r="AP170" s="1021"/>
      <c r="AQ170" s="1021"/>
      <c r="AS170" s="992" t="s">
        <v>507</v>
      </c>
      <c r="AT170" s="992"/>
      <c r="AU170" s="992"/>
      <c r="AV170" s="187"/>
    </row>
    <row r="171" spans="2:48" ht="15.75" x14ac:dyDescent="0.2">
      <c r="B171" s="1011" t="e">
        <f>VLOOKUP(U171,ID_archer_cible,7,FALSE)</f>
        <v>#N/A</v>
      </c>
      <c r="C171" s="1012"/>
      <c r="D171" s="1012"/>
      <c r="E171" s="1012"/>
      <c r="F171" s="1013"/>
      <c r="H171" s="999" t="e">
        <f>VLOOKUP(U171,ID_archer_cible,9,FALSE)</f>
        <v>#N/A</v>
      </c>
      <c r="I171" s="1000"/>
      <c r="J171" s="1000"/>
      <c r="K171" s="1001"/>
      <c r="M171" s="999" t="e">
        <f>VLOOKUP(U171,ID_archer_cible,10,FALSE)</f>
        <v>#N/A</v>
      </c>
      <c r="N171" s="1000"/>
      <c r="O171" s="1001"/>
      <c r="Q171" s="1021"/>
      <c r="R171" s="1021"/>
      <c r="S171" s="1021"/>
      <c r="T171" s="187"/>
      <c r="U171" s="996" t="str">
        <f>AR129&amp;"C"</f>
        <v>3C</v>
      </c>
      <c r="V171" s="997"/>
      <c r="W171" s="998"/>
      <c r="X171" s="188"/>
      <c r="Y171"/>
      <c r="Z171" s="1011" t="e">
        <f>VLOOKUP(AS171,ID_archer_cible,7,FALSE)</f>
        <v>#N/A</v>
      </c>
      <c r="AA171" s="1012"/>
      <c r="AB171" s="1012"/>
      <c r="AC171" s="1012"/>
      <c r="AD171" s="1013"/>
      <c r="AF171" s="999" t="e">
        <f>VLOOKUP(AS171,ID_archer_cible,9,FALSE)</f>
        <v>#N/A</v>
      </c>
      <c r="AG171" s="1000"/>
      <c r="AH171" s="1000"/>
      <c r="AI171" s="1001"/>
      <c r="AK171" s="999" t="e">
        <f>VLOOKUP(AS171,ID_archer_cible,10,FALSE)</f>
        <v>#N/A</v>
      </c>
      <c r="AL171" s="1000"/>
      <c r="AM171" s="1001"/>
      <c r="AO171" s="1021"/>
      <c r="AP171" s="1021"/>
      <c r="AQ171" s="1021"/>
      <c r="AR171" s="187"/>
      <c r="AS171" s="996" t="str">
        <f>AR129&amp;"D"</f>
        <v>3D</v>
      </c>
      <c r="AT171" s="997"/>
      <c r="AU171" s="998"/>
      <c r="AV171" s="187"/>
    </row>
    <row r="172" spans="2:48" x14ac:dyDescent="0.2">
      <c r="X172" s="186"/>
    </row>
    <row r="173" spans="2:48" x14ac:dyDescent="0.2">
      <c r="B173" s="185" t="s">
        <v>509</v>
      </c>
      <c r="E173" s="992" t="s">
        <v>510</v>
      </c>
      <c r="F173" s="992"/>
      <c r="G173" s="992"/>
      <c r="H173" s="992"/>
      <c r="I173" s="992"/>
      <c r="J173" s="992"/>
      <c r="K173" s="992"/>
      <c r="L173" s="992"/>
      <c r="M173" s="992"/>
      <c r="N173" s="992"/>
      <c r="P173" s="992" t="s">
        <v>511</v>
      </c>
      <c r="Q173" s="992"/>
      <c r="R173" s="992"/>
      <c r="X173" s="186"/>
      <c r="Z173" s="185" t="s">
        <v>509</v>
      </c>
      <c r="AC173" s="992" t="s">
        <v>510</v>
      </c>
      <c r="AD173" s="992"/>
      <c r="AE173" s="992"/>
      <c r="AF173" s="992"/>
      <c r="AG173" s="992"/>
      <c r="AH173" s="992"/>
      <c r="AI173" s="992"/>
      <c r="AJ173" s="992"/>
      <c r="AK173" s="992"/>
      <c r="AL173" s="992"/>
      <c r="AN173" s="992" t="s">
        <v>511</v>
      </c>
      <c r="AO173" s="992"/>
      <c r="AP173" s="992"/>
    </row>
    <row r="174" spans="2:48" ht="20.25" customHeight="1" x14ac:dyDescent="0.2">
      <c r="B174" s="1009" t="s">
        <v>513</v>
      </c>
      <c r="C174" s="1009"/>
      <c r="E174" s="189"/>
      <c r="F174" s="191"/>
      <c r="G174" s="189"/>
      <c r="H174" s="191"/>
      <c r="I174" s="189"/>
      <c r="J174" s="191"/>
      <c r="K174" s="189"/>
      <c r="L174" s="191"/>
      <c r="M174" s="189"/>
      <c r="N174" s="191"/>
      <c r="P174" s="189"/>
      <c r="Q174" s="190"/>
      <c r="R174" s="191"/>
      <c r="T174" s="992" t="s">
        <v>512</v>
      </c>
      <c r="U174" s="992"/>
      <c r="V174" s="992"/>
      <c r="W174" s="992"/>
      <c r="X174" s="188"/>
      <c r="Z174" s="1009" t="s">
        <v>513</v>
      </c>
      <c r="AA174" s="1009"/>
      <c r="AC174" s="189"/>
      <c r="AD174" s="191"/>
      <c r="AE174" s="189"/>
      <c r="AF174" s="191"/>
      <c r="AG174" s="189"/>
      <c r="AH174" s="191"/>
      <c r="AI174" s="189"/>
      <c r="AJ174" s="191"/>
      <c r="AK174" s="189"/>
      <c r="AL174" s="191"/>
      <c r="AN174" s="189"/>
      <c r="AO174" s="190"/>
      <c r="AP174" s="191"/>
      <c r="AR174" s="992" t="s">
        <v>512</v>
      </c>
      <c r="AS174" s="992"/>
      <c r="AT174" s="992"/>
      <c r="AU174" s="992"/>
      <c r="AV174" s="187"/>
    </row>
    <row r="175" spans="2:48" ht="20.25" customHeight="1" x14ac:dyDescent="0.2">
      <c r="B175" s="1009" t="s">
        <v>514</v>
      </c>
      <c r="C175" s="1009"/>
      <c r="E175" s="189"/>
      <c r="F175" s="191"/>
      <c r="G175" s="189"/>
      <c r="H175" s="191"/>
      <c r="I175" s="189"/>
      <c r="J175" s="191"/>
      <c r="K175" s="189"/>
      <c r="L175" s="191"/>
      <c r="M175" s="189"/>
      <c r="N175" s="191"/>
      <c r="P175" s="189"/>
      <c r="Q175" s="190"/>
      <c r="R175" s="191"/>
      <c r="T175" s="189"/>
      <c r="U175" s="190"/>
      <c r="V175" s="190"/>
      <c r="W175" s="191"/>
      <c r="X175" s="186"/>
      <c r="Z175" s="1009" t="s">
        <v>514</v>
      </c>
      <c r="AA175" s="1009"/>
      <c r="AC175" s="189"/>
      <c r="AD175" s="191"/>
      <c r="AE175" s="189"/>
      <c r="AF175" s="191"/>
      <c r="AG175" s="189"/>
      <c r="AH175" s="191"/>
      <c r="AI175" s="189"/>
      <c r="AJ175" s="191"/>
      <c r="AK175" s="189"/>
      <c r="AL175" s="191"/>
      <c r="AN175" s="189"/>
      <c r="AO175" s="190"/>
      <c r="AP175" s="191"/>
      <c r="AR175" s="189"/>
      <c r="AS175" s="190"/>
      <c r="AT175" s="190"/>
      <c r="AU175" s="191"/>
    </row>
    <row r="176" spans="2:48" ht="20.25" customHeight="1" x14ac:dyDescent="0.2">
      <c r="B176" s="1009" t="s">
        <v>515</v>
      </c>
      <c r="C176" s="1009"/>
      <c r="E176" s="189"/>
      <c r="F176" s="191"/>
      <c r="G176" s="189"/>
      <c r="H176" s="191"/>
      <c r="I176" s="189"/>
      <c r="J176" s="191"/>
      <c r="K176" s="189"/>
      <c r="L176" s="191"/>
      <c r="M176" s="189"/>
      <c r="N176" s="191"/>
      <c r="P176" s="189"/>
      <c r="Q176" s="190"/>
      <c r="R176" s="191"/>
      <c r="T176" s="189"/>
      <c r="U176" s="190"/>
      <c r="V176" s="190"/>
      <c r="W176" s="191"/>
      <c r="X176" s="186"/>
      <c r="Z176" s="1009" t="s">
        <v>515</v>
      </c>
      <c r="AA176" s="1009"/>
      <c r="AC176" s="189"/>
      <c r="AD176" s="191"/>
      <c r="AE176" s="189"/>
      <c r="AF176" s="191"/>
      <c r="AG176" s="189"/>
      <c r="AH176" s="191"/>
      <c r="AI176" s="189"/>
      <c r="AJ176" s="191"/>
      <c r="AK176" s="189"/>
      <c r="AL176" s="191"/>
      <c r="AN176" s="189"/>
      <c r="AO176" s="190"/>
      <c r="AP176" s="191"/>
      <c r="AR176" s="189"/>
      <c r="AS176" s="190"/>
      <c r="AT176" s="190"/>
      <c r="AU176" s="191"/>
    </row>
    <row r="177" spans="2:48" ht="20.25" customHeight="1" x14ac:dyDescent="0.2">
      <c r="B177" s="1009" t="s">
        <v>516</v>
      </c>
      <c r="C177" s="1009"/>
      <c r="E177" s="189"/>
      <c r="F177" s="191"/>
      <c r="G177" s="189"/>
      <c r="H177" s="191"/>
      <c r="I177" s="189"/>
      <c r="J177" s="191"/>
      <c r="K177" s="189"/>
      <c r="L177" s="191"/>
      <c r="M177" s="189"/>
      <c r="N177" s="191"/>
      <c r="P177" s="189"/>
      <c r="Q177" s="190"/>
      <c r="R177" s="191"/>
      <c r="T177" s="189"/>
      <c r="U177" s="190"/>
      <c r="V177" s="190"/>
      <c r="W177" s="191"/>
      <c r="X177" s="186"/>
      <c r="Z177" s="1009" t="s">
        <v>516</v>
      </c>
      <c r="AA177" s="1009"/>
      <c r="AC177" s="189"/>
      <c r="AD177" s="191"/>
      <c r="AE177" s="189"/>
      <c r="AF177" s="191"/>
      <c r="AG177" s="189"/>
      <c r="AH177" s="191"/>
      <c r="AI177" s="189"/>
      <c r="AJ177" s="191"/>
      <c r="AK177" s="189"/>
      <c r="AL177" s="191"/>
      <c r="AN177" s="189"/>
      <c r="AO177" s="190"/>
      <c r="AP177" s="191"/>
      <c r="AR177" s="189"/>
      <c r="AS177" s="190"/>
      <c r="AT177" s="190"/>
      <c r="AU177" s="191"/>
    </row>
    <row r="178" spans="2:48" ht="20.25" customHeight="1" x14ac:dyDescent="0.2">
      <c r="B178" s="1009" t="s">
        <v>517</v>
      </c>
      <c r="C178" s="1009"/>
      <c r="E178" s="189"/>
      <c r="F178" s="191"/>
      <c r="G178" s="189"/>
      <c r="H178" s="191"/>
      <c r="I178" s="189"/>
      <c r="J178" s="191"/>
      <c r="K178" s="189"/>
      <c r="L178" s="191"/>
      <c r="M178" s="189"/>
      <c r="N178" s="191"/>
      <c r="P178" s="189"/>
      <c r="Q178" s="190"/>
      <c r="R178" s="191"/>
      <c r="T178" s="189"/>
      <c r="U178" s="190"/>
      <c r="V178" s="190"/>
      <c r="W178" s="191"/>
      <c r="X178" s="186"/>
      <c r="Z178" s="1009" t="s">
        <v>517</v>
      </c>
      <c r="AA178" s="1009"/>
      <c r="AC178" s="189"/>
      <c r="AD178" s="191"/>
      <c r="AE178" s="189"/>
      <c r="AF178" s="191"/>
      <c r="AG178" s="189"/>
      <c r="AH178" s="191"/>
      <c r="AI178" s="189"/>
      <c r="AJ178" s="191"/>
      <c r="AK178" s="189"/>
      <c r="AL178" s="191"/>
      <c r="AN178" s="189"/>
      <c r="AO178" s="190"/>
      <c r="AP178" s="191"/>
      <c r="AR178" s="189"/>
      <c r="AS178" s="190"/>
      <c r="AT178" s="190"/>
      <c r="AU178" s="191"/>
    </row>
    <row r="179" spans="2:48" ht="20.25" customHeight="1" x14ac:dyDescent="0.2">
      <c r="B179" s="1009" t="s">
        <v>518</v>
      </c>
      <c r="C179" s="1009"/>
      <c r="E179" s="189"/>
      <c r="F179" s="191"/>
      <c r="G179" s="189"/>
      <c r="H179" s="191"/>
      <c r="I179" s="189"/>
      <c r="J179" s="191"/>
      <c r="K179" s="189"/>
      <c r="L179" s="191"/>
      <c r="M179" s="189"/>
      <c r="N179" s="191"/>
      <c r="P179" s="189"/>
      <c r="Q179" s="190"/>
      <c r="R179" s="191"/>
      <c r="T179" s="189"/>
      <c r="U179" s="190"/>
      <c r="V179" s="190"/>
      <c r="W179" s="191"/>
      <c r="X179" s="186"/>
      <c r="Z179" s="1009" t="s">
        <v>518</v>
      </c>
      <c r="AA179" s="1009"/>
      <c r="AC179" s="189"/>
      <c r="AD179" s="191"/>
      <c r="AE179" s="189"/>
      <c r="AF179" s="191"/>
      <c r="AG179" s="189"/>
      <c r="AH179" s="191"/>
      <c r="AI179" s="189"/>
      <c r="AJ179" s="191"/>
      <c r="AK179" s="189"/>
      <c r="AL179" s="191"/>
      <c r="AN179" s="189"/>
      <c r="AO179" s="190"/>
      <c r="AP179" s="191"/>
      <c r="AR179" s="189"/>
      <c r="AS179" s="190"/>
      <c r="AT179" s="190"/>
      <c r="AU179" s="191"/>
    </row>
    <row r="180" spans="2:48" ht="15.75" thickBot="1" x14ac:dyDescent="0.25">
      <c r="B180" s="187"/>
      <c r="C180" s="187"/>
      <c r="X180" s="186"/>
      <c r="Z180" s="187"/>
      <c r="AA180" s="187"/>
    </row>
    <row r="181" spans="2:48" ht="20.25" customHeight="1" thickBot="1" x14ac:dyDescent="0.25">
      <c r="P181" s="197" t="s">
        <v>519</v>
      </c>
      <c r="Q181" s="197"/>
      <c r="R181" s="197"/>
      <c r="S181" s="197"/>
      <c r="T181" s="192"/>
      <c r="U181" s="193"/>
      <c r="V181" s="193"/>
      <c r="W181" s="194"/>
      <c r="X181" s="186"/>
      <c r="AN181" s="197" t="s">
        <v>519</v>
      </c>
      <c r="AO181" s="197"/>
      <c r="AP181" s="197"/>
      <c r="AQ181" s="197"/>
      <c r="AR181" s="192"/>
      <c r="AS181" s="193"/>
      <c r="AT181" s="193"/>
      <c r="AU181" s="194"/>
    </row>
    <row r="182" spans="2:48" x14ac:dyDescent="0.2">
      <c r="E182" s="196"/>
      <c r="F182" s="196"/>
      <c r="G182" s="196"/>
      <c r="H182" s="196"/>
      <c r="I182" s="196"/>
      <c r="J182" s="196"/>
      <c r="K182" s="196"/>
      <c r="L182" s="196"/>
      <c r="M182" s="196"/>
      <c r="X182" s="186"/>
      <c r="AC182" s="196"/>
      <c r="AD182" s="196"/>
      <c r="AE182" s="196"/>
      <c r="AF182" s="196"/>
      <c r="AG182" s="196"/>
      <c r="AH182" s="196"/>
      <c r="AI182" s="196"/>
      <c r="AJ182" s="196"/>
      <c r="AK182" s="196"/>
    </row>
    <row r="183" spans="2:48" x14ac:dyDescent="0.2">
      <c r="B183" s="1010" t="s">
        <v>521</v>
      </c>
      <c r="C183" s="1010"/>
      <c r="D183" s="1010"/>
      <c r="E183" s="1010"/>
      <c r="F183" s="1010"/>
      <c r="G183" s="1010"/>
      <c r="H183" s="195"/>
      <c r="I183" s="1004" t="s">
        <v>522</v>
      </c>
      <c r="J183" s="1004"/>
      <c r="K183" s="1004"/>
      <c r="L183" s="1004"/>
      <c r="M183" s="1004"/>
      <c r="N183" s="1004"/>
      <c r="O183" s="1004"/>
      <c r="P183" s="1004"/>
      <c r="Q183" s="1004"/>
      <c r="R183" s="1004"/>
      <c r="S183" s="1004"/>
      <c r="T183" s="1004"/>
      <c r="U183" s="1004"/>
      <c r="V183" s="1004"/>
      <c r="W183" s="1004"/>
      <c r="X183" s="198"/>
      <c r="Y183" s="195"/>
      <c r="Z183" s="1010" t="s">
        <v>521</v>
      </c>
      <c r="AA183" s="1010"/>
      <c r="AB183" s="1010"/>
      <c r="AC183" s="1010"/>
      <c r="AD183" s="1010"/>
      <c r="AE183" s="1010"/>
      <c r="AF183" s="195"/>
      <c r="AG183" s="1004" t="s">
        <v>522</v>
      </c>
      <c r="AH183" s="1004"/>
      <c r="AI183" s="1004"/>
      <c r="AJ183" s="1004"/>
      <c r="AK183" s="1004"/>
      <c r="AL183" s="1004"/>
      <c r="AM183" s="1004"/>
      <c r="AN183" s="1004"/>
      <c r="AO183" s="1004"/>
      <c r="AP183" s="1004"/>
      <c r="AQ183" s="1004"/>
      <c r="AR183" s="1004"/>
      <c r="AS183" s="1004"/>
      <c r="AT183" s="1004"/>
      <c r="AU183" s="1004"/>
      <c r="AV183" s="195"/>
    </row>
    <row r="184" spans="2:48" x14ac:dyDescent="0.2">
      <c r="B184" s="1005" t="s">
        <v>520</v>
      </c>
      <c r="C184" s="1006"/>
      <c r="D184" s="1006"/>
      <c r="E184" s="1006"/>
      <c r="F184" s="1006"/>
      <c r="G184" s="1007"/>
      <c r="I184" s="1005" t="s">
        <v>0</v>
      </c>
      <c r="J184" s="1006"/>
      <c r="K184" s="1006"/>
      <c r="L184" s="1006"/>
      <c r="M184" s="1006"/>
      <c r="N184" s="1006"/>
      <c r="O184" s="1006"/>
      <c r="P184" s="1006"/>
      <c r="Q184" s="1006"/>
      <c r="R184" s="1006"/>
      <c r="S184" s="1006"/>
      <c r="T184" s="1006"/>
      <c r="U184" s="1006"/>
      <c r="V184" s="1006"/>
      <c r="W184" s="1007"/>
      <c r="X184" s="186"/>
      <c r="Z184" s="1005" t="s">
        <v>520</v>
      </c>
      <c r="AA184" s="1006"/>
      <c r="AB184" s="1006"/>
      <c r="AC184" s="1006"/>
      <c r="AD184" s="1006"/>
      <c r="AE184" s="1007"/>
      <c r="AG184" s="1005" t="s">
        <v>0</v>
      </c>
      <c r="AH184" s="1006"/>
      <c r="AI184" s="1006"/>
      <c r="AJ184" s="1006"/>
      <c r="AK184" s="1006"/>
      <c r="AL184" s="1006"/>
      <c r="AM184" s="1006"/>
      <c r="AN184" s="1006"/>
      <c r="AO184" s="1006"/>
      <c r="AP184" s="1006"/>
      <c r="AQ184" s="1006"/>
      <c r="AR184" s="1006"/>
      <c r="AS184" s="1006"/>
      <c r="AT184" s="1006"/>
      <c r="AU184" s="1007"/>
    </row>
    <row r="185" spans="2:48" x14ac:dyDescent="0.2">
      <c r="B185" s="199"/>
      <c r="C185" s="200"/>
      <c r="D185" s="200"/>
      <c r="E185" s="200"/>
      <c r="F185" s="200"/>
      <c r="G185" s="201"/>
      <c r="I185" s="199"/>
      <c r="J185" s="200"/>
      <c r="K185" s="200"/>
      <c r="L185" s="200"/>
      <c r="M185" s="200"/>
      <c r="N185" s="200"/>
      <c r="O185" s="200"/>
      <c r="P185" s="200"/>
      <c r="Q185" s="200"/>
      <c r="R185" s="200"/>
      <c r="S185" s="200"/>
      <c r="T185" s="200"/>
      <c r="U185" s="200"/>
      <c r="V185" s="200"/>
      <c r="W185" s="201"/>
      <c r="X185" s="186"/>
      <c r="Z185" s="199"/>
      <c r="AA185" s="200"/>
      <c r="AB185" s="200"/>
      <c r="AC185" s="200"/>
      <c r="AD185" s="200"/>
      <c r="AE185" s="201"/>
      <c r="AG185" s="199"/>
      <c r="AH185" s="200"/>
      <c r="AI185" s="200"/>
      <c r="AJ185" s="200"/>
      <c r="AK185" s="200"/>
      <c r="AL185" s="200"/>
      <c r="AM185" s="200"/>
      <c r="AN185" s="200"/>
      <c r="AO185" s="200"/>
      <c r="AP185" s="200"/>
      <c r="AQ185" s="200"/>
      <c r="AR185" s="200"/>
      <c r="AS185" s="200"/>
      <c r="AT185" s="200"/>
      <c r="AU185" s="201"/>
    </row>
    <row r="186" spans="2:48" x14ac:dyDescent="0.2">
      <c r="X186" s="186"/>
    </row>
    <row r="187" spans="2:48" x14ac:dyDescent="0.2">
      <c r="I187" s="1005" t="s">
        <v>481</v>
      </c>
      <c r="J187" s="1006"/>
      <c r="K187" s="1006"/>
      <c r="L187" s="1006"/>
      <c r="M187" s="1006"/>
      <c r="N187" s="1006"/>
      <c r="O187" s="1006"/>
      <c r="P187" s="1006"/>
      <c r="Q187" s="1007"/>
      <c r="R187" s="1005" t="s">
        <v>520</v>
      </c>
      <c r="S187" s="1006"/>
      <c r="T187" s="1006"/>
      <c r="U187" s="1006"/>
      <c r="V187" s="1006"/>
      <c r="W187" s="1007"/>
      <c r="X187" s="186"/>
      <c r="AG187" s="1005" t="s">
        <v>481</v>
      </c>
      <c r="AH187" s="1006"/>
      <c r="AI187" s="1006"/>
      <c r="AJ187" s="1006"/>
      <c r="AK187" s="1006"/>
      <c r="AL187" s="1006"/>
      <c r="AM187" s="1006"/>
      <c r="AN187" s="1006"/>
      <c r="AO187" s="1007"/>
      <c r="AP187" s="1005" t="s">
        <v>520</v>
      </c>
      <c r="AQ187" s="1006"/>
      <c r="AR187" s="1006"/>
      <c r="AS187" s="1006"/>
      <c r="AT187" s="1006"/>
      <c r="AU187" s="1007"/>
    </row>
    <row r="188" spans="2:48" x14ac:dyDescent="0.2">
      <c r="I188" s="199"/>
      <c r="J188" s="200"/>
      <c r="K188" s="200"/>
      <c r="L188" s="200"/>
      <c r="M188" s="200"/>
      <c r="N188" s="200"/>
      <c r="O188" s="200"/>
      <c r="P188" s="200"/>
      <c r="Q188" s="200"/>
      <c r="R188" s="199"/>
      <c r="S188" s="200"/>
      <c r="T188" s="200"/>
      <c r="U188" s="200"/>
      <c r="V188" s="200"/>
      <c r="W188" s="201"/>
      <c r="X188" s="186"/>
      <c r="AG188" s="199"/>
      <c r="AH188" s="200"/>
      <c r="AI188" s="200"/>
      <c r="AJ188" s="200"/>
      <c r="AK188" s="200"/>
      <c r="AL188" s="200"/>
      <c r="AM188" s="200"/>
      <c r="AN188" s="200"/>
      <c r="AO188" s="200"/>
      <c r="AP188" s="199"/>
      <c r="AQ188" s="200"/>
      <c r="AR188" s="200"/>
      <c r="AS188" s="200"/>
      <c r="AT188" s="200"/>
      <c r="AU188" s="201"/>
    </row>
    <row r="190" spans="2:48" ht="57.75" customHeight="1" x14ac:dyDescent="0.2">
      <c r="B190" s="1058" t="str">
        <f>Championnat</f>
        <v>Championnat de France de Tir à l'ARC</v>
      </c>
      <c r="C190" s="1058"/>
      <c r="D190" s="1058"/>
      <c r="E190" s="1058"/>
      <c r="F190" s="1058"/>
      <c r="G190" s="1058"/>
      <c r="H190" s="1058"/>
      <c r="I190" s="1058"/>
      <c r="J190" s="1058"/>
      <c r="K190" s="1058"/>
      <c r="L190" s="1058"/>
      <c r="M190" s="1058"/>
      <c r="N190" s="1058"/>
      <c r="O190" s="1058"/>
      <c r="P190" s="1058"/>
      <c r="Q190" s="1058"/>
      <c r="R190" s="1058"/>
      <c r="S190" s="1058"/>
      <c r="T190" s="1058"/>
      <c r="U190" s="1058"/>
      <c r="V190" s="1058"/>
      <c r="W190" s="1058"/>
      <c r="X190" s="1058"/>
      <c r="Y190" s="1058"/>
      <c r="Z190" s="1058"/>
      <c r="AA190" s="1058"/>
      <c r="AB190" s="1058"/>
      <c r="AC190" s="1058"/>
      <c r="AD190" s="1058"/>
      <c r="AE190" s="1058"/>
      <c r="AF190" s="1058"/>
      <c r="AG190" s="1058"/>
      <c r="AH190" s="1058"/>
      <c r="AI190" s="1058"/>
      <c r="AJ190" s="1058"/>
      <c r="AK190" s="1058"/>
      <c r="AL190" s="1058"/>
      <c r="AM190" s="1058"/>
      <c r="AN190" s="1058"/>
      <c r="AO190" s="1058"/>
      <c r="AP190" s="1058"/>
    </row>
    <row r="191" spans="2:48" ht="45" customHeight="1" thickBot="1" x14ac:dyDescent="0.25">
      <c r="B191" s="1018" t="str">
        <f>LIEU&amp;" - "&amp;DATE&amp;" - "&amp;CATEG</f>
        <v>L’Isle sur la Sorgue - 27 au 31 mars 2023 - Collèges Mixtes Etablissement</v>
      </c>
      <c r="C191" s="1018"/>
      <c r="D191" s="1018"/>
      <c r="E191" s="1018"/>
      <c r="F191" s="1018"/>
      <c r="G191" s="1018"/>
      <c r="H191" s="1018"/>
      <c r="I191" s="1018"/>
      <c r="J191" s="1018"/>
      <c r="K191" s="1018"/>
      <c r="L191" s="1018"/>
      <c r="M191" s="1018"/>
      <c r="N191" s="1018"/>
      <c r="O191" s="1018"/>
      <c r="P191" s="1018"/>
      <c r="Q191" s="1018"/>
      <c r="R191" s="1018"/>
      <c r="S191" s="1018"/>
      <c r="T191" s="1018"/>
      <c r="U191" s="1018"/>
      <c r="V191" s="1018"/>
      <c r="W191" s="1018"/>
      <c r="X191" s="1018"/>
      <c r="Y191" s="1018"/>
      <c r="Z191" s="1018"/>
      <c r="AA191" s="1018"/>
      <c r="AB191" s="1018"/>
      <c r="AC191" s="1018"/>
      <c r="AD191" s="1018"/>
      <c r="AE191" s="1018"/>
      <c r="AF191" s="1018"/>
      <c r="AG191" s="1018"/>
      <c r="AH191" s="1018"/>
      <c r="AI191" s="1018"/>
      <c r="AJ191" s="1018"/>
      <c r="AK191" s="1018"/>
      <c r="AL191" s="1018"/>
      <c r="AM191" s="1018"/>
      <c r="AN191" s="1018"/>
      <c r="AO191" s="1018"/>
      <c r="AP191" s="1018"/>
      <c r="AQ191" s="182"/>
      <c r="AR191" s="182"/>
      <c r="AS191" s="182"/>
      <c r="AT191" s="182"/>
      <c r="AU191" s="182"/>
      <c r="AV191" s="182"/>
    </row>
    <row r="192" spans="2:48" ht="26.25" customHeight="1" x14ac:dyDescent="0.2">
      <c r="B192" s="1059" t="str">
        <f>CATEG_IMPORTEE</f>
        <v>Collèges Mixtes Etablissement</v>
      </c>
      <c r="C192" s="1059"/>
      <c r="D192" s="1059"/>
      <c r="E192" s="1059"/>
      <c r="F192" s="1059"/>
      <c r="G192" s="1059"/>
      <c r="H192" s="1059"/>
      <c r="I192" s="1059"/>
      <c r="J192" s="1059"/>
      <c r="K192" s="1059"/>
      <c r="L192" s="1059"/>
      <c r="M192" s="1059"/>
      <c r="N192" s="1059"/>
      <c r="O192" s="1059"/>
      <c r="P192" s="1059"/>
      <c r="Q192" s="1059"/>
      <c r="R192" s="1059"/>
      <c r="S192" s="1059"/>
      <c r="T192" s="1059"/>
      <c r="U192" s="1059"/>
      <c r="V192" s="1059"/>
      <c r="W192" s="1059"/>
      <c r="X192" s="1059"/>
      <c r="Y192" s="1059"/>
      <c r="Z192" s="1059"/>
      <c r="AA192" s="1059"/>
      <c r="AB192" s="1059"/>
      <c r="AC192" s="1059"/>
      <c r="AD192" s="1059"/>
      <c r="AE192" s="1059"/>
      <c r="AF192" s="1059"/>
      <c r="AG192" s="1059"/>
      <c r="AH192" s="1059"/>
      <c r="AI192" s="1059"/>
      <c r="AJ192" s="1059"/>
      <c r="AK192" s="1059"/>
      <c r="AL192" s="1059"/>
      <c r="AM192" s="1059"/>
      <c r="AN192" s="1059"/>
      <c r="AO192" s="1059"/>
      <c r="AP192" s="1059"/>
      <c r="AQ192" s="182"/>
      <c r="AR192" s="1060">
        <f>AR129+1</f>
        <v>4</v>
      </c>
      <c r="AS192" s="1061"/>
      <c r="AT192" s="1062"/>
      <c r="AU192" s="182"/>
      <c r="AV192" s="182"/>
    </row>
    <row r="193" spans="2:48" ht="18" customHeight="1" x14ac:dyDescent="0.2">
      <c r="B193" s="182"/>
      <c r="C193" s="182"/>
      <c r="D193" s="182"/>
      <c r="E193" s="182"/>
      <c r="F193" s="182"/>
      <c r="G193" s="182"/>
      <c r="H193" s="182"/>
      <c r="I193" s="182"/>
      <c r="J193" s="182"/>
      <c r="K193" s="182"/>
      <c r="L193" s="182"/>
      <c r="M193" s="182"/>
      <c r="N193" s="182"/>
      <c r="O193" s="182"/>
      <c r="P193" s="182"/>
      <c r="Q193" s="182"/>
      <c r="R193" s="182"/>
      <c r="S193" s="182"/>
      <c r="T193" s="182"/>
      <c r="U193" s="182"/>
      <c r="V193" s="182"/>
      <c r="W193" s="182"/>
      <c r="X193" s="183"/>
      <c r="Y193" s="184"/>
      <c r="Z193" s="182"/>
      <c r="AA193" s="182"/>
      <c r="AB193" s="182"/>
      <c r="AC193" s="182"/>
      <c r="AD193" s="182"/>
      <c r="AE193" s="182"/>
      <c r="AF193" s="182"/>
      <c r="AG193" s="182"/>
      <c r="AH193" s="182"/>
      <c r="AI193" s="182"/>
      <c r="AJ193" s="182"/>
      <c r="AK193" s="182"/>
      <c r="AL193" s="182"/>
      <c r="AM193" s="182"/>
      <c r="AN193" s="182"/>
      <c r="AO193" s="182"/>
      <c r="AP193" s="182"/>
      <c r="AQ193" s="182"/>
      <c r="AR193" s="1063"/>
      <c r="AS193" s="1064"/>
      <c r="AT193" s="1065"/>
      <c r="AU193" s="182"/>
      <c r="AV193" s="182"/>
    </row>
    <row r="194" spans="2:48" ht="18.75" customHeight="1" thickBot="1" x14ac:dyDescent="0.25">
      <c r="B194" s="182"/>
      <c r="C194" s="182"/>
      <c r="D194" s="182"/>
      <c r="E194" s="182"/>
      <c r="F194" s="182"/>
      <c r="G194" s="182"/>
      <c r="H194" s="992" t="s">
        <v>374</v>
      </c>
      <c r="I194" s="992"/>
      <c r="J194" s="992"/>
      <c r="K194" s="992"/>
      <c r="L194" s="992"/>
      <c r="M194" s="992"/>
      <c r="N194" s="992"/>
      <c r="O194" s="992"/>
      <c r="P194" s="992"/>
      <c r="Q194" s="992"/>
      <c r="R194" s="182"/>
      <c r="S194" s="182"/>
      <c r="T194" s="182"/>
      <c r="U194" s="182"/>
      <c r="V194" s="182"/>
      <c r="W194" s="182"/>
      <c r="X194" s="183"/>
      <c r="Y194" s="182"/>
      <c r="Z194" s="182"/>
      <c r="AA194" s="182"/>
      <c r="AB194" s="182"/>
      <c r="AC194" s="182"/>
      <c r="AD194" s="182"/>
      <c r="AE194" s="992" t="s">
        <v>374</v>
      </c>
      <c r="AF194" s="992"/>
      <c r="AG194" s="992"/>
      <c r="AH194" s="992"/>
      <c r="AI194" s="992"/>
      <c r="AJ194" s="992"/>
      <c r="AK194" s="992"/>
      <c r="AL194" s="992"/>
      <c r="AM194" s="992"/>
      <c r="AN194" s="992"/>
      <c r="AO194" s="182"/>
      <c r="AP194" s="182"/>
      <c r="AQ194" s="182"/>
      <c r="AR194" s="1066"/>
      <c r="AS194" s="1067"/>
      <c r="AT194" s="1068"/>
      <c r="AU194" s="182"/>
      <c r="AV194" s="182"/>
    </row>
    <row r="195" spans="2:48" ht="18" x14ac:dyDescent="0.2">
      <c r="B195" s="182"/>
      <c r="C195" s="182"/>
      <c r="D195" s="182"/>
      <c r="E195" s="182"/>
      <c r="F195" s="182"/>
      <c r="G195" s="182"/>
      <c r="H195" s="1022" t="e">
        <f>VLOOKUP(U204,ID_archer_cible,4,FALSE)</f>
        <v>#N/A</v>
      </c>
      <c r="I195" s="1023"/>
      <c r="J195" s="1023"/>
      <c r="K195" s="1023"/>
      <c r="L195" s="1023"/>
      <c r="M195" s="1023"/>
      <c r="N195" s="1023"/>
      <c r="O195" s="1023"/>
      <c r="P195" s="1023"/>
      <c r="Q195" s="1024"/>
      <c r="R195" s="182"/>
      <c r="S195" s="182"/>
      <c r="T195" s="182"/>
      <c r="U195" s="182"/>
      <c r="V195" s="182"/>
      <c r="W195" s="182"/>
      <c r="X195" s="183"/>
      <c r="Y195" s="182"/>
      <c r="Z195" s="182"/>
      <c r="AA195" s="182"/>
      <c r="AB195" s="182"/>
      <c r="AC195" s="182"/>
      <c r="AD195" s="182"/>
      <c r="AE195" s="1022" t="e">
        <f>VLOOKUP(AS204,ID_archer_cible,4,FALSE)</f>
        <v>#N/A</v>
      </c>
      <c r="AF195" s="1023"/>
      <c r="AG195" s="1023"/>
      <c r="AH195" s="1023"/>
      <c r="AI195" s="1023"/>
      <c r="AJ195" s="1023"/>
      <c r="AK195" s="1023"/>
      <c r="AL195" s="1023"/>
      <c r="AM195" s="1023"/>
      <c r="AN195" s="1024"/>
      <c r="AO195" s="182"/>
      <c r="AP195" s="182"/>
      <c r="AQ195" s="182"/>
      <c r="AR195" s="182"/>
      <c r="AS195" s="182"/>
      <c r="AT195" s="182"/>
      <c r="AU195" s="182"/>
      <c r="AV195" s="182"/>
    </row>
    <row r="196" spans="2:48" x14ac:dyDescent="0.2">
      <c r="X196" s="186"/>
    </row>
    <row r="197" spans="2:48" x14ac:dyDescent="0.2">
      <c r="B197" s="1021" t="s">
        <v>0</v>
      </c>
      <c r="C197" s="1021"/>
      <c r="D197" s="1021"/>
      <c r="E197" s="1021"/>
      <c r="F197" s="1021"/>
      <c r="G197" s="1021"/>
      <c r="H197" s="1021"/>
      <c r="I197" s="1021"/>
      <c r="J197" s="1021"/>
      <c r="K197" s="1021"/>
      <c r="L197" s="1021"/>
      <c r="M197" s="187"/>
      <c r="P197" s="992" t="s">
        <v>375</v>
      </c>
      <c r="Q197" s="992"/>
      <c r="R197" s="992"/>
      <c r="S197" s="992"/>
      <c r="T197" s="992"/>
      <c r="U197" s="992"/>
      <c r="V197" s="992"/>
      <c r="W197" s="992"/>
      <c r="X197" s="188"/>
      <c r="Z197" s="1021" t="s">
        <v>0</v>
      </c>
      <c r="AA197" s="1021"/>
      <c r="AB197" s="1021"/>
      <c r="AC197" s="1021"/>
      <c r="AD197" s="1021"/>
      <c r="AE197" s="1021"/>
      <c r="AF197" s="1021"/>
      <c r="AG197" s="1021"/>
      <c r="AH197" s="1021"/>
      <c r="AI197" s="1021"/>
      <c r="AJ197" s="1021"/>
      <c r="AK197" s="187"/>
      <c r="AN197" s="992" t="s">
        <v>375</v>
      </c>
      <c r="AO197" s="992"/>
      <c r="AP197" s="992"/>
      <c r="AQ197" s="992"/>
      <c r="AR197" s="992"/>
      <c r="AS197" s="992"/>
      <c r="AT197" s="992"/>
      <c r="AU197" s="992"/>
      <c r="AV197" s="187"/>
    </row>
    <row r="198" spans="2:48" x14ac:dyDescent="0.2">
      <c r="B198" s="999" t="e">
        <f>VLOOKUP(U204,ID_archer_cible,2,FALSE)</f>
        <v>#N/A</v>
      </c>
      <c r="C198" s="1000"/>
      <c r="D198" s="1000"/>
      <c r="E198" s="1000"/>
      <c r="F198" s="1000"/>
      <c r="G198" s="1000"/>
      <c r="H198" s="1000"/>
      <c r="I198" s="1000"/>
      <c r="J198" s="1000"/>
      <c r="K198" s="1000"/>
      <c r="L198" s="1000"/>
      <c r="M198" s="1001"/>
      <c r="P198" s="999" t="e">
        <f>VLOOKUP(U204,ID_archer_cible,3,FALSE)</f>
        <v>#N/A</v>
      </c>
      <c r="Q198" s="1000"/>
      <c r="R198" s="1000"/>
      <c r="S198" s="1000"/>
      <c r="T198" s="1000"/>
      <c r="U198" s="1000"/>
      <c r="V198" s="1000"/>
      <c r="W198" s="1001"/>
      <c r="X198" s="186"/>
      <c r="Y198"/>
      <c r="Z198" s="999" t="e">
        <f>VLOOKUP(AS204,ID_archer_cible,2,FALSE)</f>
        <v>#N/A</v>
      </c>
      <c r="AA198" s="1000"/>
      <c r="AB198" s="1000"/>
      <c r="AC198" s="1000"/>
      <c r="AD198" s="1000"/>
      <c r="AE198" s="1000"/>
      <c r="AF198" s="1000"/>
      <c r="AG198" s="1000"/>
      <c r="AH198" s="1000"/>
      <c r="AI198" s="1000"/>
      <c r="AJ198" s="1000"/>
      <c r="AK198" s="1001"/>
      <c r="AN198" s="999" t="e">
        <f>VLOOKUP(AS204,ID_archer_cible,3,FALSE)</f>
        <v>#N/A</v>
      </c>
      <c r="AO198" s="1000"/>
      <c r="AP198" s="1000"/>
      <c r="AQ198" s="1000"/>
      <c r="AR198" s="1000"/>
      <c r="AS198" s="1000"/>
      <c r="AT198" s="1000"/>
      <c r="AU198" s="1001"/>
    </row>
    <row r="199" spans="2:48" x14ac:dyDescent="0.2">
      <c r="X199" s="186"/>
      <c r="Y199"/>
    </row>
    <row r="200" spans="2:48" ht="16.5" thickBot="1" x14ac:dyDescent="0.25">
      <c r="B200" s="1017" t="s">
        <v>1</v>
      </c>
      <c r="C200" s="1017"/>
      <c r="D200" s="1017"/>
      <c r="E200" s="1017"/>
      <c r="F200" s="1017"/>
      <c r="G200" s="1017"/>
      <c r="H200" s="1017"/>
      <c r="I200" s="1017"/>
      <c r="J200" s="1017"/>
      <c r="L200" s="1017" t="s">
        <v>505</v>
      </c>
      <c r="M200" s="1017"/>
      <c r="N200" s="1017"/>
      <c r="O200" s="1017"/>
      <c r="P200" s="1017"/>
      <c r="Q200" s="1017"/>
      <c r="S200" s="992" t="s">
        <v>506</v>
      </c>
      <c r="T200" s="992"/>
      <c r="U200" s="992"/>
      <c r="V200" s="992"/>
      <c r="W200" s="992"/>
      <c r="X200" s="188"/>
      <c r="Y200"/>
      <c r="Z200" s="1017" t="s">
        <v>1</v>
      </c>
      <c r="AA200" s="1017"/>
      <c r="AB200" s="1017"/>
      <c r="AC200" s="1017"/>
      <c r="AD200" s="1017"/>
      <c r="AE200" s="1017"/>
      <c r="AF200" s="1017"/>
      <c r="AG200" s="1017"/>
      <c r="AH200" s="1017"/>
      <c r="AJ200" s="1017" t="s">
        <v>505</v>
      </c>
      <c r="AK200" s="1017"/>
      <c r="AL200" s="1017"/>
      <c r="AM200" s="1017"/>
      <c r="AN200" s="1017"/>
      <c r="AO200" s="1017"/>
      <c r="AQ200" s="992" t="s">
        <v>506</v>
      </c>
      <c r="AR200" s="992"/>
      <c r="AS200" s="992"/>
      <c r="AT200" s="992"/>
      <c r="AU200" s="992"/>
      <c r="AV200" s="187"/>
    </row>
    <row r="201" spans="2:48" ht="16.5" thickBot="1" x14ac:dyDescent="0.25">
      <c r="B201" s="1014" t="e">
        <f>VLOOKUP(U204,ID_archer_cible,5,FALSE)</f>
        <v>#N/A</v>
      </c>
      <c r="C201" s="1015"/>
      <c r="D201" s="1015"/>
      <c r="E201" s="1015"/>
      <c r="F201" s="1015"/>
      <c r="G201" s="1015"/>
      <c r="H201" s="1015"/>
      <c r="I201" s="1015"/>
      <c r="J201" s="1016"/>
      <c r="L201" s="1014" t="e">
        <f>VLOOKUP(U204,ID_archer_cible,6,FALSE)</f>
        <v>#N/A</v>
      </c>
      <c r="M201" s="1015"/>
      <c r="N201" s="1015"/>
      <c r="O201" s="1015"/>
      <c r="P201" s="1015"/>
      <c r="Q201" s="1016"/>
      <c r="S201" s="999" t="e">
        <f>VLOOKUP(U204,ID_archer_cible,8,FALSE)</f>
        <v>#N/A</v>
      </c>
      <c r="T201" s="1000"/>
      <c r="U201" s="1000"/>
      <c r="V201" s="1000"/>
      <c r="W201" s="1001"/>
      <c r="X201" s="186"/>
      <c r="Y201"/>
      <c r="Z201" s="1014" t="e">
        <f>VLOOKUP(AS204,ID_archer_cible,5,FALSE)</f>
        <v>#N/A</v>
      </c>
      <c r="AA201" s="1015"/>
      <c r="AB201" s="1015"/>
      <c r="AC201" s="1015"/>
      <c r="AD201" s="1015"/>
      <c r="AE201" s="1015"/>
      <c r="AF201" s="1015"/>
      <c r="AG201" s="1015"/>
      <c r="AH201" s="1016"/>
      <c r="AJ201" s="1014" t="e">
        <f>VLOOKUP(AS204,ID_archer_cible,6,FALSE)</f>
        <v>#N/A</v>
      </c>
      <c r="AK201" s="1015"/>
      <c r="AL201" s="1015"/>
      <c r="AM201" s="1015"/>
      <c r="AN201" s="1015"/>
      <c r="AO201" s="1016"/>
      <c r="AQ201" s="999" t="e">
        <f>VLOOKUP(AS204,ID_archer_cible,8,FALSE)</f>
        <v>#N/A</v>
      </c>
      <c r="AR201" s="1000"/>
      <c r="AS201" s="1000"/>
      <c r="AT201" s="1000"/>
      <c r="AU201" s="1001"/>
    </row>
    <row r="202" spans="2:48" x14ac:dyDescent="0.2">
      <c r="X202" s="186"/>
      <c r="Y202"/>
    </row>
    <row r="203" spans="2:48" x14ac:dyDescent="0.2">
      <c r="B203" s="992" t="s">
        <v>530</v>
      </c>
      <c r="C203" s="992"/>
      <c r="D203" s="992"/>
      <c r="E203" s="992"/>
      <c r="F203" s="992"/>
      <c r="G203" s="187"/>
      <c r="H203" s="992" t="s">
        <v>504</v>
      </c>
      <c r="I203" s="992"/>
      <c r="J203" s="992"/>
      <c r="K203" s="992"/>
      <c r="M203" s="992" t="s">
        <v>39</v>
      </c>
      <c r="N203" s="992"/>
      <c r="O203" s="992"/>
      <c r="Q203" s="1021"/>
      <c r="R203" s="1021"/>
      <c r="S203" s="1021"/>
      <c r="U203" s="992" t="s">
        <v>507</v>
      </c>
      <c r="V203" s="992"/>
      <c r="W203" s="992"/>
      <c r="X203" s="188"/>
      <c r="Y203"/>
      <c r="Z203" s="992" t="s">
        <v>530</v>
      </c>
      <c r="AA203" s="992"/>
      <c r="AB203" s="992"/>
      <c r="AC203" s="992"/>
      <c r="AD203" s="992"/>
      <c r="AE203" s="187"/>
      <c r="AF203" s="992" t="s">
        <v>504</v>
      </c>
      <c r="AG203" s="992"/>
      <c r="AH203" s="992"/>
      <c r="AI203" s="992"/>
      <c r="AK203" s="992" t="s">
        <v>39</v>
      </c>
      <c r="AL203" s="992"/>
      <c r="AM203" s="992"/>
      <c r="AO203" s="1021"/>
      <c r="AP203" s="1021"/>
      <c r="AQ203" s="1021"/>
      <c r="AS203" s="992" t="s">
        <v>507</v>
      </c>
      <c r="AT203" s="992"/>
      <c r="AU203" s="992"/>
      <c r="AV203" s="187"/>
    </row>
    <row r="204" spans="2:48" ht="15.75" x14ac:dyDescent="0.2">
      <c r="B204" s="1011" t="e">
        <f>VLOOKUP(U204,ID_archer_cible,7,FALSE)</f>
        <v>#N/A</v>
      </c>
      <c r="C204" s="1012"/>
      <c r="D204" s="1012"/>
      <c r="E204" s="1012"/>
      <c r="F204" s="1013"/>
      <c r="H204" s="999" t="e">
        <f>VLOOKUP(U204,ID_archer_cible,9,FALSE)</f>
        <v>#N/A</v>
      </c>
      <c r="I204" s="1000"/>
      <c r="J204" s="1000"/>
      <c r="K204" s="1001"/>
      <c r="M204" s="999" t="e">
        <f>VLOOKUP(U204,ID_archer_cible,10,FALSE)</f>
        <v>#N/A</v>
      </c>
      <c r="N204" s="1000"/>
      <c r="O204" s="1001"/>
      <c r="Q204" s="1021"/>
      <c r="R204" s="1021"/>
      <c r="S204" s="1021"/>
      <c r="T204" s="187"/>
      <c r="U204" s="996" t="str">
        <f>AR192&amp;"A"</f>
        <v>4A</v>
      </c>
      <c r="V204" s="997"/>
      <c r="W204" s="998"/>
      <c r="X204" s="188"/>
      <c r="Y204"/>
      <c r="Z204" s="1011" t="e">
        <f>VLOOKUP(AS204,ID_archer_cible,7,FALSE)</f>
        <v>#N/A</v>
      </c>
      <c r="AA204" s="1012"/>
      <c r="AB204" s="1012"/>
      <c r="AC204" s="1012"/>
      <c r="AD204" s="1013"/>
      <c r="AF204" s="999" t="e">
        <f>VLOOKUP(AS204,ID_archer_cible,9,FALSE)</f>
        <v>#N/A</v>
      </c>
      <c r="AG204" s="1000"/>
      <c r="AH204" s="1000"/>
      <c r="AI204" s="1001"/>
      <c r="AK204" s="999" t="e">
        <f>VLOOKUP(AS204,ID_archer_cible,10,FALSE)</f>
        <v>#N/A</v>
      </c>
      <c r="AL204" s="1000"/>
      <c r="AM204" s="1001"/>
      <c r="AO204" s="1021"/>
      <c r="AP204" s="1021"/>
      <c r="AQ204" s="1021"/>
      <c r="AR204" s="187"/>
      <c r="AS204" s="996" t="str">
        <f>AR192&amp;"B"</f>
        <v>4B</v>
      </c>
      <c r="AT204" s="997"/>
      <c r="AU204" s="998"/>
      <c r="AV204" s="187"/>
    </row>
    <row r="205" spans="2:48" x14ac:dyDescent="0.2">
      <c r="X205" s="186"/>
    </row>
    <row r="206" spans="2:48" x14ac:dyDescent="0.2">
      <c r="B206" s="185" t="s">
        <v>509</v>
      </c>
      <c r="E206" s="992" t="s">
        <v>510</v>
      </c>
      <c r="F206" s="992"/>
      <c r="G206" s="992"/>
      <c r="H206" s="992"/>
      <c r="I206" s="992"/>
      <c r="J206" s="992"/>
      <c r="K206" s="992"/>
      <c r="L206" s="992"/>
      <c r="M206" s="992"/>
      <c r="N206" s="992"/>
      <c r="P206" s="992" t="s">
        <v>511</v>
      </c>
      <c r="Q206" s="992"/>
      <c r="R206" s="992"/>
      <c r="X206" s="186"/>
      <c r="Z206" s="185" t="s">
        <v>509</v>
      </c>
      <c r="AC206" s="992" t="s">
        <v>510</v>
      </c>
      <c r="AD206" s="992"/>
      <c r="AE206" s="992"/>
      <c r="AF206" s="992"/>
      <c r="AG206" s="992"/>
      <c r="AH206" s="992"/>
      <c r="AI206" s="992"/>
      <c r="AJ206" s="992"/>
      <c r="AK206" s="992"/>
      <c r="AL206" s="992"/>
      <c r="AN206" s="992" t="s">
        <v>511</v>
      </c>
      <c r="AO206" s="992"/>
      <c r="AP206" s="992"/>
    </row>
    <row r="207" spans="2:48" ht="20.25" customHeight="1" x14ac:dyDescent="0.2">
      <c r="B207" s="1009" t="s">
        <v>513</v>
      </c>
      <c r="C207" s="1009"/>
      <c r="E207" s="189"/>
      <c r="F207" s="191"/>
      <c r="G207" s="189"/>
      <c r="H207" s="191"/>
      <c r="I207" s="189"/>
      <c r="J207" s="191"/>
      <c r="K207" s="189"/>
      <c r="L207" s="191"/>
      <c r="M207" s="189"/>
      <c r="N207" s="191"/>
      <c r="P207" s="189"/>
      <c r="Q207" s="190"/>
      <c r="R207" s="191"/>
      <c r="T207" s="992" t="s">
        <v>512</v>
      </c>
      <c r="U207" s="992"/>
      <c r="V207" s="992"/>
      <c r="W207" s="992"/>
      <c r="X207" s="188"/>
      <c r="Z207" s="1009" t="s">
        <v>513</v>
      </c>
      <c r="AA207" s="1009"/>
      <c r="AC207" s="189"/>
      <c r="AD207" s="191"/>
      <c r="AE207" s="189"/>
      <c r="AF207" s="191"/>
      <c r="AG207" s="189"/>
      <c r="AH207" s="191"/>
      <c r="AI207" s="189"/>
      <c r="AJ207" s="191"/>
      <c r="AK207" s="189"/>
      <c r="AL207" s="191"/>
      <c r="AN207" s="189"/>
      <c r="AO207" s="190"/>
      <c r="AP207" s="191"/>
      <c r="AR207" s="992" t="s">
        <v>512</v>
      </c>
      <c r="AS207" s="992"/>
      <c r="AT207" s="992"/>
      <c r="AU207" s="992"/>
      <c r="AV207" s="187"/>
    </row>
    <row r="208" spans="2:48" ht="20.25" customHeight="1" x14ac:dyDescent="0.2">
      <c r="B208" s="1009" t="s">
        <v>514</v>
      </c>
      <c r="C208" s="1009"/>
      <c r="E208" s="189"/>
      <c r="F208" s="191"/>
      <c r="G208" s="189"/>
      <c r="H208" s="191"/>
      <c r="I208" s="189"/>
      <c r="J208" s="191"/>
      <c r="K208" s="189"/>
      <c r="L208" s="191"/>
      <c r="M208" s="189"/>
      <c r="N208" s="191"/>
      <c r="P208" s="189"/>
      <c r="Q208" s="190"/>
      <c r="R208" s="191"/>
      <c r="T208" s="189"/>
      <c r="U208" s="190"/>
      <c r="V208" s="190"/>
      <c r="W208" s="191"/>
      <c r="X208" s="186"/>
      <c r="Z208" s="1009" t="s">
        <v>514</v>
      </c>
      <c r="AA208" s="1009"/>
      <c r="AC208" s="189"/>
      <c r="AD208" s="191"/>
      <c r="AE208" s="189"/>
      <c r="AF208" s="191"/>
      <c r="AG208" s="189"/>
      <c r="AH208" s="191"/>
      <c r="AI208" s="189"/>
      <c r="AJ208" s="191"/>
      <c r="AK208" s="189"/>
      <c r="AL208" s="191"/>
      <c r="AN208" s="189"/>
      <c r="AO208" s="190"/>
      <c r="AP208" s="191"/>
      <c r="AR208" s="189"/>
      <c r="AS208" s="190"/>
      <c r="AT208" s="190"/>
      <c r="AU208" s="191"/>
    </row>
    <row r="209" spans="2:48" ht="20.25" customHeight="1" x14ac:dyDescent="0.2">
      <c r="B209" s="1009" t="s">
        <v>515</v>
      </c>
      <c r="C209" s="1009"/>
      <c r="E209" s="189"/>
      <c r="F209" s="191"/>
      <c r="G209" s="189"/>
      <c r="H209" s="191"/>
      <c r="I209" s="189"/>
      <c r="J209" s="191"/>
      <c r="K209" s="189"/>
      <c r="L209" s="191"/>
      <c r="M209" s="189"/>
      <c r="N209" s="191"/>
      <c r="P209" s="189"/>
      <c r="Q209" s="190"/>
      <c r="R209" s="191"/>
      <c r="T209" s="189"/>
      <c r="U209" s="190"/>
      <c r="V209" s="190"/>
      <c r="W209" s="191"/>
      <c r="X209" s="186"/>
      <c r="Z209" s="1009" t="s">
        <v>515</v>
      </c>
      <c r="AA209" s="1009"/>
      <c r="AC209" s="189"/>
      <c r="AD209" s="191"/>
      <c r="AE209" s="189"/>
      <c r="AF209" s="191"/>
      <c r="AG209" s="189"/>
      <c r="AH209" s="191"/>
      <c r="AI209" s="189"/>
      <c r="AJ209" s="191"/>
      <c r="AK209" s="189"/>
      <c r="AL209" s="191"/>
      <c r="AN209" s="189"/>
      <c r="AO209" s="190"/>
      <c r="AP209" s="191"/>
      <c r="AR209" s="189"/>
      <c r="AS209" s="190"/>
      <c r="AT209" s="190"/>
      <c r="AU209" s="191"/>
    </row>
    <row r="210" spans="2:48" ht="20.25" customHeight="1" x14ac:dyDescent="0.2">
      <c r="B210" s="1009" t="s">
        <v>516</v>
      </c>
      <c r="C210" s="1009"/>
      <c r="E210" s="189"/>
      <c r="F210" s="191"/>
      <c r="G210" s="189"/>
      <c r="H210" s="191"/>
      <c r="I210" s="189"/>
      <c r="J210" s="191"/>
      <c r="K210" s="189"/>
      <c r="L210" s="191"/>
      <c r="M210" s="189"/>
      <c r="N210" s="191"/>
      <c r="P210" s="189"/>
      <c r="Q210" s="190"/>
      <c r="R210" s="191"/>
      <c r="T210" s="189"/>
      <c r="U210" s="190"/>
      <c r="V210" s="190"/>
      <c r="W210" s="191"/>
      <c r="X210" s="186"/>
      <c r="Z210" s="1009" t="s">
        <v>516</v>
      </c>
      <c r="AA210" s="1009"/>
      <c r="AC210" s="189"/>
      <c r="AD210" s="191"/>
      <c r="AE210" s="189"/>
      <c r="AF210" s="191"/>
      <c r="AG210" s="189"/>
      <c r="AH210" s="191"/>
      <c r="AI210" s="189"/>
      <c r="AJ210" s="191"/>
      <c r="AK210" s="189"/>
      <c r="AL210" s="191"/>
      <c r="AN210" s="189"/>
      <c r="AO210" s="190"/>
      <c r="AP210" s="191"/>
      <c r="AR210" s="189"/>
      <c r="AS210" s="190"/>
      <c r="AT210" s="190"/>
      <c r="AU210" s="191"/>
    </row>
    <row r="211" spans="2:48" ht="20.25" customHeight="1" x14ac:dyDescent="0.2">
      <c r="B211" s="1009" t="s">
        <v>517</v>
      </c>
      <c r="C211" s="1009"/>
      <c r="E211" s="189"/>
      <c r="F211" s="191"/>
      <c r="G211" s="189"/>
      <c r="H211" s="191"/>
      <c r="I211" s="189"/>
      <c r="J211" s="191"/>
      <c r="K211" s="189"/>
      <c r="L211" s="191"/>
      <c r="M211" s="189"/>
      <c r="N211" s="191"/>
      <c r="P211" s="189"/>
      <c r="Q211" s="190"/>
      <c r="R211" s="191"/>
      <c r="T211" s="189"/>
      <c r="U211" s="190"/>
      <c r="V211" s="190"/>
      <c r="W211" s="191"/>
      <c r="X211" s="186"/>
      <c r="Z211" s="1009" t="s">
        <v>517</v>
      </c>
      <c r="AA211" s="1009"/>
      <c r="AC211" s="189"/>
      <c r="AD211" s="191"/>
      <c r="AE211" s="189"/>
      <c r="AF211" s="191"/>
      <c r="AG211" s="189"/>
      <c r="AH211" s="191"/>
      <c r="AI211" s="189"/>
      <c r="AJ211" s="191"/>
      <c r="AK211" s="189"/>
      <c r="AL211" s="191"/>
      <c r="AN211" s="189"/>
      <c r="AO211" s="190"/>
      <c r="AP211" s="191"/>
      <c r="AR211" s="189"/>
      <c r="AS211" s="190"/>
      <c r="AT211" s="190"/>
      <c r="AU211" s="191"/>
    </row>
    <row r="212" spans="2:48" ht="20.25" customHeight="1" x14ac:dyDescent="0.2">
      <c r="B212" s="1009" t="s">
        <v>518</v>
      </c>
      <c r="C212" s="1009"/>
      <c r="E212" s="189"/>
      <c r="F212" s="191"/>
      <c r="G212" s="189"/>
      <c r="H212" s="191"/>
      <c r="I212" s="189"/>
      <c r="J212" s="191"/>
      <c r="K212" s="189"/>
      <c r="L212" s="191"/>
      <c r="M212" s="189"/>
      <c r="N212" s="191"/>
      <c r="P212" s="189"/>
      <c r="Q212" s="190"/>
      <c r="R212" s="191"/>
      <c r="T212" s="189"/>
      <c r="U212" s="190"/>
      <c r="V212" s="190"/>
      <c r="W212" s="191"/>
      <c r="X212" s="186"/>
      <c r="Z212" s="1009" t="s">
        <v>518</v>
      </c>
      <c r="AA212" s="1009"/>
      <c r="AC212" s="189"/>
      <c r="AD212" s="191"/>
      <c r="AE212" s="189"/>
      <c r="AF212" s="191"/>
      <c r="AG212" s="189"/>
      <c r="AH212" s="191"/>
      <c r="AI212" s="189"/>
      <c r="AJ212" s="191"/>
      <c r="AK212" s="189"/>
      <c r="AL212" s="191"/>
      <c r="AN212" s="189"/>
      <c r="AO212" s="190"/>
      <c r="AP212" s="191"/>
      <c r="AR212" s="189"/>
      <c r="AS212" s="190"/>
      <c r="AT212" s="190"/>
      <c r="AU212" s="191"/>
    </row>
    <row r="213" spans="2:48" ht="15.75" thickBot="1" x14ac:dyDescent="0.25">
      <c r="B213" s="187"/>
      <c r="C213" s="187"/>
      <c r="X213" s="186"/>
      <c r="Z213" s="187"/>
      <c r="AA213" s="187"/>
    </row>
    <row r="214" spans="2:48" ht="20.25" customHeight="1" thickBot="1" x14ac:dyDescent="0.25">
      <c r="P214" s="197" t="s">
        <v>519</v>
      </c>
      <c r="Q214" s="197"/>
      <c r="R214" s="197"/>
      <c r="S214" s="197"/>
      <c r="T214" s="192"/>
      <c r="U214" s="193"/>
      <c r="V214" s="193"/>
      <c r="W214" s="194"/>
      <c r="X214" s="186"/>
      <c r="AN214" s="197" t="s">
        <v>519</v>
      </c>
      <c r="AO214" s="197"/>
      <c r="AP214" s="197"/>
      <c r="AQ214" s="197"/>
      <c r="AR214" s="192"/>
      <c r="AS214" s="193"/>
      <c r="AT214" s="193"/>
      <c r="AU214" s="194"/>
    </row>
    <row r="215" spans="2:48" x14ac:dyDescent="0.2">
      <c r="E215" s="196"/>
      <c r="F215" s="196"/>
      <c r="G215" s="196"/>
      <c r="H215" s="196"/>
      <c r="I215" s="196"/>
      <c r="J215" s="196"/>
      <c r="K215" s="196"/>
      <c r="L215" s="196"/>
      <c r="M215" s="196"/>
      <c r="X215" s="186"/>
      <c r="AC215" s="196"/>
      <c r="AD215" s="196"/>
      <c r="AE215" s="196"/>
      <c r="AF215" s="196"/>
      <c r="AG215" s="196"/>
      <c r="AH215" s="196"/>
      <c r="AI215" s="196"/>
      <c r="AJ215" s="196"/>
      <c r="AK215" s="196"/>
    </row>
    <row r="216" spans="2:48" x14ac:dyDescent="0.2">
      <c r="B216" s="1010" t="s">
        <v>521</v>
      </c>
      <c r="C216" s="1010"/>
      <c r="D216" s="1010"/>
      <c r="E216" s="1010"/>
      <c r="F216" s="1010"/>
      <c r="G216" s="1010"/>
      <c r="H216" s="195"/>
      <c r="I216" s="1010" t="s">
        <v>522</v>
      </c>
      <c r="J216" s="1010"/>
      <c r="K216" s="1010"/>
      <c r="L216" s="1010"/>
      <c r="M216" s="1010"/>
      <c r="N216" s="1010"/>
      <c r="O216" s="1010"/>
      <c r="P216" s="1010"/>
      <c r="Q216" s="1010"/>
      <c r="R216" s="1010"/>
      <c r="S216" s="1010"/>
      <c r="T216" s="1010"/>
      <c r="U216" s="1010"/>
      <c r="V216" s="1010"/>
      <c r="W216" s="1010"/>
      <c r="X216" s="198"/>
      <c r="Y216" s="195"/>
      <c r="Z216" s="1010" t="s">
        <v>521</v>
      </c>
      <c r="AA216" s="1010"/>
      <c r="AB216" s="1010"/>
      <c r="AC216" s="1010"/>
      <c r="AD216" s="1010"/>
      <c r="AE216" s="1010"/>
      <c r="AF216" s="195"/>
      <c r="AG216" s="1004" t="s">
        <v>522</v>
      </c>
      <c r="AH216" s="1004"/>
      <c r="AI216" s="1004"/>
      <c r="AJ216" s="1004"/>
      <c r="AK216" s="1004"/>
      <c r="AL216" s="1004"/>
      <c r="AM216" s="1004"/>
      <c r="AN216" s="1004"/>
      <c r="AO216" s="1004"/>
      <c r="AP216" s="1004"/>
      <c r="AQ216" s="1004"/>
      <c r="AR216" s="1004"/>
      <c r="AS216" s="1004"/>
      <c r="AT216" s="1004"/>
      <c r="AU216" s="1004"/>
      <c r="AV216" s="195"/>
    </row>
    <row r="217" spans="2:48" x14ac:dyDescent="0.2">
      <c r="B217" s="1005" t="s">
        <v>520</v>
      </c>
      <c r="C217" s="1006"/>
      <c r="D217" s="1006"/>
      <c r="E217" s="1006"/>
      <c r="F217" s="1006"/>
      <c r="G217" s="1007"/>
      <c r="I217" s="1005" t="s">
        <v>0</v>
      </c>
      <c r="J217" s="1006"/>
      <c r="K217" s="1006"/>
      <c r="L217" s="1006"/>
      <c r="M217" s="1006"/>
      <c r="N217" s="1006"/>
      <c r="O217" s="1006"/>
      <c r="P217" s="1006"/>
      <c r="Q217" s="1006"/>
      <c r="R217" s="1006"/>
      <c r="S217" s="1006"/>
      <c r="T217" s="1006"/>
      <c r="U217" s="1006"/>
      <c r="V217" s="1006"/>
      <c r="W217" s="1007"/>
      <c r="X217" s="186"/>
      <c r="Z217" s="1005" t="s">
        <v>520</v>
      </c>
      <c r="AA217" s="1006"/>
      <c r="AB217" s="1006"/>
      <c r="AC217" s="1006"/>
      <c r="AD217" s="1006"/>
      <c r="AE217" s="1007"/>
      <c r="AG217" s="1005" t="s">
        <v>0</v>
      </c>
      <c r="AH217" s="1006"/>
      <c r="AI217" s="1006"/>
      <c r="AJ217" s="1006"/>
      <c r="AK217" s="1006"/>
      <c r="AL217" s="1006"/>
      <c r="AM217" s="1006"/>
      <c r="AN217" s="1006"/>
      <c r="AO217" s="1006"/>
      <c r="AP217" s="1006"/>
      <c r="AQ217" s="1006"/>
      <c r="AR217" s="1006"/>
      <c r="AS217" s="1006"/>
      <c r="AT217" s="1006"/>
      <c r="AU217" s="1007"/>
    </row>
    <row r="218" spans="2:48" x14ac:dyDescent="0.2">
      <c r="B218" s="199"/>
      <c r="C218" s="200"/>
      <c r="D218" s="200"/>
      <c r="E218" s="200"/>
      <c r="F218" s="200"/>
      <c r="G218" s="201"/>
      <c r="I218" s="199"/>
      <c r="J218" s="200"/>
      <c r="K218" s="200"/>
      <c r="L218" s="200"/>
      <c r="M218" s="200"/>
      <c r="N218" s="200"/>
      <c r="O218" s="200"/>
      <c r="P218" s="200"/>
      <c r="Q218" s="200"/>
      <c r="R218" s="200"/>
      <c r="S218" s="200"/>
      <c r="T218" s="200"/>
      <c r="U218" s="200"/>
      <c r="V218" s="200"/>
      <c r="W218" s="201"/>
      <c r="X218" s="186"/>
      <c r="Z218" s="199"/>
      <c r="AA218" s="200"/>
      <c r="AB218" s="200"/>
      <c r="AC218" s="200"/>
      <c r="AD218" s="200"/>
      <c r="AE218" s="201"/>
      <c r="AG218" s="199"/>
      <c r="AH218" s="200"/>
      <c r="AI218" s="200"/>
      <c r="AJ218" s="200"/>
      <c r="AK218" s="200"/>
      <c r="AL218" s="200"/>
      <c r="AM218" s="200"/>
      <c r="AN218" s="200"/>
      <c r="AO218" s="200"/>
      <c r="AP218" s="200"/>
      <c r="AQ218" s="200"/>
      <c r="AR218" s="200"/>
      <c r="AS218" s="200"/>
      <c r="AT218" s="200"/>
      <c r="AU218" s="201"/>
    </row>
    <row r="219" spans="2:48" x14ac:dyDescent="0.2">
      <c r="X219" s="186"/>
    </row>
    <row r="220" spans="2:48" x14ac:dyDescent="0.2">
      <c r="I220" s="1005" t="s">
        <v>481</v>
      </c>
      <c r="J220" s="1006"/>
      <c r="K220" s="1006"/>
      <c r="L220" s="1006"/>
      <c r="M220" s="1006"/>
      <c r="N220" s="1006"/>
      <c r="O220" s="1006"/>
      <c r="P220" s="1006"/>
      <c r="Q220" s="1007"/>
      <c r="R220" s="1005" t="s">
        <v>520</v>
      </c>
      <c r="S220" s="1006"/>
      <c r="T220" s="1006"/>
      <c r="U220" s="1006"/>
      <c r="V220" s="1006"/>
      <c r="W220" s="1007"/>
      <c r="X220" s="186"/>
      <c r="AG220" s="1005" t="s">
        <v>481</v>
      </c>
      <c r="AH220" s="1006"/>
      <c r="AI220" s="1006"/>
      <c r="AJ220" s="1006"/>
      <c r="AK220" s="1006"/>
      <c r="AL220" s="1006"/>
      <c r="AM220" s="1006"/>
      <c r="AN220" s="1006"/>
      <c r="AO220" s="1007"/>
      <c r="AP220" s="1005" t="s">
        <v>520</v>
      </c>
      <c r="AQ220" s="1006"/>
      <c r="AR220" s="1006"/>
      <c r="AS220" s="1006"/>
      <c r="AT220" s="1006"/>
      <c r="AU220" s="1007"/>
    </row>
    <row r="221" spans="2:48" x14ac:dyDescent="0.2">
      <c r="I221" s="199"/>
      <c r="J221" s="200"/>
      <c r="K221" s="200"/>
      <c r="L221" s="200"/>
      <c r="M221" s="200"/>
      <c r="N221" s="200"/>
      <c r="O221" s="200"/>
      <c r="P221" s="200"/>
      <c r="Q221" s="200"/>
      <c r="R221" s="199"/>
      <c r="S221" s="200"/>
      <c r="T221" s="200"/>
      <c r="U221" s="200"/>
      <c r="V221" s="200"/>
      <c r="W221" s="201"/>
      <c r="X221" s="186"/>
      <c r="AG221" s="199"/>
      <c r="AH221" s="200"/>
      <c r="AI221" s="200"/>
      <c r="AJ221" s="200"/>
      <c r="AK221" s="200"/>
      <c r="AL221" s="200"/>
      <c r="AM221" s="200"/>
      <c r="AN221" s="200"/>
      <c r="AO221" s="200"/>
      <c r="AP221" s="199"/>
      <c r="AQ221" s="200"/>
      <c r="AR221" s="200"/>
      <c r="AS221" s="200"/>
      <c r="AT221" s="200"/>
      <c r="AU221" s="201"/>
    </row>
    <row r="222" spans="2:48" ht="39" customHeight="1" x14ac:dyDescent="0.2">
      <c r="B222" s="392"/>
      <c r="C222" s="392"/>
      <c r="D222" s="392"/>
      <c r="E222" s="392"/>
      <c r="F222" s="392"/>
      <c r="G222" s="392"/>
      <c r="H222" s="392"/>
      <c r="I222" s="392"/>
      <c r="J222" s="392"/>
      <c r="K222" s="392"/>
      <c r="L222" s="392"/>
      <c r="M222" s="392"/>
      <c r="N222" s="392"/>
      <c r="O222" s="392"/>
      <c r="P222" s="392"/>
      <c r="Q222" s="392"/>
      <c r="R222" s="392"/>
      <c r="S222" s="392"/>
      <c r="T222" s="392"/>
      <c r="U222" s="392"/>
      <c r="V222" s="392"/>
      <c r="W222" s="392"/>
      <c r="X222" s="393"/>
      <c r="Y222" s="394"/>
      <c r="Z222" s="392"/>
      <c r="AA222" s="392"/>
      <c r="AB222" s="392"/>
      <c r="AC222" s="392"/>
      <c r="AD222" s="392"/>
      <c r="AE222" s="392"/>
      <c r="AF222" s="392"/>
      <c r="AG222" s="392"/>
      <c r="AH222" s="392"/>
      <c r="AI222" s="392"/>
      <c r="AJ222" s="392"/>
      <c r="AK222" s="392"/>
      <c r="AL222" s="392"/>
      <c r="AM222" s="392"/>
      <c r="AN222" s="392"/>
      <c r="AO222" s="392"/>
      <c r="AP222" s="392"/>
      <c r="AQ222" s="392"/>
      <c r="AR222" s="392"/>
      <c r="AS222" s="392"/>
      <c r="AT222" s="392"/>
      <c r="AU222" s="392"/>
      <c r="AV222" s="392"/>
    </row>
    <row r="223" spans="2:48" ht="39" customHeight="1" x14ac:dyDescent="0.2">
      <c r="B223" s="182"/>
      <c r="C223" s="182"/>
      <c r="D223" s="182"/>
      <c r="E223" s="182"/>
      <c r="F223" s="182"/>
      <c r="G223" s="182"/>
      <c r="H223" s="182"/>
      <c r="I223" s="182"/>
      <c r="J223" s="182"/>
      <c r="K223" s="182"/>
      <c r="L223" s="182"/>
      <c r="M223" s="182"/>
      <c r="N223" s="182"/>
      <c r="O223" s="182"/>
      <c r="P223" s="182"/>
      <c r="Q223" s="182"/>
      <c r="R223" s="182"/>
      <c r="S223" s="182"/>
      <c r="T223" s="182"/>
      <c r="U223" s="182"/>
      <c r="V223" s="182"/>
      <c r="W223" s="182"/>
      <c r="X223" s="183"/>
      <c r="Y223" s="184"/>
      <c r="Z223" s="182"/>
      <c r="AA223" s="182"/>
      <c r="AB223" s="182"/>
      <c r="AC223" s="182"/>
      <c r="AD223" s="182"/>
      <c r="AE223" s="182"/>
      <c r="AF223" s="182"/>
      <c r="AG223" s="182"/>
      <c r="AH223" s="182"/>
      <c r="AI223" s="182"/>
      <c r="AJ223" s="182"/>
      <c r="AK223" s="182"/>
      <c r="AL223" s="182"/>
      <c r="AM223" s="182"/>
      <c r="AN223" s="182"/>
      <c r="AO223" s="182"/>
      <c r="AP223" s="182"/>
      <c r="AQ223" s="182"/>
      <c r="AR223" s="182"/>
      <c r="AS223" s="182"/>
      <c r="AT223" s="182"/>
      <c r="AU223" s="182"/>
      <c r="AV223" s="182"/>
    </row>
    <row r="224" spans="2:48" ht="18" x14ac:dyDescent="0.2">
      <c r="B224" s="182"/>
      <c r="C224" s="182"/>
      <c r="D224" s="182"/>
      <c r="E224" s="182"/>
      <c r="F224" s="182"/>
      <c r="G224" s="182"/>
      <c r="H224" s="992" t="s">
        <v>374</v>
      </c>
      <c r="I224" s="992"/>
      <c r="J224" s="992"/>
      <c r="K224" s="992"/>
      <c r="L224" s="992"/>
      <c r="M224" s="992"/>
      <c r="N224" s="992"/>
      <c r="O224" s="992"/>
      <c r="P224" s="992"/>
      <c r="Q224" s="992"/>
      <c r="R224" s="182"/>
      <c r="S224" s="182"/>
      <c r="T224" s="182"/>
      <c r="U224" s="182"/>
      <c r="V224" s="182"/>
      <c r="W224" s="182"/>
      <c r="X224" s="183"/>
      <c r="Y224" s="182"/>
      <c r="Z224" s="182"/>
      <c r="AA224" s="182"/>
      <c r="AB224" s="182"/>
      <c r="AC224" s="182"/>
      <c r="AD224" s="182"/>
      <c r="AE224" s="992" t="s">
        <v>374</v>
      </c>
      <c r="AF224" s="992"/>
      <c r="AG224" s="992"/>
      <c r="AH224" s="992"/>
      <c r="AI224" s="992"/>
      <c r="AJ224" s="992"/>
      <c r="AK224" s="992"/>
      <c r="AL224" s="992"/>
      <c r="AM224" s="992"/>
      <c r="AN224" s="992"/>
      <c r="AO224" s="182"/>
      <c r="AP224" s="182"/>
      <c r="AQ224" s="182"/>
      <c r="AR224" s="182"/>
      <c r="AS224" s="182"/>
      <c r="AT224" s="182"/>
      <c r="AU224" s="182"/>
      <c r="AV224" s="182"/>
    </row>
    <row r="225" spans="2:48" ht="18" x14ac:dyDescent="0.2">
      <c r="B225" s="182"/>
      <c r="C225" s="182"/>
      <c r="D225" s="182"/>
      <c r="E225" s="182"/>
      <c r="F225" s="182"/>
      <c r="G225" s="182"/>
      <c r="H225" s="1022" t="e">
        <f>VLOOKUP(U234,ID_archer_cible,4,FALSE)</f>
        <v>#N/A</v>
      </c>
      <c r="I225" s="1023"/>
      <c r="J225" s="1023"/>
      <c r="K225" s="1023"/>
      <c r="L225" s="1023"/>
      <c r="M225" s="1023"/>
      <c r="N225" s="1023"/>
      <c r="O225" s="1023"/>
      <c r="P225" s="1023"/>
      <c r="Q225" s="1024"/>
      <c r="R225" s="182"/>
      <c r="S225" s="182"/>
      <c r="T225" s="182"/>
      <c r="U225" s="182"/>
      <c r="V225" s="182"/>
      <c r="W225" s="182"/>
      <c r="X225" s="183"/>
      <c r="Y225" s="182"/>
      <c r="Z225" s="182"/>
      <c r="AA225" s="182"/>
      <c r="AB225" s="182"/>
      <c r="AC225" s="182"/>
      <c r="AD225" s="182"/>
      <c r="AE225" s="1022" t="e">
        <f>VLOOKUP(AS234,ID_archer_cible,4,FALSE)</f>
        <v>#N/A</v>
      </c>
      <c r="AF225" s="1023"/>
      <c r="AG225" s="1023"/>
      <c r="AH225" s="1023"/>
      <c r="AI225" s="1023"/>
      <c r="AJ225" s="1023"/>
      <c r="AK225" s="1023"/>
      <c r="AL225" s="1023"/>
      <c r="AM225" s="1023"/>
      <c r="AN225" s="1024"/>
      <c r="AO225" s="182"/>
      <c r="AP225" s="182"/>
      <c r="AQ225" s="182"/>
      <c r="AR225" s="182"/>
      <c r="AS225" s="182"/>
      <c r="AT225" s="182"/>
      <c r="AU225" s="182"/>
      <c r="AV225" s="182"/>
    </row>
    <row r="226" spans="2:48" x14ac:dyDescent="0.2">
      <c r="X226" s="186"/>
    </row>
    <row r="227" spans="2:48" x14ac:dyDescent="0.2">
      <c r="B227" s="1021" t="s">
        <v>0</v>
      </c>
      <c r="C227" s="1021"/>
      <c r="D227" s="1021"/>
      <c r="E227" s="1021"/>
      <c r="F227" s="1021"/>
      <c r="G227" s="1021"/>
      <c r="H227" s="1021"/>
      <c r="I227" s="1021"/>
      <c r="J227" s="1021"/>
      <c r="K227" s="1021"/>
      <c r="L227" s="1021"/>
      <c r="M227" s="187"/>
      <c r="P227" s="992" t="s">
        <v>375</v>
      </c>
      <c r="Q227" s="992"/>
      <c r="R227" s="992"/>
      <c r="S227" s="992"/>
      <c r="T227" s="992"/>
      <c r="U227" s="992"/>
      <c r="V227" s="992"/>
      <c r="W227" s="992"/>
      <c r="X227" s="188"/>
      <c r="Z227" s="1021" t="s">
        <v>0</v>
      </c>
      <c r="AA227" s="1021"/>
      <c r="AB227" s="1021"/>
      <c r="AC227" s="1021"/>
      <c r="AD227" s="1021"/>
      <c r="AE227" s="1021"/>
      <c r="AF227" s="1021"/>
      <c r="AG227" s="1021"/>
      <c r="AH227" s="1021"/>
      <c r="AI227" s="1021"/>
      <c r="AJ227" s="1021"/>
      <c r="AK227" s="187"/>
      <c r="AN227" s="992" t="s">
        <v>375</v>
      </c>
      <c r="AO227" s="992"/>
      <c r="AP227" s="992"/>
      <c r="AQ227" s="992"/>
      <c r="AR227" s="992"/>
      <c r="AS227" s="992"/>
      <c r="AT227" s="992"/>
      <c r="AU227" s="992"/>
      <c r="AV227" s="187"/>
    </row>
    <row r="228" spans="2:48" x14ac:dyDescent="0.2">
      <c r="B228" s="999" t="e">
        <f>VLOOKUP(U234,ID_archer_cible,2,FALSE)</f>
        <v>#N/A</v>
      </c>
      <c r="C228" s="1000"/>
      <c r="D228" s="1000"/>
      <c r="E228" s="1000"/>
      <c r="F228" s="1000"/>
      <c r="G228" s="1000"/>
      <c r="H228" s="1000"/>
      <c r="I228" s="1000"/>
      <c r="J228" s="1000"/>
      <c r="K228" s="1000"/>
      <c r="L228" s="1000"/>
      <c r="M228" s="1001"/>
      <c r="P228" s="999" t="e">
        <f>VLOOKUP(U234,ID_archer_cible,3,FALSE)</f>
        <v>#N/A</v>
      </c>
      <c r="Q228" s="1000"/>
      <c r="R228" s="1000"/>
      <c r="S228" s="1000"/>
      <c r="T228" s="1000"/>
      <c r="U228" s="1000"/>
      <c r="V228" s="1000"/>
      <c r="W228" s="1001"/>
      <c r="X228" s="186"/>
      <c r="Y228"/>
      <c r="Z228" s="999" t="e">
        <f>VLOOKUP(AS234,ID_archer_cible,2,FALSE)</f>
        <v>#N/A</v>
      </c>
      <c r="AA228" s="1000"/>
      <c r="AB228" s="1000"/>
      <c r="AC228" s="1000"/>
      <c r="AD228" s="1000"/>
      <c r="AE228" s="1000"/>
      <c r="AF228" s="1000"/>
      <c r="AG228" s="1000"/>
      <c r="AH228" s="1000"/>
      <c r="AI228" s="1000"/>
      <c r="AJ228" s="1000"/>
      <c r="AK228" s="1001"/>
      <c r="AN228" s="999" t="e">
        <f>VLOOKUP(AS234,ID_archer_cible,3,FALSE)</f>
        <v>#N/A</v>
      </c>
      <c r="AO228" s="1000"/>
      <c r="AP228" s="1000"/>
      <c r="AQ228" s="1000"/>
      <c r="AR228" s="1000"/>
      <c r="AS228" s="1000"/>
      <c r="AT228" s="1000"/>
      <c r="AU228" s="1001"/>
    </row>
    <row r="229" spans="2:48" x14ac:dyDescent="0.2">
      <c r="X229" s="186"/>
      <c r="Y229"/>
    </row>
    <row r="230" spans="2:48" ht="16.5" thickBot="1" x14ac:dyDescent="0.25">
      <c r="B230" s="1017" t="s">
        <v>1</v>
      </c>
      <c r="C230" s="1017"/>
      <c r="D230" s="1017"/>
      <c r="E230" s="1017"/>
      <c r="F230" s="1017"/>
      <c r="G230" s="1017"/>
      <c r="H230" s="1017"/>
      <c r="I230" s="1017"/>
      <c r="J230" s="1017"/>
      <c r="L230" s="1017" t="s">
        <v>505</v>
      </c>
      <c r="M230" s="1017"/>
      <c r="N230" s="1017"/>
      <c r="O230" s="1017"/>
      <c r="P230" s="1017"/>
      <c r="Q230" s="1017"/>
      <c r="S230" s="992" t="s">
        <v>506</v>
      </c>
      <c r="T230" s="992"/>
      <c r="U230" s="992"/>
      <c r="V230" s="992"/>
      <c r="W230" s="992"/>
      <c r="X230" s="188"/>
      <c r="Y230"/>
      <c r="Z230" s="1017" t="s">
        <v>1</v>
      </c>
      <c r="AA230" s="1017"/>
      <c r="AB230" s="1017"/>
      <c r="AC230" s="1017"/>
      <c r="AD230" s="1017"/>
      <c r="AE230" s="1017"/>
      <c r="AF230" s="1017"/>
      <c r="AG230" s="1017"/>
      <c r="AH230" s="1017"/>
      <c r="AJ230" s="1017" t="s">
        <v>505</v>
      </c>
      <c r="AK230" s="1017"/>
      <c r="AL230" s="1017"/>
      <c r="AM230" s="1017"/>
      <c r="AN230" s="1017"/>
      <c r="AO230" s="1017"/>
      <c r="AQ230" s="992" t="s">
        <v>506</v>
      </c>
      <c r="AR230" s="992"/>
      <c r="AS230" s="992"/>
      <c r="AT230" s="992"/>
      <c r="AU230" s="992"/>
      <c r="AV230" s="187"/>
    </row>
    <row r="231" spans="2:48" ht="16.5" thickBot="1" x14ac:dyDescent="0.25">
      <c r="B231" s="1014" t="e">
        <f>VLOOKUP(U234,ID_archer_cible,5,FALSE)</f>
        <v>#N/A</v>
      </c>
      <c r="C231" s="1015"/>
      <c r="D231" s="1015"/>
      <c r="E231" s="1015"/>
      <c r="F231" s="1015"/>
      <c r="G231" s="1015"/>
      <c r="H231" s="1015"/>
      <c r="I231" s="1015"/>
      <c r="J231" s="1016"/>
      <c r="L231" s="1014" t="e">
        <f>VLOOKUP(U234,ID_archer_cible,6,FALSE)</f>
        <v>#N/A</v>
      </c>
      <c r="M231" s="1015"/>
      <c r="N231" s="1015"/>
      <c r="O231" s="1015"/>
      <c r="P231" s="1015"/>
      <c r="Q231" s="1016"/>
      <c r="S231" s="999" t="e">
        <f>VLOOKUP(U234,ID_archer_cible,8,FALSE)</f>
        <v>#N/A</v>
      </c>
      <c r="T231" s="1000"/>
      <c r="U231" s="1000"/>
      <c r="V231" s="1000"/>
      <c r="W231" s="1001"/>
      <c r="X231" s="186"/>
      <c r="Y231"/>
      <c r="Z231" s="1014" t="e">
        <f>VLOOKUP(AS234,ID_archer_cible,5,FALSE)</f>
        <v>#N/A</v>
      </c>
      <c r="AA231" s="1015"/>
      <c r="AB231" s="1015"/>
      <c r="AC231" s="1015"/>
      <c r="AD231" s="1015"/>
      <c r="AE231" s="1015"/>
      <c r="AF231" s="1015"/>
      <c r="AG231" s="1015"/>
      <c r="AH231" s="1016"/>
      <c r="AJ231" s="1014" t="e">
        <f>VLOOKUP(AS234,ID_archer_cible,6,FALSE)</f>
        <v>#N/A</v>
      </c>
      <c r="AK231" s="1015"/>
      <c r="AL231" s="1015"/>
      <c r="AM231" s="1015"/>
      <c r="AN231" s="1015"/>
      <c r="AO231" s="1016"/>
      <c r="AQ231" s="999" t="e">
        <f>VLOOKUP(AS234,ID_archer_cible,8,FALSE)</f>
        <v>#N/A</v>
      </c>
      <c r="AR231" s="1000"/>
      <c r="AS231" s="1000"/>
      <c r="AT231" s="1000"/>
      <c r="AU231" s="1001"/>
    </row>
    <row r="232" spans="2:48" x14ac:dyDescent="0.2">
      <c r="X232" s="186"/>
      <c r="Y232"/>
    </row>
    <row r="233" spans="2:48" x14ac:dyDescent="0.2">
      <c r="B233" s="992" t="s">
        <v>530</v>
      </c>
      <c r="C233" s="992"/>
      <c r="D233" s="992"/>
      <c r="E233" s="992"/>
      <c r="F233" s="992"/>
      <c r="G233" s="187"/>
      <c r="H233" s="992" t="s">
        <v>504</v>
      </c>
      <c r="I233" s="992"/>
      <c r="J233" s="992"/>
      <c r="K233" s="992"/>
      <c r="M233" s="992" t="s">
        <v>39</v>
      </c>
      <c r="N233" s="992"/>
      <c r="O233" s="992"/>
      <c r="Q233" s="1021"/>
      <c r="R233" s="1021"/>
      <c r="S233" s="1021"/>
      <c r="U233" s="992" t="s">
        <v>507</v>
      </c>
      <c r="V233" s="992"/>
      <c r="W233" s="992"/>
      <c r="X233" s="188"/>
      <c r="Y233"/>
      <c r="Z233" s="992" t="s">
        <v>530</v>
      </c>
      <c r="AA233" s="992"/>
      <c r="AB233" s="992"/>
      <c r="AC233" s="992"/>
      <c r="AD233" s="992"/>
      <c r="AE233" s="187"/>
      <c r="AF233" s="992" t="s">
        <v>504</v>
      </c>
      <c r="AG233" s="992"/>
      <c r="AH233" s="992"/>
      <c r="AI233" s="992"/>
      <c r="AK233" s="992" t="s">
        <v>39</v>
      </c>
      <c r="AL233" s="992"/>
      <c r="AM233" s="992"/>
      <c r="AO233" s="1021"/>
      <c r="AP233" s="1021"/>
      <c r="AQ233" s="1021"/>
      <c r="AS233" s="992" t="s">
        <v>507</v>
      </c>
      <c r="AT233" s="992"/>
      <c r="AU233" s="992"/>
      <c r="AV233" s="187"/>
    </row>
    <row r="234" spans="2:48" ht="15.75" x14ac:dyDescent="0.2">
      <c r="B234" s="1011" t="e">
        <f>VLOOKUP(U234,ID_archer_cible,7,FALSE)</f>
        <v>#N/A</v>
      </c>
      <c r="C234" s="1012"/>
      <c r="D234" s="1012"/>
      <c r="E234" s="1012"/>
      <c r="F234" s="1013"/>
      <c r="H234" s="999" t="e">
        <f>VLOOKUP(U234,ID_archer_cible,9,FALSE)</f>
        <v>#N/A</v>
      </c>
      <c r="I234" s="1000"/>
      <c r="J234" s="1000"/>
      <c r="K234" s="1001"/>
      <c r="M234" s="999" t="e">
        <f>VLOOKUP(U234,ID_archer_cible,10,FALSE)</f>
        <v>#N/A</v>
      </c>
      <c r="N234" s="1000"/>
      <c r="O234" s="1001"/>
      <c r="Q234" s="1021"/>
      <c r="R234" s="1021"/>
      <c r="S234" s="1021"/>
      <c r="T234" s="187"/>
      <c r="U234" s="996" t="str">
        <f>AR192&amp;"C"</f>
        <v>4C</v>
      </c>
      <c r="V234" s="997"/>
      <c r="W234" s="998"/>
      <c r="X234" s="188"/>
      <c r="Y234"/>
      <c r="Z234" s="1011" t="e">
        <f>VLOOKUP(AS234,ID_archer_cible,7,FALSE)</f>
        <v>#N/A</v>
      </c>
      <c r="AA234" s="1012"/>
      <c r="AB234" s="1012"/>
      <c r="AC234" s="1012"/>
      <c r="AD234" s="1013"/>
      <c r="AF234" s="999" t="e">
        <f>VLOOKUP(AS234,ID_archer_cible,9,FALSE)</f>
        <v>#N/A</v>
      </c>
      <c r="AG234" s="1000"/>
      <c r="AH234" s="1000"/>
      <c r="AI234" s="1001"/>
      <c r="AK234" s="999" t="e">
        <f>VLOOKUP(AS234,ID_archer_cible,10,FALSE)</f>
        <v>#N/A</v>
      </c>
      <c r="AL234" s="1000"/>
      <c r="AM234" s="1001"/>
      <c r="AO234" s="1021"/>
      <c r="AP234" s="1021"/>
      <c r="AQ234" s="1021"/>
      <c r="AR234" s="187"/>
      <c r="AS234" s="996" t="str">
        <f>AR192&amp;"D"</f>
        <v>4D</v>
      </c>
      <c r="AT234" s="997"/>
      <c r="AU234" s="998"/>
      <c r="AV234" s="187"/>
    </row>
    <row r="235" spans="2:48" x14ac:dyDescent="0.2">
      <c r="X235" s="186"/>
    </row>
    <row r="236" spans="2:48" x14ac:dyDescent="0.2">
      <c r="B236" s="185" t="s">
        <v>509</v>
      </c>
      <c r="E236" s="992" t="s">
        <v>510</v>
      </c>
      <c r="F236" s="992"/>
      <c r="G236" s="992"/>
      <c r="H236" s="992"/>
      <c r="I236" s="992"/>
      <c r="J236" s="992"/>
      <c r="K236" s="992"/>
      <c r="L236" s="992"/>
      <c r="M236" s="992"/>
      <c r="N236" s="992"/>
      <c r="P236" s="992" t="s">
        <v>511</v>
      </c>
      <c r="Q236" s="992"/>
      <c r="R236" s="992"/>
      <c r="X236" s="186"/>
      <c r="Z236" s="185" t="s">
        <v>509</v>
      </c>
      <c r="AC236" s="992" t="s">
        <v>510</v>
      </c>
      <c r="AD236" s="992"/>
      <c r="AE236" s="992"/>
      <c r="AF236" s="992"/>
      <c r="AG236" s="992"/>
      <c r="AH236" s="992"/>
      <c r="AI236" s="992"/>
      <c r="AJ236" s="992"/>
      <c r="AK236" s="992"/>
      <c r="AL236" s="992"/>
      <c r="AN236" s="992" t="s">
        <v>511</v>
      </c>
      <c r="AO236" s="992"/>
      <c r="AP236" s="992"/>
    </row>
    <row r="237" spans="2:48" ht="20.25" customHeight="1" x14ac:dyDescent="0.2">
      <c r="B237" s="1009" t="s">
        <v>513</v>
      </c>
      <c r="C237" s="1009"/>
      <c r="E237" s="189"/>
      <c r="F237" s="191"/>
      <c r="G237" s="189"/>
      <c r="H237" s="191"/>
      <c r="I237" s="189"/>
      <c r="J237" s="191"/>
      <c r="K237" s="189"/>
      <c r="L237" s="191"/>
      <c r="M237" s="189"/>
      <c r="N237" s="191"/>
      <c r="P237" s="189"/>
      <c r="Q237" s="190"/>
      <c r="R237" s="191"/>
      <c r="T237" s="992" t="s">
        <v>512</v>
      </c>
      <c r="U237" s="992"/>
      <c r="V237" s="992"/>
      <c r="W237" s="992"/>
      <c r="X237" s="188"/>
      <c r="Z237" s="1009" t="s">
        <v>513</v>
      </c>
      <c r="AA237" s="1009"/>
      <c r="AC237" s="189"/>
      <c r="AD237" s="191"/>
      <c r="AE237" s="189"/>
      <c r="AF237" s="191"/>
      <c r="AG237" s="189"/>
      <c r="AH237" s="191"/>
      <c r="AI237" s="189"/>
      <c r="AJ237" s="191"/>
      <c r="AK237" s="189"/>
      <c r="AL237" s="191"/>
      <c r="AN237" s="189"/>
      <c r="AO237" s="190"/>
      <c r="AP237" s="191"/>
      <c r="AR237" s="992" t="s">
        <v>512</v>
      </c>
      <c r="AS237" s="992"/>
      <c r="AT237" s="992"/>
      <c r="AU237" s="992"/>
      <c r="AV237" s="187"/>
    </row>
    <row r="238" spans="2:48" ht="20.25" customHeight="1" x14ac:dyDescent="0.2">
      <c r="B238" s="1009" t="s">
        <v>514</v>
      </c>
      <c r="C238" s="1009"/>
      <c r="E238" s="189"/>
      <c r="F238" s="191"/>
      <c r="G238" s="189"/>
      <c r="H238" s="191"/>
      <c r="I238" s="189"/>
      <c r="J238" s="191"/>
      <c r="K238" s="189"/>
      <c r="L238" s="191"/>
      <c r="M238" s="189"/>
      <c r="N238" s="191"/>
      <c r="P238" s="189"/>
      <c r="Q238" s="190"/>
      <c r="R238" s="191"/>
      <c r="T238" s="189"/>
      <c r="U238" s="190"/>
      <c r="V238" s="190"/>
      <c r="W238" s="191"/>
      <c r="X238" s="186"/>
      <c r="Z238" s="1009" t="s">
        <v>514</v>
      </c>
      <c r="AA238" s="1009"/>
      <c r="AC238" s="189"/>
      <c r="AD238" s="191"/>
      <c r="AE238" s="189"/>
      <c r="AF238" s="191"/>
      <c r="AG238" s="189"/>
      <c r="AH238" s="191"/>
      <c r="AI238" s="189"/>
      <c r="AJ238" s="191"/>
      <c r="AK238" s="189"/>
      <c r="AL238" s="191"/>
      <c r="AN238" s="189"/>
      <c r="AO238" s="190"/>
      <c r="AP238" s="191"/>
      <c r="AR238" s="189"/>
      <c r="AS238" s="190"/>
      <c r="AT238" s="190"/>
      <c r="AU238" s="191"/>
    </row>
    <row r="239" spans="2:48" ht="20.25" customHeight="1" x14ac:dyDescent="0.2">
      <c r="B239" s="1009" t="s">
        <v>515</v>
      </c>
      <c r="C239" s="1009"/>
      <c r="E239" s="189"/>
      <c r="F239" s="191"/>
      <c r="G239" s="189"/>
      <c r="H239" s="191"/>
      <c r="I239" s="189"/>
      <c r="J239" s="191"/>
      <c r="K239" s="189"/>
      <c r="L239" s="191"/>
      <c r="M239" s="189"/>
      <c r="N239" s="191"/>
      <c r="P239" s="189"/>
      <c r="Q239" s="190"/>
      <c r="R239" s="191"/>
      <c r="T239" s="189"/>
      <c r="U239" s="190"/>
      <c r="V239" s="190"/>
      <c r="W239" s="191"/>
      <c r="X239" s="186"/>
      <c r="Z239" s="1009" t="s">
        <v>515</v>
      </c>
      <c r="AA239" s="1009"/>
      <c r="AC239" s="189"/>
      <c r="AD239" s="191"/>
      <c r="AE239" s="189"/>
      <c r="AF239" s="191"/>
      <c r="AG239" s="189"/>
      <c r="AH239" s="191"/>
      <c r="AI239" s="189"/>
      <c r="AJ239" s="191"/>
      <c r="AK239" s="189"/>
      <c r="AL239" s="191"/>
      <c r="AN239" s="189"/>
      <c r="AO239" s="190"/>
      <c r="AP239" s="191"/>
      <c r="AR239" s="189"/>
      <c r="AS239" s="190"/>
      <c r="AT239" s="190"/>
      <c r="AU239" s="191"/>
    </row>
    <row r="240" spans="2:48" ht="20.25" customHeight="1" x14ac:dyDescent="0.2">
      <c r="B240" s="1009" t="s">
        <v>516</v>
      </c>
      <c r="C240" s="1009"/>
      <c r="E240" s="189"/>
      <c r="F240" s="191"/>
      <c r="G240" s="189"/>
      <c r="H240" s="191"/>
      <c r="I240" s="189"/>
      <c r="J240" s="191"/>
      <c r="K240" s="189"/>
      <c r="L240" s="191"/>
      <c r="M240" s="189"/>
      <c r="N240" s="191"/>
      <c r="P240" s="189"/>
      <c r="Q240" s="190"/>
      <c r="R240" s="191"/>
      <c r="T240" s="189"/>
      <c r="U240" s="190"/>
      <c r="V240" s="190"/>
      <c r="W240" s="191"/>
      <c r="X240" s="186"/>
      <c r="Z240" s="1009" t="s">
        <v>516</v>
      </c>
      <c r="AA240" s="1009"/>
      <c r="AC240" s="189"/>
      <c r="AD240" s="191"/>
      <c r="AE240" s="189"/>
      <c r="AF240" s="191"/>
      <c r="AG240" s="189"/>
      <c r="AH240" s="191"/>
      <c r="AI240" s="189"/>
      <c r="AJ240" s="191"/>
      <c r="AK240" s="189"/>
      <c r="AL240" s="191"/>
      <c r="AN240" s="189"/>
      <c r="AO240" s="190"/>
      <c r="AP240" s="191"/>
      <c r="AR240" s="189"/>
      <c r="AS240" s="190"/>
      <c r="AT240" s="190"/>
      <c r="AU240" s="191"/>
    </row>
    <row r="241" spans="2:48" ht="20.25" customHeight="1" x14ac:dyDescent="0.2">
      <c r="B241" s="1009" t="s">
        <v>517</v>
      </c>
      <c r="C241" s="1009"/>
      <c r="E241" s="189"/>
      <c r="F241" s="191"/>
      <c r="G241" s="189"/>
      <c r="H241" s="191"/>
      <c r="I241" s="189"/>
      <c r="J241" s="191"/>
      <c r="K241" s="189"/>
      <c r="L241" s="191"/>
      <c r="M241" s="189"/>
      <c r="N241" s="191"/>
      <c r="P241" s="189"/>
      <c r="Q241" s="190"/>
      <c r="R241" s="191"/>
      <c r="T241" s="189"/>
      <c r="U241" s="190"/>
      <c r="V241" s="190"/>
      <c r="W241" s="191"/>
      <c r="X241" s="186"/>
      <c r="Z241" s="1009" t="s">
        <v>517</v>
      </c>
      <c r="AA241" s="1009"/>
      <c r="AC241" s="189"/>
      <c r="AD241" s="191"/>
      <c r="AE241" s="189"/>
      <c r="AF241" s="191"/>
      <c r="AG241" s="189"/>
      <c r="AH241" s="191"/>
      <c r="AI241" s="189"/>
      <c r="AJ241" s="191"/>
      <c r="AK241" s="189"/>
      <c r="AL241" s="191"/>
      <c r="AN241" s="189"/>
      <c r="AO241" s="190"/>
      <c r="AP241" s="191"/>
      <c r="AR241" s="189"/>
      <c r="AS241" s="190"/>
      <c r="AT241" s="190"/>
      <c r="AU241" s="191"/>
    </row>
    <row r="242" spans="2:48" ht="20.25" customHeight="1" x14ac:dyDescent="0.2">
      <c r="B242" s="1009" t="s">
        <v>518</v>
      </c>
      <c r="C242" s="1009"/>
      <c r="E242" s="189"/>
      <c r="F242" s="191"/>
      <c r="G242" s="189"/>
      <c r="H242" s="191"/>
      <c r="I242" s="189"/>
      <c r="J242" s="191"/>
      <c r="K242" s="189"/>
      <c r="L242" s="191"/>
      <c r="M242" s="189"/>
      <c r="N242" s="191"/>
      <c r="P242" s="189"/>
      <c r="Q242" s="190"/>
      <c r="R242" s="191"/>
      <c r="T242" s="189"/>
      <c r="U242" s="190"/>
      <c r="V242" s="190"/>
      <c r="W242" s="191"/>
      <c r="X242" s="186"/>
      <c r="Z242" s="1009" t="s">
        <v>518</v>
      </c>
      <c r="AA242" s="1009"/>
      <c r="AC242" s="189"/>
      <c r="AD242" s="191"/>
      <c r="AE242" s="189"/>
      <c r="AF242" s="191"/>
      <c r="AG242" s="189"/>
      <c r="AH242" s="191"/>
      <c r="AI242" s="189"/>
      <c r="AJ242" s="191"/>
      <c r="AK242" s="189"/>
      <c r="AL242" s="191"/>
      <c r="AN242" s="189"/>
      <c r="AO242" s="190"/>
      <c r="AP242" s="191"/>
      <c r="AR242" s="189"/>
      <c r="AS242" s="190"/>
      <c r="AT242" s="190"/>
      <c r="AU242" s="191"/>
    </row>
    <row r="243" spans="2:48" ht="15.75" thickBot="1" x14ac:dyDescent="0.25">
      <c r="B243" s="187"/>
      <c r="C243" s="187"/>
      <c r="X243" s="186"/>
      <c r="Z243" s="187"/>
      <c r="AA243" s="187"/>
    </row>
    <row r="244" spans="2:48" ht="20.25" customHeight="1" thickBot="1" x14ac:dyDescent="0.25">
      <c r="P244" s="197" t="s">
        <v>519</v>
      </c>
      <c r="Q244" s="197"/>
      <c r="R244" s="197"/>
      <c r="S244" s="197"/>
      <c r="T244" s="192"/>
      <c r="U244" s="193"/>
      <c r="V244" s="193"/>
      <c r="W244" s="194"/>
      <c r="X244" s="186"/>
      <c r="AN244" s="197" t="s">
        <v>519</v>
      </c>
      <c r="AO244" s="197"/>
      <c r="AP244" s="197"/>
      <c r="AQ244" s="197"/>
      <c r="AR244" s="192"/>
      <c r="AS244" s="193"/>
      <c r="AT244" s="193"/>
      <c r="AU244" s="194"/>
    </row>
    <row r="245" spans="2:48" x14ac:dyDescent="0.2">
      <c r="E245" s="196"/>
      <c r="F245" s="196"/>
      <c r="G245" s="196"/>
      <c r="H245" s="196"/>
      <c r="I245" s="196"/>
      <c r="J245" s="196"/>
      <c r="K245" s="196"/>
      <c r="L245" s="196"/>
      <c r="M245" s="196"/>
      <c r="X245" s="186"/>
      <c r="AC245" s="196"/>
      <c r="AD245" s="196"/>
      <c r="AE245" s="196"/>
      <c r="AF245" s="196"/>
      <c r="AG245" s="196"/>
      <c r="AH245" s="196"/>
      <c r="AI245" s="196"/>
      <c r="AJ245" s="196"/>
      <c r="AK245" s="196"/>
    </row>
    <row r="246" spans="2:48" x14ac:dyDescent="0.2">
      <c r="B246" s="1010" t="s">
        <v>521</v>
      </c>
      <c r="C246" s="1010"/>
      <c r="D246" s="1010"/>
      <c r="E246" s="1010"/>
      <c r="F246" s="1010"/>
      <c r="G246" s="1010"/>
      <c r="H246" s="195"/>
      <c r="I246" s="1004" t="s">
        <v>522</v>
      </c>
      <c r="J246" s="1004"/>
      <c r="K246" s="1004"/>
      <c r="L246" s="1004"/>
      <c r="M246" s="1004"/>
      <c r="N246" s="1004"/>
      <c r="O246" s="1004"/>
      <c r="P246" s="1004"/>
      <c r="Q246" s="1004"/>
      <c r="R246" s="1004"/>
      <c r="S246" s="1004"/>
      <c r="T246" s="1004"/>
      <c r="U246" s="1004"/>
      <c r="V246" s="1004"/>
      <c r="W246" s="1004"/>
      <c r="X246" s="198"/>
      <c r="Y246" s="195"/>
      <c r="Z246" s="1010" t="s">
        <v>521</v>
      </c>
      <c r="AA246" s="1010"/>
      <c r="AB246" s="1010"/>
      <c r="AC246" s="1010"/>
      <c r="AD246" s="1010"/>
      <c r="AE246" s="1010"/>
      <c r="AF246" s="195"/>
      <c r="AG246" s="1004" t="s">
        <v>522</v>
      </c>
      <c r="AH246" s="1004"/>
      <c r="AI246" s="1004"/>
      <c r="AJ246" s="1004"/>
      <c r="AK246" s="1004"/>
      <c r="AL246" s="1004"/>
      <c r="AM246" s="1004"/>
      <c r="AN246" s="1004"/>
      <c r="AO246" s="1004"/>
      <c r="AP246" s="1004"/>
      <c r="AQ246" s="1004"/>
      <c r="AR246" s="1004"/>
      <c r="AS246" s="1004"/>
      <c r="AT246" s="1004"/>
      <c r="AU246" s="1004"/>
      <c r="AV246" s="195"/>
    </row>
    <row r="247" spans="2:48" x14ac:dyDescent="0.2">
      <c r="B247" s="1005" t="s">
        <v>520</v>
      </c>
      <c r="C247" s="1006"/>
      <c r="D247" s="1006"/>
      <c r="E247" s="1006"/>
      <c r="F247" s="1006"/>
      <c r="G247" s="1007"/>
      <c r="I247" s="1005" t="s">
        <v>0</v>
      </c>
      <c r="J247" s="1006"/>
      <c r="K247" s="1006"/>
      <c r="L247" s="1006"/>
      <c r="M247" s="1006"/>
      <c r="N247" s="1006"/>
      <c r="O247" s="1006"/>
      <c r="P247" s="1006"/>
      <c r="Q247" s="1006"/>
      <c r="R247" s="1006"/>
      <c r="S247" s="1006"/>
      <c r="T247" s="1006"/>
      <c r="U247" s="1006"/>
      <c r="V247" s="1006"/>
      <c r="W247" s="1007"/>
      <c r="X247" s="186"/>
      <c r="Z247" s="1005" t="s">
        <v>520</v>
      </c>
      <c r="AA247" s="1006"/>
      <c r="AB247" s="1006"/>
      <c r="AC247" s="1006"/>
      <c r="AD247" s="1006"/>
      <c r="AE247" s="1007"/>
      <c r="AG247" s="1005" t="s">
        <v>0</v>
      </c>
      <c r="AH247" s="1006"/>
      <c r="AI247" s="1006"/>
      <c r="AJ247" s="1006"/>
      <c r="AK247" s="1006"/>
      <c r="AL247" s="1006"/>
      <c r="AM247" s="1006"/>
      <c r="AN247" s="1006"/>
      <c r="AO247" s="1006"/>
      <c r="AP247" s="1006"/>
      <c r="AQ247" s="1006"/>
      <c r="AR247" s="1006"/>
      <c r="AS247" s="1006"/>
      <c r="AT247" s="1006"/>
      <c r="AU247" s="1007"/>
    </row>
    <row r="248" spans="2:48" x14ac:dyDescent="0.2">
      <c r="B248" s="199"/>
      <c r="C248" s="200"/>
      <c r="D248" s="200"/>
      <c r="E248" s="200"/>
      <c r="F248" s="200"/>
      <c r="G248" s="201"/>
      <c r="I248" s="199"/>
      <c r="J248" s="200"/>
      <c r="K248" s="200"/>
      <c r="L248" s="200"/>
      <c r="M248" s="200"/>
      <c r="N248" s="200"/>
      <c r="O248" s="200"/>
      <c r="P248" s="200"/>
      <c r="Q248" s="200"/>
      <c r="R248" s="200"/>
      <c r="S248" s="200"/>
      <c r="T248" s="200"/>
      <c r="U248" s="200"/>
      <c r="V248" s="200"/>
      <c r="W248" s="201"/>
      <c r="X248" s="186"/>
      <c r="Z248" s="199"/>
      <c r="AA248" s="200"/>
      <c r="AB248" s="200"/>
      <c r="AC248" s="200"/>
      <c r="AD248" s="200"/>
      <c r="AE248" s="201"/>
      <c r="AG248" s="199"/>
      <c r="AH248" s="200"/>
      <c r="AI248" s="200"/>
      <c r="AJ248" s="200"/>
      <c r="AK248" s="200"/>
      <c r="AL248" s="200"/>
      <c r="AM248" s="200"/>
      <c r="AN248" s="200"/>
      <c r="AO248" s="200"/>
      <c r="AP248" s="200"/>
      <c r="AQ248" s="200"/>
      <c r="AR248" s="200"/>
      <c r="AS248" s="200"/>
      <c r="AT248" s="200"/>
      <c r="AU248" s="201"/>
    </row>
    <row r="249" spans="2:48" x14ac:dyDescent="0.2">
      <c r="X249" s="186"/>
    </row>
    <row r="250" spans="2:48" x14ac:dyDescent="0.2">
      <c r="I250" s="1005" t="s">
        <v>481</v>
      </c>
      <c r="J250" s="1006"/>
      <c r="K250" s="1006"/>
      <c r="L250" s="1006"/>
      <c r="M250" s="1006"/>
      <c r="N250" s="1006"/>
      <c r="O250" s="1006"/>
      <c r="P250" s="1006"/>
      <c r="Q250" s="1007"/>
      <c r="R250" s="1005" t="s">
        <v>520</v>
      </c>
      <c r="S250" s="1006"/>
      <c r="T250" s="1006"/>
      <c r="U250" s="1006"/>
      <c r="V250" s="1006"/>
      <c r="W250" s="1007"/>
      <c r="X250" s="186"/>
      <c r="AG250" s="1005" t="s">
        <v>481</v>
      </c>
      <c r="AH250" s="1006"/>
      <c r="AI250" s="1006"/>
      <c r="AJ250" s="1006"/>
      <c r="AK250" s="1006"/>
      <c r="AL250" s="1006"/>
      <c r="AM250" s="1006"/>
      <c r="AN250" s="1006"/>
      <c r="AO250" s="1007"/>
      <c r="AP250" s="1005" t="s">
        <v>520</v>
      </c>
      <c r="AQ250" s="1006"/>
      <c r="AR250" s="1006"/>
      <c r="AS250" s="1006"/>
      <c r="AT250" s="1006"/>
      <c r="AU250" s="1007"/>
    </row>
    <row r="251" spans="2:48" x14ac:dyDescent="0.2">
      <c r="I251" s="199"/>
      <c r="J251" s="200"/>
      <c r="K251" s="200"/>
      <c r="L251" s="200"/>
      <c r="M251" s="200"/>
      <c r="N251" s="200"/>
      <c r="O251" s="200"/>
      <c r="P251" s="200"/>
      <c r="Q251" s="200"/>
      <c r="R251" s="199"/>
      <c r="S251" s="200"/>
      <c r="T251" s="200"/>
      <c r="U251" s="200"/>
      <c r="V251" s="200"/>
      <c r="W251" s="201"/>
      <c r="X251" s="186"/>
      <c r="AG251" s="199"/>
      <c r="AH251" s="200"/>
      <c r="AI251" s="200"/>
      <c r="AJ251" s="200"/>
      <c r="AK251" s="200"/>
      <c r="AL251" s="200"/>
      <c r="AM251" s="200"/>
      <c r="AN251" s="200"/>
      <c r="AO251" s="200"/>
      <c r="AP251" s="199"/>
      <c r="AQ251" s="200"/>
      <c r="AR251" s="200"/>
      <c r="AS251" s="200"/>
      <c r="AT251" s="200"/>
      <c r="AU251" s="201"/>
    </row>
    <row r="253" spans="2:48" ht="57.75" customHeight="1" x14ac:dyDescent="0.2">
      <c r="B253" s="1058" t="str">
        <f>Championnat</f>
        <v>Championnat de France de Tir à l'ARC</v>
      </c>
      <c r="C253" s="1058"/>
      <c r="D253" s="1058"/>
      <c r="E253" s="1058"/>
      <c r="F253" s="1058"/>
      <c r="G253" s="1058"/>
      <c r="H253" s="1058"/>
      <c r="I253" s="1058"/>
      <c r="J253" s="1058"/>
      <c r="K253" s="1058"/>
      <c r="L253" s="1058"/>
      <c r="M253" s="1058"/>
      <c r="N253" s="1058"/>
      <c r="O253" s="1058"/>
      <c r="P253" s="1058"/>
      <c r="Q253" s="1058"/>
      <c r="R253" s="1058"/>
      <c r="S253" s="1058"/>
      <c r="T253" s="1058"/>
      <c r="U253" s="1058"/>
      <c r="V253" s="1058"/>
      <c r="W253" s="1058"/>
      <c r="X253" s="1058"/>
      <c r="Y253" s="1058"/>
      <c r="Z253" s="1058"/>
      <c r="AA253" s="1058"/>
      <c r="AB253" s="1058"/>
      <c r="AC253" s="1058"/>
      <c r="AD253" s="1058"/>
      <c r="AE253" s="1058"/>
      <c r="AF253" s="1058"/>
      <c r="AG253" s="1058"/>
      <c r="AH253" s="1058"/>
      <c r="AI253" s="1058"/>
      <c r="AJ253" s="1058"/>
      <c r="AK253" s="1058"/>
      <c r="AL253" s="1058"/>
      <c r="AM253" s="1058"/>
      <c r="AN253" s="1058"/>
      <c r="AO253" s="1058"/>
      <c r="AP253" s="1058"/>
    </row>
    <row r="254" spans="2:48" ht="45" customHeight="1" thickBot="1" x14ac:dyDescent="0.25">
      <c r="B254" s="1018" t="str">
        <f>LIEU&amp;" - "&amp;DATE&amp;" - "&amp;CATEG</f>
        <v>L’Isle sur la Sorgue - 27 au 31 mars 2023 - Collèges Mixtes Etablissement</v>
      </c>
      <c r="C254" s="1018"/>
      <c r="D254" s="1018"/>
      <c r="E254" s="1018"/>
      <c r="F254" s="1018"/>
      <c r="G254" s="1018"/>
      <c r="H254" s="1018"/>
      <c r="I254" s="1018"/>
      <c r="J254" s="1018"/>
      <c r="K254" s="1018"/>
      <c r="L254" s="1018"/>
      <c r="M254" s="1018"/>
      <c r="N254" s="1018"/>
      <c r="O254" s="1018"/>
      <c r="P254" s="1018"/>
      <c r="Q254" s="1018"/>
      <c r="R254" s="1018"/>
      <c r="S254" s="1018"/>
      <c r="T254" s="1018"/>
      <c r="U254" s="1018"/>
      <c r="V254" s="1018"/>
      <c r="W254" s="1018"/>
      <c r="X254" s="1018"/>
      <c r="Y254" s="1018"/>
      <c r="Z254" s="1018"/>
      <c r="AA254" s="1018"/>
      <c r="AB254" s="1018"/>
      <c r="AC254" s="1018"/>
      <c r="AD254" s="1018"/>
      <c r="AE254" s="1018"/>
      <c r="AF254" s="1018"/>
      <c r="AG254" s="1018"/>
      <c r="AH254" s="1018"/>
      <c r="AI254" s="1018"/>
      <c r="AJ254" s="1018"/>
      <c r="AK254" s="1018"/>
      <c r="AL254" s="1018"/>
      <c r="AM254" s="1018"/>
      <c r="AN254" s="1018"/>
      <c r="AO254" s="1018"/>
      <c r="AP254" s="1018"/>
      <c r="AQ254" s="182"/>
      <c r="AR254" s="182"/>
      <c r="AS254" s="182"/>
      <c r="AT254" s="182"/>
      <c r="AU254" s="182"/>
      <c r="AV254" s="182"/>
    </row>
    <row r="255" spans="2:48" ht="26.25" customHeight="1" x14ac:dyDescent="0.2">
      <c r="B255" s="1059" t="str">
        <f>CATEG_IMPORTEE</f>
        <v>Collèges Mixtes Etablissement</v>
      </c>
      <c r="C255" s="1059"/>
      <c r="D255" s="1059"/>
      <c r="E255" s="1059"/>
      <c r="F255" s="1059"/>
      <c r="G255" s="1059"/>
      <c r="H255" s="1059"/>
      <c r="I255" s="1059"/>
      <c r="J255" s="1059"/>
      <c r="K255" s="1059"/>
      <c r="L255" s="1059"/>
      <c r="M255" s="1059"/>
      <c r="N255" s="1059"/>
      <c r="O255" s="1059"/>
      <c r="P255" s="1059"/>
      <c r="Q255" s="1059"/>
      <c r="R255" s="1059"/>
      <c r="S255" s="1059"/>
      <c r="T255" s="1059"/>
      <c r="U255" s="1059"/>
      <c r="V255" s="1059"/>
      <c r="W255" s="1059"/>
      <c r="X255" s="1059"/>
      <c r="Y255" s="1059"/>
      <c r="Z255" s="1059"/>
      <c r="AA255" s="1059"/>
      <c r="AB255" s="1059"/>
      <c r="AC255" s="1059"/>
      <c r="AD255" s="1059"/>
      <c r="AE255" s="1059"/>
      <c r="AF255" s="1059"/>
      <c r="AG255" s="1059"/>
      <c r="AH255" s="1059"/>
      <c r="AI255" s="1059"/>
      <c r="AJ255" s="1059"/>
      <c r="AK255" s="1059"/>
      <c r="AL255" s="1059"/>
      <c r="AM255" s="1059"/>
      <c r="AN255" s="1059"/>
      <c r="AO255" s="1059"/>
      <c r="AP255" s="1059"/>
      <c r="AQ255" s="182"/>
      <c r="AR255" s="1060">
        <f>AR192+1</f>
        <v>5</v>
      </c>
      <c r="AS255" s="1061"/>
      <c r="AT255" s="1062"/>
      <c r="AU255" s="182"/>
      <c r="AV255" s="182"/>
    </row>
    <row r="256" spans="2:48" ht="18" customHeight="1" x14ac:dyDescent="0.2">
      <c r="B256" s="182"/>
      <c r="C256" s="182"/>
      <c r="D256" s="182"/>
      <c r="E256" s="182"/>
      <c r="F256" s="182"/>
      <c r="G256" s="182"/>
      <c r="H256" s="182"/>
      <c r="I256" s="182"/>
      <c r="J256" s="182"/>
      <c r="K256" s="182"/>
      <c r="L256" s="182"/>
      <c r="M256" s="182"/>
      <c r="N256" s="182"/>
      <c r="O256" s="182"/>
      <c r="P256" s="182"/>
      <c r="Q256" s="182"/>
      <c r="R256" s="182"/>
      <c r="S256" s="182"/>
      <c r="T256" s="182"/>
      <c r="U256" s="182"/>
      <c r="V256" s="182"/>
      <c r="W256" s="182"/>
      <c r="X256" s="183"/>
      <c r="Y256" s="184"/>
      <c r="Z256" s="182"/>
      <c r="AA256" s="182"/>
      <c r="AB256" s="182"/>
      <c r="AC256" s="182"/>
      <c r="AD256" s="182"/>
      <c r="AE256" s="182"/>
      <c r="AF256" s="182"/>
      <c r="AG256" s="182"/>
      <c r="AH256" s="182"/>
      <c r="AI256" s="182"/>
      <c r="AJ256" s="182"/>
      <c r="AK256" s="182"/>
      <c r="AL256" s="182"/>
      <c r="AM256" s="182"/>
      <c r="AN256" s="182"/>
      <c r="AO256" s="182"/>
      <c r="AP256" s="182"/>
      <c r="AQ256" s="182"/>
      <c r="AR256" s="1063"/>
      <c r="AS256" s="1064"/>
      <c r="AT256" s="1065"/>
      <c r="AU256" s="182"/>
      <c r="AV256" s="182"/>
    </row>
    <row r="257" spans="2:48" ht="18.75" customHeight="1" thickBot="1" x14ac:dyDescent="0.25">
      <c r="B257" s="182"/>
      <c r="C257" s="182"/>
      <c r="D257" s="182"/>
      <c r="E257" s="182"/>
      <c r="F257" s="182"/>
      <c r="G257" s="182"/>
      <c r="H257" s="992" t="s">
        <v>374</v>
      </c>
      <c r="I257" s="992"/>
      <c r="J257" s="992"/>
      <c r="K257" s="992"/>
      <c r="L257" s="992"/>
      <c r="M257" s="992"/>
      <c r="N257" s="992"/>
      <c r="O257" s="992"/>
      <c r="P257" s="992"/>
      <c r="Q257" s="992"/>
      <c r="R257" s="182"/>
      <c r="S257" s="182"/>
      <c r="T257" s="182"/>
      <c r="U257" s="182"/>
      <c r="V257" s="182"/>
      <c r="W257" s="182"/>
      <c r="X257" s="183"/>
      <c r="Y257" s="182"/>
      <c r="Z257" s="182"/>
      <c r="AA257" s="182"/>
      <c r="AB257" s="182"/>
      <c r="AC257" s="182"/>
      <c r="AD257" s="182"/>
      <c r="AE257" s="992" t="s">
        <v>374</v>
      </c>
      <c r="AF257" s="992"/>
      <c r="AG257" s="992"/>
      <c r="AH257" s="992"/>
      <c r="AI257" s="992"/>
      <c r="AJ257" s="992"/>
      <c r="AK257" s="992"/>
      <c r="AL257" s="992"/>
      <c r="AM257" s="992"/>
      <c r="AN257" s="992"/>
      <c r="AO257" s="182"/>
      <c r="AP257" s="182"/>
      <c r="AQ257" s="182"/>
      <c r="AR257" s="1066"/>
      <c r="AS257" s="1067"/>
      <c r="AT257" s="1068"/>
      <c r="AU257" s="182"/>
      <c r="AV257" s="182"/>
    </row>
    <row r="258" spans="2:48" ht="18" x14ac:dyDescent="0.2">
      <c r="B258" s="182"/>
      <c r="C258" s="182"/>
      <c r="D258" s="182"/>
      <c r="E258" s="182"/>
      <c r="F258" s="182"/>
      <c r="G258" s="182"/>
      <c r="H258" s="1022" t="e">
        <f>VLOOKUP(U267,ID_archer_cible,4,FALSE)</f>
        <v>#N/A</v>
      </c>
      <c r="I258" s="1023"/>
      <c r="J258" s="1023"/>
      <c r="K258" s="1023"/>
      <c r="L258" s="1023"/>
      <c r="M258" s="1023"/>
      <c r="N258" s="1023"/>
      <c r="O258" s="1023"/>
      <c r="P258" s="1023"/>
      <c r="Q258" s="1024"/>
      <c r="R258" s="182"/>
      <c r="S258" s="182"/>
      <c r="T258" s="182"/>
      <c r="U258" s="182"/>
      <c r="V258" s="182"/>
      <c r="W258" s="182"/>
      <c r="X258" s="183"/>
      <c r="Y258" s="182"/>
      <c r="Z258" s="182"/>
      <c r="AA258" s="182"/>
      <c r="AB258" s="182"/>
      <c r="AC258" s="182"/>
      <c r="AD258" s="182"/>
      <c r="AE258" s="1022" t="e">
        <f>VLOOKUP(AS267,ID_archer_cible,4,FALSE)</f>
        <v>#N/A</v>
      </c>
      <c r="AF258" s="1023"/>
      <c r="AG258" s="1023"/>
      <c r="AH258" s="1023"/>
      <c r="AI258" s="1023"/>
      <c r="AJ258" s="1023"/>
      <c r="AK258" s="1023"/>
      <c r="AL258" s="1023"/>
      <c r="AM258" s="1023"/>
      <c r="AN258" s="1024"/>
      <c r="AO258" s="182"/>
      <c r="AP258" s="182"/>
      <c r="AQ258" s="182"/>
      <c r="AR258" s="182"/>
      <c r="AS258" s="182"/>
      <c r="AT258" s="182"/>
      <c r="AU258" s="182"/>
      <c r="AV258" s="182"/>
    </row>
    <row r="259" spans="2:48" x14ac:dyDescent="0.2">
      <c r="X259" s="186"/>
    </row>
    <row r="260" spans="2:48" x14ac:dyDescent="0.2">
      <c r="B260" s="1021" t="s">
        <v>0</v>
      </c>
      <c r="C260" s="1021"/>
      <c r="D260" s="1021"/>
      <c r="E260" s="1021"/>
      <c r="F260" s="1021"/>
      <c r="G260" s="1021"/>
      <c r="H260" s="1021"/>
      <c r="I260" s="1021"/>
      <c r="J260" s="1021"/>
      <c r="K260" s="1021"/>
      <c r="L260" s="1021"/>
      <c r="M260" s="187"/>
      <c r="P260" s="992" t="s">
        <v>375</v>
      </c>
      <c r="Q260" s="992"/>
      <c r="R260" s="992"/>
      <c r="S260" s="992"/>
      <c r="T260" s="992"/>
      <c r="U260" s="992"/>
      <c r="V260" s="992"/>
      <c r="W260" s="992"/>
      <c r="X260" s="188"/>
      <c r="Z260" s="1021" t="s">
        <v>0</v>
      </c>
      <c r="AA260" s="1021"/>
      <c r="AB260" s="1021"/>
      <c r="AC260" s="1021"/>
      <c r="AD260" s="1021"/>
      <c r="AE260" s="1021"/>
      <c r="AF260" s="1021"/>
      <c r="AG260" s="1021"/>
      <c r="AH260" s="1021"/>
      <c r="AI260" s="1021"/>
      <c r="AJ260" s="1021"/>
      <c r="AK260" s="187"/>
      <c r="AN260" s="992" t="s">
        <v>375</v>
      </c>
      <c r="AO260" s="992"/>
      <c r="AP260" s="992"/>
      <c r="AQ260" s="992"/>
      <c r="AR260" s="992"/>
      <c r="AS260" s="992"/>
      <c r="AT260" s="992"/>
      <c r="AU260" s="992"/>
      <c r="AV260" s="187"/>
    </row>
    <row r="261" spans="2:48" x14ac:dyDescent="0.2">
      <c r="B261" s="999" t="e">
        <f>VLOOKUP(U267,ID_archer_cible,2,FALSE)</f>
        <v>#N/A</v>
      </c>
      <c r="C261" s="1000"/>
      <c r="D261" s="1000"/>
      <c r="E261" s="1000"/>
      <c r="F261" s="1000"/>
      <c r="G261" s="1000"/>
      <c r="H261" s="1000"/>
      <c r="I261" s="1000"/>
      <c r="J261" s="1000"/>
      <c r="K261" s="1000"/>
      <c r="L261" s="1000"/>
      <c r="M261" s="1001"/>
      <c r="P261" s="999" t="e">
        <f>VLOOKUP(U267,ID_archer_cible,3,FALSE)</f>
        <v>#N/A</v>
      </c>
      <c r="Q261" s="1000"/>
      <c r="R261" s="1000"/>
      <c r="S261" s="1000"/>
      <c r="T261" s="1000"/>
      <c r="U261" s="1000"/>
      <c r="V261" s="1000"/>
      <c r="W261" s="1001"/>
      <c r="X261" s="186"/>
      <c r="Y261"/>
      <c r="Z261" s="999" t="e">
        <f>VLOOKUP(AS267,ID_archer_cible,2,FALSE)</f>
        <v>#N/A</v>
      </c>
      <c r="AA261" s="1000"/>
      <c r="AB261" s="1000"/>
      <c r="AC261" s="1000"/>
      <c r="AD261" s="1000"/>
      <c r="AE261" s="1000"/>
      <c r="AF261" s="1000"/>
      <c r="AG261" s="1000"/>
      <c r="AH261" s="1000"/>
      <c r="AI261" s="1000"/>
      <c r="AJ261" s="1000"/>
      <c r="AK261" s="1001"/>
      <c r="AN261" s="999" t="e">
        <f>VLOOKUP(AS267,ID_archer_cible,3,FALSE)</f>
        <v>#N/A</v>
      </c>
      <c r="AO261" s="1000"/>
      <c r="AP261" s="1000"/>
      <c r="AQ261" s="1000"/>
      <c r="AR261" s="1000"/>
      <c r="AS261" s="1000"/>
      <c r="AT261" s="1000"/>
      <c r="AU261" s="1001"/>
    </row>
    <row r="262" spans="2:48" x14ac:dyDescent="0.2">
      <c r="X262" s="186"/>
      <c r="Y262"/>
    </row>
    <row r="263" spans="2:48" ht="16.5" thickBot="1" x14ac:dyDescent="0.25">
      <c r="B263" s="1017" t="s">
        <v>1</v>
      </c>
      <c r="C263" s="1017"/>
      <c r="D263" s="1017"/>
      <c r="E263" s="1017"/>
      <c r="F263" s="1017"/>
      <c r="G263" s="1017"/>
      <c r="H263" s="1017"/>
      <c r="I263" s="1017"/>
      <c r="J263" s="1017"/>
      <c r="L263" s="1017" t="s">
        <v>505</v>
      </c>
      <c r="M263" s="1017"/>
      <c r="N263" s="1017"/>
      <c r="O263" s="1017"/>
      <c r="P263" s="1017"/>
      <c r="Q263" s="1017"/>
      <c r="S263" s="992" t="s">
        <v>506</v>
      </c>
      <c r="T263" s="992"/>
      <c r="U263" s="992"/>
      <c r="V263" s="992"/>
      <c r="W263" s="992"/>
      <c r="X263" s="188"/>
      <c r="Y263"/>
      <c r="Z263" s="1017" t="s">
        <v>1</v>
      </c>
      <c r="AA263" s="1017"/>
      <c r="AB263" s="1017"/>
      <c r="AC263" s="1017"/>
      <c r="AD263" s="1017"/>
      <c r="AE263" s="1017"/>
      <c r="AF263" s="1017"/>
      <c r="AG263" s="1017"/>
      <c r="AH263" s="1017"/>
      <c r="AJ263" s="1017" t="s">
        <v>505</v>
      </c>
      <c r="AK263" s="1017"/>
      <c r="AL263" s="1017"/>
      <c r="AM263" s="1017"/>
      <c r="AN263" s="1017"/>
      <c r="AO263" s="1017"/>
      <c r="AQ263" s="992" t="s">
        <v>506</v>
      </c>
      <c r="AR263" s="992"/>
      <c r="AS263" s="992"/>
      <c r="AT263" s="992"/>
      <c r="AU263" s="992"/>
      <c r="AV263" s="187"/>
    </row>
    <row r="264" spans="2:48" ht="16.5" thickBot="1" x14ac:dyDescent="0.25">
      <c r="B264" s="1014" t="e">
        <f>VLOOKUP(U267,ID_archer_cible,5,FALSE)</f>
        <v>#N/A</v>
      </c>
      <c r="C264" s="1015"/>
      <c r="D264" s="1015"/>
      <c r="E264" s="1015"/>
      <c r="F264" s="1015"/>
      <c r="G264" s="1015"/>
      <c r="H264" s="1015"/>
      <c r="I264" s="1015"/>
      <c r="J264" s="1016"/>
      <c r="L264" s="1014" t="e">
        <f>VLOOKUP(U267,ID_archer_cible,6,FALSE)</f>
        <v>#N/A</v>
      </c>
      <c r="M264" s="1015"/>
      <c r="N264" s="1015"/>
      <c r="O264" s="1015"/>
      <c r="P264" s="1015"/>
      <c r="Q264" s="1016"/>
      <c r="S264" s="999" t="e">
        <f>VLOOKUP(U267,ID_archer_cible,8,FALSE)</f>
        <v>#N/A</v>
      </c>
      <c r="T264" s="1000"/>
      <c r="U264" s="1000"/>
      <c r="V264" s="1000"/>
      <c r="W264" s="1001"/>
      <c r="X264" s="186"/>
      <c r="Y264"/>
      <c r="Z264" s="1014" t="e">
        <f>VLOOKUP(AS267,ID_archer_cible,5,FALSE)</f>
        <v>#N/A</v>
      </c>
      <c r="AA264" s="1015"/>
      <c r="AB264" s="1015"/>
      <c r="AC264" s="1015"/>
      <c r="AD264" s="1015"/>
      <c r="AE264" s="1015"/>
      <c r="AF264" s="1015"/>
      <c r="AG264" s="1015"/>
      <c r="AH264" s="1016"/>
      <c r="AJ264" s="1014" t="e">
        <f>VLOOKUP(AS267,ID_archer_cible,6,FALSE)</f>
        <v>#N/A</v>
      </c>
      <c r="AK264" s="1015"/>
      <c r="AL264" s="1015"/>
      <c r="AM264" s="1015"/>
      <c r="AN264" s="1015"/>
      <c r="AO264" s="1016"/>
      <c r="AQ264" s="999" t="e">
        <f>VLOOKUP(AS267,ID_archer_cible,8,FALSE)</f>
        <v>#N/A</v>
      </c>
      <c r="AR264" s="1000"/>
      <c r="AS264" s="1000"/>
      <c r="AT264" s="1000"/>
      <c r="AU264" s="1001"/>
    </row>
    <row r="265" spans="2:48" x14ac:dyDescent="0.2">
      <c r="X265" s="186"/>
      <c r="Y265"/>
    </row>
    <row r="266" spans="2:48" x14ac:dyDescent="0.2">
      <c r="B266" s="992" t="s">
        <v>530</v>
      </c>
      <c r="C266" s="992"/>
      <c r="D266" s="992"/>
      <c r="E266" s="992"/>
      <c r="F266" s="992"/>
      <c r="G266" s="187"/>
      <c r="H266" s="992" t="s">
        <v>504</v>
      </c>
      <c r="I266" s="992"/>
      <c r="J266" s="992"/>
      <c r="K266" s="992"/>
      <c r="M266" s="992" t="s">
        <v>39</v>
      </c>
      <c r="N266" s="992"/>
      <c r="O266" s="992"/>
      <c r="Q266" s="1021"/>
      <c r="R266" s="1021"/>
      <c r="S266" s="1021"/>
      <c r="U266" s="992" t="s">
        <v>507</v>
      </c>
      <c r="V266" s="992"/>
      <c r="W266" s="992"/>
      <c r="X266" s="188"/>
      <c r="Y266"/>
      <c r="Z266" s="992" t="s">
        <v>530</v>
      </c>
      <c r="AA266" s="992"/>
      <c r="AB266" s="992"/>
      <c r="AC266" s="992"/>
      <c r="AD266" s="992"/>
      <c r="AE266" s="187"/>
      <c r="AF266" s="992" t="s">
        <v>504</v>
      </c>
      <c r="AG266" s="992"/>
      <c r="AH266" s="992"/>
      <c r="AI266" s="992"/>
      <c r="AK266" s="992" t="s">
        <v>39</v>
      </c>
      <c r="AL266" s="992"/>
      <c r="AM266" s="992"/>
      <c r="AO266" s="1021"/>
      <c r="AP266" s="1021"/>
      <c r="AQ266" s="1021"/>
      <c r="AS266" s="992" t="s">
        <v>507</v>
      </c>
      <c r="AT266" s="992"/>
      <c r="AU266" s="992"/>
      <c r="AV266" s="187"/>
    </row>
    <row r="267" spans="2:48" ht="15.75" x14ac:dyDescent="0.2">
      <c r="B267" s="1011" t="e">
        <f>VLOOKUP(U267,ID_archer_cible,7,FALSE)</f>
        <v>#N/A</v>
      </c>
      <c r="C267" s="1012"/>
      <c r="D267" s="1012"/>
      <c r="E267" s="1012"/>
      <c r="F267" s="1013"/>
      <c r="H267" s="999" t="e">
        <f>VLOOKUP(U267,ID_archer_cible,9,FALSE)</f>
        <v>#N/A</v>
      </c>
      <c r="I267" s="1000"/>
      <c r="J267" s="1000"/>
      <c r="K267" s="1001"/>
      <c r="M267" s="999" t="e">
        <f>VLOOKUP(U267,ID_archer_cible,10,FALSE)</f>
        <v>#N/A</v>
      </c>
      <c r="N267" s="1000"/>
      <c r="O267" s="1001"/>
      <c r="Q267" s="1021"/>
      <c r="R267" s="1021"/>
      <c r="S267" s="1021"/>
      <c r="T267" s="187"/>
      <c r="U267" s="996" t="str">
        <f>AR255&amp;"A"</f>
        <v>5A</v>
      </c>
      <c r="V267" s="997"/>
      <c r="W267" s="998"/>
      <c r="X267" s="188"/>
      <c r="Y267"/>
      <c r="Z267" s="1011" t="e">
        <f>VLOOKUP(AS267,ID_archer_cible,7,FALSE)</f>
        <v>#N/A</v>
      </c>
      <c r="AA267" s="1012"/>
      <c r="AB267" s="1012"/>
      <c r="AC267" s="1012"/>
      <c r="AD267" s="1013"/>
      <c r="AF267" s="999" t="e">
        <f>VLOOKUP(AS267,ID_archer_cible,9,FALSE)</f>
        <v>#N/A</v>
      </c>
      <c r="AG267" s="1000"/>
      <c r="AH267" s="1000"/>
      <c r="AI267" s="1001"/>
      <c r="AK267" s="999" t="e">
        <f>VLOOKUP(AS267,ID_archer_cible,10,FALSE)</f>
        <v>#N/A</v>
      </c>
      <c r="AL267" s="1000"/>
      <c r="AM267" s="1001"/>
      <c r="AO267" s="1021"/>
      <c r="AP267" s="1021"/>
      <c r="AQ267" s="1021"/>
      <c r="AR267" s="187"/>
      <c r="AS267" s="996" t="str">
        <f>AR255&amp;"B"</f>
        <v>5B</v>
      </c>
      <c r="AT267" s="997"/>
      <c r="AU267" s="998"/>
      <c r="AV267" s="187"/>
    </row>
    <row r="268" spans="2:48" x14ac:dyDescent="0.2">
      <c r="X268" s="186"/>
    </row>
    <row r="269" spans="2:48" x14ac:dyDescent="0.2">
      <c r="B269" s="185" t="s">
        <v>509</v>
      </c>
      <c r="E269" s="992" t="s">
        <v>510</v>
      </c>
      <c r="F269" s="992"/>
      <c r="G269" s="992"/>
      <c r="H269" s="992"/>
      <c r="I269" s="992"/>
      <c r="J269" s="992"/>
      <c r="K269" s="992"/>
      <c r="L269" s="992"/>
      <c r="M269" s="992"/>
      <c r="N269" s="992"/>
      <c r="P269" s="992" t="s">
        <v>511</v>
      </c>
      <c r="Q269" s="992"/>
      <c r="R269" s="992"/>
      <c r="X269" s="186"/>
      <c r="Z269" s="185" t="s">
        <v>509</v>
      </c>
      <c r="AC269" s="992" t="s">
        <v>510</v>
      </c>
      <c r="AD269" s="992"/>
      <c r="AE269" s="992"/>
      <c r="AF269" s="992"/>
      <c r="AG269" s="992"/>
      <c r="AH269" s="992"/>
      <c r="AI269" s="992"/>
      <c r="AJ269" s="992"/>
      <c r="AK269" s="992"/>
      <c r="AL269" s="992"/>
      <c r="AN269" s="992" t="s">
        <v>511</v>
      </c>
      <c r="AO269" s="992"/>
      <c r="AP269" s="992"/>
    </row>
    <row r="270" spans="2:48" ht="20.25" customHeight="1" x14ac:dyDescent="0.2">
      <c r="B270" s="1009" t="s">
        <v>513</v>
      </c>
      <c r="C270" s="1009"/>
      <c r="E270" s="189"/>
      <c r="F270" s="191"/>
      <c r="G270" s="189"/>
      <c r="H270" s="191"/>
      <c r="I270" s="189"/>
      <c r="J270" s="191"/>
      <c r="K270" s="189"/>
      <c r="L270" s="191"/>
      <c r="M270" s="189"/>
      <c r="N270" s="191"/>
      <c r="P270" s="189"/>
      <c r="Q270" s="190"/>
      <c r="R270" s="191"/>
      <c r="T270" s="992" t="s">
        <v>512</v>
      </c>
      <c r="U270" s="992"/>
      <c r="V270" s="992"/>
      <c r="W270" s="992"/>
      <c r="X270" s="188"/>
      <c r="Z270" s="1009" t="s">
        <v>513</v>
      </c>
      <c r="AA270" s="1009"/>
      <c r="AC270" s="189"/>
      <c r="AD270" s="191"/>
      <c r="AE270" s="189"/>
      <c r="AF270" s="191"/>
      <c r="AG270" s="189"/>
      <c r="AH270" s="191"/>
      <c r="AI270" s="189"/>
      <c r="AJ270" s="191"/>
      <c r="AK270" s="189"/>
      <c r="AL270" s="191"/>
      <c r="AN270" s="189"/>
      <c r="AO270" s="190"/>
      <c r="AP270" s="191"/>
      <c r="AR270" s="992" t="s">
        <v>512</v>
      </c>
      <c r="AS270" s="992"/>
      <c r="AT270" s="992"/>
      <c r="AU270" s="992"/>
      <c r="AV270" s="187"/>
    </row>
    <row r="271" spans="2:48" ht="20.25" customHeight="1" x14ac:dyDescent="0.2">
      <c r="B271" s="1009" t="s">
        <v>514</v>
      </c>
      <c r="C271" s="1009"/>
      <c r="E271" s="189"/>
      <c r="F271" s="191"/>
      <c r="G271" s="189"/>
      <c r="H271" s="191"/>
      <c r="I271" s="189"/>
      <c r="J271" s="191"/>
      <c r="K271" s="189"/>
      <c r="L271" s="191"/>
      <c r="M271" s="189"/>
      <c r="N271" s="191"/>
      <c r="P271" s="189"/>
      <c r="Q271" s="190"/>
      <c r="R271" s="191"/>
      <c r="T271" s="189"/>
      <c r="U271" s="190"/>
      <c r="V271" s="190"/>
      <c r="W271" s="191"/>
      <c r="X271" s="186"/>
      <c r="Z271" s="1009" t="s">
        <v>514</v>
      </c>
      <c r="AA271" s="1009"/>
      <c r="AC271" s="189"/>
      <c r="AD271" s="191"/>
      <c r="AE271" s="189"/>
      <c r="AF271" s="191"/>
      <c r="AG271" s="189"/>
      <c r="AH271" s="191"/>
      <c r="AI271" s="189"/>
      <c r="AJ271" s="191"/>
      <c r="AK271" s="189"/>
      <c r="AL271" s="191"/>
      <c r="AN271" s="189"/>
      <c r="AO271" s="190"/>
      <c r="AP271" s="191"/>
      <c r="AR271" s="189"/>
      <c r="AS271" s="190"/>
      <c r="AT271" s="190"/>
      <c r="AU271" s="191"/>
    </row>
    <row r="272" spans="2:48" ht="20.25" customHeight="1" x14ac:dyDescent="0.2">
      <c r="B272" s="1009" t="s">
        <v>515</v>
      </c>
      <c r="C272" s="1009"/>
      <c r="E272" s="189"/>
      <c r="F272" s="191"/>
      <c r="G272" s="189"/>
      <c r="H272" s="191"/>
      <c r="I272" s="189"/>
      <c r="J272" s="191"/>
      <c r="K272" s="189"/>
      <c r="L272" s="191"/>
      <c r="M272" s="189"/>
      <c r="N272" s="191"/>
      <c r="P272" s="189"/>
      <c r="Q272" s="190"/>
      <c r="R272" s="191"/>
      <c r="T272" s="189"/>
      <c r="U272" s="190"/>
      <c r="V272" s="190"/>
      <c r="W272" s="191"/>
      <c r="X272" s="186"/>
      <c r="Z272" s="1009" t="s">
        <v>515</v>
      </c>
      <c r="AA272" s="1009"/>
      <c r="AC272" s="189"/>
      <c r="AD272" s="191"/>
      <c r="AE272" s="189"/>
      <c r="AF272" s="191"/>
      <c r="AG272" s="189"/>
      <c r="AH272" s="191"/>
      <c r="AI272" s="189"/>
      <c r="AJ272" s="191"/>
      <c r="AK272" s="189"/>
      <c r="AL272" s="191"/>
      <c r="AN272" s="189"/>
      <c r="AO272" s="190"/>
      <c r="AP272" s="191"/>
      <c r="AR272" s="189"/>
      <c r="AS272" s="190"/>
      <c r="AT272" s="190"/>
      <c r="AU272" s="191"/>
    </row>
    <row r="273" spans="2:48" ht="20.25" customHeight="1" x14ac:dyDescent="0.2">
      <c r="B273" s="1009" t="s">
        <v>516</v>
      </c>
      <c r="C273" s="1009"/>
      <c r="E273" s="189"/>
      <c r="F273" s="191"/>
      <c r="G273" s="189"/>
      <c r="H273" s="191"/>
      <c r="I273" s="189"/>
      <c r="J273" s="191"/>
      <c r="K273" s="189"/>
      <c r="L273" s="191"/>
      <c r="M273" s="189"/>
      <c r="N273" s="191"/>
      <c r="P273" s="189"/>
      <c r="Q273" s="190"/>
      <c r="R273" s="191"/>
      <c r="T273" s="189"/>
      <c r="U273" s="190"/>
      <c r="V273" s="190"/>
      <c r="W273" s="191"/>
      <c r="X273" s="186"/>
      <c r="Z273" s="1009" t="s">
        <v>516</v>
      </c>
      <c r="AA273" s="1009"/>
      <c r="AC273" s="189"/>
      <c r="AD273" s="191"/>
      <c r="AE273" s="189"/>
      <c r="AF273" s="191"/>
      <c r="AG273" s="189"/>
      <c r="AH273" s="191"/>
      <c r="AI273" s="189"/>
      <c r="AJ273" s="191"/>
      <c r="AK273" s="189"/>
      <c r="AL273" s="191"/>
      <c r="AN273" s="189"/>
      <c r="AO273" s="190"/>
      <c r="AP273" s="191"/>
      <c r="AR273" s="189"/>
      <c r="AS273" s="190"/>
      <c r="AT273" s="190"/>
      <c r="AU273" s="191"/>
    </row>
    <row r="274" spans="2:48" ht="20.25" customHeight="1" x14ac:dyDescent="0.2">
      <c r="B274" s="1009" t="s">
        <v>517</v>
      </c>
      <c r="C274" s="1009"/>
      <c r="E274" s="189"/>
      <c r="F274" s="191"/>
      <c r="G274" s="189"/>
      <c r="H274" s="191"/>
      <c r="I274" s="189"/>
      <c r="J274" s="191"/>
      <c r="K274" s="189"/>
      <c r="L274" s="191"/>
      <c r="M274" s="189"/>
      <c r="N274" s="191"/>
      <c r="P274" s="189"/>
      <c r="Q274" s="190"/>
      <c r="R274" s="191"/>
      <c r="T274" s="189"/>
      <c r="U274" s="190"/>
      <c r="V274" s="190"/>
      <c r="W274" s="191"/>
      <c r="X274" s="186"/>
      <c r="Z274" s="1009" t="s">
        <v>517</v>
      </c>
      <c r="AA274" s="1009"/>
      <c r="AC274" s="189"/>
      <c r="AD274" s="191"/>
      <c r="AE274" s="189"/>
      <c r="AF274" s="191"/>
      <c r="AG274" s="189"/>
      <c r="AH274" s="191"/>
      <c r="AI274" s="189"/>
      <c r="AJ274" s="191"/>
      <c r="AK274" s="189"/>
      <c r="AL274" s="191"/>
      <c r="AN274" s="189"/>
      <c r="AO274" s="190"/>
      <c r="AP274" s="191"/>
      <c r="AR274" s="189"/>
      <c r="AS274" s="190"/>
      <c r="AT274" s="190"/>
      <c r="AU274" s="191"/>
    </row>
    <row r="275" spans="2:48" ht="20.25" customHeight="1" x14ac:dyDescent="0.2">
      <c r="B275" s="1009" t="s">
        <v>518</v>
      </c>
      <c r="C275" s="1009"/>
      <c r="E275" s="189"/>
      <c r="F275" s="191"/>
      <c r="G275" s="189"/>
      <c r="H275" s="191"/>
      <c r="I275" s="189"/>
      <c r="J275" s="191"/>
      <c r="K275" s="189"/>
      <c r="L275" s="191"/>
      <c r="M275" s="189"/>
      <c r="N275" s="191"/>
      <c r="P275" s="189"/>
      <c r="Q275" s="190"/>
      <c r="R275" s="191"/>
      <c r="T275" s="189"/>
      <c r="U275" s="190"/>
      <c r="V275" s="190"/>
      <c r="W275" s="191"/>
      <c r="X275" s="186"/>
      <c r="Z275" s="1009" t="s">
        <v>518</v>
      </c>
      <c r="AA275" s="1009"/>
      <c r="AC275" s="189"/>
      <c r="AD275" s="191"/>
      <c r="AE275" s="189"/>
      <c r="AF275" s="191"/>
      <c r="AG275" s="189"/>
      <c r="AH275" s="191"/>
      <c r="AI275" s="189"/>
      <c r="AJ275" s="191"/>
      <c r="AK275" s="189"/>
      <c r="AL275" s="191"/>
      <c r="AN275" s="189"/>
      <c r="AO275" s="190"/>
      <c r="AP275" s="191"/>
      <c r="AR275" s="189"/>
      <c r="AS275" s="190"/>
      <c r="AT275" s="190"/>
      <c r="AU275" s="191"/>
    </row>
    <row r="276" spans="2:48" ht="15.75" thickBot="1" x14ac:dyDescent="0.25">
      <c r="B276" s="187"/>
      <c r="C276" s="187"/>
      <c r="X276" s="186"/>
      <c r="Z276" s="187"/>
      <c r="AA276" s="187"/>
    </row>
    <row r="277" spans="2:48" ht="20.25" customHeight="1" thickBot="1" x14ac:dyDescent="0.25">
      <c r="P277" s="197" t="s">
        <v>519</v>
      </c>
      <c r="Q277" s="197"/>
      <c r="R277" s="197"/>
      <c r="S277" s="197"/>
      <c r="T277" s="192"/>
      <c r="U277" s="193"/>
      <c r="V277" s="193"/>
      <c r="W277" s="194"/>
      <c r="X277" s="186"/>
      <c r="AN277" s="197" t="s">
        <v>519</v>
      </c>
      <c r="AO277" s="197"/>
      <c r="AP277" s="197"/>
      <c r="AQ277" s="197"/>
      <c r="AR277" s="192"/>
      <c r="AS277" s="193"/>
      <c r="AT277" s="193"/>
      <c r="AU277" s="194"/>
    </row>
    <row r="278" spans="2:48" x14ac:dyDescent="0.2">
      <c r="E278" s="196"/>
      <c r="F278" s="196"/>
      <c r="G278" s="196"/>
      <c r="H278" s="196"/>
      <c r="I278" s="196"/>
      <c r="J278" s="196"/>
      <c r="K278" s="196"/>
      <c r="L278" s="196"/>
      <c r="M278" s="196"/>
      <c r="X278" s="186"/>
      <c r="AC278" s="196"/>
      <c r="AD278" s="196"/>
      <c r="AE278" s="196"/>
      <c r="AF278" s="196"/>
      <c r="AG278" s="196"/>
      <c r="AH278" s="196"/>
      <c r="AI278" s="196"/>
      <c r="AJ278" s="196"/>
      <c r="AK278" s="196"/>
    </row>
    <row r="279" spans="2:48" x14ac:dyDescent="0.2">
      <c r="B279" s="1010" t="s">
        <v>521</v>
      </c>
      <c r="C279" s="1010"/>
      <c r="D279" s="1010"/>
      <c r="E279" s="1010"/>
      <c r="F279" s="1010"/>
      <c r="G279" s="1010"/>
      <c r="H279" s="195"/>
      <c r="I279" s="1010" t="s">
        <v>522</v>
      </c>
      <c r="J279" s="1010"/>
      <c r="K279" s="1010"/>
      <c r="L279" s="1010"/>
      <c r="M279" s="1010"/>
      <c r="N279" s="1010"/>
      <c r="O279" s="1010"/>
      <c r="P279" s="1010"/>
      <c r="Q279" s="1010"/>
      <c r="R279" s="1010"/>
      <c r="S279" s="1010"/>
      <c r="T279" s="1010"/>
      <c r="U279" s="1010"/>
      <c r="V279" s="1010"/>
      <c r="W279" s="1010"/>
      <c r="X279" s="198"/>
      <c r="Y279" s="195"/>
      <c r="Z279" s="1010" t="s">
        <v>521</v>
      </c>
      <c r="AA279" s="1010"/>
      <c r="AB279" s="1010"/>
      <c r="AC279" s="1010"/>
      <c r="AD279" s="1010"/>
      <c r="AE279" s="1010"/>
      <c r="AF279" s="195"/>
      <c r="AG279" s="1004" t="s">
        <v>522</v>
      </c>
      <c r="AH279" s="1004"/>
      <c r="AI279" s="1004"/>
      <c r="AJ279" s="1004"/>
      <c r="AK279" s="1004"/>
      <c r="AL279" s="1004"/>
      <c r="AM279" s="1004"/>
      <c r="AN279" s="1004"/>
      <c r="AO279" s="1004"/>
      <c r="AP279" s="1004"/>
      <c r="AQ279" s="1004"/>
      <c r="AR279" s="1004"/>
      <c r="AS279" s="1004"/>
      <c r="AT279" s="1004"/>
      <c r="AU279" s="1004"/>
      <c r="AV279" s="195"/>
    </row>
    <row r="280" spans="2:48" x14ac:dyDescent="0.2">
      <c r="B280" s="1005" t="s">
        <v>520</v>
      </c>
      <c r="C280" s="1006"/>
      <c r="D280" s="1006"/>
      <c r="E280" s="1006"/>
      <c r="F280" s="1006"/>
      <c r="G280" s="1007"/>
      <c r="I280" s="1005" t="s">
        <v>0</v>
      </c>
      <c r="J280" s="1006"/>
      <c r="K280" s="1006"/>
      <c r="L280" s="1006"/>
      <c r="M280" s="1006"/>
      <c r="N280" s="1006"/>
      <c r="O280" s="1006"/>
      <c r="P280" s="1006"/>
      <c r="Q280" s="1006"/>
      <c r="R280" s="1006"/>
      <c r="S280" s="1006"/>
      <c r="T280" s="1006"/>
      <c r="U280" s="1006"/>
      <c r="V280" s="1006"/>
      <c r="W280" s="1007"/>
      <c r="X280" s="186"/>
      <c r="Z280" s="1005" t="s">
        <v>520</v>
      </c>
      <c r="AA280" s="1006"/>
      <c r="AB280" s="1006"/>
      <c r="AC280" s="1006"/>
      <c r="AD280" s="1006"/>
      <c r="AE280" s="1007"/>
      <c r="AG280" s="1005" t="s">
        <v>0</v>
      </c>
      <c r="AH280" s="1006"/>
      <c r="AI280" s="1006"/>
      <c r="AJ280" s="1006"/>
      <c r="AK280" s="1006"/>
      <c r="AL280" s="1006"/>
      <c r="AM280" s="1006"/>
      <c r="AN280" s="1006"/>
      <c r="AO280" s="1006"/>
      <c r="AP280" s="1006"/>
      <c r="AQ280" s="1006"/>
      <c r="AR280" s="1006"/>
      <c r="AS280" s="1006"/>
      <c r="AT280" s="1006"/>
      <c r="AU280" s="1007"/>
    </row>
    <row r="281" spans="2:48" x14ac:dyDescent="0.2">
      <c r="B281" s="199"/>
      <c r="C281" s="200"/>
      <c r="D281" s="200"/>
      <c r="E281" s="200"/>
      <c r="F281" s="200"/>
      <c r="G281" s="201"/>
      <c r="I281" s="199"/>
      <c r="J281" s="200"/>
      <c r="K281" s="200"/>
      <c r="L281" s="200"/>
      <c r="M281" s="200"/>
      <c r="N281" s="200"/>
      <c r="O281" s="200"/>
      <c r="P281" s="200"/>
      <c r="Q281" s="200"/>
      <c r="R281" s="200"/>
      <c r="S281" s="200"/>
      <c r="T281" s="200"/>
      <c r="U281" s="200"/>
      <c r="V281" s="200"/>
      <c r="W281" s="201"/>
      <c r="X281" s="186"/>
      <c r="Z281" s="199"/>
      <c r="AA281" s="200"/>
      <c r="AB281" s="200"/>
      <c r="AC281" s="200"/>
      <c r="AD281" s="200"/>
      <c r="AE281" s="201"/>
      <c r="AG281" s="199"/>
      <c r="AH281" s="200"/>
      <c r="AI281" s="200"/>
      <c r="AJ281" s="200"/>
      <c r="AK281" s="200"/>
      <c r="AL281" s="200"/>
      <c r="AM281" s="200"/>
      <c r="AN281" s="200"/>
      <c r="AO281" s="200"/>
      <c r="AP281" s="200"/>
      <c r="AQ281" s="200"/>
      <c r="AR281" s="200"/>
      <c r="AS281" s="200"/>
      <c r="AT281" s="200"/>
      <c r="AU281" s="201"/>
    </row>
    <row r="282" spans="2:48" x14ac:dyDescent="0.2">
      <c r="X282" s="186"/>
    </row>
    <row r="283" spans="2:48" x14ac:dyDescent="0.2">
      <c r="I283" s="1005" t="s">
        <v>481</v>
      </c>
      <c r="J283" s="1006"/>
      <c r="K283" s="1006"/>
      <c r="L283" s="1006"/>
      <c r="M283" s="1006"/>
      <c r="N283" s="1006"/>
      <c r="O283" s="1006"/>
      <c r="P283" s="1006"/>
      <c r="Q283" s="1007"/>
      <c r="R283" s="1005" t="s">
        <v>520</v>
      </c>
      <c r="S283" s="1006"/>
      <c r="T283" s="1006"/>
      <c r="U283" s="1006"/>
      <c r="V283" s="1006"/>
      <c r="W283" s="1007"/>
      <c r="X283" s="186"/>
      <c r="AG283" s="1005" t="s">
        <v>481</v>
      </c>
      <c r="AH283" s="1006"/>
      <c r="AI283" s="1006"/>
      <c r="AJ283" s="1006"/>
      <c r="AK283" s="1006"/>
      <c r="AL283" s="1006"/>
      <c r="AM283" s="1006"/>
      <c r="AN283" s="1006"/>
      <c r="AO283" s="1007"/>
      <c r="AP283" s="1005" t="s">
        <v>520</v>
      </c>
      <c r="AQ283" s="1006"/>
      <c r="AR283" s="1006"/>
      <c r="AS283" s="1006"/>
      <c r="AT283" s="1006"/>
      <c r="AU283" s="1007"/>
    </row>
    <row r="284" spans="2:48" x14ac:dyDescent="0.2">
      <c r="I284" s="199"/>
      <c r="J284" s="200"/>
      <c r="K284" s="200"/>
      <c r="L284" s="200"/>
      <c r="M284" s="200"/>
      <c r="N284" s="200"/>
      <c r="O284" s="200"/>
      <c r="P284" s="200"/>
      <c r="Q284" s="200"/>
      <c r="R284" s="199"/>
      <c r="S284" s="200"/>
      <c r="T284" s="200"/>
      <c r="U284" s="200"/>
      <c r="V284" s="200"/>
      <c r="W284" s="201"/>
      <c r="X284" s="186"/>
      <c r="AG284" s="199"/>
      <c r="AH284" s="200"/>
      <c r="AI284" s="200"/>
      <c r="AJ284" s="200"/>
      <c r="AK284" s="200"/>
      <c r="AL284" s="200"/>
      <c r="AM284" s="200"/>
      <c r="AN284" s="200"/>
      <c r="AO284" s="200"/>
      <c r="AP284" s="199"/>
      <c r="AQ284" s="200"/>
      <c r="AR284" s="200"/>
      <c r="AS284" s="200"/>
      <c r="AT284" s="200"/>
      <c r="AU284" s="201"/>
    </row>
    <row r="285" spans="2:48" ht="39" customHeight="1" x14ac:dyDescent="0.2">
      <c r="B285" s="392"/>
      <c r="C285" s="392"/>
      <c r="D285" s="392"/>
      <c r="E285" s="392"/>
      <c r="F285" s="392"/>
      <c r="G285" s="392"/>
      <c r="H285" s="392"/>
      <c r="I285" s="392"/>
      <c r="J285" s="392"/>
      <c r="K285" s="392"/>
      <c r="L285" s="392"/>
      <c r="M285" s="392"/>
      <c r="N285" s="392"/>
      <c r="O285" s="392"/>
      <c r="P285" s="392"/>
      <c r="Q285" s="392"/>
      <c r="R285" s="392"/>
      <c r="S285" s="392"/>
      <c r="T285" s="392"/>
      <c r="U285" s="392"/>
      <c r="V285" s="392"/>
      <c r="W285" s="392"/>
      <c r="X285" s="393"/>
      <c r="Y285" s="394"/>
      <c r="Z285" s="392"/>
      <c r="AA285" s="392"/>
      <c r="AB285" s="392"/>
      <c r="AC285" s="392"/>
      <c r="AD285" s="392"/>
      <c r="AE285" s="392"/>
      <c r="AF285" s="392"/>
      <c r="AG285" s="392"/>
      <c r="AH285" s="392"/>
      <c r="AI285" s="392"/>
      <c r="AJ285" s="392"/>
      <c r="AK285" s="392"/>
      <c r="AL285" s="392"/>
      <c r="AM285" s="392"/>
      <c r="AN285" s="392"/>
      <c r="AO285" s="392"/>
      <c r="AP285" s="392"/>
      <c r="AQ285" s="392"/>
      <c r="AR285" s="392"/>
      <c r="AS285" s="392"/>
      <c r="AT285" s="392"/>
      <c r="AU285" s="392"/>
      <c r="AV285" s="392"/>
    </row>
    <row r="286" spans="2:48" ht="39" customHeight="1" x14ac:dyDescent="0.2">
      <c r="B286" s="182"/>
      <c r="C286" s="182"/>
      <c r="D286" s="182"/>
      <c r="E286" s="182"/>
      <c r="F286" s="182"/>
      <c r="G286" s="182"/>
      <c r="H286" s="182"/>
      <c r="I286" s="182"/>
      <c r="J286" s="182"/>
      <c r="K286" s="182"/>
      <c r="L286" s="182"/>
      <c r="M286" s="182"/>
      <c r="N286" s="182"/>
      <c r="O286" s="182"/>
      <c r="P286" s="182"/>
      <c r="Q286" s="182"/>
      <c r="R286" s="182"/>
      <c r="S286" s="182"/>
      <c r="T286" s="182"/>
      <c r="U286" s="182"/>
      <c r="V286" s="182"/>
      <c r="W286" s="182"/>
      <c r="X286" s="183"/>
      <c r="Y286" s="184"/>
      <c r="Z286" s="182"/>
      <c r="AA286" s="182"/>
      <c r="AB286" s="182"/>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row>
    <row r="287" spans="2:48" ht="18" x14ac:dyDescent="0.2">
      <c r="B287" s="182"/>
      <c r="C287" s="182"/>
      <c r="D287" s="182"/>
      <c r="E287" s="182"/>
      <c r="F287" s="182"/>
      <c r="G287" s="182"/>
      <c r="H287" s="992" t="s">
        <v>374</v>
      </c>
      <c r="I287" s="992"/>
      <c r="J287" s="992"/>
      <c r="K287" s="992"/>
      <c r="L287" s="992"/>
      <c r="M287" s="992"/>
      <c r="N287" s="992"/>
      <c r="O287" s="992"/>
      <c r="P287" s="992"/>
      <c r="Q287" s="992"/>
      <c r="R287" s="182"/>
      <c r="S287" s="182"/>
      <c r="T287" s="182"/>
      <c r="U287" s="182"/>
      <c r="V287" s="182"/>
      <c r="W287" s="182"/>
      <c r="X287" s="183"/>
      <c r="Y287" s="182"/>
      <c r="Z287" s="182"/>
      <c r="AA287" s="182"/>
      <c r="AB287" s="182"/>
      <c r="AC287" s="182"/>
      <c r="AD287" s="182"/>
      <c r="AE287" s="992" t="s">
        <v>374</v>
      </c>
      <c r="AF287" s="992"/>
      <c r="AG287" s="992"/>
      <c r="AH287" s="992"/>
      <c r="AI287" s="992"/>
      <c r="AJ287" s="992"/>
      <c r="AK287" s="992"/>
      <c r="AL287" s="992"/>
      <c r="AM287" s="992"/>
      <c r="AN287" s="992"/>
      <c r="AO287" s="182"/>
      <c r="AP287" s="182"/>
      <c r="AQ287" s="182"/>
      <c r="AR287" s="182"/>
      <c r="AS287" s="182"/>
      <c r="AT287" s="182"/>
      <c r="AU287" s="182"/>
      <c r="AV287" s="182"/>
    </row>
    <row r="288" spans="2:48" ht="18" x14ac:dyDescent="0.2">
      <c r="B288" s="182"/>
      <c r="C288" s="182"/>
      <c r="D288" s="182"/>
      <c r="E288" s="182"/>
      <c r="F288" s="182"/>
      <c r="G288" s="182"/>
      <c r="H288" s="1022" t="e">
        <f>VLOOKUP(U297,ID_archer_cible,4,FALSE)</f>
        <v>#N/A</v>
      </c>
      <c r="I288" s="1023"/>
      <c r="J288" s="1023"/>
      <c r="K288" s="1023"/>
      <c r="L288" s="1023"/>
      <c r="M288" s="1023"/>
      <c r="N288" s="1023"/>
      <c r="O288" s="1023"/>
      <c r="P288" s="1023"/>
      <c r="Q288" s="1024"/>
      <c r="R288" s="182"/>
      <c r="S288" s="182"/>
      <c r="T288" s="182"/>
      <c r="U288" s="182"/>
      <c r="V288" s="182"/>
      <c r="W288" s="182"/>
      <c r="X288" s="183"/>
      <c r="Y288" s="182"/>
      <c r="Z288" s="182"/>
      <c r="AA288" s="182"/>
      <c r="AB288" s="182"/>
      <c r="AC288" s="182"/>
      <c r="AD288" s="182"/>
      <c r="AE288" s="1022" t="e">
        <f>VLOOKUP(AS297,ID_archer_cible,4,FALSE)</f>
        <v>#N/A</v>
      </c>
      <c r="AF288" s="1023"/>
      <c r="AG288" s="1023"/>
      <c r="AH288" s="1023"/>
      <c r="AI288" s="1023"/>
      <c r="AJ288" s="1023"/>
      <c r="AK288" s="1023"/>
      <c r="AL288" s="1023"/>
      <c r="AM288" s="1023"/>
      <c r="AN288" s="1024"/>
      <c r="AO288" s="182"/>
      <c r="AP288" s="182"/>
      <c r="AQ288" s="182"/>
      <c r="AR288" s="182"/>
      <c r="AS288" s="182"/>
      <c r="AT288" s="182"/>
      <c r="AU288" s="182"/>
      <c r="AV288" s="182"/>
    </row>
    <row r="289" spans="2:48" x14ac:dyDescent="0.2">
      <c r="X289" s="186"/>
    </row>
    <row r="290" spans="2:48" x14ac:dyDescent="0.2">
      <c r="B290" s="1021" t="s">
        <v>0</v>
      </c>
      <c r="C290" s="1021"/>
      <c r="D290" s="1021"/>
      <c r="E290" s="1021"/>
      <c r="F290" s="1021"/>
      <c r="G290" s="1021"/>
      <c r="H290" s="1021"/>
      <c r="I290" s="1021"/>
      <c r="J290" s="1021"/>
      <c r="K290" s="1021"/>
      <c r="L290" s="1021"/>
      <c r="M290" s="187"/>
      <c r="P290" s="992" t="s">
        <v>375</v>
      </c>
      <c r="Q290" s="992"/>
      <c r="R290" s="992"/>
      <c r="S290" s="992"/>
      <c r="T290" s="992"/>
      <c r="U290" s="992"/>
      <c r="V290" s="992"/>
      <c r="W290" s="992"/>
      <c r="X290" s="188"/>
      <c r="Z290" s="1021" t="s">
        <v>0</v>
      </c>
      <c r="AA290" s="1021"/>
      <c r="AB290" s="1021"/>
      <c r="AC290" s="1021"/>
      <c r="AD290" s="1021"/>
      <c r="AE290" s="1021"/>
      <c r="AF290" s="1021"/>
      <c r="AG290" s="1021"/>
      <c r="AH290" s="1021"/>
      <c r="AI290" s="1021"/>
      <c r="AJ290" s="1021"/>
      <c r="AK290" s="187"/>
      <c r="AN290" s="992" t="s">
        <v>375</v>
      </c>
      <c r="AO290" s="992"/>
      <c r="AP290" s="992"/>
      <c r="AQ290" s="992"/>
      <c r="AR290" s="992"/>
      <c r="AS290" s="992"/>
      <c r="AT290" s="992"/>
      <c r="AU290" s="992"/>
      <c r="AV290" s="187"/>
    </row>
    <row r="291" spans="2:48" x14ac:dyDescent="0.2">
      <c r="B291" s="999" t="e">
        <f>VLOOKUP(U297,ID_archer_cible,2,FALSE)</f>
        <v>#N/A</v>
      </c>
      <c r="C291" s="1000"/>
      <c r="D291" s="1000"/>
      <c r="E291" s="1000"/>
      <c r="F291" s="1000"/>
      <c r="G291" s="1000"/>
      <c r="H291" s="1000"/>
      <c r="I291" s="1000"/>
      <c r="J291" s="1000"/>
      <c r="K291" s="1000"/>
      <c r="L291" s="1000"/>
      <c r="M291" s="1001"/>
      <c r="P291" s="999" t="e">
        <f>VLOOKUP(U297,ID_archer_cible,3,FALSE)</f>
        <v>#N/A</v>
      </c>
      <c r="Q291" s="1000"/>
      <c r="R291" s="1000"/>
      <c r="S291" s="1000"/>
      <c r="T291" s="1000"/>
      <c r="U291" s="1000"/>
      <c r="V291" s="1000"/>
      <c r="W291" s="1001"/>
      <c r="X291" s="186"/>
      <c r="Y291"/>
      <c r="Z291" s="999" t="e">
        <f>VLOOKUP(AS297,ID_archer_cible,2,FALSE)</f>
        <v>#N/A</v>
      </c>
      <c r="AA291" s="1000"/>
      <c r="AB291" s="1000"/>
      <c r="AC291" s="1000"/>
      <c r="AD291" s="1000"/>
      <c r="AE291" s="1000"/>
      <c r="AF291" s="1000"/>
      <c r="AG291" s="1000"/>
      <c r="AH291" s="1000"/>
      <c r="AI291" s="1000"/>
      <c r="AJ291" s="1000"/>
      <c r="AK291" s="1001"/>
      <c r="AN291" s="999" t="e">
        <f>VLOOKUP(AS297,ID_archer_cible,3,FALSE)</f>
        <v>#N/A</v>
      </c>
      <c r="AO291" s="1000"/>
      <c r="AP291" s="1000"/>
      <c r="AQ291" s="1000"/>
      <c r="AR291" s="1000"/>
      <c r="AS291" s="1000"/>
      <c r="AT291" s="1000"/>
      <c r="AU291" s="1001"/>
    </row>
    <row r="292" spans="2:48" x14ac:dyDescent="0.2">
      <c r="X292" s="186"/>
      <c r="Y292"/>
    </row>
    <row r="293" spans="2:48" ht="16.5" thickBot="1" x14ac:dyDescent="0.25">
      <c r="B293" s="1017" t="s">
        <v>1</v>
      </c>
      <c r="C293" s="1017"/>
      <c r="D293" s="1017"/>
      <c r="E293" s="1017"/>
      <c r="F293" s="1017"/>
      <c r="G293" s="1017"/>
      <c r="H293" s="1017"/>
      <c r="I293" s="1017"/>
      <c r="J293" s="1017"/>
      <c r="L293" s="1017" t="s">
        <v>505</v>
      </c>
      <c r="M293" s="1017"/>
      <c r="N293" s="1017"/>
      <c r="O293" s="1017"/>
      <c r="P293" s="1017"/>
      <c r="Q293" s="1017"/>
      <c r="S293" s="992" t="s">
        <v>506</v>
      </c>
      <c r="T293" s="992"/>
      <c r="U293" s="992"/>
      <c r="V293" s="992"/>
      <c r="W293" s="992"/>
      <c r="X293" s="188"/>
      <c r="Y293"/>
      <c r="Z293" s="1017" t="s">
        <v>1</v>
      </c>
      <c r="AA293" s="1017"/>
      <c r="AB293" s="1017"/>
      <c r="AC293" s="1017"/>
      <c r="AD293" s="1017"/>
      <c r="AE293" s="1017"/>
      <c r="AF293" s="1017"/>
      <c r="AG293" s="1017"/>
      <c r="AH293" s="1017"/>
      <c r="AJ293" s="1017" t="s">
        <v>505</v>
      </c>
      <c r="AK293" s="1017"/>
      <c r="AL293" s="1017"/>
      <c r="AM293" s="1017"/>
      <c r="AN293" s="1017"/>
      <c r="AO293" s="1017"/>
      <c r="AQ293" s="992" t="s">
        <v>506</v>
      </c>
      <c r="AR293" s="992"/>
      <c r="AS293" s="992"/>
      <c r="AT293" s="992"/>
      <c r="AU293" s="992"/>
      <c r="AV293" s="187"/>
    </row>
    <row r="294" spans="2:48" ht="16.5" thickBot="1" x14ac:dyDescent="0.25">
      <c r="B294" s="1014" t="e">
        <f>VLOOKUP(U297,ID_archer_cible,5,FALSE)</f>
        <v>#N/A</v>
      </c>
      <c r="C294" s="1015"/>
      <c r="D294" s="1015"/>
      <c r="E294" s="1015"/>
      <c r="F294" s="1015"/>
      <c r="G294" s="1015"/>
      <c r="H294" s="1015"/>
      <c r="I294" s="1015"/>
      <c r="J294" s="1016"/>
      <c r="L294" s="1014" t="e">
        <f>VLOOKUP(U297,ID_archer_cible,6,FALSE)</f>
        <v>#N/A</v>
      </c>
      <c r="M294" s="1015"/>
      <c r="N294" s="1015"/>
      <c r="O294" s="1015"/>
      <c r="P294" s="1015"/>
      <c r="Q294" s="1016"/>
      <c r="S294" s="999" t="e">
        <f>VLOOKUP(U297,ID_archer_cible,8,FALSE)</f>
        <v>#N/A</v>
      </c>
      <c r="T294" s="1000"/>
      <c r="U294" s="1000"/>
      <c r="V294" s="1000"/>
      <c r="W294" s="1001"/>
      <c r="X294" s="186"/>
      <c r="Y294"/>
      <c r="Z294" s="1014" t="e">
        <f>VLOOKUP(AS297,ID_archer_cible,5,FALSE)</f>
        <v>#N/A</v>
      </c>
      <c r="AA294" s="1015"/>
      <c r="AB294" s="1015"/>
      <c r="AC294" s="1015"/>
      <c r="AD294" s="1015"/>
      <c r="AE294" s="1015"/>
      <c r="AF294" s="1015"/>
      <c r="AG294" s="1015"/>
      <c r="AH294" s="1016"/>
      <c r="AJ294" s="1014" t="e">
        <f>VLOOKUP(AS297,ID_archer_cible,6,FALSE)</f>
        <v>#N/A</v>
      </c>
      <c r="AK294" s="1015"/>
      <c r="AL294" s="1015"/>
      <c r="AM294" s="1015"/>
      <c r="AN294" s="1015"/>
      <c r="AO294" s="1016"/>
      <c r="AQ294" s="999" t="e">
        <f>VLOOKUP(AS297,ID_archer_cible,8,FALSE)</f>
        <v>#N/A</v>
      </c>
      <c r="AR294" s="1000"/>
      <c r="AS294" s="1000"/>
      <c r="AT294" s="1000"/>
      <c r="AU294" s="1001"/>
    </row>
    <row r="295" spans="2:48" x14ac:dyDescent="0.2">
      <c r="X295" s="186"/>
      <c r="Y295"/>
    </row>
    <row r="296" spans="2:48" x14ac:dyDescent="0.2">
      <c r="B296" s="992" t="s">
        <v>530</v>
      </c>
      <c r="C296" s="992"/>
      <c r="D296" s="992"/>
      <c r="E296" s="992"/>
      <c r="F296" s="992"/>
      <c r="G296" s="187"/>
      <c r="H296" s="992" t="s">
        <v>504</v>
      </c>
      <c r="I296" s="992"/>
      <c r="J296" s="992"/>
      <c r="K296" s="992"/>
      <c r="M296" s="992" t="s">
        <v>39</v>
      </c>
      <c r="N296" s="992"/>
      <c r="O296" s="992"/>
      <c r="Q296" s="1021"/>
      <c r="R296" s="1021"/>
      <c r="S296" s="1021"/>
      <c r="U296" s="992" t="s">
        <v>507</v>
      </c>
      <c r="V296" s="992"/>
      <c r="W296" s="992"/>
      <c r="X296" s="188"/>
      <c r="Y296"/>
      <c r="Z296" s="992" t="s">
        <v>530</v>
      </c>
      <c r="AA296" s="992"/>
      <c r="AB296" s="992"/>
      <c r="AC296" s="992"/>
      <c r="AD296" s="992"/>
      <c r="AE296" s="187"/>
      <c r="AF296" s="992" t="s">
        <v>504</v>
      </c>
      <c r="AG296" s="992"/>
      <c r="AH296" s="992"/>
      <c r="AI296" s="992"/>
      <c r="AK296" s="992" t="s">
        <v>39</v>
      </c>
      <c r="AL296" s="992"/>
      <c r="AM296" s="992"/>
      <c r="AO296" s="1021"/>
      <c r="AP296" s="1021"/>
      <c r="AQ296" s="1021"/>
      <c r="AS296" s="992" t="s">
        <v>507</v>
      </c>
      <c r="AT296" s="992"/>
      <c r="AU296" s="992"/>
      <c r="AV296" s="187"/>
    </row>
    <row r="297" spans="2:48" ht="15.75" x14ac:dyDescent="0.2">
      <c r="B297" s="1011" t="e">
        <f>VLOOKUP(U297,ID_archer_cible,7,FALSE)</f>
        <v>#N/A</v>
      </c>
      <c r="C297" s="1012"/>
      <c r="D297" s="1012"/>
      <c r="E297" s="1012"/>
      <c r="F297" s="1013"/>
      <c r="H297" s="999" t="e">
        <f>VLOOKUP(U297,ID_archer_cible,9,FALSE)</f>
        <v>#N/A</v>
      </c>
      <c r="I297" s="1000"/>
      <c r="J297" s="1000"/>
      <c r="K297" s="1001"/>
      <c r="M297" s="999" t="e">
        <f>VLOOKUP(U297,ID_archer_cible,10,FALSE)</f>
        <v>#N/A</v>
      </c>
      <c r="N297" s="1000"/>
      <c r="O297" s="1001"/>
      <c r="Q297" s="1021"/>
      <c r="R297" s="1021"/>
      <c r="S297" s="1021"/>
      <c r="T297" s="187"/>
      <c r="U297" s="996" t="str">
        <f>AR255&amp;"C"</f>
        <v>5C</v>
      </c>
      <c r="V297" s="997"/>
      <c r="W297" s="998"/>
      <c r="X297" s="188"/>
      <c r="Y297"/>
      <c r="Z297" s="1011" t="e">
        <f>VLOOKUP(AS297,ID_archer_cible,7,FALSE)</f>
        <v>#N/A</v>
      </c>
      <c r="AA297" s="1012"/>
      <c r="AB297" s="1012"/>
      <c r="AC297" s="1012"/>
      <c r="AD297" s="1013"/>
      <c r="AF297" s="999" t="e">
        <f>VLOOKUP(AS297,ID_archer_cible,9,FALSE)</f>
        <v>#N/A</v>
      </c>
      <c r="AG297" s="1000"/>
      <c r="AH297" s="1000"/>
      <c r="AI297" s="1001"/>
      <c r="AK297" s="999" t="e">
        <f>VLOOKUP(AS297,ID_archer_cible,10,FALSE)</f>
        <v>#N/A</v>
      </c>
      <c r="AL297" s="1000"/>
      <c r="AM297" s="1001"/>
      <c r="AO297" s="1021"/>
      <c r="AP297" s="1021"/>
      <c r="AQ297" s="1021"/>
      <c r="AR297" s="187"/>
      <c r="AS297" s="996" t="str">
        <f>AR255&amp;"D"</f>
        <v>5D</v>
      </c>
      <c r="AT297" s="997"/>
      <c r="AU297" s="998"/>
      <c r="AV297" s="187"/>
    </row>
    <row r="298" spans="2:48" x14ac:dyDescent="0.2">
      <c r="X298" s="186"/>
    </row>
    <row r="299" spans="2:48" x14ac:dyDescent="0.2">
      <c r="B299" s="185" t="s">
        <v>509</v>
      </c>
      <c r="E299" s="992" t="s">
        <v>510</v>
      </c>
      <c r="F299" s="992"/>
      <c r="G299" s="992"/>
      <c r="H299" s="992"/>
      <c r="I299" s="992"/>
      <c r="J299" s="992"/>
      <c r="K299" s="992"/>
      <c r="L299" s="992"/>
      <c r="M299" s="992"/>
      <c r="N299" s="992"/>
      <c r="P299" s="992" t="s">
        <v>511</v>
      </c>
      <c r="Q299" s="992"/>
      <c r="R299" s="992"/>
      <c r="X299" s="186"/>
      <c r="Z299" s="185" t="s">
        <v>509</v>
      </c>
      <c r="AC299" s="992" t="s">
        <v>510</v>
      </c>
      <c r="AD299" s="992"/>
      <c r="AE299" s="992"/>
      <c r="AF299" s="992"/>
      <c r="AG299" s="992"/>
      <c r="AH299" s="992"/>
      <c r="AI299" s="992"/>
      <c r="AJ299" s="992"/>
      <c r="AK299" s="992"/>
      <c r="AL299" s="992"/>
      <c r="AN299" s="992" t="s">
        <v>511</v>
      </c>
      <c r="AO299" s="992"/>
      <c r="AP299" s="992"/>
    </row>
    <row r="300" spans="2:48" ht="20.25" customHeight="1" x14ac:dyDescent="0.2">
      <c r="B300" s="1009" t="s">
        <v>513</v>
      </c>
      <c r="C300" s="1009"/>
      <c r="E300" s="189"/>
      <c r="F300" s="191"/>
      <c r="G300" s="189"/>
      <c r="H300" s="191"/>
      <c r="I300" s="189"/>
      <c r="J300" s="191"/>
      <c r="K300" s="189"/>
      <c r="L300" s="191"/>
      <c r="M300" s="189"/>
      <c r="N300" s="191"/>
      <c r="P300" s="189"/>
      <c r="Q300" s="190"/>
      <c r="R300" s="191"/>
      <c r="T300" s="992" t="s">
        <v>512</v>
      </c>
      <c r="U300" s="992"/>
      <c r="V300" s="992"/>
      <c r="W300" s="992"/>
      <c r="X300" s="188"/>
      <c r="Z300" s="1009" t="s">
        <v>513</v>
      </c>
      <c r="AA300" s="1009"/>
      <c r="AC300" s="189"/>
      <c r="AD300" s="191"/>
      <c r="AE300" s="189"/>
      <c r="AF300" s="191"/>
      <c r="AG300" s="189"/>
      <c r="AH300" s="191"/>
      <c r="AI300" s="189"/>
      <c r="AJ300" s="191"/>
      <c r="AK300" s="189"/>
      <c r="AL300" s="191"/>
      <c r="AN300" s="189"/>
      <c r="AO300" s="190"/>
      <c r="AP300" s="191"/>
      <c r="AR300" s="992" t="s">
        <v>512</v>
      </c>
      <c r="AS300" s="992"/>
      <c r="AT300" s="992"/>
      <c r="AU300" s="992"/>
      <c r="AV300" s="187"/>
    </row>
    <row r="301" spans="2:48" ht="20.25" customHeight="1" x14ac:dyDescent="0.2">
      <c r="B301" s="1009" t="s">
        <v>514</v>
      </c>
      <c r="C301" s="1009"/>
      <c r="E301" s="189"/>
      <c r="F301" s="191"/>
      <c r="G301" s="189"/>
      <c r="H301" s="191"/>
      <c r="I301" s="189"/>
      <c r="J301" s="191"/>
      <c r="K301" s="189"/>
      <c r="L301" s="191"/>
      <c r="M301" s="189"/>
      <c r="N301" s="191"/>
      <c r="P301" s="189"/>
      <c r="Q301" s="190"/>
      <c r="R301" s="191"/>
      <c r="T301" s="189"/>
      <c r="U301" s="190"/>
      <c r="V301" s="190"/>
      <c r="W301" s="191"/>
      <c r="X301" s="186"/>
      <c r="Z301" s="1009" t="s">
        <v>514</v>
      </c>
      <c r="AA301" s="1009"/>
      <c r="AC301" s="189"/>
      <c r="AD301" s="191"/>
      <c r="AE301" s="189"/>
      <c r="AF301" s="191"/>
      <c r="AG301" s="189"/>
      <c r="AH301" s="191"/>
      <c r="AI301" s="189"/>
      <c r="AJ301" s="191"/>
      <c r="AK301" s="189"/>
      <c r="AL301" s="191"/>
      <c r="AN301" s="189"/>
      <c r="AO301" s="190"/>
      <c r="AP301" s="191"/>
      <c r="AR301" s="189"/>
      <c r="AS301" s="190"/>
      <c r="AT301" s="190"/>
      <c r="AU301" s="191"/>
    </row>
    <row r="302" spans="2:48" ht="20.25" customHeight="1" x14ac:dyDescent="0.2">
      <c r="B302" s="1009" t="s">
        <v>515</v>
      </c>
      <c r="C302" s="1009"/>
      <c r="E302" s="189"/>
      <c r="F302" s="191"/>
      <c r="G302" s="189"/>
      <c r="H302" s="191"/>
      <c r="I302" s="189"/>
      <c r="J302" s="191"/>
      <c r="K302" s="189"/>
      <c r="L302" s="191"/>
      <c r="M302" s="189"/>
      <c r="N302" s="191"/>
      <c r="P302" s="189"/>
      <c r="Q302" s="190"/>
      <c r="R302" s="191"/>
      <c r="T302" s="189"/>
      <c r="U302" s="190"/>
      <c r="V302" s="190"/>
      <c r="W302" s="191"/>
      <c r="X302" s="186"/>
      <c r="Z302" s="1009" t="s">
        <v>515</v>
      </c>
      <c r="AA302" s="1009"/>
      <c r="AC302" s="189"/>
      <c r="AD302" s="191"/>
      <c r="AE302" s="189"/>
      <c r="AF302" s="191"/>
      <c r="AG302" s="189"/>
      <c r="AH302" s="191"/>
      <c r="AI302" s="189"/>
      <c r="AJ302" s="191"/>
      <c r="AK302" s="189"/>
      <c r="AL302" s="191"/>
      <c r="AN302" s="189"/>
      <c r="AO302" s="190"/>
      <c r="AP302" s="191"/>
      <c r="AR302" s="189"/>
      <c r="AS302" s="190"/>
      <c r="AT302" s="190"/>
      <c r="AU302" s="191"/>
    </row>
    <row r="303" spans="2:48" ht="20.25" customHeight="1" x14ac:dyDescent="0.2">
      <c r="B303" s="1009" t="s">
        <v>516</v>
      </c>
      <c r="C303" s="1009"/>
      <c r="E303" s="189"/>
      <c r="F303" s="191"/>
      <c r="G303" s="189"/>
      <c r="H303" s="191"/>
      <c r="I303" s="189"/>
      <c r="J303" s="191"/>
      <c r="K303" s="189"/>
      <c r="L303" s="191"/>
      <c r="M303" s="189"/>
      <c r="N303" s="191"/>
      <c r="P303" s="189"/>
      <c r="Q303" s="190"/>
      <c r="R303" s="191"/>
      <c r="T303" s="189"/>
      <c r="U303" s="190"/>
      <c r="V303" s="190"/>
      <c r="W303" s="191"/>
      <c r="X303" s="186"/>
      <c r="Z303" s="1009" t="s">
        <v>516</v>
      </c>
      <c r="AA303" s="1009"/>
      <c r="AC303" s="189"/>
      <c r="AD303" s="191"/>
      <c r="AE303" s="189"/>
      <c r="AF303" s="191"/>
      <c r="AG303" s="189"/>
      <c r="AH303" s="191"/>
      <c r="AI303" s="189"/>
      <c r="AJ303" s="191"/>
      <c r="AK303" s="189"/>
      <c r="AL303" s="191"/>
      <c r="AN303" s="189"/>
      <c r="AO303" s="190"/>
      <c r="AP303" s="191"/>
      <c r="AR303" s="189"/>
      <c r="AS303" s="190"/>
      <c r="AT303" s="190"/>
      <c r="AU303" s="191"/>
    </row>
    <row r="304" spans="2:48" ht="20.25" customHeight="1" x14ac:dyDescent="0.2">
      <c r="B304" s="1009" t="s">
        <v>517</v>
      </c>
      <c r="C304" s="1009"/>
      <c r="E304" s="189"/>
      <c r="F304" s="191"/>
      <c r="G304" s="189"/>
      <c r="H304" s="191"/>
      <c r="I304" s="189"/>
      <c r="J304" s="191"/>
      <c r="K304" s="189"/>
      <c r="L304" s="191"/>
      <c r="M304" s="189"/>
      <c r="N304" s="191"/>
      <c r="P304" s="189"/>
      <c r="Q304" s="190"/>
      <c r="R304" s="191"/>
      <c r="T304" s="189"/>
      <c r="U304" s="190"/>
      <c r="V304" s="190"/>
      <c r="W304" s="191"/>
      <c r="X304" s="186"/>
      <c r="Z304" s="1009" t="s">
        <v>517</v>
      </c>
      <c r="AA304" s="1009"/>
      <c r="AC304" s="189"/>
      <c r="AD304" s="191"/>
      <c r="AE304" s="189"/>
      <c r="AF304" s="191"/>
      <c r="AG304" s="189"/>
      <c r="AH304" s="191"/>
      <c r="AI304" s="189"/>
      <c r="AJ304" s="191"/>
      <c r="AK304" s="189"/>
      <c r="AL304" s="191"/>
      <c r="AN304" s="189"/>
      <c r="AO304" s="190"/>
      <c r="AP304" s="191"/>
      <c r="AR304" s="189"/>
      <c r="AS304" s="190"/>
      <c r="AT304" s="190"/>
      <c r="AU304" s="191"/>
    </row>
    <row r="305" spans="2:48" ht="20.25" customHeight="1" x14ac:dyDescent="0.2">
      <c r="B305" s="1009" t="s">
        <v>518</v>
      </c>
      <c r="C305" s="1009"/>
      <c r="E305" s="189"/>
      <c r="F305" s="191"/>
      <c r="G305" s="189"/>
      <c r="H305" s="191"/>
      <c r="I305" s="189"/>
      <c r="J305" s="191"/>
      <c r="K305" s="189"/>
      <c r="L305" s="191"/>
      <c r="M305" s="189"/>
      <c r="N305" s="191"/>
      <c r="P305" s="189"/>
      <c r="Q305" s="190"/>
      <c r="R305" s="191"/>
      <c r="T305" s="189"/>
      <c r="U305" s="190"/>
      <c r="V305" s="190"/>
      <c r="W305" s="191"/>
      <c r="X305" s="186"/>
      <c r="Z305" s="1009" t="s">
        <v>518</v>
      </c>
      <c r="AA305" s="1009"/>
      <c r="AC305" s="189"/>
      <c r="AD305" s="191"/>
      <c r="AE305" s="189"/>
      <c r="AF305" s="191"/>
      <c r="AG305" s="189"/>
      <c r="AH305" s="191"/>
      <c r="AI305" s="189"/>
      <c r="AJ305" s="191"/>
      <c r="AK305" s="189"/>
      <c r="AL305" s="191"/>
      <c r="AN305" s="189"/>
      <c r="AO305" s="190"/>
      <c r="AP305" s="191"/>
      <c r="AR305" s="189"/>
      <c r="AS305" s="190"/>
      <c r="AT305" s="190"/>
      <c r="AU305" s="191"/>
    </row>
    <row r="306" spans="2:48" ht="15.75" thickBot="1" x14ac:dyDescent="0.25">
      <c r="B306" s="187"/>
      <c r="C306" s="187"/>
      <c r="X306" s="186"/>
      <c r="Z306" s="187"/>
      <c r="AA306" s="187"/>
    </row>
    <row r="307" spans="2:48" ht="20.25" customHeight="1" thickBot="1" x14ac:dyDescent="0.25">
      <c r="P307" s="197" t="s">
        <v>519</v>
      </c>
      <c r="Q307" s="197"/>
      <c r="R307" s="197"/>
      <c r="S307" s="197"/>
      <c r="T307" s="192"/>
      <c r="U307" s="193"/>
      <c r="V307" s="193"/>
      <c r="W307" s="194"/>
      <c r="X307" s="186"/>
      <c r="AN307" s="197" t="s">
        <v>519</v>
      </c>
      <c r="AO307" s="197"/>
      <c r="AP307" s="197"/>
      <c r="AQ307" s="197"/>
      <c r="AR307" s="192"/>
      <c r="AS307" s="193"/>
      <c r="AT307" s="193"/>
      <c r="AU307" s="194"/>
    </row>
    <row r="308" spans="2:48" x14ac:dyDescent="0.2">
      <c r="E308" s="196"/>
      <c r="F308" s="196"/>
      <c r="G308" s="196"/>
      <c r="H308" s="196"/>
      <c r="I308" s="196"/>
      <c r="J308" s="196"/>
      <c r="K308" s="196"/>
      <c r="L308" s="196"/>
      <c r="M308" s="196"/>
      <c r="X308" s="186"/>
      <c r="AC308" s="196"/>
      <c r="AD308" s="196"/>
      <c r="AE308" s="196"/>
      <c r="AF308" s="196"/>
      <c r="AG308" s="196"/>
      <c r="AH308" s="196"/>
      <c r="AI308" s="196"/>
      <c r="AJ308" s="196"/>
      <c r="AK308" s="196"/>
    </row>
    <row r="309" spans="2:48" x14ac:dyDescent="0.2">
      <c r="B309" s="1010" t="s">
        <v>521</v>
      </c>
      <c r="C309" s="1010"/>
      <c r="D309" s="1010"/>
      <c r="E309" s="1010"/>
      <c r="F309" s="1010"/>
      <c r="G309" s="1010"/>
      <c r="H309" s="195"/>
      <c r="I309" s="1004" t="s">
        <v>522</v>
      </c>
      <c r="J309" s="1004"/>
      <c r="K309" s="1004"/>
      <c r="L309" s="1004"/>
      <c r="M309" s="1004"/>
      <c r="N309" s="1004"/>
      <c r="O309" s="1004"/>
      <c r="P309" s="1004"/>
      <c r="Q309" s="1004"/>
      <c r="R309" s="1004"/>
      <c r="S309" s="1004"/>
      <c r="T309" s="1004"/>
      <c r="U309" s="1004"/>
      <c r="V309" s="1004"/>
      <c r="W309" s="1004"/>
      <c r="X309" s="198"/>
      <c r="Y309" s="195"/>
      <c r="Z309" s="1010" t="s">
        <v>521</v>
      </c>
      <c r="AA309" s="1010"/>
      <c r="AB309" s="1010"/>
      <c r="AC309" s="1010"/>
      <c r="AD309" s="1010"/>
      <c r="AE309" s="1010"/>
      <c r="AF309" s="195"/>
      <c r="AG309" s="1004" t="s">
        <v>522</v>
      </c>
      <c r="AH309" s="1004"/>
      <c r="AI309" s="1004"/>
      <c r="AJ309" s="1004"/>
      <c r="AK309" s="1004"/>
      <c r="AL309" s="1004"/>
      <c r="AM309" s="1004"/>
      <c r="AN309" s="1004"/>
      <c r="AO309" s="1004"/>
      <c r="AP309" s="1004"/>
      <c r="AQ309" s="1004"/>
      <c r="AR309" s="1004"/>
      <c r="AS309" s="1004"/>
      <c r="AT309" s="1004"/>
      <c r="AU309" s="1004"/>
      <c r="AV309" s="195"/>
    </row>
    <row r="310" spans="2:48" x14ac:dyDescent="0.2">
      <c r="B310" s="1005" t="s">
        <v>520</v>
      </c>
      <c r="C310" s="1006"/>
      <c r="D310" s="1006"/>
      <c r="E310" s="1006"/>
      <c r="F310" s="1006"/>
      <c r="G310" s="1007"/>
      <c r="I310" s="1005" t="s">
        <v>0</v>
      </c>
      <c r="J310" s="1006"/>
      <c r="K310" s="1006"/>
      <c r="L310" s="1006"/>
      <c r="M310" s="1006"/>
      <c r="N310" s="1006"/>
      <c r="O310" s="1006"/>
      <c r="P310" s="1006"/>
      <c r="Q310" s="1006"/>
      <c r="R310" s="1006"/>
      <c r="S310" s="1006"/>
      <c r="T310" s="1006"/>
      <c r="U310" s="1006"/>
      <c r="V310" s="1006"/>
      <c r="W310" s="1007"/>
      <c r="X310" s="186"/>
      <c r="Z310" s="1005" t="s">
        <v>520</v>
      </c>
      <c r="AA310" s="1006"/>
      <c r="AB310" s="1006"/>
      <c r="AC310" s="1006"/>
      <c r="AD310" s="1006"/>
      <c r="AE310" s="1007"/>
      <c r="AG310" s="1005" t="s">
        <v>0</v>
      </c>
      <c r="AH310" s="1006"/>
      <c r="AI310" s="1006"/>
      <c r="AJ310" s="1006"/>
      <c r="AK310" s="1006"/>
      <c r="AL310" s="1006"/>
      <c r="AM310" s="1006"/>
      <c r="AN310" s="1006"/>
      <c r="AO310" s="1006"/>
      <c r="AP310" s="1006"/>
      <c r="AQ310" s="1006"/>
      <c r="AR310" s="1006"/>
      <c r="AS310" s="1006"/>
      <c r="AT310" s="1006"/>
      <c r="AU310" s="1007"/>
    </row>
    <row r="311" spans="2:48" x14ac:dyDescent="0.2">
      <c r="B311" s="199"/>
      <c r="C311" s="200"/>
      <c r="D311" s="200"/>
      <c r="E311" s="200"/>
      <c r="F311" s="200"/>
      <c r="G311" s="201"/>
      <c r="I311" s="199"/>
      <c r="J311" s="200"/>
      <c r="K311" s="200"/>
      <c r="L311" s="200"/>
      <c r="M311" s="200"/>
      <c r="N311" s="200"/>
      <c r="O311" s="200"/>
      <c r="P311" s="200"/>
      <c r="Q311" s="200"/>
      <c r="R311" s="200"/>
      <c r="S311" s="200"/>
      <c r="T311" s="200"/>
      <c r="U311" s="200"/>
      <c r="V311" s="200"/>
      <c r="W311" s="201"/>
      <c r="X311" s="186"/>
      <c r="Z311" s="199"/>
      <c r="AA311" s="200"/>
      <c r="AB311" s="200"/>
      <c r="AC311" s="200"/>
      <c r="AD311" s="200"/>
      <c r="AE311" s="201"/>
      <c r="AG311" s="199"/>
      <c r="AH311" s="200"/>
      <c r="AI311" s="200"/>
      <c r="AJ311" s="200"/>
      <c r="AK311" s="200"/>
      <c r="AL311" s="200"/>
      <c r="AM311" s="200"/>
      <c r="AN311" s="200"/>
      <c r="AO311" s="200"/>
      <c r="AP311" s="200"/>
      <c r="AQ311" s="200"/>
      <c r="AR311" s="200"/>
      <c r="AS311" s="200"/>
      <c r="AT311" s="200"/>
      <c r="AU311" s="201"/>
    </row>
    <row r="312" spans="2:48" x14ac:dyDescent="0.2">
      <c r="X312" s="186"/>
    </row>
    <row r="313" spans="2:48" x14ac:dyDescent="0.2">
      <c r="I313" s="1005" t="s">
        <v>481</v>
      </c>
      <c r="J313" s="1006"/>
      <c r="K313" s="1006"/>
      <c r="L313" s="1006"/>
      <c r="M313" s="1006"/>
      <c r="N313" s="1006"/>
      <c r="O313" s="1006"/>
      <c r="P313" s="1006"/>
      <c r="Q313" s="1007"/>
      <c r="R313" s="1005" t="s">
        <v>520</v>
      </c>
      <c r="S313" s="1006"/>
      <c r="T313" s="1006"/>
      <c r="U313" s="1006"/>
      <c r="V313" s="1006"/>
      <c r="W313" s="1007"/>
      <c r="X313" s="186"/>
      <c r="AG313" s="1005" t="s">
        <v>481</v>
      </c>
      <c r="AH313" s="1006"/>
      <c r="AI313" s="1006"/>
      <c r="AJ313" s="1006"/>
      <c r="AK313" s="1006"/>
      <c r="AL313" s="1006"/>
      <c r="AM313" s="1006"/>
      <c r="AN313" s="1006"/>
      <c r="AO313" s="1007"/>
      <c r="AP313" s="1005" t="s">
        <v>520</v>
      </c>
      <c r="AQ313" s="1006"/>
      <c r="AR313" s="1006"/>
      <c r="AS313" s="1006"/>
      <c r="AT313" s="1006"/>
      <c r="AU313" s="1007"/>
    </row>
    <row r="314" spans="2:48" x14ac:dyDescent="0.2">
      <c r="I314" s="199"/>
      <c r="J314" s="200"/>
      <c r="K314" s="200"/>
      <c r="L314" s="200"/>
      <c r="M314" s="200"/>
      <c r="N314" s="200"/>
      <c r="O314" s="200"/>
      <c r="P314" s="200"/>
      <c r="Q314" s="200"/>
      <c r="R314" s="199"/>
      <c r="S314" s="200"/>
      <c r="T314" s="200"/>
      <c r="U314" s="200"/>
      <c r="V314" s="200"/>
      <c r="W314" s="201"/>
      <c r="X314" s="186"/>
      <c r="AG314" s="199"/>
      <c r="AH314" s="200"/>
      <c r="AI314" s="200"/>
      <c r="AJ314" s="200"/>
      <c r="AK314" s="200"/>
      <c r="AL314" s="200"/>
      <c r="AM314" s="200"/>
      <c r="AN314" s="200"/>
      <c r="AO314" s="200"/>
      <c r="AP314" s="199"/>
      <c r="AQ314" s="200"/>
      <c r="AR314" s="200"/>
      <c r="AS314" s="200"/>
      <c r="AT314" s="200"/>
      <c r="AU314" s="201"/>
    </row>
    <row r="316" spans="2:48" ht="57.75" customHeight="1" x14ac:dyDescent="0.2">
      <c r="B316" s="1058" t="str">
        <f>Championnat</f>
        <v>Championnat de France de Tir à l'ARC</v>
      </c>
      <c r="C316" s="1058"/>
      <c r="D316" s="1058"/>
      <c r="E316" s="1058"/>
      <c r="F316" s="1058"/>
      <c r="G316" s="1058"/>
      <c r="H316" s="1058"/>
      <c r="I316" s="1058"/>
      <c r="J316" s="1058"/>
      <c r="K316" s="1058"/>
      <c r="L316" s="1058"/>
      <c r="M316" s="1058"/>
      <c r="N316" s="1058"/>
      <c r="O316" s="1058"/>
      <c r="P316" s="1058"/>
      <c r="Q316" s="1058"/>
      <c r="R316" s="1058"/>
      <c r="S316" s="1058"/>
      <c r="T316" s="1058"/>
      <c r="U316" s="1058"/>
      <c r="V316" s="1058"/>
      <c r="W316" s="1058"/>
      <c r="X316" s="1058"/>
      <c r="Y316" s="1058"/>
      <c r="Z316" s="1058"/>
      <c r="AA316" s="1058"/>
      <c r="AB316" s="1058"/>
      <c r="AC316" s="1058"/>
      <c r="AD316" s="1058"/>
      <c r="AE316" s="1058"/>
      <c r="AF316" s="1058"/>
      <c r="AG316" s="1058"/>
      <c r="AH316" s="1058"/>
      <c r="AI316" s="1058"/>
      <c r="AJ316" s="1058"/>
      <c r="AK316" s="1058"/>
      <c r="AL316" s="1058"/>
      <c r="AM316" s="1058"/>
      <c r="AN316" s="1058"/>
      <c r="AO316" s="1058"/>
      <c r="AP316" s="1058"/>
    </row>
    <row r="317" spans="2:48" ht="45" customHeight="1" thickBot="1" x14ac:dyDescent="0.25">
      <c r="B317" s="1018" t="str">
        <f>LIEU&amp;" - "&amp;DATE&amp;" - "&amp;CATEG</f>
        <v>L’Isle sur la Sorgue - 27 au 31 mars 2023 - Collèges Mixtes Etablissement</v>
      </c>
      <c r="C317" s="1018"/>
      <c r="D317" s="1018"/>
      <c r="E317" s="1018"/>
      <c r="F317" s="1018"/>
      <c r="G317" s="1018"/>
      <c r="H317" s="1018"/>
      <c r="I317" s="1018"/>
      <c r="J317" s="1018"/>
      <c r="K317" s="1018"/>
      <c r="L317" s="1018"/>
      <c r="M317" s="1018"/>
      <c r="N317" s="1018"/>
      <c r="O317" s="1018"/>
      <c r="P317" s="1018"/>
      <c r="Q317" s="1018"/>
      <c r="R317" s="1018"/>
      <c r="S317" s="1018"/>
      <c r="T317" s="1018"/>
      <c r="U317" s="1018"/>
      <c r="V317" s="1018"/>
      <c r="W317" s="1018"/>
      <c r="X317" s="1018"/>
      <c r="Y317" s="1018"/>
      <c r="Z317" s="1018"/>
      <c r="AA317" s="1018"/>
      <c r="AB317" s="1018"/>
      <c r="AC317" s="1018"/>
      <c r="AD317" s="1018"/>
      <c r="AE317" s="1018"/>
      <c r="AF317" s="1018"/>
      <c r="AG317" s="1018"/>
      <c r="AH317" s="1018"/>
      <c r="AI317" s="1018"/>
      <c r="AJ317" s="1018"/>
      <c r="AK317" s="1018"/>
      <c r="AL317" s="1018"/>
      <c r="AM317" s="1018"/>
      <c r="AN317" s="1018"/>
      <c r="AO317" s="1018"/>
      <c r="AP317" s="1018"/>
      <c r="AQ317" s="182"/>
      <c r="AR317" s="182"/>
      <c r="AS317" s="182"/>
      <c r="AT317" s="182"/>
      <c r="AU317" s="182"/>
      <c r="AV317" s="182"/>
    </row>
    <row r="318" spans="2:48" ht="26.25" customHeight="1" x14ac:dyDescent="0.2">
      <c r="B318" s="1059" t="str">
        <f>CATEG_IMPORTEE</f>
        <v>Collèges Mixtes Etablissement</v>
      </c>
      <c r="C318" s="1059"/>
      <c r="D318" s="1059"/>
      <c r="E318" s="1059"/>
      <c r="F318" s="1059"/>
      <c r="G318" s="1059"/>
      <c r="H318" s="1059"/>
      <c r="I318" s="1059"/>
      <c r="J318" s="1059"/>
      <c r="K318" s="1059"/>
      <c r="L318" s="1059"/>
      <c r="M318" s="1059"/>
      <c r="N318" s="1059"/>
      <c r="O318" s="1059"/>
      <c r="P318" s="1059"/>
      <c r="Q318" s="1059"/>
      <c r="R318" s="1059"/>
      <c r="S318" s="1059"/>
      <c r="T318" s="1059"/>
      <c r="U318" s="1059"/>
      <c r="V318" s="1059"/>
      <c r="W318" s="1059"/>
      <c r="X318" s="1059"/>
      <c r="Y318" s="1059"/>
      <c r="Z318" s="1059"/>
      <c r="AA318" s="1059"/>
      <c r="AB318" s="1059"/>
      <c r="AC318" s="1059"/>
      <c r="AD318" s="1059"/>
      <c r="AE318" s="1059"/>
      <c r="AF318" s="1059"/>
      <c r="AG318" s="1059"/>
      <c r="AH318" s="1059"/>
      <c r="AI318" s="1059"/>
      <c r="AJ318" s="1059"/>
      <c r="AK318" s="1059"/>
      <c r="AL318" s="1059"/>
      <c r="AM318" s="1059"/>
      <c r="AN318" s="1059"/>
      <c r="AO318" s="1059"/>
      <c r="AP318" s="1059"/>
      <c r="AQ318" s="182"/>
      <c r="AR318" s="1060">
        <f>AR255+1</f>
        <v>6</v>
      </c>
      <c r="AS318" s="1061"/>
      <c r="AT318" s="1062"/>
      <c r="AU318" s="182"/>
      <c r="AV318" s="182"/>
    </row>
    <row r="319" spans="2:48" ht="18" customHeight="1" x14ac:dyDescent="0.2">
      <c r="B319" s="182"/>
      <c r="C319" s="182"/>
      <c r="D319" s="182"/>
      <c r="E319" s="182"/>
      <c r="F319" s="182"/>
      <c r="G319" s="182"/>
      <c r="H319" s="182"/>
      <c r="I319" s="182"/>
      <c r="J319" s="182"/>
      <c r="K319" s="182"/>
      <c r="L319" s="182"/>
      <c r="M319" s="182"/>
      <c r="N319" s="182"/>
      <c r="O319" s="182"/>
      <c r="P319" s="182"/>
      <c r="Q319" s="182"/>
      <c r="R319" s="182"/>
      <c r="S319" s="182"/>
      <c r="T319" s="182"/>
      <c r="U319" s="182"/>
      <c r="V319" s="182"/>
      <c r="W319" s="182"/>
      <c r="X319" s="183"/>
      <c r="Y319" s="184"/>
      <c r="Z319" s="182"/>
      <c r="AA319" s="182"/>
      <c r="AB319" s="182"/>
      <c r="AC319" s="182"/>
      <c r="AD319" s="182"/>
      <c r="AE319" s="182"/>
      <c r="AF319" s="182"/>
      <c r="AG319" s="182"/>
      <c r="AH319" s="182"/>
      <c r="AI319" s="182"/>
      <c r="AJ319" s="182"/>
      <c r="AK319" s="182"/>
      <c r="AL319" s="182"/>
      <c r="AM319" s="182"/>
      <c r="AN319" s="182"/>
      <c r="AO319" s="182"/>
      <c r="AP319" s="182"/>
      <c r="AQ319" s="182"/>
      <c r="AR319" s="1063"/>
      <c r="AS319" s="1064"/>
      <c r="AT319" s="1065"/>
      <c r="AU319" s="182"/>
      <c r="AV319" s="182"/>
    </row>
    <row r="320" spans="2:48" ht="18.75" customHeight="1" thickBot="1" x14ac:dyDescent="0.25">
      <c r="B320" s="182"/>
      <c r="C320" s="182"/>
      <c r="D320" s="182"/>
      <c r="E320" s="182"/>
      <c r="F320" s="182"/>
      <c r="G320" s="182"/>
      <c r="H320" s="992" t="s">
        <v>374</v>
      </c>
      <c r="I320" s="992"/>
      <c r="J320" s="992"/>
      <c r="K320" s="992"/>
      <c r="L320" s="992"/>
      <c r="M320" s="992"/>
      <c r="N320" s="992"/>
      <c r="O320" s="992"/>
      <c r="P320" s="992"/>
      <c r="Q320" s="992"/>
      <c r="R320" s="182"/>
      <c r="S320" s="182"/>
      <c r="T320" s="182"/>
      <c r="U320" s="182"/>
      <c r="V320" s="182"/>
      <c r="W320" s="182"/>
      <c r="X320" s="183"/>
      <c r="Y320" s="182"/>
      <c r="Z320" s="182"/>
      <c r="AA320" s="182"/>
      <c r="AB320" s="182"/>
      <c r="AC320" s="182"/>
      <c r="AD320" s="182"/>
      <c r="AE320" s="992" t="s">
        <v>374</v>
      </c>
      <c r="AF320" s="992"/>
      <c r="AG320" s="992"/>
      <c r="AH320" s="992"/>
      <c r="AI320" s="992"/>
      <c r="AJ320" s="992"/>
      <c r="AK320" s="992"/>
      <c r="AL320" s="992"/>
      <c r="AM320" s="992"/>
      <c r="AN320" s="992"/>
      <c r="AO320" s="182"/>
      <c r="AP320" s="182"/>
      <c r="AQ320" s="182"/>
      <c r="AR320" s="1066"/>
      <c r="AS320" s="1067"/>
      <c r="AT320" s="1068"/>
      <c r="AU320" s="182"/>
      <c r="AV320" s="182"/>
    </row>
    <row r="321" spans="2:48" ht="18" x14ac:dyDescent="0.2">
      <c r="B321" s="182"/>
      <c r="C321" s="182"/>
      <c r="D321" s="182"/>
      <c r="E321" s="182"/>
      <c r="F321" s="182"/>
      <c r="G321" s="182"/>
      <c r="H321" s="1022" t="e">
        <f>VLOOKUP(U330,ID_archer_cible,4,FALSE)</f>
        <v>#N/A</v>
      </c>
      <c r="I321" s="1023"/>
      <c r="J321" s="1023"/>
      <c r="K321" s="1023"/>
      <c r="L321" s="1023"/>
      <c r="M321" s="1023"/>
      <c r="N321" s="1023"/>
      <c r="O321" s="1023"/>
      <c r="P321" s="1023"/>
      <c r="Q321" s="1024"/>
      <c r="R321" s="182"/>
      <c r="S321" s="182"/>
      <c r="T321" s="182"/>
      <c r="U321" s="182"/>
      <c r="V321" s="182"/>
      <c r="W321" s="182"/>
      <c r="X321" s="183"/>
      <c r="Y321" s="182"/>
      <c r="Z321" s="182"/>
      <c r="AA321" s="182"/>
      <c r="AB321" s="182"/>
      <c r="AC321" s="182"/>
      <c r="AD321" s="182"/>
      <c r="AE321" s="1022" t="e">
        <f>VLOOKUP(AS330,ID_archer_cible,4,FALSE)</f>
        <v>#N/A</v>
      </c>
      <c r="AF321" s="1023"/>
      <c r="AG321" s="1023"/>
      <c r="AH321" s="1023"/>
      <c r="AI321" s="1023"/>
      <c r="AJ321" s="1023"/>
      <c r="AK321" s="1023"/>
      <c r="AL321" s="1023"/>
      <c r="AM321" s="1023"/>
      <c r="AN321" s="1024"/>
      <c r="AO321" s="182"/>
      <c r="AP321" s="182"/>
      <c r="AQ321" s="182"/>
      <c r="AR321" s="182"/>
      <c r="AS321" s="182"/>
      <c r="AT321" s="182"/>
      <c r="AU321" s="182"/>
      <c r="AV321" s="182"/>
    </row>
    <row r="322" spans="2:48" x14ac:dyDescent="0.2">
      <c r="X322" s="186"/>
    </row>
    <row r="323" spans="2:48" x14ac:dyDescent="0.2">
      <c r="B323" s="1021" t="s">
        <v>0</v>
      </c>
      <c r="C323" s="1021"/>
      <c r="D323" s="1021"/>
      <c r="E323" s="1021"/>
      <c r="F323" s="1021"/>
      <c r="G323" s="1021"/>
      <c r="H323" s="1021"/>
      <c r="I323" s="1021"/>
      <c r="J323" s="1021"/>
      <c r="K323" s="1021"/>
      <c r="L323" s="1021"/>
      <c r="M323" s="187"/>
      <c r="P323" s="992" t="s">
        <v>375</v>
      </c>
      <c r="Q323" s="992"/>
      <c r="R323" s="992"/>
      <c r="S323" s="992"/>
      <c r="T323" s="992"/>
      <c r="U323" s="992"/>
      <c r="V323" s="992"/>
      <c r="W323" s="992"/>
      <c r="X323" s="188"/>
      <c r="Z323" s="1021" t="s">
        <v>0</v>
      </c>
      <c r="AA323" s="1021"/>
      <c r="AB323" s="1021"/>
      <c r="AC323" s="1021"/>
      <c r="AD323" s="1021"/>
      <c r="AE323" s="1021"/>
      <c r="AF323" s="1021"/>
      <c r="AG323" s="1021"/>
      <c r="AH323" s="1021"/>
      <c r="AI323" s="1021"/>
      <c r="AJ323" s="1021"/>
      <c r="AK323" s="187"/>
      <c r="AN323" s="992" t="s">
        <v>375</v>
      </c>
      <c r="AO323" s="992"/>
      <c r="AP323" s="992"/>
      <c r="AQ323" s="992"/>
      <c r="AR323" s="992"/>
      <c r="AS323" s="992"/>
      <c r="AT323" s="992"/>
      <c r="AU323" s="992"/>
      <c r="AV323" s="187"/>
    </row>
    <row r="324" spans="2:48" x14ac:dyDescent="0.2">
      <c r="B324" s="999" t="e">
        <f>VLOOKUP(U330,ID_archer_cible,2,FALSE)</f>
        <v>#N/A</v>
      </c>
      <c r="C324" s="1000"/>
      <c r="D324" s="1000"/>
      <c r="E324" s="1000"/>
      <c r="F324" s="1000"/>
      <c r="G324" s="1000"/>
      <c r="H324" s="1000"/>
      <c r="I324" s="1000"/>
      <c r="J324" s="1000"/>
      <c r="K324" s="1000"/>
      <c r="L324" s="1000"/>
      <c r="M324" s="1001"/>
      <c r="P324" s="999" t="e">
        <f>VLOOKUP(U330,ID_archer_cible,3,FALSE)</f>
        <v>#N/A</v>
      </c>
      <c r="Q324" s="1000"/>
      <c r="R324" s="1000"/>
      <c r="S324" s="1000"/>
      <c r="T324" s="1000"/>
      <c r="U324" s="1000"/>
      <c r="V324" s="1000"/>
      <c r="W324" s="1001"/>
      <c r="X324" s="186"/>
      <c r="Y324"/>
      <c r="Z324" s="999" t="e">
        <f>VLOOKUP(AS330,ID_archer_cible,2,FALSE)</f>
        <v>#N/A</v>
      </c>
      <c r="AA324" s="1000"/>
      <c r="AB324" s="1000"/>
      <c r="AC324" s="1000"/>
      <c r="AD324" s="1000"/>
      <c r="AE324" s="1000"/>
      <c r="AF324" s="1000"/>
      <c r="AG324" s="1000"/>
      <c r="AH324" s="1000"/>
      <c r="AI324" s="1000"/>
      <c r="AJ324" s="1000"/>
      <c r="AK324" s="1001"/>
      <c r="AN324" s="999" t="e">
        <f>VLOOKUP(AS330,ID_archer_cible,3,FALSE)</f>
        <v>#N/A</v>
      </c>
      <c r="AO324" s="1000"/>
      <c r="AP324" s="1000"/>
      <c r="AQ324" s="1000"/>
      <c r="AR324" s="1000"/>
      <c r="AS324" s="1000"/>
      <c r="AT324" s="1000"/>
      <c r="AU324" s="1001"/>
    </row>
    <row r="325" spans="2:48" x14ac:dyDescent="0.2">
      <c r="X325" s="186"/>
      <c r="Y325"/>
    </row>
    <row r="326" spans="2:48" ht="16.5" thickBot="1" x14ac:dyDescent="0.25">
      <c r="B326" s="1017" t="s">
        <v>1</v>
      </c>
      <c r="C326" s="1017"/>
      <c r="D326" s="1017"/>
      <c r="E326" s="1017"/>
      <c r="F326" s="1017"/>
      <c r="G326" s="1017"/>
      <c r="H326" s="1017"/>
      <c r="I326" s="1017"/>
      <c r="J326" s="1017"/>
      <c r="L326" s="1017" t="s">
        <v>505</v>
      </c>
      <c r="M326" s="1017"/>
      <c r="N326" s="1017"/>
      <c r="O326" s="1017"/>
      <c r="P326" s="1017"/>
      <c r="Q326" s="1017"/>
      <c r="S326" s="992" t="s">
        <v>506</v>
      </c>
      <c r="T326" s="992"/>
      <c r="U326" s="992"/>
      <c r="V326" s="992"/>
      <c r="W326" s="992"/>
      <c r="X326" s="188"/>
      <c r="Y326"/>
      <c r="Z326" s="1017" t="s">
        <v>1</v>
      </c>
      <c r="AA326" s="1017"/>
      <c r="AB326" s="1017"/>
      <c r="AC326" s="1017"/>
      <c r="AD326" s="1017"/>
      <c r="AE326" s="1017"/>
      <c r="AF326" s="1017"/>
      <c r="AG326" s="1017"/>
      <c r="AH326" s="1017"/>
      <c r="AJ326" s="1017" t="s">
        <v>505</v>
      </c>
      <c r="AK326" s="1017"/>
      <c r="AL326" s="1017"/>
      <c r="AM326" s="1017"/>
      <c r="AN326" s="1017"/>
      <c r="AO326" s="1017"/>
      <c r="AQ326" s="992" t="s">
        <v>506</v>
      </c>
      <c r="AR326" s="992"/>
      <c r="AS326" s="992"/>
      <c r="AT326" s="992"/>
      <c r="AU326" s="992"/>
      <c r="AV326" s="187"/>
    </row>
    <row r="327" spans="2:48" ht="16.5" thickBot="1" x14ac:dyDescent="0.25">
      <c r="B327" s="1014" t="e">
        <f>VLOOKUP(U330,ID_archer_cible,5,FALSE)</f>
        <v>#N/A</v>
      </c>
      <c r="C327" s="1015"/>
      <c r="D327" s="1015"/>
      <c r="E327" s="1015"/>
      <c r="F327" s="1015"/>
      <c r="G327" s="1015"/>
      <c r="H327" s="1015"/>
      <c r="I327" s="1015"/>
      <c r="J327" s="1016"/>
      <c r="L327" s="1014" t="e">
        <f>VLOOKUP(U330,ID_archer_cible,6,FALSE)</f>
        <v>#N/A</v>
      </c>
      <c r="M327" s="1015"/>
      <c r="N327" s="1015"/>
      <c r="O327" s="1015"/>
      <c r="P327" s="1015"/>
      <c r="Q327" s="1016"/>
      <c r="S327" s="999" t="e">
        <f>VLOOKUP(U330,ID_archer_cible,8,FALSE)</f>
        <v>#N/A</v>
      </c>
      <c r="T327" s="1000"/>
      <c r="U327" s="1000"/>
      <c r="V327" s="1000"/>
      <c r="W327" s="1001"/>
      <c r="X327" s="186"/>
      <c r="Y327"/>
      <c r="Z327" s="1014" t="e">
        <f>VLOOKUP(AS330,ID_archer_cible,5,FALSE)</f>
        <v>#N/A</v>
      </c>
      <c r="AA327" s="1015"/>
      <c r="AB327" s="1015"/>
      <c r="AC327" s="1015"/>
      <c r="AD327" s="1015"/>
      <c r="AE327" s="1015"/>
      <c r="AF327" s="1015"/>
      <c r="AG327" s="1015"/>
      <c r="AH327" s="1016"/>
      <c r="AJ327" s="1014" t="e">
        <f>VLOOKUP(AS330,ID_archer_cible,6,FALSE)</f>
        <v>#N/A</v>
      </c>
      <c r="AK327" s="1015"/>
      <c r="AL327" s="1015"/>
      <c r="AM327" s="1015"/>
      <c r="AN327" s="1015"/>
      <c r="AO327" s="1016"/>
      <c r="AQ327" s="999" t="e">
        <f>VLOOKUP(AS330,ID_archer_cible,8,FALSE)</f>
        <v>#N/A</v>
      </c>
      <c r="AR327" s="1000"/>
      <c r="AS327" s="1000"/>
      <c r="AT327" s="1000"/>
      <c r="AU327" s="1001"/>
    </row>
    <row r="328" spans="2:48" x14ac:dyDescent="0.2">
      <c r="X328" s="186"/>
      <c r="Y328"/>
    </row>
    <row r="329" spans="2:48" x14ac:dyDescent="0.2">
      <c r="B329" s="992" t="s">
        <v>530</v>
      </c>
      <c r="C329" s="992"/>
      <c r="D329" s="992"/>
      <c r="E329" s="992"/>
      <c r="F329" s="992"/>
      <c r="G329" s="187"/>
      <c r="H329" s="992" t="s">
        <v>504</v>
      </c>
      <c r="I329" s="992"/>
      <c r="J329" s="992"/>
      <c r="K329" s="992"/>
      <c r="M329" s="992" t="s">
        <v>39</v>
      </c>
      <c r="N329" s="992"/>
      <c r="O329" s="992"/>
      <c r="Q329" s="1021"/>
      <c r="R329" s="1021"/>
      <c r="S329" s="1021"/>
      <c r="U329" s="992" t="s">
        <v>507</v>
      </c>
      <c r="V329" s="992"/>
      <c r="W329" s="992"/>
      <c r="X329" s="188"/>
      <c r="Y329"/>
      <c r="Z329" s="992" t="s">
        <v>530</v>
      </c>
      <c r="AA329" s="992"/>
      <c r="AB329" s="992"/>
      <c r="AC329" s="992"/>
      <c r="AD329" s="992"/>
      <c r="AE329" s="187"/>
      <c r="AF329" s="992" t="s">
        <v>504</v>
      </c>
      <c r="AG329" s="992"/>
      <c r="AH329" s="992"/>
      <c r="AI329" s="992"/>
      <c r="AK329" s="992" t="s">
        <v>39</v>
      </c>
      <c r="AL329" s="992"/>
      <c r="AM329" s="992"/>
      <c r="AO329" s="1021"/>
      <c r="AP329" s="1021"/>
      <c r="AQ329" s="1021"/>
      <c r="AS329" s="992" t="s">
        <v>507</v>
      </c>
      <c r="AT329" s="992"/>
      <c r="AU329" s="992"/>
      <c r="AV329" s="187"/>
    </row>
    <row r="330" spans="2:48" ht="15.75" x14ac:dyDescent="0.2">
      <c r="B330" s="1011" t="e">
        <f>VLOOKUP(U330,ID_archer_cible,7,FALSE)</f>
        <v>#N/A</v>
      </c>
      <c r="C330" s="1012"/>
      <c r="D330" s="1012"/>
      <c r="E330" s="1012"/>
      <c r="F330" s="1013"/>
      <c r="H330" s="999" t="e">
        <f>VLOOKUP(U330,ID_archer_cible,9,FALSE)</f>
        <v>#N/A</v>
      </c>
      <c r="I330" s="1000"/>
      <c r="J330" s="1000"/>
      <c r="K330" s="1001"/>
      <c r="M330" s="999" t="e">
        <f>VLOOKUP(U330,ID_archer_cible,10,FALSE)</f>
        <v>#N/A</v>
      </c>
      <c r="N330" s="1000"/>
      <c r="O330" s="1001"/>
      <c r="Q330" s="1021"/>
      <c r="R330" s="1021"/>
      <c r="S330" s="1021"/>
      <c r="T330" s="187"/>
      <c r="U330" s="996" t="str">
        <f>AR318&amp;"A"</f>
        <v>6A</v>
      </c>
      <c r="V330" s="997"/>
      <c r="W330" s="998"/>
      <c r="X330" s="188"/>
      <c r="Y330"/>
      <c r="Z330" s="1011" t="e">
        <f>VLOOKUP(AS330,ID_archer_cible,7,FALSE)</f>
        <v>#N/A</v>
      </c>
      <c r="AA330" s="1012"/>
      <c r="AB330" s="1012"/>
      <c r="AC330" s="1012"/>
      <c r="AD330" s="1013"/>
      <c r="AF330" s="999" t="e">
        <f>VLOOKUP(AS330,ID_archer_cible,9,FALSE)</f>
        <v>#N/A</v>
      </c>
      <c r="AG330" s="1000"/>
      <c r="AH330" s="1000"/>
      <c r="AI330" s="1001"/>
      <c r="AK330" s="999" t="e">
        <f>VLOOKUP(AS330,ID_archer_cible,10,FALSE)</f>
        <v>#N/A</v>
      </c>
      <c r="AL330" s="1000"/>
      <c r="AM330" s="1001"/>
      <c r="AO330" s="1021"/>
      <c r="AP330" s="1021"/>
      <c r="AQ330" s="1021"/>
      <c r="AR330" s="187"/>
      <c r="AS330" s="996" t="str">
        <f>AR318&amp;"B"</f>
        <v>6B</v>
      </c>
      <c r="AT330" s="997"/>
      <c r="AU330" s="998"/>
      <c r="AV330" s="187"/>
    </row>
    <row r="331" spans="2:48" x14ac:dyDescent="0.2">
      <c r="X331" s="186"/>
    </row>
    <row r="332" spans="2:48" x14ac:dyDescent="0.2">
      <c r="B332" s="185" t="s">
        <v>509</v>
      </c>
      <c r="E332" s="992" t="s">
        <v>510</v>
      </c>
      <c r="F332" s="992"/>
      <c r="G332" s="992"/>
      <c r="H332" s="992"/>
      <c r="I332" s="992"/>
      <c r="J332" s="992"/>
      <c r="K332" s="992"/>
      <c r="L332" s="992"/>
      <c r="M332" s="992"/>
      <c r="N332" s="992"/>
      <c r="P332" s="992" t="s">
        <v>511</v>
      </c>
      <c r="Q332" s="992"/>
      <c r="R332" s="992"/>
      <c r="X332" s="186"/>
      <c r="Z332" s="185" t="s">
        <v>509</v>
      </c>
      <c r="AC332" s="992" t="s">
        <v>510</v>
      </c>
      <c r="AD332" s="992"/>
      <c r="AE332" s="992"/>
      <c r="AF332" s="992"/>
      <c r="AG332" s="992"/>
      <c r="AH332" s="992"/>
      <c r="AI332" s="992"/>
      <c r="AJ332" s="992"/>
      <c r="AK332" s="992"/>
      <c r="AL332" s="992"/>
      <c r="AN332" s="992" t="s">
        <v>511</v>
      </c>
      <c r="AO332" s="992"/>
      <c r="AP332" s="992"/>
    </row>
    <row r="333" spans="2:48" ht="20.25" customHeight="1" x14ac:dyDescent="0.2">
      <c r="B333" s="1009" t="s">
        <v>513</v>
      </c>
      <c r="C333" s="1009"/>
      <c r="E333" s="189"/>
      <c r="F333" s="191"/>
      <c r="G333" s="189"/>
      <c r="H333" s="191"/>
      <c r="I333" s="189"/>
      <c r="J333" s="191"/>
      <c r="K333" s="189"/>
      <c r="L333" s="191"/>
      <c r="M333" s="189"/>
      <c r="N333" s="191"/>
      <c r="P333" s="189"/>
      <c r="Q333" s="190"/>
      <c r="R333" s="191"/>
      <c r="T333" s="992" t="s">
        <v>512</v>
      </c>
      <c r="U333" s="992"/>
      <c r="V333" s="992"/>
      <c r="W333" s="992"/>
      <c r="X333" s="188"/>
      <c r="Z333" s="1009" t="s">
        <v>513</v>
      </c>
      <c r="AA333" s="1009"/>
      <c r="AC333" s="189"/>
      <c r="AD333" s="191"/>
      <c r="AE333" s="189"/>
      <c r="AF333" s="191"/>
      <c r="AG333" s="189"/>
      <c r="AH333" s="191"/>
      <c r="AI333" s="189"/>
      <c r="AJ333" s="191"/>
      <c r="AK333" s="189"/>
      <c r="AL333" s="191"/>
      <c r="AN333" s="189"/>
      <c r="AO333" s="190"/>
      <c r="AP333" s="191"/>
      <c r="AR333" s="992" t="s">
        <v>512</v>
      </c>
      <c r="AS333" s="992"/>
      <c r="AT333" s="992"/>
      <c r="AU333" s="992"/>
      <c r="AV333" s="187"/>
    </row>
    <row r="334" spans="2:48" ht="20.25" customHeight="1" x14ac:dyDescent="0.2">
      <c r="B334" s="1009" t="s">
        <v>514</v>
      </c>
      <c r="C334" s="1009"/>
      <c r="E334" s="189"/>
      <c r="F334" s="191"/>
      <c r="G334" s="189"/>
      <c r="H334" s="191"/>
      <c r="I334" s="189"/>
      <c r="J334" s="191"/>
      <c r="K334" s="189"/>
      <c r="L334" s="191"/>
      <c r="M334" s="189"/>
      <c r="N334" s="191"/>
      <c r="P334" s="189"/>
      <c r="Q334" s="190"/>
      <c r="R334" s="191"/>
      <c r="T334" s="189"/>
      <c r="U334" s="190"/>
      <c r="V334" s="190"/>
      <c r="W334" s="191"/>
      <c r="X334" s="186"/>
      <c r="Z334" s="1009" t="s">
        <v>514</v>
      </c>
      <c r="AA334" s="1009"/>
      <c r="AC334" s="189"/>
      <c r="AD334" s="191"/>
      <c r="AE334" s="189"/>
      <c r="AF334" s="191"/>
      <c r="AG334" s="189"/>
      <c r="AH334" s="191"/>
      <c r="AI334" s="189"/>
      <c r="AJ334" s="191"/>
      <c r="AK334" s="189"/>
      <c r="AL334" s="191"/>
      <c r="AN334" s="189"/>
      <c r="AO334" s="190"/>
      <c r="AP334" s="191"/>
      <c r="AR334" s="189"/>
      <c r="AS334" s="190"/>
      <c r="AT334" s="190"/>
      <c r="AU334" s="191"/>
    </row>
    <row r="335" spans="2:48" ht="20.25" customHeight="1" x14ac:dyDescent="0.2">
      <c r="B335" s="1009" t="s">
        <v>515</v>
      </c>
      <c r="C335" s="1009"/>
      <c r="E335" s="189"/>
      <c r="F335" s="191"/>
      <c r="G335" s="189"/>
      <c r="H335" s="191"/>
      <c r="I335" s="189"/>
      <c r="J335" s="191"/>
      <c r="K335" s="189"/>
      <c r="L335" s="191"/>
      <c r="M335" s="189"/>
      <c r="N335" s="191"/>
      <c r="P335" s="189"/>
      <c r="Q335" s="190"/>
      <c r="R335" s="191"/>
      <c r="T335" s="189"/>
      <c r="U335" s="190"/>
      <c r="V335" s="190"/>
      <c r="W335" s="191"/>
      <c r="X335" s="186"/>
      <c r="Z335" s="1009" t="s">
        <v>515</v>
      </c>
      <c r="AA335" s="1009"/>
      <c r="AC335" s="189"/>
      <c r="AD335" s="191"/>
      <c r="AE335" s="189"/>
      <c r="AF335" s="191"/>
      <c r="AG335" s="189"/>
      <c r="AH335" s="191"/>
      <c r="AI335" s="189"/>
      <c r="AJ335" s="191"/>
      <c r="AK335" s="189"/>
      <c r="AL335" s="191"/>
      <c r="AN335" s="189"/>
      <c r="AO335" s="190"/>
      <c r="AP335" s="191"/>
      <c r="AR335" s="189"/>
      <c r="AS335" s="190"/>
      <c r="AT335" s="190"/>
      <c r="AU335" s="191"/>
    </row>
    <row r="336" spans="2:48" ht="20.25" customHeight="1" x14ac:dyDescent="0.2">
      <c r="B336" s="1009" t="s">
        <v>516</v>
      </c>
      <c r="C336" s="1009"/>
      <c r="E336" s="189"/>
      <c r="F336" s="191"/>
      <c r="G336" s="189"/>
      <c r="H336" s="191"/>
      <c r="I336" s="189"/>
      <c r="J336" s="191"/>
      <c r="K336" s="189"/>
      <c r="L336" s="191"/>
      <c r="M336" s="189"/>
      <c r="N336" s="191"/>
      <c r="P336" s="189"/>
      <c r="Q336" s="190"/>
      <c r="R336" s="191"/>
      <c r="T336" s="189"/>
      <c r="U336" s="190"/>
      <c r="V336" s="190"/>
      <c r="W336" s="191"/>
      <c r="X336" s="186"/>
      <c r="Z336" s="1009" t="s">
        <v>516</v>
      </c>
      <c r="AA336" s="1009"/>
      <c r="AC336" s="189"/>
      <c r="AD336" s="191"/>
      <c r="AE336" s="189"/>
      <c r="AF336" s="191"/>
      <c r="AG336" s="189"/>
      <c r="AH336" s="191"/>
      <c r="AI336" s="189"/>
      <c r="AJ336" s="191"/>
      <c r="AK336" s="189"/>
      <c r="AL336" s="191"/>
      <c r="AN336" s="189"/>
      <c r="AO336" s="190"/>
      <c r="AP336" s="191"/>
      <c r="AR336" s="189"/>
      <c r="AS336" s="190"/>
      <c r="AT336" s="190"/>
      <c r="AU336" s="191"/>
    </row>
    <row r="337" spans="2:48" ht="20.25" customHeight="1" x14ac:dyDescent="0.2">
      <c r="B337" s="1009" t="s">
        <v>517</v>
      </c>
      <c r="C337" s="1009"/>
      <c r="E337" s="189"/>
      <c r="F337" s="191"/>
      <c r="G337" s="189"/>
      <c r="H337" s="191"/>
      <c r="I337" s="189"/>
      <c r="J337" s="191"/>
      <c r="K337" s="189"/>
      <c r="L337" s="191"/>
      <c r="M337" s="189"/>
      <c r="N337" s="191"/>
      <c r="P337" s="189"/>
      <c r="Q337" s="190"/>
      <c r="R337" s="191"/>
      <c r="T337" s="189"/>
      <c r="U337" s="190"/>
      <c r="V337" s="190"/>
      <c r="W337" s="191"/>
      <c r="X337" s="186"/>
      <c r="Z337" s="1009" t="s">
        <v>517</v>
      </c>
      <c r="AA337" s="1009"/>
      <c r="AC337" s="189"/>
      <c r="AD337" s="191"/>
      <c r="AE337" s="189"/>
      <c r="AF337" s="191"/>
      <c r="AG337" s="189"/>
      <c r="AH337" s="191"/>
      <c r="AI337" s="189"/>
      <c r="AJ337" s="191"/>
      <c r="AK337" s="189"/>
      <c r="AL337" s="191"/>
      <c r="AN337" s="189"/>
      <c r="AO337" s="190"/>
      <c r="AP337" s="191"/>
      <c r="AR337" s="189"/>
      <c r="AS337" s="190"/>
      <c r="AT337" s="190"/>
      <c r="AU337" s="191"/>
    </row>
    <row r="338" spans="2:48" ht="20.25" customHeight="1" x14ac:dyDescent="0.2">
      <c r="B338" s="1009" t="s">
        <v>518</v>
      </c>
      <c r="C338" s="1009"/>
      <c r="E338" s="189"/>
      <c r="F338" s="191"/>
      <c r="G338" s="189"/>
      <c r="H338" s="191"/>
      <c r="I338" s="189"/>
      <c r="J338" s="191"/>
      <c r="K338" s="189"/>
      <c r="L338" s="191"/>
      <c r="M338" s="189"/>
      <c r="N338" s="191"/>
      <c r="P338" s="189"/>
      <c r="Q338" s="190"/>
      <c r="R338" s="191"/>
      <c r="T338" s="189"/>
      <c r="U338" s="190"/>
      <c r="V338" s="190"/>
      <c r="W338" s="191"/>
      <c r="X338" s="186"/>
      <c r="Z338" s="1009" t="s">
        <v>518</v>
      </c>
      <c r="AA338" s="1009"/>
      <c r="AC338" s="189"/>
      <c r="AD338" s="191"/>
      <c r="AE338" s="189"/>
      <c r="AF338" s="191"/>
      <c r="AG338" s="189"/>
      <c r="AH338" s="191"/>
      <c r="AI338" s="189"/>
      <c r="AJ338" s="191"/>
      <c r="AK338" s="189"/>
      <c r="AL338" s="191"/>
      <c r="AN338" s="189"/>
      <c r="AO338" s="190"/>
      <c r="AP338" s="191"/>
      <c r="AR338" s="189"/>
      <c r="AS338" s="190"/>
      <c r="AT338" s="190"/>
      <c r="AU338" s="191"/>
    </row>
    <row r="339" spans="2:48" ht="15.75" thickBot="1" x14ac:dyDescent="0.25">
      <c r="B339" s="187"/>
      <c r="C339" s="187"/>
      <c r="X339" s="186"/>
      <c r="Z339" s="187"/>
      <c r="AA339" s="187"/>
    </row>
    <row r="340" spans="2:48" ht="20.25" customHeight="1" thickBot="1" x14ac:dyDescent="0.25">
      <c r="P340" s="197" t="s">
        <v>519</v>
      </c>
      <c r="Q340" s="197"/>
      <c r="R340" s="197"/>
      <c r="S340" s="197"/>
      <c r="T340" s="192"/>
      <c r="U340" s="193"/>
      <c r="V340" s="193"/>
      <c r="W340" s="194"/>
      <c r="X340" s="186"/>
      <c r="AN340" s="197" t="s">
        <v>519</v>
      </c>
      <c r="AO340" s="197"/>
      <c r="AP340" s="197"/>
      <c r="AQ340" s="197"/>
      <c r="AR340" s="192"/>
      <c r="AS340" s="193"/>
      <c r="AT340" s="193"/>
      <c r="AU340" s="194"/>
    </row>
    <row r="341" spans="2:48" x14ac:dyDescent="0.2">
      <c r="E341" s="196"/>
      <c r="F341" s="196"/>
      <c r="G341" s="196"/>
      <c r="H341" s="196"/>
      <c r="I341" s="196"/>
      <c r="J341" s="196"/>
      <c r="K341" s="196"/>
      <c r="L341" s="196"/>
      <c r="M341" s="196"/>
      <c r="X341" s="186"/>
      <c r="AC341" s="196"/>
      <c r="AD341" s="196"/>
      <c r="AE341" s="196"/>
      <c r="AF341" s="196"/>
      <c r="AG341" s="196"/>
      <c r="AH341" s="196"/>
      <c r="AI341" s="196"/>
      <c r="AJ341" s="196"/>
      <c r="AK341" s="196"/>
    </row>
    <row r="342" spans="2:48" x14ac:dyDescent="0.2">
      <c r="B342" s="1010" t="s">
        <v>521</v>
      </c>
      <c r="C342" s="1010"/>
      <c r="D342" s="1010"/>
      <c r="E342" s="1010"/>
      <c r="F342" s="1010"/>
      <c r="G342" s="1010"/>
      <c r="H342" s="195"/>
      <c r="I342" s="1010" t="s">
        <v>522</v>
      </c>
      <c r="J342" s="1010"/>
      <c r="K342" s="1010"/>
      <c r="L342" s="1010"/>
      <c r="M342" s="1010"/>
      <c r="N342" s="1010"/>
      <c r="O342" s="1010"/>
      <c r="P342" s="1010"/>
      <c r="Q342" s="1010"/>
      <c r="R342" s="1010"/>
      <c r="S342" s="1010"/>
      <c r="T342" s="1010"/>
      <c r="U342" s="1010"/>
      <c r="V342" s="1010"/>
      <c r="W342" s="1010"/>
      <c r="X342" s="198"/>
      <c r="Y342" s="195"/>
      <c r="Z342" s="1010" t="s">
        <v>521</v>
      </c>
      <c r="AA342" s="1010"/>
      <c r="AB342" s="1010"/>
      <c r="AC342" s="1010"/>
      <c r="AD342" s="1010"/>
      <c r="AE342" s="1010"/>
      <c r="AF342" s="195"/>
      <c r="AG342" s="1004" t="s">
        <v>522</v>
      </c>
      <c r="AH342" s="1004"/>
      <c r="AI342" s="1004"/>
      <c r="AJ342" s="1004"/>
      <c r="AK342" s="1004"/>
      <c r="AL342" s="1004"/>
      <c r="AM342" s="1004"/>
      <c r="AN342" s="1004"/>
      <c r="AO342" s="1004"/>
      <c r="AP342" s="1004"/>
      <c r="AQ342" s="1004"/>
      <c r="AR342" s="1004"/>
      <c r="AS342" s="1004"/>
      <c r="AT342" s="1004"/>
      <c r="AU342" s="1004"/>
      <c r="AV342" s="195"/>
    </row>
    <row r="343" spans="2:48" x14ac:dyDescent="0.2">
      <c r="B343" s="1005" t="s">
        <v>520</v>
      </c>
      <c r="C343" s="1006"/>
      <c r="D343" s="1006"/>
      <c r="E343" s="1006"/>
      <c r="F343" s="1006"/>
      <c r="G343" s="1007"/>
      <c r="I343" s="1005" t="s">
        <v>0</v>
      </c>
      <c r="J343" s="1006"/>
      <c r="K343" s="1006"/>
      <c r="L343" s="1006"/>
      <c r="M343" s="1006"/>
      <c r="N343" s="1006"/>
      <c r="O343" s="1006"/>
      <c r="P343" s="1006"/>
      <c r="Q343" s="1006"/>
      <c r="R343" s="1006"/>
      <c r="S343" s="1006"/>
      <c r="T343" s="1006"/>
      <c r="U343" s="1006"/>
      <c r="V343" s="1006"/>
      <c r="W343" s="1007"/>
      <c r="X343" s="186"/>
      <c r="Z343" s="1005" t="s">
        <v>520</v>
      </c>
      <c r="AA343" s="1006"/>
      <c r="AB343" s="1006"/>
      <c r="AC343" s="1006"/>
      <c r="AD343" s="1006"/>
      <c r="AE343" s="1007"/>
      <c r="AG343" s="1005" t="s">
        <v>0</v>
      </c>
      <c r="AH343" s="1006"/>
      <c r="AI343" s="1006"/>
      <c r="AJ343" s="1006"/>
      <c r="AK343" s="1006"/>
      <c r="AL343" s="1006"/>
      <c r="AM343" s="1006"/>
      <c r="AN343" s="1006"/>
      <c r="AO343" s="1006"/>
      <c r="AP343" s="1006"/>
      <c r="AQ343" s="1006"/>
      <c r="AR343" s="1006"/>
      <c r="AS343" s="1006"/>
      <c r="AT343" s="1006"/>
      <c r="AU343" s="1007"/>
    </row>
    <row r="344" spans="2:48" x14ac:dyDescent="0.2">
      <c r="B344" s="199"/>
      <c r="C344" s="200"/>
      <c r="D344" s="200"/>
      <c r="E344" s="200"/>
      <c r="F344" s="200"/>
      <c r="G344" s="201"/>
      <c r="I344" s="199"/>
      <c r="J344" s="200"/>
      <c r="K344" s="200"/>
      <c r="L344" s="200"/>
      <c r="M344" s="200"/>
      <c r="N344" s="200"/>
      <c r="O344" s="200"/>
      <c r="P344" s="200"/>
      <c r="Q344" s="200"/>
      <c r="R344" s="200"/>
      <c r="S344" s="200"/>
      <c r="T344" s="200"/>
      <c r="U344" s="200"/>
      <c r="V344" s="200"/>
      <c r="W344" s="201"/>
      <c r="X344" s="186"/>
      <c r="Z344" s="199"/>
      <c r="AA344" s="200"/>
      <c r="AB344" s="200"/>
      <c r="AC344" s="200"/>
      <c r="AD344" s="200"/>
      <c r="AE344" s="201"/>
      <c r="AG344" s="199"/>
      <c r="AH344" s="200"/>
      <c r="AI344" s="200"/>
      <c r="AJ344" s="200"/>
      <c r="AK344" s="200"/>
      <c r="AL344" s="200"/>
      <c r="AM344" s="200"/>
      <c r="AN344" s="200"/>
      <c r="AO344" s="200"/>
      <c r="AP344" s="200"/>
      <c r="AQ344" s="200"/>
      <c r="AR344" s="200"/>
      <c r="AS344" s="200"/>
      <c r="AT344" s="200"/>
      <c r="AU344" s="201"/>
    </row>
    <row r="345" spans="2:48" x14ac:dyDescent="0.2">
      <c r="X345" s="186"/>
    </row>
    <row r="346" spans="2:48" x14ac:dyDescent="0.2">
      <c r="I346" s="1005" t="s">
        <v>481</v>
      </c>
      <c r="J346" s="1006"/>
      <c r="K346" s="1006"/>
      <c r="L346" s="1006"/>
      <c r="M346" s="1006"/>
      <c r="N346" s="1006"/>
      <c r="O346" s="1006"/>
      <c r="P346" s="1006"/>
      <c r="Q346" s="1007"/>
      <c r="R346" s="1005" t="s">
        <v>520</v>
      </c>
      <c r="S346" s="1006"/>
      <c r="T346" s="1006"/>
      <c r="U346" s="1006"/>
      <c r="V346" s="1006"/>
      <c r="W346" s="1007"/>
      <c r="X346" s="186"/>
      <c r="AG346" s="1005" t="s">
        <v>481</v>
      </c>
      <c r="AH346" s="1006"/>
      <c r="AI346" s="1006"/>
      <c r="AJ346" s="1006"/>
      <c r="AK346" s="1006"/>
      <c r="AL346" s="1006"/>
      <c r="AM346" s="1006"/>
      <c r="AN346" s="1006"/>
      <c r="AO346" s="1007"/>
      <c r="AP346" s="1005" t="s">
        <v>520</v>
      </c>
      <c r="AQ346" s="1006"/>
      <c r="AR346" s="1006"/>
      <c r="AS346" s="1006"/>
      <c r="AT346" s="1006"/>
      <c r="AU346" s="1007"/>
    </row>
    <row r="347" spans="2:48" x14ac:dyDescent="0.2">
      <c r="I347" s="199"/>
      <c r="J347" s="200"/>
      <c r="K347" s="200"/>
      <c r="L347" s="200"/>
      <c r="M347" s="200"/>
      <c r="N347" s="200"/>
      <c r="O347" s="200"/>
      <c r="P347" s="200"/>
      <c r="Q347" s="200"/>
      <c r="R347" s="199"/>
      <c r="S347" s="200"/>
      <c r="T347" s="200"/>
      <c r="U347" s="200"/>
      <c r="V347" s="200"/>
      <c r="W347" s="201"/>
      <c r="X347" s="186"/>
      <c r="AG347" s="199"/>
      <c r="AH347" s="200"/>
      <c r="AI347" s="200"/>
      <c r="AJ347" s="200"/>
      <c r="AK347" s="200"/>
      <c r="AL347" s="200"/>
      <c r="AM347" s="200"/>
      <c r="AN347" s="200"/>
      <c r="AO347" s="200"/>
      <c r="AP347" s="199"/>
      <c r="AQ347" s="200"/>
      <c r="AR347" s="200"/>
      <c r="AS347" s="200"/>
      <c r="AT347" s="200"/>
      <c r="AU347" s="201"/>
    </row>
    <row r="348" spans="2:48" ht="39" customHeight="1" x14ac:dyDescent="0.2">
      <c r="B348" s="392"/>
      <c r="C348" s="392"/>
      <c r="D348" s="392"/>
      <c r="E348" s="392"/>
      <c r="F348" s="392"/>
      <c r="G348" s="392"/>
      <c r="H348" s="392"/>
      <c r="I348" s="392"/>
      <c r="J348" s="392"/>
      <c r="K348" s="392"/>
      <c r="L348" s="392"/>
      <c r="M348" s="392"/>
      <c r="N348" s="392"/>
      <c r="O348" s="392"/>
      <c r="P348" s="392"/>
      <c r="Q348" s="392"/>
      <c r="R348" s="392"/>
      <c r="S348" s="392"/>
      <c r="T348" s="392"/>
      <c r="U348" s="392"/>
      <c r="V348" s="392"/>
      <c r="W348" s="392"/>
      <c r="X348" s="393"/>
      <c r="Y348" s="394"/>
      <c r="Z348" s="392"/>
      <c r="AA348" s="392"/>
      <c r="AB348" s="392"/>
      <c r="AC348" s="392"/>
      <c r="AD348" s="392"/>
      <c r="AE348" s="392"/>
      <c r="AF348" s="392"/>
      <c r="AG348" s="392"/>
      <c r="AH348" s="392"/>
      <c r="AI348" s="392"/>
      <c r="AJ348" s="392"/>
      <c r="AK348" s="392"/>
      <c r="AL348" s="392"/>
      <c r="AM348" s="392"/>
      <c r="AN348" s="392"/>
      <c r="AO348" s="392"/>
      <c r="AP348" s="392"/>
      <c r="AQ348" s="392"/>
      <c r="AR348" s="392"/>
      <c r="AS348" s="392"/>
      <c r="AT348" s="392"/>
      <c r="AU348" s="392"/>
      <c r="AV348" s="392"/>
    </row>
    <row r="349" spans="2:48" ht="39" customHeight="1" x14ac:dyDescent="0.2">
      <c r="B349" s="182"/>
      <c r="C349" s="182"/>
      <c r="D349" s="182"/>
      <c r="E349" s="182"/>
      <c r="F349" s="182"/>
      <c r="G349" s="182"/>
      <c r="H349" s="182"/>
      <c r="I349" s="182"/>
      <c r="J349" s="182"/>
      <c r="K349" s="182"/>
      <c r="L349" s="182"/>
      <c r="M349" s="182"/>
      <c r="N349" s="182"/>
      <c r="O349" s="182"/>
      <c r="P349" s="182"/>
      <c r="Q349" s="182"/>
      <c r="R349" s="182"/>
      <c r="S349" s="182"/>
      <c r="T349" s="182"/>
      <c r="U349" s="182"/>
      <c r="V349" s="182"/>
      <c r="W349" s="182"/>
      <c r="X349" s="183"/>
      <c r="Y349" s="184"/>
      <c r="Z349" s="182"/>
      <c r="AA349" s="182"/>
      <c r="AB349" s="182"/>
      <c r="AC349" s="182"/>
      <c r="AD349" s="182"/>
      <c r="AE349" s="182"/>
      <c r="AF349" s="182"/>
      <c r="AG349" s="182"/>
      <c r="AH349" s="182"/>
      <c r="AI349" s="182"/>
      <c r="AJ349" s="182"/>
      <c r="AK349" s="182"/>
      <c r="AL349" s="182"/>
      <c r="AM349" s="182"/>
      <c r="AN349" s="182"/>
      <c r="AO349" s="182"/>
      <c r="AP349" s="182"/>
      <c r="AQ349" s="182"/>
      <c r="AR349" s="182"/>
      <c r="AS349" s="182"/>
      <c r="AT349" s="182"/>
      <c r="AU349" s="182"/>
      <c r="AV349" s="182"/>
    </row>
    <row r="350" spans="2:48" ht="18" x14ac:dyDescent="0.2">
      <c r="B350" s="182"/>
      <c r="C350" s="182"/>
      <c r="D350" s="182"/>
      <c r="E350" s="182"/>
      <c r="F350" s="182"/>
      <c r="G350" s="182"/>
      <c r="H350" s="992" t="s">
        <v>374</v>
      </c>
      <c r="I350" s="992"/>
      <c r="J350" s="992"/>
      <c r="K350" s="992"/>
      <c r="L350" s="992"/>
      <c r="M350" s="992"/>
      <c r="N350" s="992"/>
      <c r="O350" s="992"/>
      <c r="P350" s="992"/>
      <c r="Q350" s="992"/>
      <c r="R350" s="182"/>
      <c r="S350" s="182"/>
      <c r="T350" s="182"/>
      <c r="U350" s="182"/>
      <c r="V350" s="182"/>
      <c r="W350" s="182"/>
      <c r="X350" s="183"/>
      <c r="Y350" s="182"/>
      <c r="Z350" s="182"/>
      <c r="AA350" s="182"/>
      <c r="AB350" s="182"/>
      <c r="AC350" s="182"/>
      <c r="AD350" s="182"/>
      <c r="AE350" s="992" t="s">
        <v>374</v>
      </c>
      <c r="AF350" s="992"/>
      <c r="AG350" s="992"/>
      <c r="AH350" s="992"/>
      <c r="AI350" s="992"/>
      <c r="AJ350" s="992"/>
      <c r="AK350" s="992"/>
      <c r="AL350" s="992"/>
      <c r="AM350" s="992"/>
      <c r="AN350" s="992"/>
      <c r="AO350" s="182"/>
      <c r="AP350" s="182"/>
      <c r="AQ350" s="182"/>
      <c r="AR350" s="182"/>
      <c r="AS350" s="182"/>
      <c r="AT350" s="182"/>
      <c r="AU350" s="182"/>
      <c r="AV350" s="182"/>
    </row>
    <row r="351" spans="2:48" ht="18" x14ac:dyDescent="0.2">
      <c r="B351" s="182"/>
      <c r="C351" s="182"/>
      <c r="D351" s="182"/>
      <c r="E351" s="182"/>
      <c r="F351" s="182"/>
      <c r="G351" s="182"/>
      <c r="H351" s="1022" t="e">
        <f>VLOOKUP(U360,ID_archer_cible,4,FALSE)</f>
        <v>#N/A</v>
      </c>
      <c r="I351" s="1023"/>
      <c r="J351" s="1023"/>
      <c r="K351" s="1023"/>
      <c r="L351" s="1023"/>
      <c r="M351" s="1023"/>
      <c r="N351" s="1023"/>
      <c r="O351" s="1023"/>
      <c r="P351" s="1023"/>
      <c r="Q351" s="1024"/>
      <c r="R351" s="182"/>
      <c r="S351" s="182"/>
      <c r="T351" s="182"/>
      <c r="U351" s="182"/>
      <c r="V351" s="182"/>
      <c r="W351" s="182"/>
      <c r="X351" s="183"/>
      <c r="Y351" s="182"/>
      <c r="Z351" s="182"/>
      <c r="AA351" s="182"/>
      <c r="AB351" s="182"/>
      <c r="AC351" s="182"/>
      <c r="AD351" s="182"/>
      <c r="AE351" s="1022" t="e">
        <f>VLOOKUP(AS360,ID_archer_cible,4,FALSE)</f>
        <v>#N/A</v>
      </c>
      <c r="AF351" s="1023"/>
      <c r="AG351" s="1023"/>
      <c r="AH351" s="1023"/>
      <c r="AI351" s="1023"/>
      <c r="AJ351" s="1023"/>
      <c r="AK351" s="1023"/>
      <c r="AL351" s="1023"/>
      <c r="AM351" s="1023"/>
      <c r="AN351" s="1024"/>
      <c r="AO351" s="182"/>
      <c r="AP351" s="182"/>
      <c r="AQ351" s="182"/>
      <c r="AR351" s="182"/>
      <c r="AS351" s="182"/>
      <c r="AT351" s="182"/>
      <c r="AU351" s="182"/>
      <c r="AV351" s="182"/>
    </row>
    <row r="352" spans="2:48" x14ac:dyDescent="0.2">
      <c r="X352" s="186"/>
    </row>
    <row r="353" spans="2:48" x14ac:dyDescent="0.2">
      <c r="B353" s="1021" t="s">
        <v>0</v>
      </c>
      <c r="C353" s="1021"/>
      <c r="D353" s="1021"/>
      <c r="E353" s="1021"/>
      <c r="F353" s="1021"/>
      <c r="G353" s="1021"/>
      <c r="H353" s="1021"/>
      <c r="I353" s="1021"/>
      <c r="J353" s="1021"/>
      <c r="K353" s="1021"/>
      <c r="L353" s="1021"/>
      <c r="M353" s="187"/>
      <c r="P353" s="992" t="s">
        <v>375</v>
      </c>
      <c r="Q353" s="992"/>
      <c r="R353" s="992"/>
      <c r="S353" s="992"/>
      <c r="T353" s="992"/>
      <c r="U353" s="992"/>
      <c r="V353" s="992"/>
      <c r="W353" s="992"/>
      <c r="X353" s="188"/>
      <c r="Z353" s="1021" t="s">
        <v>0</v>
      </c>
      <c r="AA353" s="1021"/>
      <c r="AB353" s="1021"/>
      <c r="AC353" s="1021"/>
      <c r="AD353" s="1021"/>
      <c r="AE353" s="1021"/>
      <c r="AF353" s="1021"/>
      <c r="AG353" s="1021"/>
      <c r="AH353" s="1021"/>
      <c r="AI353" s="1021"/>
      <c r="AJ353" s="1021"/>
      <c r="AK353" s="187"/>
      <c r="AN353" s="992" t="s">
        <v>375</v>
      </c>
      <c r="AO353" s="992"/>
      <c r="AP353" s="992"/>
      <c r="AQ353" s="992"/>
      <c r="AR353" s="992"/>
      <c r="AS353" s="992"/>
      <c r="AT353" s="992"/>
      <c r="AU353" s="992"/>
      <c r="AV353" s="187"/>
    </row>
    <row r="354" spans="2:48" x14ac:dyDescent="0.2">
      <c r="B354" s="999" t="e">
        <f>VLOOKUP(U360,ID_archer_cible,2,FALSE)</f>
        <v>#N/A</v>
      </c>
      <c r="C354" s="1000"/>
      <c r="D354" s="1000"/>
      <c r="E354" s="1000"/>
      <c r="F354" s="1000"/>
      <c r="G354" s="1000"/>
      <c r="H354" s="1000"/>
      <c r="I354" s="1000"/>
      <c r="J354" s="1000"/>
      <c r="K354" s="1000"/>
      <c r="L354" s="1000"/>
      <c r="M354" s="1001"/>
      <c r="P354" s="999" t="e">
        <f>VLOOKUP(U360,ID_archer_cible,3,FALSE)</f>
        <v>#N/A</v>
      </c>
      <c r="Q354" s="1000"/>
      <c r="R354" s="1000"/>
      <c r="S354" s="1000"/>
      <c r="T354" s="1000"/>
      <c r="U354" s="1000"/>
      <c r="V354" s="1000"/>
      <c r="W354" s="1001"/>
      <c r="X354" s="186"/>
      <c r="Y354"/>
      <c r="Z354" s="999" t="e">
        <f>VLOOKUP(AS360,ID_archer_cible,2,FALSE)</f>
        <v>#N/A</v>
      </c>
      <c r="AA354" s="1000"/>
      <c r="AB354" s="1000"/>
      <c r="AC354" s="1000"/>
      <c r="AD354" s="1000"/>
      <c r="AE354" s="1000"/>
      <c r="AF354" s="1000"/>
      <c r="AG354" s="1000"/>
      <c r="AH354" s="1000"/>
      <c r="AI354" s="1000"/>
      <c r="AJ354" s="1000"/>
      <c r="AK354" s="1001"/>
      <c r="AN354" s="999" t="e">
        <f>VLOOKUP(AS360,ID_archer_cible,3,FALSE)</f>
        <v>#N/A</v>
      </c>
      <c r="AO354" s="1000"/>
      <c r="AP354" s="1000"/>
      <c r="AQ354" s="1000"/>
      <c r="AR354" s="1000"/>
      <c r="AS354" s="1000"/>
      <c r="AT354" s="1000"/>
      <c r="AU354" s="1001"/>
    </row>
    <row r="355" spans="2:48" x14ac:dyDescent="0.2">
      <c r="X355" s="186"/>
      <c r="Y355"/>
    </row>
    <row r="356" spans="2:48" ht="16.5" thickBot="1" x14ac:dyDescent="0.25">
      <c r="B356" s="1017" t="s">
        <v>1</v>
      </c>
      <c r="C356" s="1017"/>
      <c r="D356" s="1017"/>
      <c r="E356" s="1017"/>
      <c r="F356" s="1017"/>
      <c r="G356" s="1017"/>
      <c r="H356" s="1017"/>
      <c r="I356" s="1017"/>
      <c r="J356" s="1017"/>
      <c r="L356" s="1017" t="s">
        <v>505</v>
      </c>
      <c r="M356" s="1017"/>
      <c r="N356" s="1017"/>
      <c r="O356" s="1017"/>
      <c r="P356" s="1017"/>
      <c r="Q356" s="1017"/>
      <c r="S356" s="992" t="s">
        <v>506</v>
      </c>
      <c r="T356" s="992"/>
      <c r="U356" s="992"/>
      <c r="V356" s="992"/>
      <c r="W356" s="992"/>
      <c r="X356" s="188"/>
      <c r="Y356"/>
      <c r="Z356" s="1017" t="s">
        <v>1</v>
      </c>
      <c r="AA356" s="1017"/>
      <c r="AB356" s="1017"/>
      <c r="AC356" s="1017"/>
      <c r="AD356" s="1017"/>
      <c r="AE356" s="1017"/>
      <c r="AF356" s="1017"/>
      <c r="AG356" s="1017"/>
      <c r="AH356" s="1017"/>
      <c r="AJ356" s="1017" t="s">
        <v>505</v>
      </c>
      <c r="AK356" s="1017"/>
      <c r="AL356" s="1017"/>
      <c r="AM356" s="1017"/>
      <c r="AN356" s="1017"/>
      <c r="AO356" s="1017"/>
      <c r="AQ356" s="992" t="s">
        <v>506</v>
      </c>
      <c r="AR356" s="992"/>
      <c r="AS356" s="992"/>
      <c r="AT356" s="992"/>
      <c r="AU356" s="992"/>
      <c r="AV356" s="187"/>
    </row>
    <row r="357" spans="2:48" ht="16.5" thickBot="1" x14ac:dyDescent="0.25">
      <c r="B357" s="1014" t="e">
        <f>VLOOKUP(U360,ID_archer_cible,5,FALSE)</f>
        <v>#N/A</v>
      </c>
      <c r="C357" s="1015"/>
      <c r="D357" s="1015"/>
      <c r="E357" s="1015"/>
      <c r="F357" s="1015"/>
      <c r="G357" s="1015"/>
      <c r="H357" s="1015"/>
      <c r="I357" s="1015"/>
      <c r="J357" s="1016"/>
      <c r="L357" s="1014" t="e">
        <f>VLOOKUP(U360,ID_archer_cible,6,FALSE)</f>
        <v>#N/A</v>
      </c>
      <c r="M357" s="1015"/>
      <c r="N357" s="1015"/>
      <c r="O357" s="1015"/>
      <c r="P357" s="1015"/>
      <c r="Q357" s="1016"/>
      <c r="S357" s="999" t="e">
        <f>VLOOKUP(U360,ID_archer_cible,8,FALSE)</f>
        <v>#N/A</v>
      </c>
      <c r="T357" s="1000"/>
      <c r="U357" s="1000"/>
      <c r="V357" s="1000"/>
      <c r="W357" s="1001"/>
      <c r="X357" s="186"/>
      <c r="Y357"/>
      <c r="Z357" s="1014" t="e">
        <f>VLOOKUP(AS360,ID_archer_cible,5,FALSE)</f>
        <v>#N/A</v>
      </c>
      <c r="AA357" s="1015"/>
      <c r="AB357" s="1015"/>
      <c r="AC357" s="1015"/>
      <c r="AD357" s="1015"/>
      <c r="AE357" s="1015"/>
      <c r="AF357" s="1015"/>
      <c r="AG357" s="1015"/>
      <c r="AH357" s="1016"/>
      <c r="AJ357" s="1014" t="e">
        <f>VLOOKUP(AS360,ID_archer_cible,6,FALSE)</f>
        <v>#N/A</v>
      </c>
      <c r="AK357" s="1015"/>
      <c r="AL357" s="1015"/>
      <c r="AM357" s="1015"/>
      <c r="AN357" s="1015"/>
      <c r="AO357" s="1016"/>
      <c r="AQ357" s="999" t="e">
        <f>VLOOKUP(AS360,ID_archer_cible,8,FALSE)</f>
        <v>#N/A</v>
      </c>
      <c r="AR357" s="1000"/>
      <c r="AS357" s="1000"/>
      <c r="AT357" s="1000"/>
      <c r="AU357" s="1001"/>
    </row>
    <row r="358" spans="2:48" x14ac:dyDescent="0.2">
      <c r="X358" s="186"/>
      <c r="Y358"/>
    </row>
    <row r="359" spans="2:48" x14ac:dyDescent="0.2">
      <c r="B359" s="992" t="s">
        <v>530</v>
      </c>
      <c r="C359" s="992"/>
      <c r="D359" s="992"/>
      <c r="E359" s="992"/>
      <c r="F359" s="992"/>
      <c r="G359" s="187"/>
      <c r="H359" s="992" t="s">
        <v>504</v>
      </c>
      <c r="I359" s="992"/>
      <c r="J359" s="992"/>
      <c r="K359" s="992"/>
      <c r="M359" s="992" t="s">
        <v>39</v>
      </c>
      <c r="N359" s="992"/>
      <c r="O359" s="992"/>
      <c r="Q359" s="1021"/>
      <c r="R359" s="1021"/>
      <c r="S359" s="1021"/>
      <c r="U359" s="992" t="s">
        <v>507</v>
      </c>
      <c r="V359" s="992"/>
      <c r="W359" s="992"/>
      <c r="X359" s="188"/>
      <c r="Y359"/>
      <c r="Z359" s="992" t="s">
        <v>530</v>
      </c>
      <c r="AA359" s="992"/>
      <c r="AB359" s="992"/>
      <c r="AC359" s="992"/>
      <c r="AD359" s="992"/>
      <c r="AE359" s="187"/>
      <c r="AF359" s="992" t="s">
        <v>504</v>
      </c>
      <c r="AG359" s="992"/>
      <c r="AH359" s="992"/>
      <c r="AI359" s="992"/>
      <c r="AK359" s="992" t="s">
        <v>39</v>
      </c>
      <c r="AL359" s="992"/>
      <c r="AM359" s="992"/>
      <c r="AO359" s="1021"/>
      <c r="AP359" s="1021"/>
      <c r="AQ359" s="1021"/>
      <c r="AS359" s="992" t="s">
        <v>507</v>
      </c>
      <c r="AT359" s="992"/>
      <c r="AU359" s="992"/>
      <c r="AV359" s="187"/>
    </row>
    <row r="360" spans="2:48" ht="15.75" x14ac:dyDescent="0.2">
      <c r="B360" s="1011" t="e">
        <f>VLOOKUP(U360,ID_archer_cible,7,FALSE)</f>
        <v>#N/A</v>
      </c>
      <c r="C360" s="1012"/>
      <c r="D360" s="1012"/>
      <c r="E360" s="1012"/>
      <c r="F360" s="1013"/>
      <c r="H360" s="999" t="e">
        <f>VLOOKUP(U360,ID_archer_cible,9,FALSE)</f>
        <v>#N/A</v>
      </c>
      <c r="I360" s="1000"/>
      <c r="J360" s="1000"/>
      <c r="K360" s="1001"/>
      <c r="M360" s="999" t="e">
        <f>VLOOKUP(U360,ID_archer_cible,10,FALSE)</f>
        <v>#N/A</v>
      </c>
      <c r="N360" s="1000"/>
      <c r="O360" s="1001"/>
      <c r="Q360" s="1021"/>
      <c r="R360" s="1021"/>
      <c r="S360" s="1021"/>
      <c r="T360" s="187"/>
      <c r="U360" s="996" t="str">
        <f>AR318&amp;"C"</f>
        <v>6C</v>
      </c>
      <c r="V360" s="997"/>
      <c r="W360" s="998"/>
      <c r="X360" s="188"/>
      <c r="Y360"/>
      <c r="Z360" s="1011" t="e">
        <f>VLOOKUP(AS360,ID_archer_cible,7,FALSE)</f>
        <v>#N/A</v>
      </c>
      <c r="AA360" s="1012"/>
      <c r="AB360" s="1012"/>
      <c r="AC360" s="1012"/>
      <c r="AD360" s="1013"/>
      <c r="AF360" s="999" t="e">
        <f>VLOOKUP(AS360,ID_archer_cible,9,FALSE)</f>
        <v>#N/A</v>
      </c>
      <c r="AG360" s="1000"/>
      <c r="AH360" s="1000"/>
      <c r="AI360" s="1001"/>
      <c r="AK360" s="999" t="e">
        <f>VLOOKUP(AS360,ID_archer_cible,10,FALSE)</f>
        <v>#N/A</v>
      </c>
      <c r="AL360" s="1000"/>
      <c r="AM360" s="1001"/>
      <c r="AO360" s="1021"/>
      <c r="AP360" s="1021"/>
      <c r="AQ360" s="1021"/>
      <c r="AR360" s="187"/>
      <c r="AS360" s="996" t="str">
        <f>AR318&amp;"D"</f>
        <v>6D</v>
      </c>
      <c r="AT360" s="997"/>
      <c r="AU360" s="998"/>
      <c r="AV360" s="187"/>
    </row>
    <row r="361" spans="2:48" x14ac:dyDescent="0.2">
      <c r="X361" s="186"/>
    </row>
    <row r="362" spans="2:48" x14ac:dyDescent="0.2">
      <c r="B362" s="185" t="s">
        <v>509</v>
      </c>
      <c r="E362" s="992" t="s">
        <v>510</v>
      </c>
      <c r="F362" s="992"/>
      <c r="G362" s="992"/>
      <c r="H362" s="992"/>
      <c r="I362" s="992"/>
      <c r="J362" s="992"/>
      <c r="K362" s="992"/>
      <c r="L362" s="992"/>
      <c r="M362" s="992"/>
      <c r="N362" s="992"/>
      <c r="P362" s="992" t="s">
        <v>511</v>
      </c>
      <c r="Q362" s="992"/>
      <c r="R362" s="992"/>
      <c r="X362" s="186"/>
      <c r="Z362" s="185" t="s">
        <v>509</v>
      </c>
      <c r="AC362" s="992" t="s">
        <v>510</v>
      </c>
      <c r="AD362" s="992"/>
      <c r="AE362" s="992"/>
      <c r="AF362" s="992"/>
      <c r="AG362" s="992"/>
      <c r="AH362" s="992"/>
      <c r="AI362" s="992"/>
      <c r="AJ362" s="992"/>
      <c r="AK362" s="992"/>
      <c r="AL362" s="992"/>
      <c r="AN362" s="992" t="s">
        <v>511</v>
      </c>
      <c r="AO362" s="992"/>
      <c r="AP362" s="992"/>
    </row>
    <row r="363" spans="2:48" ht="20.25" customHeight="1" x14ac:dyDescent="0.2">
      <c r="B363" s="1009" t="s">
        <v>513</v>
      </c>
      <c r="C363" s="1009"/>
      <c r="E363" s="189"/>
      <c r="F363" s="191"/>
      <c r="G363" s="189"/>
      <c r="H363" s="191"/>
      <c r="I363" s="189"/>
      <c r="J363" s="191"/>
      <c r="K363" s="189"/>
      <c r="L363" s="191"/>
      <c r="M363" s="189"/>
      <c r="N363" s="191"/>
      <c r="P363" s="189"/>
      <c r="Q363" s="190"/>
      <c r="R363" s="191"/>
      <c r="T363" s="992" t="s">
        <v>512</v>
      </c>
      <c r="U363" s="992"/>
      <c r="V363" s="992"/>
      <c r="W363" s="992"/>
      <c r="X363" s="188"/>
      <c r="Z363" s="1009" t="s">
        <v>513</v>
      </c>
      <c r="AA363" s="1009"/>
      <c r="AC363" s="189"/>
      <c r="AD363" s="191"/>
      <c r="AE363" s="189"/>
      <c r="AF363" s="191"/>
      <c r="AG363" s="189"/>
      <c r="AH363" s="191"/>
      <c r="AI363" s="189"/>
      <c r="AJ363" s="191"/>
      <c r="AK363" s="189"/>
      <c r="AL363" s="191"/>
      <c r="AN363" s="189"/>
      <c r="AO363" s="190"/>
      <c r="AP363" s="191"/>
      <c r="AR363" s="992" t="s">
        <v>512</v>
      </c>
      <c r="AS363" s="992"/>
      <c r="AT363" s="992"/>
      <c r="AU363" s="992"/>
      <c r="AV363" s="187"/>
    </row>
    <row r="364" spans="2:48" ht="20.25" customHeight="1" x14ac:dyDescent="0.2">
      <c r="B364" s="1009" t="s">
        <v>514</v>
      </c>
      <c r="C364" s="1009"/>
      <c r="E364" s="189"/>
      <c r="F364" s="191"/>
      <c r="G364" s="189"/>
      <c r="H364" s="191"/>
      <c r="I364" s="189"/>
      <c r="J364" s="191"/>
      <c r="K364" s="189"/>
      <c r="L364" s="191"/>
      <c r="M364" s="189"/>
      <c r="N364" s="191"/>
      <c r="P364" s="189"/>
      <c r="Q364" s="190"/>
      <c r="R364" s="191"/>
      <c r="T364" s="189"/>
      <c r="U364" s="190"/>
      <c r="V364" s="190"/>
      <c r="W364" s="191"/>
      <c r="X364" s="186"/>
      <c r="Z364" s="1009" t="s">
        <v>514</v>
      </c>
      <c r="AA364" s="1009"/>
      <c r="AC364" s="189"/>
      <c r="AD364" s="191"/>
      <c r="AE364" s="189"/>
      <c r="AF364" s="191"/>
      <c r="AG364" s="189"/>
      <c r="AH364" s="191"/>
      <c r="AI364" s="189"/>
      <c r="AJ364" s="191"/>
      <c r="AK364" s="189"/>
      <c r="AL364" s="191"/>
      <c r="AN364" s="189"/>
      <c r="AO364" s="190"/>
      <c r="AP364" s="191"/>
      <c r="AR364" s="189"/>
      <c r="AS364" s="190"/>
      <c r="AT364" s="190"/>
      <c r="AU364" s="191"/>
    </row>
    <row r="365" spans="2:48" ht="20.25" customHeight="1" x14ac:dyDescent="0.2">
      <c r="B365" s="1009" t="s">
        <v>515</v>
      </c>
      <c r="C365" s="1009"/>
      <c r="E365" s="189"/>
      <c r="F365" s="191"/>
      <c r="G365" s="189"/>
      <c r="H365" s="191"/>
      <c r="I365" s="189"/>
      <c r="J365" s="191"/>
      <c r="K365" s="189"/>
      <c r="L365" s="191"/>
      <c r="M365" s="189"/>
      <c r="N365" s="191"/>
      <c r="P365" s="189"/>
      <c r="Q365" s="190"/>
      <c r="R365" s="191"/>
      <c r="T365" s="189"/>
      <c r="U365" s="190"/>
      <c r="V365" s="190"/>
      <c r="W365" s="191"/>
      <c r="X365" s="186"/>
      <c r="Z365" s="1009" t="s">
        <v>515</v>
      </c>
      <c r="AA365" s="1009"/>
      <c r="AC365" s="189"/>
      <c r="AD365" s="191"/>
      <c r="AE365" s="189"/>
      <c r="AF365" s="191"/>
      <c r="AG365" s="189"/>
      <c r="AH365" s="191"/>
      <c r="AI365" s="189"/>
      <c r="AJ365" s="191"/>
      <c r="AK365" s="189"/>
      <c r="AL365" s="191"/>
      <c r="AN365" s="189"/>
      <c r="AO365" s="190"/>
      <c r="AP365" s="191"/>
      <c r="AR365" s="189"/>
      <c r="AS365" s="190"/>
      <c r="AT365" s="190"/>
      <c r="AU365" s="191"/>
    </row>
    <row r="366" spans="2:48" ht="20.25" customHeight="1" x14ac:dyDescent="0.2">
      <c r="B366" s="1009" t="s">
        <v>516</v>
      </c>
      <c r="C366" s="1009"/>
      <c r="E366" s="189"/>
      <c r="F366" s="191"/>
      <c r="G366" s="189"/>
      <c r="H366" s="191"/>
      <c r="I366" s="189"/>
      <c r="J366" s="191"/>
      <c r="K366" s="189"/>
      <c r="L366" s="191"/>
      <c r="M366" s="189"/>
      <c r="N366" s="191"/>
      <c r="P366" s="189"/>
      <c r="Q366" s="190"/>
      <c r="R366" s="191"/>
      <c r="T366" s="189"/>
      <c r="U366" s="190"/>
      <c r="V366" s="190"/>
      <c r="W366" s="191"/>
      <c r="X366" s="186"/>
      <c r="Z366" s="1009" t="s">
        <v>516</v>
      </c>
      <c r="AA366" s="1009"/>
      <c r="AC366" s="189"/>
      <c r="AD366" s="191"/>
      <c r="AE366" s="189"/>
      <c r="AF366" s="191"/>
      <c r="AG366" s="189"/>
      <c r="AH366" s="191"/>
      <c r="AI366" s="189"/>
      <c r="AJ366" s="191"/>
      <c r="AK366" s="189"/>
      <c r="AL366" s="191"/>
      <c r="AN366" s="189"/>
      <c r="AO366" s="190"/>
      <c r="AP366" s="191"/>
      <c r="AR366" s="189"/>
      <c r="AS366" s="190"/>
      <c r="AT366" s="190"/>
      <c r="AU366" s="191"/>
    </row>
    <row r="367" spans="2:48" ht="20.25" customHeight="1" x14ac:dyDescent="0.2">
      <c r="B367" s="1009" t="s">
        <v>517</v>
      </c>
      <c r="C367" s="1009"/>
      <c r="E367" s="189"/>
      <c r="F367" s="191"/>
      <c r="G367" s="189"/>
      <c r="H367" s="191"/>
      <c r="I367" s="189"/>
      <c r="J367" s="191"/>
      <c r="K367" s="189"/>
      <c r="L367" s="191"/>
      <c r="M367" s="189"/>
      <c r="N367" s="191"/>
      <c r="P367" s="189"/>
      <c r="Q367" s="190"/>
      <c r="R367" s="191"/>
      <c r="T367" s="189"/>
      <c r="U367" s="190"/>
      <c r="V367" s="190"/>
      <c r="W367" s="191"/>
      <c r="X367" s="186"/>
      <c r="Z367" s="1009" t="s">
        <v>517</v>
      </c>
      <c r="AA367" s="1009"/>
      <c r="AC367" s="189"/>
      <c r="AD367" s="191"/>
      <c r="AE367" s="189"/>
      <c r="AF367" s="191"/>
      <c r="AG367" s="189"/>
      <c r="AH367" s="191"/>
      <c r="AI367" s="189"/>
      <c r="AJ367" s="191"/>
      <c r="AK367" s="189"/>
      <c r="AL367" s="191"/>
      <c r="AN367" s="189"/>
      <c r="AO367" s="190"/>
      <c r="AP367" s="191"/>
      <c r="AR367" s="189"/>
      <c r="AS367" s="190"/>
      <c r="AT367" s="190"/>
      <c r="AU367" s="191"/>
    </row>
    <row r="368" spans="2:48" ht="20.25" customHeight="1" x14ac:dyDescent="0.2">
      <c r="B368" s="1009" t="s">
        <v>518</v>
      </c>
      <c r="C368" s="1009"/>
      <c r="E368" s="189"/>
      <c r="F368" s="191"/>
      <c r="G368" s="189"/>
      <c r="H368" s="191"/>
      <c r="I368" s="189"/>
      <c r="J368" s="191"/>
      <c r="K368" s="189"/>
      <c r="L368" s="191"/>
      <c r="M368" s="189"/>
      <c r="N368" s="191"/>
      <c r="P368" s="189"/>
      <c r="Q368" s="190"/>
      <c r="R368" s="191"/>
      <c r="T368" s="189"/>
      <c r="U368" s="190"/>
      <c r="V368" s="190"/>
      <c r="W368" s="191"/>
      <c r="X368" s="186"/>
      <c r="Z368" s="1009" t="s">
        <v>518</v>
      </c>
      <c r="AA368" s="1009"/>
      <c r="AC368" s="189"/>
      <c r="AD368" s="191"/>
      <c r="AE368" s="189"/>
      <c r="AF368" s="191"/>
      <c r="AG368" s="189"/>
      <c r="AH368" s="191"/>
      <c r="AI368" s="189"/>
      <c r="AJ368" s="191"/>
      <c r="AK368" s="189"/>
      <c r="AL368" s="191"/>
      <c r="AN368" s="189"/>
      <c r="AO368" s="190"/>
      <c r="AP368" s="191"/>
      <c r="AR368" s="189"/>
      <c r="AS368" s="190"/>
      <c r="AT368" s="190"/>
      <c r="AU368" s="191"/>
    </row>
    <row r="369" spans="2:48" ht="15.75" thickBot="1" x14ac:dyDescent="0.25">
      <c r="B369" s="187"/>
      <c r="C369" s="187"/>
      <c r="X369" s="186"/>
      <c r="Z369" s="187"/>
      <c r="AA369" s="187"/>
    </row>
    <row r="370" spans="2:48" ht="20.25" customHeight="1" thickBot="1" x14ac:dyDescent="0.25">
      <c r="P370" s="197" t="s">
        <v>519</v>
      </c>
      <c r="Q370" s="197"/>
      <c r="R370" s="197"/>
      <c r="S370" s="197"/>
      <c r="T370" s="192"/>
      <c r="U370" s="193"/>
      <c r="V370" s="193"/>
      <c r="W370" s="194"/>
      <c r="X370" s="186"/>
      <c r="AN370" s="197" t="s">
        <v>519</v>
      </c>
      <c r="AO370" s="197"/>
      <c r="AP370" s="197"/>
      <c r="AQ370" s="197"/>
      <c r="AR370" s="192"/>
      <c r="AS370" s="193"/>
      <c r="AT370" s="193"/>
      <c r="AU370" s="194"/>
    </row>
    <row r="371" spans="2:48" x14ac:dyDescent="0.2">
      <c r="E371" s="196"/>
      <c r="F371" s="196"/>
      <c r="G371" s="196"/>
      <c r="H371" s="196"/>
      <c r="I371" s="196"/>
      <c r="J371" s="196"/>
      <c r="K371" s="196"/>
      <c r="L371" s="196"/>
      <c r="M371" s="196"/>
      <c r="X371" s="186"/>
      <c r="AC371" s="196"/>
      <c r="AD371" s="196"/>
      <c r="AE371" s="196"/>
      <c r="AF371" s="196"/>
      <c r="AG371" s="196"/>
      <c r="AH371" s="196"/>
      <c r="AI371" s="196"/>
      <c r="AJ371" s="196"/>
      <c r="AK371" s="196"/>
    </row>
    <row r="372" spans="2:48" x14ac:dyDescent="0.2">
      <c r="B372" s="1010" t="s">
        <v>521</v>
      </c>
      <c r="C372" s="1010"/>
      <c r="D372" s="1010"/>
      <c r="E372" s="1010"/>
      <c r="F372" s="1010"/>
      <c r="G372" s="1010"/>
      <c r="H372" s="195"/>
      <c r="I372" s="1004" t="s">
        <v>522</v>
      </c>
      <c r="J372" s="1004"/>
      <c r="K372" s="1004"/>
      <c r="L372" s="1004"/>
      <c r="M372" s="1004"/>
      <c r="N372" s="1004"/>
      <c r="O372" s="1004"/>
      <c r="P372" s="1004"/>
      <c r="Q372" s="1004"/>
      <c r="R372" s="1004"/>
      <c r="S372" s="1004"/>
      <c r="T372" s="1004"/>
      <c r="U372" s="1004"/>
      <c r="V372" s="1004"/>
      <c r="W372" s="1004"/>
      <c r="X372" s="198"/>
      <c r="Y372" s="195"/>
      <c r="Z372" s="1010" t="s">
        <v>521</v>
      </c>
      <c r="AA372" s="1010"/>
      <c r="AB372" s="1010"/>
      <c r="AC372" s="1010"/>
      <c r="AD372" s="1010"/>
      <c r="AE372" s="1010"/>
      <c r="AF372" s="195"/>
      <c r="AG372" s="1004" t="s">
        <v>522</v>
      </c>
      <c r="AH372" s="1004"/>
      <c r="AI372" s="1004"/>
      <c r="AJ372" s="1004"/>
      <c r="AK372" s="1004"/>
      <c r="AL372" s="1004"/>
      <c r="AM372" s="1004"/>
      <c r="AN372" s="1004"/>
      <c r="AO372" s="1004"/>
      <c r="AP372" s="1004"/>
      <c r="AQ372" s="1004"/>
      <c r="AR372" s="1004"/>
      <c r="AS372" s="1004"/>
      <c r="AT372" s="1004"/>
      <c r="AU372" s="1004"/>
      <c r="AV372" s="195"/>
    </row>
    <row r="373" spans="2:48" x14ac:dyDescent="0.2">
      <c r="B373" s="1005" t="s">
        <v>520</v>
      </c>
      <c r="C373" s="1006"/>
      <c r="D373" s="1006"/>
      <c r="E373" s="1006"/>
      <c r="F373" s="1006"/>
      <c r="G373" s="1007"/>
      <c r="I373" s="1005" t="s">
        <v>0</v>
      </c>
      <c r="J373" s="1006"/>
      <c r="K373" s="1006"/>
      <c r="L373" s="1006"/>
      <c r="M373" s="1006"/>
      <c r="N373" s="1006"/>
      <c r="O373" s="1006"/>
      <c r="P373" s="1006"/>
      <c r="Q373" s="1006"/>
      <c r="R373" s="1006"/>
      <c r="S373" s="1006"/>
      <c r="T373" s="1006"/>
      <c r="U373" s="1006"/>
      <c r="V373" s="1006"/>
      <c r="W373" s="1007"/>
      <c r="X373" s="186"/>
      <c r="Z373" s="1005" t="s">
        <v>520</v>
      </c>
      <c r="AA373" s="1006"/>
      <c r="AB373" s="1006"/>
      <c r="AC373" s="1006"/>
      <c r="AD373" s="1006"/>
      <c r="AE373" s="1007"/>
      <c r="AG373" s="1005" t="s">
        <v>0</v>
      </c>
      <c r="AH373" s="1006"/>
      <c r="AI373" s="1006"/>
      <c r="AJ373" s="1006"/>
      <c r="AK373" s="1006"/>
      <c r="AL373" s="1006"/>
      <c r="AM373" s="1006"/>
      <c r="AN373" s="1006"/>
      <c r="AO373" s="1006"/>
      <c r="AP373" s="1006"/>
      <c r="AQ373" s="1006"/>
      <c r="AR373" s="1006"/>
      <c r="AS373" s="1006"/>
      <c r="AT373" s="1006"/>
      <c r="AU373" s="1007"/>
    </row>
    <row r="374" spans="2:48" x14ac:dyDescent="0.2">
      <c r="B374" s="199"/>
      <c r="C374" s="200"/>
      <c r="D374" s="200"/>
      <c r="E374" s="200"/>
      <c r="F374" s="200"/>
      <c r="G374" s="201"/>
      <c r="I374" s="199"/>
      <c r="J374" s="200"/>
      <c r="K374" s="200"/>
      <c r="L374" s="200"/>
      <c r="M374" s="200"/>
      <c r="N374" s="200"/>
      <c r="O374" s="200"/>
      <c r="P374" s="200"/>
      <c r="Q374" s="200"/>
      <c r="R374" s="200"/>
      <c r="S374" s="200"/>
      <c r="T374" s="200"/>
      <c r="U374" s="200"/>
      <c r="V374" s="200"/>
      <c r="W374" s="201"/>
      <c r="X374" s="186"/>
      <c r="Z374" s="199"/>
      <c r="AA374" s="200"/>
      <c r="AB374" s="200"/>
      <c r="AC374" s="200"/>
      <c r="AD374" s="200"/>
      <c r="AE374" s="201"/>
      <c r="AG374" s="199"/>
      <c r="AH374" s="200"/>
      <c r="AI374" s="200"/>
      <c r="AJ374" s="200"/>
      <c r="AK374" s="200"/>
      <c r="AL374" s="200"/>
      <c r="AM374" s="200"/>
      <c r="AN374" s="200"/>
      <c r="AO374" s="200"/>
      <c r="AP374" s="200"/>
      <c r="AQ374" s="200"/>
      <c r="AR374" s="200"/>
      <c r="AS374" s="200"/>
      <c r="AT374" s="200"/>
      <c r="AU374" s="201"/>
    </row>
    <row r="375" spans="2:48" x14ac:dyDescent="0.2">
      <c r="X375" s="186"/>
    </row>
    <row r="376" spans="2:48" x14ac:dyDescent="0.2">
      <c r="I376" s="1005" t="s">
        <v>481</v>
      </c>
      <c r="J376" s="1006"/>
      <c r="K376" s="1006"/>
      <c r="L376" s="1006"/>
      <c r="M376" s="1006"/>
      <c r="N376" s="1006"/>
      <c r="O376" s="1006"/>
      <c r="P376" s="1006"/>
      <c r="Q376" s="1007"/>
      <c r="R376" s="1005" t="s">
        <v>520</v>
      </c>
      <c r="S376" s="1006"/>
      <c r="T376" s="1006"/>
      <c r="U376" s="1006"/>
      <c r="V376" s="1006"/>
      <c r="W376" s="1007"/>
      <c r="X376" s="186"/>
      <c r="AG376" s="1005" t="s">
        <v>481</v>
      </c>
      <c r="AH376" s="1006"/>
      <c r="AI376" s="1006"/>
      <c r="AJ376" s="1006"/>
      <c r="AK376" s="1006"/>
      <c r="AL376" s="1006"/>
      <c r="AM376" s="1006"/>
      <c r="AN376" s="1006"/>
      <c r="AO376" s="1007"/>
      <c r="AP376" s="1005" t="s">
        <v>520</v>
      </c>
      <c r="AQ376" s="1006"/>
      <c r="AR376" s="1006"/>
      <c r="AS376" s="1006"/>
      <c r="AT376" s="1006"/>
      <c r="AU376" s="1007"/>
    </row>
    <row r="377" spans="2:48" x14ac:dyDescent="0.2">
      <c r="I377" s="199"/>
      <c r="J377" s="200"/>
      <c r="K377" s="200"/>
      <c r="L377" s="200"/>
      <c r="M377" s="200"/>
      <c r="N377" s="200"/>
      <c r="O377" s="200"/>
      <c r="P377" s="200"/>
      <c r="Q377" s="200"/>
      <c r="R377" s="199"/>
      <c r="S377" s="200"/>
      <c r="T377" s="200"/>
      <c r="U377" s="200"/>
      <c r="V377" s="200"/>
      <c r="W377" s="201"/>
      <c r="X377" s="186"/>
      <c r="AG377" s="199"/>
      <c r="AH377" s="200"/>
      <c r="AI377" s="200"/>
      <c r="AJ377" s="200"/>
      <c r="AK377" s="200"/>
      <c r="AL377" s="200"/>
      <c r="AM377" s="200"/>
      <c r="AN377" s="200"/>
      <c r="AO377" s="200"/>
      <c r="AP377" s="199"/>
      <c r="AQ377" s="200"/>
      <c r="AR377" s="200"/>
      <c r="AS377" s="200"/>
      <c r="AT377" s="200"/>
      <c r="AU377" s="201"/>
    </row>
    <row r="379" spans="2:48" ht="57.75" customHeight="1" x14ac:dyDescent="0.2">
      <c r="B379" s="1058" t="str">
        <f>Championnat</f>
        <v>Championnat de France de Tir à l'ARC</v>
      </c>
      <c r="C379" s="1058"/>
      <c r="D379" s="1058"/>
      <c r="E379" s="1058"/>
      <c r="F379" s="1058"/>
      <c r="G379" s="1058"/>
      <c r="H379" s="1058"/>
      <c r="I379" s="1058"/>
      <c r="J379" s="1058"/>
      <c r="K379" s="1058"/>
      <c r="L379" s="1058"/>
      <c r="M379" s="1058"/>
      <c r="N379" s="1058"/>
      <c r="O379" s="1058"/>
      <c r="P379" s="1058"/>
      <c r="Q379" s="1058"/>
      <c r="R379" s="1058"/>
      <c r="S379" s="1058"/>
      <c r="T379" s="1058"/>
      <c r="U379" s="1058"/>
      <c r="V379" s="1058"/>
      <c r="W379" s="1058"/>
      <c r="X379" s="1058"/>
      <c r="Y379" s="1058"/>
      <c r="Z379" s="1058"/>
      <c r="AA379" s="1058"/>
      <c r="AB379" s="1058"/>
      <c r="AC379" s="1058"/>
      <c r="AD379" s="1058"/>
      <c r="AE379" s="1058"/>
      <c r="AF379" s="1058"/>
      <c r="AG379" s="1058"/>
      <c r="AH379" s="1058"/>
      <c r="AI379" s="1058"/>
      <c r="AJ379" s="1058"/>
      <c r="AK379" s="1058"/>
      <c r="AL379" s="1058"/>
      <c r="AM379" s="1058"/>
      <c r="AN379" s="1058"/>
      <c r="AO379" s="1058"/>
      <c r="AP379" s="1058"/>
    </row>
    <row r="380" spans="2:48" ht="45" customHeight="1" thickBot="1" x14ac:dyDescent="0.25">
      <c r="B380" s="1018" t="str">
        <f>LIEU&amp;" - "&amp;DATE&amp;" - "&amp;CATEG</f>
        <v>L’Isle sur la Sorgue - 27 au 31 mars 2023 - Collèges Mixtes Etablissement</v>
      </c>
      <c r="C380" s="1018"/>
      <c r="D380" s="1018"/>
      <c r="E380" s="1018"/>
      <c r="F380" s="1018"/>
      <c r="G380" s="1018"/>
      <c r="H380" s="1018"/>
      <c r="I380" s="1018"/>
      <c r="J380" s="1018"/>
      <c r="K380" s="1018"/>
      <c r="L380" s="1018"/>
      <c r="M380" s="1018"/>
      <c r="N380" s="1018"/>
      <c r="O380" s="1018"/>
      <c r="P380" s="1018"/>
      <c r="Q380" s="1018"/>
      <c r="R380" s="1018"/>
      <c r="S380" s="1018"/>
      <c r="T380" s="1018"/>
      <c r="U380" s="1018"/>
      <c r="V380" s="1018"/>
      <c r="W380" s="1018"/>
      <c r="X380" s="1018"/>
      <c r="Y380" s="1018"/>
      <c r="Z380" s="1018"/>
      <c r="AA380" s="1018"/>
      <c r="AB380" s="1018"/>
      <c r="AC380" s="1018"/>
      <c r="AD380" s="1018"/>
      <c r="AE380" s="1018"/>
      <c r="AF380" s="1018"/>
      <c r="AG380" s="1018"/>
      <c r="AH380" s="1018"/>
      <c r="AI380" s="1018"/>
      <c r="AJ380" s="1018"/>
      <c r="AK380" s="1018"/>
      <c r="AL380" s="1018"/>
      <c r="AM380" s="1018"/>
      <c r="AN380" s="1018"/>
      <c r="AO380" s="1018"/>
      <c r="AP380" s="1018"/>
      <c r="AQ380" s="182"/>
      <c r="AR380" s="182"/>
      <c r="AS380" s="182"/>
      <c r="AT380" s="182"/>
      <c r="AU380" s="182"/>
      <c r="AV380" s="182"/>
    </row>
    <row r="381" spans="2:48" ht="26.25" customHeight="1" x14ac:dyDescent="0.2">
      <c r="B381" s="1059" t="str">
        <f>CATEG_IMPORTEE</f>
        <v>Collèges Mixtes Etablissement</v>
      </c>
      <c r="C381" s="1059"/>
      <c r="D381" s="1059"/>
      <c r="E381" s="1059"/>
      <c r="F381" s="1059"/>
      <c r="G381" s="1059"/>
      <c r="H381" s="1059"/>
      <c r="I381" s="1059"/>
      <c r="J381" s="1059"/>
      <c r="K381" s="1059"/>
      <c r="L381" s="1059"/>
      <c r="M381" s="1059"/>
      <c r="N381" s="1059"/>
      <c r="O381" s="1059"/>
      <c r="P381" s="1059"/>
      <c r="Q381" s="1059"/>
      <c r="R381" s="1059"/>
      <c r="S381" s="1059"/>
      <c r="T381" s="1059"/>
      <c r="U381" s="1059"/>
      <c r="V381" s="1059"/>
      <c r="W381" s="1059"/>
      <c r="X381" s="1059"/>
      <c r="Y381" s="1059"/>
      <c r="Z381" s="1059"/>
      <c r="AA381" s="1059"/>
      <c r="AB381" s="1059"/>
      <c r="AC381" s="1059"/>
      <c r="AD381" s="1059"/>
      <c r="AE381" s="1059"/>
      <c r="AF381" s="1059"/>
      <c r="AG381" s="1059"/>
      <c r="AH381" s="1059"/>
      <c r="AI381" s="1059"/>
      <c r="AJ381" s="1059"/>
      <c r="AK381" s="1059"/>
      <c r="AL381" s="1059"/>
      <c r="AM381" s="1059"/>
      <c r="AN381" s="1059"/>
      <c r="AO381" s="1059"/>
      <c r="AP381" s="1059"/>
      <c r="AQ381" s="182"/>
      <c r="AR381" s="1060">
        <f>AR318+1</f>
        <v>7</v>
      </c>
      <c r="AS381" s="1061"/>
      <c r="AT381" s="1062"/>
      <c r="AU381" s="182"/>
      <c r="AV381" s="182"/>
    </row>
    <row r="382" spans="2:48" ht="18" customHeight="1" x14ac:dyDescent="0.2">
      <c r="B382" s="182"/>
      <c r="C382" s="182"/>
      <c r="D382" s="182"/>
      <c r="E382" s="182"/>
      <c r="F382" s="182"/>
      <c r="G382" s="182"/>
      <c r="H382" s="182"/>
      <c r="I382" s="182"/>
      <c r="J382" s="182"/>
      <c r="K382" s="182"/>
      <c r="L382" s="182"/>
      <c r="M382" s="182"/>
      <c r="N382" s="182"/>
      <c r="O382" s="182"/>
      <c r="P382" s="182"/>
      <c r="Q382" s="182"/>
      <c r="R382" s="182"/>
      <c r="S382" s="182"/>
      <c r="T382" s="182"/>
      <c r="U382" s="182"/>
      <c r="V382" s="182"/>
      <c r="W382" s="182"/>
      <c r="X382" s="183"/>
      <c r="Y382" s="184"/>
      <c r="Z382" s="182"/>
      <c r="AA382" s="182"/>
      <c r="AB382" s="182"/>
      <c r="AC382" s="182"/>
      <c r="AD382" s="182"/>
      <c r="AE382" s="182"/>
      <c r="AF382" s="182"/>
      <c r="AG382" s="182"/>
      <c r="AH382" s="182"/>
      <c r="AI382" s="182"/>
      <c r="AJ382" s="182"/>
      <c r="AK382" s="182"/>
      <c r="AL382" s="182"/>
      <c r="AM382" s="182"/>
      <c r="AN382" s="182"/>
      <c r="AO382" s="182"/>
      <c r="AP382" s="182"/>
      <c r="AQ382" s="182"/>
      <c r="AR382" s="1063"/>
      <c r="AS382" s="1064"/>
      <c r="AT382" s="1065"/>
      <c r="AU382" s="182"/>
      <c r="AV382" s="182"/>
    </row>
    <row r="383" spans="2:48" ht="18.75" customHeight="1" thickBot="1" x14ac:dyDescent="0.25">
      <c r="B383" s="182"/>
      <c r="C383" s="182"/>
      <c r="D383" s="182"/>
      <c r="E383" s="182"/>
      <c r="F383" s="182"/>
      <c r="G383" s="182"/>
      <c r="H383" s="992" t="s">
        <v>374</v>
      </c>
      <c r="I383" s="992"/>
      <c r="J383" s="992"/>
      <c r="K383" s="992"/>
      <c r="L383" s="992"/>
      <c r="M383" s="992"/>
      <c r="N383" s="992"/>
      <c r="O383" s="992"/>
      <c r="P383" s="992"/>
      <c r="Q383" s="992"/>
      <c r="R383" s="182"/>
      <c r="S383" s="182"/>
      <c r="T383" s="182"/>
      <c r="U383" s="182"/>
      <c r="V383" s="182"/>
      <c r="W383" s="182"/>
      <c r="X383" s="183"/>
      <c r="Y383" s="182"/>
      <c r="Z383" s="182"/>
      <c r="AA383" s="182"/>
      <c r="AB383" s="182"/>
      <c r="AC383" s="182"/>
      <c r="AD383" s="182"/>
      <c r="AE383" s="992" t="s">
        <v>374</v>
      </c>
      <c r="AF383" s="992"/>
      <c r="AG383" s="992"/>
      <c r="AH383" s="992"/>
      <c r="AI383" s="992"/>
      <c r="AJ383" s="992"/>
      <c r="AK383" s="992"/>
      <c r="AL383" s="992"/>
      <c r="AM383" s="992"/>
      <c r="AN383" s="992"/>
      <c r="AO383" s="182"/>
      <c r="AP383" s="182"/>
      <c r="AQ383" s="182"/>
      <c r="AR383" s="1066"/>
      <c r="AS383" s="1067"/>
      <c r="AT383" s="1068"/>
      <c r="AU383" s="182"/>
      <c r="AV383" s="182"/>
    </row>
    <row r="384" spans="2:48" ht="18" x14ac:dyDescent="0.2">
      <c r="B384" s="182"/>
      <c r="C384" s="182"/>
      <c r="D384" s="182"/>
      <c r="E384" s="182"/>
      <c r="F384" s="182"/>
      <c r="G384" s="182"/>
      <c r="H384" s="1022" t="e">
        <f>VLOOKUP(U393,ID_archer_cible,4,FALSE)</f>
        <v>#N/A</v>
      </c>
      <c r="I384" s="1023"/>
      <c r="J384" s="1023"/>
      <c r="K384" s="1023"/>
      <c r="L384" s="1023"/>
      <c r="M384" s="1023"/>
      <c r="N384" s="1023"/>
      <c r="O384" s="1023"/>
      <c r="P384" s="1023"/>
      <c r="Q384" s="1024"/>
      <c r="R384" s="182"/>
      <c r="S384" s="182"/>
      <c r="T384" s="182"/>
      <c r="U384" s="182"/>
      <c r="V384" s="182"/>
      <c r="W384" s="182"/>
      <c r="X384" s="183"/>
      <c r="Y384" s="182"/>
      <c r="Z384" s="182"/>
      <c r="AA384" s="182"/>
      <c r="AB384" s="182"/>
      <c r="AC384" s="182"/>
      <c r="AD384" s="182"/>
      <c r="AE384" s="1022" t="e">
        <f>VLOOKUP(AS393,ID_archer_cible,4,FALSE)</f>
        <v>#N/A</v>
      </c>
      <c r="AF384" s="1023"/>
      <c r="AG384" s="1023"/>
      <c r="AH384" s="1023"/>
      <c r="AI384" s="1023"/>
      <c r="AJ384" s="1023"/>
      <c r="AK384" s="1023"/>
      <c r="AL384" s="1023"/>
      <c r="AM384" s="1023"/>
      <c r="AN384" s="1024"/>
      <c r="AO384" s="182"/>
      <c r="AP384" s="182"/>
      <c r="AQ384" s="182"/>
      <c r="AR384" s="182"/>
      <c r="AS384" s="182"/>
      <c r="AT384" s="182"/>
      <c r="AU384" s="182"/>
      <c r="AV384" s="182"/>
    </row>
    <row r="385" spans="2:48" x14ac:dyDescent="0.2">
      <c r="X385" s="186"/>
    </row>
    <row r="386" spans="2:48" x14ac:dyDescent="0.2">
      <c r="B386" s="1021" t="s">
        <v>0</v>
      </c>
      <c r="C386" s="1021"/>
      <c r="D386" s="1021"/>
      <c r="E386" s="1021"/>
      <c r="F386" s="1021"/>
      <c r="G386" s="1021"/>
      <c r="H386" s="1021"/>
      <c r="I386" s="1021"/>
      <c r="J386" s="1021"/>
      <c r="K386" s="1021"/>
      <c r="L386" s="1021"/>
      <c r="M386" s="187"/>
      <c r="P386" s="992" t="s">
        <v>375</v>
      </c>
      <c r="Q386" s="992"/>
      <c r="R386" s="992"/>
      <c r="S386" s="992"/>
      <c r="T386" s="992"/>
      <c r="U386" s="992"/>
      <c r="V386" s="992"/>
      <c r="W386" s="992"/>
      <c r="X386" s="188"/>
      <c r="Z386" s="1021" t="s">
        <v>0</v>
      </c>
      <c r="AA386" s="1021"/>
      <c r="AB386" s="1021"/>
      <c r="AC386" s="1021"/>
      <c r="AD386" s="1021"/>
      <c r="AE386" s="1021"/>
      <c r="AF386" s="1021"/>
      <c r="AG386" s="1021"/>
      <c r="AH386" s="1021"/>
      <c r="AI386" s="1021"/>
      <c r="AJ386" s="1021"/>
      <c r="AK386" s="187"/>
      <c r="AN386" s="992" t="s">
        <v>375</v>
      </c>
      <c r="AO386" s="992"/>
      <c r="AP386" s="992"/>
      <c r="AQ386" s="992"/>
      <c r="AR386" s="992"/>
      <c r="AS386" s="992"/>
      <c r="AT386" s="992"/>
      <c r="AU386" s="992"/>
      <c r="AV386" s="187"/>
    </row>
    <row r="387" spans="2:48" x14ac:dyDescent="0.2">
      <c r="B387" s="999" t="e">
        <f>VLOOKUP(U393,ID_archer_cible,2,FALSE)</f>
        <v>#N/A</v>
      </c>
      <c r="C387" s="1000"/>
      <c r="D387" s="1000"/>
      <c r="E387" s="1000"/>
      <c r="F387" s="1000"/>
      <c r="G387" s="1000"/>
      <c r="H387" s="1000"/>
      <c r="I387" s="1000"/>
      <c r="J387" s="1000"/>
      <c r="K387" s="1000"/>
      <c r="L387" s="1000"/>
      <c r="M387" s="1001"/>
      <c r="P387" s="999" t="e">
        <f>VLOOKUP(U393,ID_archer_cible,3,FALSE)</f>
        <v>#N/A</v>
      </c>
      <c r="Q387" s="1000"/>
      <c r="R387" s="1000"/>
      <c r="S387" s="1000"/>
      <c r="T387" s="1000"/>
      <c r="U387" s="1000"/>
      <c r="V387" s="1000"/>
      <c r="W387" s="1001"/>
      <c r="X387" s="186"/>
      <c r="Y387"/>
      <c r="Z387" s="999" t="e">
        <f>VLOOKUP(AS393,ID_archer_cible,2,FALSE)</f>
        <v>#N/A</v>
      </c>
      <c r="AA387" s="1000"/>
      <c r="AB387" s="1000"/>
      <c r="AC387" s="1000"/>
      <c r="AD387" s="1000"/>
      <c r="AE387" s="1000"/>
      <c r="AF387" s="1000"/>
      <c r="AG387" s="1000"/>
      <c r="AH387" s="1000"/>
      <c r="AI387" s="1000"/>
      <c r="AJ387" s="1000"/>
      <c r="AK387" s="1001"/>
      <c r="AN387" s="999" t="e">
        <f>VLOOKUP(AS393,ID_archer_cible,3,FALSE)</f>
        <v>#N/A</v>
      </c>
      <c r="AO387" s="1000"/>
      <c r="AP387" s="1000"/>
      <c r="AQ387" s="1000"/>
      <c r="AR387" s="1000"/>
      <c r="AS387" s="1000"/>
      <c r="AT387" s="1000"/>
      <c r="AU387" s="1001"/>
    </row>
    <row r="388" spans="2:48" x14ac:dyDescent="0.2">
      <c r="X388" s="186"/>
      <c r="Y388"/>
    </row>
    <row r="389" spans="2:48" ht="16.5" thickBot="1" x14ac:dyDescent="0.25">
      <c r="B389" s="1017" t="s">
        <v>1</v>
      </c>
      <c r="C389" s="1017"/>
      <c r="D389" s="1017"/>
      <c r="E389" s="1017"/>
      <c r="F389" s="1017"/>
      <c r="G389" s="1017"/>
      <c r="H389" s="1017"/>
      <c r="I389" s="1017"/>
      <c r="J389" s="1017"/>
      <c r="L389" s="1017" t="s">
        <v>505</v>
      </c>
      <c r="M389" s="1017"/>
      <c r="N389" s="1017"/>
      <c r="O389" s="1017"/>
      <c r="P389" s="1017"/>
      <c r="Q389" s="1017"/>
      <c r="S389" s="992" t="s">
        <v>506</v>
      </c>
      <c r="T389" s="992"/>
      <c r="U389" s="992"/>
      <c r="V389" s="992"/>
      <c r="W389" s="992"/>
      <c r="X389" s="188"/>
      <c r="Y389"/>
      <c r="Z389" s="1017" t="s">
        <v>1</v>
      </c>
      <c r="AA389" s="1017"/>
      <c r="AB389" s="1017"/>
      <c r="AC389" s="1017"/>
      <c r="AD389" s="1017"/>
      <c r="AE389" s="1017"/>
      <c r="AF389" s="1017"/>
      <c r="AG389" s="1017"/>
      <c r="AH389" s="1017"/>
      <c r="AJ389" s="1017" t="s">
        <v>505</v>
      </c>
      <c r="AK389" s="1017"/>
      <c r="AL389" s="1017"/>
      <c r="AM389" s="1017"/>
      <c r="AN389" s="1017"/>
      <c r="AO389" s="1017"/>
      <c r="AQ389" s="992" t="s">
        <v>506</v>
      </c>
      <c r="AR389" s="992"/>
      <c r="AS389" s="992"/>
      <c r="AT389" s="992"/>
      <c r="AU389" s="992"/>
      <c r="AV389" s="187"/>
    </row>
    <row r="390" spans="2:48" ht="16.5" thickBot="1" x14ac:dyDescent="0.25">
      <c r="B390" s="1014" t="e">
        <f>VLOOKUP(U393,ID_archer_cible,5,FALSE)</f>
        <v>#N/A</v>
      </c>
      <c r="C390" s="1015"/>
      <c r="D390" s="1015"/>
      <c r="E390" s="1015"/>
      <c r="F390" s="1015"/>
      <c r="G390" s="1015"/>
      <c r="H390" s="1015"/>
      <c r="I390" s="1015"/>
      <c r="J390" s="1016"/>
      <c r="L390" s="1014" t="e">
        <f>VLOOKUP(U393,ID_archer_cible,6,FALSE)</f>
        <v>#N/A</v>
      </c>
      <c r="M390" s="1015"/>
      <c r="N390" s="1015"/>
      <c r="O390" s="1015"/>
      <c r="P390" s="1015"/>
      <c r="Q390" s="1016"/>
      <c r="S390" s="999" t="e">
        <f>VLOOKUP(U393,ID_archer_cible,8,FALSE)</f>
        <v>#N/A</v>
      </c>
      <c r="T390" s="1000"/>
      <c r="U390" s="1000"/>
      <c r="V390" s="1000"/>
      <c r="W390" s="1001"/>
      <c r="X390" s="186"/>
      <c r="Y390"/>
      <c r="Z390" s="1014" t="e">
        <f>VLOOKUP(AS393,ID_archer_cible,5,FALSE)</f>
        <v>#N/A</v>
      </c>
      <c r="AA390" s="1015"/>
      <c r="AB390" s="1015"/>
      <c r="AC390" s="1015"/>
      <c r="AD390" s="1015"/>
      <c r="AE390" s="1015"/>
      <c r="AF390" s="1015"/>
      <c r="AG390" s="1015"/>
      <c r="AH390" s="1016"/>
      <c r="AJ390" s="1014" t="e">
        <f>VLOOKUP(AS393,ID_archer_cible,6,FALSE)</f>
        <v>#N/A</v>
      </c>
      <c r="AK390" s="1015"/>
      <c r="AL390" s="1015"/>
      <c r="AM390" s="1015"/>
      <c r="AN390" s="1015"/>
      <c r="AO390" s="1016"/>
      <c r="AQ390" s="999" t="e">
        <f>VLOOKUP(AS393,ID_archer_cible,8,FALSE)</f>
        <v>#N/A</v>
      </c>
      <c r="AR390" s="1000"/>
      <c r="AS390" s="1000"/>
      <c r="AT390" s="1000"/>
      <c r="AU390" s="1001"/>
    </row>
    <row r="391" spans="2:48" x14ac:dyDescent="0.2">
      <c r="X391" s="186"/>
      <c r="Y391"/>
    </row>
    <row r="392" spans="2:48" x14ac:dyDescent="0.2">
      <c r="B392" s="992" t="s">
        <v>530</v>
      </c>
      <c r="C392" s="992"/>
      <c r="D392" s="992"/>
      <c r="E392" s="992"/>
      <c r="F392" s="992"/>
      <c r="G392" s="187"/>
      <c r="H392" s="992" t="s">
        <v>504</v>
      </c>
      <c r="I392" s="992"/>
      <c r="J392" s="992"/>
      <c r="K392" s="992"/>
      <c r="M392" s="992" t="s">
        <v>39</v>
      </c>
      <c r="N392" s="992"/>
      <c r="O392" s="992"/>
      <c r="Q392" s="1021"/>
      <c r="R392" s="1021"/>
      <c r="S392" s="1021"/>
      <c r="U392" s="992" t="s">
        <v>507</v>
      </c>
      <c r="V392" s="992"/>
      <c r="W392" s="992"/>
      <c r="X392" s="188"/>
      <c r="Y392"/>
      <c r="Z392" s="992" t="s">
        <v>530</v>
      </c>
      <c r="AA392" s="992"/>
      <c r="AB392" s="992"/>
      <c r="AC392" s="992"/>
      <c r="AD392" s="992"/>
      <c r="AE392" s="187"/>
      <c r="AF392" s="992" t="s">
        <v>504</v>
      </c>
      <c r="AG392" s="992"/>
      <c r="AH392" s="992"/>
      <c r="AI392" s="992"/>
      <c r="AK392" s="992" t="s">
        <v>39</v>
      </c>
      <c r="AL392" s="992"/>
      <c r="AM392" s="992"/>
      <c r="AO392" s="1021"/>
      <c r="AP392" s="1021"/>
      <c r="AQ392" s="1021"/>
      <c r="AS392" s="992" t="s">
        <v>507</v>
      </c>
      <c r="AT392" s="992"/>
      <c r="AU392" s="992"/>
      <c r="AV392" s="187"/>
    </row>
    <row r="393" spans="2:48" ht="15.75" x14ac:dyDescent="0.2">
      <c r="B393" s="1011" t="e">
        <f>VLOOKUP(U393,ID_archer_cible,7,FALSE)</f>
        <v>#N/A</v>
      </c>
      <c r="C393" s="1012"/>
      <c r="D393" s="1012"/>
      <c r="E393" s="1012"/>
      <c r="F393" s="1013"/>
      <c r="H393" s="999" t="e">
        <f>VLOOKUP(U393,ID_archer_cible,9,FALSE)</f>
        <v>#N/A</v>
      </c>
      <c r="I393" s="1000"/>
      <c r="J393" s="1000"/>
      <c r="K393" s="1001"/>
      <c r="M393" s="999" t="e">
        <f>VLOOKUP(U393,ID_archer_cible,10,FALSE)</f>
        <v>#N/A</v>
      </c>
      <c r="N393" s="1000"/>
      <c r="O393" s="1001"/>
      <c r="Q393" s="1021"/>
      <c r="R393" s="1021"/>
      <c r="S393" s="1021"/>
      <c r="T393" s="187"/>
      <c r="U393" s="996" t="str">
        <f>AR381&amp;"A"</f>
        <v>7A</v>
      </c>
      <c r="V393" s="997"/>
      <c r="W393" s="998"/>
      <c r="X393" s="188"/>
      <c r="Y393"/>
      <c r="Z393" s="1011" t="e">
        <f>VLOOKUP(AS393,ID_archer_cible,7,FALSE)</f>
        <v>#N/A</v>
      </c>
      <c r="AA393" s="1012"/>
      <c r="AB393" s="1012"/>
      <c r="AC393" s="1012"/>
      <c r="AD393" s="1013"/>
      <c r="AF393" s="999" t="e">
        <f>VLOOKUP(AS393,ID_archer_cible,9,FALSE)</f>
        <v>#N/A</v>
      </c>
      <c r="AG393" s="1000"/>
      <c r="AH393" s="1000"/>
      <c r="AI393" s="1001"/>
      <c r="AK393" s="999" t="e">
        <f>VLOOKUP(AS393,ID_archer_cible,10,FALSE)</f>
        <v>#N/A</v>
      </c>
      <c r="AL393" s="1000"/>
      <c r="AM393" s="1001"/>
      <c r="AO393" s="1021"/>
      <c r="AP393" s="1021"/>
      <c r="AQ393" s="1021"/>
      <c r="AR393" s="187"/>
      <c r="AS393" s="996" t="str">
        <f>AR381&amp;"B"</f>
        <v>7B</v>
      </c>
      <c r="AT393" s="997"/>
      <c r="AU393" s="998"/>
      <c r="AV393" s="187"/>
    </row>
    <row r="394" spans="2:48" x14ac:dyDescent="0.2">
      <c r="X394" s="186"/>
    </row>
    <row r="395" spans="2:48" x14ac:dyDescent="0.2">
      <c r="B395" s="185" t="s">
        <v>509</v>
      </c>
      <c r="E395" s="992" t="s">
        <v>510</v>
      </c>
      <c r="F395" s="992"/>
      <c r="G395" s="992"/>
      <c r="H395" s="992"/>
      <c r="I395" s="992"/>
      <c r="J395" s="992"/>
      <c r="K395" s="992"/>
      <c r="L395" s="992"/>
      <c r="M395" s="992"/>
      <c r="N395" s="992"/>
      <c r="P395" s="992" t="s">
        <v>511</v>
      </c>
      <c r="Q395" s="992"/>
      <c r="R395" s="992"/>
      <c r="X395" s="186"/>
      <c r="Z395" s="185" t="s">
        <v>509</v>
      </c>
      <c r="AC395" s="992" t="s">
        <v>510</v>
      </c>
      <c r="AD395" s="992"/>
      <c r="AE395" s="992"/>
      <c r="AF395" s="992"/>
      <c r="AG395" s="992"/>
      <c r="AH395" s="992"/>
      <c r="AI395" s="992"/>
      <c r="AJ395" s="992"/>
      <c r="AK395" s="992"/>
      <c r="AL395" s="992"/>
      <c r="AN395" s="992" t="s">
        <v>511</v>
      </c>
      <c r="AO395" s="992"/>
      <c r="AP395" s="992"/>
    </row>
    <row r="396" spans="2:48" ht="20.25" customHeight="1" x14ac:dyDescent="0.2">
      <c r="B396" s="1009" t="s">
        <v>513</v>
      </c>
      <c r="C396" s="1009"/>
      <c r="E396" s="189"/>
      <c r="F396" s="191"/>
      <c r="G396" s="189"/>
      <c r="H396" s="191"/>
      <c r="I396" s="189"/>
      <c r="J396" s="191"/>
      <c r="K396" s="189"/>
      <c r="L396" s="191"/>
      <c r="M396" s="189"/>
      <c r="N396" s="191"/>
      <c r="P396" s="189"/>
      <c r="Q396" s="190"/>
      <c r="R396" s="191"/>
      <c r="T396" s="992" t="s">
        <v>512</v>
      </c>
      <c r="U396" s="992"/>
      <c r="V396" s="992"/>
      <c r="W396" s="992"/>
      <c r="X396" s="188"/>
      <c r="Z396" s="1009" t="s">
        <v>513</v>
      </c>
      <c r="AA396" s="1009"/>
      <c r="AC396" s="189"/>
      <c r="AD396" s="191"/>
      <c r="AE396" s="189"/>
      <c r="AF396" s="191"/>
      <c r="AG396" s="189"/>
      <c r="AH396" s="191"/>
      <c r="AI396" s="189"/>
      <c r="AJ396" s="191"/>
      <c r="AK396" s="189"/>
      <c r="AL396" s="191"/>
      <c r="AN396" s="189"/>
      <c r="AO396" s="190"/>
      <c r="AP396" s="191"/>
      <c r="AR396" s="992" t="s">
        <v>512</v>
      </c>
      <c r="AS396" s="992"/>
      <c r="AT396" s="992"/>
      <c r="AU396" s="992"/>
      <c r="AV396" s="187"/>
    </row>
    <row r="397" spans="2:48" ht="20.25" customHeight="1" x14ac:dyDescent="0.2">
      <c r="B397" s="1009" t="s">
        <v>514</v>
      </c>
      <c r="C397" s="1009"/>
      <c r="E397" s="189"/>
      <c r="F397" s="191"/>
      <c r="G397" s="189"/>
      <c r="H397" s="191"/>
      <c r="I397" s="189"/>
      <c r="J397" s="191"/>
      <c r="K397" s="189"/>
      <c r="L397" s="191"/>
      <c r="M397" s="189"/>
      <c r="N397" s="191"/>
      <c r="P397" s="189"/>
      <c r="Q397" s="190"/>
      <c r="R397" s="191"/>
      <c r="T397" s="189"/>
      <c r="U397" s="190"/>
      <c r="V397" s="190"/>
      <c r="W397" s="191"/>
      <c r="X397" s="186"/>
      <c r="Z397" s="1009" t="s">
        <v>514</v>
      </c>
      <c r="AA397" s="1009"/>
      <c r="AC397" s="189"/>
      <c r="AD397" s="191"/>
      <c r="AE397" s="189"/>
      <c r="AF397" s="191"/>
      <c r="AG397" s="189"/>
      <c r="AH397" s="191"/>
      <c r="AI397" s="189"/>
      <c r="AJ397" s="191"/>
      <c r="AK397" s="189"/>
      <c r="AL397" s="191"/>
      <c r="AN397" s="189"/>
      <c r="AO397" s="190"/>
      <c r="AP397" s="191"/>
      <c r="AR397" s="189"/>
      <c r="AS397" s="190"/>
      <c r="AT397" s="190"/>
      <c r="AU397" s="191"/>
    </row>
    <row r="398" spans="2:48" ht="20.25" customHeight="1" x14ac:dyDescent="0.2">
      <c r="B398" s="1009" t="s">
        <v>515</v>
      </c>
      <c r="C398" s="1009"/>
      <c r="E398" s="189"/>
      <c r="F398" s="191"/>
      <c r="G398" s="189"/>
      <c r="H398" s="191"/>
      <c r="I398" s="189"/>
      <c r="J398" s="191"/>
      <c r="K398" s="189"/>
      <c r="L398" s="191"/>
      <c r="M398" s="189"/>
      <c r="N398" s="191"/>
      <c r="P398" s="189"/>
      <c r="Q398" s="190"/>
      <c r="R398" s="191"/>
      <c r="T398" s="189"/>
      <c r="U398" s="190"/>
      <c r="V398" s="190"/>
      <c r="W398" s="191"/>
      <c r="X398" s="186"/>
      <c r="Z398" s="1009" t="s">
        <v>515</v>
      </c>
      <c r="AA398" s="1009"/>
      <c r="AC398" s="189"/>
      <c r="AD398" s="191"/>
      <c r="AE398" s="189"/>
      <c r="AF398" s="191"/>
      <c r="AG398" s="189"/>
      <c r="AH398" s="191"/>
      <c r="AI398" s="189"/>
      <c r="AJ398" s="191"/>
      <c r="AK398" s="189"/>
      <c r="AL398" s="191"/>
      <c r="AN398" s="189"/>
      <c r="AO398" s="190"/>
      <c r="AP398" s="191"/>
      <c r="AR398" s="189"/>
      <c r="AS398" s="190"/>
      <c r="AT398" s="190"/>
      <c r="AU398" s="191"/>
    </row>
    <row r="399" spans="2:48" ht="20.25" customHeight="1" x14ac:dyDescent="0.2">
      <c r="B399" s="1009" t="s">
        <v>516</v>
      </c>
      <c r="C399" s="1009"/>
      <c r="E399" s="189"/>
      <c r="F399" s="191"/>
      <c r="G399" s="189"/>
      <c r="H399" s="191"/>
      <c r="I399" s="189"/>
      <c r="J399" s="191"/>
      <c r="K399" s="189"/>
      <c r="L399" s="191"/>
      <c r="M399" s="189"/>
      <c r="N399" s="191"/>
      <c r="P399" s="189"/>
      <c r="Q399" s="190"/>
      <c r="R399" s="191"/>
      <c r="T399" s="189"/>
      <c r="U399" s="190"/>
      <c r="V399" s="190"/>
      <c r="W399" s="191"/>
      <c r="X399" s="186"/>
      <c r="Z399" s="1009" t="s">
        <v>516</v>
      </c>
      <c r="AA399" s="1009"/>
      <c r="AC399" s="189"/>
      <c r="AD399" s="191"/>
      <c r="AE399" s="189"/>
      <c r="AF399" s="191"/>
      <c r="AG399" s="189"/>
      <c r="AH399" s="191"/>
      <c r="AI399" s="189"/>
      <c r="AJ399" s="191"/>
      <c r="AK399" s="189"/>
      <c r="AL399" s="191"/>
      <c r="AN399" s="189"/>
      <c r="AO399" s="190"/>
      <c r="AP399" s="191"/>
      <c r="AR399" s="189"/>
      <c r="AS399" s="190"/>
      <c r="AT399" s="190"/>
      <c r="AU399" s="191"/>
    </row>
    <row r="400" spans="2:48" ht="20.25" customHeight="1" x14ac:dyDescent="0.2">
      <c r="B400" s="1009" t="s">
        <v>517</v>
      </c>
      <c r="C400" s="1009"/>
      <c r="E400" s="189"/>
      <c r="F400" s="191"/>
      <c r="G400" s="189"/>
      <c r="H400" s="191"/>
      <c r="I400" s="189"/>
      <c r="J400" s="191"/>
      <c r="K400" s="189"/>
      <c r="L400" s="191"/>
      <c r="M400" s="189"/>
      <c r="N400" s="191"/>
      <c r="P400" s="189"/>
      <c r="Q400" s="190"/>
      <c r="R400" s="191"/>
      <c r="T400" s="189"/>
      <c r="U400" s="190"/>
      <c r="V400" s="190"/>
      <c r="W400" s="191"/>
      <c r="X400" s="186"/>
      <c r="Z400" s="1009" t="s">
        <v>517</v>
      </c>
      <c r="AA400" s="1009"/>
      <c r="AC400" s="189"/>
      <c r="AD400" s="191"/>
      <c r="AE400" s="189"/>
      <c r="AF400" s="191"/>
      <c r="AG400" s="189"/>
      <c r="AH400" s="191"/>
      <c r="AI400" s="189"/>
      <c r="AJ400" s="191"/>
      <c r="AK400" s="189"/>
      <c r="AL400" s="191"/>
      <c r="AN400" s="189"/>
      <c r="AO400" s="190"/>
      <c r="AP400" s="191"/>
      <c r="AR400" s="189"/>
      <c r="AS400" s="190"/>
      <c r="AT400" s="190"/>
      <c r="AU400" s="191"/>
    </row>
    <row r="401" spans="2:48" ht="20.25" customHeight="1" x14ac:dyDescent="0.2">
      <c r="B401" s="1009" t="s">
        <v>518</v>
      </c>
      <c r="C401" s="1009"/>
      <c r="E401" s="189"/>
      <c r="F401" s="191"/>
      <c r="G401" s="189"/>
      <c r="H401" s="191"/>
      <c r="I401" s="189"/>
      <c r="J401" s="191"/>
      <c r="K401" s="189"/>
      <c r="L401" s="191"/>
      <c r="M401" s="189"/>
      <c r="N401" s="191"/>
      <c r="P401" s="189"/>
      <c r="Q401" s="190"/>
      <c r="R401" s="191"/>
      <c r="T401" s="189"/>
      <c r="U401" s="190"/>
      <c r="V401" s="190"/>
      <c r="W401" s="191"/>
      <c r="X401" s="186"/>
      <c r="Z401" s="1009" t="s">
        <v>518</v>
      </c>
      <c r="AA401" s="1009"/>
      <c r="AC401" s="189"/>
      <c r="AD401" s="191"/>
      <c r="AE401" s="189"/>
      <c r="AF401" s="191"/>
      <c r="AG401" s="189"/>
      <c r="AH401" s="191"/>
      <c r="AI401" s="189"/>
      <c r="AJ401" s="191"/>
      <c r="AK401" s="189"/>
      <c r="AL401" s="191"/>
      <c r="AN401" s="189"/>
      <c r="AO401" s="190"/>
      <c r="AP401" s="191"/>
      <c r="AR401" s="189"/>
      <c r="AS401" s="190"/>
      <c r="AT401" s="190"/>
      <c r="AU401" s="191"/>
    </row>
    <row r="402" spans="2:48" ht="15.75" thickBot="1" x14ac:dyDescent="0.25">
      <c r="B402" s="187"/>
      <c r="C402" s="187"/>
      <c r="X402" s="186"/>
      <c r="Z402" s="187"/>
      <c r="AA402" s="187"/>
    </row>
    <row r="403" spans="2:48" ht="20.25" customHeight="1" thickBot="1" x14ac:dyDescent="0.25">
      <c r="P403" s="197" t="s">
        <v>519</v>
      </c>
      <c r="Q403" s="197"/>
      <c r="R403" s="197"/>
      <c r="S403" s="197"/>
      <c r="T403" s="192"/>
      <c r="U403" s="193"/>
      <c r="V403" s="193"/>
      <c r="W403" s="194"/>
      <c r="X403" s="186"/>
      <c r="AN403" s="197" t="s">
        <v>519</v>
      </c>
      <c r="AO403" s="197"/>
      <c r="AP403" s="197"/>
      <c r="AQ403" s="197"/>
      <c r="AR403" s="192"/>
      <c r="AS403" s="193"/>
      <c r="AT403" s="193"/>
      <c r="AU403" s="194"/>
    </row>
    <row r="404" spans="2:48" x14ac:dyDescent="0.2">
      <c r="E404" s="196"/>
      <c r="F404" s="196"/>
      <c r="G404" s="196"/>
      <c r="H404" s="196"/>
      <c r="I404" s="196"/>
      <c r="J404" s="196"/>
      <c r="K404" s="196"/>
      <c r="L404" s="196"/>
      <c r="M404" s="196"/>
      <c r="X404" s="186"/>
      <c r="AC404" s="196"/>
      <c r="AD404" s="196"/>
      <c r="AE404" s="196"/>
      <c r="AF404" s="196"/>
      <c r="AG404" s="196"/>
      <c r="AH404" s="196"/>
      <c r="AI404" s="196"/>
      <c r="AJ404" s="196"/>
      <c r="AK404" s="196"/>
    </row>
    <row r="405" spans="2:48" x14ac:dyDescent="0.2">
      <c r="B405" s="1010" t="s">
        <v>521</v>
      </c>
      <c r="C405" s="1010"/>
      <c r="D405" s="1010"/>
      <c r="E405" s="1010"/>
      <c r="F405" s="1010"/>
      <c r="G405" s="1010"/>
      <c r="H405" s="195"/>
      <c r="I405" s="1010" t="s">
        <v>522</v>
      </c>
      <c r="J405" s="1010"/>
      <c r="K405" s="1010"/>
      <c r="L405" s="1010"/>
      <c r="M405" s="1010"/>
      <c r="N405" s="1010"/>
      <c r="O405" s="1010"/>
      <c r="P405" s="1010"/>
      <c r="Q405" s="1010"/>
      <c r="R405" s="1010"/>
      <c r="S405" s="1010"/>
      <c r="T405" s="1010"/>
      <c r="U405" s="1010"/>
      <c r="V405" s="1010"/>
      <c r="W405" s="1010"/>
      <c r="X405" s="198"/>
      <c r="Y405" s="195"/>
      <c r="Z405" s="1010" t="s">
        <v>521</v>
      </c>
      <c r="AA405" s="1010"/>
      <c r="AB405" s="1010"/>
      <c r="AC405" s="1010"/>
      <c r="AD405" s="1010"/>
      <c r="AE405" s="1010"/>
      <c r="AF405" s="195"/>
      <c r="AG405" s="1004" t="s">
        <v>522</v>
      </c>
      <c r="AH405" s="1004"/>
      <c r="AI405" s="1004"/>
      <c r="AJ405" s="1004"/>
      <c r="AK405" s="1004"/>
      <c r="AL405" s="1004"/>
      <c r="AM405" s="1004"/>
      <c r="AN405" s="1004"/>
      <c r="AO405" s="1004"/>
      <c r="AP405" s="1004"/>
      <c r="AQ405" s="1004"/>
      <c r="AR405" s="1004"/>
      <c r="AS405" s="1004"/>
      <c r="AT405" s="1004"/>
      <c r="AU405" s="1004"/>
      <c r="AV405" s="195"/>
    </row>
    <row r="406" spans="2:48" x14ac:dyDescent="0.2">
      <c r="B406" s="1005" t="s">
        <v>520</v>
      </c>
      <c r="C406" s="1006"/>
      <c r="D406" s="1006"/>
      <c r="E406" s="1006"/>
      <c r="F406" s="1006"/>
      <c r="G406" s="1007"/>
      <c r="I406" s="1005" t="s">
        <v>0</v>
      </c>
      <c r="J406" s="1006"/>
      <c r="K406" s="1006"/>
      <c r="L406" s="1006"/>
      <c r="M406" s="1006"/>
      <c r="N406" s="1006"/>
      <c r="O406" s="1006"/>
      <c r="P406" s="1006"/>
      <c r="Q406" s="1006"/>
      <c r="R406" s="1006"/>
      <c r="S406" s="1006"/>
      <c r="T406" s="1006"/>
      <c r="U406" s="1006"/>
      <c r="V406" s="1006"/>
      <c r="W406" s="1007"/>
      <c r="X406" s="186"/>
      <c r="Z406" s="1005" t="s">
        <v>520</v>
      </c>
      <c r="AA406" s="1006"/>
      <c r="AB406" s="1006"/>
      <c r="AC406" s="1006"/>
      <c r="AD406" s="1006"/>
      <c r="AE406" s="1007"/>
      <c r="AG406" s="1005" t="s">
        <v>0</v>
      </c>
      <c r="AH406" s="1006"/>
      <c r="AI406" s="1006"/>
      <c r="AJ406" s="1006"/>
      <c r="AK406" s="1006"/>
      <c r="AL406" s="1006"/>
      <c r="AM406" s="1006"/>
      <c r="AN406" s="1006"/>
      <c r="AO406" s="1006"/>
      <c r="AP406" s="1006"/>
      <c r="AQ406" s="1006"/>
      <c r="AR406" s="1006"/>
      <c r="AS406" s="1006"/>
      <c r="AT406" s="1006"/>
      <c r="AU406" s="1007"/>
    </row>
    <row r="407" spans="2:48" x14ac:dyDescent="0.2">
      <c r="B407" s="199"/>
      <c r="C407" s="200"/>
      <c r="D407" s="200"/>
      <c r="E407" s="200"/>
      <c r="F407" s="200"/>
      <c r="G407" s="201"/>
      <c r="I407" s="199"/>
      <c r="J407" s="200"/>
      <c r="K407" s="200"/>
      <c r="L407" s="200"/>
      <c r="M407" s="200"/>
      <c r="N407" s="200"/>
      <c r="O407" s="200"/>
      <c r="P407" s="200"/>
      <c r="Q407" s="200"/>
      <c r="R407" s="200"/>
      <c r="S407" s="200"/>
      <c r="T407" s="200"/>
      <c r="U407" s="200"/>
      <c r="V407" s="200"/>
      <c r="W407" s="201"/>
      <c r="X407" s="186"/>
      <c r="Z407" s="199"/>
      <c r="AA407" s="200"/>
      <c r="AB407" s="200"/>
      <c r="AC407" s="200"/>
      <c r="AD407" s="200"/>
      <c r="AE407" s="201"/>
      <c r="AG407" s="199"/>
      <c r="AH407" s="200"/>
      <c r="AI407" s="200"/>
      <c r="AJ407" s="200"/>
      <c r="AK407" s="200"/>
      <c r="AL407" s="200"/>
      <c r="AM407" s="200"/>
      <c r="AN407" s="200"/>
      <c r="AO407" s="200"/>
      <c r="AP407" s="200"/>
      <c r="AQ407" s="200"/>
      <c r="AR407" s="200"/>
      <c r="AS407" s="200"/>
      <c r="AT407" s="200"/>
      <c r="AU407" s="201"/>
    </row>
    <row r="408" spans="2:48" x14ac:dyDescent="0.2">
      <c r="X408" s="186"/>
    </row>
    <row r="409" spans="2:48" x14ac:dyDescent="0.2">
      <c r="I409" s="1005" t="s">
        <v>481</v>
      </c>
      <c r="J409" s="1006"/>
      <c r="K409" s="1006"/>
      <c r="L409" s="1006"/>
      <c r="M409" s="1006"/>
      <c r="N409" s="1006"/>
      <c r="O409" s="1006"/>
      <c r="P409" s="1006"/>
      <c r="Q409" s="1007"/>
      <c r="R409" s="1005" t="s">
        <v>520</v>
      </c>
      <c r="S409" s="1006"/>
      <c r="T409" s="1006"/>
      <c r="U409" s="1006"/>
      <c r="V409" s="1006"/>
      <c r="W409" s="1007"/>
      <c r="X409" s="186"/>
      <c r="AG409" s="1005" t="s">
        <v>481</v>
      </c>
      <c r="AH409" s="1006"/>
      <c r="AI409" s="1006"/>
      <c r="AJ409" s="1006"/>
      <c r="AK409" s="1006"/>
      <c r="AL409" s="1006"/>
      <c r="AM409" s="1006"/>
      <c r="AN409" s="1006"/>
      <c r="AO409" s="1007"/>
      <c r="AP409" s="1005" t="s">
        <v>520</v>
      </c>
      <c r="AQ409" s="1006"/>
      <c r="AR409" s="1006"/>
      <c r="AS409" s="1006"/>
      <c r="AT409" s="1006"/>
      <c r="AU409" s="1007"/>
    </row>
    <row r="410" spans="2:48" x14ac:dyDescent="0.2">
      <c r="I410" s="199"/>
      <c r="J410" s="200"/>
      <c r="K410" s="200"/>
      <c r="L410" s="200"/>
      <c r="M410" s="200"/>
      <c r="N410" s="200"/>
      <c r="O410" s="200"/>
      <c r="P410" s="200"/>
      <c r="Q410" s="200"/>
      <c r="R410" s="199"/>
      <c r="S410" s="200"/>
      <c r="T410" s="200"/>
      <c r="U410" s="200"/>
      <c r="V410" s="200"/>
      <c r="W410" s="201"/>
      <c r="X410" s="186"/>
      <c r="AG410" s="199"/>
      <c r="AH410" s="200"/>
      <c r="AI410" s="200"/>
      <c r="AJ410" s="200"/>
      <c r="AK410" s="200"/>
      <c r="AL410" s="200"/>
      <c r="AM410" s="200"/>
      <c r="AN410" s="200"/>
      <c r="AO410" s="200"/>
      <c r="AP410" s="199"/>
      <c r="AQ410" s="200"/>
      <c r="AR410" s="200"/>
      <c r="AS410" s="200"/>
      <c r="AT410" s="200"/>
      <c r="AU410" s="201"/>
    </row>
    <row r="411" spans="2:48" ht="39" customHeight="1" x14ac:dyDescent="0.2">
      <c r="B411" s="392"/>
      <c r="C411" s="392"/>
      <c r="D411" s="392"/>
      <c r="E411" s="392"/>
      <c r="F411" s="392"/>
      <c r="G411" s="392"/>
      <c r="H411" s="392"/>
      <c r="I411" s="392"/>
      <c r="J411" s="392"/>
      <c r="K411" s="392"/>
      <c r="L411" s="392"/>
      <c r="M411" s="392"/>
      <c r="N411" s="392"/>
      <c r="O411" s="392"/>
      <c r="P411" s="392"/>
      <c r="Q411" s="392"/>
      <c r="R411" s="392"/>
      <c r="S411" s="392"/>
      <c r="T411" s="392"/>
      <c r="U411" s="392"/>
      <c r="V411" s="392"/>
      <c r="W411" s="392"/>
      <c r="X411" s="393"/>
      <c r="Y411" s="394"/>
      <c r="Z411" s="392"/>
      <c r="AA411" s="392"/>
      <c r="AB411" s="392"/>
      <c r="AC411" s="392"/>
      <c r="AD411" s="392"/>
      <c r="AE411" s="392"/>
      <c r="AF411" s="392"/>
      <c r="AG411" s="392"/>
      <c r="AH411" s="392"/>
      <c r="AI411" s="392"/>
      <c r="AJ411" s="392"/>
      <c r="AK411" s="392"/>
      <c r="AL411" s="392"/>
      <c r="AM411" s="392"/>
      <c r="AN411" s="392"/>
      <c r="AO411" s="392"/>
      <c r="AP411" s="392"/>
      <c r="AQ411" s="392"/>
      <c r="AR411" s="392"/>
      <c r="AS411" s="392"/>
      <c r="AT411" s="392"/>
      <c r="AU411" s="392"/>
      <c r="AV411" s="392"/>
    </row>
    <row r="412" spans="2:48" ht="39" customHeight="1" x14ac:dyDescent="0.2">
      <c r="B412" s="182"/>
      <c r="C412" s="182"/>
      <c r="D412" s="182"/>
      <c r="E412" s="182"/>
      <c r="F412" s="182"/>
      <c r="G412" s="182"/>
      <c r="H412" s="182"/>
      <c r="I412" s="182"/>
      <c r="J412" s="182"/>
      <c r="K412" s="182"/>
      <c r="L412" s="182"/>
      <c r="M412" s="182"/>
      <c r="N412" s="182"/>
      <c r="O412" s="182"/>
      <c r="P412" s="182"/>
      <c r="Q412" s="182"/>
      <c r="R412" s="182"/>
      <c r="S412" s="182"/>
      <c r="T412" s="182"/>
      <c r="U412" s="182"/>
      <c r="V412" s="182"/>
      <c r="W412" s="182"/>
      <c r="X412" s="183"/>
      <c r="Y412" s="184"/>
      <c r="Z412" s="182"/>
      <c r="AA412" s="182"/>
      <c r="AB412" s="182"/>
      <c r="AC412" s="182"/>
      <c r="AD412" s="182"/>
      <c r="AE412" s="182"/>
      <c r="AF412" s="182"/>
      <c r="AG412" s="182"/>
      <c r="AH412" s="182"/>
      <c r="AI412" s="182"/>
      <c r="AJ412" s="182"/>
      <c r="AK412" s="182"/>
      <c r="AL412" s="182"/>
      <c r="AM412" s="182"/>
      <c r="AN412" s="182"/>
      <c r="AO412" s="182"/>
      <c r="AP412" s="182"/>
      <c r="AQ412" s="182"/>
      <c r="AR412" s="182"/>
      <c r="AS412" s="182"/>
      <c r="AT412" s="182"/>
      <c r="AU412" s="182"/>
      <c r="AV412" s="182"/>
    </row>
    <row r="413" spans="2:48" ht="18" x14ac:dyDescent="0.2">
      <c r="B413" s="182"/>
      <c r="C413" s="182"/>
      <c r="D413" s="182"/>
      <c r="E413" s="182"/>
      <c r="F413" s="182"/>
      <c r="G413" s="182"/>
      <c r="H413" s="992" t="s">
        <v>374</v>
      </c>
      <c r="I413" s="992"/>
      <c r="J413" s="992"/>
      <c r="K413" s="992"/>
      <c r="L413" s="992"/>
      <c r="M413" s="992"/>
      <c r="N413" s="992"/>
      <c r="O413" s="992"/>
      <c r="P413" s="992"/>
      <c r="Q413" s="992"/>
      <c r="R413" s="182"/>
      <c r="S413" s="182"/>
      <c r="T413" s="182"/>
      <c r="U413" s="182"/>
      <c r="V413" s="182"/>
      <c r="W413" s="182"/>
      <c r="X413" s="183"/>
      <c r="Y413" s="182"/>
      <c r="Z413" s="182"/>
      <c r="AA413" s="182"/>
      <c r="AB413" s="182"/>
      <c r="AC413" s="182"/>
      <c r="AD413" s="182"/>
      <c r="AE413" s="992" t="s">
        <v>374</v>
      </c>
      <c r="AF413" s="992"/>
      <c r="AG413" s="992"/>
      <c r="AH413" s="992"/>
      <c r="AI413" s="992"/>
      <c r="AJ413" s="992"/>
      <c r="AK413" s="992"/>
      <c r="AL413" s="992"/>
      <c r="AM413" s="992"/>
      <c r="AN413" s="992"/>
      <c r="AO413" s="182"/>
      <c r="AP413" s="182"/>
      <c r="AQ413" s="182"/>
      <c r="AR413" s="182"/>
      <c r="AS413" s="182"/>
      <c r="AT413" s="182"/>
      <c r="AU413" s="182"/>
      <c r="AV413" s="182"/>
    </row>
    <row r="414" spans="2:48" ht="18" x14ac:dyDescent="0.2">
      <c r="B414" s="182"/>
      <c r="C414" s="182"/>
      <c r="D414" s="182"/>
      <c r="E414" s="182"/>
      <c r="F414" s="182"/>
      <c r="G414" s="182"/>
      <c r="H414" s="1022" t="e">
        <f>VLOOKUP(U423,ID_archer_cible,4,FALSE)</f>
        <v>#N/A</v>
      </c>
      <c r="I414" s="1023"/>
      <c r="J414" s="1023"/>
      <c r="K414" s="1023"/>
      <c r="L414" s="1023"/>
      <c r="M414" s="1023"/>
      <c r="N414" s="1023"/>
      <c r="O414" s="1023"/>
      <c r="P414" s="1023"/>
      <c r="Q414" s="1024"/>
      <c r="R414" s="182"/>
      <c r="S414" s="182"/>
      <c r="T414" s="182"/>
      <c r="U414" s="182"/>
      <c r="V414" s="182"/>
      <c r="W414" s="182"/>
      <c r="X414" s="183"/>
      <c r="Y414" s="182"/>
      <c r="Z414" s="182"/>
      <c r="AA414" s="182"/>
      <c r="AB414" s="182"/>
      <c r="AC414" s="182"/>
      <c r="AD414" s="182"/>
      <c r="AE414" s="1022" t="e">
        <f>VLOOKUP(AS423,ID_archer_cible,4,FALSE)</f>
        <v>#N/A</v>
      </c>
      <c r="AF414" s="1023"/>
      <c r="AG414" s="1023"/>
      <c r="AH414" s="1023"/>
      <c r="AI414" s="1023"/>
      <c r="AJ414" s="1023"/>
      <c r="AK414" s="1023"/>
      <c r="AL414" s="1023"/>
      <c r="AM414" s="1023"/>
      <c r="AN414" s="1024"/>
      <c r="AO414" s="182"/>
      <c r="AP414" s="182"/>
      <c r="AQ414" s="182"/>
      <c r="AR414" s="182"/>
      <c r="AS414" s="182"/>
      <c r="AT414" s="182"/>
      <c r="AU414" s="182"/>
      <c r="AV414" s="182"/>
    </row>
    <row r="415" spans="2:48" x14ac:dyDescent="0.2">
      <c r="X415" s="186"/>
    </row>
    <row r="416" spans="2:48" x14ac:dyDescent="0.2">
      <c r="B416" s="1021" t="s">
        <v>0</v>
      </c>
      <c r="C416" s="1021"/>
      <c r="D416" s="1021"/>
      <c r="E416" s="1021"/>
      <c r="F416" s="1021"/>
      <c r="G416" s="1021"/>
      <c r="H416" s="1021"/>
      <c r="I416" s="1021"/>
      <c r="J416" s="1021"/>
      <c r="K416" s="1021"/>
      <c r="L416" s="1021"/>
      <c r="M416" s="187"/>
      <c r="P416" s="992" t="s">
        <v>375</v>
      </c>
      <c r="Q416" s="992"/>
      <c r="R416" s="992"/>
      <c r="S416" s="992"/>
      <c r="T416" s="992"/>
      <c r="U416" s="992"/>
      <c r="V416" s="992"/>
      <c r="W416" s="992"/>
      <c r="X416" s="188"/>
      <c r="Z416" s="1021" t="s">
        <v>0</v>
      </c>
      <c r="AA416" s="1021"/>
      <c r="AB416" s="1021"/>
      <c r="AC416" s="1021"/>
      <c r="AD416" s="1021"/>
      <c r="AE416" s="1021"/>
      <c r="AF416" s="1021"/>
      <c r="AG416" s="1021"/>
      <c r="AH416" s="1021"/>
      <c r="AI416" s="1021"/>
      <c r="AJ416" s="1021"/>
      <c r="AK416" s="187"/>
      <c r="AN416" s="992" t="s">
        <v>375</v>
      </c>
      <c r="AO416" s="992"/>
      <c r="AP416" s="992"/>
      <c r="AQ416" s="992"/>
      <c r="AR416" s="992"/>
      <c r="AS416" s="992"/>
      <c r="AT416" s="992"/>
      <c r="AU416" s="992"/>
      <c r="AV416" s="187"/>
    </row>
    <row r="417" spans="2:48" x14ac:dyDescent="0.2">
      <c r="B417" s="999" t="e">
        <f>VLOOKUP(U423,ID_archer_cible,2,FALSE)</f>
        <v>#N/A</v>
      </c>
      <c r="C417" s="1000"/>
      <c r="D417" s="1000"/>
      <c r="E417" s="1000"/>
      <c r="F417" s="1000"/>
      <c r="G417" s="1000"/>
      <c r="H417" s="1000"/>
      <c r="I417" s="1000"/>
      <c r="J417" s="1000"/>
      <c r="K417" s="1000"/>
      <c r="L417" s="1000"/>
      <c r="M417" s="1001"/>
      <c r="P417" s="999" t="e">
        <f>VLOOKUP(U423,ID_archer_cible,3,FALSE)</f>
        <v>#N/A</v>
      </c>
      <c r="Q417" s="1000"/>
      <c r="R417" s="1000"/>
      <c r="S417" s="1000"/>
      <c r="T417" s="1000"/>
      <c r="U417" s="1000"/>
      <c r="V417" s="1000"/>
      <c r="W417" s="1001"/>
      <c r="X417" s="186"/>
      <c r="Y417"/>
      <c r="Z417" s="999" t="e">
        <f>VLOOKUP(AS423,ID_archer_cible,2,FALSE)</f>
        <v>#N/A</v>
      </c>
      <c r="AA417" s="1000"/>
      <c r="AB417" s="1000"/>
      <c r="AC417" s="1000"/>
      <c r="AD417" s="1000"/>
      <c r="AE417" s="1000"/>
      <c r="AF417" s="1000"/>
      <c r="AG417" s="1000"/>
      <c r="AH417" s="1000"/>
      <c r="AI417" s="1000"/>
      <c r="AJ417" s="1000"/>
      <c r="AK417" s="1001"/>
      <c r="AN417" s="999" t="e">
        <f>VLOOKUP(AS423,ID_archer_cible,3,FALSE)</f>
        <v>#N/A</v>
      </c>
      <c r="AO417" s="1000"/>
      <c r="AP417" s="1000"/>
      <c r="AQ417" s="1000"/>
      <c r="AR417" s="1000"/>
      <c r="AS417" s="1000"/>
      <c r="AT417" s="1000"/>
      <c r="AU417" s="1001"/>
    </row>
    <row r="418" spans="2:48" x14ac:dyDescent="0.2">
      <c r="X418" s="186"/>
      <c r="Y418"/>
    </row>
    <row r="419" spans="2:48" ht="16.5" thickBot="1" x14ac:dyDescent="0.25">
      <c r="B419" s="1017" t="s">
        <v>1</v>
      </c>
      <c r="C419" s="1017"/>
      <c r="D419" s="1017"/>
      <c r="E419" s="1017"/>
      <c r="F419" s="1017"/>
      <c r="G419" s="1017"/>
      <c r="H419" s="1017"/>
      <c r="I419" s="1017"/>
      <c r="J419" s="1017"/>
      <c r="L419" s="1017" t="s">
        <v>505</v>
      </c>
      <c r="M419" s="1017"/>
      <c r="N419" s="1017"/>
      <c r="O419" s="1017"/>
      <c r="P419" s="1017"/>
      <c r="Q419" s="1017"/>
      <c r="S419" s="992" t="s">
        <v>506</v>
      </c>
      <c r="T419" s="992"/>
      <c r="U419" s="992"/>
      <c r="V419" s="992"/>
      <c r="W419" s="992"/>
      <c r="X419" s="188"/>
      <c r="Y419"/>
      <c r="Z419" s="1017" t="s">
        <v>1</v>
      </c>
      <c r="AA419" s="1017"/>
      <c r="AB419" s="1017"/>
      <c r="AC419" s="1017"/>
      <c r="AD419" s="1017"/>
      <c r="AE419" s="1017"/>
      <c r="AF419" s="1017"/>
      <c r="AG419" s="1017"/>
      <c r="AH419" s="1017"/>
      <c r="AJ419" s="1017" t="s">
        <v>505</v>
      </c>
      <c r="AK419" s="1017"/>
      <c r="AL419" s="1017"/>
      <c r="AM419" s="1017"/>
      <c r="AN419" s="1017"/>
      <c r="AO419" s="1017"/>
      <c r="AQ419" s="992" t="s">
        <v>506</v>
      </c>
      <c r="AR419" s="992"/>
      <c r="AS419" s="992"/>
      <c r="AT419" s="992"/>
      <c r="AU419" s="992"/>
      <c r="AV419" s="187"/>
    </row>
    <row r="420" spans="2:48" ht="16.5" thickBot="1" x14ac:dyDescent="0.25">
      <c r="B420" s="1014" t="e">
        <f>VLOOKUP(U423,ID_archer_cible,5,FALSE)</f>
        <v>#N/A</v>
      </c>
      <c r="C420" s="1015"/>
      <c r="D420" s="1015"/>
      <c r="E420" s="1015"/>
      <c r="F420" s="1015"/>
      <c r="G420" s="1015"/>
      <c r="H420" s="1015"/>
      <c r="I420" s="1015"/>
      <c r="J420" s="1016"/>
      <c r="L420" s="1014" t="e">
        <f>VLOOKUP(U423,ID_archer_cible,6,FALSE)</f>
        <v>#N/A</v>
      </c>
      <c r="M420" s="1015"/>
      <c r="N420" s="1015"/>
      <c r="O420" s="1015"/>
      <c r="P420" s="1015"/>
      <c r="Q420" s="1016"/>
      <c r="S420" s="999" t="e">
        <f>VLOOKUP(U423,ID_archer_cible,8,FALSE)</f>
        <v>#N/A</v>
      </c>
      <c r="T420" s="1000"/>
      <c r="U420" s="1000"/>
      <c r="V420" s="1000"/>
      <c r="W420" s="1001"/>
      <c r="X420" s="186"/>
      <c r="Y420"/>
      <c r="Z420" s="1014" t="e">
        <f>VLOOKUP(AS423,ID_archer_cible,5,FALSE)</f>
        <v>#N/A</v>
      </c>
      <c r="AA420" s="1015"/>
      <c r="AB420" s="1015"/>
      <c r="AC420" s="1015"/>
      <c r="AD420" s="1015"/>
      <c r="AE420" s="1015"/>
      <c r="AF420" s="1015"/>
      <c r="AG420" s="1015"/>
      <c r="AH420" s="1016"/>
      <c r="AJ420" s="1014" t="e">
        <f>VLOOKUP(AS423,ID_archer_cible,6,FALSE)</f>
        <v>#N/A</v>
      </c>
      <c r="AK420" s="1015"/>
      <c r="AL420" s="1015"/>
      <c r="AM420" s="1015"/>
      <c r="AN420" s="1015"/>
      <c r="AO420" s="1016"/>
      <c r="AQ420" s="999" t="e">
        <f>VLOOKUP(AS423,ID_archer_cible,8,FALSE)</f>
        <v>#N/A</v>
      </c>
      <c r="AR420" s="1000"/>
      <c r="AS420" s="1000"/>
      <c r="AT420" s="1000"/>
      <c r="AU420" s="1001"/>
    </row>
    <row r="421" spans="2:48" x14ac:dyDescent="0.2">
      <c r="X421" s="186"/>
      <c r="Y421"/>
    </row>
    <row r="422" spans="2:48" x14ac:dyDescent="0.2">
      <c r="B422" s="992" t="s">
        <v>530</v>
      </c>
      <c r="C422" s="992"/>
      <c r="D422" s="992"/>
      <c r="E422" s="992"/>
      <c r="F422" s="992"/>
      <c r="G422" s="187"/>
      <c r="H422" s="992" t="s">
        <v>504</v>
      </c>
      <c r="I422" s="992"/>
      <c r="J422" s="992"/>
      <c r="K422" s="992"/>
      <c r="M422" s="992" t="s">
        <v>39</v>
      </c>
      <c r="N422" s="992"/>
      <c r="O422" s="992"/>
      <c r="Q422" s="1021"/>
      <c r="R422" s="1021"/>
      <c r="S422" s="1021"/>
      <c r="U422" s="992" t="s">
        <v>507</v>
      </c>
      <c r="V422" s="992"/>
      <c r="W422" s="992"/>
      <c r="X422" s="188"/>
      <c r="Y422"/>
      <c r="Z422" s="992" t="s">
        <v>530</v>
      </c>
      <c r="AA422" s="992"/>
      <c r="AB422" s="992"/>
      <c r="AC422" s="992"/>
      <c r="AD422" s="992"/>
      <c r="AE422" s="187"/>
      <c r="AF422" s="992" t="s">
        <v>504</v>
      </c>
      <c r="AG422" s="992"/>
      <c r="AH422" s="992"/>
      <c r="AI422" s="992"/>
      <c r="AK422" s="992" t="s">
        <v>39</v>
      </c>
      <c r="AL422" s="992"/>
      <c r="AM422" s="992"/>
      <c r="AO422" s="1021"/>
      <c r="AP422" s="1021"/>
      <c r="AQ422" s="1021"/>
      <c r="AS422" s="992" t="s">
        <v>507</v>
      </c>
      <c r="AT422" s="992"/>
      <c r="AU422" s="992"/>
      <c r="AV422" s="187"/>
    </row>
    <row r="423" spans="2:48" ht="15.75" x14ac:dyDescent="0.2">
      <c r="B423" s="1011" t="e">
        <f>VLOOKUP(U423,ID_archer_cible,7,FALSE)</f>
        <v>#N/A</v>
      </c>
      <c r="C423" s="1012"/>
      <c r="D423" s="1012"/>
      <c r="E423" s="1012"/>
      <c r="F423" s="1013"/>
      <c r="H423" s="999" t="e">
        <f>VLOOKUP(U423,ID_archer_cible,9,FALSE)</f>
        <v>#N/A</v>
      </c>
      <c r="I423" s="1000"/>
      <c r="J423" s="1000"/>
      <c r="K423" s="1001"/>
      <c r="M423" s="999" t="e">
        <f>VLOOKUP(U423,ID_archer_cible,10,FALSE)</f>
        <v>#N/A</v>
      </c>
      <c r="N423" s="1000"/>
      <c r="O423" s="1001"/>
      <c r="Q423" s="1021"/>
      <c r="R423" s="1021"/>
      <c r="S423" s="1021"/>
      <c r="T423" s="187"/>
      <c r="U423" s="996" t="str">
        <f>AR381&amp;"C"</f>
        <v>7C</v>
      </c>
      <c r="V423" s="997"/>
      <c r="W423" s="998"/>
      <c r="X423" s="188"/>
      <c r="Y423"/>
      <c r="Z423" s="1011" t="e">
        <f>VLOOKUP(AS423,ID_archer_cible,7,FALSE)</f>
        <v>#N/A</v>
      </c>
      <c r="AA423" s="1012"/>
      <c r="AB423" s="1012"/>
      <c r="AC423" s="1012"/>
      <c r="AD423" s="1013"/>
      <c r="AF423" s="999" t="e">
        <f>VLOOKUP(AS423,ID_archer_cible,9,FALSE)</f>
        <v>#N/A</v>
      </c>
      <c r="AG423" s="1000"/>
      <c r="AH423" s="1000"/>
      <c r="AI423" s="1001"/>
      <c r="AK423" s="999" t="e">
        <f>VLOOKUP(AS423,ID_archer_cible,10,FALSE)</f>
        <v>#N/A</v>
      </c>
      <c r="AL423" s="1000"/>
      <c r="AM423" s="1001"/>
      <c r="AO423" s="1021"/>
      <c r="AP423" s="1021"/>
      <c r="AQ423" s="1021"/>
      <c r="AR423" s="187"/>
      <c r="AS423" s="996" t="str">
        <f>AR381&amp;"D"</f>
        <v>7D</v>
      </c>
      <c r="AT423" s="997"/>
      <c r="AU423" s="998"/>
      <c r="AV423" s="187"/>
    </row>
    <row r="424" spans="2:48" x14ac:dyDescent="0.2">
      <c r="X424" s="186"/>
    </row>
    <row r="425" spans="2:48" x14ac:dyDescent="0.2">
      <c r="B425" s="185" t="s">
        <v>509</v>
      </c>
      <c r="E425" s="992" t="s">
        <v>510</v>
      </c>
      <c r="F425" s="992"/>
      <c r="G425" s="992"/>
      <c r="H425" s="992"/>
      <c r="I425" s="992"/>
      <c r="J425" s="992"/>
      <c r="K425" s="992"/>
      <c r="L425" s="992"/>
      <c r="M425" s="992"/>
      <c r="N425" s="992"/>
      <c r="P425" s="992" t="s">
        <v>511</v>
      </c>
      <c r="Q425" s="992"/>
      <c r="R425" s="992"/>
      <c r="X425" s="186"/>
      <c r="Z425" s="185" t="s">
        <v>509</v>
      </c>
      <c r="AC425" s="992" t="s">
        <v>510</v>
      </c>
      <c r="AD425" s="992"/>
      <c r="AE425" s="992"/>
      <c r="AF425" s="992"/>
      <c r="AG425" s="992"/>
      <c r="AH425" s="992"/>
      <c r="AI425" s="992"/>
      <c r="AJ425" s="992"/>
      <c r="AK425" s="992"/>
      <c r="AL425" s="992"/>
      <c r="AN425" s="992" t="s">
        <v>511</v>
      </c>
      <c r="AO425" s="992"/>
      <c r="AP425" s="992"/>
    </row>
    <row r="426" spans="2:48" ht="20.25" customHeight="1" x14ac:dyDescent="0.2">
      <c r="B426" s="1009" t="s">
        <v>513</v>
      </c>
      <c r="C426" s="1009"/>
      <c r="E426" s="189"/>
      <c r="F426" s="191"/>
      <c r="G426" s="189"/>
      <c r="H426" s="191"/>
      <c r="I426" s="189"/>
      <c r="J426" s="191"/>
      <c r="K426" s="189"/>
      <c r="L426" s="191"/>
      <c r="M426" s="189"/>
      <c r="N426" s="191"/>
      <c r="P426" s="189"/>
      <c r="Q426" s="190"/>
      <c r="R426" s="191"/>
      <c r="T426" s="992" t="s">
        <v>512</v>
      </c>
      <c r="U426" s="992"/>
      <c r="V426" s="992"/>
      <c r="W426" s="992"/>
      <c r="X426" s="188"/>
      <c r="Z426" s="1009" t="s">
        <v>513</v>
      </c>
      <c r="AA426" s="1009"/>
      <c r="AC426" s="189"/>
      <c r="AD426" s="191"/>
      <c r="AE426" s="189"/>
      <c r="AF426" s="191"/>
      <c r="AG426" s="189"/>
      <c r="AH426" s="191"/>
      <c r="AI426" s="189"/>
      <c r="AJ426" s="191"/>
      <c r="AK426" s="189"/>
      <c r="AL426" s="191"/>
      <c r="AN426" s="189"/>
      <c r="AO426" s="190"/>
      <c r="AP426" s="191"/>
      <c r="AR426" s="992" t="s">
        <v>512</v>
      </c>
      <c r="AS426" s="992"/>
      <c r="AT426" s="992"/>
      <c r="AU426" s="992"/>
      <c r="AV426" s="187"/>
    </row>
    <row r="427" spans="2:48" ht="20.25" customHeight="1" x14ac:dyDescent="0.2">
      <c r="B427" s="1009" t="s">
        <v>514</v>
      </c>
      <c r="C427" s="1009"/>
      <c r="E427" s="189"/>
      <c r="F427" s="191"/>
      <c r="G427" s="189"/>
      <c r="H427" s="191"/>
      <c r="I427" s="189"/>
      <c r="J427" s="191"/>
      <c r="K427" s="189"/>
      <c r="L427" s="191"/>
      <c r="M427" s="189"/>
      <c r="N427" s="191"/>
      <c r="P427" s="189"/>
      <c r="Q427" s="190"/>
      <c r="R427" s="191"/>
      <c r="T427" s="189"/>
      <c r="U427" s="190"/>
      <c r="V427" s="190"/>
      <c r="W427" s="191"/>
      <c r="X427" s="186"/>
      <c r="Z427" s="1009" t="s">
        <v>514</v>
      </c>
      <c r="AA427" s="1009"/>
      <c r="AC427" s="189"/>
      <c r="AD427" s="191"/>
      <c r="AE427" s="189"/>
      <c r="AF427" s="191"/>
      <c r="AG427" s="189"/>
      <c r="AH427" s="191"/>
      <c r="AI427" s="189"/>
      <c r="AJ427" s="191"/>
      <c r="AK427" s="189"/>
      <c r="AL427" s="191"/>
      <c r="AN427" s="189"/>
      <c r="AO427" s="190"/>
      <c r="AP427" s="191"/>
      <c r="AR427" s="189"/>
      <c r="AS427" s="190"/>
      <c r="AT427" s="190"/>
      <c r="AU427" s="191"/>
    </row>
    <row r="428" spans="2:48" ht="20.25" customHeight="1" x14ac:dyDescent="0.2">
      <c r="B428" s="1009" t="s">
        <v>515</v>
      </c>
      <c r="C428" s="1009"/>
      <c r="E428" s="189"/>
      <c r="F428" s="191"/>
      <c r="G428" s="189"/>
      <c r="H428" s="191"/>
      <c r="I428" s="189"/>
      <c r="J428" s="191"/>
      <c r="K428" s="189"/>
      <c r="L428" s="191"/>
      <c r="M428" s="189"/>
      <c r="N428" s="191"/>
      <c r="P428" s="189"/>
      <c r="Q428" s="190"/>
      <c r="R428" s="191"/>
      <c r="T428" s="189"/>
      <c r="U428" s="190"/>
      <c r="V428" s="190"/>
      <c r="W428" s="191"/>
      <c r="X428" s="186"/>
      <c r="Z428" s="1009" t="s">
        <v>515</v>
      </c>
      <c r="AA428" s="1009"/>
      <c r="AC428" s="189"/>
      <c r="AD428" s="191"/>
      <c r="AE428" s="189"/>
      <c r="AF428" s="191"/>
      <c r="AG428" s="189"/>
      <c r="AH428" s="191"/>
      <c r="AI428" s="189"/>
      <c r="AJ428" s="191"/>
      <c r="AK428" s="189"/>
      <c r="AL428" s="191"/>
      <c r="AN428" s="189"/>
      <c r="AO428" s="190"/>
      <c r="AP428" s="191"/>
      <c r="AR428" s="189"/>
      <c r="AS428" s="190"/>
      <c r="AT428" s="190"/>
      <c r="AU428" s="191"/>
    </row>
    <row r="429" spans="2:48" ht="20.25" customHeight="1" x14ac:dyDescent="0.2">
      <c r="B429" s="1009" t="s">
        <v>516</v>
      </c>
      <c r="C429" s="1009"/>
      <c r="E429" s="189"/>
      <c r="F429" s="191"/>
      <c r="G429" s="189"/>
      <c r="H429" s="191"/>
      <c r="I429" s="189"/>
      <c r="J429" s="191"/>
      <c r="K429" s="189"/>
      <c r="L429" s="191"/>
      <c r="M429" s="189"/>
      <c r="N429" s="191"/>
      <c r="P429" s="189"/>
      <c r="Q429" s="190"/>
      <c r="R429" s="191"/>
      <c r="T429" s="189"/>
      <c r="U429" s="190"/>
      <c r="V429" s="190"/>
      <c r="W429" s="191"/>
      <c r="X429" s="186"/>
      <c r="Z429" s="1009" t="s">
        <v>516</v>
      </c>
      <c r="AA429" s="1009"/>
      <c r="AC429" s="189"/>
      <c r="AD429" s="191"/>
      <c r="AE429" s="189"/>
      <c r="AF429" s="191"/>
      <c r="AG429" s="189"/>
      <c r="AH429" s="191"/>
      <c r="AI429" s="189"/>
      <c r="AJ429" s="191"/>
      <c r="AK429" s="189"/>
      <c r="AL429" s="191"/>
      <c r="AN429" s="189"/>
      <c r="AO429" s="190"/>
      <c r="AP429" s="191"/>
      <c r="AR429" s="189"/>
      <c r="AS429" s="190"/>
      <c r="AT429" s="190"/>
      <c r="AU429" s="191"/>
    </row>
    <row r="430" spans="2:48" ht="20.25" customHeight="1" x14ac:dyDescent="0.2">
      <c r="B430" s="1009" t="s">
        <v>517</v>
      </c>
      <c r="C430" s="1009"/>
      <c r="E430" s="189"/>
      <c r="F430" s="191"/>
      <c r="G430" s="189"/>
      <c r="H430" s="191"/>
      <c r="I430" s="189"/>
      <c r="J430" s="191"/>
      <c r="K430" s="189"/>
      <c r="L430" s="191"/>
      <c r="M430" s="189"/>
      <c r="N430" s="191"/>
      <c r="P430" s="189"/>
      <c r="Q430" s="190"/>
      <c r="R430" s="191"/>
      <c r="T430" s="189"/>
      <c r="U430" s="190"/>
      <c r="V430" s="190"/>
      <c r="W430" s="191"/>
      <c r="X430" s="186"/>
      <c r="Z430" s="1009" t="s">
        <v>517</v>
      </c>
      <c r="AA430" s="1009"/>
      <c r="AC430" s="189"/>
      <c r="AD430" s="191"/>
      <c r="AE430" s="189"/>
      <c r="AF430" s="191"/>
      <c r="AG430" s="189"/>
      <c r="AH430" s="191"/>
      <c r="AI430" s="189"/>
      <c r="AJ430" s="191"/>
      <c r="AK430" s="189"/>
      <c r="AL430" s="191"/>
      <c r="AN430" s="189"/>
      <c r="AO430" s="190"/>
      <c r="AP430" s="191"/>
      <c r="AR430" s="189"/>
      <c r="AS430" s="190"/>
      <c r="AT430" s="190"/>
      <c r="AU430" s="191"/>
    </row>
    <row r="431" spans="2:48" ht="20.25" customHeight="1" x14ac:dyDescent="0.2">
      <c r="B431" s="1009" t="s">
        <v>518</v>
      </c>
      <c r="C431" s="1009"/>
      <c r="E431" s="189"/>
      <c r="F431" s="191"/>
      <c r="G431" s="189"/>
      <c r="H431" s="191"/>
      <c r="I431" s="189"/>
      <c r="J431" s="191"/>
      <c r="K431" s="189"/>
      <c r="L431" s="191"/>
      <c r="M431" s="189"/>
      <c r="N431" s="191"/>
      <c r="P431" s="189"/>
      <c r="Q431" s="190"/>
      <c r="R431" s="191"/>
      <c r="T431" s="189"/>
      <c r="U431" s="190"/>
      <c r="V431" s="190"/>
      <c r="W431" s="191"/>
      <c r="X431" s="186"/>
      <c r="Z431" s="1009" t="s">
        <v>518</v>
      </c>
      <c r="AA431" s="1009"/>
      <c r="AC431" s="189"/>
      <c r="AD431" s="191"/>
      <c r="AE431" s="189"/>
      <c r="AF431" s="191"/>
      <c r="AG431" s="189"/>
      <c r="AH431" s="191"/>
      <c r="AI431" s="189"/>
      <c r="AJ431" s="191"/>
      <c r="AK431" s="189"/>
      <c r="AL431" s="191"/>
      <c r="AN431" s="189"/>
      <c r="AO431" s="190"/>
      <c r="AP431" s="191"/>
      <c r="AR431" s="189"/>
      <c r="AS431" s="190"/>
      <c r="AT431" s="190"/>
      <c r="AU431" s="191"/>
    </row>
    <row r="432" spans="2:48" ht="15.75" thickBot="1" x14ac:dyDescent="0.25">
      <c r="B432" s="187"/>
      <c r="C432" s="187"/>
      <c r="X432" s="186"/>
      <c r="Z432" s="187"/>
      <c r="AA432" s="187"/>
    </row>
    <row r="433" spans="2:48" ht="20.25" customHeight="1" thickBot="1" x14ac:dyDescent="0.25">
      <c r="P433" s="197" t="s">
        <v>519</v>
      </c>
      <c r="Q433" s="197"/>
      <c r="R433" s="197"/>
      <c r="S433" s="197"/>
      <c r="T433" s="192"/>
      <c r="U433" s="193"/>
      <c r="V433" s="193"/>
      <c r="W433" s="194"/>
      <c r="X433" s="186"/>
      <c r="AN433" s="197" t="s">
        <v>519</v>
      </c>
      <c r="AO433" s="197"/>
      <c r="AP433" s="197"/>
      <c r="AQ433" s="197"/>
      <c r="AR433" s="192"/>
      <c r="AS433" s="193"/>
      <c r="AT433" s="193"/>
      <c r="AU433" s="194"/>
    </row>
    <row r="434" spans="2:48" x14ac:dyDescent="0.2">
      <c r="E434" s="196"/>
      <c r="F434" s="196"/>
      <c r="G434" s="196"/>
      <c r="H434" s="196"/>
      <c r="I434" s="196"/>
      <c r="J434" s="196"/>
      <c r="K434" s="196"/>
      <c r="L434" s="196"/>
      <c r="M434" s="196"/>
      <c r="X434" s="186"/>
      <c r="AC434" s="196"/>
      <c r="AD434" s="196"/>
      <c r="AE434" s="196"/>
      <c r="AF434" s="196"/>
      <c r="AG434" s="196"/>
      <c r="AH434" s="196"/>
      <c r="AI434" s="196"/>
      <c r="AJ434" s="196"/>
      <c r="AK434" s="196"/>
    </row>
    <row r="435" spans="2:48" x14ac:dyDescent="0.2">
      <c r="B435" s="1010" t="s">
        <v>521</v>
      </c>
      <c r="C435" s="1010"/>
      <c r="D435" s="1010"/>
      <c r="E435" s="1010"/>
      <c r="F435" s="1010"/>
      <c r="G435" s="1010"/>
      <c r="H435" s="195"/>
      <c r="I435" s="1004" t="s">
        <v>522</v>
      </c>
      <c r="J435" s="1004"/>
      <c r="K435" s="1004"/>
      <c r="L435" s="1004"/>
      <c r="M435" s="1004"/>
      <c r="N435" s="1004"/>
      <c r="O435" s="1004"/>
      <c r="P435" s="1004"/>
      <c r="Q435" s="1004"/>
      <c r="R435" s="1004"/>
      <c r="S435" s="1004"/>
      <c r="T435" s="1004"/>
      <c r="U435" s="1004"/>
      <c r="V435" s="1004"/>
      <c r="W435" s="1004"/>
      <c r="X435" s="198"/>
      <c r="Y435" s="195"/>
      <c r="Z435" s="1010" t="s">
        <v>521</v>
      </c>
      <c r="AA435" s="1010"/>
      <c r="AB435" s="1010"/>
      <c r="AC435" s="1010"/>
      <c r="AD435" s="1010"/>
      <c r="AE435" s="1010"/>
      <c r="AF435" s="195"/>
      <c r="AG435" s="1004" t="s">
        <v>522</v>
      </c>
      <c r="AH435" s="1004"/>
      <c r="AI435" s="1004"/>
      <c r="AJ435" s="1004"/>
      <c r="AK435" s="1004"/>
      <c r="AL435" s="1004"/>
      <c r="AM435" s="1004"/>
      <c r="AN435" s="1004"/>
      <c r="AO435" s="1004"/>
      <c r="AP435" s="1004"/>
      <c r="AQ435" s="1004"/>
      <c r="AR435" s="1004"/>
      <c r="AS435" s="1004"/>
      <c r="AT435" s="1004"/>
      <c r="AU435" s="1004"/>
      <c r="AV435" s="195"/>
    </row>
    <row r="436" spans="2:48" x14ac:dyDescent="0.2">
      <c r="B436" s="1005" t="s">
        <v>520</v>
      </c>
      <c r="C436" s="1006"/>
      <c r="D436" s="1006"/>
      <c r="E436" s="1006"/>
      <c r="F436" s="1006"/>
      <c r="G436" s="1007"/>
      <c r="I436" s="1005" t="s">
        <v>0</v>
      </c>
      <c r="J436" s="1006"/>
      <c r="K436" s="1006"/>
      <c r="L436" s="1006"/>
      <c r="M436" s="1006"/>
      <c r="N436" s="1006"/>
      <c r="O436" s="1006"/>
      <c r="P436" s="1006"/>
      <c r="Q436" s="1006"/>
      <c r="R436" s="1006"/>
      <c r="S436" s="1006"/>
      <c r="T436" s="1006"/>
      <c r="U436" s="1006"/>
      <c r="V436" s="1006"/>
      <c r="W436" s="1007"/>
      <c r="X436" s="186"/>
      <c r="Z436" s="1005" t="s">
        <v>520</v>
      </c>
      <c r="AA436" s="1006"/>
      <c r="AB436" s="1006"/>
      <c r="AC436" s="1006"/>
      <c r="AD436" s="1006"/>
      <c r="AE436" s="1007"/>
      <c r="AG436" s="1005" t="s">
        <v>0</v>
      </c>
      <c r="AH436" s="1006"/>
      <c r="AI436" s="1006"/>
      <c r="AJ436" s="1006"/>
      <c r="AK436" s="1006"/>
      <c r="AL436" s="1006"/>
      <c r="AM436" s="1006"/>
      <c r="AN436" s="1006"/>
      <c r="AO436" s="1006"/>
      <c r="AP436" s="1006"/>
      <c r="AQ436" s="1006"/>
      <c r="AR436" s="1006"/>
      <c r="AS436" s="1006"/>
      <c r="AT436" s="1006"/>
      <c r="AU436" s="1007"/>
    </row>
    <row r="437" spans="2:48" x14ac:dyDescent="0.2">
      <c r="B437" s="199"/>
      <c r="C437" s="200"/>
      <c r="D437" s="200"/>
      <c r="E437" s="200"/>
      <c r="F437" s="200"/>
      <c r="G437" s="201"/>
      <c r="I437" s="199"/>
      <c r="J437" s="200"/>
      <c r="K437" s="200"/>
      <c r="L437" s="200"/>
      <c r="M437" s="200"/>
      <c r="N437" s="200"/>
      <c r="O437" s="200"/>
      <c r="P437" s="200"/>
      <c r="Q437" s="200"/>
      <c r="R437" s="200"/>
      <c r="S437" s="200"/>
      <c r="T437" s="200"/>
      <c r="U437" s="200"/>
      <c r="V437" s="200"/>
      <c r="W437" s="201"/>
      <c r="X437" s="186"/>
      <c r="Z437" s="199"/>
      <c r="AA437" s="200"/>
      <c r="AB437" s="200"/>
      <c r="AC437" s="200"/>
      <c r="AD437" s="200"/>
      <c r="AE437" s="201"/>
      <c r="AG437" s="199"/>
      <c r="AH437" s="200"/>
      <c r="AI437" s="200"/>
      <c r="AJ437" s="200"/>
      <c r="AK437" s="200"/>
      <c r="AL437" s="200"/>
      <c r="AM437" s="200"/>
      <c r="AN437" s="200"/>
      <c r="AO437" s="200"/>
      <c r="AP437" s="200"/>
      <c r="AQ437" s="200"/>
      <c r="AR437" s="200"/>
      <c r="AS437" s="200"/>
      <c r="AT437" s="200"/>
      <c r="AU437" s="201"/>
    </row>
    <row r="438" spans="2:48" x14ac:dyDescent="0.2">
      <c r="X438" s="186"/>
    </row>
    <row r="439" spans="2:48" x14ac:dyDescent="0.2">
      <c r="I439" s="1005" t="s">
        <v>481</v>
      </c>
      <c r="J439" s="1006"/>
      <c r="K439" s="1006"/>
      <c r="L439" s="1006"/>
      <c r="M439" s="1006"/>
      <c r="N439" s="1006"/>
      <c r="O439" s="1006"/>
      <c r="P439" s="1006"/>
      <c r="Q439" s="1007"/>
      <c r="R439" s="1005" t="s">
        <v>520</v>
      </c>
      <c r="S439" s="1006"/>
      <c r="T439" s="1006"/>
      <c r="U439" s="1006"/>
      <c r="V439" s="1006"/>
      <c r="W439" s="1007"/>
      <c r="X439" s="186"/>
      <c r="AG439" s="1005" t="s">
        <v>481</v>
      </c>
      <c r="AH439" s="1006"/>
      <c r="AI439" s="1006"/>
      <c r="AJ439" s="1006"/>
      <c r="AK439" s="1006"/>
      <c r="AL439" s="1006"/>
      <c r="AM439" s="1006"/>
      <c r="AN439" s="1006"/>
      <c r="AO439" s="1007"/>
      <c r="AP439" s="1005" t="s">
        <v>520</v>
      </c>
      <c r="AQ439" s="1006"/>
      <c r="AR439" s="1006"/>
      <c r="AS439" s="1006"/>
      <c r="AT439" s="1006"/>
      <c r="AU439" s="1007"/>
    </row>
    <row r="440" spans="2:48" x14ac:dyDescent="0.2">
      <c r="I440" s="199"/>
      <c r="J440" s="200"/>
      <c r="K440" s="200"/>
      <c r="L440" s="200"/>
      <c r="M440" s="200"/>
      <c r="N440" s="200"/>
      <c r="O440" s="200"/>
      <c r="P440" s="200"/>
      <c r="Q440" s="200"/>
      <c r="R440" s="199"/>
      <c r="S440" s="200"/>
      <c r="T440" s="200"/>
      <c r="U440" s="200"/>
      <c r="V440" s="200"/>
      <c r="W440" s="201"/>
      <c r="X440" s="186"/>
      <c r="AG440" s="199"/>
      <c r="AH440" s="200"/>
      <c r="AI440" s="200"/>
      <c r="AJ440" s="200"/>
      <c r="AK440" s="200"/>
      <c r="AL440" s="200"/>
      <c r="AM440" s="200"/>
      <c r="AN440" s="200"/>
      <c r="AO440" s="200"/>
      <c r="AP440" s="199"/>
      <c r="AQ440" s="200"/>
      <c r="AR440" s="200"/>
      <c r="AS440" s="200"/>
      <c r="AT440" s="200"/>
      <c r="AU440" s="201"/>
    </row>
    <row r="442" spans="2:48" ht="57.75" customHeight="1" x14ac:dyDescent="0.2">
      <c r="B442" s="1058" t="str">
        <f>Championnat</f>
        <v>Championnat de France de Tir à l'ARC</v>
      </c>
      <c r="C442" s="1058"/>
      <c r="D442" s="1058"/>
      <c r="E442" s="1058"/>
      <c r="F442" s="1058"/>
      <c r="G442" s="1058"/>
      <c r="H442" s="1058"/>
      <c r="I442" s="1058"/>
      <c r="J442" s="1058"/>
      <c r="K442" s="1058"/>
      <c r="L442" s="1058"/>
      <c r="M442" s="1058"/>
      <c r="N442" s="1058"/>
      <c r="O442" s="1058"/>
      <c r="P442" s="1058"/>
      <c r="Q442" s="1058"/>
      <c r="R442" s="1058"/>
      <c r="S442" s="1058"/>
      <c r="T442" s="1058"/>
      <c r="U442" s="1058"/>
      <c r="V442" s="1058"/>
      <c r="W442" s="1058"/>
      <c r="X442" s="1058"/>
      <c r="Y442" s="1058"/>
      <c r="Z442" s="1058"/>
      <c r="AA442" s="1058"/>
      <c r="AB442" s="1058"/>
      <c r="AC442" s="1058"/>
      <c r="AD442" s="1058"/>
      <c r="AE442" s="1058"/>
      <c r="AF442" s="1058"/>
      <c r="AG442" s="1058"/>
      <c r="AH442" s="1058"/>
      <c r="AI442" s="1058"/>
      <c r="AJ442" s="1058"/>
      <c r="AK442" s="1058"/>
      <c r="AL442" s="1058"/>
      <c r="AM442" s="1058"/>
      <c r="AN442" s="1058"/>
      <c r="AO442" s="1058"/>
      <c r="AP442" s="1058"/>
    </row>
    <row r="443" spans="2:48" ht="45" customHeight="1" thickBot="1" x14ac:dyDescent="0.25">
      <c r="B443" s="1018" t="str">
        <f>LIEU&amp;" - "&amp;DATE&amp;" - "&amp;CATEG</f>
        <v>L’Isle sur la Sorgue - 27 au 31 mars 2023 - Collèges Mixtes Etablissement</v>
      </c>
      <c r="C443" s="1018"/>
      <c r="D443" s="1018"/>
      <c r="E443" s="1018"/>
      <c r="F443" s="1018"/>
      <c r="G443" s="1018"/>
      <c r="H443" s="1018"/>
      <c r="I443" s="1018"/>
      <c r="J443" s="1018"/>
      <c r="K443" s="1018"/>
      <c r="L443" s="1018"/>
      <c r="M443" s="1018"/>
      <c r="N443" s="1018"/>
      <c r="O443" s="1018"/>
      <c r="P443" s="1018"/>
      <c r="Q443" s="1018"/>
      <c r="R443" s="1018"/>
      <c r="S443" s="1018"/>
      <c r="T443" s="1018"/>
      <c r="U443" s="1018"/>
      <c r="V443" s="1018"/>
      <c r="W443" s="1018"/>
      <c r="X443" s="1018"/>
      <c r="Y443" s="1018"/>
      <c r="Z443" s="1018"/>
      <c r="AA443" s="1018"/>
      <c r="AB443" s="1018"/>
      <c r="AC443" s="1018"/>
      <c r="AD443" s="1018"/>
      <c r="AE443" s="1018"/>
      <c r="AF443" s="1018"/>
      <c r="AG443" s="1018"/>
      <c r="AH443" s="1018"/>
      <c r="AI443" s="1018"/>
      <c r="AJ443" s="1018"/>
      <c r="AK443" s="1018"/>
      <c r="AL443" s="1018"/>
      <c r="AM443" s="1018"/>
      <c r="AN443" s="1018"/>
      <c r="AO443" s="1018"/>
      <c r="AP443" s="1018"/>
      <c r="AQ443" s="182"/>
      <c r="AR443" s="182"/>
      <c r="AS443" s="182"/>
      <c r="AT443" s="182"/>
      <c r="AU443" s="182"/>
      <c r="AV443" s="182"/>
    </row>
    <row r="444" spans="2:48" ht="26.25" customHeight="1" x14ac:dyDescent="0.2">
      <c r="B444" s="1059" t="str">
        <f>CATEG_IMPORTEE</f>
        <v>Collèges Mixtes Etablissement</v>
      </c>
      <c r="C444" s="1059"/>
      <c r="D444" s="1059"/>
      <c r="E444" s="1059"/>
      <c r="F444" s="1059"/>
      <c r="G444" s="1059"/>
      <c r="H444" s="1059"/>
      <c r="I444" s="1059"/>
      <c r="J444" s="1059"/>
      <c r="K444" s="1059"/>
      <c r="L444" s="1059"/>
      <c r="M444" s="1059"/>
      <c r="N444" s="1059"/>
      <c r="O444" s="1059"/>
      <c r="P444" s="1059"/>
      <c r="Q444" s="1059"/>
      <c r="R444" s="1059"/>
      <c r="S444" s="1059"/>
      <c r="T444" s="1059"/>
      <c r="U444" s="1059"/>
      <c r="V444" s="1059"/>
      <c r="W444" s="1059"/>
      <c r="X444" s="1059"/>
      <c r="Y444" s="1059"/>
      <c r="Z444" s="1059"/>
      <c r="AA444" s="1059"/>
      <c r="AB444" s="1059"/>
      <c r="AC444" s="1059"/>
      <c r="AD444" s="1059"/>
      <c r="AE444" s="1059"/>
      <c r="AF444" s="1059"/>
      <c r="AG444" s="1059"/>
      <c r="AH444" s="1059"/>
      <c r="AI444" s="1059"/>
      <c r="AJ444" s="1059"/>
      <c r="AK444" s="1059"/>
      <c r="AL444" s="1059"/>
      <c r="AM444" s="1059"/>
      <c r="AN444" s="1059"/>
      <c r="AO444" s="1059"/>
      <c r="AP444" s="1059"/>
      <c r="AQ444" s="182"/>
      <c r="AR444" s="1060">
        <f>AR381+1</f>
        <v>8</v>
      </c>
      <c r="AS444" s="1061"/>
      <c r="AT444" s="1062"/>
      <c r="AU444" s="182"/>
      <c r="AV444" s="182"/>
    </row>
    <row r="445" spans="2:48" ht="18" customHeight="1" x14ac:dyDescent="0.2">
      <c r="B445" s="182"/>
      <c r="C445" s="182"/>
      <c r="D445" s="182"/>
      <c r="E445" s="182"/>
      <c r="F445" s="182"/>
      <c r="G445" s="182"/>
      <c r="H445" s="182"/>
      <c r="I445" s="182"/>
      <c r="J445" s="182"/>
      <c r="K445" s="182"/>
      <c r="L445" s="182"/>
      <c r="M445" s="182"/>
      <c r="N445" s="182"/>
      <c r="O445" s="182"/>
      <c r="P445" s="182"/>
      <c r="Q445" s="182"/>
      <c r="R445" s="182"/>
      <c r="S445" s="182"/>
      <c r="T445" s="182"/>
      <c r="U445" s="182"/>
      <c r="V445" s="182"/>
      <c r="W445" s="182"/>
      <c r="X445" s="183"/>
      <c r="Y445" s="184"/>
      <c r="Z445" s="182"/>
      <c r="AA445" s="182"/>
      <c r="AB445" s="182"/>
      <c r="AC445" s="182"/>
      <c r="AD445" s="182"/>
      <c r="AE445" s="182"/>
      <c r="AF445" s="182"/>
      <c r="AG445" s="182"/>
      <c r="AH445" s="182"/>
      <c r="AI445" s="182"/>
      <c r="AJ445" s="182"/>
      <c r="AK445" s="182"/>
      <c r="AL445" s="182"/>
      <c r="AM445" s="182"/>
      <c r="AN445" s="182"/>
      <c r="AO445" s="182"/>
      <c r="AP445" s="182"/>
      <c r="AQ445" s="182"/>
      <c r="AR445" s="1063"/>
      <c r="AS445" s="1064"/>
      <c r="AT445" s="1065"/>
      <c r="AU445" s="182"/>
      <c r="AV445" s="182"/>
    </row>
    <row r="446" spans="2:48" ht="18.75" customHeight="1" thickBot="1" x14ac:dyDescent="0.25">
      <c r="B446" s="182"/>
      <c r="C446" s="182"/>
      <c r="D446" s="182"/>
      <c r="E446" s="182"/>
      <c r="F446" s="182"/>
      <c r="G446" s="182"/>
      <c r="H446" s="992" t="s">
        <v>374</v>
      </c>
      <c r="I446" s="992"/>
      <c r="J446" s="992"/>
      <c r="K446" s="992"/>
      <c r="L446" s="992"/>
      <c r="M446" s="992"/>
      <c r="N446" s="992"/>
      <c r="O446" s="992"/>
      <c r="P446" s="992"/>
      <c r="Q446" s="992"/>
      <c r="R446" s="182"/>
      <c r="S446" s="182"/>
      <c r="T446" s="182"/>
      <c r="U446" s="182"/>
      <c r="V446" s="182"/>
      <c r="W446" s="182"/>
      <c r="X446" s="183"/>
      <c r="Y446" s="182"/>
      <c r="Z446" s="182"/>
      <c r="AA446" s="182"/>
      <c r="AB446" s="182"/>
      <c r="AC446" s="182"/>
      <c r="AD446" s="182"/>
      <c r="AE446" s="992" t="s">
        <v>374</v>
      </c>
      <c r="AF446" s="992"/>
      <c r="AG446" s="992"/>
      <c r="AH446" s="992"/>
      <c r="AI446" s="992"/>
      <c r="AJ446" s="992"/>
      <c r="AK446" s="992"/>
      <c r="AL446" s="992"/>
      <c r="AM446" s="992"/>
      <c r="AN446" s="992"/>
      <c r="AO446" s="182"/>
      <c r="AP446" s="182"/>
      <c r="AQ446" s="182"/>
      <c r="AR446" s="1066"/>
      <c r="AS446" s="1067"/>
      <c r="AT446" s="1068"/>
      <c r="AU446" s="182"/>
      <c r="AV446" s="182"/>
    </row>
    <row r="447" spans="2:48" ht="18" x14ac:dyDescent="0.2">
      <c r="B447" s="182"/>
      <c r="C447" s="182"/>
      <c r="D447" s="182"/>
      <c r="E447" s="182"/>
      <c r="F447" s="182"/>
      <c r="G447" s="182"/>
      <c r="H447" s="1022" t="e">
        <f>VLOOKUP(U456,ID_archer_cible,4,FALSE)</f>
        <v>#N/A</v>
      </c>
      <c r="I447" s="1023"/>
      <c r="J447" s="1023"/>
      <c r="K447" s="1023"/>
      <c r="L447" s="1023"/>
      <c r="M447" s="1023"/>
      <c r="N447" s="1023"/>
      <c r="O447" s="1023"/>
      <c r="P447" s="1023"/>
      <c r="Q447" s="1024"/>
      <c r="R447" s="182"/>
      <c r="S447" s="182"/>
      <c r="T447" s="182"/>
      <c r="U447" s="182"/>
      <c r="V447" s="182"/>
      <c r="W447" s="182"/>
      <c r="X447" s="183"/>
      <c r="Y447" s="182"/>
      <c r="Z447" s="182"/>
      <c r="AA447" s="182"/>
      <c r="AB447" s="182"/>
      <c r="AC447" s="182"/>
      <c r="AD447" s="182"/>
      <c r="AE447" s="1022" t="e">
        <f>VLOOKUP(AS456,ID_archer_cible,4,FALSE)</f>
        <v>#N/A</v>
      </c>
      <c r="AF447" s="1023"/>
      <c r="AG447" s="1023"/>
      <c r="AH447" s="1023"/>
      <c r="AI447" s="1023"/>
      <c r="AJ447" s="1023"/>
      <c r="AK447" s="1023"/>
      <c r="AL447" s="1023"/>
      <c r="AM447" s="1023"/>
      <c r="AN447" s="1024"/>
      <c r="AO447" s="182"/>
      <c r="AP447" s="182"/>
      <c r="AQ447" s="182"/>
      <c r="AR447" s="182"/>
      <c r="AS447" s="182"/>
      <c r="AT447" s="182"/>
      <c r="AU447" s="182"/>
      <c r="AV447" s="182"/>
    </row>
    <row r="448" spans="2:48" x14ac:dyDescent="0.2">
      <c r="X448" s="186"/>
    </row>
    <row r="449" spans="2:48" x14ac:dyDescent="0.2">
      <c r="B449" s="1021" t="s">
        <v>0</v>
      </c>
      <c r="C449" s="1021"/>
      <c r="D449" s="1021"/>
      <c r="E449" s="1021"/>
      <c r="F449" s="1021"/>
      <c r="G449" s="1021"/>
      <c r="H449" s="1021"/>
      <c r="I449" s="1021"/>
      <c r="J449" s="1021"/>
      <c r="K449" s="1021"/>
      <c r="L449" s="1021"/>
      <c r="M449" s="187"/>
      <c r="P449" s="992" t="s">
        <v>375</v>
      </c>
      <c r="Q449" s="992"/>
      <c r="R449" s="992"/>
      <c r="S449" s="992"/>
      <c r="T449" s="992"/>
      <c r="U449" s="992"/>
      <c r="V449" s="992"/>
      <c r="W449" s="992"/>
      <c r="X449" s="188"/>
      <c r="Z449" s="1021" t="s">
        <v>0</v>
      </c>
      <c r="AA449" s="1021"/>
      <c r="AB449" s="1021"/>
      <c r="AC449" s="1021"/>
      <c r="AD449" s="1021"/>
      <c r="AE449" s="1021"/>
      <c r="AF449" s="1021"/>
      <c r="AG449" s="1021"/>
      <c r="AH449" s="1021"/>
      <c r="AI449" s="1021"/>
      <c r="AJ449" s="1021"/>
      <c r="AK449" s="187"/>
      <c r="AN449" s="992" t="s">
        <v>375</v>
      </c>
      <c r="AO449" s="992"/>
      <c r="AP449" s="992"/>
      <c r="AQ449" s="992"/>
      <c r="AR449" s="992"/>
      <c r="AS449" s="992"/>
      <c r="AT449" s="992"/>
      <c r="AU449" s="992"/>
      <c r="AV449" s="187"/>
    </row>
    <row r="450" spans="2:48" x14ac:dyDescent="0.2">
      <c r="B450" s="999" t="e">
        <f>VLOOKUP(U456,ID_archer_cible,2,FALSE)</f>
        <v>#N/A</v>
      </c>
      <c r="C450" s="1000"/>
      <c r="D450" s="1000"/>
      <c r="E450" s="1000"/>
      <c r="F450" s="1000"/>
      <c r="G450" s="1000"/>
      <c r="H450" s="1000"/>
      <c r="I450" s="1000"/>
      <c r="J450" s="1000"/>
      <c r="K450" s="1000"/>
      <c r="L450" s="1000"/>
      <c r="M450" s="1001"/>
      <c r="P450" s="999" t="e">
        <f>VLOOKUP(U456,ID_archer_cible,3,FALSE)</f>
        <v>#N/A</v>
      </c>
      <c r="Q450" s="1000"/>
      <c r="R450" s="1000"/>
      <c r="S450" s="1000"/>
      <c r="T450" s="1000"/>
      <c r="U450" s="1000"/>
      <c r="V450" s="1000"/>
      <c r="W450" s="1001"/>
      <c r="X450" s="186"/>
      <c r="Y450"/>
      <c r="Z450" s="999" t="e">
        <f>VLOOKUP(AS456,ID_archer_cible,2,FALSE)</f>
        <v>#N/A</v>
      </c>
      <c r="AA450" s="1000"/>
      <c r="AB450" s="1000"/>
      <c r="AC450" s="1000"/>
      <c r="AD450" s="1000"/>
      <c r="AE450" s="1000"/>
      <c r="AF450" s="1000"/>
      <c r="AG450" s="1000"/>
      <c r="AH450" s="1000"/>
      <c r="AI450" s="1000"/>
      <c r="AJ450" s="1000"/>
      <c r="AK450" s="1001"/>
      <c r="AN450" s="999" t="e">
        <f>VLOOKUP(AS456,ID_archer_cible,3,FALSE)</f>
        <v>#N/A</v>
      </c>
      <c r="AO450" s="1000"/>
      <c r="AP450" s="1000"/>
      <c r="AQ450" s="1000"/>
      <c r="AR450" s="1000"/>
      <c r="AS450" s="1000"/>
      <c r="AT450" s="1000"/>
      <c r="AU450" s="1001"/>
    </row>
    <row r="451" spans="2:48" x14ac:dyDescent="0.2">
      <c r="X451" s="186"/>
      <c r="Y451"/>
    </row>
    <row r="452" spans="2:48" ht="16.5" thickBot="1" x14ac:dyDescent="0.25">
      <c r="B452" s="1017" t="s">
        <v>1</v>
      </c>
      <c r="C452" s="1017"/>
      <c r="D452" s="1017"/>
      <c r="E452" s="1017"/>
      <c r="F452" s="1017"/>
      <c r="G452" s="1017"/>
      <c r="H452" s="1017"/>
      <c r="I452" s="1017"/>
      <c r="J452" s="1017"/>
      <c r="L452" s="1017" t="s">
        <v>505</v>
      </c>
      <c r="M452" s="1017"/>
      <c r="N452" s="1017"/>
      <c r="O452" s="1017"/>
      <c r="P452" s="1017"/>
      <c r="Q452" s="1017"/>
      <c r="S452" s="992" t="s">
        <v>506</v>
      </c>
      <c r="T452" s="992"/>
      <c r="U452" s="992"/>
      <c r="V452" s="992"/>
      <c r="W452" s="992"/>
      <c r="X452" s="188"/>
      <c r="Y452"/>
      <c r="Z452" s="1017" t="s">
        <v>1</v>
      </c>
      <c r="AA452" s="1017"/>
      <c r="AB452" s="1017"/>
      <c r="AC452" s="1017"/>
      <c r="AD452" s="1017"/>
      <c r="AE452" s="1017"/>
      <c r="AF452" s="1017"/>
      <c r="AG452" s="1017"/>
      <c r="AH452" s="1017"/>
      <c r="AJ452" s="1017" t="s">
        <v>505</v>
      </c>
      <c r="AK452" s="1017"/>
      <c r="AL452" s="1017"/>
      <c r="AM452" s="1017"/>
      <c r="AN452" s="1017"/>
      <c r="AO452" s="1017"/>
      <c r="AQ452" s="992" t="s">
        <v>506</v>
      </c>
      <c r="AR452" s="992"/>
      <c r="AS452" s="992"/>
      <c r="AT452" s="992"/>
      <c r="AU452" s="992"/>
      <c r="AV452" s="187"/>
    </row>
    <row r="453" spans="2:48" ht="16.5" thickBot="1" x14ac:dyDescent="0.25">
      <c r="B453" s="1014" t="e">
        <f>VLOOKUP(U456,ID_archer_cible,5,FALSE)</f>
        <v>#N/A</v>
      </c>
      <c r="C453" s="1015"/>
      <c r="D453" s="1015"/>
      <c r="E453" s="1015"/>
      <c r="F453" s="1015"/>
      <c r="G453" s="1015"/>
      <c r="H453" s="1015"/>
      <c r="I453" s="1015"/>
      <c r="J453" s="1016"/>
      <c r="L453" s="1014" t="e">
        <f>VLOOKUP(U456,ID_archer_cible,6,FALSE)</f>
        <v>#N/A</v>
      </c>
      <c r="M453" s="1015"/>
      <c r="N453" s="1015"/>
      <c r="O453" s="1015"/>
      <c r="P453" s="1015"/>
      <c r="Q453" s="1016"/>
      <c r="S453" s="999" t="e">
        <f>VLOOKUP(U456,ID_archer_cible,8,FALSE)</f>
        <v>#N/A</v>
      </c>
      <c r="T453" s="1000"/>
      <c r="U453" s="1000"/>
      <c r="V453" s="1000"/>
      <c r="W453" s="1001"/>
      <c r="X453" s="186"/>
      <c r="Y453"/>
      <c r="Z453" s="1014" t="e">
        <f>VLOOKUP(AS456,ID_archer_cible,5,FALSE)</f>
        <v>#N/A</v>
      </c>
      <c r="AA453" s="1015"/>
      <c r="AB453" s="1015"/>
      <c r="AC453" s="1015"/>
      <c r="AD453" s="1015"/>
      <c r="AE453" s="1015"/>
      <c r="AF453" s="1015"/>
      <c r="AG453" s="1015"/>
      <c r="AH453" s="1016"/>
      <c r="AJ453" s="1014" t="e">
        <f>VLOOKUP(AS456,ID_archer_cible,6,FALSE)</f>
        <v>#N/A</v>
      </c>
      <c r="AK453" s="1015"/>
      <c r="AL453" s="1015"/>
      <c r="AM453" s="1015"/>
      <c r="AN453" s="1015"/>
      <c r="AO453" s="1016"/>
      <c r="AQ453" s="999" t="e">
        <f>VLOOKUP(AS456,ID_archer_cible,8,FALSE)</f>
        <v>#N/A</v>
      </c>
      <c r="AR453" s="1000"/>
      <c r="AS453" s="1000"/>
      <c r="AT453" s="1000"/>
      <c r="AU453" s="1001"/>
    </row>
    <row r="454" spans="2:48" x14ac:dyDescent="0.2">
      <c r="X454" s="186"/>
      <c r="Y454"/>
    </row>
    <row r="455" spans="2:48" x14ac:dyDescent="0.2">
      <c r="B455" s="992" t="s">
        <v>530</v>
      </c>
      <c r="C455" s="992"/>
      <c r="D455" s="992"/>
      <c r="E455" s="992"/>
      <c r="F455" s="992"/>
      <c r="G455" s="187"/>
      <c r="H455" s="992" t="s">
        <v>504</v>
      </c>
      <c r="I455" s="992"/>
      <c r="J455" s="992"/>
      <c r="K455" s="992"/>
      <c r="M455" s="992" t="s">
        <v>39</v>
      </c>
      <c r="N455" s="992"/>
      <c r="O455" s="992"/>
      <c r="Q455" s="1021"/>
      <c r="R455" s="1021"/>
      <c r="S455" s="1021"/>
      <c r="U455" s="992" t="s">
        <v>507</v>
      </c>
      <c r="V455" s="992"/>
      <c r="W455" s="992"/>
      <c r="X455" s="188"/>
      <c r="Y455"/>
      <c r="Z455" s="992" t="s">
        <v>530</v>
      </c>
      <c r="AA455" s="992"/>
      <c r="AB455" s="992"/>
      <c r="AC455" s="992"/>
      <c r="AD455" s="992"/>
      <c r="AE455" s="187"/>
      <c r="AF455" s="992" t="s">
        <v>504</v>
      </c>
      <c r="AG455" s="992"/>
      <c r="AH455" s="992"/>
      <c r="AI455" s="992"/>
      <c r="AK455" s="992" t="s">
        <v>39</v>
      </c>
      <c r="AL455" s="992"/>
      <c r="AM455" s="992"/>
      <c r="AO455" s="1021"/>
      <c r="AP455" s="1021"/>
      <c r="AQ455" s="1021"/>
      <c r="AS455" s="992" t="s">
        <v>507</v>
      </c>
      <c r="AT455" s="992"/>
      <c r="AU455" s="992"/>
      <c r="AV455" s="187"/>
    </row>
    <row r="456" spans="2:48" ht="15.75" x14ac:dyDescent="0.2">
      <c r="B456" s="1011" t="e">
        <f>VLOOKUP(U456,ID_archer_cible,7,FALSE)</f>
        <v>#N/A</v>
      </c>
      <c r="C456" s="1012"/>
      <c r="D456" s="1012"/>
      <c r="E456" s="1012"/>
      <c r="F456" s="1013"/>
      <c r="H456" s="999" t="e">
        <f>VLOOKUP(U456,ID_archer_cible,9,FALSE)</f>
        <v>#N/A</v>
      </c>
      <c r="I456" s="1000"/>
      <c r="J456" s="1000"/>
      <c r="K456" s="1001"/>
      <c r="M456" s="999" t="e">
        <f>VLOOKUP(U456,ID_archer_cible,10,FALSE)</f>
        <v>#N/A</v>
      </c>
      <c r="N456" s="1000"/>
      <c r="O456" s="1001"/>
      <c r="Q456" s="1021"/>
      <c r="R456" s="1021"/>
      <c r="S456" s="1021"/>
      <c r="T456" s="187"/>
      <c r="U456" s="996" t="str">
        <f>AR444&amp;"A"</f>
        <v>8A</v>
      </c>
      <c r="V456" s="997"/>
      <c r="W456" s="998"/>
      <c r="X456" s="188"/>
      <c r="Y456"/>
      <c r="Z456" s="1011" t="e">
        <f>VLOOKUP(AS456,ID_archer_cible,7,FALSE)</f>
        <v>#N/A</v>
      </c>
      <c r="AA456" s="1012"/>
      <c r="AB456" s="1012"/>
      <c r="AC456" s="1012"/>
      <c r="AD456" s="1013"/>
      <c r="AF456" s="999" t="e">
        <f>VLOOKUP(AS456,ID_archer_cible,9,FALSE)</f>
        <v>#N/A</v>
      </c>
      <c r="AG456" s="1000"/>
      <c r="AH456" s="1000"/>
      <c r="AI456" s="1001"/>
      <c r="AK456" s="999" t="e">
        <f>VLOOKUP(AS456,ID_archer_cible,10,FALSE)</f>
        <v>#N/A</v>
      </c>
      <c r="AL456" s="1000"/>
      <c r="AM456" s="1001"/>
      <c r="AO456" s="1021"/>
      <c r="AP456" s="1021"/>
      <c r="AQ456" s="1021"/>
      <c r="AR456" s="187"/>
      <c r="AS456" s="996" t="str">
        <f>AR444&amp;"B"</f>
        <v>8B</v>
      </c>
      <c r="AT456" s="997"/>
      <c r="AU456" s="998"/>
      <c r="AV456" s="187"/>
    </row>
    <row r="457" spans="2:48" x14ac:dyDescent="0.2">
      <c r="X457" s="186"/>
    </row>
    <row r="458" spans="2:48" x14ac:dyDescent="0.2">
      <c r="B458" s="185" t="s">
        <v>509</v>
      </c>
      <c r="E458" s="992" t="s">
        <v>510</v>
      </c>
      <c r="F458" s="992"/>
      <c r="G458" s="992"/>
      <c r="H458" s="992"/>
      <c r="I458" s="992"/>
      <c r="J458" s="992"/>
      <c r="K458" s="992"/>
      <c r="L458" s="992"/>
      <c r="M458" s="992"/>
      <c r="N458" s="992"/>
      <c r="P458" s="992" t="s">
        <v>511</v>
      </c>
      <c r="Q458" s="992"/>
      <c r="R458" s="992"/>
      <c r="X458" s="186"/>
      <c r="Z458" s="185" t="s">
        <v>509</v>
      </c>
      <c r="AC458" s="992" t="s">
        <v>510</v>
      </c>
      <c r="AD458" s="992"/>
      <c r="AE458" s="992"/>
      <c r="AF458" s="992"/>
      <c r="AG458" s="992"/>
      <c r="AH458" s="992"/>
      <c r="AI458" s="992"/>
      <c r="AJ458" s="992"/>
      <c r="AK458" s="992"/>
      <c r="AL458" s="992"/>
      <c r="AN458" s="992" t="s">
        <v>511</v>
      </c>
      <c r="AO458" s="992"/>
      <c r="AP458" s="992"/>
    </row>
    <row r="459" spans="2:48" ht="20.25" customHeight="1" x14ac:dyDescent="0.2">
      <c r="B459" s="1009" t="s">
        <v>513</v>
      </c>
      <c r="C459" s="1009"/>
      <c r="E459" s="189"/>
      <c r="F459" s="191"/>
      <c r="G459" s="189"/>
      <c r="H459" s="191"/>
      <c r="I459" s="189"/>
      <c r="J459" s="191"/>
      <c r="K459" s="189"/>
      <c r="L459" s="191"/>
      <c r="M459" s="189"/>
      <c r="N459" s="191"/>
      <c r="P459" s="189"/>
      <c r="Q459" s="190"/>
      <c r="R459" s="191"/>
      <c r="T459" s="992" t="s">
        <v>512</v>
      </c>
      <c r="U459" s="992"/>
      <c r="V459" s="992"/>
      <c r="W459" s="992"/>
      <c r="X459" s="188"/>
      <c r="Z459" s="1009" t="s">
        <v>513</v>
      </c>
      <c r="AA459" s="1009"/>
      <c r="AC459" s="189"/>
      <c r="AD459" s="191"/>
      <c r="AE459" s="189"/>
      <c r="AF459" s="191"/>
      <c r="AG459" s="189"/>
      <c r="AH459" s="191"/>
      <c r="AI459" s="189"/>
      <c r="AJ459" s="191"/>
      <c r="AK459" s="189"/>
      <c r="AL459" s="191"/>
      <c r="AN459" s="189"/>
      <c r="AO459" s="190"/>
      <c r="AP459" s="191"/>
      <c r="AR459" s="992" t="s">
        <v>512</v>
      </c>
      <c r="AS459" s="992"/>
      <c r="AT459" s="992"/>
      <c r="AU459" s="992"/>
      <c r="AV459" s="187"/>
    </row>
    <row r="460" spans="2:48" ht="20.25" customHeight="1" x14ac:dyDescent="0.2">
      <c r="B460" s="1009" t="s">
        <v>514</v>
      </c>
      <c r="C460" s="1009"/>
      <c r="E460" s="189"/>
      <c r="F460" s="191"/>
      <c r="G460" s="189"/>
      <c r="H460" s="191"/>
      <c r="I460" s="189"/>
      <c r="J460" s="191"/>
      <c r="K460" s="189"/>
      <c r="L460" s="191"/>
      <c r="M460" s="189"/>
      <c r="N460" s="191"/>
      <c r="P460" s="189"/>
      <c r="Q460" s="190"/>
      <c r="R460" s="191"/>
      <c r="T460" s="189"/>
      <c r="U460" s="190"/>
      <c r="V460" s="190"/>
      <c r="W460" s="191"/>
      <c r="X460" s="186"/>
      <c r="Z460" s="1009" t="s">
        <v>514</v>
      </c>
      <c r="AA460" s="1009"/>
      <c r="AC460" s="189"/>
      <c r="AD460" s="191"/>
      <c r="AE460" s="189"/>
      <c r="AF460" s="191"/>
      <c r="AG460" s="189"/>
      <c r="AH460" s="191"/>
      <c r="AI460" s="189"/>
      <c r="AJ460" s="191"/>
      <c r="AK460" s="189"/>
      <c r="AL460" s="191"/>
      <c r="AN460" s="189"/>
      <c r="AO460" s="190"/>
      <c r="AP460" s="191"/>
      <c r="AR460" s="189"/>
      <c r="AS460" s="190"/>
      <c r="AT460" s="190"/>
      <c r="AU460" s="191"/>
    </row>
    <row r="461" spans="2:48" ht="20.25" customHeight="1" x14ac:dyDescent="0.2">
      <c r="B461" s="1009" t="s">
        <v>515</v>
      </c>
      <c r="C461" s="1009"/>
      <c r="E461" s="189"/>
      <c r="F461" s="191"/>
      <c r="G461" s="189"/>
      <c r="H461" s="191"/>
      <c r="I461" s="189"/>
      <c r="J461" s="191"/>
      <c r="K461" s="189"/>
      <c r="L461" s="191"/>
      <c r="M461" s="189"/>
      <c r="N461" s="191"/>
      <c r="P461" s="189"/>
      <c r="Q461" s="190"/>
      <c r="R461" s="191"/>
      <c r="T461" s="189"/>
      <c r="U461" s="190"/>
      <c r="V461" s="190"/>
      <c r="W461" s="191"/>
      <c r="X461" s="186"/>
      <c r="Z461" s="1009" t="s">
        <v>515</v>
      </c>
      <c r="AA461" s="1009"/>
      <c r="AC461" s="189"/>
      <c r="AD461" s="191"/>
      <c r="AE461" s="189"/>
      <c r="AF461" s="191"/>
      <c r="AG461" s="189"/>
      <c r="AH461" s="191"/>
      <c r="AI461" s="189"/>
      <c r="AJ461" s="191"/>
      <c r="AK461" s="189"/>
      <c r="AL461" s="191"/>
      <c r="AN461" s="189"/>
      <c r="AO461" s="190"/>
      <c r="AP461" s="191"/>
      <c r="AR461" s="189"/>
      <c r="AS461" s="190"/>
      <c r="AT461" s="190"/>
      <c r="AU461" s="191"/>
    </row>
    <row r="462" spans="2:48" ht="20.25" customHeight="1" x14ac:dyDescent="0.2">
      <c r="B462" s="1009" t="s">
        <v>516</v>
      </c>
      <c r="C462" s="1009"/>
      <c r="E462" s="189"/>
      <c r="F462" s="191"/>
      <c r="G462" s="189"/>
      <c r="H462" s="191"/>
      <c r="I462" s="189"/>
      <c r="J462" s="191"/>
      <c r="K462" s="189"/>
      <c r="L462" s="191"/>
      <c r="M462" s="189"/>
      <c r="N462" s="191"/>
      <c r="P462" s="189"/>
      <c r="Q462" s="190"/>
      <c r="R462" s="191"/>
      <c r="T462" s="189"/>
      <c r="U462" s="190"/>
      <c r="V462" s="190"/>
      <c r="W462" s="191"/>
      <c r="X462" s="186"/>
      <c r="Z462" s="1009" t="s">
        <v>516</v>
      </c>
      <c r="AA462" s="1009"/>
      <c r="AC462" s="189"/>
      <c r="AD462" s="191"/>
      <c r="AE462" s="189"/>
      <c r="AF462" s="191"/>
      <c r="AG462" s="189"/>
      <c r="AH462" s="191"/>
      <c r="AI462" s="189"/>
      <c r="AJ462" s="191"/>
      <c r="AK462" s="189"/>
      <c r="AL462" s="191"/>
      <c r="AN462" s="189"/>
      <c r="AO462" s="190"/>
      <c r="AP462" s="191"/>
      <c r="AR462" s="189"/>
      <c r="AS462" s="190"/>
      <c r="AT462" s="190"/>
      <c r="AU462" s="191"/>
    </row>
    <row r="463" spans="2:48" ht="20.25" customHeight="1" x14ac:dyDescent="0.2">
      <c r="B463" s="1009" t="s">
        <v>517</v>
      </c>
      <c r="C463" s="1009"/>
      <c r="E463" s="189"/>
      <c r="F463" s="191"/>
      <c r="G463" s="189"/>
      <c r="H463" s="191"/>
      <c r="I463" s="189"/>
      <c r="J463" s="191"/>
      <c r="K463" s="189"/>
      <c r="L463" s="191"/>
      <c r="M463" s="189"/>
      <c r="N463" s="191"/>
      <c r="P463" s="189"/>
      <c r="Q463" s="190"/>
      <c r="R463" s="191"/>
      <c r="T463" s="189"/>
      <c r="U463" s="190"/>
      <c r="V463" s="190"/>
      <c r="W463" s="191"/>
      <c r="X463" s="186"/>
      <c r="Z463" s="1009" t="s">
        <v>517</v>
      </c>
      <c r="AA463" s="1009"/>
      <c r="AC463" s="189"/>
      <c r="AD463" s="191"/>
      <c r="AE463" s="189"/>
      <c r="AF463" s="191"/>
      <c r="AG463" s="189"/>
      <c r="AH463" s="191"/>
      <c r="AI463" s="189"/>
      <c r="AJ463" s="191"/>
      <c r="AK463" s="189"/>
      <c r="AL463" s="191"/>
      <c r="AN463" s="189"/>
      <c r="AO463" s="190"/>
      <c r="AP463" s="191"/>
      <c r="AR463" s="189"/>
      <c r="AS463" s="190"/>
      <c r="AT463" s="190"/>
      <c r="AU463" s="191"/>
    </row>
    <row r="464" spans="2:48" ht="20.25" customHeight="1" x14ac:dyDescent="0.2">
      <c r="B464" s="1009" t="s">
        <v>518</v>
      </c>
      <c r="C464" s="1009"/>
      <c r="E464" s="189"/>
      <c r="F464" s="191"/>
      <c r="G464" s="189"/>
      <c r="H464" s="191"/>
      <c r="I464" s="189"/>
      <c r="J464" s="191"/>
      <c r="K464" s="189"/>
      <c r="L464" s="191"/>
      <c r="M464" s="189"/>
      <c r="N464" s="191"/>
      <c r="P464" s="189"/>
      <c r="Q464" s="190"/>
      <c r="R464" s="191"/>
      <c r="T464" s="189"/>
      <c r="U464" s="190"/>
      <c r="V464" s="190"/>
      <c r="W464" s="191"/>
      <c r="X464" s="186"/>
      <c r="Z464" s="1009" t="s">
        <v>518</v>
      </c>
      <c r="AA464" s="1009"/>
      <c r="AC464" s="189"/>
      <c r="AD464" s="191"/>
      <c r="AE464" s="189"/>
      <c r="AF464" s="191"/>
      <c r="AG464" s="189"/>
      <c r="AH464" s="191"/>
      <c r="AI464" s="189"/>
      <c r="AJ464" s="191"/>
      <c r="AK464" s="189"/>
      <c r="AL464" s="191"/>
      <c r="AN464" s="189"/>
      <c r="AO464" s="190"/>
      <c r="AP464" s="191"/>
      <c r="AR464" s="189"/>
      <c r="AS464" s="190"/>
      <c r="AT464" s="190"/>
      <c r="AU464" s="191"/>
    </row>
    <row r="465" spans="2:48" ht="15.75" thickBot="1" x14ac:dyDescent="0.25">
      <c r="B465" s="187"/>
      <c r="C465" s="187"/>
      <c r="X465" s="186"/>
      <c r="Z465" s="187"/>
      <c r="AA465" s="187"/>
    </row>
    <row r="466" spans="2:48" ht="20.25" customHeight="1" thickBot="1" x14ac:dyDescent="0.25">
      <c r="P466" s="197" t="s">
        <v>519</v>
      </c>
      <c r="Q466" s="197"/>
      <c r="R466" s="197"/>
      <c r="S466" s="197"/>
      <c r="T466" s="192"/>
      <c r="U466" s="193"/>
      <c r="V466" s="193"/>
      <c r="W466" s="194"/>
      <c r="X466" s="186"/>
      <c r="AN466" s="197" t="s">
        <v>519</v>
      </c>
      <c r="AO466" s="197"/>
      <c r="AP466" s="197"/>
      <c r="AQ466" s="197"/>
      <c r="AR466" s="192"/>
      <c r="AS466" s="193"/>
      <c r="AT466" s="193"/>
      <c r="AU466" s="194"/>
    </row>
    <row r="467" spans="2:48" x14ac:dyDescent="0.2">
      <c r="E467" s="196"/>
      <c r="F467" s="196"/>
      <c r="G467" s="196"/>
      <c r="H467" s="196"/>
      <c r="I467" s="196"/>
      <c r="J467" s="196"/>
      <c r="K467" s="196"/>
      <c r="L467" s="196"/>
      <c r="M467" s="196"/>
      <c r="X467" s="186"/>
      <c r="AC467" s="196"/>
      <c r="AD467" s="196"/>
      <c r="AE467" s="196"/>
      <c r="AF467" s="196"/>
      <c r="AG467" s="196"/>
      <c r="AH467" s="196"/>
      <c r="AI467" s="196"/>
      <c r="AJ467" s="196"/>
      <c r="AK467" s="196"/>
    </row>
    <row r="468" spans="2:48" x14ac:dyDescent="0.2">
      <c r="B468" s="1010" t="s">
        <v>521</v>
      </c>
      <c r="C468" s="1010"/>
      <c r="D468" s="1010"/>
      <c r="E468" s="1010"/>
      <c r="F468" s="1010"/>
      <c r="G468" s="1010"/>
      <c r="H468" s="195"/>
      <c r="I468" s="1010" t="s">
        <v>522</v>
      </c>
      <c r="J468" s="1010"/>
      <c r="K468" s="1010"/>
      <c r="L468" s="1010"/>
      <c r="M468" s="1010"/>
      <c r="N468" s="1010"/>
      <c r="O468" s="1010"/>
      <c r="P468" s="1010"/>
      <c r="Q468" s="1010"/>
      <c r="R468" s="1010"/>
      <c r="S468" s="1010"/>
      <c r="T468" s="1010"/>
      <c r="U468" s="1010"/>
      <c r="V468" s="1010"/>
      <c r="W468" s="1010"/>
      <c r="X468" s="198"/>
      <c r="Y468" s="195"/>
      <c r="Z468" s="1010" t="s">
        <v>521</v>
      </c>
      <c r="AA468" s="1010"/>
      <c r="AB468" s="1010"/>
      <c r="AC468" s="1010"/>
      <c r="AD468" s="1010"/>
      <c r="AE468" s="1010"/>
      <c r="AF468" s="195"/>
      <c r="AG468" s="1004" t="s">
        <v>522</v>
      </c>
      <c r="AH468" s="1004"/>
      <c r="AI468" s="1004"/>
      <c r="AJ468" s="1004"/>
      <c r="AK468" s="1004"/>
      <c r="AL468" s="1004"/>
      <c r="AM468" s="1004"/>
      <c r="AN468" s="1004"/>
      <c r="AO468" s="1004"/>
      <c r="AP468" s="1004"/>
      <c r="AQ468" s="1004"/>
      <c r="AR468" s="1004"/>
      <c r="AS468" s="1004"/>
      <c r="AT468" s="1004"/>
      <c r="AU468" s="1004"/>
      <c r="AV468" s="195"/>
    </row>
    <row r="469" spans="2:48" x14ac:dyDescent="0.2">
      <c r="B469" s="1005" t="s">
        <v>520</v>
      </c>
      <c r="C469" s="1006"/>
      <c r="D469" s="1006"/>
      <c r="E469" s="1006"/>
      <c r="F469" s="1006"/>
      <c r="G469" s="1007"/>
      <c r="I469" s="1005" t="s">
        <v>0</v>
      </c>
      <c r="J469" s="1006"/>
      <c r="K469" s="1006"/>
      <c r="L469" s="1006"/>
      <c r="M469" s="1006"/>
      <c r="N469" s="1006"/>
      <c r="O469" s="1006"/>
      <c r="P469" s="1006"/>
      <c r="Q469" s="1006"/>
      <c r="R469" s="1006"/>
      <c r="S469" s="1006"/>
      <c r="T469" s="1006"/>
      <c r="U469" s="1006"/>
      <c r="V469" s="1006"/>
      <c r="W469" s="1007"/>
      <c r="X469" s="186"/>
      <c r="Z469" s="1005" t="s">
        <v>520</v>
      </c>
      <c r="AA469" s="1006"/>
      <c r="AB469" s="1006"/>
      <c r="AC469" s="1006"/>
      <c r="AD469" s="1006"/>
      <c r="AE469" s="1007"/>
      <c r="AG469" s="1005" t="s">
        <v>0</v>
      </c>
      <c r="AH469" s="1006"/>
      <c r="AI469" s="1006"/>
      <c r="AJ469" s="1006"/>
      <c r="AK469" s="1006"/>
      <c r="AL469" s="1006"/>
      <c r="AM469" s="1006"/>
      <c r="AN469" s="1006"/>
      <c r="AO469" s="1006"/>
      <c r="AP469" s="1006"/>
      <c r="AQ469" s="1006"/>
      <c r="AR469" s="1006"/>
      <c r="AS469" s="1006"/>
      <c r="AT469" s="1006"/>
      <c r="AU469" s="1007"/>
    </row>
    <row r="470" spans="2:48" x14ac:dyDescent="0.2">
      <c r="B470" s="199"/>
      <c r="C470" s="200"/>
      <c r="D470" s="200"/>
      <c r="E470" s="200"/>
      <c r="F470" s="200"/>
      <c r="G470" s="201"/>
      <c r="I470" s="199"/>
      <c r="J470" s="200"/>
      <c r="K470" s="200"/>
      <c r="L470" s="200"/>
      <c r="M470" s="200"/>
      <c r="N470" s="200"/>
      <c r="O470" s="200"/>
      <c r="P470" s="200"/>
      <c r="Q470" s="200"/>
      <c r="R470" s="200"/>
      <c r="S470" s="200"/>
      <c r="T470" s="200"/>
      <c r="U470" s="200"/>
      <c r="V470" s="200"/>
      <c r="W470" s="201"/>
      <c r="X470" s="186"/>
      <c r="Z470" s="199"/>
      <c r="AA470" s="200"/>
      <c r="AB470" s="200"/>
      <c r="AC470" s="200"/>
      <c r="AD470" s="200"/>
      <c r="AE470" s="201"/>
      <c r="AG470" s="199"/>
      <c r="AH470" s="200"/>
      <c r="AI470" s="200"/>
      <c r="AJ470" s="200"/>
      <c r="AK470" s="200"/>
      <c r="AL470" s="200"/>
      <c r="AM470" s="200"/>
      <c r="AN470" s="200"/>
      <c r="AO470" s="200"/>
      <c r="AP470" s="200"/>
      <c r="AQ470" s="200"/>
      <c r="AR470" s="200"/>
      <c r="AS470" s="200"/>
      <c r="AT470" s="200"/>
      <c r="AU470" s="201"/>
    </row>
    <row r="471" spans="2:48" x14ac:dyDescent="0.2">
      <c r="X471" s="186"/>
    </row>
    <row r="472" spans="2:48" x14ac:dyDescent="0.2">
      <c r="I472" s="1005" t="s">
        <v>481</v>
      </c>
      <c r="J472" s="1006"/>
      <c r="K472" s="1006"/>
      <c r="L472" s="1006"/>
      <c r="M472" s="1006"/>
      <c r="N472" s="1006"/>
      <c r="O472" s="1006"/>
      <c r="P472" s="1006"/>
      <c r="Q472" s="1007"/>
      <c r="R472" s="1005" t="s">
        <v>520</v>
      </c>
      <c r="S472" s="1006"/>
      <c r="T472" s="1006"/>
      <c r="U472" s="1006"/>
      <c r="V472" s="1006"/>
      <c r="W472" s="1007"/>
      <c r="X472" s="186"/>
      <c r="AG472" s="1005" t="s">
        <v>481</v>
      </c>
      <c r="AH472" s="1006"/>
      <c r="AI472" s="1006"/>
      <c r="AJ472" s="1006"/>
      <c r="AK472" s="1006"/>
      <c r="AL472" s="1006"/>
      <c r="AM472" s="1006"/>
      <c r="AN472" s="1006"/>
      <c r="AO472" s="1007"/>
      <c r="AP472" s="1005" t="s">
        <v>520</v>
      </c>
      <c r="AQ472" s="1006"/>
      <c r="AR472" s="1006"/>
      <c r="AS472" s="1006"/>
      <c r="AT472" s="1006"/>
      <c r="AU472" s="1007"/>
    </row>
    <row r="473" spans="2:48" x14ac:dyDescent="0.2">
      <c r="I473" s="199"/>
      <c r="J473" s="200"/>
      <c r="K473" s="200"/>
      <c r="L473" s="200"/>
      <c r="M473" s="200"/>
      <c r="N473" s="200"/>
      <c r="O473" s="200"/>
      <c r="P473" s="200"/>
      <c r="Q473" s="200"/>
      <c r="R473" s="199"/>
      <c r="S473" s="200"/>
      <c r="T473" s="200"/>
      <c r="U473" s="200"/>
      <c r="V473" s="200"/>
      <c r="W473" s="201"/>
      <c r="X473" s="186"/>
      <c r="AG473" s="199"/>
      <c r="AH473" s="200"/>
      <c r="AI473" s="200"/>
      <c r="AJ473" s="200"/>
      <c r="AK473" s="200"/>
      <c r="AL473" s="200"/>
      <c r="AM473" s="200"/>
      <c r="AN473" s="200"/>
      <c r="AO473" s="200"/>
      <c r="AP473" s="199"/>
      <c r="AQ473" s="200"/>
      <c r="AR473" s="200"/>
      <c r="AS473" s="200"/>
      <c r="AT473" s="200"/>
      <c r="AU473" s="201"/>
    </row>
    <row r="474" spans="2:48" ht="39" customHeight="1" x14ac:dyDescent="0.2">
      <c r="B474" s="392"/>
      <c r="C474" s="392"/>
      <c r="D474" s="392"/>
      <c r="E474" s="392"/>
      <c r="F474" s="392"/>
      <c r="G474" s="392"/>
      <c r="H474" s="392"/>
      <c r="I474" s="392"/>
      <c r="J474" s="392"/>
      <c r="K474" s="392"/>
      <c r="L474" s="392"/>
      <c r="M474" s="392"/>
      <c r="N474" s="392"/>
      <c r="O474" s="392"/>
      <c r="P474" s="392"/>
      <c r="Q474" s="392"/>
      <c r="R474" s="392"/>
      <c r="S474" s="392"/>
      <c r="T474" s="392"/>
      <c r="U474" s="392"/>
      <c r="V474" s="392"/>
      <c r="W474" s="392"/>
      <c r="X474" s="393"/>
      <c r="Y474" s="394"/>
      <c r="Z474" s="392"/>
      <c r="AA474" s="392"/>
      <c r="AB474" s="392"/>
      <c r="AC474" s="392"/>
      <c r="AD474" s="392"/>
      <c r="AE474" s="392"/>
      <c r="AF474" s="392"/>
      <c r="AG474" s="392"/>
      <c r="AH474" s="392"/>
      <c r="AI474" s="392"/>
      <c r="AJ474" s="392"/>
      <c r="AK474" s="392"/>
      <c r="AL474" s="392"/>
      <c r="AM474" s="392"/>
      <c r="AN474" s="392"/>
      <c r="AO474" s="392"/>
      <c r="AP474" s="392"/>
      <c r="AQ474" s="392"/>
      <c r="AR474" s="392"/>
      <c r="AS474" s="392"/>
      <c r="AT474" s="392"/>
      <c r="AU474" s="392"/>
      <c r="AV474" s="392"/>
    </row>
    <row r="475" spans="2:48" ht="39" customHeight="1" x14ac:dyDescent="0.2">
      <c r="B475" s="182"/>
      <c r="C475" s="182"/>
      <c r="D475" s="182"/>
      <c r="E475" s="182"/>
      <c r="F475" s="182"/>
      <c r="G475" s="182"/>
      <c r="H475" s="182"/>
      <c r="I475" s="182"/>
      <c r="J475" s="182"/>
      <c r="K475" s="182"/>
      <c r="L475" s="182"/>
      <c r="M475" s="182"/>
      <c r="N475" s="182"/>
      <c r="O475" s="182"/>
      <c r="P475" s="182"/>
      <c r="Q475" s="182"/>
      <c r="R475" s="182"/>
      <c r="S475" s="182"/>
      <c r="T475" s="182"/>
      <c r="U475" s="182"/>
      <c r="V475" s="182"/>
      <c r="W475" s="182"/>
      <c r="X475" s="183"/>
      <c r="Y475" s="184"/>
      <c r="Z475" s="182"/>
      <c r="AA475" s="182"/>
      <c r="AB475" s="182"/>
      <c r="AC475" s="182"/>
      <c r="AD475" s="182"/>
      <c r="AE475" s="182"/>
      <c r="AF475" s="182"/>
      <c r="AG475" s="182"/>
      <c r="AH475" s="182"/>
      <c r="AI475" s="182"/>
      <c r="AJ475" s="182"/>
      <c r="AK475" s="182"/>
      <c r="AL475" s="182"/>
      <c r="AM475" s="182"/>
      <c r="AN475" s="182"/>
      <c r="AO475" s="182"/>
      <c r="AP475" s="182"/>
      <c r="AQ475" s="182"/>
      <c r="AR475" s="182"/>
      <c r="AS475" s="182"/>
      <c r="AT475" s="182"/>
      <c r="AU475" s="182"/>
      <c r="AV475" s="182"/>
    </row>
    <row r="476" spans="2:48" ht="18" x14ac:dyDescent="0.2">
      <c r="B476" s="182"/>
      <c r="C476" s="182"/>
      <c r="D476" s="182"/>
      <c r="E476" s="182"/>
      <c r="F476" s="182"/>
      <c r="G476" s="182"/>
      <c r="H476" s="992" t="s">
        <v>374</v>
      </c>
      <c r="I476" s="992"/>
      <c r="J476" s="992"/>
      <c r="K476" s="992"/>
      <c r="L476" s="992"/>
      <c r="M476" s="992"/>
      <c r="N476" s="992"/>
      <c r="O476" s="992"/>
      <c r="P476" s="992"/>
      <c r="Q476" s="992"/>
      <c r="R476" s="182"/>
      <c r="S476" s="182"/>
      <c r="T476" s="182"/>
      <c r="U476" s="182"/>
      <c r="V476" s="182"/>
      <c r="W476" s="182"/>
      <c r="X476" s="183"/>
      <c r="Y476" s="182"/>
      <c r="Z476" s="182"/>
      <c r="AA476" s="182"/>
      <c r="AB476" s="182"/>
      <c r="AC476" s="182"/>
      <c r="AD476" s="182"/>
      <c r="AE476" s="992" t="s">
        <v>374</v>
      </c>
      <c r="AF476" s="992"/>
      <c r="AG476" s="992"/>
      <c r="AH476" s="992"/>
      <c r="AI476" s="992"/>
      <c r="AJ476" s="992"/>
      <c r="AK476" s="992"/>
      <c r="AL476" s="992"/>
      <c r="AM476" s="992"/>
      <c r="AN476" s="992"/>
      <c r="AO476" s="182"/>
      <c r="AP476" s="182"/>
      <c r="AQ476" s="182"/>
      <c r="AR476" s="182"/>
      <c r="AS476" s="182"/>
      <c r="AT476" s="182"/>
      <c r="AU476" s="182"/>
      <c r="AV476" s="182"/>
    </row>
    <row r="477" spans="2:48" ht="18" x14ac:dyDescent="0.2">
      <c r="B477" s="182"/>
      <c r="C477" s="182"/>
      <c r="D477" s="182"/>
      <c r="E477" s="182"/>
      <c r="F477" s="182"/>
      <c r="G477" s="182"/>
      <c r="H477" s="1022" t="e">
        <f>VLOOKUP(U486,ID_archer_cible,4,FALSE)</f>
        <v>#N/A</v>
      </c>
      <c r="I477" s="1023"/>
      <c r="J477" s="1023"/>
      <c r="K477" s="1023"/>
      <c r="L477" s="1023"/>
      <c r="M477" s="1023"/>
      <c r="N477" s="1023"/>
      <c r="O477" s="1023"/>
      <c r="P477" s="1023"/>
      <c r="Q477" s="1024"/>
      <c r="R477" s="182"/>
      <c r="S477" s="182"/>
      <c r="T477" s="182"/>
      <c r="U477" s="182"/>
      <c r="V477" s="182"/>
      <c r="W477" s="182"/>
      <c r="X477" s="183"/>
      <c r="Y477" s="182"/>
      <c r="Z477" s="182"/>
      <c r="AA477" s="182"/>
      <c r="AB477" s="182"/>
      <c r="AC477" s="182"/>
      <c r="AD477" s="182"/>
      <c r="AE477" s="1022" t="e">
        <f>VLOOKUP(AS486,ID_archer_cible,4,FALSE)</f>
        <v>#N/A</v>
      </c>
      <c r="AF477" s="1023"/>
      <c r="AG477" s="1023"/>
      <c r="AH477" s="1023"/>
      <c r="AI477" s="1023"/>
      <c r="AJ477" s="1023"/>
      <c r="AK477" s="1023"/>
      <c r="AL477" s="1023"/>
      <c r="AM477" s="1023"/>
      <c r="AN477" s="1024"/>
      <c r="AO477" s="182"/>
      <c r="AP477" s="182"/>
      <c r="AQ477" s="182"/>
      <c r="AR477" s="182"/>
      <c r="AS477" s="182"/>
      <c r="AT477" s="182"/>
      <c r="AU477" s="182"/>
      <c r="AV477" s="182"/>
    </row>
    <row r="478" spans="2:48" x14ac:dyDescent="0.2">
      <c r="X478" s="186"/>
    </row>
    <row r="479" spans="2:48" x14ac:dyDescent="0.2">
      <c r="B479" s="1021" t="s">
        <v>0</v>
      </c>
      <c r="C479" s="1021"/>
      <c r="D479" s="1021"/>
      <c r="E479" s="1021"/>
      <c r="F479" s="1021"/>
      <c r="G479" s="1021"/>
      <c r="H479" s="1021"/>
      <c r="I479" s="1021"/>
      <c r="J479" s="1021"/>
      <c r="K479" s="1021"/>
      <c r="L479" s="1021"/>
      <c r="M479" s="187"/>
      <c r="P479" s="992" t="s">
        <v>375</v>
      </c>
      <c r="Q479" s="992"/>
      <c r="R479" s="992"/>
      <c r="S479" s="992"/>
      <c r="T479" s="992"/>
      <c r="U479" s="992"/>
      <c r="V479" s="992"/>
      <c r="W479" s="992"/>
      <c r="X479" s="188"/>
      <c r="Z479" s="1021" t="s">
        <v>0</v>
      </c>
      <c r="AA479" s="1021"/>
      <c r="AB479" s="1021"/>
      <c r="AC479" s="1021"/>
      <c r="AD479" s="1021"/>
      <c r="AE479" s="1021"/>
      <c r="AF479" s="1021"/>
      <c r="AG479" s="1021"/>
      <c r="AH479" s="1021"/>
      <c r="AI479" s="1021"/>
      <c r="AJ479" s="1021"/>
      <c r="AK479" s="187"/>
      <c r="AN479" s="992" t="s">
        <v>375</v>
      </c>
      <c r="AO479" s="992"/>
      <c r="AP479" s="992"/>
      <c r="AQ479" s="992"/>
      <c r="AR479" s="992"/>
      <c r="AS479" s="992"/>
      <c r="AT479" s="992"/>
      <c r="AU479" s="992"/>
      <c r="AV479" s="187"/>
    </row>
    <row r="480" spans="2:48" x14ac:dyDescent="0.2">
      <c r="B480" s="999" t="e">
        <f>VLOOKUP(U486,ID_archer_cible,2,FALSE)</f>
        <v>#N/A</v>
      </c>
      <c r="C480" s="1000"/>
      <c r="D480" s="1000"/>
      <c r="E480" s="1000"/>
      <c r="F480" s="1000"/>
      <c r="G480" s="1000"/>
      <c r="H480" s="1000"/>
      <c r="I480" s="1000"/>
      <c r="J480" s="1000"/>
      <c r="K480" s="1000"/>
      <c r="L480" s="1000"/>
      <c r="M480" s="1001"/>
      <c r="P480" s="999" t="e">
        <f>VLOOKUP(U486,ID_archer_cible,3,FALSE)</f>
        <v>#N/A</v>
      </c>
      <c r="Q480" s="1000"/>
      <c r="R480" s="1000"/>
      <c r="S480" s="1000"/>
      <c r="T480" s="1000"/>
      <c r="U480" s="1000"/>
      <c r="V480" s="1000"/>
      <c r="W480" s="1001"/>
      <c r="X480" s="186"/>
      <c r="Y480"/>
      <c r="Z480" s="999" t="e">
        <f>VLOOKUP(AS486,ID_archer_cible,2,FALSE)</f>
        <v>#N/A</v>
      </c>
      <c r="AA480" s="1000"/>
      <c r="AB480" s="1000"/>
      <c r="AC480" s="1000"/>
      <c r="AD480" s="1000"/>
      <c r="AE480" s="1000"/>
      <c r="AF480" s="1000"/>
      <c r="AG480" s="1000"/>
      <c r="AH480" s="1000"/>
      <c r="AI480" s="1000"/>
      <c r="AJ480" s="1000"/>
      <c r="AK480" s="1001"/>
      <c r="AN480" s="999" t="e">
        <f>VLOOKUP(AS486,ID_archer_cible,3,FALSE)</f>
        <v>#N/A</v>
      </c>
      <c r="AO480" s="1000"/>
      <c r="AP480" s="1000"/>
      <c r="AQ480" s="1000"/>
      <c r="AR480" s="1000"/>
      <c r="AS480" s="1000"/>
      <c r="AT480" s="1000"/>
      <c r="AU480" s="1001"/>
    </row>
    <row r="481" spans="2:48" x14ac:dyDescent="0.2">
      <c r="X481" s="186"/>
      <c r="Y481"/>
    </row>
    <row r="482" spans="2:48" ht="16.5" thickBot="1" x14ac:dyDescent="0.25">
      <c r="B482" s="1017" t="s">
        <v>1</v>
      </c>
      <c r="C482" s="1017"/>
      <c r="D482" s="1017"/>
      <c r="E482" s="1017"/>
      <c r="F482" s="1017"/>
      <c r="G482" s="1017"/>
      <c r="H482" s="1017"/>
      <c r="I482" s="1017"/>
      <c r="J482" s="1017"/>
      <c r="L482" s="1017" t="s">
        <v>505</v>
      </c>
      <c r="M482" s="1017"/>
      <c r="N482" s="1017"/>
      <c r="O482" s="1017"/>
      <c r="P482" s="1017"/>
      <c r="Q482" s="1017"/>
      <c r="S482" s="992" t="s">
        <v>506</v>
      </c>
      <c r="T482" s="992"/>
      <c r="U482" s="992"/>
      <c r="V482" s="992"/>
      <c r="W482" s="992"/>
      <c r="X482" s="188"/>
      <c r="Y482"/>
      <c r="Z482" s="1017" t="s">
        <v>1</v>
      </c>
      <c r="AA482" s="1017"/>
      <c r="AB482" s="1017"/>
      <c r="AC482" s="1017"/>
      <c r="AD482" s="1017"/>
      <c r="AE482" s="1017"/>
      <c r="AF482" s="1017"/>
      <c r="AG482" s="1017"/>
      <c r="AH482" s="1017"/>
      <c r="AJ482" s="1017" t="s">
        <v>505</v>
      </c>
      <c r="AK482" s="1017"/>
      <c r="AL482" s="1017"/>
      <c r="AM482" s="1017"/>
      <c r="AN482" s="1017"/>
      <c r="AO482" s="1017"/>
      <c r="AQ482" s="992" t="s">
        <v>506</v>
      </c>
      <c r="AR482" s="992"/>
      <c r="AS482" s="992"/>
      <c r="AT482" s="992"/>
      <c r="AU482" s="992"/>
      <c r="AV482" s="187"/>
    </row>
    <row r="483" spans="2:48" ht="16.5" thickBot="1" x14ac:dyDescent="0.25">
      <c r="B483" s="1014" t="e">
        <f>VLOOKUP(U486,ID_archer_cible,5,FALSE)</f>
        <v>#N/A</v>
      </c>
      <c r="C483" s="1015"/>
      <c r="D483" s="1015"/>
      <c r="E483" s="1015"/>
      <c r="F483" s="1015"/>
      <c r="G483" s="1015"/>
      <c r="H483" s="1015"/>
      <c r="I483" s="1015"/>
      <c r="J483" s="1016"/>
      <c r="L483" s="1014" t="e">
        <f>VLOOKUP(U486,ID_archer_cible,6,FALSE)</f>
        <v>#N/A</v>
      </c>
      <c r="M483" s="1015"/>
      <c r="N483" s="1015"/>
      <c r="O483" s="1015"/>
      <c r="P483" s="1015"/>
      <c r="Q483" s="1016"/>
      <c r="S483" s="999" t="e">
        <f>VLOOKUP(U486,ID_archer_cible,8,FALSE)</f>
        <v>#N/A</v>
      </c>
      <c r="T483" s="1000"/>
      <c r="U483" s="1000"/>
      <c r="V483" s="1000"/>
      <c r="W483" s="1001"/>
      <c r="X483" s="186"/>
      <c r="Y483"/>
      <c r="Z483" s="1014" t="e">
        <f>VLOOKUP(AS486,ID_archer_cible,5,FALSE)</f>
        <v>#N/A</v>
      </c>
      <c r="AA483" s="1015"/>
      <c r="AB483" s="1015"/>
      <c r="AC483" s="1015"/>
      <c r="AD483" s="1015"/>
      <c r="AE483" s="1015"/>
      <c r="AF483" s="1015"/>
      <c r="AG483" s="1015"/>
      <c r="AH483" s="1016"/>
      <c r="AJ483" s="1014" t="e">
        <f>VLOOKUP(AS486,ID_archer_cible,6,FALSE)</f>
        <v>#N/A</v>
      </c>
      <c r="AK483" s="1015"/>
      <c r="AL483" s="1015"/>
      <c r="AM483" s="1015"/>
      <c r="AN483" s="1015"/>
      <c r="AO483" s="1016"/>
      <c r="AQ483" s="999" t="e">
        <f>VLOOKUP(AS486,ID_archer_cible,8,FALSE)</f>
        <v>#N/A</v>
      </c>
      <c r="AR483" s="1000"/>
      <c r="AS483" s="1000"/>
      <c r="AT483" s="1000"/>
      <c r="AU483" s="1001"/>
    </row>
    <row r="484" spans="2:48" x14ac:dyDescent="0.2">
      <c r="X484" s="186"/>
      <c r="Y484"/>
    </row>
    <row r="485" spans="2:48" x14ac:dyDescent="0.2">
      <c r="B485" s="992" t="s">
        <v>530</v>
      </c>
      <c r="C485" s="992"/>
      <c r="D485" s="992"/>
      <c r="E485" s="992"/>
      <c r="F485" s="992"/>
      <c r="G485" s="187"/>
      <c r="H485" s="992" t="s">
        <v>504</v>
      </c>
      <c r="I485" s="992"/>
      <c r="J485" s="992"/>
      <c r="K485" s="992"/>
      <c r="M485" s="992" t="s">
        <v>39</v>
      </c>
      <c r="N485" s="992"/>
      <c r="O485" s="992"/>
      <c r="Q485" s="1021"/>
      <c r="R485" s="1021"/>
      <c r="S485" s="1021"/>
      <c r="U485" s="992" t="s">
        <v>507</v>
      </c>
      <c r="V485" s="992"/>
      <c r="W485" s="992"/>
      <c r="X485" s="188"/>
      <c r="Y485"/>
      <c r="Z485" s="992" t="s">
        <v>530</v>
      </c>
      <c r="AA485" s="992"/>
      <c r="AB485" s="992"/>
      <c r="AC485" s="992"/>
      <c r="AD485" s="992"/>
      <c r="AE485" s="187"/>
      <c r="AF485" s="992" t="s">
        <v>504</v>
      </c>
      <c r="AG485" s="992"/>
      <c r="AH485" s="992"/>
      <c r="AI485" s="992"/>
      <c r="AK485" s="992" t="s">
        <v>39</v>
      </c>
      <c r="AL485" s="992"/>
      <c r="AM485" s="992"/>
      <c r="AO485" s="1021"/>
      <c r="AP485" s="1021"/>
      <c r="AQ485" s="1021"/>
      <c r="AS485" s="992" t="s">
        <v>507</v>
      </c>
      <c r="AT485" s="992"/>
      <c r="AU485" s="992"/>
      <c r="AV485" s="187"/>
    </row>
    <row r="486" spans="2:48" ht="15.75" x14ac:dyDescent="0.2">
      <c r="B486" s="1011" t="e">
        <f>VLOOKUP(U486,ID_archer_cible,7,FALSE)</f>
        <v>#N/A</v>
      </c>
      <c r="C486" s="1012"/>
      <c r="D486" s="1012"/>
      <c r="E486" s="1012"/>
      <c r="F486" s="1013"/>
      <c r="H486" s="999" t="e">
        <f>VLOOKUP(U486,ID_archer_cible,9,FALSE)</f>
        <v>#N/A</v>
      </c>
      <c r="I486" s="1000"/>
      <c r="J486" s="1000"/>
      <c r="K486" s="1001"/>
      <c r="M486" s="999" t="e">
        <f>VLOOKUP(U486,ID_archer_cible,10,FALSE)</f>
        <v>#N/A</v>
      </c>
      <c r="N486" s="1000"/>
      <c r="O486" s="1001"/>
      <c r="Q486" s="1021"/>
      <c r="R486" s="1021"/>
      <c r="S486" s="1021"/>
      <c r="T486" s="187"/>
      <c r="U486" s="996" t="str">
        <f>AR444&amp;"C"</f>
        <v>8C</v>
      </c>
      <c r="V486" s="997"/>
      <c r="W486" s="998"/>
      <c r="X486" s="188"/>
      <c r="Y486"/>
      <c r="Z486" s="1011" t="e">
        <f>VLOOKUP(AS486,ID_archer_cible,7,FALSE)</f>
        <v>#N/A</v>
      </c>
      <c r="AA486" s="1012"/>
      <c r="AB486" s="1012"/>
      <c r="AC486" s="1012"/>
      <c r="AD486" s="1013"/>
      <c r="AF486" s="999" t="e">
        <f>VLOOKUP(AS486,ID_archer_cible,9,FALSE)</f>
        <v>#N/A</v>
      </c>
      <c r="AG486" s="1000"/>
      <c r="AH486" s="1000"/>
      <c r="AI486" s="1001"/>
      <c r="AK486" s="999" t="e">
        <f>VLOOKUP(AS486,ID_archer_cible,10,FALSE)</f>
        <v>#N/A</v>
      </c>
      <c r="AL486" s="1000"/>
      <c r="AM486" s="1001"/>
      <c r="AO486" s="1021"/>
      <c r="AP486" s="1021"/>
      <c r="AQ486" s="1021"/>
      <c r="AR486" s="187"/>
      <c r="AS486" s="996" t="str">
        <f>AR444&amp;"D"</f>
        <v>8D</v>
      </c>
      <c r="AT486" s="997"/>
      <c r="AU486" s="998"/>
      <c r="AV486" s="187"/>
    </row>
    <row r="487" spans="2:48" x14ac:dyDescent="0.2">
      <c r="X487" s="186"/>
    </row>
    <row r="488" spans="2:48" x14ac:dyDescent="0.2">
      <c r="B488" s="185" t="s">
        <v>509</v>
      </c>
      <c r="E488" s="992" t="s">
        <v>510</v>
      </c>
      <c r="F488" s="992"/>
      <c r="G488" s="992"/>
      <c r="H488" s="992"/>
      <c r="I488" s="992"/>
      <c r="J488" s="992"/>
      <c r="K488" s="992"/>
      <c r="L488" s="992"/>
      <c r="M488" s="992"/>
      <c r="N488" s="992"/>
      <c r="P488" s="992" t="s">
        <v>511</v>
      </c>
      <c r="Q488" s="992"/>
      <c r="R488" s="992"/>
      <c r="X488" s="186"/>
      <c r="Z488" s="185" t="s">
        <v>509</v>
      </c>
      <c r="AC488" s="992" t="s">
        <v>510</v>
      </c>
      <c r="AD488" s="992"/>
      <c r="AE488" s="992"/>
      <c r="AF488" s="992"/>
      <c r="AG488" s="992"/>
      <c r="AH488" s="992"/>
      <c r="AI488" s="992"/>
      <c r="AJ488" s="992"/>
      <c r="AK488" s="992"/>
      <c r="AL488" s="992"/>
      <c r="AN488" s="992" t="s">
        <v>511</v>
      </c>
      <c r="AO488" s="992"/>
      <c r="AP488" s="992"/>
    </row>
    <row r="489" spans="2:48" ht="20.25" customHeight="1" x14ac:dyDescent="0.2">
      <c r="B489" s="1009" t="s">
        <v>513</v>
      </c>
      <c r="C489" s="1009"/>
      <c r="E489" s="189"/>
      <c r="F489" s="191"/>
      <c r="G489" s="189"/>
      <c r="H489" s="191"/>
      <c r="I489" s="189"/>
      <c r="J489" s="191"/>
      <c r="K489" s="189"/>
      <c r="L489" s="191"/>
      <c r="M489" s="189"/>
      <c r="N489" s="191"/>
      <c r="P489" s="189"/>
      <c r="Q489" s="190"/>
      <c r="R489" s="191"/>
      <c r="T489" s="992" t="s">
        <v>512</v>
      </c>
      <c r="U489" s="992"/>
      <c r="V489" s="992"/>
      <c r="W489" s="992"/>
      <c r="X489" s="188"/>
      <c r="Z489" s="1009" t="s">
        <v>513</v>
      </c>
      <c r="AA489" s="1009"/>
      <c r="AC489" s="189"/>
      <c r="AD489" s="191"/>
      <c r="AE489" s="189"/>
      <c r="AF489" s="191"/>
      <c r="AG489" s="189"/>
      <c r="AH489" s="191"/>
      <c r="AI489" s="189"/>
      <c r="AJ489" s="191"/>
      <c r="AK489" s="189"/>
      <c r="AL489" s="191"/>
      <c r="AN489" s="189"/>
      <c r="AO489" s="190"/>
      <c r="AP489" s="191"/>
      <c r="AR489" s="992" t="s">
        <v>512</v>
      </c>
      <c r="AS489" s="992"/>
      <c r="AT489" s="992"/>
      <c r="AU489" s="992"/>
      <c r="AV489" s="187"/>
    </row>
    <row r="490" spans="2:48" ht="20.25" customHeight="1" x14ac:dyDescent="0.2">
      <c r="B490" s="1009" t="s">
        <v>514</v>
      </c>
      <c r="C490" s="1009"/>
      <c r="E490" s="189"/>
      <c r="F490" s="191"/>
      <c r="G490" s="189"/>
      <c r="H490" s="191"/>
      <c r="I490" s="189"/>
      <c r="J490" s="191"/>
      <c r="K490" s="189"/>
      <c r="L490" s="191"/>
      <c r="M490" s="189"/>
      <c r="N490" s="191"/>
      <c r="P490" s="189"/>
      <c r="Q490" s="190"/>
      <c r="R490" s="191"/>
      <c r="T490" s="189"/>
      <c r="U490" s="190"/>
      <c r="V490" s="190"/>
      <c r="W490" s="191"/>
      <c r="X490" s="186"/>
      <c r="Z490" s="1009" t="s">
        <v>514</v>
      </c>
      <c r="AA490" s="1009"/>
      <c r="AC490" s="189"/>
      <c r="AD490" s="191"/>
      <c r="AE490" s="189"/>
      <c r="AF490" s="191"/>
      <c r="AG490" s="189"/>
      <c r="AH490" s="191"/>
      <c r="AI490" s="189"/>
      <c r="AJ490" s="191"/>
      <c r="AK490" s="189"/>
      <c r="AL490" s="191"/>
      <c r="AN490" s="189"/>
      <c r="AO490" s="190"/>
      <c r="AP490" s="191"/>
      <c r="AR490" s="189"/>
      <c r="AS490" s="190"/>
      <c r="AT490" s="190"/>
      <c r="AU490" s="191"/>
    </row>
    <row r="491" spans="2:48" ht="20.25" customHeight="1" x14ac:dyDescent="0.2">
      <c r="B491" s="1009" t="s">
        <v>515</v>
      </c>
      <c r="C491" s="1009"/>
      <c r="E491" s="189"/>
      <c r="F491" s="191"/>
      <c r="G491" s="189"/>
      <c r="H491" s="191"/>
      <c r="I491" s="189"/>
      <c r="J491" s="191"/>
      <c r="K491" s="189"/>
      <c r="L491" s="191"/>
      <c r="M491" s="189"/>
      <c r="N491" s="191"/>
      <c r="P491" s="189"/>
      <c r="Q491" s="190"/>
      <c r="R491" s="191"/>
      <c r="T491" s="189"/>
      <c r="U491" s="190"/>
      <c r="V491" s="190"/>
      <c r="W491" s="191"/>
      <c r="X491" s="186"/>
      <c r="Z491" s="1009" t="s">
        <v>515</v>
      </c>
      <c r="AA491" s="1009"/>
      <c r="AC491" s="189"/>
      <c r="AD491" s="191"/>
      <c r="AE491" s="189"/>
      <c r="AF491" s="191"/>
      <c r="AG491" s="189"/>
      <c r="AH491" s="191"/>
      <c r="AI491" s="189"/>
      <c r="AJ491" s="191"/>
      <c r="AK491" s="189"/>
      <c r="AL491" s="191"/>
      <c r="AN491" s="189"/>
      <c r="AO491" s="190"/>
      <c r="AP491" s="191"/>
      <c r="AR491" s="189"/>
      <c r="AS491" s="190"/>
      <c r="AT491" s="190"/>
      <c r="AU491" s="191"/>
    </row>
    <row r="492" spans="2:48" ht="20.25" customHeight="1" x14ac:dyDescent="0.2">
      <c r="B492" s="1009" t="s">
        <v>516</v>
      </c>
      <c r="C492" s="1009"/>
      <c r="E492" s="189"/>
      <c r="F492" s="191"/>
      <c r="G492" s="189"/>
      <c r="H492" s="191"/>
      <c r="I492" s="189"/>
      <c r="J492" s="191"/>
      <c r="K492" s="189"/>
      <c r="L492" s="191"/>
      <c r="M492" s="189"/>
      <c r="N492" s="191"/>
      <c r="P492" s="189"/>
      <c r="Q492" s="190"/>
      <c r="R492" s="191"/>
      <c r="T492" s="189"/>
      <c r="U492" s="190"/>
      <c r="V492" s="190"/>
      <c r="W492" s="191"/>
      <c r="X492" s="186"/>
      <c r="Z492" s="1009" t="s">
        <v>516</v>
      </c>
      <c r="AA492" s="1009"/>
      <c r="AC492" s="189"/>
      <c r="AD492" s="191"/>
      <c r="AE492" s="189"/>
      <c r="AF492" s="191"/>
      <c r="AG492" s="189"/>
      <c r="AH492" s="191"/>
      <c r="AI492" s="189"/>
      <c r="AJ492" s="191"/>
      <c r="AK492" s="189"/>
      <c r="AL492" s="191"/>
      <c r="AN492" s="189"/>
      <c r="AO492" s="190"/>
      <c r="AP492" s="191"/>
      <c r="AR492" s="189"/>
      <c r="AS492" s="190"/>
      <c r="AT492" s="190"/>
      <c r="AU492" s="191"/>
    </row>
    <row r="493" spans="2:48" ht="20.25" customHeight="1" x14ac:dyDescent="0.2">
      <c r="B493" s="1009" t="s">
        <v>517</v>
      </c>
      <c r="C493" s="1009"/>
      <c r="E493" s="189"/>
      <c r="F493" s="191"/>
      <c r="G493" s="189"/>
      <c r="H493" s="191"/>
      <c r="I493" s="189"/>
      <c r="J493" s="191"/>
      <c r="K493" s="189"/>
      <c r="L493" s="191"/>
      <c r="M493" s="189"/>
      <c r="N493" s="191"/>
      <c r="P493" s="189"/>
      <c r="Q493" s="190"/>
      <c r="R493" s="191"/>
      <c r="T493" s="189"/>
      <c r="U493" s="190"/>
      <c r="V493" s="190"/>
      <c r="W493" s="191"/>
      <c r="X493" s="186"/>
      <c r="Z493" s="1009" t="s">
        <v>517</v>
      </c>
      <c r="AA493" s="1009"/>
      <c r="AC493" s="189"/>
      <c r="AD493" s="191"/>
      <c r="AE493" s="189"/>
      <c r="AF493" s="191"/>
      <c r="AG493" s="189"/>
      <c r="AH493" s="191"/>
      <c r="AI493" s="189"/>
      <c r="AJ493" s="191"/>
      <c r="AK493" s="189"/>
      <c r="AL493" s="191"/>
      <c r="AN493" s="189"/>
      <c r="AO493" s="190"/>
      <c r="AP493" s="191"/>
      <c r="AR493" s="189"/>
      <c r="AS493" s="190"/>
      <c r="AT493" s="190"/>
      <c r="AU493" s="191"/>
    </row>
    <row r="494" spans="2:48" ht="20.25" customHeight="1" x14ac:dyDescent="0.2">
      <c r="B494" s="1009" t="s">
        <v>518</v>
      </c>
      <c r="C494" s="1009"/>
      <c r="E494" s="189"/>
      <c r="F494" s="191"/>
      <c r="G494" s="189"/>
      <c r="H494" s="191"/>
      <c r="I494" s="189"/>
      <c r="J494" s="191"/>
      <c r="K494" s="189"/>
      <c r="L494" s="191"/>
      <c r="M494" s="189"/>
      <c r="N494" s="191"/>
      <c r="P494" s="189"/>
      <c r="Q494" s="190"/>
      <c r="R494" s="191"/>
      <c r="T494" s="189"/>
      <c r="U494" s="190"/>
      <c r="V494" s="190"/>
      <c r="W494" s="191"/>
      <c r="X494" s="186"/>
      <c r="Z494" s="1009" t="s">
        <v>518</v>
      </c>
      <c r="AA494" s="1009"/>
      <c r="AC494" s="189"/>
      <c r="AD494" s="191"/>
      <c r="AE494" s="189"/>
      <c r="AF494" s="191"/>
      <c r="AG494" s="189"/>
      <c r="AH494" s="191"/>
      <c r="AI494" s="189"/>
      <c r="AJ494" s="191"/>
      <c r="AK494" s="189"/>
      <c r="AL494" s="191"/>
      <c r="AN494" s="189"/>
      <c r="AO494" s="190"/>
      <c r="AP494" s="191"/>
      <c r="AR494" s="189"/>
      <c r="AS494" s="190"/>
      <c r="AT494" s="190"/>
      <c r="AU494" s="191"/>
    </row>
    <row r="495" spans="2:48" ht="15.75" thickBot="1" x14ac:dyDescent="0.25">
      <c r="B495" s="187"/>
      <c r="C495" s="187"/>
      <c r="X495" s="186"/>
      <c r="Z495" s="187"/>
      <c r="AA495" s="187"/>
    </row>
    <row r="496" spans="2:48" ht="20.25" customHeight="1" thickBot="1" x14ac:dyDescent="0.25">
      <c r="P496" s="197" t="s">
        <v>519</v>
      </c>
      <c r="Q496" s="197"/>
      <c r="R496" s="197"/>
      <c r="S496" s="197"/>
      <c r="T496" s="192"/>
      <c r="U496" s="193"/>
      <c r="V496" s="193"/>
      <c r="W496" s="194"/>
      <c r="X496" s="186"/>
      <c r="AN496" s="197" t="s">
        <v>519</v>
      </c>
      <c r="AO496" s="197"/>
      <c r="AP496" s="197"/>
      <c r="AQ496" s="197"/>
      <c r="AR496" s="192"/>
      <c r="AS496" s="193"/>
      <c r="AT496" s="193"/>
      <c r="AU496" s="194"/>
    </row>
    <row r="497" spans="2:48" x14ac:dyDescent="0.2">
      <c r="E497" s="196"/>
      <c r="F497" s="196"/>
      <c r="G497" s="196"/>
      <c r="H497" s="196"/>
      <c r="I497" s="196"/>
      <c r="J497" s="196"/>
      <c r="K497" s="196"/>
      <c r="L497" s="196"/>
      <c r="M497" s="196"/>
      <c r="X497" s="186"/>
      <c r="AC497" s="196"/>
      <c r="AD497" s="196"/>
      <c r="AE497" s="196"/>
      <c r="AF497" s="196"/>
      <c r="AG497" s="196"/>
      <c r="AH497" s="196"/>
      <c r="AI497" s="196"/>
      <c r="AJ497" s="196"/>
      <c r="AK497" s="196"/>
    </row>
    <row r="498" spans="2:48" x14ac:dyDescent="0.2">
      <c r="B498" s="1010" t="s">
        <v>521</v>
      </c>
      <c r="C498" s="1010"/>
      <c r="D498" s="1010"/>
      <c r="E498" s="1010"/>
      <c r="F498" s="1010"/>
      <c r="G498" s="1010"/>
      <c r="H498" s="195"/>
      <c r="I498" s="1004" t="s">
        <v>522</v>
      </c>
      <c r="J498" s="1004"/>
      <c r="K498" s="1004"/>
      <c r="L498" s="1004"/>
      <c r="M498" s="1004"/>
      <c r="N498" s="1004"/>
      <c r="O498" s="1004"/>
      <c r="P498" s="1004"/>
      <c r="Q498" s="1004"/>
      <c r="R498" s="1004"/>
      <c r="S498" s="1004"/>
      <c r="T498" s="1004"/>
      <c r="U498" s="1004"/>
      <c r="V498" s="1004"/>
      <c r="W498" s="1004"/>
      <c r="X498" s="198"/>
      <c r="Y498" s="195"/>
      <c r="Z498" s="1010" t="s">
        <v>521</v>
      </c>
      <c r="AA498" s="1010"/>
      <c r="AB498" s="1010"/>
      <c r="AC498" s="1010"/>
      <c r="AD498" s="1010"/>
      <c r="AE498" s="1010"/>
      <c r="AF498" s="195"/>
      <c r="AG498" s="1004" t="s">
        <v>522</v>
      </c>
      <c r="AH498" s="1004"/>
      <c r="AI498" s="1004"/>
      <c r="AJ498" s="1004"/>
      <c r="AK498" s="1004"/>
      <c r="AL498" s="1004"/>
      <c r="AM498" s="1004"/>
      <c r="AN498" s="1004"/>
      <c r="AO498" s="1004"/>
      <c r="AP498" s="1004"/>
      <c r="AQ498" s="1004"/>
      <c r="AR498" s="1004"/>
      <c r="AS498" s="1004"/>
      <c r="AT498" s="1004"/>
      <c r="AU498" s="1004"/>
      <c r="AV498" s="195"/>
    </row>
    <row r="499" spans="2:48" x14ac:dyDescent="0.2">
      <c r="B499" s="1005" t="s">
        <v>520</v>
      </c>
      <c r="C499" s="1006"/>
      <c r="D499" s="1006"/>
      <c r="E499" s="1006"/>
      <c r="F499" s="1006"/>
      <c r="G499" s="1007"/>
      <c r="I499" s="1005" t="s">
        <v>0</v>
      </c>
      <c r="J499" s="1006"/>
      <c r="K499" s="1006"/>
      <c r="L499" s="1006"/>
      <c r="M499" s="1006"/>
      <c r="N499" s="1006"/>
      <c r="O499" s="1006"/>
      <c r="P499" s="1006"/>
      <c r="Q499" s="1006"/>
      <c r="R499" s="1006"/>
      <c r="S499" s="1006"/>
      <c r="T499" s="1006"/>
      <c r="U499" s="1006"/>
      <c r="V499" s="1006"/>
      <c r="W499" s="1007"/>
      <c r="X499" s="186"/>
      <c r="Z499" s="1005" t="s">
        <v>520</v>
      </c>
      <c r="AA499" s="1006"/>
      <c r="AB499" s="1006"/>
      <c r="AC499" s="1006"/>
      <c r="AD499" s="1006"/>
      <c r="AE499" s="1007"/>
      <c r="AG499" s="1005" t="s">
        <v>0</v>
      </c>
      <c r="AH499" s="1006"/>
      <c r="AI499" s="1006"/>
      <c r="AJ499" s="1006"/>
      <c r="AK499" s="1006"/>
      <c r="AL499" s="1006"/>
      <c r="AM499" s="1006"/>
      <c r="AN499" s="1006"/>
      <c r="AO499" s="1006"/>
      <c r="AP499" s="1006"/>
      <c r="AQ499" s="1006"/>
      <c r="AR499" s="1006"/>
      <c r="AS499" s="1006"/>
      <c r="AT499" s="1006"/>
      <c r="AU499" s="1007"/>
    </row>
    <row r="500" spans="2:48" x14ac:dyDescent="0.2">
      <c r="B500" s="199"/>
      <c r="C500" s="200"/>
      <c r="D500" s="200"/>
      <c r="E500" s="200"/>
      <c r="F500" s="200"/>
      <c r="G500" s="201"/>
      <c r="I500" s="199"/>
      <c r="J500" s="200"/>
      <c r="K500" s="200"/>
      <c r="L500" s="200"/>
      <c r="M500" s="200"/>
      <c r="N500" s="200"/>
      <c r="O500" s="200"/>
      <c r="P500" s="200"/>
      <c r="Q500" s="200"/>
      <c r="R500" s="200"/>
      <c r="S500" s="200"/>
      <c r="T500" s="200"/>
      <c r="U500" s="200"/>
      <c r="V500" s="200"/>
      <c r="W500" s="201"/>
      <c r="X500" s="186"/>
      <c r="Z500" s="199"/>
      <c r="AA500" s="200"/>
      <c r="AB500" s="200"/>
      <c r="AC500" s="200"/>
      <c r="AD500" s="200"/>
      <c r="AE500" s="201"/>
      <c r="AG500" s="199"/>
      <c r="AH500" s="200"/>
      <c r="AI500" s="200"/>
      <c r="AJ500" s="200"/>
      <c r="AK500" s="200"/>
      <c r="AL500" s="200"/>
      <c r="AM500" s="200"/>
      <c r="AN500" s="200"/>
      <c r="AO500" s="200"/>
      <c r="AP500" s="200"/>
      <c r="AQ500" s="200"/>
      <c r="AR500" s="200"/>
      <c r="AS500" s="200"/>
      <c r="AT500" s="200"/>
      <c r="AU500" s="201"/>
    </row>
    <row r="501" spans="2:48" x14ac:dyDescent="0.2">
      <c r="X501" s="186"/>
    </row>
    <row r="502" spans="2:48" x14ac:dyDescent="0.2">
      <c r="I502" s="1005" t="s">
        <v>481</v>
      </c>
      <c r="J502" s="1006"/>
      <c r="K502" s="1006"/>
      <c r="L502" s="1006"/>
      <c r="M502" s="1006"/>
      <c r="N502" s="1006"/>
      <c r="O502" s="1006"/>
      <c r="P502" s="1006"/>
      <c r="Q502" s="1007"/>
      <c r="R502" s="1005" t="s">
        <v>520</v>
      </c>
      <c r="S502" s="1006"/>
      <c r="T502" s="1006"/>
      <c r="U502" s="1006"/>
      <c r="V502" s="1006"/>
      <c r="W502" s="1007"/>
      <c r="X502" s="186"/>
      <c r="AG502" s="1005" t="s">
        <v>481</v>
      </c>
      <c r="AH502" s="1006"/>
      <c r="AI502" s="1006"/>
      <c r="AJ502" s="1006"/>
      <c r="AK502" s="1006"/>
      <c r="AL502" s="1006"/>
      <c r="AM502" s="1006"/>
      <c r="AN502" s="1006"/>
      <c r="AO502" s="1007"/>
      <c r="AP502" s="1005" t="s">
        <v>520</v>
      </c>
      <c r="AQ502" s="1006"/>
      <c r="AR502" s="1006"/>
      <c r="AS502" s="1006"/>
      <c r="AT502" s="1006"/>
      <c r="AU502" s="1007"/>
    </row>
    <row r="503" spans="2:48" x14ac:dyDescent="0.2">
      <c r="I503" s="199"/>
      <c r="J503" s="200"/>
      <c r="K503" s="200"/>
      <c r="L503" s="200"/>
      <c r="M503" s="200"/>
      <c r="N503" s="200"/>
      <c r="O503" s="200"/>
      <c r="P503" s="200"/>
      <c r="Q503" s="200"/>
      <c r="R503" s="199"/>
      <c r="S503" s="200"/>
      <c r="T503" s="200"/>
      <c r="U503" s="200"/>
      <c r="V503" s="200"/>
      <c r="W503" s="201"/>
      <c r="X503" s="186"/>
      <c r="AG503" s="199"/>
      <c r="AH503" s="200"/>
      <c r="AI503" s="200"/>
      <c r="AJ503" s="200"/>
      <c r="AK503" s="200"/>
      <c r="AL503" s="200"/>
      <c r="AM503" s="200"/>
      <c r="AN503" s="200"/>
      <c r="AO503" s="200"/>
      <c r="AP503" s="199"/>
      <c r="AQ503" s="200"/>
      <c r="AR503" s="200"/>
      <c r="AS503" s="200"/>
      <c r="AT503" s="200"/>
      <c r="AU503" s="201"/>
    </row>
    <row r="505" spans="2:48" ht="57.75" customHeight="1" x14ac:dyDescent="0.2">
      <c r="B505" s="1058" t="str">
        <f>Championnat</f>
        <v>Championnat de France de Tir à l'ARC</v>
      </c>
      <c r="C505" s="1058"/>
      <c r="D505" s="1058"/>
      <c r="E505" s="1058"/>
      <c r="F505" s="1058"/>
      <c r="G505" s="1058"/>
      <c r="H505" s="1058"/>
      <c r="I505" s="1058"/>
      <c r="J505" s="1058"/>
      <c r="K505" s="1058"/>
      <c r="L505" s="1058"/>
      <c r="M505" s="1058"/>
      <c r="N505" s="1058"/>
      <c r="O505" s="1058"/>
      <c r="P505" s="1058"/>
      <c r="Q505" s="1058"/>
      <c r="R505" s="1058"/>
      <c r="S505" s="1058"/>
      <c r="T505" s="1058"/>
      <c r="U505" s="1058"/>
      <c r="V505" s="1058"/>
      <c r="W505" s="1058"/>
      <c r="X505" s="1058"/>
      <c r="Y505" s="1058"/>
      <c r="Z505" s="1058"/>
      <c r="AA505" s="1058"/>
      <c r="AB505" s="1058"/>
      <c r="AC505" s="1058"/>
      <c r="AD505" s="1058"/>
      <c r="AE505" s="1058"/>
      <c r="AF505" s="1058"/>
      <c r="AG505" s="1058"/>
      <c r="AH505" s="1058"/>
      <c r="AI505" s="1058"/>
      <c r="AJ505" s="1058"/>
      <c r="AK505" s="1058"/>
      <c r="AL505" s="1058"/>
      <c r="AM505" s="1058"/>
      <c r="AN505" s="1058"/>
      <c r="AO505" s="1058"/>
      <c r="AP505" s="1058"/>
    </row>
    <row r="506" spans="2:48" ht="45" customHeight="1" thickBot="1" x14ac:dyDescent="0.25">
      <c r="B506" s="1018" t="str">
        <f>LIEU&amp;" - "&amp;DATE&amp;" - "&amp;CATEG</f>
        <v>L’Isle sur la Sorgue - 27 au 31 mars 2023 - Collèges Mixtes Etablissement</v>
      </c>
      <c r="C506" s="1018"/>
      <c r="D506" s="1018"/>
      <c r="E506" s="1018"/>
      <c r="F506" s="1018"/>
      <c r="G506" s="1018"/>
      <c r="H506" s="1018"/>
      <c r="I506" s="1018"/>
      <c r="J506" s="1018"/>
      <c r="K506" s="1018"/>
      <c r="L506" s="1018"/>
      <c r="M506" s="1018"/>
      <c r="N506" s="1018"/>
      <c r="O506" s="1018"/>
      <c r="P506" s="1018"/>
      <c r="Q506" s="1018"/>
      <c r="R506" s="1018"/>
      <c r="S506" s="1018"/>
      <c r="T506" s="1018"/>
      <c r="U506" s="1018"/>
      <c r="V506" s="1018"/>
      <c r="W506" s="1018"/>
      <c r="X506" s="1018"/>
      <c r="Y506" s="1018"/>
      <c r="Z506" s="1018"/>
      <c r="AA506" s="1018"/>
      <c r="AB506" s="1018"/>
      <c r="AC506" s="1018"/>
      <c r="AD506" s="1018"/>
      <c r="AE506" s="1018"/>
      <c r="AF506" s="1018"/>
      <c r="AG506" s="1018"/>
      <c r="AH506" s="1018"/>
      <c r="AI506" s="1018"/>
      <c r="AJ506" s="1018"/>
      <c r="AK506" s="1018"/>
      <c r="AL506" s="1018"/>
      <c r="AM506" s="1018"/>
      <c r="AN506" s="1018"/>
      <c r="AO506" s="1018"/>
      <c r="AP506" s="1018"/>
      <c r="AQ506" s="182"/>
      <c r="AR506" s="182"/>
      <c r="AS506" s="182"/>
      <c r="AT506" s="182"/>
      <c r="AU506" s="182"/>
      <c r="AV506" s="182"/>
    </row>
    <row r="507" spans="2:48" ht="26.25" customHeight="1" x14ac:dyDescent="0.2">
      <c r="B507" s="1059" t="str">
        <f>CATEG_IMPORTEE</f>
        <v>Collèges Mixtes Etablissement</v>
      </c>
      <c r="C507" s="1059"/>
      <c r="D507" s="1059"/>
      <c r="E507" s="1059"/>
      <c r="F507" s="1059"/>
      <c r="G507" s="1059"/>
      <c r="H507" s="1059"/>
      <c r="I507" s="1059"/>
      <c r="J507" s="1059"/>
      <c r="K507" s="1059"/>
      <c r="L507" s="1059"/>
      <c r="M507" s="1059"/>
      <c r="N507" s="1059"/>
      <c r="O507" s="1059"/>
      <c r="P507" s="1059"/>
      <c r="Q507" s="1059"/>
      <c r="R507" s="1059"/>
      <c r="S507" s="1059"/>
      <c r="T507" s="1059"/>
      <c r="U507" s="1059"/>
      <c r="V507" s="1059"/>
      <c r="W507" s="1059"/>
      <c r="X507" s="1059"/>
      <c r="Y507" s="1059"/>
      <c r="Z507" s="1059"/>
      <c r="AA507" s="1059"/>
      <c r="AB507" s="1059"/>
      <c r="AC507" s="1059"/>
      <c r="AD507" s="1059"/>
      <c r="AE507" s="1059"/>
      <c r="AF507" s="1059"/>
      <c r="AG507" s="1059"/>
      <c r="AH507" s="1059"/>
      <c r="AI507" s="1059"/>
      <c r="AJ507" s="1059"/>
      <c r="AK507" s="1059"/>
      <c r="AL507" s="1059"/>
      <c r="AM507" s="1059"/>
      <c r="AN507" s="1059"/>
      <c r="AO507" s="1059"/>
      <c r="AP507" s="1059"/>
      <c r="AQ507" s="182"/>
      <c r="AR507" s="1060">
        <f>AR444+1</f>
        <v>9</v>
      </c>
      <c r="AS507" s="1061"/>
      <c r="AT507" s="1062"/>
      <c r="AU507" s="182"/>
      <c r="AV507" s="182"/>
    </row>
    <row r="508" spans="2:48" ht="18" customHeight="1" x14ac:dyDescent="0.2">
      <c r="B508" s="182"/>
      <c r="C508" s="182"/>
      <c r="D508" s="182"/>
      <c r="E508" s="182"/>
      <c r="F508" s="182"/>
      <c r="G508" s="182"/>
      <c r="H508" s="182"/>
      <c r="I508" s="182"/>
      <c r="J508" s="182"/>
      <c r="K508" s="182"/>
      <c r="L508" s="182"/>
      <c r="M508" s="182"/>
      <c r="N508" s="182"/>
      <c r="O508" s="182"/>
      <c r="P508" s="182"/>
      <c r="Q508" s="182"/>
      <c r="R508" s="182"/>
      <c r="S508" s="182"/>
      <c r="T508" s="182"/>
      <c r="U508" s="182"/>
      <c r="V508" s="182"/>
      <c r="W508" s="182"/>
      <c r="X508" s="183"/>
      <c r="Y508" s="184"/>
      <c r="Z508" s="182"/>
      <c r="AA508" s="182"/>
      <c r="AB508" s="182"/>
      <c r="AC508" s="182"/>
      <c r="AD508" s="182"/>
      <c r="AE508" s="182"/>
      <c r="AF508" s="182"/>
      <c r="AG508" s="182"/>
      <c r="AH508" s="182"/>
      <c r="AI508" s="182"/>
      <c r="AJ508" s="182"/>
      <c r="AK508" s="182"/>
      <c r="AL508" s="182"/>
      <c r="AM508" s="182"/>
      <c r="AN508" s="182"/>
      <c r="AO508" s="182"/>
      <c r="AP508" s="182"/>
      <c r="AQ508" s="182"/>
      <c r="AR508" s="1063"/>
      <c r="AS508" s="1064"/>
      <c r="AT508" s="1065"/>
      <c r="AU508" s="182"/>
      <c r="AV508" s="182"/>
    </row>
    <row r="509" spans="2:48" ht="18.75" customHeight="1" thickBot="1" x14ac:dyDescent="0.25">
      <c r="B509" s="182"/>
      <c r="C509" s="182"/>
      <c r="D509" s="182"/>
      <c r="E509" s="182"/>
      <c r="F509" s="182"/>
      <c r="G509" s="182"/>
      <c r="H509" s="992" t="s">
        <v>374</v>
      </c>
      <c r="I509" s="992"/>
      <c r="J509" s="992"/>
      <c r="K509" s="992"/>
      <c r="L509" s="992"/>
      <c r="M509" s="992"/>
      <c r="N509" s="992"/>
      <c r="O509" s="992"/>
      <c r="P509" s="992"/>
      <c r="Q509" s="992"/>
      <c r="R509" s="182"/>
      <c r="S509" s="182"/>
      <c r="T509" s="182"/>
      <c r="U509" s="182"/>
      <c r="V509" s="182"/>
      <c r="W509" s="182"/>
      <c r="X509" s="183"/>
      <c r="Y509" s="182"/>
      <c r="Z509" s="182"/>
      <c r="AA509" s="182"/>
      <c r="AB509" s="182"/>
      <c r="AC509" s="182"/>
      <c r="AD509" s="182"/>
      <c r="AE509" s="992" t="s">
        <v>374</v>
      </c>
      <c r="AF509" s="992"/>
      <c r="AG509" s="992"/>
      <c r="AH509" s="992"/>
      <c r="AI509" s="992"/>
      <c r="AJ509" s="992"/>
      <c r="AK509" s="992"/>
      <c r="AL509" s="992"/>
      <c r="AM509" s="992"/>
      <c r="AN509" s="992"/>
      <c r="AO509" s="182"/>
      <c r="AP509" s="182"/>
      <c r="AQ509" s="182"/>
      <c r="AR509" s="1066"/>
      <c r="AS509" s="1067"/>
      <c r="AT509" s="1068"/>
      <c r="AU509" s="182"/>
      <c r="AV509" s="182"/>
    </row>
    <row r="510" spans="2:48" ht="18" x14ac:dyDescent="0.2">
      <c r="B510" s="182"/>
      <c r="C510" s="182"/>
      <c r="D510" s="182"/>
      <c r="E510" s="182"/>
      <c r="F510" s="182"/>
      <c r="G510" s="182"/>
      <c r="H510" s="1022" t="e">
        <f>VLOOKUP(U519,ID_archer_cible,4,FALSE)</f>
        <v>#N/A</v>
      </c>
      <c r="I510" s="1023"/>
      <c r="J510" s="1023"/>
      <c r="K510" s="1023"/>
      <c r="L510" s="1023"/>
      <c r="M510" s="1023"/>
      <c r="N510" s="1023"/>
      <c r="O510" s="1023"/>
      <c r="P510" s="1023"/>
      <c r="Q510" s="1024"/>
      <c r="R510" s="182"/>
      <c r="S510" s="182"/>
      <c r="T510" s="182"/>
      <c r="U510" s="182"/>
      <c r="V510" s="182"/>
      <c r="W510" s="182"/>
      <c r="X510" s="183"/>
      <c r="Y510" s="182"/>
      <c r="Z510" s="182"/>
      <c r="AA510" s="182"/>
      <c r="AB510" s="182"/>
      <c r="AC510" s="182"/>
      <c r="AD510" s="182"/>
      <c r="AE510" s="1022" t="e">
        <f>VLOOKUP(AS519,ID_archer_cible,4,FALSE)</f>
        <v>#N/A</v>
      </c>
      <c r="AF510" s="1023"/>
      <c r="AG510" s="1023"/>
      <c r="AH510" s="1023"/>
      <c r="AI510" s="1023"/>
      <c r="AJ510" s="1023"/>
      <c r="AK510" s="1023"/>
      <c r="AL510" s="1023"/>
      <c r="AM510" s="1023"/>
      <c r="AN510" s="1024"/>
      <c r="AO510" s="182"/>
      <c r="AP510" s="182"/>
      <c r="AQ510" s="182"/>
      <c r="AR510" s="182"/>
      <c r="AS510" s="182"/>
      <c r="AT510" s="182"/>
      <c r="AU510" s="182"/>
      <c r="AV510" s="182"/>
    </row>
    <row r="511" spans="2:48" x14ac:dyDescent="0.2">
      <c r="X511" s="186"/>
    </row>
    <row r="512" spans="2:48" x14ac:dyDescent="0.2">
      <c r="B512" s="1021" t="s">
        <v>0</v>
      </c>
      <c r="C512" s="1021"/>
      <c r="D512" s="1021"/>
      <c r="E512" s="1021"/>
      <c r="F512" s="1021"/>
      <c r="G512" s="1021"/>
      <c r="H512" s="1021"/>
      <c r="I512" s="1021"/>
      <c r="J512" s="1021"/>
      <c r="K512" s="1021"/>
      <c r="L512" s="1021"/>
      <c r="M512" s="187"/>
      <c r="P512" s="992" t="s">
        <v>375</v>
      </c>
      <c r="Q512" s="992"/>
      <c r="R512" s="992"/>
      <c r="S512" s="992"/>
      <c r="T512" s="992"/>
      <c r="U512" s="992"/>
      <c r="V512" s="992"/>
      <c r="W512" s="992"/>
      <c r="X512" s="188"/>
      <c r="Z512" s="1021" t="s">
        <v>0</v>
      </c>
      <c r="AA512" s="1021"/>
      <c r="AB512" s="1021"/>
      <c r="AC512" s="1021"/>
      <c r="AD512" s="1021"/>
      <c r="AE512" s="1021"/>
      <c r="AF512" s="1021"/>
      <c r="AG512" s="1021"/>
      <c r="AH512" s="1021"/>
      <c r="AI512" s="1021"/>
      <c r="AJ512" s="1021"/>
      <c r="AK512" s="187"/>
      <c r="AN512" s="992" t="s">
        <v>375</v>
      </c>
      <c r="AO512" s="992"/>
      <c r="AP512" s="992"/>
      <c r="AQ512" s="992"/>
      <c r="AR512" s="992"/>
      <c r="AS512" s="992"/>
      <c r="AT512" s="992"/>
      <c r="AU512" s="992"/>
      <c r="AV512" s="187"/>
    </row>
    <row r="513" spans="2:48" x14ac:dyDescent="0.2">
      <c r="B513" s="999" t="e">
        <f>VLOOKUP(U519,ID_archer_cible,2,FALSE)</f>
        <v>#N/A</v>
      </c>
      <c r="C513" s="1000"/>
      <c r="D513" s="1000"/>
      <c r="E513" s="1000"/>
      <c r="F513" s="1000"/>
      <c r="G513" s="1000"/>
      <c r="H513" s="1000"/>
      <c r="I513" s="1000"/>
      <c r="J513" s="1000"/>
      <c r="K513" s="1000"/>
      <c r="L513" s="1000"/>
      <c r="M513" s="1001"/>
      <c r="P513" s="999" t="e">
        <f>VLOOKUP(U519,ID_archer_cible,3,FALSE)</f>
        <v>#N/A</v>
      </c>
      <c r="Q513" s="1000"/>
      <c r="R513" s="1000"/>
      <c r="S513" s="1000"/>
      <c r="T513" s="1000"/>
      <c r="U513" s="1000"/>
      <c r="V513" s="1000"/>
      <c r="W513" s="1001"/>
      <c r="X513" s="186"/>
      <c r="Y513"/>
      <c r="Z513" s="999" t="e">
        <f>VLOOKUP(AS519,ID_archer_cible,2,FALSE)</f>
        <v>#N/A</v>
      </c>
      <c r="AA513" s="1000"/>
      <c r="AB513" s="1000"/>
      <c r="AC513" s="1000"/>
      <c r="AD513" s="1000"/>
      <c r="AE513" s="1000"/>
      <c r="AF513" s="1000"/>
      <c r="AG513" s="1000"/>
      <c r="AH513" s="1000"/>
      <c r="AI513" s="1000"/>
      <c r="AJ513" s="1000"/>
      <c r="AK513" s="1001"/>
      <c r="AN513" s="999" t="e">
        <f>VLOOKUP(AS519,ID_archer_cible,3,FALSE)</f>
        <v>#N/A</v>
      </c>
      <c r="AO513" s="1000"/>
      <c r="AP513" s="1000"/>
      <c r="AQ513" s="1000"/>
      <c r="AR513" s="1000"/>
      <c r="AS513" s="1000"/>
      <c r="AT513" s="1000"/>
      <c r="AU513" s="1001"/>
    </row>
    <row r="514" spans="2:48" x14ac:dyDescent="0.2">
      <c r="X514" s="186"/>
      <c r="Y514"/>
    </row>
    <row r="515" spans="2:48" ht="16.5" thickBot="1" x14ac:dyDescent="0.25">
      <c r="B515" s="1017" t="s">
        <v>1</v>
      </c>
      <c r="C515" s="1017"/>
      <c r="D515" s="1017"/>
      <c r="E515" s="1017"/>
      <c r="F515" s="1017"/>
      <c r="G515" s="1017"/>
      <c r="H515" s="1017"/>
      <c r="I515" s="1017"/>
      <c r="J515" s="1017"/>
      <c r="L515" s="1017" t="s">
        <v>505</v>
      </c>
      <c r="M515" s="1017"/>
      <c r="N515" s="1017"/>
      <c r="O515" s="1017"/>
      <c r="P515" s="1017"/>
      <c r="Q515" s="1017"/>
      <c r="S515" s="992" t="s">
        <v>506</v>
      </c>
      <c r="T515" s="992"/>
      <c r="U515" s="992"/>
      <c r="V515" s="992"/>
      <c r="W515" s="992"/>
      <c r="X515" s="188"/>
      <c r="Y515"/>
      <c r="Z515" s="1017" t="s">
        <v>1</v>
      </c>
      <c r="AA515" s="1017"/>
      <c r="AB515" s="1017"/>
      <c r="AC515" s="1017"/>
      <c r="AD515" s="1017"/>
      <c r="AE515" s="1017"/>
      <c r="AF515" s="1017"/>
      <c r="AG515" s="1017"/>
      <c r="AH515" s="1017"/>
      <c r="AJ515" s="1017" t="s">
        <v>505</v>
      </c>
      <c r="AK515" s="1017"/>
      <c r="AL515" s="1017"/>
      <c r="AM515" s="1017"/>
      <c r="AN515" s="1017"/>
      <c r="AO515" s="1017"/>
      <c r="AQ515" s="992" t="s">
        <v>506</v>
      </c>
      <c r="AR515" s="992"/>
      <c r="AS515" s="992"/>
      <c r="AT515" s="992"/>
      <c r="AU515" s="992"/>
      <c r="AV515" s="187"/>
    </row>
    <row r="516" spans="2:48" ht="16.5" thickBot="1" x14ac:dyDescent="0.25">
      <c r="B516" s="1014" t="e">
        <f>VLOOKUP(U519,ID_archer_cible,5,FALSE)</f>
        <v>#N/A</v>
      </c>
      <c r="C516" s="1015"/>
      <c r="D516" s="1015"/>
      <c r="E516" s="1015"/>
      <c r="F516" s="1015"/>
      <c r="G516" s="1015"/>
      <c r="H516" s="1015"/>
      <c r="I516" s="1015"/>
      <c r="J516" s="1016"/>
      <c r="L516" s="1014" t="e">
        <f>VLOOKUP(U519,ID_archer_cible,6,FALSE)</f>
        <v>#N/A</v>
      </c>
      <c r="M516" s="1015"/>
      <c r="N516" s="1015"/>
      <c r="O516" s="1015"/>
      <c r="P516" s="1015"/>
      <c r="Q516" s="1016"/>
      <c r="S516" s="999" t="e">
        <f>VLOOKUP(U519,ID_archer_cible,8,FALSE)</f>
        <v>#N/A</v>
      </c>
      <c r="T516" s="1000"/>
      <c r="U516" s="1000"/>
      <c r="V516" s="1000"/>
      <c r="W516" s="1001"/>
      <c r="X516" s="186"/>
      <c r="Y516"/>
      <c r="Z516" s="1014" t="e">
        <f>VLOOKUP(AS519,ID_archer_cible,5,FALSE)</f>
        <v>#N/A</v>
      </c>
      <c r="AA516" s="1015"/>
      <c r="AB516" s="1015"/>
      <c r="AC516" s="1015"/>
      <c r="AD516" s="1015"/>
      <c r="AE516" s="1015"/>
      <c r="AF516" s="1015"/>
      <c r="AG516" s="1015"/>
      <c r="AH516" s="1016"/>
      <c r="AJ516" s="1014" t="e">
        <f>VLOOKUP(AS519,ID_archer_cible,6,FALSE)</f>
        <v>#N/A</v>
      </c>
      <c r="AK516" s="1015"/>
      <c r="AL516" s="1015"/>
      <c r="AM516" s="1015"/>
      <c r="AN516" s="1015"/>
      <c r="AO516" s="1016"/>
      <c r="AQ516" s="999" t="e">
        <f>VLOOKUP(AS519,ID_archer_cible,8,FALSE)</f>
        <v>#N/A</v>
      </c>
      <c r="AR516" s="1000"/>
      <c r="AS516" s="1000"/>
      <c r="AT516" s="1000"/>
      <c r="AU516" s="1001"/>
    </row>
    <row r="517" spans="2:48" x14ac:dyDescent="0.2">
      <c r="X517" s="186"/>
      <c r="Y517"/>
    </row>
    <row r="518" spans="2:48" x14ac:dyDescent="0.2">
      <c r="B518" s="992" t="s">
        <v>530</v>
      </c>
      <c r="C518" s="992"/>
      <c r="D518" s="992"/>
      <c r="E518" s="992"/>
      <c r="F518" s="992"/>
      <c r="G518" s="187"/>
      <c r="H518" s="992" t="s">
        <v>504</v>
      </c>
      <c r="I518" s="992"/>
      <c r="J518" s="992"/>
      <c r="K518" s="992"/>
      <c r="M518" s="992" t="s">
        <v>39</v>
      </c>
      <c r="N518" s="992"/>
      <c r="O518" s="992"/>
      <c r="Q518" s="1021"/>
      <c r="R518" s="1021"/>
      <c r="S518" s="1021"/>
      <c r="U518" s="992" t="s">
        <v>507</v>
      </c>
      <c r="V518" s="992"/>
      <c r="W518" s="992"/>
      <c r="X518" s="188"/>
      <c r="Y518"/>
      <c r="Z518" s="992" t="s">
        <v>530</v>
      </c>
      <c r="AA518" s="992"/>
      <c r="AB518" s="992"/>
      <c r="AC518" s="992"/>
      <c r="AD518" s="992"/>
      <c r="AE518" s="187"/>
      <c r="AF518" s="992" t="s">
        <v>504</v>
      </c>
      <c r="AG518" s="992"/>
      <c r="AH518" s="992"/>
      <c r="AI518" s="992"/>
      <c r="AK518" s="992" t="s">
        <v>39</v>
      </c>
      <c r="AL518" s="992"/>
      <c r="AM518" s="992"/>
      <c r="AO518" s="1021"/>
      <c r="AP518" s="1021"/>
      <c r="AQ518" s="1021"/>
      <c r="AS518" s="992" t="s">
        <v>507</v>
      </c>
      <c r="AT518" s="992"/>
      <c r="AU518" s="992"/>
      <c r="AV518" s="187"/>
    </row>
    <row r="519" spans="2:48" ht="15.75" x14ac:dyDescent="0.2">
      <c r="B519" s="1011" t="e">
        <f>VLOOKUP(U519,ID_archer_cible,7,FALSE)</f>
        <v>#N/A</v>
      </c>
      <c r="C519" s="1012"/>
      <c r="D519" s="1012"/>
      <c r="E519" s="1012"/>
      <c r="F519" s="1013"/>
      <c r="H519" s="999" t="e">
        <f>VLOOKUP(U519,ID_archer_cible,9,FALSE)</f>
        <v>#N/A</v>
      </c>
      <c r="I519" s="1000"/>
      <c r="J519" s="1000"/>
      <c r="K519" s="1001"/>
      <c r="M519" s="999" t="e">
        <f>VLOOKUP(U519,ID_archer_cible,10,FALSE)</f>
        <v>#N/A</v>
      </c>
      <c r="N519" s="1000"/>
      <c r="O519" s="1001"/>
      <c r="Q519" s="1021"/>
      <c r="R519" s="1021"/>
      <c r="S519" s="1021"/>
      <c r="T519" s="187"/>
      <c r="U519" s="996" t="str">
        <f>AR507&amp;"A"</f>
        <v>9A</v>
      </c>
      <c r="V519" s="997"/>
      <c r="W519" s="998"/>
      <c r="X519" s="188"/>
      <c r="Y519"/>
      <c r="Z519" s="1011" t="e">
        <f>VLOOKUP(AS519,ID_archer_cible,7,FALSE)</f>
        <v>#N/A</v>
      </c>
      <c r="AA519" s="1012"/>
      <c r="AB519" s="1012"/>
      <c r="AC519" s="1012"/>
      <c r="AD519" s="1013"/>
      <c r="AF519" s="999" t="e">
        <f>VLOOKUP(AS519,ID_archer_cible,9,FALSE)</f>
        <v>#N/A</v>
      </c>
      <c r="AG519" s="1000"/>
      <c r="AH519" s="1000"/>
      <c r="AI519" s="1001"/>
      <c r="AK519" s="999" t="e">
        <f>VLOOKUP(AS519,ID_archer_cible,10,FALSE)</f>
        <v>#N/A</v>
      </c>
      <c r="AL519" s="1000"/>
      <c r="AM519" s="1001"/>
      <c r="AO519" s="1021"/>
      <c r="AP519" s="1021"/>
      <c r="AQ519" s="1021"/>
      <c r="AR519" s="187"/>
      <c r="AS519" s="996" t="str">
        <f>AR507&amp;"B"</f>
        <v>9B</v>
      </c>
      <c r="AT519" s="997"/>
      <c r="AU519" s="998"/>
      <c r="AV519" s="187"/>
    </row>
    <row r="520" spans="2:48" x14ac:dyDescent="0.2">
      <c r="X520" s="186"/>
    </row>
    <row r="521" spans="2:48" x14ac:dyDescent="0.2">
      <c r="B521" s="185" t="s">
        <v>509</v>
      </c>
      <c r="E521" s="992" t="s">
        <v>510</v>
      </c>
      <c r="F521" s="992"/>
      <c r="G521" s="992"/>
      <c r="H521" s="992"/>
      <c r="I521" s="992"/>
      <c r="J521" s="992"/>
      <c r="K521" s="992"/>
      <c r="L521" s="992"/>
      <c r="M521" s="992"/>
      <c r="N521" s="992"/>
      <c r="P521" s="992" t="s">
        <v>511</v>
      </c>
      <c r="Q521" s="992"/>
      <c r="R521" s="992"/>
      <c r="X521" s="186"/>
      <c r="Z521" s="185" t="s">
        <v>509</v>
      </c>
      <c r="AC521" s="992" t="s">
        <v>510</v>
      </c>
      <c r="AD521" s="992"/>
      <c r="AE521" s="992"/>
      <c r="AF521" s="992"/>
      <c r="AG521" s="992"/>
      <c r="AH521" s="992"/>
      <c r="AI521" s="992"/>
      <c r="AJ521" s="992"/>
      <c r="AK521" s="992"/>
      <c r="AL521" s="992"/>
      <c r="AN521" s="992" t="s">
        <v>511</v>
      </c>
      <c r="AO521" s="992"/>
      <c r="AP521" s="992"/>
    </row>
    <row r="522" spans="2:48" ht="20.25" customHeight="1" x14ac:dyDescent="0.2">
      <c r="B522" s="1009" t="s">
        <v>513</v>
      </c>
      <c r="C522" s="1009"/>
      <c r="E522" s="189"/>
      <c r="F522" s="191"/>
      <c r="G522" s="189"/>
      <c r="H522" s="191"/>
      <c r="I522" s="189"/>
      <c r="J522" s="191"/>
      <c r="K522" s="189"/>
      <c r="L522" s="191"/>
      <c r="M522" s="189"/>
      <c r="N522" s="191"/>
      <c r="P522" s="189"/>
      <c r="Q522" s="190"/>
      <c r="R522" s="191"/>
      <c r="T522" s="992" t="s">
        <v>512</v>
      </c>
      <c r="U522" s="992"/>
      <c r="V522" s="992"/>
      <c r="W522" s="992"/>
      <c r="X522" s="188"/>
      <c r="Z522" s="1009" t="s">
        <v>513</v>
      </c>
      <c r="AA522" s="1009"/>
      <c r="AC522" s="189"/>
      <c r="AD522" s="191"/>
      <c r="AE522" s="189"/>
      <c r="AF522" s="191"/>
      <c r="AG522" s="189"/>
      <c r="AH522" s="191"/>
      <c r="AI522" s="189"/>
      <c r="AJ522" s="191"/>
      <c r="AK522" s="189"/>
      <c r="AL522" s="191"/>
      <c r="AN522" s="189"/>
      <c r="AO522" s="190"/>
      <c r="AP522" s="191"/>
      <c r="AR522" s="992" t="s">
        <v>512</v>
      </c>
      <c r="AS522" s="992"/>
      <c r="AT522" s="992"/>
      <c r="AU522" s="992"/>
      <c r="AV522" s="187"/>
    </row>
    <row r="523" spans="2:48" ht="20.25" customHeight="1" x14ac:dyDescent="0.2">
      <c r="B523" s="1009" t="s">
        <v>514</v>
      </c>
      <c r="C523" s="1009"/>
      <c r="E523" s="189"/>
      <c r="F523" s="191"/>
      <c r="G523" s="189"/>
      <c r="H523" s="191"/>
      <c r="I523" s="189"/>
      <c r="J523" s="191"/>
      <c r="K523" s="189"/>
      <c r="L523" s="191"/>
      <c r="M523" s="189"/>
      <c r="N523" s="191"/>
      <c r="P523" s="189"/>
      <c r="Q523" s="190"/>
      <c r="R523" s="191"/>
      <c r="T523" s="189"/>
      <c r="U523" s="190"/>
      <c r="V523" s="190"/>
      <c r="W523" s="191"/>
      <c r="X523" s="186"/>
      <c r="Z523" s="1009" t="s">
        <v>514</v>
      </c>
      <c r="AA523" s="1009"/>
      <c r="AC523" s="189"/>
      <c r="AD523" s="191"/>
      <c r="AE523" s="189"/>
      <c r="AF523" s="191"/>
      <c r="AG523" s="189"/>
      <c r="AH523" s="191"/>
      <c r="AI523" s="189"/>
      <c r="AJ523" s="191"/>
      <c r="AK523" s="189"/>
      <c r="AL523" s="191"/>
      <c r="AN523" s="189"/>
      <c r="AO523" s="190"/>
      <c r="AP523" s="191"/>
      <c r="AR523" s="189"/>
      <c r="AS523" s="190"/>
      <c r="AT523" s="190"/>
      <c r="AU523" s="191"/>
    </row>
    <row r="524" spans="2:48" ht="20.25" customHeight="1" x14ac:dyDescent="0.2">
      <c r="B524" s="1009" t="s">
        <v>515</v>
      </c>
      <c r="C524" s="1009"/>
      <c r="E524" s="189"/>
      <c r="F524" s="191"/>
      <c r="G524" s="189"/>
      <c r="H524" s="191"/>
      <c r="I524" s="189"/>
      <c r="J524" s="191"/>
      <c r="K524" s="189"/>
      <c r="L524" s="191"/>
      <c r="M524" s="189"/>
      <c r="N524" s="191"/>
      <c r="P524" s="189"/>
      <c r="Q524" s="190"/>
      <c r="R524" s="191"/>
      <c r="T524" s="189"/>
      <c r="U524" s="190"/>
      <c r="V524" s="190"/>
      <c r="W524" s="191"/>
      <c r="X524" s="186"/>
      <c r="Z524" s="1009" t="s">
        <v>515</v>
      </c>
      <c r="AA524" s="1009"/>
      <c r="AC524" s="189"/>
      <c r="AD524" s="191"/>
      <c r="AE524" s="189"/>
      <c r="AF524" s="191"/>
      <c r="AG524" s="189"/>
      <c r="AH524" s="191"/>
      <c r="AI524" s="189"/>
      <c r="AJ524" s="191"/>
      <c r="AK524" s="189"/>
      <c r="AL524" s="191"/>
      <c r="AN524" s="189"/>
      <c r="AO524" s="190"/>
      <c r="AP524" s="191"/>
      <c r="AR524" s="189"/>
      <c r="AS524" s="190"/>
      <c r="AT524" s="190"/>
      <c r="AU524" s="191"/>
    </row>
    <row r="525" spans="2:48" ht="20.25" customHeight="1" x14ac:dyDescent="0.2">
      <c r="B525" s="1009" t="s">
        <v>516</v>
      </c>
      <c r="C525" s="1009"/>
      <c r="E525" s="189"/>
      <c r="F525" s="191"/>
      <c r="G525" s="189"/>
      <c r="H525" s="191"/>
      <c r="I525" s="189"/>
      <c r="J525" s="191"/>
      <c r="K525" s="189"/>
      <c r="L525" s="191"/>
      <c r="M525" s="189"/>
      <c r="N525" s="191"/>
      <c r="P525" s="189"/>
      <c r="Q525" s="190"/>
      <c r="R525" s="191"/>
      <c r="T525" s="189"/>
      <c r="U525" s="190"/>
      <c r="V525" s="190"/>
      <c r="W525" s="191"/>
      <c r="X525" s="186"/>
      <c r="Z525" s="1009" t="s">
        <v>516</v>
      </c>
      <c r="AA525" s="1009"/>
      <c r="AC525" s="189"/>
      <c r="AD525" s="191"/>
      <c r="AE525" s="189"/>
      <c r="AF525" s="191"/>
      <c r="AG525" s="189"/>
      <c r="AH525" s="191"/>
      <c r="AI525" s="189"/>
      <c r="AJ525" s="191"/>
      <c r="AK525" s="189"/>
      <c r="AL525" s="191"/>
      <c r="AN525" s="189"/>
      <c r="AO525" s="190"/>
      <c r="AP525" s="191"/>
      <c r="AR525" s="189"/>
      <c r="AS525" s="190"/>
      <c r="AT525" s="190"/>
      <c r="AU525" s="191"/>
    </row>
    <row r="526" spans="2:48" ht="20.25" customHeight="1" x14ac:dyDescent="0.2">
      <c r="B526" s="1009" t="s">
        <v>517</v>
      </c>
      <c r="C526" s="1009"/>
      <c r="E526" s="189"/>
      <c r="F526" s="191"/>
      <c r="G526" s="189"/>
      <c r="H526" s="191"/>
      <c r="I526" s="189"/>
      <c r="J526" s="191"/>
      <c r="K526" s="189"/>
      <c r="L526" s="191"/>
      <c r="M526" s="189"/>
      <c r="N526" s="191"/>
      <c r="P526" s="189"/>
      <c r="Q526" s="190"/>
      <c r="R526" s="191"/>
      <c r="T526" s="189"/>
      <c r="U526" s="190"/>
      <c r="V526" s="190"/>
      <c r="W526" s="191"/>
      <c r="X526" s="186"/>
      <c r="Z526" s="1009" t="s">
        <v>517</v>
      </c>
      <c r="AA526" s="1009"/>
      <c r="AC526" s="189"/>
      <c r="AD526" s="191"/>
      <c r="AE526" s="189"/>
      <c r="AF526" s="191"/>
      <c r="AG526" s="189"/>
      <c r="AH526" s="191"/>
      <c r="AI526" s="189"/>
      <c r="AJ526" s="191"/>
      <c r="AK526" s="189"/>
      <c r="AL526" s="191"/>
      <c r="AN526" s="189"/>
      <c r="AO526" s="190"/>
      <c r="AP526" s="191"/>
      <c r="AR526" s="189"/>
      <c r="AS526" s="190"/>
      <c r="AT526" s="190"/>
      <c r="AU526" s="191"/>
    </row>
    <row r="527" spans="2:48" ht="20.25" customHeight="1" x14ac:dyDescent="0.2">
      <c r="B527" s="1009" t="s">
        <v>518</v>
      </c>
      <c r="C527" s="1009"/>
      <c r="E527" s="189"/>
      <c r="F527" s="191"/>
      <c r="G527" s="189"/>
      <c r="H527" s="191"/>
      <c r="I527" s="189"/>
      <c r="J527" s="191"/>
      <c r="K527" s="189"/>
      <c r="L527" s="191"/>
      <c r="M527" s="189"/>
      <c r="N527" s="191"/>
      <c r="P527" s="189"/>
      <c r="Q527" s="190"/>
      <c r="R527" s="191"/>
      <c r="T527" s="189"/>
      <c r="U527" s="190"/>
      <c r="V527" s="190"/>
      <c r="W527" s="191"/>
      <c r="X527" s="186"/>
      <c r="Z527" s="1009" t="s">
        <v>518</v>
      </c>
      <c r="AA527" s="1009"/>
      <c r="AC527" s="189"/>
      <c r="AD527" s="191"/>
      <c r="AE527" s="189"/>
      <c r="AF527" s="191"/>
      <c r="AG527" s="189"/>
      <c r="AH527" s="191"/>
      <c r="AI527" s="189"/>
      <c r="AJ527" s="191"/>
      <c r="AK527" s="189"/>
      <c r="AL527" s="191"/>
      <c r="AN527" s="189"/>
      <c r="AO527" s="190"/>
      <c r="AP527" s="191"/>
      <c r="AR527" s="189"/>
      <c r="AS527" s="190"/>
      <c r="AT527" s="190"/>
      <c r="AU527" s="191"/>
    </row>
    <row r="528" spans="2:48" ht="15.75" thickBot="1" x14ac:dyDescent="0.25">
      <c r="B528" s="187"/>
      <c r="C528" s="187"/>
      <c r="X528" s="186"/>
      <c r="Z528" s="187"/>
      <c r="AA528" s="187"/>
    </row>
    <row r="529" spans="2:48" ht="20.25" customHeight="1" thickBot="1" x14ac:dyDescent="0.25">
      <c r="P529" s="197" t="s">
        <v>519</v>
      </c>
      <c r="Q529" s="197"/>
      <c r="R529" s="197"/>
      <c r="S529" s="197"/>
      <c r="T529" s="192"/>
      <c r="U529" s="193"/>
      <c r="V529" s="193"/>
      <c r="W529" s="194"/>
      <c r="X529" s="186"/>
      <c r="AN529" s="197" t="s">
        <v>519</v>
      </c>
      <c r="AO529" s="197"/>
      <c r="AP529" s="197"/>
      <c r="AQ529" s="197"/>
      <c r="AR529" s="192"/>
      <c r="AS529" s="193"/>
      <c r="AT529" s="193"/>
      <c r="AU529" s="194"/>
    </row>
    <row r="530" spans="2:48" x14ac:dyDescent="0.2">
      <c r="E530" s="196"/>
      <c r="F530" s="196"/>
      <c r="G530" s="196"/>
      <c r="H530" s="196"/>
      <c r="I530" s="196"/>
      <c r="J530" s="196"/>
      <c r="K530" s="196"/>
      <c r="L530" s="196"/>
      <c r="M530" s="196"/>
      <c r="X530" s="186"/>
      <c r="AC530" s="196"/>
      <c r="AD530" s="196"/>
      <c r="AE530" s="196"/>
      <c r="AF530" s="196"/>
      <c r="AG530" s="196"/>
      <c r="AH530" s="196"/>
      <c r="AI530" s="196"/>
      <c r="AJ530" s="196"/>
      <c r="AK530" s="196"/>
    </row>
    <row r="531" spans="2:48" x14ac:dyDescent="0.2">
      <c r="B531" s="1010" t="s">
        <v>521</v>
      </c>
      <c r="C531" s="1010"/>
      <c r="D531" s="1010"/>
      <c r="E531" s="1010"/>
      <c r="F531" s="1010"/>
      <c r="G531" s="1010"/>
      <c r="H531" s="195"/>
      <c r="I531" s="1010" t="s">
        <v>522</v>
      </c>
      <c r="J531" s="1010"/>
      <c r="K531" s="1010"/>
      <c r="L531" s="1010"/>
      <c r="M531" s="1010"/>
      <c r="N531" s="1010"/>
      <c r="O531" s="1010"/>
      <c r="P531" s="1010"/>
      <c r="Q531" s="1010"/>
      <c r="R531" s="1010"/>
      <c r="S531" s="1010"/>
      <c r="T531" s="1010"/>
      <c r="U531" s="1010"/>
      <c r="V531" s="1010"/>
      <c r="W531" s="1010"/>
      <c r="X531" s="198"/>
      <c r="Y531" s="195"/>
      <c r="Z531" s="1010" t="s">
        <v>521</v>
      </c>
      <c r="AA531" s="1010"/>
      <c r="AB531" s="1010"/>
      <c r="AC531" s="1010"/>
      <c r="AD531" s="1010"/>
      <c r="AE531" s="1010"/>
      <c r="AF531" s="195"/>
      <c r="AG531" s="1004" t="s">
        <v>522</v>
      </c>
      <c r="AH531" s="1004"/>
      <c r="AI531" s="1004"/>
      <c r="AJ531" s="1004"/>
      <c r="AK531" s="1004"/>
      <c r="AL531" s="1004"/>
      <c r="AM531" s="1004"/>
      <c r="AN531" s="1004"/>
      <c r="AO531" s="1004"/>
      <c r="AP531" s="1004"/>
      <c r="AQ531" s="1004"/>
      <c r="AR531" s="1004"/>
      <c r="AS531" s="1004"/>
      <c r="AT531" s="1004"/>
      <c r="AU531" s="1004"/>
      <c r="AV531" s="195"/>
    </row>
    <row r="532" spans="2:48" x14ac:dyDescent="0.2">
      <c r="B532" s="1005" t="s">
        <v>520</v>
      </c>
      <c r="C532" s="1006"/>
      <c r="D532" s="1006"/>
      <c r="E532" s="1006"/>
      <c r="F532" s="1006"/>
      <c r="G532" s="1007"/>
      <c r="I532" s="1005" t="s">
        <v>0</v>
      </c>
      <c r="J532" s="1006"/>
      <c r="K532" s="1006"/>
      <c r="L532" s="1006"/>
      <c r="M532" s="1006"/>
      <c r="N532" s="1006"/>
      <c r="O532" s="1006"/>
      <c r="P532" s="1006"/>
      <c r="Q532" s="1006"/>
      <c r="R532" s="1006"/>
      <c r="S532" s="1006"/>
      <c r="T532" s="1006"/>
      <c r="U532" s="1006"/>
      <c r="V532" s="1006"/>
      <c r="W532" s="1007"/>
      <c r="X532" s="186"/>
      <c r="Z532" s="1005" t="s">
        <v>520</v>
      </c>
      <c r="AA532" s="1006"/>
      <c r="AB532" s="1006"/>
      <c r="AC532" s="1006"/>
      <c r="AD532" s="1006"/>
      <c r="AE532" s="1007"/>
      <c r="AG532" s="1005" t="s">
        <v>0</v>
      </c>
      <c r="AH532" s="1006"/>
      <c r="AI532" s="1006"/>
      <c r="AJ532" s="1006"/>
      <c r="AK532" s="1006"/>
      <c r="AL532" s="1006"/>
      <c r="AM532" s="1006"/>
      <c r="AN532" s="1006"/>
      <c r="AO532" s="1006"/>
      <c r="AP532" s="1006"/>
      <c r="AQ532" s="1006"/>
      <c r="AR532" s="1006"/>
      <c r="AS532" s="1006"/>
      <c r="AT532" s="1006"/>
      <c r="AU532" s="1007"/>
    </row>
    <row r="533" spans="2:48" x14ac:dyDescent="0.2">
      <c r="B533" s="199"/>
      <c r="C533" s="200"/>
      <c r="D533" s="200"/>
      <c r="E533" s="200"/>
      <c r="F533" s="200"/>
      <c r="G533" s="201"/>
      <c r="I533" s="199"/>
      <c r="J533" s="200"/>
      <c r="K533" s="200"/>
      <c r="L533" s="200"/>
      <c r="M533" s="200"/>
      <c r="N533" s="200"/>
      <c r="O533" s="200"/>
      <c r="P533" s="200"/>
      <c r="Q533" s="200"/>
      <c r="R533" s="200"/>
      <c r="S533" s="200"/>
      <c r="T533" s="200"/>
      <c r="U533" s="200"/>
      <c r="V533" s="200"/>
      <c r="W533" s="201"/>
      <c r="X533" s="186"/>
      <c r="Z533" s="199"/>
      <c r="AA533" s="200"/>
      <c r="AB533" s="200"/>
      <c r="AC533" s="200"/>
      <c r="AD533" s="200"/>
      <c r="AE533" s="201"/>
      <c r="AG533" s="199"/>
      <c r="AH533" s="200"/>
      <c r="AI533" s="200"/>
      <c r="AJ533" s="200"/>
      <c r="AK533" s="200"/>
      <c r="AL533" s="200"/>
      <c r="AM533" s="200"/>
      <c r="AN533" s="200"/>
      <c r="AO533" s="200"/>
      <c r="AP533" s="200"/>
      <c r="AQ533" s="200"/>
      <c r="AR533" s="200"/>
      <c r="AS533" s="200"/>
      <c r="AT533" s="200"/>
      <c r="AU533" s="201"/>
    </row>
    <row r="534" spans="2:48" x14ac:dyDescent="0.2">
      <c r="X534" s="186"/>
    </row>
    <row r="535" spans="2:48" x14ac:dyDescent="0.2">
      <c r="I535" s="1005" t="s">
        <v>481</v>
      </c>
      <c r="J535" s="1006"/>
      <c r="K535" s="1006"/>
      <c r="L535" s="1006"/>
      <c r="M535" s="1006"/>
      <c r="N535" s="1006"/>
      <c r="O535" s="1006"/>
      <c r="P535" s="1006"/>
      <c r="Q535" s="1007"/>
      <c r="R535" s="1005" t="s">
        <v>520</v>
      </c>
      <c r="S535" s="1006"/>
      <c r="T535" s="1006"/>
      <c r="U535" s="1006"/>
      <c r="V535" s="1006"/>
      <c r="W535" s="1007"/>
      <c r="X535" s="186"/>
      <c r="AG535" s="1005" t="s">
        <v>481</v>
      </c>
      <c r="AH535" s="1006"/>
      <c r="AI535" s="1006"/>
      <c r="AJ535" s="1006"/>
      <c r="AK535" s="1006"/>
      <c r="AL535" s="1006"/>
      <c r="AM535" s="1006"/>
      <c r="AN535" s="1006"/>
      <c r="AO535" s="1007"/>
      <c r="AP535" s="1005" t="s">
        <v>520</v>
      </c>
      <c r="AQ535" s="1006"/>
      <c r="AR535" s="1006"/>
      <c r="AS535" s="1006"/>
      <c r="AT535" s="1006"/>
      <c r="AU535" s="1007"/>
    </row>
    <row r="536" spans="2:48" x14ac:dyDescent="0.2">
      <c r="I536" s="199"/>
      <c r="J536" s="200"/>
      <c r="K536" s="200"/>
      <c r="L536" s="200"/>
      <c r="M536" s="200"/>
      <c r="N536" s="200"/>
      <c r="O536" s="200"/>
      <c r="P536" s="200"/>
      <c r="Q536" s="200"/>
      <c r="R536" s="199"/>
      <c r="S536" s="200"/>
      <c r="T536" s="200"/>
      <c r="U536" s="200"/>
      <c r="V536" s="200"/>
      <c r="W536" s="201"/>
      <c r="X536" s="186"/>
      <c r="AG536" s="199"/>
      <c r="AH536" s="200"/>
      <c r="AI536" s="200"/>
      <c r="AJ536" s="200"/>
      <c r="AK536" s="200"/>
      <c r="AL536" s="200"/>
      <c r="AM536" s="200"/>
      <c r="AN536" s="200"/>
      <c r="AO536" s="200"/>
      <c r="AP536" s="199"/>
      <c r="AQ536" s="200"/>
      <c r="AR536" s="200"/>
      <c r="AS536" s="200"/>
      <c r="AT536" s="200"/>
      <c r="AU536" s="201"/>
    </row>
    <row r="537" spans="2:48" ht="39" customHeight="1" x14ac:dyDescent="0.2">
      <c r="B537" s="392"/>
      <c r="C537" s="392"/>
      <c r="D537" s="392"/>
      <c r="E537" s="392"/>
      <c r="F537" s="392"/>
      <c r="G537" s="392"/>
      <c r="H537" s="392"/>
      <c r="I537" s="392"/>
      <c r="J537" s="392"/>
      <c r="K537" s="392"/>
      <c r="L537" s="392"/>
      <c r="M537" s="392"/>
      <c r="N537" s="392"/>
      <c r="O537" s="392"/>
      <c r="P537" s="392"/>
      <c r="Q537" s="392"/>
      <c r="R537" s="392"/>
      <c r="S537" s="392"/>
      <c r="T537" s="392"/>
      <c r="U537" s="392"/>
      <c r="V537" s="392"/>
      <c r="W537" s="392"/>
      <c r="X537" s="393"/>
      <c r="Y537" s="394"/>
      <c r="Z537" s="392"/>
      <c r="AA537" s="392"/>
      <c r="AB537" s="392"/>
      <c r="AC537" s="392"/>
      <c r="AD537" s="392"/>
      <c r="AE537" s="392"/>
      <c r="AF537" s="392"/>
      <c r="AG537" s="392"/>
      <c r="AH537" s="392"/>
      <c r="AI537" s="392"/>
      <c r="AJ537" s="392"/>
      <c r="AK537" s="392"/>
      <c r="AL537" s="392"/>
      <c r="AM537" s="392"/>
      <c r="AN537" s="392"/>
      <c r="AO537" s="392"/>
      <c r="AP537" s="392"/>
      <c r="AQ537" s="392"/>
      <c r="AR537" s="392"/>
      <c r="AS537" s="392"/>
      <c r="AT537" s="392"/>
      <c r="AU537" s="392"/>
      <c r="AV537" s="392"/>
    </row>
    <row r="538" spans="2:48" ht="39" customHeight="1" x14ac:dyDescent="0.2">
      <c r="B538" s="182"/>
      <c r="C538" s="182"/>
      <c r="D538" s="182"/>
      <c r="E538" s="182"/>
      <c r="F538" s="182"/>
      <c r="G538" s="182"/>
      <c r="H538" s="182"/>
      <c r="I538" s="182"/>
      <c r="J538" s="182"/>
      <c r="K538" s="182"/>
      <c r="L538" s="182"/>
      <c r="M538" s="182"/>
      <c r="N538" s="182"/>
      <c r="O538" s="182"/>
      <c r="P538" s="182"/>
      <c r="Q538" s="182"/>
      <c r="R538" s="182"/>
      <c r="S538" s="182"/>
      <c r="T538" s="182"/>
      <c r="U538" s="182"/>
      <c r="V538" s="182"/>
      <c r="W538" s="182"/>
      <c r="X538" s="183"/>
      <c r="Y538" s="184"/>
      <c r="Z538" s="182"/>
      <c r="AA538" s="182"/>
      <c r="AB538" s="182"/>
      <c r="AC538" s="182"/>
      <c r="AD538" s="182"/>
      <c r="AE538" s="182"/>
      <c r="AF538" s="182"/>
      <c r="AG538" s="182"/>
      <c r="AH538" s="182"/>
      <c r="AI538" s="182"/>
      <c r="AJ538" s="182"/>
      <c r="AK538" s="182"/>
      <c r="AL538" s="182"/>
      <c r="AM538" s="182"/>
      <c r="AN538" s="182"/>
      <c r="AO538" s="182"/>
      <c r="AP538" s="182"/>
      <c r="AQ538" s="182"/>
      <c r="AR538" s="182"/>
      <c r="AS538" s="182"/>
      <c r="AT538" s="182"/>
      <c r="AU538" s="182"/>
      <c r="AV538" s="182"/>
    </row>
    <row r="539" spans="2:48" ht="18" x14ac:dyDescent="0.2">
      <c r="B539" s="182"/>
      <c r="C539" s="182"/>
      <c r="D539" s="182"/>
      <c r="E539" s="182"/>
      <c r="F539" s="182"/>
      <c r="G539" s="182"/>
      <c r="H539" s="992" t="s">
        <v>374</v>
      </c>
      <c r="I539" s="992"/>
      <c r="J539" s="992"/>
      <c r="K539" s="992"/>
      <c r="L539" s="992"/>
      <c r="M539" s="992"/>
      <c r="N539" s="992"/>
      <c r="O539" s="992"/>
      <c r="P539" s="992"/>
      <c r="Q539" s="992"/>
      <c r="R539" s="182"/>
      <c r="S539" s="182"/>
      <c r="T539" s="182"/>
      <c r="U539" s="182"/>
      <c r="V539" s="182"/>
      <c r="W539" s="182"/>
      <c r="X539" s="183"/>
      <c r="Y539" s="182"/>
      <c r="Z539" s="182"/>
      <c r="AA539" s="182"/>
      <c r="AB539" s="182"/>
      <c r="AC539" s="182"/>
      <c r="AD539" s="182"/>
      <c r="AE539" s="992" t="s">
        <v>374</v>
      </c>
      <c r="AF539" s="992"/>
      <c r="AG539" s="992"/>
      <c r="AH539" s="992"/>
      <c r="AI539" s="992"/>
      <c r="AJ539" s="992"/>
      <c r="AK539" s="992"/>
      <c r="AL539" s="992"/>
      <c r="AM539" s="992"/>
      <c r="AN539" s="992"/>
      <c r="AO539" s="182"/>
      <c r="AP539" s="182"/>
      <c r="AQ539" s="182"/>
      <c r="AR539" s="182"/>
      <c r="AS539" s="182"/>
      <c r="AT539" s="182"/>
      <c r="AU539" s="182"/>
      <c r="AV539" s="182"/>
    </row>
    <row r="540" spans="2:48" ht="18" x14ac:dyDescent="0.2">
      <c r="B540" s="182"/>
      <c r="C540" s="182"/>
      <c r="D540" s="182"/>
      <c r="E540" s="182"/>
      <c r="F540" s="182"/>
      <c r="G540" s="182"/>
      <c r="H540" s="1022" t="e">
        <f>VLOOKUP(U549,ID_archer_cible,4,FALSE)</f>
        <v>#N/A</v>
      </c>
      <c r="I540" s="1023"/>
      <c r="J540" s="1023"/>
      <c r="K540" s="1023"/>
      <c r="L540" s="1023"/>
      <c r="M540" s="1023"/>
      <c r="N540" s="1023"/>
      <c r="O540" s="1023"/>
      <c r="P540" s="1023"/>
      <c r="Q540" s="1024"/>
      <c r="R540" s="182"/>
      <c r="S540" s="182"/>
      <c r="T540" s="182"/>
      <c r="U540" s="182"/>
      <c r="V540" s="182"/>
      <c r="W540" s="182"/>
      <c r="X540" s="183"/>
      <c r="Y540" s="182"/>
      <c r="Z540" s="182"/>
      <c r="AA540" s="182"/>
      <c r="AB540" s="182"/>
      <c r="AC540" s="182"/>
      <c r="AD540" s="182"/>
      <c r="AE540" s="1022" t="e">
        <f>VLOOKUP(AS549,ID_archer_cible,4,FALSE)</f>
        <v>#N/A</v>
      </c>
      <c r="AF540" s="1023"/>
      <c r="AG540" s="1023"/>
      <c r="AH540" s="1023"/>
      <c r="AI540" s="1023"/>
      <c r="AJ540" s="1023"/>
      <c r="AK540" s="1023"/>
      <c r="AL540" s="1023"/>
      <c r="AM540" s="1023"/>
      <c r="AN540" s="1024"/>
      <c r="AO540" s="182"/>
      <c r="AP540" s="182"/>
      <c r="AQ540" s="182"/>
      <c r="AR540" s="182"/>
      <c r="AS540" s="182"/>
      <c r="AT540" s="182"/>
      <c r="AU540" s="182"/>
      <c r="AV540" s="182"/>
    </row>
    <row r="541" spans="2:48" x14ac:dyDescent="0.2">
      <c r="X541" s="186"/>
    </row>
    <row r="542" spans="2:48" x14ac:dyDescent="0.2">
      <c r="B542" s="1021" t="s">
        <v>0</v>
      </c>
      <c r="C542" s="1021"/>
      <c r="D542" s="1021"/>
      <c r="E542" s="1021"/>
      <c r="F542" s="1021"/>
      <c r="G542" s="1021"/>
      <c r="H542" s="1021"/>
      <c r="I542" s="1021"/>
      <c r="J542" s="1021"/>
      <c r="K542" s="1021"/>
      <c r="L542" s="1021"/>
      <c r="M542" s="187"/>
      <c r="P542" s="992" t="s">
        <v>375</v>
      </c>
      <c r="Q542" s="992"/>
      <c r="R542" s="992"/>
      <c r="S542" s="992"/>
      <c r="T542" s="992"/>
      <c r="U542" s="992"/>
      <c r="V542" s="992"/>
      <c r="W542" s="992"/>
      <c r="X542" s="188"/>
      <c r="Z542" s="1021" t="s">
        <v>0</v>
      </c>
      <c r="AA542" s="1021"/>
      <c r="AB542" s="1021"/>
      <c r="AC542" s="1021"/>
      <c r="AD542" s="1021"/>
      <c r="AE542" s="1021"/>
      <c r="AF542" s="1021"/>
      <c r="AG542" s="1021"/>
      <c r="AH542" s="1021"/>
      <c r="AI542" s="1021"/>
      <c r="AJ542" s="1021"/>
      <c r="AK542" s="187"/>
      <c r="AN542" s="992" t="s">
        <v>375</v>
      </c>
      <c r="AO542" s="992"/>
      <c r="AP542" s="992"/>
      <c r="AQ542" s="992"/>
      <c r="AR542" s="992"/>
      <c r="AS542" s="992"/>
      <c r="AT542" s="992"/>
      <c r="AU542" s="992"/>
      <c r="AV542" s="187"/>
    </row>
    <row r="543" spans="2:48" x14ac:dyDescent="0.2">
      <c r="B543" s="999" t="e">
        <f>VLOOKUP(U549,ID_archer_cible,2,FALSE)</f>
        <v>#N/A</v>
      </c>
      <c r="C543" s="1000"/>
      <c r="D543" s="1000"/>
      <c r="E543" s="1000"/>
      <c r="F543" s="1000"/>
      <c r="G543" s="1000"/>
      <c r="H543" s="1000"/>
      <c r="I543" s="1000"/>
      <c r="J543" s="1000"/>
      <c r="K543" s="1000"/>
      <c r="L543" s="1000"/>
      <c r="M543" s="1001"/>
      <c r="P543" s="999" t="e">
        <f>VLOOKUP(U549,ID_archer_cible,3,FALSE)</f>
        <v>#N/A</v>
      </c>
      <c r="Q543" s="1000"/>
      <c r="R543" s="1000"/>
      <c r="S543" s="1000"/>
      <c r="T543" s="1000"/>
      <c r="U543" s="1000"/>
      <c r="V543" s="1000"/>
      <c r="W543" s="1001"/>
      <c r="X543" s="186"/>
      <c r="Y543"/>
      <c r="Z543" s="999" t="e">
        <f>VLOOKUP(AS549,ID_archer_cible,2,FALSE)</f>
        <v>#N/A</v>
      </c>
      <c r="AA543" s="1000"/>
      <c r="AB543" s="1000"/>
      <c r="AC543" s="1000"/>
      <c r="AD543" s="1000"/>
      <c r="AE543" s="1000"/>
      <c r="AF543" s="1000"/>
      <c r="AG543" s="1000"/>
      <c r="AH543" s="1000"/>
      <c r="AI543" s="1000"/>
      <c r="AJ543" s="1000"/>
      <c r="AK543" s="1001"/>
      <c r="AN543" s="999" t="e">
        <f>VLOOKUP(AS549,ID_archer_cible,3,FALSE)</f>
        <v>#N/A</v>
      </c>
      <c r="AO543" s="1000"/>
      <c r="AP543" s="1000"/>
      <c r="AQ543" s="1000"/>
      <c r="AR543" s="1000"/>
      <c r="AS543" s="1000"/>
      <c r="AT543" s="1000"/>
      <c r="AU543" s="1001"/>
    </row>
    <row r="544" spans="2:48" x14ac:dyDescent="0.2">
      <c r="X544" s="186"/>
      <c r="Y544"/>
    </row>
    <row r="545" spans="2:48" ht="16.5" thickBot="1" x14ac:dyDescent="0.25">
      <c r="B545" s="1017" t="s">
        <v>1</v>
      </c>
      <c r="C545" s="1017"/>
      <c r="D545" s="1017"/>
      <c r="E545" s="1017"/>
      <c r="F545" s="1017"/>
      <c r="G545" s="1017"/>
      <c r="H545" s="1017"/>
      <c r="I545" s="1017"/>
      <c r="J545" s="1017"/>
      <c r="L545" s="1017" t="s">
        <v>505</v>
      </c>
      <c r="M545" s="1017"/>
      <c r="N545" s="1017"/>
      <c r="O545" s="1017"/>
      <c r="P545" s="1017"/>
      <c r="Q545" s="1017"/>
      <c r="S545" s="992" t="s">
        <v>506</v>
      </c>
      <c r="T545" s="992"/>
      <c r="U545" s="992"/>
      <c r="V545" s="992"/>
      <c r="W545" s="992"/>
      <c r="X545" s="188"/>
      <c r="Y545"/>
      <c r="Z545" s="1017" t="s">
        <v>1</v>
      </c>
      <c r="AA545" s="1017"/>
      <c r="AB545" s="1017"/>
      <c r="AC545" s="1017"/>
      <c r="AD545" s="1017"/>
      <c r="AE545" s="1017"/>
      <c r="AF545" s="1017"/>
      <c r="AG545" s="1017"/>
      <c r="AH545" s="1017"/>
      <c r="AJ545" s="1017" t="s">
        <v>505</v>
      </c>
      <c r="AK545" s="1017"/>
      <c r="AL545" s="1017"/>
      <c r="AM545" s="1017"/>
      <c r="AN545" s="1017"/>
      <c r="AO545" s="1017"/>
      <c r="AQ545" s="992" t="s">
        <v>506</v>
      </c>
      <c r="AR545" s="992"/>
      <c r="AS545" s="992"/>
      <c r="AT545" s="992"/>
      <c r="AU545" s="992"/>
      <c r="AV545" s="187"/>
    </row>
    <row r="546" spans="2:48" ht="16.5" thickBot="1" x14ac:dyDescent="0.25">
      <c r="B546" s="1014" t="e">
        <f>VLOOKUP(U549,ID_archer_cible,5,FALSE)</f>
        <v>#N/A</v>
      </c>
      <c r="C546" s="1015"/>
      <c r="D546" s="1015"/>
      <c r="E546" s="1015"/>
      <c r="F546" s="1015"/>
      <c r="G546" s="1015"/>
      <c r="H546" s="1015"/>
      <c r="I546" s="1015"/>
      <c r="J546" s="1016"/>
      <c r="L546" s="1014" t="e">
        <f>VLOOKUP(U549,ID_archer_cible,6,FALSE)</f>
        <v>#N/A</v>
      </c>
      <c r="M546" s="1015"/>
      <c r="N546" s="1015"/>
      <c r="O546" s="1015"/>
      <c r="P546" s="1015"/>
      <c r="Q546" s="1016"/>
      <c r="S546" s="999" t="e">
        <f>VLOOKUP(U549,ID_archer_cible,8,FALSE)</f>
        <v>#N/A</v>
      </c>
      <c r="T546" s="1000"/>
      <c r="U546" s="1000"/>
      <c r="V546" s="1000"/>
      <c r="W546" s="1001"/>
      <c r="X546" s="186"/>
      <c r="Y546"/>
      <c r="Z546" s="1014" t="e">
        <f>VLOOKUP(AS549,ID_archer_cible,5,FALSE)</f>
        <v>#N/A</v>
      </c>
      <c r="AA546" s="1015"/>
      <c r="AB546" s="1015"/>
      <c r="AC546" s="1015"/>
      <c r="AD546" s="1015"/>
      <c r="AE546" s="1015"/>
      <c r="AF546" s="1015"/>
      <c r="AG546" s="1015"/>
      <c r="AH546" s="1016"/>
      <c r="AJ546" s="1014" t="e">
        <f>VLOOKUP(AS549,ID_archer_cible,6,FALSE)</f>
        <v>#N/A</v>
      </c>
      <c r="AK546" s="1015"/>
      <c r="AL546" s="1015"/>
      <c r="AM546" s="1015"/>
      <c r="AN546" s="1015"/>
      <c r="AO546" s="1016"/>
      <c r="AQ546" s="999" t="e">
        <f>VLOOKUP(AS549,ID_archer_cible,8,FALSE)</f>
        <v>#N/A</v>
      </c>
      <c r="AR546" s="1000"/>
      <c r="AS546" s="1000"/>
      <c r="AT546" s="1000"/>
      <c r="AU546" s="1001"/>
    </row>
    <row r="547" spans="2:48" x14ac:dyDescent="0.2">
      <c r="X547" s="186"/>
      <c r="Y547"/>
    </row>
    <row r="548" spans="2:48" x14ac:dyDescent="0.2">
      <c r="B548" s="992" t="s">
        <v>530</v>
      </c>
      <c r="C548" s="992"/>
      <c r="D548" s="992"/>
      <c r="E548" s="992"/>
      <c r="F548" s="992"/>
      <c r="G548" s="187"/>
      <c r="H548" s="992" t="s">
        <v>504</v>
      </c>
      <c r="I548" s="992"/>
      <c r="J548" s="992"/>
      <c r="K548" s="992"/>
      <c r="M548" s="992" t="s">
        <v>39</v>
      </c>
      <c r="N548" s="992"/>
      <c r="O548" s="992"/>
      <c r="Q548" s="1021"/>
      <c r="R548" s="1021"/>
      <c r="S548" s="1021"/>
      <c r="U548" s="992" t="s">
        <v>507</v>
      </c>
      <c r="V548" s="992"/>
      <c r="W548" s="992"/>
      <c r="X548" s="188"/>
      <c r="Y548"/>
      <c r="Z548" s="992" t="s">
        <v>530</v>
      </c>
      <c r="AA548" s="992"/>
      <c r="AB548" s="992"/>
      <c r="AC548" s="992"/>
      <c r="AD548" s="992"/>
      <c r="AE548" s="187"/>
      <c r="AF548" s="992" t="s">
        <v>504</v>
      </c>
      <c r="AG548" s="992"/>
      <c r="AH548" s="992"/>
      <c r="AI548" s="992"/>
      <c r="AK548" s="992" t="s">
        <v>39</v>
      </c>
      <c r="AL548" s="992"/>
      <c r="AM548" s="992"/>
      <c r="AO548" s="1021"/>
      <c r="AP548" s="1021"/>
      <c r="AQ548" s="1021"/>
      <c r="AS548" s="992" t="s">
        <v>507</v>
      </c>
      <c r="AT548" s="992"/>
      <c r="AU548" s="992"/>
      <c r="AV548" s="187"/>
    </row>
    <row r="549" spans="2:48" ht="15.75" x14ac:dyDescent="0.2">
      <c r="B549" s="1011" t="e">
        <f>VLOOKUP(U549,ID_archer_cible,7,FALSE)</f>
        <v>#N/A</v>
      </c>
      <c r="C549" s="1012"/>
      <c r="D549" s="1012"/>
      <c r="E549" s="1012"/>
      <c r="F549" s="1013"/>
      <c r="H549" s="999" t="e">
        <f>VLOOKUP(U549,ID_archer_cible,9,FALSE)</f>
        <v>#N/A</v>
      </c>
      <c r="I549" s="1000"/>
      <c r="J549" s="1000"/>
      <c r="K549" s="1001"/>
      <c r="M549" s="999" t="e">
        <f>VLOOKUP(U549,ID_archer_cible,10,FALSE)</f>
        <v>#N/A</v>
      </c>
      <c r="N549" s="1000"/>
      <c r="O549" s="1001"/>
      <c r="Q549" s="1021"/>
      <c r="R549" s="1021"/>
      <c r="S549" s="1021"/>
      <c r="T549" s="187"/>
      <c r="U549" s="996" t="str">
        <f>AR507&amp;"C"</f>
        <v>9C</v>
      </c>
      <c r="V549" s="997"/>
      <c r="W549" s="998"/>
      <c r="X549" s="188"/>
      <c r="Y549"/>
      <c r="Z549" s="1011" t="e">
        <f>VLOOKUP(AS549,ID_archer_cible,7,FALSE)</f>
        <v>#N/A</v>
      </c>
      <c r="AA549" s="1012"/>
      <c r="AB549" s="1012"/>
      <c r="AC549" s="1012"/>
      <c r="AD549" s="1013"/>
      <c r="AF549" s="999" t="e">
        <f>VLOOKUP(AS549,ID_archer_cible,9,FALSE)</f>
        <v>#N/A</v>
      </c>
      <c r="AG549" s="1000"/>
      <c r="AH549" s="1000"/>
      <c r="AI549" s="1001"/>
      <c r="AK549" s="999" t="e">
        <f>VLOOKUP(AS549,ID_archer_cible,10,FALSE)</f>
        <v>#N/A</v>
      </c>
      <c r="AL549" s="1000"/>
      <c r="AM549" s="1001"/>
      <c r="AO549" s="1021"/>
      <c r="AP549" s="1021"/>
      <c r="AQ549" s="1021"/>
      <c r="AR549" s="187"/>
      <c r="AS549" s="996" t="str">
        <f>AR507&amp;"D"</f>
        <v>9D</v>
      </c>
      <c r="AT549" s="997"/>
      <c r="AU549" s="998"/>
      <c r="AV549" s="187"/>
    </row>
    <row r="550" spans="2:48" x14ac:dyDescent="0.2">
      <c r="X550" s="186"/>
    </row>
    <row r="551" spans="2:48" x14ac:dyDescent="0.2">
      <c r="B551" s="185" t="s">
        <v>509</v>
      </c>
      <c r="E551" s="992" t="s">
        <v>510</v>
      </c>
      <c r="F551" s="992"/>
      <c r="G551" s="992"/>
      <c r="H551" s="992"/>
      <c r="I551" s="992"/>
      <c r="J551" s="992"/>
      <c r="K551" s="992"/>
      <c r="L551" s="992"/>
      <c r="M551" s="992"/>
      <c r="N551" s="992"/>
      <c r="P551" s="992" t="s">
        <v>511</v>
      </c>
      <c r="Q551" s="992"/>
      <c r="R551" s="992"/>
      <c r="X551" s="186"/>
      <c r="Z551" s="185" t="s">
        <v>509</v>
      </c>
      <c r="AC551" s="992" t="s">
        <v>510</v>
      </c>
      <c r="AD551" s="992"/>
      <c r="AE551" s="992"/>
      <c r="AF551" s="992"/>
      <c r="AG551" s="992"/>
      <c r="AH551" s="992"/>
      <c r="AI551" s="992"/>
      <c r="AJ551" s="992"/>
      <c r="AK551" s="992"/>
      <c r="AL551" s="992"/>
      <c r="AN551" s="992" t="s">
        <v>511</v>
      </c>
      <c r="AO551" s="992"/>
      <c r="AP551" s="992"/>
    </row>
    <row r="552" spans="2:48" ht="20.25" customHeight="1" x14ac:dyDescent="0.2">
      <c r="B552" s="1009" t="s">
        <v>513</v>
      </c>
      <c r="C552" s="1009"/>
      <c r="E552" s="189"/>
      <c r="F552" s="191"/>
      <c r="G552" s="189"/>
      <c r="H552" s="191"/>
      <c r="I552" s="189"/>
      <c r="J552" s="191"/>
      <c r="K552" s="189"/>
      <c r="L552" s="191"/>
      <c r="M552" s="189"/>
      <c r="N552" s="191"/>
      <c r="P552" s="189"/>
      <c r="Q552" s="190"/>
      <c r="R552" s="191"/>
      <c r="T552" s="992" t="s">
        <v>512</v>
      </c>
      <c r="U552" s="992"/>
      <c r="V552" s="992"/>
      <c r="W552" s="992"/>
      <c r="X552" s="188"/>
      <c r="Z552" s="1009" t="s">
        <v>513</v>
      </c>
      <c r="AA552" s="1009"/>
      <c r="AC552" s="189"/>
      <c r="AD552" s="191"/>
      <c r="AE552" s="189"/>
      <c r="AF552" s="191"/>
      <c r="AG552" s="189"/>
      <c r="AH552" s="191"/>
      <c r="AI552" s="189"/>
      <c r="AJ552" s="191"/>
      <c r="AK552" s="189"/>
      <c r="AL552" s="191"/>
      <c r="AN552" s="189"/>
      <c r="AO552" s="190"/>
      <c r="AP552" s="191"/>
      <c r="AR552" s="992" t="s">
        <v>512</v>
      </c>
      <c r="AS552" s="992"/>
      <c r="AT552" s="992"/>
      <c r="AU552" s="992"/>
      <c r="AV552" s="187"/>
    </row>
    <row r="553" spans="2:48" ht="20.25" customHeight="1" x14ac:dyDescent="0.2">
      <c r="B553" s="1009" t="s">
        <v>514</v>
      </c>
      <c r="C553" s="1009"/>
      <c r="E553" s="189"/>
      <c r="F553" s="191"/>
      <c r="G553" s="189"/>
      <c r="H553" s="191"/>
      <c r="I553" s="189"/>
      <c r="J553" s="191"/>
      <c r="K553" s="189"/>
      <c r="L553" s="191"/>
      <c r="M553" s="189"/>
      <c r="N553" s="191"/>
      <c r="P553" s="189"/>
      <c r="Q553" s="190"/>
      <c r="R553" s="191"/>
      <c r="T553" s="189"/>
      <c r="U553" s="190"/>
      <c r="V553" s="190"/>
      <c r="W553" s="191"/>
      <c r="X553" s="186"/>
      <c r="Z553" s="1009" t="s">
        <v>514</v>
      </c>
      <c r="AA553" s="1009"/>
      <c r="AC553" s="189"/>
      <c r="AD553" s="191"/>
      <c r="AE553" s="189"/>
      <c r="AF553" s="191"/>
      <c r="AG553" s="189"/>
      <c r="AH553" s="191"/>
      <c r="AI553" s="189"/>
      <c r="AJ553" s="191"/>
      <c r="AK553" s="189"/>
      <c r="AL553" s="191"/>
      <c r="AN553" s="189"/>
      <c r="AO553" s="190"/>
      <c r="AP553" s="191"/>
      <c r="AR553" s="189"/>
      <c r="AS553" s="190"/>
      <c r="AT553" s="190"/>
      <c r="AU553" s="191"/>
    </row>
    <row r="554" spans="2:48" ht="20.25" customHeight="1" x14ac:dyDescent="0.2">
      <c r="B554" s="1009" t="s">
        <v>515</v>
      </c>
      <c r="C554" s="1009"/>
      <c r="E554" s="189"/>
      <c r="F554" s="191"/>
      <c r="G554" s="189"/>
      <c r="H554" s="191"/>
      <c r="I554" s="189"/>
      <c r="J554" s="191"/>
      <c r="K554" s="189"/>
      <c r="L554" s="191"/>
      <c r="M554" s="189"/>
      <c r="N554" s="191"/>
      <c r="P554" s="189"/>
      <c r="Q554" s="190"/>
      <c r="R554" s="191"/>
      <c r="T554" s="189"/>
      <c r="U554" s="190"/>
      <c r="V554" s="190"/>
      <c r="W554" s="191"/>
      <c r="X554" s="186"/>
      <c r="Z554" s="1009" t="s">
        <v>515</v>
      </c>
      <c r="AA554" s="1009"/>
      <c r="AC554" s="189"/>
      <c r="AD554" s="191"/>
      <c r="AE554" s="189"/>
      <c r="AF554" s="191"/>
      <c r="AG554" s="189"/>
      <c r="AH554" s="191"/>
      <c r="AI554" s="189"/>
      <c r="AJ554" s="191"/>
      <c r="AK554" s="189"/>
      <c r="AL554" s="191"/>
      <c r="AN554" s="189"/>
      <c r="AO554" s="190"/>
      <c r="AP554" s="191"/>
      <c r="AR554" s="189"/>
      <c r="AS554" s="190"/>
      <c r="AT554" s="190"/>
      <c r="AU554" s="191"/>
    </row>
    <row r="555" spans="2:48" ht="20.25" customHeight="1" x14ac:dyDescent="0.2">
      <c r="B555" s="1009" t="s">
        <v>516</v>
      </c>
      <c r="C555" s="1009"/>
      <c r="E555" s="189"/>
      <c r="F555" s="191"/>
      <c r="G555" s="189"/>
      <c r="H555" s="191"/>
      <c r="I555" s="189"/>
      <c r="J555" s="191"/>
      <c r="K555" s="189"/>
      <c r="L555" s="191"/>
      <c r="M555" s="189"/>
      <c r="N555" s="191"/>
      <c r="P555" s="189"/>
      <c r="Q555" s="190"/>
      <c r="R555" s="191"/>
      <c r="T555" s="189"/>
      <c r="U555" s="190"/>
      <c r="V555" s="190"/>
      <c r="W555" s="191"/>
      <c r="X555" s="186"/>
      <c r="Z555" s="1009" t="s">
        <v>516</v>
      </c>
      <c r="AA555" s="1009"/>
      <c r="AC555" s="189"/>
      <c r="AD555" s="191"/>
      <c r="AE555" s="189"/>
      <c r="AF555" s="191"/>
      <c r="AG555" s="189"/>
      <c r="AH555" s="191"/>
      <c r="AI555" s="189"/>
      <c r="AJ555" s="191"/>
      <c r="AK555" s="189"/>
      <c r="AL555" s="191"/>
      <c r="AN555" s="189"/>
      <c r="AO555" s="190"/>
      <c r="AP555" s="191"/>
      <c r="AR555" s="189"/>
      <c r="AS555" s="190"/>
      <c r="AT555" s="190"/>
      <c r="AU555" s="191"/>
    </row>
    <row r="556" spans="2:48" ht="20.25" customHeight="1" x14ac:dyDescent="0.2">
      <c r="B556" s="1009" t="s">
        <v>517</v>
      </c>
      <c r="C556" s="1009"/>
      <c r="E556" s="189"/>
      <c r="F556" s="191"/>
      <c r="G556" s="189"/>
      <c r="H556" s="191"/>
      <c r="I556" s="189"/>
      <c r="J556" s="191"/>
      <c r="K556" s="189"/>
      <c r="L556" s="191"/>
      <c r="M556" s="189"/>
      <c r="N556" s="191"/>
      <c r="P556" s="189"/>
      <c r="Q556" s="190"/>
      <c r="R556" s="191"/>
      <c r="T556" s="189"/>
      <c r="U556" s="190"/>
      <c r="V556" s="190"/>
      <c r="W556" s="191"/>
      <c r="X556" s="186"/>
      <c r="Z556" s="1009" t="s">
        <v>517</v>
      </c>
      <c r="AA556" s="1009"/>
      <c r="AC556" s="189"/>
      <c r="AD556" s="191"/>
      <c r="AE556" s="189"/>
      <c r="AF556" s="191"/>
      <c r="AG556" s="189"/>
      <c r="AH556" s="191"/>
      <c r="AI556" s="189"/>
      <c r="AJ556" s="191"/>
      <c r="AK556" s="189"/>
      <c r="AL556" s="191"/>
      <c r="AN556" s="189"/>
      <c r="AO556" s="190"/>
      <c r="AP556" s="191"/>
      <c r="AR556" s="189"/>
      <c r="AS556" s="190"/>
      <c r="AT556" s="190"/>
      <c r="AU556" s="191"/>
    </row>
    <row r="557" spans="2:48" ht="20.25" customHeight="1" x14ac:dyDescent="0.2">
      <c r="B557" s="1009" t="s">
        <v>518</v>
      </c>
      <c r="C557" s="1009"/>
      <c r="E557" s="189"/>
      <c r="F557" s="191"/>
      <c r="G557" s="189"/>
      <c r="H557" s="191"/>
      <c r="I557" s="189"/>
      <c r="J557" s="191"/>
      <c r="K557" s="189"/>
      <c r="L557" s="191"/>
      <c r="M557" s="189"/>
      <c r="N557" s="191"/>
      <c r="P557" s="189"/>
      <c r="Q557" s="190"/>
      <c r="R557" s="191"/>
      <c r="T557" s="189"/>
      <c r="U557" s="190"/>
      <c r="V557" s="190"/>
      <c r="W557" s="191"/>
      <c r="X557" s="186"/>
      <c r="Z557" s="1009" t="s">
        <v>518</v>
      </c>
      <c r="AA557" s="1009"/>
      <c r="AC557" s="189"/>
      <c r="AD557" s="191"/>
      <c r="AE557" s="189"/>
      <c r="AF557" s="191"/>
      <c r="AG557" s="189"/>
      <c r="AH557" s="191"/>
      <c r="AI557" s="189"/>
      <c r="AJ557" s="191"/>
      <c r="AK557" s="189"/>
      <c r="AL557" s="191"/>
      <c r="AN557" s="189"/>
      <c r="AO557" s="190"/>
      <c r="AP557" s="191"/>
      <c r="AR557" s="189"/>
      <c r="AS557" s="190"/>
      <c r="AT557" s="190"/>
      <c r="AU557" s="191"/>
    </row>
    <row r="558" spans="2:48" ht="15.75" thickBot="1" x14ac:dyDescent="0.25">
      <c r="B558" s="187"/>
      <c r="C558" s="187"/>
      <c r="X558" s="186"/>
      <c r="Z558" s="187"/>
      <c r="AA558" s="187"/>
    </row>
    <row r="559" spans="2:48" ht="20.25" customHeight="1" thickBot="1" x14ac:dyDescent="0.25">
      <c r="P559" s="197" t="s">
        <v>519</v>
      </c>
      <c r="Q559" s="197"/>
      <c r="R559" s="197"/>
      <c r="S559" s="197"/>
      <c r="T559" s="192"/>
      <c r="U559" s="193"/>
      <c r="V559" s="193"/>
      <c r="W559" s="194"/>
      <c r="X559" s="186"/>
      <c r="AN559" s="197" t="s">
        <v>519</v>
      </c>
      <c r="AO559" s="197"/>
      <c r="AP559" s="197"/>
      <c r="AQ559" s="197"/>
      <c r="AR559" s="192"/>
      <c r="AS559" s="193"/>
      <c r="AT559" s="193"/>
      <c r="AU559" s="194"/>
    </row>
    <row r="560" spans="2:48" x14ac:dyDescent="0.2">
      <c r="E560" s="196"/>
      <c r="F560" s="196"/>
      <c r="G560" s="196"/>
      <c r="H560" s="196"/>
      <c r="I560" s="196"/>
      <c r="J560" s="196"/>
      <c r="K560" s="196"/>
      <c r="L560" s="196"/>
      <c r="M560" s="196"/>
      <c r="X560" s="186"/>
      <c r="AC560" s="196"/>
      <c r="AD560" s="196"/>
      <c r="AE560" s="196"/>
      <c r="AF560" s="196"/>
      <c r="AG560" s="196"/>
      <c r="AH560" s="196"/>
      <c r="AI560" s="196"/>
      <c r="AJ560" s="196"/>
      <c r="AK560" s="196"/>
    </row>
    <row r="561" spans="2:48" x14ac:dyDescent="0.2">
      <c r="B561" s="1010" t="s">
        <v>521</v>
      </c>
      <c r="C561" s="1010"/>
      <c r="D561" s="1010"/>
      <c r="E561" s="1010"/>
      <c r="F561" s="1010"/>
      <c r="G561" s="1010"/>
      <c r="H561" s="195"/>
      <c r="I561" s="1004" t="s">
        <v>522</v>
      </c>
      <c r="J561" s="1004"/>
      <c r="K561" s="1004"/>
      <c r="L561" s="1004"/>
      <c r="M561" s="1004"/>
      <c r="N561" s="1004"/>
      <c r="O561" s="1004"/>
      <c r="P561" s="1004"/>
      <c r="Q561" s="1004"/>
      <c r="R561" s="1004"/>
      <c r="S561" s="1004"/>
      <c r="T561" s="1004"/>
      <c r="U561" s="1004"/>
      <c r="V561" s="1004"/>
      <c r="W561" s="1004"/>
      <c r="X561" s="198"/>
      <c r="Y561" s="195"/>
      <c r="Z561" s="1010" t="s">
        <v>521</v>
      </c>
      <c r="AA561" s="1010"/>
      <c r="AB561" s="1010"/>
      <c r="AC561" s="1010"/>
      <c r="AD561" s="1010"/>
      <c r="AE561" s="1010"/>
      <c r="AF561" s="195"/>
      <c r="AG561" s="1004" t="s">
        <v>522</v>
      </c>
      <c r="AH561" s="1004"/>
      <c r="AI561" s="1004"/>
      <c r="AJ561" s="1004"/>
      <c r="AK561" s="1004"/>
      <c r="AL561" s="1004"/>
      <c r="AM561" s="1004"/>
      <c r="AN561" s="1004"/>
      <c r="AO561" s="1004"/>
      <c r="AP561" s="1004"/>
      <c r="AQ561" s="1004"/>
      <c r="AR561" s="1004"/>
      <c r="AS561" s="1004"/>
      <c r="AT561" s="1004"/>
      <c r="AU561" s="1004"/>
      <c r="AV561" s="195"/>
    </row>
    <row r="562" spans="2:48" x14ac:dyDescent="0.2">
      <c r="B562" s="1005" t="s">
        <v>520</v>
      </c>
      <c r="C562" s="1006"/>
      <c r="D562" s="1006"/>
      <c r="E562" s="1006"/>
      <c r="F562" s="1006"/>
      <c r="G562" s="1007"/>
      <c r="I562" s="1005" t="s">
        <v>0</v>
      </c>
      <c r="J562" s="1006"/>
      <c r="K562" s="1006"/>
      <c r="L562" s="1006"/>
      <c r="M562" s="1006"/>
      <c r="N562" s="1006"/>
      <c r="O562" s="1006"/>
      <c r="P562" s="1006"/>
      <c r="Q562" s="1006"/>
      <c r="R562" s="1006"/>
      <c r="S562" s="1006"/>
      <c r="T562" s="1006"/>
      <c r="U562" s="1006"/>
      <c r="V562" s="1006"/>
      <c r="W562" s="1007"/>
      <c r="X562" s="186"/>
      <c r="Z562" s="1005" t="s">
        <v>520</v>
      </c>
      <c r="AA562" s="1006"/>
      <c r="AB562" s="1006"/>
      <c r="AC562" s="1006"/>
      <c r="AD562" s="1006"/>
      <c r="AE562" s="1007"/>
      <c r="AG562" s="1005" t="s">
        <v>0</v>
      </c>
      <c r="AH562" s="1006"/>
      <c r="AI562" s="1006"/>
      <c r="AJ562" s="1006"/>
      <c r="AK562" s="1006"/>
      <c r="AL562" s="1006"/>
      <c r="AM562" s="1006"/>
      <c r="AN562" s="1006"/>
      <c r="AO562" s="1006"/>
      <c r="AP562" s="1006"/>
      <c r="AQ562" s="1006"/>
      <c r="AR562" s="1006"/>
      <c r="AS562" s="1006"/>
      <c r="AT562" s="1006"/>
      <c r="AU562" s="1007"/>
    </row>
    <row r="563" spans="2:48" x14ac:dyDescent="0.2">
      <c r="B563" s="199"/>
      <c r="C563" s="200"/>
      <c r="D563" s="200"/>
      <c r="E563" s="200"/>
      <c r="F563" s="200"/>
      <c r="G563" s="201"/>
      <c r="I563" s="199"/>
      <c r="J563" s="200"/>
      <c r="K563" s="200"/>
      <c r="L563" s="200"/>
      <c r="M563" s="200"/>
      <c r="N563" s="200"/>
      <c r="O563" s="200"/>
      <c r="P563" s="200"/>
      <c r="Q563" s="200"/>
      <c r="R563" s="200"/>
      <c r="S563" s="200"/>
      <c r="T563" s="200"/>
      <c r="U563" s="200"/>
      <c r="V563" s="200"/>
      <c r="W563" s="201"/>
      <c r="X563" s="186"/>
      <c r="Z563" s="199"/>
      <c r="AA563" s="200"/>
      <c r="AB563" s="200"/>
      <c r="AC563" s="200"/>
      <c r="AD563" s="200"/>
      <c r="AE563" s="201"/>
      <c r="AG563" s="199"/>
      <c r="AH563" s="200"/>
      <c r="AI563" s="200"/>
      <c r="AJ563" s="200"/>
      <c r="AK563" s="200"/>
      <c r="AL563" s="200"/>
      <c r="AM563" s="200"/>
      <c r="AN563" s="200"/>
      <c r="AO563" s="200"/>
      <c r="AP563" s="200"/>
      <c r="AQ563" s="200"/>
      <c r="AR563" s="200"/>
      <c r="AS563" s="200"/>
      <c r="AT563" s="200"/>
      <c r="AU563" s="201"/>
    </row>
    <row r="564" spans="2:48" x14ac:dyDescent="0.2">
      <c r="X564" s="186"/>
    </row>
    <row r="565" spans="2:48" x14ac:dyDescent="0.2">
      <c r="I565" s="1005" t="s">
        <v>481</v>
      </c>
      <c r="J565" s="1006"/>
      <c r="K565" s="1006"/>
      <c r="L565" s="1006"/>
      <c r="M565" s="1006"/>
      <c r="N565" s="1006"/>
      <c r="O565" s="1006"/>
      <c r="P565" s="1006"/>
      <c r="Q565" s="1007"/>
      <c r="R565" s="1005" t="s">
        <v>520</v>
      </c>
      <c r="S565" s="1006"/>
      <c r="T565" s="1006"/>
      <c r="U565" s="1006"/>
      <c r="V565" s="1006"/>
      <c r="W565" s="1007"/>
      <c r="X565" s="186"/>
      <c r="AG565" s="1005" t="s">
        <v>481</v>
      </c>
      <c r="AH565" s="1006"/>
      <c r="AI565" s="1006"/>
      <c r="AJ565" s="1006"/>
      <c r="AK565" s="1006"/>
      <c r="AL565" s="1006"/>
      <c r="AM565" s="1006"/>
      <c r="AN565" s="1006"/>
      <c r="AO565" s="1007"/>
      <c r="AP565" s="1005" t="s">
        <v>520</v>
      </c>
      <c r="AQ565" s="1006"/>
      <c r="AR565" s="1006"/>
      <c r="AS565" s="1006"/>
      <c r="AT565" s="1006"/>
      <c r="AU565" s="1007"/>
    </row>
    <row r="566" spans="2:48" x14ac:dyDescent="0.2">
      <c r="I566" s="199"/>
      <c r="J566" s="200"/>
      <c r="K566" s="200"/>
      <c r="L566" s="200"/>
      <c r="M566" s="200"/>
      <c r="N566" s="200"/>
      <c r="O566" s="200"/>
      <c r="P566" s="200"/>
      <c r="Q566" s="200"/>
      <c r="R566" s="199"/>
      <c r="S566" s="200"/>
      <c r="T566" s="200"/>
      <c r="U566" s="200"/>
      <c r="V566" s="200"/>
      <c r="W566" s="201"/>
      <c r="X566" s="186"/>
      <c r="AG566" s="199"/>
      <c r="AH566" s="200"/>
      <c r="AI566" s="200"/>
      <c r="AJ566" s="200"/>
      <c r="AK566" s="200"/>
      <c r="AL566" s="200"/>
      <c r="AM566" s="200"/>
      <c r="AN566" s="200"/>
      <c r="AO566" s="200"/>
      <c r="AP566" s="199"/>
      <c r="AQ566" s="200"/>
      <c r="AR566" s="200"/>
      <c r="AS566" s="200"/>
      <c r="AT566" s="200"/>
      <c r="AU566" s="201"/>
    </row>
    <row r="568" spans="2:48" ht="57.75" customHeight="1" x14ac:dyDescent="0.2">
      <c r="B568" s="1058" t="str">
        <f>Championnat</f>
        <v>Championnat de France de Tir à l'ARC</v>
      </c>
      <c r="C568" s="1058"/>
      <c r="D568" s="1058"/>
      <c r="E568" s="1058"/>
      <c r="F568" s="1058"/>
      <c r="G568" s="1058"/>
      <c r="H568" s="1058"/>
      <c r="I568" s="1058"/>
      <c r="J568" s="1058"/>
      <c r="K568" s="1058"/>
      <c r="L568" s="1058"/>
      <c r="M568" s="1058"/>
      <c r="N568" s="1058"/>
      <c r="O568" s="1058"/>
      <c r="P568" s="1058"/>
      <c r="Q568" s="1058"/>
      <c r="R568" s="1058"/>
      <c r="S568" s="1058"/>
      <c r="T568" s="1058"/>
      <c r="U568" s="1058"/>
      <c r="V568" s="1058"/>
      <c r="W568" s="1058"/>
      <c r="X568" s="1058"/>
      <c r="Y568" s="1058"/>
      <c r="Z568" s="1058"/>
      <c r="AA568" s="1058"/>
      <c r="AB568" s="1058"/>
      <c r="AC568" s="1058"/>
      <c r="AD568" s="1058"/>
      <c r="AE568" s="1058"/>
      <c r="AF568" s="1058"/>
      <c r="AG568" s="1058"/>
      <c r="AH568" s="1058"/>
      <c r="AI568" s="1058"/>
      <c r="AJ568" s="1058"/>
      <c r="AK568" s="1058"/>
      <c r="AL568" s="1058"/>
      <c r="AM568" s="1058"/>
      <c r="AN568" s="1058"/>
      <c r="AO568" s="1058"/>
      <c r="AP568" s="1058"/>
    </row>
    <row r="569" spans="2:48" ht="45" customHeight="1" thickBot="1" x14ac:dyDescent="0.25">
      <c r="B569" s="1018" t="str">
        <f>LIEU&amp;" - "&amp;DATE&amp;" - "&amp;CATEG</f>
        <v>L’Isle sur la Sorgue - 27 au 31 mars 2023 - Collèges Mixtes Etablissement</v>
      </c>
      <c r="C569" s="1018"/>
      <c r="D569" s="1018"/>
      <c r="E569" s="1018"/>
      <c r="F569" s="1018"/>
      <c r="G569" s="1018"/>
      <c r="H569" s="1018"/>
      <c r="I569" s="1018"/>
      <c r="J569" s="1018"/>
      <c r="K569" s="1018"/>
      <c r="L569" s="1018"/>
      <c r="M569" s="1018"/>
      <c r="N569" s="1018"/>
      <c r="O569" s="1018"/>
      <c r="P569" s="1018"/>
      <c r="Q569" s="1018"/>
      <c r="R569" s="1018"/>
      <c r="S569" s="1018"/>
      <c r="T569" s="1018"/>
      <c r="U569" s="1018"/>
      <c r="V569" s="1018"/>
      <c r="W569" s="1018"/>
      <c r="X569" s="1018"/>
      <c r="Y569" s="1018"/>
      <c r="Z569" s="1018"/>
      <c r="AA569" s="1018"/>
      <c r="AB569" s="1018"/>
      <c r="AC569" s="1018"/>
      <c r="AD569" s="1018"/>
      <c r="AE569" s="1018"/>
      <c r="AF569" s="1018"/>
      <c r="AG569" s="1018"/>
      <c r="AH569" s="1018"/>
      <c r="AI569" s="1018"/>
      <c r="AJ569" s="1018"/>
      <c r="AK569" s="1018"/>
      <c r="AL569" s="1018"/>
      <c r="AM569" s="1018"/>
      <c r="AN569" s="1018"/>
      <c r="AO569" s="1018"/>
      <c r="AP569" s="1018"/>
      <c r="AQ569" s="182"/>
      <c r="AR569" s="182"/>
      <c r="AS569" s="182"/>
      <c r="AT569" s="182"/>
      <c r="AU569" s="182"/>
      <c r="AV569" s="182"/>
    </row>
    <row r="570" spans="2:48" ht="26.25" customHeight="1" x14ac:dyDescent="0.2">
      <c r="B570" s="1059" t="str">
        <f>CATEG_IMPORTEE</f>
        <v>Collèges Mixtes Etablissement</v>
      </c>
      <c r="C570" s="1059"/>
      <c r="D570" s="1059"/>
      <c r="E570" s="1059"/>
      <c r="F570" s="1059"/>
      <c r="G570" s="1059"/>
      <c r="H570" s="1059"/>
      <c r="I570" s="1059"/>
      <c r="J570" s="1059"/>
      <c r="K570" s="1059"/>
      <c r="L570" s="1059"/>
      <c r="M570" s="1059"/>
      <c r="N570" s="1059"/>
      <c r="O570" s="1059"/>
      <c r="P570" s="1059"/>
      <c r="Q570" s="1059"/>
      <c r="R570" s="1059"/>
      <c r="S570" s="1059"/>
      <c r="T570" s="1059"/>
      <c r="U570" s="1059"/>
      <c r="V570" s="1059"/>
      <c r="W570" s="1059"/>
      <c r="X570" s="1059"/>
      <c r="Y570" s="1059"/>
      <c r="Z570" s="1059"/>
      <c r="AA570" s="1059"/>
      <c r="AB570" s="1059"/>
      <c r="AC570" s="1059"/>
      <c r="AD570" s="1059"/>
      <c r="AE570" s="1059"/>
      <c r="AF570" s="1059"/>
      <c r="AG570" s="1059"/>
      <c r="AH570" s="1059"/>
      <c r="AI570" s="1059"/>
      <c r="AJ570" s="1059"/>
      <c r="AK570" s="1059"/>
      <c r="AL570" s="1059"/>
      <c r="AM570" s="1059"/>
      <c r="AN570" s="1059"/>
      <c r="AO570" s="1059"/>
      <c r="AP570" s="1059"/>
      <c r="AQ570" s="182"/>
      <c r="AR570" s="1060">
        <f>AR507+1</f>
        <v>10</v>
      </c>
      <c r="AS570" s="1061"/>
      <c r="AT570" s="1062"/>
      <c r="AU570" s="182"/>
      <c r="AV570" s="182"/>
    </row>
    <row r="571" spans="2:48" ht="18" customHeight="1" x14ac:dyDescent="0.2">
      <c r="B571" s="182"/>
      <c r="C571" s="182"/>
      <c r="D571" s="182"/>
      <c r="E571" s="182"/>
      <c r="F571" s="182"/>
      <c r="G571" s="182"/>
      <c r="H571" s="182"/>
      <c r="I571" s="182"/>
      <c r="J571" s="182"/>
      <c r="K571" s="182"/>
      <c r="L571" s="182"/>
      <c r="M571" s="182"/>
      <c r="N571" s="182"/>
      <c r="O571" s="182"/>
      <c r="P571" s="182"/>
      <c r="Q571" s="182"/>
      <c r="R571" s="182"/>
      <c r="S571" s="182"/>
      <c r="T571" s="182"/>
      <c r="U571" s="182"/>
      <c r="V571" s="182"/>
      <c r="W571" s="182"/>
      <c r="X571" s="183"/>
      <c r="Y571" s="184"/>
      <c r="Z571" s="182"/>
      <c r="AA571" s="182"/>
      <c r="AB571" s="182"/>
      <c r="AC571" s="182"/>
      <c r="AD571" s="182"/>
      <c r="AE571" s="182"/>
      <c r="AF571" s="182"/>
      <c r="AG571" s="182"/>
      <c r="AH571" s="182"/>
      <c r="AI571" s="182"/>
      <c r="AJ571" s="182"/>
      <c r="AK571" s="182"/>
      <c r="AL571" s="182"/>
      <c r="AM571" s="182"/>
      <c r="AN571" s="182"/>
      <c r="AO571" s="182"/>
      <c r="AP571" s="182"/>
      <c r="AQ571" s="182"/>
      <c r="AR571" s="1063"/>
      <c r="AS571" s="1064"/>
      <c r="AT571" s="1065"/>
      <c r="AU571" s="182"/>
      <c r="AV571" s="182"/>
    </row>
    <row r="572" spans="2:48" ht="18.75" customHeight="1" thickBot="1" x14ac:dyDescent="0.25">
      <c r="B572" s="182"/>
      <c r="C572" s="182"/>
      <c r="D572" s="182"/>
      <c r="E572" s="182"/>
      <c r="F572" s="182"/>
      <c r="G572" s="182"/>
      <c r="H572" s="992" t="s">
        <v>374</v>
      </c>
      <c r="I572" s="992"/>
      <c r="J572" s="992"/>
      <c r="K572" s="992"/>
      <c r="L572" s="992"/>
      <c r="M572" s="992"/>
      <c r="N572" s="992"/>
      <c r="O572" s="992"/>
      <c r="P572" s="992"/>
      <c r="Q572" s="992"/>
      <c r="R572" s="182"/>
      <c r="S572" s="182"/>
      <c r="T572" s="182"/>
      <c r="U572" s="182"/>
      <c r="V572" s="182"/>
      <c r="W572" s="182"/>
      <c r="X572" s="183"/>
      <c r="Y572" s="182"/>
      <c r="Z572" s="182"/>
      <c r="AA572" s="182"/>
      <c r="AB572" s="182"/>
      <c r="AC572" s="182"/>
      <c r="AD572" s="182"/>
      <c r="AE572" s="992" t="s">
        <v>374</v>
      </c>
      <c r="AF572" s="992"/>
      <c r="AG572" s="992"/>
      <c r="AH572" s="992"/>
      <c r="AI572" s="992"/>
      <c r="AJ572" s="992"/>
      <c r="AK572" s="992"/>
      <c r="AL572" s="992"/>
      <c r="AM572" s="992"/>
      <c r="AN572" s="992"/>
      <c r="AO572" s="182"/>
      <c r="AP572" s="182"/>
      <c r="AQ572" s="182"/>
      <c r="AR572" s="1066"/>
      <c r="AS572" s="1067"/>
      <c r="AT572" s="1068"/>
      <c r="AU572" s="182"/>
      <c r="AV572" s="182"/>
    </row>
    <row r="573" spans="2:48" ht="18" x14ac:dyDescent="0.2">
      <c r="B573" s="182"/>
      <c r="C573" s="182"/>
      <c r="D573" s="182"/>
      <c r="E573" s="182"/>
      <c r="F573" s="182"/>
      <c r="G573" s="182"/>
      <c r="H573" s="1022" t="e">
        <f>VLOOKUP(U582,ID_archer_cible,4,FALSE)</f>
        <v>#N/A</v>
      </c>
      <c r="I573" s="1023"/>
      <c r="J573" s="1023"/>
      <c r="K573" s="1023"/>
      <c r="L573" s="1023"/>
      <c r="M573" s="1023"/>
      <c r="N573" s="1023"/>
      <c r="O573" s="1023"/>
      <c r="P573" s="1023"/>
      <c r="Q573" s="1024"/>
      <c r="R573" s="182"/>
      <c r="S573" s="182"/>
      <c r="T573" s="182"/>
      <c r="U573" s="182"/>
      <c r="V573" s="182"/>
      <c r="W573" s="182"/>
      <c r="X573" s="183"/>
      <c r="Y573" s="182"/>
      <c r="Z573" s="182"/>
      <c r="AA573" s="182"/>
      <c r="AB573" s="182"/>
      <c r="AC573" s="182"/>
      <c r="AD573" s="182"/>
      <c r="AE573" s="1022" t="e">
        <f>VLOOKUP(AS582,ID_archer_cible,4,FALSE)</f>
        <v>#N/A</v>
      </c>
      <c r="AF573" s="1023"/>
      <c r="AG573" s="1023"/>
      <c r="AH573" s="1023"/>
      <c r="AI573" s="1023"/>
      <c r="AJ573" s="1023"/>
      <c r="AK573" s="1023"/>
      <c r="AL573" s="1023"/>
      <c r="AM573" s="1023"/>
      <c r="AN573" s="1024"/>
      <c r="AO573" s="182"/>
      <c r="AP573" s="182"/>
      <c r="AQ573" s="182"/>
      <c r="AR573" s="182"/>
      <c r="AS573" s="182"/>
      <c r="AT573" s="182"/>
      <c r="AU573" s="182"/>
      <c r="AV573" s="182"/>
    </row>
    <row r="574" spans="2:48" x14ac:dyDescent="0.2">
      <c r="X574" s="186"/>
    </row>
    <row r="575" spans="2:48" x14ac:dyDescent="0.2">
      <c r="B575" s="1021" t="s">
        <v>0</v>
      </c>
      <c r="C575" s="1021"/>
      <c r="D575" s="1021"/>
      <c r="E575" s="1021"/>
      <c r="F575" s="1021"/>
      <c r="G575" s="1021"/>
      <c r="H575" s="1021"/>
      <c r="I575" s="1021"/>
      <c r="J575" s="1021"/>
      <c r="K575" s="1021"/>
      <c r="L575" s="1021"/>
      <c r="M575" s="187"/>
      <c r="P575" s="992" t="s">
        <v>375</v>
      </c>
      <c r="Q575" s="992"/>
      <c r="R575" s="992"/>
      <c r="S575" s="992"/>
      <c r="T575" s="992"/>
      <c r="U575" s="992"/>
      <c r="V575" s="992"/>
      <c r="W575" s="992"/>
      <c r="X575" s="188"/>
      <c r="Z575" s="1021" t="s">
        <v>0</v>
      </c>
      <c r="AA575" s="1021"/>
      <c r="AB575" s="1021"/>
      <c r="AC575" s="1021"/>
      <c r="AD575" s="1021"/>
      <c r="AE575" s="1021"/>
      <c r="AF575" s="1021"/>
      <c r="AG575" s="1021"/>
      <c r="AH575" s="1021"/>
      <c r="AI575" s="1021"/>
      <c r="AJ575" s="1021"/>
      <c r="AK575" s="187"/>
      <c r="AN575" s="992" t="s">
        <v>375</v>
      </c>
      <c r="AO575" s="992"/>
      <c r="AP575" s="992"/>
      <c r="AQ575" s="992"/>
      <c r="AR575" s="992"/>
      <c r="AS575" s="992"/>
      <c r="AT575" s="992"/>
      <c r="AU575" s="992"/>
      <c r="AV575" s="187"/>
    </row>
    <row r="576" spans="2:48" x14ac:dyDescent="0.2">
      <c r="B576" s="999" t="e">
        <f>VLOOKUP(U582,ID_archer_cible,2,FALSE)</f>
        <v>#N/A</v>
      </c>
      <c r="C576" s="1000"/>
      <c r="D576" s="1000"/>
      <c r="E576" s="1000"/>
      <c r="F576" s="1000"/>
      <c r="G576" s="1000"/>
      <c r="H576" s="1000"/>
      <c r="I576" s="1000"/>
      <c r="J576" s="1000"/>
      <c r="K576" s="1000"/>
      <c r="L576" s="1000"/>
      <c r="M576" s="1001"/>
      <c r="P576" s="999" t="e">
        <f>VLOOKUP(U582,ID_archer_cible,3,FALSE)</f>
        <v>#N/A</v>
      </c>
      <c r="Q576" s="1000"/>
      <c r="R576" s="1000"/>
      <c r="S576" s="1000"/>
      <c r="T576" s="1000"/>
      <c r="U576" s="1000"/>
      <c r="V576" s="1000"/>
      <c r="W576" s="1001"/>
      <c r="X576" s="186"/>
      <c r="Y576"/>
      <c r="Z576" s="999" t="e">
        <f>VLOOKUP(AS582,ID_archer_cible,2,FALSE)</f>
        <v>#N/A</v>
      </c>
      <c r="AA576" s="1000"/>
      <c r="AB576" s="1000"/>
      <c r="AC576" s="1000"/>
      <c r="AD576" s="1000"/>
      <c r="AE576" s="1000"/>
      <c r="AF576" s="1000"/>
      <c r="AG576" s="1000"/>
      <c r="AH576" s="1000"/>
      <c r="AI576" s="1000"/>
      <c r="AJ576" s="1000"/>
      <c r="AK576" s="1001"/>
      <c r="AN576" s="999" t="e">
        <f>VLOOKUP(AS582,ID_archer_cible,3,FALSE)</f>
        <v>#N/A</v>
      </c>
      <c r="AO576" s="1000"/>
      <c r="AP576" s="1000"/>
      <c r="AQ576" s="1000"/>
      <c r="AR576" s="1000"/>
      <c r="AS576" s="1000"/>
      <c r="AT576" s="1000"/>
      <c r="AU576" s="1001"/>
    </row>
    <row r="577" spans="2:48" x14ac:dyDescent="0.2">
      <c r="X577" s="186"/>
      <c r="Y577"/>
    </row>
    <row r="578" spans="2:48" ht="16.5" thickBot="1" x14ac:dyDescent="0.25">
      <c r="B578" s="1017" t="s">
        <v>1</v>
      </c>
      <c r="C578" s="1017"/>
      <c r="D578" s="1017"/>
      <c r="E578" s="1017"/>
      <c r="F578" s="1017"/>
      <c r="G578" s="1017"/>
      <c r="H578" s="1017"/>
      <c r="I578" s="1017"/>
      <c r="J578" s="1017"/>
      <c r="L578" s="1017" t="s">
        <v>505</v>
      </c>
      <c r="M578" s="1017"/>
      <c r="N578" s="1017"/>
      <c r="O578" s="1017"/>
      <c r="P578" s="1017"/>
      <c r="Q578" s="1017"/>
      <c r="S578" s="992" t="s">
        <v>506</v>
      </c>
      <c r="T578" s="992"/>
      <c r="U578" s="992"/>
      <c r="V578" s="992"/>
      <c r="W578" s="992"/>
      <c r="X578" s="188"/>
      <c r="Y578"/>
      <c r="Z578" s="1017" t="s">
        <v>1</v>
      </c>
      <c r="AA578" s="1017"/>
      <c r="AB578" s="1017"/>
      <c r="AC578" s="1017"/>
      <c r="AD578" s="1017"/>
      <c r="AE578" s="1017"/>
      <c r="AF578" s="1017"/>
      <c r="AG578" s="1017"/>
      <c r="AH578" s="1017"/>
      <c r="AJ578" s="1017" t="s">
        <v>505</v>
      </c>
      <c r="AK578" s="1017"/>
      <c r="AL578" s="1017"/>
      <c r="AM578" s="1017"/>
      <c r="AN578" s="1017"/>
      <c r="AO578" s="1017"/>
      <c r="AQ578" s="992" t="s">
        <v>506</v>
      </c>
      <c r="AR578" s="992"/>
      <c r="AS578" s="992"/>
      <c r="AT578" s="992"/>
      <c r="AU578" s="992"/>
      <c r="AV578" s="187"/>
    </row>
    <row r="579" spans="2:48" ht="16.5" thickBot="1" x14ac:dyDescent="0.25">
      <c r="B579" s="1014" t="e">
        <f>VLOOKUP(U582,ID_archer_cible,5,FALSE)</f>
        <v>#N/A</v>
      </c>
      <c r="C579" s="1015"/>
      <c r="D579" s="1015"/>
      <c r="E579" s="1015"/>
      <c r="F579" s="1015"/>
      <c r="G579" s="1015"/>
      <c r="H579" s="1015"/>
      <c r="I579" s="1015"/>
      <c r="J579" s="1016"/>
      <c r="L579" s="1014" t="e">
        <f>VLOOKUP(U582,ID_archer_cible,6,FALSE)</f>
        <v>#N/A</v>
      </c>
      <c r="M579" s="1015"/>
      <c r="N579" s="1015"/>
      <c r="O579" s="1015"/>
      <c r="P579" s="1015"/>
      <c r="Q579" s="1016"/>
      <c r="S579" s="999" t="e">
        <f>VLOOKUP(U582,ID_archer_cible,8,FALSE)</f>
        <v>#N/A</v>
      </c>
      <c r="T579" s="1000"/>
      <c r="U579" s="1000"/>
      <c r="V579" s="1000"/>
      <c r="W579" s="1001"/>
      <c r="X579" s="186"/>
      <c r="Y579"/>
      <c r="Z579" s="1014" t="e">
        <f>VLOOKUP(AS582,ID_archer_cible,5,FALSE)</f>
        <v>#N/A</v>
      </c>
      <c r="AA579" s="1015"/>
      <c r="AB579" s="1015"/>
      <c r="AC579" s="1015"/>
      <c r="AD579" s="1015"/>
      <c r="AE579" s="1015"/>
      <c r="AF579" s="1015"/>
      <c r="AG579" s="1015"/>
      <c r="AH579" s="1016"/>
      <c r="AJ579" s="1014" t="e">
        <f>VLOOKUP(AS582,ID_archer_cible,6,FALSE)</f>
        <v>#N/A</v>
      </c>
      <c r="AK579" s="1015"/>
      <c r="AL579" s="1015"/>
      <c r="AM579" s="1015"/>
      <c r="AN579" s="1015"/>
      <c r="AO579" s="1016"/>
      <c r="AQ579" s="999" t="e">
        <f>VLOOKUP(AS582,ID_archer_cible,8,FALSE)</f>
        <v>#N/A</v>
      </c>
      <c r="AR579" s="1000"/>
      <c r="AS579" s="1000"/>
      <c r="AT579" s="1000"/>
      <c r="AU579" s="1001"/>
    </row>
    <row r="580" spans="2:48" x14ac:dyDescent="0.2">
      <c r="X580" s="186"/>
      <c r="Y580"/>
    </row>
    <row r="581" spans="2:48" x14ac:dyDescent="0.2">
      <c r="B581" s="992" t="s">
        <v>530</v>
      </c>
      <c r="C581" s="992"/>
      <c r="D581" s="992"/>
      <c r="E581" s="992"/>
      <c r="F581" s="992"/>
      <c r="G581" s="187"/>
      <c r="H581" s="992" t="s">
        <v>504</v>
      </c>
      <c r="I581" s="992"/>
      <c r="J581" s="992"/>
      <c r="K581" s="992"/>
      <c r="M581" s="992" t="s">
        <v>39</v>
      </c>
      <c r="N581" s="992"/>
      <c r="O581" s="992"/>
      <c r="Q581" s="1021"/>
      <c r="R581" s="1021"/>
      <c r="S581" s="1021"/>
      <c r="U581" s="992" t="s">
        <v>507</v>
      </c>
      <c r="V581" s="992"/>
      <c r="W581" s="992"/>
      <c r="X581" s="188"/>
      <c r="Y581"/>
      <c r="Z581" s="992" t="s">
        <v>530</v>
      </c>
      <c r="AA581" s="992"/>
      <c r="AB581" s="992"/>
      <c r="AC581" s="992"/>
      <c r="AD581" s="992"/>
      <c r="AE581" s="187"/>
      <c r="AF581" s="992" t="s">
        <v>504</v>
      </c>
      <c r="AG581" s="992"/>
      <c r="AH581" s="992"/>
      <c r="AI581" s="992"/>
      <c r="AK581" s="992" t="s">
        <v>39</v>
      </c>
      <c r="AL581" s="992"/>
      <c r="AM581" s="992"/>
      <c r="AO581" s="1021"/>
      <c r="AP581" s="1021"/>
      <c r="AQ581" s="1021"/>
      <c r="AS581" s="992" t="s">
        <v>507</v>
      </c>
      <c r="AT581" s="992"/>
      <c r="AU581" s="992"/>
      <c r="AV581" s="187"/>
    </row>
    <row r="582" spans="2:48" ht="15.75" x14ac:dyDescent="0.2">
      <c r="B582" s="1011" t="e">
        <f>VLOOKUP(U582,ID_archer_cible,7,FALSE)</f>
        <v>#N/A</v>
      </c>
      <c r="C582" s="1012"/>
      <c r="D582" s="1012"/>
      <c r="E582" s="1012"/>
      <c r="F582" s="1013"/>
      <c r="H582" s="999" t="e">
        <f>VLOOKUP(U582,ID_archer_cible,9,FALSE)</f>
        <v>#N/A</v>
      </c>
      <c r="I582" s="1000"/>
      <c r="J582" s="1000"/>
      <c r="K582" s="1001"/>
      <c r="M582" s="999" t="e">
        <f>VLOOKUP(U582,ID_archer_cible,10,FALSE)</f>
        <v>#N/A</v>
      </c>
      <c r="N582" s="1000"/>
      <c r="O582" s="1001"/>
      <c r="Q582" s="1021"/>
      <c r="R582" s="1021"/>
      <c r="S582" s="1021"/>
      <c r="T582" s="187"/>
      <c r="U582" s="996" t="str">
        <f>AR570&amp;"A"</f>
        <v>10A</v>
      </c>
      <c r="V582" s="997"/>
      <c r="W582" s="998"/>
      <c r="X582" s="188"/>
      <c r="Y582"/>
      <c r="Z582" s="1011" t="e">
        <f>VLOOKUP(AS582,ID_archer_cible,7,FALSE)</f>
        <v>#N/A</v>
      </c>
      <c r="AA582" s="1012"/>
      <c r="AB582" s="1012"/>
      <c r="AC582" s="1012"/>
      <c r="AD582" s="1013"/>
      <c r="AF582" s="999" t="e">
        <f>VLOOKUP(AS582,ID_archer_cible,9,FALSE)</f>
        <v>#N/A</v>
      </c>
      <c r="AG582" s="1000"/>
      <c r="AH582" s="1000"/>
      <c r="AI582" s="1001"/>
      <c r="AK582" s="999" t="e">
        <f>VLOOKUP(AS582,ID_archer_cible,10,FALSE)</f>
        <v>#N/A</v>
      </c>
      <c r="AL582" s="1000"/>
      <c r="AM582" s="1001"/>
      <c r="AO582" s="1021"/>
      <c r="AP582" s="1021"/>
      <c r="AQ582" s="1021"/>
      <c r="AR582" s="187"/>
      <c r="AS582" s="996" t="str">
        <f>AR570&amp;"B"</f>
        <v>10B</v>
      </c>
      <c r="AT582" s="997"/>
      <c r="AU582" s="998"/>
      <c r="AV582" s="187"/>
    </row>
    <row r="583" spans="2:48" x14ac:dyDescent="0.2">
      <c r="X583" s="186"/>
    </row>
    <row r="584" spans="2:48" x14ac:dyDescent="0.2">
      <c r="B584" s="185" t="s">
        <v>509</v>
      </c>
      <c r="E584" s="992" t="s">
        <v>510</v>
      </c>
      <c r="F584" s="992"/>
      <c r="G584" s="992"/>
      <c r="H584" s="992"/>
      <c r="I584" s="992"/>
      <c r="J584" s="992"/>
      <c r="K584" s="992"/>
      <c r="L584" s="992"/>
      <c r="M584" s="992"/>
      <c r="N584" s="992"/>
      <c r="P584" s="992" t="s">
        <v>511</v>
      </c>
      <c r="Q584" s="992"/>
      <c r="R584" s="992"/>
      <c r="X584" s="186"/>
      <c r="Z584" s="185" t="s">
        <v>509</v>
      </c>
      <c r="AC584" s="992" t="s">
        <v>510</v>
      </c>
      <c r="AD584" s="992"/>
      <c r="AE584" s="992"/>
      <c r="AF584" s="992"/>
      <c r="AG584" s="992"/>
      <c r="AH584" s="992"/>
      <c r="AI584" s="992"/>
      <c r="AJ584" s="992"/>
      <c r="AK584" s="992"/>
      <c r="AL584" s="992"/>
      <c r="AN584" s="992" t="s">
        <v>511</v>
      </c>
      <c r="AO584" s="992"/>
      <c r="AP584" s="992"/>
    </row>
    <row r="585" spans="2:48" ht="20.25" customHeight="1" x14ac:dyDescent="0.2">
      <c r="B585" s="1009" t="s">
        <v>513</v>
      </c>
      <c r="C585" s="1009"/>
      <c r="E585" s="189"/>
      <c r="F585" s="191"/>
      <c r="G585" s="189"/>
      <c r="H585" s="191"/>
      <c r="I585" s="189"/>
      <c r="J585" s="191"/>
      <c r="K585" s="189"/>
      <c r="L585" s="191"/>
      <c r="M585" s="189"/>
      <c r="N585" s="191"/>
      <c r="P585" s="189"/>
      <c r="Q585" s="190"/>
      <c r="R585" s="191"/>
      <c r="T585" s="992" t="s">
        <v>512</v>
      </c>
      <c r="U585" s="992"/>
      <c r="V585" s="992"/>
      <c r="W585" s="992"/>
      <c r="X585" s="188"/>
      <c r="Z585" s="1009" t="s">
        <v>513</v>
      </c>
      <c r="AA585" s="1009"/>
      <c r="AC585" s="189"/>
      <c r="AD585" s="191"/>
      <c r="AE585" s="189"/>
      <c r="AF585" s="191"/>
      <c r="AG585" s="189"/>
      <c r="AH585" s="191"/>
      <c r="AI585" s="189"/>
      <c r="AJ585" s="191"/>
      <c r="AK585" s="189"/>
      <c r="AL585" s="191"/>
      <c r="AN585" s="189"/>
      <c r="AO585" s="190"/>
      <c r="AP585" s="191"/>
      <c r="AR585" s="992" t="s">
        <v>512</v>
      </c>
      <c r="AS585" s="992"/>
      <c r="AT585" s="992"/>
      <c r="AU585" s="992"/>
      <c r="AV585" s="187"/>
    </row>
    <row r="586" spans="2:48" ht="20.25" customHeight="1" x14ac:dyDescent="0.2">
      <c r="B586" s="1009" t="s">
        <v>514</v>
      </c>
      <c r="C586" s="1009"/>
      <c r="E586" s="189"/>
      <c r="F586" s="191"/>
      <c r="G586" s="189"/>
      <c r="H586" s="191"/>
      <c r="I586" s="189"/>
      <c r="J586" s="191"/>
      <c r="K586" s="189"/>
      <c r="L586" s="191"/>
      <c r="M586" s="189"/>
      <c r="N586" s="191"/>
      <c r="P586" s="189"/>
      <c r="Q586" s="190"/>
      <c r="R586" s="191"/>
      <c r="T586" s="189"/>
      <c r="U586" s="190"/>
      <c r="V586" s="190"/>
      <c r="W586" s="191"/>
      <c r="X586" s="186"/>
      <c r="Z586" s="1009" t="s">
        <v>514</v>
      </c>
      <c r="AA586" s="1009"/>
      <c r="AC586" s="189"/>
      <c r="AD586" s="191"/>
      <c r="AE586" s="189"/>
      <c r="AF586" s="191"/>
      <c r="AG586" s="189"/>
      <c r="AH586" s="191"/>
      <c r="AI586" s="189"/>
      <c r="AJ586" s="191"/>
      <c r="AK586" s="189"/>
      <c r="AL586" s="191"/>
      <c r="AN586" s="189"/>
      <c r="AO586" s="190"/>
      <c r="AP586" s="191"/>
      <c r="AR586" s="189"/>
      <c r="AS586" s="190"/>
      <c r="AT586" s="190"/>
      <c r="AU586" s="191"/>
    </row>
    <row r="587" spans="2:48" ht="20.25" customHeight="1" x14ac:dyDescent="0.2">
      <c r="B587" s="1009" t="s">
        <v>515</v>
      </c>
      <c r="C587" s="1009"/>
      <c r="E587" s="189"/>
      <c r="F587" s="191"/>
      <c r="G587" s="189"/>
      <c r="H587" s="191"/>
      <c r="I587" s="189"/>
      <c r="J587" s="191"/>
      <c r="K587" s="189"/>
      <c r="L587" s="191"/>
      <c r="M587" s="189"/>
      <c r="N587" s="191"/>
      <c r="P587" s="189"/>
      <c r="Q587" s="190"/>
      <c r="R587" s="191"/>
      <c r="T587" s="189"/>
      <c r="U587" s="190"/>
      <c r="V587" s="190"/>
      <c r="W587" s="191"/>
      <c r="X587" s="186"/>
      <c r="Z587" s="1009" t="s">
        <v>515</v>
      </c>
      <c r="AA587" s="1009"/>
      <c r="AC587" s="189"/>
      <c r="AD587" s="191"/>
      <c r="AE587" s="189"/>
      <c r="AF587" s="191"/>
      <c r="AG587" s="189"/>
      <c r="AH587" s="191"/>
      <c r="AI587" s="189"/>
      <c r="AJ587" s="191"/>
      <c r="AK587" s="189"/>
      <c r="AL587" s="191"/>
      <c r="AN587" s="189"/>
      <c r="AO587" s="190"/>
      <c r="AP587" s="191"/>
      <c r="AR587" s="189"/>
      <c r="AS587" s="190"/>
      <c r="AT587" s="190"/>
      <c r="AU587" s="191"/>
    </row>
    <row r="588" spans="2:48" ht="20.25" customHeight="1" x14ac:dyDescent="0.2">
      <c r="B588" s="1009" t="s">
        <v>516</v>
      </c>
      <c r="C588" s="1009"/>
      <c r="E588" s="189"/>
      <c r="F588" s="191"/>
      <c r="G588" s="189"/>
      <c r="H588" s="191"/>
      <c r="I588" s="189"/>
      <c r="J588" s="191"/>
      <c r="K588" s="189"/>
      <c r="L588" s="191"/>
      <c r="M588" s="189"/>
      <c r="N588" s="191"/>
      <c r="P588" s="189"/>
      <c r="Q588" s="190"/>
      <c r="R588" s="191"/>
      <c r="T588" s="189"/>
      <c r="U588" s="190"/>
      <c r="V588" s="190"/>
      <c r="W588" s="191"/>
      <c r="X588" s="186"/>
      <c r="Z588" s="1009" t="s">
        <v>516</v>
      </c>
      <c r="AA588" s="1009"/>
      <c r="AC588" s="189"/>
      <c r="AD588" s="191"/>
      <c r="AE588" s="189"/>
      <c r="AF588" s="191"/>
      <c r="AG588" s="189"/>
      <c r="AH588" s="191"/>
      <c r="AI588" s="189"/>
      <c r="AJ588" s="191"/>
      <c r="AK588" s="189"/>
      <c r="AL588" s="191"/>
      <c r="AN588" s="189"/>
      <c r="AO588" s="190"/>
      <c r="AP588" s="191"/>
      <c r="AR588" s="189"/>
      <c r="AS588" s="190"/>
      <c r="AT588" s="190"/>
      <c r="AU588" s="191"/>
    </row>
    <row r="589" spans="2:48" ht="20.25" customHeight="1" x14ac:dyDescent="0.2">
      <c r="B589" s="1009" t="s">
        <v>517</v>
      </c>
      <c r="C589" s="1009"/>
      <c r="E589" s="189"/>
      <c r="F589" s="191"/>
      <c r="G589" s="189"/>
      <c r="H589" s="191"/>
      <c r="I589" s="189"/>
      <c r="J589" s="191"/>
      <c r="K589" s="189"/>
      <c r="L589" s="191"/>
      <c r="M589" s="189"/>
      <c r="N589" s="191"/>
      <c r="P589" s="189"/>
      <c r="Q589" s="190"/>
      <c r="R589" s="191"/>
      <c r="T589" s="189"/>
      <c r="U589" s="190"/>
      <c r="V589" s="190"/>
      <c r="W589" s="191"/>
      <c r="X589" s="186"/>
      <c r="Z589" s="1009" t="s">
        <v>517</v>
      </c>
      <c r="AA589" s="1009"/>
      <c r="AC589" s="189"/>
      <c r="AD589" s="191"/>
      <c r="AE589" s="189"/>
      <c r="AF589" s="191"/>
      <c r="AG589" s="189"/>
      <c r="AH589" s="191"/>
      <c r="AI589" s="189"/>
      <c r="AJ589" s="191"/>
      <c r="AK589" s="189"/>
      <c r="AL589" s="191"/>
      <c r="AN589" s="189"/>
      <c r="AO589" s="190"/>
      <c r="AP589" s="191"/>
      <c r="AR589" s="189"/>
      <c r="AS589" s="190"/>
      <c r="AT589" s="190"/>
      <c r="AU589" s="191"/>
    </row>
    <row r="590" spans="2:48" ht="20.25" customHeight="1" x14ac:dyDescent="0.2">
      <c r="B590" s="1009" t="s">
        <v>518</v>
      </c>
      <c r="C590" s="1009"/>
      <c r="E590" s="189"/>
      <c r="F590" s="191"/>
      <c r="G590" s="189"/>
      <c r="H590" s="191"/>
      <c r="I590" s="189"/>
      <c r="J590" s="191"/>
      <c r="K590" s="189"/>
      <c r="L590" s="191"/>
      <c r="M590" s="189"/>
      <c r="N590" s="191"/>
      <c r="P590" s="189"/>
      <c r="Q590" s="190"/>
      <c r="R590" s="191"/>
      <c r="T590" s="189"/>
      <c r="U590" s="190"/>
      <c r="V590" s="190"/>
      <c r="W590" s="191"/>
      <c r="X590" s="186"/>
      <c r="Z590" s="1009" t="s">
        <v>518</v>
      </c>
      <c r="AA590" s="1009"/>
      <c r="AC590" s="189"/>
      <c r="AD590" s="191"/>
      <c r="AE590" s="189"/>
      <c r="AF590" s="191"/>
      <c r="AG590" s="189"/>
      <c r="AH590" s="191"/>
      <c r="AI590" s="189"/>
      <c r="AJ590" s="191"/>
      <c r="AK590" s="189"/>
      <c r="AL590" s="191"/>
      <c r="AN590" s="189"/>
      <c r="AO590" s="190"/>
      <c r="AP590" s="191"/>
      <c r="AR590" s="189"/>
      <c r="AS590" s="190"/>
      <c r="AT590" s="190"/>
      <c r="AU590" s="191"/>
    </row>
    <row r="591" spans="2:48" ht="15.75" thickBot="1" x14ac:dyDescent="0.25">
      <c r="B591" s="187"/>
      <c r="C591" s="187"/>
      <c r="X591" s="186"/>
      <c r="Z591" s="187"/>
      <c r="AA591" s="187"/>
    </row>
    <row r="592" spans="2:48" ht="20.25" customHeight="1" thickBot="1" x14ac:dyDescent="0.25">
      <c r="P592" s="197" t="s">
        <v>519</v>
      </c>
      <c r="Q592" s="197"/>
      <c r="R592" s="197"/>
      <c r="S592" s="197"/>
      <c r="T592" s="192"/>
      <c r="U592" s="193"/>
      <c r="V592" s="193"/>
      <c r="W592" s="194"/>
      <c r="X592" s="186"/>
      <c r="AN592" s="197" t="s">
        <v>519</v>
      </c>
      <c r="AO592" s="197"/>
      <c r="AP592" s="197"/>
      <c r="AQ592" s="197"/>
      <c r="AR592" s="192"/>
      <c r="AS592" s="193"/>
      <c r="AT592" s="193"/>
      <c r="AU592" s="194"/>
    </row>
    <row r="593" spans="2:48" x14ac:dyDescent="0.2">
      <c r="E593" s="196"/>
      <c r="F593" s="196"/>
      <c r="G593" s="196"/>
      <c r="H593" s="196"/>
      <c r="I593" s="196"/>
      <c r="J593" s="196"/>
      <c r="K593" s="196"/>
      <c r="L593" s="196"/>
      <c r="M593" s="196"/>
      <c r="X593" s="186"/>
      <c r="AC593" s="196"/>
      <c r="AD593" s="196"/>
      <c r="AE593" s="196"/>
      <c r="AF593" s="196"/>
      <c r="AG593" s="196"/>
      <c r="AH593" s="196"/>
      <c r="AI593" s="196"/>
      <c r="AJ593" s="196"/>
      <c r="AK593" s="196"/>
    </row>
    <row r="594" spans="2:48" x14ac:dyDescent="0.2">
      <c r="B594" s="1010" t="s">
        <v>521</v>
      </c>
      <c r="C594" s="1010"/>
      <c r="D594" s="1010"/>
      <c r="E594" s="1010"/>
      <c r="F594" s="1010"/>
      <c r="G594" s="1010"/>
      <c r="H594" s="195"/>
      <c r="I594" s="1010" t="s">
        <v>522</v>
      </c>
      <c r="J594" s="1010"/>
      <c r="K594" s="1010"/>
      <c r="L594" s="1010"/>
      <c r="M594" s="1010"/>
      <c r="N594" s="1010"/>
      <c r="O594" s="1010"/>
      <c r="P594" s="1010"/>
      <c r="Q594" s="1010"/>
      <c r="R594" s="1010"/>
      <c r="S594" s="1010"/>
      <c r="T594" s="1010"/>
      <c r="U594" s="1010"/>
      <c r="V594" s="1010"/>
      <c r="W594" s="1010"/>
      <c r="X594" s="198"/>
      <c r="Y594" s="195"/>
      <c r="Z594" s="1010" t="s">
        <v>521</v>
      </c>
      <c r="AA594" s="1010"/>
      <c r="AB594" s="1010"/>
      <c r="AC594" s="1010"/>
      <c r="AD594" s="1010"/>
      <c r="AE594" s="1010"/>
      <c r="AF594" s="195"/>
      <c r="AG594" s="1004" t="s">
        <v>522</v>
      </c>
      <c r="AH594" s="1004"/>
      <c r="AI594" s="1004"/>
      <c r="AJ594" s="1004"/>
      <c r="AK594" s="1004"/>
      <c r="AL594" s="1004"/>
      <c r="AM594" s="1004"/>
      <c r="AN594" s="1004"/>
      <c r="AO594" s="1004"/>
      <c r="AP594" s="1004"/>
      <c r="AQ594" s="1004"/>
      <c r="AR594" s="1004"/>
      <c r="AS594" s="1004"/>
      <c r="AT594" s="1004"/>
      <c r="AU594" s="1004"/>
      <c r="AV594" s="195"/>
    </row>
    <row r="595" spans="2:48" x14ac:dyDescent="0.2">
      <c r="B595" s="1005" t="s">
        <v>520</v>
      </c>
      <c r="C595" s="1006"/>
      <c r="D595" s="1006"/>
      <c r="E595" s="1006"/>
      <c r="F595" s="1006"/>
      <c r="G595" s="1007"/>
      <c r="I595" s="1005" t="s">
        <v>0</v>
      </c>
      <c r="J595" s="1006"/>
      <c r="K595" s="1006"/>
      <c r="L595" s="1006"/>
      <c r="M595" s="1006"/>
      <c r="N595" s="1006"/>
      <c r="O595" s="1006"/>
      <c r="P595" s="1006"/>
      <c r="Q595" s="1006"/>
      <c r="R595" s="1006"/>
      <c r="S595" s="1006"/>
      <c r="T595" s="1006"/>
      <c r="U595" s="1006"/>
      <c r="V595" s="1006"/>
      <c r="W595" s="1007"/>
      <c r="X595" s="186"/>
      <c r="Z595" s="1005" t="s">
        <v>520</v>
      </c>
      <c r="AA595" s="1006"/>
      <c r="AB595" s="1006"/>
      <c r="AC595" s="1006"/>
      <c r="AD595" s="1006"/>
      <c r="AE595" s="1007"/>
      <c r="AG595" s="1005" t="s">
        <v>0</v>
      </c>
      <c r="AH595" s="1006"/>
      <c r="AI595" s="1006"/>
      <c r="AJ595" s="1006"/>
      <c r="AK595" s="1006"/>
      <c r="AL595" s="1006"/>
      <c r="AM595" s="1006"/>
      <c r="AN595" s="1006"/>
      <c r="AO595" s="1006"/>
      <c r="AP595" s="1006"/>
      <c r="AQ595" s="1006"/>
      <c r="AR595" s="1006"/>
      <c r="AS595" s="1006"/>
      <c r="AT595" s="1006"/>
      <c r="AU595" s="1007"/>
    </row>
    <row r="596" spans="2:48" x14ac:dyDescent="0.2">
      <c r="B596" s="199"/>
      <c r="C596" s="200"/>
      <c r="D596" s="200"/>
      <c r="E596" s="200"/>
      <c r="F596" s="200"/>
      <c r="G596" s="201"/>
      <c r="I596" s="199"/>
      <c r="J596" s="200"/>
      <c r="K596" s="200"/>
      <c r="L596" s="200"/>
      <c r="M596" s="200"/>
      <c r="N596" s="200"/>
      <c r="O596" s="200"/>
      <c r="P596" s="200"/>
      <c r="Q596" s="200"/>
      <c r="R596" s="200"/>
      <c r="S596" s="200"/>
      <c r="T596" s="200"/>
      <c r="U596" s="200"/>
      <c r="V596" s="200"/>
      <c r="W596" s="201"/>
      <c r="X596" s="186"/>
      <c r="Z596" s="199"/>
      <c r="AA596" s="200"/>
      <c r="AB596" s="200"/>
      <c r="AC596" s="200"/>
      <c r="AD596" s="200"/>
      <c r="AE596" s="201"/>
      <c r="AG596" s="199"/>
      <c r="AH596" s="200"/>
      <c r="AI596" s="200"/>
      <c r="AJ596" s="200"/>
      <c r="AK596" s="200"/>
      <c r="AL596" s="200"/>
      <c r="AM596" s="200"/>
      <c r="AN596" s="200"/>
      <c r="AO596" s="200"/>
      <c r="AP596" s="200"/>
      <c r="AQ596" s="200"/>
      <c r="AR596" s="200"/>
      <c r="AS596" s="200"/>
      <c r="AT596" s="200"/>
      <c r="AU596" s="201"/>
    </row>
    <row r="597" spans="2:48" x14ac:dyDescent="0.2">
      <c r="X597" s="186"/>
    </row>
    <row r="598" spans="2:48" x14ac:dyDescent="0.2">
      <c r="I598" s="1005" t="s">
        <v>481</v>
      </c>
      <c r="J598" s="1006"/>
      <c r="K598" s="1006"/>
      <c r="L598" s="1006"/>
      <c r="M598" s="1006"/>
      <c r="N598" s="1006"/>
      <c r="O598" s="1006"/>
      <c r="P598" s="1006"/>
      <c r="Q598" s="1007"/>
      <c r="R598" s="1005" t="s">
        <v>520</v>
      </c>
      <c r="S598" s="1006"/>
      <c r="T598" s="1006"/>
      <c r="U598" s="1006"/>
      <c r="V598" s="1006"/>
      <c r="W598" s="1007"/>
      <c r="X598" s="186"/>
      <c r="AG598" s="1005" t="s">
        <v>481</v>
      </c>
      <c r="AH598" s="1006"/>
      <c r="AI598" s="1006"/>
      <c r="AJ598" s="1006"/>
      <c r="AK598" s="1006"/>
      <c r="AL598" s="1006"/>
      <c r="AM598" s="1006"/>
      <c r="AN598" s="1006"/>
      <c r="AO598" s="1007"/>
      <c r="AP598" s="1005" t="s">
        <v>520</v>
      </c>
      <c r="AQ598" s="1006"/>
      <c r="AR598" s="1006"/>
      <c r="AS598" s="1006"/>
      <c r="AT598" s="1006"/>
      <c r="AU598" s="1007"/>
    </row>
    <row r="599" spans="2:48" x14ac:dyDescent="0.2">
      <c r="I599" s="199"/>
      <c r="J599" s="200"/>
      <c r="K599" s="200"/>
      <c r="L599" s="200"/>
      <c r="M599" s="200"/>
      <c r="N599" s="200"/>
      <c r="O599" s="200"/>
      <c r="P599" s="200"/>
      <c r="Q599" s="200"/>
      <c r="R599" s="199"/>
      <c r="S599" s="200"/>
      <c r="T599" s="200"/>
      <c r="U599" s="200"/>
      <c r="V599" s="200"/>
      <c r="W599" s="201"/>
      <c r="X599" s="186"/>
      <c r="AG599" s="199"/>
      <c r="AH599" s="200"/>
      <c r="AI599" s="200"/>
      <c r="AJ599" s="200"/>
      <c r="AK599" s="200"/>
      <c r="AL599" s="200"/>
      <c r="AM599" s="200"/>
      <c r="AN599" s="200"/>
      <c r="AO599" s="200"/>
      <c r="AP599" s="199"/>
      <c r="AQ599" s="200"/>
      <c r="AR599" s="200"/>
      <c r="AS599" s="200"/>
      <c r="AT599" s="200"/>
      <c r="AU599" s="201"/>
    </row>
    <row r="600" spans="2:48" ht="39" customHeight="1" x14ac:dyDescent="0.2">
      <c r="B600" s="392"/>
      <c r="C600" s="392"/>
      <c r="D600" s="392"/>
      <c r="E600" s="392"/>
      <c r="F600" s="392"/>
      <c r="G600" s="392"/>
      <c r="H600" s="392"/>
      <c r="I600" s="392"/>
      <c r="J600" s="392"/>
      <c r="K600" s="392"/>
      <c r="L600" s="392"/>
      <c r="M600" s="392"/>
      <c r="N600" s="392"/>
      <c r="O600" s="392"/>
      <c r="P600" s="392"/>
      <c r="Q600" s="392"/>
      <c r="R600" s="392"/>
      <c r="S600" s="392"/>
      <c r="T600" s="392"/>
      <c r="U600" s="392"/>
      <c r="V600" s="392"/>
      <c r="W600" s="392"/>
      <c r="X600" s="393"/>
      <c r="Y600" s="394"/>
      <c r="Z600" s="392"/>
      <c r="AA600" s="392"/>
      <c r="AB600" s="392"/>
      <c r="AC600" s="392"/>
      <c r="AD600" s="392"/>
      <c r="AE600" s="392"/>
      <c r="AF600" s="392"/>
      <c r="AG600" s="392"/>
      <c r="AH600" s="392"/>
      <c r="AI600" s="392"/>
      <c r="AJ600" s="392"/>
      <c r="AK600" s="392"/>
      <c r="AL600" s="392"/>
      <c r="AM600" s="392"/>
      <c r="AN600" s="392"/>
      <c r="AO600" s="392"/>
      <c r="AP600" s="392"/>
      <c r="AQ600" s="392"/>
      <c r="AR600" s="392"/>
      <c r="AS600" s="392"/>
      <c r="AT600" s="392"/>
      <c r="AU600" s="392"/>
      <c r="AV600" s="392"/>
    </row>
    <row r="601" spans="2:48" ht="39" customHeight="1" x14ac:dyDescent="0.2">
      <c r="B601" s="182"/>
      <c r="C601" s="182"/>
      <c r="D601" s="182"/>
      <c r="E601" s="182"/>
      <c r="F601" s="182"/>
      <c r="G601" s="182"/>
      <c r="H601" s="182"/>
      <c r="I601" s="182"/>
      <c r="J601" s="182"/>
      <c r="K601" s="182"/>
      <c r="L601" s="182"/>
      <c r="M601" s="182"/>
      <c r="N601" s="182"/>
      <c r="O601" s="182"/>
      <c r="P601" s="182"/>
      <c r="Q601" s="182"/>
      <c r="R601" s="182"/>
      <c r="S601" s="182"/>
      <c r="T601" s="182"/>
      <c r="U601" s="182"/>
      <c r="V601" s="182"/>
      <c r="W601" s="182"/>
      <c r="X601" s="183"/>
      <c r="Y601" s="184"/>
      <c r="Z601" s="182"/>
      <c r="AA601" s="182"/>
      <c r="AB601" s="182"/>
      <c r="AC601" s="182"/>
      <c r="AD601" s="182"/>
      <c r="AE601" s="182"/>
      <c r="AF601" s="182"/>
      <c r="AG601" s="182"/>
      <c r="AH601" s="182"/>
      <c r="AI601" s="182"/>
      <c r="AJ601" s="182"/>
      <c r="AK601" s="182"/>
      <c r="AL601" s="182"/>
      <c r="AM601" s="182"/>
      <c r="AN601" s="182"/>
      <c r="AO601" s="182"/>
      <c r="AP601" s="182"/>
      <c r="AQ601" s="182"/>
      <c r="AR601" s="182"/>
      <c r="AS601" s="182"/>
      <c r="AT601" s="182"/>
      <c r="AU601" s="182"/>
      <c r="AV601" s="182"/>
    </row>
    <row r="602" spans="2:48" ht="18" x14ac:dyDescent="0.2">
      <c r="B602" s="182"/>
      <c r="C602" s="182"/>
      <c r="D602" s="182"/>
      <c r="E602" s="182"/>
      <c r="F602" s="182"/>
      <c r="G602" s="182"/>
      <c r="H602" s="992" t="s">
        <v>374</v>
      </c>
      <c r="I602" s="992"/>
      <c r="J602" s="992"/>
      <c r="K602" s="992"/>
      <c r="L602" s="992"/>
      <c r="M602" s="992"/>
      <c r="N602" s="992"/>
      <c r="O602" s="992"/>
      <c r="P602" s="992"/>
      <c r="Q602" s="992"/>
      <c r="R602" s="182"/>
      <c r="S602" s="182"/>
      <c r="T602" s="182"/>
      <c r="U602" s="182"/>
      <c r="V602" s="182"/>
      <c r="W602" s="182"/>
      <c r="X602" s="183"/>
      <c r="Y602" s="182"/>
      <c r="Z602" s="182"/>
      <c r="AA602" s="182"/>
      <c r="AB602" s="182"/>
      <c r="AC602" s="182"/>
      <c r="AD602" s="182"/>
      <c r="AE602" s="992" t="s">
        <v>374</v>
      </c>
      <c r="AF602" s="992"/>
      <c r="AG602" s="992"/>
      <c r="AH602" s="992"/>
      <c r="AI602" s="992"/>
      <c r="AJ602" s="992"/>
      <c r="AK602" s="992"/>
      <c r="AL602" s="992"/>
      <c r="AM602" s="992"/>
      <c r="AN602" s="992"/>
      <c r="AO602" s="182"/>
      <c r="AP602" s="182"/>
      <c r="AQ602" s="182"/>
      <c r="AR602" s="182"/>
      <c r="AS602" s="182"/>
      <c r="AT602" s="182"/>
      <c r="AU602" s="182"/>
      <c r="AV602" s="182"/>
    </row>
    <row r="603" spans="2:48" ht="18" x14ac:dyDescent="0.2">
      <c r="B603" s="182"/>
      <c r="C603" s="182"/>
      <c r="D603" s="182"/>
      <c r="E603" s="182"/>
      <c r="F603" s="182"/>
      <c r="G603" s="182"/>
      <c r="H603" s="1022" t="e">
        <f>VLOOKUP(U612,ID_archer_cible,4,FALSE)</f>
        <v>#N/A</v>
      </c>
      <c r="I603" s="1023"/>
      <c r="J603" s="1023"/>
      <c r="K603" s="1023"/>
      <c r="L603" s="1023"/>
      <c r="M603" s="1023"/>
      <c r="N603" s="1023"/>
      <c r="O603" s="1023"/>
      <c r="P603" s="1023"/>
      <c r="Q603" s="1024"/>
      <c r="R603" s="182"/>
      <c r="S603" s="182"/>
      <c r="T603" s="182"/>
      <c r="U603" s="182"/>
      <c r="V603" s="182"/>
      <c r="W603" s="182"/>
      <c r="X603" s="183"/>
      <c r="Y603" s="182"/>
      <c r="Z603" s="182"/>
      <c r="AA603" s="182"/>
      <c r="AB603" s="182"/>
      <c r="AC603" s="182"/>
      <c r="AD603" s="182"/>
      <c r="AE603" s="1022" t="e">
        <f>VLOOKUP(AS612,ID_archer_cible,4,FALSE)</f>
        <v>#N/A</v>
      </c>
      <c r="AF603" s="1023"/>
      <c r="AG603" s="1023"/>
      <c r="AH603" s="1023"/>
      <c r="AI603" s="1023"/>
      <c r="AJ603" s="1023"/>
      <c r="AK603" s="1023"/>
      <c r="AL603" s="1023"/>
      <c r="AM603" s="1023"/>
      <c r="AN603" s="1024"/>
      <c r="AO603" s="182"/>
      <c r="AP603" s="182"/>
      <c r="AQ603" s="182"/>
      <c r="AR603" s="182"/>
      <c r="AS603" s="182"/>
      <c r="AT603" s="182"/>
      <c r="AU603" s="182"/>
      <c r="AV603" s="182"/>
    </row>
    <row r="604" spans="2:48" x14ac:dyDescent="0.2">
      <c r="X604" s="186"/>
    </row>
    <row r="605" spans="2:48" x14ac:dyDescent="0.2">
      <c r="B605" s="1021" t="s">
        <v>0</v>
      </c>
      <c r="C605" s="1021"/>
      <c r="D605" s="1021"/>
      <c r="E605" s="1021"/>
      <c r="F605" s="1021"/>
      <c r="G605" s="1021"/>
      <c r="H605" s="1021"/>
      <c r="I605" s="1021"/>
      <c r="J605" s="1021"/>
      <c r="K605" s="1021"/>
      <c r="L605" s="1021"/>
      <c r="M605" s="187"/>
      <c r="P605" s="992" t="s">
        <v>375</v>
      </c>
      <c r="Q605" s="992"/>
      <c r="R605" s="992"/>
      <c r="S605" s="992"/>
      <c r="T605" s="992"/>
      <c r="U605" s="992"/>
      <c r="V605" s="992"/>
      <c r="W605" s="992"/>
      <c r="X605" s="188"/>
      <c r="Z605" s="1021" t="s">
        <v>0</v>
      </c>
      <c r="AA605" s="1021"/>
      <c r="AB605" s="1021"/>
      <c r="AC605" s="1021"/>
      <c r="AD605" s="1021"/>
      <c r="AE605" s="1021"/>
      <c r="AF605" s="1021"/>
      <c r="AG605" s="1021"/>
      <c r="AH605" s="1021"/>
      <c r="AI605" s="1021"/>
      <c r="AJ605" s="1021"/>
      <c r="AK605" s="187"/>
      <c r="AN605" s="992" t="s">
        <v>375</v>
      </c>
      <c r="AO605" s="992"/>
      <c r="AP605" s="992"/>
      <c r="AQ605" s="992"/>
      <c r="AR605" s="992"/>
      <c r="AS605" s="992"/>
      <c r="AT605" s="992"/>
      <c r="AU605" s="992"/>
      <c r="AV605" s="187"/>
    </row>
    <row r="606" spans="2:48" x14ac:dyDescent="0.2">
      <c r="B606" s="999" t="e">
        <f>VLOOKUP(U612,ID_archer_cible,2,FALSE)</f>
        <v>#N/A</v>
      </c>
      <c r="C606" s="1000"/>
      <c r="D606" s="1000"/>
      <c r="E606" s="1000"/>
      <c r="F606" s="1000"/>
      <c r="G606" s="1000"/>
      <c r="H606" s="1000"/>
      <c r="I606" s="1000"/>
      <c r="J606" s="1000"/>
      <c r="K606" s="1000"/>
      <c r="L606" s="1000"/>
      <c r="M606" s="1001"/>
      <c r="P606" s="999" t="e">
        <f>VLOOKUP(U612,ID_archer_cible,3,FALSE)</f>
        <v>#N/A</v>
      </c>
      <c r="Q606" s="1000"/>
      <c r="R606" s="1000"/>
      <c r="S606" s="1000"/>
      <c r="T606" s="1000"/>
      <c r="U606" s="1000"/>
      <c r="V606" s="1000"/>
      <c r="W606" s="1001"/>
      <c r="X606" s="186"/>
      <c r="Y606"/>
      <c r="Z606" s="999" t="e">
        <f>VLOOKUP(AS612,ID_archer_cible,2,FALSE)</f>
        <v>#N/A</v>
      </c>
      <c r="AA606" s="1000"/>
      <c r="AB606" s="1000"/>
      <c r="AC606" s="1000"/>
      <c r="AD606" s="1000"/>
      <c r="AE606" s="1000"/>
      <c r="AF606" s="1000"/>
      <c r="AG606" s="1000"/>
      <c r="AH606" s="1000"/>
      <c r="AI606" s="1000"/>
      <c r="AJ606" s="1000"/>
      <c r="AK606" s="1001"/>
      <c r="AN606" s="999" t="e">
        <f>VLOOKUP(AS612,ID_archer_cible,3,FALSE)</f>
        <v>#N/A</v>
      </c>
      <c r="AO606" s="1000"/>
      <c r="AP606" s="1000"/>
      <c r="AQ606" s="1000"/>
      <c r="AR606" s="1000"/>
      <c r="AS606" s="1000"/>
      <c r="AT606" s="1000"/>
      <c r="AU606" s="1001"/>
    </row>
    <row r="607" spans="2:48" x14ac:dyDescent="0.2">
      <c r="X607" s="186"/>
      <c r="Y607"/>
    </row>
    <row r="608" spans="2:48" ht="16.5" thickBot="1" x14ac:dyDescent="0.25">
      <c r="B608" s="1017" t="s">
        <v>1</v>
      </c>
      <c r="C608" s="1017"/>
      <c r="D608" s="1017"/>
      <c r="E608" s="1017"/>
      <c r="F608" s="1017"/>
      <c r="G608" s="1017"/>
      <c r="H608" s="1017"/>
      <c r="I608" s="1017"/>
      <c r="J608" s="1017"/>
      <c r="L608" s="1017" t="s">
        <v>505</v>
      </c>
      <c r="M608" s="1017"/>
      <c r="N608" s="1017"/>
      <c r="O608" s="1017"/>
      <c r="P608" s="1017"/>
      <c r="Q608" s="1017"/>
      <c r="S608" s="992" t="s">
        <v>506</v>
      </c>
      <c r="T608" s="992"/>
      <c r="U608" s="992"/>
      <c r="V608" s="992"/>
      <c r="W608" s="992"/>
      <c r="X608" s="188"/>
      <c r="Y608"/>
      <c r="Z608" s="1017" t="s">
        <v>1</v>
      </c>
      <c r="AA608" s="1017"/>
      <c r="AB608" s="1017"/>
      <c r="AC608" s="1017"/>
      <c r="AD608" s="1017"/>
      <c r="AE608" s="1017"/>
      <c r="AF608" s="1017"/>
      <c r="AG608" s="1017"/>
      <c r="AH608" s="1017"/>
      <c r="AJ608" s="1017" t="s">
        <v>505</v>
      </c>
      <c r="AK608" s="1017"/>
      <c r="AL608" s="1017"/>
      <c r="AM608" s="1017"/>
      <c r="AN608" s="1017"/>
      <c r="AO608" s="1017"/>
      <c r="AQ608" s="992" t="s">
        <v>506</v>
      </c>
      <c r="AR608" s="992"/>
      <c r="AS608" s="992"/>
      <c r="AT608" s="992"/>
      <c r="AU608" s="992"/>
      <c r="AV608" s="187"/>
    </row>
    <row r="609" spans="2:48" ht="16.5" thickBot="1" x14ac:dyDescent="0.25">
      <c r="B609" s="1014" t="e">
        <f>VLOOKUP(U612,ID_archer_cible,5,FALSE)</f>
        <v>#N/A</v>
      </c>
      <c r="C609" s="1015"/>
      <c r="D609" s="1015"/>
      <c r="E609" s="1015"/>
      <c r="F609" s="1015"/>
      <c r="G609" s="1015"/>
      <c r="H609" s="1015"/>
      <c r="I609" s="1015"/>
      <c r="J609" s="1016"/>
      <c r="L609" s="1014" t="e">
        <f>VLOOKUP(U612,ID_archer_cible,6,FALSE)</f>
        <v>#N/A</v>
      </c>
      <c r="M609" s="1015"/>
      <c r="N609" s="1015"/>
      <c r="O609" s="1015"/>
      <c r="P609" s="1015"/>
      <c r="Q609" s="1016"/>
      <c r="S609" s="999" t="e">
        <f>VLOOKUP(U612,ID_archer_cible,8,FALSE)</f>
        <v>#N/A</v>
      </c>
      <c r="T609" s="1000"/>
      <c r="U609" s="1000"/>
      <c r="V609" s="1000"/>
      <c r="W609" s="1001"/>
      <c r="X609" s="186"/>
      <c r="Y609"/>
      <c r="Z609" s="1014" t="e">
        <f>VLOOKUP(AS612,ID_archer_cible,5,FALSE)</f>
        <v>#N/A</v>
      </c>
      <c r="AA609" s="1015"/>
      <c r="AB609" s="1015"/>
      <c r="AC609" s="1015"/>
      <c r="AD609" s="1015"/>
      <c r="AE609" s="1015"/>
      <c r="AF609" s="1015"/>
      <c r="AG609" s="1015"/>
      <c r="AH609" s="1016"/>
      <c r="AJ609" s="1014" t="e">
        <f>VLOOKUP(AS612,ID_archer_cible,6,FALSE)</f>
        <v>#N/A</v>
      </c>
      <c r="AK609" s="1015"/>
      <c r="AL609" s="1015"/>
      <c r="AM609" s="1015"/>
      <c r="AN609" s="1015"/>
      <c r="AO609" s="1016"/>
      <c r="AQ609" s="999" t="e">
        <f>VLOOKUP(AS612,ID_archer_cible,8,FALSE)</f>
        <v>#N/A</v>
      </c>
      <c r="AR609" s="1000"/>
      <c r="AS609" s="1000"/>
      <c r="AT609" s="1000"/>
      <c r="AU609" s="1001"/>
    </row>
    <row r="610" spans="2:48" x14ac:dyDescent="0.2">
      <c r="X610" s="186"/>
      <c r="Y610"/>
    </row>
    <row r="611" spans="2:48" x14ac:dyDescent="0.2">
      <c r="B611" s="992" t="s">
        <v>530</v>
      </c>
      <c r="C611" s="992"/>
      <c r="D611" s="992"/>
      <c r="E611" s="992"/>
      <c r="F611" s="992"/>
      <c r="G611" s="187"/>
      <c r="H611" s="992" t="s">
        <v>504</v>
      </c>
      <c r="I611" s="992"/>
      <c r="J611" s="992"/>
      <c r="K611" s="992"/>
      <c r="M611" s="992" t="s">
        <v>39</v>
      </c>
      <c r="N611" s="992"/>
      <c r="O611" s="992"/>
      <c r="Q611" s="1021"/>
      <c r="R611" s="1021"/>
      <c r="S611" s="1021"/>
      <c r="U611" s="992" t="s">
        <v>507</v>
      </c>
      <c r="V611" s="992"/>
      <c r="W611" s="992"/>
      <c r="X611" s="188"/>
      <c r="Y611"/>
      <c r="Z611" s="992" t="s">
        <v>530</v>
      </c>
      <c r="AA611" s="992"/>
      <c r="AB611" s="992"/>
      <c r="AC611" s="992"/>
      <c r="AD611" s="992"/>
      <c r="AE611" s="187"/>
      <c r="AF611" s="992" t="s">
        <v>504</v>
      </c>
      <c r="AG611" s="992"/>
      <c r="AH611" s="992"/>
      <c r="AI611" s="992"/>
      <c r="AK611" s="992" t="s">
        <v>39</v>
      </c>
      <c r="AL611" s="992"/>
      <c r="AM611" s="992"/>
      <c r="AO611" s="1021"/>
      <c r="AP611" s="1021"/>
      <c r="AQ611" s="1021"/>
      <c r="AS611" s="992" t="s">
        <v>507</v>
      </c>
      <c r="AT611" s="992"/>
      <c r="AU611" s="992"/>
      <c r="AV611" s="187"/>
    </row>
    <row r="612" spans="2:48" ht="15.75" x14ac:dyDescent="0.2">
      <c r="B612" s="1011" t="e">
        <f>VLOOKUP(U612,ID_archer_cible,7,FALSE)</f>
        <v>#N/A</v>
      </c>
      <c r="C612" s="1012"/>
      <c r="D612" s="1012"/>
      <c r="E612" s="1012"/>
      <c r="F612" s="1013"/>
      <c r="H612" s="999" t="e">
        <f>VLOOKUP(U612,ID_archer_cible,9,FALSE)</f>
        <v>#N/A</v>
      </c>
      <c r="I612" s="1000"/>
      <c r="J612" s="1000"/>
      <c r="K612" s="1001"/>
      <c r="M612" s="999" t="e">
        <f>VLOOKUP(U612,ID_archer_cible,10,FALSE)</f>
        <v>#N/A</v>
      </c>
      <c r="N612" s="1000"/>
      <c r="O612" s="1001"/>
      <c r="Q612" s="1021"/>
      <c r="R612" s="1021"/>
      <c r="S612" s="1021"/>
      <c r="T612" s="187"/>
      <c r="U612" s="996" t="str">
        <f>AR570&amp;"C"</f>
        <v>10C</v>
      </c>
      <c r="V612" s="997"/>
      <c r="W612" s="998"/>
      <c r="X612" s="188"/>
      <c r="Y612"/>
      <c r="Z612" s="1011" t="e">
        <f>VLOOKUP(AS612,ID_archer_cible,7,FALSE)</f>
        <v>#N/A</v>
      </c>
      <c r="AA612" s="1012"/>
      <c r="AB612" s="1012"/>
      <c r="AC612" s="1012"/>
      <c r="AD612" s="1013"/>
      <c r="AF612" s="999" t="e">
        <f>VLOOKUP(AS612,ID_archer_cible,9,FALSE)</f>
        <v>#N/A</v>
      </c>
      <c r="AG612" s="1000"/>
      <c r="AH612" s="1000"/>
      <c r="AI612" s="1001"/>
      <c r="AK612" s="999" t="e">
        <f>VLOOKUP(AS612,ID_archer_cible,10,FALSE)</f>
        <v>#N/A</v>
      </c>
      <c r="AL612" s="1000"/>
      <c r="AM612" s="1001"/>
      <c r="AO612" s="1021"/>
      <c r="AP612" s="1021"/>
      <c r="AQ612" s="1021"/>
      <c r="AR612" s="187"/>
      <c r="AS612" s="996" t="str">
        <f>AR570&amp;"D"</f>
        <v>10D</v>
      </c>
      <c r="AT612" s="997"/>
      <c r="AU612" s="998"/>
      <c r="AV612" s="187"/>
    </row>
    <row r="613" spans="2:48" x14ac:dyDescent="0.2">
      <c r="X613" s="186"/>
    </row>
    <row r="614" spans="2:48" x14ac:dyDescent="0.2">
      <c r="B614" s="185" t="s">
        <v>509</v>
      </c>
      <c r="E614" s="992" t="s">
        <v>510</v>
      </c>
      <c r="F614" s="992"/>
      <c r="G614" s="992"/>
      <c r="H614" s="992"/>
      <c r="I614" s="992"/>
      <c r="J614" s="992"/>
      <c r="K614" s="992"/>
      <c r="L614" s="992"/>
      <c r="M614" s="992"/>
      <c r="N614" s="992"/>
      <c r="P614" s="992" t="s">
        <v>511</v>
      </c>
      <c r="Q614" s="992"/>
      <c r="R614" s="992"/>
      <c r="X614" s="186"/>
      <c r="Z614" s="185" t="s">
        <v>509</v>
      </c>
      <c r="AC614" s="992" t="s">
        <v>510</v>
      </c>
      <c r="AD614" s="992"/>
      <c r="AE614" s="992"/>
      <c r="AF614" s="992"/>
      <c r="AG614" s="992"/>
      <c r="AH614" s="992"/>
      <c r="AI614" s="992"/>
      <c r="AJ614" s="992"/>
      <c r="AK614" s="992"/>
      <c r="AL614" s="992"/>
      <c r="AN614" s="992" t="s">
        <v>511</v>
      </c>
      <c r="AO614" s="992"/>
      <c r="AP614" s="992"/>
    </row>
    <row r="615" spans="2:48" ht="20.25" customHeight="1" x14ac:dyDescent="0.2">
      <c r="B615" s="1009" t="s">
        <v>513</v>
      </c>
      <c r="C615" s="1009"/>
      <c r="E615" s="189"/>
      <c r="F615" s="191"/>
      <c r="G615" s="189"/>
      <c r="H615" s="191"/>
      <c r="I615" s="189"/>
      <c r="J615" s="191"/>
      <c r="K615" s="189"/>
      <c r="L615" s="191"/>
      <c r="M615" s="189"/>
      <c r="N615" s="191"/>
      <c r="P615" s="189"/>
      <c r="Q615" s="190"/>
      <c r="R615" s="191"/>
      <c r="T615" s="992" t="s">
        <v>512</v>
      </c>
      <c r="U615" s="992"/>
      <c r="V615" s="992"/>
      <c r="W615" s="992"/>
      <c r="X615" s="188"/>
      <c r="Z615" s="1009" t="s">
        <v>513</v>
      </c>
      <c r="AA615" s="1009"/>
      <c r="AC615" s="189"/>
      <c r="AD615" s="191"/>
      <c r="AE615" s="189"/>
      <c r="AF615" s="191"/>
      <c r="AG615" s="189"/>
      <c r="AH615" s="191"/>
      <c r="AI615" s="189"/>
      <c r="AJ615" s="191"/>
      <c r="AK615" s="189"/>
      <c r="AL615" s="191"/>
      <c r="AN615" s="189"/>
      <c r="AO615" s="190"/>
      <c r="AP615" s="191"/>
      <c r="AR615" s="992" t="s">
        <v>512</v>
      </c>
      <c r="AS615" s="992"/>
      <c r="AT615" s="992"/>
      <c r="AU615" s="992"/>
      <c r="AV615" s="187"/>
    </row>
    <row r="616" spans="2:48" ht="20.25" customHeight="1" x14ac:dyDescent="0.2">
      <c r="B616" s="1009" t="s">
        <v>514</v>
      </c>
      <c r="C616" s="1009"/>
      <c r="E616" s="189"/>
      <c r="F616" s="191"/>
      <c r="G616" s="189"/>
      <c r="H616" s="191"/>
      <c r="I616" s="189"/>
      <c r="J616" s="191"/>
      <c r="K616" s="189"/>
      <c r="L616" s="191"/>
      <c r="M616" s="189"/>
      <c r="N616" s="191"/>
      <c r="P616" s="189"/>
      <c r="Q616" s="190"/>
      <c r="R616" s="191"/>
      <c r="T616" s="189"/>
      <c r="U616" s="190"/>
      <c r="V616" s="190"/>
      <c r="W616" s="191"/>
      <c r="X616" s="186"/>
      <c r="Z616" s="1009" t="s">
        <v>514</v>
      </c>
      <c r="AA616" s="1009"/>
      <c r="AC616" s="189"/>
      <c r="AD616" s="191"/>
      <c r="AE616" s="189"/>
      <c r="AF616" s="191"/>
      <c r="AG616" s="189"/>
      <c r="AH616" s="191"/>
      <c r="AI616" s="189"/>
      <c r="AJ616" s="191"/>
      <c r="AK616" s="189"/>
      <c r="AL616" s="191"/>
      <c r="AN616" s="189"/>
      <c r="AO616" s="190"/>
      <c r="AP616" s="191"/>
      <c r="AR616" s="189"/>
      <c r="AS616" s="190"/>
      <c r="AT616" s="190"/>
      <c r="AU616" s="191"/>
    </row>
    <row r="617" spans="2:48" ht="20.25" customHeight="1" x14ac:dyDescent="0.2">
      <c r="B617" s="1009" t="s">
        <v>515</v>
      </c>
      <c r="C617" s="1009"/>
      <c r="E617" s="189"/>
      <c r="F617" s="191"/>
      <c r="G617" s="189"/>
      <c r="H617" s="191"/>
      <c r="I617" s="189"/>
      <c r="J617" s="191"/>
      <c r="K617" s="189"/>
      <c r="L617" s="191"/>
      <c r="M617" s="189"/>
      <c r="N617" s="191"/>
      <c r="P617" s="189"/>
      <c r="Q617" s="190"/>
      <c r="R617" s="191"/>
      <c r="T617" s="189"/>
      <c r="U617" s="190"/>
      <c r="V617" s="190"/>
      <c r="W617" s="191"/>
      <c r="X617" s="186"/>
      <c r="Z617" s="1009" t="s">
        <v>515</v>
      </c>
      <c r="AA617" s="1009"/>
      <c r="AC617" s="189"/>
      <c r="AD617" s="191"/>
      <c r="AE617" s="189"/>
      <c r="AF617" s="191"/>
      <c r="AG617" s="189"/>
      <c r="AH617" s="191"/>
      <c r="AI617" s="189"/>
      <c r="AJ617" s="191"/>
      <c r="AK617" s="189"/>
      <c r="AL617" s="191"/>
      <c r="AN617" s="189"/>
      <c r="AO617" s="190"/>
      <c r="AP617" s="191"/>
      <c r="AR617" s="189"/>
      <c r="AS617" s="190"/>
      <c r="AT617" s="190"/>
      <c r="AU617" s="191"/>
    </row>
    <row r="618" spans="2:48" ht="20.25" customHeight="1" x14ac:dyDescent="0.2">
      <c r="B618" s="1009" t="s">
        <v>516</v>
      </c>
      <c r="C618" s="1009"/>
      <c r="E618" s="189"/>
      <c r="F618" s="191"/>
      <c r="G618" s="189"/>
      <c r="H618" s="191"/>
      <c r="I618" s="189"/>
      <c r="J618" s="191"/>
      <c r="K618" s="189"/>
      <c r="L618" s="191"/>
      <c r="M618" s="189"/>
      <c r="N618" s="191"/>
      <c r="P618" s="189"/>
      <c r="Q618" s="190"/>
      <c r="R618" s="191"/>
      <c r="T618" s="189"/>
      <c r="U618" s="190"/>
      <c r="V618" s="190"/>
      <c r="W618" s="191"/>
      <c r="X618" s="186"/>
      <c r="Z618" s="1009" t="s">
        <v>516</v>
      </c>
      <c r="AA618" s="1009"/>
      <c r="AC618" s="189"/>
      <c r="AD618" s="191"/>
      <c r="AE618" s="189"/>
      <c r="AF618" s="191"/>
      <c r="AG618" s="189"/>
      <c r="AH618" s="191"/>
      <c r="AI618" s="189"/>
      <c r="AJ618" s="191"/>
      <c r="AK618" s="189"/>
      <c r="AL618" s="191"/>
      <c r="AN618" s="189"/>
      <c r="AO618" s="190"/>
      <c r="AP618" s="191"/>
      <c r="AR618" s="189"/>
      <c r="AS618" s="190"/>
      <c r="AT618" s="190"/>
      <c r="AU618" s="191"/>
    </row>
    <row r="619" spans="2:48" ht="20.25" customHeight="1" x14ac:dyDescent="0.2">
      <c r="B619" s="1009" t="s">
        <v>517</v>
      </c>
      <c r="C619" s="1009"/>
      <c r="E619" s="189"/>
      <c r="F619" s="191"/>
      <c r="G619" s="189"/>
      <c r="H619" s="191"/>
      <c r="I619" s="189"/>
      <c r="J619" s="191"/>
      <c r="K619" s="189"/>
      <c r="L619" s="191"/>
      <c r="M619" s="189"/>
      <c r="N619" s="191"/>
      <c r="P619" s="189"/>
      <c r="Q619" s="190"/>
      <c r="R619" s="191"/>
      <c r="T619" s="189"/>
      <c r="U619" s="190"/>
      <c r="V619" s="190"/>
      <c r="W619" s="191"/>
      <c r="X619" s="186"/>
      <c r="Z619" s="1009" t="s">
        <v>517</v>
      </c>
      <c r="AA619" s="1009"/>
      <c r="AC619" s="189"/>
      <c r="AD619" s="191"/>
      <c r="AE619" s="189"/>
      <c r="AF619" s="191"/>
      <c r="AG619" s="189"/>
      <c r="AH619" s="191"/>
      <c r="AI619" s="189"/>
      <c r="AJ619" s="191"/>
      <c r="AK619" s="189"/>
      <c r="AL619" s="191"/>
      <c r="AN619" s="189"/>
      <c r="AO619" s="190"/>
      <c r="AP619" s="191"/>
      <c r="AR619" s="189"/>
      <c r="AS619" s="190"/>
      <c r="AT619" s="190"/>
      <c r="AU619" s="191"/>
    </row>
    <row r="620" spans="2:48" ht="20.25" customHeight="1" x14ac:dyDescent="0.2">
      <c r="B620" s="1009" t="s">
        <v>518</v>
      </c>
      <c r="C620" s="1009"/>
      <c r="E620" s="189"/>
      <c r="F620" s="191"/>
      <c r="G620" s="189"/>
      <c r="H620" s="191"/>
      <c r="I620" s="189"/>
      <c r="J620" s="191"/>
      <c r="K620" s="189"/>
      <c r="L620" s="191"/>
      <c r="M620" s="189"/>
      <c r="N620" s="191"/>
      <c r="P620" s="189"/>
      <c r="Q620" s="190"/>
      <c r="R620" s="191"/>
      <c r="T620" s="189"/>
      <c r="U620" s="190"/>
      <c r="V620" s="190"/>
      <c r="W620" s="191"/>
      <c r="X620" s="186"/>
      <c r="Z620" s="1009" t="s">
        <v>518</v>
      </c>
      <c r="AA620" s="1009"/>
      <c r="AC620" s="189"/>
      <c r="AD620" s="191"/>
      <c r="AE620" s="189"/>
      <c r="AF620" s="191"/>
      <c r="AG620" s="189"/>
      <c r="AH620" s="191"/>
      <c r="AI620" s="189"/>
      <c r="AJ620" s="191"/>
      <c r="AK620" s="189"/>
      <c r="AL620" s="191"/>
      <c r="AN620" s="189"/>
      <c r="AO620" s="190"/>
      <c r="AP620" s="191"/>
      <c r="AR620" s="189"/>
      <c r="AS620" s="190"/>
      <c r="AT620" s="190"/>
      <c r="AU620" s="191"/>
    </row>
    <row r="621" spans="2:48" ht="15.75" thickBot="1" x14ac:dyDescent="0.25">
      <c r="B621" s="187"/>
      <c r="C621" s="187"/>
      <c r="X621" s="186"/>
      <c r="Z621" s="187"/>
      <c r="AA621" s="187"/>
    </row>
    <row r="622" spans="2:48" ht="20.25" customHeight="1" thickBot="1" x14ac:dyDescent="0.25">
      <c r="P622" s="197" t="s">
        <v>519</v>
      </c>
      <c r="Q622" s="197"/>
      <c r="R622" s="197"/>
      <c r="S622" s="197"/>
      <c r="T622" s="192"/>
      <c r="U622" s="193"/>
      <c r="V622" s="193"/>
      <c r="W622" s="194"/>
      <c r="X622" s="186"/>
      <c r="AN622" s="197" t="s">
        <v>519</v>
      </c>
      <c r="AO622" s="197"/>
      <c r="AP622" s="197"/>
      <c r="AQ622" s="197"/>
      <c r="AR622" s="192"/>
      <c r="AS622" s="193"/>
      <c r="AT622" s="193"/>
      <c r="AU622" s="194"/>
    </row>
    <row r="623" spans="2:48" x14ac:dyDescent="0.2">
      <c r="E623" s="196"/>
      <c r="F623" s="196"/>
      <c r="G623" s="196"/>
      <c r="H623" s="196"/>
      <c r="I623" s="196"/>
      <c r="J623" s="196"/>
      <c r="K623" s="196"/>
      <c r="L623" s="196"/>
      <c r="M623" s="196"/>
      <c r="X623" s="186"/>
      <c r="AC623" s="196"/>
      <c r="AD623" s="196"/>
      <c r="AE623" s="196"/>
      <c r="AF623" s="196"/>
      <c r="AG623" s="196"/>
      <c r="AH623" s="196"/>
      <c r="AI623" s="196"/>
      <c r="AJ623" s="196"/>
      <c r="AK623" s="196"/>
    </row>
    <row r="624" spans="2:48" x14ac:dyDescent="0.2">
      <c r="B624" s="1010" t="s">
        <v>521</v>
      </c>
      <c r="C624" s="1010"/>
      <c r="D624" s="1010"/>
      <c r="E624" s="1010"/>
      <c r="F624" s="1010"/>
      <c r="G624" s="1010"/>
      <c r="H624" s="195"/>
      <c r="I624" s="1004" t="s">
        <v>522</v>
      </c>
      <c r="J624" s="1004"/>
      <c r="K624" s="1004"/>
      <c r="L624" s="1004"/>
      <c r="M624" s="1004"/>
      <c r="N624" s="1004"/>
      <c r="O624" s="1004"/>
      <c r="P624" s="1004"/>
      <c r="Q624" s="1004"/>
      <c r="R624" s="1004"/>
      <c r="S624" s="1004"/>
      <c r="T624" s="1004"/>
      <c r="U624" s="1004"/>
      <c r="V624" s="1004"/>
      <c r="W624" s="1004"/>
      <c r="X624" s="198"/>
      <c r="Y624" s="195"/>
      <c r="Z624" s="1010" t="s">
        <v>521</v>
      </c>
      <c r="AA624" s="1010"/>
      <c r="AB624" s="1010"/>
      <c r="AC624" s="1010"/>
      <c r="AD624" s="1010"/>
      <c r="AE624" s="1010"/>
      <c r="AF624" s="195"/>
      <c r="AG624" s="1004" t="s">
        <v>522</v>
      </c>
      <c r="AH624" s="1004"/>
      <c r="AI624" s="1004"/>
      <c r="AJ624" s="1004"/>
      <c r="AK624" s="1004"/>
      <c r="AL624" s="1004"/>
      <c r="AM624" s="1004"/>
      <c r="AN624" s="1004"/>
      <c r="AO624" s="1004"/>
      <c r="AP624" s="1004"/>
      <c r="AQ624" s="1004"/>
      <c r="AR624" s="1004"/>
      <c r="AS624" s="1004"/>
      <c r="AT624" s="1004"/>
      <c r="AU624" s="1004"/>
      <c r="AV624" s="195"/>
    </row>
    <row r="625" spans="2:48" x14ac:dyDescent="0.2">
      <c r="B625" s="1005" t="s">
        <v>520</v>
      </c>
      <c r="C625" s="1006"/>
      <c r="D625" s="1006"/>
      <c r="E625" s="1006"/>
      <c r="F625" s="1006"/>
      <c r="G625" s="1007"/>
      <c r="I625" s="1005" t="s">
        <v>0</v>
      </c>
      <c r="J625" s="1006"/>
      <c r="K625" s="1006"/>
      <c r="L625" s="1006"/>
      <c r="M625" s="1006"/>
      <c r="N625" s="1006"/>
      <c r="O625" s="1006"/>
      <c r="P625" s="1006"/>
      <c r="Q625" s="1006"/>
      <c r="R625" s="1006"/>
      <c r="S625" s="1006"/>
      <c r="T625" s="1006"/>
      <c r="U625" s="1006"/>
      <c r="V625" s="1006"/>
      <c r="W625" s="1007"/>
      <c r="X625" s="186"/>
      <c r="Z625" s="1005" t="s">
        <v>520</v>
      </c>
      <c r="AA625" s="1006"/>
      <c r="AB625" s="1006"/>
      <c r="AC625" s="1006"/>
      <c r="AD625" s="1006"/>
      <c r="AE625" s="1007"/>
      <c r="AG625" s="1005" t="s">
        <v>0</v>
      </c>
      <c r="AH625" s="1006"/>
      <c r="AI625" s="1006"/>
      <c r="AJ625" s="1006"/>
      <c r="AK625" s="1006"/>
      <c r="AL625" s="1006"/>
      <c r="AM625" s="1006"/>
      <c r="AN625" s="1006"/>
      <c r="AO625" s="1006"/>
      <c r="AP625" s="1006"/>
      <c r="AQ625" s="1006"/>
      <c r="AR625" s="1006"/>
      <c r="AS625" s="1006"/>
      <c r="AT625" s="1006"/>
      <c r="AU625" s="1007"/>
    </row>
    <row r="626" spans="2:48" x14ac:dyDescent="0.2">
      <c r="B626" s="199"/>
      <c r="C626" s="200"/>
      <c r="D626" s="200"/>
      <c r="E626" s="200"/>
      <c r="F626" s="200"/>
      <c r="G626" s="201"/>
      <c r="I626" s="199"/>
      <c r="J626" s="200"/>
      <c r="K626" s="200"/>
      <c r="L626" s="200"/>
      <c r="M626" s="200"/>
      <c r="N626" s="200"/>
      <c r="O626" s="200"/>
      <c r="P626" s="200"/>
      <c r="Q626" s="200"/>
      <c r="R626" s="200"/>
      <c r="S626" s="200"/>
      <c r="T626" s="200"/>
      <c r="U626" s="200"/>
      <c r="V626" s="200"/>
      <c r="W626" s="201"/>
      <c r="X626" s="186"/>
      <c r="Z626" s="199"/>
      <c r="AA626" s="200"/>
      <c r="AB626" s="200"/>
      <c r="AC626" s="200"/>
      <c r="AD626" s="200"/>
      <c r="AE626" s="201"/>
      <c r="AG626" s="199"/>
      <c r="AH626" s="200"/>
      <c r="AI626" s="200"/>
      <c r="AJ626" s="200"/>
      <c r="AK626" s="200"/>
      <c r="AL626" s="200"/>
      <c r="AM626" s="200"/>
      <c r="AN626" s="200"/>
      <c r="AO626" s="200"/>
      <c r="AP626" s="200"/>
      <c r="AQ626" s="200"/>
      <c r="AR626" s="200"/>
      <c r="AS626" s="200"/>
      <c r="AT626" s="200"/>
      <c r="AU626" s="201"/>
    </row>
    <row r="627" spans="2:48" x14ac:dyDescent="0.2">
      <c r="X627" s="186"/>
    </row>
    <row r="628" spans="2:48" x14ac:dyDescent="0.2">
      <c r="I628" s="1005" t="s">
        <v>481</v>
      </c>
      <c r="J628" s="1006"/>
      <c r="K628" s="1006"/>
      <c r="L628" s="1006"/>
      <c r="M628" s="1006"/>
      <c r="N628" s="1006"/>
      <c r="O628" s="1006"/>
      <c r="P628" s="1006"/>
      <c r="Q628" s="1007"/>
      <c r="R628" s="1005" t="s">
        <v>520</v>
      </c>
      <c r="S628" s="1006"/>
      <c r="T628" s="1006"/>
      <c r="U628" s="1006"/>
      <c r="V628" s="1006"/>
      <c r="W628" s="1007"/>
      <c r="X628" s="186"/>
      <c r="AG628" s="1005" t="s">
        <v>481</v>
      </c>
      <c r="AH628" s="1006"/>
      <c r="AI628" s="1006"/>
      <c r="AJ628" s="1006"/>
      <c r="AK628" s="1006"/>
      <c r="AL628" s="1006"/>
      <c r="AM628" s="1006"/>
      <c r="AN628" s="1006"/>
      <c r="AO628" s="1007"/>
      <c r="AP628" s="1005" t="s">
        <v>520</v>
      </c>
      <c r="AQ628" s="1006"/>
      <c r="AR628" s="1006"/>
      <c r="AS628" s="1006"/>
      <c r="AT628" s="1006"/>
      <c r="AU628" s="1007"/>
    </row>
    <row r="629" spans="2:48" x14ac:dyDescent="0.2">
      <c r="I629" s="199"/>
      <c r="J629" s="200"/>
      <c r="K629" s="200"/>
      <c r="L629" s="200"/>
      <c r="M629" s="200"/>
      <c r="N629" s="200"/>
      <c r="O629" s="200"/>
      <c r="P629" s="200"/>
      <c r="Q629" s="200"/>
      <c r="R629" s="199"/>
      <c r="S629" s="200"/>
      <c r="T629" s="200"/>
      <c r="U629" s="200"/>
      <c r="V629" s="200"/>
      <c r="W629" s="201"/>
      <c r="X629" s="186"/>
      <c r="AG629" s="199"/>
      <c r="AH629" s="200"/>
      <c r="AI629" s="200"/>
      <c r="AJ629" s="200"/>
      <c r="AK629" s="200"/>
      <c r="AL629" s="200"/>
      <c r="AM629" s="200"/>
      <c r="AN629" s="200"/>
      <c r="AO629" s="200"/>
      <c r="AP629" s="199"/>
      <c r="AQ629" s="200"/>
      <c r="AR629" s="200"/>
      <c r="AS629" s="200"/>
      <c r="AT629" s="200"/>
      <c r="AU629" s="201"/>
    </row>
    <row r="631" spans="2:48" ht="57.75" customHeight="1" x14ac:dyDescent="0.2">
      <c r="B631" s="1058" t="str">
        <f>Championnat</f>
        <v>Championnat de France de Tir à l'ARC</v>
      </c>
      <c r="C631" s="1058"/>
      <c r="D631" s="1058"/>
      <c r="E631" s="1058"/>
      <c r="F631" s="1058"/>
      <c r="G631" s="1058"/>
      <c r="H631" s="1058"/>
      <c r="I631" s="1058"/>
      <c r="J631" s="1058"/>
      <c r="K631" s="1058"/>
      <c r="L631" s="1058"/>
      <c r="M631" s="1058"/>
      <c r="N631" s="1058"/>
      <c r="O631" s="1058"/>
      <c r="P631" s="1058"/>
      <c r="Q631" s="1058"/>
      <c r="R631" s="1058"/>
      <c r="S631" s="1058"/>
      <c r="T631" s="1058"/>
      <c r="U631" s="1058"/>
      <c r="V631" s="1058"/>
      <c r="W631" s="1058"/>
      <c r="X631" s="1058"/>
      <c r="Y631" s="1058"/>
      <c r="Z631" s="1058"/>
      <c r="AA631" s="1058"/>
      <c r="AB631" s="1058"/>
      <c r="AC631" s="1058"/>
      <c r="AD631" s="1058"/>
      <c r="AE631" s="1058"/>
      <c r="AF631" s="1058"/>
      <c r="AG631" s="1058"/>
      <c r="AH631" s="1058"/>
      <c r="AI631" s="1058"/>
      <c r="AJ631" s="1058"/>
      <c r="AK631" s="1058"/>
      <c r="AL631" s="1058"/>
      <c r="AM631" s="1058"/>
      <c r="AN631" s="1058"/>
      <c r="AO631" s="1058"/>
      <c r="AP631" s="1058"/>
    </row>
    <row r="632" spans="2:48" ht="45" customHeight="1" thickBot="1" x14ac:dyDescent="0.25">
      <c r="B632" s="1018" t="str">
        <f>LIEU&amp;" - "&amp;DATE&amp;" - "&amp;CATEG</f>
        <v>L’Isle sur la Sorgue - 27 au 31 mars 2023 - Collèges Mixtes Etablissement</v>
      </c>
      <c r="C632" s="1018"/>
      <c r="D632" s="1018"/>
      <c r="E632" s="1018"/>
      <c r="F632" s="1018"/>
      <c r="G632" s="1018"/>
      <c r="H632" s="1018"/>
      <c r="I632" s="1018"/>
      <c r="J632" s="1018"/>
      <c r="K632" s="1018"/>
      <c r="L632" s="1018"/>
      <c r="M632" s="1018"/>
      <c r="N632" s="1018"/>
      <c r="O632" s="1018"/>
      <c r="P632" s="1018"/>
      <c r="Q632" s="1018"/>
      <c r="R632" s="1018"/>
      <c r="S632" s="1018"/>
      <c r="T632" s="1018"/>
      <c r="U632" s="1018"/>
      <c r="V632" s="1018"/>
      <c r="W632" s="1018"/>
      <c r="X632" s="1018"/>
      <c r="Y632" s="1018"/>
      <c r="Z632" s="1018"/>
      <c r="AA632" s="1018"/>
      <c r="AB632" s="1018"/>
      <c r="AC632" s="1018"/>
      <c r="AD632" s="1018"/>
      <c r="AE632" s="1018"/>
      <c r="AF632" s="1018"/>
      <c r="AG632" s="1018"/>
      <c r="AH632" s="1018"/>
      <c r="AI632" s="1018"/>
      <c r="AJ632" s="1018"/>
      <c r="AK632" s="1018"/>
      <c r="AL632" s="1018"/>
      <c r="AM632" s="1018"/>
      <c r="AN632" s="1018"/>
      <c r="AO632" s="1018"/>
      <c r="AP632" s="1018"/>
      <c r="AQ632" s="182"/>
      <c r="AR632" s="182"/>
      <c r="AS632" s="182"/>
      <c r="AT632" s="182"/>
      <c r="AU632" s="182"/>
      <c r="AV632" s="182"/>
    </row>
    <row r="633" spans="2:48" ht="26.25" customHeight="1" x14ac:dyDescent="0.2">
      <c r="B633" s="1059" t="str">
        <f>CATEG_IMPORTEE</f>
        <v>Collèges Mixtes Etablissement</v>
      </c>
      <c r="C633" s="1059"/>
      <c r="D633" s="1059"/>
      <c r="E633" s="1059"/>
      <c r="F633" s="1059"/>
      <c r="G633" s="1059"/>
      <c r="H633" s="1059"/>
      <c r="I633" s="1059"/>
      <c r="J633" s="1059"/>
      <c r="K633" s="1059"/>
      <c r="L633" s="1059"/>
      <c r="M633" s="1059"/>
      <c r="N633" s="1059"/>
      <c r="O633" s="1059"/>
      <c r="P633" s="1059"/>
      <c r="Q633" s="1059"/>
      <c r="R633" s="1059"/>
      <c r="S633" s="1059"/>
      <c r="T633" s="1059"/>
      <c r="U633" s="1059"/>
      <c r="V633" s="1059"/>
      <c r="W633" s="1059"/>
      <c r="X633" s="1059"/>
      <c r="Y633" s="1059"/>
      <c r="Z633" s="1059"/>
      <c r="AA633" s="1059"/>
      <c r="AB633" s="1059"/>
      <c r="AC633" s="1059"/>
      <c r="AD633" s="1059"/>
      <c r="AE633" s="1059"/>
      <c r="AF633" s="1059"/>
      <c r="AG633" s="1059"/>
      <c r="AH633" s="1059"/>
      <c r="AI633" s="1059"/>
      <c r="AJ633" s="1059"/>
      <c r="AK633" s="1059"/>
      <c r="AL633" s="1059"/>
      <c r="AM633" s="1059"/>
      <c r="AN633" s="1059"/>
      <c r="AO633" s="1059"/>
      <c r="AP633" s="1059"/>
      <c r="AQ633" s="182"/>
      <c r="AR633" s="1060">
        <f>AR570+1</f>
        <v>11</v>
      </c>
      <c r="AS633" s="1061"/>
      <c r="AT633" s="1062"/>
      <c r="AU633" s="182"/>
      <c r="AV633" s="182"/>
    </row>
    <row r="634" spans="2:48" ht="18" customHeight="1" x14ac:dyDescent="0.2">
      <c r="B634" s="182"/>
      <c r="C634" s="182"/>
      <c r="D634" s="182"/>
      <c r="E634" s="182"/>
      <c r="F634" s="182"/>
      <c r="G634" s="182"/>
      <c r="H634" s="182"/>
      <c r="I634" s="182"/>
      <c r="J634" s="182"/>
      <c r="K634" s="182"/>
      <c r="L634" s="182"/>
      <c r="M634" s="182"/>
      <c r="N634" s="182"/>
      <c r="O634" s="182"/>
      <c r="P634" s="182"/>
      <c r="Q634" s="182"/>
      <c r="R634" s="182"/>
      <c r="S634" s="182"/>
      <c r="T634" s="182"/>
      <c r="U634" s="182"/>
      <c r="V634" s="182"/>
      <c r="W634" s="182"/>
      <c r="X634" s="183"/>
      <c r="Y634" s="184"/>
      <c r="Z634" s="182"/>
      <c r="AA634" s="182"/>
      <c r="AB634" s="182"/>
      <c r="AC634" s="182"/>
      <c r="AD634" s="182"/>
      <c r="AE634" s="182"/>
      <c r="AF634" s="182"/>
      <c r="AG634" s="182"/>
      <c r="AH634" s="182"/>
      <c r="AI634" s="182"/>
      <c r="AJ634" s="182"/>
      <c r="AK634" s="182"/>
      <c r="AL634" s="182"/>
      <c r="AM634" s="182"/>
      <c r="AN634" s="182"/>
      <c r="AO634" s="182"/>
      <c r="AP634" s="182"/>
      <c r="AQ634" s="182"/>
      <c r="AR634" s="1063"/>
      <c r="AS634" s="1064"/>
      <c r="AT634" s="1065"/>
      <c r="AU634" s="182"/>
      <c r="AV634" s="182"/>
    </row>
    <row r="635" spans="2:48" ht="18.75" customHeight="1" thickBot="1" x14ac:dyDescent="0.25">
      <c r="B635" s="182"/>
      <c r="C635" s="182"/>
      <c r="D635" s="182"/>
      <c r="E635" s="182"/>
      <c r="F635" s="182"/>
      <c r="G635" s="182"/>
      <c r="H635" s="992" t="s">
        <v>374</v>
      </c>
      <c r="I635" s="992"/>
      <c r="J635" s="992"/>
      <c r="K635" s="992"/>
      <c r="L635" s="992"/>
      <c r="M635" s="992"/>
      <c r="N635" s="992"/>
      <c r="O635" s="992"/>
      <c r="P635" s="992"/>
      <c r="Q635" s="992"/>
      <c r="R635" s="182"/>
      <c r="S635" s="182"/>
      <c r="T635" s="182"/>
      <c r="U635" s="182"/>
      <c r="V635" s="182"/>
      <c r="W635" s="182"/>
      <c r="X635" s="183"/>
      <c r="Y635" s="182"/>
      <c r="Z635" s="182"/>
      <c r="AA635" s="182"/>
      <c r="AB635" s="182"/>
      <c r="AC635" s="182"/>
      <c r="AD635" s="182"/>
      <c r="AE635" s="992" t="s">
        <v>374</v>
      </c>
      <c r="AF635" s="992"/>
      <c r="AG635" s="992"/>
      <c r="AH635" s="992"/>
      <c r="AI635" s="992"/>
      <c r="AJ635" s="992"/>
      <c r="AK635" s="992"/>
      <c r="AL635" s="992"/>
      <c r="AM635" s="992"/>
      <c r="AN635" s="992"/>
      <c r="AO635" s="182"/>
      <c r="AP635" s="182"/>
      <c r="AQ635" s="182"/>
      <c r="AR635" s="1066"/>
      <c r="AS635" s="1067"/>
      <c r="AT635" s="1068"/>
      <c r="AU635" s="182"/>
      <c r="AV635" s="182"/>
    </row>
    <row r="636" spans="2:48" ht="18" x14ac:dyDescent="0.2">
      <c r="B636" s="182"/>
      <c r="C636" s="182"/>
      <c r="D636" s="182"/>
      <c r="E636" s="182"/>
      <c r="F636" s="182"/>
      <c r="G636" s="182"/>
      <c r="H636" s="1022" t="e">
        <f>VLOOKUP(U645,ID_archer_cible,4,FALSE)</f>
        <v>#N/A</v>
      </c>
      <c r="I636" s="1023"/>
      <c r="J636" s="1023"/>
      <c r="K636" s="1023"/>
      <c r="L636" s="1023"/>
      <c r="M636" s="1023"/>
      <c r="N636" s="1023"/>
      <c r="O636" s="1023"/>
      <c r="P636" s="1023"/>
      <c r="Q636" s="1024"/>
      <c r="R636" s="182"/>
      <c r="S636" s="182"/>
      <c r="T636" s="182"/>
      <c r="U636" s="182"/>
      <c r="V636" s="182"/>
      <c r="W636" s="182"/>
      <c r="X636" s="183"/>
      <c r="Y636" s="182"/>
      <c r="Z636" s="182"/>
      <c r="AA636" s="182"/>
      <c r="AB636" s="182"/>
      <c r="AC636" s="182"/>
      <c r="AD636" s="182"/>
      <c r="AE636" s="1022" t="e">
        <f>VLOOKUP(AS645,ID_archer_cible,4,FALSE)</f>
        <v>#N/A</v>
      </c>
      <c r="AF636" s="1023"/>
      <c r="AG636" s="1023"/>
      <c r="AH636" s="1023"/>
      <c r="AI636" s="1023"/>
      <c r="AJ636" s="1023"/>
      <c r="AK636" s="1023"/>
      <c r="AL636" s="1023"/>
      <c r="AM636" s="1023"/>
      <c r="AN636" s="1024"/>
      <c r="AO636" s="182"/>
      <c r="AP636" s="182"/>
      <c r="AQ636" s="182"/>
      <c r="AR636" s="182"/>
      <c r="AS636" s="182"/>
      <c r="AT636" s="182"/>
      <c r="AU636" s="182"/>
      <c r="AV636" s="182"/>
    </row>
    <row r="637" spans="2:48" x14ac:dyDescent="0.2">
      <c r="X637" s="186"/>
    </row>
    <row r="638" spans="2:48" x14ac:dyDescent="0.2">
      <c r="B638" s="1021" t="s">
        <v>0</v>
      </c>
      <c r="C638" s="1021"/>
      <c r="D638" s="1021"/>
      <c r="E638" s="1021"/>
      <c r="F638" s="1021"/>
      <c r="G638" s="1021"/>
      <c r="H638" s="1021"/>
      <c r="I638" s="1021"/>
      <c r="J638" s="1021"/>
      <c r="K638" s="1021"/>
      <c r="L638" s="1021"/>
      <c r="M638" s="187"/>
      <c r="P638" s="992" t="s">
        <v>375</v>
      </c>
      <c r="Q638" s="992"/>
      <c r="R638" s="992"/>
      <c r="S638" s="992"/>
      <c r="T638" s="992"/>
      <c r="U638" s="992"/>
      <c r="V638" s="992"/>
      <c r="W638" s="992"/>
      <c r="X638" s="188"/>
      <c r="Z638" s="1021" t="s">
        <v>0</v>
      </c>
      <c r="AA638" s="1021"/>
      <c r="AB638" s="1021"/>
      <c r="AC638" s="1021"/>
      <c r="AD638" s="1021"/>
      <c r="AE638" s="1021"/>
      <c r="AF638" s="1021"/>
      <c r="AG638" s="1021"/>
      <c r="AH638" s="1021"/>
      <c r="AI638" s="1021"/>
      <c r="AJ638" s="1021"/>
      <c r="AK638" s="187"/>
      <c r="AN638" s="992" t="s">
        <v>375</v>
      </c>
      <c r="AO638" s="992"/>
      <c r="AP638" s="992"/>
      <c r="AQ638" s="992"/>
      <c r="AR638" s="992"/>
      <c r="AS638" s="992"/>
      <c r="AT638" s="992"/>
      <c r="AU638" s="992"/>
      <c r="AV638" s="187"/>
    </row>
    <row r="639" spans="2:48" x14ac:dyDescent="0.2">
      <c r="B639" s="999" t="e">
        <f>VLOOKUP(U645,ID_archer_cible,2,FALSE)</f>
        <v>#N/A</v>
      </c>
      <c r="C639" s="1000"/>
      <c r="D639" s="1000"/>
      <c r="E639" s="1000"/>
      <c r="F639" s="1000"/>
      <c r="G639" s="1000"/>
      <c r="H639" s="1000"/>
      <c r="I639" s="1000"/>
      <c r="J639" s="1000"/>
      <c r="K639" s="1000"/>
      <c r="L639" s="1000"/>
      <c r="M639" s="1001"/>
      <c r="P639" s="999" t="e">
        <f>VLOOKUP(U645,ID_archer_cible,3,FALSE)</f>
        <v>#N/A</v>
      </c>
      <c r="Q639" s="1000"/>
      <c r="R639" s="1000"/>
      <c r="S639" s="1000"/>
      <c r="T639" s="1000"/>
      <c r="U639" s="1000"/>
      <c r="V639" s="1000"/>
      <c r="W639" s="1001"/>
      <c r="X639" s="186"/>
      <c r="Y639"/>
      <c r="Z639" s="999" t="e">
        <f>VLOOKUP(AS645,ID_archer_cible,2,FALSE)</f>
        <v>#N/A</v>
      </c>
      <c r="AA639" s="1000"/>
      <c r="AB639" s="1000"/>
      <c r="AC639" s="1000"/>
      <c r="AD639" s="1000"/>
      <c r="AE639" s="1000"/>
      <c r="AF639" s="1000"/>
      <c r="AG639" s="1000"/>
      <c r="AH639" s="1000"/>
      <c r="AI639" s="1000"/>
      <c r="AJ639" s="1000"/>
      <c r="AK639" s="1001"/>
      <c r="AN639" s="999" t="e">
        <f>VLOOKUP(AS645,ID_archer_cible,3,FALSE)</f>
        <v>#N/A</v>
      </c>
      <c r="AO639" s="1000"/>
      <c r="AP639" s="1000"/>
      <c r="AQ639" s="1000"/>
      <c r="AR639" s="1000"/>
      <c r="AS639" s="1000"/>
      <c r="AT639" s="1000"/>
      <c r="AU639" s="1001"/>
    </row>
    <row r="640" spans="2:48" x14ac:dyDescent="0.2">
      <c r="X640" s="186"/>
      <c r="Y640"/>
    </row>
    <row r="641" spans="2:48" ht="16.5" thickBot="1" x14ac:dyDescent="0.25">
      <c r="B641" s="1017" t="s">
        <v>1</v>
      </c>
      <c r="C641" s="1017"/>
      <c r="D641" s="1017"/>
      <c r="E641" s="1017"/>
      <c r="F641" s="1017"/>
      <c r="G641" s="1017"/>
      <c r="H641" s="1017"/>
      <c r="I641" s="1017"/>
      <c r="J641" s="1017"/>
      <c r="L641" s="1017" t="s">
        <v>505</v>
      </c>
      <c r="M641" s="1017"/>
      <c r="N641" s="1017"/>
      <c r="O641" s="1017"/>
      <c r="P641" s="1017"/>
      <c r="Q641" s="1017"/>
      <c r="S641" s="992" t="s">
        <v>506</v>
      </c>
      <c r="T641" s="992"/>
      <c r="U641" s="992"/>
      <c r="V641" s="992"/>
      <c r="W641" s="992"/>
      <c r="X641" s="188"/>
      <c r="Y641"/>
      <c r="Z641" s="1017" t="s">
        <v>1</v>
      </c>
      <c r="AA641" s="1017"/>
      <c r="AB641" s="1017"/>
      <c r="AC641" s="1017"/>
      <c r="AD641" s="1017"/>
      <c r="AE641" s="1017"/>
      <c r="AF641" s="1017"/>
      <c r="AG641" s="1017"/>
      <c r="AH641" s="1017"/>
      <c r="AJ641" s="1017" t="s">
        <v>505</v>
      </c>
      <c r="AK641" s="1017"/>
      <c r="AL641" s="1017"/>
      <c r="AM641" s="1017"/>
      <c r="AN641" s="1017"/>
      <c r="AO641" s="1017"/>
      <c r="AQ641" s="992" t="s">
        <v>506</v>
      </c>
      <c r="AR641" s="992"/>
      <c r="AS641" s="992"/>
      <c r="AT641" s="992"/>
      <c r="AU641" s="992"/>
      <c r="AV641" s="187"/>
    </row>
    <row r="642" spans="2:48" ht="16.5" thickBot="1" x14ac:dyDescent="0.25">
      <c r="B642" s="1014" t="e">
        <f>VLOOKUP(U645,ID_archer_cible,5,FALSE)</f>
        <v>#N/A</v>
      </c>
      <c r="C642" s="1015"/>
      <c r="D642" s="1015"/>
      <c r="E642" s="1015"/>
      <c r="F642" s="1015"/>
      <c r="G642" s="1015"/>
      <c r="H642" s="1015"/>
      <c r="I642" s="1015"/>
      <c r="J642" s="1016"/>
      <c r="L642" s="1014" t="e">
        <f>VLOOKUP(U645,ID_archer_cible,6,FALSE)</f>
        <v>#N/A</v>
      </c>
      <c r="M642" s="1015"/>
      <c r="N642" s="1015"/>
      <c r="O642" s="1015"/>
      <c r="P642" s="1015"/>
      <c r="Q642" s="1016"/>
      <c r="S642" s="999" t="e">
        <f>VLOOKUP(U645,ID_archer_cible,8,FALSE)</f>
        <v>#N/A</v>
      </c>
      <c r="T642" s="1000"/>
      <c r="U642" s="1000"/>
      <c r="V642" s="1000"/>
      <c r="W642" s="1001"/>
      <c r="X642" s="186"/>
      <c r="Y642"/>
      <c r="Z642" s="1014" t="e">
        <f>VLOOKUP(AS645,ID_archer_cible,5,FALSE)</f>
        <v>#N/A</v>
      </c>
      <c r="AA642" s="1015"/>
      <c r="AB642" s="1015"/>
      <c r="AC642" s="1015"/>
      <c r="AD642" s="1015"/>
      <c r="AE642" s="1015"/>
      <c r="AF642" s="1015"/>
      <c r="AG642" s="1015"/>
      <c r="AH642" s="1016"/>
      <c r="AJ642" s="1014" t="e">
        <f>VLOOKUP(AS645,ID_archer_cible,6,FALSE)</f>
        <v>#N/A</v>
      </c>
      <c r="AK642" s="1015"/>
      <c r="AL642" s="1015"/>
      <c r="AM642" s="1015"/>
      <c r="AN642" s="1015"/>
      <c r="AO642" s="1016"/>
      <c r="AQ642" s="999" t="e">
        <f>VLOOKUP(AS645,ID_archer_cible,8,FALSE)</f>
        <v>#N/A</v>
      </c>
      <c r="AR642" s="1000"/>
      <c r="AS642" s="1000"/>
      <c r="AT642" s="1000"/>
      <c r="AU642" s="1001"/>
    </row>
    <row r="643" spans="2:48" x14ac:dyDescent="0.2">
      <c r="X643" s="186"/>
      <c r="Y643"/>
    </row>
    <row r="644" spans="2:48" x14ac:dyDescent="0.2">
      <c r="B644" s="992" t="s">
        <v>530</v>
      </c>
      <c r="C644" s="992"/>
      <c r="D644" s="992"/>
      <c r="E644" s="992"/>
      <c r="F644" s="992"/>
      <c r="G644" s="187"/>
      <c r="H644" s="992" t="s">
        <v>504</v>
      </c>
      <c r="I644" s="992"/>
      <c r="J644" s="992"/>
      <c r="K644" s="992"/>
      <c r="M644" s="992" t="s">
        <v>39</v>
      </c>
      <c r="N644" s="992"/>
      <c r="O644" s="992"/>
      <c r="Q644" s="1021"/>
      <c r="R644" s="1021"/>
      <c r="S644" s="1021"/>
      <c r="U644" s="992" t="s">
        <v>507</v>
      </c>
      <c r="V644" s="992"/>
      <c r="W644" s="992"/>
      <c r="X644" s="188"/>
      <c r="Y644"/>
      <c r="Z644" s="992" t="s">
        <v>530</v>
      </c>
      <c r="AA644" s="992"/>
      <c r="AB644" s="992"/>
      <c r="AC644" s="992"/>
      <c r="AD644" s="992"/>
      <c r="AE644" s="187"/>
      <c r="AF644" s="992" t="s">
        <v>504</v>
      </c>
      <c r="AG644" s="992"/>
      <c r="AH644" s="992"/>
      <c r="AI644" s="992"/>
      <c r="AK644" s="992" t="s">
        <v>39</v>
      </c>
      <c r="AL644" s="992"/>
      <c r="AM644" s="992"/>
      <c r="AO644" s="1021"/>
      <c r="AP644" s="1021"/>
      <c r="AQ644" s="1021"/>
      <c r="AS644" s="992" t="s">
        <v>507</v>
      </c>
      <c r="AT644" s="992"/>
      <c r="AU644" s="992"/>
      <c r="AV644" s="187"/>
    </row>
    <row r="645" spans="2:48" ht="15.75" x14ac:dyDescent="0.2">
      <c r="B645" s="1011" t="e">
        <f>VLOOKUP(U645,ID_archer_cible,7,FALSE)</f>
        <v>#N/A</v>
      </c>
      <c r="C645" s="1012"/>
      <c r="D645" s="1012"/>
      <c r="E645" s="1012"/>
      <c r="F645" s="1013"/>
      <c r="H645" s="999" t="e">
        <f>VLOOKUP(U645,ID_archer_cible,9,FALSE)</f>
        <v>#N/A</v>
      </c>
      <c r="I645" s="1000"/>
      <c r="J645" s="1000"/>
      <c r="K645" s="1001"/>
      <c r="M645" s="999" t="e">
        <f>VLOOKUP(U645,ID_archer_cible,10,FALSE)</f>
        <v>#N/A</v>
      </c>
      <c r="N645" s="1000"/>
      <c r="O645" s="1001"/>
      <c r="Q645" s="1021"/>
      <c r="R645" s="1021"/>
      <c r="S645" s="1021"/>
      <c r="T645" s="187"/>
      <c r="U645" s="996" t="str">
        <f>AR633&amp;"A"</f>
        <v>11A</v>
      </c>
      <c r="V645" s="997"/>
      <c r="W645" s="998"/>
      <c r="X645" s="188"/>
      <c r="Y645"/>
      <c r="Z645" s="1011" t="e">
        <f>VLOOKUP(AS645,ID_archer_cible,7,FALSE)</f>
        <v>#N/A</v>
      </c>
      <c r="AA645" s="1012"/>
      <c r="AB645" s="1012"/>
      <c r="AC645" s="1012"/>
      <c r="AD645" s="1013"/>
      <c r="AF645" s="999" t="e">
        <f>VLOOKUP(AS645,ID_archer_cible,9,FALSE)</f>
        <v>#N/A</v>
      </c>
      <c r="AG645" s="1000"/>
      <c r="AH645" s="1000"/>
      <c r="AI645" s="1001"/>
      <c r="AK645" s="999" t="e">
        <f>VLOOKUP(AS645,ID_archer_cible,10,FALSE)</f>
        <v>#N/A</v>
      </c>
      <c r="AL645" s="1000"/>
      <c r="AM645" s="1001"/>
      <c r="AO645" s="1021"/>
      <c r="AP645" s="1021"/>
      <c r="AQ645" s="1021"/>
      <c r="AR645" s="187"/>
      <c r="AS645" s="996" t="str">
        <f>AR633&amp;"B"</f>
        <v>11B</v>
      </c>
      <c r="AT645" s="997"/>
      <c r="AU645" s="998"/>
      <c r="AV645" s="187"/>
    </row>
    <row r="646" spans="2:48" x14ac:dyDescent="0.2">
      <c r="X646" s="186"/>
    </row>
    <row r="647" spans="2:48" x14ac:dyDescent="0.2">
      <c r="B647" s="185" t="s">
        <v>509</v>
      </c>
      <c r="E647" s="992" t="s">
        <v>510</v>
      </c>
      <c r="F647" s="992"/>
      <c r="G647" s="992"/>
      <c r="H647" s="992"/>
      <c r="I647" s="992"/>
      <c r="J647" s="992"/>
      <c r="K647" s="992"/>
      <c r="L647" s="992"/>
      <c r="M647" s="992"/>
      <c r="N647" s="992"/>
      <c r="P647" s="992" t="s">
        <v>511</v>
      </c>
      <c r="Q647" s="992"/>
      <c r="R647" s="992"/>
      <c r="X647" s="186"/>
      <c r="Z647" s="185" t="s">
        <v>509</v>
      </c>
      <c r="AC647" s="992" t="s">
        <v>510</v>
      </c>
      <c r="AD647" s="992"/>
      <c r="AE647" s="992"/>
      <c r="AF647" s="992"/>
      <c r="AG647" s="992"/>
      <c r="AH647" s="992"/>
      <c r="AI647" s="992"/>
      <c r="AJ647" s="992"/>
      <c r="AK647" s="992"/>
      <c r="AL647" s="992"/>
      <c r="AN647" s="992" t="s">
        <v>511</v>
      </c>
      <c r="AO647" s="992"/>
      <c r="AP647" s="992"/>
    </row>
    <row r="648" spans="2:48" ht="20.25" customHeight="1" x14ac:dyDescent="0.2">
      <c r="B648" s="1009" t="s">
        <v>513</v>
      </c>
      <c r="C648" s="1009"/>
      <c r="E648" s="189"/>
      <c r="F648" s="191"/>
      <c r="G648" s="189"/>
      <c r="H648" s="191"/>
      <c r="I648" s="189"/>
      <c r="J648" s="191"/>
      <c r="K648" s="189"/>
      <c r="L648" s="191"/>
      <c r="M648" s="189"/>
      <c r="N648" s="191"/>
      <c r="P648" s="189"/>
      <c r="Q648" s="190"/>
      <c r="R648" s="191"/>
      <c r="T648" s="992" t="s">
        <v>512</v>
      </c>
      <c r="U648" s="992"/>
      <c r="V648" s="992"/>
      <c r="W648" s="992"/>
      <c r="X648" s="188"/>
      <c r="Z648" s="1009" t="s">
        <v>513</v>
      </c>
      <c r="AA648" s="1009"/>
      <c r="AC648" s="189"/>
      <c r="AD648" s="191"/>
      <c r="AE648" s="189"/>
      <c r="AF648" s="191"/>
      <c r="AG648" s="189"/>
      <c r="AH648" s="191"/>
      <c r="AI648" s="189"/>
      <c r="AJ648" s="191"/>
      <c r="AK648" s="189"/>
      <c r="AL648" s="191"/>
      <c r="AN648" s="189"/>
      <c r="AO648" s="190"/>
      <c r="AP648" s="191"/>
      <c r="AR648" s="992" t="s">
        <v>512</v>
      </c>
      <c r="AS648" s="992"/>
      <c r="AT648" s="992"/>
      <c r="AU648" s="992"/>
      <c r="AV648" s="187"/>
    </row>
    <row r="649" spans="2:48" ht="20.25" customHeight="1" x14ac:dyDescent="0.2">
      <c r="B649" s="1009" t="s">
        <v>514</v>
      </c>
      <c r="C649" s="1009"/>
      <c r="E649" s="189"/>
      <c r="F649" s="191"/>
      <c r="G649" s="189"/>
      <c r="H649" s="191"/>
      <c r="I649" s="189"/>
      <c r="J649" s="191"/>
      <c r="K649" s="189"/>
      <c r="L649" s="191"/>
      <c r="M649" s="189"/>
      <c r="N649" s="191"/>
      <c r="P649" s="189"/>
      <c r="Q649" s="190"/>
      <c r="R649" s="191"/>
      <c r="T649" s="189"/>
      <c r="U649" s="190"/>
      <c r="V649" s="190"/>
      <c r="W649" s="191"/>
      <c r="X649" s="186"/>
      <c r="Z649" s="1009" t="s">
        <v>514</v>
      </c>
      <c r="AA649" s="1009"/>
      <c r="AC649" s="189"/>
      <c r="AD649" s="191"/>
      <c r="AE649" s="189"/>
      <c r="AF649" s="191"/>
      <c r="AG649" s="189"/>
      <c r="AH649" s="191"/>
      <c r="AI649" s="189"/>
      <c r="AJ649" s="191"/>
      <c r="AK649" s="189"/>
      <c r="AL649" s="191"/>
      <c r="AN649" s="189"/>
      <c r="AO649" s="190"/>
      <c r="AP649" s="191"/>
      <c r="AR649" s="189"/>
      <c r="AS649" s="190"/>
      <c r="AT649" s="190"/>
      <c r="AU649" s="191"/>
    </row>
    <row r="650" spans="2:48" ht="20.25" customHeight="1" x14ac:dyDescent="0.2">
      <c r="B650" s="1009" t="s">
        <v>515</v>
      </c>
      <c r="C650" s="1009"/>
      <c r="E650" s="189"/>
      <c r="F650" s="191"/>
      <c r="G650" s="189"/>
      <c r="H650" s="191"/>
      <c r="I650" s="189"/>
      <c r="J650" s="191"/>
      <c r="K650" s="189"/>
      <c r="L650" s="191"/>
      <c r="M650" s="189"/>
      <c r="N650" s="191"/>
      <c r="P650" s="189"/>
      <c r="Q650" s="190"/>
      <c r="R650" s="191"/>
      <c r="T650" s="189"/>
      <c r="U650" s="190"/>
      <c r="V650" s="190"/>
      <c r="W650" s="191"/>
      <c r="X650" s="186"/>
      <c r="Z650" s="1009" t="s">
        <v>515</v>
      </c>
      <c r="AA650" s="1009"/>
      <c r="AC650" s="189"/>
      <c r="AD650" s="191"/>
      <c r="AE650" s="189"/>
      <c r="AF650" s="191"/>
      <c r="AG650" s="189"/>
      <c r="AH650" s="191"/>
      <c r="AI650" s="189"/>
      <c r="AJ650" s="191"/>
      <c r="AK650" s="189"/>
      <c r="AL650" s="191"/>
      <c r="AN650" s="189"/>
      <c r="AO650" s="190"/>
      <c r="AP650" s="191"/>
      <c r="AR650" s="189"/>
      <c r="AS650" s="190"/>
      <c r="AT650" s="190"/>
      <c r="AU650" s="191"/>
    </row>
    <row r="651" spans="2:48" ht="20.25" customHeight="1" x14ac:dyDescent="0.2">
      <c r="B651" s="1009" t="s">
        <v>516</v>
      </c>
      <c r="C651" s="1009"/>
      <c r="E651" s="189"/>
      <c r="F651" s="191"/>
      <c r="G651" s="189"/>
      <c r="H651" s="191"/>
      <c r="I651" s="189"/>
      <c r="J651" s="191"/>
      <c r="K651" s="189"/>
      <c r="L651" s="191"/>
      <c r="M651" s="189"/>
      <c r="N651" s="191"/>
      <c r="P651" s="189"/>
      <c r="Q651" s="190"/>
      <c r="R651" s="191"/>
      <c r="T651" s="189"/>
      <c r="U651" s="190"/>
      <c r="V651" s="190"/>
      <c r="W651" s="191"/>
      <c r="X651" s="186"/>
      <c r="Z651" s="1009" t="s">
        <v>516</v>
      </c>
      <c r="AA651" s="1009"/>
      <c r="AC651" s="189"/>
      <c r="AD651" s="191"/>
      <c r="AE651" s="189"/>
      <c r="AF651" s="191"/>
      <c r="AG651" s="189"/>
      <c r="AH651" s="191"/>
      <c r="AI651" s="189"/>
      <c r="AJ651" s="191"/>
      <c r="AK651" s="189"/>
      <c r="AL651" s="191"/>
      <c r="AN651" s="189"/>
      <c r="AO651" s="190"/>
      <c r="AP651" s="191"/>
      <c r="AR651" s="189"/>
      <c r="AS651" s="190"/>
      <c r="AT651" s="190"/>
      <c r="AU651" s="191"/>
    </row>
    <row r="652" spans="2:48" ht="20.25" customHeight="1" x14ac:dyDescent="0.2">
      <c r="B652" s="1009" t="s">
        <v>517</v>
      </c>
      <c r="C652" s="1009"/>
      <c r="E652" s="189"/>
      <c r="F652" s="191"/>
      <c r="G652" s="189"/>
      <c r="H652" s="191"/>
      <c r="I652" s="189"/>
      <c r="J652" s="191"/>
      <c r="K652" s="189"/>
      <c r="L652" s="191"/>
      <c r="M652" s="189"/>
      <c r="N652" s="191"/>
      <c r="P652" s="189"/>
      <c r="Q652" s="190"/>
      <c r="R652" s="191"/>
      <c r="T652" s="189"/>
      <c r="U652" s="190"/>
      <c r="V652" s="190"/>
      <c r="W652" s="191"/>
      <c r="X652" s="186"/>
      <c r="Z652" s="1009" t="s">
        <v>517</v>
      </c>
      <c r="AA652" s="1009"/>
      <c r="AC652" s="189"/>
      <c r="AD652" s="191"/>
      <c r="AE652" s="189"/>
      <c r="AF652" s="191"/>
      <c r="AG652" s="189"/>
      <c r="AH652" s="191"/>
      <c r="AI652" s="189"/>
      <c r="AJ652" s="191"/>
      <c r="AK652" s="189"/>
      <c r="AL652" s="191"/>
      <c r="AN652" s="189"/>
      <c r="AO652" s="190"/>
      <c r="AP652" s="191"/>
      <c r="AR652" s="189"/>
      <c r="AS652" s="190"/>
      <c r="AT652" s="190"/>
      <c r="AU652" s="191"/>
    </row>
    <row r="653" spans="2:48" ht="20.25" customHeight="1" x14ac:dyDescent="0.2">
      <c r="B653" s="1009" t="s">
        <v>518</v>
      </c>
      <c r="C653" s="1009"/>
      <c r="E653" s="189"/>
      <c r="F653" s="191"/>
      <c r="G653" s="189"/>
      <c r="H653" s="191"/>
      <c r="I653" s="189"/>
      <c r="J653" s="191"/>
      <c r="K653" s="189"/>
      <c r="L653" s="191"/>
      <c r="M653" s="189"/>
      <c r="N653" s="191"/>
      <c r="P653" s="189"/>
      <c r="Q653" s="190"/>
      <c r="R653" s="191"/>
      <c r="T653" s="189"/>
      <c r="U653" s="190"/>
      <c r="V653" s="190"/>
      <c r="W653" s="191"/>
      <c r="X653" s="186"/>
      <c r="Z653" s="1009" t="s">
        <v>518</v>
      </c>
      <c r="AA653" s="1009"/>
      <c r="AC653" s="189"/>
      <c r="AD653" s="191"/>
      <c r="AE653" s="189"/>
      <c r="AF653" s="191"/>
      <c r="AG653" s="189"/>
      <c r="AH653" s="191"/>
      <c r="AI653" s="189"/>
      <c r="AJ653" s="191"/>
      <c r="AK653" s="189"/>
      <c r="AL653" s="191"/>
      <c r="AN653" s="189"/>
      <c r="AO653" s="190"/>
      <c r="AP653" s="191"/>
      <c r="AR653" s="189"/>
      <c r="AS653" s="190"/>
      <c r="AT653" s="190"/>
      <c r="AU653" s="191"/>
    </row>
    <row r="654" spans="2:48" ht="15.75" thickBot="1" x14ac:dyDescent="0.25">
      <c r="B654" s="187"/>
      <c r="C654" s="187"/>
      <c r="X654" s="186"/>
      <c r="Z654" s="187"/>
      <c r="AA654" s="187"/>
    </row>
    <row r="655" spans="2:48" ht="20.25" customHeight="1" thickBot="1" x14ac:dyDescent="0.25">
      <c r="P655" s="197" t="s">
        <v>519</v>
      </c>
      <c r="Q655" s="197"/>
      <c r="R655" s="197"/>
      <c r="S655" s="197"/>
      <c r="T655" s="192"/>
      <c r="U655" s="193"/>
      <c r="V655" s="193"/>
      <c r="W655" s="194"/>
      <c r="X655" s="186"/>
      <c r="AN655" s="197" t="s">
        <v>519</v>
      </c>
      <c r="AO655" s="197"/>
      <c r="AP655" s="197"/>
      <c r="AQ655" s="197"/>
      <c r="AR655" s="192"/>
      <c r="AS655" s="193"/>
      <c r="AT655" s="193"/>
      <c r="AU655" s="194"/>
    </row>
    <row r="656" spans="2:48" x14ac:dyDescent="0.2">
      <c r="E656" s="196"/>
      <c r="F656" s="196"/>
      <c r="G656" s="196"/>
      <c r="H656" s="196"/>
      <c r="I656" s="196"/>
      <c r="J656" s="196"/>
      <c r="K656" s="196"/>
      <c r="L656" s="196"/>
      <c r="M656" s="196"/>
      <c r="X656" s="186"/>
      <c r="AC656" s="196"/>
      <c r="AD656" s="196"/>
      <c r="AE656" s="196"/>
      <c r="AF656" s="196"/>
      <c r="AG656" s="196"/>
      <c r="AH656" s="196"/>
      <c r="AI656" s="196"/>
      <c r="AJ656" s="196"/>
      <c r="AK656" s="196"/>
    </row>
    <row r="657" spans="2:48" x14ac:dyDescent="0.2">
      <c r="B657" s="1010" t="s">
        <v>521</v>
      </c>
      <c r="C657" s="1010"/>
      <c r="D657" s="1010"/>
      <c r="E657" s="1010"/>
      <c r="F657" s="1010"/>
      <c r="G657" s="1010"/>
      <c r="H657" s="195"/>
      <c r="I657" s="1010" t="s">
        <v>522</v>
      </c>
      <c r="J657" s="1010"/>
      <c r="K657" s="1010"/>
      <c r="L657" s="1010"/>
      <c r="M657" s="1010"/>
      <c r="N657" s="1010"/>
      <c r="O657" s="1010"/>
      <c r="P657" s="1010"/>
      <c r="Q657" s="1010"/>
      <c r="R657" s="1010"/>
      <c r="S657" s="1010"/>
      <c r="T657" s="1010"/>
      <c r="U657" s="1010"/>
      <c r="V657" s="1010"/>
      <c r="W657" s="1010"/>
      <c r="X657" s="198"/>
      <c r="Y657" s="195"/>
      <c r="Z657" s="1010" t="s">
        <v>521</v>
      </c>
      <c r="AA657" s="1010"/>
      <c r="AB657" s="1010"/>
      <c r="AC657" s="1010"/>
      <c r="AD657" s="1010"/>
      <c r="AE657" s="1010"/>
      <c r="AF657" s="195"/>
      <c r="AG657" s="1004" t="s">
        <v>522</v>
      </c>
      <c r="AH657" s="1004"/>
      <c r="AI657" s="1004"/>
      <c r="AJ657" s="1004"/>
      <c r="AK657" s="1004"/>
      <c r="AL657" s="1004"/>
      <c r="AM657" s="1004"/>
      <c r="AN657" s="1004"/>
      <c r="AO657" s="1004"/>
      <c r="AP657" s="1004"/>
      <c r="AQ657" s="1004"/>
      <c r="AR657" s="1004"/>
      <c r="AS657" s="1004"/>
      <c r="AT657" s="1004"/>
      <c r="AU657" s="1004"/>
      <c r="AV657" s="195"/>
    </row>
    <row r="658" spans="2:48" x14ac:dyDescent="0.2">
      <c r="B658" s="1005" t="s">
        <v>520</v>
      </c>
      <c r="C658" s="1006"/>
      <c r="D658" s="1006"/>
      <c r="E658" s="1006"/>
      <c r="F658" s="1006"/>
      <c r="G658" s="1007"/>
      <c r="I658" s="1005" t="s">
        <v>0</v>
      </c>
      <c r="J658" s="1006"/>
      <c r="K658" s="1006"/>
      <c r="L658" s="1006"/>
      <c r="M658" s="1006"/>
      <c r="N658" s="1006"/>
      <c r="O658" s="1006"/>
      <c r="P658" s="1006"/>
      <c r="Q658" s="1006"/>
      <c r="R658" s="1006"/>
      <c r="S658" s="1006"/>
      <c r="T658" s="1006"/>
      <c r="U658" s="1006"/>
      <c r="V658" s="1006"/>
      <c r="W658" s="1007"/>
      <c r="X658" s="186"/>
      <c r="Z658" s="1005" t="s">
        <v>520</v>
      </c>
      <c r="AA658" s="1006"/>
      <c r="AB658" s="1006"/>
      <c r="AC658" s="1006"/>
      <c r="AD658" s="1006"/>
      <c r="AE658" s="1007"/>
      <c r="AG658" s="1005" t="s">
        <v>0</v>
      </c>
      <c r="AH658" s="1006"/>
      <c r="AI658" s="1006"/>
      <c r="AJ658" s="1006"/>
      <c r="AK658" s="1006"/>
      <c r="AL658" s="1006"/>
      <c r="AM658" s="1006"/>
      <c r="AN658" s="1006"/>
      <c r="AO658" s="1006"/>
      <c r="AP658" s="1006"/>
      <c r="AQ658" s="1006"/>
      <c r="AR658" s="1006"/>
      <c r="AS658" s="1006"/>
      <c r="AT658" s="1006"/>
      <c r="AU658" s="1007"/>
    </row>
    <row r="659" spans="2:48" x14ac:dyDescent="0.2">
      <c r="B659" s="199"/>
      <c r="C659" s="200"/>
      <c r="D659" s="200"/>
      <c r="E659" s="200"/>
      <c r="F659" s="200"/>
      <c r="G659" s="201"/>
      <c r="I659" s="199"/>
      <c r="J659" s="200"/>
      <c r="K659" s="200"/>
      <c r="L659" s="200"/>
      <c r="M659" s="200"/>
      <c r="N659" s="200"/>
      <c r="O659" s="200"/>
      <c r="P659" s="200"/>
      <c r="Q659" s="200"/>
      <c r="R659" s="200"/>
      <c r="S659" s="200"/>
      <c r="T659" s="200"/>
      <c r="U659" s="200"/>
      <c r="V659" s="200"/>
      <c r="W659" s="201"/>
      <c r="X659" s="186"/>
      <c r="Z659" s="199"/>
      <c r="AA659" s="200"/>
      <c r="AB659" s="200"/>
      <c r="AC659" s="200"/>
      <c r="AD659" s="200"/>
      <c r="AE659" s="201"/>
      <c r="AG659" s="199"/>
      <c r="AH659" s="200"/>
      <c r="AI659" s="200"/>
      <c r="AJ659" s="200"/>
      <c r="AK659" s="200"/>
      <c r="AL659" s="200"/>
      <c r="AM659" s="200"/>
      <c r="AN659" s="200"/>
      <c r="AO659" s="200"/>
      <c r="AP659" s="200"/>
      <c r="AQ659" s="200"/>
      <c r="AR659" s="200"/>
      <c r="AS659" s="200"/>
      <c r="AT659" s="200"/>
      <c r="AU659" s="201"/>
    </row>
    <row r="660" spans="2:48" x14ac:dyDescent="0.2">
      <c r="X660" s="186"/>
    </row>
    <row r="661" spans="2:48" x14ac:dyDescent="0.2">
      <c r="I661" s="1005" t="s">
        <v>481</v>
      </c>
      <c r="J661" s="1006"/>
      <c r="K661" s="1006"/>
      <c r="L661" s="1006"/>
      <c r="M661" s="1006"/>
      <c r="N661" s="1006"/>
      <c r="O661" s="1006"/>
      <c r="P661" s="1006"/>
      <c r="Q661" s="1007"/>
      <c r="R661" s="1005" t="s">
        <v>520</v>
      </c>
      <c r="S661" s="1006"/>
      <c r="T661" s="1006"/>
      <c r="U661" s="1006"/>
      <c r="V661" s="1006"/>
      <c r="W661" s="1007"/>
      <c r="X661" s="186"/>
      <c r="AG661" s="1005" t="s">
        <v>481</v>
      </c>
      <c r="AH661" s="1006"/>
      <c r="AI661" s="1006"/>
      <c r="AJ661" s="1006"/>
      <c r="AK661" s="1006"/>
      <c r="AL661" s="1006"/>
      <c r="AM661" s="1006"/>
      <c r="AN661" s="1006"/>
      <c r="AO661" s="1007"/>
      <c r="AP661" s="1005" t="s">
        <v>520</v>
      </c>
      <c r="AQ661" s="1006"/>
      <c r="AR661" s="1006"/>
      <c r="AS661" s="1006"/>
      <c r="AT661" s="1006"/>
      <c r="AU661" s="1007"/>
    </row>
    <row r="662" spans="2:48" x14ac:dyDescent="0.2">
      <c r="I662" s="199"/>
      <c r="J662" s="200"/>
      <c r="K662" s="200"/>
      <c r="L662" s="200"/>
      <c r="M662" s="200"/>
      <c r="N662" s="200"/>
      <c r="O662" s="200"/>
      <c r="P662" s="200"/>
      <c r="Q662" s="200"/>
      <c r="R662" s="199"/>
      <c r="S662" s="200"/>
      <c r="T662" s="200"/>
      <c r="U662" s="200"/>
      <c r="V662" s="200"/>
      <c r="W662" s="201"/>
      <c r="X662" s="186"/>
      <c r="AG662" s="199"/>
      <c r="AH662" s="200"/>
      <c r="AI662" s="200"/>
      <c r="AJ662" s="200"/>
      <c r="AK662" s="200"/>
      <c r="AL662" s="200"/>
      <c r="AM662" s="200"/>
      <c r="AN662" s="200"/>
      <c r="AO662" s="200"/>
      <c r="AP662" s="199"/>
      <c r="AQ662" s="200"/>
      <c r="AR662" s="200"/>
      <c r="AS662" s="200"/>
      <c r="AT662" s="200"/>
      <c r="AU662" s="201"/>
    </row>
    <row r="663" spans="2:48" ht="39" customHeight="1" x14ac:dyDescent="0.2">
      <c r="B663" s="392"/>
      <c r="C663" s="392"/>
      <c r="D663" s="392"/>
      <c r="E663" s="392"/>
      <c r="F663" s="392"/>
      <c r="G663" s="392"/>
      <c r="H663" s="392"/>
      <c r="I663" s="392"/>
      <c r="J663" s="392"/>
      <c r="K663" s="392"/>
      <c r="L663" s="392"/>
      <c r="M663" s="392"/>
      <c r="N663" s="392"/>
      <c r="O663" s="392"/>
      <c r="P663" s="392"/>
      <c r="Q663" s="392"/>
      <c r="R663" s="392"/>
      <c r="S663" s="392"/>
      <c r="T663" s="392"/>
      <c r="U663" s="392"/>
      <c r="V663" s="392"/>
      <c r="W663" s="392"/>
      <c r="X663" s="393"/>
      <c r="Y663" s="394"/>
      <c r="Z663" s="392"/>
      <c r="AA663" s="392"/>
      <c r="AB663" s="392"/>
      <c r="AC663" s="392"/>
      <c r="AD663" s="392"/>
      <c r="AE663" s="392"/>
      <c r="AF663" s="392"/>
      <c r="AG663" s="392"/>
      <c r="AH663" s="392"/>
      <c r="AI663" s="392"/>
      <c r="AJ663" s="392"/>
      <c r="AK663" s="392"/>
      <c r="AL663" s="392"/>
      <c r="AM663" s="392"/>
      <c r="AN663" s="392"/>
      <c r="AO663" s="392"/>
      <c r="AP663" s="392"/>
      <c r="AQ663" s="392"/>
      <c r="AR663" s="392"/>
      <c r="AS663" s="392"/>
      <c r="AT663" s="392"/>
      <c r="AU663" s="392"/>
      <c r="AV663" s="392"/>
    </row>
    <row r="664" spans="2:48" ht="39" customHeight="1" x14ac:dyDescent="0.2">
      <c r="B664" s="182"/>
      <c r="C664" s="182"/>
      <c r="D664" s="182"/>
      <c r="E664" s="182"/>
      <c r="F664" s="182"/>
      <c r="G664" s="182"/>
      <c r="H664" s="182"/>
      <c r="I664" s="182"/>
      <c r="J664" s="182"/>
      <c r="K664" s="182"/>
      <c r="L664" s="182"/>
      <c r="M664" s="182"/>
      <c r="N664" s="182"/>
      <c r="O664" s="182"/>
      <c r="P664" s="182"/>
      <c r="Q664" s="182"/>
      <c r="R664" s="182"/>
      <c r="S664" s="182"/>
      <c r="T664" s="182"/>
      <c r="U664" s="182"/>
      <c r="V664" s="182"/>
      <c r="W664" s="182"/>
      <c r="X664" s="183"/>
      <c r="Y664" s="184"/>
      <c r="Z664" s="182"/>
      <c r="AA664" s="182"/>
      <c r="AB664" s="182"/>
      <c r="AC664" s="182"/>
      <c r="AD664" s="182"/>
      <c r="AE664" s="182"/>
      <c r="AF664" s="182"/>
      <c r="AG664" s="182"/>
      <c r="AH664" s="182"/>
      <c r="AI664" s="182"/>
      <c r="AJ664" s="182"/>
      <c r="AK664" s="182"/>
      <c r="AL664" s="182"/>
      <c r="AM664" s="182"/>
      <c r="AN664" s="182"/>
      <c r="AO664" s="182"/>
      <c r="AP664" s="182"/>
      <c r="AQ664" s="182"/>
      <c r="AR664" s="182"/>
      <c r="AS664" s="182"/>
      <c r="AT664" s="182"/>
      <c r="AU664" s="182"/>
      <c r="AV664" s="182"/>
    </row>
    <row r="665" spans="2:48" ht="18" x14ac:dyDescent="0.2">
      <c r="B665" s="182"/>
      <c r="C665" s="182"/>
      <c r="D665" s="182"/>
      <c r="E665" s="182"/>
      <c r="F665" s="182"/>
      <c r="G665" s="182"/>
      <c r="H665" s="992" t="s">
        <v>374</v>
      </c>
      <c r="I665" s="992"/>
      <c r="J665" s="992"/>
      <c r="K665" s="992"/>
      <c r="L665" s="992"/>
      <c r="M665" s="992"/>
      <c r="N665" s="992"/>
      <c r="O665" s="992"/>
      <c r="P665" s="992"/>
      <c r="Q665" s="992"/>
      <c r="R665" s="182"/>
      <c r="S665" s="182"/>
      <c r="T665" s="182"/>
      <c r="U665" s="182"/>
      <c r="V665" s="182"/>
      <c r="W665" s="182"/>
      <c r="X665" s="183"/>
      <c r="Y665" s="182"/>
      <c r="Z665" s="182"/>
      <c r="AA665" s="182"/>
      <c r="AB665" s="182"/>
      <c r="AC665" s="182"/>
      <c r="AD665" s="182"/>
      <c r="AE665" s="992" t="s">
        <v>374</v>
      </c>
      <c r="AF665" s="992"/>
      <c r="AG665" s="992"/>
      <c r="AH665" s="992"/>
      <c r="AI665" s="992"/>
      <c r="AJ665" s="992"/>
      <c r="AK665" s="992"/>
      <c r="AL665" s="992"/>
      <c r="AM665" s="992"/>
      <c r="AN665" s="992"/>
      <c r="AO665" s="182"/>
      <c r="AP665" s="182"/>
      <c r="AQ665" s="182"/>
      <c r="AR665" s="182"/>
      <c r="AS665" s="182"/>
      <c r="AT665" s="182"/>
      <c r="AU665" s="182"/>
      <c r="AV665" s="182"/>
    </row>
    <row r="666" spans="2:48" ht="18" x14ac:dyDescent="0.2">
      <c r="B666" s="182"/>
      <c r="C666" s="182"/>
      <c r="D666" s="182"/>
      <c r="E666" s="182"/>
      <c r="F666" s="182"/>
      <c r="G666" s="182"/>
      <c r="H666" s="1022" t="e">
        <f>VLOOKUP(U675,ID_archer_cible,4,FALSE)</f>
        <v>#N/A</v>
      </c>
      <c r="I666" s="1023"/>
      <c r="J666" s="1023"/>
      <c r="K666" s="1023"/>
      <c r="L666" s="1023"/>
      <c r="M666" s="1023"/>
      <c r="N666" s="1023"/>
      <c r="O666" s="1023"/>
      <c r="P666" s="1023"/>
      <c r="Q666" s="1024"/>
      <c r="R666" s="182"/>
      <c r="S666" s="182"/>
      <c r="T666" s="182"/>
      <c r="U666" s="182"/>
      <c r="V666" s="182"/>
      <c r="W666" s="182"/>
      <c r="X666" s="183"/>
      <c r="Y666" s="182"/>
      <c r="Z666" s="182"/>
      <c r="AA666" s="182"/>
      <c r="AB666" s="182"/>
      <c r="AC666" s="182"/>
      <c r="AD666" s="182"/>
      <c r="AE666" s="1022" t="e">
        <f>VLOOKUP(AS675,ID_archer_cible,4,FALSE)</f>
        <v>#N/A</v>
      </c>
      <c r="AF666" s="1023"/>
      <c r="AG666" s="1023"/>
      <c r="AH666" s="1023"/>
      <c r="AI666" s="1023"/>
      <c r="AJ666" s="1023"/>
      <c r="AK666" s="1023"/>
      <c r="AL666" s="1023"/>
      <c r="AM666" s="1023"/>
      <c r="AN666" s="1024"/>
      <c r="AO666" s="182"/>
      <c r="AP666" s="182"/>
      <c r="AQ666" s="182"/>
      <c r="AR666" s="182"/>
      <c r="AS666" s="182"/>
      <c r="AT666" s="182"/>
      <c r="AU666" s="182"/>
      <c r="AV666" s="182"/>
    </row>
    <row r="667" spans="2:48" x14ac:dyDescent="0.2">
      <c r="X667" s="186"/>
    </row>
    <row r="668" spans="2:48" x14ac:dyDescent="0.2">
      <c r="B668" s="1021" t="s">
        <v>0</v>
      </c>
      <c r="C668" s="1021"/>
      <c r="D668" s="1021"/>
      <c r="E668" s="1021"/>
      <c r="F668" s="1021"/>
      <c r="G668" s="1021"/>
      <c r="H668" s="1021"/>
      <c r="I668" s="1021"/>
      <c r="J668" s="1021"/>
      <c r="K668" s="1021"/>
      <c r="L668" s="1021"/>
      <c r="M668" s="187"/>
      <c r="P668" s="992" t="s">
        <v>375</v>
      </c>
      <c r="Q668" s="992"/>
      <c r="R668" s="992"/>
      <c r="S668" s="992"/>
      <c r="T668" s="992"/>
      <c r="U668" s="992"/>
      <c r="V668" s="992"/>
      <c r="W668" s="992"/>
      <c r="X668" s="188"/>
      <c r="Z668" s="1021" t="s">
        <v>0</v>
      </c>
      <c r="AA668" s="1021"/>
      <c r="AB668" s="1021"/>
      <c r="AC668" s="1021"/>
      <c r="AD668" s="1021"/>
      <c r="AE668" s="1021"/>
      <c r="AF668" s="1021"/>
      <c r="AG668" s="1021"/>
      <c r="AH668" s="1021"/>
      <c r="AI668" s="1021"/>
      <c r="AJ668" s="1021"/>
      <c r="AK668" s="187"/>
      <c r="AN668" s="992" t="s">
        <v>375</v>
      </c>
      <c r="AO668" s="992"/>
      <c r="AP668" s="992"/>
      <c r="AQ668" s="992"/>
      <c r="AR668" s="992"/>
      <c r="AS668" s="992"/>
      <c r="AT668" s="992"/>
      <c r="AU668" s="992"/>
      <c r="AV668" s="187"/>
    </row>
    <row r="669" spans="2:48" x14ac:dyDescent="0.2">
      <c r="B669" s="999" t="e">
        <f>VLOOKUP(U675,ID_archer_cible,2,FALSE)</f>
        <v>#N/A</v>
      </c>
      <c r="C669" s="1000"/>
      <c r="D669" s="1000"/>
      <c r="E669" s="1000"/>
      <c r="F669" s="1000"/>
      <c r="G669" s="1000"/>
      <c r="H669" s="1000"/>
      <c r="I669" s="1000"/>
      <c r="J669" s="1000"/>
      <c r="K669" s="1000"/>
      <c r="L669" s="1000"/>
      <c r="M669" s="1001"/>
      <c r="P669" s="999" t="e">
        <f>VLOOKUP(U675,ID_archer_cible,3,FALSE)</f>
        <v>#N/A</v>
      </c>
      <c r="Q669" s="1000"/>
      <c r="R669" s="1000"/>
      <c r="S669" s="1000"/>
      <c r="T669" s="1000"/>
      <c r="U669" s="1000"/>
      <c r="V669" s="1000"/>
      <c r="W669" s="1001"/>
      <c r="X669" s="186"/>
      <c r="Y669"/>
      <c r="Z669" s="999" t="e">
        <f>VLOOKUP(AS675,ID_archer_cible,2,FALSE)</f>
        <v>#N/A</v>
      </c>
      <c r="AA669" s="1000"/>
      <c r="AB669" s="1000"/>
      <c r="AC669" s="1000"/>
      <c r="AD669" s="1000"/>
      <c r="AE669" s="1000"/>
      <c r="AF669" s="1000"/>
      <c r="AG669" s="1000"/>
      <c r="AH669" s="1000"/>
      <c r="AI669" s="1000"/>
      <c r="AJ669" s="1000"/>
      <c r="AK669" s="1001"/>
      <c r="AN669" s="999" t="e">
        <f>VLOOKUP(AS675,ID_archer_cible,3,FALSE)</f>
        <v>#N/A</v>
      </c>
      <c r="AO669" s="1000"/>
      <c r="AP669" s="1000"/>
      <c r="AQ669" s="1000"/>
      <c r="AR669" s="1000"/>
      <c r="AS669" s="1000"/>
      <c r="AT669" s="1000"/>
      <c r="AU669" s="1001"/>
    </row>
    <row r="670" spans="2:48" x14ac:dyDescent="0.2">
      <c r="X670" s="186"/>
      <c r="Y670"/>
    </row>
    <row r="671" spans="2:48" ht="16.5" thickBot="1" x14ac:dyDescent="0.25">
      <c r="B671" s="1017" t="s">
        <v>1</v>
      </c>
      <c r="C671" s="1017"/>
      <c r="D671" s="1017"/>
      <c r="E671" s="1017"/>
      <c r="F671" s="1017"/>
      <c r="G671" s="1017"/>
      <c r="H671" s="1017"/>
      <c r="I671" s="1017"/>
      <c r="J671" s="1017"/>
      <c r="L671" s="1017" t="s">
        <v>505</v>
      </c>
      <c r="M671" s="1017"/>
      <c r="N671" s="1017"/>
      <c r="O671" s="1017"/>
      <c r="P671" s="1017"/>
      <c r="Q671" s="1017"/>
      <c r="S671" s="992" t="s">
        <v>506</v>
      </c>
      <c r="T671" s="992"/>
      <c r="U671" s="992"/>
      <c r="V671" s="992"/>
      <c r="W671" s="992"/>
      <c r="X671" s="188"/>
      <c r="Y671"/>
      <c r="Z671" s="1017" t="s">
        <v>1</v>
      </c>
      <c r="AA671" s="1017"/>
      <c r="AB671" s="1017"/>
      <c r="AC671" s="1017"/>
      <c r="AD671" s="1017"/>
      <c r="AE671" s="1017"/>
      <c r="AF671" s="1017"/>
      <c r="AG671" s="1017"/>
      <c r="AH671" s="1017"/>
      <c r="AJ671" s="1017" t="s">
        <v>505</v>
      </c>
      <c r="AK671" s="1017"/>
      <c r="AL671" s="1017"/>
      <c r="AM671" s="1017"/>
      <c r="AN671" s="1017"/>
      <c r="AO671" s="1017"/>
      <c r="AQ671" s="992" t="s">
        <v>506</v>
      </c>
      <c r="AR671" s="992"/>
      <c r="AS671" s="992"/>
      <c r="AT671" s="992"/>
      <c r="AU671" s="992"/>
      <c r="AV671" s="187"/>
    </row>
    <row r="672" spans="2:48" ht="16.5" thickBot="1" x14ac:dyDescent="0.25">
      <c r="B672" s="1014" t="e">
        <f>VLOOKUP(U675,ID_archer_cible,5,FALSE)</f>
        <v>#N/A</v>
      </c>
      <c r="C672" s="1015"/>
      <c r="D672" s="1015"/>
      <c r="E672" s="1015"/>
      <c r="F672" s="1015"/>
      <c r="G672" s="1015"/>
      <c r="H672" s="1015"/>
      <c r="I672" s="1015"/>
      <c r="J672" s="1016"/>
      <c r="L672" s="1014" t="e">
        <f>VLOOKUP(U675,ID_archer_cible,6,FALSE)</f>
        <v>#N/A</v>
      </c>
      <c r="M672" s="1015"/>
      <c r="N672" s="1015"/>
      <c r="O672" s="1015"/>
      <c r="P672" s="1015"/>
      <c r="Q672" s="1016"/>
      <c r="S672" s="999" t="e">
        <f>VLOOKUP(U675,ID_archer_cible,8,FALSE)</f>
        <v>#N/A</v>
      </c>
      <c r="T672" s="1000"/>
      <c r="U672" s="1000"/>
      <c r="V672" s="1000"/>
      <c r="W672" s="1001"/>
      <c r="X672" s="186"/>
      <c r="Y672"/>
      <c r="Z672" s="1014" t="e">
        <f>VLOOKUP(AS675,ID_archer_cible,5,FALSE)</f>
        <v>#N/A</v>
      </c>
      <c r="AA672" s="1015"/>
      <c r="AB672" s="1015"/>
      <c r="AC672" s="1015"/>
      <c r="AD672" s="1015"/>
      <c r="AE672" s="1015"/>
      <c r="AF672" s="1015"/>
      <c r="AG672" s="1015"/>
      <c r="AH672" s="1016"/>
      <c r="AJ672" s="1014" t="e">
        <f>VLOOKUP(AS675,ID_archer_cible,6,FALSE)</f>
        <v>#N/A</v>
      </c>
      <c r="AK672" s="1015"/>
      <c r="AL672" s="1015"/>
      <c r="AM672" s="1015"/>
      <c r="AN672" s="1015"/>
      <c r="AO672" s="1016"/>
      <c r="AQ672" s="999" t="e">
        <f>VLOOKUP(AS675,ID_archer_cible,8,FALSE)</f>
        <v>#N/A</v>
      </c>
      <c r="AR672" s="1000"/>
      <c r="AS672" s="1000"/>
      <c r="AT672" s="1000"/>
      <c r="AU672" s="1001"/>
    </row>
    <row r="673" spans="2:48" x14ac:dyDescent="0.2">
      <c r="X673" s="186"/>
      <c r="Y673"/>
    </row>
    <row r="674" spans="2:48" x14ac:dyDescent="0.2">
      <c r="B674" s="992" t="s">
        <v>530</v>
      </c>
      <c r="C674" s="992"/>
      <c r="D674" s="992"/>
      <c r="E674" s="992"/>
      <c r="F674" s="992"/>
      <c r="G674" s="187"/>
      <c r="H674" s="992" t="s">
        <v>504</v>
      </c>
      <c r="I674" s="992"/>
      <c r="J674" s="992"/>
      <c r="K674" s="992"/>
      <c r="M674" s="992" t="s">
        <v>39</v>
      </c>
      <c r="N674" s="992"/>
      <c r="O674" s="992"/>
      <c r="Q674" s="1021"/>
      <c r="R674" s="1021"/>
      <c r="S674" s="1021"/>
      <c r="U674" s="992" t="s">
        <v>507</v>
      </c>
      <c r="V674" s="992"/>
      <c r="W674" s="992"/>
      <c r="X674" s="188"/>
      <c r="Y674"/>
      <c r="Z674" s="992" t="s">
        <v>530</v>
      </c>
      <c r="AA674" s="992"/>
      <c r="AB674" s="992"/>
      <c r="AC674" s="992"/>
      <c r="AD674" s="992"/>
      <c r="AE674" s="187"/>
      <c r="AF674" s="992" t="s">
        <v>504</v>
      </c>
      <c r="AG674" s="992"/>
      <c r="AH674" s="992"/>
      <c r="AI674" s="992"/>
      <c r="AK674" s="992" t="s">
        <v>39</v>
      </c>
      <c r="AL674" s="992"/>
      <c r="AM674" s="992"/>
      <c r="AO674" s="1021"/>
      <c r="AP674" s="1021"/>
      <c r="AQ674" s="1021"/>
      <c r="AS674" s="992" t="s">
        <v>507</v>
      </c>
      <c r="AT674" s="992"/>
      <c r="AU674" s="992"/>
      <c r="AV674" s="187"/>
    </row>
    <row r="675" spans="2:48" ht="15.75" x14ac:dyDescent="0.2">
      <c r="B675" s="1011" t="e">
        <f>VLOOKUP(U675,ID_archer_cible,7,FALSE)</f>
        <v>#N/A</v>
      </c>
      <c r="C675" s="1012"/>
      <c r="D675" s="1012"/>
      <c r="E675" s="1012"/>
      <c r="F675" s="1013"/>
      <c r="H675" s="999" t="e">
        <f>VLOOKUP(U675,ID_archer_cible,9,FALSE)</f>
        <v>#N/A</v>
      </c>
      <c r="I675" s="1000"/>
      <c r="J675" s="1000"/>
      <c r="K675" s="1001"/>
      <c r="M675" s="999" t="e">
        <f>VLOOKUP(U675,ID_archer_cible,10,FALSE)</f>
        <v>#N/A</v>
      </c>
      <c r="N675" s="1000"/>
      <c r="O675" s="1001"/>
      <c r="Q675" s="1021"/>
      <c r="R675" s="1021"/>
      <c r="S675" s="1021"/>
      <c r="T675" s="187"/>
      <c r="U675" s="996" t="str">
        <f>AR633&amp;"C"</f>
        <v>11C</v>
      </c>
      <c r="V675" s="997"/>
      <c r="W675" s="998"/>
      <c r="X675" s="188"/>
      <c r="Y675"/>
      <c r="Z675" s="1011" t="e">
        <f>VLOOKUP(AS675,ID_archer_cible,7,FALSE)</f>
        <v>#N/A</v>
      </c>
      <c r="AA675" s="1012"/>
      <c r="AB675" s="1012"/>
      <c r="AC675" s="1012"/>
      <c r="AD675" s="1013"/>
      <c r="AF675" s="999" t="e">
        <f>VLOOKUP(AS675,ID_archer_cible,9,FALSE)</f>
        <v>#N/A</v>
      </c>
      <c r="AG675" s="1000"/>
      <c r="AH675" s="1000"/>
      <c r="AI675" s="1001"/>
      <c r="AK675" s="999" t="e">
        <f>VLOOKUP(AS675,ID_archer_cible,10,FALSE)</f>
        <v>#N/A</v>
      </c>
      <c r="AL675" s="1000"/>
      <c r="AM675" s="1001"/>
      <c r="AO675" s="1021"/>
      <c r="AP675" s="1021"/>
      <c r="AQ675" s="1021"/>
      <c r="AR675" s="187"/>
      <c r="AS675" s="996" t="str">
        <f>AR633&amp;"D"</f>
        <v>11D</v>
      </c>
      <c r="AT675" s="997"/>
      <c r="AU675" s="998"/>
      <c r="AV675" s="187"/>
    </row>
    <row r="676" spans="2:48" x14ac:dyDescent="0.2">
      <c r="X676" s="186"/>
    </row>
    <row r="677" spans="2:48" x14ac:dyDescent="0.2">
      <c r="B677" s="185" t="s">
        <v>509</v>
      </c>
      <c r="E677" s="992" t="s">
        <v>510</v>
      </c>
      <c r="F677" s="992"/>
      <c r="G677" s="992"/>
      <c r="H677" s="992"/>
      <c r="I677" s="992"/>
      <c r="J677" s="992"/>
      <c r="K677" s="992"/>
      <c r="L677" s="992"/>
      <c r="M677" s="992"/>
      <c r="N677" s="992"/>
      <c r="P677" s="992" t="s">
        <v>511</v>
      </c>
      <c r="Q677" s="992"/>
      <c r="R677" s="992"/>
      <c r="X677" s="186"/>
      <c r="Z677" s="185" t="s">
        <v>509</v>
      </c>
      <c r="AC677" s="992" t="s">
        <v>510</v>
      </c>
      <c r="AD677" s="992"/>
      <c r="AE677" s="992"/>
      <c r="AF677" s="992"/>
      <c r="AG677" s="992"/>
      <c r="AH677" s="992"/>
      <c r="AI677" s="992"/>
      <c r="AJ677" s="992"/>
      <c r="AK677" s="992"/>
      <c r="AL677" s="992"/>
      <c r="AN677" s="992" t="s">
        <v>511</v>
      </c>
      <c r="AO677" s="992"/>
      <c r="AP677" s="992"/>
    </row>
    <row r="678" spans="2:48" ht="20.25" customHeight="1" x14ac:dyDescent="0.2">
      <c r="B678" s="1009" t="s">
        <v>513</v>
      </c>
      <c r="C678" s="1009"/>
      <c r="E678" s="189"/>
      <c r="F678" s="191"/>
      <c r="G678" s="189"/>
      <c r="H678" s="191"/>
      <c r="I678" s="189"/>
      <c r="J678" s="191"/>
      <c r="K678" s="189"/>
      <c r="L678" s="191"/>
      <c r="M678" s="189"/>
      <c r="N678" s="191"/>
      <c r="P678" s="189"/>
      <c r="Q678" s="190"/>
      <c r="R678" s="191"/>
      <c r="T678" s="992" t="s">
        <v>512</v>
      </c>
      <c r="U678" s="992"/>
      <c r="V678" s="992"/>
      <c r="W678" s="992"/>
      <c r="X678" s="188"/>
      <c r="Z678" s="1009" t="s">
        <v>513</v>
      </c>
      <c r="AA678" s="1009"/>
      <c r="AC678" s="189"/>
      <c r="AD678" s="191"/>
      <c r="AE678" s="189"/>
      <c r="AF678" s="191"/>
      <c r="AG678" s="189"/>
      <c r="AH678" s="191"/>
      <c r="AI678" s="189"/>
      <c r="AJ678" s="191"/>
      <c r="AK678" s="189"/>
      <c r="AL678" s="191"/>
      <c r="AN678" s="189"/>
      <c r="AO678" s="190"/>
      <c r="AP678" s="191"/>
      <c r="AR678" s="992" t="s">
        <v>512</v>
      </c>
      <c r="AS678" s="992"/>
      <c r="AT678" s="992"/>
      <c r="AU678" s="992"/>
      <c r="AV678" s="187"/>
    </row>
    <row r="679" spans="2:48" ht="20.25" customHeight="1" x14ac:dyDescent="0.2">
      <c r="B679" s="1009" t="s">
        <v>514</v>
      </c>
      <c r="C679" s="1009"/>
      <c r="E679" s="189"/>
      <c r="F679" s="191"/>
      <c r="G679" s="189"/>
      <c r="H679" s="191"/>
      <c r="I679" s="189"/>
      <c r="J679" s="191"/>
      <c r="K679" s="189"/>
      <c r="L679" s="191"/>
      <c r="M679" s="189"/>
      <c r="N679" s="191"/>
      <c r="P679" s="189"/>
      <c r="Q679" s="190"/>
      <c r="R679" s="191"/>
      <c r="T679" s="189"/>
      <c r="U679" s="190"/>
      <c r="V679" s="190"/>
      <c r="W679" s="191"/>
      <c r="X679" s="186"/>
      <c r="Z679" s="1009" t="s">
        <v>514</v>
      </c>
      <c r="AA679" s="1009"/>
      <c r="AC679" s="189"/>
      <c r="AD679" s="191"/>
      <c r="AE679" s="189"/>
      <c r="AF679" s="191"/>
      <c r="AG679" s="189"/>
      <c r="AH679" s="191"/>
      <c r="AI679" s="189"/>
      <c r="AJ679" s="191"/>
      <c r="AK679" s="189"/>
      <c r="AL679" s="191"/>
      <c r="AN679" s="189"/>
      <c r="AO679" s="190"/>
      <c r="AP679" s="191"/>
      <c r="AR679" s="189"/>
      <c r="AS679" s="190"/>
      <c r="AT679" s="190"/>
      <c r="AU679" s="191"/>
    </row>
    <row r="680" spans="2:48" ht="20.25" customHeight="1" x14ac:dyDescent="0.2">
      <c r="B680" s="1009" t="s">
        <v>515</v>
      </c>
      <c r="C680" s="1009"/>
      <c r="E680" s="189"/>
      <c r="F680" s="191"/>
      <c r="G680" s="189"/>
      <c r="H680" s="191"/>
      <c r="I680" s="189"/>
      <c r="J680" s="191"/>
      <c r="K680" s="189"/>
      <c r="L680" s="191"/>
      <c r="M680" s="189"/>
      <c r="N680" s="191"/>
      <c r="P680" s="189"/>
      <c r="Q680" s="190"/>
      <c r="R680" s="191"/>
      <c r="T680" s="189"/>
      <c r="U680" s="190"/>
      <c r="V680" s="190"/>
      <c r="W680" s="191"/>
      <c r="X680" s="186"/>
      <c r="Z680" s="1009" t="s">
        <v>515</v>
      </c>
      <c r="AA680" s="1009"/>
      <c r="AC680" s="189"/>
      <c r="AD680" s="191"/>
      <c r="AE680" s="189"/>
      <c r="AF680" s="191"/>
      <c r="AG680" s="189"/>
      <c r="AH680" s="191"/>
      <c r="AI680" s="189"/>
      <c r="AJ680" s="191"/>
      <c r="AK680" s="189"/>
      <c r="AL680" s="191"/>
      <c r="AN680" s="189"/>
      <c r="AO680" s="190"/>
      <c r="AP680" s="191"/>
      <c r="AR680" s="189"/>
      <c r="AS680" s="190"/>
      <c r="AT680" s="190"/>
      <c r="AU680" s="191"/>
    </row>
    <row r="681" spans="2:48" ht="20.25" customHeight="1" x14ac:dyDescent="0.2">
      <c r="B681" s="1009" t="s">
        <v>516</v>
      </c>
      <c r="C681" s="1009"/>
      <c r="E681" s="189"/>
      <c r="F681" s="191"/>
      <c r="G681" s="189"/>
      <c r="H681" s="191"/>
      <c r="I681" s="189"/>
      <c r="J681" s="191"/>
      <c r="K681" s="189"/>
      <c r="L681" s="191"/>
      <c r="M681" s="189"/>
      <c r="N681" s="191"/>
      <c r="P681" s="189"/>
      <c r="Q681" s="190"/>
      <c r="R681" s="191"/>
      <c r="T681" s="189"/>
      <c r="U681" s="190"/>
      <c r="V681" s="190"/>
      <c r="W681" s="191"/>
      <c r="X681" s="186"/>
      <c r="Z681" s="1009" t="s">
        <v>516</v>
      </c>
      <c r="AA681" s="1009"/>
      <c r="AC681" s="189"/>
      <c r="AD681" s="191"/>
      <c r="AE681" s="189"/>
      <c r="AF681" s="191"/>
      <c r="AG681" s="189"/>
      <c r="AH681" s="191"/>
      <c r="AI681" s="189"/>
      <c r="AJ681" s="191"/>
      <c r="AK681" s="189"/>
      <c r="AL681" s="191"/>
      <c r="AN681" s="189"/>
      <c r="AO681" s="190"/>
      <c r="AP681" s="191"/>
      <c r="AR681" s="189"/>
      <c r="AS681" s="190"/>
      <c r="AT681" s="190"/>
      <c r="AU681" s="191"/>
    </row>
    <row r="682" spans="2:48" ht="20.25" customHeight="1" x14ac:dyDescent="0.2">
      <c r="B682" s="1009" t="s">
        <v>517</v>
      </c>
      <c r="C682" s="1009"/>
      <c r="E682" s="189"/>
      <c r="F682" s="191"/>
      <c r="G682" s="189"/>
      <c r="H682" s="191"/>
      <c r="I682" s="189"/>
      <c r="J682" s="191"/>
      <c r="K682" s="189"/>
      <c r="L682" s="191"/>
      <c r="M682" s="189"/>
      <c r="N682" s="191"/>
      <c r="P682" s="189"/>
      <c r="Q682" s="190"/>
      <c r="R682" s="191"/>
      <c r="T682" s="189"/>
      <c r="U682" s="190"/>
      <c r="V682" s="190"/>
      <c r="W682" s="191"/>
      <c r="X682" s="186"/>
      <c r="Z682" s="1009" t="s">
        <v>517</v>
      </c>
      <c r="AA682" s="1009"/>
      <c r="AC682" s="189"/>
      <c r="AD682" s="191"/>
      <c r="AE682" s="189"/>
      <c r="AF682" s="191"/>
      <c r="AG682" s="189"/>
      <c r="AH682" s="191"/>
      <c r="AI682" s="189"/>
      <c r="AJ682" s="191"/>
      <c r="AK682" s="189"/>
      <c r="AL682" s="191"/>
      <c r="AN682" s="189"/>
      <c r="AO682" s="190"/>
      <c r="AP682" s="191"/>
      <c r="AR682" s="189"/>
      <c r="AS682" s="190"/>
      <c r="AT682" s="190"/>
      <c r="AU682" s="191"/>
    </row>
    <row r="683" spans="2:48" ht="20.25" customHeight="1" x14ac:dyDescent="0.2">
      <c r="B683" s="1009" t="s">
        <v>518</v>
      </c>
      <c r="C683" s="1009"/>
      <c r="E683" s="189"/>
      <c r="F683" s="191"/>
      <c r="G683" s="189"/>
      <c r="H683" s="191"/>
      <c r="I683" s="189"/>
      <c r="J683" s="191"/>
      <c r="K683" s="189"/>
      <c r="L683" s="191"/>
      <c r="M683" s="189"/>
      <c r="N683" s="191"/>
      <c r="P683" s="189"/>
      <c r="Q683" s="190"/>
      <c r="R683" s="191"/>
      <c r="T683" s="189"/>
      <c r="U683" s="190"/>
      <c r="V683" s="190"/>
      <c r="W683" s="191"/>
      <c r="X683" s="186"/>
      <c r="Z683" s="1009" t="s">
        <v>518</v>
      </c>
      <c r="AA683" s="1009"/>
      <c r="AC683" s="189"/>
      <c r="AD683" s="191"/>
      <c r="AE683" s="189"/>
      <c r="AF683" s="191"/>
      <c r="AG683" s="189"/>
      <c r="AH683" s="191"/>
      <c r="AI683" s="189"/>
      <c r="AJ683" s="191"/>
      <c r="AK683" s="189"/>
      <c r="AL683" s="191"/>
      <c r="AN683" s="189"/>
      <c r="AO683" s="190"/>
      <c r="AP683" s="191"/>
      <c r="AR683" s="189"/>
      <c r="AS683" s="190"/>
      <c r="AT683" s="190"/>
      <c r="AU683" s="191"/>
    </row>
    <row r="684" spans="2:48" ht="15.75" thickBot="1" x14ac:dyDescent="0.25">
      <c r="B684" s="187"/>
      <c r="C684" s="187"/>
      <c r="X684" s="186"/>
      <c r="Z684" s="187"/>
      <c r="AA684" s="187"/>
    </row>
    <row r="685" spans="2:48" ht="20.25" customHeight="1" thickBot="1" x14ac:dyDescent="0.25">
      <c r="P685" s="197" t="s">
        <v>519</v>
      </c>
      <c r="Q685" s="197"/>
      <c r="R685" s="197"/>
      <c r="S685" s="197"/>
      <c r="T685" s="192"/>
      <c r="U685" s="193"/>
      <c r="V685" s="193"/>
      <c r="W685" s="194"/>
      <c r="X685" s="186"/>
      <c r="AN685" s="197" t="s">
        <v>519</v>
      </c>
      <c r="AO685" s="197"/>
      <c r="AP685" s="197"/>
      <c r="AQ685" s="197"/>
      <c r="AR685" s="192"/>
      <c r="AS685" s="193"/>
      <c r="AT685" s="193"/>
      <c r="AU685" s="194"/>
    </row>
    <row r="686" spans="2:48" x14ac:dyDescent="0.2">
      <c r="E686" s="196"/>
      <c r="F686" s="196"/>
      <c r="G686" s="196"/>
      <c r="H686" s="196"/>
      <c r="I686" s="196"/>
      <c r="J686" s="196"/>
      <c r="K686" s="196"/>
      <c r="L686" s="196"/>
      <c r="M686" s="196"/>
      <c r="X686" s="186"/>
      <c r="AC686" s="196"/>
      <c r="AD686" s="196"/>
      <c r="AE686" s="196"/>
      <c r="AF686" s="196"/>
      <c r="AG686" s="196"/>
      <c r="AH686" s="196"/>
      <c r="AI686" s="196"/>
      <c r="AJ686" s="196"/>
      <c r="AK686" s="196"/>
    </row>
    <row r="687" spans="2:48" x14ac:dyDescent="0.2">
      <c r="B687" s="1010" t="s">
        <v>521</v>
      </c>
      <c r="C687" s="1010"/>
      <c r="D687" s="1010"/>
      <c r="E687" s="1010"/>
      <c r="F687" s="1010"/>
      <c r="G687" s="1010"/>
      <c r="H687" s="195"/>
      <c r="I687" s="1004" t="s">
        <v>522</v>
      </c>
      <c r="J687" s="1004"/>
      <c r="K687" s="1004"/>
      <c r="L687" s="1004"/>
      <c r="M687" s="1004"/>
      <c r="N687" s="1004"/>
      <c r="O687" s="1004"/>
      <c r="P687" s="1004"/>
      <c r="Q687" s="1004"/>
      <c r="R687" s="1004"/>
      <c r="S687" s="1004"/>
      <c r="T687" s="1004"/>
      <c r="U687" s="1004"/>
      <c r="V687" s="1004"/>
      <c r="W687" s="1004"/>
      <c r="X687" s="198"/>
      <c r="Y687" s="195"/>
      <c r="Z687" s="1010" t="s">
        <v>521</v>
      </c>
      <c r="AA687" s="1010"/>
      <c r="AB687" s="1010"/>
      <c r="AC687" s="1010"/>
      <c r="AD687" s="1010"/>
      <c r="AE687" s="1010"/>
      <c r="AF687" s="195"/>
      <c r="AG687" s="1004" t="s">
        <v>522</v>
      </c>
      <c r="AH687" s="1004"/>
      <c r="AI687" s="1004"/>
      <c r="AJ687" s="1004"/>
      <c r="AK687" s="1004"/>
      <c r="AL687" s="1004"/>
      <c r="AM687" s="1004"/>
      <c r="AN687" s="1004"/>
      <c r="AO687" s="1004"/>
      <c r="AP687" s="1004"/>
      <c r="AQ687" s="1004"/>
      <c r="AR687" s="1004"/>
      <c r="AS687" s="1004"/>
      <c r="AT687" s="1004"/>
      <c r="AU687" s="1004"/>
      <c r="AV687" s="195"/>
    </row>
    <row r="688" spans="2:48" x14ac:dyDescent="0.2">
      <c r="B688" s="1005" t="s">
        <v>520</v>
      </c>
      <c r="C688" s="1006"/>
      <c r="D688" s="1006"/>
      <c r="E688" s="1006"/>
      <c r="F688" s="1006"/>
      <c r="G688" s="1007"/>
      <c r="I688" s="1005" t="s">
        <v>0</v>
      </c>
      <c r="J688" s="1006"/>
      <c r="K688" s="1006"/>
      <c r="L688" s="1006"/>
      <c r="M688" s="1006"/>
      <c r="N688" s="1006"/>
      <c r="O688" s="1006"/>
      <c r="P688" s="1006"/>
      <c r="Q688" s="1006"/>
      <c r="R688" s="1006"/>
      <c r="S688" s="1006"/>
      <c r="T688" s="1006"/>
      <c r="U688" s="1006"/>
      <c r="V688" s="1006"/>
      <c r="W688" s="1007"/>
      <c r="X688" s="186"/>
      <c r="Z688" s="1005" t="s">
        <v>520</v>
      </c>
      <c r="AA688" s="1006"/>
      <c r="AB688" s="1006"/>
      <c r="AC688" s="1006"/>
      <c r="AD688" s="1006"/>
      <c r="AE688" s="1007"/>
      <c r="AG688" s="1005" t="s">
        <v>0</v>
      </c>
      <c r="AH688" s="1006"/>
      <c r="AI688" s="1006"/>
      <c r="AJ688" s="1006"/>
      <c r="AK688" s="1006"/>
      <c r="AL688" s="1006"/>
      <c r="AM688" s="1006"/>
      <c r="AN688" s="1006"/>
      <c r="AO688" s="1006"/>
      <c r="AP688" s="1006"/>
      <c r="AQ688" s="1006"/>
      <c r="AR688" s="1006"/>
      <c r="AS688" s="1006"/>
      <c r="AT688" s="1006"/>
      <c r="AU688" s="1007"/>
    </row>
    <row r="689" spans="2:48" x14ac:dyDescent="0.2">
      <c r="B689" s="199"/>
      <c r="C689" s="200"/>
      <c r="D689" s="200"/>
      <c r="E689" s="200"/>
      <c r="F689" s="200"/>
      <c r="G689" s="201"/>
      <c r="I689" s="199"/>
      <c r="J689" s="200"/>
      <c r="K689" s="200"/>
      <c r="L689" s="200"/>
      <c r="M689" s="200"/>
      <c r="N689" s="200"/>
      <c r="O689" s="200"/>
      <c r="P689" s="200"/>
      <c r="Q689" s="200"/>
      <c r="R689" s="200"/>
      <c r="S689" s="200"/>
      <c r="T689" s="200"/>
      <c r="U689" s="200"/>
      <c r="V689" s="200"/>
      <c r="W689" s="201"/>
      <c r="X689" s="186"/>
      <c r="Z689" s="199"/>
      <c r="AA689" s="200"/>
      <c r="AB689" s="200"/>
      <c r="AC689" s="200"/>
      <c r="AD689" s="200"/>
      <c r="AE689" s="201"/>
      <c r="AG689" s="199"/>
      <c r="AH689" s="200"/>
      <c r="AI689" s="200"/>
      <c r="AJ689" s="200"/>
      <c r="AK689" s="200"/>
      <c r="AL689" s="200"/>
      <c r="AM689" s="200"/>
      <c r="AN689" s="200"/>
      <c r="AO689" s="200"/>
      <c r="AP689" s="200"/>
      <c r="AQ689" s="200"/>
      <c r="AR689" s="200"/>
      <c r="AS689" s="200"/>
      <c r="AT689" s="200"/>
      <c r="AU689" s="201"/>
    </row>
    <row r="690" spans="2:48" x14ac:dyDescent="0.2">
      <c r="X690" s="186"/>
    </row>
    <row r="691" spans="2:48" x14ac:dyDescent="0.2">
      <c r="I691" s="1005" t="s">
        <v>481</v>
      </c>
      <c r="J691" s="1006"/>
      <c r="K691" s="1006"/>
      <c r="L691" s="1006"/>
      <c r="M691" s="1006"/>
      <c r="N691" s="1006"/>
      <c r="O691" s="1006"/>
      <c r="P691" s="1006"/>
      <c r="Q691" s="1007"/>
      <c r="R691" s="1005" t="s">
        <v>520</v>
      </c>
      <c r="S691" s="1006"/>
      <c r="T691" s="1006"/>
      <c r="U691" s="1006"/>
      <c r="V691" s="1006"/>
      <c r="W691" s="1007"/>
      <c r="X691" s="186"/>
      <c r="AG691" s="1005" t="s">
        <v>481</v>
      </c>
      <c r="AH691" s="1006"/>
      <c r="AI691" s="1006"/>
      <c r="AJ691" s="1006"/>
      <c r="AK691" s="1006"/>
      <c r="AL691" s="1006"/>
      <c r="AM691" s="1006"/>
      <c r="AN691" s="1006"/>
      <c r="AO691" s="1007"/>
      <c r="AP691" s="1005" t="s">
        <v>520</v>
      </c>
      <c r="AQ691" s="1006"/>
      <c r="AR691" s="1006"/>
      <c r="AS691" s="1006"/>
      <c r="AT691" s="1006"/>
      <c r="AU691" s="1007"/>
    </row>
    <row r="692" spans="2:48" x14ac:dyDescent="0.2">
      <c r="I692" s="199"/>
      <c r="J692" s="200"/>
      <c r="K692" s="200"/>
      <c r="L692" s="200"/>
      <c r="M692" s="200"/>
      <c r="N692" s="200"/>
      <c r="O692" s="200"/>
      <c r="P692" s="200"/>
      <c r="Q692" s="200"/>
      <c r="R692" s="199"/>
      <c r="S692" s="200"/>
      <c r="T692" s="200"/>
      <c r="U692" s="200"/>
      <c r="V692" s="200"/>
      <c r="W692" s="201"/>
      <c r="X692" s="186"/>
      <c r="AG692" s="199"/>
      <c r="AH692" s="200"/>
      <c r="AI692" s="200"/>
      <c r="AJ692" s="200"/>
      <c r="AK692" s="200"/>
      <c r="AL692" s="200"/>
      <c r="AM692" s="200"/>
      <c r="AN692" s="200"/>
      <c r="AO692" s="200"/>
      <c r="AP692" s="199"/>
      <c r="AQ692" s="200"/>
      <c r="AR692" s="200"/>
      <c r="AS692" s="200"/>
      <c r="AT692" s="200"/>
      <c r="AU692" s="201"/>
    </row>
    <row r="694" spans="2:48" ht="57.75" customHeight="1" x14ac:dyDescent="0.2">
      <c r="B694" s="1058" t="str">
        <f>Championnat</f>
        <v>Championnat de France de Tir à l'ARC</v>
      </c>
      <c r="C694" s="1058"/>
      <c r="D694" s="1058"/>
      <c r="E694" s="1058"/>
      <c r="F694" s="1058"/>
      <c r="G694" s="1058"/>
      <c r="H694" s="1058"/>
      <c r="I694" s="1058"/>
      <c r="J694" s="1058"/>
      <c r="K694" s="1058"/>
      <c r="L694" s="1058"/>
      <c r="M694" s="1058"/>
      <c r="N694" s="1058"/>
      <c r="O694" s="1058"/>
      <c r="P694" s="1058"/>
      <c r="Q694" s="1058"/>
      <c r="R694" s="1058"/>
      <c r="S694" s="1058"/>
      <c r="T694" s="1058"/>
      <c r="U694" s="1058"/>
      <c r="V694" s="1058"/>
      <c r="W694" s="1058"/>
      <c r="X694" s="1058"/>
      <c r="Y694" s="1058"/>
      <c r="Z694" s="1058"/>
      <c r="AA694" s="1058"/>
      <c r="AB694" s="1058"/>
      <c r="AC694" s="1058"/>
      <c r="AD694" s="1058"/>
      <c r="AE694" s="1058"/>
      <c r="AF694" s="1058"/>
      <c r="AG694" s="1058"/>
      <c r="AH694" s="1058"/>
      <c r="AI694" s="1058"/>
      <c r="AJ694" s="1058"/>
      <c r="AK694" s="1058"/>
      <c r="AL694" s="1058"/>
      <c r="AM694" s="1058"/>
      <c r="AN694" s="1058"/>
      <c r="AO694" s="1058"/>
      <c r="AP694" s="1058"/>
    </row>
    <row r="695" spans="2:48" ht="45" customHeight="1" thickBot="1" x14ac:dyDescent="0.25">
      <c r="B695" s="1018" t="str">
        <f>LIEU&amp;" - "&amp;DATE&amp;" - "&amp;CATEG</f>
        <v>L’Isle sur la Sorgue - 27 au 31 mars 2023 - Collèges Mixtes Etablissement</v>
      </c>
      <c r="C695" s="1018"/>
      <c r="D695" s="1018"/>
      <c r="E695" s="1018"/>
      <c r="F695" s="1018"/>
      <c r="G695" s="1018"/>
      <c r="H695" s="1018"/>
      <c r="I695" s="1018"/>
      <c r="J695" s="1018"/>
      <c r="K695" s="1018"/>
      <c r="L695" s="1018"/>
      <c r="M695" s="1018"/>
      <c r="N695" s="1018"/>
      <c r="O695" s="1018"/>
      <c r="P695" s="1018"/>
      <c r="Q695" s="1018"/>
      <c r="R695" s="1018"/>
      <c r="S695" s="1018"/>
      <c r="T695" s="1018"/>
      <c r="U695" s="1018"/>
      <c r="V695" s="1018"/>
      <c r="W695" s="1018"/>
      <c r="X695" s="1018"/>
      <c r="Y695" s="1018"/>
      <c r="Z695" s="1018"/>
      <c r="AA695" s="1018"/>
      <c r="AB695" s="1018"/>
      <c r="AC695" s="1018"/>
      <c r="AD695" s="1018"/>
      <c r="AE695" s="1018"/>
      <c r="AF695" s="1018"/>
      <c r="AG695" s="1018"/>
      <c r="AH695" s="1018"/>
      <c r="AI695" s="1018"/>
      <c r="AJ695" s="1018"/>
      <c r="AK695" s="1018"/>
      <c r="AL695" s="1018"/>
      <c r="AM695" s="1018"/>
      <c r="AN695" s="1018"/>
      <c r="AO695" s="1018"/>
      <c r="AP695" s="1018"/>
      <c r="AQ695" s="182"/>
      <c r="AR695" s="182"/>
      <c r="AS695" s="182"/>
      <c r="AT695" s="182"/>
      <c r="AU695" s="182"/>
      <c r="AV695" s="182"/>
    </row>
    <row r="696" spans="2:48" ht="26.25" customHeight="1" x14ac:dyDescent="0.2">
      <c r="B696" s="1059" t="str">
        <f>CATEG_IMPORTEE</f>
        <v>Collèges Mixtes Etablissement</v>
      </c>
      <c r="C696" s="1059"/>
      <c r="D696" s="1059"/>
      <c r="E696" s="1059"/>
      <c r="F696" s="1059"/>
      <c r="G696" s="1059"/>
      <c r="H696" s="1059"/>
      <c r="I696" s="1059"/>
      <c r="J696" s="1059"/>
      <c r="K696" s="1059"/>
      <c r="L696" s="1059"/>
      <c r="M696" s="1059"/>
      <c r="N696" s="1059"/>
      <c r="O696" s="1059"/>
      <c r="P696" s="1059"/>
      <c r="Q696" s="1059"/>
      <c r="R696" s="1059"/>
      <c r="S696" s="1059"/>
      <c r="T696" s="1059"/>
      <c r="U696" s="1059"/>
      <c r="V696" s="1059"/>
      <c r="W696" s="1059"/>
      <c r="X696" s="1059"/>
      <c r="Y696" s="1059"/>
      <c r="Z696" s="1059"/>
      <c r="AA696" s="1059"/>
      <c r="AB696" s="1059"/>
      <c r="AC696" s="1059"/>
      <c r="AD696" s="1059"/>
      <c r="AE696" s="1059"/>
      <c r="AF696" s="1059"/>
      <c r="AG696" s="1059"/>
      <c r="AH696" s="1059"/>
      <c r="AI696" s="1059"/>
      <c r="AJ696" s="1059"/>
      <c r="AK696" s="1059"/>
      <c r="AL696" s="1059"/>
      <c r="AM696" s="1059"/>
      <c r="AN696" s="1059"/>
      <c r="AO696" s="1059"/>
      <c r="AP696" s="1059"/>
      <c r="AQ696" s="182"/>
      <c r="AR696" s="1060">
        <f>AR633+1</f>
        <v>12</v>
      </c>
      <c r="AS696" s="1061"/>
      <c r="AT696" s="1062"/>
      <c r="AU696" s="182"/>
      <c r="AV696" s="182"/>
    </row>
    <row r="697" spans="2:48" ht="18" customHeight="1" x14ac:dyDescent="0.2">
      <c r="B697" s="182"/>
      <c r="C697" s="182"/>
      <c r="D697" s="182"/>
      <c r="E697" s="182"/>
      <c r="F697" s="182"/>
      <c r="G697" s="182"/>
      <c r="H697" s="182"/>
      <c r="I697" s="182"/>
      <c r="J697" s="182"/>
      <c r="K697" s="182"/>
      <c r="L697" s="182"/>
      <c r="M697" s="182"/>
      <c r="N697" s="182"/>
      <c r="O697" s="182"/>
      <c r="P697" s="182"/>
      <c r="Q697" s="182"/>
      <c r="R697" s="182"/>
      <c r="S697" s="182"/>
      <c r="T697" s="182"/>
      <c r="U697" s="182"/>
      <c r="V697" s="182"/>
      <c r="W697" s="182"/>
      <c r="X697" s="183"/>
      <c r="Y697" s="184"/>
      <c r="Z697" s="182"/>
      <c r="AA697" s="182"/>
      <c r="AB697" s="182"/>
      <c r="AC697" s="182"/>
      <c r="AD697" s="182"/>
      <c r="AE697" s="182"/>
      <c r="AF697" s="182"/>
      <c r="AG697" s="182"/>
      <c r="AH697" s="182"/>
      <c r="AI697" s="182"/>
      <c r="AJ697" s="182"/>
      <c r="AK697" s="182"/>
      <c r="AL697" s="182"/>
      <c r="AM697" s="182"/>
      <c r="AN697" s="182"/>
      <c r="AO697" s="182"/>
      <c r="AP697" s="182"/>
      <c r="AQ697" s="182"/>
      <c r="AR697" s="1063"/>
      <c r="AS697" s="1064"/>
      <c r="AT697" s="1065"/>
      <c r="AU697" s="182"/>
      <c r="AV697" s="182"/>
    </row>
    <row r="698" spans="2:48" ht="18.75" customHeight="1" thickBot="1" x14ac:dyDescent="0.25">
      <c r="B698" s="182"/>
      <c r="C698" s="182"/>
      <c r="D698" s="182"/>
      <c r="E698" s="182"/>
      <c r="F698" s="182"/>
      <c r="G698" s="182"/>
      <c r="H698" s="992" t="s">
        <v>374</v>
      </c>
      <c r="I698" s="992"/>
      <c r="J698" s="992"/>
      <c r="K698" s="992"/>
      <c r="L698" s="992"/>
      <c r="M698" s="992"/>
      <c r="N698" s="992"/>
      <c r="O698" s="992"/>
      <c r="P698" s="992"/>
      <c r="Q698" s="992"/>
      <c r="R698" s="182"/>
      <c r="S698" s="182"/>
      <c r="T698" s="182"/>
      <c r="U698" s="182"/>
      <c r="V698" s="182"/>
      <c r="W698" s="182"/>
      <c r="X698" s="183"/>
      <c r="Y698" s="182"/>
      <c r="Z698" s="182"/>
      <c r="AA698" s="182"/>
      <c r="AB698" s="182"/>
      <c r="AC698" s="182"/>
      <c r="AD698" s="182"/>
      <c r="AE698" s="992" t="s">
        <v>374</v>
      </c>
      <c r="AF698" s="992"/>
      <c r="AG698" s="992"/>
      <c r="AH698" s="992"/>
      <c r="AI698" s="992"/>
      <c r="AJ698" s="992"/>
      <c r="AK698" s="992"/>
      <c r="AL698" s="992"/>
      <c r="AM698" s="992"/>
      <c r="AN698" s="992"/>
      <c r="AO698" s="182"/>
      <c r="AP698" s="182"/>
      <c r="AQ698" s="182"/>
      <c r="AR698" s="1066"/>
      <c r="AS698" s="1067"/>
      <c r="AT698" s="1068"/>
      <c r="AU698" s="182"/>
      <c r="AV698" s="182"/>
    </row>
    <row r="699" spans="2:48" ht="18" x14ac:dyDescent="0.2">
      <c r="B699" s="182"/>
      <c r="C699" s="182"/>
      <c r="D699" s="182"/>
      <c r="E699" s="182"/>
      <c r="F699" s="182"/>
      <c r="G699" s="182"/>
      <c r="H699" s="1022" t="e">
        <f>VLOOKUP(U708,ID_archer_cible,4,FALSE)</f>
        <v>#N/A</v>
      </c>
      <c r="I699" s="1023"/>
      <c r="J699" s="1023"/>
      <c r="K699" s="1023"/>
      <c r="L699" s="1023"/>
      <c r="M699" s="1023"/>
      <c r="N699" s="1023"/>
      <c r="O699" s="1023"/>
      <c r="P699" s="1023"/>
      <c r="Q699" s="1024"/>
      <c r="R699" s="182"/>
      <c r="S699" s="182"/>
      <c r="T699" s="182"/>
      <c r="U699" s="182"/>
      <c r="V699" s="182"/>
      <c r="W699" s="182"/>
      <c r="X699" s="183"/>
      <c r="Y699" s="182"/>
      <c r="Z699" s="182"/>
      <c r="AA699" s="182"/>
      <c r="AB699" s="182"/>
      <c r="AC699" s="182"/>
      <c r="AD699" s="182"/>
      <c r="AE699" s="1022" t="e">
        <f>VLOOKUP(AS708,ID_archer_cible,4,FALSE)</f>
        <v>#N/A</v>
      </c>
      <c r="AF699" s="1023"/>
      <c r="AG699" s="1023"/>
      <c r="AH699" s="1023"/>
      <c r="AI699" s="1023"/>
      <c r="AJ699" s="1023"/>
      <c r="AK699" s="1023"/>
      <c r="AL699" s="1023"/>
      <c r="AM699" s="1023"/>
      <c r="AN699" s="1024"/>
      <c r="AO699" s="182"/>
      <c r="AP699" s="182"/>
      <c r="AQ699" s="182"/>
      <c r="AR699" s="182"/>
      <c r="AS699" s="182"/>
      <c r="AT699" s="182"/>
      <c r="AU699" s="182"/>
      <c r="AV699" s="182"/>
    </row>
    <row r="700" spans="2:48" x14ac:dyDescent="0.2">
      <c r="X700" s="186"/>
    </row>
    <row r="701" spans="2:48" x14ac:dyDescent="0.2">
      <c r="B701" s="1021" t="s">
        <v>0</v>
      </c>
      <c r="C701" s="1021"/>
      <c r="D701" s="1021"/>
      <c r="E701" s="1021"/>
      <c r="F701" s="1021"/>
      <c r="G701" s="1021"/>
      <c r="H701" s="1021"/>
      <c r="I701" s="1021"/>
      <c r="J701" s="1021"/>
      <c r="K701" s="1021"/>
      <c r="L701" s="1021"/>
      <c r="M701" s="187"/>
      <c r="P701" s="992" t="s">
        <v>375</v>
      </c>
      <c r="Q701" s="992"/>
      <c r="R701" s="992"/>
      <c r="S701" s="992"/>
      <c r="T701" s="992"/>
      <c r="U701" s="992"/>
      <c r="V701" s="992"/>
      <c r="W701" s="992"/>
      <c r="X701" s="188"/>
      <c r="Z701" s="1021" t="s">
        <v>0</v>
      </c>
      <c r="AA701" s="1021"/>
      <c r="AB701" s="1021"/>
      <c r="AC701" s="1021"/>
      <c r="AD701" s="1021"/>
      <c r="AE701" s="1021"/>
      <c r="AF701" s="1021"/>
      <c r="AG701" s="1021"/>
      <c r="AH701" s="1021"/>
      <c r="AI701" s="1021"/>
      <c r="AJ701" s="1021"/>
      <c r="AK701" s="187"/>
      <c r="AN701" s="992" t="s">
        <v>375</v>
      </c>
      <c r="AO701" s="992"/>
      <c r="AP701" s="992"/>
      <c r="AQ701" s="992"/>
      <c r="AR701" s="992"/>
      <c r="AS701" s="992"/>
      <c r="AT701" s="992"/>
      <c r="AU701" s="992"/>
      <c r="AV701" s="187"/>
    </row>
    <row r="702" spans="2:48" x14ac:dyDescent="0.2">
      <c r="B702" s="999" t="e">
        <f>VLOOKUP(U708,ID_archer_cible,2,FALSE)</f>
        <v>#N/A</v>
      </c>
      <c r="C702" s="1000"/>
      <c r="D702" s="1000"/>
      <c r="E702" s="1000"/>
      <c r="F702" s="1000"/>
      <c r="G702" s="1000"/>
      <c r="H702" s="1000"/>
      <c r="I702" s="1000"/>
      <c r="J702" s="1000"/>
      <c r="K702" s="1000"/>
      <c r="L702" s="1000"/>
      <c r="M702" s="1001"/>
      <c r="P702" s="999" t="e">
        <f>VLOOKUP(U708,ID_archer_cible,3,FALSE)</f>
        <v>#N/A</v>
      </c>
      <c r="Q702" s="1000"/>
      <c r="R702" s="1000"/>
      <c r="S702" s="1000"/>
      <c r="T702" s="1000"/>
      <c r="U702" s="1000"/>
      <c r="V702" s="1000"/>
      <c r="W702" s="1001"/>
      <c r="X702" s="186"/>
      <c r="Y702"/>
      <c r="Z702" s="999" t="e">
        <f>VLOOKUP(AS708,ID_archer_cible,2,FALSE)</f>
        <v>#N/A</v>
      </c>
      <c r="AA702" s="1000"/>
      <c r="AB702" s="1000"/>
      <c r="AC702" s="1000"/>
      <c r="AD702" s="1000"/>
      <c r="AE702" s="1000"/>
      <c r="AF702" s="1000"/>
      <c r="AG702" s="1000"/>
      <c r="AH702" s="1000"/>
      <c r="AI702" s="1000"/>
      <c r="AJ702" s="1000"/>
      <c r="AK702" s="1001"/>
      <c r="AN702" s="999" t="e">
        <f>VLOOKUP(AS708,ID_archer_cible,3,FALSE)</f>
        <v>#N/A</v>
      </c>
      <c r="AO702" s="1000"/>
      <c r="AP702" s="1000"/>
      <c r="AQ702" s="1000"/>
      <c r="AR702" s="1000"/>
      <c r="AS702" s="1000"/>
      <c r="AT702" s="1000"/>
      <c r="AU702" s="1001"/>
    </row>
    <row r="703" spans="2:48" x14ac:dyDescent="0.2">
      <c r="X703" s="186"/>
      <c r="Y703"/>
    </row>
    <row r="704" spans="2:48" ht="16.5" thickBot="1" x14ac:dyDescent="0.25">
      <c r="B704" s="1017" t="s">
        <v>1</v>
      </c>
      <c r="C704" s="1017"/>
      <c r="D704" s="1017"/>
      <c r="E704" s="1017"/>
      <c r="F704" s="1017"/>
      <c r="G704" s="1017"/>
      <c r="H704" s="1017"/>
      <c r="I704" s="1017"/>
      <c r="J704" s="1017"/>
      <c r="L704" s="1017" t="s">
        <v>505</v>
      </c>
      <c r="M704" s="1017"/>
      <c r="N704" s="1017"/>
      <c r="O704" s="1017"/>
      <c r="P704" s="1017"/>
      <c r="Q704" s="1017"/>
      <c r="S704" s="992" t="s">
        <v>506</v>
      </c>
      <c r="T704" s="992"/>
      <c r="U704" s="992"/>
      <c r="V704" s="992"/>
      <c r="W704" s="992"/>
      <c r="X704" s="188"/>
      <c r="Y704"/>
      <c r="Z704" s="1017" t="s">
        <v>1</v>
      </c>
      <c r="AA704" s="1017"/>
      <c r="AB704" s="1017"/>
      <c r="AC704" s="1017"/>
      <c r="AD704" s="1017"/>
      <c r="AE704" s="1017"/>
      <c r="AF704" s="1017"/>
      <c r="AG704" s="1017"/>
      <c r="AH704" s="1017"/>
      <c r="AJ704" s="1017" t="s">
        <v>505</v>
      </c>
      <c r="AK704" s="1017"/>
      <c r="AL704" s="1017"/>
      <c r="AM704" s="1017"/>
      <c r="AN704" s="1017"/>
      <c r="AO704" s="1017"/>
      <c r="AQ704" s="992" t="s">
        <v>506</v>
      </c>
      <c r="AR704" s="992"/>
      <c r="AS704" s="992"/>
      <c r="AT704" s="992"/>
      <c r="AU704" s="992"/>
      <c r="AV704" s="187"/>
    </row>
    <row r="705" spans="2:48" ht="16.5" thickBot="1" x14ac:dyDescent="0.25">
      <c r="B705" s="1014" t="e">
        <f>VLOOKUP(U708,ID_archer_cible,5,FALSE)</f>
        <v>#N/A</v>
      </c>
      <c r="C705" s="1015"/>
      <c r="D705" s="1015"/>
      <c r="E705" s="1015"/>
      <c r="F705" s="1015"/>
      <c r="G705" s="1015"/>
      <c r="H705" s="1015"/>
      <c r="I705" s="1015"/>
      <c r="J705" s="1016"/>
      <c r="L705" s="1014" t="e">
        <f>VLOOKUP(U708,ID_archer_cible,6,FALSE)</f>
        <v>#N/A</v>
      </c>
      <c r="M705" s="1015"/>
      <c r="N705" s="1015"/>
      <c r="O705" s="1015"/>
      <c r="P705" s="1015"/>
      <c r="Q705" s="1016"/>
      <c r="S705" s="999" t="e">
        <f>VLOOKUP(U708,ID_archer_cible,8,FALSE)</f>
        <v>#N/A</v>
      </c>
      <c r="T705" s="1000"/>
      <c r="U705" s="1000"/>
      <c r="V705" s="1000"/>
      <c r="W705" s="1001"/>
      <c r="X705" s="186"/>
      <c r="Y705"/>
      <c r="Z705" s="1014" t="e">
        <f>VLOOKUP(AS708,ID_archer_cible,5,FALSE)</f>
        <v>#N/A</v>
      </c>
      <c r="AA705" s="1015"/>
      <c r="AB705" s="1015"/>
      <c r="AC705" s="1015"/>
      <c r="AD705" s="1015"/>
      <c r="AE705" s="1015"/>
      <c r="AF705" s="1015"/>
      <c r="AG705" s="1015"/>
      <c r="AH705" s="1016"/>
      <c r="AJ705" s="1014" t="e">
        <f>VLOOKUP(AS708,ID_archer_cible,6,FALSE)</f>
        <v>#N/A</v>
      </c>
      <c r="AK705" s="1015"/>
      <c r="AL705" s="1015"/>
      <c r="AM705" s="1015"/>
      <c r="AN705" s="1015"/>
      <c r="AO705" s="1016"/>
      <c r="AQ705" s="999" t="e">
        <f>VLOOKUP(AS708,ID_archer_cible,8,FALSE)</f>
        <v>#N/A</v>
      </c>
      <c r="AR705" s="1000"/>
      <c r="AS705" s="1000"/>
      <c r="AT705" s="1000"/>
      <c r="AU705" s="1001"/>
    </row>
    <row r="706" spans="2:48" x14ac:dyDescent="0.2">
      <c r="X706" s="186"/>
      <c r="Y706"/>
    </row>
    <row r="707" spans="2:48" x14ac:dyDescent="0.2">
      <c r="B707" s="992" t="s">
        <v>530</v>
      </c>
      <c r="C707" s="992"/>
      <c r="D707" s="992"/>
      <c r="E707" s="992"/>
      <c r="F707" s="992"/>
      <c r="G707" s="187"/>
      <c r="H707" s="992" t="s">
        <v>504</v>
      </c>
      <c r="I707" s="992"/>
      <c r="J707" s="992"/>
      <c r="K707" s="992"/>
      <c r="M707" s="992" t="s">
        <v>39</v>
      </c>
      <c r="N707" s="992"/>
      <c r="O707" s="992"/>
      <c r="Q707" s="1021"/>
      <c r="R707" s="1021"/>
      <c r="S707" s="1021"/>
      <c r="U707" s="992" t="s">
        <v>507</v>
      </c>
      <c r="V707" s="992"/>
      <c r="W707" s="992"/>
      <c r="X707" s="188"/>
      <c r="Y707"/>
      <c r="Z707" s="992" t="s">
        <v>530</v>
      </c>
      <c r="AA707" s="992"/>
      <c r="AB707" s="992"/>
      <c r="AC707" s="992"/>
      <c r="AD707" s="992"/>
      <c r="AE707" s="187"/>
      <c r="AF707" s="992" t="s">
        <v>504</v>
      </c>
      <c r="AG707" s="992"/>
      <c r="AH707" s="992"/>
      <c r="AI707" s="992"/>
      <c r="AK707" s="992" t="s">
        <v>39</v>
      </c>
      <c r="AL707" s="992"/>
      <c r="AM707" s="992"/>
      <c r="AO707" s="1021"/>
      <c r="AP707" s="1021"/>
      <c r="AQ707" s="1021"/>
      <c r="AS707" s="992" t="s">
        <v>507</v>
      </c>
      <c r="AT707" s="992"/>
      <c r="AU707" s="992"/>
      <c r="AV707" s="187"/>
    </row>
    <row r="708" spans="2:48" ht="15.75" x14ac:dyDescent="0.2">
      <c r="B708" s="1011" t="e">
        <f>VLOOKUP(U708,ID_archer_cible,7,FALSE)</f>
        <v>#N/A</v>
      </c>
      <c r="C708" s="1012"/>
      <c r="D708" s="1012"/>
      <c r="E708" s="1012"/>
      <c r="F708" s="1013"/>
      <c r="H708" s="999" t="e">
        <f>VLOOKUP(U708,ID_archer_cible,9,FALSE)</f>
        <v>#N/A</v>
      </c>
      <c r="I708" s="1000"/>
      <c r="J708" s="1000"/>
      <c r="K708" s="1001"/>
      <c r="M708" s="999" t="e">
        <f>VLOOKUP(U708,ID_archer_cible,10,FALSE)</f>
        <v>#N/A</v>
      </c>
      <c r="N708" s="1000"/>
      <c r="O708" s="1001"/>
      <c r="Q708" s="1021"/>
      <c r="R708" s="1021"/>
      <c r="S708" s="1021"/>
      <c r="T708" s="187"/>
      <c r="U708" s="996" t="str">
        <f>AR696&amp;"A"</f>
        <v>12A</v>
      </c>
      <c r="V708" s="997"/>
      <c r="W708" s="998"/>
      <c r="X708" s="188"/>
      <c r="Y708"/>
      <c r="Z708" s="1011" t="e">
        <f>VLOOKUP(AS708,ID_archer_cible,7,FALSE)</f>
        <v>#N/A</v>
      </c>
      <c r="AA708" s="1012"/>
      <c r="AB708" s="1012"/>
      <c r="AC708" s="1012"/>
      <c r="AD708" s="1013"/>
      <c r="AF708" s="999" t="e">
        <f>VLOOKUP(AS708,ID_archer_cible,9,FALSE)</f>
        <v>#N/A</v>
      </c>
      <c r="AG708" s="1000"/>
      <c r="AH708" s="1000"/>
      <c r="AI708" s="1001"/>
      <c r="AK708" s="999" t="e">
        <f>VLOOKUP(AS708,ID_archer_cible,10,FALSE)</f>
        <v>#N/A</v>
      </c>
      <c r="AL708" s="1000"/>
      <c r="AM708" s="1001"/>
      <c r="AO708" s="1021"/>
      <c r="AP708" s="1021"/>
      <c r="AQ708" s="1021"/>
      <c r="AR708" s="187"/>
      <c r="AS708" s="996" t="str">
        <f>AR696&amp;"B"</f>
        <v>12B</v>
      </c>
      <c r="AT708" s="997"/>
      <c r="AU708" s="998"/>
      <c r="AV708" s="187"/>
    </row>
    <row r="709" spans="2:48" x14ac:dyDescent="0.2">
      <c r="X709" s="186"/>
    </row>
    <row r="710" spans="2:48" x14ac:dyDescent="0.2">
      <c r="B710" s="185" t="s">
        <v>509</v>
      </c>
      <c r="E710" s="992" t="s">
        <v>510</v>
      </c>
      <c r="F710" s="992"/>
      <c r="G710" s="992"/>
      <c r="H710" s="992"/>
      <c r="I710" s="992"/>
      <c r="J710" s="992"/>
      <c r="K710" s="992"/>
      <c r="L710" s="992"/>
      <c r="M710" s="992"/>
      <c r="N710" s="992"/>
      <c r="P710" s="992" t="s">
        <v>511</v>
      </c>
      <c r="Q710" s="992"/>
      <c r="R710" s="992"/>
      <c r="X710" s="186"/>
      <c r="Z710" s="185" t="s">
        <v>509</v>
      </c>
      <c r="AC710" s="992" t="s">
        <v>510</v>
      </c>
      <c r="AD710" s="992"/>
      <c r="AE710" s="992"/>
      <c r="AF710" s="992"/>
      <c r="AG710" s="992"/>
      <c r="AH710" s="992"/>
      <c r="AI710" s="992"/>
      <c r="AJ710" s="992"/>
      <c r="AK710" s="992"/>
      <c r="AL710" s="992"/>
      <c r="AN710" s="992" t="s">
        <v>511</v>
      </c>
      <c r="AO710" s="992"/>
      <c r="AP710" s="992"/>
    </row>
    <row r="711" spans="2:48" ht="20.25" customHeight="1" x14ac:dyDescent="0.2">
      <c r="B711" s="1009" t="s">
        <v>513</v>
      </c>
      <c r="C711" s="1009"/>
      <c r="E711" s="189"/>
      <c r="F711" s="191"/>
      <c r="G711" s="189"/>
      <c r="H711" s="191"/>
      <c r="I711" s="189"/>
      <c r="J711" s="191"/>
      <c r="K711" s="189"/>
      <c r="L711" s="191"/>
      <c r="M711" s="189"/>
      <c r="N711" s="191"/>
      <c r="P711" s="189"/>
      <c r="Q711" s="190"/>
      <c r="R711" s="191"/>
      <c r="T711" s="992" t="s">
        <v>512</v>
      </c>
      <c r="U711" s="992"/>
      <c r="V711" s="992"/>
      <c r="W711" s="992"/>
      <c r="X711" s="188"/>
      <c r="Z711" s="1009" t="s">
        <v>513</v>
      </c>
      <c r="AA711" s="1009"/>
      <c r="AC711" s="189"/>
      <c r="AD711" s="191"/>
      <c r="AE711" s="189"/>
      <c r="AF711" s="191"/>
      <c r="AG711" s="189"/>
      <c r="AH711" s="191"/>
      <c r="AI711" s="189"/>
      <c r="AJ711" s="191"/>
      <c r="AK711" s="189"/>
      <c r="AL711" s="191"/>
      <c r="AN711" s="189"/>
      <c r="AO711" s="190"/>
      <c r="AP711" s="191"/>
      <c r="AR711" s="992" t="s">
        <v>512</v>
      </c>
      <c r="AS711" s="992"/>
      <c r="AT711" s="992"/>
      <c r="AU711" s="992"/>
      <c r="AV711" s="187"/>
    </row>
    <row r="712" spans="2:48" ht="20.25" customHeight="1" x14ac:dyDescent="0.2">
      <c r="B712" s="1009" t="s">
        <v>514</v>
      </c>
      <c r="C712" s="1009"/>
      <c r="E712" s="189"/>
      <c r="F712" s="191"/>
      <c r="G712" s="189"/>
      <c r="H712" s="191"/>
      <c r="I712" s="189"/>
      <c r="J712" s="191"/>
      <c r="K712" s="189"/>
      <c r="L712" s="191"/>
      <c r="M712" s="189"/>
      <c r="N712" s="191"/>
      <c r="P712" s="189"/>
      <c r="Q712" s="190"/>
      <c r="R712" s="191"/>
      <c r="T712" s="189"/>
      <c r="U712" s="190"/>
      <c r="V712" s="190"/>
      <c r="W712" s="191"/>
      <c r="X712" s="186"/>
      <c r="Z712" s="1009" t="s">
        <v>514</v>
      </c>
      <c r="AA712" s="1009"/>
      <c r="AC712" s="189"/>
      <c r="AD712" s="191"/>
      <c r="AE712" s="189"/>
      <c r="AF712" s="191"/>
      <c r="AG712" s="189"/>
      <c r="AH712" s="191"/>
      <c r="AI712" s="189"/>
      <c r="AJ712" s="191"/>
      <c r="AK712" s="189"/>
      <c r="AL712" s="191"/>
      <c r="AN712" s="189"/>
      <c r="AO712" s="190"/>
      <c r="AP712" s="191"/>
      <c r="AR712" s="189"/>
      <c r="AS712" s="190"/>
      <c r="AT712" s="190"/>
      <c r="AU712" s="191"/>
    </row>
    <row r="713" spans="2:48" ht="20.25" customHeight="1" x14ac:dyDescent="0.2">
      <c r="B713" s="1009" t="s">
        <v>515</v>
      </c>
      <c r="C713" s="1009"/>
      <c r="E713" s="189"/>
      <c r="F713" s="191"/>
      <c r="G713" s="189"/>
      <c r="H713" s="191"/>
      <c r="I713" s="189"/>
      <c r="J713" s="191"/>
      <c r="K713" s="189"/>
      <c r="L713" s="191"/>
      <c r="M713" s="189"/>
      <c r="N713" s="191"/>
      <c r="P713" s="189"/>
      <c r="Q713" s="190"/>
      <c r="R713" s="191"/>
      <c r="T713" s="189"/>
      <c r="U713" s="190"/>
      <c r="V713" s="190"/>
      <c r="W713" s="191"/>
      <c r="X713" s="186"/>
      <c r="Z713" s="1009" t="s">
        <v>515</v>
      </c>
      <c r="AA713" s="1009"/>
      <c r="AC713" s="189"/>
      <c r="AD713" s="191"/>
      <c r="AE713" s="189"/>
      <c r="AF713" s="191"/>
      <c r="AG713" s="189"/>
      <c r="AH713" s="191"/>
      <c r="AI713" s="189"/>
      <c r="AJ713" s="191"/>
      <c r="AK713" s="189"/>
      <c r="AL713" s="191"/>
      <c r="AN713" s="189"/>
      <c r="AO713" s="190"/>
      <c r="AP713" s="191"/>
      <c r="AR713" s="189"/>
      <c r="AS713" s="190"/>
      <c r="AT713" s="190"/>
      <c r="AU713" s="191"/>
    </row>
    <row r="714" spans="2:48" ht="20.25" customHeight="1" x14ac:dyDescent="0.2">
      <c r="B714" s="1009" t="s">
        <v>516</v>
      </c>
      <c r="C714" s="1009"/>
      <c r="E714" s="189"/>
      <c r="F714" s="191"/>
      <c r="G714" s="189"/>
      <c r="H714" s="191"/>
      <c r="I714" s="189"/>
      <c r="J714" s="191"/>
      <c r="K714" s="189"/>
      <c r="L714" s="191"/>
      <c r="M714" s="189"/>
      <c r="N714" s="191"/>
      <c r="P714" s="189"/>
      <c r="Q714" s="190"/>
      <c r="R714" s="191"/>
      <c r="T714" s="189"/>
      <c r="U714" s="190"/>
      <c r="V714" s="190"/>
      <c r="W714" s="191"/>
      <c r="X714" s="186"/>
      <c r="Z714" s="1009" t="s">
        <v>516</v>
      </c>
      <c r="AA714" s="1009"/>
      <c r="AC714" s="189"/>
      <c r="AD714" s="191"/>
      <c r="AE714" s="189"/>
      <c r="AF714" s="191"/>
      <c r="AG714" s="189"/>
      <c r="AH714" s="191"/>
      <c r="AI714" s="189"/>
      <c r="AJ714" s="191"/>
      <c r="AK714" s="189"/>
      <c r="AL714" s="191"/>
      <c r="AN714" s="189"/>
      <c r="AO714" s="190"/>
      <c r="AP714" s="191"/>
      <c r="AR714" s="189"/>
      <c r="AS714" s="190"/>
      <c r="AT714" s="190"/>
      <c r="AU714" s="191"/>
    </row>
    <row r="715" spans="2:48" ht="20.25" customHeight="1" x14ac:dyDescent="0.2">
      <c r="B715" s="1009" t="s">
        <v>517</v>
      </c>
      <c r="C715" s="1009"/>
      <c r="E715" s="189"/>
      <c r="F715" s="191"/>
      <c r="G715" s="189"/>
      <c r="H715" s="191"/>
      <c r="I715" s="189"/>
      <c r="J715" s="191"/>
      <c r="K715" s="189"/>
      <c r="L715" s="191"/>
      <c r="M715" s="189"/>
      <c r="N715" s="191"/>
      <c r="P715" s="189"/>
      <c r="Q715" s="190"/>
      <c r="R715" s="191"/>
      <c r="T715" s="189"/>
      <c r="U715" s="190"/>
      <c r="V715" s="190"/>
      <c r="W715" s="191"/>
      <c r="X715" s="186"/>
      <c r="Z715" s="1009" t="s">
        <v>517</v>
      </c>
      <c r="AA715" s="1009"/>
      <c r="AC715" s="189"/>
      <c r="AD715" s="191"/>
      <c r="AE715" s="189"/>
      <c r="AF715" s="191"/>
      <c r="AG715" s="189"/>
      <c r="AH715" s="191"/>
      <c r="AI715" s="189"/>
      <c r="AJ715" s="191"/>
      <c r="AK715" s="189"/>
      <c r="AL715" s="191"/>
      <c r="AN715" s="189"/>
      <c r="AO715" s="190"/>
      <c r="AP715" s="191"/>
      <c r="AR715" s="189"/>
      <c r="AS715" s="190"/>
      <c r="AT715" s="190"/>
      <c r="AU715" s="191"/>
    </row>
    <row r="716" spans="2:48" ht="20.25" customHeight="1" x14ac:dyDescent="0.2">
      <c r="B716" s="1009" t="s">
        <v>518</v>
      </c>
      <c r="C716" s="1009"/>
      <c r="E716" s="189"/>
      <c r="F716" s="191"/>
      <c r="G716" s="189"/>
      <c r="H716" s="191"/>
      <c r="I716" s="189"/>
      <c r="J716" s="191"/>
      <c r="K716" s="189"/>
      <c r="L716" s="191"/>
      <c r="M716" s="189"/>
      <c r="N716" s="191"/>
      <c r="P716" s="189"/>
      <c r="Q716" s="190"/>
      <c r="R716" s="191"/>
      <c r="T716" s="189"/>
      <c r="U716" s="190"/>
      <c r="V716" s="190"/>
      <c r="W716" s="191"/>
      <c r="X716" s="186"/>
      <c r="Z716" s="1009" t="s">
        <v>518</v>
      </c>
      <c r="AA716" s="1009"/>
      <c r="AC716" s="189"/>
      <c r="AD716" s="191"/>
      <c r="AE716" s="189"/>
      <c r="AF716" s="191"/>
      <c r="AG716" s="189"/>
      <c r="AH716" s="191"/>
      <c r="AI716" s="189"/>
      <c r="AJ716" s="191"/>
      <c r="AK716" s="189"/>
      <c r="AL716" s="191"/>
      <c r="AN716" s="189"/>
      <c r="AO716" s="190"/>
      <c r="AP716" s="191"/>
      <c r="AR716" s="189"/>
      <c r="AS716" s="190"/>
      <c r="AT716" s="190"/>
      <c r="AU716" s="191"/>
    </row>
    <row r="717" spans="2:48" ht="15.75" thickBot="1" x14ac:dyDescent="0.25">
      <c r="B717" s="187"/>
      <c r="C717" s="187"/>
      <c r="X717" s="186"/>
      <c r="Z717" s="187"/>
      <c r="AA717" s="187"/>
    </row>
    <row r="718" spans="2:48" ht="20.25" customHeight="1" thickBot="1" x14ac:dyDescent="0.25">
      <c r="P718" s="197" t="s">
        <v>519</v>
      </c>
      <c r="Q718" s="197"/>
      <c r="R718" s="197"/>
      <c r="S718" s="197"/>
      <c r="T718" s="192"/>
      <c r="U718" s="193"/>
      <c r="V718" s="193"/>
      <c r="W718" s="194"/>
      <c r="X718" s="186"/>
      <c r="AN718" s="197" t="s">
        <v>519</v>
      </c>
      <c r="AO718" s="197"/>
      <c r="AP718" s="197"/>
      <c r="AQ718" s="197"/>
      <c r="AR718" s="192"/>
      <c r="AS718" s="193"/>
      <c r="AT718" s="193"/>
      <c r="AU718" s="194"/>
    </row>
    <row r="719" spans="2:48" x14ac:dyDescent="0.2">
      <c r="E719" s="196"/>
      <c r="F719" s="196"/>
      <c r="G719" s="196"/>
      <c r="H719" s="196"/>
      <c r="I719" s="196"/>
      <c r="J719" s="196"/>
      <c r="K719" s="196"/>
      <c r="L719" s="196"/>
      <c r="M719" s="196"/>
      <c r="X719" s="186"/>
      <c r="AC719" s="196"/>
      <c r="AD719" s="196"/>
      <c r="AE719" s="196"/>
      <c r="AF719" s="196"/>
      <c r="AG719" s="196"/>
      <c r="AH719" s="196"/>
      <c r="AI719" s="196"/>
      <c r="AJ719" s="196"/>
      <c r="AK719" s="196"/>
    </row>
    <row r="720" spans="2:48" x14ac:dyDescent="0.2">
      <c r="B720" s="1010" t="s">
        <v>521</v>
      </c>
      <c r="C720" s="1010"/>
      <c r="D720" s="1010"/>
      <c r="E720" s="1010"/>
      <c r="F720" s="1010"/>
      <c r="G720" s="1010"/>
      <c r="H720" s="195"/>
      <c r="I720" s="1010" t="s">
        <v>522</v>
      </c>
      <c r="J720" s="1010"/>
      <c r="K720" s="1010"/>
      <c r="L720" s="1010"/>
      <c r="M720" s="1010"/>
      <c r="N720" s="1010"/>
      <c r="O720" s="1010"/>
      <c r="P720" s="1010"/>
      <c r="Q720" s="1010"/>
      <c r="R720" s="1010"/>
      <c r="S720" s="1010"/>
      <c r="T720" s="1010"/>
      <c r="U720" s="1010"/>
      <c r="V720" s="1010"/>
      <c r="W720" s="1010"/>
      <c r="X720" s="198"/>
      <c r="Y720" s="195"/>
      <c r="Z720" s="1010" t="s">
        <v>521</v>
      </c>
      <c r="AA720" s="1010"/>
      <c r="AB720" s="1010"/>
      <c r="AC720" s="1010"/>
      <c r="AD720" s="1010"/>
      <c r="AE720" s="1010"/>
      <c r="AF720" s="195"/>
      <c r="AG720" s="1004" t="s">
        <v>522</v>
      </c>
      <c r="AH720" s="1004"/>
      <c r="AI720" s="1004"/>
      <c r="AJ720" s="1004"/>
      <c r="AK720" s="1004"/>
      <c r="AL720" s="1004"/>
      <c r="AM720" s="1004"/>
      <c r="AN720" s="1004"/>
      <c r="AO720" s="1004"/>
      <c r="AP720" s="1004"/>
      <c r="AQ720" s="1004"/>
      <c r="AR720" s="1004"/>
      <c r="AS720" s="1004"/>
      <c r="AT720" s="1004"/>
      <c r="AU720" s="1004"/>
      <c r="AV720" s="195"/>
    </row>
    <row r="721" spans="2:48" x14ac:dyDescent="0.2">
      <c r="B721" s="1005" t="s">
        <v>520</v>
      </c>
      <c r="C721" s="1006"/>
      <c r="D721" s="1006"/>
      <c r="E721" s="1006"/>
      <c r="F721" s="1006"/>
      <c r="G721" s="1007"/>
      <c r="I721" s="1005" t="s">
        <v>0</v>
      </c>
      <c r="J721" s="1006"/>
      <c r="K721" s="1006"/>
      <c r="L721" s="1006"/>
      <c r="M721" s="1006"/>
      <c r="N721" s="1006"/>
      <c r="O721" s="1006"/>
      <c r="P721" s="1006"/>
      <c r="Q721" s="1006"/>
      <c r="R721" s="1006"/>
      <c r="S721" s="1006"/>
      <c r="T721" s="1006"/>
      <c r="U721" s="1006"/>
      <c r="V721" s="1006"/>
      <c r="W721" s="1007"/>
      <c r="X721" s="186"/>
      <c r="Z721" s="1005" t="s">
        <v>520</v>
      </c>
      <c r="AA721" s="1006"/>
      <c r="AB721" s="1006"/>
      <c r="AC721" s="1006"/>
      <c r="AD721" s="1006"/>
      <c r="AE721" s="1007"/>
      <c r="AG721" s="1005" t="s">
        <v>0</v>
      </c>
      <c r="AH721" s="1006"/>
      <c r="AI721" s="1006"/>
      <c r="AJ721" s="1006"/>
      <c r="AK721" s="1006"/>
      <c r="AL721" s="1006"/>
      <c r="AM721" s="1006"/>
      <c r="AN721" s="1006"/>
      <c r="AO721" s="1006"/>
      <c r="AP721" s="1006"/>
      <c r="AQ721" s="1006"/>
      <c r="AR721" s="1006"/>
      <c r="AS721" s="1006"/>
      <c r="AT721" s="1006"/>
      <c r="AU721" s="1007"/>
    </row>
    <row r="722" spans="2:48" x14ac:dyDescent="0.2">
      <c r="B722" s="199"/>
      <c r="C722" s="200"/>
      <c r="D722" s="200"/>
      <c r="E722" s="200"/>
      <c r="F722" s="200"/>
      <c r="G722" s="201"/>
      <c r="I722" s="199"/>
      <c r="J722" s="200"/>
      <c r="K722" s="200"/>
      <c r="L722" s="200"/>
      <c r="M722" s="200"/>
      <c r="N722" s="200"/>
      <c r="O722" s="200"/>
      <c r="P722" s="200"/>
      <c r="Q722" s="200"/>
      <c r="R722" s="200"/>
      <c r="S722" s="200"/>
      <c r="T722" s="200"/>
      <c r="U722" s="200"/>
      <c r="V722" s="200"/>
      <c r="W722" s="201"/>
      <c r="X722" s="186"/>
      <c r="Z722" s="199"/>
      <c r="AA722" s="200"/>
      <c r="AB722" s="200"/>
      <c r="AC722" s="200"/>
      <c r="AD722" s="200"/>
      <c r="AE722" s="201"/>
      <c r="AG722" s="199"/>
      <c r="AH722" s="200"/>
      <c r="AI722" s="200"/>
      <c r="AJ722" s="200"/>
      <c r="AK722" s="200"/>
      <c r="AL722" s="200"/>
      <c r="AM722" s="200"/>
      <c r="AN722" s="200"/>
      <c r="AO722" s="200"/>
      <c r="AP722" s="200"/>
      <c r="AQ722" s="200"/>
      <c r="AR722" s="200"/>
      <c r="AS722" s="200"/>
      <c r="AT722" s="200"/>
      <c r="AU722" s="201"/>
    </row>
    <row r="723" spans="2:48" x14ac:dyDescent="0.2">
      <c r="X723" s="186"/>
    </row>
    <row r="724" spans="2:48" x14ac:dyDescent="0.2">
      <c r="I724" s="1005" t="s">
        <v>481</v>
      </c>
      <c r="J724" s="1006"/>
      <c r="K724" s="1006"/>
      <c r="L724" s="1006"/>
      <c r="M724" s="1006"/>
      <c r="N724" s="1006"/>
      <c r="O724" s="1006"/>
      <c r="P724" s="1006"/>
      <c r="Q724" s="1007"/>
      <c r="R724" s="1005" t="s">
        <v>520</v>
      </c>
      <c r="S724" s="1006"/>
      <c r="T724" s="1006"/>
      <c r="U724" s="1006"/>
      <c r="V724" s="1006"/>
      <c r="W724" s="1007"/>
      <c r="X724" s="186"/>
      <c r="AG724" s="1005" t="s">
        <v>481</v>
      </c>
      <c r="AH724" s="1006"/>
      <c r="AI724" s="1006"/>
      <c r="AJ724" s="1006"/>
      <c r="AK724" s="1006"/>
      <c r="AL724" s="1006"/>
      <c r="AM724" s="1006"/>
      <c r="AN724" s="1006"/>
      <c r="AO724" s="1007"/>
      <c r="AP724" s="1005" t="s">
        <v>520</v>
      </c>
      <c r="AQ724" s="1006"/>
      <c r="AR724" s="1006"/>
      <c r="AS724" s="1006"/>
      <c r="AT724" s="1006"/>
      <c r="AU724" s="1007"/>
    </row>
    <row r="725" spans="2:48" x14ac:dyDescent="0.2">
      <c r="I725" s="199"/>
      <c r="J725" s="200"/>
      <c r="K725" s="200"/>
      <c r="L725" s="200"/>
      <c r="M725" s="200"/>
      <c r="N725" s="200"/>
      <c r="O725" s="200"/>
      <c r="P725" s="200"/>
      <c r="Q725" s="200"/>
      <c r="R725" s="199"/>
      <c r="S725" s="200"/>
      <c r="T725" s="200"/>
      <c r="U725" s="200"/>
      <c r="V725" s="200"/>
      <c r="W725" s="201"/>
      <c r="X725" s="186"/>
      <c r="AG725" s="199"/>
      <c r="AH725" s="200"/>
      <c r="AI725" s="200"/>
      <c r="AJ725" s="200"/>
      <c r="AK725" s="200"/>
      <c r="AL725" s="200"/>
      <c r="AM725" s="200"/>
      <c r="AN725" s="200"/>
      <c r="AO725" s="200"/>
      <c r="AP725" s="199"/>
      <c r="AQ725" s="200"/>
      <c r="AR725" s="200"/>
      <c r="AS725" s="200"/>
      <c r="AT725" s="200"/>
      <c r="AU725" s="201"/>
    </row>
    <row r="726" spans="2:48" ht="39" customHeight="1" x14ac:dyDescent="0.2">
      <c r="B726" s="392"/>
      <c r="C726" s="392"/>
      <c r="D726" s="392"/>
      <c r="E726" s="392"/>
      <c r="F726" s="392"/>
      <c r="G726" s="392"/>
      <c r="H726" s="392"/>
      <c r="I726" s="392"/>
      <c r="J726" s="392"/>
      <c r="K726" s="392"/>
      <c r="L726" s="392"/>
      <c r="M726" s="392"/>
      <c r="N726" s="392"/>
      <c r="O726" s="392"/>
      <c r="P726" s="392"/>
      <c r="Q726" s="392"/>
      <c r="R726" s="392"/>
      <c r="S726" s="392"/>
      <c r="T726" s="392"/>
      <c r="U726" s="392"/>
      <c r="V726" s="392"/>
      <c r="W726" s="392"/>
      <c r="X726" s="393"/>
      <c r="Y726" s="394"/>
      <c r="Z726" s="392"/>
      <c r="AA726" s="392"/>
      <c r="AB726" s="392"/>
      <c r="AC726" s="392"/>
      <c r="AD726" s="392"/>
      <c r="AE726" s="392"/>
      <c r="AF726" s="392"/>
      <c r="AG726" s="392"/>
      <c r="AH726" s="392"/>
      <c r="AI726" s="392"/>
      <c r="AJ726" s="392"/>
      <c r="AK726" s="392"/>
      <c r="AL726" s="392"/>
      <c r="AM726" s="392"/>
      <c r="AN726" s="392"/>
      <c r="AO726" s="392"/>
      <c r="AP726" s="392"/>
      <c r="AQ726" s="392"/>
      <c r="AR726" s="392"/>
      <c r="AS726" s="392"/>
      <c r="AT726" s="392"/>
      <c r="AU726" s="392"/>
      <c r="AV726" s="392"/>
    </row>
    <row r="727" spans="2:48" ht="39" customHeight="1" x14ac:dyDescent="0.2">
      <c r="B727" s="182"/>
      <c r="C727" s="182"/>
      <c r="D727" s="182"/>
      <c r="E727" s="182"/>
      <c r="F727" s="182"/>
      <c r="G727" s="182"/>
      <c r="H727" s="182"/>
      <c r="I727" s="182"/>
      <c r="J727" s="182"/>
      <c r="K727" s="182"/>
      <c r="L727" s="182"/>
      <c r="M727" s="182"/>
      <c r="N727" s="182"/>
      <c r="O727" s="182"/>
      <c r="P727" s="182"/>
      <c r="Q727" s="182"/>
      <c r="R727" s="182"/>
      <c r="S727" s="182"/>
      <c r="T727" s="182"/>
      <c r="U727" s="182"/>
      <c r="V727" s="182"/>
      <c r="W727" s="182"/>
      <c r="X727" s="183"/>
      <c r="Y727" s="184"/>
      <c r="Z727" s="182"/>
      <c r="AA727" s="182"/>
      <c r="AB727" s="182"/>
      <c r="AC727" s="182"/>
      <c r="AD727" s="182"/>
      <c r="AE727" s="182"/>
      <c r="AF727" s="182"/>
      <c r="AG727" s="182"/>
      <c r="AH727" s="182"/>
      <c r="AI727" s="182"/>
      <c r="AJ727" s="182"/>
      <c r="AK727" s="182"/>
      <c r="AL727" s="182"/>
      <c r="AM727" s="182"/>
      <c r="AN727" s="182"/>
      <c r="AO727" s="182"/>
      <c r="AP727" s="182"/>
      <c r="AQ727" s="182"/>
      <c r="AR727" s="182"/>
      <c r="AS727" s="182"/>
      <c r="AT727" s="182"/>
      <c r="AU727" s="182"/>
      <c r="AV727" s="182"/>
    </row>
    <row r="728" spans="2:48" ht="18" x14ac:dyDescent="0.2">
      <c r="B728" s="182"/>
      <c r="C728" s="182"/>
      <c r="D728" s="182"/>
      <c r="E728" s="182"/>
      <c r="F728" s="182"/>
      <c r="G728" s="182"/>
      <c r="H728" s="992" t="s">
        <v>374</v>
      </c>
      <c r="I728" s="992"/>
      <c r="J728" s="992"/>
      <c r="K728" s="992"/>
      <c r="L728" s="992"/>
      <c r="M728" s="992"/>
      <c r="N728" s="992"/>
      <c r="O728" s="992"/>
      <c r="P728" s="992"/>
      <c r="Q728" s="992"/>
      <c r="R728" s="182"/>
      <c r="S728" s="182"/>
      <c r="T728" s="182"/>
      <c r="U728" s="182"/>
      <c r="V728" s="182"/>
      <c r="W728" s="182"/>
      <c r="X728" s="183"/>
      <c r="Y728" s="182"/>
      <c r="Z728" s="182"/>
      <c r="AA728" s="182"/>
      <c r="AB728" s="182"/>
      <c r="AC728" s="182"/>
      <c r="AD728" s="182"/>
      <c r="AE728" s="992" t="s">
        <v>374</v>
      </c>
      <c r="AF728" s="992"/>
      <c r="AG728" s="992"/>
      <c r="AH728" s="992"/>
      <c r="AI728" s="992"/>
      <c r="AJ728" s="992"/>
      <c r="AK728" s="992"/>
      <c r="AL728" s="992"/>
      <c r="AM728" s="992"/>
      <c r="AN728" s="992"/>
      <c r="AO728" s="182"/>
      <c r="AP728" s="182"/>
      <c r="AQ728" s="182"/>
      <c r="AR728" s="182"/>
      <c r="AS728" s="182"/>
      <c r="AT728" s="182"/>
      <c r="AU728" s="182"/>
      <c r="AV728" s="182"/>
    </row>
    <row r="729" spans="2:48" ht="18" x14ac:dyDescent="0.2">
      <c r="B729" s="182"/>
      <c r="C729" s="182"/>
      <c r="D729" s="182"/>
      <c r="E729" s="182"/>
      <c r="F729" s="182"/>
      <c r="G729" s="182"/>
      <c r="H729" s="1022" t="e">
        <f>VLOOKUP(U738,ID_archer_cible,4,FALSE)</f>
        <v>#N/A</v>
      </c>
      <c r="I729" s="1023"/>
      <c r="J729" s="1023"/>
      <c r="K729" s="1023"/>
      <c r="L729" s="1023"/>
      <c r="M729" s="1023"/>
      <c r="N729" s="1023"/>
      <c r="O729" s="1023"/>
      <c r="P729" s="1023"/>
      <c r="Q729" s="1024"/>
      <c r="R729" s="182"/>
      <c r="S729" s="182"/>
      <c r="T729" s="182"/>
      <c r="U729" s="182"/>
      <c r="V729" s="182"/>
      <c r="W729" s="182"/>
      <c r="X729" s="183"/>
      <c r="Y729" s="182"/>
      <c r="Z729" s="182"/>
      <c r="AA729" s="182"/>
      <c r="AB729" s="182"/>
      <c r="AC729" s="182"/>
      <c r="AD729" s="182"/>
      <c r="AE729" s="1022" t="e">
        <f>VLOOKUP(AS738,ID_archer_cible,4,FALSE)</f>
        <v>#N/A</v>
      </c>
      <c r="AF729" s="1023"/>
      <c r="AG729" s="1023"/>
      <c r="AH729" s="1023"/>
      <c r="AI729" s="1023"/>
      <c r="AJ729" s="1023"/>
      <c r="AK729" s="1023"/>
      <c r="AL729" s="1023"/>
      <c r="AM729" s="1023"/>
      <c r="AN729" s="1024"/>
      <c r="AO729" s="182"/>
      <c r="AP729" s="182"/>
      <c r="AQ729" s="182"/>
      <c r="AR729" s="182"/>
      <c r="AS729" s="182"/>
      <c r="AT729" s="182"/>
      <c r="AU729" s="182"/>
      <c r="AV729" s="182"/>
    </row>
    <row r="730" spans="2:48" x14ac:dyDescent="0.2">
      <c r="X730" s="186"/>
    </row>
    <row r="731" spans="2:48" x14ac:dyDescent="0.2">
      <c r="B731" s="1021" t="s">
        <v>0</v>
      </c>
      <c r="C731" s="1021"/>
      <c r="D731" s="1021"/>
      <c r="E731" s="1021"/>
      <c r="F731" s="1021"/>
      <c r="G731" s="1021"/>
      <c r="H731" s="1021"/>
      <c r="I731" s="1021"/>
      <c r="J731" s="1021"/>
      <c r="K731" s="1021"/>
      <c r="L731" s="1021"/>
      <c r="M731" s="187"/>
      <c r="P731" s="992" t="s">
        <v>375</v>
      </c>
      <c r="Q731" s="992"/>
      <c r="R731" s="992"/>
      <c r="S731" s="992"/>
      <c r="T731" s="992"/>
      <c r="U731" s="992"/>
      <c r="V731" s="992"/>
      <c r="W731" s="992"/>
      <c r="X731" s="188"/>
      <c r="Z731" s="1021" t="s">
        <v>0</v>
      </c>
      <c r="AA731" s="1021"/>
      <c r="AB731" s="1021"/>
      <c r="AC731" s="1021"/>
      <c r="AD731" s="1021"/>
      <c r="AE731" s="1021"/>
      <c r="AF731" s="1021"/>
      <c r="AG731" s="1021"/>
      <c r="AH731" s="1021"/>
      <c r="AI731" s="1021"/>
      <c r="AJ731" s="1021"/>
      <c r="AK731" s="187"/>
      <c r="AN731" s="992" t="s">
        <v>375</v>
      </c>
      <c r="AO731" s="992"/>
      <c r="AP731" s="992"/>
      <c r="AQ731" s="992"/>
      <c r="AR731" s="992"/>
      <c r="AS731" s="992"/>
      <c r="AT731" s="992"/>
      <c r="AU731" s="992"/>
      <c r="AV731" s="187"/>
    </row>
    <row r="732" spans="2:48" x14ac:dyDescent="0.2">
      <c r="B732" s="999" t="e">
        <f>VLOOKUP(U738,ID_archer_cible,2,FALSE)</f>
        <v>#N/A</v>
      </c>
      <c r="C732" s="1000"/>
      <c r="D732" s="1000"/>
      <c r="E732" s="1000"/>
      <c r="F732" s="1000"/>
      <c r="G732" s="1000"/>
      <c r="H732" s="1000"/>
      <c r="I732" s="1000"/>
      <c r="J732" s="1000"/>
      <c r="K732" s="1000"/>
      <c r="L732" s="1000"/>
      <c r="M732" s="1001"/>
      <c r="P732" s="999" t="e">
        <f>VLOOKUP(U738,ID_archer_cible,3,FALSE)</f>
        <v>#N/A</v>
      </c>
      <c r="Q732" s="1000"/>
      <c r="R732" s="1000"/>
      <c r="S732" s="1000"/>
      <c r="T732" s="1000"/>
      <c r="U732" s="1000"/>
      <c r="V732" s="1000"/>
      <c r="W732" s="1001"/>
      <c r="X732" s="186"/>
      <c r="Y732"/>
      <c r="Z732" s="999" t="e">
        <f>VLOOKUP(AS738,ID_archer_cible,2,FALSE)</f>
        <v>#N/A</v>
      </c>
      <c r="AA732" s="1000"/>
      <c r="AB732" s="1000"/>
      <c r="AC732" s="1000"/>
      <c r="AD732" s="1000"/>
      <c r="AE732" s="1000"/>
      <c r="AF732" s="1000"/>
      <c r="AG732" s="1000"/>
      <c r="AH732" s="1000"/>
      <c r="AI732" s="1000"/>
      <c r="AJ732" s="1000"/>
      <c r="AK732" s="1001"/>
      <c r="AN732" s="999" t="e">
        <f>VLOOKUP(AS738,ID_archer_cible,3,FALSE)</f>
        <v>#N/A</v>
      </c>
      <c r="AO732" s="1000"/>
      <c r="AP732" s="1000"/>
      <c r="AQ732" s="1000"/>
      <c r="AR732" s="1000"/>
      <c r="AS732" s="1000"/>
      <c r="AT732" s="1000"/>
      <c r="AU732" s="1001"/>
    </row>
    <row r="733" spans="2:48" x14ac:dyDescent="0.2">
      <c r="X733" s="186"/>
      <c r="Y733"/>
    </row>
    <row r="734" spans="2:48" ht="16.5" thickBot="1" x14ac:dyDescent="0.25">
      <c r="B734" s="1017" t="s">
        <v>1</v>
      </c>
      <c r="C734" s="1017"/>
      <c r="D734" s="1017"/>
      <c r="E734" s="1017"/>
      <c r="F734" s="1017"/>
      <c r="G734" s="1017"/>
      <c r="H734" s="1017"/>
      <c r="I734" s="1017"/>
      <c r="J734" s="1017"/>
      <c r="L734" s="1017" t="s">
        <v>505</v>
      </c>
      <c r="M734" s="1017"/>
      <c r="N734" s="1017"/>
      <c r="O734" s="1017"/>
      <c r="P734" s="1017"/>
      <c r="Q734" s="1017"/>
      <c r="S734" s="992" t="s">
        <v>506</v>
      </c>
      <c r="T734" s="992"/>
      <c r="U734" s="992"/>
      <c r="V734" s="992"/>
      <c r="W734" s="992"/>
      <c r="X734" s="188"/>
      <c r="Y734"/>
      <c r="Z734" s="1017" t="s">
        <v>1</v>
      </c>
      <c r="AA734" s="1017"/>
      <c r="AB734" s="1017"/>
      <c r="AC734" s="1017"/>
      <c r="AD734" s="1017"/>
      <c r="AE734" s="1017"/>
      <c r="AF734" s="1017"/>
      <c r="AG734" s="1017"/>
      <c r="AH734" s="1017"/>
      <c r="AJ734" s="1017" t="s">
        <v>505</v>
      </c>
      <c r="AK734" s="1017"/>
      <c r="AL734" s="1017"/>
      <c r="AM734" s="1017"/>
      <c r="AN734" s="1017"/>
      <c r="AO734" s="1017"/>
      <c r="AQ734" s="992" t="s">
        <v>506</v>
      </c>
      <c r="AR734" s="992"/>
      <c r="AS734" s="992"/>
      <c r="AT734" s="992"/>
      <c r="AU734" s="992"/>
      <c r="AV734" s="187"/>
    </row>
    <row r="735" spans="2:48" ht="16.5" thickBot="1" x14ac:dyDescent="0.25">
      <c r="B735" s="1014" t="e">
        <f>VLOOKUP(U738,ID_archer_cible,5,FALSE)</f>
        <v>#N/A</v>
      </c>
      <c r="C735" s="1015"/>
      <c r="D735" s="1015"/>
      <c r="E735" s="1015"/>
      <c r="F735" s="1015"/>
      <c r="G735" s="1015"/>
      <c r="H735" s="1015"/>
      <c r="I735" s="1015"/>
      <c r="J735" s="1016"/>
      <c r="L735" s="1014" t="e">
        <f>VLOOKUP(U738,ID_archer_cible,6,FALSE)</f>
        <v>#N/A</v>
      </c>
      <c r="M735" s="1015"/>
      <c r="N735" s="1015"/>
      <c r="O735" s="1015"/>
      <c r="P735" s="1015"/>
      <c r="Q735" s="1016"/>
      <c r="S735" s="999" t="e">
        <f>VLOOKUP(U738,ID_archer_cible,8,FALSE)</f>
        <v>#N/A</v>
      </c>
      <c r="T735" s="1000"/>
      <c r="U735" s="1000"/>
      <c r="V735" s="1000"/>
      <c r="W735" s="1001"/>
      <c r="X735" s="186"/>
      <c r="Y735"/>
      <c r="Z735" s="1014" t="e">
        <f>VLOOKUP(AS738,ID_archer_cible,5,FALSE)</f>
        <v>#N/A</v>
      </c>
      <c r="AA735" s="1015"/>
      <c r="AB735" s="1015"/>
      <c r="AC735" s="1015"/>
      <c r="AD735" s="1015"/>
      <c r="AE735" s="1015"/>
      <c r="AF735" s="1015"/>
      <c r="AG735" s="1015"/>
      <c r="AH735" s="1016"/>
      <c r="AJ735" s="1014" t="e">
        <f>VLOOKUP(AS738,ID_archer_cible,6,FALSE)</f>
        <v>#N/A</v>
      </c>
      <c r="AK735" s="1015"/>
      <c r="AL735" s="1015"/>
      <c r="AM735" s="1015"/>
      <c r="AN735" s="1015"/>
      <c r="AO735" s="1016"/>
      <c r="AQ735" s="999" t="e">
        <f>VLOOKUP(AS738,ID_archer_cible,8,FALSE)</f>
        <v>#N/A</v>
      </c>
      <c r="AR735" s="1000"/>
      <c r="AS735" s="1000"/>
      <c r="AT735" s="1000"/>
      <c r="AU735" s="1001"/>
    </row>
    <row r="736" spans="2:48" x14ac:dyDescent="0.2">
      <c r="X736" s="186"/>
      <c r="Y736"/>
    </row>
    <row r="737" spans="2:48" x14ac:dyDescent="0.2">
      <c r="B737" s="992" t="s">
        <v>530</v>
      </c>
      <c r="C737" s="992"/>
      <c r="D737" s="992"/>
      <c r="E737" s="992"/>
      <c r="F737" s="992"/>
      <c r="G737" s="187"/>
      <c r="H737" s="992" t="s">
        <v>504</v>
      </c>
      <c r="I737" s="992"/>
      <c r="J737" s="992"/>
      <c r="K737" s="992"/>
      <c r="M737" s="992" t="s">
        <v>39</v>
      </c>
      <c r="N737" s="992"/>
      <c r="O737" s="992"/>
      <c r="Q737" s="1021"/>
      <c r="R737" s="1021"/>
      <c r="S737" s="1021"/>
      <c r="U737" s="992" t="s">
        <v>507</v>
      </c>
      <c r="V737" s="992"/>
      <c r="W737" s="992"/>
      <c r="X737" s="188"/>
      <c r="Y737"/>
      <c r="Z737" s="992" t="s">
        <v>530</v>
      </c>
      <c r="AA737" s="992"/>
      <c r="AB737" s="992"/>
      <c r="AC737" s="992"/>
      <c r="AD737" s="992"/>
      <c r="AE737" s="187"/>
      <c r="AF737" s="992" t="s">
        <v>504</v>
      </c>
      <c r="AG737" s="992"/>
      <c r="AH737" s="992"/>
      <c r="AI737" s="992"/>
      <c r="AK737" s="992" t="s">
        <v>39</v>
      </c>
      <c r="AL737" s="992"/>
      <c r="AM737" s="992"/>
      <c r="AO737" s="1021"/>
      <c r="AP737" s="1021"/>
      <c r="AQ737" s="1021"/>
      <c r="AS737" s="992" t="s">
        <v>507</v>
      </c>
      <c r="AT737" s="992"/>
      <c r="AU737" s="992"/>
      <c r="AV737" s="187"/>
    </row>
    <row r="738" spans="2:48" ht="15.75" x14ac:dyDescent="0.2">
      <c r="B738" s="1011" t="e">
        <f>VLOOKUP(U738,ID_archer_cible,7,FALSE)</f>
        <v>#N/A</v>
      </c>
      <c r="C738" s="1012"/>
      <c r="D738" s="1012"/>
      <c r="E738" s="1012"/>
      <c r="F738" s="1013"/>
      <c r="H738" s="999" t="e">
        <f>VLOOKUP(U738,ID_archer_cible,9,FALSE)</f>
        <v>#N/A</v>
      </c>
      <c r="I738" s="1000"/>
      <c r="J738" s="1000"/>
      <c r="K738" s="1001"/>
      <c r="M738" s="999" t="e">
        <f>VLOOKUP(U738,ID_archer_cible,10,FALSE)</f>
        <v>#N/A</v>
      </c>
      <c r="N738" s="1000"/>
      <c r="O738" s="1001"/>
      <c r="Q738" s="1021"/>
      <c r="R738" s="1021"/>
      <c r="S738" s="1021"/>
      <c r="T738" s="187"/>
      <c r="U738" s="996" t="str">
        <f>AR696&amp;"C"</f>
        <v>12C</v>
      </c>
      <c r="V738" s="997"/>
      <c r="W738" s="998"/>
      <c r="X738" s="188"/>
      <c r="Y738"/>
      <c r="Z738" s="1011" t="e">
        <f>VLOOKUP(AS738,ID_archer_cible,7,FALSE)</f>
        <v>#N/A</v>
      </c>
      <c r="AA738" s="1012"/>
      <c r="AB738" s="1012"/>
      <c r="AC738" s="1012"/>
      <c r="AD738" s="1013"/>
      <c r="AF738" s="999" t="e">
        <f>VLOOKUP(AS738,ID_archer_cible,9,FALSE)</f>
        <v>#N/A</v>
      </c>
      <c r="AG738" s="1000"/>
      <c r="AH738" s="1000"/>
      <c r="AI738" s="1001"/>
      <c r="AK738" s="999" t="e">
        <f>VLOOKUP(AS738,ID_archer_cible,10,FALSE)</f>
        <v>#N/A</v>
      </c>
      <c r="AL738" s="1000"/>
      <c r="AM738" s="1001"/>
      <c r="AO738" s="1021"/>
      <c r="AP738" s="1021"/>
      <c r="AQ738" s="1021"/>
      <c r="AR738" s="187"/>
      <c r="AS738" s="996" t="str">
        <f>AR696&amp;"D"</f>
        <v>12D</v>
      </c>
      <c r="AT738" s="997"/>
      <c r="AU738" s="998"/>
      <c r="AV738" s="187"/>
    </row>
    <row r="739" spans="2:48" x14ac:dyDescent="0.2">
      <c r="X739" s="186"/>
    </row>
    <row r="740" spans="2:48" x14ac:dyDescent="0.2">
      <c r="B740" s="185" t="s">
        <v>509</v>
      </c>
      <c r="E740" s="992" t="s">
        <v>510</v>
      </c>
      <c r="F740" s="992"/>
      <c r="G740" s="992"/>
      <c r="H740" s="992"/>
      <c r="I740" s="992"/>
      <c r="J740" s="992"/>
      <c r="K740" s="992"/>
      <c r="L740" s="992"/>
      <c r="M740" s="992"/>
      <c r="N740" s="992"/>
      <c r="P740" s="992" t="s">
        <v>511</v>
      </c>
      <c r="Q740" s="992"/>
      <c r="R740" s="992"/>
      <c r="X740" s="186"/>
      <c r="Z740" s="185" t="s">
        <v>509</v>
      </c>
      <c r="AC740" s="992" t="s">
        <v>510</v>
      </c>
      <c r="AD740" s="992"/>
      <c r="AE740" s="992"/>
      <c r="AF740" s="992"/>
      <c r="AG740" s="992"/>
      <c r="AH740" s="992"/>
      <c r="AI740" s="992"/>
      <c r="AJ740" s="992"/>
      <c r="AK740" s="992"/>
      <c r="AL740" s="992"/>
      <c r="AN740" s="992" t="s">
        <v>511</v>
      </c>
      <c r="AO740" s="992"/>
      <c r="AP740" s="992"/>
    </row>
    <row r="741" spans="2:48" ht="20.25" customHeight="1" x14ac:dyDescent="0.2">
      <c r="B741" s="1009" t="s">
        <v>513</v>
      </c>
      <c r="C741" s="1009"/>
      <c r="E741" s="189"/>
      <c r="F741" s="191"/>
      <c r="G741" s="189"/>
      <c r="H741" s="191"/>
      <c r="I741" s="189"/>
      <c r="J741" s="191"/>
      <c r="K741" s="189"/>
      <c r="L741" s="191"/>
      <c r="M741" s="189"/>
      <c r="N741" s="191"/>
      <c r="P741" s="189"/>
      <c r="Q741" s="190"/>
      <c r="R741" s="191"/>
      <c r="T741" s="992" t="s">
        <v>512</v>
      </c>
      <c r="U741" s="992"/>
      <c r="V741" s="992"/>
      <c r="W741" s="992"/>
      <c r="X741" s="188"/>
      <c r="Z741" s="1009" t="s">
        <v>513</v>
      </c>
      <c r="AA741" s="1009"/>
      <c r="AC741" s="189"/>
      <c r="AD741" s="191"/>
      <c r="AE741" s="189"/>
      <c r="AF741" s="191"/>
      <c r="AG741" s="189"/>
      <c r="AH741" s="191"/>
      <c r="AI741" s="189"/>
      <c r="AJ741" s="191"/>
      <c r="AK741" s="189"/>
      <c r="AL741" s="191"/>
      <c r="AN741" s="189"/>
      <c r="AO741" s="190"/>
      <c r="AP741" s="191"/>
      <c r="AR741" s="992" t="s">
        <v>512</v>
      </c>
      <c r="AS741" s="992"/>
      <c r="AT741" s="992"/>
      <c r="AU741" s="992"/>
      <c r="AV741" s="187"/>
    </row>
    <row r="742" spans="2:48" ht="20.25" customHeight="1" x14ac:dyDescent="0.2">
      <c r="B742" s="1009" t="s">
        <v>514</v>
      </c>
      <c r="C742" s="1009"/>
      <c r="E742" s="189"/>
      <c r="F742" s="191"/>
      <c r="G742" s="189"/>
      <c r="H742" s="191"/>
      <c r="I742" s="189"/>
      <c r="J742" s="191"/>
      <c r="K742" s="189"/>
      <c r="L742" s="191"/>
      <c r="M742" s="189"/>
      <c r="N742" s="191"/>
      <c r="P742" s="189"/>
      <c r="Q742" s="190"/>
      <c r="R742" s="191"/>
      <c r="T742" s="189"/>
      <c r="U742" s="190"/>
      <c r="V742" s="190"/>
      <c r="W742" s="191"/>
      <c r="X742" s="186"/>
      <c r="Z742" s="1009" t="s">
        <v>514</v>
      </c>
      <c r="AA742" s="1009"/>
      <c r="AC742" s="189"/>
      <c r="AD742" s="191"/>
      <c r="AE742" s="189"/>
      <c r="AF742" s="191"/>
      <c r="AG742" s="189"/>
      <c r="AH742" s="191"/>
      <c r="AI742" s="189"/>
      <c r="AJ742" s="191"/>
      <c r="AK742" s="189"/>
      <c r="AL742" s="191"/>
      <c r="AN742" s="189"/>
      <c r="AO742" s="190"/>
      <c r="AP742" s="191"/>
      <c r="AR742" s="189"/>
      <c r="AS742" s="190"/>
      <c r="AT742" s="190"/>
      <c r="AU742" s="191"/>
    </row>
    <row r="743" spans="2:48" ht="20.25" customHeight="1" x14ac:dyDescent="0.2">
      <c r="B743" s="1009" t="s">
        <v>515</v>
      </c>
      <c r="C743" s="1009"/>
      <c r="E743" s="189"/>
      <c r="F743" s="191"/>
      <c r="G743" s="189"/>
      <c r="H743" s="191"/>
      <c r="I743" s="189"/>
      <c r="J743" s="191"/>
      <c r="K743" s="189"/>
      <c r="L743" s="191"/>
      <c r="M743" s="189"/>
      <c r="N743" s="191"/>
      <c r="P743" s="189"/>
      <c r="Q743" s="190"/>
      <c r="R743" s="191"/>
      <c r="T743" s="189"/>
      <c r="U743" s="190"/>
      <c r="V743" s="190"/>
      <c r="W743" s="191"/>
      <c r="X743" s="186"/>
      <c r="Z743" s="1009" t="s">
        <v>515</v>
      </c>
      <c r="AA743" s="1009"/>
      <c r="AC743" s="189"/>
      <c r="AD743" s="191"/>
      <c r="AE743" s="189"/>
      <c r="AF743" s="191"/>
      <c r="AG743" s="189"/>
      <c r="AH743" s="191"/>
      <c r="AI743" s="189"/>
      <c r="AJ743" s="191"/>
      <c r="AK743" s="189"/>
      <c r="AL743" s="191"/>
      <c r="AN743" s="189"/>
      <c r="AO743" s="190"/>
      <c r="AP743" s="191"/>
      <c r="AR743" s="189"/>
      <c r="AS743" s="190"/>
      <c r="AT743" s="190"/>
      <c r="AU743" s="191"/>
    </row>
    <row r="744" spans="2:48" ht="20.25" customHeight="1" x14ac:dyDescent="0.2">
      <c r="B744" s="1009" t="s">
        <v>516</v>
      </c>
      <c r="C744" s="1009"/>
      <c r="E744" s="189"/>
      <c r="F744" s="191"/>
      <c r="G744" s="189"/>
      <c r="H744" s="191"/>
      <c r="I744" s="189"/>
      <c r="J744" s="191"/>
      <c r="K744" s="189"/>
      <c r="L744" s="191"/>
      <c r="M744" s="189"/>
      <c r="N744" s="191"/>
      <c r="P744" s="189"/>
      <c r="Q744" s="190"/>
      <c r="R744" s="191"/>
      <c r="T744" s="189"/>
      <c r="U744" s="190"/>
      <c r="V744" s="190"/>
      <c r="W744" s="191"/>
      <c r="X744" s="186"/>
      <c r="Z744" s="1009" t="s">
        <v>516</v>
      </c>
      <c r="AA744" s="1009"/>
      <c r="AC744" s="189"/>
      <c r="AD744" s="191"/>
      <c r="AE744" s="189"/>
      <c r="AF744" s="191"/>
      <c r="AG744" s="189"/>
      <c r="AH744" s="191"/>
      <c r="AI744" s="189"/>
      <c r="AJ744" s="191"/>
      <c r="AK744" s="189"/>
      <c r="AL744" s="191"/>
      <c r="AN744" s="189"/>
      <c r="AO744" s="190"/>
      <c r="AP744" s="191"/>
      <c r="AR744" s="189"/>
      <c r="AS744" s="190"/>
      <c r="AT744" s="190"/>
      <c r="AU744" s="191"/>
    </row>
    <row r="745" spans="2:48" ht="20.25" customHeight="1" x14ac:dyDescent="0.2">
      <c r="B745" s="1009" t="s">
        <v>517</v>
      </c>
      <c r="C745" s="1009"/>
      <c r="E745" s="189"/>
      <c r="F745" s="191"/>
      <c r="G745" s="189"/>
      <c r="H745" s="191"/>
      <c r="I745" s="189"/>
      <c r="J745" s="191"/>
      <c r="K745" s="189"/>
      <c r="L745" s="191"/>
      <c r="M745" s="189"/>
      <c r="N745" s="191"/>
      <c r="P745" s="189"/>
      <c r="Q745" s="190"/>
      <c r="R745" s="191"/>
      <c r="T745" s="189"/>
      <c r="U745" s="190"/>
      <c r="V745" s="190"/>
      <c r="W745" s="191"/>
      <c r="X745" s="186"/>
      <c r="Z745" s="1009" t="s">
        <v>517</v>
      </c>
      <c r="AA745" s="1009"/>
      <c r="AC745" s="189"/>
      <c r="AD745" s="191"/>
      <c r="AE745" s="189"/>
      <c r="AF745" s="191"/>
      <c r="AG745" s="189"/>
      <c r="AH745" s="191"/>
      <c r="AI745" s="189"/>
      <c r="AJ745" s="191"/>
      <c r="AK745" s="189"/>
      <c r="AL745" s="191"/>
      <c r="AN745" s="189"/>
      <c r="AO745" s="190"/>
      <c r="AP745" s="191"/>
      <c r="AR745" s="189"/>
      <c r="AS745" s="190"/>
      <c r="AT745" s="190"/>
      <c r="AU745" s="191"/>
    </row>
    <row r="746" spans="2:48" ht="20.25" customHeight="1" x14ac:dyDescent="0.2">
      <c r="B746" s="1009" t="s">
        <v>518</v>
      </c>
      <c r="C746" s="1009"/>
      <c r="E746" s="189"/>
      <c r="F746" s="191"/>
      <c r="G746" s="189"/>
      <c r="H746" s="191"/>
      <c r="I746" s="189"/>
      <c r="J746" s="191"/>
      <c r="K746" s="189"/>
      <c r="L746" s="191"/>
      <c r="M746" s="189"/>
      <c r="N746" s="191"/>
      <c r="P746" s="189"/>
      <c r="Q746" s="190"/>
      <c r="R746" s="191"/>
      <c r="T746" s="189"/>
      <c r="U746" s="190"/>
      <c r="V746" s="190"/>
      <c r="W746" s="191"/>
      <c r="X746" s="186"/>
      <c r="Z746" s="1009" t="s">
        <v>518</v>
      </c>
      <c r="AA746" s="1009"/>
      <c r="AC746" s="189"/>
      <c r="AD746" s="191"/>
      <c r="AE746" s="189"/>
      <c r="AF746" s="191"/>
      <c r="AG746" s="189"/>
      <c r="AH746" s="191"/>
      <c r="AI746" s="189"/>
      <c r="AJ746" s="191"/>
      <c r="AK746" s="189"/>
      <c r="AL746" s="191"/>
      <c r="AN746" s="189"/>
      <c r="AO746" s="190"/>
      <c r="AP746" s="191"/>
      <c r="AR746" s="189"/>
      <c r="AS746" s="190"/>
      <c r="AT746" s="190"/>
      <c r="AU746" s="191"/>
    </row>
    <row r="747" spans="2:48" ht="15.75" thickBot="1" x14ac:dyDescent="0.25">
      <c r="B747" s="187"/>
      <c r="C747" s="187"/>
      <c r="X747" s="186"/>
      <c r="Z747" s="187"/>
      <c r="AA747" s="187"/>
    </row>
    <row r="748" spans="2:48" ht="20.25" customHeight="1" thickBot="1" x14ac:dyDescent="0.25">
      <c r="P748" s="197" t="s">
        <v>519</v>
      </c>
      <c r="Q748" s="197"/>
      <c r="R748" s="197"/>
      <c r="S748" s="197"/>
      <c r="T748" s="192"/>
      <c r="U748" s="193"/>
      <c r="V748" s="193"/>
      <c r="W748" s="194"/>
      <c r="X748" s="186"/>
      <c r="AN748" s="197" t="s">
        <v>519</v>
      </c>
      <c r="AO748" s="197"/>
      <c r="AP748" s="197"/>
      <c r="AQ748" s="197"/>
      <c r="AR748" s="192"/>
      <c r="AS748" s="193"/>
      <c r="AT748" s="193"/>
      <c r="AU748" s="194"/>
    </row>
    <row r="749" spans="2:48" x14ac:dyDescent="0.2">
      <c r="E749" s="196"/>
      <c r="F749" s="196"/>
      <c r="G749" s="196"/>
      <c r="H749" s="196"/>
      <c r="I749" s="196"/>
      <c r="J749" s="196"/>
      <c r="K749" s="196"/>
      <c r="L749" s="196"/>
      <c r="M749" s="196"/>
      <c r="X749" s="186"/>
      <c r="AC749" s="196"/>
      <c r="AD749" s="196"/>
      <c r="AE749" s="196"/>
      <c r="AF749" s="196"/>
      <c r="AG749" s="196"/>
      <c r="AH749" s="196"/>
      <c r="AI749" s="196"/>
      <c r="AJ749" s="196"/>
      <c r="AK749" s="196"/>
    </row>
    <row r="750" spans="2:48" x14ac:dyDescent="0.2">
      <c r="B750" s="1010" t="s">
        <v>521</v>
      </c>
      <c r="C750" s="1010"/>
      <c r="D750" s="1010"/>
      <c r="E750" s="1010"/>
      <c r="F750" s="1010"/>
      <c r="G750" s="1010"/>
      <c r="H750" s="195"/>
      <c r="I750" s="1004" t="s">
        <v>522</v>
      </c>
      <c r="J750" s="1004"/>
      <c r="K750" s="1004"/>
      <c r="L750" s="1004"/>
      <c r="M750" s="1004"/>
      <c r="N750" s="1004"/>
      <c r="O750" s="1004"/>
      <c r="P750" s="1004"/>
      <c r="Q750" s="1004"/>
      <c r="R750" s="1004"/>
      <c r="S750" s="1004"/>
      <c r="T750" s="1004"/>
      <c r="U750" s="1004"/>
      <c r="V750" s="1004"/>
      <c r="W750" s="1004"/>
      <c r="X750" s="198"/>
      <c r="Y750" s="195"/>
      <c r="Z750" s="1010" t="s">
        <v>521</v>
      </c>
      <c r="AA750" s="1010"/>
      <c r="AB750" s="1010"/>
      <c r="AC750" s="1010"/>
      <c r="AD750" s="1010"/>
      <c r="AE750" s="1010"/>
      <c r="AF750" s="195"/>
      <c r="AG750" s="1004" t="s">
        <v>522</v>
      </c>
      <c r="AH750" s="1004"/>
      <c r="AI750" s="1004"/>
      <c r="AJ750" s="1004"/>
      <c r="AK750" s="1004"/>
      <c r="AL750" s="1004"/>
      <c r="AM750" s="1004"/>
      <c r="AN750" s="1004"/>
      <c r="AO750" s="1004"/>
      <c r="AP750" s="1004"/>
      <c r="AQ750" s="1004"/>
      <c r="AR750" s="1004"/>
      <c r="AS750" s="1004"/>
      <c r="AT750" s="1004"/>
      <c r="AU750" s="1004"/>
      <c r="AV750" s="195"/>
    </row>
    <row r="751" spans="2:48" x14ac:dyDescent="0.2">
      <c r="B751" s="1005" t="s">
        <v>520</v>
      </c>
      <c r="C751" s="1006"/>
      <c r="D751" s="1006"/>
      <c r="E751" s="1006"/>
      <c r="F751" s="1006"/>
      <c r="G751" s="1007"/>
      <c r="I751" s="1005" t="s">
        <v>0</v>
      </c>
      <c r="J751" s="1006"/>
      <c r="K751" s="1006"/>
      <c r="L751" s="1006"/>
      <c r="M751" s="1006"/>
      <c r="N751" s="1006"/>
      <c r="O751" s="1006"/>
      <c r="P751" s="1006"/>
      <c r="Q751" s="1006"/>
      <c r="R751" s="1006"/>
      <c r="S751" s="1006"/>
      <c r="T751" s="1006"/>
      <c r="U751" s="1006"/>
      <c r="V751" s="1006"/>
      <c r="W751" s="1007"/>
      <c r="X751" s="186"/>
      <c r="Z751" s="1005" t="s">
        <v>520</v>
      </c>
      <c r="AA751" s="1006"/>
      <c r="AB751" s="1006"/>
      <c r="AC751" s="1006"/>
      <c r="AD751" s="1006"/>
      <c r="AE751" s="1007"/>
      <c r="AG751" s="1005" t="s">
        <v>0</v>
      </c>
      <c r="AH751" s="1006"/>
      <c r="AI751" s="1006"/>
      <c r="AJ751" s="1006"/>
      <c r="AK751" s="1006"/>
      <c r="AL751" s="1006"/>
      <c r="AM751" s="1006"/>
      <c r="AN751" s="1006"/>
      <c r="AO751" s="1006"/>
      <c r="AP751" s="1006"/>
      <c r="AQ751" s="1006"/>
      <c r="AR751" s="1006"/>
      <c r="AS751" s="1006"/>
      <c r="AT751" s="1006"/>
      <c r="AU751" s="1007"/>
    </row>
    <row r="752" spans="2:48" x14ac:dyDescent="0.2">
      <c r="B752" s="199"/>
      <c r="C752" s="200"/>
      <c r="D752" s="200"/>
      <c r="E752" s="200"/>
      <c r="F752" s="200"/>
      <c r="G752" s="201"/>
      <c r="I752" s="199"/>
      <c r="J752" s="200"/>
      <c r="K752" s="200"/>
      <c r="L752" s="200"/>
      <c r="M752" s="200"/>
      <c r="N752" s="200"/>
      <c r="O752" s="200"/>
      <c r="P752" s="200"/>
      <c r="Q752" s="200"/>
      <c r="R752" s="200"/>
      <c r="S752" s="200"/>
      <c r="T752" s="200"/>
      <c r="U752" s="200"/>
      <c r="V752" s="200"/>
      <c r="W752" s="201"/>
      <c r="X752" s="186"/>
      <c r="Z752" s="199"/>
      <c r="AA752" s="200"/>
      <c r="AB752" s="200"/>
      <c r="AC752" s="200"/>
      <c r="AD752" s="200"/>
      <c r="AE752" s="201"/>
      <c r="AG752" s="199"/>
      <c r="AH752" s="200"/>
      <c r="AI752" s="200"/>
      <c r="AJ752" s="200"/>
      <c r="AK752" s="200"/>
      <c r="AL752" s="200"/>
      <c r="AM752" s="200"/>
      <c r="AN752" s="200"/>
      <c r="AO752" s="200"/>
      <c r="AP752" s="200"/>
      <c r="AQ752" s="200"/>
      <c r="AR752" s="200"/>
      <c r="AS752" s="200"/>
      <c r="AT752" s="200"/>
      <c r="AU752" s="201"/>
    </row>
    <row r="753" spans="2:48" x14ac:dyDescent="0.2">
      <c r="X753" s="186"/>
    </row>
    <row r="754" spans="2:48" x14ac:dyDescent="0.2">
      <c r="I754" s="1005" t="s">
        <v>481</v>
      </c>
      <c r="J754" s="1006"/>
      <c r="K754" s="1006"/>
      <c r="L754" s="1006"/>
      <c r="M754" s="1006"/>
      <c r="N754" s="1006"/>
      <c r="O754" s="1006"/>
      <c r="P754" s="1006"/>
      <c r="Q754" s="1007"/>
      <c r="R754" s="1005" t="s">
        <v>520</v>
      </c>
      <c r="S754" s="1006"/>
      <c r="T754" s="1006"/>
      <c r="U754" s="1006"/>
      <c r="V754" s="1006"/>
      <c r="W754" s="1007"/>
      <c r="X754" s="186"/>
      <c r="AG754" s="1005" t="s">
        <v>481</v>
      </c>
      <c r="AH754" s="1006"/>
      <c r="AI754" s="1006"/>
      <c r="AJ754" s="1006"/>
      <c r="AK754" s="1006"/>
      <c r="AL754" s="1006"/>
      <c r="AM754" s="1006"/>
      <c r="AN754" s="1006"/>
      <c r="AO754" s="1007"/>
      <c r="AP754" s="1005" t="s">
        <v>520</v>
      </c>
      <c r="AQ754" s="1006"/>
      <c r="AR754" s="1006"/>
      <c r="AS754" s="1006"/>
      <c r="AT754" s="1006"/>
      <c r="AU754" s="1007"/>
    </row>
    <row r="755" spans="2:48" x14ac:dyDescent="0.2">
      <c r="I755" s="199"/>
      <c r="J755" s="200"/>
      <c r="K755" s="200"/>
      <c r="L755" s="200"/>
      <c r="M755" s="200"/>
      <c r="N755" s="200"/>
      <c r="O755" s="200"/>
      <c r="P755" s="200"/>
      <c r="Q755" s="200"/>
      <c r="R755" s="199"/>
      <c r="S755" s="200"/>
      <c r="T755" s="200"/>
      <c r="U755" s="200"/>
      <c r="V755" s="200"/>
      <c r="W755" s="201"/>
      <c r="X755" s="186"/>
      <c r="AG755" s="199"/>
      <c r="AH755" s="200"/>
      <c r="AI755" s="200"/>
      <c r="AJ755" s="200"/>
      <c r="AK755" s="200"/>
      <c r="AL755" s="200"/>
      <c r="AM755" s="200"/>
      <c r="AN755" s="200"/>
      <c r="AO755" s="200"/>
      <c r="AP755" s="199"/>
      <c r="AQ755" s="200"/>
      <c r="AR755" s="200"/>
      <c r="AS755" s="200"/>
      <c r="AT755" s="200"/>
      <c r="AU755" s="201"/>
    </row>
    <row r="757" spans="2:48" ht="57.75" customHeight="1" x14ac:dyDescent="0.2">
      <c r="B757" s="1058" t="str">
        <f>Championnat</f>
        <v>Championnat de France de Tir à l'ARC</v>
      </c>
      <c r="C757" s="1058"/>
      <c r="D757" s="1058"/>
      <c r="E757" s="1058"/>
      <c r="F757" s="1058"/>
      <c r="G757" s="1058"/>
      <c r="H757" s="1058"/>
      <c r="I757" s="1058"/>
      <c r="J757" s="1058"/>
      <c r="K757" s="1058"/>
      <c r="L757" s="1058"/>
      <c r="M757" s="1058"/>
      <c r="N757" s="1058"/>
      <c r="O757" s="1058"/>
      <c r="P757" s="1058"/>
      <c r="Q757" s="1058"/>
      <c r="R757" s="1058"/>
      <c r="S757" s="1058"/>
      <c r="T757" s="1058"/>
      <c r="U757" s="1058"/>
      <c r="V757" s="1058"/>
      <c r="W757" s="1058"/>
      <c r="X757" s="1058"/>
      <c r="Y757" s="1058"/>
      <c r="Z757" s="1058"/>
      <c r="AA757" s="1058"/>
      <c r="AB757" s="1058"/>
      <c r="AC757" s="1058"/>
      <c r="AD757" s="1058"/>
      <c r="AE757" s="1058"/>
      <c r="AF757" s="1058"/>
      <c r="AG757" s="1058"/>
      <c r="AH757" s="1058"/>
      <c r="AI757" s="1058"/>
      <c r="AJ757" s="1058"/>
      <c r="AK757" s="1058"/>
      <c r="AL757" s="1058"/>
      <c r="AM757" s="1058"/>
      <c r="AN757" s="1058"/>
      <c r="AO757" s="1058"/>
      <c r="AP757" s="1058"/>
    </row>
    <row r="758" spans="2:48" ht="45" customHeight="1" thickBot="1" x14ac:dyDescent="0.25">
      <c r="B758" s="1018" t="str">
        <f>LIEU&amp;" - "&amp;DATE&amp;" - "&amp;CATEG</f>
        <v>L’Isle sur la Sorgue - 27 au 31 mars 2023 - Collèges Mixtes Etablissement</v>
      </c>
      <c r="C758" s="1018"/>
      <c r="D758" s="1018"/>
      <c r="E758" s="1018"/>
      <c r="F758" s="1018"/>
      <c r="G758" s="1018"/>
      <c r="H758" s="1018"/>
      <c r="I758" s="1018"/>
      <c r="J758" s="1018"/>
      <c r="K758" s="1018"/>
      <c r="L758" s="1018"/>
      <c r="M758" s="1018"/>
      <c r="N758" s="1018"/>
      <c r="O758" s="1018"/>
      <c r="P758" s="1018"/>
      <c r="Q758" s="1018"/>
      <c r="R758" s="1018"/>
      <c r="S758" s="1018"/>
      <c r="T758" s="1018"/>
      <c r="U758" s="1018"/>
      <c r="V758" s="1018"/>
      <c r="W758" s="1018"/>
      <c r="X758" s="1018"/>
      <c r="Y758" s="1018"/>
      <c r="Z758" s="1018"/>
      <c r="AA758" s="1018"/>
      <c r="AB758" s="1018"/>
      <c r="AC758" s="1018"/>
      <c r="AD758" s="1018"/>
      <c r="AE758" s="1018"/>
      <c r="AF758" s="1018"/>
      <c r="AG758" s="1018"/>
      <c r="AH758" s="1018"/>
      <c r="AI758" s="1018"/>
      <c r="AJ758" s="1018"/>
      <c r="AK758" s="1018"/>
      <c r="AL758" s="1018"/>
      <c r="AM758" s="1018"/>
      <c r="AN758" s="1018"/>
      <c r="AO758" s="1018"/>
      <c r="AP758" s="1018"/>
      <c r="AQ758" s="182"/>
      <c r="AR758" s="182"/>
      <c r="AS758" s="182"/>
      <c r="AT758" s="182"/>
      <c r="AU758" s="182"/>
      <c r="AV758" s="182"/>
    </row>
    <row r="759" spans="2:48" ht="26.25" customHeight="1" x14ac:dyDescent="0.2">
      <c r="B759" s="1059" t="str">
        <f>CATEG_IMPORTEE</f>
        <v>Collèges Mixtes Etablissement</v>
      </c>
      <c r="C759" s="1059"/>
      <c r="D759" s="1059"/>
      <c r="E759" s="1059"/>
      <c r="F759" s="1059"/>
      <c r="G759" s="1059"/>
      <c r="H759" s="1059"/>
      <c r="I759" s="1059"/>
      <c r="J759" s="1059"/>
      <c r="K759" s="1059"/>
      <c r="L759" s="1059"/>
      <c r="M759" s="1059"/>
      <c r="N759" s="1059"/>
      <c r="O759" s="1059"/>
      <c r="P759" s="1059"/>
      <c r="Q759" s="1059"/>
      <c r="R759" s="1059"/>
      <c r="S759" s="1059"/>
      <c r="T759" s="1059"/>
      <c r="U759" s="1059"/>
      <c r="V759" s="1059"/>
      <c r="W759" s="1059"/>
      <c r="X759" s="1059"/>
      <c r="Y759" s="1059"/>
      <c r="Z759" s="1059"/>
      <c r="AA759" s="1059"/>
      <c r="AB759" s="1059"/>
      <c r="AC759" s="1059"/>
      <c r="AD759" s="1059"/>
      <c r="AE759" s="1059"/>
      <c r="AF759" s="1059"/>
      <c r="AG759" s="1059"/>
      <c r="AH759" s="1059"/>
      <c r="AI759" s="1059"/>
      <c r="AJ759" s="1059"/>
      <c r="AK759" s="1059"/>
      <c r="AL759" s="1059"/>
      <c r="AM759" s="1059"/>
      <c r="AN759" s="1059"/>
      <c r="AO759" s="1059"/>
      <c r="AP759" s="1059"/>
      <c r="AQ759" s="182"/>
      <c r="AR759" s="1060">
        <f>AR696+1</f>
        <v>13</v>
      </c>
      <c r="AS759" s="1061"/>
      <c r="AT759" s="1062"/>
      <c r="AU759" s="182"/>
      <c r="AV759" s="182"/>
    </row>
    <row r="760" spans="2:48" ht="18" customHeight="1" x14ac:dyDescent="0.2">
      <c r="B760" s="182"/>
      <c r="C760" s="182"/>
      <c r="D760" s="182"/>
      <c r="E760" s="182"/>
      <c r="F760" s="182"/>
      <c r="G760" s="182"/>
      <c r="H760" s="182"/>
      <c r="I760" s="182"/>
      <c r="J760" s="182"/>
      <c r="K760" s="182"/>
      <c r="L760" s="182"/>
      <c r="M760" s="182"/>
      <c r="N760" s="182"/>
      <c r="O760" s="182"/>
      <c r="P760" s="182"/>
      <c r="Q760" s="182"/>
      <c r="R760" s="182"/>
      <c r="S760" s="182"/>
      <c r="T760" s="182"/>
      <c r="U760" s="182"/>
      <c r="V760" s="182"/>
      <c r="W760" s="182"/>
      <c r="X760" s="183"/>
      <c r="Y760" s="184"/>
      <c r="Z760" s="182"/>
      <c r="AA760" s="182"/>
      <c r="AB760" s="182"/>
      <c r="AC760" s="182"/>
      <c r="AD760" s="182"/>
      <c r="AE760" s="182"/>
      <c r="AF760" s="182"/>
      <c r="AG760" s="182"/>
      <c r="AH760" s="182"/>
      <c r="AI760" s="182"/>
      <c r="AJ760" s="182"/>
      <c r="AK760" s="182"/>
      <c r="AL760" s="182"/>
      <c r="AM760" s="182"/>
      <c r="AN760" s="182"/>
      <c r="AO760" s="182"/>
      <c r="AP760" s="182"/>
      <c r="AQ760" s="182"/>
      <c r="AR760" s="1063"/>
      <c r="AS760" s="1064"/>
      <c r="AT760" s="1065"/>
      <c r="AU760" s="182"/>
      <c r="AV760" s="182"/>
    </row>
    <row r="761" spans="2:48" ht="18.75" customHeight="1" thickBot="1" x14ac:dyDescent="0.25">
      <c r="B761" s="182"/>
      <c r="C761" s="182"/>
      <c r="D761" s="182"/>
      <c r="E761" s="182"/>
      <c r="F761" s="182"/>
      <c r="G761" s="182"/>
      <c r="H761" s="992" t="s">
        <v>374</v>
      </c>
      <c r="I761" s="992"/>
      <c r="J761" s="992"/>
      <c r="K761" s="992"/>
      <c r="L761" s="992"/>
      <c r="M761" s="992"/>
      <c r="N761" s="992"/>
      <c r="O761" s="992"/>
      <c r="P761" s="992"/>
      <c r="Q761" s="992"/>
      <c r="R761" s="182"/>
      <c r="S761" s="182"/>
      <c r="T761" s="182"/>
      <c r="U761" s="182"/>
      <c r="V761" s="182"/>
      <c r="W761" s="182"/>
      <c r="X761" s="183"/>
      <c r="Y761" s="182"/>
      <c r="Z761" s="182"/>
      <c r="AA761" s="182"/>
      <c r="AB761" s="182"/>
      <c r="AC761" s="182"/>
      <c r="AD761" s="182"/>
      <c r="AE761" s="992" t="s">
        <v>374</v>
      </c>
      <c r="AF761" s="992"/>
      <c r="AG761" s="992"/>
      <c r="AH761" s="992"/>
      <c r="AI761" s="992"/>
      <c r="AJ761" s="992"/>
      <c r="AK761" s="992"/>
      <c r="AL761" s="992"/>
      <c r="AM761" s="992"/>
      <c r="AN761" s="992"/>
      <c r="AO761" s="182"/>
      <c r="AP761" s="182"/>
      <c r="AQ761" s="182"/>
      <c r="AR761" s="1066"/>
      <c r="AS761" s="1067"/>
      <c r="AT761" s="1068"/>
      <c r="AU761" s="182"/>
      <c r="AV761" s="182"/>
    </row>
    <row r="762" spans="2:48" ht="18" x14ac:dyDescent="0.2">
      <c r="B762" s="182"/>
      <c r="C762" s="182"/>
      <c r="D762" s="182"/>
      <c r="E762" s="182"/>
      <c r="F762" s="182"/>
      <c r="G762" s="182"/>
      <c r="H762" s="1022" t="e">
        <f>VLOOKUP(U771,ID_archer_cible,4,FALSE)</f>
        <v>#N/A</v>
      </c>
      <c r="I762" s="1023"/>
      <c r="J762" s="1023"/>
      <c r="K762" s="1023"/>
      <c r="L762" s="1023"/>
      <c r="M762" s="1023"/>
      <c r="N762" s="1023"/>
      <c r="O762" s="1023"/>
      <c r="P762" s="1023"/>
      <c r="Q762" s="1024"/>
      <c r="R762" s="182"/>
      <c r="S762" s="182"/>
      <c r="T762" s="182"/>
      <c r="U762" s="182"/>
      <c r="V762" s="182"/>
      <c r="W762" s="182"/>
      <c r="X762" s="183"/>
      <c r="Y762" s="182"/>
      <c r="Z762" s="182"/>
      <c r="AA762" s="182"/>
      <c r="AB762" s="182"/>
      <c r="AC762" s="182"/>
      <c r="AD762" s="182"/>
      <c r="AE762" s="1022" t="e">
        <f>VLOOKUP(AS771,ID_archer_cible,4,FALSE)</f>
        <v>#N/A</v>
      </c>
      <c r="AF762" s="1023"/>
      <c r="AG762" s="1023"/>
      <c r="AH762" s="1023"/>
      <c r="AI762" s="1023"/>
      <c r="AJ762" s="1023"/>
      <c r="AK762" s="1023"/>
      <c r="AL762" s="1023"/>
      <c r="AM762" s="1023"/>
      <c r="AN762" s="1024"/>
      <c r="AO762" s="182"/>
      <c r="AP762" s="182"/>
      <c r="AQ762" s="182"/>
      <c r="AR762" s="182"/>
      <c r="AS762" s="182"/>
      <c r="AT762" s="182"/>
      <c r="AU762" s="182"/>
      <c r="AV762" s="182"/>
    </row>
    <row r="763" spans="2:48" x14ac:dyDescent="0.2">
      <c r="X763" s="186"/>
    </row>
    <row r="764" spans="2:48" x14ac:dyDescent="0.2">
      <c r="B764" s="1021" t="s">
        <v>0</v>
      </c>
      <c r="C764" s="1021"/>
      <c r="D764" s="1021"/>
      <c r="E764" s="1021"/>
      <c r="F764" s="1021"/>
      <c r="G764" s="1021"/>
      <c r="H764" s="1021"/>
      <c r="I764" s="1021"/>
      <c r="J764" s="1021"/>
      <c r="K764" s="1021"/>
      <c r="L764" s="1021"/>
      <c r="M764" s="187"/>
      <c r="P764" s="992" t="s">
        <v>375</v>
      </c>
      <c r="Q764" s="992"/>
      <c r="R764" s="992"/>
      <c r="S764" s="992"/>
      <c r="T764" s="992"/>
      <c r="U764" s="992"/>
      <c r="V764" s="992"/>
      <c r="W764" s="992"/>
      <c r="X764" s="188"/>
      <c r="Z764" s="1021" t="s">
        <v>0</v>
      </c>
      <c r="AA764" s="1021"/>
      <c r="AB764" s="1021"/>
      <c r="AC764" s="1021"/>
      <c r="AD764" s="1021"/>
      <c r="AE764" s="1021"/>
      <c r="AF764" s="1021"/>
      <c r="AG764" s="1021"/>
      <c r="AH764" s="1021"/>
      <c r="AI764" s="1021"/>
      <c r="AJ764" s="1021"/>
      <c r="AK764" s="187"/>
      <c r="AN764" s="992" t="s">
        <v>375</v>
      </c>
      <c r="AO764" s="992"/>
      <c r="AP764" s="992"/>
      <c r="AQ764" s="992"/>
      <c r="AR764" s="992"/>
      <c r="AS764" s="992"/>
      <c r="AT764" s="992"/>
      <c r="AU764" s="992"/>
      <c r="AV764" s="187"/>
    </row>
    <row r="765" spans="2:48" x14ac:dyDescent="0.2">
      <c r="B765" s="999" t="e">
        <f>VLOOKUP(U771,ID_archer_cible,2,FALSE)</f>
        <v>#N/A</v>
      </c>
      <c r="C765" s="1000"/>
      <c r="D765" s="1000"/>
      <c r="E765" s="1000"/>
      <c r="F765" s="1000"/>
      <c r="G765" s="1000"/>
      <c r="H765" s="1000"/>
      <c r="I765" s="1000"/>
      <c r="J765" s="1000"/>
      <c r="K765" s="1000"/>
      <c r="L765" s="1000"/>
      <c r="M765" s="1001"/>
      <c r="P765" s="999" t="e">
        <f>VLOOKUP(U771,ID_archer_cible,3,FALSE)</f>
        <v>#N/A</v>
      </c>
      <c r="Q765" s="1000"/>
      <c r="R765" s="1000"/>
      <c r="S765" s="1000"/>
      <c r="T765" s="1000"/>
      <c r="U765" s="1000"/>
      <c r="V765" s="1000"/>
      <c r="W765" s="1001"/>
      <c r="X765" s="186"/>
      <c r="Y765"/>
      <c r="Z765" s="999" t="e">
        <f>VLOOKUP(AS771,ID_archer_cible,2,FALSE)</f>
        <v>#N/A</v>
      </c>
      <c r="AA765" s="1000"/>
      <c r="AB765" s="1000"/>
      <c r="AC765" s="1000"/>
      <c r="AD765" s="1000"/>
      <c r="AE765" s="1000"/>
      <c r="AF765" s="1000"/>
      <c r="AG765" s="1000"/>
      <c r="AH765" s="1000"/>
      <c r="AI765" s="1000"/>
      <c r="AJ765" s="1000"/>
      <c r="AK765" s="1001"/>
      <c r="AN765" s="999" t="e">
        <f>VLOOKUP(AS771,ID_archer_cible,3,FALSE)</f>
        <v>#N/A</v>
      </c>
      <c r="AO765" s="1000"/>
      <c r="AP765" s="1000"/>
      <c r="AQ765" s="1000"/>
      <c r="AR765" s="1000"/>
      <c r="AS765" s="1000"/>
      <c r="AT765" s="1000"/>
      <c r="AU765" s="1001"/>
    </row>
    <row r="766" spans="2:48" x14ac:dyDescent="0.2">
      <c r="X766" s="186"/>
      <c r="Y766"/>
    </row>
    <row r="767" spans="2:48" ht="16.5" thickBot="1" x14ac:dyDescent="0.25">
      <c r="B767" s="1017" t="s">
        <v>1</v>
      </c>
      <c r="C767" s="1017"/>
      <c r="D767" s="1017"/>
      <c r="E767" s="1017"/>
      <c r="F767" s="1017"/>
      <c r="G767" s="1017"/>
      <c r="H767" s="1017"/>
      <c r="I767" s="1017"/>
      <c r="J767" s="1017"/>
      <c r="L767" s="1017" t="s">
        <v>505</v>
      </c>
      <c r="M767" s="1017"/>
      <c r="N767" s="1017"/>
      <c r="O767" s="1017"/>
      <c r="P767" s="1017"/>
      <c r="Q767" s="1017"/>
      <c r="S767" s="992" t="s">
        <v>506</v>
      </c>
      <c r="T767" s="992"/>
      <c r="U767" s="992"/>
      <c r="V767" s="992"/>
      <c r="W767" s="992"/>
      <c r="X767" s="188"/>
      <c r="Y767"/>
      <c r="Z767" s="1017" t="s">
        <v>1</v>
      </c>
      <c r="AA767" s="1017"/>
      <c r="AB767" s="1017"/>
      <c r="AC767" s="1017"/>
      <c r="AD767" s="1017"/>
      <c r="AE767" s="1017"/>
      <c r="AF767" s="1017"/>
      <c r="AG767" s="1017"/>
      <c r="AH767" s="1017"/>
      <c r="AJ767" s="1017" t="s">
        <v>505</v>
      </c>
      <c r="AK767" s="1017"/>
      <c r="AL767" s="1017"/>
      <c r="AM767" s="1017"/>
      <c r="AN767" s="1017"/>
      <c r="AO767" s="1017"/>
      <c r="AQ767" s="992" t="s">
        <v>506</v>
      </c>
      <c r="AR767" s="992"/>
      <c r="AS767" s="992"/>
      <c r="AT767" s="992"/>
      <c r="AU767" s="992"/>
      <c r="AV767" s="187"/>
    </row>
    <row r="768" spans="2:48" ht="16.5" thickBot="1" x14ac:dyDescent="0.25">
      <c r="B768" s="1014" t="e">
        <f>VLOOKUP(U771,ID_archer_cible,5,FALSE)</f>
        <v>#N/A</v>
      </c>
      <c r="C768" s="1015"/>
      <c r="D768" s="1015"/>
      <c r="E768" s="1015"/>
      <c r="F768" s="1015"/>
      <c r="G768" s="1015"/>
      <c r="H768" s="1015"/>
      <c r="I768" s="1015"/>
      <c r="J768" s="1016"/>
      <c r="L768" s="1014" t="e">
        <f>VLOOKUP(U771,ID_archer_cible,6,FALSE)</f>
        <v>#N/A</v>
      </c>
      <c r="M768" s="1015"/>
      <c r="N768" s="1015"/>
      <c r="O768" s="1015"/>
      <c r="P768" s="1015"/>
      <c r="Q768" s="1016"/>
      <c r="S768" s="999" t="e">
        <f>VLOOKUP(U771,ID_archer_cible,8,FALSE)</f>
        <v>#N/A</v>
      </c>
      <c r="T768" s="1000"/>
      <c r="U768" s="1000"/>
      <c r="V768" s="1000"/>
      <c r="W768" s="1001"/>
      <c r="X768" s="186"/>
      <c r="Y768"/>
      <c r="Z768" s="1014" t="e">
        <f>VLOOKUP(AS771,ID_archer_cible,5,FALSE)</f>
        <v>#N/A</v>
      </c>
      <c r="AA768" s="1015"/>
      <c r="AB768" s="1015"/>
      <c r="AC768" s="1015"/>
      <c r="AD768" s="1015"/>
      <c r="AE768" s="1015"/>
      <c r="AF768" s="1015"/>
      <c r="AG768" s="1015"/>
      <c r="AH768" s="1016"/>
      <c r="AJ768" s="1014" t="e">
        <f>VLOOKUP(AS771,ID_archer_cible,6,FALSE)</f>
        <v>#N/A</v>
      </c>
      <c r="AK768" s="1015"/>
      <c r="AL768" s="1015"/>
      <c r="AM768" s="1015"/>
      <c r="AN768" s="1015"/>
      <c r="AO768" s="1016"/>
      <c r="AQ768" s="999" t="e">
        <f>VLOOKUP(AS771,ID_archer_cible,8,FALSE)</f>
        <v>#N/A</v>
      </c>
      <c r="AR768" s="1000"/>
      <c r="AS768" s="1000"/>
      <c r="AT768" s="1000"/>
      <c r="AU768" s="1001"/>
    </row>
    <row r="769" spans="2:48" x14ac:dyDescent="0.2">
      <c r="X769" s="186"/>
      <c r="Y769"/>
    </row>
    <row r="770" spans="2:48" x14ac:dyDescent="0.2">
      <c r="B770" s="992" t="s">
        <v>530</v>
      </c>
      <c r="C770" s="992"/>
      <c r="D770" s="992"/>
      <c r="E770" s="992"/>
      <c r="F770" s="992"/>
      <c r="G770" s="187"/>
      <c r="H770" s="992" t="s">
        <v>504</v>
      </c>
      <c r="I770" s="992"/>
      <c r="J770" s="992"/>
      <c r="K770" s="992"/>
      <c r="M770" s="992" t="s">
        <v>39</v>
      </c>
      <c r="N770" s="992"/>
      <c r="O770" s="992"/>
      <c r="Q770" s="1021"/>
      <c r="R770" s="1021"/>
      <c r="S770" s="1021"/>
      <c r="U770" s="992" t="s">
        <v>507</v>
      </c>
      <c r="V770" s="992"/>
      <c r="W770" s="992"/>
      <c r="X770" s="188"/>
      <c r="Y770"/>
      <c r="Z770" s="992" t="s">
        <v>530</v>
      </c>
      <c r="AA770" s="992"/>
      <c r="AB770" s="992"/>
      <c r="AC770" s="992"/>
      <c r="AD770" s="992"/>
      <c r="AE770" s="187"/>
      <c r="AF770" s="992" t="s">
        <v>504</v>
      </c>
      <c r="AG770" s="992"/>
      <c r="AH770" s="992"/>
      <c r="AI770" s="992"/>
      <c r="AK770" s="992" t="s">
        <v>39</v>
      </c>
      <c r="AL770" s="992"/>
      <c r="AM770" s="992"/>
      <c r="AO770" s="1021"/>
      <c r="AP770" s="1021"/>
      <c r="AQ770" s="1021"/>
      <c r="AS770" s="992" t="s">
        <v>507</v>
      </c>
      <c r="AT770" s="992"/>
      <c r="AU770" s="992"/>
      <c r="AV770" s="187"/>
    </row>
    <row r="771" spans="2:48" ht="15.75" x14ac:dyDescent="0.2">
      <c r="B771" s="1011" t="e">
        <f>VLOOKUP(U771,ID_archer_cible,7,FALSE)</f>
        <v>#N/A</v>
      </c>
      <c r="C771" s="1012"/>
      <c r="D771" s="1012"/>
      <c r="E771" s="1012"/>
      <c r="F771" s="1013"/>
      <c r="H771" s="999" t="e">
        <f>VLOOKUP(U771,ID_archer_cible,9,FALSE)</f>
        <v>#N/A</v>
      </c>
      <c r="I771" s="1000"/>
      <c r="J771" s="1000"/>
      <c r="K771" s="1001"/>
      <c r="M771" s="999" t="e">
        <f>VLOOKUP(U771,ID_archer_cible,10,FALSE)</f>
        <v>#N/A</v>
      </c>
      <c r="N771" s="1000"/>
      <c r="O771" s="1001"/>
      <c r="Q771" s="1021"/>
      <c r="R771" s="1021"/>
      <c r="S771" s="1021"/>
      <c r="T771" s="187"/>
      <c r="U771" s="996" t="str">
        <f>AR759&amp;"A"</f>
        <v>13A</v>
      </c>
      <c r="V771" s="997"/>
      <c r="W771" s="998"/>
      <c r="X771" s="188"/>
      <c r="Y771"/>
      <c r="Z771" s="1011" t="e">
        <f>VLOOKUP(AS771,ID_archer_cible,7,FALSE)</f>
        <v>#N/A</v>
      </c>
      <c r="AA771" s="1012"/>
      <c r="AB771" s="1012"/>
      <c r="AC771" s="1012"/>
      <c r="AD771" s="1013"/>
      <c r="AF771" s="999" t="e">
        <f>VLOOKUP(AS771,ID_archer_cible,9,FALSE)</f>
        <v>#N/A</v>
      </c>
      <c r="AG771" s="1000"/>
      <c r="AH771" s="1000"/>
      <c r="AI771" s="1001"/>
      <c r="AK771" s="999" t="e">
        <f>VLOOKUP(AS771,ID_archer_cible,10,FALSE)</f>
        <v>#N/A</v>
      </c>
      <c r="AL771" s="1000"/>
      <c r="AM771" s="1001"/>
      <c r="AO771" s="1021"/>
      <c r="AP771" s="1021"/>
      <c r="AQ771" s="1021"/>
      <c r="AR771" s="187"/>
      <c r="AS771" s="996" t="str">
        <f>AR759&amp;"B"</f>
        <v>13B</v>
      </c>
      <c r="AT771" s="997"/>
      <c r="AU771" s="998"/>
      <c r="AV771" s="187"/>
    </row>
    <row r="772" spans="2:48" x14ac:dyDescent="0.2">
      <c r="X772" s="186"/>
    </row>
    <row r="773" spans="2:48" x14ac:dyDescent="0.2">
      <c r="B773" s="185" t="s">
        <v>509</v>
      </c>
      <c r="E773" s="992" t="s">
        <v>510</v>
      </c>
      <c r="F773" s="992"/>
      <c r="G773" s="992"/>
      <c r="H773" s="992"/>
      <c r="I773" s="992"/>
      <c r="J773" s="992"/>
      <c r="K773" s="992"/>
      <c r="L773" s="992"/>
      <c r="M773" s="992"/>
      <c r="N773" s="992"/>
      <c r="P773" s="992" t="s">
        <v>511</v>
      </c>
      <c r="Q773" s="992"/>
      <c r="R773" s="992"/>
      <c r="X773" s="186"/>
      <c r="Z773" s="185" t="s">
        <v>509</v>
      </c>
      <c r="AC773" s="992" t="s">
        <v>510</v>
      </c>
      <c r="AD773" s="992"/>
      <c r="AE773" s="992"/>
      <c r="AF773" s="992"/>
      <c r="AG773" s="992"/>
      <c r="AH773" s="992"/>
      <c r="AI773" s="992"/>
      <c r="AJ773" s="992"/>
      <c r="AK773" s="992"/>
      <c r="AL773" s="992"/>
      <c r="AN773" s="992" t="s">
        <v>511</v>
      </c>
      <c r="AO773" s="992"/>
      <c r="AP773" s="992"/>
    </row>
    <row r="774" spans="2:48" ht="20.25" customHeight="1" x14ac:dyDescent="0.2">
      <c r="B774" s="1009" t="s">
        <v>513</v>
      </c>
      <c r="C774" s="1009"/>
      <c r="E774" s="189"/>
      <c r="F774" s="191"/>
      <c r="G774" s="189"/>
      <c r="H774" s="191"/>
      <c r="I774" s="189"/>
      <c r="J774" s="191"/>
      <c r="K774" s="189"/>
      <c r="L774" s="191"/>
      <c r="M774" s="189"/>
      <c r="N774" s="191"/>
      <c r="P774" s="189"/>
      <c r="Q774" s="190"/>
      <c r="R774" s="191"/>
      <c r="T774" s="992" t="s">
        <v>512</v>
      </c>
      <c r="U774" s="992"/>
      <c r="V774" s="992"/>
      <c r="W774" s="992"/>
      <c r="X774" s="188"/>
      <c r="Z774" s="1009" t="s">
        <v>513</v>
      </c>
      <c r="AA774" s="1009"/>
      <c r="AC774" s="189"/>
      <c r="AD774" s="191"/>
      <c r="AE774" s="189"/>
      <c r="AF774" s="191"/>
      <c r="AG774" s="189"/>
      <c r="AH774" s="191"/>
      <c r="AI774" s="189"/>
      <c r="AJ774" s="191"/>
      <c r="AK774" s="189"/>
      <c r="AL774" s="191"/>
      <c r="AN774" s="189"/>
      <c r="AO774" s="190"/>
      <c r="AP774" s="191"/>
      <c r="AR774" s="992" t="s">
        <v>512</v>
      </c>
      <c r="AS774" s="992"/>
      <c r="AT774" s="992"/>
      <c r="AU774" s="992"/>
      <c r="AV774" s="187"/>
    </row>
    <row r="775" spans="2:48" ht="20.25" customHeight="1" x14ac:dyDescent="0.2">
      <c r="B775" s="1009" t="s">
        <v>514</v>
      </c>
      <c r="C775" s="1009"/>
      <c r="E775" s="189"/>
      <c r="F775" s="191"/>
      <c r="G775" s="189"/>
      <c r="H775" s="191"/>
      <c r="I775" s="189"/>
      <c r="J775" s="191"/>
      <c r="K775" s="189"/>
      <c r="L775" s="191"/>
      <c r="M775" s="189"/>
      <c r="N775" s="191"/>
      <c r="P775" s="189"/>
      <c r="Q775" s="190"/>
      <c r="R775" s="191"/>
      <c r="T775" s="189"/>
      <c r="U775" s="190"/>
      <c r="V775" s="190"/>
      <c r="W775" s="191"/>
      <c r="X775" s="186"/>
      <c r="Z775" s="1009" t="s">
        <v>514</v>
      </c>
      <c r="AA775" s="1009"/>
      <c r="AC775" s="189"/>
      <c r="AD775" s="191"/>
      <c r="AE775" s="189"/>
      <c r="AF775" s="191"/>
      <c r="AG775" s="189"/>
      <c r="AH775" s="191"/>
      <c r="AI775" s="189"/>
      <c r="AJ775" s="191"/>
      <c r="AK775" s="189"/>
      <c r="AL775" s="191"/>
      <c r="AN775" s="189"/>
      <c r="AO775" s="190"/>
      <c r="AP775" s="191"/>
      <c r="AR775" s="189"/>
      <c r="AS775" s="190"/>
      <c r="AT775" s="190"/>
      <c r="AU775" s="191"/>
    </row>
    <row r="776" spans="2:48" ht="20.25" customHeight="1" x14ac:dyDescent="0.2">
      <c r="B776" s="1009" t="s">
        <v>515</v>
      </c>
      <c r="C776" s="1009"/>
      <c r="E776" s="189"/>
      <c r="F776" s="191"/>
      <c r="G776" s="189"/>
      <c r="H776" s="191"/>
      <c r="I776" s="189"/>
      <c r="J776" s="191"/>
      <c r="K776" s="189"/>
      <c r="L776" s="191"/>
      <c r="M776" s="189"/>
      <c r="N776" s="191"/>
      <c r="P776" s="189"/>
      <c r="Q776" s="190"/>
      <c r="R776" s="191"/>
      <c r="T776" s="189"/>
      <c r="U776" s="190"/>
      <c r="V776" s="190"/>
      <c r="W776" s="191"/>
      <c r="X776" s="186"/>
      <c r="Z776" s="1009" t="s">
        <v>515</v>
      </c>
      <c r="AA776" s="1009"/>
      <c r="AC776" s="189"/>
      <c r="AD776" s="191"/>
      <c r="AE776" s="189"/>
      <c r="AF776" s="191"/>
      <c r="AG776" s="189"/>
      <c r="AH776" s="191"/>
      <c r="AI776" s="189"/>
      <c r="AJ776" s="191"/>
      <c r="AK776" s="189"/>
      <c r="AL776" s="191"/>
      <c r="AN776" s="189"/>
      <c r="AO776" s="190"/>
      <c r="AP776" s="191"/>
      <c r="AR776" s="189"/>
      <c r="AS776" s="190"/>
      <c r="AT776" s="190"/>
      <c r="AU776" s="191"/>
    </row>
    <row r="777" spans="2:48" ht="20.25" customHeight="1" x14ac:dyDescent="0.2">
      <c r="B777" s="1009" t="s">
        <v>516</v>
      </c>
      <c r="C777" s="1009"/>
      <c r="E777" s="189"/>
      <c r="F777" s="191"/>
      <c r="G777" s="189"/>
      <c r="H777" s="191"/>
      <c r="I777" s="189"/>
      <c r="J777" s="191"/>
      <c r="K777" s="189"/>
      <c r="L777" s="191"/>
      <c r="M777" s="189"/>
      <c r="N777" s="191"/>
      <c r="P777" s="189"/>
      <c r="Q777" s="190"/>
      <c r="R777" s="191"/>
      <c r="T777" s="189"/>
      <c r="U777" s="190"/>
      <c r="V777" s="190"/>
      <c r="W777" s="191"/>
      <c r="X777" s="186"/>
      <c r="Z777" s="1009" t="s">
        <v>516</v>
      </c>
      <c r="AA777" s="1009"/>
      <c r="AC777" s="189"/>
      <c r="AD777" s="191"/>
      <c r="AE777" s="189"/>
      <c r="AF777" s="191"/>
      <c r="AG777" s="189"/>
      <c r="AH777" s="191"/>
      <c r="AI777" s="189"/>
      <c r="AJ777" s="191"/>
      <c r="AK777" s="189"/>
      <c r="AL777" s="191"/>
      <c r="AN777" s="189"/>
      <c r="AO777" s="190"/>
      <c r="AP777" s="191"/>
      <c r="AR777" s="189"/>
      <c r="AS777" s="190"/>
      <c r="AT777" s="190"/>
      <c r="AU777" s="191"/>
    </row>
    <row r="778" spans="2:48" ht="20.25" customHeight="1" x14ac:dyDescent="0.2">
      <c r="B778" s="1009" t="s">
        <v>517</v>
      </c>
      <c r="C778" s="1009"/>
      <c r="E778" s="189"/>
      <c r="F778" s="191"/>
      <c r="G778" s="189"/>
      <c r="H778" s="191"/>
      <c r="I778" s="189"/>
      <c r="J778" s="191"/>
      <c r="K778" s="189"/>
      <c r="L778" s="191"/>
      <c r="M778" s="189"/>
      <c r="N778" s="191"/>
      <c r="P778" s="189"/>
      <c r="Q778" s="190"/>
      <c r="R778" s="191"/>
      <c r="T778" s="189"/>
      <c r="U778" s="190"/>
      <c r="V778" s="190"/>
      <c r="W778" s="191"/>
      <c r="X778" s="186"/>
      <c r="Z778" s="1009" t="s">
        <v>517</v>
      </c>
      <c r="AA778" s="1009"/>
      <c r="AC778" s="189"/>
      <c r="AD778" s="191"/>
      <c r="AE778" s="189"/>
      <c r="AF778" s="191"/>
      <c r="AG778" s="189"/>
      <c r="AH778" s="191"/>
      <c r="AI778" s="189"/>
      <c r="AJ778" s="191"/>
      <c r="AK778" s="189"/>
      <c r="AL778" s="191"/>
      <c r="AN778" s="189"/>
      <c r="AO778" s="190"/>
      <c r="AP778" s="191"/>
      <c r="AR778" s="189"/>
      <c r="AS778" s="190"/>
      <c r="AT778" s="190"/>
      <c r="AU778" s="191"/>
    </row>
    <row r="779" spans="2:48" ht="20.25" customHeight="1" x14ac:dyDescent="0.2">
      <c r="B779" s="1009" t="s">
        <v>518</v>
      </c>
      <c r="C779" s="1009"/>
      <c r="E779" s="189"/>
      <c r="F779" s="191"/>
      <c r="G779" s="189"/>
      <c r="H779" s="191"/>
      <c r="I779" s="189"/>
      <c r="J779" s="191"/>
      <c r="K779" s="189"/>
      <c r="L779" s="191"/>
      <c r="M779" s="189"/>
      <c r="N779" s="191"/>
      <c r="P779" s="189"/>
      <c r="Q779" s="190"/>
      <c r="R779" s="191"/>
      <c r="T779" s="189"/>
      <c r="U779" s="190"/>
      <c r="V779" s="190"/>
      <c r="W779" s="191"/>
      <c r="X779" s="186"/>
      <c r="Z779" s="1009" t="s">
        <v>518</v>
      </c>
      <c r="AA779" s="1009"/>
      <c r="AC779" s="189"/>
      <c r="AD779" s="191"/>
      <c r="AE779" s="189"/>
      <c r="AF779" s="191"/>
      <c r="AG779" s="189"/>
      <c r="AH779" s="191"/>
      <c r="AI779" s="189"/>
      <c r="AJ779" s="191"/>
      <c r="AK779" s="189"/>
      <c r="AL779" s="191"/>
      <c r="AN779" s="189"/>
      <c r="AO779" s="190"/>
      <c r="AP779" s="191"/>
      <c r="AR779" s="189"/>
      <c r="AS779" s="190"/>
      <c r="AT779" s="190"/>
      <c r="AU779" s="191"/>
    </row>
    <row r="780" spans="2:48" ht="15.75" thickBot="1" x14ac:dyDescent="0.25">
      <c r="B780" s="187"/>
      <c r="C780" s="187"/>
      <c r="X780" s="186"/>
      <c r="Z780" s="187"/>
      <c r="AA780" s="187"/>
    </row>
    <row r="781" spans="2:48" ht="20.25" customHeight="1" thickBot="1" x14ac:dyDescent="0.25">
      <c r="P781" s="197" t="s">
        <v>519</v>
      </c>
      <c r="Q781" s="197"/>
      <c r="R781" s="197"/>
      <c r="S781" s="197"/>
      <c r="T781" s="192"/>
      <c r="U781" s="193"/>
      <c r="V781" s="193"/>
      <c r="W781" s="194"/>
      <c r="X781" s="186"/>
      <c r="AN781" s="197" t="s">
        <v>519</v>
      </c>
      <c r="AO781" s="197"/>
      <c r="AP781" s="197"/>
      <c r="AQ781" s="197"/>
      <c r="AR781" s="192"/>
      <c r="AS781" s="193"/>
      <c r="AT781" s="193"/>
      <c r="AU781" s="194"/>
    </row>
    <row r="782" spans="2:48" x14ac:dyDescent="0.2">
      <c r="E782" s="196"/>
      <c r="F782" s="196"/>
      <c r="G782" s="196"/>
      <c r="H782" s="196"/>
      <c r="I782" s="196"/>
      <c r="J782" s="196"/>
      <c r="K782" s="196"/>
      <c r="L782" s="196"/>
      <c r="M782" s="196"/>
      <c r="X782" s="186"/>
      <c r="AC782" s="196"/>
      <c r="AD782" s="196"/>
      <c r="AE782" s="196"/>
      <c r="AF782" s="196"/>
      <c r="AG782" s="196"/>
      <c r="AH782" s="196"/>
      <c r="AI782" s="196"/>
      <c r="AJ782" s="196"/>
      <c r="AK782" s="196"/>
    </row>
    <row r="783" spans="2:48" x14ac:dyDescent="0.2">
      <c r="B783" s="1010" t="s">
        <v>521</v>
      </c>
      <c r="C783" s="1010"/>
      <c r="D783" s="1010"/>
      <c r="E783" s="1010"/>
      <c r="F783" s="1010"/>
      <c r="G783" s="1010"/>
      <c r="H783" s="195"/>
      <c r="I783" s="1010" t="s">
        <v>522</v>
      </c>
      <c r="J783" s="1010"/>
      <c r="K783" s="1010"/>
      <c r="L783" s="1010"/>
      <c r="M783" s="1010"/>
      <c r="N783" s="1010"/>
      <c r="O783" s="1010"/>
      <c r="P783" s="1010"/>
      <c r="Q783" s="1010"/>
      <c r="R783" s="1010"/>
      <c r="S783" s="1010"/>
      <c r="T783" s="1010"/>
      <c r="U783" s="1010"/>
      <c r="V783" s="1010"/>
      <c r="W783" s="1010"/>
      <c r="X783" s="198"/>
      <c r="Y783" s="195"/>
      <c r="Z783" s="1010" t="s">
        <v>521</v>
      </c>
      <c r="AA783" s="1010"/>
      <c r="AB783" s="1010"/>
      <c r="AC783" s="1010"/>
      <c r="AD783" s="1010"/>
      <c r="AE783" s="1010"/>
      <c r="AF783" s="195"/>
      <c r="AG783" s="1004" t="s">
        <v>522</v>
      </c>
      <c r="AH783" s="1004"/>
      <c r="AI783" s="1004"/>
      <c r="AJ783" s="1004"/>
      <c r="AK783" s="1004"/>
      <c r="AL783" s="1004"/>
      <c r="AM783" s="1004"/>
      <c r="AN783" s="1004"/>
      <c r="AO783" s="1004"/>
      <c r="AP783" s="1004"/>
      <c r="AQ783" s="1004"/>
      <c r="AR783" s="1004"/>
      <c r="AS783" s="1004"/>
      <c r="AT783" s="1004"/>
      <c r="AU783" s="1004"/>
      <c r="AV783" s="195"/>
    </row>
    <row r="784" spans="2:48" x14ac:dyDescent="0.2">
      <c r="B784" s="1005" t="s">
        <v>520</v>
      </c>
      <c r="C784" s="1006"/>
      <c r="D784" s="1006"/>
      <c r="E784" s="1006"/>
      <c r="F784" s="1006"/>
      <c r="G784" s="1007"/>
      <c r="I784" s="1005" t="s">
        <v>0</v>
      </c>
      <c r="J784" s="1006"/>
      <c r="K784" s="1006"/>
      <c r="L784" s="1006"/>
      <c r="M784" s="1006"/>
      <c r="N784" s="1006"/>
      <c r="O784" s="1006"/>
      <c r="P784" s="1006"/>
      <c r="Q784" s="1006"/>
      <c r="R784" s="1006"/>
      <c r="S784" s="1006"/>
      <c r="T784" s="1006"/>
      <c r="U784" s="1006"/>
      <c r="V784" s="1006"/>
      <c r="W784" s="1007"/>
      <c r="X784" s="186"/>
      <c r="Z784" s="1005" t="s">
        <v>520</v>
      </c>
      <c r="AA784" s="1006"/>
      <c r="AB784" s="1006"/>
      <c r="AC784" s="1006"/>
      <c r="AD784" s="1006"/>
      <c r="AE784" s="1007"/>
      <c r="AG784" s="1005" t="s">
        <v>0</v>
      </c>
      <c r="AH784" s="1006"/>
      <c r="AI784" s="1006"/>
      <c r="AJ784" s="1006"/>
      <c r="AK784" s="1006"/>
      <c r="AL784" s="1006"/>
      <c r="AM784" s="1006"/>
      <c r="AN784" s="1006"/>
      <c r="AO784" s="1006"/>
      <c r="AP784" s="1006"/>
      <c r="AQ784" s="1006"/>
      <c r="AR784" s="1006"/>
      <c r="AS784" s="1006"/>
      <c r="AT784" s="1006"/>
      <c r="AU784" s="1007"/>
    </row>
    <row r="785" spans="2:48" x14ac:dyDescent="0.2">
      <c r="B785" s="199"/>
      <c r="C785" s="200"/>
      <c r="D785" s="200"/>
      <c r="E785" s="200"/>
      <c r="F785" s="200"/>
      <c r="G785" s="201"/>
      <c r="I785" s="199"/>
      <c r="J785" s="200"/>
      <c r="K785" s="200"/>
      <c r="L785" s="200"/>
      <c r="M785" s="200"/>
      <c r="N785" s="200"/>
      <c r="O785" s="200"/>
      <c r="P785" s="200"/>
      <c r="Q785" s="200"/>
      <c r="R785" s="200"/>
      <c r="S785" s="200"/>
      <c r="T785" s="200"/>
      <c r="U785" s="200"/>
      <c r="V785" s="200"/>
      <c r="W785" s="201"/>
      <c r="X785" s="186"/>
      <c r="Z785" s="199"/>
      <c r="AA785" s="200"/>
      <c r="AB785" s="200"/>
      <c r="AC785" s="200"/>
      <c r="AD785" s="200"/>
      <c r="AE785" s="201"/>
      <c r="AG785" s="199"/>
      <c r="AH785" s="200"/>
      <c r="AI785" s="200"/>
      <c r="AJ785" s="200"/>
      <c r="AK785" s="200"/>
      <c r="AL785" s="200"/>
      <c r="AM785" s="200"/>
      <c r="AN785" s="200"/>
      <c r="AO785" s="200"/>
      <c r="AP785" s="200"/>
      <c r="AQ785" s="200"/>
      <c r="AR785" s="200"/>
      <c r="AS785" s="200"/>
      <c r="AT785" s="200"/>
      <c r="AU785" s="201"/>
    </row>
    <row r="786" spans="2:48" x14ac:dyDescent="0.2">
      <c r="X786" s="186"/>
    </row>
    <row r="787" spans="2:48" x14ac:dyDescent="0.2">
      <c r="I787" s="1005" t="s">
        <v>481</v>
      </c>
      <c r="J787" s="1006"/>
      <c r="K787" s="1006"/>
      <c r="L787" s="1006"/>
      <c r="M787" s="1006"/>
      <c r="N787" s="1006"/>
      <c r="O787" s="1006"/>
      <c r="P787" s="1006"/>
      <c r="Q787" s="1007"/>
      <c r="R787" s="1005" t="s">
        <v>520</v>
      </c>
      <c r="S787" s="1006"/>
      <c r="T787" s="1006"/>
      <c r="U787" s="1006"/>
      <c r="V787" s="1006"/>
      <c r="W787" s="1007"/>
      <c r="X787" s="186"/>
      <c r="AG787" s="1005" t="s">
        <v>481</v>
      </c>
      <c r="AH787" s="1006"/>
      <c r="AI787" s="1006"/>
      <c r="AJ787" s="1006"/>
      <c r="AK787" s="1006"/>
      <c r="AL787" s="1006"/>
      <c r="AM787" s="1006"/>
      <c r="AN787" s="1006"/>
      <c r="AO787" s="1007"/>
      <c r="AP787" s="1005" t="s">
        <v>520</v>
      </c>
      <c r="AQ787" s="1006"/>
      <c r="AR787" s="1006"/>
      <c r="AS787" s="1006"/>
      <c r="AT787" s="1006"/>
      <c r="AU787" s="1007"/>
    </row>
    <row r="788" spans="2:48" x14ac:dyDescent="0.2">
      <c r="I788" s="199"/>
      <c r="J788" s="200"/>
      <c r="K788" s="200"/>
      <c r="L788" s="200"/>
      <c r="M788" s="200"/>
      <c r="N788" s="200"/>
      <c r="O788" s="200"/>
      <c r="P788" s="200"/>
      <c r="Q788" s="200"/>
      <c r="R788" s="199"/>
      <c r="S788" s="200"/>
      <c r="T788" s="200"/>
      <c r="U788" s="200"/>
      <c r="V788" s="200"/>
      <c r="W788" s="201"/>
      <c r="X788" s="186"/>
      <c r="AG788" s="199"/>
      <c r="AH788" s="200"/>
      <c r="AI788" s="200"/>
      <c r="AJ788" s="200"/>
      <c r="AK788" s="200"/>
      <c r="AL788" s="200"/>
      <c r="AM788" s="200"/>
      <c r="AN788" s="200"/>
      <c r="AO788" s="200"/>
      <c r="AP788" s="199"/>
      <c r="AQ788" s="200"/>
      <c r="AR788" s="200"/>
      <c r="AS788" s="200"/>
      <c r="AT788" s="200"/>
      <c r="AU788" s="201"/>
    </row>
    <row r="789" spans="2:48" ht="39" customHeight="1" x14ac:dyDescent="0.2">
      <c r="B789" s="392"/>
      <c r="C789" s="392"/>
      <c r="D789" s="392"/>
      <c r="E789" s="392"/>
      <c r="F789" s="392"/>
      <c r="G789" s="392"/>
      <c r="H789" s="392"/>
      <c r="I789" s="392"/>
      <c r="J789" s="392"/>
      <c r="K789" s="392"/>
      <c r="L789" s="392"/>
      <c r="M789" s="392"/>
      <c r="N789" s="392"/>
      <c r="O789" s="392"/>
      <c r="P789" s="392"/>
      <c r="Q789" s="392"/>
      <c r="R789" s="392"/>
      <c r="S789" s="392"/>
      <c r="T789" s="392"/>
      <c r="U789" s="392"/>
      <c r="V789" s="392"/>
      <c r="W789" s="392"/>
      <c r="X789" s="393"/>
      <c r="Y789" s="394"/>
      <c r="Z789" s="392"/>
      <c r="AA789" s="392"/>
      <c r="AB789" s="392"/>
      <c r="AC789" s="392"/>
      <c r="AD789" s="392"/>
      <c r="AE789" s="392"/>
      <c r="AF789" s="392"/>
      <c r="AG789" s="392"/>
      <c r="AH789" s="392"/>
      <c r="AI789" s="392"/>
      <c r="AJ789" s="392"/>
      <c r="AK789" s="392"/>
      <c r="AL789" s="392"/>
      <c r="AM789" s="392"/>
      <c r="AN789" s="392"/>
      <c r="AO789" s="392"/>
      <c r="AP789" s="392"/>
      <c r="AQ789" s="392"/>
      <c r="AR789" s="392"/>
      <c r="AS789" s="392"/>
      <c r="AT789" s="392"/>
      <c r="AU789" s="392"/>
      <c r="AV789" s="392"/>
    </row>
    <row r="790" spans="2:48" ht="39" customHeight="1" x14ac:dyDescent="0.2">
      <c r="B790" s="182"/>
      <c r="C790" s="182"/>
      <c r="D790" s="182"/>
      <c r="E790" s="182"/>
      <c r="F790" s="182"/>
      <c r="G790" s="182"/>
      <c r="H790" s="182"/>
      <c r="I790" s="182"/>
      <c r="J790" s="182"/>
      <c r="K790" s="182"/>
      <c r="L790" s="182"/>
      <c r="M790" s="182"/>
      <c r="N790" s="182"/>
      <c r="O790" s="182"/>
      <c r="P790" s="182"/>
      <c r="Q790" s="182"/>
      <c r="R790" s="182"/>
      <c r="S790" s="182"/>
      <c r="T790" s="182"/>
      <c r="U790" s="182"/>
      <c r="V790" s="182"/>
      <c r="W790" s="182"/>
      <c r="X790" s="183"/>
      <c r="Y790" s="184"/>
      <c r="Z790" s="182"/>
      <c r="AA790" s="182"/>
      <c r="AB790" s="182"/>
      <c r="AC790" s="182"/>
      <c r="AD790" s="182"/>
      <c r="AE790" s="182"/>
      <c r="AF790" s="182"/>
      <c r="AG790" s="182"/>
      <c r="AH790" s="182"/>
      <c r="AI790" s="182"/>
      <c r="AJ790" s="182"/>
      <c r="AK790" s="182"/>
      <c r="AL790" s="182"/>
      <c r="AM790" s="182"/>
      <c r="AN790" s="182"/>
      <c r="AO790" s="182"/>
      <c r="AP790" s="182"/>
      <c r="AQ790" s="182"/>
      <c r="AR790" s="182"/>
      <c r="AS790" s="182"/>
      <c r="AT790" s="182"/>
      <c r="AU790" s="182"/>
      <c r="AV790" s="182"/>
    </row>
    <row r="791" spans="2:48" ht="18" x14ac:dyDescent="0.2">
      <c r="B791" s="182"/>
      <c r="C791" s="182"/>
      <c r="D791" s="182"/>
      <c r="E791" s="182"/>
      <c r="F791" s="182"/>
      <c r="G791" s="182"/>
      <c r="H791" s="992" t="s">
        <v>374</v>
      </c>
      <c r="I791" s="992"/>
      <c r="J791" s="992"/>
      <c r="K791" s="992"/>
      <c r="L791" s="992"/>
      <c r="M791" s="992"/>
      <c r="N791" s="992"/>
      <c r="O791" s="992"/>
      <c r="P791" s="992"/>
      <c r="Q791" s="992"/>
      <c r="R791" s="182"/>
      <c r="S791" s="182"/>
      <c r="T791" s="182"/>
      <c r="U791" s="182"/>
      <c r="V791" s="182"/>
      <c r="W791" s="182"/>
      <c r="X791" s="183"/>
      <c r="Y791" s="182"/>
      <c r="Z791" s="182"/>
      <c r="AA791" s="182"/>
      <c r="AB791" s="182"/>
      <c r="AC791" s="182"/>
      <c r="AD791" s="182"/>
      <c r="AE791" s="992" t="s">
        <v>374</v>
      </c>
      <c r="AF791" s="992"/>
      <c r="AG791" s="992"/>
      <c r="AH791" s="992"/>
      <c r="AI791" s="992"/>
      <c r="AJ791" s="992"/>
      <c r="AK791" s="992"/>
      <c r="AL791" s="992"/>
      <c r="AM791" s="992"/>
      <c r="AN791" s="992"/>
      <c r="AO791" s="182"/>
      <c r="AP791" s="182"/>
      <c r="AQ791" s="182"/>
      <c r="AR791" s="182"/>
      <c r="AS791" s="182"/>
      <c r="AT791" s="182"/>
      <c r="AU791" s="182"/>
      <c r="AV791" s="182"/>
    </row>
    <row r="792" spans="2:48" ht="18" x14ac:dyDescent="0.2">
      <c r="B792" s="182"/>
      <c r="C792" s="182"/>
      <c r="D792" s="182"/>
      <c r="E792" s="182"/>
      <c r="F792" s="182"/>
      <c r="G792" s="182"/>
      <c r="H792" s="1022" t="e">
        <f>VLOOKUP(U801,ID_archer_cible,4,FALSE)</f>
        <v>#N/A</v>
      </c>
      <c r="I792" s="1023"/>
      <c r="J792" s="1023"/>
      <c r="K792" s="1023"/>
      <c r="L792" s="1023"/>
      <c r="M792" s="1023"/>
      <c r="N792" s="1023"/>
      <c r="O792" s="1023"/>
      <c r="P792" s="1023"/>
      <c r="Q792" s="1024"/>
      <c r="R792" s="182"/>
      <c r="S792" s="182"/>
      <c r="T792" s="182"/>
      <c r="U792" s="182"/>
      <c r="V792" s="182"/>
      <c r="W792" s="182"/>
      <c r="X792" s="183"/>
      <c r="Y792" s="182"/>
      <c r="Z792" s="182"/>
      <c r="AA792" s="182"/>
      <c r="AB792" s="182"/>
      <c r="AC792" s="182"/>
      <c r="AD792" s="182"/>
      <c r="AE792" s="1022" t="e">
        <f>VLOOKUP(AS801,ID_archer_cible,4,FALSE)</f>
        <v>#N/A</v>
      </c>
      <c r="AF792" s="1023"/>
      <c r="AG792" s="1023"/>
      <c r="AH792" s="1023"/>
      <c r="AI792" s="1023"/>
      <c r="AJ792" s="1023"/>
      <c r="AK792" s="1023"/>
      <c r="AL792" s="1023"/>
      <c r="AM792" s="1023"/>
      <c r="AN792" s="1024"/>
      <c r="AO792" s="182"/>
      <c r="AP792" s="182"/>
      <c r="AQ792" s="182"/>
      <c r="AR792" s="182"/>
      <c r="AS792" s="182"/>
      <c r="AT792" s="182"/>
      <c r="AU792" s="182"/>
      <c r="AV792" s="182"/>
    </row>
    <row r="793" spans="2:48" x14ac:dyDescent="0.2">
      <c r="X793" s="186"/>
    </row>
    <row r="794" spans="2:48" x14ac:dyDescent="0.2">
      <c r="B794" s="1021" t="s">
        <v>0</v>
      </c>
      <c r="C794" s="1021"/>
      <c r="D794" s="1021"/>
      <c r="E794" s="1021"/>
      <c r="F794" s="1021"/>
      <c r="G794" s="1021"/>
      <c r="H794" s="1021"/>
      <c r="I794" s="1021"/>
      <c r="J794" s="1021"/>
      <c r="K794" s="1021"/>
      <c r="L794" s="1021"/>
      <c r="M794" s="187"/>
      <c r="P794" s="992" t="s">
        <v>375</v>
      </c>
      <c r="Q794" s="992"/>
      <c r="R794" s="992"/>
      <c r="S794" s="992"/>
      <c r="T794" s="992"/>
      <c r="U794" s="992"/>
      <c r="V794" s="992"/>
      <c r="W794" s="992"/>
      <c r="X794" s="188"/>
      <c r="Z794" s="1021" t="s">
        <v>0</v>
      </c>
      <c r="AA794" s="1021"/>
      <c r="AB794" s="1021"/>
      <c r="AC794" s="1021"/>
      <c r="AD794" s="1021"/>
      <c r="AE794" s="1021"/>
      <c r="AF794" s="1021"/>
      <c r="AG794" s="1021"/>
      <c r="AH794" s="1021"/>
      <c r="AI794" s="1021"/>
      <c r="AJ794" s="1021"/>
      <c r="AK794" s="187"/>
      <c r="AN794" s="992" t="s">
        <v>375</v>
      </c>
      <c r="AO794" s="992"/>
      <c r="AP794" s="992"/>
      <c r="AQ794" s="992"/>
      <c r="AR794" s="992"/>
      <c r="AS794" s="992"/>
      <c r="AT794" s="992"/>
      <c r="AU794" s="992"/>
      <c r="AV794" s="187"/>
    </row>
    <row r="795" spans="2:48" x14ac:dyDescent="0.2">
      <c r="B795" s="999" t="e">
        <f>VLOOKUP(U801,ID_archer_cible,2,FALSE)</f>
        <v>#N/A</v>
      </c>
      <c r="C795" s="1000"/>
      <c r="D795" s="1000"/>
      <c r="E795" s="1000"/>
      <c r="F795" s="1000"/>
      <c r="G795" s="1000"/>
      <c r="H795" s="1000"/>
      <c r="I795" s="1000"/>
      <c r="J795" s="1000"/>
      <c r="K795" s="1000"/>
      <c r="L795" s="1000"/>
      <c r="M795" s="1001"/>
      <c r="P795" s="999" t="e">
        <f>VLOOKUP(U801,ID_archer_cible,3,FALSE)</f>
        <v>#N/A</v>
      </c>
      <c r="Q795" s="1000"/>
      <c r="R795" s="1000"/>
      <c r="S795" s="1000"/>
      <c r="T795" s="1000"/>
      <c r="U795" s="1000"/>
      <c r="V795" s="1000"/>
      <c r="W795" s="1001"/>
      <c r="X795" s="186"/>
      <c r="Y795"/>
      <c r="Z795" s="999" t="e">
        <f>VLOOKUP(AS801,ID_archer_cible,2,FALSE)</f>
        <v>#N/A</v>
      </c>
      <c r="AA795" s="1000"/>
      <c r="AB795" s="1000"/>
      <c r="AC795" s="1000"/>
      <c r="AD795" s="1000"/>
      <c r="AE795" s="1000"/>
      <c r="AF795" s="1000"/>
      <c r="AG795" s="1000"/>
      <c r="AH795" s="1000"/>
      <c r="AI795" s="1000"/>
      <c r="AJ795" s="1000"/>
      <c r="AK795" s="1001"/>
      <c r="AN795" s="999" t="e">
        <f>VLOOKUP(AS801,ID_archer_cible,3,FALSE)</f>
        <v>#N/A</v>
      </c>
      <c r="AO795" s="1000"/>
      <c r="AP795" s="1000"/>
      <c r="AQ795" s="1000"/>
      <c r="AR795" s="1000"/>
      <c r="AS795" s="1000"/>
      <c r="AT795" s="1000"/>
      <c r="AU795" s="1001"/>
    </row>
    <row r="796" spans="2:48" x14ac:dyDescent="0.2">
      <c r="X796" s="186"/>
      <c r="Y796"/>
    </row>
    <row r="797" spans="2:48" ht="16.5" thickBot="1" x14ac:dyDescent="0.25">
      <c r="B797" s="1017" t="s">
        <v>1</v>
      </c>
      <c r="C797" s="1017"/>
      <c r="D797" s="1017"/>
      <c r="E797" s="1017"/>
      <c r="F797" s="1017"/>
      <c r="G797" s="1017"/>
      <c r="H797" s="1017"/>
      <c r="I797" s="1017"/>
      <c r="J797" s="1017"/>
      <c r="L797" s="1017" t="s">
        <v>505</v>
      </c>
      <c r="M797" s="1017"/>
      <c r="N797" s="1017"/>
      <c r="O797" s="1017"/>
      <c r="P797" s="1017"/>
      <c r="Q797" s="1017"/>
      <c r="S797" s="992" t="s">
        <v>506</v>
      </c>
      <c r="T797" s="992"/>
      <c r="U797" s="992"/>
      <c r="V797" s="992"/>
      <c r="W797" s="992"/>
      <c r="X797" s="188"/>
      <c r="Y797"/>
      <c r="Z797" s="1017" t="s">
        <v>1</v>
      </c>
      <c r="AA797" s="1017"/>
      <c r="AB797" s="1017"/>
      <c r="AC797" s="1017"/>
      <c r="AD797" s="1017"/>
      <c r="AE797" s="1017"/>
      <c r="AF797" s="1017"/>
      <c r="AG797" s="1017"/>
      <c r="AH797" s="1017"/>
      <c r="AJ797" s="1017" t="s">
        <v>505</v>
      </c>
      <c r="AK797" s="1017"/>
      <c r="AL797" s="1017"/>
      <c r="AM797" s="1017"/>
      <c r="AN797" s="1017"/>
      <c r="AO797" s="1017"/>
      <c r="AQ797" s="992" t="s">
        <v>506</v>
      </c>
      <c r="AR797" s="992"/>
      <c r="AS797" s="992"/>
      <c r="AT797" s="992"/>
      <c r="AU797" s="992"/>
      <c r="AV797" s="187"/>
    </row>
    <row r="798" spans="2:48" ht="16.5" thickBot="1" x14ac:dyDescent="0.25">
      <c r="B798" s="1014" t="e">
        <f>VLOOKUP(U801,ID_archer_cible,5,FALSE)</f>
        <v>#N/A</v>
      </c>
      <c r="C798" s="1015"/>
      <c r="D798" s="1015"/>
      <c r="E798" s="1015"/>
      <c r="F798" s="1015"/>
      <c r="G798" s="1015"/>
      <c r="H798" s="1015"/>
      <c r="I798" s="1015"/>
      <c r="J798" s="1016"/>
      <c r="L798" s="1014" t="e">
        <f>VLOOKUP(U801,ID_archer_cible,6,FALSE)</f>
        <v>#N/A</v>
      </c>
      <c r="M798" s="1015"/>
      <c r="N798" s="1015"/>
      <c r="O798" s="1015"/>
      <c r="P798" s="1015"/>
      <c r="Q798" s="1016"/>
      <c r="S798" s="999" t="e">
        <f>VLOOKUP(U801,ID_archer_cible,8,FALSE)</f>
        <v>#N/A</v>
      </c>
      <c r="T798" s="1000"/>
      <c r="U798" s="1000"/>
      <c r="V798" s="1000"/>
      <c r="W798" s="1001"/>
      <c r="X798" s="186"/>
      <c r="Y798"/>
      <c r="Z798" s="1014" t="e">
        <f>VLOOKUP(AS801,ID_archer_cible,5,FALSE)</f>
        <v>#N/A</v>
      </c>
      <c r="AA798" s="1015"/>
      <c r="AB798" s="1015"/>
      <c r="AC798" s="1015"/>
      <c r="AD798" s="1015"/>
      <c r="AE798" s="1015"/>
      <c r="AF798" s="1015"/>
      <c r="AG798" s="1015"/>
      <c r="AH798" s="1016"/>
      <c r="AJ798" s="1014" t="e">
        <f>VLOOKUP(AS801,ID_archer_cible,6,FALSE)</f>
        <v>#N/A</v>
      </c>
      <c r="AK798" s="1015"/>
      <c r="AL798" s="1015"/>
      <c r="AM798" s="1015"/>
      <c r="AN798" s="1015"/>
      <c r="AO798" s="1016"/>
      <c r="AQ798" s="999" t="e">
        <f>VLOOKUP(AS801,ID_archer_cible,8,FALSE)</f>
        <v>#N/A</v>
      </c>
      <c r="AR798" s="1000"/>
      <c r="AS798" s="1000"/>
      <c r="AT798" s="1000"/>
      <c r="AU798" s="1001"/>
    </row>
    <row r="799" spans="2:48" x14ac:dyDescent="0.2">
      <c r="X799" s="186"/>
      <c r="Y799"/>
    </row>
    <row r="800" spans="2:48" x14ac:dyDescent="0.2">
      <c r="B800" s="992" t="s">
        <v>530</v>
      </c>
      <c r="C800" s="992"/>
      <c r="D800" s="992"/>
      <c r="E800" s="992"/>
      <c r="F800" s="992"/>
      <c r="G800" s="187"/>
      <c r="H800" s="992" t="s">
        <v>504</v>
      </c>
      <c r="I800" s="992"/>
      <c r="J800" s="992"/>
      <c r="K800" s="992"/>
      <c r="M800" s="992" t="s">
        <v>39</v>
      </c>
      <c r="N800" s="992"/>
      <c r="O800" s="992"/>
      <c r="Q800" s="1021"/>
      <c r="R800" s="1021"/>
      <c r="S800" s="1021"/>
      <c r="U800" s="992" t="s">
        <v>507</v>
      </c>
      <c r="V800" s="992"/>
      <c r="W800" s="992"/>
      <c r="X800" s="188"/>
      <c r="Y800"/>
      <c r="Z800" s="992" t="s">
        <v>530</v>
      </c>
      <c r="AA800" s="992"/>
      <c r="AB800" s="992"/>
      <c r="AC800" s="992"/>
      <c r="AD800" s="992"/>
      <c r="AE800" s="187"/>
      <c r="AF800" s="992" t="s">
        <v>504</v>
      </c>
      <c r="AG800" s="992"/>
      <c r="AH800" s="992"/>
      <c r="AI800" s="992"/>
      <c r="AK800" s="992" t="s">
        <v>39</v>
      </c>
      <c r="AL800" s="992"/>
      <c r="AM800" s="992"/>
      <c r="AO800" s="1021"/>
      <c r="AP800" s="1021"/>
      <c r="AQ800" s="1021"/>
      <c r="AS800" s="992" t="s">
        <v>507</v>
      </c>
      <c r="AT800" s="992"/>
      <c r="AU800" s="992"/>
      <c r="AV800" s="187"/>
    </row>
    <row r="801" spans="2:48" ht="15.75" x14ac:dyDescent="0.2">
      <c r="B801" s="1011" t="e">
        <f>VLOOKUP(U801,ID_archer_cible,7,FALSE)</f>
        <v>#N/A</v>
      </c>
      <c r="C801" s="1012"/>
      <c r="D801" s="1012"/>
      <c r="E801" s="1012"/>
      <c r="F801" s="1013"/>
      <c r="H801" s="999" t="e">
        <f>VLOOKUP(U801,ID_archer_cible,9,FALSE)</f>
        <v>#N/A</v>
      </c>
      <c r="I801" s="1000"/>
      <c r="J801" s="1000"/>
      <c r="K801" s="1001"/>
      <c r="M801" s="999" t="e">
        <f>VLOOKUP(U801,ID_archer_cible,10,FALSE)</f>
        <v>#N/A</v>
      </c>
      <c r="N801" s="1000"/>
      <c r="O801" s="1001"/>
      <c r="Q801" s="1021"/>
      <c r="R801" s="1021"/>
      <c r="S801" s="1021"/>
      <c r="T801" s="187"/>
      <c r="U801" s="996" t="str">
        <f>AR759&amp;"C"</f>
        <v>13C</v>
      </c>
      <c r="V801" s="997"/>
      <c r="W801" s="998"/>
      <c r="X801" s="188"/>
      <c r="Y801"/>
      <c r="Z801" s="1011" t="e">
        <f>VLOOKUP(AS801,ID_archer_cible,7,FALSE)</f>
        <v>#N/A</v>
      </c>
      <c r="AA801" s="1012"/>
      <c r="AB801" s="1012"/>
      <c r="AC801" s="1012"/>
      <c r="AD801" s="1013"/>
      <c r="AF801" s="999" t="e">
        <f>VLOOKUP(AS801,ID_archer_cible,9,FALSE)</f>
        <v>#N/A</v>
      </c>
      <c r="AG801" s="1000"/>
      <c r="AH801" s="1000"/>
      <c r="AI801" s="1001"/>
      <c r="AK801" s="999" t="e">
        <f>VLOOKUP(AS801,ID_archer_cible,10,FALSE)</f>
        <v>#N/A</v>
      </c>
      <c r="AL801" s="1000"/>
      <c r="AM801" s="1001"/>
      <c r="AO801" s="1021"/>
      <c r="AP801" s="1021"/>
      <c r="AQ801" s="1021"/>
      <c r="AR801" s="187"/>
      <c r="AS801" s="996" t="str">
        <f>AR759&amp;"D"</f>
        <v>13D</v>
      </c>
      <c r="AT801" s="997"/>
      <c r="AU801" s="998"/>
      <c r="AV801" s="187"/>
    </row>
    <row r="802" spans="2:48" x14ac:dyDescent="0.2">
      <c r="X802" s="186"/>
    </row>
    <row r="803" spans="2:48" x14ac:dyDescent="0.2">
      <c r="B803" s="185" t="s">
        <v>509</v>
      </c>
      <c r="E803" s="992" t="s">
        <v>510</v>
      </c>
      <c r="F803" s="992"/>
      <c r="G803" s="992"/>
      <c r="H803" s="992"/>
      <c r="I803" s="992"/>
      <c r="J803" s="992"/>
      <c r="K803" s="992"/>
      <c r="L803" s="992"/>
      <c r="M803" s="992"/>
      <c r="N803" s="992"/>
      <c r="P803" s="992" t="s">
        <v>511</v>
      </c>
      <c r="Q803" s="992"/>
      <c r="R803" s="992"/>
      <c r="X803" s="186"/>
      <c r="Z803" s="185" t="s">
        <v>509</v>
      </c>
      <c r="AC803" s="992" t="s">
        <v>510</v>
      </c>
      <c r="AD803" s="992"/>
      <c r="AE803" s="992"/>
      <c r="AF803" s="992"/>
      <c r="AG803" s="992"/>
      <c r="AH803" s="992"/>
      <c r="AI803" s="992"/>
      <c r="AJ803" s="992"/>
      <c r="AK803" s="992"/>
      <c r="AL803" s="992"/>
      <c r="AN803" s="992" t="s">
        <v>511</v>
      </c>
      <c r="AO803" s="992"/>
      <c r="AP803" s="992"/>
    </row>
    <row r="804" spans="2:48" ht="20.25" customHeight="1" x14ac:dyDescent="0.2">
      <c r="B804" s="1009" t="s">
        <v>513</v>
      </c>
      <c r="C804" s="1009"/>
      <c r="E804" s="189"/>
      <c r="F804" s="191"/>
      <c r="G804" s="189"/>
      <c r="H804" s="191"/>
      <c r="I804" s="189"/>
      <c r="J804" s="191"/>
      <c r="K804" s="189"/>
      <c r="L804" s="191"/>
      <c r="M804" s="189"/>
      <c r="N804" s="191"/>
      <c r="P804" s="189"/>
      <c r="Q804" s="190"/>
      <c r="R804" s="191"/>
      <c r="T804" s="992" t="s">
        <v>512</v>
      </c>
      <c r="U804" s="992"/>
      <c r="V804" s="992"/>
      <c r="W804" s="992"/>
      <c r="X804" s="188"/>
      <c r="Z804" s="1009" t="s">
        <v>513</v>
      </c>
      <c r="AA804" s="1009"/>
      <c r="AC804" s="189"/>
      <c r="AD804" s="191"/>
      <c r="AE804" s="189"/>
      <c r="AF804" s="191"/>
      <c r="AG804" s="189"/>
      <c r="AH804" s="191"/>
      <c r="AI804" s="189"/>
      <c r="AJ804" s="191"/>
      <c r="AK804" s="189"/>
      <c r="AL804" s="191"/>
      <c r="AN804" s="189"/>
      <c r="AO804" s="190"/>
      <c r="AP804" s="191"/>
      <c r="AR804" s="992" t="s">
        <v>512</v>
      </c>
      <c r="AS804" s="992"/>
      <c r="AT804" s="992"/>
      <c r="AU804" s="992"/>
      <c r="AV804" s="187"/>
    </row>
    <row r="805" spans="2:48" ht="20.25" customHeight="1" x14ac:dyDescent="0.2">
      <c r="B805" s="1009" t="s">
        <v>514</v>
      </c>
      <c r="C805" s="1009"/>
      <c r="E805" s="189"/>
      <c r="F805" s="191"/>
      <c r="G805" s="189"/>
      <c r="H805" s="191"/>
      <c r="I805" s="189"/>
      <c r="J805" s="191"/>
      <c r="K805" s="189"/>
      <c r="L805" s="191"/>
      <c r="M805" s="189"/>
      <c r="N805" s="191"/>
      <c r="P805" s="189"/>
      <c r="Q805" s="190"/>
      <c r="R805" s="191"/>
      <c r="T805" s="189"/>
      <c r="U805" s="190"/>
      <c r="V805" s="190"/>
      <c r="W805" s="191"/>
      <c r="X805" s="186"/>
      <c r="Z805" s="1009" t="s">
        <v>514</v>
      </c>
      <c r="AA805" s="1009"/>
      <c r="AC805" s="189"/>
      <c r="AD805" s="191"/>
      <c r="AE805" s="189"/>
      <c r="AF805" s="191"/>
      <c r="AG805" s="189"/>
      <c r="AH805" s="191"/>
      <c r="AI805" s="189"/>
      <c r="AJ805" s="191"/>
      <c r="AK805" s="189"/>
      <c r="AL805" s="191"/>
      <c r="AN805" s="189"/>
      <c r="AO805" s="190"/>
      <c r="AP805" s="191"/>
      <c r="AR805" s="189"/>
      <c r="AS805" s="190"/>
      <c r="AT805" s="190"/>
      <c r="AU805" s="191"/>
    </row>
    <row r="806" spans="2:48" ht="20.25" customHeight="1" x14ac:dyDescent="0.2">
      <c r="B806" s="1009" t="s">
        <v>515</v>
      </c>
      <c r="C806" s="1009"/>
      <c r="E806" s="189"/>
      <c r="F806" s="191"/>
      <c r="G806" s="189"/>
      <c r="H806" s="191"/>
      <c r="I806" s="189"/>
      <c r="J806" s="191"/>
      <c r="K806" s="189"/>
      <c r="L806" s="191"/>
      <c r="M806" s="189"/>
      <c r="N806" s="191"/>
      <c r="P806" s="189"/>
      <c r="Q806" s="190"/>
      <c r="R806" s="191"/>
      <c r="T806" s="189"/>
      <c r="U806" s="190"/>
      <c r="V806" s="190"/>
      <c r="W806" s="191"/>
      <c r="X806" s="186"/>
      <c r="Z806" s="1009" t="s">
        <v>515</v>
      </c>
      <c r="AA806" s="1009"/>
      <c r="AC806" s="189"/>
      <c r="AD806" s="191"/>
      <c r="AE806" s="189"/>
      <c r="AF806" s="191"/>
      <c r="AG806" s="189"/>
      <c r="AH806" s="191"/>
      <c r="AI806" s="189"/>
      <c r="AJ806" s="191"/>
      <c r="AK806" s="189"/>
      <c r="AL806" s="191"/>
      <c r="AN806" s="189"/>
      <c r="AO806" s="190"/>
      <c r="AP806" s="191"/>
      <c r="AR806" s="189"/>
      <c r="AS806" s="190"/>
      <c r="AT806" s="190"/>
      <c r="AU806" s="191"/>
    </row>
    <row r="807" spans="2:48" ht="20.25" customHeight="1" x14ac:dyDescent="0.2">
      <c r="B807" s="1009" t="s">
        <v>516</v>
      </c>
      <c r="C807" s="1009"/>
      <c r="E807" s="189"/>
      <c r="F807" s="191"/>
      <c r="G807" s="189"/>
      <c r="H807" s="191"/>
      <c r="I807" s="189"/>
      <c r="J807" s="191"/>
      <c r="K807" s="189"/>
      <c r="L807" s="191"/>
      <c r="M807" s="189"/>
      <c r="N807" s="191"/>
      <c r="P807" s="189"/>
      <c r="Q807" s="190"/>
      <c r="R807" s="191"/>
      <c r="T807" s="189"/>
      <c r="U807" s="190"/>
      <c r="V807" s="190"/>
      <c r="W807" s="191"/>
      <c r="X807" s="186"/>
      <c r="Z807" s="1009" t="s">
        <v>516</v>
      </c>
      <c r="AA807" s="1009"/>
      <c r="AC807" s="189"/>
      <c r="AD807" s="191"/>
      <c r="AE807" s="189"/>
      <c r="AF807" s="191"/>
      <c r="AG807" s="189"/>
      <c r="AH807" s="191"/>
      <c r="AI807" s="189"/>
      <c r="AJ807" s="191"/>
      <c r="AK807" s="189"/>
      <c r="AL807" s="191"/>
      <c r="AN807" s="189"/>
      <c r="AO807" s="190"/>
      <c r="AP807" s="191"/>
      <c r="AR807" s="189"/>
      <c r="AS807" s="190"/>
      <c r="AT807" s="190"/>
      <c r="AU807" s="191"/>
    </row>
    <row r="808" spans="2:48" ht="20.25" customHeight="1" x14ac:dyDescent="0.2">
      <c r="B808" s="1009" t="s">
        <v>517</v>
      </c>
      <c r="C808" s="1009"/>
      <c r="E808" s="189"/>
      <c r="F808" s="191"/>
      <c r="G808" s="189"/>
      <c r="H808" s="191"/>
      <c r="I808" s="189"/>
      <c r="J808" s="191"/>
      <c r="K808" s="189"/>
      <c r="L808" s="191"/>
      <c r="M808" s="189"/>
      <c r="N808" s="191"/>
      <c r="P808" s="189"/>
      <c r="Q808" s="190"/>
      <c r="R808" s="191"/>
      <c r="T808" s="189"/>
      <c r="U808" s="190"/>
      <c r="V808" s="190"/>
      <c r="W808" s="191"/>
      <c r="X808" s="186"/>
      <c r="Z808" s="1009" t="s">
        <v>517</v>
      </c>
      <c r="AA808" s="1009"/>
      <c r="AC808" s="189"/>
      <c r="AD808" s="191"/>
      <c r="AE808" s="189"/>
      <c r="AF808" s="191"/>
      <c r="AG808" s="189"/>
      <c r="AH808" s="191"/>
      <c r="AI808" s="189"/>
      <c r="AJ808" s="191"/>
      <c r="AK808" s="189"/>
      <c r="AL808" s="191"/>
      <c r="AN808" s="189"/>
      <c r="AO808" s="190"/>
      <c r="AP808" s="191"/>
      <c r="AR808" s="189"/>
      <c r="AS808" s="190"/>
      <c r="AT808" s="190"/>
      <c r="AU808" s="191"/>
    </row>
    <row r="809" spans="2:48" ht="20.25" customHeight="1" x14ac:dyDescent="0.2">
      <c r="B809" s="1009" t="s">
        <v>518</v>
      </c>
      <c r="C809" s="1009"/>
      <c r="E809" s="189"/>
      <c r="F809" s="191"/>
      <c r="G809" s="189"/>
      <c r="H809" s="191"/>
      <c r="I809" s="189"/>
      <c r="J809" s="191"/>
      <c r="K809" s="189"/>
      <c r="L809" s="191"/>
      <c r="M809" s="189"/>
      <c r="N809" s="191"/>
      <c r="P809" s="189"/>
      <c r="Q809" s="190"/>
      <c r="R809" s="191"/>
      <c r="T809" s="189"/>
      <c r="U809" s="190"/>
      <c r="V809" s="190"/>
      <c r="W809" s="191"/>
      <c r="X809" s="186"/>
      <c r="Z809" s="1009" t="s">
        <v>518</v>
      </c>
      <c r="AA809" s="1009"/>
      <c r="AC809" s="189"/>
      <c r="AD809" s="191"/>
      <c r="AE809" s="189"/>
      <c r="AF809" s="191"/>
      <c r="AG809" s="189"/>
      <c r="AH809" s="191"/>
      <c r="AI809" s="189"/>
      <c r="AJ809" s="191"/>
      <c r="AK809" s="189"/>
      <c r="AL809" s="191"/>
      <c r="AN809" s="189"/>
      <c r="AO809" s="190"/>
      <c r="AP809" s="191"/>
      <c r="AR809" s="189"/>
      <c r="AS809" s="190"/>
      <c r="AT809" s="190"/>
      <c r="AU809" s="191"/>
    </row>
    <row r="810" spans="2:48" ht="15.75" thickBot="1" x14ac:dyDescent="0.25">
      <c r="B810" s="187"/>
      <c r="C810" s="187"/>
      <c r="X810" s="186"/>
      <c r="Z810" s="187"/>
      <c r="AA810" s="187"/>
    </row>
    <row r="811" spans="2:48" ht="20.25" customHeight="1" thickBot="1" x14ac:dyDescent="0.25">
      <c r="P811" s="197" t="s">
        <v>519</v>
      </c>
      <c r="Q811" s="197"/>
      <c r="R811" s="197"/>
      <c r="S811" s="197"/>
      <c r="T811" s="192"/>
      <c r="U811" s="193"/>
      <c r="V811" s="193"/>
      <c r="W811" s="194"/>
      <c r="X811" s="186"/>
      <c r="AN811" s="197" t="s">
        <v>519</v>
      </c>
      <c r="AO811" s="197"/>
      <c r="AP811" s="197"/>
      <c r="AQ811" s="197"/>
      <c r="AR811" s="192"/>
      <c r="AS811" s="193"/>
      <c r="AT811" s="193"/>
      <c r="AU811" s="194"/>
    </row>
    <row r="812" spans="2:48" x14ac:dyDescent="0.2">
      <c r="E812" s="196"/>
      <c r="F812" s="196"/>
      <c r="G812" s="196"/>
      <c r="H812" s="196"/>
      <c r="I812" s="196"/>
      <c r="J812" s="196"/>
      <c r="K812" s="196"/>
      <c r="L812" s="196"/>
      <c r="M812" s="196"/>
      <c r="X812" s="186"/>
      <c r="AC812" s="196"/>
      <c r="AD812" s="196"/>
      <c r="AE812" s="196"/>
      <c r="AF812" s="196"/>
      <c r="AG812" s="196"/>
      <c r="AH812" s="196"/>
      <c r="AI812" s="196"/>
      <c r="AJ812" s="196"/>
      <c r="AK812" s="196"/>
    </row>
    <row r="813" spans="2:48" x14ac:dyDescent="0.2">
      <c r="B813" s="1010" t="s">
        <v>521</v>
      </c>
      <c r="C813" s="1010"/>
      <c r="D813" s="1010"/>
      <c r="E813" s="1010"/>
      <c r="F813" s="1010"/>
      <c r="G813" s="1010"/>
      <c r="H813" s="195"/>
      <c r="I813" s="1004" t="s">
        <v>522</v>
      </c>
      <c r="J813" s="1004"/>
      <c r="K813" s="1004"/>
      <c r="L813" s="1004"/>
      <c r="M813" s="1004"/>
      <c r="N813" s="1004"/>
      <c r="O813" s="1004"/>
      <c r="P813" s="1004"/>
      <c r="Q813" s="1004"/>
      <c r="R813" s="1004"/>
      <c r="S813" s="1004"/>
      <c r="T813" s="1004"/>
      <c r="U813" s="1004"/>
      <c r="V813" s="1004"/>
      <c r="W813" s="1004"/>
      <c r="X813" s="198"/>
      <c r="Y813" s="195"/>
      <c r="Z813" s="1010" t="s">
        <v>521</v>
      </c>
      <c r="AA813" s="1010"/>
      <c r="AB813" s="1010"/>
      <c r="AC813" s="1010"/>
      <c r="AD813" s="1010"/>
      <c r="AE813" s="1010"/>
      <c r="AF813" s="195"/>
      <c r="AG813" s="1004" t="s">
        <v>522</v>
      </c>
      <c r="AH813" s="1004"/>
      <c r="AI813" s="1004"/>
      <c r="AJ813" s="1004"/>
      <c r="AK813" s="1004"/>
      <c r="AL813" s="1004"/>
      <c r="AM813" s="1004"/>
      <c r="AN813" s="1004"/>
      <c r="AO813" s="1004"/>
      <c r="AP813" s="1004"/>
      <c r="AQ813" s="1004"/>
      <c r="AR813" s="1004"/>
      <c r="AS813" s="1004"/>
      <c r="AT813" s="1004"/>
      <c r="AU813" s="1004"/>
      <c r="AV813" s="195"/>
    </row>
    <row r="814" spans="2:48" x14ac:dyDescent="0.2">
      <c r="B814" s="1005" t="s">
        <v>520</v>
      </c>
      <c r="C814" s="1006"/>
      <c r="D814" s="1006"/>
      <c r="E814" s="1006"/>
      <c r="F814" s="1006"/>
      <c r="G814" s="1007"/>
      <c r="I814" s="1005" t="s">
        <v>0</v>
      </c>
      <c r="J814" s="1006"/>
      <c r="K814" s="1006"/>
      <c r="L814" s="1006"/>
      <c r="M814" s="1006"/>
      <c r="N814" s="1006"/>
      <c r="O814" s="1006"/>
      <c r="P814" s="1006"/>
      <c r="Q814" s="1006"/>
      <c r="R814" s="1006"/>
      <c r="S814" s="1006"/>
      <c r="T814" s="1006"/>
      <c r="U814" s="1006"/>
      <c r="V814" s="1006"/>
      <c r="W814" s="1007"/>
      <c r="X814" s="186"/>
      <c r="Z814" s="1005" t="s">
        <v>520</v>
      </c>
      <c r="AA814" s="1006"/>
      <c r="AB814" s="1006"/>
      <c r="AC814" s="1006"/>
      <c r="AD814" s="1006"/>
      <c r="AE814" s="1007"/>
      <c r="AG814" s="1005" t="s">
        <v>0</v>
      </c>
      <c r="AH814" s="1006"/>
      <c r="AI814" s="1006"/>
      <c r="AJ814" s="1006"/>
      <c r="AK814" s="1006"/>
      <c r="AL814" s="1006"/>
      <c r="AM814" s="1006"/>
      <c r="AN814" s="1006"/>
      <c r="AO814" s="1006"/>
      <c r="AP814" s="1006"/>
      <c r="AQ814" s="1006"/>
      <c r="AR814" s="1006"/>
      <c r="AS814" s="1006"/>
      <c r="AT814" s="1006"/>
      <c r="AU814" s="1007"/>
    </row>
    <row r="815" spans="2:48" x14ac:dyDescent="0.2">
      <c r="B815" s="199"/>
      <c r="C815" s="200"/>
      <c r="D815" s="200"/>
      <c r="E815" s="200"/>
      <c r="F815" s="200"/>
      <c r="G815" s="201"/>
      <c r="I815" s="199"/>
      <c r="J815" s="200"/>
      <c r="K815" s="200"/>
      <c r="L815" s="200"/>
      <c r="M815" s="200"/>
      <c r="N815" s="200"/>
      <c r="O815" s="200"/>
      <c r="P815" s="200"/>
      <c r="Q815" s="200"/>
      <c r="R815" s="200"/>
      <c r="S815" s="200"/>
      <c r="T815" s="200"/>
      <c r="U815" s="200"/>
      <c r="V815" s="200"/>
      <c r="W815" s="201"/>
      <c r="X815" s="186"/>
      <c r="Z815" s="199"/>
      <c r="AA815" s="200"/>
      <c r="AB815" s="200"/>
      <c r="AC815" s="200"/>
      <c r="AD815" s="200"/>
      <c r="AE815" s="201"/>
      <c r="AG815" s="199"/>
      <c r="AH815" s="200"/>
      <c r="AI815" s="200"/>
      <c r="AJ815" s="200"/>
      <c r="AK815" s="200"/>
      <c r="AL815" s="200"/>
      <c r="AM815" s="200"/>
      <c r="AN815" s="200"/>
      <c r="AO815" s="200"/>
      <c r="AP815" s="200"/>
      <c r="AQ815" s="200"/>
      <c r="AR815" s="200"/>
      <c r="AS815" s="200"/>
      <c r="AT815" s="200"/>
      <c r="AU815" s="201"/>
    </row>
    <row r="816" spans="2:48" x14ac:dyDescent="0.2">
      <c r="X816" s="186"/>
    </row>
    <row r="817" spans="2:48" x14ac:dyDescent="0.2">
      <c r="I817" s="1005" t="s">
        <v>481</v>
      </c>
      <c r="J817" s="1006"/>
      <c r="K817" s="1006"/>
      <c r="L817" s="1006"/>
      <c r="M817" s="1006"/>
      <c r="N817" s="1006"/>
      <c r="O817" s="1006"/>
      <c r="P817" s="1006"/>
      <c r="Q817" s="1007"/>
      <c r="R817" s="1005" t="s">
        <v>520</v>
      </c>
      <c r="S817" s="1006"/>
      <c r="T817" s="1006"/>
      <c r="U817" s="1006"/>
      <c r="V817" s="1006"/>
      <c r="W817" s="1007"/>
      <c r="X817" s="186"/>
      <c r="AG817" s="1005" t="s">
        <v>481</v>
      </c>
      <c r="AH817" s="1006"/>
      <c r="AI817" s="1006"/>
      <c r="AJ817" s="1006"/>
      <c r="AK817" s="1006"/>
      <c r="AL817" s="1006"/>
      <c r="AM817" s="1006"/>
      <c r="AN817" s="1006"/>
      <c r="AO817" s="1007"/>
      <c r="AP817" s="1005" t="s">
        <v>520</v>
      </c>
      <c r="AQ817" s="1006"/>
      <c r="AR817" s="1006"/>
      <c r="AS817" s="1006"/>
      <c r="AT817" s="1006"/>
      <c r="AU817" s="1007"/>
    </row>
    <row r="818" spans="2:48" x14ac:dyDescent="0.2">
      <c r="I818" s="199"/>
      <c r="J818" s="200"/>
      <c r="K818" s="200"/>
      <c r="L818" s="200"/>
      <c r="M818" s="200"/>
      <c r="N818" s="200"/>
      <c r="O818" s="200"/>
      <c r="P818" s="200"/>
      <c r="Q818" s="200"/>
      <c r="R818" s="199"/>
      <c r="S818" s="200"/>
      <c r="T818" s="200"/>
      <c r="U818" s="200"/>
      <c r="V818" s="200"/>
      <c r="W818" s="201"/>
      <c r="X818" s="186"/>
      <c r="AG818" s="199"/>
      <c r="AH818" s="200"/>
      <c r="AI818" s="200"/>
      <c r="AJ818" s="200"/>
      <c r="AK818" s="200"/>
      <c r="AL818" s="200"/>
      <c r="AM818" s="200"/>
      <c r="AN818" s="200"/>
      <c r="AO818" s="200"/>
      <c r="AP818" s="199"/>
      <c r="AQ818" s="200"/>
      <c r="AR818" s="200"/>
      <c r="AS818" s="200"/>
      <c r="AT818" s="200"/>
      <c r="AU818" s="201"/>
    </row>
    <row r="820" spans="2:48" ht="57.75" customHeight="1" x14ac:dyDescent="0.2">
      <c r="B820" s="1058" t="str">
        <f>Championnat</f>
        <v>Championnat de France de Tir à l'ARC</v>
      </c>
      <c r="C820" s="1058"/>
      <c r="D820" s="1058"/>
      <c r="E820" s="1058"/>
      <c r="F820" s="1058"/>
      <c r="G820" s="1058"/>
      <c r="H820" s="1058"/>
      <c r="I820" s="1058"/>
      <c r="J820" s="1058"/>
      <c r="K820" s="1058"/>
      <c r="L820" s="1058"/>
      <c r="M820" s="1058"/>
      <c r="N820" s="1058"/>
      <c r="O820" s="1058"/>
      <c r="P820" s="1058"/>
      <c r="Q820" s="1058"/>
      <c r="R820" s="1058"/>
      <c r="S820" s="1058"/>
      <c r="T820" s="1058"/>
      <c r="U820" s="1058"/>
      <c r="V820" s="1058"/>
      <c r="W820" s="1058"/>
      <c r="X820" s="1058"/>
      <c r="Y820" s="1058"/>
      <c r="Z820" s="1058"/>
      <c r="AA820" s="1058"/>
      <c r="AB820" s="1058"/>
      <c r="AC820" s="1058"/>
      <c r="AD820" s="1058"/>
      <c r="AE820" s="1058"/>
      <c r="AF820" s="1058"/>
      <c r="AG820" s="1058"/>
      <c r="AH820" s="1058"/>
      <c r="AI820" s="1058"/>
      <c r="AJ820" s="1058"/>
      <c r="AK820" s="1058"/>
      <c r="AL820" s="1058"/>
      <c r="AM820" s="1058"/>
      <c r="AN820" s="1058"/>
      <c r="AO820" s="1058"/>
      <c r="AP820" s="1058"/>
    </row>
    <row r="821" spans="2:48" ht="45" customHeight="1" thickBot="1" x14ac:dyDescent="0.25">
      <c r="B821" s="1018" t="str">
        <f>LIEU&amp;" - "&amp;DATE&amp;" - "&amp;CATEG</f>
        <v>L’Isle sur la Sorgue - 27 au 31 mars 2023 - Collèges Mixtes Etablissement</v>
      </c>
      <c r="C821" s="1018"/>
      <c r="D821" s="1018"/>
      <c r="E821" s="1018"/>
      <c r="F821" s="1018"/>
      <c r="G821" s="1018"/>
      <c r="H821" s="1018"/>
      <c r="I821" s="1018"/>
      <c r="J821" s="1018"/>
      <c r="K821" s="1018"/>
      <c r="L821" s="1018"/>
      <c r="M821" s="1018"/>
      <c r="N821" s="1018"/>
      <c r="O821" s="1018"/>
      <c r="P821" s="1018"/>
      <c r="Q821" s="1018"/>
      <c r="R821" s="1018"/>
      <c r="S821" s="1018"/>
      <c r="T821" s="1018"/>
      <c r="U821" s="1018"/>
      <c r="V821" s="1018"/>
      <c r="W821" s="1018"/>
      <c r="X821" s="1018"/>
      <c r="Y821" s="1018"/>
      <c r="Z821" s="1018"/>
      <c r="AA821" s="1018"/>
      <c r="AB821" s="1018"/>
      <c r="AC821" s="1018"/>
      <c r="AD821" s="1018"/>
      <c r="AE821" s="1018"/>
      <c r="AF821" s="1018"/>
      <c r="AG821" s="1018"/>
      <c r="AH821" s="1018"/>
      <c r="AI821" s="1018"/>
      <c r="AJ821" s="1018"/>
      <c r="AK821" s="1018"/>
      <c r="AL821" s="1018"/>
      <c r="AM821" s="1018"/>
      <c r="AN821" s="1018"/>
      <c r="AO821" s="1018"/>
      <c r="AP821" s="1018"/>
      <c r="AQ821" s="182"/>
      <c r="AR821" s="182"/>
      <c r="AS821" s="182"/>
      <c r="AT821" s="182"/>
      <c r="AU821" s="182"/>
      <c r="AV821" s="182"/>
    </row>
    <row r="822" spans="2:48" ht="26.25" customHeight="1" x14ac:dyDescent="0.2">
      <c r="B822" s="1059" t="str">
        <f>CATEG_IMPORTEE</f>
        <v>Collèges Mixtes Etablissement</v>
      </c>
      <c r="C822" s="1059"/>
      <c r="D822" s="1059"/>
      <c r="E822" s="1059"/>
      <c r="F822" s="1059"/>
      <c r="G822" s="1059"/>
      <c r="H822" s="1059"/>
      <c r="I822" s="1059"/>
      <c r="J822" s="1059"/>
      <c r="K822" s="1059"/>
      <c r="L822" s="1059"/>
      <c r="M822" s="1059"/>
      <c r="N822" s="1059"/>
      <c r="O822" s="1059"/>
      <c r="P822" s="1059"/>
      <c r="Q822" s="1059"/>
      <c r="R822" s="1059"/>
      <c r="S822" s="1059"/>
      <c r="T822" s="1059"/>
      <c r="U822" s="1059"/>
      <c r="V822" s="1059"/>
      <c r="W822" s="1059"/>
      <c r="X822" s="1059"/>
      <c r="Y822" s="1059"/>
      <c r="Z822" s="1059"/>
      <c r="AA822" s="1059"/>
      <c r="AB822" s="1059"/>
      <c r="AC822" s="1059"/>
      <c r="AD822" s="1059"/>
      <c r="AE822" s="1059"/>
      <c r="AF822" s="1059"/>
      <c r="AG822" s="1059"/>
      <c r="AH822" s="1059"/>
      <c r="AI822" s="1059"/>
      <c r="AJ822" s="1059"/>
      <c r="AK822" s="1059"/>
      <c r="AL822" s="1059"/>
      <c r="AM822" s="1059"/>
      <c r="AN822" s="1059"/>
      <c r="AO822" s="1059"/>
      <c r="AP822" s="1059"/>
      <c r="AQ822" s="182"/>
      <c r="AR822" s="1060">
        <f>AR759+1</f>
        <v>14</v>
      </c>
      <c r="AS822" s="1061"/>
      <c r="AT822" s="1062"/>
      <c r="AU822" s="182"/>
      <c r="AV822" s="182"/>
    </row>
    <row r="823" spans="2:48" ht="18" customHeight="1" x14ac:dyDescent="0.2">
      <c r="B823" s="182"/>
      <c r="C823" s="182"/>
      <c r="D823" s="182"/>
      <c r="E823" s="182"/>
      <c r="F823" s="182"/>
      <c r="G823" s="182"/>
      <c r="H823" s="182"/>
      <c r="I823" s="182"/>
      <c r="J823" s="182"/>
      <c r="K823" s="182"/>
      <c r="L823" s="182"/>
      <c r="M823" s="182"/>
      <c r="N823" s="182"/>
      <c r="O823" s="182"/>
      <c r="P823" s="182"/>
      <c r="Q823" s="182"/>
      <c r="R823" s="182"/>
      <c r="S823" s="182"/>
      <c r="T823" s="182"/>
      <c r="U823" s="182"/>
      <c r="V823" s="182"/>
      <c r="W823" s="182"/>
      <c r="X823" s="183"/>
      <c r="Y823" s="184"/>
      <c r="Z823" s="182"/>
      <c r="AA823" s="182"/>
      <c r="AB823" s="182"/>
      <c r="AC823" s="182"/>
      <c r="AD823" s="182"/>
      <c r="AE823" s="182"/>
      <c r="AF823" s="182"/>
      <c r="AG823" s="182"/>
      <c r="AH823" s="182"/>
      <c r="AI823" s="182"/>
      <c r="AJ823" s="182"/>
      <c r="AK823" s="182"/>
      <c r="AL823" s="182"/>
      <c r="AM823" s="182"/>
      <c r="AN823" s="182"/>
      <c r="AO823" s="182"/>
      <c r="AP823" s="182"/>
      <c r="AQ823" s="182"/>
      <c r="AR823" s="1063"/>
      <c r="AS823" s="1064"/>
      <c r="AT823" s="1065"/>
      <c r="AU823" s="182"/>
      <c r="AV823" s="182"/>
    </row>
    <row r="824" spans="2:48" ht="18.75" customHeight="1" thickBot="1" x14ac:dyDescent="0.25">
      <c r="B824" s="182"/>
      <c r="C824" s="182"/>
      <c r="D824" s="182"/>
      <c r="E824" s="182"/>
      <c r="F824" s="182"/>
      <c r="G824" s="182"/>
      <c r="H824" s="992" t="s">
        <v>374</v>
      </c>
      <c r="I824" s="992"/>
      <c r="J824" s="992"/>
      <c r="K824" s="992"/>
      <c r="L824" s="992"/>
      <c r="M824" s="992"/>
      <c r="N824" s="992"/>
      <c r="O824" s="992"/>
      <c r="P824" s="992"/>
      <c r="Q824" s="992"/>
      <c r="R824" s="182"/>
      <c r="S824" s="182"/>
      <c r="T824" s="182"/>
      <c r="U824" s="182"/>
      <c r="V824" s="182"/>
      <c r="W824" s="182"/>
      <c r="X824" s="183"/>
      <c r="Y824" s="182"/>
      <c r="Z824" s="182"/>
      <c r="AA824" s="182"/>
      <c r="AB824" s="182"/>
      <c r="AC824" s="182"/>
      <c r="AD824" s="182"/>
      <c r="AE824" s="992" t="s">
        <v>374</v>
      </c>
      <c r="AF824" s="992"/>
      <c r="AG824" s="992"/>
      <c r="AH824" s="992"/>
      <c r="AI824" s="992"/>
      <c r="AJ824" s="992"/>
      <c r="AK824" s="992"/>
      <c r="AL824" s="992"/>
      <c r="AM824" s="992"/>
      <c r="AN824" s="992"/>
      <c r="AO824" s="182"/>
      <c r="AP824" s="182"/>
      <c r="AQ824" s="182"/>
      <c r="AR824" s="1066"/>
      <c r="AS824" s="1067"/>
      <c r="AT824" s="1068"/>
      <c r="AU824" s="182"/>
      <c r="AV824" s="182"/>
    </row>
    <row r="825" spans="2:48" ht="18" x14ac:dyDescent="0.2">
      <c r="B825" s="182"/>
      <c r="C825" s="182"/>
      <c r="D825" s="182"/>
      <c r="E825" s="182"/>
      <c r="F825" s="182"/>
      <c r="G825" s="182"/>
      <c r="H825" s="1022" t="e">
        <f>VLOOKUP(U834,ID_archer_cible,4,FALSE)</f>
        <v>#N/A</v>
      </c>
      <c r="I825" s="1023"/>
      <c r="J825" s="1023"/>
      <c r="K825" s="1023"/>
      <c r="L825" s="1023"/>
      <c r="M825" s="1023"/>
      <c r="N825" s="1023"/>
      <c r="O825" s="1023"/>
      <c r="P825" s="1023"/>
      <c r="Q825" s="1024"/>
      <c r="R825" s="182"/>
      <c r="S825" s="182"/>
      <c r="T825" s="182"/>
      <c r="U825" s="182"/>
      <c r="V825" s="182"/>
      <c r="W825" s="182"/>
      <c r="X825" s="183"/>
      <c r="Y825" s="182"/>
      <c r="Z825" s="182"/>
      <c r="AA825" s="182"/>
      <c r="AB825" s="182"/>
      <c r="AC825" s="182"/>
      <c r="AD825" s="182"/>
      <c r="AE825" s="1022" t="e">
        <f>VLOOKUP(AS834,ID_archer_cible,4,FALSE)</f>
        <v>#N/A</v>
      </c>
      <c r="AF825" s="1023"/>
      <c r="AG825" s="1023"/>
      <c r="AH825" s="1023"/>
      <c r="AI825" s="1023"/>
      <c r="AJ825" s="1023"/>
      <c r="AK825" s="1023"/>
      <c r="AL825" s="1023"/>
      <c r="AM825" s="1023"/>
      <c r="AN825" s="1024"/>
      <c r="AO825" s="182"/>
      <c r="AP825" s="182"/>
      <c r="AQ825" s="182"/>
      <c r="AR825" s="182"/>
      <c r="AS825" s="182"/>
      <c r="AT825" s="182"/>
      <c r="AU825" s="182"/>
      <c r="AV825" s="182"/>
    </row>
    <row r="826" spans="2:48" x14ac:dyDescent="0.2">
      <c r="X826" s="186"/>
    </row>
    <row r="827" spans="2:48" x14ac:dyDescent="0.2">
      <c r="B827" s="1021" t="s">
        <v>0</v>
      </c>
      <c r="C827" s="1021"/>
      <c r="D827" s="1021"/>
      <c r="E827" s="1021"/>
      <c r="F827" s="1021"/>
      <c r="G827" s="1021"/>
      <c r="H827" s="1021"/>
      <c r="I827" s="1021"/>
      <c r="J827" s="1021"/>
      <c r="K827" s="1021"/>
      <c r="L827" s="1021"/>
      <c r="M827" s="187"/>
      <c r="P827" s="992" t="s">
        <v>375</v>
      </c>
      <c r="Q827" s="992"/>
      <c r="R827" s="992"/>
      <c r="S827" s="992"/>
      <c r="T827" s="992"/>
      <c r="U827" s="992"/>
      <c r="V827" s="992"/>
      <c r="W827" s="992"/>
      <c r="X827" s="188"/>
      <c r="Z827" s="1021" t="s">
        <v>0</v>
      </c>
      <c r="AA827" s="1021"/>
      <c r="AB827" s="1021"/>
      <c r="AC827" s="1021"/>
      <c r="AD827" s="1021"/>
      <c r="AE827" s="1021"/>
      <c r="AF827" s="1021"/>
      <c r="AG827" s="1021"/>
      <c r="AH827" s="1021"/>
      <c r="AI827" s="1021"/>
      <c r="AJ827" s="1021"/>
      <c r="AK827" s="187"/>
      <c r="AN827" s="992" t="s">
        <v>375</v>
      </c>
      <c r="AO827" s="992"/>
      <c r="AP827" s="992"/>
      <c r="AQ827" s="992"/>
      <c r="AR827" s="992"/>
      <c r="AS827" s="992"/>
      <c r="AT827" s="992"/>
      <c r="AU827" s="992"/>
      <c r="AV827" s="187"/>
    </row>
    <row r="828" spans="2:48" x14ac:dyDescent="0.2">
      <c r="B828" s="999" t="e">
        <f>VLOOKUP(U834,ID_archer_cible,2,FALSE)</f>
        <v>#N/A</v>
      </c>
      <c r="C828" s="1000"/>
      <c r="D828" s="1000"/>
      <c r="E828" s="1000"/>
      <c r="F828" s="1000"/>
      <c r="G828" s="1000"/>
      <c r="H828" s="1000"/>
      <c r="I828" s="1000"/>
      <c r="J828" s="1000"/>
      <c r="K828" s="1000"/>
      <c r="L828" s="1000"/>
      <c r="M828" s="1001"/>
      <c r="P828" s="999" t="e">
        <f>VLOOKUP(U834,ID_archer_cible,3,FALSE)</f>
        <v>#N/A</v>
      </c>
      <c r="Q828" s="1000"/>
      <c r="R828" s="1000"/>
      <c r="S828" s="1000"/>
      <c r="T828" s="1000"/>
      <c r="U828" s="1000"/>
      <c r="V828" s="1000"/>
      <c r="W828" s="1001"/>
      <c r="X828" s="186"/>
      <c r="Y828"/>
      <c r="Z828" s="999" t="e">
        <f>VLOOKUP(AS834,ID_archer_cible,2,FALSE)</f>
        <v>#N/A</v>
      </c>
      <c r="AA828" s="1000"/>
      <c r="AB828" s="1000"/>
      <c r="AC828" s="1000"/>
      <c r="AD828" s="1000"/>
      <c r="AE828" s="1000"/>
      <c r="AF828" s="1000"/>
      <c r="AG828" s="1000"/>
      <c r="AH828" s="1000"/>
      <c r="AI828" s="1000"/>
      <c r="AJ828" s="1000"/>
      <c r="AK828" s="1001"/>
      <c r="AN828" s="999" t="e">
        <f>VLOOKUP(AS834,ID_archer_cible,3,FALSE)</f>
        <v>#N/A</v>
      </c>
      <c r="AO828" s="1000"/>
      <c r="AP828" s="1000"/>
      <c r="AQ828" s="1000"/>
      <c r="AR828" s="1000"/>
      <c r="AS828" s="1000"/>
      <c r="AT828" s="1000"/>
      <c r="AU828" s="1001"/>
    </row>
    <row r="829" spans="2:48" x14ac:dyDescent="0.2">
      <c r="X829" s="186"/>
      <c r="Y829"/>
    </row>
    <row r="830" spans="2:48" ht="16.5" thickBot="1" x14ac:dyDescent="0.25">
      <c r="B830" s="1017" t="s">
        <v>1</v>
      </c>
      <c r="C830" s="1017"/>
      <c r="D830" s="1017"/>
      <c r="E830" s="1017"/>
      <c r="F830" s="1017"/>
      <c r="G830" s="1017"/>
      <c r="H830" s="1017"/>
      <c r="I830" s="1017"/>
      <c r="J830" s="1017"/>
      <c r="L830" s="1017" t="s">
        <v>505</v>
      </c>
      <c r="M830" s="1017"/>
      <c r="N830" s="1017"/>
      <c r="O830" s="1017"/>
      <c r="P830" s="1017"/>
      <c r="Q830" s="1017"/>
      <c r="S830" s="992" t="s">
        <v>506</v>
      </c>
      <c r="T830" s="992"/>
      <c r="U830" s="992"/>
      <c r="V830" s="992"/>
      <c r="W830" s="992"/>
      <c r="X830" s="188"/>
      <c r="Y830"/>
      <c r="Z830" s="1017" t="s">
        <v>1</v>
      </c>
      <c r="AA830" s="1017"/>
      <c r="AB830" s="1017"/>
      <c r="AC830" s="1017"/>
      <c r="AD830" s="1017"/>
      <c r="AE830" s="1017"/>
      <c r="AF830" s="1017"/>
      <c r="AG830" s="1017"/>
      <c r="AH830" s="1017"/>
      <c r="AJ830" s="1017" t="s">
        <v>505</v>
      </c>
      <c r="AK830" s="1017"/>
      <c r="AL830" s="1017"/>
      <c r="AM830" s="1017"/>
      <c r="AN830" s="1017"/>
      <c r="AO830" s="1017"/>
      <c r="AQ830" s="992" t="s">
        <v>506</v>
      </c>
      <c r="AR830" s="992"/>
      <c r="AS830" s="992"/>
      <c r="AT830" s="992"/>
      <c r="AU830" s="992"/>
      <c r="AV830" s="187"/>
    </row>
    <row r="831" spans="2:48" ht="16.5" thickBot="1" x14ac:dyDescent="0.25">
      <c r="B831" s="1014" t="e">
        <f>VLOOKUP(U834,ID_archer_cible,5,FALSE)</f>
        <v>#N/A</v>
      </c>
      <c r="C831" s="1015"/>
      <c r="D831" s="1015"/>
      <c r="E831" s="1015"/>
      <c r="F831" s="1015"/>
      <c r="G831" s="1015"/>
      <c r="H831" s="1015"/>
      <c r="I831" s="1015"/>
      <c r="J831" s="1016"/>
      <c r="L831" s="1014" t="e">
        <f>VLOOKUP(U834,ID_archer_cible,6,FALSE)</f>
        <v>#N/A</v>
      </c>
      <c r="M831" s="1015"/>
      <c r="N831" s="1015"/>
      <c r="O831" s="1015"/>
      <c r="P831" s="1015"/>
      <c r="Q831" s="1016"/>
      <c r="S831" s="999" t="e">
        <f>VLOOKUP(U834,ID_archer_cible,8,FALSE)</f>
        <v>#N/A</v>
      </c>
      <c r="T831" s="1000"/>
      <c r="U831" s="1000"/>
      <c r="V831" s="1000"/>
      <c r="W831" s="1001"/>
      <c r="X831" s="186"/>
      <c r="Y831"/>
      <c r="Z831" s="1014" t="e">
        <f>VLOOKUP(AS834,ID_archer_cible,5,FALSE)</f>
        <v>#N/A</v>
      </c>
      <c r="AA831" s="1015"/>
      <c r="AB831" s="1015"/>
      <c r="AC831" s="1015"/>
      <c r="AD831" s="1015"/>
      <c r="AE831" s="1015"/>
      <c r="AF831" s="1015"/>
      <c r="AG831" s="1015"/>
      <c r="AH831" s="1016"/>
      <c r="AJ831" s="1014" t="e">
        <f>VLOOKUP(AS834,ID_archer_cible,6,FALSE)</f>
        <v>#N/A</v>
      </c>
      <c r="AK831" s="1015"/>
      <c r="AL831" s="1015"/>
      <c r="AM831" s="1015"/>
      <c r="AN831" s="1015"/>
      <c r="AO831" s="1016"/>
      <c r="AQ831" s="999" t="e">
        <f>VLOOKUP(AS834,ID_archer_cible,8,FALSE)</f>
        <v>#N/A</v>
      </c>
      <c r="AR831" s="1000"/>
      <c r="AS831" s="1000"/>
      <c r="AT831" s="1000"/>
      <c r="AU831" s="1001"/>
    </row>
    <row r="832" spans="2:48" x14ac:dyDescent="0.2">
      <c r="X832" s="186"/>
      <c r="Y832"/>
    </row>
    <row r="833" spans="2:48" x14ac:dyDescent="0.2">
      <c r="B833" s="992" t="s">
        <v>530</v>
      </c>
      <c r="C833" s="992"/>
      <c r="D833" s="992"/>
      <c r="E833" s="992"/>
      <c r="F833" s="992"/>
      <c r="G833" s="187"/>
      <c r="H833" s="992" t="s">
        <v>504</v>
      </c>
      <c r="I833" s="992"/>
      <c r="J833" s="992"/>
      <c r="K833" s="992"/>
      <c r="M833" s="992" t="s">
        <v>39</v>
      </c>
      <c r="N833" s="992"/>
      <c r="O833" s="992"/>
      <c r="Q833" s="1021"/>
      <c r="R833" s="1021"/>
      <c r="S833" s="1021"/>
      <c r="U833" s="992" t="s">
        <v>507</v>
      </c>
      <c r="V833" s="992"/>
      <c r="W833" s="992"/>
      <c r="X833" s="188"/>
      <c r="Y833"/>
      <c r="Z833" s="992" t="s">
        <v>530</v>
      </c>
      <c r="AA833" s="992"/>
      <c r="AB833" s="992"/>
      <c r="AC833" s="992"/>
      <c r="AD833" s="992"/>
      <c r="AE833" s="187"/>
      <c r="AF833" s="992" t="s">
        <v>504</v>
      </c>
      <c r="AG833" s="992"/>
      <c r="AH833" s="992"/>
      <c r="AI833" s="992"/>
      <c r="AK833" s="992" t="s">
        <v>39</v>
      </c>
      <c r="AL833" s="992"/>
      <c r="AM833" s="992"/>
      <c r="AO833" s="1021"/>
      <c r="AP833" s="1021"/>
      <c r="AQ833" s="1021"/>
      <c r="AS833" s="992" t="s">
        <v>507</v>
      </c>
      <c r="AT833" s="992"/>
      <c r="AU833" s="992"/>
      <c r="AV833" s="187"/>
    </row>
    <row r="834" spans="2:48" ht="15.75" x14ac:dyDescent="0.2">
      <c r="B834" s="1011" t="e">
        <f>VLOOKUP(U834,ID_archer_cible,7,FALSE)</f>
        <v>#N/A</v>
      </c>
      <c r="C834" s="1012"/>
      <c r="D834" s="1012"/>
      <c r="E834" s="1012"/>
      <c r="F834" s="1013"/>
      <c r="H834" s="999" t="e">
        <f>VLOOKUP(U834,ID_archer_cible,9,FALSE)</f>
        <v>#N/A</v>
      </c>
      <c r="I834" s="1000"/>
      <c r="J834" s="1000"/>
      <c r="K834" s="1001"/>
      <c r="M834" s="999" t="e">
        <f>VLOOKUP(U834,ID_archer_cible,10,FALSE)</f>
        <v>#N/A</v>
      </c>
      <c r="N834" s="1000"/>
      <c r="O834" s="1001"/>
      <c r="Q834" s="1021"/>
      <c r="R834" s="1021"/>
      <c r="S834" s="1021"/>
      <c r="T834" s="187"/>
      <c r="U834" s="996" t="str">
        <f>AR822&amp;"A"</f>
        <v>14A</v>
      </c>
      <c r="V834" s="997"/>
      <c r="W834" s="998"/>
      <c r="X834" s="188"/>
      <c r="Y834"/>
      <c r="Z834" s="1011" t="e">
        <f>VLOOKUP(AS834,ID_archer_cible,7,FALSE)</f>
        <v>#N/A</v>
      </c>
      <c r="AA834" s="1012"/>
      <c r="AB834" s="1012"/>
      <c r="AC834" s="1012"/>
      <c r="AD834" s="1013"/>
      <c r="AF834" s="999" t="e">
        <f>VLOOKUP(AS834,ID_archer_cible,9,FALSE)</f>
        <v>#N/A</v>
      </c>
      <c r="AG834" s="1000"/>
      <c r="AH834" s="1000"/>
      <c r="AI834" s="1001"/>
      <c r="AK834" s="999" t="e">
        <f>VLOOKUP(AS834,ID_archer_cible,10,FALSE)</f>
        <v>#N/A</v>
      </c>
      <c r="AL834" s="1000"/>
      <c r="AM834" s="1001"/>
      <c r="AO834" s="1021"/>
      <c r="AP834" s="1021"/>
      <c r="AQ834" s="1021"/>
      <c r="AR834" s="187"/>
      <c r="AS834" s="996" t="str">
        <f>AR822&amp;"B"</f>
        <v>14B</v>
      </c>
      <c r="AT834" s="997"/>
      <c r="AU834" s="998"/>
      <c r="AV834" s="187"/>
    </row>
    <row r="835" spans="2:48" x14ac:dyDescent="0.2">
      <c r="X835" s="186"/>
    </row>
    <row r="836" spans="2:48" x14ac:dyDescent="0.2">
      <c r="B836" s="185" t="s">
        <v>509</v>
      </c>
      <c r="E836" s="992" t="s">
        <v>510</v>
      </c>
      <c r="F836" s="992"/>
      <c r="G836" s="992"/>
      <c r="H836" s="992"/>
      <c r="I836" s="992"/>
      <c r="J836" s="992"/>
      <c r="K836" s="992"/>
      <c r="L836" s="992"/>
      <c r="M836" s="992"/>
      <c r="N836" s="992"/>
      <c r="P836" s="992" t="s">
        <v>511</v>
      </c>
      <c r="Q836" s="992"/>
      <c r="R836" s="992"/>
      <c r="X836" s="186"/>
      <c r="Z836" s="185" t="s">
        <v>509</v>
      </c>
      <c r="AC836" s="992" t="s">
        <v>510</v>
      </c>
      <c r="AD836" s="992"/>
      <c r="AE836" s="992"/>
      <c r="AF836" s="992"/>
      <c r="AG836" s="992"/>
      <c r="AH836" s="992"/>
      <c r="AI836" s="992"/>
      <c r="AJ836" s="992"/>
      <c r="AK836" s="992"/>
      <c r="AL836" s="992"/>
      <c r="AN836" s="992" t="s">
        <v>511</v>
      </c>
      <c r="AO836" s="992"/>
      <c r="AP836" s="992"/>
    </row>
    <row r="837" spans="2:48" ht="20.25" customHeight="1" x14ac:dyDescent="0.2">
      <c r="B837" s="1009" t="s">
        <v>513</v>
      </c>
      <c r="C837" s="1009"/>
      <c r="E837" s="189"/>
      <c r="F837" s="191"/>
      <c r="G837" s="189"/>
      <c r="H837" s="191"/>
      <c r="I837" s="189"/>
      <c r="J837" s="191"/>
      <c r="K837" s="189"/>
      <c r="L837" s="191"/>
      <c r="M837" s="189"/>
      <c r="N837" s="191"/>
      <c r="P837" s="189"/>
      <c r="Q837" s="190"/>
      <c r="R837" s="191"/>
      <c r="T837" s="992" t="s">
        <v>512</v>
      </c>
      <c r="U837" s="992"/>
      <c r="V837" s="992"/>
      <c r="W837" s="992"/>
      <c r="X837" s="188"/>
      <c r="Z837" s="1009" t="s">
        <v>513</v>
      </c>
      <c r="AA837" s="1009"/>
      <c r="AC837" s="189"/>
      <c r="AD837" s="191"/>
      <c r="AE837" s="189"/>
      <c r="AF837" s="191"/>
      <c r="AG837" s="189"/>
      <c r="AH837" s="191"/>
      <c r="AI837" s="189"/>
      <c r="AJ837" s="191"/>
      <c r="AK837" s="189"/>
      <c r="AL837" s="191"/>
      <c r="AN837" s="189"/>
      <c r="AO837" s="190"/>
      <c r="AP837" s="191"/>
      <c r="AR837" s="992" t="s">
        <v>512</v>
      </c>
      <c r="AS837" s="992"/>
      <c r="AT837" s="992"/>
      <c r="AU837" s="992"/>
      <c r="AV837" s="187"/>
    </row>
    <row r="838" spans="2:48" ht="20.25" customHeight="1" x14ac:dyDescent="0.2">
      <c r="B838" s="1009" t="s">
        <v>514</v>
      </c>
      <c r="C838" s="1009"/>
      <c r="E838" s="189"/>
      <c r="F838" s="191"/>
      <c r="G838" s="189"/>
      <c r="H838" s="191"/>
      <c r="I838" s="189"/>
      <c r="J838" s="191"/>
      <c r="K838" s="189"/>
      <c r="L838" s="191"/>
      <c r="M838" s="189"/>
      <c r="N838" s="191"/>
      <c r="P838" s="189"/>
      <c r="Q838" s="190"/>
      <c r="R838" s="191"/>
      <c r="T838" s="189"/>
      <c r="U838" s="190"/>
      <c r="V838" s="190"/>
      <c r="W838" s="191"/>
      <c r="X838" s="186"/>
      <c r="Z838" s="1009" t="s">
        <v>514</v>
      </c>
      <c r="AA838" s="1009"/>
      <c r="AC838" s="189"/>
      <c r="AD838" s="191"/>
      <c r="AE838" s="189"/>
      <c r="AF838" s="191"/>
      <c r="AG838" s="189"/>
      <c r="AH838" s="191"/>
      <c r="AI838" s="189"/>
      <c r="AJ838" s="191"/>
      <c r="AK838" s="189"/>
      <c r="AL838" s="191"/>
      <c r="AN838" s="189"/>
      <c r="AO838" s="190"/>
      <c r="AP838" s="191"/>
      <c r="AR838" s="189"/>
      <c r="AS838" s="190"/>
      <c r="AT838" s="190"/>
      <c r="AU838" s="191"/>
    </row>
    <row r="839" spans="2:48" ht="20.25" customHeight="1" x14ac:dyDescent="0.2">
      <c r="B839" s="1009" t="s">
        <v>515</v>
      </c>
      <c r="C839" s="1009"/>
      <c r="E839" s="189"/>
      <c r="F839" s="191"/>
      <c r="G839" s="189"/>
      <c r="H839" s="191"/>
      <c r="I839" s="189"/>
      <c r="J839" s="191"/>
      <c r="K839" s="189"/>
      <c r="L839" s="191"/>
      <c r="M839" s="189"/>
      <c r="N839" s="191"/>
      <c r="P839" s="189"/>
      <c r="Q839" s="190"/>
      <c r="R839" s="191"/>
      <c r="T839" s="189"/>
      <c r="U839" s="190"/>
      <c r="V839" s="190"/>
      <c r="W839" s="191"/>
      <c r="X839" s="186"/>
      <c r="Z839" s="1009" t="s">
        <v>515</v>
      </c>
      <c r="AA839" s="1009"/>
      <c r="AC839" s="189"/>
      <c r="AD839" s="191"/>
      <c r="AE839" s="189"/>
      <c r="AF839" s="191"/>
      <c r="AG839" s="189"/>
      <c r="AH839" s="191"/>
      <c r="AI839" s="189"/>
      <c r="AJ839" s="191"/>
      <c r="AK839" s="189"/>
      <c r="AL839" s="191"/>
      <c r="AN839" s="189"/>
      <c r="AO839" s="190"/>
      <c r="AP839" s="191"/>
      <c r="AR839" s="189"/>
      <c r="AS839" s="190"/>
      <c r="AT839" s="190"/>
      <c r="AU839" s="191"/>
    </row>
    <row r="840" spans="2:48" ht="20.25" customHeight="1" x14ac:dyDescent="0.2">
      <c r="B840" s="1009" t="s">
        <v>516</v>
      </c>
      <c r="C840" s="1009"/>
      <c r="E840" s="189"/>
      <c r="F840" s="191"/>
      <c r="G840" s="189"/>
      <c r="H840" s="191"/>
      <c r="I840" s="189"/>
      <c r="J840" s="191"/>
      <c r="K840" s="189"/>
      <c r="L840" s="191"/>
      <c r="M840" s="189"/>
      <c r="N840" s="191"/>
      <c r="P840" s="189"/>
      <c r="Q840" s="190"/>
      <c r="R840" s="191"/>
      <c r="T840" s="189"/>
      <c r="U840" s="190"/>
      <c r="V840" s="190"/>
      <c r="W840" s="191"/>
      <c r="X840" s="186"/>
      <c r="Z840" s="1009" t="s">
        <v>516</v>
      </c>
      <c r="AA840" s="1009"/>
      <c r="AC840" s="189"/>
      <c r="AD840" s="191"/>
      <c r="AE840" s="189"/>
      <c r="AF840" s="191"/>
      <c r="AG840" s="189"/>
      <c r="AH840" s="191"/>
      <c r="AI840" s="189"/>
      <c r="AJ840" s="191"/>
      <c r="AK840" s="189"/>
      <c r="AL840" s="191"/>
      <c r="AN840" s="189"/>
      <c r="AO840" s="190"/>
      <c r="AP840" s="191"/>
      <c r="AR840" s="189"/>
      <c r="AS840" s="190"/>
      <c r="AT840" s="190"/>
      <c r="AU840" s="191"/>
    </row>
    <row r="841" spans="2:48" ht="20.25" customHeight="1" x14ac:dyDescent="0.2">
      <c r="B841" s="1009" t="s">
        <v>517</v>
      </c>
      <c r="C841" s="1009"/>
      <c r="E841" s="189"/>
      <c r="F841" s="191"/>
      <c r="G841" s="189"/>
      <c r="H841" s="191"/>
      <c r="I841" s="189"/>
      <c r="J841" s="191"/>
      <c r="K841" s="189"/>
      <c r="L841" s="191"/>
      <c r="M841" s="189"/>
      <c r="N841" s="191"/>
      <c r="P841" s="189"/>
      <c r="Q841" s="190"/>
      <c r="R841" s="191"/>
      <c r="T841" s="189"/>
      <c r="U841" s="190"/>
      <c r="V841" s="190"/>
      <c r="W841" s="191"/>
      <c r="X841" s="186"/>
      <c r="Z841" s="1009" t="s">
        <v>517</v>
      </c>
      <c r="AA841" s="1009"/>
      <c r="AC841" s="189"/>
      <c r="AD841" s="191"/>
      <c r="AE841" s="189"/>
      <c r="AF841" s="191"/>
      <c r="AG841" s="189"/>
      <c r="AH841" s="191"/>
      <c r="AI841" s="189"/>
      <c r="AJ841" s="191"/>
      <c r="AK841" s="189"/>
      <c r="AL841" s="191"/>
      <c r="AN841" s="189"/>
      <c r="AO841" s="190"/>
      <c r="AP841" s="191"/>
      <c r="AR841" s="189"/>
      <c r="AS841" s="190"/>
      <c r="AT841" s="190"/>
      <c r="AU841" s="191"/>
    </row>
    <row r="842" spans="2:48" ht="20.25" customHeight="1" x14ac:dyDescent="0.2">
      <c r="B842" s="1009" t="s">
        <v>518</v>
      </c>
      <c r="C842" s="1009"/>
      <c r="E842" s="189"/>
      <c r="F842" s="191"/>
      <c r="G842" s="189"/>
      <c r="H842" s="191"/>
      <c r="I842" s="189"/>
      <c r="J842" s="191"/>
      <c r="K842" s="189"/>
      <c r="L842" s="191"/>
      <c r="M842" s="189"/>
      <c r="N842" s="191"/>
      <c r="P842" s="189"/>
      <c r="Q842" s="190"/>
      <c r="R842" s="191"/>
      <c r="T842" s="189"/>
      <c r="U842" s="190"/>
      <c r="V842" s="190"/>
      <c r="W842" s="191"/>
      <c r="X842" s="186"/>
      <c r="Z842" s="1009" t="s">
        <v>518</v>
      </c>
      <c r="AA842" s="1009"/>
      <c r="AC842" s="189"/>
      <c r="AD842" s="191"/>
      <c r="AE842" s="189"/>
      <c r="AF842" s="191"/>
      <c r="AG842" s="189"/>
      <c r="AH842" s="191"/>
      <c r="AI842" s="189"/>
      <c r="AJ842" s="191"/>
      <c r="AK842" s="189"/>
      <c r="AL842" s="191"/>
      <c r="AN842" s="189"/>
      <c r="AO842" s="190"/>
      <c r="AP842" s="191"/>
      <c r="AR842" s="189"/>
      <c r="AS842" s="190"/>
      <c r="AT842" s="190"/>
      <c r="AU842" s="191"/>
    </row>
    <row r="843" spans="2:48" ht="15.75" thickBot="1" x14ac:dyDescent="0.25">
      <c r="B843" s="187"/>
      <c r="C843" s="187"/>
      <c r="X843" s="186"/>
      <c r="Z843" s="187"/>
      <c r="AA843" s="187"/>
    </row>
    <row r="844" spans="2:48" ht="20.25" customHeight="1" thickBot="1" x14ac:dyDescent="0.25">
      <c r="P844" s="197" t="s">
        <v>519</v>
      </c>
      <c r="Q844" s="197"/>
      <c r="R844" s="197"/>
      <c r="S844" s="197"/>
      <c r="T844" s="192"/>
      <c r="U844" s="193"/>
      <c r="V844" s="193"/>
      <c r="W844" s="194"/>
      <c r="X844" s="186"/>
      <c r="AN844" s="197" t="s">
        <v>519</v>
      </c>
      <c r="AO844" s="197"/>
      <c r="AP844" s="197"/>
      <c r="AQ844" s="197"/>
      <c r="AR844" s="192"/>
      <c r="AS844" s="193"/>
      <c r="AT844" s="193"/>
      <c r="AU844" s="194"/>
    </row>
    <row r="845" spans="2:48" x14ac:dyDescent="0.2">
      <c r="E845" s="196"/>
      <c r="F845" s="196"/>
      <c r="G845" s="196"/>
      <c r="H845" s="196"/>
      <c r="I845" s="196"/>
      <c r="J845" s="196"/>
      <c r="K845" s="196"/>
      <c r="L845" s="196"/>
      <c r="M845" s="196"/>
      <c r="X845" s="186"/>
      <c r="AC845" s="196"/>
      <c r="AD845" s="196"/>
      <c r="AE845" s="196"/>
      <c r="AF845" s="196"/>
      <c r="AG845" s="196"/>
      <c r="AH845" s="196"/>
      <c r="AI845" s="196"/>
      <c r="AJ845" s="196"/>
      <c r="AK845" s="196"/>
    </row>
    <row r="846" spans="2:48" x14ac:dyDescent="0.2">
      <c r="B846" s="1010" t="s">
        <v>521</v>
      </c>
      <c r="C846" s="1010"/>
      <c r="D846" s="1010"/>
      <c r="E846" s="1010"/>
      <c r="F846" s="1010"/>
      <c r="G846" s="1010"/>
      <c r="H846" s="195"/>
      <c r="I846" s="1010" t="s">
        <v>522</v>
      </c>
      <c r="J846" s="1010"/>
      <c r="K846" s="1010"/>
      <c r="L846" s="1010"/>
      <c r="M846" s="1010"/>
      <c r="N846" s="1010"/>
      <c r="O846" s="1010"/>
      <c r="P846" s="1010"/>
      <c r="Q846" s="1010"/>
      <c r="R846" s="1010"/>
      <c r="S846" s="1010"/>
      <c r="T846" s="1010"/>
      <c r="U846" s="1010"/>
      <c r="V846" s="1010"/>
      <c r="W846" s="1010"/>
      <c r="X846" s="198"/>
      <c r="Y846" s="195"/>
      <c r="Z846" s="1010" t="s">
        <v>521</v>
      </c>
      <c r="AA846" s="1010"/>
      <c r="AB846" s="1010"/>
      <c r="AC846" s="1010"/>
      <c r="AD846" s="1010"/>
      <c r="AE846" s="1010"/>
      <c r="AF846" s="195"/>
      <c r="AG846" s="1004" t="s">
        <v>522</v>
      </c>
      <c r="AH846" s="1004"/>
      <c r="AI846" s="1004"/>
      <c r="AJ846" s="1004"/>
      <c r="AK846" s="1004"/>
      <c r="AL846" s="1004"/>
      <c r="AM846" s="1004"/>
      <c r="AN846" s="1004"/>
      <c r="AO846" s="1004"/>
      <c r="AP846" s="1004"/>
      <c r="AQ846" s="1004"/>
      <c r="AR846" s="1004"/>
      <c r="AS846" s="1004"/>
      <c r="AT846" s="1004"/>
      <c r="AU846" s="1004"/>
      <c r="AV846" s="195"/>
    </row>
    <row r="847" spans="2:48" x14ac:dyDescent="0.2">
      <c r="B847" s="1005" t="s">
        <v>520</v>
      </c>
      <c r="C847" s="1006"/>
      <c r="D847" s="1006"/>
      <c r="E847" s="1006"/>
      <c r="F847" s="1006"/>
      <c r="G847" s="1007"/>
      <c r="I847" s="1005" t="s">
        <v>0</v>
      </c>
      <c r="J847" s="1006"/>
      <c r="K847" s="1006"/>
      <c r="L847" s="1006"/>
      <c r="M847" s="1006"/>
      <c r="N847" s="1006"/>
      <c r="O847" s="1006"/>
      <c r="P847" s="1006"/>
      <c r="Q847" s="1006"/>
      <c r="R847" s="1006"/>
      <c r="S847" s="1006"/>
      <c r="T847" s="1006"/>
      <c r="U847" s="1006"/>
      <c r="V847" s="1006"/>
      <c r="W847" s="1007"/>
      <c r="X847" s="186"/>
      <c r="Z847" s="1005" t="s">
        <v>520</v>
      </c>
      <c r="AA847" s="1006"/>
      <c r="AB847" s="1006"/>
      <c r="AC847" s="1006"/>
      <c r="AD847" s="1006"/>
      <c r="AE847" s="1007"/>
      <c r="AG847" s="1005" t="s">
        <v>0</v>
      </c>
      <c r="AH847" s="1006"/>
      <c r="AI847" s="1006"/>
      <c r="AJ847" s="1006"/>
      <c r="AK847" s="1006"/>
      <c r="AL847" s="1006"/>
      <c r="AM847" s="1006"/>
      <c r="AN847" s="1006"/>
      <c r="AO847" s="1006"/>
      <c r="AP847" s="1006"/>
      <c r="AQ847" s="1006"/>
      <c r="AR847" s="1006"/>
      <c r="AS847" s="1006"/>
      <c r="AT847" s="1006"/>
      <c r="AU847" s="1007"/>
    </row>
    <row r="848" spans="2:48" x14ac:dyDescent="0.2">
      <c r="B848" s="199"/>
      <c r="C848" s="200"/>
      <c r="D848" s="200"/>
      <c r="E848" s="200"/>
      <c r="F848" s="200"/>
      <c r="G848" s="201"/>
      <c r="I848" s="199"/>
      <c r="J848" s="200"/>
      <c r="K848" s="200"/>
      <c r="L848" s="200"/>
      <c r="M848" s="200"/>
      <c r="N848" s="200"/>
      <c r="O848" s="200"/>
      <c r="P848" s="200"/>
      <c r="Q848" s="200"/>
      <c r="R848" s="200"/>
      <c r="S848" s="200"/>
      <c r="T848" s="200"/>
      <c r="U848" s="200"/>
      <c r="V848" s="200"/>
      <c r="W848" s="201"/>
      <c r="X848" s="186"/>
      <c r="Z848" s="199"/>
      <c r="AA848" s="200"/>
      <c r="AB848" s="200"/>
      <c r="AC848" s="200"/>
      <c r="AD848" s="200"/>
      <c r="AE848" s="201"/>
      <c r="AG848" s="199"/>
      <c r="AH848" s="200"/>
      <c r="AI848" s="200"/>
      <c r="AJ848" s="200"/>
      <c r="AK848" s="200"/>
      <c r="AL848" s="200"/>
      <c r="AM848" s="200"/>
      <c r="AN848" s="200"/>
      <c r="AO848" s="200"/>
      <c r="AP848" s="200"/>
      <c r="AQ848" s="200"/>
      <c r="AR848" s="200"/>
      <c r="AS848" s="200"/>
      <c r="AT848" s="200"/>
      <c r="AU848" s="201"/>
    </row>
    <row r="849" spans="2:48" x14ac:dyDescent="0.2">
      <c r="X849" s="186"/>
    </row>
    <row r="850" spans="2:48" x14ac:dyDescent="0.2">
      <c r="I850" s="1005" t="s">
        <v>481</v>
      </c>
      <c r="J850" s="1006"/>
      <c r="K850" s="1006"/>
      <c r="L850" s="1006"/>
      <c r="M850" s="1006"/>
      <c r="N850" s="1006"/>
      <c r="O850" s="1006"/>
      <c r="P850" s="1006"/>
      <c r="Q850" s="1007"/>
      <c r="R850" s="1005" t="s">
        <v>520</v>
      </c>
      <c r="S850" s="1006"/>
      <c r="T850" s="1006"/>
      <c r="U850" s="1006"/>
      <c r="V850" s="1006"/>
      <c r="W850" s="1007"/>
      <c r="X850" s="186"/>
      <c r="AG850" s="1005" t="s">
        <v>481</v>
      </c>
      <c r="AH850" s="1006"/>
      <c r="AI850" s="1006"/>
      <c r="AJ850" s="1006"/>
      <c r="AK850" s="1006"/>
      <c r="AL850" s="1006"/>
      <c r="AM850" s="1006"/>
      <c r="AN850" s="1006"/>
      <c r="AO850" s="1007"/>
      <c r="AP850" s="1005" t="s">
        <v>520</v>
      </c>
      <c r="AQ850" s="1006"/>
      <c r="AR850" s="1006"/>
      <c r="AS850" s="1006"/>
      <c r="AT850" s="1006"/>
      <c r="AU850" s="1007"/>
    </row>
    <row r="851" spans="2:48" x14ac:dyDescent="0.2">
      <c r="I851" s="199"/>
      <c r="J851" s="200"/>
      <c r="K851" s="200"/>
      <c r="L851" s="200"/>
      <c r="M851" s="200"/>
      <c r="N851" s="200"/>
      <c r="O851" s="200"/>
      <c r="P851" s="200"/>
      <c r="Q851" s="200"/>
      <c r="R851" s="199"/>
      <c r="S851" s="200"/>
      <c r="T851" s="200"/>
      <c r="U851" s="200"/>
      <c r="V851" s="200"/>
      <c r="W851" s="201"/>
      <c r="X851" s="186"/>
      <c r="AG851" s="199"/>
      <c r="AH851" s="200"/>
      <c r="AI851" s="200"/>
      <c r="AJ851" s="200"/>
      <c r="AK851" s="200"/>
      <c r="AL851" s="200"/>
      <c r="AM851" s="200"/>
      <c r="AN851" s="200"/>
      <c r="AO851" s="200"/>
      <c r="AP851" s="199"/>
      <c r="AQ851" s="200"/>
      <c r="AR851" s="200"/>
      <c r="AS851" s="200"/>
      <c r="AT851" s="200"/>
      <c r="AU851" s="201"/>
    </row>
    <row r="852" spans="2:48" ht="39" customHeight="1" x14ac:dyDescent="0.2">
      <c r="B852" s="392"/>
      <c r="C852" s="392"/>
      <c r="D852" s="392"/>
      <c r="E852" s="392"/>
      <c r="F852" s="392"/>
      <c r="G852" s="392"/>
      <c r="H852" s="392"/>
      <c r="I852" s="392"/>
      <c r="J852" s="392"/>
      <c r="K852" s="392"/>
      <c r="L852" s="392"/>
      <c r="M852" s="392"/>
      <c r="N852" s="392"/>
      <c r="O852" s="392"/>
      <c r="P852" s="392"/>
      <c r="Q852" s="392"/>
      <c r="R852" s="392"/>
      <c r="S852" s="392"/>
      <c r="T852" s="392"/>
      <c r="U852" s="392"/>
      <c r="V852" s="392"/>
      <c r="W852" s="392"/>
      <c r="X852" s="393"/>
      <c r="Y852" s="394"/>
      <c r="Z852" s="392"/>
      <c r="AA852" s="392"/>
      <c r="AB852" s="392"/>
      <c r="AC852" s="392"/>
      <c r="AD852" s="392"/>
      <c r="AE852" s="392"/>
      <c r="AF852" s="392"/>
      <c r="AG852" s="392"/>
      <c r="AH852" s="392"/>
      <c r="AI852" s="392"/>
      <c r="AJ852" s="392"/>
      <c r="AK852" s="392"/>
      <c r="AL852" s="392"/>
      <c r="AM852" s="392"/>
      <c r="AN852" s="392"/>
      <c r="AO852" s="392"/>
      <c r="AP852" s="392"/>
      <c r="AQ852" s="392"/>
      <c r="AR852" s="392"/>
      <c r="AS852" s="392"/>
      <c r="AT852" s="392"/>
      <c r="AU852" s="392"/>
      <c r="AV852" s="392"/>
    </row>
    <row r="853" spans="2:48" ht="39" customHeight="1" x14ac:dyDescent="0.2">
      <c r="B853" s="182"/>
      <c r="C853" s="182"/>
      <c r="D853" s="182"/>
      <c r="E853" s="182"/>
      <c r="F853" s="182"/>
      <c r="G853" s="182"/>
      <c r="H853" s="182"/>
      <c r="I853" s="182"/>
      <c r="J853" s="182"/>
      <c r="K853" s="182"/>
      <c r="L853" s="182"/>
      <c r="M853" s="182"/>
      <c r="N853" s="182"/>
      <c r="O853" s="182"/>
      <c r="P853" s="182"/>
      <c r="Q853" s="182"/>
      <c r="R853" s="182"/>
      <c r="S853" s="182"/>
      <c r="T853" s="182"/>
      <c r="U853" s="182"/>
      <c r="V853" s="182"/>
      <c r="W853" s="182"/>
      <c r="X853" s="183"/>
      <c r="Y853" s="184"/>
      <c r="Z853" s="182"/>
      <c r="AA853" s="182"/>
      <c r="AB853" s="182"/>
      <c r="AC853" s="182"/>
      <c r="AD853" s="182"/>
      <c r="AE853" s="182"/>
      <c r="AF853" s="182"/>
      <c r="AG853" s="182"/>
      <c r="AH853" s="182"/>
      <c r="AI853" s="182"/>
      <c r="AJ853" s="182"/>
      <c r="AK853" s="182"/>
      <c r="AL853" s="182"/>
      <c r="AM853" s="182"/>
      <c r="AN853" s="182"/>
      <c r="AO853" s="182"/>
      <c r="AP853" s="182"/>
      <c r="AQ853" s="182"/>
      <c r="AR853" s="182"/>
      <c r="AS853" s="182"/>
      <c r="AT853" s="182"/>
      <c r="AU853" s="182"/>
      <c r="AV853" s="182"/>
    </row>
    <row r="854" spans="2:48" ht="18" x14ac:dyDescent="0.2">
      <c r="B854" s="182"/>
      <c r="C854" s="182"/>
      <c r="D854" s="182"/>
      <c r="E854" s="182"/>
      <c r="F854" s="182"/>
      <c r="G854" s="182"/>
      <c r="H854" s="992" t="s">
        <v>374</v>
      </c>
      <c r="I854" s="992"/>
      <c r="J854" s="992"/>
      <c r="K854" s="992"/>
      <c r="L854" s="992"/>
      <c r="M854" s="992"/>
      <c r="N854" s="992"/>
      <c r="O854" s="992"/>
      <c r="P854" s="992"/>
      <c r="Q854" s="992"/>
      <c r="R854" s="182"/>
      <c r="S854" s="182"/>
      <c r="T854" s="182"/>
      <c r="U854" s="182"/>
      <c r="V854" s="182"/>
      <c r="W854" s="182"/>
      <c r="X854" s="183"/>
      <c r="Y854" s="182"/>
      <c r="Z854" s="182"/>
      <c r="AA854" s="182"/>
      <c r="AB854" s="182"/>
      <c r="AC854" s="182"/>
      <c r="AD854" s="182"/>
      <c r="AE854" s="992" t="s">
        <v>374</v>
      </c>
      <c r="AF854" s="992"/>
      <c r="AG854" s="992"/>
      <c r="AH854" s="992"/>
      <c r="AI854" s="992"/>
      <c r="AJ854" s="992"/>
      <c r="AK854" s="992"/>
      <c r="AL854" s="992"/>
      <c r="AM854" s="992"/>
      <c r="AN854" s="992"/>
      <c r="AO854" s="182"/>
      <c r="AP854" s="182"/>
      <c r="AQ854" s="182"/>
      <c r="AR854" s="182"/>
      <c r="AS854" s="182"/>
      <c r="AT854" s="182"/>
      <c r="AU854" s="182"/>
      <c r="AV854" s="182"/>
    </row>
    <row r="855" spans="2:48" ht="18" x14ac:dyDescent="0.2">
      <c r="B855" s="182"/>
      <c r="C855" s="182"/>
      <c r="D855" s="182"/>
      <c r="E855" s="182"/>
      <c r="F855" s="182"/>
      <c r="G855" s="182"/>
      <c r="H855" s="1022" t="e">
        <f>VLOOKUP(U864,ID_archer_cible,4,FALSE)</f>
        <v>#N/A</v>
      </c>
      <c r="I855" s="1023"/>
      <c r="J855" s="1023"/>
      <c r="K855" s="1023"/>
      <c r="L855" s="1023"/>
      <c r="M855" s="1023"/>
      <c r="N855" s="1023"/>
      <c r="O855" s="1023"/>
      <c r="P855" s="1023"/>
      <c r="Q855" s="1024"/>
      <c r="R855" s="182"/>
      <c r="S855" s="182"/>
      <c r="T855" s="182"/>
      <c r="U855" s="182"/>
      <c r="V855" s="182"/>
      <c r="W855" s="182"/>
      <c r="X855" s="183"/>
      <c r="Y855" s="182"/>
      <c r="Z855" s="182"/>
      <c r="AA855" s="182"/>
      <c r="AB855" s="182"/>
      <c r="AC855" s="182"/>
      <c r="AD855" s="182"/>
      <c r="AE855" s="1022" t="e">
        <f>VLOOKUP(AS864,ID_archer_cible,4,FALSE)</f>
        <v>#N/A</v>
      </c>
      <c r="AF855" s="1023"/>
      <c r="AG855" s="1023"/>
      <c r="AH855" s="1023"/>
      <c r="AI855" s="1023"/>
      <c r="AJ855" s="1023"/>
      <c r="AK855" s="1023"/>
      <c r="AL855" s="1023"/>
      <c r="AM855" s="1023"/>
      <c r="AN855" s="1024"/>
      <c r="AO855" s="182"/>
      <c r="AP855" s="182"/>
      <c r="AQ855" s="182"/>
      <c r="AR855" s="182"/>
      <c r="AS855" s="182"/>
      <c r="AT855" s="182"/>
      <c r="AU855" s="182"/>
      <c r="AV855" s="182"/>
    </row>
    <row r="856" spans="2:48" x14ac:dyDescent="0.2">
      <c r="X856" s="186"/>
    </row>
    <row r="857" spans="2:48" x14ac:dyDescent="0.2">
      <c r="B857" s="1021" t="s">
        <v>0</v>
      </c>
      <c r="C857" s="1021"/>
      <c r="D857" s="1021"/>
      <c r="E857" s="1021"/>
      <c r="F857" s="1021"/>
      <c r="G857" s="1021"/>
      <c r="H857" s="1021"/>
      <c r="I857" s="1021"/>
      <c r="J857" s="1021"/>
      <c r="K857" s="1021"/>
      <c r="L857" s="1021"/>
      <c r="M857" s="187"/>
      <c r="P857" s="992" t="s">
        <v>375</v>
      </c>
      <c r="Q857" s="992"/>
      <c r="R857" s="992"/>
      <c r="S857" s="992"/>
      <c r="T857" s="992"/>
      <c r="U857" s="992"/>
      <c r="V857" s="992"/>
      <c r="W857" s="992"/>
      <c r="X857" s="188"/>
      <c r="Z857" s="1021" t="s">
        <v>0</v>
      </c>
      <c r="AA857" s="1021"/>
      <c r="AB857" s="1021"/>
      <c r="AC857" s="1021"/>
      <c r="AD857" s="1021"/>
      <c r="AE857" s="1021"/>
      <c r="AF857" s="1021"/>
      <c r="AG857" s="1021"/>
      <c r="AH857" s="1021"/>
      <c r="AI857" s="1021"/>
      <c r="AJ857" s="1021"/>
      <c r="AK857" s="187"/>
      <c r="AN857" s="992" t="s">
        <v>375</v>
      </c>
      <c r="AO857" s="992"/>
      <c r="AP857" s="992"/>
      <c r="AQ857" s="992"/>
      <c r="AR857" s="992"/>
      <c r="AS857" s="992"/>
      <c r="AT857" s="992"/>
      <c r="AU857" s="992"/>
      <c r="AV857" s="187"/>
    </row>
    <row r="858" spans="2:48" x14ac:dyDescent="0.2">
      <c r="B858" s="999" t="e">
        <f>VLOOKUP(U864,ID_archer_cible,2,FALSE)</f>
        <v>#N/A</v>
      </c>
      <c r="C858" s="1000"/>
      <c r="D858" s="1000"/>
      <c r="E858" s="1000"/>
      <c r="F858" s="1000"/>
      <c r="G858" s="1000"/>
      <c r="H858" s="1000"/>
      <c r="I858" s="1000"/>
      <c r="J858" s="1000"/>
      <c r="K858" s="1000"/>
      <c r="L858" s="1000"/>
      <c r="M858" s="1001"/>
      <c r="P858" s="999" t="e">
        <f>VLOOKUP(U864,ID_archer_cible,3,FALSE)</f>
        <v>#N/A</v>
      </c>
      <c r="Q858" s="1000"/>
      <c r="R858" s="1000"/>
      <c r="S858" s="1000"/>
      <c r="T858" s="1000"/>
      <c r="U858" s="1000"/>
      <c r="V858" s="1000"/>
      <c r="W858" s="1001"/>
      <c r="X858" s="186"/>
      <c r="Y858"/>
      <c r="Z858" s="999" t="e">
        <f>VLOOKUP(AS864,ID_archer_cible,2,FALSE)</f>
        <v>#N/A</v>
      </c>
      <c r="AA858" s="1000"/>
      <c r="AB858" s="1000"/>
      <c r="AC858" s="1000"/>
      <c r="AD858" s="1000"/>
      <c r="AE858" s="1000"/>
      <c r="AF858" s="1000"/>
      <c r="AG858" s="1000"/>
      <c r="AH858" s="1000"/>
      <c r="AI858" s="1000"/>
      <c r="AJ858" s="1000"/>
      <c r="AK858" s="1001"/>
      <c r="AN858" s="999" t="e">
        <f>VLOOKUP(AS864,ID_archer_cible,3,FALSE)</f>
        <v>#N/A</v>
      </c>
      <c r="AO858" s="1000"/>
      <c r="AP858" s="1000"/>
      <c r="AQ858" s="1000"/>
      <c r="AR858" s="1000"/>
      <c r="AS858" s="1000"/>
      <c r="AT858" s="1000"/>
      <c r="AU858" s="1001"/>
    </row>
    <row r="859" spans="2:48" x14ac:dyDescent="0.2">
      <c r="X859" s="186"/>
      <c r="Y859"/>
    </row>
    <row r="860" spans="2:48" ht="16.5" thickBot="1" x14ac:dyDescent="0.25">
      <c r="B860" s="1017" t="s">
        <v>1</v>
      </c>
      <c r="C860" s="1017"/>
      <c r="D860" s="1017"/>
      <c r="E860" s="1017"/>
      <c r="F860" s="1017"/>
      <c r="G860" s="1017"/>
      <c r="H860" s="1017"/>
      <c r="I860" s="1017"/>
      <c r="J860" s="1017"/>
      <c r="L860" s="1017" t="s">
        <v>505</v>
      </c>
      <c r="M860" s="1017"/>
      <c r="N860" s="1017"/>
      <c r="O860" s="1017"/>
      <c r="P860" s="1017"/>
      <c r="Q860" s="1017"/>
      <c r="S860" s="992" t="s">
        <v>506</v>
      </c>
      <c r="T860" s="992"/>
      <c r="U860" s="992"/>
      <c r="V860" s="992"/>
      <c r="W860" s="992"/>
      <c r="X860" s="188"/>
      <c r="Y860"/>
      <c r="Z860" s="1017" t="s">
        <v>1</v>
      </c>
      <c r="AA860" s="1017"/>
      <c r="AB860" s="1017"/>
      <c r="AC860" s="1017"/>
      <c r="AD860" s="1017"/>
      <c r="AE860" s="1017"/>
      <c r="AF860" s="1017"/>
      <c r="AG860" s="1017"/>
      <c r="AH860" s="1017"/>
      <c r="AJ860" s="1017" t="s">
        <v>505</v>
      </c>
      <c r="AK860" s="1017"/>
      <c r="AL860" s="1017"/>
      <c r="AM860" s="1017"/>
      <c r="AN860" s="1017"/>
      <c r="AO860" s="1017"/>
      <c r="AQ860" s="992" t="s">
        <v>506</v>
      </c>
      <c r="AR860" s="992"/>
      <c r="AS860" s="992"/>
      <c r="AT860" s="992"/>
      <c r="AU860" s="992"/>
      <c r="AV860" s="187"/>
    </row>
    <row r="861" spans="2:48" ht="16.5" thickBot="1" x14ac:dyDescent="0.25">
      <c r="B861" s="1014" t="e">
        <f>VLOOKUP(U864,ID_archer_cible,5,FALSE)</f>
        <v>#N/A</v>
      </c>
      <c r="C861" s="1015"/>
      <c r="D861" s="1015"/>
      <c r="E861" s="1015"/>
      <c r="F861" s="1015"/>
      <c r="G861" s="1015"/>
      <c r="H861" s="1015"/>
      <c r="I861" s="1015"/>
      <c r="J861" s="1016"/>
      <c r="L861" s="1014" t="e">
        <f>VLOOKUP(U864,ID_archer_cible,6,FALSE)</f>
        <v>#N/A</v>
      </c>
      <c r="M861" s="1015"/>
      <c r="N861" s="1015"/>
      <c r="O861" s="1015"/>
      <c r="P861" s="1015"/>
      <c r="Q861" s="1016"/>
      <c r="S861" s="999" t="e">
        <f>VLOOKUP(U864,ID_archer_cible,8,FALSE)</f>
        <v>#N/A</v>
      </c>
      <c r="T861" s="1000"/>
      <c r="U861" s="1000"/>
      <c r="V861" s="1000"/>
      <c r="W861" s="1001"/>
      <c r="X861" s="186"/>
      <c r="Y861"/>
      <c r="Z861" s="1014" t="e">
        <f>VLOOKUP(AS864,ID_archer_cible,5,FALSE)</f>
        <v>#N/A</v>
      </c>
      <c r="AA861" s="1015"/>
      <c r="AB861" s="1015"/>
      <c r="AC861" s="1015"/>
      <c r="AD861" s="1015"/>
      <c r="AE861" s="1015"/>
      <c r="AF861" s="1015"/>
      <c r="AG861" s="1015"/>
      <c r="AH861" s="1016"/>
      <c r="AJ861" s="1014" t="e">
        <f>VLOOKUP(AS864,ID_archer_cible,6,FALSE)</f>
        <v>#N/A</v>
      </c>
      <c r="AK861" s="1015"/>
      <c r="AL861" s="1015"/>
      <c r="AM861" s="1015"/>
      <c r="AN861" s="1015"/>
      <c r="AO861" s="1016"/>
      <c r="AQ861" s="999" t="e">
        <f>VLOOKUP(AS864,ID_archer_cible,8,FALSE)</f>
        <v>#N/A</v>
      </c>
      <c r="AR861" s="1000"/>
      <c r="AS861" s="1000"/>
      <c r="AT861" s="1000"/>
      <c r="AU861" s="1001"/>
    </row>
    <row r="862" spans="2:48" x14ac:dyDescent="0.2">
      <c r="X862" s="186"/>
      <c r="Y862"/>
    </row>
    <row r="863" spans="2:48" x14ac:dyDescent="0.2">
      <c r="B863" s="992" t="s">
        <v>530</v>
      </c>
      <c r="C863" s="992"/>
      <c r="D863" s="992"/>
      <c r="E863" s="992"/>
      <c r="F863" s="992"/>
      <c r="G863" s="187"/>
      <c r="H863" s="992" t="s">
        <v>504</v>
      </c>
      <c r="I863" s="992"/>
      <c r="J863" s="992"/>
      <c r="K863" s="992"/>
      <c r="M863" s="992" t="s">
        <v>39</v>
      </c>
      <c r="N863" s="992"/>
      <c r="O863" s="992"/>
      <c r="Q863" s="1021"/>
      <c r="R863" s="1021"/>
      <c r="S863" s="1021"/>
      <c r="U863" s="992" t="s">
        <v>507</v>
      </c>
      <c r="V863" s="992"/>
      <c r="W863" s="992"/>
      <c r="X863" s="188"/>
      <c r="Y863"/>
      <c r="Z863" s="992" t="s">
        <v>530</v>
      </c>
      <c r="AA863" s="992"/>
      <c r="AB863" s="992"/>
      <c r="AC863" s="992"/>
      <c r="AD863" s="992"/>
      <c r="AE863" s="187"/>
      <c r="AF863" s="992" t="s">
        <v>504</v>
      </c>
      <c r="AG863" s="992"/>
      <c r="AH863" s="992"/>
      <c r="AI863" s="992"/>
      <c r="AK863" s="992" t="s">
        <v>39</v>
      </c>
      <c r="AL863" s="992"/>
      <c r="AM863" s="992"/>
      <c r="AO863" s="1021"/>
      <c r="AP863" s="1021"/>
      <c r="AQ863" s="1021"/>
      <c r="AS863" s="992" t="s">
        <v>507</v>
      </c>
      <c r="AT863" s="992"/>
      <c r="AU863" s="992"/>
      <c r="AV863" s="187"/>
    </row>
    <row r="864" spans="2:48" ht="15.75" x14ac:dyDescent="0.2">
      <c r="B864" s="1011" t="e">
        <f>VLOOKUP(U864,ID_archer_cible,7,FALSE)</f>
        <v>#N/A</v>
      </c>
      <c r="C864" s="1012"/>
      <c r="D864" s="1012"/>
      <c r="E864" s="1012"/>
      <c r="F864" s="1013"/>
      <c r="H864" s="999" t="e">
        <f>VLOOKUP(U864,ID_archer_cible,9,FALSE)</f>
        <v>#N/A</v>
      </c>
      <c r="I864" s="1000"/>
      <c r="J864" s="1000"/>
      <c r="K864" s="1001"/>
      <c r="M864" s="999" t="e">
        <f>VLOOKUP(U864,ID_archer_cible,10,FALSE)</f>
        <v>#N/A</v>
      </c>
      <c r="N864" s="1000"/>
      <c r="O864" s="1001"/>
      <c r="Q864" s="1021"/>
      <c r="R864" s="1021"/>
      <c r="S864" s="1021"/>
      <c r="T864" s="187"/>
      <c r="U864" s="996" t="str">
        <f>AR822&amp;"C"</f>
        <v>14C</v>
      </c>
      <c r="V864" s="997"/>
      <c r="W864" s="998"/>
      <c r="X864" s="188"/>
      <c r="Y864"/>
      <c r="Z864" s="1011" t="e">
        <f>VLOOKUP(AS864,ID_archer_cible,7,FALSE)</f>
        <v>#N/A</v>
      </c>
      <c r="AA864" s="1012"/>
      <c r="AB864" s="1012"/>
      <c r="AC864" s="1012"/>
      <c r="AD864" s="1013"/>
      <c r="AF864" s="999" t="e">
        <f>VLOOKUP(AS864,ID_archer_cible,9,FALSE)</f>
        <v>#N/A</v>
      </c>
      <c r="AG864" s="1000"/>
      <c r="AH864" s="1000"/>
      <c r="AI864" s="1001"/>
      <c r="AK864" s="999" t="e">
        <f>VLOOKUP(AS864,ID_archer_cible,10,FALSE)</f>
        <v>#N/A</v>
      </c>
      <c r="AL864" s="1000"/>
      <c r="AM864" s="1001"/>
      <c r="AO864" s="1021"/>
      <c r="AP864" s="1021"/>
      <c r="AQ864" s="1021"/>
      <c r="AR864" s="187"/>
      <c r="AS864" s="996" t="str">
        <f>AR822&amp;"D"</f>
        <v>14D</v>
      </c>
      <c r="AT864" s="997"/>
      <c r="AU864" s="998"/>
      <c r="AV864" s="187"/>
    </row>
    <row r="865" spans="2:48" x14ac:dyDescent="0.2">
      <c r="X865" s="186"/>
    </row>
    <row r="866" spans="2:48" x14ac:dyDescent="0.2">
      <c r="B866" s="185" t="s">
        <v>509</v>
      </c>
      <c r="E866" s="992" t="s">
        <v>510</v>
      </c>
      <c r="F866" s="992"/>
      <c r="G866" s="992"/>
      <c r="H866" s="992"/>
      <c r="I866" s="992"/>
      <c r="J866" s="992"/>
      <c r="K866" s="992"/>
      <c r="L866" s="992"/>
      <c r="M866" s="992"/>
      <c r="N866" s="992"/>
      <c r="P866" s="992" t="s">
        <v>511</v>
      </c>
      <c r="Q866" s="992"/>
      <c r="R866" s="992"/>
      <c r="X866" s="186"/>
      <c r="Z866" s="185" t="s">
        <v>509</v>
      </c>
      <c r="AC866" s="992" t="s">
        <v>510</v>
      </c>
      <c r="AD866" s="992"/>
      <c r="AE866" s="992"/>
      <c r="AF866" s="992"/>
      <c r="AG866" s="992"/>
      <c r="AH866" s="992"/>
      <c r="AI866" s="992"/>
      <c r="AJ866" s="992"/>
      <c r="AK866" s="992"/>
      <c r="AL866" s="992"/>
      <c r="AN866" s="992" t="s">
        <v>511</v>
      </c>
      <c r="AO866" s="992"/>
      <c r="AP866" s="992"/>
    </row>
    <row r="867" spans="2:48" ht="20.25" customHeight="1" x14ac:dyDescent="0.2">
      <c r="B867" s="1009" t="s">
        <v>513</v>
      </c>
      <c r="C867" s="1009"/>
      <c r="E867" s="189"/>
      <c r="F867" s="191"/>
      <c r="G867" s="189"/>
      <c r="H867" s="191"/>
      <c r="I867" s="189"/>
      <c r="J867" s="191"/>
      <c r="K867" s="189"/>
      <c r="L867" s="191"/>
      <c r="M867" s="189"/>
      <c r="N867" s="191"/>
      <c r="P867" s="189"/>
      <c r="Q867" s="190"/>
      <c r="R867" s="191"/>
      <c r="T867" s="992" t="s">
        <v>512</v>
      </c>
      <c r="U867" s="992"/>
      <c r="V867" s="992"/>
      <c r="W867" s="992"/>
      <c r="X867" s="188"/>
      <c r="Z867" s="1009" t="s">
        <v>513</v>
      </c>
      <c r="AA867" s="1009"/>
      <c r="AC867" s="189"/>
      <c r="AD867" s="191"/>
      <c r="AE867" s="189"/>
      <c r="AF867" s="191"/>
      <c r="AG867" s="189"/>
      <c r="AH867" s="191"/>
      <c r="AI867" s="189"/>
      <c r="AJ867" s="191"/>
      <c r="AK867" s="189"/>
      <c r="AL867" s="191"/>
      <c r="AN867" s="189"/>
      <c r="AO867" s="190"/>
      <c r="AP867" s="191"/>
      <c r="AR867" s="992" t="s">
        <v>512</v>
      </c>
      <c r="AS867" s="992"/>
      <c r="AT867" s="992"/>
      <c r="AU867" s="992"/>
      <c r="AV867" s="187"/>
    </row>
    <row r="868" spans="2:48" ht="20.25" customHeight="1" x14ac:dyDescent="0.2">
      <c r="B868" s="1009" t="s">
        <v>514</v>
      </c>
      <c r="C868" s="1009"/>
      <c r="E868" s="189"/>
      <c r="F868" s="191"/>
      <c r="G868" s="189"/>
      <c r="H868" s="191"/>
      <c r="I868" s="189"/>
      <c r="J868" s="191"/>
      <c r="K868" s="189"/>
      <c r="L868" s="191"/>
      <c r="M868" s="189"/>
      <c r="N868" s="191"/>
      <c r="P868" s="189"/>
      <c r="Q868" s="190"/>
      <c r="R868" s="191"/>
      <c r="T868" s="189"/>
      <c r="U868" s="190"/>
      <c r="V868" s="190"/>
      <c r="W868" s="191"/>
      <c r="X868" s="186"/>
      <c r="Z868" s="1009" t="s">
        <v>514</v>
      </c>
      <c r="AA868" s="1009"/>
      <c r="AC868" s="189"/>
      <c r="AD868" s="191"/>
      <c r="AE868" s="189"/>
      <c r="AF868" s="191"/>
      <c r="AG868" s="189"/>
      <c r="AH868" s="191"/>
      <c r="AI868" s="189"/>
      <c r="AJ868" s="191"/>
      <c r="AK868" s="189"/>
      <c r="AL868" s="191"/>
      <c r="AN868" s="189"/>
      <c r="AO868" s="190"/>
      <c r="AP868" s="191"/>
      <c r="AR868" s="189"/>
      <c r="AS868" s="190"/>
      <c r="AT868" s="190"/>
      <c r="AU868" s="191"/>
    </row>
    <row r="869" spans="2:48" ht="20.25" customHeight="1" x14ac:dyDescent="0.2">
      <c r="B869" s="1009" t="s">
        <v>515</v>
      </c>
      <c r="C869" s="1009"/>
      <c r="E869" s="189"/>
      <c r="F869" s="191"/>
      <c r="G869" s="189"/>
      <c r="H869" s="191"/>
      <c r="I869" s="189"/>
      <c r="J869" s="191"/>
      <c r="K869" s="189"/>
      <c r="L869" s="191"/>
      <c r="M869" s="189"/>
      <c r="N869" s="191"/>
      <c r="P869" s="189"/>
      <c r="Q869" s="190"/>
      <c r="R869" s="191"/>
      <c r="T869" s="189"/>
      <c r="U869" s="190"/>
      <c r="V869" s="190"/>
      <c r="W869" s="191"/>
      <c r="X869" s="186"/>
      <c r="Z869" s="1009" t="s">
        <v>515</v>
      </c>
      <c r="AA869" s="1009"/>
      <c r="AC869" s="189"/>
      <c r="AD869" s="191"/>
      <c r="AE869" s="189"/>
      <c r="AF869" s="191"/>
      <c r="AG869" s="189"/>
      <c r="AH869" s="191"/>
      <c r="AI869" s="189"/>
      <c r="AJ869" s="191"/>
      <c r="AK869" s="189"/>
      <c r="AL869" s="191"/>
      <c r="AN869" s="189"/>
      <c r="AO869" s="190"/>
      <c r="AP869" s="191"/>
      <c r="AR869" s="189"/>
      <c r="AS869" s="190"/>
      <c r="AT869" s="190"/>
      <c r="AU869" s="191"/>
    </row>
    <row r="870" spans="2:48" ht="20.25" customHeight="1" x14ac:dyDescent="0.2">
      <c r="B870" s="1009" t="s">
        <v>516</v>
      </c>
      <c r="C870" s="1009"/>
      <c r="E870" s="189"/>
      <c r="F870" s="191"/>
      <c r="G870" s="189"/>
      <c r="H870" s="191"/>
      <c r="I870" s="189"/>
      <c r="J870" s="191"/>
      <c r="K870" s="189"/>
      <c r="L870" s="191"/>
      <c r="M870" s="189"/>
      <c r="N870" s="191"/>
      <c r="P870" s="189"/>
      <c r="Q870" s="190"/>
      <c r="R870" s="191"/>
      <c r="T870" s="189"/>
      <c r="U870" s="190"/>
      <c r="V870" s="190"/>
      <c r="W870" s="191"/>
      <c r="X870" s="186"/>
      <c r="Z870" s="1009" t="s">
        <v>516</v>
      </c>
      <c r="AA870" s="1009"/>
      <c r="AC870" s="189"/>
      <c r="AD870" s="191"/>
      <c r="AE870" s="189"/>
      <c r="AF870" s="191"/>
      <c r="AG870" s="189"/>
      <c r="AH870" s="191"/>
      <c r="AI870" s="189"/>
      <c r="AJ870" s="191"/>
      <c r="AK870" s="189"/>
      <c r="AL870" s="191"/>
      <c r="AN870" s="189"/>
      <c r="AO870" s="190"/>
      <c r="AP870" s="191"/>
      <c r="AR870" s="189"/>
      <c r="AS870" s="190"/>
      <c r="AT870" s="190"/>
      <c r="AU870" s="191"/>
    </row>
    <row r="871" spans="2:48" ht="20.25" customHeight="1" x14ac:dyDescent="0.2">
      <c r="B871" s="1009" t="s">
        <v>517</v>
      </c>
      <c r="C871" s="1009"/>
      <c r="E871" s="189"/>
      <c r="F871" s="191"/>
      <c r="G871" s="189"/>
      <c r="H871" s="191"/>
      <c r="I871" s="189"/>
      <c r="J871" s="191"/>
      <c r="K871" s="189"/>
      <c r="L871" s="191"/>
      <c r="M871" s="189"/>
      <c r="N871" s="191"/>
      <c r="P871" s="189"/>
      <c r="Q871" s="190"/>
      <c r="R871" s="191"/>
      <c r="T871" s="189"/>
      <c r="U871" s="190"/>
      <c r="V871" s="190"/>
      <c r="W871" s="191"/>
      <c r="X871" s="186"/>
      <c r="Z871" s="1009" t="s">
        <v>517</v>
      </c>
      <c r="AA871" s="1009"/>
      <c r="AC871" s="189"/>
      <c r="AD871" s="191"/>
      <c r="AE871" s="189"/>
      <c r="AF871" s="191"/>
      <c r="AG871" s="189"/>
      <c r="AH871" s="191"/>
      <c r="AI871" s="189"/>
      <c r="AJ871" s="191"/>
      <c r="AK871" s="189"/>
      <c r="AL871" s="191"/>
      <c r="AN871" s="189"/>
      <c r="AO871" s="190"/>
      <c r="AP871" s="191"/>
      <c r="AR871" s="189"/>
      <c r="AS871" s="190"/>
      <c r="AT871" s="190"/>
      <c r="AU871" s="191"/>
    </row>
    <row r="872" spans="2:48" ht="20.25" customHeight="1" x14ac:dyDescent="0.2">
      <c r="B872" s="1009" t="s">
        <v>518</v>
      </c>
      <c r="C872" s="1009"/>
      <c r="E872" s="189"/>
      <c r="F872" s="191"/>
      <c r="G872" s="189"/>
      <c r="H872" s="191"/>
      <c r="I872" s="189"/>
      <c r="J872" s="191"/>
      <c r="K872" s="189"/>
      <c r="L872" s="191"/>
      <c r="M872" s="189"/>
      <c r="N872" s="191"/>
      <c r="P872" s="189"/>
      <c r="Q872" s="190"/>
      <c r="R872" s="191"/>
      <c r="T872" s="189"/>
      <c r="U872" s="190"/>
      <c r="V872" s="190"/>
      <c r="W872" s="191"/>
      <c r="X872" s="186"/>
      <c r="Z872" s="1009" t="s">
        <v>518</v>
      </c>
      <c r="AA872" s="1009"/>
      <c r="AC872" s="189"/>
      <c r="AD872" s="191"/>
      <c r="AE872" s="189"/>
      <c r="AF872" s="191"/>
      <c r="AG872" s="189"/>
      <c r="AH872" s="191"/>
      <c r="AI872" s="189"/>
      <c r="AJ872" s="191"/>
      <c r="AK872" s="189"/>
      <c r="AL872" s="191"/>
      <c r="AN872" s="189"/>
      <c r="AO872" s="190"/>
      <c r="AP872" s="191"/>
      <c r="AR872" s="189"/>
      <c r="AS872" s="190"/>
      <c r="AT872" s="190"/>
      <c r="AU872" s="191"/>
    </row>
    <row r="873" spans="2:48" ht="15.75" thickBot="1" x14ac:dyDescent="0.25">
      <c r="B873" s="187"/>
      <c r="C873" s="187"/>
      <c r="X873" s="186"/>
      <c r="Z873" s="187"/>
      <c r="AA873" s="187"/>
    </row>
    <row r="874" spans="2:48" ht="20.25" customHeight="1" thickBot="1" x14ac:dyDescent="0.25">
      <c r="P874" s="197" t="s">
        <v>519</v>
      </c>
      <c r="Q874" s="197"/>
      <c r="R874" s="197"/>
      <c r="S874" s="197"/>
      <c r="T874" s="192"/>
      <c r="U874" s="193"/>
      <c r="V874" s="193"/>
      <c r="W874" s="194"/>
      <c r="X874" s="186"/>
      <c r="AN874" s="197" t="s">
        <v>519</v>
      </c>
      <c r="AO874" s="197"/>
      <c r="AP874" s="197"/>
      <c r="AQ874" s="197"/>
      <c r="AR874" s="192"/>
      <c r="AS874" s="193"/>
      <c r="AT874" s="193"/>
      <c r="AU874" s="194"/>
    </row>
    <row r="875" spans="2:48" x14ac:dyDescent="0.2">
      <c r="E875" s="196"/>
      <c r="F875" s="196"/>
      <c r="G875" s="196"/>
      <c r="H875" s="196"/>
      <c r="I875" s="196"/>
      <c r="J875" s="196"/>
      <c r="K875" s="196"/>
      <c r="L875" s="196"/>
      <c r="M875" s="196"/>
      <c r="X875" s="186"/>
      <c r="AC875" s="196"/>
      <c r="AD875" s="196"/>
      <c r="AE875" s="196"/>
      <c r="AF875" s="196"/>
      <c r="AG875" s="196"/>
      <c r="AH875" s="196"/>
      <c r="AI875" s="196"/>
      <c r="AJ875" s="196"/>
      <c r="AK875" s="196"/>
    </row>
    <row r="876" spans="2:48" x14ac:dyDescent="0.2">
      <c r="B876" s="1010" t="s">
        <v>521</v>
      </c>
      <c r="C876" s="1010"/>
      <c r="D876" s="1010"/>
      <c r="E876" s="1010"/>
      <c r="F876" s="1010"/>
      <c r="G876" s="1010"/>
      <c r="H876" s="195"/>
      <c r="I876" s="1004" t="s">
        <v>522</v>
      </c>
      <c r="J876" s="1004"/>
      <c r="K876" s="1004"/>
      <c r="L876" s="1004"/>
      <c r="M876" s="1004"/>
      <c r="N876" s="1004"/>
      <c r="O876" s="1004"/>
      <c r="P876" s="1004"/>
      <c r="Q876" s="1004"/>
      <c r="R876" s="1004"/>
      <c r="S876" s="1004"/>
      <c r="T876" s="1004"/>
      <c r="U876" s="1004"/>
      <c r="V876" s="1004"/>
      <c r="W876" s="1004"/>
      <c r="X876" s="198"/>
      <c r="Y876" s="195"/>
      <c r="Z876" s="1010" t="s">
        <v>521</v>
      </c>
      <c r="AA876" s="1010"/>
      <c r="AB876" s="1010"/>
      <c r="AC876" s="1010"/>
      <c r="AD876" s="1010"/>
      <c r="AE876" s="1010"/>
      <c r="AF876" s="195"/>
      <c r="AG876" s="1004" t="s">
        <v>522</v>
      </c>
      <c r="AH876" s="1004"/>
      <c r="AI876" s="1004"/>
      <c r="AJ876" s="1004"/>
      <c r="AK876" s="1004"/>
      <c r="AL876" s="1004"/>
      <c r="AM876" s="1004"/>
      <c r="AN876" s="1004"/>
      <c r="AO876" s="1004"/>
      <c r="AP876" s="1004"/>
      <c r="AQ876" s="1004"/>
      <c r="AR876" s="1004"/>
      <c r="AS876" s="1004"/>
      <c r="AT876" s="1004"/>
      <c r="AU876" s="1004"/>
      <c r="AV876" s="195"/>
    </row>
    <row r="877" spans="2:48" x14ac:dyDescent="0.2">
      <c r="B877" s="1005" t="s">
        <v>520</v>
      </c>
      <c r="C877" s="1006"/>
      <c r="D877" s="1006"/>
      <c r="E877" s="1006"/>
      <c r="F877" s="1006"/>
      <c r="G877" s="1007"/>
      <c r="I877" s="1005" t="s">
        <v>0</v>
      </c>
      <c r="J877" s="1006"/>
      <c r="K877" s="1006"/>
      <c r="L877" s="1006"/>
      <c r="M877" s="1006"/>
      <c r="N877" s="1006"/>
      <c r="O877" s="1006"/>
      <c r="P877" s="1006"/>
      <c r="Q877" s="1006"/>
      <c r="R877" s="1006"/>
      <c r="S877" s="1006"/>
      <c r="T877" s="1006"/>
      <c r="U877" s="1006"/>
      <c r="V877" s="1006"/>
      <c r="W877" s="1007"/>
      <c r="X877" s="186"/>
      <c r="Z877" s="1005" t="s">
        <v>520</v>
      </c>
      <c r="AA877" s="1006"/>
      <c r="AB877" s="1006"/>
      <c r="AC877" s="1006"/>
      <c r="AD877" s="1006"/>
      <c r="AE877" s="1007"/>
      <c r="AG877" s="1005" t="s">
        <v>0</v>
      </c>
      <c r="AH877" s="1006"/>
      <c r="AI877" s="1006"/>
      <c r="AJ877" s="1006"/>
      <c r="AK877" s="1006"/>
      <c r="AL877" s="1006"/>
      <c r="AM877" s="1006"/>
      <c r="AN877" s="1006"/>
      <c r="AO877" s="1006"/>
      <c r="AP877" s="1006"/>
      <c r="AQ877" s="1006"/>
      <c r="AR877" s="1006"/>
      <c r="AS877" s="1006"/>
      <c r="AT877" s="1006"/>
      <c r="AU877" s="1007"/>
    </row>
    <row r="878" spans="2:48" x14ac:dyDescent="0.2">
      <c r="B878" s="199"/>
      <c r="C878" s="200"/>
      <c r="D878" s="200"/>
      <c r="E878" s="200"/>
      <c r="F878" s="200"/>
      <c r="G878" s="201"/>
      <c r="I878" s="199"/>
      <c r="J878" s="200"/>
      <c r="K878" s="200"/>
      <c r="L878" s="200"/>
      <c r="M878" s="200"/>
      <c r="N878" s="200"/>
      <c r="O878" s="200"/>
      <c r="P878" s="200"/>
      <c r="Q878" s="200"/>
      <c r="R878" s="200"/>
      <c r="S878" s="200"/>
      <c r="T878" s="200"/>
      <c r="U878" s="200"/>
      <c r="V878" s="200"/>
      <c r="W878" s="201"/>
      <c r="X878" s="186"/>
      <c r="Z878" s="199"/>
      <c r="AA878" s="200"/>
      <c r="AB878" s="200"/>
      <c r="AC878" s="200"/>
      <c r="AD878" s="200"/>
      <c r="AE878" s="201"/>
      <c r="AG878" s="199"/>
      <c r="AH878" s="200"/>
      <c r="AI878" s="200"/>
      <c r="AJ878" s="200"/>
      <c r="AK878" s="200"/>
      <c r="AL878" s="200"/>
      <c r="AM878" s="200"/>
      <c r="AN878" s="200"/>
      <c r="AO878" s="200"/>
      <c r="AP878" s="200"/>
      <c r="AQ878" s="200"/>
      <c r="AR878" s="200"/>
      <c r="AS878" s="200"/>
      <c r="AT878" s="200"/>
      <c r="AU878" s="201"/>
    </row>
    <row r="879" spans="2:48" x14ac:dyDescent="0.2">
      <c r="X879" s="186"/>
    </row>
    <row r="880" spans="2:48" x14ac:dyDescent="0.2">
      <c r="I880" s="1005" t="s">
        <v>481</v>
      </c>
      <c r="J880" s="1006"/>
      <c r="K880" s="1006"/>
      <c r="L880" s="1006"/>
      <c r="M880" s="1006"/>
      <c r="N880" s="1006"/>
      <c r="O880" s="1006"/>
      <c r="P880" s="1006"/>
      <c r="Q880" s="1007"/>
      <c r="R880" s="1005" t="s">
        <v>520</v>
      </c>
      <c r="S880" s="1006"/>
      <c r="T880" s="1006"/>
      <c r="U880" s="1006"/>
      <c r="V880" s="1006"/>
      <c r="W880" s="1007"/>
      <c r="X880" s="186"/>
      <c r="AG880" s="1005" t="s">
        <v>481</v>
      </c>
      <c r="AH880" s="1006"/>
      <c r="AI880" s="1006"/>
      <c r="AJ880" s="1006"/>
      <c r="AK880" s="1006"/>
      <c r="AL880" s="1006"/>
      <c r="AM880" s="1006"/>
      <c r="AN880" s="1006"/>
      <c r="AO880" s="1007"/>
      <c r="AP880" s="1005" t="s">
        <v>520</v>
      </c>
      <c r="AQ880" s="1006"/>
      <c r="AR880" s="1006"/>
      <c r="AS880" s="1006"/>
      <c r="AT880" s="1006"/>
      <c r="AU880" s="1007"/>
    </row>
    <row r="881" spans="2:48" x14ac:dyDescent="0.2">
      <c r="I881" s="199"/>
      <c r="J881" s="200"/>
      <c r="K881" s="200"/>
      <c r="L881" s="200"/>
      <c r="M881" s="200"/>
      <c r="N881" s="200"/>
      <c r="O881" s="200"/>
      <c r="P881" s="200"/>
      <c r="Q881" s="200"/>
      <c r="R881" s="199"/>
      <c r="S881" s="200"/>
      <c r="T881" s="200"/>
      <c r="U881" s="200"/>
      <c r="V881" s="200"/>
      <c r="W881" s="201"/>
      <c r="X881" s="186"/>
      <c r="AG881" s="199"/>
      <c r="AH881" s="200"/>
      <c r="AI881" s="200"/>
      <c r="AJ881" s="200"/>
      <c r="AK881" s="200"/>
      <c r="AL881" s="200"/>
      <c r="AM881" s="200"/>
      <c r="AN881" s="200"/>
      <c r="AO881" s="200"/>
      <c r="AP881" s="199"/>
      <c r="AQ881" s="200"/>
      <c r="AR881" s="200"/>
      <c r="AS881" s="200"/>
      <c r="AT881" s="200"/>
      <c r="AU881" s="201"/>
    </row>
    <row r="883" spans="2:48" ht="57.75" customHeight="1" x14ac:dyDescent="0.2">
      <c r="B883" s="1058" t="str">
        <f>Championnat</f>
        <v>Championnat de France de Tir à l'ARC</v>
      </c>
      <c r="C883" s="1058"/>
      <c r="D883" s="1058"/>
      <c r="E883" s="1058"/>
      <c r="F883" s="1058"/>
      <c r="G883" s="1058"/>
      <c r="H883" s="1058"/>
      <c r="I883" s="1058"/>
      <c r="J883" s="1058"/>
      <c r="K883" s="1058"/>
      <c r="L883" s="1058"/>
      <c r="M883" s="1058"/>
      <c r="N883" s="1058"/>
      <c r="O883" s="1058"/>
      <c r="P883" s="1058"/>
      <c r="Q883" s="1058"/>
      <c r="R883" s="1058"/>
      <c r="S883" s="1058"/>
      <c r="T883" s="1058"/>
      <c r="U883" s="1058"/>
      <c r="V883" s="1058"/>
      <c r="W883" s="1058"/>
      <c r="X883" s="1058"/>
      <c r="Y883" s="1058"/>
      <c r="Z883" s="1058"/>
      <c r="AA883" s="1058"/>
      <c r="AB883" s="1058"/>
      <c r="AC883" s="1058"/>
      <c r="AD883" s="1058"/>
      <c r="AE883" s="1058"/>
      <c r="AF883" s="1058"/>
      <c r="AG883" s="1058"/>
      <c r="AH883" s="1058"/>
      <c r="AI883" s="1058"/>
      <c r="AJ883" s="1058"/>
      <c r="AK883" s="1058"/>
      <c r="AL883" s="1058"/>
      <c r="AM883" s="1058"/>
      <c r="AN883" s="1058"/>
      <c r="AO883" s="1058"/>
      <c r="AP883" s="1058"/>
    </row>
    <row r="884" spans="2:48" ht="45" customHeight="1" thickBot="1" x14ac:dyDescent="0.25">
      <c r="B884" s="1018" t="str">
        <f>LIEU&amp;" - "&amp;DATE&amp;" - "&amp;CATEG</f>
        <v>L’Isle sur la Sorgue - 27 au 31 mars 2023 - Collèges Mixtes Etablissement</v>
      </c>
      <c r="C884" s="1018"/>
      <c r="D884" s="1018"/>
      <c r="E884" s="1018"/>
      <c r="F884" s="1018"/>
      <c r="G884" s="1018"/>
      <c r="H884" s="1018"/>
      <c r="I884" s="1018"/>
      <c r="J884" s="1018"/>
      <c r="K884" s="1018"/>
      <c r="L884" s="1018"/>
      <c r="M884" s="1018"/>
      <c r="N884" s="1018"/>
      <c r="O884" s="1018"/>
      <c r="P884" s="1018"/>
      <c r="Q884" s="1018"/>
      <c r="R884" s="1018"/>
      <c r="S884" s="1018"/>
      <c r="T884" s="1018"/>
      <c r="U884" s="1018"/>
      <c r="V884" s="1018"/>
      <c r="W884" s="1018"/>
      <c r="X884" s="1018"/>
      <c r="Y884" s="1018"/>
      <c r="Z884" s="1018"/>
      <c r="AA884" s="1018"/>
      <c r="AB884" s="1018"/>
      <c r="AC884" s="1018"/>
      <c r="AD884" s="1018"/>
      <c r="AE884" s="1018"/>
      <c r="AF884" s="1018"/>
      <c r="AG884" s="1018"/>
      <c r="AH884" s="1018"/>
      <c r="AI884" s="1018"/>
      <c r="AJ884" s="1018"/>
      <c r="AK884" s="1018"/>
      <c r="AL884" s="1018"/>
      <c r="AM884" s="1018"/>
      <c r="AN884" s="1018"/>
      <c r="AO884" s="1018"/>
      <c r="AP884" s="1018"/>
      <c r="AQ884" s="182"/>
      <c r="AR884" s="182"/>
      <c r="AS884" s="182"/>
      <c r="AT884" s="182"/>
      <c r="AU884" s="182"/>
      <c r="AV884" s="182"/>
    </row>
    <row r="885" spans="2:48" ht="26.25" customHeight="1" x14ac:dyDescent="0.2">
      <c r="B885" s="1059" t="str">
        <f>CATEG_IMPORTEE</f>
        <v>Collèges Mixtes Etablissement</v>
      </c>
      <c r="C885" s="1059"/>
      <c r="D885" s="1059"/>
      <c r="E885" s="1059"/>
      <c r="F885" s="1059"/>
      <c r="G885" s="1059"/>
      <c r="H885" s="1059"/>
      <c r="I885" s="1059"/>
      <c r="J885" s="1059"/>
      <c r="K885" s="1059"/>
      <c r="L885" s="1059"/>
      <c r="M885" s="1059"/>
      <c r="N885" s="1059"/>
      <c r="O885" s="1059"/>
      <c r="P885" s="1059"/>
      <c r="Q885" s="1059"/>
      <c r="R885" s="1059"/>
      <c r="S885" s="1059"/>
      <c r="T885" s="1059"/>
      <c r="U885" s="1059"/>
      <c r="V885" s="1059"/>
      <c r="W885" s="1059"/>
      <c r="X885" s="1059"/>
      <c r="Y885" s="1059"/>
      <c r="Z885" s="1059"/>
      <c r="AA885" s="1059"/>
      <c r="AB885" s="1059"/>
      <c r="AC885" s="1059"/>
      <c r="AD885" s="1059"/>
      <c r="AE885" s="1059"/>
      <c r="AF885" s="1059"/>
      <c r="AG885" s="1059"/>
      <c r="AH885" s="1059"/>
      <c r="AI885" s="1059"/>
      <c r="AJ885" s="1059"/>
      <c r="AK885" s="1059"/>
      <c r="AL885" s="1059"/>
      <c r="AM885" s="1059"/>
      <c r="AN885" s="1059"/>
      <c r="AO885" s="1059"/>
      <c r="AP885" s="1059"/>
      <c r="AQ885" s="182"/>
      <c r="AR885" s="1060">
        <f>AR822+1</f>
        <v>15</v>
      </c>
      <c r="AS885" s="1061"/>
      <c r="AT885" s="1062"/>
      <c r="AU885" s="182"/>
      <c r="AV885" s="182"/>
    </row>
    <row r="886" spans="2:48" ht="18" customHeight="1" x14ac:dyDescent="0.2">
      <c r="B886" s="182"/>
      <c r="C886" s="182"/>
      <c r="D886" s="182"/>
      <c r="E886" s="182"/>
      <c r="F886" s="182"/>
      <c r="G886" s="182"/>
      <c r="H886" s="182"/>
      <c r="I886" s="182"/>
      <c r="J886" s="182"/>
      <c r="K886" s="182"/>
      <c r="L886" s="182"/>
      <c r="M886" s="182"/>
      <c r="N886" s="182"/>
      <c r="O886" s="182"/>
      <c r="P886" s="182"/>
      <c r="Q886" s="182"/>
      <c r="R886" s="182"/>
      <c r="S886" s="182"/>
      <c r="T886" s="182"/>
      <c r="U886" s="182"/>
      <c r="V886" s="182"/>
      <c r="W886" s="182"/>
      <c r="X886" s="183"/>
      <c r="Y886" s="184"/>
      <c r="Z886" s="182"/>
      <c r="AA886" s="182"/>
      <c r="AB886" s="182"/>
      <c r="AC886" s="182"/>
      <c r="AD886" s="182"/>
      <c r="AE886" s="182"/>
      <c r="AF886" s="182"/>
      <c r="AG886" s="182"/>
      <c r="AH886" s="182"/>
      <c r="AI886" s="182"/>
      <c r="AJ886" s="182"/>
      <c r="AK886" s="182"/>
      <c r="AL886" s="182"/>
      <c r="AM886" s="182"/>
      <c r="AN886" s="182"/>
      <c r="AO886" s="182"/>
      <c r="AP886" s="182"/>
      <c r="AQ886" s="182"/>
      <c r="AR886" s="1063"/>
      <c r="AS886" s="1064"/>
      <c r="AT886" s="1065"/>
      <c r="AU886" s="182"/>
      <c r="AV886" s="182"/>
    </row>
    <row r="887" spans="2:48" ht="18.75" customHeight="1" thickBot="1" x14ac:dyDescent="0.25">
      <c r="B887" s="182"/>
      <c r="C887" s="182"/>
      <c r="D887" s="182"/>
      <c r="E887" s="182"/>
      <c r="F887" s="182"/>
      <c r="G887" s="182"/>
      <c r="H887" s="992" t="s">
        <v>374</v>
      </c>
      <c r="I887" s="992"/>
      <c r="J887" s="992"/>
      <c r="K887" s="992"/>
      <c r="L887" s="992"/>
      <c r="M887" s="992"/>
      <c r="N887" s="992"/>
      <c r="O887" s="992"/>
      <c r="P887" s="992"/>
      <c r="Q887" s="992"/>
      <c r="R887" s="182"/>
      <c r="S887" s="182"/>
      <c r="T887" s="182"/>
      <c r="U887" s="182"/>
      <c r="V887" s="182"/>
      <c r="W887" s="182"/>
      <c r="X887" s="183"/>
      <c r="Y887" s="182"/>
      <c r="Z887" s="182"/>
      <c r="AA887" s="182"/>
      <c r="AB887" s="182"/>
      <c r="AC887" s="182"/>
      <c r="AD887" s="182"/>
      <c r="AE887" s="992" t="s">
        <v>374</v>
      </c>
      <c r="AF887" s="992"/>
      <c r="AG887" s="992"/>
      <c r="AH887" s="992"/>
      <c r="AI887" s="992"/>
      <c r="AJ887" s="992"/>
      <c r="AK887" s="992"/>
      <c r="AL887" s="992"/>
      <c r="AM887" s="992"/>
      <c r="AN887" s="992"/>
      <c r="AO887" s="182"/>
      <c r="AP887" s="182"/>
      <c r="AQ887" s="182"/>
      <c r="AR887" s="1066"/>
      <c r="AS887" s="1067"/>
      <c r="AT887" s="1068"/>
      <c r="AU887" s="182"/>
      <c r="AV887" s="182"/>
    </row>
    <row r="888" spans="2:48" ht="18" x14ac:dyDescent="0.2">
      <c r="B888" s="182"/>
      <c r="C888" s="182"/>
      <c r="D888" s="182"/>
      <c r="E888" s="182"/>
      <c r="F888" s="182"/>
      <c r="G888" s="182"/>
      <c r="H888" s="1022" t="e">
        <f>VLOOKUP(U897,ID_archer_cible,4,FALSE)</f>
        <v>#N/A</v>
      </c>
      <c r="I888" s="1023"/>
      <c r="J888" s="1023"/>
      <c r="K888" s="1023"/>
      <c r="L888" s="1023"/>
      <c r="M888" s="1023"/>
      <c r="N888" s="1023"/>
      <c r="O888" s="1023"/>
      <c r="P888" s="1023"/>
      <c r="Q888" s="1024"/>
      <c r="R888" s="182"/>
      <c r="S888" s="182"/>
      <c r="T888" s="182"/>
      <c r="U888" s="182"/>
      <c r="V888" s="182"/>
      <c r="W888" s="182"/>
      <c r="X888" s="183"/>
      <c r="Y888" s="182"/>
      <c r="Z888" s="182"/>
      <c r="AA888" s="182"/>
      <c r="AB888" s="182"/>
      <c r="AC888" s="182"/>
      <c r="AD888" s="182"/>
      <c r="AE888" s="1022" t="e">
        <f>VLOOKUP(AS897,ID_archer_cible,4,FALSE)</f>
        <v>#N/A</v>
      </c>
      <c r="AF888" s="1023"/>
      <c r="AG888" s="1023"/>
      <c r="AH888" s="1023"/>
      <c r="AI888" s="1023"/>
      <c r="AJ888" s="1023"/>
      <c r="AK888" s="1023"/>
      <c r="AL888" s="1023"/>
      <c r="AM888" s="1023"/>
      <c r="AN888" s="1024"/>
      <c r="AO888" s="182"/>
      <c r="AP888" s="182"/>
      <c r="AQ888" s="182"/>
      <c r="AR888" s="182"/>
      <c r="AS888" s="182"/>
      <c r="AT888" s="182"/>
      <c r="AU888" s="182"/>
      <c r="AV888" s="182"/>
    </row>
    <row r="889" spans="2:48" x14ac:dyDescent="0.2">
      <c r="X889" s="186"/>
    </row>
    <row r="890" spans="2:48" x14ac:dyDescent="0.2">
      <c r="B890" s="1021" t="s">
        <v>0</v>
      </c>
      <c r="C890" s="1021"/>
      <c r="D890" s="1021"/>
      <c r="E890" s="1021"/>
      <c r="F890" s="1021"/>
      <c r="G890" s="1021"/>
      <c r="H890" s="1021"/>
      <c r="I890" s="1021"/>
      <c r="J890" s="1021"/>
      <c r="K890" s="1021"/>
      <c r="L890" s="1021"/>
      <c r="M890" s="187"/>
      <c r="P890" s="992" t="s">
        <v>375</v>
      </c>
      <c r="Q890" s="992"/>
      <c r="R890" s="992"/>
      <c r="S890" s="992"/>
      <c r="T890" s="992"/>
      <c r="U890" s="992"/>
      <c r="V890" s="992"/>
      <c r="W890" s="992"/>
      <c r="X890" s="188"/>
      <c r="Z890" s="1021" t="s">
        <v>0</v>
      </c>
      <c r="AA890" s="1021"/>
      <c r="AB890" s="1021"/>
      <c r="AC890" s="1021"/>
      <c r="AD890" s="1021"/>
      <c r="AE890" s="1021"/>
      <c r="AF890" s="1021"/>
      <c r="AG890" s="1021"/>
      <c r="AH890" s="1021"/>
      <c r="AI890" s="1021"/>
      <c r="AJ890" s="1021"/>
      <c r="AK890" s="187"/>
      <c r="AN890" s="992" t="s">
        <v>375</v>
      </c>
      <c r="AO890" s="992"/>
      <c r="AP890" s="992"/>
      <c r="AQ890" s="992"/>
      <c r="AR890" s="992"/>
      <c r="AS890" s="992"/>
      <c r="AT890" s="992"/>
      <c r="AU890" s="992"/>
      <c r="AV890" s="187"/>
    </row>
    <row r="891" spans="2:48" x14ac:dyDescent="0.2">
      <c r="B891" s="999" t="e">
        <f>VLOOKUP(U897,ID_archer_cible,2,FALSE)</f>
        <v>#N/A</v>
      </c>
      <c r="C891" s="1000"/>
      <c r="D891" s="1000"/>
      <c r="E891" s="1000"/>
      <c r="F891" s="1000"/>
      <c r="G891" s="1000"/>
      <c r="H891" s="1000"/>
      <c r="I891" s="1000"/>
      <c r="J891" s="1000"/>
      <c r="K891" s="1000"/>
      <c r="L891" s="1000"/>
      <c r="M891" s="1001"/>
      <c r="P891" s="999" t="e">
        <f>VLOOKUP(U897,ID_archer_cible,3,FALSE)</f>
        <v>#N/A</v>
      </c>
      <c r="Q891" s="1000"/>
      <c r="R891" s="1000"/>
      <c r="S891" s="1000"/>
      <c r="T891" s="1000"/>
      <c r="U891" s="1000"/>
      <c r="V891" s="1000"/>
      <c r="W891" s="1001"/>
      <c r="X891" s="186"/>
      <c r="Y891"/>
      <c r="Z891" s="999" t="e">
        <f>VLOOKUP(AS897,ID_archer_cible,2,FALSE)</f>
        <v>#N/A</v>
      </c>
      <c r="AA891" s="1000"/>
      <c r="AB891" s="1000"/>
      <c r="AC891" s="1000"/>
      <c r="AD891" s="1000"/>
      <c r="AE891" s="1000"/>
      <c r="AF891" s="1000"/>
      <c r="AG891" s="1000"/>
      <c r="AH891" s="1000"/>
      <c r="AI891" s="1000"/>
      <c r="AJ891" s="1000"/>
      <c r="AK891" s="1001"/>
      <c r="AN891" s="999" t="e">
        <f>VLOOKUP(AS897,ID_archer_cible,3,FALSE)</f>
        <v>#N/A</v>
      </c>
      <c r="AO891" s="1000"/>
      <c r="AP891" s="1000"/>
      <c r="AQ891" s="1000"/>
      <c r="AR891" s="1000"/>
      <c r="AS891" s="1000"/>
      <c r="AT891" s="1000"/>
      <c r="AU891" s="1001"/>
    </row>
    <row r="892" spans="2:48" x14ac:dyDescent="0.2">
      <c r="X892" s="186"/>
      <c r="Y892"/>
    </row>
    <row r="893" spans="2:48" ht="16.5" thickBot="1" x14ac:dyDescent="0.25">
      <c r="B893" s="1017" t="s">
        <v>1</v>
      </c>
      <c r="C893" s="1017"/>
      <c r="D893" s="1017"/>
      <c r="E893" s="1017"/>
      <c r="F893" s="1017"/>
      <c r="G893" s="1017"/>
      <c r="H893" s="1017"/>
      <c r="I893" s="1017"/>
      <c r="J893" s="1017"/>
      <c r="L893" s="1017" t="s">
        <v>505</v>
      </c>
      <c r="M893" s="1017"/>
      <c r="N893" s="1017"/>
      <c r="O893" s="1017"/>
      <c r="P893" s="1017"/>
      <c r="Q893" s="1017"/>
      <c r="S893" s="992" t="s">
        <v>506</v>
      </c>
      <c r="T893" s="992"/>
      <c r="U893" s="992"/>
      <c r="V893" s="992"/>
      <c r="W893" s="992"/>
      <c r="X893" s="188"/>
      <c r="Y893"/>
      <c r="Z893" s="1017" t="s">
        <v>1</v>
      </c>
      <c r="AA893" s="1017"/>
      <c r="AB893" s="1017"/>
      <c r="AC893" s="1017"/>
      <c r="AD893" s="1017"/>
      <c r="AE893" s="1017"/>
      <c r="AF893" s="1017"/>
      <c r="AG893" s="1017"/>
      <c r="AH893" s="1017"/>
      <c r="AJ893" s="1017" t="s">
        <v>505</v>
      </c>
      <c r="AK893" s="1017"/>
      <c r="AL893" s="1017"/>
      <c r="AM893" s="1017"/>
      <c r="AN893" s="1017"/>
      <c r="AO893" s="1017"/>
      <c r="AQ893" s="992" t="s">
        <v>506</v>
      </c>
      <c r="AR893" s="992"/>
      <c r="AS893" s="992"/>
      <c r="AT893" s="992"/>
      <c r="AU893" s="992"/>
      <c r="AV893" s="187"/>
    </row>
    <row r="894" spans="2:48" ht="16.5" thickBot="1" x14ac:dyDescent="0.25">
      <c r="B894" s="1014" t="e">
        <f>VLOOKUP(U897,ID_archer_cible,5,FALSE)</f>
        <v>#N/A</v>
      </c>
      <c r="C894" s="1015"/>
      <c r="D894" s="1015"/>
      <c r="E894" s="1015"/>
      <c r="F894" s="1015"/>
      <c r="G894" s="1015"/>
      <c r="H894" s="1015"/>
      <c r="I894" s="1015"/>
      <c r="J894" s="1016"/>
      <c r="L894" s="1014" t="e">
        <f>VLOOKUP(U897,ID_archer_cible,6,FALSE)</f>
        <v>#N/A</v>
      </c>
      <c r="M894" s="1015"/>
      <c r="N894" s="1015"/>
      <c r="O894" s="1015"/>
      <c r="P894" s="1015"/>
      <c r="Q894" s="1016"/>
      <c r="S894" s="999" t="e">
        <f>VLOOKUP(U897,ID_archer_cible,8,FALSE)</f>
        <v>#N/A</v>
      </c>
      <c r="T894" s="1000"/>
      <c r="U894" s="1000"/>
      <c r="V894" s="1000"/>
      <c r="W894" s="1001"/>
      <c r="X894" s="186"/>
      <c r="Y894"/>
      <c r="Z894" s="1014" t="e">
        <f>VLOOKUP(AS897,ID_archer_cible,5,FALSE)</f>
        <v>#N/A</v>
      </c>
      <c r="AA894" s="1015"/>
      <c r="AB894" s="1015"/>
      <c r="AC894" s="1015"/>
      <c r="AD894" s="1015"/>
      <c r="AE894" s="1015"/>
      <c r="AF894" s="1015"/>
      <c r="AG894" s="1015"/>
      <c r="AH894" s="1016"/>
      <c r="AJ894" s="1014" t="e">
        <f>VLOOKUP(AS897,ID_archer_cible,6,FALSE)</f>
        <v>#N/A</v>
      </c>
      <c r="AK894" s="1015"/>
      <c r="AL894" s="1015"/>
      <c r="AM894" s="1015"/>
      <c r="AN894" s="1015"/>
      <c r="AO894" s="1016"/>
      <c r="AQ894" s="999" t="e">
        <f>VLOOKUP(AS897,ID_archer_cible,8,FALSE)</f>
        <v>#N/A</v>
      </c>
      <c r="AR894" s="1000"/>
      <c r="AS894" s="1000"/>
      <c r="AT894" s="1000"/>
      <c r="AU894" s="1001"/>
    </row>
    <row r="895" spans="2:48" x14ac:dyDescent="0.2">
      <c r="X895" s="186"/>
      <c r="Y895"/>
    </row>
    <row r="896" spans="2:48" x14ac:dyDescent="0.2">
      <c r="B896" s="992" t="s">
        <v>530</v>
      </c>
      <c r="C896" s="992"/>
      <c r="D896" s="992"/>
      <c r="E896" s="992"/>
      <c r="F896" s="992"/>
      <c r="G896" s="187"/>
      <c r="H896" s="992" t="s">
        <v>504</v>
      </c>
      <c r="I896" s="992"/>
      <c r="J896" s="992"/>
      <c r="K896" s="992"/>
      <c r="M896" s="992" t="s">
        <v>39</v>
      </c>
      <c r="N896" s="992"/>
      <c r="O896" s="992"/>
      <c r="Q896" s="1021"/>
      <c r="R896" s="1021"/>
      <c r="S896" s="1021"/>
      <c r="U896" s="992" t="s">
        <v>507</v>
      </c>
      <c r="V896" s="992"/>
      <c r="W896" s="992"/>
      <c r="X896" s="188"/>
      <c r="Y896"/>
      <c r="Z896" s="992" t="s">
        <v>530</v>
      </c>
      <c r="AA896" s="992"/>
      <c r="AB896" s="992"/>
      <c r="AC896" s="992"/>
      <c r="AD896" s="992"/>
      <c r="AE896" s="187"/>
      <c r="AF896" s="992" t="s">
        <v>504</v>
      </c>
      <c r="AG896" s="992"/>
      <c r="AH896" s="992"/>
      <c r="AI896" s="992"/>
      <c r="AK896" s="992" t="s">
        <v>39</v>
      </c>
      <c r="AL896" s="992"/>
      <c r="AM896" s="992"/>
      <c r="AO896" s="1021"/>
      <c r="AP896" s="1021"/>
      <c r="AQ896" s="1021"/>
      <c r="AS896" s="992" t="s">
        <v>507</v>
      </c>
      <c r="AT896" s="992"/>
      <c r="AU896" s="992"/>
      <c r="AV896" s="187"/>
    </row>
    <row r="897" spans="2:48" ht="15.75" x14ac:dyDescent="0.2">
      <c r="B897" s="1011" t="e">
        <f>VLOOKUP(U897,ID_archer_cible,7,FALSE)</f>
        <v>#N/A</v>
      </c>
      <c r="C897" s="1012"/>
      <c r="D897" s="1012"/>
      <c r="E897" s="1012"/>
      <c r="F897" s="1013"/>
      <c r="H897" s="999" t="e">
        <f>VLOOKUP(U897,ID_archer_cible,9,FALSE)</f>
        <v>#N/A</v>
      </c>
      <c r="I897" s="1000"/>
      <c r="J897" s="1000"/>
      <c r="K897" s="1001"/>
      <c r="M897" s="999" t="e">
        <f>VLOOKUP(U897,ID_archer_cible,10,FALSE)</f>
        <v>#N/A</v>
      </c>
      <c r="N897" s="1000"/>
      <c r="O897" s="1001"/>
      <c r="Q897" s="1021"/>
      <c r="R897" s="1021"/>
      <c r="S897" s="1021"/>
      <c r="T897" s="187"/>
      <c r="U897" s="996" t="str">
        <f>AR885&amp;"A"</f>
        <v>15A</v>
      </c>
      <c r="V897" s="997"/>
      <c r="W897" s="998"/>
      <c r="X897" s="188"/>
      <c r="Y897"/>
      <c r="Z897" s="1011" t="e">
        <f>VLOOKUP(AS897,ID_archer_cible,7,FALSE)</f>
        <v>#N/A</v>
      </c>
      <c r="AA897" s="1012"/>
      <c r="AB897" s="1012"/>
      <c r="AC897" s="1012"/>
      <c r="AD897" s="1013"/>
      <c r="AF897" s="999" t="e">
        <f>VLOOKUP(AS897,ID_archer_cible,9,FALSE)</f>
        <v>#N/A</v>
      </c>
      <c r="AG897" s="1000"/>
      <c r="AH897" s="1000"/>
      <c r="AI897" s="1001"/>
      <c r="AK897" s="999" t="e">
        <f>VLOOKUP(AS897,ID_archer_cible,10,FALSE)</f>
        <v>#N/A</v>
      </c>
      <c r="AL897" s="1000"/>
      <c r="AM897" s="1001"/>
      <c r="AO897" s="1021"/>
      <c r="AP897" s="1021"/>
      <c r="AQ897" s="1021"/>
      <c r="AR897" s="187"/>
      <c r="AS897" s="996" t="str">
        <f>AR885&amp;"B"</f>
        <v>15B</v>
      </c>
      <c r="AT897" s="997"/>
      <c r="AU897" s="998"/>
      <c r="AV897" s="187"/>
    </row>
    <row r="898" spans="2:48" x14ac:dyDescent="0.2">
      <c r="X898" s="186"/>
    </row>
    <row r="899" spans="2:48" x14ac:dyDescent="0.2">
      <c r="B899" s="185" t="s">
        <v>509</v>
      </c>
      <c r="E899" s="992" t="s">
        <v>510</v>
      </c>
      <c r="F899" s="992"/>
      <c r="G899" s="992"/>
      <c r="H899" s="992"/>
      <c r="I899" s="992"/>
      <c r="J899" s="992"/>
      <c r="K899" s="992"/>
      <c r="L899" s="992"/>
      <c r="M899" s="992"/>
      <c r="N899" s="992"/>
      <c r="P899" s="992" t="s">
        <v>511</v>
      </c>
      <c r="Q899" s="992"/>
      <c r="R899" s="992"/>
      <c r="X899" s="186"/>
      <c r="Z899" s="185" t="s">
        <v>509</v>
      </c>
      <c r="AC899" s="992" t="s">
        <v>510</v>
      </c>
      <c r="AD899" s="992"/>
      <c r="AE899" s="992"/>
      <c r="AF899" s="992"/>
      <c r="AG899" s="992"/>
      <c r="AH899" s="992"/>
      <c r="AI899" s="992"/>
      <c r="AJ899" s="992"/>
      <c r="AK899" s="992"/>
      <c r="AL899" s="992"/>
      <c r="AN899" s="992" t="s">
        <v>511</v>
      </c>
      <c r="AO899" s="992"/>
      <c r="AP899" s="992"/>
    </row>
    <row r="900" spans="2:48" ht="20.25" customHeight="1" x14ac:dyDescent="0.2">
      <c r="B900" s="1009" t="s">
        <v>513</v>
      </c>
      <c r="C900" s="1009"/>
      <c r="E900" s="189"/>
      <c r="F900" s="191"/>
      <c r="G900" s="189"/>
      <c r="H900" s="191"/>
      <c r="I900" s="189"/>
      <c r="J900" s="191"/>
      <c r="K900" s="189"/>
      <c r="L900" s="191"/>
      <c r="M900" s="189"/>
      <c r="N900" s="191"/>
      <c r="P900" s="189"/>
      <c r="Q900" s="190"/>
      <c r="R900" s="191"/>
      <c r="T900" s="992" t="s">
        <v>512</v>
      </c>
      <c r="U900" s="992"/>
      <c r="V900" s="992"/>
      <c r="W900" s="992"/>
      <c r="X900" s="188"/>
      <c r="Z900" s="1009" t="s">
        <v>513</v>
      </c>
      <c r="AA900" s="1009"/>
      <c r="AC900" s="189"/>
      <c r="AD900" s="191"/>
      <c r="AE900" s="189"/>
      <c r="AF900" s="191"/>
      <c r="AG900" s="189"/>
      <c r="AH900" s="191"/>
      <c r="AI900" s="189"/>
      <c r="AJ900" s="191"/>
      <c r="AK900" s="189"/>
      <c r="AL900" s="191"/>
      <c r="AN900" s="189"/>
      <c r="AO900" s="190"/>
      <c r="AP900" s="191"/>
      <c r="AR900" s="992" t="s">
        <v>512</v>
      </c>
      <c r="AS900" s="992"/>
      <c r="AT900" s="992"/>
      <c r="AU900" s="992"/>
      <c r="AV900" s="187"/>
    </row>
    <row r="901" spans="2:48" ht="20.25" customHeight="1" x14ac:dyDescent="0.2">
      <c r="B901" s="1009" t="s">
        <v>514</v>
      </c>
      <c r="C901" s="1009"/>
      <c r="E901" s="189"/>
      <c r="F901" s="191"/>
      <c r="G901" s="189"/>
      <c r="H901" s="191"/>
      <c r="I901" s="189"/>
      <c r="J901" s="191"/>
      <c r="K901" s="189"/>
      <c r="L901" s="191"/>
      <c r="M901" s="189"/>
      <c r="N901" s="191"/>
      <c r="P901" s="189"/>
      <c r="Q901" s="190"/>
      <c r="R901" s="191"/>
      <c r="T901" s="189"/>
      <c r="U901" s="190"/>
      <c r="V901" s="190"/>
      <c r="W901" s="191"/>
      <c r="X901" s="186"/>
      <c r="Z901" s="1009" t="s">
        <v>514</v>
      </c>
      <c r="AA901" s="1009"/>
      <c r="AC901" s="189"/>
      <c r="AD901" s="191"/>
      <c r="AE901" s="189"/>
      <c r="AF901" s="191"/>
      <c r="AG901" s="189"/>
      <c r="AH901" s="191"/>
      <c r="AI901" s="189"/>
      <c r="AJ901" s="191"/>
      <c r="AK901" s="189"/>
      <c r="AL901" s="191"/>
      <c r="AN901" s="189"/>
      <c r="AO901" s="190"/>
      <c r="AP901" s="191"/>
      <c r="AR901" s="189"/>
      <c r="AS901" s="190"/>
      <c r="AT901" s="190"/>
      <c r="AU901" s="191"/>
    </row>
    <row r="902" spans="2:48" ht="20.25" customHeight="1" x14ac:dyDescent="0.2">
      <c r="B902" s="1009" t="s">
        <v>515</v>
      </c>
      <c r="C902" s="1009"/>
      <c r="E902" s="189"/>
      <c r="F902" s="191"/>
      <c r="G902" s="189"/>
      <c r="H902" s="191"/>
      <c r="I902" s="189"/>
      <c r="J902" s="191"/>
      <c r="K902" s="189"/>
      <c r="L902" s="191"/>
      <c r="M902" s="189"/>
      <c r="N902" s="191"/>
      <c r="P902" s="189"/>
      <c r="Q902" s="190"/>
      <c r="R902" s="191"/>
      <c r="T902" s="189"/>
      <c r="U902" s="190"/>
      <c r="V902" s="190"/>
      <c r="W902" s="191"/>
      <c r="X902" s="186"/>
      <c r="Z902" s="1009" t="s">
        <v>515</v>
      </c>
      <c r="AA902" s="1009"/>
      <c r="AC902" s="189"/>
      <c r="AD902" s="191"/>
      <c r="AE902" s="189"/>
      <c r="AF902" s="191"/>
      <c r="AG902" s="189"/>
      <c r="AH902" s="191"/>
      <c r="AI902" s="189"/>
      <c r="AJ902" s="191"/>
      <c r="AK902" s="189"/>
      <c r="AL902" s="191"/>
      <c r="AN902" s="189"/>
      <c r="AO902" s="190"/>
      <c r="AP902" s="191"/>
      <c r="AR902" s="189"/>
      <c r="AS902" s="190"/>
      <c r="AT902" s="190"/>
      <c r="AU902" s="191"/>
    </row>
    <row r="903" spans="2:48" ht="20.25" customHeight="1" x14ac:dyDescent="0.2">
      <c r="B903" s="1009" t="s">
        <v>516</v>
      </c>
      <c r="C903" s="1009"/>
      <c r="E903" s="189"/>
      <c r="F903" s="191"/>
      <c r="G903" s="189"/>
      <c r="H903" s="191"/>
      <c r="I903" s="189"/>
      <c r="J903" s="191"/>
      <c r="K903" s="189"/>
      <c r="L903" s="191"/>
      <c r="M903" s="189"/>
      <c r="N903" s="191"/>
      <c r="P903" s="189"/>
      <c r="Q903" s="190"/>
      <c r="R903" s="191"/>
      <c r="T903" s="189"/>
      <c r="U903" s="190"/>
      <c r="V903" s="190"/>
      <c r="W903" s="191"/>
      <c r="X903" s="186"/>
      <c r="Z903" s="1009" t="s">
        <v>516</v>
      </c>
      <c r="AA903" s="1009"/>
      <c r="AC903" s="189"/>
      <c r="AD903" s="191"/>
      <c r="AE903" s="189"/>
      <c r="AF903" s="191"/>
      <c r="AG903" s="189"/>
      <c r="AH903" s="191"/>
      <c r="AI903" s="189"/>
      <c r="AJ903" s="191"/>
      <c r="AK903" s="189"/>
      <c r="AL903" s="191"/>
      <c r="AN903" s="189"/>
      <c r="AO903" s="190"/>
      <c r="AP903" s="191"/>
      <c r="AR903" s="189"/>
      <c r="AS903" s="190"/>
      <c r="AT903" s="190"/>
      <c r="AU903" s="191"/>
    </row>
    <row r="904" spans="2:48" ht="20.25" customHeight="1" x14ac:dyDescent="0.2">
      <c r="B904" s="1009" t="s">
        <v>517</v>
      </c>
      <c r="C904" s="1009"/>
      <c r="E904" s="189"/>
      <c r="F904" s="191"/>
      <c r="G904" s="189"/>
      <c r="H904" s="191"/>
      <c r="I904" s="189"/>
      <c r="J904" s="191"/>
      <c r="K904" s="189"/>
      <c r="L904" s="191"/>
      <c r="M904" s="189"/>
      <c r="N904" s="191"/>
      <c r="P904" s="189"/>
      <c r="Q904" s="190"/>
      <c r="R904" s="191"/>
      <c r="T904" s="189"/>
      <c r="U904" s="190"/>
      <c r="V904" s="190"/>
      <c r="W904" s="191"/>
      <c r="X904" s="186"/>
      <c r="Z904" s="1009" t="s">
        <v>517</v>
      </c>
      <c r="AA904" s="1009"/>
      <c r="AC904" s="189"/>
      <c r="AD904" s="191"/>
      <c r="AE904" s="189"/>
      <c r="AF904" s="191"/>
      <c r="AG904" s="189"/>
      <c r="AH904" s="191"/>
      <c r="AI904" s="189"/>
      <c r="AJ904" s="191"/>
      <c r="AK904" s="189"/>
      <c r="AL904" s="191"/>
      <c r="AN904" s="189"/>
      <c r="AO904" s="190"/>
      <c r="AP904" s="191"/>
      <c r="AR904" s="189"/>
      <c r="AS904" s="190"/>
      <c r="AT904" s="190"/>
      <c r="AU904" s="191"/>
    </row>
    <row r="905" spans="2:48" ht="20.25" customHeight="1" x14ac:dyDescent="0.2">
      <c r="B905" s="1009" t="s">
        <v>518</v>
      </c>
      <c r="C905" s="1009"/>
      <c r="E905" s="189"/>
      <c r="F905" s="191"/>
      <c r="G905" s="189"/>
      <c r="H905" s="191"/>
      <c r="I905" s="189"/>
      <c r="J905" s="191"/>
      <c r="K905" s="189"/>
      <c r="L905" s="191"/>
      <c r="M905" s="189"/>
      <c r="N905" s="191"/>
      <c r="P905" s="189"/>
      <c r="Q905" s="190"/>
      <c r="R905" s="191"/>
      <c r="T905" s="189"/>
      <c r="U905" s="190"/>
      <c r="V905" s="190"/>
      <c r="W905" s="191"/>
      <c r="X905" s="186"/>
      <c r="Z905" s="1009" t="s">
        <v>518</v>
      </c>
      <c r="AA905" s="1009"/>
      <c r="AC905" s="189"/>
      <c r="AD905" s="191"/>
      <c r="AE905" s="189"/>
      <c r="AF905" s="191"/>
      <c r="AG905" s="189"/>
      <c r="AH905" s="191"/>
      <c r="AI905" s="189"/>
      <c r="AJ905" s="191"/>
      <c r="AK905" s="189"/>
      <c r="AL905" s="191"/>
      <c r="AN905" s="189"/>
      <c r="AO905" s="190"/>
      <c r="AP905" s="191"/>
      <c r="AR905" s="189"/>
      <c r="AS905" s="190"/>
      <c r="AT905" s="190"/>
      <c r="AU905" s="191"/>
    </row>
    <row r="906" spans="2:48" ht="15.75" thickBot="1" x14ac:dyDescent="0.25">
      <c r="B906" s="187"/>
      <c r="C906" s="187"/>
      <c r="X906" s="186"/>
      <c r="Z906" s="187"/>
      <c r="AA906" s="187"/>
    </row>
    <row r="907" spans="2:48" ht="20.25" customHeight="1" thickBot="1" x14ac:dyDescent="0.25">
      <c r="P907" s="197" t="s">
        <v>519</v>
      </c>
      <c r="Q907" s="197"/>
      <c r="R907" s="197"/>
      <c r="S907" s="197"/>
      <c r="T907" s="192"/>
      <c r="U907" s="193"/>
      <c r="V907" s="193"/>
      <c r="W907" s="194"/>
      <c r="X907" s="186"/>
      <c r="AN907" s="197" t="s">
        <v>519</v>
      </c>
      <c r="AO907" s="197"/>
      <c r="AP907" s="197"/>
      <c r="AQ907" s="197"/>
      <c r="AR907" s="192"/>
      <c r="AS907" s="193"/>
      <c r="AT907" s="193"/>
      <c r="AU907" s="194"/>
    </row>
    <row r="908" spans="2:48" x14ac:dyDescent="0.2">
      <c r="E908" s="196"/>
      <c r="F908" s="196"/>
      <c r="G908" s="196"/>
      <c r="H908" s="196"/>
      <c r="I908" s="196"/>
      <c r="J908" s="196"/>
      <c r="K908" s="196"/>
      <c r="L908" s="196"/>
      <c r="M908" s="196"/>
      <c r="X908" s="186"/>
      <c r="AC908" s="196"/>
      <c r="AD908" s="196"/>
      <c r="AE908" s="196"/>
      <c r="AF908" s="196"/>
      <c r="AG908" s="196"/>
      <c r="AH908" s="196"/>
      <c r="AI908" s="196"/>
      <c r="AJ908" s="196"/>
      <c r="AK908" s="196"/>
    </row>
    <row r="909" spans="2:48" x14ac:dyDescent="0.2">
      <c r="B909" s="1010" t="s">
        <v>521</v>
      </c>
      <c r="C909" s="1010"/>
      <c r="D909" s="1010"/>
      <c r="E909" s="1010"/>
      <c r="F909" s="1010"/>
      <c r="G909" s="1010"/>
      <c r="H909" s="195"/>
      <c r="I909" s="1010" t="s">
        <v>522</v>
      </c>
      <c r="J909" s="1010"/>
      <c r="K909" s="1010"/>
      <c r="L909" s="1010"/>
      <c r="M909" s="1010"/>
      <c r="N909" s="1010"/>
      <c r="O909" s="1010"/>
      <c r="P909" s="1010"/>
      <c r="Q909" s="1010"/>
      <c r="R909" s="1010"/>
      <c r="S909" s="1010"/>
      <c r="T909" s="1010"/>
      <c r="U909" s="1010"/>
      <c r="V909" s="1010"/>
      <c r="W909" s="1010"/>
      <c r="X909" s="198"/>
      <c r="Y909" s="195"/>
      <c r="Z909" s="1010" t="s">
        <v>521</v>
      </c>
      <c r="AA909" s="1010"/>
      <c r="AB909" s="1010"/>
      <c r="AC909" s="1010"/>
      <c r="AD909" s="1010"/>
      <c r="AE909" s="1010"/>
      <c r="AF909" s="195"/>
      <c r="AG909" s="1004" t="s">
        <v>522</v>
      </c>
      <c r="AH909" s="1004"/>
      <c r="AI909" s="1004"/>
      <c r="AJ909" s="1004"/>
      <c r="AK909" s="1004"/>
      <c r="AL909" s="1004"/>
      <c r="AM909" s="1004"/>
      <c r="AN909" s="1004"/>
      <c r="AO909" s="1004"/>
      <c r="AP909" s="1004"/>
      <c r="AQ909" s="1004"/>
      <c r="AR909" s="1004"/>
      <c r="AS909" s="1004"/>
      <c r="AT909" s="1004"/>
      <c r="AU909" s="1004"/>
      <c r="AV909" s="195"/>
    </row>
    <row r="910" spans="2:48" x14ac:dyDescent="0.2">
      <c r="B910" s="1005" t="s">
        <v>520</v>
      </c>
      <c r="C910" s="1006"/>
      <c r="D910" s="1006"/>
      <c r="E910" s="1006"/>
      <c r="F910" s="1006"/>
      <c r="G910" s="1007"/>
      <c r="I910" s="1005" t="s">
        <v>0</v>
      </c>
      <c r="J910" s="1006"/>
      <c r="K910" s="1006"/>
      <c r="L910" s="1006"/>
      <c r="M910" s="1006"/>
      <c r="N910" s="1006"/>
      <c r="O910" s="1006"/>
      <c r="P910" s="1006"/>
      <c r="Q910" s="1006"/>
      <c r="R910" s="1006"/>
      <c r="S910" s="1006"/>
      <c r="T910" s="1006"/>
      <c r="U910" s="1006"/>
      <c r="V910" s="1006"/>
      <c r="W910" s="1007"/>
      <c r="X910" s="186"/>
      <c r="Z910" s="1005" t="s">
        <v>520</v>
      </c>
      <c r="AA910" s="1006"/>
      <c r="AB910" s="1006"/>
      <c r="AC910" s="1006"/>
      <c r="AD910" s="1006"/>
      <c r="AE910" s="1007"/>
      <c r="AG910" s="1005" t="s">
        <v>0</v>
      </c>
      <c r="AH910" s="1006"/>
      <c r="AI910" s="1006"/>
      <c r="AJ910" s="1006"/>
      <c r="AK910" s="1006"/>
      <c r="AL910" s="1006"/>
      <c r="AM910" s="1006"/>
      <c r="AN910" s="1006"/>
      <c r="AO910" s="1006"/>
      <c r="AP910" s="1006"/>
      <c r="AQ910" s="1006"/>
      <c r="AR910" s="1006"/>
      <c r="AS910" s="1006"/>
      <c r="AT910" s="1006"/>
      <c r="AU910" s="1007"/>
    </row>
    <row r="911" spans="2:48" x14ac:dyDescent="0.2">
      <c r="B911" s="199"/>
      <c r="C911" s="200"/>
      <c r="D911" s="200"/>
      <c r="E911" s="200"/>
      <c r="F911" s="200"/>
      <c r="G911" s="201"/>
      <c r="I911" s="199"/>
      <c r="J911" s="200"/>
      <c r="K911" s="200"/>
      <c r="L911" s="200"/>
      <c r="M911" s="200"/>
      <c r="N911" s="200"/>
      <c r="O911" s="200"/>
      <c r="P911" s="200"/>
      <c r="Q911" s="200"/>
      <c r="R911" s="200"/>
      <c r="S911" s="200"/>
      <c r="T911" s="200"/>
      <c r="U911" s="200"/>
      <c r="V911" s="200"/>
      <c r="W911" s="201"/>
      <c r="X911" s="186"/>
      <c r="Z911" s="199"/>
      <c r="AA911" s="200"/>
      <c r="AB911" s="200"/>
      <c r="AC911" s="200"/>
      <c r="AD911" s="200"/>
      <c r="AE911" s="201"/>
      <c r="AG911" s="199"/>
      <c r="AH911" s="200"/>
      <c r="AI911" s="200"/>
      <c r="AJ911" s="200"/>
      <c r="AK911" s="200"/>
      <c r="AL911" s="200"/>
      <c r="AM911" s="200"/>
      <c r="AN911" s="200"/>
      <c r="AO911" s="200"/>
      <c r="AP911" s="200"/>
      <c r="AQ911" s="200"/>
      <c r="AR911" s="200"/>
      <c r="AS911" s="200"/>
      <c r="AT911" s="200"/>
      <c r="AU911" s="201"/>
    </row>
    <row r="912" spans="2:48" x14ac:dyDescent="0.2">
      <c r="X912" s="186"/>
    </row>
    <row r="913" spans="2:48" x14ac:dyDescent="0.2">
      <c r="I913" s="1005" t="s">
        <v>481</v>
      </c>
      <c r="J913" s="1006"/>
      <c r="K913" s="1006"/>
      <c r="L913" s="1006"/>
      <c r="M913" s="1006"/>
      <c r="N913" s="1006"/>
      <c r="O913" s="1006"/>
      <c r="P913" s="1006"/>
      <c r="Q913" s="1007"/>
      <c r="R913" s="1005" t="s">
        <v>520</v>
      </c>
      <c r="S913" s="1006"/>
      <c r="T913" s="1006"/>
      <c r="U913" s="1006"/>
      <c r="V913" s="1006"/>
      <c r="W913" s="1007"/>
      <c r="X913" s="186"/>
      <c r="AG913" s="1005" t="s">
        <v>481</v>
      </c>
      <c r="AH913" s="1006"/>
      <c r="AI913" s="1006"/>
      <c r="AJ913" s="1006"/>
      <c r="AK913" s="1006"/>
      <c r="AL913" s="1006"/>
      <c r="AM913" s="1006"/>
      <c r="AN913" s="1006"/>
      <c r="AO913" s="1007"/>
      <c r="AP913" s="1005" t="s">
        <v>520</v>
      </c>
      <c r="AQ913" s="1006"/>
      <c r="AR913" s="1006"/>
      <c r="AS913" s="1006"/>
      <c r="AT913" s="1006"/>
      <c r="AU913" s="1007"/>
    </row>
    <row r="914" spans="2:48" x14ac:dyDescent="0.2">
      <c r="I914" s="199"/>
      <c r="J914" s="200"/>
      <c r="K914" s="200"/>
      <c r="L914" s="200"/>
      <c r="M914" s="200"/>
      <c r="N914" s="200"/>
      <c r="O914" s="200"/>
      <c r="P914" s="200"/>
      <c r="Q914" s="200"/>
      <c r="R914" s="199"/>
      <c r="S914" s="200"/>
      <c r="T914" s="200"/>
      <c r="U914" s="200"/>
      <c r="V914" s="200"/>
      <c r="W914" s="201"/>
      <c r="X914" s="186"/>
      <c r="AG914" s="199"/>
      <c r="AH914" s="200"/>
      <c r="AI914" s="200"/>
      <c r="AJ914" s="200"/>
      <c r="AK914" s="200"/>
      <c r="AL914" s="200"/>
      <c r="AM914" s="200"/>
      <c r="AN914" s="200"/>
      <c r="AO914" s="200"/>
      <c r="AP914" s="199"/>
      <c r="AQ914" s="200"/>
      <c r="AR914" s="200"/>
      <c r="AS914" s="200"/>
      <c r="AT914" s="200"/>
      <c r="AU914" s="201"/>
    </row>
    <row r="915" spans="2:48" ht="39" customHeight="1" x14ac:dyDescent="0.2">
      <c r="B915" s="392"/>
      <c r="C915" s="392"/>
      <c r="D915" s="392"/>
      <c r="E915" s="392"/>
      <c r="F915" s="392"/>
      <c r="G915" s="392"/>
      <c r="H915" s="392"/>
      <c r="I915" s="392"/>
      <c r="J915" s="392"/>
      <c r="K915" s="392"/>
      <c r="L915" s="392"/>
      <c r="M915" s="392"/>
      <c r="N915" s="392"/>
      <c r="O915" s="392"/>
      <c r="P915" s="392"/>
      <c r="Q915" s="392"/>
      <c r="R915" s="392"/>
      <c r="S915" s="392"/>
      <c r="T915" s="392"/>
      <c r="U915" s="392"/>
      <c r="V915" s="392"/>
      <c r="W915" s="392"/>
      <c r="X915" s="393"/>
      <c r="Y915" s="394"/>
      <c r="Z915" s="392"/>
      <c r="AA915" s="392"/>
      <c r="AB915" s="392"/>
      <c r="AC915" s="392"/>
      <c r="AD915" s="392"/>
      <c r="AE915" s="392"/>
      <c r="AF915" s="392"/>
      <c r="AG915" s="392"/>
      <c r="AH915" s="392"/>
      <c r="AI915" s="392"/>
      <c r="AJ915" s="392"/>
      <c r="AK915" s="392"/>
      <c r="AL915" s="392"/>
      <c r="AM915" s="392"/>
      <c r="AN915" s="392"/>
      <c r="AO915" s="392"/>
      <c r="AP915" s="392"/>
      <c r="AQ915" s="392"/>
      <c r="AR915" s="392"/>
      <c r="AS915" s="392"/>
      <c r="AT915" s="392"/>
      <c r="AU915" s="392"/>
      <c r="AV915" s="392"/>
    </row>
    <row r="916" spans="2:48" ht="39" customHeight="1" x14ac:dyDescent="0.2">
      <c r="B916" s="182"/>
      <c r="C916" s="182"/>
      <c r="D916" s="182"/>
      <c r="E916" s="182"/>
      <c r="F916" s="182"/>
      <c r="G916" s="182"/>
      <c r="H916" s="182"/>
      <c r="I916" s="182"/>
      <c r="J916" s="182"/>
      <c r="K916" s="182"/>
      <c r="L916" s="182"/>
      <c r="M916" s="182"/>
      <c r="N916" s="182"/>
      <c r="O916" s="182"/>
      <c r="P916" s="182"/>
      <c r="Q916" s="182"/>
      <c r="R916" s="182"/>
      <c r="S916" s="182"/>
      <c r="T916" s="182"/>
      <c r="U916" s="182"/>
      <c r="V916" s="182"/>
      <c r="W916" s="182"/>
      <c r="X916" s="183"/>
      <c r="Y916" s="184"/>
      <c r="Z916" s="182"/>
      <c r="AA916" s="182"/>
      <c r="AB916" s="182"/>
      <c r="AC916" s="182"/>
      <c r="AD916" s="182"/>
      <c r="AE916" s="182"/>
      <c r="AF916" s="182"/>
      <c r="AG916" s="182"/>
      <c r="AH916" s="182"/>
      <c r="AI916" s="182"/>
      <c r="AJ916" s="182"/>
      <c r="AK916" s="182"/>
      <c r="AL916" s="182"/>
      <c r="AM916" s="182"/>
      <c r="AN916" s="182"/>
      <c r="AO916" s="182"/>
      <c r="AP916" s="182"/>
      <c r="AQ916" s="182"/>
      <c r="AR916" s="182"/>
      <c r="AS916" s="182"/>
      <c r="AT916" s="182"/>
      <c r="AU916" s="182"/>
      <c r="AV916" s="182"/>
    </row>
    <row r="917" spans="2:48" ht="18" x14ac:dyDescent="0.2">
      <c r="B917" s="182"/>
      <c r="C917" s="182"/>
      <c r="D917" s="182"/>
      <c r="E917" s="182"/>
      <c r="F917" s="182"/>
      <c r="G917" s="182"/>
      <c r="H917" s="992" t="s">
        <v>374</v>
      </c>
      <c r="I917" s="992"/>
      <c r="J917" s="992"/>
      <c r="K917" s="992"/>
      <c r="L917" s="992"/>
      <c r="M917" s="992"/>
      <c r="N917" s="992"/>
      <c r="O917" s="992"/>
      <c r="P917" s="992"/>
      <c r="Q917" s="992"/>
      <c r="R917" s="182"/>
      <c r="S917" s="182"/>
      <c r="T917" s="182"/>
      <c r="U917" s="182"/>
      <c r="V917" s="182"/>
      <c r="W917" s="182"/>
      <c r="X917" s="183"/>
      <c r="Y917" s="182"/>
      <c r="Z917" s="182"/>
      <c r="AA917" s="182"/>
      <c r="AB917" s="182"/>
      <c r="AC917" s="182"/>
      <c r="AD917" s="182"/>
      <c r="AE917" s="992" t="s">
        <v>374</v>
      </c>
      <c r="AF917" s="992"/>
      <c r="AG917" s="992"/>
      <c r="AH917" s="992"/>
      <c r="AI917" s="992"/>
      <c r="AJ917" s="992"/>
      <c r="AK917" s="992"/>
      <c r="AL917" s="992"/>
      <c r="AM917" s="992"/>
      <c r="AN917" s="992"/>
      <c r="AO917" s="182"/>
      <c r="AP917" s="182"/>
      <c r="AQ917" s="182"/>
      <c r="AR917" s="182"/>
      <c r="AS917" s="182"/>
      <c r="AT917" s="182"/>
      <c r="AU917" s="182"/>
      <c r="AV917" s="182"/>
    </row>
    <row r="918" spans="2:48" ht="18" x14ac:dyDescent="0.2">
      <c r="B918" s="182"/>
      <c r="C918" s="182"/>
      <c r="D918" s="182"/>
      <c r="E918" s="182"/>
      <c r="F918" s="182"/>
      <c r="G918" s="182"/>
      <c r="H918" s="1022" t="e">
        <f>VLOOKUP(U927,ID_archer_cible,4,FALSE)</f>
        <v>#N/A</v>
      </c>
      <c r="I918" s="1023"/>
      <c r="J918" s="1023"/>
      <c r="K918" s="1023"/>
      <c r="L918" s="1023"/>
      <c r="M918" s="1023"/>
      <c r="N918" s="1023"/>
      <c r="O918" s="1023"/>
      <c r="P918" s="1023"/>
      <c r="Q918" s="1024"/>
      <c r="R918" s="182"/>
      <c r="S918" s="182"/>
      <c r="T918" s="182"/>
      <c r="U918" s="182"/>
      <c r="V918" s="182"/>
      <c r="W918" s="182"/>
      <c r="X918" s="183"/>
      <c r="Y918" s="182"/>
      <c r="Z918" s="182"/>
      <c r="AA918" s="182"/>
      <c r="AB918" s="182"/>
      <c r="AC918" s="182"/>
      <c r="AD918" s="182"/>
      <c r="AE918" s="1022" t="e">
        <f>VLOOKUP(AS927,ID_archer_cible,4,FALSE)</f>
        <v>#N/A</v>
      </c>
      <c r="AF918" s="1023"/>
      <c r="AG918" s="1023"/>
      <c r="AH918" s="1023"/>
      <c r="AI918" s="1023"/>
      <c r="AJ918" s="1023"/>
      <c r="AK918" s="1023"/>
      <c r="AL918" s="1023"/>
      <c r="AM918" s="1023"/>
      <c r="AN918" s="1024"/>
      <c r="AO918" s="182"/>
      <c r="AP918" s="182"/>
      <c r="AQ918" s="182"/>
      <c r="AR918" s="182"/>
      <c r="AS918" s="182"/>
      <c r="AT918" s="182"/>
      <c r="AU918" s="182"/>
      <c r="AV918" s="182"/>
    </row>
    <row r="919" spans="2:48" x14ac:dyDescent="0.2">
      <c r="X919" s="186"/>
    </row>
    <row r="920" spans="2:48" x14ac:dyDescent="0.2">
      <c r="B920" s="1021" t="s">
        <v>0</v>
      </c>
      <c r="C920" s="1021"/>
      <c r="D920" s="1021"/>
      <c r="E920" s="1021"/>
      <c r="F920" s="1021"/>
      <c r="G920" s="1021"/>
      <c r="H920" s="1021"/>
      <c r="I920" s="1021"/>
      <c r="J920" s="1021"/>
      <c r="K920" s="1021"/>
      <c r="L920" s="1021"/>
      <c r="M920" s="187"/>
      <c r="P920" s="992" t="s">
        <v>375</v>
      </c>
      <c r="Q920" s="992"/>
      <c r="R920" s="992"/>
      <c r="S920" s="992"/>
      <c r="T920" s="992"/>
      <c r="U920" s="992"/>
      <c r="V920" s="992"/>
      <c r="W920" s="992"/>
      <c r="X920" s="188"/>
      <c r="Z920" s="1021" t="s">
        <v>0</v>
      </c>
      <c r="AA920" s="1021"/>
      <c r="AB920" s="1021"/>
      <c r="AC920" s="1021"/>
      <c r="AD920" s="1021"/>
      <c r="AE920" s="1021"/>
      <c r="AF920" s="1021"/>
      <c r="AG920" s="1021"/>
      <c r="AH920" s="1021"/>
      <c r="AI920" s="1021"/>
      <c r="AJ920" s="1021"/>
      <c r="AK920" s="187"/>
      <c r="AN920" s="992" t="s">
        <v>375</v>
      </c>
      <c r="AO920" s="992"/>
      <c r="AP920" s="992"/>
      <c r="AQ920" s="992"/>
      <c r="AR920" s="992"/>
      <c r="AS920" s="992"/>
      <c r="AT920" s="992"/>
      <c r="AU920" s="992"/>
      <c r="AV920" s="187"/>
    </row>
    <row r="921" spans="2:48" x14ac:dyDescent="0.2">
      <c r="B921" s="999" t="e">
        <f>VLOOKUP(U927,ID_archer_cible,2,FALSE)</f>
        <v>#N/A</v>
      </c>
      <c r="C921" s="1000"/>
      <c r="D921" s="1000"/>
      <c r="E921" s="1000"/>
      <c r="F921" s="1000"/>
      <c r="G921" s="1000"/>
      <c r="H921" s="1000"/>
      <c r="I921" s="1000"/>
      <c r="J921" s="1000"/>
      <c r="K921" s="1000"/>
      <c r="L921" s="1000"/>
      <c r="M921" s="1001"/>
      <c r="P921" s="999" t="e">
        <f>VLOOKUP(U927,ID_archer_cible,3,FALSE)</f>
        <v>#N/A</v>
      </c>
      <c r="Q921" s="1000"/>
      <c r="R921" s="1000"/>
      <c r="S921" s="1000"/>
      <c r="T921" s="1000"/>
      <c r="U921" s="1000"/>
      <c r="V921" s="1000"/>
      <c r="W921" s="1001"/>
      <c r="X921" s="186"/>
      <c r="Y921"/>
      <c r="Z921" s="999" t="e">
        <f>VLOOKUP(AS927,ID_archer_cible,2,FALSE)</f>
        <v>#N/A</v>
      </c>
      <c r="AA921" s="1000"/>
      <c r="AB921" s="1000"/>
      <c r="AC921" s="1000"/>
      <c r="AD921" s="1000"/>
      <c r="AE921" s="1000"/>
      <c r="AF921" s="1000"/>
      <c r="AG921" s="1000"/>
      <c r="AH921" s="1000"/>
      <c r="AI921" s="1000"/>
      <c r="AJ921" s="1000"/>
      <c r="AK921" s="1001"/>
      <c r="AN921" s="999" t="e">
        <f>VLOOKUP(AS927,ID_archer_cible,3,FALSE)</f>
        <v>#N/A</v>
      </c>
      <c r="AO921" s="1000"/>
      <c r="AP921" s="1000"/>
      <c r="AQ921" s="1000"/>
      <c r="AR921" s="1000"/>
      <c r="AS921" s="1000"/>
      <c r="AT921" s="1000"/>
      <c r="AU921" s="1001"/>
    </row>
    <row r="922" spans="2:48" x14ac:dyDescent="0.2">
      <c r="X922" s="186"/>
      <c r="Y922"/>
    </row>
    <row r="923" spans="2:48" ht="16.5" thickBot="1" x14ac:dyDescent="0.25">
      <c r="B923" s="1017" t="s">
        <v>1</v>
      </c>
      <c r="C923" s="1017"/>
      <c r="D923" s="1017"/>
      <c r="E923" s="1017"/>
      <c r="F923" s="1017"/>
      <c r="G923" s="1017"/>
      <c r="H923" s="1017"/>
      <c r="I923" s="1017"/>
      <c r="J923" s="1017"/>
      <c r="L923" s="1017" t="s">
        <v>505</v>
      </c>
      <c r="M923" s="1017"/>
      <c r="N923" s="1017"/>
      <c r="O923" s="1017"/>
      <c r="P923" s="1017"/>
      <c r="Q923" s="1017"/>
      <c r="S923" s="992" t="s">
        <v>506</v>
      </c>
      <c r="T923" s="992"/>
      <c r="U923" s="992"/>
      <c r="V923" s="992"/>
      <c r="W923" s="992"/>
      <c r="X923" s="188"/>
      <c r="Y923"/>
      <c r="Z923" s="1017" t="s">
        <v>1</v>
      </c>
      <c r="AA923" s="1017"/>
      <c r="AB923" s="1017"/>
      <c r="AC923" s="1017"/>
      <c r="AD923" s="1017"/>
      <c r="AE923" s="1017"/>
      <c r="AF923" s="1017"/>
      <c r="AG923" s="1017"/>
      <c r="AH923" s="1017"/>
      <c r="AJ923" s="1017" t="s">
        <v>505</v>
      </c>
      <c r="AK923" s="1017"/>
      <c r="AL923" s="1017"/>
      <c r="AM923" s="1017"/>
      <c r="AN923" s="1017"/>
      <c r="AO923" s="1017"/>
      <c r="AQ923" s="992" t="s">
        <v>506</v>
      </c>
      <c r="AR923" s="992"/>
      <c r="AS923" s="992"/>
      <c r="AT923" s="992"/>
      <c r="AU923" s="992"/>
      <c r="AV923" s="187"/>
    </row>
    <row r="924" spans="2:48" ht="16.5" thickBot="1" x14ac:dyDescent="0.25">
      <c r="B924" s="1014" t="e">
        <f>VLOOKUP(U927,ID_archer_cible,5,FALSE)</f>
        <v>#N/A</v>
      </c>
      <c r="C924" s="1015"/>
      <c r="D924" s="1015"/>
      <c r="E924" s="1015"/>
      <c r="F924" s="1015"/>
      <c r="G924" s="1015"/>
      <c r="H924" s="1015"/>
      <c r="I924" s="1015"/>
      <c r="J924" s="1016"/>
      <c r="L924" s="1014" t="e">
        <f>VLOOKUP(U927,ID_archer_cible,6,FALSE)</f>
        <v>#N/A</v>
      </c>
      <c r="M924" s="1015"/>
      <c r="N924" s="1015"/>
      <c r="O924" s="1015"/>
      <c r="P924" s="1015"/>
      <c r="Q924" s="1016"/>
      <c r="S924" s="999" t="e">
        <f>VLOOKUP(U927,ID_archer_cible,8,FALSE)</f>
        <v>#N/A</v>
      </c>
      <c r="T924" s="1000"/>
      <c r="U924" s="1000"/>
      <c r="V924" s="1000"/>
      <c r="W924" s="1001"/>
      <c r="X924" s="186"/>
      <c r="Y924"/>
      <c r="Z924" s="1014" t="e">
        <f>VLOOKUP(AS927,ID_archer_cible,5,FALSE)</f>
        <v>#N/A</v>
      </c>
      <c r="AA924" s="1015"/>
      <c r="AB924" s="1015"/>
      <c r="AC924" s="1015"/>
      <c r="AD924" s="1015"/>
      <c r="AE924" s="1015"/>
      <c r="AF924" s="1015"/>
      <c r="AG924" s="1015"/>
      <c r="AH924" s="1016"/>
      <c r="AJ924" s="1014" t="e">
        <f>VLOOKUP(AS927,ID_archer_cible,6,FALSE)</f>
        <v>#N/A</v>
      </c>
      <c r="AK924" s="1015"/>
      <c r="AL924" s="1015"/>
      <c r="AM924" s="1015"/>
      <c r="AN924" s="1015"/>
      <c r="AO924" s="1016"/>
      <c r="AQ924" s="999" t="e">
        <f>VLOOKUP(AS927,ID_archer_cible,8,FALSE)</f>
        <v>#N/A</v>
      </c>
      <c r="AR924" s="1000"/>
      <c r="AS924" s="1000"/>
      <c r="AT924" s="1000"/>
      <c r="AU924" s="1001"/>
    </row>
    <row r="925" spans="2:48" x14ac:dyDescent="0.2">
      <c r="X925" s="186"/>
      <c r="Y925"/>
    </row>
    <row r="926" spans="2:48" x14ac:dyDescent="0.2">
      <c r="B926" s="992" t="s">
        <v>530</v>
      </c>
      <c r="C926" s="992"/>
      <c r="D926" s="992"/>
      <c r="E926" s="992"/>
      <c r="F926" s="992"/>
      <c r="G926" s="187"/>
      <c r="H926" s="992" t="s">
        <v>504</v>
      </c>
      <c r="I926" s="992"/>
      <c r="J926" s="992"/>
      <c r="K926" s="992"/>
      <c r="M926" s="992" t="s">
        <v>39</v>
      </c>
      <c r="N926" s="992"/>
      <c r="O926" s="992"/>
      <c r="Q926" s="1021"/>
      <c r="R926" s="1021"/>
      <c r="S926" s="1021"/>
      <c r="U926" s="992" t="s">
        <v>507</v>
      </c>
      <c r="V926" s="992"/>
      <c r="W926" s="992"/>
      <c r="X926" s="188"/>
      <c r="Y926"/>
      <c r="Z926" s="992" t="s">
        <v>530</v>
      </c>
      <c r="AA926" s="992"/>
      <c r="AB926" s="992"/>
      <c r="AC926" s="992"/>
      <c r="AD926" s="992"/>
      <c r="AE926" s="187"/>
      <c r="AF926" s="992" t="s">
        <v>504</v>
      </c>
      <c r="AG926" s="992"/>
      <c r="AH926" s="992"/>
      <c r="AI926" s="992"/>
      <c r="AK926" s="992" t="s">
        <v>39</v>
      </c>
      <c r="AL926" s="992"/>
      <c r="AM926" s="992"/>
      <c r="AO926" s="1021"/>
      <c r="AP926" s="1021"/>
      <c r="AQ926" s="1021"/>
      <c r="AS926" s="992" t="s">
        <v>507</v>
      </c>
      <c r="AT926" s="992"/>
      <c r="AU926" s="992"/>
      <c r="AV926" s="187"/>
    </row>
    <row r="927" spans="2:48" ht="15.75" x14ac:dyDescent="0.2">
      <c r="B927" s="1011" t="e">
        <f>VLOOKUP(U927,ID_archer_cible,7,FALSE)</f>
        <v>#N/A</v>
      </c>
      <c r="C927" s="1012"/>
      <c r="D927" s="1012"/>
      <c r="E927" s="1012"/>
      <c r="F927" s="1013"/>
      <c r="H927" s="999" t="e">
        <f>VLOOKUP(U927,ID_archer_cible,9,FALSE)</f>
        <v>#N/A</v>
      </c>
      <c r="I927" s="1000"/>
      <c r="J927" s="1000"/>
      <c r="K927" s="1001"/>
      <c r="M927" s="999" t="e">
        <f>VLOOKUP(U927,ID_archer_cible,10,FALSE)</f>
        <v>#N/A</v>
      </c>
      <c r="N927" s="1000"/>
      <c r="O927" s="1001"/>
      <c r="Q927" s="1021"/>
      <c r="R927" s="1021"/>
      <c r="S927" s="1021"/>
      <c r="T927" s="187"/>
      <c r="U927" s="996" t="str">
        <f>AR885&amp;"C"</f>
        <v>15C</v>
      </c>
      <c r="V927" s="997"/>
      <c r="W927" s="998"/>
      <c r="X927" s="188"/>
      <c r="Y927"/>
      <c r="Z927" s="1011" t="e">
        <f>VLOOKUP(AS927,ID_archer_cible,7,FALSE)</f>
        <v>#N/A</v>
      </c>
      <c r="AA927" s="1012"/>
      <c r="AB927" s="1012"/>
      <c r="AC927" s="1012"/>
      <c r="AD927" s="1013"/>
      <c r="AF927" s="999" t="e">
        <f>VLOOKUP(AS927,ID_archer_cible,9,FALSE)</f>
        <v>#N/A</v>
      </c>
      <c r="AG927" s="1000"/>
      <c r="AH927" s="1000"/>
      <c r="AI927" s="1001"/>
      <c r="AK927" s="999" t="e">
        <f>VLOOKUP(AS927,ID_archer_cible,10,FALSE)</f>
        <v>#N/A</v>
      </c>
      <c r="AL927" s="1000"/>
      <c r="AM927" s="1001"/>
      <c r="AO927" s="1021"/>
      <c r="AP927" s="1021"/>
      <c r="AQ927" s="1021"/>
      <c r="AR927" s="187"/>
      <c r="AS927" s="996" t="str">
        <f>AR885&amp;"D"</f>
        <v>15D</v>
      </c>
      <c r="AT927" s="997"/>
      <c r="AU927" s="998"/>
      <c r="AV927" s="187"/>
    </row>
    <row r="928" spans="2:48" x14ac:dyDescent="0.2">
      <c r="X928" s="186"/>
    </row>
    <row r="929" spans="2:48" x14ac:dyDescent="0.2">
      <c r="B929" s="185" t="s">
        <v>509</v>
      </c>
      <c r="E929" s="992" t="s">
        <v>510</v>
      </c>
      <c r="F929" s="992"/>
      <c r="G929" s="992"/>
      <c r="H929" s="992"/>
      <c r="I929" s="992"/>
      <c r="J929" s="992"/>
      <c r="K929" s="992"/>
      <c r="L929" s="992"/>
      <c r="M929" s="992"/>
      <c r="N929" s="992"/>
      <c r="P929" s="992" t="s">
        <v>511</v>
      </c>
      <c r="Q929" s="992"/>
      <c r="R929" s="992"/>
      <c r="X929" s="186"/>
      <c r="Z929" s="185" t="s">
        <v>509</v>
      </c>
      <c r="AC929" s="992" t="s">
        <v>510</v>
      </c>
      <c r="AD929" s="992"/>
      <c r="AE929" s="992"/>
      <c r="AF929" s="992"/>
      <c r="AG929" s="992"/>
      <c r="AH929" s="992"/>
      <c r="AI929" s="992"/>
      <c r="AJ929" s="992"/>
      <c r="AK929" s="992"/>
      <c r="AL929" s="992"/>
      <c r="AN929" s="992" t="s">
        <v>511</v>
      </c>
      <c r="AO929" s="992"/>
      <c r="AP929" s="992"/>
    </row>
    <row r="930" spans="2:48" ht="20.25" customHeight="1" x14ac:dyDescent="0.2">
      <c r="B930" s="1009" t="s">
        <v>513</v>
      </c>
      <c r="C930" s="1009"/>
      <c r="E930" s="189"/>
      <c r="F930" s="191"/>
      <c r="G930" s="189"/>
      <c r="H930" s="191"/>
      <c r="I930" s="189"/>
      <c r="J930" s="191"/>
      <c r="K930" s="189"/>
      <c r="L930" s="191"/>
      <c r="M930" s="189"/>
      <c r="N930" s="191"/>
      <c r="P930" s="189"/>
      <c r="Q930" s="190"/>
      <c r="R930" s="191"/>
      <c r="T930" s="992" t="s">
        <v>512</v>
      </c>
      <c r="U930" s="992"/>
      <c r="V930" s="992"/>
      <c r="W930" s="992"/>
      <c r="X930" s="188"/>
      <c r="Z930" s="1009" t="s">
        <v>513</v>
      </c>
      <c r="AA930" s="1009"/>
      <c r="AC930" s="189"/>
      <c r="AD930" s="191"/>
      <c r="AE930" s="189"/>
      <c r="AF930" s="191"/>
      <c r="AG930" s="189"/>
      <c r="AH930" s="191"/>
      <c r="AI930" s="189"/>
      <c r="AJ930" s="191"/>
      <c r="AK930" s="189"/>
      <c r="AL930" s="191"/>
      <c r="AN930" s="189"/>
      <c r="AO930" s="190"/>
      <c r="AP930" s="191"/>
      <c r="AR930" s="992" t="s">
        <v>512</v>
      </c>
      <c r="AS930" s="992"/>
      <c r="AT930" s="992"/>
      <c r="AU930" s="992"/>
      <c r="AV930" s="187"/>
    </row>
    <row r="931" spans="2:48" ht="20.25" customHeight="1" x14ac:dyDescent="0.2">
      <c r="B931" s="1009" t="s">
        <v>514</v>
      </c>
      <c r="C931" s="1009"/>
      <c r="E931" s="189"/>
      <c r="F931" s="191"/>
      <c r="G931" s="189"/>
      <c r="H931" s="191"/>
      <c r="I931" s="189"/>
      <c r="J931" s="191"/>
      <c r="K931" s="189"/>
      <c r="L931" s="191"/>
      <c r="M931" s="189"/>
      <c r="N931" s="191"/>
      <c r="P931" s="189"/>
      <c r="Q931" s="190"/>
      <c r="R931" s="191"/>
      <c r="T931" s="189"/>
      <c r="U931" s="190"/>
      <c r="V931" s="190"/>
      <c r="W931" s="191"/>
      <c r="X931" s="186"/>
      <c r="Z931" s="1009" t="s">
        <v>514</v>
      </c>
      <c r="AA931" s="1009"/>
      <c r="AC931" s="189"/>
      <c r="AD931" s="191"/>
      <c r="AE931" s="189"/>
      <c r="AF931" s="191"/>
      <c r="AG931" s="189"/>
      <c r="AH931" s="191"/>
      <c r="AI931" s="189"/>
      <c r="AJ931" s="191"/>
      <c r="AK931" s="189"/>
      <c r="AL931" s="191"/>
      <c r="AN931" s="189"/>
      <c r="AO931" s="190"/>
      <c r="AP931" s="191"/>
      <c r="AR931" s="189"/>
      <c r="AS931" s="190"/>
      <c r="AT931" s="190"/>
      <c r="AU931" s="191"/>
    </row>
    <row r="932" spans="2:48" ht="20.25" customHeight="1" x14ac:dyDescent="0.2">
      <c r="B932" s="1009" t="s">
        <v>515</v>
      </c>
      <c r="C932" s="1009"/>
      <c r="E932" s="189"/>
      <c r="F932" s="191"/>
      <c r="G932" s="189"/>
      <c r="H932" s="191"/>
      <c r="I932" s="189"/>
      <c r="J932" s="191"/>
      <c r="K932" s="189"/>
      <c r="L932" s="191"/>
      <c r="M932" s="189"/>
      <c r="N932" s="191"/>
      <c r="P932" s="189"/>
      <c r="Q932" s="190"/>
      <c r="R932" s="191"/>
      <c r="T932" s="189"/>
      <c r="U932" s="190"/>
      <c r="V932" s="190"/>
      <c r="W932" s="191"/>
      <c r="X932" s="186"/>
      <c r="Z932" s="1009" t="s">
        <v>515</v>
      </c>
      <c r="AA932" s="1009"/>
      <c r="AC932" s="189"/>
      <c r="AD932" s="191"/>
      <c r="AE932" s="189"/>
      <c r="AF932" s="191"/>
      <c r="AG932" s="189"/>
      <c r="AH932" s="191"/>
      <c r="AI932" s="189"/>
      <c r="AJ932" s="191"/>
      <c r="AK932" s="189"/>
      <c r="AL932" s="191"/>
      <c r="AN932" s="189"/>
      <c r="AO932" s="190"/>
      <c r="AP932" s="191"/>
      <c r="AR932" s="189"/>
      <c r="AS932" s="190"/>
      <c r="AT932" s="190"/>
      <c r="AU932" s="191"/>
    </row>
    <row r="933" spans="2:48" ht="20.25" customHeight="1" x14ac:dyDescent="0.2">
      <c r="B933" s="1009" t="s">
        <v>516</v>
      </c>
      <c r="C933" s="1009"/>
      <c r="E933" s="189"/>
      <c r="F933" s="191"/>
      <c r="G933" s="189"/>
      <c r="H933" s="191"/>
      <c r="I933" s="189"/>
      <c r="J933" s="191"/>
      <c r="K933" s="189"/>
      <c r="L933" s="191"/>
      <c r="M933" s="189"/>
      <c r="N933" s="191"/>
      <c r="P933" s="189"/>
      <c r="Q933" s="190"/>
      <c r="R933" s="191"/>
      <c r="T933" s="189"/>
      <c r="U933" s="190"/>
      <c r="V933" s="190"/>
      <c r="W933" s="191"/>
      <c r="X933" s="186"/>
      <c r="Z933" s="1009" t="s">
        <v>516</v>
      </c>
      <c r="AA933" s="1009"/>
      <c r="AC933" s="189"/>
      <c r="AD933" s="191"/>
      <c r="AE933" s="189"/>
      <c r="AF933" s="191"/>
      <c r="AG933" s="189"/>
      <c r="AH933" s="191"/>
      <c r="AI933" s="189"/>
      <c r="AJ933" s="191"/>
      <c r="AK933" s="189"/>
      <c r="AL933" s="191"/>
      <c r="AN933" s="189"/>
      <c r="AO933" s="190"/>
      <c r="AP933" s="191"/>
      <c r="AR933" s="189"/>
      <c r="AS933" s="190"/>
      <c r="AT933" s="190"/>
      <c r="AU933" s="191"/>
    </row>
    <row r="934" spans="2:48" ht="20.25" customHeight="1" x14ac:dyDescent="0.2">
      <c r="B934" s="1009" t="s">
        <v>517</v>
      </c>
      <c r="C934" s="1009"/>
      <c r="E934" s="189"/>
      <c r="F934" s="191"/>
      <c r="G934" s="189"/>
      <c r="H934" s="191"/>
      <c r="I934" s="189"/>
      <c r="J934" s="191"/>
      <c r="K934" s="189"/>
      <c r="L934" s="191"/>
      <c r="M934" s="189"/>
      <c r="N934" s="191"/>
      <c r="P934" s="189"/>
      <c r="Q934" s="190"/>
      <c r="R934" s="191"/>
      <c r="T934" s="189"/>
      <c r="U934" s="190"/>
      <c r="V934" s="190"/>
      <c r="W934" s="191"/>
      <c r="X934" s="186"/>
      <c r="Z934" s="1009" t="s">
        <v>517</v>
      </c>
      <c r="AA934" s="1009"/>
      <c r="AC934" s="189"/>
      <c r="AD934" s="191"/>
      <c r="AE934" s="189"/>
      <c r="AF934" s="191"/>
      <c r="AG934" s="189"/>
      <c r="AH934" s="191"/>
      <c r="AI934" s="189"/>
      <c r="AJ934" s="191"/>
      <c r="AK934" s="189"/>
      <c r="AL934" s="191"/>
      <c r="AN934" s="189"/>
      <c r="AO934" s="190"/>
      <c r="AP934" s="191"/>
      <c r="AR934" s="189"/>
      <c r="AS934" s="190"/>
      <c r="AT934" s="190"/>
      <c r="AU934" s="191"/>
    </row>
    <row r="935" spans="2:48" ht="20.25" customHeight="1" x14ac:dyDescent="0.2">
      <c r="B935" s="1009" t="s">
        <v>518</v>
      </c>
      <c r="C935" s="1009"/>
      <c r="E935" s="189"/>
      <c r="F935" s="191"/>
      <c r="G935" s="189"/>
      <c r="H935" s="191"/>
      <c r="I935" s="189"/>
      <c r="J935" s="191"/>
      <c r="K935" s="189"/>
      <c r="L935" s="191"/>
      <c r="M935" s="189"/>
      <c r="N935" s="191"/>
      <c r="P935" s="189"/>
      <c r="Q935" s="190"/>
      <c r="R935" s="191"/>
      <c r="T935" s="189"/>
      <c r="U935" s="190"/>
      <c r="V935" s="190"/>
      <c r="W935" s="191"/>
      <c r="X935" s="186"/>
      <c r="Z935" s="1009" t="s">
        <v>518</v>
      </c>
      <c r="AA935" s="1009"/>
      <c r="AC935" s="189"/>
      <c r="AD935" s="191"/>
      <c r="AE935" s="189"/>
      <c r="AF935" s="191"/>
      <c r="AG935" s="189"/>
      <c r="AH935" s="191"/>
      <c r="AI935" s="189"/>
      <c r="AJ935" s="191"/>
      <c r="AK935" s="189"/>
      <c r="AL935" s="191"/>
      <c r="AN935" s="189"/>
      <c r="AO935" s="190"/>
      <c r="AP935" s="191"/>
      <c r="AR935" s="189"/>
      <c r="AS935" s="190"/>
      <c r="AT935" s="190"/>
      <c r="AU935" s="191"/>
    </row>
    <row r="936" spans="2:48" ht="15.75" thickBot="1" x14ac:dyDescent="0.25">
      <c r="B936" s="187"/>
      <c r="C936" s="187"/>
      <c r="X936" s="186"/>
      <c r="Z936" s="187"/>
      <c r="AA936" s="187"/>
    </row>
    <row r="937" spans="2:48" ht="20.25" customHeight="1" thickBot="1" x14ac:dyDescent="0.25">
      <c r="P937" s="197" t="s">
        <v>519</v>
      </c>
      <c r="Q937" s="197"/>
      <c r="R937" s="197"/>
      <c r="S937" s="197"/>
      <c r="T937" s="192"/>
      <c r="U937" s="193"/>
      <c r="V937" s="193"/>
      <c r="W937" s="194"/>
      <c r="X937" s="186"/>
      <c r="AN937" s="197" t="s">
        <v>519</v>
      </c>
      <c r="AO937" s="197"/>
      <c r="AP937" s="197"/>
      <c r="AQ937" s="197"/>
      <c r="AR937" s="192"/>
      <c r="AS937" s="193"/>
      <c r="AT937" s="193"/>
      <c r="AU937" s="194"/>
    </row>
    <row r="938" spans="2:48" x14ac:dyDescent="0.2">
      <c r="E938" s="196"/>
      <c r="F938" s="196"/>
      <c r="G938" s="196"/>
      <c r="H938" s="196"/>
      <c r="I938" s="196"/>
      <c r="J938" s="196"/>
      <c r="K938" s="196"/>
      <c r="L938" s="196"/>
      <c r="M938" s="196"/>
      <c r="X938" s="186"/>
      <c r="AC938" s="196"/>
      <c r="AD938" s="196"/>
      <c r="AE938" s="196"/>
      <c r="AF938" s="196"/>
      <c r="AG938" s="196"/>
      <c r="AH938" s="196"/>
      <c r="AI938" s="196"/>
      <c r="AJ938" s="196"/>
      <c r="AK938" s="196"/>
    </row>
    <row r="939" spans="2:48" x14ac:dyDescent="0.2">
      <c r="B939" s="1010" t="s">
        <v>521</v>
      </c>
      <c r="C939" s="1010"/>
      <c r="D939" s="1010"/>
      <c r="E939" s="1010"/>
      <c r="F939" s="1010"/>
      <c r="G939" s="1010"/>
      <c r="H939" s="195"/>
      <c r="I939" s="1004" t="s">
        <v>522</v>
      </c>
      <c r="J939" s="1004"/>
      <c r="K939" s="1004"/>
      <c r="L939" s="1004"/>
      <c r="M939" s="1004"/>
      <c r="N939" s="1004"/>
      <c r="O939" s="1004"/>
      <c r="P939" s="1004"/>
      <c r="Q939" s="1004"/>
      <c r="R939" s="1004"/>
      <c r="S939" s="1004"/>
      <c r="T939" s="1004"/>
      <c r="U939" s="1004"/>
      <c r="V939" s="1004"/>
      <c r="W939" s="1004"/>
      <c r="X939" s="198"/>
      <c r="Y939" s="195"/>
      <c r="Z939" s="1010" t="s">
        <v>521</v>
      </c>
      <c r="AA939" s="1010"/>
      <c r="AB939" s="1010"/>
      <c r="AC939" s="1010"/>
      <c r="AD939" s="1010"/>
      <c r="AE939" s="1010"/>
      <c r="AF939" s="195"/>
      <c r="AG939" s="1004" t="s">
        <v>522</v>
      </c>
      <c r="AH939" s="1004"/>
      <c r="AI939" s="1004"/>
      <c r="AJ939" s="1004"/>
      <c r="AK939" s="1004"/>
      <c r="AL939" s="1004"/>
      <c r="AM939" s="1004"/>
      <c r="AN939" s="1004"/>
      <c r="AO939" s="1004"/>
      <c r="AP939" s="1004"/>
      <c r="AQ939" s="1004"/>
      <c r="AR939" s="1004"/>
      <c r="AS939" s="1004"/>
      <c r="AT939" s="1004"/>
      <c r="AU939" s="1004"/>
      <c r="AV939" s="195"/>
    </row>
    <row r="940" spans="2:48" x14ac:dyDescent="0.2">
      <c r="B940" s="1005" t="s">
        <v>520</v>
      </c>
      <c r="C940" s="1006"/>
      <c r="D940" s="1006"/>
      <c r="E940" s="1006"/>
      <c r="F940" s="1006"/>
      <c r="G940" s="1007"/>
      <c r="I940" s="1005" t="s">
        <v>0</v>
      </c>
      <c r="J940" s="1006"/>
      <c r="K940" s="1006"/>
      <c r="L940" s="1006"/>
      <c r="M940" s="1006"/>
      <c r="N940" s="1006"/>
      <c r="O940" s="1006"/>
      <c r="P940" s="1006"/>
      <c r="Q940" s="1006"/>
      <c r="R940" s="1006"/>
      <c r="S940" s="1006"/>
      <c r="T940" s="1006"/>
      <c r="U940" s="1006"/>
      <c r="V940" s="1006"/>
      <c r="W940" s="1007"/>
      <c r="X940" s="186"/>
      <c r="Z940" s="1005" t="s">
        <v>520</v>
      </c>
      <c r="AA940" s="1006"/>
      <c r="AB940" s="1006"/>
      <c r="AC940" s="1006"/>
      <c r="AD940" s="1006"/>
      <c r="AE940" s="1007"/>
      <c r="AG940" s="1005" t="s">
        <v>0</v>
      </c>
      <c r="AH940" s="1006"/>
      <c r="AI940" s="1006"/>
      <c r="AJ940" s="1006"/>
      <c r="AK940" s="1006"/>
      <c r="AL940" s="1006"/>
      <c r="AM940" s="1006"/>
      <c r="AN940" s="1006"/>
      <c r="AO940" s="1006"/>
      <c r="AP940" s="1006"/>
      <c r="AQ940" s="1006"/>
      <c r="AR940" s="1006"/>
      <c r="AS940" s="1006"/>
      <c r="AT940" s="1006"/>
      <c r="AU940" s="1007"/>
    </row>
    <row r="941" spans="2:48" x14ac:dyDescent="0.2">
      <c r="B941" s="199"/>
      <c r="C941" s="200"/>
      <c r="D941" s="200"/>
      <c r="E941" s="200"/>
      <c r="F941" s="200"/>
      <c r="G941" s="201"/>
      <c r="I941" s="199"/>
      <c r="J941" s="200"/>
      <c r="K941" s="200"/>
      <c r="L941" s="200"/>
      <c r="M941" s="200"/>
      <c r="N941" s="200"/>
      <c r="O941" s="200"/>
      <c r="P941" s="200"/>
      <c r="Q941" s="200"/>
      <c r="R941" s="200"/>
      <c r="S941" s="200"/>
      <c r="T941" s="200"/>
      <c r="U941" s="200"/>
      <c r="V941" s="200"/>
      <c r="W941" s="201"/>
      <c r="X941" s="186"/>
      <c r="Z941" s="199"/>
      <c r="AA941" s="200"/>
      <c r="AB941" s="200"/>
      <c r="AC941" s="200"/>
      <c r="AD941" s="200"/>
      <c r="AE941" s="201"/>
      <c r="AG941" s="199"/>
      <c r="AH941" s="200"/>
      <c r="AI941" s="200"/>
      <c r="AJ941" s="200"/>
      <c r="AK941" s="200"/>
      <c r="AL941" s="200"/>
      <c r="AM941" s="200"/>
      <c r="AN941" s="200"/>
      <c r="AO941" s="200"/>
      <c r="AP941" s="200"/>
      <c r="AQ941" s="200"/>
      <c r="AR941" s="200"/>
      <c r="AS941" s="200"/>
      <c r="AT941" s="200"/>
      <c r="AU941" s="201"/>
    </row>
    <row r="942" spans="2:48" x14ac:dyDescent="0.2">
      <c r="X942" s="186"/>
    </row>
    <row r="943" spans="2:48" x14ac:dyDescent="0.2">
      <c r="I943" s="1005" t="s">
        <v>481</v>
      </c>
      <c r="J943" s="1006"/>
      <c r="K943" s="1006"/>
      <c r="L943" s="1006"/>
      <c r="M943" s="1006"/>
      <c r="N943" s="1006"/>
      <c r="O943" s="1006"/>
      <c r="P943" s="1006"/>
      <c r="Q943" s="1007"/>
      <c r="R943" s="1005" t="s">
        <v>520</v>
      </c>
      <c r="S943" s="1006"/>
      <c r="T943" s="1006"/>
      <c r="U943" s="1006"/>
      <c r="V943" s="1006"/>
      <c r="W943" s="1007"/>
      <c r="X943" s="186"/>
      <c r="AG943" s="1005" t="s">
        <v>481</v>
      </c>
      <c r="AH943" s="1006"/>
      <c r="AI943" s="1006"/>
      <c r="AJ943" s="1006"/>
      <c r="AK943" s="1006"/>
      <c r="AL943" s="1006"/>
      <c r="AM943" s="1006"/>
      <c r="AN943" s="1006"/>
      <c r="AO943" s="1007"/>
      <c r="AP943" s="1005" t="s">
        <v>520</v>
      </c>
      <c r="AQ943" s="1006"/>
      <c r="AR943" s="1006"/>
      <c r="AS943" s="1006"/>
      <c r="AT943" s="1006"/>
      <c r="AU943" s="1007"/>
    </row>
    <row r="944" spans="2:48" x14ac:dyDescent="0.2">
      <c r="I944" s="199"/>
      <c r="J944" s="200"/>
      <c r="K944" s="200"/>
      <c r="L944" s="200"/>
      <c r="M944" s="200"/>
      <c r="N944" s="200"/>
      <c r="O944" s="200"/>
      <c r="P944" s="200"/>
      <c r="Q944" s="200"/>
      <c r="R944" s="199"/>
      <c r="S944" s="200"/>
      <c r="T944" s="200"/>
      <c r="U944" s="200"/>
      <c r="V944" s="200"/>
      <c r="W944" s="201"/>
      <c r="X944" s="186"/>
      <c r="AG944" s="199"/>
      <c r="AH944" s="200"/>
      <c r="AI944" s="200"/>
      <c r="AJ944" s="200"/>
      <c r="AK944" s="200"/>
      <c r="AL944" s="200"/>
      <c r="AM944" s="200"/>
      <c r="AN944" s="200"/>
      <c r="AO944" s="200"/>
      <c r="AP944" s="199"/>
      <c r="AQ944" s="200"/>
      <c r="AR944" s="200"/>
      <c r="AS944" s="200"/>
      <c r="AT944" s="200"/>
      <c r="AU944" s="201"/>
    </row>
    <row r="946" spans="2:48" ht="57.75" customHeight="1" x14ac:dyDescent="0.2">
      <c r="B946" s="1058" t="str">
        <f>Championnat</f>
        <v>Championnat de France de Tir à l'ARC</v>
      </c>
      <c r="C946" s="1058"/>
      <c r="D946" s="1058"/>
      <c r="E946" s="1058"/>
      <c r="F946" s="1058"/>
      <c r="G946" s="1058"/>
      <c r="H946" s="1058"/>
      <c r="I946" s="1058"/>
      <c r="J946" s="1058"/>
      <c r="K946" s="1058"/>
      <c r="L946" s="1058"/>
      <c r="M946" s="1058"/>
      <c r="N946" s="1058"/>
      <c r="O946" s="1058"/>
      <c r="P946" s="1058"/>
      <c r="Q946" s="1058"/>
      <c r="R946" s="1058"/>
      <c r="S946" s="1058"/>
      <c r="T946" s="1058"/>
      <c r="U946" s="1058"/>
      <c r="V946" s="1058"/>
      <c r="W946" s="1058"/>
      <c r="X946" s="1058"/>
      <c r="Y946" s="1058"/>
      <c r="Z946" s="1058"/>
      <c r="AA946" s="1058"/>
      <c r="AB946" s="1058"/>
      <c r="AC946" s="1058"/>
      <c r="AD946" s="1058"/>
      <c r="AE946" s="1058"/>
      <c r="AF946" s="1058"/>
      <c r="AG946" s="1058"/>
      <c r="AH946" s="1058"/>
      <c r="AI946" s="1058"/>
      <c r="AJ946" s="1058"/>
      <c r="AK946" s="1058"/>
      <c r="AL946" s="1058"/>
      <c r="AM946" s="1058"/>
      <c r="AN946" s="1058"/>
      <c r="AO946" s="1058"/>
      <c r="AP946" s="1058"/>
    </row>
    <row r="947" spans="2:48" ht="45" customHeight="1" thickBot="1" x14ac:dyDescent="0.25">
      <c r="B947" s="1018" t="str">
        <f>LIEU&amp;" - "&amp;DATE&amp;" - "&amp;CATEG</f>
        <v>L’Isle sur la Sorgue - 27 au 31 mars 2023 - Collèges Mixtes Etablissement</v>
      </c>
      <c r="C947" s="1018"/>
      <c r="D947" s="1018"/>
      <c r="E947" s="1018"/>
      <c r="F947" s="1018"/>
      <c r="G947" s="1018"/>
      <c r="H947" s="1018"/>
      <c r="I947" s="1018"/>
      <c r="J947" s="1018"/>
      <c r="K947" s="1018"/>
      <c r="L947" s="1018"/>
      <c r="M947" s="1018"/>
      <c r="N947" s="1018"/>
      <c r="O947" s="1018"/>
      <c r="P947" s="1018"/>
      <c r="Q947" s="1018"/>
      <c r="R947" s="1018"/>
      <c r="S947" s="1018"/>
      <c r="T947" s="1018"/>
      <c r="U947" s="1018"/>
      <c r="V947" s="1018"/>
      <c r="W947" s="1018"/>
      <c r="X947" s="1018"/>
      <c r="Y947" s="1018"/>
      <c r="Z947" s="1018"/>
      <c r="AA947" s="1018"/>
      <c r="AB947" s="1018"/>
      <c r="AC947" s="1018"/>
      <c r="AD947" s="1018"/>
      <c r="AE947" s="1018"/>
      <c r="AF947" s="1018"/>
      <c r="AG947" s="1018"/>
      <c r="AH947" s="1018"/>
      <c r="AI947" s="1018"/>
      <c r="AJ947" s="1018"/>
      <c r="AK947" s="1018"/>
      <c r="AL947" s="1018"/>
      <c r="AM947" s="1018"/>
      <c r="AN947" s="1018"/>
      <c r="AO947" s="1018"/>
      <c r="AP947" s="1018"/>
      <c r="AQ947" s="182"/>
      <c r="AR947" s="182"/>
      <c r="AS947" s="182"/>
      <c r="AT947" s="182"/>
      <c r="AU947" s="182"/>
      <c r="AV947" s="182"/>
    </row>
    <row r="948" spans="2:48" ht="26.25" customHeight="1" x14ac:dyDescent="0.2">
      <c r="B948" s="1059" t="str">
        <f>CATEG_IMPORTEE</f>
        <v>Collèges Mixtes Etablissement</v>
      </c>
      <c r="C948" s="1059"/>
      <c r="D948" s="1059"/>
      <c r="E948" s="1059"/>
      <c r="F948" s="1059"/>
      <c r="G948" s="1059"/>
      <c r="H948" s="1059"/>
      <c r="I948" s="1059"/>
      <c r="J948" s="1059"/>
      <c r="K948" s="1059"/>
      <c r="L948" s="1059"/>
      <c r="M948" s="1059"/>
      <c r="N948" s="1059"/>
      <c r="O948" s="1059"/>
      <c r="P948" s="1059"/>
      <c r="Q948" s="1059"/>
      <c r="R948" s="1059"/>
      <c r="S948" s="1059"/>
      <c r="T948" s="1059"/>
      <c r="U948" s="1059"/>
      <c r="V948" s="1059"/>
      <c r="W948" s="1059"/>
      <c r="X948" s="1059"/>
      <c r="Y948" s="1059"/>
      <c r="Z948" s="1059"/>
      <c r="AA948" s="1059"/>
      <c r="AB948" s="1059"/>
      <c r="AC948" s="1059"/>
      <c r="AD948" s="1059"/>
      <c r="AE948" s="1059"/>
      <c r="AF948" s="1059"/>
      <c r="AG948" s="1059"/>
      <c r="AH948" s="1059"/>
      <c r="AI948" s="1059"/>
      <c r="AJ948" s="1059"/>
      <c r="AK948" s="1059"/>
      <c r="AL948" s="1059"/>
      <c r="AM948" s="1059"/>
      <c r="AN948" s="1059"/>
      <c r="AO948" s="1059"/>
      <c r="AP948" s="1059"/>
      <c r="AQ948" s="182"/>
      <c r="AR948" s="1060">
        <f>AR885+1</f>
        <v>16</v>
      </c>
      <c r="AS948" s="1061"/>
      <c r="AT948" s="1062"/>
      <c r="AU948" s="182"/>
      <c r="AV948" s="182"/>
    </row>
    <row r="949" spans="2:48" ht="18" customHeight="1" x14ac:dyDescent="0.2">
      <c r="B949" s="182"/>
      <c r="C949" s="182"/>
      <c r="D949" s="182"/>
      <c r="E949" s="182"/>
      <c r="F949" s="182"/>
      <c r="G949" s="182"/>
      <c r="H949" s="182"/>
      <c r="I949" s="182"/>
      <c r="J949" s="182"/>
      <c r="K949" s="182"/>
      <c r="L949" s="182"/>
      <c r="M949" s="182"/>
      <c r="N949" s="182"/>
      <c r="O949" s="182"/>
      <c r="P949" s="182"/>
      <c r="Q949" s="182"/>
      <c r="R949" s="182"/>
      <c r="S949" s="182"/>
      <c r="T949" s="182"/>
      <c r="U949" s="182"/>
      <c r="V949" s="182"/>
      <c r="W949" s="182"/>
      <c r="X949" s="183"/>
      <c r="Y949" s="184"/>
      <c r="Z949" s="182"/>
      <c r="AA949" s="182"/>
      <c r="AB949" s="182"/>
      <c r="AC949" s="182"/>
      <c r="AD949" s="182"/>
      <c r="AE949" s="182"/>
      <c r="AF949" s="182"/>
      <c r="AG949" s="182"/>
      <c r="AH949" s="182"/>
      <c r="AI949" s="182"/>
      <c r="AJ949" s="182"/>
      <c r="AK949" s="182"/>
      <c r="AL949" s="182"/>
      <c r="AM949" s="182"/>
      <c r="AN949" s="182"/>
      <c r="AO949" s="182"/>
      <c r="AP949" s="182"/>
      <c r="AQ949" s="182"/>
      <c r="AR949" s="1063"/>
      <c r="AS949" s="1064"/>
      <c r="AT949" s="1065"/>
      <c r="AU949" s="182"/>
      <c r="AV949" s="182"/>
    </row>
    <row r="950" spans="2:48" ht="18.75" customHeight="1" thickBot="1" x14ac:dyDescent="0.25">
      <c r="B950" s="182"/>
      <c r="C950" s="182"/>
      <c r="D950" s="182"/>
      <c r="E950" s="182"/>
      <c r="F950" s="182"/>
      <c r="G950" s="182"/>
      <c r="H950" s="992" t="s">
        <v>374</v>
      </c>
      <c r="I950" s="992"/>
      <c r="J950" s="992"/>
      <c r="K950" s="992"/>
      <c r="L950" s="992"/>
      <c r="M950" s="992"/>
      <c r="N950" s="992"/>
      <c r="O950" s="992"/>
      <c r="P950" s="992"/>
      <c r="Q950" s="992"/>
      <c r="R950" s="182"/>
      <c r="S950" s="182"/>
      <c r="T950" s="182"/>
      <c r="U950" s="182"/>
      <c r="V950" s="182"/>
      <c r="W950" s="182"/>
      <c r="X950" s="183"/>
      <c r="Y950" s="182"/>
      <c r="Z950" s="182"/>
      <c r="AA950" s="182"/>
      <c r="AB950" s="182"/>
      <c r="AC950" s="182"/>
      <c r="AD950" s="182"/>
      <c r="AE950" s="992" t="s">
        <v>374</v>
      </c>
      <c r="AF950" s="992"/>
      <c r="AG950" s="992"/>
      <c r="AH950" s="992"/>
      <c r="AI950" s="992"/>
      <c r="AJ950" s="992"/>
      <c r="AK950" s="992"/>
      <c r="AL950" s="992"/>
      <c r="AM950" s="992"/>
      <c r="AN950" s="992"/>
      <c r="AO950" s="182"/>
      <c r="AP950" s="182"/>
      <c r="AQ950" s="182"/>
      <c r="AR950" s="1066"/>
      <c r="AS950" s="1067"/>
      <c r="AT950" s="1068"/>
      <c r="AU950" s="182"/>
      <c r="AV950" s="182"/>
    </row>
    <row r="951" spans="2:48" ht="18" x14ac:dyDescent="0.2">
      <c r="B951" s="182"/>
      <c r="C951" s="182"/>
      <c r="D951" s="182"/>
      <c r="E951" s="182"/>
      <c r="F951" s="182"/>
      <c r="G951" s="182"/>
      <c r="H951" s="1022" t="e">
        <f>VLOOKUP(U960,ID_archer_cible,4,FALSE)</f>
        <v>#N/A</v>
      </c>
      <c r="I951" s="1023"/>
      <c r="J951" s="1023"/>
      <c r="K951" s="1023"/>
      <c r="L951" s="1023"/>
      <c r="M951" s="1023"/>
      <c r="N951" s="1023"/>
      <c r="O951" s="1023"/>
      <c r="P951" s="1023"/>
      <c r="Q951" s="1024"/>
      <c r="R951" s="182"/>
      <c r="S951" s="182"/>
      <c r="T951" s="182"/>
      <c r="U951" s="182"/>
      <c r="V951" s="182"/>
      <c r="W951" s="182"/>
      <c r="X951" s="183"/>
      <c r="Y951" s="182"/>
      <c r="Z951" s="182"/>
      <c r="AA951" s="182"/>
      <c r="AB951" s="182"/>
      <c r="AC951" s="182"/>
      <c r="AD951" s="182"/>
      <c r="AE951" s="1022" t="e">
        <f>VLOOKUP(AS960,ID_archer_cible,4,FALSE)</f>
        <v>#N/A</v>
      </c>
      <c r="AF951" s="1023"/>
      <c r="AG951" s="1023"/>
      <c r="AH951" s="1023"/>
      <c r="AI951" s="1023"/>
      <c r="AJ951" s="1023"/>
      <c r="AK951" s="1023"/>
      <c r="AL951" s="1023"/>
      <c r="AM951" s="1023"/>
      <c r="AN951" s="1024"/>
      <c r="AO951" s="182"/>
      <c r="AP951" s="182"/>
      <c r="AQ951" s="182"/>
      <c r="AR951" s="182"/>
      <c r="AS951" s="182"/>
      <c r="AT951" s="182"/>
      <c r="AU951" s="182"/>
      <c r="AV951" s="182"/>
    </row>
    <row r="952" spans="2:48" x14ac:dyDescent="0.2">
      <c r="X952" s="186"/>
    </row>
    <row r="953" spans="2:48" x14ac:dyDescent="0.2">
      <c r="B953" s="1021" t="s">
        <v>0</v>
      </c>
      <c r="C953" s="1021"/>
      <c r="D953" s="1021"/>
      <c r="E953" s="1021"/>
      <c r="F953" s="1021"/>
      <c r="G953" s="1021"/>
      <c r="H953" s="1021"/>
      <c r="I953" s="1021"/>
      <c r="J953" s="1021"/>
      <c r="K953" s="1021"/>
      <c r="L953" s="1021"/>
      <c r="M953" s="187"/>
      <c r="P953" s="992" t="s">
        <v>375</v>
      </c>
      <c r="Q953" s="992"/>
      <c r="R953" s="992"/>
      <c r="S953" s="992"/>
      <c r="T953" s="992"/>
      <c r="U953" s="992"/>
      <c r="V953" s="992"/>
      <c r="W953" s="992"/>
      <c r="X953" s="188"/>
      <c r="Z953" s="1021" t="s">
        <v>0</v>
      </c>
      <c r="AA953" s="1021"/>
      <c r="AB953" s="1021"/>
      <c r="AC953" s="1021"/>
      <c r="AD953" s="1021"/>
      <c r="AE953" s="1021"/>
      <c r="AF953" s="1021"/>
      <c r="AG953" s="1021"/>
      <c r="AH953" s="1021"/>
      <c r="AI953" s="1021"/>
      <c r="AJ953" s="1021"/>
      <c r="AK953" s="187"/>
      <c r="AN953" s="992" t="s">
        <v>375</v>
      </c>
      <c r="AO953" s="992"/>
      <c r="AP953" s="992"/>
      <c r="AQ953" s="992"/>
      <c r="AR953" s="992"/>
      <c r="AS953" s="992"/>
      <c r="AT953" s="992"/>
      <c r="AU953" s="992"/>
      <c r="AV953" s="187"/>
    </row>
    <row r="954" spans="2:48" x14ac:dyDescent="0.2">
      <c r="B954" s="999" t="e">
        <f>VLOOKUP(U960,ID_archer_cible,2,FALSE)</f>
        <v>#N/A</v>
      </c>
      <c r="C954" s="1000"/>
      <c r="D954" s="1000"/>
      <c r="E954" s="1000"/>
      <c r="F954" s="1000"/>
      <c r="G954" s="1000"/>
      <c r="H954" s="1000"/>
      <c r="I954" s="1000"/>
      <c r="J954" s="1000"/>
      <c r="K954" s="1000"/>
      <c r="L954" s="1000"/>
      <c r="M954" s="1001"/>
      <c r="P954" s="999" t="e">
        <f>VLOOKUP(U960,ID_archer_cible,3,FALSE)</f>
        <v>#N/A</v>
      </c>
      <c r="Q954" s="1000"/>
      <c r="R954" s="1000"/>
      <c r="S954" s="1000"/>
      <c r="T954" s="1000"/>
      <c r="U954" s="1000"/>
      <c r="V954" s="1000"/>
      <c r="W954" s="1001"/>
      <c r="X954" s="186"/>
      <c r="Y954"/>
      <c r="Z954" s="999" t="e">
        <f>VLOOKUP(AS960,ID_archer_cible,2,FALSE)</f>
        <v>#N/A</v>
      </c>
      <c r="AA954" s="1000"/>
      <c r="AB954" s="1000"/>
      <c r="AC954" s="1000"/>
      <c r="AD954" s="1000"/>
      <c r="AE954" s="1000"/>
      <c r="AF954" s="1000"/>
      <c r="AG954" s="1000"/>
      <c r="AH954" s="1000"/>
      <c r="AI954" s="1000"/>
      <c r="AJ954" s="1000"/>
      <c r="AK954" s="1001"/>
      <c r="AN954" s="999" t="e">
        <f>VLOOKUP(AS960,ID_archer_cible,3,FALSE)</f>
        <v>#N/A</v>
      </c>
      <c r="AO954" s="1000"/>
      <c r="AP954" s="1000"/>
      <c r="AQ954" s="1000"/>
      <c r="AR954" s="1000"/>
      <c r="AS954" s="1000"/>
      <c r="AT954" s="1000"/>
      <c r="AU954" s="1001"/>
    </row>
    <row r="955" spans="2:48" x14ac:dyDescent="0.2">
      <c r="X955" s="186"/>
      <c r="Y955"/>
    </row>
    <row r="956" spans="2:48" ht="16.5" thickBot="1" x14ac:dyDescent="0.25">
      <c r="B956" s="1017" t="s">
        <v>1</v>
      </c>
      <c r="C956" s="1017"/>
      <c r="D956" s="1017"/>
      <c r="E956" s="1017"/>
      <c r="F956" s="1017"/>
      <c r="G956" s="1017"/>
      <c r="H956" s="1017"/>
      <c r="I956" s="1017"/>
      <c r="J956" s="1017"/>
      <c r="L956" s="1017" t="s">
        <v>505</v>
      </c>
      <c r="M956" s="1017"/>
      <c r="N956" s="1017"/>
      <c r="O956" s="1017"/>
      <c r="P956" s="1017"/>
      <c r="Q956" s="1017"/>
      <c r="S956" s="992" t="s">
        <v>506</v>
      </c>
      <c r="T956" s="992"/>
      <c r="U956" s="992"/>
      <c r="V956" s="992"/>
      <c r="W956" s="992"/>
      <c r="X956" s="188"/>
      <c r="Y956"/>
      <c r="Z956" s="1017" t="s">
        <v>1</v>
      </c>
      <c r="AA956" s="1017"/>
      <c r="AB956" s="1017"/>
      <c r="AC956" s="1017"/>
      <c r="AD956" s="1017"/>
      <c r="AE956" s="1017"/>
      <c r="AF956" s="1017"/>
      <c r="AG956" s="1017"/>
      <c r="AH956" s="1017"/>
      <c r="AJ956" s="1017" t="s">
        <v>505</v>
      </c>
      <c r="AK956" s="1017"/>
      <c r="AL956" s="1017"/>
      <c r="AM956" s="1017"/>
      <c r="AN956" s="1017"/>
      <c r="AO956" s="1017"/>
      <c r="AQ956" s="992" t="s">
        <v>506</v>
      </c>
      <c r="AR956" s="992"/>
      <c r="AS956" s="992"/>
      <c r="AT956" s="992"/>
      <c r="AU956" s="992"/>
      <c r="AV956" s="187"/>
    </row>
    <row r="957" spans="2:48" ht="16.5" thickBot="1" x14ac:dyDescent="0.25">
      <c r="B957" s="1014" t="e">
        <f>VLOOKUP(U960,ID_archer_cible,5,FALSE)</f>
        <v>#N/A</v>
      </c>
      <c r="C957" s="1015"/>
      <c r="D957" s="1015"/>
      <c r="E957" s="1015"/>
      <c r="F957" s="1015"/>
      <c r="G957" s="1015"/>
      <c r="H957" s="1015"/>
      <c r="I957" s="1015"/>
      <c r="J957" s="1016"/>
      <c r="L957" s="1014" t="e">
        <f>VLOOKUP(U960,ID_archer_cible,6,FALSE)</f>
        <v>#N/A</v>
      </c>
      <c r="M957" s="1015"/>
      <c r="N957" s="1015"/>
      <c r="O957" s="1015"/>
      <c r="P957" s="1015"/>
      <c r="Q957" s="1016"/>
      <c r="S957" s="999" t="e">
        <f>VLOOKUP(U960,ID_archer_cible,8,FALSE)</f>
        <v>#N/A</v>
      </c>
      <c r="T957" s="1000"/>
      <c r="U957" s="1000"/>
      <c r="V957" s="1000"/>
      <c r="W957" s="1001"/>
      <c r="X957" s="186"/>
      <c r="Y957"/>
      <c r="Z957" s="1014" t="e">
        <f>VLOOKUP(AS960,ID_archer_cible,5,FALSE)</f>
        <v>#N/A</v>
      </c>
      <c r="AA957" s="1015"/>
      <c r="AB957" s="1015"/>
      <c r="AC957" s="1015"/>
      <c r="AD957" s="1015"/>
      <c r="AE957" s="1015"/>
      <c r="AF957" s="1015"/>
      <c r="AG957" s="1015"/>
      <c r="AH957" s="1016"/>
      <c r="AJ957" s="1014" t="e">
        <f>VLOOKUP(AS960,ID_archer_cible,6,FALSE)</f>
        <v>#N/A</v>
      </c>
      <c r="AK957" s="1015"/>
      <c r="AL957" s="1015"/>
      <c r="AM957" s="1015"/>
      <c r="AN957" s="1015"/>
      <c r="AO957" s="1016"/>
      <c r="AQ957" s="999" t="e">
        <f>VLOOKUP(AS960,ID_archer_cible,8,FALSE)</f>
        <v>#N/A</v>
      </c>
      <c r="AR957" s="1000"/>
      <c r="AS957" s="1000"/>
      <c r="AT957" s="1000"/>
      <c r="AU957" s="1001"/>
    </row>
    <row r="958" spans="2:48" x14ac:dyDescent="0.2">
      <c r="X958" s="186"/>
      <c r="Y958"/>
    </row>
    <row r="959" spans="2:48" x14ac:dyDescent="0.2">
      <c r="B959" s="992" t="s">
        <v>530</v>
      </c>
      <c r="C959" s="992"/>
      <c r="D959" s="992"/>
      <c r="E959" s="992"/>
      <c r="F959" s="992"/>
      <c r="G959" s="187"/>
      <c r="H959" s="992" t="s">
        <v>504</v>
      </c>
      <c r="I959" s="992"/>
      <c r="J959" s="992"/>
      <c r="K959" s="992"/>
      <c r="M959" s="992" t="s">
        <v>39</v>
      </c>
      <c r="N959" s="992"/>
      <c r="O959" s="992"/>
      <c r="Q959" s="1021"/>
      <c r="R959" s="1021"/>
      <c r="S959" s="1021"/>
      <c r="U959" s="992" t="s">
        <v>507</v>
      </c>
      <c r="V959" s="992"/>
      <c r="W959" s="992"/>
      <c r="X959" s="188"/>
      <c r="Y959"/>
      <c r="Z959" s="992" t="s">
        <v>530</v>
      </c>
      <c r="AA959" s="992"/>
      <c r="AB959" s="992"/>
      <c r="AC959" s="992"/>
      <c r="AD959" s="992"/>
      <c r="AE959" s="187"/>
      <c r="AF959" s="992" t="s">
        <v>504</v>
      </c>
      <c r="AG959" s="992"/>
      <c r="AH959" s="992"/>
      <c r="AI959" s="992"/>
      <c r="AK959" s="992" t="s">
        <v>39</v>
      </c>
      <c r="AL959" s="992"/>
      <c r="AM959" s="992"/>
      <c r="AO959" s="1021"/>
      <c r="AP959" s="1021"/>
      <c r="AQ959" s="1021"/>
      <c r="AS959" s="992" t="s">
        <v>507</v>
      </c>
      <c r="AT959" s="992"/>
      <c r="AU959" s="992"/>
      <c r="AV959" s="187"/>
    </row>
    <row r="960" spans="2:48" ht="15.75" x14ac:dyDescent="0.2">
      <c r="B960" s="1011" t="e">
        <f>VLOOKUP(U960,ID_archer_cible,7,FALSE)</f>
        <v>#N/A</v>
      </c>
      <c r="C960" s="1012"/>
      <c r="D960" s="1012"/>
      <c r="E960" s="1012"/>
      <c r="F960" s="1013"/>
      <c r="H960" s="999" t="e">
        <f>VLOOKUP(U960,ID_archer_cible,9,FALSE)</f>
        <v>#N/A</v>
      </c>
      <c r="I960" s="1000"/>
      <c r="J960" s="1000"/>
      <c r="K960" s="1001"/>
      <c r="M960" s="999" t="e">
        <f>VLOOKUP(U960,ID_archer_cible,10,FALSE)</f>
        <v>#N/A</v>
      </c>
      <c r="N960" s="1000"/>
      <c r="O960" s="1001"/>
      <c r="Q960" s="1021"/>
      <c r="R960" s="1021"/>
      <c r="S960" s="1021"/>
      <c r="T960" s="187"/>
      <c r="U960" s="996" t="str">
        <f>AR948&amp;"A"</f>
        <v>16A</v>
      </c>
      <c r="V960" s="997"/>
      <c r="W960" s="998"/>
      <c r="X960" s="188"/>
      <c r="Y960"/>
      <c r="Z960" s="1011" t="e">
        <f>VLOOKUP(AS960,ID_archer_cible,7,FALSE)</f>
        <v>#N/A</v>
      </c>
      <c r="AA960" s="1012"/>
      <c r="AB960" s="1012"/>
      <c r="AC960" s="1012"/>
      <c r="AD960" s="1013"/>
      <c r="AF960" s="999" t="e">
        <f>VLOOKUP(AS960,ID_archer_cible,9,FALSE)</f>
        <v>#N/A</v>
      </c>
      <c r="AG960" s="1000"/>
      <c r="AH960" s="1000"/>
      <c r="AI960" s="1001"/>
      <c r="AK960" s="999" t="e">
        <f>VLOOKUP(AS960,ID_archer_cible,10,FALSE)</f>
        <v>#N/A</v>
      </c>
      <c r="AL960" s="1000"/>
      <c r="AM960" s="1001"/>
      <c r="AO960" s="1021"/>
      <c r="AP960" s="1021"/>
      <c r="AQ960" s="1021"/>
      <c r="AR960" s="187"/>
      <c r="AS960" s="996" t="str">
        <f>AR948&amp;"B"</f>
        <v>16B</v>
      </c>
      <c r="AT960" s="997"/>
      <c r="AU960" s="998"/>
      <c r="AV960" s="187"/>
    </row>
    <row r="961" spans="2:48" x14ac:dyDescent="0.2">
      <c r="X961" s="186"/>
    </row>
    <row r="962" spans="2:48" x14ac:dyDescent="0.2">
      <c r="B962" s="185" t="s">
        <v>509</v>
      </c>
      <c r="E962" s="992" t="s">
        <v>510</v>
      </c>
      <c r="F962" s="992"/>
      <c r="G962" s="992"/>
      <c r="H962" s="992"/>
      <c r="I962" s="992"/>
      <c r="J962" s="992"/>
      <c r="K962" s="992"/>
      <c r="L962" s="992"/>
      <c r="M962" s="992"/>
      <c r="N962" s="992"/>
      <c r="P962" s="992" t="s">
        <v>511</v>
      </c>
      <c r="Q962" s="992"/>
      <c r="R962" s="992"/>
      <c r="X962" s="186"/>
      <c r="Z962" s="185" t="s">
        <v>509</v>
      </c>
      <c r="AC962" s="992" t="s">
        <v>510</v>
      </c>
      <c r="AD962" s="992"/>
      <c r="AE962" s="992"/>
      <c r="AF962" s="992"/>
      <c r="AG962" s="992"/>
      <c r="AH962" s="992"/>
      <c r="AI962" s="992"/>
      <c r="AJ962" s="992"/>
      <c r="AK962" s="992"/>
      <c r="AL962" s="992"/>
      <c r="AN962" s="992" t="s">
        <v>511</v>
      </c>
      <c r="AO962" s="992"/>
      <c r="AP962" s="992"/>
    </row>
    <row r="963" spans="2:48" ht="20.25" customHeight="1" x14ac:dyDescent="0.2">
      <c r="B963" s="1009" t="s">
        <v>513</v>
      </c>
      <c r="C963" s="1009"/>
      <c r="E963" s="189"/>
      <c r="F963" s="191"/>
      <c r="G963" s="189"/>
      <c r="H963" s="191"/>
      <c r="I963" s="189"/>
      <c r="J963" s="191"/>
      <c r="K963" s="189"/>
      <c r="L963" s="191"/>
      <c r="M963" s="189"/>
      <c r="N963" s="191"/>
      <c r="P963" s="189"/>
      <c r="Q963" s="190"/>
      <c r="R963" s="191"/>
      <c r="T963" s="992" t="s">
        <v>512</v>
      </c>
      <c r="U963" s="992"/>
      <c r="V963" s="992"/>
      <c r="W963" s="992"/>
      <c r="X963" s="188"/>
      <c r="Z963" s="1009" t="s">
        <v>513</v>
      </c>
      <c r="AA963" s="1009"/>
      <c r="AC963" s="189"/>
      <c r="AD963" s="191"/>
      <c r="AE963" s="189"/>
      <c r="AF963" s="191"/>
      <c r="AG963" s="189"/>
      <c r="AH963" s="191"/>
      <c r="AI963" s="189"/>
      <c r="AJ963" s="191"/>
      <c r="AK963" s="189"/>
      <c r="AL963" s="191"/>
      <c r="AN963" s="189"/>
      <c r="AO963" s="190"/>
      <c r="AP963" s="191"/>
      <c r="AR963" s="992" t="s">
        <v>512</v>
      </c>
      <c r="AS963" s="992"/>
      <c r="AT963" s="992"/>
      <c r="AU963" s="992"/>
      <c r="AV963" s="187"/>
    </row>
    <row r="964" spans="2:48" ht="20.25" customHeight="1" x14ac:dyDescent="0.2">
      <c r="B964" s="1009" t="s">
        <v>514</v>
      </c>
      <c r="C964" s="1009"/>
      <c r="E964" s="189"/>
      <c r="F964" s="191"/>
      <c r="G964" s="189"/>
      <c r="H964" s="191"/>
      <c r="I964" s="189"/>
      <c r="J964" s="191"/>
      <c r="K964" s="189"/>
      <c r="L964" s="191"/>
      <c r="M964" s="189"/>
      <c r="N964" s="191"/>
      <c r="P964" s="189"/>
      <c r="Q964" s="190"/>
      <c r="R964" s="191"/>
      <c r="T964" s="189"/>
      <c r="U964" s="190"/>
      <c r="V964" s="190"/>
      <c r="W964" s="191"/>
      <c r="X964" s="186"/>
      <c r="Z964" s="1009" t="s">
        <v>514</v>
      </c>
      <c r="AA964" s="1009"/>
      <c r="AC964" s="189"/>
      <c r="AD964" s="191"/>
      <c r="AE964" s="189"/>
      <c r="AF964" s="191"/>
      <c r="AG964" s="189"/>
      <c r="AH964" s="191"/>
      <c r="AI964" s="189"/>
      <c r="AJ964" s="191"/>
      <c r="AK964" s="189"/>
      <c r="AL964" s="191"/>
      <c r="AN964" s="189"/>
      <c r="AO964" s="190"/>
      <c r="AP964" s="191"/>
      <c r="AR964" s="189"/>
      <c r="AS964" s="190"/>
      <c r="AT964" s="190"/>
      <c r="AU964" s="191"/>
    </row>
    <row r="965" spans="2:48" ht="20.25" customHeight="1" x14ac:dyDescent="0.2">
      <c r="B965" s="1009" t="s">
        <v>515</v>
      </c>
      <c r="C965" s="1009"/>
      <c r="E965" s="189"/>
      <c r="F965" s="191"/>
      <c r="G965" s="189"/>
      <c r="H965" s="191"/>
      <c r="I965" s="189"/>
      <c r="J965" s="191"/>
      <c r="K965" s="189"/>
      <c r="L965" s="191"/>
      <c r="M965" s="189"/>
      <c r="N965" s="191"/>
      <c r="P965" s="189"/>
      <c r="Q965" s="190"/>
      <c r="R965" s="191"/>
      <c r="T965" s="189"/>
      <c r="U965" s="190"/>
      <c r="V965" s="190"/>
      <c r="W965" s="191"/>
      <c r="X965" s="186"/>
      <c r="Z965" s="1009" t="s">
        <v>515</v>
      </c>
      <c r="AA965" s="1009"/>
      <c r="AC965" s="189"/>
      <c r="AD965" s="191"/>
      <c r="AE965" s="189"/>
      <c r="AF965" s="191"/>
      <c r="AG965" s="189"/>
      <c r="AH965" s="191"/>
      <c r="AI965" s="189"/>
      <c r="AJ965" s="191"/>
      <c r="AK965" s="189"/>
      <c r="AL965" s="191"/>
      <c r="AN965" s="189"/>
      <c r="AO965" s="190"/>
      <c r="AP965" s="191"/>
      <c r="AR965" s="189"/>
      <c r="AS965" s="190"/>
      <c r="AT965" s="190"/>
      <c r="AU965" s="191"/>
    </row>
    <row r="966" spans="2:48" ht="20.25" customHeight="1" x14ac:dyDescent="0.2">
      <c r="B966" s="1009" t="s">
        <v>516</v>
      </c>
      <c r="C966" s="1009"/>
      <c r="E966" s="189"/>
      <c r="F966" s="191"/>
      <c r="G966" s="189"/>
      <c r="H966" s="191"/>
      <c r="I966" s="189"/>
      <c r="J966" s="191"/>
      <c r="K966" s="189"/>
      <c r="L966" s="191"/>
      <c r="M966" s="189"/>
      <c r="N966" s="191"/>
      <c r="P966" s="189"/>
      <c r="Q966" s="190"/>
      <c r="R966" s="191"/>
      <c r="T966" s="189"/>
      <c r="U966" s="190"/>
      <c r="V966" s="190"/>
      <c r="W966" s="191"/>
      <c r="X966" s="186"/>
      <c r="Z966" s="1009" t="s">
        <v>516</v>
      </c>
      <c r="AA966" s="1009"/>
      <c r="AC966" s="189"/>
      <c r="AD966" s="191"/>
      <c r="AE966" s="189"/>
      <c r="AF966" s="191"/>
      <c r="AG966" s="189"/>
      <c r="AH966" s="191"/>
      <c r="AI966" s="189"/>
      <c r="AJ966" s="191"/>
      <c r="AK966" s="189"/>
      <c r="AL966" s="191"/>
      <c r="AN966" s="189"/>
      <c r="AO966" s="190"/>
      <c r="AP966" s="191"/>
      <c r="AR966" s="189"/>
      <c r="AS966" s="190"/>
      <c r="AT966" s="190"/>
      <c r="AU966" s="191"/>
    </row>
    <row r="967" spans="2:48" ht="20.25" customHeight="1" x14ac:dyDescent="0.2">
      <c r="B967" s="1009" t="s">
        <v>517</v>
      </c>
      <c r="C967" s="1009"/>
      <c r="E967" s="189"/>
      <c r="F967" s="191"/>
      <c r="G967" s="189"/>
      <c r="H967" s="191"/>
      <c r="I967" s="189"/>
      <c r="J967" s="191"/>
      <c r="K967" s="189"/>
      <c r="L967" s="191"/>
      <c r="M967" s="189"/>
      <c r="N967" s="191"/>
      <c r="P967" s="189"/>
      <c r="Q967" s="190"/>
      <c r="R967" s="191"/>
      <c r="T967" s="189"/>
      <c r="U967" s="190"/>
      <c r="V967" s="190"/>
      <c r="W967" s="191"/>
      <c r="X967" s="186"/>
      <c r="Z967" s="1009" t="s">
        <v>517</v>
      </c>
      <c r="AA967" s="1009"/>
      <c r="AC967" s="189"/>
      <c r="AD967" s="191"/>
      <c r="AE967" s="189"/>
      <c r="AF967" s="191"/>
      <c r="AG967" s="189"/>
      <c r="AH967" s="191"/>
      <c r="AI967" s="189"/>
      <c r="AJ967" s="191"/>
      <c r="AK967" s="189"/>
      <c r="AL967" s="191"/>
      <c r="AN967" s="189"/>
      <c r="AO967" s="190"/>
      <c r="AP967" s="191"/>
      <c r="AR967" s="189"/>
      <c r="AS967" s="190"/>
      <c r="AT967" s="190"/>
      <c r="AU967" s="191"/>
    </row>
    <row r="968" spans="2:48" ht="20.25" customHeight="1" x14ac:dyDescent="0.2">
      <c r="B968" s="1009" t="s">
        <v>518</v>
      </c>
      <c r="C968" s="1009"/>
      <c r="E968" s="189"/>
      <c r="F968" s="191"/>
      <c r="G968" s="189"/>
      <c r="H968" s="191"/>
      <c r="I968" s="189"/>
      <c r="J968" s="191"/>
      <c r="K968" s="189"/>
      <c r="L968" s="191"/>
      <c r="M968" s="189"/>
      <c r="N968" s="191"/>
      <c r="P968" s="189"/>
      <c r="Q968" s="190"/>
      <c r="R968" s="191"/>
      <c r="T968" s="189"/>
      <c r="U968" s="190"/>
      <c r="V968" s="190"/>
      <c r="W968" s="191"/>
      <c r="X968" s="186"/>
      <c r="Z968" s="1009" t="s">
        <v>518</v>
      </c>
      <c r="AA968" s="1009"/>
      <c r="AC968" s="189"/>
      <c r="AD968" s="191"/>
      <c r="AE968" s="189"/>
      <c r="AF968" s="191"/>
      <c r="AG968" s="189"/>
      <c r="AH968" s="191"/>
      <c r="AI968" s="189"/>
      <c r="AJ968" s="191"/>
      <c r="AK968" s="189"/>
      <c r="AL968" s="191"/>
      <c r="AN968" s="189"/>
      <c r="AO968" s="190"/>
      <c r="AP968" s="191"/>
      <c r="AR968" s="189"/>
      <c r="AS968" s="190"/>
      <c r="AT968" s="190"/>
      <c r="AU968" s="191"/>
    </row>
    <row r="969" spans="2:48" ht="15.75" thickBot="1" x14ac:dyDescent="0.25">
      <c r="B969" s="187"/>
      <c r="C969" s="187"/>
      <c r="X969" s="186"/>
      <c r="Z969" s="187"/>
      <c r="AA969" s="187"/>
    </row>
    <row r="970" spans="2:48" ht="20.25" customHeight="1" thickBot="1" x14ac:dyDescent="0.25">
      <c r="P970" s="197" t="s">
        <v>519</v>
      </c>
      <c r="Q970" s="197"/>
      <c r="R970" s="197"/>
      <c r="S970" s="197"/>
      <c r="T970" s="192"/>
      <c r="U970" s="193"/>
      <c r="V970" s="193"/>
      <c r="W970" s="194"/>
      <c r="X970" s="186"/>
      <c r="AN970" s="197" t="s">
        <v>519</v>
      </c>
      <c r="AO970" s="197"/>
      <c r="AP970" s="197"/>
      <c r="AQ970" s="197"/>
      <c r="AR970" s="192"/>
      <c r="AS970" s="193"/>
      <c r="AT970" s="193"/>
      <c r="AU970" s="194"/>
    </row>
    <row r="971" spans="2:48" x14ac:dyDescent="0.2">
      <c r="E971" s="196"/>
      <c r="F971" s="196"/>
      <c r="G971" s="196"/>
      <c r="H971" s="196"/>
      <c r="I971" s="196"/>
      <c r="J971" s="196"/>
      <c r="K971" s="196"/>
      <c r="L971" s="196"/>
      <c r="M971" s="196"/>
      <c r="X971" s="186"/>
      <c r="AC971" s="196"/>
      <c r="AD971" s="196"/>
      <c r="AE971" s="196"/>
      <c r="AF971" s="196"/>
      <c r="AG971" s="196"/>
      <c r="AH971" s="196"/>
      <c r="AI971" s="196"/>
      <c r="AJ971" s="196"/>
      <c r="AK971" s="196"/>
    </row>
    <row r="972" spans="2:48" x14ac:dyDescent="0.2">
      <c r="B972" s="1010" t="s">
        <v>521</v>
      </c>
      <c r="C972" s="1010"/>
      <c r="D972" s="1010"/>
      <c r="E972" s="1010"/>
      <c r="F972" s="1010"/>
      <c r="G972" s="1010"/>
      <c r="H972" s="195"/>
      <c r="I972" s="1010" t="s">
        <v>522</v>
      </c>
      <c r="J972" s="1010"/>
      <c r="K972" s="1010"/>
      <c r="L972" s="1010"/>
      <c r="M972" s="1010"/>
      <c r="N972" s="1010"/>
      <c r="O972" s="1010"/>
      <c r="P972" s="1010"/>
      <c r="Q972" s="1010"/>
      <c r="R972" s="1010"/>
      <c r="S972" s="1010"/>
      <c r="T972" s="1010"/>
      <c r="U972" s="1010"/>
      <c r="V972" s="1010"/>
      <c r="W972" s="1010"/>
      <c r="X972" s="198"/>
      <c r="Y972" s="195"/>
      <c r="Z972" s="1010" t="s">
        <v>521</v>
      </c>
      <c r="AA972" s="1010"/>
      <c r="AB972" s="1010"/>
      <c r="AC972" s="1010"/>
      <c r="AD972" s="1010"/>
      <c r="AE972" s="1010"/>
      <c r="AF972" s="195"/>
      <c r="AG972" s="1004" t="s">
        <v>522</v>
      </c>
      <c r="AH972" s="1004"/>
      <c r="AI972" s="1004"/>
      <c r="AJ972" s="1004"/>
      <c r="AK972" s="1004"/>
      <c r="AL972" s="1004"/>
      <c r="AM972" s="1004"/>
      <c r="AN972" s="1004"/>
      <c r="AO972" s="1004"/>
      <c r="AP972" s="1004"/>
      <c r="AQ972" s="1004"/>
      <c r="AR972" s="1004"/>
      <c r="AS972" s="1004"/>
      <c r="AT972" s="1004"/>
      <c r="AU972" s="1004"/>
      <c r="AV972" s="195"/>
    </row>
    <row r="973" spans="2:48" x14ac:dyDescent="0.2">
      <c r="B973" s="1005" t="s">
        <v>520</v>
      </c>
      <c r="C973" s="1006"/>
      <c r="D973" s="1006"/>
      <c r="E973" s="1006"/>
      <c r="F973" s="1006"/>
      <c r="G973" s="1007"/>
      <c r="I973" s="1005" t="s">
        <v>0</v>
      </c>
      <c r="J973" s="1006"/>
      <c r="K973" s="1006"/>
      <c r="L973" s="1006"/>
      <c r="M973" s="1006"/>
      <c r="N973" s="1006"/>
      <c r="O973" s="1006"/>
      <c r="P973" s="1006"/>
      <c r="Q973" s="1006"/>
      <c r="R973" s="1006"/>
      <c r="S973" s="1006"/>
      <c r="T973" s="1006"/>
      <c r="U973" s="1006"/>
      <c r="V973" s="1006"/>
      <c r="W973" s="1007"/>
      <c r="X973" s="186"/>
      <c r="Z973" s="1005" t="s">
        <v>520</v>
      </c>
      <c r="AA973" s="1006"/>
      <c r="AB973" s="1006"/>
      <c r="AC973" s="1006"/>
      <c r="AD973" s="1006"/>
      <c r="AE973" s="1007"/>
      <c r="AG973" s="1005" t="s">
        <v>0</v>
      </c>
      <c r="AH973" s="1006"/>
      <c r="AI973" s="1006"/>
      <c r="AJ973" s="1006"/>
      <c r="AK973" s="1006"/>
      <c r="AL973" s="1006"/>
      <c r="AM973" s="1006"/>
      <c r="AN973" s="1006"/>
      <c r="AO973" s="1006"/>
      <c r="AP973" s="1006"/>
      <c r="AQ973" s="1006"/>
      <c r="AR973" s="1006"/>
      <c r="AS973" s="1006"/>
      <c r="AT973" s="1006"/>
      <c r="AU973" s="1007"/>
    </row>
    <row r="974" spans="2:48" x14ac:dyDescent="0.2">
      <c r="B974" s="199"/>
      <c r="C974" s="200"/>
      <c r="D974" s="200"/>
      <c r="E974" s="200"/>
      <c r="F974" s="200"/>
      <c r="G974" s="201"/>
      <c r="I974" s="199"/>
      <c r="J974" s="200"/>
      <c r="K974" s="200"/>
      <c r="L974" s="200"/>
      <c r="M974" s="200"/>
      <c r="N974" s="200"/>
      <c r="O974" s="200"/>
      <c r="P974" s="200"/>
      <c r="Q974" s="200"/>
      <c r="R974" s="200"/>
      <c r="S974" s="200"/>
      <c r="T974" s="200"/>
      <c r="U974" s="200"/>
      <c r="V974" s="200"/>
      <c r="W974" s="201"/>
      <c r="X974" s="186"/>
      <c r="Z974" s="199"/>
      <c r="AA974" s="200"/>
      <c r="AB974" s="200"/>
      <c r="AC974" s="200"/>
      <c r="AD974" s="200"/>
      <c r="AE974" s="201"/>
      <c r="AG974" s="199"/>
      <c r="AH974" s="200"/>
      <c r="AI974" s="200"/>
      <c r="AJ974" s="200"/>
      <c r="AK974" s="200"/>
      <c r="AL974" s="200"/>
      <c r="AM974" s="200"/>
      <c r="AN974" s="200"/>
      <c r="AO974" s="200"/>
      <c r="AP974" s="200"/>
      <c r="AQ974" s="200"/>
      <c r="AR974" s="200"/>
      <c r="AS974" s="200"/>
      <c r="AT974" s="200"/>
      <c r="AU974" s="201"/>
    </row>
    <row r="975" spans="2:48" x14ac:dyDescent="0.2">
      <c r="X975" s="186"/>
    </row>
    <row r="976" spans="2:48" x14ac:dyDescent="0.2">
      <c r="I976" s="1005" t="s">
        <v>481</v>
      </c>
      <c r="J976" s="1006"/>
      <c r="K976" s="1006"/>
      <c r="L976" s="1006"/>
      <c r="M976" s="1006"/>
      <c r="N976" s="1006"/>
      <c r="O976" s="1006"/>
      <c r="P976" s="1006"/>
      <c r="Q976" s="1007"/>
      <c r="R976" s="1005" t="s">
        <v>520</v>
      </c>
      <c r="S976" s="1006"/>
      <c r="T976" s="1006"/>
      <c r="U976" s="1006"/>
      <c r="V976" s="1006"/>
      <c r="W976" s="1007"/>
      <c r="X976" s="186"/>
      <c r="AG976" s="1005" t="s">
        <v>481</v>
      </c>
      <c r="AH976" s="1006"/>
      <c r="AI976" s="1006"/>
      <c r="AJ976" s="1006"/>
      <c r="AK976" s="1006"/>
      <c r="AL976" s="1006"/>
      <c r="AM976" s="1006"/>
      <c r="AN976" s="1006"/>
      <c r="AO976" s="1007"/>
      <c r="AP976" s="1005" t="s">
        <v>520</v>
      </c>
      <c r="AQ976" s="1006"/>
      <c r="AR976" s="1006"/>
      <c r="AS976" s="1006"/>
      <c r="AT976" s="1006"/>
      <c r="AU976" s="1007"/>
    </row>
    <row r="977" spans="2:48" x14ac:dyDescent="0.2">
      <c r="I977" s="199"/>
      <c r="J977" s="200"/>
      <c r="K977" s="200"/>
      <c r="L977" s="200"/>
      <c r="M977" s="200"/>
      <c r="N977" s="200"/>
      <c r="O977" s="200"/>
      <c r="P977" s="200"/>
      <c r="Q977" s="200"/>
      <c r="R977" s="199"/>
      <c r="S977" s="200"/>
      <c r="T977" s="200"/>
      <c r="U977" s="200"/>
      <c r="V977" s="200"/>
      <c r="W977" s="201"/>
      <c r="X977" s="186"/>
      <c r="AG977" s="199"/>
      <c r="AH977" s="200"/>
      <c r="AI977" s="200"/>
      <c r="AJ977" s="200"/>
      <c r="AK977" s="200"/>
      <c r="AL977" s="200"/>
      <c r="AM977" s="200"/>
      <c r="AN977" s="200"/>
      <c r="AO977" s="200"/>
      <c r="AP977" s="199"/>
      <c r="AQ977" s="200"/>
      <c r="AR977" s="200"/>
      <c r="AS977" s="200"/>
      <c r="AT977" s="200"/>
      <c r="AU977" s="201"/>
    </row>
    <row r="978" spans="2:48" ht="39" customHeight="1" x14ac:dyDescent="0.2">
      <c r="B978" s="392"/>
      <c r="C978" s="392"/>
      <c r="D978" s="392"/>
      <c r="E978" s="392"/>
      <c r="F978" s="392"/>
      <c r="G978" s="392"/>
      <c r="H978" s="392"/>
      <c r="I978" s="392"/>
      <c r="J978" s="392"/>
      <c r="K978" s="392"/>
      <c r="L978" s="392"/>
      <c r="M978" s="392"/>
      <c r="N978" s="392"/>
      <c r="O978" s="392"/>
      <c r="P978" s="392"/>
      <c r="Q978" s="392"/>
      <c r="R978" s="392"/>
      <c r="S978" s="392"/>
      <c r="T978" s="392"/>
      <c r="U978" s="392"/>
      <c r="V978" s="392"/>
      <c r="W978" s="392"/>
      <c r="X978" s="393"/>
      <c r="Y978" s="394"/>
      <c r="Z978" s="392"/>
      <c r="AA978" s="392"/>
      <c r="AB978" s="392"/>
      <c r="AC978" s="392"/>
      <c r="AD978" s="392"/>
      <c r="AE978" s="392"/>
      <c r="AF978" s="392"/>
      <c r="AG978" s="392"/>
      <c r="AH978" s="392"/>
      <c r="AI978" s="392"/>
      <c r="AJ978" s="392"/>
      <c r="AK978" s="392"/>
      <c r="AL978" s="392"/>
      <c r="AM978" s="392"/>
      <c r="AN978" s="392"/>
      <c r="AO978" s="392"/>
      <c r="AP978" s="392"/>
      <c r="AQ978" s="392"/>
      <c r="AR978" s="392"/>
      <c r="AS978" s="392"/>
      <c r="AT978" s="392"/>
      <c r="AU978" s="392"/>
      <c r="AV978" s="392"/>
    </row>
    <row r="979" spans="2:48" ht="39" customHeight="1" x14ac:dyDescent="0.2">
      <c r="B979" s="182"/>
      <c r="C979" s="182"/>
      <c r="D979" s="182"/>
      <c r="E979" s="182"/>
      <c r="F979" s="182"/>
      <c r="G979" s="182"/>
      <c r="H979" s="182"/>
      <c r="I979" s="182"/>
      <c r="J979" s="182"/>
      <c r="K979" s="182"/>
      <c r="L979" s="182"/>
      <c r="M979" s="182"/>
      <c r="N979" s="182"/>
      <c r="O979" s="182"/>
      <c r="P979" s="182"/>
      <c r="Q979" s="182"/>
      <c r="R979" s="182"/>
      <c r="S979" s="182"/>
      <c r="T979" s="182"/>
      <c r="U979" s="182"/>
      <c r="V979" s="182"/>
      <c r="W979" s="182"/>
      <c r="X979" s="183"/>
      <c r="Y979" s="184"/>
      <c r="Z979" s="182"/>
      <c r="AA979" s="182"/>
      <c r="AB979" s="182"/>
      <c r="AC979" s="182"/>
      <c r="AD979" s="182"/>
      <c r="AE979" s="182"/>
      <c r="AF979" s="182"/>
      <c r="AG979" s="182"/>
      <c r="AH979" s="182"/>
      <c r="AI979" s="182"/>
      <c r="AJ979" s="182"/>
      <c r="AK979" s="182"/>
      <c r="AL979" s="182"/>
      <c r="AM979" s="182"/>
      <c r="AN979" s="182"/>
      <c r="AO979" s="182"/>
      <c r="AP979" s="182"/>
      <c r="AQ979" s="182"/>
      <c r="AR979" s="182"/>
      <c r="AS979" s="182"/>
      <c r="AT979" s="182"/>
      <c r="AU979" s="182"/>
      <c r="AV979" s="182"/>
    </row>
    <row r="980" spans="2:48" ht="18" x14ac:dyDescent="0.2">
      <c r="B980" s="182"/>
      <c r="C980" s="182"/>
      <c r="D980" s="182"/>
      <c r="E980" s="182"/>
      <c r="F980" s="182"/>
      <c r="G980" s="182"/>
      <c r="H980" s="992" t="s">
        <v>374</v>
      </c>
      <c r="I980" s="992"/>
      <c r="J980" s="992"/>
      <c r="K980" s="992"/>
      <c r="L980" s="992"/>
      <c r="M980" s="992"/>
      <c r="N980" s="992"/>
      <c r="O980" s="992"/>
      <c r="P980" s="992"/>
      <c r="Q980" s="992"/>
      <c r="R980" s="182"/>
      <c r="S980" s="182"/>
      <c r="T980" s="182"/>
      <c r="U980" s="182"/>
      <c r="V980" s="182"/>
      <c r="W980" s="182"/>
      <c r="X980" s="183"/>
      <c r="Y980" s="182"/>
      <c r="Z980" s="182"/>
      <c r="AA980" s="182"/>
      <c r="AB980" s="182"/>
      <c r="AC980" s="182"/>
      <c r="AD980" s="182"/>
      <c r="AE980" s="992" t="s">
        <v>374</v>
      </c>
      <c r="AF980" s="992"/>
      <c r="AG980" s="992"/>
      <c r="AH980" s="992"/>
      <c r="AI980" s="992"/>
      <c r="AJ980" s="992"/>
      <c r="AK980" s="992"/>
      <c r="AL980" s="992"/>
      <c r="AM980" s="992"/>
      <c r="AN980" s="992"/>
      <c r="AO980" s="182"/>
      <c r="AP980" s="182"/>
      <c r="AQ980" s="182"/>
      <c r="AR980" s="182"/>
      <c r="AS980" s="182"/>
      <c r="AT980" s="182"/>
      <c r="AU980" s="182"/>
      <c r="AV980" s="182"/>
    </row>
    <row r="981" spans="2:48" ht="18" x14ac:dyDescent="0.2">
      <c r="B981" s="182"/>
      <c r="C981" s="182"/>
      <c r="D981" s="182"/>
      <c r="E981" s="182"/>
      <c r="F981" s="182"/>
      <c r="G981" s="182"/>
      <c r="H981" s="1022" t="e">
        <f>VLOOKUP(U990,ID_archer_cible,4,FALSE)</f>
        <v>#N/A</v>
      </c>
      <c r="I981" s="1023"/>
      <c r="J981" s="1023"/>
      <c r="K981" s="1023"/>
      <c r="L981" s="1023"/>
      <c r="M981" s="1023"/>
      <c r="N981" s="1023"/>
      <c r="O981" s="1023"/>
      <c r="P981" s="1023"/>
      <c r="Q981" s="1024"/>
      <c r="R981" s="182"/>
      <c r="S981" s="182"/>
      <c r="T981" s="182"/>
      <c r="U981" s="182"/>
      <c r="V981" s="182"/>
      <c r="W981" s="182"/>
      <c r="X981" s="183"/>
      <c r="Y981" s="182"/>
      <c r="Z981" s="182"/>
      <c r="AA981" s="182"/>
      <c r="AB981" s="182"/>
      <c r="AC981" s="182"/>
      <c r="AD981" s="182"/>
      <c r="AE981" s="1022" t="e">
        <f>VLOOKUP(AS990,ID_archer_cible,4,FALSE)</f>
        <v>#N/A</v>
      </c>
      <c r="AF981" s="1023"/>
      <c r="AG981" s="1023"/>
      <c r="AH981" s="1023"/>
      <c r="AI981" s="1023"/>
      <c r="AJ981" s="1023"/>
      <c r="AK981" s="1023"/>
      <c r="AL981" s="1023"/>
      <c r="AM981" s="1023"/>
      <c r="AN981" s="1024"/>
      <c r="AO981" s="182"/>
      <c r="AP981" s="182"/>
      <c r="AQ981" s="182"/>
      <c r="AR981" s="182"/>
      <c r="AS981" s="182"/>
      <c r="AT981" s="182"/>
      <c r="AU981" s="182"/>
      <c r="AV981" s="182"/>
    </row>
    <row r="982" spans="2:48" x14ac:dyDescent="0.2">
      <c r="X982" s="186"/>
    </row>
    <row r="983" spans="2:48" x14ac:dyDescent="0.2">
      <c r="B983" s="1021" t="s">
        <v>0</v>
      </c>
      <c r="C983" s="1021"/>
      <c r="D983" s="1021"/>
      <c r="E983" s="1021"/>
      <c r="F983" s="1021"/>
      <c r="G983" s="1021"/>
      <c r="H983" s="1021"/>
      <c r="I983" s="1021"/>
      <c r="J983" s="1021"/>
      <c r="K983" s="1021"/>
      <c r="L983" s="1021"/>
      <c r="M983" s="187"/>
      <c r="P983" s="992" t="s">
        <v>375</v>
      </c>
      <c r="Q983" s="992"/>
      <c r="R983" s="992"/>
      <c r="S983" s="992"/>
      <c r="T983" s="992"/>
      <c r="U983" s="992"/>
      <c r="V983" s="992"/>
      <c r="W983" s="992"/>
      <c r="X983" s="188"/>
      <c r="Z983" s="1021" t="s">
        <v>0</v>
      </c>
      <c r="AA983" s="1021"/>
      <c r="AB983" s="1021"/>
      <c r="AC983" s="1021"/>
      <c r="AD983" s="1021"/>
      <c r="AE983" s="1021"/>
      <c r="AF983" s="1021"/>
      <c r="AG983" s="1021"/>
      <c r="AH983" s="1021"/>
      <c r="AI983" s="1021"/>
      <c r="AJ983" s="1021"/>
      <c r="AK983" s="187"/>
      <c r="AN983" s="992" t="s">
        <v>375</v>
      </c>
      <c r="AO983" s="992"/>
      <c r="AP983" s="992"/>
      <c r="AQ983" s="992"/>
      <c r="AR983" s="992"/>
      <c r="AS983" s="992"/>
      <c r="AT983" s="992"/>
      <c r="AU983" s="992"/>
      <c r="AV983" s="187"/>
    </row>
    <row r="984" spans="2:48" x14ac:dyDescent="0.2">
      <c r="B984" s="999" t="e">
        <f>VLOOKUP(U990,ID_archer_cible,2,FALSE)</f>
        <v>#N/A</v>
      </c>
      <c r="C984" s="1000"/>
      <c r="D984" s="1000"/>
      <c r="E984" s="1000"/>
      <c r="F984" s="1000"/>
      <c r="G984" s="1000"/>
      <c r="H984" s="1000"/>
      <c r="I984" s="1000"/>
      <c r="J984" s="1000"/>
      <c r="K984" s="1000"/>
      <c r="L984" s="1000"/>
      <c r="M984" s="1001"/>
      <c r="P984" s="999" t="e">
        <f>VLOOKUP(U990,ID_archer_cible,3,FALSE)</f>
        <v>#N/A</v>
      </c>
      <c r="Q984" s="1000"/>
      <c r="R984" s="1000"/>
      <c r="S984" s="1000"/>
      <c r="T984" s="1000"/>
      <c r="U984" s="1000"/>
      <c r="V984" s="1000"/>
      <c r="W984" s="1001"/>
      <c r="X984" s="186"/>
      <c r="Y984"/>
      <c r="Z984" s="999" t="e">
        <f>VLOOKUP(AS990,ID_archer_cible,2,FALSE)</f>
        <v>#N/A</v>
      </c>
      <c r="AA984" s="1000"/>
      <c r="AB984" s="1000"/>
      <c r="AC984" s="1000"/>
      <c r="AD984" s="1000"/>
      <c r="AE984" s="1000"/>
      <c r="AF984" s="1000"/>
      <c r="AG984" s="1000"/>
      <c r="AH984" s="1000"/>
      <c r="AI984" s="1000"/>
      <c r="AJ984" s="1000"/>
      <c r="AK984" s="1001"/>
      <c r="AN984" s="999" t="e">
        <f>VLOOKUP(AS990,ID_archer_cible,3,FALSE)</f>
        <v>#N/A</v>
      </c>
      <c r="AO984" s="1000"/>
      <c r="AP984" s="1000"/>
      <c r="AQ984" s="1000"/>
      <c r="AR984" s="1000"/>
      <c r="AS984" s="1000"/>
      <c r="AT984" s="1000"/>
      <c r="AU984" s="1001"/>
    </row>
    <row r="985" spans="2:48" x14ac:dyDescent="0.2">
      <c r="X985" s="186"/>
      <c r="Y985"/>
    </row>
    <row r="986" spans="2:48" ht="16.5" thickBot="1" x14ac:dyDescent="0.25">
      <c r="B986" s="1017" t="s">
        <v>1</v>
      </c>
      <c r="C986" s="1017"/>
      <c r="D986" s="1017"/>
      <c r="E986" s="1017"/>
      <c r="F986" s="1017"/>
      <c r="G986" s="1017"/>
      <c r="H986" s="1017"/>
      <c r="I986" s="1017"/>
      <c r="J986" s="1017"/>
      <c r="L986" s="1017" t="s">
        <v>505</v>
      </c>
      <c r="M986" s="1017"/>
      <c r="N986" s="1017"/>
      <c r="O986" s="1017"/>
      <c r="P986" s="1017"/>
      <c r="Q986" s="1017"/>
      <c r="S986" s="992" t="s">
        <v>506</v>
      </c>
      <c r="T986" s="992"/>
      <c r="U986" s="992"/>
      <c r="V986" s="992"/>
      <c r="W986" s="992"/>
      <c r="X986" s="188"/>
      <c r="Y986"/>
      <c r="Z986" s="1017" t="s">
        <v>1</v>
      </c>
      <c r="AA986" s="1017"/>
      <c r="AB986" s="1017"/>
      <c r="AC986" s="1017"/>
      <c r="AD986" s="1017"/>
      <c r="AE986" s="1017"/>
      <c r="AF986" s="1017"/>
      <c r="AG986" s="1017"/>
      <c r="AH986" s="1017"/>
      <c r="AJ986" s="1017" t="s">
        <v>505</v>
      </c>
      <c r="AK986" s="1017"/>
      <c r="AL986" s="1017"/>
      <c r="AM986" s="1017"/>
      <c r="AN986" s="1017"/>
      <c r="AO986" s="1017"/>
      <c r="AQ986" s="992" t="s">
        <v>506</v>
      </c>
      <c r="AR986" s="992"/>
      <c r="AS986" s="992"/>
      <c r="AT986" s="992"/>
      <c r="AU986" s="992"/>
      <c r="AV986" s="187"/>
    </row>
    <row r="987" spans="2:48" ht="16.5" thickBot="1" x14ac:dyDescent="0.25">
      <c r="B987" s="1014" t="e">
        <f>VLOOKUP(U990,ID_archer_cible,5,FALSE)</f>
        <v>#N/A</v>
      </c>
      <c r="C987" s="1015"/>
      <c r="D987" s="1015"/>
      <c r="E987" s="1015"/>
      <c r="F987" s="1015"/>
      <c r="G987" s="1015"/>
      <c r="H987" s="1015"/>
      <c r="I987" s="1015"/>
      <c r="J987" s="1016"/>
      <c r="L987" s="1014" t="e">
        <f>VLOOKUP(U990,ID_archer_cible,6,FALSE)</f>
        <v>#N/A</v>
      </c>
      <c r="M987" s="1015"/>
      <c r="N987" s="1015"/>
      <c r="O987" s="1015"/>
      <c r="P987" s="1015"/>
      <c r="Q987" s="1016"/>
      <c r="S987" s="999" t="e">
        <f>VLOOKUP(U990,ID_archer_cible,8,FALSE)</f>
        <v>#N/A</v>
      </c>
      <c r="T987" s="1000"/>
      <c r="U987" s="1000"/>
      <c r="V987" s="1000"/>
      <c r="W987" s="1001"/>
      <c r="X987" s="186"/>
      <c r="Y987"/>
      <c r="Z987" s="1014" t="e">
        <f>VLOOKUP(AS990,ID_archer_cible,5,FALSE)</f>
        <v>#N/A</v>
      </c>
      <c r="AA987" s="1015"/>
      <c r="AB987" s="1015"/>
      <c r="AC987" s="1015"/>
      <c r="AD987" s="1015"/>
      <c r="AE987" s="1015"/>
      <c r="AF987" s="1015"/>
      <c r="AG987" s="1015"/>
      <c r="AH987" s="1016"/>
      <c r="AJ987" s="1014" t="e">
        <f>VLOOKUP(AS990,ID_archer_cible,6,FALSE)</f>
        <v>#N/A</v>
      </c>
      <c r="AK987" s="1015"/>
      <c r="AL987" s="1015"/>
      <c r="AM987" s="1015"/>
      <c r="AN987" s="1015"/>
      <c r="AO987" s="1016"/>
      <c r="AQ987" s="999" t="e">
        <f>VLOOKUP(AS990,ID_archer_cible,8,FALSE)</f>
        <v>#N/A</v>
      </c>
      <c r="AR987" s="1000"/>
      <c r="AS987" s="1000"/>
      <c r="AT987" s="1000"/>
      <c r="AU987" s="1001"/>
    </row>
    <row r="988" spans="2:48" x14ac:dyDescent="0.2">
      <c r="X988" s="186"/>
      <c r="Y988"/>
    </row>
    <row r="989" spans="2:48" x14ac:dyDescent="0.2">
      <c r="B989" s="992" t="s">
        <v>530</v>
      </c>
      <c r="C989" s="992"/>
      <c r="D989" s="992"/>
      <c r="E989" s="992"/>
      <c r="F989" s="992"/>
      <c r="G989" s="187"/>
      <c r="H989" s="992" t="s">
        <v>504</v>
      </c>
      <c r="I989" s="992"/>
      <c r="J989" s="992"/>
      <c r="K989" s="992"/>
      <c r="M989" s="992" t="s">
        <v>39</v>
      </c>
      <c r="N989" s="992"/>
      <c r="O989" s="992"/>
      <c r="Q989" s="1021"/>
      <c r="R989" s="1021"/>
      <c r="S989" s="1021"/>
      <c r="U989" s="992" t="s">
        <v>507</v>
      </c>
      <c r="V989" s="992"/>
      <c r="W989" s="992"/>
      <c r="X989" s="188"/>
      <c r="Y989"/>
      <c r="Z989" s="992" t="s">
        <v>530</v>
      </c>
      <c r="AA989" s="992"/>
      <c r="AB989" s="992"/>
      <c r="AC989" s="992"/>
      <c r="AD989" s="992"/>
      <c r="AE989" s="187"/>
      <c r="AF989" s="992" t="s">
        <v>504</v>
      </c>
      <c r="AG989" s="992"/>
      <c r="AH989" s="992"/>
      <c r="AI989" s="992"/>
      <c r="AK989" s="992" t="s">
        <v>39</v>
      </c>
      <c r="AL989" s="992"/>
      <c r="AM989" s="992"/>
      <c r="AO989" s="1021"/>
      <c r="AP989" s="1021"/>
      <c r="AQ989" s="1021"/>
      <c r="AS989" s="992" t="s">
        <v>507</v>
      </c>
      <c r="AT989" s="992"/>
      <c r="AU989" s="992"/>
      <c r="AV989" s="187"/>
    </row>
    <row r="990" spans="2:48" ht="15.75" x14ac:dyDescent="0.2">
      <c r="B990" s="1011" t="e">
        <f>VLOOKUP(U990,ID_archer_cible,7,FALSE)</f>
        <v>#N/A</v>
      </c>
      <c r="C990" s="1012"/>
      <c r="D990" s="1012"/>
      <c r="E990" s="1012"/>
      <c r="F990" s="1013"/>
      <c r="H990" s="999" t="e">
        <f>VLOOKUP(U990,ID_archer_cible,9,FALSE)</f>
        <v>#N/A</v>
      </c>
      <c r="I990" s="1000"/>
      <c r="J990" s="1000"/>
      <c r="K990" s="1001"/>
      <c r="M990" s="999" t="e">
        <f>VLOOKUP(U990,ID_archer_cible,10,FALSE)</f>
        <v>#N/A</v>
      </c>
      <c r="N990" s="1000"/>
      <c r="O990" s="1001"/>
      <c r="Q990" s="1021"/>
      <c r="R990" s="1021"/>
      <c r="S990" s="1021"/>
      <c r="T990" s="187"/>
      <c r="U990" s="996" t="str">
        <f>AR948&amp;"C"</f>
        <v>16C</v>
      </c>
      <c r="V990" s="997"/>
      <c r="W990" s="998"/>
      <c r="X990" s="188"/>
      <c r="Y990"/>
      <c r="Z990" s="1011" t="e">
        <f>VLOOKUP(AS990,ID_archer_cible,7,FALSE)</f>
        <v>#N/A</v>
      </c>
      <c r="AA990" s="1012"/>
      <c r="AB990" s="1012"/>
      <c r="AC990" s="1012"/>
      <c r="AD990" s="1013"/>
      <c r="AF990" s="999" t="e">
        <f>VLOOKUP(AS990,ID_archer_cible,9,FALSE)</f>
        <v>#N/A</v>
      </c>
      <c r="AG990" s="1000"/>
      <c r="AH990" s="1000"/>
      <c r="AI990" s="1001"/>
      <c r="AK990" s="999" t="e">
        <f>VLOOKUP(AS990,ID_archer_cible,10,FALSE)</f>
        <v>#N/A</v>
      </c>
      <c r="AL990" s="1000"/>
      <c r="AM990" s="1001"/>
      <c r="AO990" s="1021"/>
      <c r="AP990" s="1021"/>
      <c r="AQ990" s="1021"/>
      <c r="AR990" s="187"/>
      <c r="AS990" s="996" t="str">
        <f>AR948&amp;"D"</f>
        <v>16D</v>
      </c>
      <c r="AT990" s="997"/>
      <c r="AU990" s="998"/>
      <c r="AV990" s="187"/>
    </row>
    <row r="991" spans="2:48" x14ac:dyDescent="0.2">
      <c r="X991" s="186"/>
    </row>
    <row r="992" spans="2:48" x14ac:dyDescent="0.2">
      <c r="B992" s="185" t="s">
        <v>509</v>
      </c>
      <c r="E992" s="992" t="s">
        <v>510</v>
      </c>
      <c r="F992" s="992"/>
      <c r="G992" s="992"/>
      <c r="H992" s="992"/>
      <c r="I992" s="992"/>
      <c r="J992" s="992"/>
      <c r="K992" s="992"/>
      <c r="L992" s="992"/>
      <c r="M992" s="992"/>
      <c r="N992" s="992"/>
      <c r="P992" s="992" t="s">
        <v>511</v>
      </c>
      <c r="Q992" s="992"/>
      <c r="R992" s="992"/>
      <c r="X992" s="186"/>
      <c r="Z992" s="185" t="s">
        <v>509</v>
      </c>
      <c r="AC992" s="992" t="s">
        <v>510</v>
      </c>
      <c r="AD992" s="992"/>
      <c r="AE992" s="992"/>
      <c r="AF992" s="992"/>
      <c r="AG992" s="992"/>
      <c r="AH992" s="992"/>
      <c r="AI992" s="992"/>
      <c r="AJ992" s="992"/>
      <c r="AK992" s="992"/>
      <c r="AL992" s="992"/>
      <c r="AN992" s="992" t="s">
        <v>511</v>
      </c>
      <c r="AO992" s="992"/>
      <c r="AP992" s="992"/>
    </row>
    <row r="993" spans="2:48" ht="20.25" customHeight="1" x14ac:dyDescent="0.2">
      <c r="B993" s="1009" t="s">
        <v>513</v>
      </c>
      <c r="C993" s="1009"/>
      <c r="E993" s="189"/>
      <c r="F993" s="191"/>
      <c r="G993" s="189"/>
      <c r="H993" s="191"/>
      <c r="I993" s="189"/>
      <c r="J993" s="191"/>
      <c r="K993" s="189"/>
      <c r="L993" s="191"/>
      <c r="M993" s="189"/>
      <c r="N993" s="191"/>
      <c r="P993" s="189"/>
      <c r="Q993" s="190"/>
      <c r="R993" s="191"/>
      <c r="T993" s="992" t="s">
        <v>512</v>
      </c>
      <c r="U993" s="992"/>
      <c r="V993" s="992"/>
      <c r="W993" s="992"/>
      <c r="X993" s="188"/>
      <c r="Z993" s="1009" t="s">
        <v>513</v>
      </c>
      <c r="AA993" s="1009"/>
      <c r="AC993" s="189"/>
      <c r="AD993" s="191"/>
      <c r="AE993" s="189"/>
      <c r="AF993" s="191"/>
      <c r="AG993" s="189"/>
      <c r="AH993" s="191"/>
      <c r="AI993" s="189"/>
      <c r="AJ993" s="191"/>
      <c r="AK993" s="189"/>
      <c r="AL993" s="191"/>
      <c r="AN993" s="189"/>
      <c r="AO993" s="190"/>
      <c r="AP993" s="191"/>
      <c r="AR993" s="992" t="s">
        <v>512</v>
      </c>
      <c r="AS993" s="992"/>
      <c r="AT993" s="992"/>
      <c r="AU993" s="992"/>
      <c r="AV993" s="187"/>
    </row>
    <row r="994" spans="2:48" ht="20.25" customHeight="1" x14ac:dyDescent="0.2">
      <c r="B994" s="1009" t="s">
        <v>514</v>
      </c>
      <c r="C994" s="1009"/>
      <c r="E994" s="189"/>
      <c r="F994" s="191"/>
      <c r="G994" s="189"/>
      <c r="H994" s="191"/>
      <c r="I994" s="189"/>
      <c r="J994" s="191"/>
      <c r="K994" s="189"/>
      <c r="L994" s="191"/>
      <c r="M994" s="189"/>
      <c r="N994" s="191"/>
      <c r="P994" s="189"/>
      <c r="Q994" s="190"/>
      <c r="R994" s="191"/>
      <c r="T994" s="189"/>
      <c r="U994" s="190"/>
      <c r="V994" s="190"/>
      <c r="W994" s="191"/>
      <c r="X994" s="186"/>
      <c r="Z994" s="1009" t="s">
        <v>514</v>
      </c>
      <c r="AA994" s="1009"/>
      <c r="AC994" s="189"/>
      <c r="AD994" s="191"/>
      <c r="AE994" s="189"/>
      <c r="AF994" s="191"/>
      <c r="AG994" s="189"/>
      <c r="AH994" s="191"/>
      <c r="AI994" s="189"/>
      <c r="AJ994" s="191"/>
      <c r="AK994" s="189"/>
      <c r="AL994" s="191"/>
      <c r="AN994" s="189"/>
      <c r="AO994" s="190"/>
      <c r="AP994" s="191"/>
      <c r="AR994" s="189"/>
      <c r="AS994" s="190"/>
      <c r="AT994" s="190"/>
      <c r="AU994" s="191"/>
    </row>
    <row r="995" spans="2:48" ht="20.25" customHeight="1" x14ac:dyDescent="0.2">
      <c r="B995" s="1009" t="s">
        <v>515</v>
      </c>
      <c r="C995" s="1009"/>
      <c r="E995" s="189"/>
      <c r="F995" s="191"/>
      <c r="G995" s="189"/>
      <c r="H995" s="191"/>
      <c r="I995" s="189"/>
      <c r="J995" s="191"/>
      <c r="K995" s="189"/>
      <c r="L995" s="191"/>
      <c r="M995" s="189"/>
      <c r="N995" s="191"/>
      <c r="P995" s="189"/>
      <c r="Q995" s="190"/>
      <c r="R995" s="191"/>
      <c r="T995" s="189"/>
      <c r="U995" s="190"/>
      <c r="V995" s="190"/>
      <c r="W995" s="191"/>
      <c r="X995" s="186"/>
      <c r="Z995" s="1009" t="s">
        <v>515</v>
      </c>
      <c r="AA995" s="1009"/>
      <c r="AC995" s="189"/>
      <c r="AD995" s="191"/>
      <c r="AE995" s="189"/>
      <c r="AF995" s="191"/>
      <c r="AG995" s="189"/>
      <c r="AH995" s="191"/>
      <c r="AI995" s="189"/>
      <c r="AJ995" s="191"/>
      <c r="AK995" s="189"/>
      <c r="AL995" s="191"/>
      <c r="AN995" s="189"/>
      <c r="AO995" s="190"/>
      <c r="AP995" s="191"/>
      <c r="AR995" s="189"/>
      <c r="AS995" s="190"/>
      <c r="AT995" s="190"/>
      <c r="AU995" s="191"/>
    </row>
    <row r="996" spans="2:48" ht="20.25" customHeight="1" x14ac:dyDescent="0.2">
      <c r="B996" s="1009" t="s">
        <v>516</v>
      </c>
      <c r="C996" s="1009"/>
      <c r="E996" s="189"/>
      <c r="F996" s="191"/>
      <c r="G996" s="189"/>
      <c r="H996" s="191"/>
      <c r="I996" s="189"/>
      <c r="J996" s="191"/>
      <c r="K996" s="189"/>
      <c r="L996" s="191"/>
      <c r="M996" s="189"/>
      <c r="N996" s="191"/>
      <c r="P996" s="189"/>
      <c r="Q996" s="190"/>
      <c r="R996" s="191"/>
      <c r="T996" s="189"/>
      <c r="U996" s="190"/>
      <c r="V996" s="190"/>
      <c r="W996" s="191"/>
      <c r="X996" s="186"/>
      <c r="Z996" s="1009" t="s">
        <v>516</v>
      </c>
      <c r="AA996" s="1009"/>
      <c r="AC996" s="189"/>
      <c r="AD996" s="191"/>
      <c r="AE996" s="189"/>
      <c r="AF996" s="191"/>
      <c r="AG996" s="189"/>
      <c r="AH996" s="191"/>
      <c r="AI996" s="189"/>
      <c r="AJ996" s="191"/>
      <c r="AK996" s="189"/>
      <c r="AL996" s="191"/>
      <c r="AN996" s="189"/>
      <c r="AO996" s="190"/>
      <c r="AP996" s="191"/>
      <c r="AR996" s="189"/>
      <c r="AS996" s="190"/>
      <c r="AT996" s="190"/>
      <c r="AU996" s="191"/>
    </row>
    <row r="997" spans="2:48" ht="20.25" customHeight="1" x14ac:dyDescent="0.2">
      <c r="B997" s="1009" t="s">
        <v>517</v>
      </c>
      <c r="C997" s="1009"/>
      <c r="E997" s="189"/>
      <c r="F997" s="191"/>
      <c r="G997" s="189"/>
      <c r="H997" s="191"/>
      <c r="I997" s="189"/>
      <c r="J997" s="191"/>
      <c r="K997" s="189"/>
      <c r="L997" s="191"/>
      <c r="M997" s="189"/>
      <c r="N997" s="191"/>
      <c r="P997" s="189"/>
      <c r="Q997" s="190"/>
      <c r="R997" s="191"/>
      <c r="T997" s="189"/>
      <c r="U997" s="190"/>
      <c r="V997" s="190"/>
      <c r="W997" s="191"/>
      <c r="X997" s="186"/>
      <c r="Z997" s="1009" t="s">
        <v>517</v>
      </c>
      <c r="AA997" s="1009"/>
      <c r="AC997" s="189"/>
      <c r="AD997" s="191"/>
      <c r="AE997" s="189"/>
      <c r="AF997" s="191"/>
      <c r="AG997" s="189"/>
      <c r="AH997" s="191"/>
      <c r="AI997" s="189"/>
      <c r="AJ997" s="191"/>
      <c r="AK997" s="189"/>
      <c r="AL997" s="191"/>
      <c r="AN997" s="189"/>
      <c r="AO997" s="190"/>
      <c r="AP997" s="191"/>
      <c r="AR997" s="189"/>
      <c r="AS997" s="190"/>
      <c r="AT997" s="190"/>
      <c r="AU997" s="191"/>
    </row>
    <row r="998" spans="2:48" ht="20.25" customHeight="1" x14ac:dyDescent="0.2">
      <c r="B998" s="1009" t="s">
        <v>518</v>
      </c>
      <c r="C998" s="1009"/>
      <c r="E998" s="189"/>
      <c r="F998" s="191"/>
      <c r="G998" s="189"/>
      <c r="H998" s="191"/>
      <c r="I998" s="189"/>
      <c r="J998" s="191"/>
      <c r="K998" s="189"/>
      <c r="L998" s="191"/>
      <c r="M998" s="189"/>
      <c r="N998" s="191"/>
      <c r="P998" s="189"/>
      <c r="Q998" s="190"/>
      <c r="R998" s="191"/>
      <c r="T998" s="189"/>
      <c r="U998" s="190"/>
      <c r="V998" s="190"/>
      <c r="W998" s="191"/>
      <c r="X998" s="186"/>
      <c r="Z998" s="1009" t="s">
        <v>518</v>
      </c>
      <c r="AA998" s="1009"/>
      <c r="AC998" s="189"/>
      <c r="AD998" s="191"/>
      <c r="AE998" s="189"/>
      <c r="AF998" s="191"/>
      <c r="AG998" s="189"/>
      <c r="AH998" s="191"/>
      <c r="AI998" s="189"/>
      <c r="AJ998" s="191"/>
      <c r="AK998" s="189"/>
      <c r="AL998" s="191"/>
      <c r="AN998" s="189"/>
      <c r="AO998" s="190"/>
      <c r="AP998" s="191"/>
      <c r="AR998" s="189"/>
      <c r="AS998" s="190"/>
      <c r="AT998" s="190"/>
      <c r="AU998" s="191"/>
    </row>
    <row r="999" spans="2:48" ht="15.75" thickBot="1" x14ac:dyDescent="0.25">
      <c r="B999" s="187"/>
      <c r="C999" s="187"/>
      <c r="X999" s="186"/>
      <c r="Z999" s="187"/>
      <c r="AA999" s="187"/>
    </row>
    <row r="1000" spans="2:48" ht="20.25" customHeight="1" thickBot="1" x14ac:dyDescent="0.25">
      <c r="P1000" s="197" t="s">
        <v>519</v>
      </c>
      <c r="Q1000" s="197"/>
      <c r="R1000" s="197"/>
      <c r="S1000" s="197"/>
      <c r="T1000" s="192"/>
      <c r="U1000" s="193"/>
      <c r="V1000" s="193"/>
      <c r="W1000" s="194"/>
      <c r="X1000" s="186"/>
      <c r="AN1000" s="197" t="s">
        <v>519</v>
      </c>
      <c r="AO1000" s="197"/>
      <c r="AP1000" s="197"/>
      <c r="AQ1000" s="197"/>
      <c r="AR1000" s="192"/>
      <c r="AS1000" s="193"/>
      <c r="AT1000" s="193"/>
      <c r="AU1000" s="194"/>
    </row>
    <row r="1001" spans="2:48" x14ac:dyDescent="0.2">
      <c r="E1001" s="196"/>
      <c r="F1001" s="196"/>
      <c r="G1001" s="196"/>
      <c r="H1001" s="196"/>
      <c r="I1001" s="196"/>
      <c r="J1001" s="196"/>
      <c r="K1001" s="196"/>
      <c r="L1001" s="196"/>
      <c r="M1001" s="196"/>
      <c r="X1001" s="186"/>
      <c r="AC1001" s="196"/>
      <c r="AD1001" s="196"/>
      <c r="AE1001" s="196"/>
      <c r="AF1001" s="196"/>
      <c r="AG1001" s="196"/>
      <c r="AH1001" s="196"/>
      <c r="AI1001" s="196"/>
      <c r="AJ1001" s="196"/>
      <c r="AK1001" s="196"/>
    </row>
    <row r="1002" spans="2:48" x14ac:dyDescent="0.2">
      <c r="B1002" s="1010" t="s">
        <v>521</v>
      </c>
      <c r="C1002" s="1010"/>
      <c r="D1002" s="1010"/>
      <c r="E1002" s="1010"/>
      <c r="F1002" s="1010"/>
      <c r="G1002" s="1010"/>
      <c r="H1002" s="195"/>
      <c r="I1002" s="1004" t="s">
        <v>522</v>
      </c>
      <c r="J1002" s="1004"/>
      <c r="K1002" s="1004"/>
      <c r="L1002" s="1004"/>
      <c r="M1002" s="1004"/>
      <c r="N1002" s="1004"/>
      <c r="O1002" s="1004"/>
      <c r="P1002" s="1004"/>
      <c r="Q1002" s="1004"/>
      <c r="R1002" s="1004"/>
      <c r="S1002" s="1004"/>
      <c r="T1002" s="1004"/>
      <c r="U1002" s="1004"/>
      <c r="V1002" s="1004"/>
      <c r="W1002" s="1004"/>
      <c r="X1002" s="198"/>
      <c r="Y1002" s="195"/>
      <c r="Z1002" s="1010" t="s">
        <v>521</v>
      </c>
      <c r="AA1002" s="1010"/>
      <c r="AB1002" s="1010"/>
      <c r="AC1002" s="1010"/>
      <c r="AD1002" s="1010"/>
      <c r="AE1002" s="1010"/>
      <c r="AF1002" s="195"/>
      <c r="AG1002" s="1004" t="s">
        <v>522</v>
      </c>
      <c r="AH1002" s="1004"/>
      <c r="AI1002" s="1004"/>
      <c r="AJ1002" s="1004"/>
      <c r="AK1002" s="1004"/>
      <c r="AL1002" s="1004"/>
      <c r="AM1002" s="1004"/>
      <c r="AN1002" s="1004"/>
      <c r="AO1002" s="1004"/>
      <c r="AP1002" s="1004"/>
      <c r="AQ1002" s="1004"/>
      <c r="AR1002" s="1004"/>
      <c r="AS1002" s="1004"/>
      <c r="AT1002" s="1004"/>
      <c r="AU1002" s="1004"/>
      <c r="AV1002" s="195"/>
    </row>
    <row r="1003" spans="2:48" x14ac:dyDescent="0.2">
      <c r="B1003" s="1005" t="s">
        <v>520</v>
      </c>
      <c r="C1003" s="1006"/>
      <c r="D1003" s="1006"/>
      <c r="E1003" s="1006"/>
      <c r="F1003" s="1006"/>
      <c r="G1003" s="1007"/>
      <c r="I1003" s="1005" t="s">
        <v>0</v>
      </c>
      <c r="J1003" s="1006"/>
      <c r="K1003" s="1006"/>
      <c r="L1003" s="1006"/>
      <c r="M1003" s="1006"/>
      <c r="N1003" s="1006"/>
      <c r="O1003" s="1006"/>
      <c r="P1003" s="1006"/>
      <c r="Q1003" s="1006"/>
      <c r="R1003" s="1006"/>
      <c r="S1003" s="1006"/>
      <c r="T1003" s="1006"/>
      <c r="U1003" s="1006"/>
      <c r="V1003" s="1006"/>
      <c r="W1003" s="1007"/>
      <c r="X1003" s="186"/>
      <c r="Z1003" s="1005" t="s">
        <v>520</v>
      </c>
      <c r="AA1003" s="1006"/>
      <c r="AB1003" s="1006"/>
      <c r="AC1003" s="1006"/>
      <c r="AD1003" s="1006"/>
      <c r="AE1003" s="1007"/>
      <c r="AG1003" s="1005" t="s">
        <v>0</v>
      </c>
      <c r="AH1003" s="1006"/>
      <c r="AI1003" s="1006"/>
      <c r="AJ1003" s="1006"/>
      <c r="AK1003" s="1006"/>
      <c r="AL1003" s="1006"/>
      <c r="AM1003" s="1006"/>
      <c r="AN1003" s="1006"/>
      <c r="AO1003" s="1006"/>
      <c r="AP1003" s="1006"/>
      <c r="AQ1003" s="1006"/>
      <c r="AR1003" s="1006"/>
      <c r="AS1003" s="1006"/>
      <c r="AT1003" s="1006"/>
      <c r="AU1003" s="1007"/>
    </row>
    <row r="1004" spans="2:48" x14ac:dyDescent="0.2">
      <c r="B1004" s="199"/>
      <c r="C1004" s="200"/>
      <c r="D1004" s="200"/>
      <c r="E1004" s="200"/>
      <c r="F1004" s="200"/>
      <c r="G1004" s="201"/>
      <c r="I1004" s="199"/>
      <c r="J1004" s="200"/>
      <c r="K1004" s="200"/>
      <c r="L1004" s="200"/>
      <c r="M1004" s="200"/>
      <c r="N1004" s="200"/>
      <c r="O1004" s="200"/>
      <c r="P1004" s="200"/>
      <c r="Q1004" s="200"/>
      <c r="R1004" s="200"/>
      <c r="S1004" s="200"/>
      <c r="T1004" s="200"/>
      <c r="U1004" s="200"/>
      <c r="V1004" s="200"/>
      <c r="W1004" s="201"/>
      <c r="X1004" s="186"/>
      <c r="Z1004" s="199"/>
      <c r="AA1004" s="200"/>
      <c r="AB1004" s="200"/>
      <c r="AC1004" s="200"/>
      <c r="AD1004" s="200"/>
      <c r="AE1004" s="201"/>
      <c r="AG1004" s="199"/>
      <c r="AH1004" s="200"/>
      <c r="AI1004" s="200"/>
      <c r="AJ1004" s="200"/>
      <c r="AK1004" s="200"/>
      <c r="AL1004" s="200"/>
      <c r="AM1004" s="200"/>
      <c r="AN1004" s="200"/>
      <c r="AO1004" s="200"/>
      <c r="AP1004" s="200"/>
      <c r="AQ1004" s="200"/>
      <c r="AR1004" s="200"/>
      <c r="AS1004" s="200"/>
      <c r="AT1004" s="200"/>
      <c r="AU1004" s="201"/>
    </row>
    <row r="1005" spans="2:48" x14ac:dyDescent="0.2">
      <c r="X1005" s="186"/>
    </row>
    <row r="1006" spans="2:48" x14ac:dyDescent="0.2">
      <c r="I1006" s="1005" t="s">
        <v>481</v>
      </c>
      <c r="J1006" s="1006"/>
      <c r="K1006" s="1006"/>
      <c r="L1006" s="1006"/>
      <c r="M1006" s="1006"/>
      <c r="N1006" s="1006"/>
      <c r="O1006" s="1006"/>
      <c r="P1006" s="1006"/>
      <c r="Q1006" s="1007"/>
      <c r="R1006" s="1005" t="s">
        <v>520</v>
      </c>
      <c r="S1006" s="1006"/>
      <c r="T1006" s="1006"/>
      <c r="U1006" s="1006"/>
      <c r="V1006" s="1006"/>
      <c r="W1006" s="1007"/>
      <c r="X1006" s="186"/>
      <c r="AG1006" s="1005" t="s">
        <v>481</v>
      </c>
      <c r="AH1006" s="1006"/>
      <c r="AI1006" s="1006"/>
      <c r="AJ1006" s="1006"/>
      <c r="AK1006" s="1006"/>
      <c r="AL1006" s="1006"/>
      <c r="AM1006" s="1006"/>
      <c r="AN1006" s="1006"/>
      <c r="AO1006" s="1007"/>
      <c r="AP1006" s="1005" t="s">
        <v>520</v>
      </c>
      <c r="AQ1006" s="1006"/>
      <c r="AR1006" s="1006"/>
      <c r="AS1006" s="1006"/>
      <c r="AT1006" s="1006"/>
      <c r="AU1006" s="1007"/>
    </row>
    <row r="1007" spans="2:48" x14ac:dyDescent="0.2">
      <c r="I1007" s="199"/>
      <c r="J1007" s="200"/>
      <c r="K1007" s="200"/>
      <c r="L1007" s="200"/>
      <c r="M1007" s="200"/>
      <c r="N1007" s="200"/>
      <c r="O1007" s="200"/>
      <c r="P1007" s="200"/>
      <c r="Q1007" s="200"/>
      <c r="R1007" s="199"/>
      <c r="S1007" s="200"/>
      <c r="T1007" s="200"/>
      <c r="U1007" s="200"/>
      <c r="V1007" s="200"/>
      <c r="W1007" s="201"/>
      <c r="X1007" s="186"/>
      <c r="AG1007" s="199"/>
      <c r="AH1007" s="200"/>
      <c r="AI1007" s="200"/>
      <c r="AJ1007" s="200"/>
      <c r="AK1007" s="200"/>
      <c r="AL1007" s="200"/>
      <c r="AM1007" s="200"/>
      <c r="AN1007" s="200"/>
      <c r="AO1007" s="200"/>
      <c r="AP1007" s="199"/>
      <c r="AQ1007" s="200"/>
      <c r="AR1007" s="200"/>
      <c r="AS1007" s="200"/>
      <c r="AT1007" s="200"/>
      <c r="AU1007" s="201"/>
    </row>
    <row r="1009" spans="2:48" ht="57.75" customHeight="1" x14ac:dyDescent="0.2">
      <c r="B1009" s="1058" t="str">
        <f>Championnat</f>
        <v>Championnat de France de Tir à l'ARC</v>
      </c>
      <c r="C1009" s="1058"/>
      <c r="D1009" s="1058"/>
      <c r="E1009" s="1058"/>
      <c r="F1009" s="1058"/>
      <c r="G1009" s="1058"/>
      <c r="H1009" s="1058"/>
      <c r="I1009" s="1058"/>
      <c r="J1009" s="1058"/>
      <c r="K1009" s="1058"/>
      <c r="L1009" s="1058"/>
      <c r="M1009" s="1058"/>
      <c r="N1009" s="1058"/>
      <c r="O1009" s="1058"/>
      <c r="P1009" s="1058"/>
      <c r="Q1009" s="1058"/>
      <c r="R1009" s="1058"/>
      <c r="S1009" s="1058"/>
      <c r="T1009" s="1058"/>
      <c r="U1009" s="1058"/>
      <c r="V1009" s="1058"/>
      <c r="W1009" s="1058"/>
      <c r="X1009" s="1058"/>
      <c r="Y1009" s="1058"/>
      <c r="Z1009" s="1058"/>
      <c r="AA1009" s="1058"/>
      <c r="AB1009" s="1058"/>
      <c r="AC1009" s="1058"/>
      <c r="AD1009" s="1058"/>
      <c r="AE1009" s="1058"/>
      <c r="AF1009" s="1058"/>
      <c r="AG1009" s="1058"/>
      <c r="AH1009" s="1058"/>
      <c r="AI1009" s="1058"/>
      <c r="AJ1009" s="1058"/>
      <c r="AK1009" s="1058"/>
      <c r="AL1009" s="1058"/>
      <c r="AM1009" s="1058"/>
      <c r="AN1009" s="1058"/>
      <c r="AO1009" s="1058"/>
      <c r="AP1009" s="1058"/>
    </row>
    <row r="1010" spans="2:48" ht="45" customHeight="1" thickBot="1" x14ac:dyDescent="0.25">
      <c r="B1010" s="1018" t="str">
        <f>LIEU&amp;" - "&amp;DATE&amp;" - "&amp;CATEG</f>
        <v>L’Isle sur la Sorgue - 27 au 31 mars 2023 - Collèges Mixtes Etablissement</v>
      </c>
      <c r="C1010" s="1018"/>
      <c r="D1010" s="1018"/>
      <c r="E1010" s="1018"/>
      <c r="F1010" s="1018"/>
      <c r="G1010" s="1018"/>
      <c r="H1010" s="1018"/>
      <c r="I1010" s="1018"/>
      <c r="J1010" s="1018"/>
      <c r="K1010" s="1018"/>
      <c r="L1010" s="1018"/>
      <c r="M1010" s="1018"/>
      <c r="N1010" s="1018"/>
      <c r="O1010" s="1018"/>
      <c r="P1010" s="1018"/>
      <c r="Q1010" s="1018"/>
      <c r="R1010" s="1018"/>
      <c r="S1010" s="1018"/>
      <c r="T1010" s="1018"/>
      <c r="U1010" s="1018"/>
      <c r="V1010" s="1018"/>
      <c r="W1010" s="1018"/>
      <c r="X1010" s="1018"/>
      <c r="Y1010" s="1018"/>
      <c r="Z1010" s="1018"/>
      <c r="AA1010" s="1018"/>
      <c r="AB1010" s="1018"/>
      <c r="AC1010" s="1018"/>
      <c r="AD1010" s="1018"/>
      <c r="AE1010" s="1018"/>
      <c r="AF1010" s="1018"/>
      <c r="AG1010" s="1018"/>
      <c r="AH1010" s="1018"/>
      <c r="AI1010" s="1018"/>
      <c r="AJ1010" s="1018"/>
      <c r="AK1010" s="1018"/>
      <c r="AL1010" s="1018"/>
      <c r="AM1010" s="1018"/>
      <c r="AN1010" s="1018"/>
      <c r="AO1010" s="1018"/>
      <c r="AP1010" s="1018"/>
      <c r="AQ1010" s="182"/>
      <c r="AR1010" s="182"/>
      <c r="AS1010" s="182"/>
      <c r="AT1010" s="182"/>
      <c r="AU1010" s="182"/>
      <c r="AV1010" s="182"/>
    </row>
    <row r="1011" spans="2:48" ht="26.25" customHeight="1" x14ac:dyDescent="0.2">
      <c r="B1011" s="1059" t="str">
        <f>CATEG_IMPORTEE</f>
        <v>Collèges Mixtes Etablissement</v>
      </c>
      <c r="C1011" s="1059"/>
      <c r="D1011" s="1059"/>
      <c r="E1011" s="1059"/>
      <c r="F1011" s="1059"/>
      <c r="G1011" s="1059"/>
      <c r="H1011" s="1059"/>
      <c r="I1011" s="1059"/>
      <c r="J1011" s="1059"/>
      <c r="K1011" s="1059"/>
      <c r="L1011" s="1059"/>
      <c r="M1011" s="1059"/>
      <c r="N1011" s="1059"/>
      <c r="O1011" s="1059"/>
      <c r="P1011" s="1059"/>
      <c r="Q1011" s="1059"/>
      <c r="R1011" s="1059"/>
      <c r="S1011" s="1059"/>
      <c r="T1011" s="1059"/>
      <c r="U1011" s="1059"/>
      <c r="V1011" s="1059"/>
      <c r="W1011" s="1059"/>
      <c r="X1011" s="1059"/>
      <c r="Y1011" s="1059"/>
      <c r="Z1011" s="1059"/>
      <c r="AA1011" s="1059"/>
      <c r="AB1011" s="1059"/>
      <c r="AC1011" s="1059"/>
      <c r="AD1011" s="1059"/>
      <c r="AE1011" s="1059"/>
      <c r="AF1011" s="1059"/>
      <c r="AG1011" s="1059"/>
      <c r="AH1011" s="1059"/>
      <c r="AI1011" s="1059"/>
      <c r="AJ1011" s="1059"/>
      <c r="AK1011" s="1059"/>
      <c r="AL1011" s="1059"/>
      <c r="AM1011" s="1059"/>
      <c r="AN1011" s="1059"/>
      <c r="AO1011" s="1059"/>
      <c r="AP1011" s="1059"/>
      <c r="AQ1011" s="182"/>
      <c r="AR1011" s="1060">
        <f>AR948+1</f>
        <v>17</v>
      </c>
      <c r="AS1011" s="1061"/>
      <c r="AT1011" s="1062"/>
      <c r="AU1011" s="182"/>
      <c r="AV1011" s="182"/>
    </row>
    <row r="1012" spans="2:48" ht="18" customHeight="1" x14ac:dyDescent="0.2">
      <c r="B1012" s="182"/>
      <c r="C1012" s="182"/>
      <c r="D1012" s="182"/>
      <c r="E1012" s="182"/>
      <c r="F1012" s="182"/>
      <c r="G1012" s="182"/>
      <c r="H1012" s="182"/>
      <c r="I1012" s="182"/>
      <c r="J1012" s="182"/>
      <c r="K1012" s="182"/>
      <c r="L1012" s="182"/>
      <c r="M1012" s="182"/>
      <c r="N1012" s="182"/>
      <c r="O1012" s="182"/>
      <c r="P1012" s="182"/>
      <c r="Q1012" s="182"/>
      <c r="R1012" s="182"/>
      <c r="S1012" s="182"/>
      <c r="T1012" s="182"/>
      <c r="U1012" s="182"/>
      <c r="V1012" s="182"/>
      <c r="W1012" s="182"/>
      <c r="X1012" s="183"/>
      <c r="Y1012" s="184"/>
      <c r="Z1012" s="182"/>
      <c r="AA1012" s="182"/>
      <c r="AB1012" s="182"/>
      <c r="AC1012" s="182"/>
      <c r="AD1012" s="182"/>
      <c r="AE1012" s="182"/>
      <c r="AF1012" s="182"/>
      <c r="AG1012" s="182"/>
      <c r="AH1012" s="182"/>
      <c r="AI1012" s="182"/>
      <c r="AJ1012" s="182"/>
      <c r="AK1012" s="182"/>
      <c r="AL1012" s="182"/>
      <c r="AM1012" s="182"/>
      <c r="AN1012" s="182"/>
      <c r="AO1012" s="182"/>
      <c r="AP1012" s="182"/>
      <c r="AQ1012" s="182"/>
      <c r="AR1012" s="1063"/>
      <c r="AS1012" s="1064"/>
      <c r="AT1012" s="1065"/>
      <c r="AU1012" s="182"/>
      <c r="AV1012" s="182"/>
    </row>
    <row r="1013" spans="2:48" ht="18.75" customHeight="1" thickBot="1" x14ac:dyDescent="0.25">
      <c r="B1013" s="182"/>
      <c r="C1013" s="182"/>
      <c r="D1013" s="182"/>
      <c r="E1013" s="182"/>
      <c r="F1013" s="182"/>
      <c r="G1013" s="182"/>
      <c r="H1013" s="992" t="s">
        <v>374</v>
      </c>
      <c r="I1013" s="992"/>
      <c r="J1013" s="992"/>
      <c r="K1013" s="992"/>
      <c r="L1013" s="992"/>
      <c r="M1013" s="992"/>
      <c r="N1013" s="992"/>
      <c r="O1013" s="992"/>
      <c r="P1013" s="992"/>
      <c r="Q1013" s="992"/>
      <c r="R1013" s="182"/>
      <c r="S1013" s="182"/>
      <c r="T1013" s="182"/>
      <c r="U1013" s="182"/>
      <c r="V1013" s="182"/>
      <c r="W1013" s="182"/>
      <c r="X1013" s="183"/>
      <c r="Y1013" s="182"/>
      <c r="Z1013" s="182"/>
      <c r="AA1013" s="182"/>
      <c r="AB1013" s="182"/>
      <c r="AC1013" s="182"/>
      <c r="AD1013" s="182"/>
      <c r="AE1013" s="992" t="s">
        <v>374</v>
      </c>
      <c r="AF1013" s="992"/>
      <c r="AG1013" s="992"/>
      <c r="AH1013" s="992"/>
      <c r="AI1013" s="992"/>
      <c r="AJ1013" s="992"/>
      <c r="AK1013" s="992"/>
      <c r="AL1013" s="992"/>
      <c r="AM1013" s="992"/>
      <c r="AN1013" s="992"/>
      <c r="AO1013" s="182"/>
      <c r="AP1013" s="182"/>
      <c r="AQ1013" s="182"/>
      <c r="AR1013" s="1066"/>
      <c r="AS1013" s="1067"/>
      <c r="AT1013" s="1068"/>
      <c r="AU1013" s="182"/>
      <c r="AV1013" s="182"/>
    </row>
    <row r="1014" spans="2:48" ht="18" x14ac:dyDescent="0.2">
      <c r="B1014" s="182"/>
      <c r="C1014" s="182"/>
      <c r="D1014" s="182"/>
      <c r="E1014" s="182"/>
      <c r="F1014" s="182"/>
      <c r="G1014" s="182"/>
      <c r="H1014" s="1022" t="e">
        <f>VLOOKUP(U1023,ID_archer_cible,4,FALSE)</f>
        <v>#N/A</v>
      </c>
      <c r="I1014" s="1023"/>
      <c r="J1014" s="1023"/>
      <c r="K1014" s="1023"/>
      <c r="L1014" s="1023"/>
      <c r="M1014" s="1023"/>
      <c r="N1014" s="1023"/>
      <c r="O1014" s="1023"/>
      <c r="P1014" s="1023"/>
      <c r="Q1014" s="1024"/>
      <c r="R1014" s="182"/>
      <c r="S1014" s="182"/>
      <c r="T1014" s="182"/>
      <c r="U1014" s="182"/>
      <c r="V1014" s="182"/>
      <c r="W1014" s="182"/>
      <c r="X1014" s="183"/>
      <c r="Y1014" s="182"/>
      <c r="Z1014" s="182"/>
      <c r="AA1014" s="182"/>
      <c r="AB1014" s="182"/>
      <c r="AC1014" s="182"/>
      <c r="AD1014" s="182"/>
      <c r="AE1014" s="1022" t="e">
        <f>VLOOKUP(AS1023,ID_archer_cible,4,FALSE)</f>
        <v>#N/A</v>
      </c>
      <c r="AF1014" s="1023"/>
      <c r="AG1014" s="1023"/>
      <c r="AH1014" s="1023"/>
      <c r="AI1014" s="1023"/>
      <c r="AJ1014" s="1023"/>
      <c r="AK1014" s="1023"/>
      <c r="AL1014" s="1023"/>
      <c r="AM1014" s="1023"/>
      <c r="AN1014" s="1024"/>
      <c r="AO1014" s="182"/>
      <c r="AP1014" s="182"/>
      <c r="AQ1014" s="182"/>
      <c r="AR1014" s="182"/>
      <c r="AS1014" s="182"/>
      <c r="AT1014" s="182"/>
      <c r="AU1014" s="182"/>
      <c r="AV1014" s="182"/>
    </row>
    <row r="1015" spans="2:48" x14ac:dyDescent="0.2">
      <c r="X1015" s="186"/>
    </row>
    <row r="1016" spans="2:48" x14ac:dyDescent="0.2">
      <c r="B1016" s="1021" t="s">
        <v>0</v>
      </c>
      <c r="C1016" s="1021"/>
      <c r="D1016" s="1021"/>
      <c r="E1016" s="1021"/>
      <c r="F1016" s="1021"/>
      <c r="G1016" s="1021"/>
      <c r="H1016" s="1021"/>
      <c r="I1016" s="1021"/>
      <c r="J1016" s="1021"/>
      <c r="K1016" s="1021"/>
      <c r="L1016" s="1021"/>
      <c r="M1016" s="187"/>
      <c r="P1016" s="992" t="s">
        <v>375</v>
      </c>
      <c r="Q1016" s="992"/>
      <c r="R1016" s="992"/>
      <c r="S1016" s="992"/>
      <c r="T1016" s="992"/>
      <c r="U1016" s="992"/>
      <c r="V1016" s="992"/>
      <c r="W1016" s="992"/>
      <c r="X1016" s="188"/>
      <c r="Z1016" s="1021" t="s">
        <v>0</v>
      </c>
      <c r="AA1016" s="1021"/>
      <c r="AB1016" s="1021"/>
      <c r="AC1016" s="1021"/>
      <c r="AD1016" s="1021"/>
      <c r="AE1016" s="1021"/>
      <c r="AF1016" s="1021"/>
      <c r="AG1016" s="1021"/>
      <c r="AH1016" s="1021"/>
      <c r="AI1016" s="1021"/>
      <c r="AJ1016" s="1021"/>
      <c r="AK1016" s="187"/>
      <c r="AN1016" s="992" t="s">
        <v>375</v>
      </c>
      <c r="AO1016" s="992"/>
      <c r="AP1016" s="992"/>
      <c r="AQ1016" s="992"/>
      <c r="AR1016" s="992"/>
      <c r="AS1016" s="992"/>
      <c r="AT1016" s="992"/>
      <c r="AU1016" s="992"/>
      <c r="AV1016" s="187"/>
    </row>
    <row r="1017" spans="2:48" x14ac:dyDescent="0.2">
      <c r="B1017" s="999" t="e">
        <f>VLOOKUP(U1023,ID_archer_cible,2,FALSE)</f>
        <v>#N/A</v>
      </c>
      <c r="C1017" s="1000"/>
      <c r="D1017" s="1000"/>
      <c r="E1017" s="1000"/>
      <c r="F1017" s="1000"/>
      <c r="G1017" s="1000"/>
      <c r="H1017" s="1000"/>
      <c r="I1017" s="1000"/>
      <c r="J1017" s="1000"/>
      <c r="K1017" s="1000"/>
      <c r="L1017" s="1000"/>
      <c r="M1017" s="1001"/>
      <c r="P1017" s="999" t="e">
        <f>VLOOKUP(U1023,ID_archer_cible,3,FALSE)</f>
        <v>#N/A</v>
      </c>
      <c r="Q1017" s="1000"/>
      <c r="R1017" s="1000"/>
      <c r="S1017" s="1000"/>
      <c r="T1017" s="1000"/>
      <c r="U1017" s="1000"/>
      <c r="V1017" s="1000"/>
      <c r="W1017" s="1001"/>
      <c r="X1017" s="186"/>
      <c r="Y1017"/>
      <c r="Z1017" s="999" t="e">
        <f>VLOOKUP(AS1023,ID_archer_cible,2,FALSE)</f>
        <v>#N/A</v>
      </c>
      <c r="AA1017" s="1000"/>
      <c r="AB1017" s="1000"/>
      <c r="AC1017" s="1000"/>
      <c r="AD1017" s="1000"/>
      <c r="AE1017" s="1000"/>
      <c r="AF1017" s="1000"/>
      <c r="AG1017" s="1000"/>
      <c r="AH1017" s="1000"/>
      <c r="AI1017" s="1000"/>
      <c r="AJ1017" s="1000"/>
      <c r="AK1017" s="1001"/>
      <c r="AN1017" s="999" t="e">
        <f>VLOOKUP(AS1023,ID_archer_cible,3,FALSE)</f>
        <v>#N/A</v>
      </c>
      <c r="AO1017" s="1000"/>
      <c r="AP1017" s="1000"/>
      <c r="AQ1017" s="1000"/>
      <c r="AR1017" s="1000"/>
      <c r="AS1017" s="1000"/>
      <c r="AT1017" s="1000"/>
      <c r="AU1017" s="1001"/>
    </row>
    <row r="1018" spans="2:48" x14ac:dyDescent="0.2">
      <c r="X1018" s="186"/>
      <c r="Y1018"/>
    </row>
    <row r="1019" spans="2:48" ht="16.5" thickBot="1" x14ac:dyDescent="0.25">
      <c r="B1019" s="1017" t="s">
        <v>1</v>
      </c>
      <c r="C1019" s="1017"/>
      <c r="D1019" s="1017"/>
      <c r="E1019" s="1017"/>
      <c r="F1019" s="1017"/>
      <c r="G1019" s="1017"/>
      <c r="H1019" s="1017"/>
      <c r="I1019" s="1017"/>
      <c r="J1019" s="1017"/>
      <c r="L1019" s="1017" t="s">
        <v>505</v>
      </c>
      <c r="M1019" s="1017"/>
      <c r="N1019" s="1017"/>
      <c r="O1019" s="1017"/>
      <c r="P1019" s="1017"/>
      <c r="Q1019" s="1017"/>
      <c r="S1019" s="992" t="s">
        <v>506</v>
      </c>
      <c r="T1019" s="992"/>
      <c r="U1019" s="992"/>
      <c r="V1019" s="992"/>
      <c r="W1019" s="992"/>
      <c r="X1019" s="188"/>
      <c r="Y1019"/>
      <c r="Z1019" s="1017" t="s">
        <v>1</v>
      </c>
      <c r="AA1019" s="1017"/>
      <c r="AB1019" s="1017"/>
      <c r="AC1019" s="1017"/>
      <c r="AD1019" s="1017"/>
      <c r="AE1019" s="1017"/>
      <c r="AF1019" s="1017"/>
      <c r="AG1019" s="1017"/>
      <c r="AH1019" s="1017"/>
      <c r="AJ1019" s="1017" t="s">
        <v>505</v>
      </c>
      <c r="AK1019" s="1017"/>
      <c r="AL1019" s="1017"/>
      <c r="AM1019" s="1017"/>
      <c r="AN1019" s="1017"/>
      <c r="AO1019" s="1017"/>
      <c r="AQ1019" s="992" t="s">
        <v>506</v>
      </c>
      <c r="AR1019" s="992"/>
      <c r="AS1019" s="992"/>
      <c r="AT1019" s="992"/>
      <c r="AU1019" s="992"/>
      <c r="AV1019" s="187"/>
    </row>
    <row r="1020" spans="2:48" ht="16.5" thickBot="1" x14ac:dyDescent="0.25">
      <c r="B1020" s="1014" t="e">
        <f>VLOOKUP(U1023,ID_archer_cible,5,FALSE)</f>
        <v>#N/A</v>
      </c>
      <c r="C1020" s="1015"/>
      <c r="D1020" s="1015"/>
      <c r="E1020" s="1015"/>
      <c r="F1020" s="1015"/>
      <c r="G1020" s="1015"/>
      <c r="H1020" s="1015"/>
      <c r="I1020" s="1015"/>
      <c r="J1020" s="1016"/>
      <c r="L1020" s="1014" t="e">
        <f>VLOOKUP(U1023,ID_archer_cible,6,FALSE)</f>
        <v>#N/A</v>
      </c>
      <c r="M1020" s="1015"/>
      <c r="N1020" s="1015"/>
      <c r="O1020" s="1015"/>
      <c r="P1020" s="1015"/>
      <c r="Q1020" s="1016"/>
      <c r="S1020" s="999" t="e">
        <f>VLOOKUP(U1023,ID_archer_cible,8,FALSE)</f>
        <v>#N/A</v>
      </c>
      <c r="T1020" s="1000"/>
      <c r="U1020" s="1000"/>
      <c r="V1020" s="1000"/>
      <c r="W1020" s="1001"/>
      <c r="X1020" s="186"/>
      <c r="Y1020"/>
      <c r="Z1020" s="1014" t="e">
        <f>VLOOKUP(AS1023,ID_archer_cible,5,FALSE)</f>
        <v>#N/A</v>
      </c>
      <c r="AA1020" s="1015"/>
      <c r="AB1020" s="1015"/>
      <c r="AC1020" s="1015"/>
      <c r="AD1020" s="1015"/>
      <c r="AE1020" s="1015"/>
      <c r="AF1020" s="1015"/>
      <c r="AG1020" s="1015"/>
      <c r="AH1020" s="1016"/>
      <c r="AJ1020" s="1014" t="e">
        <f>VLOOKUP(AS1023,ID_archer_cible,6,FALSE)</f>
        <v>#N/A</v>
      </c>
      <c r="AK1020" s="1015"/>
      <c r="AL1020" s="1015"/>
      <c r="AM1020" s="1015"/>
      <c r="AN1020" s="1015"/>
      <c r="AO1020" s="1016"/>
      <c r="AQ1020" s="999" t="e">
        <f>VLOOKUP(AS1023,ID_archer_cible,8,FALSE)</f>
        <v>#N/A</v>
      </c>
      <c r="AR1020" s="1000"/>
      <c r="AS1020" s="1000"/>
      <c r="AT1020" s="1000"/>
      <c r="AU1020" s="1001"/>
    </row>
    <row r="1021" spans="2:48" x14ac:dyDescent="0.2">
      <c r="X1021" s="186"/>
      <c r="Y1021"/>
    </row>
    <row r="1022" spans="2:48" x14ac:dyDescent="0.2">
      <c r="B1022" s="992" t="s">
        <v>530</v>
      </c>
      <c r="C1022" s="992"/>
      <c r="D1022" s="992"/>
      <c r="E1022" s="992"/>
      <c r="F1022" s="992"/>
      <c r="G1022" s="187"/>
      <c r="H1022" s="992" t="s">
        <v>504</v>
      </c>
      <c r="I1022" s="992"/>
      <c r="J1022" s="992"/>
      <c r="K1022" s="992"/>
      <c r="M1022" s="992" t="s">
        <v>39</v>
      </c>
      <c r="N1022" s="992"/>
      <c r="O1022" s="992"/>
      <c r="Q1022" s="1021"/>
      <c r="R1022" s="1021"/>
      <c r="S1022" s="1021"/>
      <c r="U1022" s="992" t="s">
        <v>507</v>
      </c>
      <c r="V1022" s="992"/>
      <c r="W1022" s="992"/>
      <c r="X1022" s="188"/>
      <c r="Y1022"/>
      <c r="Z1022" s="992" t="s">
        <v>530</v>
      </c>
      <c r="AA1022" s="992"/>
      <c r="AB1022" s="992"/>
      <c r="AC1022" s="992"/>
      <c r="AD1022" s="992"/>
      <c r="AE1022" s="187"/>
      <c r="AF1022" s="992" t="s">
        <v>504</v>
      </c>
      <c r="AG1022" s="992"/>
      <c r="AH1022" s="992"/>
      <c r="AI1022" s="992"/>
      <c r="AK1022" s="992" t="s">
        <v>39</v>
      </c>
      <c r="AL1022" s="992"/>
      <c r="AM1022" s="992"/>
      <c r="AO1022" s="1021"/>
      <c r="AP1022" s="1021"/>
      <c r="AQ1022" s="1021"/>
      <c r="AS1022" s="992" t="s">
        <v>507</v>
      </c>
      <c r="AT1022" s="992"/>
      <c r="AU1022" s="992"/>
      <c r="AV1022" s="187"/>
    </row>
    <row r="1023" spans="2:48" ht="15.75" x14ac:dyDescent="0.2">
      <c r="B1023" s="1011" t="e">
        <f>VLOOKUP(U1023,ID_archer_cible,7,FALSE)</f>
        <v>#N/A</v>
      </c>
      <c r="C1023" s="1012"/>
      <c r="D1023" s="1012"/>
      <c r="E1023" s="1012"/>
      <c r="F1023" s="1013"/>
      <c r="H1023" s="999" t="e">
        <f>VLOOKUP(U1023,ID_archer_cible,9,FALSE)</f>
        <v>#N/A</v>
      </c>
      <c r="I1023" s="1000"/>
      <c r="J1023" s="1000"/>
      <c r="K1023" s="1001"/>
      <c r="M1023" s="999" t="e">
        <f>VLOOKUP(U1023,ID_archer_cible,10,FALSE)</f>
        <v>#N/A</v>
      </c>
      <c r="N1023" s="1000"/>
      <c r="O1023" s="1001"/>
      <c r="Q1023" s="1021"/>
      <c r="R1023" s="1021"/>
      <c r="S1023" s="1021"/>
      <c r="T1023" s="187"/>
      <c r="U1023" s="996" t="str">
        <f>AR1011&amp;"A"</f>
        <v>17A</v>
      </c>
      <c r="V1023" s="997"/>
      <c r="W1023" s="998"/>
      <c r="X1023" s="188"/>
      <c r="Y1023"/>
      <c r="Z1023" s="1011" t="e">
        <f>VLOOKUP(AS1023,ID_archer_cible,7,FALSE)</f>
        <v>#N/A</v>
      </c>
      <c r="AA1023" s="1012"/>
      <c r="AB1023" s="1012"/>
      <c r="AC1023" s="1012"/>
      <c r="AD1023" s="1013"/>
      <c r="AF1023" s="999" t="e">
        <f>VLOOKUP(AS1023,ID_archer_cible,9,FALSE)</f>
        <v>#N/A</v>
      </c>
      <c r="AG1023" s="1000"/>
      <c r="AH1023" s="1000"/>
      <c r="AI1023" s="1001"/>
      <c r="AK1023" s="999" t="e">
        <f>VLOOKUP(AS1023,ID_archer_cible,10,FALSE)</f>
        <v>#N/A</v>
      </c>
      <c r="AL1023" s="1000"/>
      <c r="AM1023" s="1001"/>
      <c r="AO1023" s="1021"/>
      <c r="AP1023" s="1021"/>
      <c r="AQ1023" s="1021"/>
      <c r="AR1023" s="187"/>
      <c r="AS1023" s="996" t="str">
        <f>AR1011&amp;"B"</f>
        <v>17B</v>
      </c>
      <c r="AT1023" s="997"/>
      <c r="AU1023" s="998"/>
      <c r="AV1023" s="187"/>
    </row>
    <row r="1024" spans="2:48" x14ac:dyDescent="0.2">
      <c r="X1024" s="186"/>
    </row>
    <row r="1025" spans="2:48" x14ac:dyDescent="0.2">
      <c r="B1025" s="185" t="s">
        <v>509</v>
      </c>
      <c r="E1025" s="992" t="s">
        <v>510</v>
      </c>
      <c r="F1025" s="992"/>
      <c r="G1025" s="992"/>
      <c r="H1025" s="992"/>
      <c r="I1025" s="992"/>
      <c r="J1025" s="992"/>
      <c r="K1025" s="992"/>
      <c r="L1025" s="992"/>
      <c r="M1025" s="992"/>
      <c r="N1025" s="992"/>
      <c r="P1025" s="992" t="s">
        <v>511</v>
      </c>
      <c r="Q1025" s="992"/>
      <c r="R1025" s="992"/>
      <c r="X1025" s="186"/>
      <c r="Z1025" s="185" t="s">
        <v>509</v>
      </c>
      <c r="AC1025" s="992" t="s">
        <v>510</v>
      </c>
      <c r="AD1025" s="992"/>
      <c r="AE1025" s="992"/>
      <c r="AF1025" s="992"/>
      <c r="AG1025" s="992"/>
      <c r="AH1025" s="992"/>
      <c r="AI1025" s="992"/>
      <c r="AJ1025" s="992"/>
      <c r="AK1025" s="992"/>
      <c r="AL1025" s="992"/>
      <c r="AN1025" s="992" t="s">
        <v>511</v>
      </c>
      <c r="AO1025" s="992"/>
      <c r="AP1025" s="992"/>
    </row>
    <row r="1026" spans="2:48" ht="20.25" customHeight="1" x14ac:dyDescent="0.2">
      <c r="B1026" s="1009" t="s">
        <v>513</v>
      </c>
      <c r="C1026" s="1009"/>
      <c r="E1026" s="189"/>
      <c r="F1026" s="191"/>
      <c r="G1026" s="189"/>
      <c r="H1026" s="191"/>
      <c r="I1026" s="189"/>
      <c r="J1026" s="191"/>
      <c r="K1026" s="189"/>
      <c r="L1026" s="191"/>
      <c r="M1026" s="189"/>
      <c r="N1026" s="191"/>
      <c r="P1026" s="189"/>
      <c r="Q1026" s="190"/>
      <c r="R1026" s="191"/>
      <c r="T1026" s="992" t="s">
        <v>512</v>
      </c>
      <c r="U1026" s="992"/>
      <c r="V1026" s="992"/>
      <c r="W1026" s="992"/>
      <c r="X1026" s="188"/>
      <c r="Z1026" s="1009" t="s">
        <v>513</v>
      </c>
      <c r="AA1026" s="1009"/>
      <c r="AC1026" s="189"/>
      <c r="AD1026" s="191"/>
      <c r="AE1026" s="189"/>
      <c r="AF1026" s="191"/>
      <c r="AG1026" s="189"/>
      <c r="AH1026" s="191"/>
      <c r="AI1026" s="189"/>
      <c r="AJ1026" s="191"/>
      <c r="AK1026" s="189"/>
      <c r="AL1026" s="191"/>
      <c r="AN1026" s="189"/>
      <c r="AO1026" s="190"/>
      <c r="AP1026" s="191"/>
      <c r="AR1026" s="992" t="s">
        <v>512</v>
      </c>
      <c r="AS1026" s="992"/>
      <c r="AT1026" s="992"/>
      <c r="AU1026" s="992"/>
      <c r="AV1026" s="187"/>
    </row>
    <row r="1027" spans="2:48" ht="20.25" customHeight="1" x14ac:dyDescent="0.2">
      <c r="B1027" s="1009" t="s">
        <v>514</v>
      </c>
      <c r="C1027" s="1009"/>
      <c r="E1027" s="189"/>
      <c r="F1027" s="191"/>
      <c r="G1027" s="189"/>
      <c r="H1027" s="191"/>
      <c r="I1027" s="189"/>
      <c r="J1027" s="191"/>
      <c r="K1027" s="189"/>
      <c r="L1027" s="191"/>
      <c r="M1027" s="189"/>
      <c r="N1027" s="191"/>
      <c r="P1027" s="189"/>
      <c r="Q1027" s="190"/>
      <c r="R1027" s="191"/>
      <c r="T1027" s="189"/>
      <c r="U1027" s="190"/>
      <c r="V1027" s="190"/>
      <c r="W1027" s="191"/>
      <c r="X1027" s="186"/>
      <c r="Z1027" s="1009" t="s">
        <v>514</v>
      </c>
      <c r="AA1027" s="1009"/>
      <c r="AC1027" s="189"/>
      <c r="AD1027" s="191"/>
      <c r="AE1027" s="189"/>
      <c r="AF1027" s="191"/>
      <c r="AG1027" s="189"/>
      <c r="AH1027" s="191"/>
      <c r="AI1027" s="189"/>
      <c r="AJ1027" s="191"/>
      <c r="AK1027" s="189"/>
      <c r="AL1027" s="191"/>
      <c r="AN1027" s="189"/>
      <c r="AO1027" s="190"/>
      <c r="AP1027" s="191"/>
      <c r="AR1027" s="189"/>
      <c r="AS1027" s="190"/>
      <c r="AT1027" s="190"/>
      <c r="AU1027" s="191"/>
    </row>
    <row r="1028" spans="2:48" ht="20.25" customHeight="1" x14ac:dyDescent="0.2">
      <c r="B1028" s="1009" t="s">
        <v>515</v>
      </c>
      <c r="C1028" s="1009"/>
      <c r="E1028" s="189"/>
      <c r="F1028" s="191"/>
      <c r="G1028" s="189"/>
      <c r="H1028" s="191"/>
      <c r="I1028" s="189"/>
      <c r="J1028" s="191"/>
      <c r="K1028" s="189"/>
      <c r="L1028" s="191"/>
      <c r="M1028" s="189"/>
      <c r="N1028" s="191"/>
      <c r="P1028" s="189"/>
      <c r="Q1028" s="190"/>
      <c r="R1028" s="191"/>
      <c r="T1028" s="189"/>
      <c r="U1028" s="190"/>
      <c r="V1028" s="190"/>
      <c r="W1028" s="191"/>
      <c r="X1028" s="186"/>
      <c r="Z1028" s="1009" t="s">
        <v>515</v>
      </c>
      <c r="AA1028" s="1009"/>
      <c r="AC1028" s="189"/>
      <c r="AD1028" s="191"/>
      <c r="AE1028" s="189"/>
      <c r="AF1028" s="191"/>
      <c r="AG1028" s="189"/>
      <c r="AH1028" s="191"/>
      <c r="AI1028" s="189"/>
      <c r="AJ1028" s="191"/>
      <c r="AK1028" s="189"/>
      <c r="AL1028" s="191"/>
      <c r="AN1028" s="189"/>
      <c r="AO1028" s="190"/>
      <c r="AP1028" s="191"/>
      <c r="AR1028" s="189"/>
      <c r="AS1028" s="190"/>
      <c r="AT1028" s="190"/>
      <c r="AU1028" s="191"/>
    </row>
    <row r="1029" spans="2:48" ht="20.25" customHeight="1" x14ac:dyDescent="0.2">
      <c r="B1029" s="1009" t="s">
        <v>516</v>
      </c>
      <c r="C1029" s="1009"/>
      <c r="E1029" s="189"/>
      <c r="F1029" s="191"/>
      <c r="G1029" s="189"/>
      <c r="H1029" s="191"/>
      <c r="I1029" s="189"/>
      <c r="J1029" s="191"/>
      <c r="K1029" s="189"/>
      <c r="L1029" s="191"/>
      <c r="M1029" s="189"/>
      <c r="N1029" s="191"/>
      <c r="P1029" s="189"/>
      <c r="Q1029" s="190"/>
      <c r="R1029" s="191"/>
      <c r="T1029" s="189"/>
      <c r="U1029" s="190"/>
      <c r="V1029" s="190"/>
      <c r="W1029" s="191"/>
      <c r="X1029" s="186"/>
      <c r="Z1029" s="1009" t="s">
        <v>516</v>
      </c>
      <c r="AA1029" s="1009"/>
      <c r="AC1029" s="189"/>
      <c r="AD1029" s="191"/>
      <c r="AE1029" s="189"/>
      <c r="AF1029" s="191"/>
      <c r="AG1029" s="189"/>
      <c r="AH1029" s="191"/>
      <c r="AI1029" s="189"/>
      <c r="AJ1029" s="191"/>
      <c r="AK1029" s="189"/>
      <c r="AL1029" s="191"/>
      <c r="AN1029" s="189"/>
      <c r="AO1029" s="190"/>
      <c r="AP1029" s="191"/>
      <c r="AR1029" s="189"/>
      <c r="AS1029" s="190"/>
      <c r="AT1029" s="190"/>
      <c r="AU1029" s="191"/>
    </row>
    <row r="1030" spans="2:48" ht="20.25" customHeight="1" x14ac:dyDescent="0.2">
      <c r="B1030" s="1009" t="s">
        <v>517</v>
      </c>
      <c r="C1030" s="1009"/>
      <c r="E1030" s="189"/>
      <c r="F1030" s="191"/>
      <c r="G1030" s="189"/>
      <c r="H1030" s="191"/>
      <c r="I1030" s="189"/>
      <c r="J1030" s="191"/>
      <c r="K1030" s="189"/>
      <c r="L1030" s="191"/>
      <c r="M1030" s="189"/>
      <c r="N1030" s="191"/>
      <c r="P1030" s="189"/>
      <c r="Q1030" s="190"/>
      <c r="R1030" s="191"/>
      <c r="T1030" s="189"/>
      <c r="U1030" s="190"/>
      <c r="V1030" s="190"/>
      <c r="W1030" s="191"/>
      <c r="X1030" s="186"/>
      <c r="Z1030" s="1009" t="s">
        <v>517</v>
      </c>
      <c r="AA1030" s="1009"/>
      <c r="AC1030" s="189"/>
      <c r="AD1030" s="191"/>
      <c r="AE1030" s="189"/>
      <c r="AF1030" s="191"/>
      <c r="AG1030" s="189"/>
      <c r="AH1030" s="191"/>
      <c r="AI1030" s="189"/>
      <c r="AJ1030" s="191"/>
      <c r="AK1030" s="189"/>
      <c r="AL1030" s="191"/>
      <c r="AN1030" s="189"/>
      <c r="AO1030" s="190"/>
      <c r="AP1030" s="191"/>
      <c r="AR1030" s="189"/>
      <c r="AS1030" s="190"/>
      <c r="AT1030" s="190"/>
      <c r="AU1030" s="191"/>
    </row>
    <row r="1031" spans="2:48" ht="20.25" customHeight="1" x14ac:dyDescent="0.2">
      <c r="B1031" s="1009" t="s">
        <v>518</v>
      </c>
      <c r="C1031" s="1009"/>
      <c r="E1031" s="189"/>
      <c r="F1031" s="191"/>
      <c r="G1031" s="189"/>
      <c r="H1031" s="191"/>
      <c r="I1031" s="189"/>
      <c r="J1031" s="191"/>
      <c r="K1031" s="189"/>
      <c r="L1031" s="191"/>
      <c r="M1031" s="189"/>
      <c r="N1031" s="191"/>
      <c r="P1031" s="189"/>
      <c r="Q1031" s="190"/>
      <c r="R1031" s="191"/>
      <c r="T1031" s="189"/>
      <c r="U1031" s="190"/>
      <c r="V1031" s="190"/>
      <c r="W1031" s="191"/>
      <c r="X1031" s="186"/>
      <c r="Z1031" s="1009" t="s">
        <v>518</v>
      </c>
      <c r="AA1031" s="1009"/>
      <c r="AC1031" s="189"/>
      <c r="AD1031" s="191"/>
      <c r="AE1031" s="189"/>
      <c r="AF1031" s="191"/>
      <c r="AG1031" s="189"/>
      <c r="AH1031" s="191"/>
      <c r="AI1031" s="189"/>
      <c r="AJ1031" s="191"/>
      <c r="AK1031" s="189"/>
      <c r="AL1031" s="191"/>
      <c r="AN1031" s="189"/>
      <c r="AO1031" s="190"/>
      <c r="AP1031" s="191"/>
      <c r="AR1031" s="189"/>
      <c r="AS1031" s="190"/>
      <c r="AT1031" s="190"/>
      <c r="AU1031" s="191"/>
    </row>
    <row r="1032" spans="2:48" ht="15.75" thickBot="1" x14ac:dyDescent="0.25">
      <c r="B1032" s="187"/>
      <c r="C1032" s="187"/>
      <c r="X1032" s="186"/>
      <c r="Z1032" s="187"/>
      <c r="AA1032" s="187"/>
    </row>
    <row r="1033" spans="2:48" ht="20.25" customHeight="1" thickBot="1" x14ac:dyDescent="0.25">
      <c r="P1033" s="197" t="s">
        <v>519</v>
      </c>
      <c r="Q1033" s="197"/>
      <c r="R1033" s="197"/>
      <c r="S1033" s="197"/>
      <c r="T1033" s="192"/>
      <c r="U1033" s="193"/>
      <c r="V1033" s="193"/>
      <c r="W1033" s="194"/>
      <c r="X1033" s="186"/>
      <c r="AN1033" s="197" t="s">
        <v>519</v>
      </c>
      <c r="AO1033" s="197"/>
      <c r="AP1033" s="197"/>
      <c r="AQ1033" s="197"/>
      <c r="AR1033" s="192"/>
      <c r="AS1033" s="193"/>
      <c r="AT1033" s="193"/>
      <c r="AU1033" s="194"/>
    </row>
    <row r="1034" spans="2:48" x14ac:dyDescent="0.2">
      <c r="E1034" s="196"/>
      <c r="F1034" s="196"/>
      <c r="G1034" s="196"/>
      <c r="H1034" s="196"/>
      <c r="I1034" s="196"/>
      <c r="J1034" s="196"/>
      <c r="K1034" s="196"/>
      <c r="L1034" s="196"/>
      <c r="M1034" s="196"/>
      <c r="X1034" s="186"/>
      <c r="AC1034" s="196"/>
      <c r="AD1034" s="196"/>
      <c r="AE1034" s="196"/>
      <c r="AF1034" s="196"/>
      <c r="AG1034" s="196"/>
      <c r="AH1034" s="196"/>
      <c r="AI1034" s="196"/>
      <c r="AJ1034" s="196"/>
      <c r="AK1034" s="196"/>
    </row>
    <row r="1035" spans="2:48" x14ac:dyDescent="0.2">
      <c r="B1035" s="1010" t="s">
        <v>521</v>
      </c>
      <c r="C1035" s="1010"/>
      <c r="D1035" s="1010"/>
      <c r="E1035" s="1010"/>
      <c r="F1035" s="1010"/>
      <c r="G1035" s="1010"/>
      <c r="H1035" s="195"/>
      <c r="I1035" s="1010" t="s">
        <v>522</v>
      </c>
      <c r="J1035" s="1010"/>
      <c r="K1035" s="1010"/>
      <c r="L1035" s="1010"/>
      <c r="M1035" s="1010"/>
      <c r="N1035" s="1010"/>
      <c r="O1035" s="1010"/>
      <c r="P1035" s="1010"/>
      <c r="Q1035" s="1010"/>
      <c r="R1035" s="1010"/>
      <c r="S1035" s="1010"/>
      <c r="T1035" s="1010"/>
      <c r="U1035" s="1010"/>
      <c r="V1035" s="1010"/>
      <c r="W1035" s="1010"/>
      <c r="X1035" s="198"/>
      <c r="Y1035" s="195"/>
      <c r="Z1035" s="1010" t="s">
        <v>521</v>
      </c>
      <c r="AA1035" s="1010"/>
      <c r="AB1035" s="1010"/>
      <c r="AC1035" s="1010"/>
      <c r="AD1035" s="1010"/>
      <c r="AE1035" s="1010"/>
      <c r="AF1035" s="195"/>
      <c r="AG1035" s="1004" t="s">
        <v>522</v>
      </c>
      <c r="AH1035" s="1004"/>
      <c r="AI1035" s="1004"/>
      <c r="AJ1035" s="1004"/>
      <c r="AK1035" s="1004"/>
      <c r="AL1035" s="1004"/>
      <c r="AM1035" s="1004"/>
      <c r="AN1035" s="1004"/>
      <c r="AO1035" s="1004"/>
      <c r="AP1035" s="1004"/>
      <c r="AQ1035" s="1004"/>
      <c r="AR1035" s="1004"/>
      <c r="AS1035" s="1004"/>
      <c r="AT1035" s="1004"/>
      <c r="AU1035" s="1004"/>
      <c r="AV1035" s="195"/>
    </row>
    <row r="1036" spans="2:48" x14ac:dyDescent="0.2">
      <c r="B1036" s="1005" t="s">
        <v>520</v>
      </c>
      <c r="C1036" s="1006"/>
      <c r="D1036" s="1006"/>
      <c r="E1036" s="1006"/>
      <c r="F1036" s="1006"/>
      <c r="G1036" s="1007"/>
      <c r="I1036" s="1005" t="s">
        <v>0</v>
      </c>
      <c r="J1036" s="1006"/>
      <c r="K1036" s="1006"/>
      <c r="L1036" s="1006"/>
      <c r="M1036" s="1006"/>
      <c r="N1036" s="1006"/>
      <c r="O1036" s="1006"/>
      <c r="P1036" s="1006"/>
      <c r="Q1036" s="1006"/>
      <c r="R1036" s="1006"/>
      <c r="S1036" s="1006"/>
      <c r="T1036" s="1006"/>
      <c r="U1036" s="1006"/>
      <c r="V1036" s="1006"/>
      <c r="W1036" s="1007"/>
      <c r="X1036" s="186"/>
      <c r="Z1036" s="1005" t="s">
        <v>520</v>
      </c>
      <c r="AA1036" s="1006"/>
      <c r="AB1036" s="1006"/>
      <c r="AC1036" s="1006"/>
      <c r="AD1036" s="1006"/>
      <c r="AE1036" s="1007"/>
      <c r="AG1036" s="1005" t="s">
        <v>0</v>
      </c>
      <c r="AH1036" s="1006"/>
      <c r="AI1036" s="1006"/>
      <c r="AJ1036" s="1006"/>
      <c r="AK1036" s="1006"/>
      <c r="AL1036" s="1006"/>
      <c r="AM1036" s="1006"/>
      <c r="AN1036" s="1006"/>
      <c r="AO1036" s="1006"/>
      <c r="AP1036" s="1006"/>
      <c r="AQ1036" s="1006"/>
      <c r="AR1036" s="1006"/>
      <c r="AS1036" s="1006"/>
      <c r="AT1036" s="1006"/>
      <c r="AU1036" s="1007"/>
    </row>
    <row r="1037" spans="2:48" x14ac:dyDescent="0.2">
      <c r="B1037" s="199"/>
      <c r="C1037" s="200"/>
      <c r="D1037" s="200"/>
      <c r="E1037" s="200"/>
      <c r="F1037" s="200"/>
      <c r="G1037" s="201"/>
      <c r="I1037" s="199"/>
      <c r="J1037" s="200"/>
      <c r="K1037" s="200"/>
      <c r="L1037" s="200"/>
      <c r="M1037" s="200"/>
      <c r="N1037" s="200"/>
      <c r="O1037" s="200"/>
      <c r="P1037" s="200"/>
      <c r="Q1037" s="200"/>
      <c r="R1037" s="200"/>
      <c r="S1037" s="200"/>
      <c r="T1037" s="200"/>
      <c r="U1037" s="200"/>
      <c r="V1037" s="200"/>
      <c r="W1037" s="201"/>
      <c r="X1037" s="186"/>
      <c r="Z1037" s="199"/>
      <c r="AA1037" s="200"/>
      <c r="AB1037" s="200"/>
      <c r="AC1037" s="200"/>
      <c r="AD1037" s="200"/>
      <c r="AE1037" s="201"/>
      <c r="AG1037" s="199"/>
      <c r="AH1037" s="200"/>
      <c r="AI1037" s="200"/>
      <c r="AJ1037" s="200"/>
      <c r="AK1037" s="200"/>
      <c r="AL1037" s="200"/>
      <c r="AM1037" s="200"/>
      <c r="AN1037" s="200"/>
      <c r="AO1037" s="200"/>
      <c r="AP1037" s="200"/>
      <c r="AQ1037" s="200"/>
      <c r="AR1037" s="200"/>
      <c r="AS1037" s="200"/>
      <c r="AT1037" s="200"/>
      <c r="AU1037" s="201"/>
    </row>
    <row r="1038" spans="2:48" x14ac:dyDescent="0.2">
      <c r="X1038" s="186"/>
    </row>
    <row r="1039" spans="2:48" x14ac:dyDescent="0.2">
      <c r="I1039" s="1005" t="s">
        <v>481</v>
      </c>
      <c r="J1039" s="1006"/>
      <c r="K1039" s="1006"/>
      <c r="L1039" s="1006"/>
      <c r="M1039" s="1006"/>
      <c r="N1039" s="1006"/>
      <c r="O1039" s="1006"/>
      <c r="P1039" s="1006"/>
      <c r="Q1039" s="1007"/>
      <c r="R1039" s="1005" t="s">
        <v>520</v>
      </c>
      <c r="S1039" s="1006"/>
      <c r="T1039" s="1006"/>
      <c r="U1039" s="1006"/>
      <c r="V1039" s="1006"/>
      <c r="W1039" s="1007"/>
      <c r="X1039" s="186"/>
      <c r="AG1039" s="1005" t="s">
        <v>481</v>
      </c>
      <c r="AH1039" s="1006"/>
      <c r="AI1039" s="1006"/>
      <c r="AJ1039" s="1006"/>
      <c r="AK1039" s="1006"/>
      <c r="AL1039" s="1006"/>
      <c r="AM1039" s="1006"/>
      <c r="AN1039" s="1006"/>
      <c r="AO1039" s="1007"/>
      <c r="AP1039" s="1005" t="s">
        <v>520</v>
      </c>
      <c r="AQ1039" s="1006"/>
      <c r="AR1039" s="1006"/>
      <c r="AS1039" s="1006"/>
      <c r="AT1039" s="1006"/>
      <c r="AU1039" s="1007"/>
    </row>
    <row r="1040" spans="2:48" x14ac:dyDescent="0.2">
      <c r="I1040" s="199"/>
      <c r="J1040" s="200"/>
      <c r="K1040" s="200"/>
      <c r="L1040" s="200"/>
      <c r="M1040" s="200"/>
      <c r="N1040" s="200"/>
      <c r="O1040" s="200"/>
      <c r="P1040" s="200"/>
      <c r="Q1040" s="200"/>
      <c r="R1040" s="199"/>
      <c r="S1040" s="200"/>
      <c r="T1040" s="200"/>
      <c r="U1040" s="200"/>
      <c r="V1040" s="200"/>
      <c r="W1040" s="201"/>
      <c r="X1040" s="186"/>
      <c r="AG1040" s="199"/>
      <c r="AH1040" s="200"/>
      <c r="AI1040" s="200"/>
      <c r="AJ1040" s="200"/>
      <c r="AK1040" s="200"/>
      <c r="AL1040" s="200"/>
      <c r="AM1040" s="200"/>
      <c r="AN1040" s="200"/>
      <c r="AO1040" s="200"/>
      <c r="AP1040" s="199"/>
      <c r="AQ1040" s="200"/>
      <c r="AR1040" s="200"/>
      <c r="AS1040" s="200"/>
      <c r="AT1040" s="200"/>
      <c r="AU1040" s="201"/>
    </row>
    <row r="1041" spans="2:48" ht="39" customHeight="1" x14ac:dyDescent="0.2">
      <c r="B1041" s="392"/>
      <c r="C1041" s="392"/>
      <c r="D1041" s="392"/>
      <c r="E1041" s="392"/>
      <c r="F1041" s="392"/>
      <c r="G1041" s="392"/>
      <c r="H1041" s="392"/>
      <c r="I1041" s="392"/>
      <c r="J1041" s="392"/>
      <c r="K1041" s="392"/>
      <c r="L1041" s="392"/>
      <c r="M1041" s="392"/>
      <c r="N1041" s="392"/>
      <c r="O1041" s="392"/>
      <c r="P1041" s="392"/>
      <c r="Q1041" s="392"/>
      <c r="R1041" s="392"/>
      <c r="S1041" s="392"/>
      <c r="T1041" s="392"/>
      <c r="U1041" s="392"/>
      <c r="V1041" s="392"/>
      <c r="W1041" s="392"/>
      <c r="X1041" s="393"/>
      <c r="Y1041" s="394"/>
      <c r="Z1041" s="392"/>
      <c r="AA1041" s="392"/>
      <c r="AB1041" s="392"/>
      <c r="AC1041" s="392"/>
      <c r="AD1041" s="392"/>
      <c r="AE1041" s="392"/>
      <c r="AF1041" s="392"/>
      <c r="AG1041" s="392"/>
      <c r="AH1041" s="392"/>
      <c r="AI1041" s="392"/>
      <c r="AJ1041" s="392"/>
      <c r="AK1041" s="392"/>
      <c r="AL1041" s="392"/>
      <c r="AM1041" s="392"/>
      <c r="AN1041" s="392"/>
      <c r="AO1041" s="392"/>
      <c r="AP1041" s="392"/>
      <c r="AQ1041" s="392"/>
      <c r="AR1041" s="392"/>
      <c r="AS1041" s="392"/>
      <c r="AT1041" s="392"/>
      <c r="AU1041" s="392"/>
      <c r="AV1041" s="392"/>
    </row>
    <row r="1042" spans="2:48" ht="39" customHeight="1" x14ac:dyDescent="0.2">
      <c r="B1042" s="182"/>
      <c r="C1042" s="182"/>
      <c r="D1042" s="182"/>
      <c r="E1042" s="182"/>
      <c r="F1042" s="182"/>
      <c r="G1042" s="182"/>
      <c r="H1042" s="182"/>
      <c r="I1042" s="182"/>
      <c r="J1042" s="182"/>
      <c r="K1042" s="182"/>
      <c r="L1042" s="182"/>
      <c r="M1042" s="182"/>
      <c r="N1042" s="182"/>
      <c r="O1042" s="182"/>
      <c r="P1042" s="182"/>
      <c r="Q1042" s="182"/>
      <c r="R1042" s="182"/>
      <c r="S1042" s="182"/>
      <c r="T1042" s="182"/>
      <c r="U1042" s="182"/>
      <c r="V1042" s="182"/>
      <c r="W1042" s="182"/>
      <c r="X1042" s="183"/>
      <c r="Y1042" s="184"/>
      <c r="Z1042" s="182"/>
      <c r="AA1042" s="182"/>
      <c r="AB1042" s="182"/>
      <c r="AC1042" s="182"/>
      <c r="AD1042" s="182"/>
      <c r="AE1042" s="182"/>
      <c r="AF1042" s="182"/>
      <c r="AG1042" s="182"/>
      <c r="AH1042" s="182"/>
      <c r="AI1042" s="182"/>
      <c r="AJ1042" s="182"/>
      <c r="AK1042" s="182"/>
      <c r="AL1042" s="182"/>
      <c r="AM1042" s="182"/>
      <c r="AN1042" s="182"/>
      <c r="AO1042" s="182"/>
      <c r="AP1042" s="182"/>
      <c r="AQ1042" s="182"/>
      <c r="AR1042" s="182"/>
      <c r="AS1042" s="182"/>
      <c r="AT1042" s="182"/>
      <c r="AU1042" s="182"/>
      <c r="AV1042" s="182"/>
    </row>
    <row r="1043" spans="2:48" ht="18" x14ac:dyDescent="0.2">
      <c r="B1043" s="182"/>
      <c r="C1043" s="182"/>
      <c r="D1043" s="182"/>
      <c r="E1043" s="182"/>
      <c r="F1043" s="182"/>
      <c r="G1043" s="182"/>
      <c r="H1043" s="992" t="s">
        <v>374</v>
      </c>
      <c r="I1043" s="992"/>
      <c r="J1043" s="992"/>
      <c r="K1043" s="992"/>
      <c r="L1043" s="992"/>
      <c r="M1043" s="992"/>
      <c r="N1043" s="992"/>
      <c r="O1043" s="992"/>
      <c r="P1043" s="992"/>
      <c r="Q1043" s="992"/>
      <c r="R1043" s="182"/>
      <c r="S1043" s="182"/>
      <c r="T1043" s="182"/>
      <c r="U1043" s="182"/>
      <c r="V1043" s="182"/>
      <c r="W1043" s="182"/>
      <c r="X1043" s="183"/>
      <c r="Y1043" s="182"/>
      <c r="Z1043" s="182"/>
      <c r="AA1043" s="182"/>
      <c r="AB1043" s="182"/>
      <c r="AC1043" s="182"/>
      <c r="AD1043" s="182"/>
      <c r="AE1043" s="992" t="s">
        <v>374</v>
      </c>
      <c r="AF1043" s="992"/>
      <c r="AG1043" s="992"/>
      <c r="AH1043" s="992"/>
      <c r="AI1043" s="992"/>
      <c r="AJ1043" s="992"/>
      <c r="AK1043" s="992"/>
      <c r="AL1043" s="992"/>
      <c r="AM1043" s="992"/>
      <c r="AN1043" s="992"/>
      <c r="AO1043" s="182"/>
      <c r="AP1043" s="182"/>
      <c r="AQ1043" s="182"/>
      <c r="AR1043" s="182"/>
      <c r="AS1043" s="182"/>
      <c r="AT1043" s="182"/>
      <c r="AU1043" s="182"/>
      <c r="AV1043" s="182"/>
    </row>
    <row r="1044" spans="2:48" ht="18" x14ac:dyDescent="0.2">
      <c r="B1044" s="182"/>
      <c r="C1044" s="182"/>
      <c r="D1044" s="182"/>
      <c r="E1044" s="182"/>
      <c r="F1044" s="182"/>
      <c r="G1044" s="182"/>
      <c r="H1044" s="1022" t="e">
        <f>VLOOKUP(U1053,ID_archer_cible,4,FALSE)</f>
        <v>#N/A</v>
      </c>
      <c r="I1044" s="1023"/>
      <c r="J1044" s="1023"/>
      <c r="K1044" s="1023"/>
      <c r="L1044" s="1023"/>
      <c r="M1044" s="1023"/>
      <c r="N1044" s="1023"/>
      <c r="O1044" s="1023"/>
      <c r="P1044" s="1023"/>
      <c r="Q1044" s="1024"/>
      <c r="R1044" s="182"/>
      <c r="S1044" s="182"/>
      <c r="T1044" s="182"/>
      <c r="U1044" s="182"/>
      <c r="V1044" s="182"/>
      <c r="W1044" s="182"/>
      <c r="X1044" s="183"/>
      <c r="Y1044" s="182"/>
      <c r="Z1044" s="182"/>
      <c r="AA1044" s="182"/>
      <c r="AB1044" s="182"/>
      <c r="AC1044" s="182"/>
      <c r="AD1044" s="182"/>
      <c r="AE1044" s="1022" t="e">
        <f>VLOOKUP(AS1053,ID_archer_cible,4,FALSE)</f>
        <v>#N/A</v>
      </c>
      <c r="AF1044" s="1023"/>
      <c r="AG1044" s="1023"/>
      <c r="AH1044" s="1023"/>
      <c r="AI1044" s="1023"/>
      <c r="AJ1044" s="1023"/>
      <c r="AK1044" s="1023"/>
      <c r="AL1044" s="1023"/>
      <c r="AM1044" s="1023"/>
      <c r="AN1044" s="1024"/>
      <c r="AO1044" s="182"/>
      <c r="AP1044" s="182"/>
      <c r="AQ1044" s="182"/>
      <c r="AR1044" s="182"/>
      <c r="AS1044" s="182"/>
      <c r="AT1044" s="182"/>
      <c r="AU1044" s="182"/>
      <c r="AV1044" s="182"/>
    </row>
    <row r="1045" spans="2:48" x14ac:dyDescent="0.2">
      <c r="X1045" s="186"/>
    </row>
    <row r="1046" spans="2:48" x14ac:dyDescent="0.2">
      <c r="B1046" s="1021" t="s">
        <v>0</v>
      </c>
      <c r="C1046" s="1021"/>
      <c r="D1046" s="1021"/>
      <c r="E1046" s="1021"/>
      <c r="F1046" s="1021"/>
      <c r="G1046" s="1021"/>
      <c r="H1046" s="1021"/>
      <c r="I1046" s="1021"/>
      <c r="J1046" s="1021"/>
      <c r="K1046" s="1021"/>
      <c r="L1046" s="1021"/>
      <c r="M1046" s="187"/>
      <c r="P1046" s="992" t="s">
        <v>375</v>
      </c>
      <c r="Q1046" s="992"/>
      <c r="R1046" s="992"/>
      <c r="S1046" s="992"/>
      <c r="T1046" s="992"/>
      <c r="U1046" s="992"/>
      <c r="V1046" s="992"/>
      <c r="W1046" s="992"/>
      <c r="X1046" s="188"/>
      <c r="Z1046" s="1021" t="s">
        <v>0</v>
      </c>
      <c r="AA1046" s="1021"/>
      <c r="AB1046" s="1021"/>
      <c r="AC1046" s="1021"/>
      <c r="AD1046" s="1021"/>
      <c r="AE1046" s="1021"/>
      <c r="AF1046" s="1021"/>
      <c r="AG1046" s="1021"/>
      <c r="AH1046" s="1021"/>
      <c r="AI1046" s="1021"/>
      <c r="AJ1046" s="1021"/>
      <c r="AK1046" s="187"/>
      <c r="AN1046" s="992" t="s">
        <v>375</v>
      </c>
      <c r="AO1046" s="992"/>
      <c r="AP1046" s="992"/>
      <c r="AQ1046" s="992"/>
      <c r="AR1046" s="992"/>
      <c r="AS1046" s="992"/>
      <c r="AT1046" s="992"/>
      <c r="AU1046" s="992"/>
      <c r="AV1046" s="187"/>
    </row>
    <row r="1047" spans="2:48" x14ac:dyDescent="0.2">
      <c r="B1047" s="999" t="e">
        <f>VLOOKUP(U1053,ID_archer_cible,2,FALSE)</f>
        <v>#N/A</v>
      </c>
      <c r="C1047" s="1000"/>
      <c r="D1047" s="1000"/>
      <c r="E1047" s="1000"/>
      <c r="F1047" s="1000"/>
      <c r="G1047" s="1000"/>
      <c r="H1047" s="1000"/>
      <c r="I1047" s="1000"/>
      <c r="J1047" s="1000"/>
      <c r="K1047" s="1000"/>
      <c r="L1047" s="1000"/>
      <c r="M1047" s="1001"/>
      <c r="P1047" s="999" t="e">
        <f>VLOOKUP(U1053,ID_archer_cible,3,FALSE)</f>
        <v>#N/A</v>
      </c>
      <c r="Q1047" s="1000"/>
      <c r="R1047" s="1000"/>
      <c r="S1047" s="1000"/>
      <c r="T1047" s="1000"/>
      <c r="U1047" s="1000"/>
      <c r="V1047" s="1000"/>
      <c r="W1047" s="1001"/>
      <c r="X1047" s="186"/>
      <c r="Y1047"/>
      <c r="Z1047" s="999" t="e">
        <f>VLOOKUP(AS1053,ID_archer_cible,2,FALSE)</f>
        <v>#N/A</v>
      </c>
      <c r="AA1047" s="1000"/>
      <c r="AB1047" s="1000"/>
      <c r="AC1047" s="1000"/>
      <c r="AD1047" s="1000"/>
      <c r="AE1047" s="1000"/>
      <c r="AF1047" s="1000"/>
      <c r="AG1047" s="1000"/>
      <c r="AH1047" s="1000"/>
      <c r="AI1047" s="1000"/>
      <c r="AJ1047" s="1000"/>
      <c r="AK1047" s="1001"/>
      <c r="AN1047" s="999" t="e">
        <f>VLOOKUP(AS1053,ID_archer_cible,3,FALSE)</f>
        <v>#N/A</v>
      </c>
      <c r="AO1047" s="1000"/>
      <c r="AP1047" s="1000"/>
      <c r="AQ1047" s="1000"/>
      <c r="AR1047" s="1000"/>
      <c r="AS1047" s="1000"/>
      <c r="AT1047" s="1000"/>
      <c r="AU1047" s="1001"/>
    </row>
    <row r="1048" spans="2:48" x14ac:dyDescent="0.2">
      <c r="X1048" s="186"/>
      <c r="Y1048"/>
    </row>
    <row r="1049" spans="2:48" ht="16.5" thickBot="1" x14ac:dyDescent="0.25">
      <c r="B1049" s="1017" t="s">
        <v>1</v>
      </c>
      <c r="C1049" s="1017"/>
      <c r="D1049" s="1017"/>
      <c r="E1049" s="1017"/>
      <c r="F1049" s="1017"/>
      <c r="G1049" s="1017"/>
      <c r="H1049" s="1017"/>
      <c r="I1049" s="1017"/>
      <c r="J1049" s="1017"/>
      <c r="L1049" s="1017" t="s">
        <v>505</v>
      </c>
      <c r="M1049" s="1017"/>
      <c r="N1049" s="1017"/>
      <c r="O1049" s="1017"/>
      <c r="P1049" s="1017"/>
      <c r="Q1049" s="1017"/>
      <c r="S1049" s="992" t="s">
        <v>506</v>
      </c>
      <c r="T1049" s="992"/>
      <c r="U1049" s="992"/>
      <c r="V1049" s="992"/>
      <c r="W1049" s="992"/>
      <c r="X1049" s="188"/>
      <c r="Y1049"/>
      <c r="Z1049" s="1017" t="s">
        <v>1</v>
      </c>
      <c r="AA1049" s="1017"/>
      <c r="AB1049" s="1017"/>
      <c r="AC1049" s="1017"/>
      <c r="AD1049" s="1017"/>
      <c r="AE1049" s="1017"/>
      <c r="AF1049" s="1017"/>
      <c r="AG1049" s="1017"/>
      <c r="AH1049" s="1017"/>
      <c r="AJ1049" s="1017" t="s">
        <v>505</v>
      </c>
      <c r="AK1049" s="1017"/>
      <c r="AL1049" s="1017"/>
      <c r="AM1049" s="1017"/>
      <c r="AN1049" s="1017"/>
      <c r="AO1049" s="1017"/>
      <c r="AQ1049" s="992" t="s">
        <v>506</v>
      </c>
      <c r="AR1049" s="992"/>
      <c r="AS1049" s="992"/>
      <c r="AT1049" s="992"/>
      <c r="AU1049" s="992"/>
      <c r="AV1049" s="187"/>
    </row>
    <row r="1050" spans="2:48" ht="16.5" thickBot="1" x14ac:dyDescent="0.25">
      <c r="B1050" s="1014" t="e">
        <f>VLOOKUP(U1053,ID_archer_cible,5,FALSE)</f>
        <v>#N/A</v>
      </c>
      <c r="C1050" s="1015"/>
      <c r="D1050" s="1015"/>
      <c r="E1050" s="1015"/>
      <c r="F1050" s="1015"/>
      <c r="G1050" s="1015"/>
      <c r="H1050" s="1015"/>
      <c r="I1050" s="1015"/>
      <c r="J1050" s="1016"/>
      <c r="L1050" s="1014" t="e">
        <f>VLOOKUP(U1053,ID_archer_cible,6,FALSE)</f>
        <v>#N/A</v>
      </c>
      <c r="M1050" s="1015"/>
      <c r="N1050" s="1015"/>
      <c r="O1050" s="1015"/>
      <c r="P1050" s="1015"/>
      <c r="Q1050" s="1016"/>
      <c r="S1050" s="999" t="e">
        <f>VLOOKUP(U1053,ID_archer_cible,8,FALSE)</f>
        <v>#N/A</v>
      </c>
      <c r="T1050" s="1000"/>
      <c r="U1050" s="1000"/>
      <c r="V1050" s="1000"/>
      <c r="W1050" s="1001"/>
      <c r="X1050" s="186"/>
      <c r="Y1050"/>
      <c r="Z1050" s="1014" t="e">
        <f>VLOOKUP(AS1053,ID_archer_cible,5,FALSE)</f>
        <v>#N/A</v>
      </c>
      <c r="AA1050" s="1015"/>
      <c r="AB1050" s="1015"/>
      <c r="AC1050" s="1015"/>
      <c r="AD1050" s="1015"/>
      <c r="AE1050" s="1015"/>
      <c r="AF1050" s="1015"/>
      <c r="AG1050" s="1015"/>
      <c r="AH1050" s="1016"/>
      <c r="AJ1050" s="1014" t="e">
        <f>VLOOKUP(AS1053,ID_archer_cible,6,FALSE)</f>
        <v>#N/A</v>
      </c>
      <c r="AK1050" s="1015"/>
      <c r="AL1050" s="1015"/>
      <c r="AM1050" s="1015"/>
      <c r="AN1050" s="1015"/>
      <c r="AO1050" s="1016"/>
      <c r="AQ1050" s="999" t="e">
        <f>VLOOKUP(AS1053,ID_archer_cible,8,FALSE)</f>
        <v>#N/A</v>
      </c>
      <c r="AR1050" s="1000"/>
      <c r="AS1050" s="1000"/>
      <c r="AT1050" s="1000"/>
      <c r="AU1050" s="1001"/>
    </row>
    <row r="1051" spans="2:48" x14ac:dyDescent="0.2">
      <c r="X1051" s="186"/>
      <c r="Y1051"/>
    </row>
    <row r="1052" spans="2:48" x14ac:dyDescent="0.2">
      <c r="B1052" s="992" t="s">
        <v>530</v>
      </c>
      <c r="C1052" s="992"/>
      <c r="D1052" s="992"/>
      <c r="E1052" s="992"/>
      <c r="F1052" s="992"/>
      <c r="G1052" s="187"/>
      <c r="H1052" s="992" t="s">
        <v>504</v>
      </c>
      <c r="I1052" s="992"/>
      <c r="J1052" s="992"/>
      <c r="K1052" s="992"/>
      <c r="M1052" s="992" t="s">
        <v>39</v>
      </c>
      <c r="N1052" s="992"/>
      <c r="O1052" s="992"/>
      <c r="Q1052" s="1021"/>
      <c r="R1052" s="1021"/>
      <c r="S1052" s="1021"/>
      <c r="U1052" s="992" t="s">
        <v>507</v>
      </c>
      <c r="V1052" s="992"/>
      <c r="W1052" s="992"/>
      <c r="X1052" s="188"/>
      <c r="Y1052"/>
      <c r="Z1052" s="992" t="s">
        <v>530</v>
      </c>
      <c r="AA1052" s="992"/>
      <c r="AB1052" s="992"/>
      <c r="AC1052" s="992"/>
      <c r="AD1052" s="992"/>
      <c r="AE1052" s="187"/>
      <c r="AF1052" s="992" t="s">
        <v>504</v>
      </c>
      <c r="AG1052" s="992"/>
      <c r="AH1052" s="992"/>
      <c r="AI1052" s="992"/>
      <c r="AK1052" s="992" t="s">
        <v>39</v>
      </c>
      <c r="AL1052" s="992"/>
      <c r="AM1052" s="992"/>
      <c r="AO1052" s="1021"/>
      <c r="AP1052" s="1021"/>
      <c r="AQ1052" s="1021"/>
      <c r="AS1052" s="992" t="s">
        <v>507</v>
      </c>
      <c r="AT1052" s="992"/>
      <c r="AU1052" s="992"/>
      <c r="AV1052" s="187"/>
    </row>
    <row r="1053" spans="2:48" ht="15.75" x14ac:dyDescent="0.2">
      <c r="B1053" s="1011" t="e">
        <f>VLOOKUP(U1053,ID_archer_cible,7,FALSE)</f>
        <v>#N/A</v>
      </c>
      <c r="C1053" s="1012"/>
      <c r="D1053" s="1012"/>
      <c r="E1053" s="1012"/>
      <c r="F1053" s="1013"/>
      <c r="H1053" s="999" t="e">
        <f>VLOOKUP(U1053,ID_archer_cible,9,FALSE)</f>
        <v>#N/A</v>
      </c>
      <c r="I1053" s="1000"/>
      <c r="J1053" s="1000"/>
      <c r="K1053" s="1001"/>
      <c r="M1053" s="999" t="e">
        <f>VLOOKUP(U1053,ID_archer_cible,10,FALSE)</f>
        <v>#N/A</v>
      </c>
      <c r="N1053" s="1000"/>
      <c r="O1053" s="1001"/>
      <c r="Q1053" s="1021"/>
      <c r="R1053" s="1021"/>
      <c r="S1053" s="1021"/>
      <c r="T1053" s="187"/>
      <c r="U1053" s="996" t="str">
        <f>AR1011&amp;"C"</f>
        <v>17C</v>
      </c>
      <c r="V1053" s="997"/>
      <c r="W1053" s="998"/>
      <c r="X1053" s="188"/>
      <c r="Y1053"/>
      <c r="Z1053" s="1011" t="e">
        <f>VLOOKUP(AS1053,ID_archer_cible,7,FALSE)</f>
        <v>#N/A</v>
      </c>
      <c r="AA1053" s="1012"/>
      <c r="AB1053" s="1012"/>
      <c r="AC1053" s="1012"/>
      <c r="AD1053" s="1013"/>
      <c r="AF1053" s="999" t="e">
        <f>VLOOKUP(AS1053,ID_archer_cible,9,FALSE)</f>
        <v>#N/A</v>
      </c>
      <c r="AG1053" s="1000"/>
      <c r="AH1053" s="1000"/>
      <c r="AI1053" s="1001"/>
      <c r="AK1053" s="999" t="e">
        <f>VLOOKUP(AS1053,ID_archer_cible,10,FALSE)</f>
        <v>#N/A</v>
      </c>
      <c r="AL1053" s="1000"/>
      <c r="AM1053" s="1001"/>
      <c r="AO1053" s="1021"/>
      <c r="AP1053" s="1021"/>
      <c r="AQ1053" s="1021"/>
      <c r="AR1053" s="187"/>
      <c r="AS1053" s="996" t="str">
        <f>AR1011&amp;"D"</f>
        <v>17D</v>
      </c>
      <c r="AT1053" s="997"/>
      <c r="AU1053" s="998"/>
      <c r="AV1053" s="187"/>
    </row>
    <row r="1054" spans="2:48" x14ac:dyDescent="0.2">
      <c r="X1054" s="186"/>
    </row>
    <row r="1055" spans="2:48" x14ac:dyDescent="0.2">
      <c r="B1055" s="185" t="s">
        <v>509</v>
      </c>
      <c r="E1055" s="992" t="s">
        <v>510</v>
      </c>
      <c r="F1055" s="992"/>
      <c r="G1055" s="992"/>
      <c r="H1055" s="992"/>
      <c r="I1055" s="992"/>
      <c r="J1055" s="992"/>
      <c r="K1055" s="992"/>
      <c r="L1055" s="992"/>
      <c r="M1055" s="992"/>
      <c r="N1055" s="992"/>
      <c r="P1055" s="992" t="s">
        <v>511</v>
      </c>
      <c r="Q1055" s="992"/>
      <c r="R1055" s="992"/>
      <c r="X1055" s="186"/>
      <c r="Z1055" s="185" t="s">
        <v>509</v>
      </c>
      <c r="AC1055" s="992" t="s">
        <v>510</v>
      </c>
      <c r="AD1055" s="992"/>
      <c r="AE1055" s="992"/>
      <c r="AF1055" s="992"/>
      <c r="AG1055" s="992"/>
      <c r="AH1055" s="992"/>
      <c r="AI1055" s="992"/>
      <c r="AJ1055" s="992"/>
      <c r="AK1055" s="992"/>
      <c r="AL1055" s="992"/>
      <c r="AN1055" s="992" t="s">
        <v>511</v>
      </c>
      <c r="AO1055" s="992"/>
      <c r="AP1055" s="992"/>
    </row>
    <row r="1056" spans="2:48" ht="20.25" customHeight="1" x14ac:dyDescent="0.2">
      <c r="B1056" s="1009" t="s">
        <v>513</v>
      </c>
      <c r="C1056" s="1009"/>
      <c r="E1056" s="189"/>
      <c r="F1056" s="191"/>
      <c r="G1056" s="189"/>
      <c r="H1056" s="191"/>
      <c r="I1056" s="189"/>
      <c r="J1056" s="191"/>
      <c r="K1056" s="189"/>
      <c r="L1056" s="191"/>
      <c r="M1056" s="189"/>
      <c r="N1056" s="191"/>
      <c r="P1056" s="189"/>
      <c r="Q1056" s="190"/>
      <c r="R1056" s="191"/>
      <c r="T1056" s="992" t="s">
        <v>512</v>
      </c>
      <c r="U1056" s="992"/>
      <c r="V1056" s="992"/>
      <c r="W1056" s="992"/>
      <c r="X1056" s="188"/>
      <c r="Z1056" s="1009" t="s">
        <v>513</v>
      </c>
      <c r="AA1056" s="1009"/>
      <c r="AC1056" s="189"/>
      <c r="AD1056" s="191"/>
      <c r="AE1056" s="189"/>
      <c r="AF1056" s="191"/>
      <c r="AG1056" s="189"/>
      <c r="AH1056" s="191"/>
      <c r="AI1056" s="189"/>
      <c r="AJ1056" s="191"/>
      <c r="AK1056" s="189"/>
      <c r="AL1056" s="191"/>
      <c r="AN1056" s="189"/>
      <c r="AO1056" s="190"/>
      <c r="AP1056" s="191"/>
      <c r="AR1056" s="992" t="s">
        <v>512</v>
      </c>
      <c r="AS1056" s="992"/>
      <c r="AT1056" s="992"/>
      <c r="AU1056" s="992"/>
      <c r="AV1056" s="187"/>
    </row>
    <row r="1057" spans="2:48" ht="20.25" customHeight="1" x14ac:dyDescent="0.2">
      <c r="B1057" s="1009" t="s">
        <v>514</v>
      </c>
      <c r="C1057" s="1009"/>
      <c r="E1057" s="189"/>
      <c r="F1057" s="191"/>
      <c r="G1057" s="189"/>
      <c r="H1057" s="191"/>
      <c r="I1057" s="189"/>
      <c r="J1057" s="191"/>
      <c r="K1057" s="189"/>
      <c r="L1057" s="191"/>
      <c r="M1057" s="189"/>
      <c r="N1057" s="191"/>
      <c r="P1057" s="189"/>
      <c r="Q1057" s="190"/>
      <c r="R1057" s="191"/>
      <c r="T1057" s="189"/>
      <c r="U1057" s="190"/>
      <c r="V1057" s="190"/>
      <c r="W1057" s="191"/>
      <c r="X1057" s="186"/>
      <c r="Z1057" s="1009" t="s">
        <v>514</v>
      </c>
      <c r="AA1057" s="1009"/>
      <c r="AC1057" s="189"/>
      <c r="AD1057" s="191"/>
      <c r="AE1057" s="189"/>
      <c r="AF1057" s="191"/>
      <c r="AG1057" s="189"/>
      <c r="AH1057" s="191"/>
      <c r="AI1057" s="189"/>
      <c r="AJ1057" s="191"/>
      <c r="AK1057" s="189"/>
      <c r="AL1057" s="191"/>
      <c r="AN1057" s="189"/>
      <c r="AO1057" s="190"/>
      <c r="AP1057" s="191"/>
      <c r="AR1057" s="189"/>
      <c r="AS1057" s="190"/>
      <c r="AT1057" s="190"/>
      <c r="AU1057" s="191"/>
    </row>
    <row r="1058" spans="2:48" ht="20.25" customHeight="1" x14ac:dyDescent="0.2">
      <c r="B1058" s="1009" t="s">
        <v>515</v>
      </c>
      <c r="C1058" s="1009"/>
      <c r="E1058" s="189"/>
      <c r="F1058" s="191"/>
      <c r="G1058" s="189"/>
      <c r="H1058" s="191"/>
      <c r="I1058" s="189"/>
      <c r="J1058" s="191"/>
      <c r="K1058" s="189"/>
      <c r="L1058" s="191"/>
      <c r="M1058" s="189"/>
      <c r="N1058" s="191"/>
      <c r="P1058" s="189"/>
      <c r="Q1058" s="190"/>
      <c r="R1058" s="191"/>
      <c r="T1058" s="189"/>
      <c r="U1058" s="190"/>
      <c r="V1058" s="190"/>
      <c r="W1058" s="191"/>
      <c r="X1058" s="186"/>
      <c r="Z1058" s="1009" t="s">
        <v>515</v>
      </c>
      <c r="AA1058" s="1009"/>
      <c r="AC1058" s="189"/>
      <c r="AD1058" s="191"/>
      <c r="AE1058" s="189"/>
      <c r="AF1058" s="191"/>
      <c r="AG1058" s="189"/>
      <c r="AH1058" s="191"/>
      <c r="AI1058" s="189"/>
      <c r="AJ1058" s="191"/>
      <c r="AK1058" s="189"/>
      <c r="AL1058" s="191"/>
      <c r="AN1058" s="189"/>
      <c r="AO1058" s="190"/>
      <c r="AP1058" s="191"/>
      <c r="AR1058" s="189"/>
      <c r="AS1058" s="190"/>
      <c r="AT1058" s="190"/>
      <c r="AU1058" s="191"/>
    </row>
    <row r="1059" spans="2:48" ht="20.25" customHeight="1" x14ac:dyDescent="0.2">
      <c r="B1059" s="1009" t="s">
        <v>516</v>
      </c>
      <c r="C1059" s="1009"/>
      <c r="E1059" s="189"/>
      <c r="F1059" s="191"/>
      <c r="G1059" s="189"/>
      <c r="H1059" s="191"/>
      <c r="I1059" s="189"/>
      <c r="J1059" s="191"/>
      <c r="K1059" s="189"/>
      <c r="L1059" s="191"/>
      <c r="M1059" s="189"/>
      <c r="N1059" s="191"/>
      <c r="P1059" s="189"/>
      <c r="Q1059" s="190"/>
      <c r="R1059" s="191"/>
      <c r="T1059" s="189"/>
      <c r="U1059" s="190"/>
      <c r="V1059" s="190"/>
      <c r="W1059" s="191"/>
      <c r="X1059" s="186"/>
      <c r="Z1059" s="1009" t="s">
        <v>516</v>
      </c>
      <c r="AA1059" s="1009"/>
      <c r="AC1059" s="189"/>
      <c r="AD1059" s="191"/>
      <c r="AE1059" s="189"/>
      <c r="AF1059" s="191"/>
      <c r="AG1059" s="189"/>
      <c r="AH1059" s="191"/>
      <c r="AI1059" s="189"/>
      <c r="AJ1059" s="191"/>
      <c r="AK1059" s="189"/>
      <c r="AL1059" s="191"/>
      <c r="AN1059" s="189"/>
      <c r="AO1059" s="190"/>
      <c r="AP1059" s="191"/>
      <c r="AR1059" s="189"/>
      <c r="AS1059" s="190"/>
      <c r="AT1059" s="190"/>
      <c r="AU1059" s="191"/>
    </row>
    <row r="1060" spans="2:48" ht="20.25" customHeight="1" x14ac:dyDescent="0.2">
      <c r="B1060" s="1009" t="s">
        <v>517</v>
      </c>
      <c r="C1060" s="1009"/>
      <c r="E1060" s="189"/>
      <c r="F1060" s="191"/>
      <c r="G1060" s="189"/>
      <c r="H1060" s="191"/>
      <c r="I1060" s="189"/>
      <c r="J1060" s="191"/>
      <c r="K1060" s="189"/>
      <c r="L1060" s="191"/>
      <c r="M1060" s="189"/>
      <c r="N1060" s="191"/>
      <c r="P1060" s="189"/>
      <c r="Q1060" s="190"/>
      <c r="R1060" s="191"/>
      <c r="T1060" s="189"/>
      <c r="U1060" s="190"/>
      <c r="V1060" s="190"/>
      <c r="W1060" s="191"/>
      <c r="X1060" s="186"/>
      <c r="Z1060" s="1009" t="s">
        <v>517</v>
      </c>
      <c r="AA1060" s="1009"/>
      <c r="AC1060" s="189"/>
      <c r="AD1060" s="191"/>
      <c r="AE1060" s="189"/>
      <c r="AF1060" s="191"/>
      <c r="AG1060" s="189"/>
      <c r="AH1060" s="191"/>
      <c r="AI1060" s="189"/>
      <c r="AJ1060" s="191"/>
      <c r="AK1060" s="189"/>
      <c r="AL1060" s="191"/>
      <c r="AN1060" s="189"/>
      <c r="AO1060" s="190"/>
      <c r="AP1060" s="191"/>
      <c r="AR1060" s="189"/>
      <c r="AS1060" s="190"/>
      <c r="AT1060" s="190"/>
      <c r="AU1060" s="191"/>
    </row>
    <row r="1061" spans="2:48" ht="20.25" customHeight="1" x14ac:dyDescent="0.2">
      <c r="B1061" s="1009" t="s">
        <v>518</v>
      </c>
      <c r="C1061" s="1009"/>
      <c r="E1061" s="189"/>
      <c r="F1061" s="191"/>
      <c r="G1061" s="189"/>
      <c r="H1061" s="191"/>
      <c r="I1061" s="189"/>
      <c r="J1061" s="191"/>
      <c r="K1061" s="189"/>
      <c r="L1061" s="191"/>
      <c r="M1061" s="189"/>
      <c r="N1061" s="191"/>
      <c r="P1061" s="189"/>
      <c r="Q1061" s="190"/>
      <c r="R1061" s="191"/>
      <c r="T1061" s="189"/>
      <c r="U1061" s="190"/>
      <c r="V1061" s="190"/>
      <c r="W1061" s="191"/>
      <c r="X1061" s="186"/>
      <c r="Z1061" s="1009" t="s">
        <v>518</v>
      </c>
      <c r="AA1061" s="1009"/>
      <c r="AC1061" s="189"/>
      <c r="AD1061" s="191"/>
      <c r="AE1061" s="189"/>
      <c r="AF1061" s="191"/>
      <c r="AG1061" s="189"/>
      <c r="AH1061" s="191"/>
      <c r="AI1061" s="189"/>
      <c r="AJ1061" s="191"/>
      <c r="AK1061" s="189"/>
      <c r="AL1061" s="191"/>
      <c r="AN1061" s="189"/>
      <c r="AO1061" s="190"/>
      <c r="AP1061" s="191"/>
      <c r="AR1061" s="189"/>
      <c r="AS1061" s="190"/>
      <c r="AT1061" s="190"/>
      <c r="AU1061" s="191"/>
    </row>
    <row r="1062" spans="2:48" ht="15.75" thickBot="1" x14ac:dyDescent="0.25">
      <c r="B1062" s="187"/>
      <c r="C1062" s="187"/>
      <c r="X1062" s="186"/>
      <c r="Z1062" s="187"/>
      <c r="AA1062" s="187"/>
    </row>
    <row r="1063" spans="2:48" ht="20.25" customHeight="1" thickBot="1" x14ac:dyDescent="0.25">
      <c r="P1063" s="197" t="s">
        <v>519</v>
      </c>
      <c r="Q1063" s="197"/>
      <c r="R1063" s="197"/>
      <c r="S1063" s="197"/>
      <c r="T1063" s="192"/>
      <c r="U1063" s="193"/>
      <c r="V1063" s="193"/>
      <c r="W1063" s="194"/>
      <c r="X1063" s="186"/>
      <c r="AN1063" s="197" t="s">
        <v>519</v>
      </c>
      <c r="AO1063" s="197"/>
      <c r="AP1063" s="197"/>
      <c r="AQ1063" s="197"/>
      <c r="AR1063" s="192"/>
      <c r="AS1063" s="193"/>
      <c r="AT1063" s="193"/>
      <c r="AU1063" s="194"/>
    </row>
    <row r="1064" spans="2:48" x14ac:dyDescent="0.2">
      <c r="E1064" s="196"/>
      <c r="F1064" s="196"/>
      <c r="G1064" s="196"/>
      <c r="H1064" s="196"/>
      <c r="I1064" s="196"/>
      <c r="J1064" s="196"/>
      <c r="K1064" s="196"/>
      <c r="L1064" s="196"/>
      <c r="M1064" s="196"/>
      <c r="X1064" s="186"/>
      <c r="AC1064" s="196"/>
      <c r="AD1064" s="196"/>
      <c r="AE1064" s="196"/>
      <c r="AF1064" s="196"/>
      <c r="AG1064" s="196"/>
      <c r="AH1064" s="196"/>
      <c r="AI1064" s="196"/>
      <c r="AJ1064" s="196"/>
      <c r="AK1064" s="196"/>
    </row>
    <row r="1065" spans="2:48" x14ac:dyDescent="0.2">
      <c r="B1065" s="1010" t="s">
        <v>521</v>
      </c>
      <c r="C1065" s="1010"/>
      <c r="D1065" s="1010"/>
      <c r="E1065" s="1010"/>
      <c r="F1065" s="1010"/>
      <c r="G1065" s="1010"/>
      <c r="H1065" s="195"/>
      <c r="I1065" s="1004" t="s">
        <v>522</v>
      </c>
      <c r="J1065" s="1004"/>
      <c r="K1065" s="1004"/>
      <c r="L1065" s="1004"/>
      <c r="M1065" s="1004"/>
      <c r="N1065" s="1004"/>
      <c r="O1065" s="1004"/>
      <c r="P1065" s="1004"/>
      <c r="Q1065" s="1004"/>
      <c r="R1065" s="1004"/>
      <c r="S1065" s="1004"/>
      <c r="T1065" s="1004"/>
      <c r="U1065" s="1004"/>
      <c r="V1065" s="1004"/>
      <c r="W1065" s="1004"/>
      <c r="X1065" s="198"/>
      <c r="Y1065" s="195"/>
      <c r="Z1065" s="1010" t="s">
        <v>521</v>
      </c>
      <c r="AA1065" s="1010"/>
      <c r="AB1065" s="1010"/>
      <c r="AC1065" s="1010"/>
      <c r="AD1065" s="1010"/>
      <c r="AE1065" s="1010"/>
      <c r="AF1065" s="195"/>
      <c r="AG1065" s="1004" t="s">
        <v>522</v>
      </c>
      <c r="AH1065" s="1004"/>
      <c r="AI1065" s="1004"/>
      <c r="AJ1065" s="1004"/>
      <c r="AK1065" s="1004"/>
      <c r="AL1065" s="1004"/>
      <c r="AM1065" s="1004"/>
      <c r="AN1065" s="1004"/>
      <c r="AO1065" s="1004"/>
      <c r="AP1065" s="1004"/>
      <c r="AQ1065" s="1004"/>
      <c r="AR1065" s="1004"/>
      <c r="AS1065" s="1004"/>
      <c r="AT1065" s="1004"/>
      <c r="AU1065" s="1004"/>
      <c r="AV1065" s="195"/>
    </row>
    <row r="1066" spans="2:48" x14ac:dyDescent="0.2">
      <c r="B1066" s="1005" t="s">
        <v>520</v>
      </c>
      <c r="C1066" s="1006"/>
      <c r="D1066" s="1006"/>
      <c r="E1066" s="1006"/>
      <c r="F1066" s="1006"/>
      <c r="G1066" s="1007"/>
      <c r="I1066" s="1005" t="s">
        <v>0</v>
      </c>
      <c r="J1066" s="1006"/>
      <c r="K1066" s="1006"/>
      <c r="L1066" s="1006"/>
      <c r="M1066" s="1006"/>
      <c r="N1066" s="1006"/>
      <c r="O1066" s="1006"/>
      <c r="P1066" s="1006"/>
      <c r="Q1066" s="1006"/>
      <c r="R1066" s="1006"/>
      <c r="S1066" s="1006"/>
      <c r="T1066" s="1006"/>
      <c r="U1066" s="1006"/>
      <c r="V1066" s="1006"/>
      <c r="W1066" s="1007"/>
      <c r="X1066" s="186"/>
      <c r="Z1066" s="1005" t="s">
        <v>520</v>
      </c>
      <c r="AA1066" s="1006"/>
      <c r="AB1066" s="1006"/>
      <c r="AC1066" s="1006"/>
      <c r="AD1066" s="1006"/>
      <c r="AE1066" s="1007"/>
      <c r="AG1066" s="1005" t="s">
        <v>0</v>
      </c>
      <c r="AH1066" s="1006"/>
      <c r="AI1066" s="1006"/>
      <c r="AJ1066" s="1006"/>
      <c r="AK1066" s="1006"/>
      <c r="AL1066" s="1006"/>
      <c r="AM1066" s="1006"/>
      <c r="AN1066" s="1006"/>
      <c r="AO1066" s="1006"/>
      <c r="AP1066" s="1006"/>
      <c r="AQ1066" s="1006"/>
      <c r="AR1066" s="1006"/>
      <c r="AS1066" s="1006"/>
      <c r="AT1066" s="1006"/>
      <c r="AU1066" s="1007"/>
    </row>
    <row r="1067" spans="2:48" x14ac:dyDescent="0.2">
      <c r="B1067" s="199"/>
      <c r="C1067" s="200"/>
      <c r="D1067" s="200"/>
      <c r="E1067" s="200"/>
      <c r="F1067" s="200"/>
      <c r="G1067" s="201"/>
      <c r="I1067" s="199"/>
      <c r="J1067" s="200"/>
      <c r="K1067" s="200"/>
      <c r="L1067" s="200"/>
      <c r="M1067" s="200"/>
      <c r="N1067" s="200"/>
      <c r="O1067" s="200"/>
      <c r="P1067" s="200"/>
      <c r="Q1067" s="200"/>
      <c r="R1067" s="200"/>
      <c r="S1067" s="200"/>
      <c r="T1067" s="200"/>
      <c r="U1067" s="200"/>
      <c r="V1067" s="200"/>
      <c r="W1067" s="201"/>
      <c r="X1067" s="186"/>
      <c r="Z1067" s="199"/>
      <c r="AA1067" s="200"/>
      <c r="AB1067" s="200"/>
      <c r="AC1067" s="200"/>
      <c r="AD1067" s="200"/>
      <c r="AE1067" s="201"/>
      <c r="AG1067" s="199"/>
      <c r="AH1067" s="200"/>
      <c r="AI1067" s="200"/>
      <c r="AJ1067" s="200"/>
      <c r="AK1067" s="200"/>
      <c r="AL1067" s="200"/>
      <c r="AM1067" s="200"/>
      <c r="AN1067" s="200"/>
      <c r="AO1067" s="200"/>
      <c r="AP1067" s="200"/>
      <c r="AQ1067" s="200"/>
      <c r="AR1067" s="200"/>
      <c r="AS1067" s="200"/>
      <c r="AT1067" s="200"/>
      <c r="AU1067" s="201"/>
    </row>
    <row r="1068" spans="2:48" x14ac:dyDescent="0.2">
      <c r="X1068" s="186"/>
    </row>
    <row r="1069" spans="2:48" x14ac:dyDescent="0.2">
      <c r="I1069" s="1005" t="s">
        <v>481</v>
      </c>
      <c r="J1069" s="1006"/>
      <c r="K1069" s="1006"/>
      <c r="L1069" s="1006"/>
      <c r="M1069" s="1006"/>
      <c r="N1069" s="1006"/>
      <c r="O1069" s="1006"/>
      <c r="P1069" s="1006"/>
      <c r="Q1069" s="1007"/>
      <c r="R1069" s="1005" t="s">
        <v>520</v>
      </c>
      <c r="S1069" s="1006"/>
      <c r="T1069" s="1006"/>
      <c r="U1069" s="1006"/>
      <c r="V1069" s="1006"/>
      <c r="W1069" s="1007"/>
      <c r="X1069" s="186"/>
      <c r="AG1069" s="1005" t="s">
        <v>481</v>
      </c>
      <c r="AH1069" s="1006"/>
      <c r="AI1069" s="1006"/>
      <c r="AJ1069" s="1006"/>
      <c r="AK1069" s="1006"/>
      <c r="AL1069" s="1006"/>
      <c r="AM1069" s="1006"/>
      <c r="AN1069" s="1006"/>
      <c r="AO1069" s="1007"/>
      <c r="AP1069" s="1005" t="s">
        <v>520</v>
      </c>
      <c r="AQ1069" s="1006"/>
      <c r="AR1069" s="1006"/>
      <c r="AS1069" s="1006"/>
      <c r="AT1069" s="1006"/>
      <c r="AU1069" s="1007"/>
    </row>
    <row r="1070" spans="2:48" x14ac:dyDescent="0.2">
      <c r="I1070" s="199"/>
      <c r="J1070" s="200"/>
      <c r="K1070" s="200"/>
      <c r="L1070" s="200"/>
      <c r="M1070" s="200"/>
      <c r="N1070" s="200"/>
      <c r="O1070" s="200"/>
      <c r="P1070" s="200"/>
      <c r="Q1070" s="200"/>
      <c r="R1070" s="199"/>
      <c r="S1070" s="200"/>
      <c r="T1070" s="200"/>
      <c r="U1070" s="200"/>
      <c r="V1070" s="200"/>
      <c r="W1070" s="201"/>
      <c r="X1070" s="186"/>
      <c r="AG1070" s="199"/>
      <c r="AH1070" s="200"/>
      <c r="AI1070" s="200"/>
      <c r="AJ1070" s="200"/>
      <c r="AK1070" s="200"/>
      <c r="AL1070" s="200"/>
      <c r="AM1070" s="200"/>
      <c r="AN1070" s="200"/>
      <c r="AO1070" s="200"/>
      <c r="AP1070" s="199"/>
      <c r="AQ1070" s="200"/>
      <c r="AR1070" s="200"/>
      <c r="AS1070" s="200"/>
      <c r="AT1070" s="200"/>
      <c r="AU1070" s="201"/>
    </row>
    <row r="1072" spans="2:48" ht="57.75" customHeight="1" x14ac:dyDescent="0.2">
      <c r="B1072" s="1058" t="str">
        <f>Championnat</f>
        <v>Championnat de France de Tir à l'ARC</v>
      </c>
      <c r="C1072" s="1058"/>
      <c r="D1072" s="1058"/>
      <c r="E1072" s="1058"/>
      <c r="F1072" s="1058"/>
      <c r="G1072" s="1058"/>
      <c r="H1072" s="1058"/>
      <c r="I1072" s="1058"/>
      <c r="J1072" s="1058"/>
      <c r="K1072" s="1058"/>
      <c r="L1072" s="1058"/>
      <c r="M1072" s="1058"/>
      <c r="N1072" s="1058"/>
      <c r="O1072" s="1058"/>
      <c r="P1072" s="1058"/>
      <c r="Q1072" s="1058"/>
      <c r="R1072" s="1058"/>
      <c r="S1072" s="1058"/>
      <c r="T1072" s="1058"/>
      <c r="U1072" s="1058"/>
      <c r="V1072" s="1058"/>
      <c r="W1072" s="1058"/>
      <c r="X1072" s="1058"/>
      <c r="Y1072" s="1058"/>
      <c r="Z1072" s="1058"/>
      <c r="AA1072" s="1058"/>
      <c r="AB1072" s="1058"/>
      <c r="AC1072" s="1058"/>
      <c r="AD1072" s="1058"/>
      <c r="AE1072" s="1058"/>
      <c r="AF1072" s="1058"/>
      <c r="AG1072" s="1058"/>
      <c r="AH1072" s="1058"/>
      <c r="AI1072" s="1058"/>
      <c r="AJ1072" s="1058"/>
      <c r="AK1072" s="1058"/>
      <c r="AL1072" s="1058"/>
      <c r="AM1072" s="1058"/>
      <c r="AN1072" s="1058"/>
      <c r="AO1072" s="1058"/>
      <c r="AP1072" s="1058"/>
    </row>
    <row r="1073" spans="2:48" ht="45" customHeight="1" thickBot="1" x14ac:dyDescent="0.25">
      <c r="B1073" s="1018" t="str">
        <f>LIEU&amp;" - "&amp;DATE&amp;" - "&amp;CATEG</f>
        <v>L’Isle sur la Sorgue - 27 au 31 mars 2023 - Collèges Mixtes Etablissement</v>
      </c>
      <c r="C1073" s="1018"/>
      <c r="D1073" s="1018"/>
      <c r="E1073" s="1018"/>
      <c r="F1073" s="1018"/>
      <c r="G1073" s="1018"/>
      <c r="H1073" s="1018"/>
      <c r="I1073" s="1018"/>
      <c r="J1073" s="1018"/>
      <c r="K1073" s="1018"/>
      <c r="L1073" s="1018"/>
      <c r="M1073" s="1018"/>
      <c r="N1073" s="1018"/>
      <c r="O1073" s="1018"/>
      <c r="P1073" s="1018"/>
      <c r="Q1073" s="1018"/>
      <c r="R1073" s="1018"/>
      <c r="S1073" s="1018"/>
      <c r="T1073" s="1018"/>
      <c r="U1073" s="1018"/>
      <c r="V1073" s="1018"/>
      <c r="W1073" s="1018"/>
      <c r="X1073" s="1018"/>
      <c r="Y1073" s="1018"/>
      <c r="Z1073" s="1018"/>
      <c r="AA1073" s="1018"/>
      <c r="AB1073" s="1018"/>
      <c r="AC1073" s="1018"/>
      <c r="AD1073" s="1018"/>
      <c r="AE1073" s="1018"/>
      <c r="AF1073" s="1018"/>
      <c r="AG1073" s="1018"/>
      <c r="AH1073" s="1018"/>
      <c r="AI1073" s="1018"/>
      <c r="AJ1073" s="1018"/>
      <c r="AK1073" s="1018"/>
      <c r="AL1073" s="1018"/>
      <c r="AM1073" s="1018"/>
      <c r="AN1073" s="1018"/>
      <c r="AO1073" s="1018"/>
      <c r="AP1073" s="1018"/>
      <c r="AQ1073" s="182"/>
      <c r="AR1073" s="182"/>
      <c r="AS1073" s="182"/>
      <c r="AT1073" s="182"/>
      <c r="AU1073" s="182"/>
      <c r="AV1073" s="182"/>
    </row>
    <row r="1074" spans="2:48" ht="26.25" customHeight="1" x14ac:dyDescent="0.2">
      <c r="B1074" s="1059" t="str">
        <f>CATEG_IMPORTEE</f>
        <v>Collèges Mixtes Etablissement</v>
      </c>
      <c r="C1074" s="1059"/>
      <c r="D1074" s="1059"/>
      <c r="E1074" s="1059"/>
      <c r="F1074" s="1059"/>
      <c r="G1074" s="1059"/>
      <c r="H1074" s="1059"/>
      <c r="I1074" s="1059"/>
      <c r="J1074" s="1059"/>
      <c r="K1074" s="1059"/>
      <c r="L1074" s="1059"/>
      <c r="M1074" s="1059"/>
      <c r="N1074" s="1059"/>
      <c r="O1074" s="1059"/>
      <c r="P1074" s="1059"/>
      <c r="Q1074" s="1059"/>
      <c r="R1074" s="1059"/>
      <c r="S1074" s="1059"/>
      <c r="T1074" s="1059"/>
      <c r="U1074" s="1059"/>
      <c r="V1074" s="1059"/>
      <c r="W1074" s="1059"/>
      <c r="X1074" s="1059"/>
      <c r="Y1074" s="1059"/>
      <c r="Z1074" s="1059"/>
      <c r="AA1074" s="1059"/>
      <c r="AB1074" s="1059"/>
      <c r="AC1074" s="1059"/>
      <c r="AD1074" s="1059"/>
      <c r="AE1074" s="1059"/>
      <c r="AF1074" s="1059"/>
      <c r="AG1074" s="1059"/>
      <c r="AH1074" s="1059"/>
      <c r="AI1074" s="1059"/>
      <c r="AJ1074" s="1059"/>
      <c r="AK1074" s="1059"/>
      <c r="AL1074" s="1059"/>
      <c r="AM1074" s="1059"/>
      <c r="AN1074" s="1059"/>
      <c r="AO1074" s="1059"/>
      <c r="AP1074" s="1059"/>
      <c r="AQ1074" s="182"/>
      <c r="AR1074" s="1060">
        <f>AR1011+1</f>
        <v>18</v>
      </c>
      <c r="AS1074" s="1061"/>
      <c r="AT1074" s="1062"/>
      <c r="AU1074" s="182"/>
      <c r="AV1074" s="182"/>
    </row>
    <row r="1075" spans="2:48" ht="18" customHeight="1" x14ac:dyDescent="0.2">
      <c r="B1075" s="182"/>
      <c r="C1075" s="182"/>
      <c r="D1075" s="182"/>
      <c r="E1075" s="182"/>
      <c r="F1075" s="182"/>
      <c r="G1075" s="182"/>
      <c r="H1075" s="182"/>
      <c r="I1075" s="182"/>
      <c r="J1075" s="182"/>
      <c r="K1075" s="182"/>
      <c r="L1075" s="182"/>
      <c r="M1075" s="182"/>
      <c r="N1075" s="182"/>
      <c r="O1075" s="182"/>
      <c r="P1075" s="182"/>
      <c r="Q1075" s="182"/>
      <c r="R1075" s="182"/>
      <c r="S1075" s="182"/>
      <c r="T1075" s="182"/>
      <c r="U1075" s="182"/>
      <c r="V1075" s="182"/>
      <c r="W1075" s="182"/>
      <c r="X1075" s="183"/>
      <c r="Y1075" s="184"/>
      <c r="Z1075" s="182"/>
      <c r="AA1075" s="182"/>
      <c r="AB1075" s="182"/>
      <c r="AC1075" s="182"/>
      <c r="AD1075" s="182"/>
      <c r="AE1075" s="182"/>
      <c r="AF1075" s="182"/>
      <c r="AG1075" s="182"/>
      <c r="AH1075" s="182"/>
      <c r="AI1075" s="182"/>
      <c r="AJ1075" s="182"/>
      <c r="AK1075" s="182"/>
      <c r="AL1075" s="182"/>
      <c r="AM1075" s="182"/>
      <c r="AN1075" s="182"/>
      <c r="AO1075" s="182"/>
      <c r="AP1075" s="182"/>
      <c r="AQ1075" s="182"/>
      <c r="AR1075" s="1063"/>
      <c r="AS1075" s="1064"/>
      <c r="AT1075" s="1065"/>
      <c r="AU1075" s="182"/>
      <c r="AV1075" s="182"/>
    </row>
    <row r="1076" spans="2:48" ht="18.75" customHeight="1" thickBot="1" x14ac:dyDescent="0.25">
      <c r="B1076" s="182"/>
      <c r="C1076" s="182"/>
      <c r="D1076" s="182"/>
      <c r="E1076" s="182"/>
      <c r="F1076" s="182"/>
      <c r="G1076" s="182"/>
      <c r="H1076" s="992" t="s">
        <v>374</v>
      </c>
      <c r="I1076" s="992"/>
      <c r="J1076" s="992"/>
      <c r="K1076" s="992"/>
      <c r="L1076" s="992"/>
      <c r="M1076" s="992"/>
      <c r="N1076" s="992"/>
      <c r="O1076" s="992"/>
      <c r="P1076" s="992"/>
      <c r="Q1076" s="992"/>
      <c r="R1076" s="182"/>
      <c r="S1076" s="182"/>
      <c r="T1076" s="182"/>
      <c r="U1076" s="182"/>
      <c r="V1076" s="182"/>
      <c r="W1076" s="182"/>
      <c r="X1076" s="183"/>
      <c r="Y1076" s="182"/>
      <c r="Z1076" s="182"/>
      <c r="AA1076" s="182"/>
      <c r="AB1076" s="182"/>
      <c r="AC1076" s="182"/>
      <c r="AD1076" s="182"/>
      <c r="AE1076" s="992" t="s">
        <v>374</v>
      </c>
      <c r="AF1076" s="992"/>
      <c r="AG1076" s="992"/>
      <c r="AH1076" s="992"/>
      <c r="AI1076" s="992"/>
      <c r="AJ1076" s="992"/>
      <c r="AK1076" s="992"/>
      <c r="AL1076" s="992"/>
      <c r="AM1076" s="992"/>
      <c r="AN1076" s="992"/>
      <c r="AO1076" s="182"/>
      <c r="AP1076" s="182"/>
      <c r="AQ1076" s="182"/>
      <c r="AR1076" s="1066"/>
      <c r="AS1076" s="1067"/>
      <c r="AT1076" s="1068"/>
      <c r="AU1076" s="182"/>
      <c r="AV1076" s="182"/>
    </row>
    <row r="1077" spans="2:48" ht="18" x14ac:dyDescent="0.2">
      <c r="B1077" s="182"/>
      <c r="C1077" s="182"/>
      <c r="D1077" s="182"/>
      <c r="E1077" s="182"/>
      <c r="F1077" s="182"/>
      <c r="G1077" s="182"/>
      <c r="H1077" s="1022" t="e">
        <f>VLOOKUP(U1086,ID_archer_cible,4,FALSE)</f>
        <v>#N/A</v>
      </c>
      <c r="I1077" s="1023"/>
      <c r="J1077" s="1023"/>
      <c r="K1077" s="1023"/>
      <c r="L1077" s="1023"/>
      <c r="M1077" s="1023"/>
      <c r="N1077" s="1023"/>
      <c r="O1077" s="1023"/>
      <c r="P1077" s="1023"/>
      <c r="Q1077" s="1024"/>
      <c r="R1077" s="182"/>
      <c r="S1077" s="182"/>
      <c r="T1077" s="182"/>
      <c r="U1077" s="182"/>
      <c r="V1077" s="182"/>
      <c r="W1077" s="182"/>
      <c r="X1077" s="183"/>
      <c r="Y1077" s="182"/>
      <c r="Z1077" s="182"/>
      <c r="AA1077" s="182"/>
      <c r="AB1077" s="182"/>
      <c r="AC1077" s="182"/>
      <c r="AD1077" s="182"/>
      <c r="AE1077" s="1022" t="e">
        <f>VLOOKUP(AS1086,ID_archer_cible,4,FALSE)</f>
        <v>#N/A</v>
      </c>
      <c r="AF1077" s="1023"/>
      <c r="AG1077" s="1023"/>
      <c r="AH1077" s="1023"/>
      <c r="AI1077" s="1023"/>
      <c r="AJ1077" s="1023"/>
      <c r="AK1077" s="1023"/>
      <c r="AL1077" s="1023"/>
      <c r="AM1077" s="1023"/>
      <c r="AN1077" s="1024"/>
      <c r="AO1077" s="182"/>
      <c r="AP1077" s="182"/>
      <c r="AQ1077" s="182"/>
      <c r="AR1077" s="182"/>
      <c r="AS1077" s="182"/>
      <c r="AT1077" s="182"/>
      <c r="AU1077" s="182"/>
      <c r="AV1077" s="182"/>
    </row>
    <row r="1078" spans="2:48" x14ac:dyDescent="0.2">
      <c r="X1078" s="186"/>
    </row>
    <row r="1079" spans="2:48" x14ac:dyDescent="0.2">
      <c r="B1079" s="1021" t="s">
        <v>0</v>
      </c>
      <c r="C1079" s="1021"/>
      <c r="D1079" s="1021"/>
      <c r="E1079" s="1021"/>
      <c r="F1079" s="1021"/>
      <c r="G1079" s="1021"/>
      <c r="H1079" s="1021"/>
      <c r="I1079" s="1021"/>
      <c r="J1079" s="1021"/>
      <c r="K1079" s="1021"/>
      <c r="L1079" s="1021"/>
      <c r="M1079" s="187"/>
      <c r="P1079" s="992" t="s">
        <v>375</v>
      </c>
      <c r="Q1079" s="992"/>
      <c r="R1079" s="992"/>
      <c r="S1079" s="992"/>
      <c r="T1079" s="992"/>
      <c r="U1079" s="992"/>
      <c r="V1079" s="992"/>
      <c r="W1079" s="992"/>
      <c r="X1079" s="188"/>
      <c r="Z1079" s="1021" t="s">
        <v>0</v>
      </c>
      <c r="AA1079" s="1021"/>
      <c r="AB1079" s="1021"/>
      <c r="AC1079" s="1021"/>
      <c r="AD1079" s="1021"/>
      <c r="AE1079" s="1021"/>
      <c r="AF1079" s="1021"/>
      <c r="AG1079" s="1021"/>
      <c r="AH1079" s="1021"/>
      <c r="AI1079" s="1021"/>
      <c r="AJ1079" s="1021"/>
      <c r="AK1079" s="187"/>
      <c r="AN1079" s="992" t="s">
        <v>375</v>
      </c>
      <c r="AO1079" s="992"/>
      <c r="AP1079" s="992"/>
      <c r="AQ1079" s="992"/>
      <c r="AR1079" s="992"/>
      <c r="AS1079" s="992"/>
      <c r="AT1079" s="992"/>
      <c r="AU1079" s="992"/>
      <c r="AV1079" s="187"/>
    </row>
    <row r="1080" spans="2:48" x14ac:dyDescent="0.2">
      <c r="B1080" s="999" t="e">
        <f>VLOOKUP(U1086,ID_archer_cible,2,FALSE)</f>
        <v>#N/A</v>
      </c>
      <c r="C1080" s="1000"/>
      <c r="D1080" s="1000"/>
      <c r="E1080" s="1000"/>
      <c r="F1080" s="1000"/>
      <c r="G1080" s="1000"/>
      <c r="H1080" s="1000"/>
      <c r="I1080" s="1000"/>
      <c r="J1080" s="1000"/>
      <c r="K1080" s="1000"/>
      <c r="L1080" s="1000"/>
      <c r="M1080" s="1001"/>
      <c r="P1080" s="999" t="e">
        <f>VLOOKUP(U1086,ID_archer_cible,3,FALSE)</f>
        <v>#N/A</v>
      </c>
      <c r="Q1080" s="1000"/>
      <c r="R1080" s="1000"/>
      <c r="S1080" s="1000"/>
      <c r="T1080" s="1000"/>
      <c r="U1080" s="1000"/>
      <c r="V1080" s="1000"/>
      <c r="W1080" s="1001"/>
      <c r="X1080" s="186"/>
      <c r="Y1080"/>
      <c r="Z1080" s="999" t="e">
        <f>VLOOKUP(AS1086,ID_archer_cible,2,FALSE)</f>
        <v>#N/A</v>
      </c>
      <c r="AA1080" s="1000"/>
      <c r="AB1080" s="1000"/>
      <c r="AC1080" s="1000"/>
      <c r="AD1080" s="1000"/>
      <c r="AE1080" s="1000"/>
      <c r="AF1080" s="1000"/>
      <c r="AG1080" s="1000"/>
      <c r="AH1080" s="1000"/>
      <c r="AI1080" s="1000"/>
      <c r="AJ1080" s="1000"/>
      <c r="AK1080" s="1001"/>
      <c r="AN1080" s="999" t="e">
        <f>VLOOKUP(AS1086,ID_archer_cible,3,FALSE)</f>
        <v>#N/A</v>
      </c>
      <c r="AO1080" s="1000"/>
      <c r="AP1080" s="1000"/>
      <c r="AQ1080" s="1000"/>
      <c r="AR1080" s="1000"/>
      <c r="AS1080" s="1000"/>
      <c r="AT1080" s="1000"/>
      <c r="AU1080" s="1001"/>
    </row>
    <row r="1081" spans="2:48" x14ac:dyDescent="0.2">
      <c r="X1081" s="186"/>
      <c r="Y1081"/>
    </row>
    <row r="1082" spans="2:48" ht="16.5" thickBot="1" x14ac:dyDescent="0.25">
      <c r="B1082" s="1017" t="s">
        <v>1</v>
      </c>
      <c r="C1082" s="1017"/>
      <c r="D1082" s="1017"/>
      <c r="E1082" s="1017"/>
      <c r="F1082" s="1017"/>
      <c r="G1082" s="1017"/>
      <c r="H1082" s="1017"/>
      <c r="I1082" s="1017"/>
      <c r="J1082" s="1017"/>
      <c r="L1082" s="1017" t="s">
        <v>505</v>
      </c>
      <c r="M1082" s="1017"/>
      <c r="N1082" s="1017"/>
      <c r="O1082" s="1017"/>
      <c r="P1082" s="1017"/>
      <c r="Q1082" s="1017"/>
      <c r="S1082" s="992" t="s">
        <v>506</v>
      </c>
      <c r="T1082" s="992"/>
      <c r="U1082" s="992"/>
      <c r="V1082" s="992"/>
      <c r="W1082" s="992"/>
      <c r="X1082" s="188"/>
      <c r="Y1082"/>
      <c r="Z1082" s="1017" t="s">
        <v>1</v>
      </c>
      <c r="AA1082" s="1017"/>
      <c r="AB1082" s="1017"/>
      <c r="AC1082" s="1017"/>
      <c r="AD1082" s="1017"/>
      <c r="AE1082" s="1017"/>
      <c r="AF1082" s="1017"/>
      <c r="AG1082" s="1017"/>
      <c r="AH1082" s="1017"/>
      <c r="AJ1082" s="1017" t="s">
        <v>505</v>
      </c>
      <c r="AK1082" s="1017"/>
      <c r="AL1082" s="1017"/>
      <c r="AM1082" s="1017"/>
      <c r="AN1082" s="1017"/>
      <c r="AO1082" s="1017"/>
      <c r="AQ1082" s="992" t="s">
        <v>506</v>
      </c>
      <c r="AR1082" s="992"/>
      <c r="AS1082" s="992"/>
      <c r="AT1082" s="992"/>
      <c r="AU1082" s="992"/>
      <c r="AV1082" s="187"/>
    </row>
    <row r="1083" spans="2:48" ht="16.5" thickBot="1" x14ac:dyDescent="0.25">
      <c r="B1083" s="1014" t="e">
        <f>VLOOKUP(U1086,ID_archer_cible,5,FALSE)</f>
        <v>#N/A</v>
      </c>
      <c r="C1083" s="1015"/>
      <c r="D1083" s="1015"/>
      <c r="E1083" s="1015"/>
      <c r="F1083" s="1015"/>
      <c r="G1083" s="1015"/>
      <c r="H1083" s="1015"/>
      <c r="I1083" s="1015"/>
      <c r="J1083" s="1016"/>
      <c r="L1083" s="1014" t="e">
        <f>VLOOKUP(U1086,ID_archer_cible,6,FALSE)</f>
        <v>#N/A</v>
      </c>
      <c r="M1083" s="1015"/>
      <c r="N1083" s="1015"/>
      <c r="O1083" s="1015"/>
      <c r="P1083" s="1015"/>
      <c r="Q1083" s="1016"/>
      <c r="S1083" s="999" t="e">
        <f>VLOOKUP(U1086,ID_archer_cible,8,FALSE)</f>
        <v>#N/A</v>
      </c>
      <c r="T1083" s="1000"/>
      <c r="U1083" s="1000"/>
      <c r="V1083" s="1000"/>
      <c r="W1083" s="1001"/>
      <c r="X1083" s="186"/>
      <c r="Y1083"/>
      <c r="Z1083" s="1014" t="e">
        <f>VLOOKUP(AS1086,ID_archer_cible,5,FALSE)</f>
        <v>#N/A</v>
      </c>
      <c r="AA1083" s="1015"/>
      <c r="AB1083" s="1015"/>
      <c r="AC1083" s="1015"/>
      <c r="AD1083" s="1015"/>
      <c r="AE1083" s="1015"/>
      <c r="AF1083" s="1015"/>
      <c r="AG1083" s="1015"/>
      <c r="AH1083" s="1016"/>
      <c r="AJ1083" s="1014" t="e">
        <f>VLOOKUP(AS1086,ID_archer_cible,6,FALSE)</f>
        <v>#N/A</v>
      </c>
      <c r="AK1083" s="1015"/>
      <c r="AL1083" s="1015"/>
      <c r="AM1083" s="1015"/>
      <c r="AN1083" s="1015"/>
      <c r="AO1083" s="1016"/>
      <c r="AQ1083" s="999" t="e">
        <f>VLOOKUP(AS1086,ID_archer_cible,8,FALSE)</f>
        <v>#N/A</v>
      </c>
      <c r="AR1083" s="1000"/>
      <c r="AS1083" s="1000"/>
      <c r="AT1083" s="1000"/>
      <c r="AU1083" s="1001"/>
    </row>
    <row r="1084" spans="2:48" x14ac:dyDescent="0.2">
      <c r="X1084" s="186"/>
      <c r="Y1084"/>
    </row>
    <row r="1085" spans="2:48" x14ac:dyDescent="0.2">
      <c r="B1085" s="992" t="s">
        <v>530</v>
      </c>
      <c r="C1085" s="992"/>
      <c r="D1085" s="992"/>
      <c r="E1085" s="992"/>
      <c r="F1085" s="992"/>
      <c r="G1085" s="187"/>
      <c r="H1085" s="992" t="s">
        <v>504</v>
      </c>
      <c r="I1085" s="992"/>
      <c r="J1085" s="992"/>
      <c r="K1085" s="992"/>
      <c r="M1085" s="992" t="s">
        <v>39</v>
      </c>
      <c r="N1085" s="992"/>
      <c r="O1085" s="992"/>
      <c r="Q1085" s="1021"/>
      <c r="R1085" s="1021"/>
      <c r="S1085" s="1021"/>
      <c r="U1085" s="992" t="s">
        <v>507</v>
      </c>
      <c r="V1085" s="992"/>
      <c r="W1085" s="992"/>
      <c r="X1085" s="188"/>
      <c r="Y1085"/>
      <c r="Z1085" s="992" t="s">
        <v>530</v>
      </c>
      <c r="AA1085" s="992"/>
      <c r="AB1085" s="992"/>
      <c r="AC1085" s="992"/>
      <c r="AD1085" s="992"/>
      <c r="AE1085" s="187"/>
      <c r="AF1085" s="992" t="s">
        <v>504</v>
      </c>
      <c r="AG1085" s="992"/>
      <c r="AH1085" s="992"/>
      <c r="AI1085" s="992"/>
      <c r="AK1085" s="992" t="s">
        <v>39</v>
      </c>
      <c r="AL1085" s="992"/>
      <c r="AM1085" s="992"/>
      <c r="AO1085" s="1021"/>
      <c r="AP1085" s="1021"/>
      <c r="AQ1085" s="1021"/>
      <c r="AS1085" s="992" t="s">
        <v>507</v>
      </c>
      <c r="AT1085" s="992"/>
      <c r="AU1085" s="992"/>
      <c r="AV1085" s="187"/>
    </row>
    <row r="1086" spans="2:48" ht="15.75" x14ac:dyDescent="0.2">
      <c r="B1086" s="1011" t="e">
        <f>VLOOKUP(U1086,ID_archer_cible,7,FALSE)</f>
        <v>#N/A</v>
      </c>
      <c r="C1086" s="1012"/>
      <c r="D1086" s="1012"/>
      <c r="E1086" s="1012"/>
      <c r="F1086" s="1013"/>
      <c r="H1086" s="999" t="e">
        <f>VLOOKUP(U1086,ID_archer_cible,9,FALSE)</f>
        <v>#N/A</v>
      </c>
      <c r="I1086" s="1000"/>
      <c r="J1086" s="1000"/>
      <c r="K1086" s="1001"/>
      <c r="M1086" s="999" t="e">
        <f>VLOOKUP(U1086,ID_archer_cible,10,FALSE)</f>
        <v>#N/A</v>
      </c>
      <c r="N1086" s="1000"/>
      <c r="O1086" s="1001"/>
      <c r="Q1086" s="1021"/>
      <c r="R1086" s="1021"/>
      <c r="S1086" s="1021"/>
      <c r="T1086" s="187"/>
      <c r="U1086" s="996" t="str">
        <f>AR1074&amp;"A"</f>
        <v>18A</v>
      </c>
      <c r="V1086" s="997"/>
      <c r="W1086" s="998"/>
      <c r="X1086" s="188"/>
      <c r="Y1086"/>
      <c r="Z1086" s="1011" t="e">
        <f>VLOOKUP(AS1086,ID_archer_cible,7,FALSE)</f>
        <v>#N/A</v>
      </c>
      <c r="AA1086" s="1012"/>
      <c r="AB1086" s="1012"/>
      <c r="AC1086" s="1012"/>
      <c r="AD1086" s="1013"/>
      <c r="AF1086" s="999" t="e">
        <f>VLOOKUP(AS1086,ID_archer_cible,9,FALSE)</f>
        <v>#N/A</v>
      </c>
      <c r="AG1086" s="1000"/>
      <c r="AH1086" s="1000"/>
      <c r="AI1086" s="1001"/>
      <c r="AK1086" s="999" t="e">
        <f>VLOOKUP(AS1086,ID_archer_cible,10,FALSE)</f>
        <v>#N/A</v>
      </c>
      <c r="AL1086" s="1000"/>
      <c r="AM1086" s="1001"/>
      <c r="AO1086" s="1021"/>
      <c r="AP1086" s="1021"/>
      <c r="AQ1086" s="1021"/>
      <c r="AR1086" s="187"/>
      <c r="AS1086" s="996" t="str">
        <f>AR1074&amp;"B"</f>
        <v>18B</v>
      </c>
      <c r="AT1086" s="997"/>
      <c r="AU1086" s="998"/>
      <c r="AV1086" s="187"/>
    </row>
    <row r="1087" spans="2:48" x14ac:dyDescent="0.2">
      <c r="X1087" s="186"/>
    </row>
    <row r="1088" spans="2:48" x14ac:dyDescent="0.2">
      <c r="B1088" s="185" t="s">
        <v>509</v>
      </c>
      <c r="E1088" s="992" t="s">
        <v>510</v>
      </c>
      <c r="F1088" s="992"/>
      <c r="G1088" s="992"/>
      <c r="H1088" s="992"/>
      <c r="I1088" s="992"/>
      <c r="J1088" s="992"/>
      <c r="K1088" s="992"/>
      <c r="L1088" s="992"/>
      <c r="M1088" s="992"/>
      <c r="N1088" s="992"/>
      <c r="P1088" s="992" t="s">
        <v>511</v>
      </c>
      <c r="Q1088" s="992"/>
      <c r="R1088" s="992"/>
      <c r="X1088" s="186"/>
      <c r="Z1088" s="185" t="s">
        <v>509</v>
      </c>
      <c r="AC1088" s="992" t="s">
        <v>510</v>
      </c>
      <c r="AD1088" s="992"/>
      <c r="AE1088" s="992"/>
      <c r="AF1088" s="992"/>
      <c r="AG1088" s="992"/>
      <c r="AH1088" s="992"/>
      <c r="AI1088" s="992"/>
      <c r="AJ1088" s="992"/>
      <c r="AK1088" s="992"/>
      <c r="AL1088" s="992"/>
      <c r="AN1088" s="992" t="s">
        <v>511</v>
      </c>
      <c r="AO1088" s="992"/>
      <c r="AP1088" s="992"/>
    </row>
    <row r="1089" spans="2:48" ht="20.25" customHeight="1" x14ac:dyDescent="0.2">
      <c r="B1089" s="1009" t="s">
        <v>513</v>
      </c>
      <c r="C1089" s="1009"/>
      <c r="E1089" s="189"/>
      <c r="F1089" s="191"/>
      <c r="G1089" s="189"/>
      <c r="H1089" s="191"/>
      <c r="I1089" s="189"/>
      <c r="J1089" s="191"/>
      <c r="K1089" s="189"/>
      <c r="L1089" s="191"/>
      <c r="M1089" s="189"/>
      <c r="N1089" s="191"/>
      <c r="P1089" s="189"/>
      <c r="Q1089" s="190"/>
      <c r="R1089" s="191"/>
      <c r="T1089" s="992" t="s">
        <v>512</v>
      </c>
      <c r="U1089" s="992"/>
      <c r="V1089" s="992"/>
      <c r="W1089" s="992"/>
      <c r="X1089" s="188"/>
      <c r="Z1089" s="1009" t="s">
        <v>513</v>
      </c>
      <c r="AA1089" s="1009"/>
      <c r="AC1089" s="189"/>
      <c r="AD1089" s="191"/>
      <c r="AE1089" s="189"/>
      <c r="AF1089" s="191"/>
      <c r="AG1089" s="189"/>
      <c r="AH1089" s="191"/>
      <c r="AI1089" s="189"/>
      <c r="AJ1089" s="191"/>
      <c r="AK1089" s="189"/>
      <c r="AL1089" s="191"/>
      <c r="AN1089" s="189"/>
      <c r="AO1089" s="190"/>
      <c r="AP1089" s="191"/>
      <c r="AR1089" s="992" t="s">
        <v>512</v>
      </c>
      <c r="AS1089" s="992"/>
      <c r="AT1089" s="992"/>
      <c r="AU1089" s="992"/>
      <c r="AV1089" s="187"/>
    </row>
    <row r="1090" spans="2:48" ht="20.25" customHeight="1" x14ac:dyDescent="0.2">
      <c r="B1090" s="1009" t="s">
        <v>514</v>
      </c>
      <c r="C1090" s="1009"/>
      <c r="E1090" s="189"/>
      <c r="F1090" s="191"/>
      <c r="G1090" s="189"/>
      <c r="H1090" s="191"/>
      <c r="I1090" s="189"/>
      <c r="J1090" s="191"/>
      <c r="K1090" s="189"/>
      <c r="L1090" s="191"/>
      <c r="M1090" s="189"/>
      <c r="N1090" s="191"/>
      <c r="P1090" s="189"/>
      <c r="Q1090" s="190"/>
      <c r="R1090" s="191"/>
      <c r="T1090" s="189"/>
      <c r="U1090" s="190"/>
      <c r="V1090" s="190"/>
      <c r="W1090" s="191"/>
      <c r="X1090" s="186"/>
      <c r="Z1090" s="1009" t="s">
        <v>514</v>
      </c>
      <c r="AA1090" s="1009"/>
      <c r="AC1090" s="189"/>
      <c r="AD1090" s="191"/>
      <c r="AE1090" s="189"/>
      <c r="AF1090" s="191"/>
      <c r="AG1090" s="189"/>
      <c r="AH1090" s="191"/>
      <c r="AI1090" s="189"/>
      <c r="AJ1090" s="191"/>
      <c r="AK1090" s="189"/>
      <c r="AL1090" s="191"/>
      <c r="AN1090" s="189"/>
      <c r="AO1090" s="190"/>
      <c r="AP1090" s="191"/>
      <c r="AR1090" s="189"/>
      <c r="AS1090" s="190"/>
      <c r="AT1090" s="190"/>
      <c r="AU1090" s="191"/>
    </row>
    <row r="1091" spans="2:48" ht="20.25" customHeight="1" x14ac:dyDescent="0.2">
      <c r="B1091" s="1009" t="s">
        <v>515</v>
      </c>
      <c r="C1091" s="1009"/>
      <c r="E1091" s="189"/>
      <c r="F1091" s="191"/>
      <c r="G1091" s="189"/>
      <c r="H1091" s="191"/>
      <c r="I1091" s="189"/>
      <c r="J1091" s="191"/>
      <c r="K1091" s="189"/>
      <c r="L1091" s="191"/>
      <c r="M1091" s="189"/>
      <c r="N1091" s="191"/>
      <c r="P1091" s="189"/>
      <c r="Q1091" s="190"/>
      <c r="R1091" s="191"/>
      <c r="T1091" s="189"/>
      <c r="U1091" s="190"/>
      <c r="V1091" s="190"/>
      <c r="W1091" s="191"/>
      <c r="X1091" s="186"/>
      <c r="Z1091" s="1009" t="s">
        <v>515</v>
      </c>
      <c r="AA1091" s="1009"/>
      <c r="AC1091" s="189"/>
      <c r="AD1091" s="191"/>
      <c r="AE1091" s="189"/>
      <c r="AF1091" s="191"/>
      <c r="AG1091" s="189"/>
      <c r="AH1091" s="191"/>
      <c r="AI1091" s="189"/>
      <c r="AJ1091" s="191"/>
      <c r="AK1091" s="189"/>
      <c r="AL1091" s="191"/>
      <c r="AN1091" s="189"/>
      <c r="AO1091" s="190"/>
      <c r="AP1091" s="191"/>
      <c r="AR1091" s="189"/>
      <c r="AS1091" s="190"/>
      <c r="AT1091" s="190"/>
      <c r="AU1091" s="191"/>
    </row>
    <row r="1092" spans="2:48" ht="20.25" customHeight="1" x14ac:dyDescent="0.2">
      <c r="B1092" s="1009" t="s">
        <v>516</v>
      </c>
      <c r="C1092" s="1009"/>
      <c r="E1092" s="189"/>
      <c r="F1092" s="191"/>
      <c r="G1092" s="189"/>
      <c r="H1092" s="191"/>
      <c r="I1092" s="189"/>
      <c r="J1092" s="191"/>
      <c r="K1092" s="189"/>
      <c r="L1092" s="191"/>
      <c r="M1092" s="189"/>
      <c r="N1092" s="191"/>
      <c r="P1092" s="189"/>
      <c r="Q1092" s="190"/>
      <c r="R1092" s="191"/>
      <c r="T1092" s="189"/>
      <c r="U1092" s="190"/>
      <c r="V1092" s="190"/>
      <c r="W1092" s="191"/>
      <c r="X1092" s="186"/>
      <c r="Z1092" s="1009" t="s">
        <v>516</v>
      </c>
      <c r="AA1092" s="1009"/>
      <c r="AC1092" s="189"/>
      <c r="AD1092" s="191"/>
      <c r="AE1092" s="189"/>
      <c r="AF1092" s="191"/>
      <c r="AG1092" s="189"/>
      <c r="AH1092" s="191"/>
      <c r="AI1092" s="189"/>
      <c r="AJ1092" s="191"/>
      <c r="AK1092" s="189"/>
      <c r="AL1092" s="191"/>
      <c r="AN1092" s="189"/>
      <c r="AO1092" s="190"/>
      <c r="AP1092" s="191"/>
      <c r="AR1092" s="189"/>
      <c r="AS1092" s="190"/>
      <c r="AT1092" s="190"/>
      <c r="AU1092" s="191"/>
    </row>
    <row r="1093" spans="2:48" ht="20.25" customHeight="1" x14ac:dyDescent="0.2">
      <c r="B1093" s="1009" t="s">
        <v>517</v>
      </c>
      <c r="C1093" s="1009"/>
      <c r="E1093" s="189"/>
      <c r="F1093" s="191"/>
      <c r="G1093" s="189"/>
      <c r="H1093" s="191"/>
      <c r="I1093" s="189"/>
      <c r="J1093" s="191"/>
      <c r="K1093" s="189"/>
      <c r="L1093" s="191"/>
      <c r="M1093" s="189"/>
      <c r="N1093" s="191"/>
      <c r="P1093" s="189"/>
      <c r="Q1093" s="190"/>
      <c r="R1093" s="191"/>
      <c r="T1093" s="189"/>
      <c r="U1093" s="190"/>
      <c r="V1093" s="190"/>
      <c r="W1093" s="191"/>
      <c r="X1093" s="186"/>
      <c r="Z1093" s="1009" t="s">
        <v>517</v>
      </c>
      <c r="AA1093" s="1009"/>
      <c r="AC1093" s="189"/>
      <c r="AD1093" s="191"/>
      <c r="AE1093" s="189"/>
      <c r="AF1093" s="191"/>
      <c r="AG1093" s="189"/>
      <c r="AH1093" s="191"/>
      <c r="AI1093" s="189"/>
      <c r="AJ1093" s="191"/>
      <c r="AK1093" s="189"/>
      <c r="AL1093" s="191"/>
      <c r="AN1093" s="189"/>
      <c r="AO1093" s="190"/>
      <c r="AP1093" s="191"/>
      <c r="AR1093" s="189"/>
      <c r="AS1093" s="190"/>
      <c r="AT1093" s="190"/>
      <c r="AU1093" s="191"/>
    </row>
    <row r="1094" spans="2:48" ht="20.25" customHeight="1" x14ac:dyDescent="0.2">
      <c r="B1094" s="1009" t="s">
        <v>518</v>
      </c>
      <c r="C1094" s="1009"/>
      <c r="E1094" s="189"/>
      <c r="F1094" s="191"/>
      <c r="G1094" s="189"/>
      <c r="H1094" s="191"/>
      <c r="I1094" s="189"/>
      <c r="J1094" s="191"/>
      <c r="K1094" s="189"/>
      <c r="L1094" s="191"/>
      <c r="M1094" s="189"/>
      <c r="N1094" s="191"/>
      <c r="P1094" s="189"/>
      <c r="Q1094" s="190"/>
      <c r="R1094" s="191"/>
      <c r="T1094" s="189"/>
      <c r="U1094" s="190"/>
      <c r="V1094" s="190"/>
      <c r="W1094" s="191"/>
      <c r="X1094" s="186"/>
      <c r="Z1094" s="1009" t="s">
        <v>518</v>
      </c>
      <c r="AA1094" s="1009"/>
      <c r="AC1094" s="189"/>
      <c r="AD1094" s="191"/>
      <c r="AE1094" s="189"/>
      <c r="AF1094" s="191"/>
      <c r="AG1094" s="189"/>
      <c r="AH1094" s="191"/>
      <c r="AI1094" s="189"/>
      <c r="AJ1094" s="191"/>
      <c r="AK1094" s="189"/>
      <c r="AL1094" s="191"/>
      <c r="AN1094" s="189"/>
      <c r="AO1094" s="190"/>
      <c r="AP1094" s="191"/>
      <c r="AR1094" s="189"/>
      <c r="AS1094" s="190"/>
      <c r="AT1094" s="190"/>
      <c r="AU1094" s="191"/>
    </row>
    <row r="1095" spans="2:48" ht="15.75" thickBot="1" x14ac:dyDescent="0.25">
      <c r="B1095" s="187"/>
      <c r="C1095" s="187"/>
      <c r="X1095" s="186"/>
      <c r="Z1095" s="187"/>
      <c r="AA1095" s="187"/>
    </row>
    <row r="1096" spans="2:48" ht="20.25" customHeight="1" thickBot="1" x14ac:dyDescent="0.25">
      <c r="P1096" s="197" t="s">
        <v>519</v>
      </c>
      <c r="Q1096" s="197"/>
      <c r="R1096" s="197"/>
      <c r="S1096" s="197"/>
      <c r="T1096" s="192"/>
      <c r="U1096" s="193"/>
      <c r="V1096" s="193"/>
      <c r="W1096" s="194"/>
      <c r="X1096" s="186"/>
      <c r="AN1096" s="197" t="s">
        <v>519</v>
      </c>
      <c r="AO1096" s="197"/>
      <c r="AP1096" s="197"/>
      <c r="AQ1096" s="197"/>
      <c r="AR1096" s="192"/>
      <c r="AS1096" s="193"/>
      <c r="AT1096" s="193"/>
      <c r="AU1096" s="194"/>
    </row>
    <row r="1097" spans="2:48" x14ac:dyDescent="0.2">
      <c r="E1097" s="196"/>
      <c r="F1097" s="196"/>
      <c r="G1097" s="196"/>
      <c r="H1097" s="196"/>
      <c r="I1097" s="196"/>
      <c r="J1097" s="196"/>
      <c r="K1097" s="196"/>
      <c r="L1097" s="196"/>
      <c r="M1097" s="196"/>
      <c r="X1097" s="186"/>
      <c r="AC1097" s="196"/>
      <c r="AD1097" s="196"/>
      <c r="AE1097" s="196"/>
      <c r="AF1097" s="196"/>
      <c r="AG1097" s="196"/>
      <c r="AH1097" s="196"/>
      <c r="AI1097" s="196"/>
      <c r="AJ1097" s="196"/>
      <c r="AK1097" s="196"/>
    </row>
    <row r="1098" spans="2:48" x14ac:dyDescent="0.2">
      <c r="B1098" s="1010" t="s">
        <v>521</v>
      </c>
      <c r="C1098" s="1010"/>
      <c r="D1098" s="1010"/>
      <c r="E1098" s="1010"/>
      <c r="F1098" s="1010"/>
      <c r="G1098" s="1010"/>
      <c r="H1098" s="195"/>
      <c r="I1098" s="1010" t="s">
        <v>522</v>
      </c>
      <c r="J1098" s="1010"/>
      <c r="K1098" s="1010"/>
      <c r="L1098" s="1010"/>
      <c r="M1098" s="1010"/>
      <c r="N1098" s="1010"/>
      <c r="O1098" s="1010"/>
      <c r="P1098" s="1010"/>
      <c r="Q1098" s="1010"/>
      <c r="R1098" s="1010"/>
      <c r="S1098" s="1010"/>
      <c r="T1098" s="1010"/>
      <c r="U1098" s="1010"/>
      <c r="V1098" s="1010"/>
      <c r="W1098" s="1010"/>
      <c r="X1098" s="198"/>
      <c r="Y1098" s="195"/>
      <c r="Z1098" s="1010" t="s">
        <v>521</v>
      </c>
      <c r="AA1098" s="1010"/>
      <c r="AB1098" s="1010"/>
      <c r="AC1098" s="1010"/>
      <c r="AD1098" s="1010"/>
      <c r="AE1098" s="1010"/>
      <c r="AF1098" s="195"/>
      <c r="AG1098" s="1004" t="s">
        <v>522</v>
      </c>
      <c r="AH1098" s="1004"/>
      <c r="AI1098" s="1004"/>
      <c r="AJ1098" s="1004"/>
      <c r="AK1098" s="1004"/>
      <c r="AL1098" s="1004"/>
      <c r="AM1098" s="1004"/>
      <c r="AN1098" s="1004"/>
      <c r="AO1098" s="1004"/>
      <c r="AP1098" s="1004"/>
      <c r="AQ1098" s="1004"/>
      <c r="AR1098" s="1004"/>
      <c r="AS1098" s="1004"/>
      <c r="AT1098" s="1004"/>
      <c r="AU1098" s="1004"/>
      <c r="AV1098" s="195"/>
    </row>
    <row r="1099" spans="2:48" x14ac:dyDescent="0.2">
      <c r="B1099" s="1005" t="s">
        <v>520</v>
      </c>
      <c r="C1099" s="1006"/>
      <c r="D1099" s="1006"/>
      <c r="E1099" s="1006"/>
      <c r="F1099" s="1006"/>
      <c r="G1099" s="1007"/>
      <c r="I1099" s="1005" t="s">
        <v>0</v>
      </c>
      <c r="J1099" s="1006"/>
      <c r="K1099" s="1006"/>
      <c r="L1099" s="1006"/>
      <c r="M1099" s="1006"/>
      <c r="N1099" s="1006"/>
      <c r="O1099" s="1006"/>
      <c r="P1099" s="1006"/>
      <c r="Q1099" s="1006"/>
      <c r="R1099" s="1006"/>
      <c r="S1099" s="1006"/>
      <c r="T1099" s="1006"/>
      <c r="U1099" s="1006"/>
      <c r="V1099" s="1006"/>
      <c r="W1099" s="1007"/>
      <c r="X1099" s="186"/>
      <c r="Z1099" s="1005" t="s">
        <v>520</v>
      </c>
      <c r="AA1099" s="1006"/>
      <c r="AB1099" s="1006"/>
      <c r="AC1099" s="1006"/>
      <c r="AD1099" s="1006"/>
      <c r="AE1099" s="1007"/>
      <c r="AG1099" s="1005" t="s">
        <v>0</v>
      </c>
      <c r="AH1099" s="1006"/>
      <c r="AI1099" s="1006"/>
      <c r="AJ1099" s="1006"/>
      <c r="AK1099" s="1006"/>
      <c r="AL1099" s="1006"/>
      <c r="AM1099" s="1006"/>
      <c r="AN1099" s="1006"/>
      <c r="AO1099" s="1006"/>
      <c r="AP1099" s="1006"/>
      <c r="AQ1099" s="1006"/>
      <c r="AR1099" s="1006"/>
      <c r="AS1099" s="1006"/>
      <c r="AT1099" s="1006"/>
      <c r="AU1099" s="1007"/>
    </row>
    <row r="1100" spans="2:48" x14ac:dyDescent="0.2">
      <c r="B1100" s="199"/>
      <c r="C1100" s="200"/>
      <c r="D1100" s="200"/>
      <c r="E1100" s="200"/>
      <c r="F1100" s="200"/>
      <c r="G1100" s="201"/>
      <c r="I1100" s="199"/>
      <c r="J1100" s="200"/>
      <c r="K1100" s="200"/>
      <c r="L1100" s="200"/>
      <c r="M1100" s="200"/>
      <c r="N1100" s="200"/>
      <c r="O1100" s="200"/>
      <c r="P1100" s="200"/>
      <c r="Q1100" s="200"/>
      <c r="R1100" s="200"/>
      <c r="S1100" s="200"/>
      <c r="T1100" s="200"/>
      <c r="U1100" s="200"/>
      <c r="V1100" s="200"/>
      <c r="W1100" s="201"/>
      <c r="X1100" s="186"/>
      <c r="Z1100" s="199"/>
      <c r="AA1100" s="200"/>
      <c r="AB1100" s="200"/>
      <c r="AC1100" s="200"/>
      <c r="AD1100" s="200"/>
      <c r="AE1100" s="201"/>
      <c r="AG1100" s="199"/>
      <c r="AH1100" s="200"/>
      <c r="AI1100" s="200"/>
      <c r="AJ1100" s="200"/>
      <c r="AK1100" s="200"/>
      <c r="AL1100" s="200"/>
      <c r="AM1100" s="200"/>
      <c r="AN1100" s="200"/>
      <c r="AO1100" s="200"/>
      <c r="AP1100" s="200"/>
      <c r="AQ1100" s="200"/>
      <c r="AR1100" s="200"/>
      <c r="AS1100" s="200"/>
      <c r="AT1100" s="200"/>
      <c r="AU1100" s="201"/>
    </row>
    <row r="1101" spans="2:48" x14ac:dyDescent="0.2">
      <c r="X1101" s="186"/>
    </row>
    <row r="1102" spans="2:48" x14ac:dyDescent="0.2">
      <c r="I1102" s="1005" t="s">
        <v>481</v>
      </c>
      <c r="J1102" s="1006"/>
      <c r="K1102" s="1006"/>
      <c r="L1102" s="1006"/>
      <c r="M1102" s="1006"/>
      <c r="N1102" s="1006"/>
      <c r="O1102" s="1006"/>
      <c r="P1102" s="1006"/>
      <c r="Q1102" s="1007"/>
      <c r="R1102" s="1005" t="s">
        <v>520</v>
      </c>
      <c r="S1102" s="1006"/>
      <c r="T1102" s="1006"/>
      <c r="U1102" s="1006"/>
      <c r="V1102" s="1006"/>
      <c r="W1102" s="1007"/>
      <c r="X1102" s="186"/>
      <c r="AG1102" s="1005" t="s">
        <v>481</v>
      </c>
      <c r="AH1102" s="1006"/>
      <c r="AI1102" s="1006"/>
      <c r="AJ1102" s="1006"/>
      <c r="AK1102" s="1006"/>
      <c r="AL1102" s="1006"/>
      <c r="AM1102" s="1006"/>
      <c r="AN1102" s="1006"/>
      <c r="AO1102" s="1007"/>
      <c r="AP1102" s="1005" t="s">
        <v>520</v>
      </c>
      <c r="AQ1102" s="1006"/>
      <c r="AR1102" s="1006"/>
      <c r="AS1102" s="1006"/>
      <c r="AT1102" s="1006"/>
      <c r="AU1102" s="1007"/>
    </row>
    <row r="1103" spans="2:48" x14ac:dyDescent="0.2">
      <c r="I1103" s="199"/>
      <c r="J1103" s="200"/>
      <c r="K1103" s="200"/>
      <c r="L1103" s="200"/>
      <c r="M1103" s="200"/>
      <c r="N1103" s="200"/>
      <c r="O1103" s="200"/>
      <c r="P1103" s="200"/>
      <c r="Q1103" s="200"/>
      <c r="R1103" s="199"/>
      <c r="S1103" s="200"/>
      <c r="T1103" s="200"/>
      <c r="U1103" s="200"/>
      <c r="V1103" s="200"/>
      <c r="W1103" s="201"/>
      <c r="X1103" s="186"/>
      <c r="AG1103" s="199"/>
      <c r="AH1103" s="200"/>
      <c r="AI1103" s="200"/>
      <c r="AJ1103" s="200"/>
      <c r="AK1103" s="200"/>
      <c r="AL1103" s="200"/>
      <c r="AM1103" s="200"/>
      <c r="AN1103" s="200"/>
      <c r="AO1103" s="200"/>
      <c r="AP1103" s="199"/>
      <c r="AQ1103" s="200"/>
      <c r="AR1103" s="200"/>
      <c r="AS1103" s="200"/>
      <c r="AT1103" s="200"/>
      <c r="AU1103" s="201"/>
    </row>
    <row r="1104" spans="2:48" ht="39" customHeight="1" x14ac:dyDescent="0.2">
      <c r="B1104" s="392"/>
      <c r="C1104" s="392"/>
      <c r="D1104" s="392"/>
      <c r="E1104" s="392"/>
      <c r="F1104" s="392"/>
      <c r="G1104" s="392"/>
      <c r="H1104" s="392"/>
      <c r="I1104" s="392"/>
      <c r="J1104" s="392"/>
      <c r="K1104" s="392"/>
      <c r="L1104" s="392"/>
      <c r="M1104" s="392"/>
      <c r="N1104" s="392"/>
      <c r="O1104" s="392"/>
      <c r="P1104" s="392"/>
      <c r="Q1104" s="392"/>
      <c r="R1104" s="392"/>
      <c r="S1104" s="392"/>
      <c r="T1104" s="392"/>
      <c r="U1104" s="392"/>
      <c r="V1104" s="392"/>
      <c r="W1104" s="392"/>
      <c r="X1104" s="393"/>
      <c r="Y1104" s="394"/>
      <c r="Z1104" s="392"/>
      <c r="AA1104" s="392"/>
      <c r="AB1104" s="392"/>
      <c r="AC1104" s="392"/>
      <c r="AD1104" s="392"/>
      <c r="AE1104" s="392"/>
      <c r="AF1104" s="392"/>
      <c r="AG1104" s="392"/>
      <c r="AH1104" s="392"/>
      <c r="AI1104" s="392"/>
      <c r="AJ1104" s="392"/>
      <c r="AK1104" s="392"/>
      <c r="AL1104" s="392"/>
      <c r="AM1104" s="392"/>
      <c r="AN1104" s="392"/>
      <c r="AO1104" s="392"/>
      <c r="AP1104" s="392"/>
      <c r="AQ1104" s="392"/>
      <c r="AR1104" s="392"/>
      <c r="AS1104" s="392"/>
      <c r="AT1104" s="392"/>
      <c r="AU1104" s="392"/>
      <c r="AV1104" s="392"/>
    </row>
    <row r="1105" spans="2:48" ht="39" customHeight="1" x14ac:dyDescent="0.2">
      <c r="B1105" s="182"/>
      <c r="C1105" s="182"/>
      <c r="D1105" s="182"/>
      <c r="E1105" s="182"/>
      <c r="F1105" s="182"/>
      <c r="G1105" s="182"/>
      <c r="H1105" s="182"/>
      <c r="I1105" s="182"/>
      <c r="J1105" s="182"/>
      <c r="K1105" s="182"/>
      <c r="L1105" s="182"/>
      <c r="M1105" s="182"/>
      <c r="N1105" s="182"/>
      <c r="O1105" s="182"/>
      <c r="P1105" s="182"/>
      <c r="Q1105" s="182"/>
      <c r="R1105" s="182"/>
      <c r="S1105" s="182"/>
      <c r="T1105" s="182"/>
      <c r="U1105" s="182"/>
      <c r="V1105" s="182"/>
      <c r="W1105" s="182"/>
      <c r="X1105" s="183"/>
      <c r="Y1105" s="184"/>
      <c r="Z1105" s="182"/>
      <c r="AA1105" s="182"/>
      <c r="AB1105" s="182"/>
      <c r="AC1105" s="182"/>
      <c r="AD1105" s="182"/>
      <c r="AE1105" s="182"/>
      <c r="AF1105" s="182"/>
      <c r="AG1105" s="182"/>
      <c r="AH1105" s="182"/>
      <c r="AI1105" s="182"/>
      <c r="AJ1105" s="182"/>
      <c r="AK1105" s="182"/>
      <c r="AL1105" s="182"/>
      <c r="AM1105" s="182"/>
      <c r="AN1105" s="182"/>
      <c r="AO1105" s="182"/>
      <c r="AP1105" s="182"/>
      <c r="AQ1105" s="182"/>
      <c r="AR1105" s="182"/>
      <c r="AS1105" s="182"/>
      <c r="AT1105" s="182"/>
      <c r="AU1105" s="182"/>
      <c r="AV1105" s="182"/>
    </row>
    <row r="1106" spans="2:48" ht="18" x14ac:dyDescent="0.2">
      <c r="B1106" s="182"/>
      <c r="C1106" s="182"/>
      <c r="D1106" s="182"/>
      <c r="E1106" s="182"/>
      <c r="F1106" s="182"/>
      <c r="G1106" s="182"/>
      <c r="H1106" s="992" t="s">
        <v>374</v>
      </c>
      <c r="I1106" s="992"/>
      <c r="J1106" s="992"/>
      <c r="K1106" s="992"/>
      <c r="L1106" s="992"/>
      <c r="M1106" s="992"/>
      <c r="N1106" s="992"/>
      <c r="O1106" s="992"/>
      <c r="P1106" s="992"/>
      <c r="Q1106" s="992"/>
      <c r="R1106" s="182"/>
      <c r="S1106" s="182"/>
      <c r="T1106" s="182"/>
      <c r="U1106" s="182"/>
      <c r="V1106" s="182"/>
      <c r="W1106" s="182"/>
      <c r="X1106" s="183"/>
      <c r="Y1106" s="182"/>
      <c r="Z1106" s="182"/>
      <c r="AA1106" s="182"/>
      <c r="AB1106" s="182"/>
      <c r="AC1106" s="182"/>
      <c r="AD1106" s="182"/>
      <c r="AE1106" s="992" t="s">
        <v>374</v>
      </c>
      <c r="AF1106" s="992"/>
      <c r="AG1106" s="992"/>
      <c r="AH1106" s="992"/>
      <c r="AI1106" s="992"/>
      <c r="AJ1106" s="992"/>
      <c r="AK1106" s="992"/>
      <c r="AL1106" s="992"/>
      <c r="AM1106" s="992"/>
      <c r="AN1106" s="992"/>
      <c r="AO1106" s="182"/>
      <c r="AP1106" s="182"/>
      <c r="AQ1106" s="182"/>
      <c r="AR1106" s="182"/>
      <c r="AS1106" s="182"/>
      <c r="AT1106" s="182"/>
      <c r="AU1106" s="182"/>
      <c r="AV1106" s="182"/>
    </row>
    <row r="1107" spans="2:48" ht="18" x14ac:dyDescent="0.2">
      <c r="B1107" s="182"/>
      <c r="C1107" s="182"/>
      <c r="D1107" s="182"/>
      <c r="E1107" s="182"/>
      <c r="F1107" s="182"/>
      <c r="G1107" s="182"/>
      <c r="H1107" s="1022" t="e">
        <f>VLOOKUP(U1116,ID_archer_cible,4,FALSE)</f>
        <v>#N/A</v>
      </c>
      <c r="I1107" s="1023"/>
      <c r="J1107" s="1023"/>
      <c r="K1107" s="1023"/>
      <c r="L1107" s="1023"/>
      <c r="M1107" s="1023"/>
      <c r="N1107" s="1023"/>
      <c r="O1107" s="1023"/>
      <c r="P1107" s="1023"/>
      <c r="Q1107" s="1024"/>
      <c r="R1107" s="182"/>
      <c r="S1107" s="182"/>
      <c r="T1107" s="182"/>
      <c r="U1107" s="182"/>
      <c r="V1107" s="182"/>
      <c r="W1107" s="182"/>
      <c r="X1107" s="183"/>
      <c r="Y1107" s="182"/>
      <c r="Z1107" s="182"/>
      <c r="AA1107" s="182"/>
      <c r="AB1107" s="182"/>
      <c r="AC1107" s="182"/>
      <c r="AD1107" s="182"/>
      <c r="AE1107" s="1022" t="e">
        <f>VLOOKUP(AS1116,ID_archer_cible,4,FALSE)</f>
        <v>#N/A</v>
      </c>
      <c r="AF1107" s="1023"/>
      <c r="AG1107" s="1023"/>
      <c r="AH1107" s="1023"/>
      <c r="AI1107" s="1023"/>
      <c r="AJ1107" s="1023"/>
      <c r="AK1107" s="1023"/>
      <c r="AL1107" s="1023"/>
      <c r="AM1107" s="1023"/>
      <c r="AN1107" s="1024"/>
      <c r="AO1107" s="182"/>
      <c r="AP1107" s="182"/>
      <c r="AQ1107" s="182"/>
      <c r="AR1107" s="182"/>
      <c r="AS1107" s="182"/>
      <c r="AT1107" s="182"/>
      <c r="AU1107" s="182"/>
      <c r="AV1107" s="182"/>
    </row>
    <row r="1108" spans="2:48" x14ac:dyDescent="0.2">
      <c r="X1108" s="186"/>
    </row>
    <row r="1109" spans="2:48" x14ac:dyDescent="0.2">
      <c r="B1109" s="1021" t="s">
        <v>0</v>
      </c>
      <c r="C1109" s="1021"/>
      <c r="D1109" s="1021"/>
      <c r="E1109" s="1021"/>
      <c r="F1109" s="1021"/>
      <c r="G1109" s="1021"/>
      <c r="H1109" s="1021"/>
      <c r="I1109" s="1021"/>
      <c r="J1109" s="1021"/>
      <c r="K1109" s="1021"/>
      <c r="L1109" s="1021"/>
      <c r="M1109" s="187"/>
      <c r="P1109" s="992" t="s">
        <v>375</v>
      </c>
      <c r="Q1109" s="992"/>
      <c r="R1109" s="992"/>
      <c r="S1109" s="992"/>
      <c r="T1109" s="992"/>
      <c r="U1109" s="992"/>
      <c r="V1109" s="992"/>
      <c r="W1109" s="992"/>
      <c r="X1109" s="188"/>
      <c r="Z1109" s="1021" t="s">
        <v>0</v>
      </c>
      <c r="AA1109" s="1021"/>
      <c r="AB1109" s="1021"/>
      <c r="AC1109" s="1021"/>
      <c r="AD1109" s="1021"/>
      <c r="AE1109" s="1021"/>
      <c r="AF1109" s="1021"/>
      <c r="AG1109" s="1021"/>
      <c r="AH1109" s="1021"/>
      <c r="AI1109" s="1021"/>
      <c r="AJ1109" s="1021"/>
      <c r="AK1109" s="187"/>
      <c r="AN1109" s="992" t="s">
        <v>375</v>
      </c>
      <c r="AO1109" s="992"/>
      <c r="AP1109" s="992"/>
      <c r="AQ1109" s="992"/>
      <c r="AR1109" s="992"/>
      <c r="AS1109" s="992"/>
      <c r="AT1109" s="992"/>
      <c r="AU1109" s="992"/>
      <c r="AV1109" s="187"/>
    </row>
    <row r="1110" spans="2:48" x14ac:dyDescent="0.2">
      <c r="B1110" s="999" t="e">
        <f>VLOOKUP(U1116,ID_archer_cible,2,FALSE)</f>
        <v>#N/A</v>
      </c>
      <c r="C1110" s="1000"/>
      <c r="D1110" s="1000"/>
      <c r="E1110" s="1000"/>
      <c r="F1110" s="1000"/>
      <c r="G1110" s="1000"/>
      <c r="H1110" s="1000"/>
      <c r="I1110" s="1000"/>
      <c r="J1110" s="1000"/>
      <c r="K1110" s="1000"/>
      <c r="L1110" s="1000"/>
      <c r="M1110" s="1001"/>
      <c r="P1110" s="999" t="e">
        <f>VLOOKUP(U1116,ID_archer_cible,3,FALSE)</f>
        <v>#N/A</v>
      </c>
      <c r="Q1110" s="1000"/>
      <c r="R1110" s="1000"/>
      <c r="S1110" s="1000"/>
      <c r="T1110" s="1000"/>
      <c r="U1110" s="1000"/>
      <c r="V1110" s="1000"/>
      <c r="W1110" s="1001"/>
      <c r="X1110" s="186"/>
      <c r="Y1110"/>
      <c r="Z1110" s="999" t="e">
        <f>VLOOKUP(AS1116,ID_archer_cible,2,FALSE)</f>
        <v>#N/A</v>
      </c>
      <c r="AA1110" s="1000"/>
      <c r="AB1110" s="1000"/>
      <c r="AC1110" s="1000"/>
      <c r="AD1110" s="1000"/>
      <c r="AE1110" s="1000"/>
      <c r="AF1110" s="1000"/>
      <c r="AG1110" s="1000"/>
      <c r="AH1110" s="1000"/>
      <c r="AI1110" s="1000"/>
      <c r="AJ1110" s="1000"/>
      <c r="AK1110" s="1001"/>
      <c r="AN1110" s="999" t="e">
        <f>VLOOKUP(AS1116,ID_archer_cible,3,FALSE)</f>
        <v>#N/A</v>
      </c>
      <c r="AO1110" s="1000"/>
      <c r="AP1110" s="1000"/>
      <c r="AQ1110" s="1000"/>
      <c r="AR1110" s="1000"/>
      <c r="AS1110" s="1000"/>
      <c r="AT1110" s="1000"/>
      <c r="AU1110" s="1001"/>
    </row>
    <row r="1111" spans="2:48" x14ac:dyDescent="0.2">
      <c r="X1111" s="186"/>
      <c r="Y1111"/>
    </row>
    <row r="1112" spans="2:48" ht="16.5" thickBot="1" x14ac:dyDescent="0.25">
      <c r="B1112" s="1017" t="s">
        <v>1</v>
      </c>
      <c r="C1112" s="1017"/>
      <c r="D1112" s="1017"/>
      <c r="E1112" s="1017"/>
      <c r="F1112" s="1017"/>
      <c r="G1112" s="1017"/>
      <c r="H1112" s="1017"/>
      <c r="I1112" s="1017"/>
      <c r="J1112" s="1017"/>
      <c r="L1112" s="1017" t="s">
        <v>505</v>
      </c>
      <c r="M1112" s="1017"/>
      <c r="N1112" s="1017"/>
      <c r="O1112" s="1017"/>
      <c r="P1112" s="1017"/>
      <c r="Q1112" s="1017"/>
      <c r="S1112" s="992" t="s">
        <v>506</v>
      </c>
      <c r="T1112" s="992"/>
      <c r="U1112" s="992"/>
      <c r="V1112" s="992"/>
      <c r="W1112" s="992"/>
      <c r="X1112" s="188"/>
      <c r="Y1112"/>
      <c r="Z1112" s="1017" t="s">
        <v>1</v>
      </c>
      <c r="AA1112" s="1017"/>
      <c r="AB1112" s="1017"/>
      <c r="AC1112" s="1017"/>
      <c r="AD1112" s="1017"/>
      <c r="AE1112" s="1017"/>
      <c r="AF1112" s="1017"/>
      <c r="AG1112" s="1017"/>
      <c r="AH1112" s="1017"/>
      <c r="AJ1112" s="1017" t="s">
        <v>505</v>
      </c>
      <c r="AK1112" s="1017"/>
      <c r="AL1112" s="1017"/>
      <c r="AM1112" s="1017"/>
      <c r="AN1112" s="1017"/>
      <c r="AO1112" s="1017"/>
      <c r="AQ1112" s="992" t="s">
        <v>506</v>
      </c>
      <c r="AR1112" s="992"/>
      <c r="AS1112" s="992"/>
      <c r="AT1112" s="992"/>
      <c r="AU1112" s="992"/>
      <c r="AV1112" s="187"/>
    </row>
    <row r="1113" spans="2:48" ht="16.5" thickBot="1" x14ac:dyDescent="0.25">
      <c r="B1113" s="1014" t="e">
        <f>VLOOKUP(U1116,ID_archer_cible,5,FALSE)</f>
        <v>#N/A</v>
      </c>
      <c r="C1113" s="1015"/>
      <c r="D1113" s="1015"/>
      <c r="E1113" s="1015"/>
      <c r="F1113" s="1015"/>
      <c r="G1113" s="1015"/>
      <c r="H1113" s="1015"/>
      <c r="I1113" s="1015"/>
      <c r="J1113" s="1016"/>
      <c r="L1113" s="1014" t="e">
        <f>VLOOKUP(U1116,ID_archer_cible,6,FALSE)</f>
        <v>#N/A</v>
      </c>
      <c r="M1113" s="1015"/>
      <c r="N1113" s="1015"/>
      <c r="O1113" s="1015"/>
      <c r="P1113" s="1015"/>
      <c r="Q1113" s="1016"/>
      <c r="S1113" s="999" t="e">
        <f>VLOOKUP(U1116,ID_archer_cible,8,FALSE)</f>
        <v>#N/A</v>
      </c>
      <c r="T1113" s="1000"/>
      <c r="U1113" s="1000"/>
      <c r="V1113" s="1000"/>
      <c r="W1113" s="1001"/>
      <c r="X1113" s="186"/>
      <c r="Y1113"/>
      <c r="Z1113" s="1014" t="e">
        <f>VLOOKUP(AS1116,ID_archer_cible,5,FALSE)</f>
        <v>#N/A</v>
      </c>
      <c r="AA1113" s="1015"/>
      <c r="AB1113" s="1015"/>
      <c r="AC1113" s="1015"/>
      <c r="AD1113" s="1015"/>
      <c r="AE1113" s="1015"/>
      <c r="AF1113" s="1015"/>
      <c r="AG1113" s="1015"/>
      <c r="AH1113" s="1016"/>
      <c r="AJ1113" s="1014" t="e">
        <f>VLOOKUP(AS1116,ID_archer_cible,6,FALSE)</f>
        <v>#N/A</v>
      </c>
      <c r="AK1113" s="1015"/>
      <c r="AL1113" s="1015"/>
      <c r="AM1113" s="1015"/>
      <c r="AN1113" s="1015"/>
      <c r="AO1113" s="1016"/>
      <c r="AQ1113" s="999" t="e">
        <f>VLOOKUP(AS1116,ID_archer_cible,8,FALSE)</f>
        <v>#N/A</v>
      </c>
      <c r="AR1113" s="1000"/>
      <c r="AS1113" s="1000"/>
      <c r="AT1113" s="1000"/>
      <c r="AU1113" s="1001"/>
    </row>
    <row r="1114" spans="2:48" x14ac:dyDescent="0.2">
      <c r="X1114" s="186"/>
      <c r="Y1114"/>
    </row>
    <row r="1115" spans="2:48" x14ac:dyDescent="0.2">
      <c r="B1115" s="992" t="s">
        <v>530</v>
      </c>
      <c r="C1115" s="992"/>
      <c r="D1115" s="992"/>
      <c r="E1115" s="992"/>
      <c r="F1115" s="992"/>
      <c r="G1115" s="187"/>
      <c r="H1115" s="992" t="s">
        <v>504</v>
      </c>
      <c r="I1115" s="992"/>
      <c r="J1115" s="992"/>
      <c r="K1115" s="992"/>
      <c r="M1115" s="992" t="s">
        <v>39</v>
      </c>
      <c r="N1115" s="992"/>
      <c r="O1115" s="992"/>
      <c r="Q1115" s="1021"/>
      <c r="R1115" s="1021"/>
      <c r="S1115" s="1021"/>
      <c r="U1115" s="992" t="s">
        <v>507</v>
      </c>
      <c r="V1115" s="992"/>
      <c r="W1115" s="992"/>
      <c r="X1115" s="188"/>
      <c r="Y1115"/>
      <c r="Z1115" s="992" t="s">
        <v>530</v>
      </c>
      <c r="AA1115" s="992"/>
      <c r="AB1115" s="992"/>
      <c r="AC1115" s="992"/>
      <c r="AD1115" s="992"/>
      <c r="AE1115" s="187"/>
      <c r="AF1115" s="992" t="s">
        <v>504</v>
      </c>
      <c r="AG1115" s="992"/>
      <c r="AH1115" s="992"/>
      <c r="AI1115" s="992"/>
      <c r="AK1115" s="992" t="s">
        <v>39</v>
      </c>
      <c r="AL1115" s="992"/>
      <c r="AM1115" s="992"/>
      <c r="AO1115" s="1021"/>
      <c r="AP1115" s="1021"/>
      <c r="AQ1115" s="1021"/>
      <c r="AS1115" s="992" t="s">
        <v>507</v>
      </c>
      <c r="AT1115" s="992"/>
      <c r="AU1115" s="992"/>
      <c r="AV1115" s="187"/>
    </row>
    <row r="1116" spans="2:48" ht="15.75" x14ac:dyDescent="0.2">
      <c r="B1116" s="1011" t="e">
        <f>VLOOKUP(U1116,ID_archer_cible,7,FALSE)</f>
        <v>#N/A</v>
      </c>
      <c r="C1116" s="1012"/>
      <c r="D1116" s="1012"/>
      <c r="E1116" s="1012"/>
      <c r="F1116" s="1013"/>
      <c r="H1116" s="999" t="e">
        <f>VLOOKUP(U1116,ID_archer_cible,9,FALSE)</f>
        <v>#N/A</v>
      </c>
      <c r="I1116" s="1000"/>
      <c r="J1116" s="1000"/>
      <c r="K1116" s="1001"/>
      <c r="M1116" s="999" t="e">
        <f>VLOOKUP(U1116,ID_archer_cible,10,FALSE)</f>
        <v>#N/A</v>
      </c>
      <c r="N1116" s="1000"/>
      <c r="O1116" s="1001"/>
      <c r="Q1116" s="1021"/>
      <c r="R1116" s="1021"/>
      <c r="S1116" s="1021"/>
      <c r="T1116" s="187"/>
      <c r="U1116" s="996" t="str">
        <f>AR1074&amp;"C"</f>
        <v>18C</v>
      </c>
      <c r="V1116" s="997"/>
      <c r="W1116" s="998"/>
      <c r="X1116" s="188"/>
      <c r="Y1116"/>
      <c r="Z1116" s="1011" t="e">
        <f>VLOOKUP(AS1116,ID_archer_cible,7,FALSE)</f>
        <v>#N/A</v>
      </c>
      <c r="AA1116" s="1012"/>
      <c r="AB1116" s="1012"/>
      <c r="AC1116" s="1012"/>
      <c r="AD1116" s="1013"/>
      <c r="AF1116" s="999" t="e">
        <f>VLOOKUP(AS1116,ID_archer_cible,9,FALSE)</f>
        <v>#N/A</v>
      </c>
      <c r="AG1116" s="1000"/>
      <c r="AH1116" s="1000"/>
      <c r="AI1116" s="1001"/>
      <c r="AK1116" s="999" t="e">
        <f>VLOOKUP(AS1116,ID_archer_cible,10,FALSE)</f>
        <v>#N/A</v>
      </c>
      <c r="AL1116" s="1000"/>
      <c r="AM1116" s="1001"/>
      <c r="AO1116" s="1021"/>
      <c r="AP1116" s="1021"/>
      <c r="AQ1116" s="1021"/>
      <c r="AR1116" s="187"/>
      <c r="AS1116" s="996" t="str">
        <f>AR1074&amp;"D"</f>
        <v>18D</v>
      </c>
      <c r="AT1116" s="997"/>
      <c r="AU1116" s="998"/>
      <c r="AV1116" s="187"/>
    </row>
    <row r="1117" spans="2:48" x14ac:dyDescent="0.2">
      <c r="X1117" s="186"/>
    </row>
    <row r="1118" spans="2:48" x14ac:dyDescent="0.2">
      <c r="B1118" s="185" t="s">
        <v>509</v>
      </c>
      <c r="E1118" s="992" t="s">
        <v>510</v>
      </c>
      <c r="F1118" s="992"/>
      <c r="G1118" s="992"/>
      <c r="H1118" s="992"/>
      <c r="I1118" s="992"/>
      <c r="J1118" s="992"/>
      <c r="K1118" s="992"/>
      <c r="L1118" s="992"/>
      <c r="M1118" s="992"/>
      <c r="N1118" s="992"/>
      <c r="P1118" s="992" t="s">
        <v>511</v>
      </c>
      <c r="Q1118" s="992"/>
      <c r="R1118" s="992"/>
      <c r="X1118" s="186"/>
      <c r="Z1118" s="185" t="s">
        <v>509</v>
      </c>
      <c r="AC1118" s="992" t="s">
        <v>510</v>
      </c>
      <c r="AD1118" s="992"/>
      <c r="AE1118" s="992"/>
      <c r="AF1118" s="992"/>
      <c r="AG1118" s="992"/>
      <c r="AH1118" s="992"/>
      <c r="AI1118" s="992"/>
      <c r="AJ1118" s="992"/>
      <c r="AK1118" s="992"/>
      <c r="AL1118" s="992"/>
      <c r="AN1118" s="992" t="s">
        <v>511</v>
      </c>
      <c r="AO1118" s="992"/>
      <c r="AP1118" s="992"/>
    </row>
    <row r="1119" spans="2:48" ht="20.25" customHeight="1" x14ac:dyDescent="0.2">
      <c r="B1119" s="1009" t="s">
        <v>513</v>
      </c>
      <c r="C1119" s="1009"/>
      <c r="E1119" s="189"/>
      <c r="F1119" s="191"/>
      <c r="G1119" s="189"/>
      <c r="H1119" s="191"/>
      <c r="I1119" s="189"/>
      <c r="J1119" s="191"/>
      <c r="K1119" s="189"/>
      <c r="L1119" s="191"/>
      <c r="M1119" s="189"/>
      <c r="N1119" s="191"/>
      <c r="P1119" s="189"/>
      <c r="Q1119" s="190"/>
      <c r="R1119" s="191"/>
      <c r="T1119" s="992" t="s">
        <v>512</v>
      </c>
      <c r="U1119" s="992"/>
      <c r="V1119" s="992"/>
      <c r="W1119" s="992"/>
      <c r="X1119" s="188"/>
      <c r="Z1119" s="1009" t="s">
        <v>513</v>
      </c>
      <c r="AA1119" s="1009"/>
      <c r="AC1119" s="189"/>
      <c r="AD1119" s="191"/>
      <c r="AE1119" s="189"/>
      <c r="AF1119" s="191"/>
      <c r="AG1119" s="189"/>
      <c r="AH1119" s="191"/>
      <c r="AI1119" s="189"/>
      <c r="AJ1119" s="191"/>
      <c r="AK1119" s="189"/>
      <c r="AL1119" s="191"/>
      <c r="AN1119" s="189"/>
      <c r="AO1119" s="190"/>
      <c r="AP1119" s="191"/>
      <c r="AR1119" s="992" t="s">
        <v>512</v>
      </c>
      <c r="AS1119" s="992"/>
      <c r="AT1119" s="992"/>
      <c r="AU1119" s="992"/>
      <c r="AV1119" s="187"/>
    </row>
    <row r="1120" spans="2:48" ht="20.25" customHeight="1" x14ac:dyDescent="0.2">
      <c r="B1120" s="1009" t="s">
        <v>514</v>
      </c>
      <c r="C1120" s="1009"/>
      <c r="E1120" s="189"/>
      <c r="F1120" s="191"/>
      <c r="G1120" s="189"/>
      <c r="H1120" s="191"/>
      <c r="I1120" s="189"/>
      <c r="J1120" s="191"/>
      <c r="K1120" s="189"/>
      <c r="L1120" s="191"/>
      <c r="M1120" s="189"/>
      <c r="N1120" s="191"/>
      <c r="P1120" s="189"/>
      <c r="Q1120" s="190"/>
      <c r="R1120" s="191"/>
      <c r="T1120" s="189"/>
      <c r="U1120" s="190"/>
      <c r="V1120" s="190"/>
      <c r="W1120" s="191"/>
      <c r="X1120" s="186"/>
      <c r="Z1120" s="1009" t="s">
        <v>514</v>
      </c>
      <c r="AA1120" s="1009"/>
      <c r="AC1120" s="189"/>
      <c r="AD1120" s="191"/>
      <c r="AE1120" s="189"/>
      <c r="AF1120" s="191"/>
      <c r="AG1120" s="189"/>
      <c r="AH1120" s="191"/>
      <c r="AI1120" s="189"/>
      <c r="AJ1120" s="191"/>
      <c r="AK1120" s="189"/>
      <c r="AL1120" s="191"/>
      <c r="AN1120" s="189"/>
      <c r="AO1120" s="190"/>
      <c r="AP1120" s="191"/>
      <c r="AR1120" s="189"/>
      <c r="AS1120" s="190"/>
      <c r="AT1120" s="190"/>
      <c r="AU1120" s="191"/>
    </row>
    <row r="1121" spans="2:48" ht="20.25" customHeight="1" x14ac:dyDescent="0.2">
      <c r="B1121" s="1009" t="s">
        <v>515</v>
      </c>
      <c r="C1121" s="1009"/>
      <c r="E1121" s="189"/>
      <c r="F1121" s="191"/>
      <c r="G1121" s="189"/>
      <c r="H1121" s="191"/>
      <c r="I1121" s="189"/>
      <c r="J1121" s="191"/>
      <c r="K1121" s="189"/>
      <c r="L1121" s="191"/>
      <c r="M1121" s="189"/>
      <c r="N1121" s="191"/>
      <c r="P1121" s="189"/>
      <c r="Q1121" s="190"/>
      <c r="R1121" s="191"/>
      <c r="T1121" s="189"/>
      <c r="U1121" s="190"/>
      <c r="V1121" s="190"/>
      <c r="W1121" s="191"/>
      <c r="X1121" s="186"/>
      <c r="Z1121" s="1009" t="s">
        <v>515</v>
      </c>
      <c r="AA1121" s="1009"/>
      <c r="AC1121" s="189"/>
      <c r="AD1121" s="191"/>
      <c r="AE1121" s="189"/>
      <c r="AF1121" s="191"/>
      <c r="AG1121" s="189"/>
      <c r="AH1121" s="191"/>
      <c r="AI1121" s="189"/>
      <c r="AJ1121" s="191"/>
      <c r="AK1121" s="189"/>
      <c r="AL1121" s="191"/>
      <c r="AN1121" s="189"/>
      <c r="AO1121" s="190"/>
      <c r="AP1121" s="191"/>
      <c r="AR1121" s="189"/>
      <c r="AS1121" s="190"/>
      <c r="AT1121" s="190"/>
      <c r="AU1121" s="191"/>
    </row>
    <row r="1122" spans="2:48" ht="20.25" customHeight="1" x14ac:dyDescent="0.2">
      <c r="B1122" s="1009" t="s">
        <v>516</v>
      </c>
      <c r="C1122" s="1009"/>
      <c r="E1122" s="189"/>
      <c r="F1122" s="191"/>
      <c r="G1122" s="189"/>
      <c r="H1122" s="191"/>
      <c r="I1122" s="189"/>
      <c r="J1122" s="191"/>
      <c r="K1122" s="189"/>
      <c r="L1122" s="191"/>
      <c r="M1122" s="189"/>
      <c r="N1122" s="191"/>
      <c r="P1122" s="189"/>
      <c r="Q1122" s="190"/>
      <c r="R1122" s="191"/>
      <c r="T1122" s="189"/>
      <c r="U1122" s="190"/>
      <c r="V1122" s="190"/>
      <c r="W1122" s="191"/>
      <c r="X1122" s="186"/>
      <c r="Z1122" s="1009" t="s">
        <v>516</v>
      </c>
      <c r="AA1122" s="1009"/>
      <c r="AC1122" s="189"/>
      <c r="AD1122" s="191"/>
      <c r="AE1122" s="189"/>
      <c r="AF1122" s="191"/>
      <c r="AG1122" s="189"/>
      <c r="AH1122" s="191"/>
      <c r="AI1122" s="189"/>
      <c r="AJ1122" s="191"/>
      <c r="AK1122" s="189"/>
      <c r="AL1122" s="191"/>
      <c r="AN1122" s="189"/>
      <c r="AO1122" s="190"/>
      <c r="AP1122" s="191"/>
      <c r="AR1122" s="189"/>
      <c r="AS1122" s="190"/>
      <c r="AT1122" s="190"/>
      <c r="AU1122" s="191"/>
    </row>
    <row r="1123" spans="2:48" ht="20.25" customHeight="1" x14ac:dyDescent="0.2">
      <c r="B1123" s="1009" t="s">
        <v>517</v>
      </c>
      <c r="C1123" s="1009"/>
      <c r="E1123" s="189"/>
      <c r="F1123" s="191"/>
      <c r="G1123" s="189"/>
      <c r="H1123" s="191"/>
      <c r="I1123" s="189"/>
      <c r="J1123" s="191"/>
      <c r="K1123" s="189"/>
      <c r="L1123" s="191"/>
      <c r="M1123" s="189"/>
      <c r="N1123" s="191"/>
      <c r="P1123" s="189"/>
      <c r="Q1123" s="190"/>
      <c r="R1123" s="191"/>
      <c r="T1123" s="189"/>
      <c r="U1123" s="190"/>
      <c r="V1123" s="190"/>
      <c r="W1123" s="191"/>
      <c r="X1123" s="186"/>
      <c r="Z1123" s="1009" t="s">
        <v>517</v>
      </c>
      <c r="AA1123" s="1009"/>
      <c r="AC1123" s="189"/>
      <c r="AD1123" s="191"/>
      <c r="AE1123" s="189"/>
      <c r="AF1123" s="191"/>
      <c r="AG1123" s="189"/>
      <c r="AH1123" s="191"/>
      <c r="AI1123" s="189"/>
      <c r="AJ1123" s="191"/>
      <c r="AK1123" s="189"/>
      <c r="AL1123" s="191"/>
      <c r="AN1123" s="189"/>
      <c r="AO1123" s="190"/>
      <c r="AP1123" s="191"/>
      <c r="AR1123" s="189"/>
      <c r="AS1123" s="190"/>
      <c r="AT1123" s="190"/>
      <c r="AU1123" s="191"/>
    </row>
    <row r="1124" spans="2:48" ht="20.25" customHeight="1" x14ac:dyDescent="0.2">
      <c r="B1124" s="1009" t="s">
        <v>518</v>
      </c>
      <c r="C1124" s="1009"/>
      <c r="E1124" s="189"/>
      <c r="F1124" s="191"/>
      <c r="G1124" s="189"/>
      <c r="H1124" s="191"/>
      <c r="I1124" s="189"/>
      <c r="J1124" s="191"/>
      <c r="K1124" s="189"/>
      <c r="L1124" s="191"/>
      <c r="M1124" s="189"/>
      <c r="N1124" s="191"/>
      <c r="P1124" s="189"/>
      <c r="Q1124" s="190"/>
      <c r="R1124" s="191"/>
      <c r="T1124" s="189"/>
      <c r="U1124" s="190"/>
      <c r="V1124" s="190"/>
      <c r="W1124" s="191"/>
      <c r="X1124" s="186"/>
      <c r="Z1124" s="1009" t="s">
        <v>518</v>
      </c>
      <c r="AA1124" s="1009"/>
      <c r="AC1124" s="189"/>
      <c r="AD1124" s="191"/>
      <c r="AE1124" s="189"/>
      <c r="AF1124" s="191"/>
      <c r="AG1124" s="189"/>
      <c r="AH1124" s="191"/>
      <c r="AI1124" s="189"/>
      <c r="AJ1124" s="191"/>
      <c r="AK1124" s="189"/>
      <c r="AL1124" s="191"/>
      <c r="AN1124" s="189"/>
      <c r="AO1124" s="190"/>
      <c r="AP1124" s="191"/>
      <c r="AR1124" s="189"/>
      <c r="AS1124" s="190"/>
      <c r="AT1124" s="190"/>
      <c r="AU1124" s="191"/>
    </row>
    <row r="1125" spans="2:48" ht="15.75" thickBot="1" x14ac:dyDescent="0.25">
      <c r="B1125" s="187"/>
      <c r="C1125" s="187"/>
      <c r="X1125" s="186"/>
      <c r="Z1125" s="187"/>
      <c r="AA1125" s="187"/>
    </row>
    <row r="1126" spans="2:48" ht="20.25" customHeight="1" thickBot="1" x14ac:dyDescent="0.25">
      <c r="P1126" s="197" t="s">
        <v>519</v>
      </c>
      <c r="Q1126" s="197"/>
      <c r="R1126" s="197"/>
      <c r="S1126" s="197"/>
      <c r="T1126" s="192"/>
      <c r="U1126" s="193"/>
      <c r="V1126" s="193"/>
      <c r="W1126" s="194"/>
      <c r="X1126" s="186"/>
      <c r="AN1126" s="197" t="s">
        <v>519</v>
      </c>
      <c r="AO1126" s="197"/>
      <c r="AP1126" s="197"/>
      <c r="AQ1126" s="197"/>
      <c r="AR1126" s="192"/>
      <c r="AS1126" s="193"/>
      <c r="AT1126" s="193"/>
      <c r="AU1126" s="194"/>
    </row>
    <row r="1127" spans="2:48" x14ac:dyDescent="0.2">
      <c r="E1127" s="196"/>
      <c r="F1127" s="196"/>
      <c r="G1127" s="196"/>
      <c r="H1127" s="196"/>
      <c r="I1127" s="196"/>
      <c r="J1127" s="196"/>
      <c r="K1127" s="196"/>
      <c r="L1127" s="196"/>
      <c r="M1127" s="196"/>
      <c r="X1127" s="186"/>
      <c r="AC1127" s="196"/>
      <c r="AD1127" s="196"/>
      <c r="AE1127" s="196"/>
      <c r="AF1127" s="196"/>
      <c r="AG1127" s="196"/>
      <c r="AH1127" s="196"/>
      <c r="AI1127" s="196"/>
      <c r="AJ1127" s="196"/>
      <c r="AK1127" s="196"/>
    </row>
    <row r="1128" spans="2:48" x14ac:dyDescent="0.2">
      <c r="B1128" s="1010" t="s">
        <v>521</v>
      </c>
      <c r="C1128" s="1010"/>
      <c r="D1128" s="1010"/>
      <c r="E1128" s="1010"/>
      <c r="F1128" s="1010"/>
      <c r="G1128" s="1010"/>
      <c r="H1128" s="195"/>
      <c r="I1128" s="1004" t="s">
        <v>522</v>
      </c>
      <c r="J1128" s="1004"/>
      <c r="K1128" s="1004"/>
      <c r="L1128" s="1004"/>
      <c r="M1128" s="1004"/>
      <c r="N1128" s="1004"/>
      <c r="O1128" s="1004"/>
      <c r="P1128" s="1004"/>
      <c r="Q1128" s="1004"/>
      <c r="R1128" s="1004"/>
      <c r="S1128" s="1004"/>
      <c r="T1128" s="1004"/>
      <c r="U1128" s="1004"/>
      <c r="V1128" s="1004"/>
      <c r="W1128" s="1004"/>
      <c r="X1128" s="198"/>
      <c r="Y1128" s="195"/>
      <c r="Z1128" s="1010" t="s">
        <v>521</v>
      </c>
      <c r="AA1128" s="1010"/>
      <c r="AB1128" s="1010"/>
      <c r="AC1128" s="1010"/>
      <c r="AD1128" s="1010"/>
      <c r="AE1128" s="1010"/>
      <c r="AF1128" s="195"/>
      <c r="AG1128" s="1004" t="s">
        <v>522</v>
      </c>
      <c r="AH1128" s="1004"/>
      <c r="AI1128" s="1004"/>
      <c r="AJ1128" s="1004"/>
      <c r="AK1128" s="1004"/>
      <c r="AL1128" s="1004"/>
      <c r="AM1128" s="1004"/>
      <c r="AN1128" s="1004"/>
      <c r="AO1128" s="1004"/>
      <c r="AP1128" s="1004"/>
      <c r="AQ1128" s="1004"/>
      <c r="AR1128" s="1004"/>
      <c r="AS1128" s="1004"/>
      <c r="AT1128" s="1004"/>
      <c r="AU1128" s="1004"/>
      <c r="AV1128" s="195"/>
    </row>
    <row r="1129" spans="2:48" x14ac:dyDescent="0.2">
      <c r="B1129" s="1005" t="s">
        <v>520</v>
      </c>
      <c r="C1129" s="1006"/>
      <c r="D1129" s="1006"/>
      <c r="E1129" s="1006"/>
      <c r="F1129" s="1006"/>
      <c r="G1129" s="1007"/>
      <c r="I1129" s="1005" t="s">
        <v>0</v>
      </c>
      <c r="J1129" s="1006"/>
      <c r="K1129" s="1006"/>
      <c r="L1129" s="1006"/>
      <c r="M1129" s="1006"/>
      <c r="N1129" s="1006"/>
      <c r="O1129" s="1006"/>
      <c r="P1129" s="1006"/>
      <c r="Q1129" s="1006"/>
      <c r="R1129" s="1006"/>
      <c r="S1129" s="1006"/>
      <c r="T1129" s="1006"/>
      <c r="U1129" s="1006"/>
      <c r="V1129" s="1006"/>
      <c r="W1129" s="1007"/>
      <c r="X1129" s="186"/>
      <c r="Z1129" s="1005" t="s">
        <v>520</v>
      </c>
      <c r="AA1129" s="1006"/>
      <c r="AB1129" s="1006"/>
      <c r="AC1129" s="1006"/>
      <c r="AD1129" s="1006"/>
      <c r="AE1129" s="1007"/>
      <c r="AG1129" s="1005" t="s">
        <v>0</v>
      </c>
      <c r="AH1129" s="1006"/>
      <c r="AI1129" s="1006"/>
      <c r="AJ1129" s="1006"/>
      <c r="AK1129" s="1006"/>
      <c r="AL1129" s="1006"/>
      <c r="AM1129" s="1006"/>
      <c r="AN1129" s="1006"/>
      <c r="AO1129" s="1006"/>
      <c r="AP1129" s="1006"/>
      <c r="AQ1129" s="1006"/>
      <c r="AR1129" s="1006"/>
      <c r="AS1129" s="1006"/>
      <c r="AT1129" s="1006"/>
      <c r="AU1129" s="1007"/>
    </row>
    <row r="1130" spans="2:48" x14ac:dyDescent="0.2">
      <c r="B1130" s="199"/>
      <c r="C1130" s="200"/>
      <c r="D1130" s="200"/>
      <c r="E1130" s="200"/>
      <c r="F1130" s="200"/>
      <c r="G1130" s="201"/>
      <c r="I1130" s="199"/>
      <c r="J1130" s="200"/>
      <c r="K1130" s="200"/>
      <c r="L1130" s="200"/>
      <c r="M1130" s="200"/>
      <c r="N1130" s="200"/>
      <c r="O1130" s="200"/>
      <c r="P1130" s="200"/>
      <c r="Q1130" s="200"/>
      <c r="R1130" s="200"/>
      <c r="S1130" s="200"/>
      <c r="T1130" s="200"/>
      <c r="U1130" s="200"/>
      <c r="V1130" s="200"/>
      <c r="W1130" s="201"/>
      <c r="X1130" s="186"/>
      <c r="Z1130" s="199"/>
      <c r="AA1130" s="200"/>
      <c r="AB1130" s="200"/>
      <c r="AC1130" s="200"/>
      <c r="AD1130" s="200"/>
      <c r="AE1130" s="201"/>
      <c r="AG1130" s="199"/>
      <c r="AH1130" s="200"/>
      <c r="AI1130" s="200"/>
      <c r="AJ1130" s="200"/>
      <c r="AK1130" s="200"/>
      <c r="AL1130" s="200"/>
      <c r="AM1130" s="200"/>
      <c r="AN1130" s="200"/>
      <c r="AO1130" s="200"/>
      <c r="AP1130" s="200"/>
      <c r="AQ1130" s="200"/>
      <c r="AR1130" s="200"/>
      <c r="AS1130" s="200"/>
      <c r="AT1130" s="200"/>
      <c r="AU1130" s="201"/>
    </row>
    <row r="1131" spans="2:48" x14ac:dyDescent="0.2">
      <c r="X1131" s="186"/>
    </row>
    <row r="1132" spans="2:48" x14ac:dyDescent="0.2">
      <c r="I1132" s="1005" t="s">
        <v>481</v>
      </c>
      <c r="J1132" s="1006"/>
      <c r="K1132" s="1006"/>
      <c r="L1132" s="1006"/>
      <c r="M1132" s="1006"/>
      <c r="N1132" s="1006"/>
      <c r="O1132" s="1006"/>
      <c r="P1132" s="1006"/>
      <c r="Q1132" s="1007"/>
      <c r="R1132" s="1005" t="s">
        <v>520</v>
      </c>
      <c r="S1132" s="1006"/>
      <c r="T1132" s="1006"/>
      <c r="U1132" s="1006"/>
      <c r="V1132" s="1006"/>
      <c r="W1132" s="1007"/>
      <c r="X1132" s="186"/>
      <c r="AG1132" s="1005" t="s">
        <v>481</v>
      </c>
      <c r="AH1132" s="1006"/>
      <c r="AI1132" s="1006"/>
      <c r="AJ1132" s="1006"/>
      <c r="AK1132" s="1006"/>
      <c r="AL1132" s="1006"/>
      <c r="AM1132" s="1006"/>
      <c r="AN1132" s="1006"/>
      <c r="AO1132" s="1007"/>
      <c r="AP1132" s="1005" t="s">
        <v>520</v>
      </c>
      <c r="AQ1132" s="1006"/>
      <c r="AR1132" s="1006"/>
      <c r="AS1132" s="1006"/>
      <c r="AT1132" s="1006"/>
      <c r="AU1132" s="1007"/>
    </row>
    <row r="1133" spans="2:48" x14ac:dyDescent="0.2">
      <c r="I1133" s="199"/>
      <c r="J1133" s="200"/>
      <c r="K1133" s="200"/>
      <c r="L1133" s="200"/>
      <c r="M1133" s="200"/>
      <c r="N1133" s="200"/>
      <c r="O1133" s="200"/>
      <c r="P1133" s="200"/>
      <c r="Q1133" s="200"/>
      <c r="R1133" s="199"/>
      <c r="S1133" s="200"/>
      <c r="T1133" s="200"/>
      <c r="U1133" s="200"/>
      <c r="V1133" s="200"/>
      <c r="W1133" s="201"/>
      <c r="X1133" s="186"/>
      <c r="AG1133" s="199"/>
      <c r="AH1133" s="200"/>
      <c r="AI1133" s="200"/>
      <c r="AJ1133" s="200"/>
      <c r="AK1133" s="200"/>
      <c r="AL1133" s="200"/>
      <c r="AM1133" s="200"/>
      <c r="AN1133" s="200"/>
      <c r="AO1133" s="200"/>
      <c r="AP1133" s="199"/>
      <c r="AQ1133" s="200"/>
      <c r="AR1133" s="200"/>
      <c r="AS1133" s="200"/>
      <c r="AT1133" s="200"/>
      <c r="AU1133" s="201"/>
    </row>
    <row r="1135" spans="2:48" ht="57.75" customHeight="1" x14ac:dyDescent="0.2">
      <c r="B1135" s="1058" t="str">
        <f>Championnat</f>
        <v>Championnat de France de Tir à l'ARC</v>
      </c>
      <c r="C1135" s="1058"/>
      <c r="D1135" s="1058"/>
      <c r="E1135" s="1058"/>
      <c r="F1135" s="1058"/>
      <c r="G1135" s="1058"/>
      <c r="H1135" s="1058"/>
      <c r="I1135" s="1058"/>
      <c r="J1135" s="1058"/>
      <c r="K1135" s="1058"/>
      <c r="L1135" s="1058"/>
      <c r="M1135" s="1058"/>
      <c r="N1135" s="1058"/>
      <c r="O1135" s="1058"/>
      <c r="P1135" s="1058"/>
      <c r="Q1135" s="1058"/>
      <c r="R1135" s="1058"/>
      <c r="S1135" s="1058"/>
      <c r="T1135" s="1058"/>
      <c r="U1135" s="1058"/>
      <c r="V1135" s="1058"/>
      <c r="W1135" s="1058"/>
      <c r="X1135" s="1058"/>
      <c r="Y1135" s="1058"/>
      <c r="Z1135" s="1058"/>
      <c r="AA1135" s="1058"/>
      <c r="AB1135" s="1058"/>
      <c r="AC1135" s="1058"/>
      <c r="AD1135" s="1058"/>
      <c r="AE1135" s="1058"/>
      <c r="AF1135" s="1058"/>
      <c r="AG1135" s="1058"/>
      <c r="AH1135" s="1058"/>
      <c r="AI1135" s="1058"/>
      <c r="AJ1135" s="1058"/>
      <c r="AK1135" s="1058"/>
      <c r="AL1135" s="1058"/>
      <c r="AM1135" s="1058"/>
      <c r="AN1135" s="1058"/>
      <c r="AO1135" s="1058"/>
      <c r="AP1135" s="1058"/>
    </row>
    <row r="1136" spans="2:48" ht="45" customHeight="1" thickBot="1" x14ac:dyDescent="0.25">
      <c r="B1136" s="1018" t="str">
        <f>LIEU&amp;" - "&amp;DATE&amp;" - "&amp;CATEG</f>
        <v>L’Isle sur la Sorgue - 27 au 31 mars 2023 - Collèges Mixtes Etablissement</v>
      </c>
      <c r="C1136" s="1018"/>
      <c r="D1136" s="1018"/>
      <c r="E1136" s="1018"/>
      <c r="F1136" s="1018"/>
      <c r="G1136" s="1018"/>
      <c r="H1136" s="1018"/>
      <c r="I1136" s="1018"/>
      <c r="J1136" s="1018"/>
      <c r="K1136" s="1018"/>
      <c r="L1136" s="1018"/>
      <c r="M1136" s="1018"/>
      <c r="N1136" s="1018"/>
      <c r="O1136" s="1018"/>
      <c r="P1136" s="1018"/>
      <c r="Q1136" s="1018"/>
      <c r="R1136" s="1018"/>
      <c r="S1136" s="1018"/>
      <c r="T1136" s="1018"/>
      <c r="U1136" s="1018"/>
      <c r="V1136" s="1018"/>
      <c r="W1136" s="1018"/>
      <c r="X1136" s="1018"/>
      <c r="Y1136" s="1018"/>
      <c r="Z1136" s="1018"/>
      <c r="AA1136" s="1018"/>
      <c r="AB1136" s="1018"/>
      <c r="AC1136" s="1018"/>
      <c r="AD1136" s="1018"/>
      <c r="AE1136" s="1018"/>
      <c r="AF1136" s="1018"/>
      <c r="AG1136" s="1018"/>
      <c r="AH1136" s="1018"/>
      <c r="AI1136" s="1018"/>
      <c r="AJ1136" s="1018"/>
      <c r="AK1136" s="1018"/>
      <c r="AL1136" s="1018"/>
      <c r="AM1136" s="1018"/>
      <c r="AN1136" s="1018"/>
      <c r="AO1136" s="1018"/>
      <c r="AP1136" s="1018"/>
      <c r="AQ1136" s="182"/>
      <c r="AR1136" s="182"/>
      <c r="AS1136" s="182"/>
      <c r="AT1136" s="182"/>
      <c r="AU1136" s="182"/>
      <c r="AV1136" s="182"/>
    </row>
    <row r="1137" spans="2:48" ht="26.25" customHeight="1" x14ac:dyDescent="0.2">
      <c r="B1137" s="1059" t="str">
        <f>CATEG_IMPORTEE</f>
        <v>Collèges Mixtes Etablissement</v>
      </c>
      <c r="C1137" s="1059"/>
      <c r="D1137" s="1059"/>
      <c r="E1137" s="1059"/>
      <c r="F1137" s="1059"/>
      <c r="G1137" s="1059"/>
      <c r="H1137" s="1059"/>
      <c r="I1137" s="1059"/>
      <c r="J1137" s="1059"/>
      <c r="K1137" s="1059"/>
      <c r="L1137" s="1059"/>
      <c r="M1137" s="1059"/>
      <c r="N1137" s="1059"/>
      <c r="O1137" s="1059"/>
      <c r="P1137" s="1059"/>
      <c r="Q1137" s="1059"/>
      <c r="R1137" s="1059"/>
      <c r="S1137" s="1059"/>
      <c r="T1137" s="1059"/>
      <c r="U1137" s="1059"/>
      <c r="V1137" s="1059"/>
      <c r="W1137" s="1059"/>
      <c r="X1137" s="1059"/>
      <c r="Y1137" s="1059"/>
      <c r="Z1137" s="1059"/>
      <c r="AA1137" s="1059"/>
      <c r="AB1137" s="1059"/>
      <c r="AC1137" s="1059"/>
      <c r="AD1137" s="1059"/>
      <c r="AE1137" s="1059"/>
      <c r="AF1137" s="1059"/>
      <c r="AG1137" s="1059"/>
      <c r="AH1137" s="1059"/>
      <c r="AI1137" s="1059"/>
      <c r="AJ1137" s="1059"/>
      <c r="AK1137" s="1059"/>
      <c r="AL1137" s="1059"/>
      <c r="AM1137" s="1059"/>
      <c r="AN1137" s="1059"/>
      <c r="AO1137" s="1059"/>
      <c r="AP1137" s="1059"/>
      <c r="AQ1137" s="182"/>
      <c r="AR1137" s="1060">
        <f>AR1074+1</f>
        <v>19</v>
      </c>
      <c r="AS1137" s="1061"/>
      <c r="AT1137" s="1062"/>
      <c r="AU1137" s="182"/>
      <c r="AV1137" s="182"/>
    </row>
    <row r="1138" spans="2:48" ht="18" customHeight="1" x14ac:dyDescent="0.2">
      <c r="B1138" s="182"/>
      <c r="C1138" s="182"/>
      <c r="D1138" s="182"/>
      <c r="E1138" s="182"/>
      <c r="F1138" s="182"/>
      <c r="G1138" s="182"/>
      <c r="H1138" s="182"/>
      <c r="I1138" s="182"/>
      <c r="J1138" s="182"/>
      <c r="K1138" s="182"/>
      <c r="L1138" s="182"/>
      <c r="M1138" s="182"/>
      <c r="N1138" s="182"/>
      <c r="O1138" s="182"/>
      <c r="P1138" s="182"/>
      <c r="Q1138" s="182"/>
      <c r="R1138" s="182"/>
      <c r="S1138" s="182"/>
      <c r="T1138" s="182"/>
      <c r="U1138" s="182"/>
      <c r="V1138" s="182"/>
      <c r="W1138" s="182"/>
      <c r="X1138" s="183"/>
      <c r="Y1138" s="184"/>
      <c r="Z1138" s="182"/>
      <c r="AA1138" s="182"/>
      <c r="AB1138" s="182"/>
      <c r="AC1138" s="182"/>
      <c r="AD1138" s="182"/>
      <c r="AE1138" s="182"/>
      <c r="AF1138" s="182"/>
      <c r="AG1138" s="182"/>
      <c r="AH1138" s="182"/>
      <c r="AI1138" s="182"/>
      <c r="AJ1138" s="182"/>
      <c r="AK1138" s="182"/>
      <c r="AL1138" s="182"/>
      <c r="AM1138" s="182"/>
      <c r="AN1138" s="182"/>
      <c r="AO1138" s="182"/>
      <c r="AP1138" s="182"/>
      <c r="AQ1138" s="182"/>
      <c r="AR1138" s="1063"/>
      <c r="AS1138" s="1064"/>
      <c r="AT1138" s="1065"/>
      <c r="AU1138" s="182"/>
      <c r="AV1138" s="182"/>
    </row>
    <row r="1139" spans="2:48" ht="18.75" customHeight="1" thickBot="1" x14ac:dyDescent="0.25">
      <c r="B1139" s="182"/>
      <c r="C1139" s="182"/>
      <c r="D1139" s="182"/>
      <c r="E1139" s="182"/>
      <c r="F1139" s="182"/>
      <c r="G1139" s="182"/>
      <c r="H1139" s="992" t="s">
        <v>374</v>
      </c>
      <c r="I1139" s="992"/>
      <c r="J1139" s="992"/>
      <c r="K1139" s="992"/>
      <c r="L1139" s="992"/>
      <c r="M1139" s="992"/>
      <c r="N1139" s="992"/>
      <c r="O1139" s="992"/>
      <c r="P1139" s="992"/>
      <c r="Q1139" s="992"/>
      <c r="R1139" s="182"/>
      <c r="S1139" s="182"/>
      <c r="T1139" s="182"/>
      <c r="U1139" s="182"/>
      <c r="V1139" s="182"/>
      <c r="W1139" s="182"/>
      <c r="X1139" s="183"/>
      <c r="Y1139" s="182"/>
      <c r="Z1139" s="182"/>
      <c r="AA1139" s="182"/>
      <c r="AB1139" s="182"/>
      <c r="AC1139" s="182"/>
      <c r="AD1139" s="182"/>
      <c r="AE1139" s="992" t="s">
        <v>374</v>
      </c>
      <c r="AF1139" s="992"/>
      <c r="AG1139" s="992"/>
      <c r="AH1139" s="992"/>
      <c r="AI1139" s="992"/>
      <c r="AJ1139" s="992"/>
      <c r="AK1139" s="992"/>
      <c r="AL1139" s="992"/>
      <c r="AM1139" s="992"/>
      <c r="AN1139" s="992"/>
      <c r="AO1139" s="182"/>
      <c r="AP1139" s="182"/>
      <c r="AQ1139" s="182"/>
      <c r="AR1139" s="1066"/>
      <c r="AS1139" s="1067"/>
      <c r="AT1139" s="1068"/>
      <c r="AU1139" s="182"/>
      <c r="AV1139" s="182"/>
    </row>
    <row r="1140" spans="2:48" ht="18" x14ac:dyDescent="0.2">
      <c r="B1140" s="182"/>
      <c r="C1140" s="182"/>
      <c r="D1140" s="182"/>
      <c r="E1140" s="182"/>
      <c r="F1140" s="182"/>
      <c r="G1140" s="182"/>
      <c r="H1140" s="1022" t="e">
        <f>VLOOKUP(U1149,ID_archer_cible,4,FALSE)</f>
        <v>#N/A</v>
      </c>
      <c r="I1140" s="1023"/>
      <c r="J1140" s="1023"/>
      <c r="K1140" s="1023"/>
      <c r="L1140" s="1023"/>
      <c r="M1140" s="1023"/>
      <c r="N1140" s="1023"/>
      <c r="O1140" s="1023"/>
      <c r="P1140" s="1023"/>
      <c r="Q1140" s="1024"/>
      <c r="R1140" s="182"/>
      <c r="S1140" s="182"/>
      <c r="T1140" s="182"/>
      <c r="U1140" s="182"/>
      <c r="V1140" s="182"/>
      <c r="W1140" s="182"/>
      <c r="X1140" s="183"/>
      <c r="Y1140" s="182"/>
      <c r="Z1140" s="182"/>
      <c r="AA1140" s="182"/>
      <c r="AB1140" s="182"/>
      <c r="AC1140" s="182"/>
      <c r="AD1140" s="182"/>
      <c r="AE1140" s="1022" t="e">
        <f>VLOOKUP(AS1149,ID_archer_cible,4,FALSE)</f>
        <v>#N/A</v>
      </c>
      <c r="AF1140" s="1023"/>
      <c r="AG1140" s="1023"/>
      <c r="AH1140" s="1023"/>
      <c r="AI1140" s="1023"/>
      <c r="AJ1140" s="1023"/>
      <c r="AK1140" s="1023"/>
      <c r="AL1140" s="1023"/>
      <c r="AM1140" s="1023"/>
      <c r="AN1140" s="1024"/>
      <c r="AO1140" s="182"/>
      <c r="AP1140" s="182"/>
      <c r="AQ1140" s="182"/>
      <c r="AR1140" s="182"/>
      <c r="AS1140" s="182"/>
      <c r="AT1140" s="182"/>
      <c r="AU1140" s="182"/>
      <c r="AV1140" s="182"/>
    </row>
    <row r="1141" spans="2:48" x14ac:dyDescent="0.2">
      <c r="X1141" s="186"/>
    </row>
    <row r="1142" spans="2:48" x14ac:dyDescent="0.2">
      <c r="B1142" s="1021" t="s">
        <v>0</v>
      </c>
      <c r="C1142" s="1021"/>
      <c r="D1142" s="1021"/>
      <c r="E1142" s="1021"/>
      <c r="F1142" s="1021"/>
      <c r="G1142" s="1021"/>
      <c r="H1142" s="1021"/>
      <c r="I1142" s="1021"/>
      <c r="J1142" s="1021"/>
      <c r="K1142" s="1021"/>
      <c r="L1142" s="1021"/>
      <c r="M1142" s="187"/>
      <c r="P1142" s="992" t="s">
        <v>375</v>
      </c>
      <c r="Q1142" s="992"/>
      <c r="R1142" s="992"/>
      <c r="S1142" s="992"/>
      <c r="T1142" s="992"/>
      <c r="U1142" s="992"/>
      <c r="V1142" s="992"/>
      <c r="W1142" s="992"/>
      <c r="X1142" s="188"/>
      <c r="Z1142" s="1021" t="s">
        <v>0</v>
      </c>
      <c r="AA1142" s="1021"/>
      <c r="AB1142" s="1021"/>
      <c r="AC1142" s="1021"/>
      <c r="AD1142" s="1021"/>
      <c r="AE1142" s="1021"/>
      <c r="AF1142" s="1021"/>
      <c r="AG1142" s="1021"/>
      <c r="AH1142" s="1021"/>
      <c r="AI1142" s="1021"/>
      <c r="AJ1142" s="1021"/>
      <c r="AK1142" s="187"/>
      <c r="AN1142" s="992" t="s">
        <v>375</v>
      </c>
      <c r="AO1142" s="992"/>
      <c r="AP1142" s="992"/>
      <c r="AQ1142" s="992"/>
      <c r="AR1142" s="992"/>
      <c r="AS1142" s="992"/>
      <c r="AT1142" s="992"/>
      <c r="AU1142" s="992"/>
      <c r="AV1142" s="187"/>
    </row>
    <row r="1143" spans="2:48" x14ac:dyDescent="0.2">
      <c r="B1143" s="999" t="e">
        <f>VLOOKUP(U1149,ID_archer_cible,2,FALSE)</f>
        <v>#N/A</v>
      </c>
      <c r="C1143" s="1000"/>
      <c r="D1143" s="1000"/>
      <c r="E1143" s="1000"/>
      <c r="F1143" s="1000"/>
      <c r="G1143" s="1000"/>
      <c r="H1143" s="1000"/>
      <c r="I1143" s="1000"/>
      <c r="J1143" s="1000"/>
      <c r="K1143" s="1000"/>
      <c r="L1143" s="1000"/>
      <c r="M1143" s="1001"/>
      <c r="P1143" s="999" t="e">
        <f>VLOOKUP(U1149,ID_archer_cible,3,FALSE)</f>
        <v>#N/A</v>
      </c>
      <c r="Q1143" s="1000"/>
      <c r="R1143" s="1000"/>
      <c r="S1143" s="1000"/>
      <c r="T1143" s="1000"/>
      <c r="U1143" s="1000"/>
      <c r="V1143" s="1000"/>
      <c r="W1143" s="1001"/>
      <c r="X1143" s="186"/>
      <c r="Y1143"/>
      <c r="Z1143" s="999" t="e">
        <f>VLOOKUP(AS1149,ID_archer_cible,2,FALSE)</f>
        <v>#N/A</v>
      </c>
      <c r="AA1143" s="1000"/>
      <c r="AB1143" s="1000"/>
      <c r="AC1143" s="1000"/>
      <c r="AD1143" s="1000"/>
      <c r="AE1143" s="1000"/>
      <c r="AF1143" s="1000"/>
      <c r="AG1143" s="1000"/>
      <c r="AH1143" s="1000"/>
      <c r="AI1143" s="1000"/>
      <c r="AJ1143" s="1000"/>
      <c r="AK1143" s="1001"/>
      <c r="AN1143" s="999" t="e">
        <f>VLOOKUP(AS1149,ID_archer_cible,3,FALSE)</f>
        <v>#N/A</v>
      </c>
      <c r="AO1143" s="1000"/>
      <c r="AP1143" s="1000"/>
      <c r="AQ1143" s="1000"/>
      <c r="AR1143" s="1000"/>
      <c r="AS1143" s="1000"/>
      <c r="AT1143" s="1000"/>
      <c r="AU1143" s="1001"/>
    </row>
    <row r="1144" spans="2:48" x14ac:dyDescent="0.2">
      <c r="X1144" s="186"/>
      <c r="Y1144"/>
    </row>
    <row r="1145" spans="2:48" ht="16.5" thickBot="1" x14ac:dyDescent="0.25">
      <c r="B1145" s="1017" t="s">
        <v>1</v>
      </c>
      <c r="C1145" s="1017"/>
      <c r="D1145" s="1017"/>
      <c r="E1145" s="1017"/>
      <c r="F1145" s="1017"/>
      <c r="G1145" s="1017"/>
      <c r="H1145" s="1017"/>
      <c r="I1145" s="1017"/>
      <c r="J1145" s="1017"/>
      <c r="L1145" s="1017" t="s">
        <v>505</v>
      </c>
      <c r="M1145" s="1017"/>
      <c r="N1145" s="1017"/>
      <c r="O1145" s="1017"/>
      <c r="P1145" s="1017"/>
      <c r="Q1145" s="1017"/>
      <c r="S1145" s="992" t="s">
        <v>506</v>
      </c>
      <c r="T1145" s="992"/>
      <c r="U1145" s="992"/>
      <c r="V1145" s="992"/>
      <c r="W1145" s="992"/>
      <c r="X1145" s="188"/>
      <c r="Y1145"/>
      <c r="Z1145" s="1017" t="s">
        <v>1</v>
      </c>
      <c r="AA1145" s="1017"/>
      <c r="AB1145" s="1017"/>
      <c r="AC1145" s="1017"/>
      <c r="AD1145" s="1017"/>
      <c r="AE1145" s="1017"/>
      <c r="AF1145" s="1017"/>
      <c r="AG1145" s="1017"/>
      <c r="AH1145" s="1017"/>
      <c r="AJ1145" s="1017" t="s">
        <v>505</v>
      </c>
      <c r="AK1145" s="1017"/>
      <c r="AL1145" s="1017"/>
      <c r="AM1145" s="1017"/>
      <c r="AN1145" s="1017"/>
      <c r="AO1145" s="1017"/>
      <c r="AQ1145" s="992" t="s">
        <v>506</v>
      </c>
      <c r="AR1145" s="992"/>
      <c r="AS1145" s="992"/>
      <c r="AT1145" s="992"/>
      <c r="AU1145" s="992"/>
      <c r="AV1145" s="187"/>
    </row>
    <row r="1146" spans="2:48" ht="16.5" thickBot="1" x14ac:dyDescent="0.25">
      <c r="B1146" s="1014" t="e">
        <f>VLOOKUP(U1149,ID_archer_cible,5,FALSE)</f>
        <v>#N/A</v>
      </c>
      <c r="C1146" s="1015"/>
      <c r="D1146" s="1015"/>
      <c r="E1146" s="1015"/>
      <c r="F1146" s="1015"/>
      <c r="G1146" s="1015"/>
      <c r="H1146" s="1015"/>
      <c r="I1146" s="1015"/>
      <c r="J1146" s="1016"/>
      <c r="L1146" s="1014" t="e">
        <f>VLOOKUP(U1149,ID_archer_cible,6,FALSE)</f>
        <v>#N/A</v>
      </c>
      <c r="M1146" s="1015"/>
      <c r="N1146" s="1015"/>
      <c r="O1146" s="1015"/>
      <c r="P1146" s="1015"/>
      <c r="Q1146" s="1016"/>
      <c r="S1146" s="999" t="e">
        <f>VLOOKUP(U1149,ID_archer_cible,8,FALSE)</f>
        <v>#N/A</v>
      </c>
      <c r="T1146" s="1000"/>
      <c r="U1146" s="1000"/>
      <c r="V1146" s="1000"/>
      <c r="W1146" s="1001"/>
      <c r="X1146" s="186"/>
      <c r="Y1146"/>
      <c r="Z1146" s="1014" t="e">
        <f>VLOOKUP(AS1149,ID_archer_cible,5,FALSE)</f>
        <v>#N/A</v>
      </c>
      <c r="AA1146" s="1015"/>
      <c r="AB1146" s="1015"/>
      <c r="AC1146" s="1015"/>
      <c r="AD1146" s="1015"/>
      <c r="AE1146" s="1015"/>
      <c r="AF1146" s="1015"/>
      <c r="AG1146" s="1015"/>
      <c r="AH1146" s="1016"/>
      <c r="AJ1146" s="1014" t="e">
        <f>VLOOKUP(AS1149,ID_archer_cible,6,FALSE)</f>
        <v>#N/A</v>
      </c>
      <c r="AK1146" s="1015"/>
      <c r="AL1146" s="1015"/>
      <c r="AM1146" s="1015"/>
      <c r="AN1146" s="1015"/>
      <c r="AO1146" s="1016"/>
      <c r="AQ1146" s="999" t="e">
        <f>VLOOKUP(AS1149,ID_archer_cible,8,FALSE)</f>
        <v>#N/A</v>
      </c>
      <c r="AR1146" s="1000"/>
      <c r="AS1146" s="1000"/>
      <c r="AT1146" s="1000"/>
      <c r="AU1146" s="1001"/>
    </row>
    <row r="1147" spans="2:48" x14ac:dyDescent="0.2">
      <c r="X1147" s="186"/>
      <c r="Y1147"/>
    </row>
    <row r="1148" spans="2:48" x14ac:dyDescent="0.2">
      <c r="B1148" s="992" t="s">
        <v>530</v>
      </c>
      <c r="C1148" s="992"/>
      <c r="D1148" s="992"/>
      <c r="E1148" s="992"/>
      <c r="F1148" s="992"/>
      <c r="G1148" s="187"/>
      <c r="H1148" s="992" t="s">
        <v>504</v>
      </c>
      <c r="I1148" s="992"/>
      <c r="J1148" s="992"/>
      <c r="K1148" s="992"/>
      <c r="M1148" s="992" t="s">
        <v>39</v>
      </c>
      <c r="N1148" s="992"/>
      <c r="O1148" s="992"/>
      <c r="Q1148" s="1021"/>
      <c r="R1148" s="1021"/>
      <c r="S1148" s="1021"/>
      <c r="U1148" s="992" t="s">
        <v>507</v>
      </c>
      <c r="V1148" s="992"/>
      <c r="W1148" s="992"/>
      <c r="X1148" s="188"/>
      <c r="Y1148"/>
      <c r="Z1148" s="992" t="s">
        <v>530</v>
      </c>
      <c r="AA1148" s="992"/>
      <c r="AB1148" s="992"/>
      <c r="AC1148" s="992"/>
      <c r="AD1148" s="992"/>
      <c r="AE1148" s="187"/>
      <c r="AF1148" s="992" t="s">
        <v>504</v>
      </c>
      <c r="AG1148" s="992"/>
      <c r="AH1148" s="992"/>
      <c r="AI1148" s="992"/>
      <c r="AK1148" s="992" t="s">
        <v>39</v>
      </c>
      <c r="AL1148" s="992"/>
      <c r="AM1148" s="992"/>
      <c r="AO1148" s="1021"/>
      <c r="AP1148" s="1021"/>
      <c r="AQ1148" s="1021"/>
      <c r="AS1148" s="992" t="s">
        <v>507</v>
      </c>
      <c r="AT1148" s="992"/>
      <c r="AU1148" s="992"/>
      <c r="AV1148" s="187"/>
    </row>
    <row r="1149" spans="2:48" ht="15.75" x14ac:dyDescent="0.2">
      <c r="B1149" s="1011" t="e">
        <f>VLOOKUP(U1149,ID_archer_cible,7,FALSE)</f>
        <v>#N/A</v>
      </c>
      <c r="C1149" s="1012"/>
      <c r="D1149" s="1012"/>
      <c r="E1149" s="1012"/>
      <c r="F1149" s="1013"/>
      <c r="H1149" s="999" t="e">
        <f>VLOOKUP(U1149,ID_archer_cible,9,FALSE)</f>
        <v>#N/A</v>
      </c>
      <c r="I1149" s="1000"/>
      <c r="J1149" s="1000"/>
      <c r="K1149" s="1001"/>
      <c r="M1149" s="999" t="e">
        <f>VLOOKUP(U1149,ID_archer_cible,10,FALSE)</f>
        <v>#N/A</v>
      </c>
      <c r="N1149" s="1000"/>
      <c r="O1149" s="1001"/>
      <c r="Q1149" s="1021"/>
      <c r="R1149" s="1021"/>
      <c r="S1149" s="1021"/>
      <c r="T1149" s="187"/>
      <c r="U1149" s="996" t="str">
        <f>AR1137&amp;"A"</f>
        <v>19A</v>
      </c>
      <c r="V1149" s="997"/>
      <c r="W1149" s="998"/>
      <c r="X1149" s="188"/>
      <c r="Y1149"/>
      <c r="Z1149" s="1011" t="e">
        <f>VLOOKUP(AS1149,ID_archer_cible,7,FALSE)</f>
        <v>#N/A</v>
      </c>
      <c r="AA1149" s="1012"/>
      <c r="AB1149" s="1012"/>
      <c r="AC1149" s="1012"/>
      <c r="AD1149" s="1013"/>
      <c r="AF1149" s="999" t="e">
        <f>VLOOKUP(AS1149,ID_archer_cible,9,FALSE)</f>
        <v>#N/A</v>
      </c>
      <c r="AG1149" s="1000"/>
      <c r="AH1149" s="1000"/>
      <c r="AI1149" s="1001"/>
      <c r="AK1149" s="999" t="e">
        <f>VLOOKUP(AS1149,ID_archer_cible,10,FALSE)</f>
        <v>#N/A</v>
      </c>
      <c r="AL1149" s="1000"/>
      <c r="AM1149" s="1001"/>
      <c r="AO1149" s="1021"/>
      <c r="AP1149" s="1021"/>
      <c r="AQ1149" s="1021"/>
      <c r="AR1149" s="187"/>
      <c r="AS1149" s="996" t="str">
        <f>AR1137&amp;"B"</f>
        <v>19B</v>
      </c>
      <c r="AT1149" s="997"/>
      <c r="AU1149" s="998"/>
      <c r="AV1149" s="187"/>
    </row>
    <row r="1150" spans="2:48" x14ac:dyDescent="0.2">
      <c r="X1150" s="186"/>
    </row>
    <row r="1151" spans="2:48" x14ac:dyDescent="0.2">
      <c r="B1151" s="185" t="s">
        <v>509</v>
      </c>
      <c r="E1151" s="992" t="s">
        <v>510</v>
      </c>
      <c r="F1151" s="992"/>
      <c r="G1151" s="992"/>
      <c r="H1151" s="992"/>
      <c r="I1151" s="992"/>
      <c r="J1151" s="992"/>
      <c r="K1151" s="992"/>
      <c r="L1151" s="992"/>
      <c r="M1151" s="992"/>
      <c r="N1151" s="992"/>
      <c r="P1151" s="992" t="s">
        <v>511</v>
      </c>
      <c r="Q1151" s="992"/>
      <c r="R1151" s="992"/>
      <c r="X1151" s="186"/>
      <c r="Z1151" s="185" t="s">
        <v>509</v>
      </c>
      <c r="AC1151" s="992" t="s">
        <v>510</v>
      </c>
      <c r="AD1151" s="992"/>
      <c r="AE1151" s="992"/>
      <c r="AF1151" s="992"/>
      <c r="AG1151" s="992"/>
      <c r="AH1151" s="992"/>
      <c r="AI1151" s="992"/>
      <c r="AJ1151" s="992"/>
      <c r="AK1151" s="992"/>
      <c r="AL1151" s="992"/>
      <c r="AN1151" s="992" t="s">
        <v>511</v>
      </c>
      <c r="AO1151" s="992"/>
      <c r="AP1151" s="992"/>
    </row>
    <row r="1152" spans="2:48" ht="20.25" customHeight="1" x14ac:dyDescent="0.2">
      <c r="B1152" s="1009" t="s">
        <v>513</v>
      </c>
      <c r="C1152" s="1009"/>
      <c r="E1152" s="189"/>
      <c r="F1152" s="191"/>
      <c r="G1152" s="189"/>
      <c r="H1152" s="191"/>
      <c r="I1152" s="189"/>
      <c r="J1152" s="191"/>
      <c r="K1152" s="189"/>
      <c r="L1152" s="191"/>
      <c r="M1152" s="189"/>
      <c r="N1152" s="191"/>
      <c r="P1152" s="189"/>
      <c r="Q1152" s="190"/>
      <c r="R1152" s="191"/>
      <c r="T1152" s="992" t="s">
        <v>512</v>
      </c>
      <c r="U1152" s="992"/>
      <c r="V1152" s="992"/>
      <c r="W1152" s="992"/>
      <c r="X1152" s="188"/>
      <c r="Z1152" s="1009" t="s">
        <v>513</v>
      </c>
      <c r="AA1152" s="1009"/>
      <c r="AC1152" s="189"/>
      <c r="AD1152" s="191"/>
      <c r="AE1152" s="189"/>
      <c r="AF1152" s="191"/>
      <c r="AG1152" s="189"/>
      <c r="AH1152" s="191"/>
      <c r="AI1152" s="189"/>
      <c r="AJ1152" s="191"/>
      <c r="AK1152" s="189"/>
      <c r="AL1152" s="191"/>
      <c r="AN1152" s="189"/>
      <c r="AO1152" s="190"/>
      <c r="AP1152" s="191"/>
      <c r="AR1152" s="992" t="s">
        <v>512</v>
      </c>
      <c r="AS1152" s="992"/>
      <c r="AT1152" s="992"/>
      <c r="AU1152" s="992"/>
      <c r="AV1152" s="187"/>
    </row>
    <row r="1153" spans="2:48" ht="20.25" customHeight="1" x14ac:dyDescent="0.2">
      <c r="B1153" s="1009" t="s">
        <v>514</v>
      </c>
      <c r="C1153" s="1009"/>
      <c r="E1153" s="189"/>
      <c r="F1153" s="191"/>
      <c r="G1153" s="189"/>
      <c r="H1153" s="191"/>
      <c r="I1153" s="189"/>
      <c r="J1153" s="191"/>
      <c r="K1153" s="189"/>
      <c r="L1153" s="191"/>
      <c r="M1153" s="189"/>
      <c r="N1153" s="191"/>
      <c r="P1153" s="189"/>
      <c r="Q1153" s="190"/>
      <c r="R1153" s="191"/>
      <c r="T1153" s="189"/>
      <c r="U1153" s="190"/>
      <c r="V1153" s="190"/>
      <c r="W1153" s="191"/>
      <c r="X1153" s="186"/>
      <c r="Z1153" s="1009" t="s">
        <v>514</v>
      </c>
      <c r="AA1153" s="1009"/>
      <c r="AC1153" s="189"/>
      <c r="AD1153" s="191"/>
      <c r="AE1153" s="189"/>
      <c r="AF1153" s="191"/>
      <c r="AG1153" s="189"/>
      <c r="AH1153" s="191"/>
      <c r="AI1153" s="189"/>
      <c r="AJ1153" s="191"/>
      <c r="AK1153" s="189"/>
      <c r="AL1153" s="191"/>
      <c r="AN1153" s="189"/>
      <c r="AO1153" s="190"/>
      <c r="AP1153" s="191"/>
      <c r="AR1153" s="189"/>
      <c r="AS1153" s="190"/>
      <c r="AT1153" s="190"/>
      <c r="AU1153" s="191"/>
    </row>
    <row r="1154" spans="2:48" ht="20.25" customHeight="1" x14ac:dyDescent="0.2">
      <c r="B1154" s="1009" t="s">
        <v>515</v>
      </c>
      <c r="C1154" s="1009"/>
      <c r="E1154" s="189"/>
      <c r="F1154" s="191"/>
      <c r="G1154" s="189"/>
      <c r="H1154" s="191"/>
      <c r="I1154" s="189"/>
      <c r="J1154" s="191"/>
      <c r="K1154" s="189"/>
      <c r="L1154" s="191"/>
      <c r="M1154" s="189"/>
      <c r="N1154" s="191"/>
      <c r="P1154" s="189"/>
      <c r="Q1154" s="190"/>
      <c r="R1154" s="191"/>
      <c r="T1154" s="189"/>
      <c r="U1154" s="190"/>
      <c r="V1154" s="190"/>
      <c r="W1154" s="191"/>
      <c r="X1154" s="186"/>
      <c r="Z1154" s="1009" t="s">
        <v>515</v>
      </c>
      <c r="AA1154" s="1009"/>
      <c r="AC1154" s="189"/>
      <c r="AD1154" s="191"/>
      <c r="AE1154" s="189"/>
      <c r="AF1154" s="191"/>
      <c r="AG1154" s="189"/>
      <c r="AH1154" s="191"/>
      <c r="AI1154" s="189"/>
      <c r="AJ1154" s="191"/>
      <c r="AK1154" s="189"/>
      <c r="AL1154" s="191"/>
      <c r="AN1154" s="189"/>
      <c r="AO1154" s="190"/>
      <c r="AP1154" s="191"/>
      <c r="AR1154" s="189"/>
      <c r="AS1154" s="190"/>
      <c r="AT1154" s="190"/>
      <c r="AU1154" s="191"/>
    </row>
    <row r="1155" spans="2:48" ht="20.25" customHeight="1" x14ac:dyDescent="0.2">
      <c r="B1155" s="1009" t="s">
        <v>516</v>
      </c>
      <c r="C1155" s="1009"/>
      <c r="E1155" s="189"/>
      <c r="F1155" s="191"/>
      <c r="G1155" s="189"/>
      <c r="H1155" s="191"/>
      <c r="I1155" s="189"/>
      <c r="J1155" s="191"/>
      <c r="K1155" s="189"/>
      <c r="L1155" s="191"/>
      <c r="M1155" s="189"/>
      <c r="N1155" s="191"/>
      <c r="P1155" s="189"/>
      <c r="Q1155" s="190"/>
      <c r="R1155" s="191"/>
      <c r="T1155" s="189"/>
      <c r="U1155" s="190"/>
      <c r="V1155" s="190"/>
      <c r="W1155" s="191"/>
      <c r="X1155" s="186"/>
      <c r="Z1155" s="1009" t="s">
        <v>516</v>
      </c>
      <c r="AA1155" s="1009"/>
      <c r="AC1155" s="189"/>
      <c r="AD1155" s="191"/>
      <c r="AE1155" s="189"/>
      <c r="AF1155" s="191"/>
      <c r="AG1155" s="189"/>
      <c r="AH1155" s="191"/>
      <c r="AI1155" s="189"/>
      <c r="AJ1155" s="191"/>
      <c r="AK1155" s="189"/>
      <c r="AL1155" s="191"/>
      <c r="AN1155" s="189"/>
      <c r="AO1155" s="190"/>
      <c r="AP1155" s="191"/>
      <c r="AR1155" s="189"/>
      <c r="AS1155" s="190"/>
      <c r="AT1155" s="190"/>
      <c r="AU1155" s="191"/>
    </row>
    <row r="1156" spans="2:48" ht="20.25" customHeight="1" x14ac:dyDescent="0.2">
      <c r="B1156" s="1009" t="s">
        <v>517</v>
      </c>
      <c r="C1156" s="1009"/>
      <c r="E1156" s="189"/>
      <c r="F1156" s="191"/>
      <c r="G1156" s="189"/>
      <c r="H1156" s="191"/>
      <c r="I1156" s="189"/>
      <c r="J1156" s="191"/>
      <c r="K1156" s="189"/>
      <c r="L1156" s="191"/>
      <c r="M1156" s="189"/>
      <c r="N1156" s="191"/>
      <c r="P1156" s="189"/>
      <c r="Q1156" s="190"/>
      <c r="R1156" s="191"/>
      <c r="T1156" s="189"/>
      <c r="U1156" s="190"/>
      <c r="V1156" s="190"/>
      <c r="W1156" s="191"/>
      <c r="X1156" s="186"/>
      <c r="Z1156" s="1009" t="s">
        <v>517</v>
      </c>
      <c r="AA1156" s="1009"/>
      <c r="AC1156" s="189"/>
      <c r="AD1156" s="191"/>
      <c r="AE1156" s="189"/>
      <c r="AF1156" s="191"/>
      <c r="AG1156" s="189"/>
      <c r="AH1156" s="191"/>
      <c r="AI1156" s="189"/>
      <c r="AJ1156" s="191"/>
      <c r="AK1156" s="189"/>
      <c r="AL1156" s="191"/>
      <c r="AN1156" s="189"/>
      <c r="AO1156" s="190"/>
      <c r="AP1156" s="191"/>
      <c r="AR1156" s="189"/>
      <c r="AS1156" s="190"/>
      <c r="AT1156" s="190"/>
      <c r="AU1156" s="191"/>
    </row>
    <row r="1157" spans="2:48" ht="20.25" customHeight="1" x14ac:dyDescent="0.2">
      <c r="B1157" s="1009" t="s">
        <v>518</v>
      </c>
      <c r="C1157" s="1009"/>
      <c r="E1157" s="189"/>
      <c r="F1157" s="191"/>
      <c r="G1157" s="189"/>
      <c r="H1157" s="191"/>
      <c r="I1157" s="189"/>
      <c r="J1157" s="191"/>
      <c r="K1157" s="189"/>
      <c r="L1157" s="191"/>
      <c r="M1157" s="189"/>
      <c r="N1157" s="191"/>
      <c r="P1157" s="189"/>
      <c r="Q1157" s="190"/>
      <c r="R1157" s="191"/>
      <c r="T1157" s="189"/>
      <c r="U1157" s="190"/>
      <c r="V1157" s="190"/>
      <c r="W1157" s="191"/>
      <c r="X1157" s="186"/>
      <c r="Z1157" s="1009" t="s">
        <v>518</v>
      </c>
      <c r="AA1157" s="1009"/>
      <c r="AC1157" s="189"/>
      <c r="AD1157" s="191"/>
      <c r="AE1157" s="189"/>
      <c r="AF1157" s="191"/>
      <c r="AG1157" s="189"/>
      <c r="AH1157" s="191"/>
      <c r="AI1157" s="189"/>
      <c r="AJ1157" s="191"/>
      <c r="AK1157" s="189"/>
      <c r="AL1157" s="191"/>
      <c r="AN1157" s="189"/>
      <c r="AO1157" s="190"/>
      <c r="AP1157" s="191"/>
      <c r="AR1157" s="189"/>
      <c r="AS1157" s="190"/>
      <c r="AT1157" s="190"/>
      <c r="AU1157" s="191"/>
    </row>
    <row r="1158" spans="2:48" ht="15.75" thickBot="1" x14ac:dyDescent="0.25">
      <c r="B1158" s="187"/>
      <c r="C1158" s="187"/>
      <c r="X1158" s="186"/>
      <c r="Z1158" s="187"/>
      <c r="AA1158" s="187"/>
    </row>
    <row r="1159" spans="2:48" ht="20.25" customHeight="1" thickBot="1" x14ac:dyDescent="0.25">
      <c r="P1159" s="197" t="s">
        <v>519</v>
      </c>
      <c r="Q1159" s="197"/>
      <c r="R1159" s="197"/>
      <c r="S1159" s="197"/>
      <c r="T1159" s="192"/>
      <c r="U1159" s="193"/>
      <c r="V1159" s="193"/>
      <c r="W1159" s="194"/>
      <c r="X1159" s="186"/>
      <c r="AN1159" s="197" t="s">
        <v>519</v>
      </c>
      <c r="AO1159" s="197"/>
      <c r="AP1159" s="197"/>
      <c r="AQ1159" s="197"/>
      <c r="AR1159" s="192"/>
      <c r="AS1159" s="193"/>
      <c r="AT1159" s="193"/>
      <c r="AU1159" s="194"/>
    </row>
    <row r="1160" spans="2:48" x14ac:dyDescent="0.2">
      <c r="E1160" s="196"/>
      <c r="F1160" s="196"/>
      <c r="G1160" s="196"/>
      <c r="H1160" s="196"/>
      <c r="I1160" s="196"/>
      <c r="J1160" s="196"/>
      <c r="K1160" s="196"/>
      <c r="L1160" s="196"/>
      <c r="M1160" s="196"/>
      <c r="X1160" s="186"/>
      <c r="AC1160" s="196"/>
      <c r="AD1160" s="196"/>
      <c r="AE1160" s="196"/>
      <c r="AF1160" s="196"/>
      <c r="AG1160" s="196"/>
      <c r="AH1160" s="196"/>
      <c r="AI1160" s="196"/>
      <c r="AJ1160" s="196"/>
      <c r="AK1160" s="196"/>
    </row>
    <row r="1161" spans="2:48" x14ac:dyDescent="0.2">
      <c r="B1161" s="1010" t="s">
        <v>521</v>
      </c>
      <c r="C1161" s="1010"/>
      <c r="D1161" s="1010"/>
      <c r="E1161" s="1010"/>
      <c r="F1161" s="1010"/>
      <c r="G1161" s="1010"/>
      <c r="H1161" s="195"/>
      <c r="I1161" s="1010" t="s">
        <v>522</v>
      </c>
      <c r="J1161" s="1010"/>
      <c r="K1161" s="1010"/>
      <c r="L1161" s="1010"/>
      <c r="M1161" s="1010"/>
      <c r="N1161" s="1010"/>
      <c r="O1161" s="1010"/>
      <c r="P1161" s="1010"/>
      <c r="Q1161" s="1010"/>
      <c r="R1161" s="1010"/>
      <c r="S1161" s="1010"/>
      <c r="T1161" s="1010"/>
      <c r="U1161" s="1010"/>
      <c r="V1161" s="1010"/>
      <c r="W1161" s="1010"/>
      <c r="X1161" s="198"/>
      <c r="Y1161" s="195"/>
      <c r="Z1161" s="1010" t="s">
        <v>521</v>
      </c>
      <c r="AA1161" s="1010"/>
      <c r="AB1161" s="1010"/>
      <c r="AC1161" s="1010"/>
      <c r="AD1161" s="1010"/>
      <c r="AE1161" s="1010"/>
      <c r="AF1161" s="195"/>
      <c r="AG1161" s="1004" t="s">
        <v>522</v>
      </c>
      <c r="AH1161" s="1004"/>
      <c r="AI1161" s="1004"/>
      <c r="AJ1161" s="1004"/>
      <c r="AK1161" s="1004"/>
      <c r="AL1161" s="1004"/>
      <c r="AM1161" s="1004"/>
      <c r="AN1161" s="1004"/>
      <c r="AO1161" s="1004"/>
      <c r="AP1161" s="1004"/>
      <c r="AQ1161" s="1004"/>
      <c r="AR1161" s="1004"/>
      <c r="AS1161" s="1004"/>
      <c r="AT1161" s="1004"/>
      <c r="AU1161" s="1004"/>
      <c r="AV1161" s="195"/>
    </row>
    <row r="1162" spans="2:48" x14ac:dyDescent="0.2">
      <c r="B1162" s="1005" t="s">
        <v>520</v>
      </c>
      <c r="C1162" s="1006"/>
      <c r="D1162" s="1006"/>
      <c r="E1162" s="1006"/>
      <c r="F1162" s="1006"/>
      <c r="G1162" s="1007"/>
      <c r="I1162" s="1005" t="s">
        <v>0</v>
      </c>
      <c r="J1162" s="1006"/>
      <c r="K1162" s="1006"/>
      <c r="L1162" s="1006"/>
      <c r="M1162" s="1006"/>
      <c r="N1162" s="1006"/>
      <c r="O1162" s="1006"/>
      <c r="P1162" s="1006"/>
      <c r="Q1162" s="1006"/>
      <c r="R1162" s="1006"/>
      <c r="S1162" s="1006"/>
      <c r="T1162" s="1006"/>
      <c r="U1162" s="1006"/>
      <c r="V1162" s="1006"/>
      <c r="W1162" s="1007"/>
      <c r="X1162" s="186"/>
      <c r="Z1162" s="1005" t="s">
        <v>520</v>
      </c>
      <c r="AA1162" s="1006"/>
      <c r="AB1162" s="1006"/>
      <c r="AC1162" s="1006"/>
      <c r="AD1162" s="1006"/>
      <c r="AE1162" s="1007"/>
      <c r="AG1162" s="1005" t="s">
        <v>0</v>
      </c>
      <c r="AH1162" s="1006"/>
      <c r="AI1162" s="1006"/>
      <c r="AJ1162" s="1006"/>
      <c r="AK1162" s="1006"/>
      <c r="AL1162" s="1006"/>
      <c r="AM1162" s="1006"/>
      <c r="AN1162" s="1006"/>
      <c r="AO1162" s="1006"/>
      <c r="AP1162" s="1006"/>
      <c r="AQ1162" s="1006"/>
      <c r="AR1162" s="1006"/>
      <c r="AS1162" s="1006"/>
      <c r="AT1162" s="1006"/>
      <c r="AU1162" s="1007"/>
    </row>
    <row r="1163" spans="2:48" x14ac:dyDescent="0.2">
      <c r="B1163" s="199"/>
      <c r="C1163" s="200"/>
      <c r="D1163" s="200"/>
      <c r="E1163" s="200"/>
      <c r="F1163" s="200"/>
      <c r="G1163" s="201"/>
      <c r="I1163" s="199"/>
      <c r="J1163" s="200"/>
      <c r="K1163" s="200"/>
      <c r="L1163" s="200"/>
      <c r="M1163" s="200"/>
      <c r="N1163" s="200"/>
      <c r="O1163" s="200"/>
      <c r="P1163" s="200"/>
      <c r="Q1163" s="200"/>
      <c r="R1163" s="200"/>
      <c r="S1163" s="200"/>
      <c r="T1163" s="200"/>
      <c r="U1163" s="200"/>
      <c r="V1163" s="200"/>
      <c r="W1163" s="201"/>
      <c r="X1163" s="186"/>
      <c r="Z1163" s="199"/>
      <c r="AA1163" s="200"/>
      <c r="AB1163" s="200"/>
      <c r="AC1163" s="200"/>
      <c r="AD1163" s="200"/>
      <c r="AE1163" s="201"/>
      <c r="AG1163" s="199"/>
      <c r="AH1163" s="200"/>
      <c r="AI1163" s="200"/>
      <c r="AJ1163" s="200"/>
      <c r="AK1163" s="200"/>
      <c r="AL1163" s="200"/>
      <c r="AM1163" s="200"/>
      <c r="AN1163" s="200"/>
      <c r="AO1163" s="200"/>
      <c r="AP1163" s="200"/>
      <c r="AQ1163" s="200"/>
      <c r="AR1163" s="200"/>
      <c r="AS1163" s="200"/>
      <c r="AT1163" s="200"/>
      <c r="AU1163" s="201"/>
    </row>
    <row r="1164" spans="2:48" x14ac:dyDescent="0.2">
      <c r="X1164" s="186"/>
    </row>
    <row r="1165" spans="2:48" x14ac:dyDescent="0.2">
      <c r="I1165" s="1005" t="s">
        <v>481</v>
      </c>
      <c r="J1165" s="1006"/>
      <c r="K1165" s="1006"/>
      <c r="L1165" s="1006"/>
      <c r="M1165" s="1006"/>
      <c r="N1165" s="1006"/>
      <c r="O1165" s="1006"/>
      <c r="P1165" s="1006"/>
      <c r="Q1165" s="1007"/>
      <c r="R1165" s="1005" t="s">
        <v>520</v>
      </c>
      <c r="S1165" s="1006"/>
      <c r="T1165" s="1006"/>
      <c r="U1165" s="1006"/>
      <c r="V1165" s="1006"/>
      <c r="W1165" s="1007"/>
      <c r="X1165" s="186"/>
      <c r="AG1165" s="1005" t="s">
        <v>481</v>
      </c>
      <c r="AH1165" s="1006"/>
      <c r="AI1165" s="1006"/>
      <c r="AJ1165" s="1006"/>
      <c r="AK1165" s="1006"/>
      <c r="AL1165" s="1006"/>
      <c r="AM1165" s="1006"/>
      <c r="AN1165" s="1006"/>
      <c r="AO1165" s="1007"/>
      <c r="AP1165" s="1005" t="s">
        <v>520</v>
      </c>
      <c r="AQ1165" s="1006"/>
      <c r="AR1165" s="1006"/>
      <c r="AS1165" s="1006"/>
      <c r="AT1165" s="1006"/>
      <c r="AU1165" s="1007"/>
    </row>
    <row r="1166" spans="2:48" x14ac:dyDescent="0.2">
      <c r="I1166" s="199"/>
      <c r="J1166" s="200"/>
      <c r="K1166" s="200"/>
      <c r="L1166" s="200"/>
      <c r="M1166" s="200"/>
      <c r="N1166" s="200"/>
      <c r="O1166" s="200"/>
      <c r="P1166" s="200"/>
      <c r="Q1166" s="200"/>
      <c r="R1166" s="199"/>
      <c r="S1166" s="200"/>
      <c r="T1166" s="200"/>
      <c r="U1166" s="200"/>
      <c r="V1166" s="200"/>
      <c r="W1166" s="201"/>
      <c r="X1166" s="186"/>
      <c r="AG1166" s="199"/>
      <c r="AH1166" s="200"/>
      <c r="AI1166" s="200"/>
      <c r="AJ1166" s="200"/>
      <c r="AK1166" s="200"/>
      <c r="AL1166" s="200"/>
      <c r="AM1166" s="200"/>
      <c r="AN1166" s="200"/>
      <c r="AO1166" s="200"/>
      <c r="AP1166" s="199"/>
      <c r="AQ1166" s="200"/>
      <c r="AR1166" s="200"/>
      <c r="AS1166" s="200"/>
      <c r="AT1166" s="200"/>
      <c r="AU1166" s="201"/>
    </row>
    <row r="1167" spans="2:48" ht="39" customHeight="1" x14ac:dyDescent="0.2">
      <c r="B1167" s="392"/>
      <c r="C1167" s="392"/>
      <c r="D1167" s="392"/>
      <c r="E1167" s="392"/>
      <c r="F1167" s="392"/>
      <c r="G1167" s="392"/>
      <c r="H1167" s="392"/>
      <c r="I1167" s="392"/>
      <c r="J1167" s="392"/>
      <c r="K1167" s="392"/>
      <c r="L1167" s="392"/>
      <c r="M1167" s="392"/>
      <c r="N1167" s="392"/>
      <c r="O1167" s="392"/>
      <c r="P1167" s="392"/>
      <c r="Q1167" s="392"/>
      <c r="R1167" s="392"/>
      <c r="S1167" s="392"/>
      <c r="T1167" s="392"/>
      <c r="U1167" s="392"/>
      <c r="V1167" s="392"/>
      <c r="W1167" s="392"/>
      <c r="X1167" s="393"/>
      <c r="Y1167" s="394"/>
      <c r="Z1167" s="392"/>
      <c r="AA1167" s="392"/>
      <c r="AB1167" s="392"/>
      <c r="AC1167" s="392"/>
      <c r="AD1167" s="392"/>
      <c r="AE1167" s="392"/>
      <c r="AF1167" s="392"/>
      <c r="AG1167" s="392"/>
      <c r="AH1167" s="392"/>
      <c r="AI1167" s="392"/>
      <c r="AJ1167" s="392"/>
      <c r="AK1167" s="392"/>
      <c r="AL1167" s="392"/>
      <c r="AM1167" s="392"/>
      <c r="AN1167" s="392"/>
      <c r="AO1167" s="392"/>
      <c r="AP1167" s="392"/>
      <c r="AQ1167" s="392"/>
      <c r="AR1167" s="392"/>
      <c r="AS1167" s="392"/>
      <c r="AT1167" s="392"/>
      <c r="AU1167" s="392"/>
      <c r="AV1167" s="392"/>
    </row>
    <row r="1168" spans="2:48" ht="39" customHeight="1" x14ac:dyDescent="0.2">
      <c r="B1168" s="182"/>
      <c r="C1168" s="182"/>
      <c r="D1168" s="182"/>
      <c r="E1168" s="182"/>
      <c r="F1168" s="182"/>
      <c r="G1168" s="182"/>
      <c r="H1168" s="182"/>
      <c r="I1168" s="182"/>
      <c r="J1168" s="182"/>
      <c r="K1168" s="182"/>
      <c r="L1168" s="182"/>
      <c r="M1168" s="182"/>
      <c r="N1168" s="182"/>
      <c r="O1168" s="182"/>
      <c r="P1168" s="182"/>
      <c r="Q1168" s="182"/>
      <c r="R1168" s="182"/>
      <c r="S1168" s="182"/>
      <c r="T1168" s="182"/>
      <c r="U1168" s="182"/>
      <c r="V1168" s="182"/>
      <c r="W1168" s="182"/>
      <c r="X1168" s="183"/>
      <c r="Y1168" s="184"/>
      <c r="Z1168" s="182"/>
      <c r="AA1168" s="182"/>
      <c r="AB1168" s="182"/>
      <c r="AC1168" s="182"/>
      <c r="AD1168" s="182"/>
      <c r="AE1168" s="182"/>
      <c r="AF1168" s="182"/>
      <c r="AG1168" s="182"/>
      <c r="AH1168" s="182"/>
      <c r="AI1168" s="182"/>
      <c r="AJ1168" s="182"/>
      <c r="AK1168" s="182"/>
      <c r="AL1168" s="182"/>
      <c r="AM1168" s="182"/>
      <c r="AN1168" s="182"/>
      <c r="AO1168" s="182"/>
      <c r="AP1168" s="182"/>
      <c r="AQ1168" s="182"/>
      <c r="AR1168" s="182"/>
      <c r="AS1168" s="182"/>
      <c r="AT1168" s="182"/>
      <c r="AU1168" s="182"/>
      <c r="AV1168" s="182"/>
    </row>
    <row r="1169" spans="2:48" ht="18" x14ac:dyDescent="0.2">
      <c r="B1169" s="182"/>
      <c r="C1169" s="182"/>
      <c r="D1169" s="182"/>
      <c r="E1169" s="182"/>
      <c r="F1169" s="182"/>
      <c r="G1169" s="182"/>
      <c r="H1169" s="992" t="s">
        <v>374</v>
      </c>
      <c r="I1169" s="992"/>
      <c r="J1169" s="992"/>
      <c r="K1169" s="992"/>
      <c r="L1169" s="992"/>
      <c r="M1169" s="992"/>
      <c r="N1169" s="992"/>
      <c r="O1169" s="992"/>
      <c r="P1169" s="992"/>
      <c r="Q1169" s="992"/>
      <c r="R1169" s="182"/>
      <c r="S1169" s="182"/>
      <c r="T1169" s="182"/>
      <c r="U1169" s="182"/>
      <c r="V1169" s="182"/>
      <c r="W1169" s="182"/>
      <c r="X1169" s="183"/>
      <c r="Y1169" s="182"/>
      <c r="Z1169" s="182"/>
      <c r="AA1169" s="182"/>
      <c r="AB1169" s="182"/>
      <c r="AC1169" s="182"/>
      <c r="AD1169" s="182"/>
      <c r="AE1169" s="992" t="s">
        <v>374</v>
      </c>
      <c r="AF1169" s="992"/>
      <c r="AG1169" s="992"/>
      <c r="AH1169" s="992"/>
      <c r="AI1169" s="992"/>
      <c r="AJ1169" s="992"/>
      <c r="AK1169" s="992"/>
      <c r="AL1169" s="992"/>
      <c r="AM1169" s="992"/>
      <c r="AN1169" s="992"/>
      <c r="AO1169" s="182"/>
      <c r="AP1169" s="182"/>
      <c r="AQ1169" s="182"/>
      <c r="AR1169" s="182"/>
      <c r="AS1169" s="182"/>
      <c r="AT1169" s="182"/>
      <c r="AU1169" s="182"/>
      <c r="AV1169" s="182"/>
    </row>
    <row r="1170" spans="2:48" ht="18" x14ac:dyDescent="0.2">
      <c r="B1170" s="182"/>
      <c r="C1170" s="182"/>
      <c r="D1170" s="182"/>
      <c r="E1170" s="182"/>
      <c r="F1170" s="182"/>
      <c r="G1170" s="182"/>
      <c r="H1170" s="1022" t="e">
        <f>VLOOKUP(U1179,ID_archer_cible,4,FALSE)</f>
        <v>#N/A</v>
      </c>
      <c r="I1170" s="1023"/>
      <c r="J1170" s="1023"/>
      <c r="K1170" s="1023"/>
      <c r="L1170" s="1023"/>
      <c r="M1170" s="1023"/>
      <c r="N1170" s="1023"/>
      <c r="O1170" s="1023"/>
      <c r="P1170" s="1023"/>
      <c r="Q1170" s="1024"/>
      <c r="R1170" s="182"/>
      <c r="S1170" s="182"/>
      <c r="T1170" s="182"/>
      <c r="U1170" s="182"/>
      <c r="V1170" s="182"/>
      <c r="W1170" s="182"/>
      <c r="X1170" s="183"/>
      <c r="Y1170" s="182"/>
      <c r="Z1170" s="182"/>
      <c r="AA1170" s="182"/>
      <c r="AB1170" s="182"/>
      <c r="AC1170" s="182"/>
      <c r="AD1170" s="182"/>
      <c r="AE1170" s="1022" t="e">
        <f>VLOOKUP(AS1179,ID_archer_cible,4,FALSE)</f>
        <v>#N/A</v>
      </c>
      <c r="AF1170" s="1023"/>
      <c r="AG1170" s="1023"/>
      <c r="AH1170" s="1023"/>
      <c r="AI1170" s="1023"/>
      <c r="AJ1170" s="1023"/>
      <c r="AK1170" s="1023"/>
      <c r="AL1170" s="1023"/>
      <c r="AM1170" s="1023"/>
      <c r="AN1170" s="1024"/>
      <c r="AO1170" s="182"/>
      <c r="AP1170" s="182"/>
      <c r="AQ1170" s="182"/>
      <c r="AR1170" s="182"/>
      <c r="AS1170" s="182"/>
      <c r="AT1170" s="182"/>
      <c r="AU1170" s="182"/>
      <c r="AV1170" s="182"/>
    </row>
    <row r="1171" spans="2:48" x14ac:dyDescent="0.2">
      <c r="X1171" s="186"/>
    </row>
    <row r="1172" spans="2:48" x14ac:dyDescent="0.2">
      <c r="B1172" s="1021" t="s">
        <v>0</v>
      </c>
      <c r="C1172" s="1021"/>
      <c r="D1172" s="1021"/>
      <c r="E1172" s="1021"/>
      <c r="F1172" s="1021"/>
      <c r="G1172" s="1021"/>
      <c r="H1172" s="1021"/>
      <c r="I1172" s="1021"/>
      <c r="J1172" s="1021"/>
      <c r="K1172" s="1021"/>
      <c r="L1172" s="1021"/>
      <c r="M1172" s="187"/>
      <c r="P1172" s="992" t="s">
        <v>375</v>
      </c>
      <c r="Q1172" s="992"/>
      <c r="R1172" s="992"/>
      <c r="S1172" s="992"/>
      <c r="T1172" s="992"/>
      <c r="U1172" s="992"/>
      <c r="V1172" s="992"/>
      <c r="W1172" s="992"/>
      <c r="X1172" s="188"/>
      <c r="Z1172" s="1021" t="s">
        <v>0</v>
      </c>
      <c r="AA1172" s="1021"/>
      <c r="AB1172" s="1021"/>
      <c r="AC1172" s="1021"/>
      <c r="AD1172" s="1021"/>
      <c r="AE1172" s="1021"/>
      <c r="AF1172" s="1021"/>
      <c r="AG1172" s="1021"/>
      <c r="AH1172" s="1021"/>
      <c r="AI1172" s="1021"/>
      <c r="AJ1172" s="1021"/>
      <c r="AK1172" s="187"/>
      <c r="AN1172" s="992" t="s">
        <v>375</v>
      </c>
      <c r="AO1172" s="992"/>
      <c r="AP1172" s="992"/>
      <c r="AQ1172" s="992"/>
      <c r="AR1172" s="992"/>
      <c r="AS1172" s="992"/>
      <c r="AT1172" s="992"/>
      <c r="AU1172" s="992"/>
      <c r="AV1172" s="187"/>
    </row>
    <row r="1173" spans="2:48" x14ac:dyDescent="0.2">
      <c r="B1173" s="999" t="e">
        <f>VLOOKUP(U1179,ID_archer_cible,2,FALSE)</f>
        <v>#N/A</v>
      </c>
      <c r="C1173" s="1000"/>
      <c r="D1173" s="1000"/>
      <c r="E1173" s="1000"/>
      <c r="F1173" s="1000"/>
      <c r="G1173" s="1000"/>
      <c r="H1173" s="1000"/>
      <c r="I1173" s="1000"/>
      <c r="J1173" s="1000"/>
      <c r="K1173" s="1000"/>
      <c r="L1173" s="1000"/>
      <c r="M1173" s="1001"/>
      <c r="P1173" s="999" t="e">
        <f>VLOOKUP(U1179,ID_archer_cible,3,FALSE)</f>
        <v>#N/A</v>
      </c>
      <c r="Q1173" s="1000"/>
      <c r="R1173" s="1000"/>
      <c r="S1173" s="1000"/>
      <c r="T1173" s="1000"/>
      <c r="U1173" s="1000"/>
      <c r="V1173" s="1000"/>
      <c r="W1173" s="1001"/>
      <c r="X1173" s="186"/>
      <c r="Y1173"/>
      <c r="Z1173" s="999" t="e">
        <f>VLOOKUP(AS1179,ID_archer_cible,2,FALSE)</f>
        <v>#N/A</v>
      </c>
      <c r="AA1173" s="1000"/>
      <c r="AB1173" s="1000"/>
      <c r="AC1173" s="1000"/>
      <c r="AD1173" s="1000"/>
      <c r="AE1173" s="1000"/>
      <c r="AF1173" s="1000"/>
      <c r="AG1173" s="1000"/>
      <c r="AH1173" s="1000"/>
      <c r="AI1173" s="1000"/>
      <c r="AJ1173" s="1000"/>
      <c r="AK1173" s="1001"/>
      <c r="AN1173" s="999" t="e">
        <f>VLOOKUP(AS1179,ID_archer_cible,3,FALSE)</f>
        <v>#N/A</v>
      </c>
      <c r="AO1173" s="1000"/>
      <c r="AP1173" s="1000"/>
      <c r="AQ1173" s="1000"/>
      <c r="AR1173" s="1000"/>
      <c r="AS1173" s="1000"/>
      <c r="AT1173" s="1000"/>
      <c r="AU1173" s="1001"/>
    </row>
    <row r="1174" spans="2:48" x14ac:dyDescent="0.2">
      <c r="X1174" s="186"/>
      <c r="Y1174"/>
    </row>
    <row r="1175" spans="2:48" ht="16.5" thickBot="1" x14ac:dyDescent="0.25">
      <c r="B1175" s="1017" t="s">
        <v>1</v>
      </c>
      <c r="C1175" s="1017"/>
      <c r="D1175" s="1017"/>
      <c r="E1175" s="1017"/>
      <c r="F1175" s="1017"/>
      <c r="G1175" s="1017"/>
      <c r="H1175" s="1017"/>
      <c r="I1175" s="1017"/>
      <c r="J1175" s="1017"/>
      <c r="L1175" s="1017" t="s">
        <v>505</v>
      </c>
      <c r="M1175" s="1017"/>
      <c r="N1175" s="1017"/>
      <c r="O1175" s="1017"/>
      <c r="P1175" s="1017"/>
      <c r="Q1175" s="1017"/>
      <c r="S1175" s="992" t="s">
        <v>506</v>
      </c>
      <c r="T1175" s="992"/>
      <c r="U1175" s="992"/>
      <c r="V1175" s="992"/>
      <c r="W1175" s="992"/>
      <c r="X1175" s="188"/>
      <c r="Y1175"/>
      <c r="Z1175" s="1017" t="s">
        <v>1</v>
      </c>
      <c r="AA1175" s="1017"/>
      <c r="AB1175" s="1017"/>
      <c r="AC1175" s="1017"/>
      <c r="AD1175" s="1017"/>
      <c r="AE1175" s="1017"/>
      <c r="AF1175" s="1017"/>
      <c r="AG1175" s="1017"/>
      <c r="AH1175" s="1017"/>
      <c r="AJ1175" s="1017" t="s">
        <v>505</v>
      </c>
      <c r="AK1175" s="1017"/>
      <c r="AL1175" s="1017"/>
      <c r="AM1175" s="1017"/>
      <c r="AN1175" s="1017"/>
      <c r="AO1175" s="1017"/>
      <c r="AQ1175" s="992" t="s">
        <v>506</v>
      </c>
      <c r="AR1175" s="992"/>
      <c r="AS1175" s="992"/>
      <c r="AT1175" s="992"/>
      <c r="AU1175" s="992"/>
      <c r="AV1175" s="187"/>
    </row>
    <row r="1176" spans="2:48" ht="16.5" thickBot="1" x14ac:dyDescent="0.25">
      <c r="B1176" s="1014" t="e">
        <f>VLOOKUP(U1179,ID_archer_cible,5,FALSE)</f>
        <v>#N/A</v>
      </c>
      <c r="C1176" s="1015"/>
      <c r="D1176" s="1015"/>
      <c r="E1176" s="1015"/>
      <c r="F1176" s="1015"/>
      <c r="G1176" s="1015"/>
      <c r="H1176" s="1015"/>
      <c r="I1176" s="1015"/>
      <c r="J1176" s="1016"/>
      <c r="L1176" s="1014" t="e">
        <f>VLOOKUP(U1179,ID_archer_cible,6,FALSE)</f>
        <v>#N/A</v>
      </c>
      <c r="M1176" s="1015"/>
      <c r="N1176" s="1015"/>
      <c r="O1176" s="1015"/>
      <c r="P1176" s="1015"/>
      <c r="Q1176" s="1016"/>
      <c r="S1176" s="999" t="e">
        <f>VLOOKUP(U1179,ID_archer_cible,8,FALSE)</f>
        <v>#N/A</v>
      </c>
      <c r="T1176" s="1000"/>
      <c r="U1176" s="1000"/>
      <c r="V1176" s="1000"/>
      <c r="W1176" s="1001"/>
      <c r="X1176" s="186"/>
      <c r="Y1176"/>
      <c r="Z1176" s="1014" t="e">
        <f>VLOOKUP(AS1179,ID_archer_cible,5,FALSE)</f>
        <v>#N/A</v>
      </c>
      <c r="AA1176" s="1015"/>
      <c r="AB1176" s="1015"/>
      <c r="AC1176" s="1015"/>
      <c r="AD1176" s="1015"/>
      <c r="AE1176" s="1015"/>
      <c r="AF1176" s="1015"/>
      <c r="AG1176" s="1015"/>
      <c r="AH1176" s="1016"/>
      <c r="AJ1176" s="1014" t="e">
        <f>VLOOKUP(AS1179,ID_archer_cible,6,FALSE)</f>
        <v>#N/A</v>
      </c>
      <c r="AK1176" s="1015"/>
      <c r="AL1176" s="1015"/>
      <c r="AM1176" s="1015"/>
      <c r="AN1176" s="1015"/>
      <c r="AO1176" s="1016"/>
      <c r="AQ1176" s="999" t="e">
        <f>VLOOKUP(AS1179,ID_archer_cible,8,FALSE)</f>
        <v>#N/A</v>
      </c>
      <c r="AR1176" s="1000"/>
      <c r="AS1176" s="1000"/>
      <c r="AT1176" s="1000"/>
      <c r="AU1176" s="1001"/>
    </row>
    <row r="1177" spans="2:48" x14ac:dyDescent="0.2">
      <c r="X1177" s="186"/>
      <c r="Y1177"/>
    </row>
    <row r="1178" spans="2:48" x14ac:dyDescent="0.2">
      <c r="B1178" s="992" t="s">
        <v>530</v>
      </c>
      <c r="C1178" s="992"/>
      <c r="D1178" s="992"/>
      <c r="E1178" s="992"/>
      <c r="F1178" s="992"/>
      <c r="G1178" s="187"/>
      <c r="H1178" s="992" t="s">
        <v>504</v>
      </c>
      <c r="I1178" s="992"/>
      <c r="J1178" s="992"/>
      <c r="K1178" s="992"/>
      <c r="M1178" s="992" t="s">
        <v>39</v>
      </c>
      <c r="N1178" s="992"/>
      <c r="O1178" s="992"/>
      <c r="Q1178" s="1021"/>
      <c r="R1178" s="1021"/>
      <c r="S1178" s="1021"/>
      <c r="U1178" s="992" t="s">
        <v>507</v>
      </c>
      <c r="V1178" s="992"/>
      <c r="W1178" s="992"/>
      <c r="X1178" s="188"/>
      <c r="Y1178"/>
      <c r="Z1178" s="992" t="s">
        <v>530</v>
      </c>
      <c r="AA1178" s="992"/>
      <c r="AB1178" s="992"/>
      <c r="AC1178" s="992"/>
      <c r="AD1178" s="992"/>
      <c r="AE1178" s="187"/>
      <c r="AF1178" s="992" t="s">
        <v>504</v>
      </c>
      <c r="AG1178" s="992"/>
      <c r="AH1178" s="992"/>
      <c r="AI1178" s="992"/>
      <c r="AK1178" s="992" t="s">
        <v>39</v>
      </c>
      <c r="AL1178" s="992"/>
      <c r="AM1178" s="992"/>
      <c r="AO1178" s="1021"/>
      <c r="AP1178" s="1021"/>
      <c r="AQ1178" s="1021"/>
      <c r="AS1178" s="992" t="s">
        <v>507</v>
      </c>
      <c r="AT1178" s="992"/>
      <c r="AU1178" s="992"/>
      <c r="AV1178" s="187"/>
    </row>
    <row r="1179" spans="2:48" ht="15.75" x14ac:dyDescent="0.2">
      <c r="B1179" s="1011" t="e">
        <f>VLOOKUP(U1179,ID_archer_cible,7,FALSE)</f>
        <v>#N/A</v>
      </c>
      <c r="C1179" s="1012"/>
      <c r="D1179" s="1012"/>
      <c r="E1179" s="1012"/>
      <c r="F1179" s="1013"/>
      <c r="H1179" s="999" t="e">
        <f>VLOOKUP(U1179,ID_archer_cible,9,FALSE)</f>
        <v>#N/A</v>
      </c>
      <c r="I1179" s="1000"/>
      <c r="J1179" s="1000"/>
      <c r="K1179" s="1001"/>
      <c r="M1179" s="999" t="e">
        <f>VLOOKUP(U1179,ID_archer_cible,10,FALSE)</f>
        <v>#N/A</v>
      </c>
      <c r="N1179" s="1000"/>
      <c r="O1179" s="1001"/>
      <c r="Q1179" s="1021"/>
      <c r="R1179" s="1021"/>
      <c r="S1179" s="1021"/>
      <c r="T1179" s="187"/>
      <c r="U1179" s="996" t="str">
        <f>AR1137&amp;"C"</f>
        <v>19C</v>
      </c>
      <c r="V1179" s="997"/>
      <c r="W1179" s="998"/>
      <c r="X1179" s="188"/>
      <c r="Y1179"/>
      <c r="Z1179" s="1011" t="e">
        <f>VLOOKUP(AS1179,ID_archer_cible,7,FALSE)</f>
        <v>#N/A</v>
      </c>
      <c r="AA1179" s="1012"/>
      <c r="AB1179" s="1012"/>
      <c r="AC1179" s="1012"/>
      <c r="AD1179" s="1013"/>
      <c r="AF1179" s="999" t="e">
        <f>VLOOKUP(AS1179,ID_archer_cible,9,FALSE)</f>
        <v>#N/A</v>
      </c>
      <c r="AG1179" s="1000"/>
      <c r="AH1179" s="1000"/>
      <c r="AI1179" s="1001"/>
      <c r="AK1179" s="999" t="e">
        <f>VLOOKUP(AS1179,ID_archer_cible,10,FALSE)</f>
        <v>#N/A</v>
      </c>
      <c r="AL1179" s="1000"/>
      <c r="AM1179" s="1001"/>
      <c r="AO1179" s="1021"/>
      <c r="AP1179" s="1021"/>
      <c r="AQ1179" s="1021"/>
      <c r="AR1179" s="187"/>
      <c r="AS1179" s="996" t="str">
        <f>AR1137&amp;"D"</f>
        <v>19D</v>
      </c>
      <c r="AT1179" s="997"/>
      <c r="AU1179" s="998"/>
      <c r="AV1179" s="187"/>
    </row>
    <row r="1180" spans="2:48" x14ac:dyDescent="0.2">
      <c r="X1180" s="186"/>
    </row>
    <row r="1181" spans="2:48" x14ac:dyDescent="0.2">
      <c r="B1181" s="185" t="s">
        <v>509</v>
      </c>
      <c r="E1181" s="992" t="s">
        <v>510</v>
      </c>
      <c r="F1181" s="992"/>
      <c r="G1181" s="992"/>
      <c r="H1181" s="992"/>
      <c r="I1181" s="992"/>
      <c r="J1181" s="992"/>
      <c r="K1181" s="992"/>
      <c r="L1181" s="992"/>
      <c r="M1181" s="992"/>
      <c r="N1181" s="992"/>
      <c r="P1181" s="992" t="s">
        <v>511</v>
      </c>
      <c r="Q1181" s="992"/>
      <c r="R1181" s="992"/>
      <c r="X1181" s="186"/>
      <c r="Z1181" s="185" t="s">
        <v>509</v>
      </c>
      <c r="AC1181" s="992" t="s">
        <v>510</v>
      </c>
      <c r="AD1181" s="992"/>
      <c r="AE1181" s="992"/>
      <c r="AF1181" s="992"/>
      <c r="AG1181" s="992"/>
      <c r="AH1181" s="992"/>
      <c r="AI1181" s="992"/>
      <c r="AJ1181" s="992"/>
      <c r="AK1181" s="992"/>
      <c r="AL1181" s="992"/>
      <c r="AN1181" s="992" t="s">
        <v>511</v>
      </c>
      <c r="AO1181" s="992"/>
      <c r="AP1181" s="992"/>
    </row>
    <row r="1182" spans="2:48" ht="20.25" customHeight="1" x14ac:dyDescent="0.2">
      <c r="B1182" s="1009" t="s">
        <v>513</v>
      </c>
      <c r="C1182" s="1009"/>
      <c r="E1182" s="189"/>
      <c r="F1182" s="191"/>
      <c r="G1182" s="189"/>
      <c r="H1182" s="191"/>
      <c r="I1182" s="189"/>
      <c r="J1182" s="191"/>
      <c r="K1182" s="189"/>
      <c r="L1182" s="191"/>
      <c r="M1182" s="189"/>
      <c r="N1182" s="191"/>
      <c r="P1182" s="189"/>
      <c r="Q1182" s="190"/>
      <c r="R1182" s="191"/>
      <c r="T1182" s="992" t="s">
        <v>512</v>
      </c>
      <c r="U1182" s="992"/>
      <c r="V1182" s="992"/>
      <c r="W1182" s="992"/>
      <c r="X1182" s="188"/>
      <c r="Z1182" s="1009" t="s">
        <v>513</v>
      </c>
      <c r="AA1182" s="1009"/>
      <c r="AC1182" s="189"/>
      <c r="AD1182" s="191"/>
      <c r="AE1182" s="189"/>
      <c r="AF1182" s="191"/>
      <c r="AG1182" s="189"/>
      <c r="AH1182" s="191"/>
      <c r="AI1182" s="189"/>
      <c r="AJ1182" s="191"/>
      <c r="AK1182" s="189"/>
      <c r="AL1182" s="191"/>
      <c r="AN1182" s="189"/>
      <c r="AO1182" s="190"/>
      <c r="AP1182" s="191"/>
      <c r="AR1182" s="992" t="s">
        <v>512</v>
      </c>
      <c r="AS1182" s="992"/>
      <c r="AT1182" s="992"/>
      <c r="AU1182" s="992"/>
      <c r="AV1182" s="187"/>
    </row>
    <row r="1183" spans="2:48" ht="20.25" customHeight="1" x14ac:dyDescent="0.2">
      <c r="B1183" s="1009" t="s">
        <v>514</v>
      </c>
      <c r="C1183" s="1009"/>
      <c r="E1183" s="189"/>
      <c r="F1183" s="191"/>
      <c r="G1183" s="189"/>
      <c r="H1183" s="191"/>
      <c r="I1183" s="189"/>
      <c r="J1183" s="191"/>
      <c r="K1183" s="189"/>
      <c r="L1183" s="191"/>
      <c r="M1183" s="189"/>
      <c r="N1183" s="191"/>
      <c r="P1183" s="189"/>
      <c r="Q1183" s="190"/>
      <c r="R1183" s="191"/>
      <c r="T1183" s="189"/>
      <c r="U1183" s="190"/>
      <c r="V1183" s="190"/>
      <c r="W1183" s="191"/>
      <c r="X1183" s="186"/>
      <c r="Z1183" s="1009" t="s">
        <v>514</v>
      </c>
      <c r="AA1183" s="1009"/>
      <c r="AC1183" s="189"/>
      <c r="AD1183" s="191"/>
      <c r="AE1183" s="189"/>
      <c r="AF1183" s="191"/>
      <c r="AG1183" s="189"/>
      <c r="AH1183" s="191"/>
      <c r="AI1183" s="189"/>
      <c r="AJ1183" s="191"/>
      <c r="AK1183" s="189"/>
      <c r="AL1183" s="191"/>
      <c r="AN1183" s="189"/>
      <c r="AO1183" s="190"/>
      <c r="AP1183" s="191"/>
      <c r="AR1183" s="189"/>
      <c r="AS1183" s="190"/>
      <c r="AT1183" s="190"/>
      <c r="AU1183" s="191"/>
    </row>
    <row r="1184" spans="2:48" ht="20.25" customHeight="1" x14ac:dyDescent="0.2">
      <c r="B1184" s="1009" t="s">
        <v>515</v>
      </c>
      <c r="C1184" s="1009"/>
      <c r="E1184" s="189"/>
      <c r="F1184" s="191"/>
      <c r="G1184" s="189"/>
      <c r="H1184" s="191"/>
      <c r="I1184" s="189"/>
      <c r="J1184" s="191"/>
      <c r="K1184" s="189"/>
      <c r="L1184" s="191"/>
      <c r="M1184" s="189"/>
      <c r="N1184" s="191"/>
      <c r="P1184" s="189"/>
      <c r="Q1184" s="190"/>
      <c r="R1184" s="191"/>
      <c r="T1184" s="189"/>
      <c r="U1184" s="190"/>
      <c r="V1184" s="190"/>
      <c r="W1184" s="191"/>
      <c r="X1184" s="186"/>
      <c r="Z1184" s="1009" t="s">
        <v>515</v>
      </c>
      <c r="AA1184" s="1009"/>
      <c r="AC1184" s="189"/>
      <c r="AD1184" s="191"/>
      <c r="AE1184" s="189"/>
      <c r="AF1184" s="191"/>
      <c r="AG1184" s="189"/>
      <c r="AH1184" s="191"/>
      <c r="AI1184" s="189"/>
      <c r="AJ1184" s="191"/>
      <c r="AK1184" s="189"/>
      <c r="AL1184" s="191"/>
      <c r="AN1184" s="189"/>
      <c r="AO1184" s="190"/>
      <c r="AP1184" s="191"/>
      <c r="AR1184" s="189"/>
      <c r="AS1184" s="190"/>
      <c r="AT1184" s="190"/>
      <c r="AU1184" s="191"/>
    </row>
    <row r="1185" spans="2:48" ht="20.25" customHeight="1" x14ac:dyDescent="0.2">
      <c r="B1185" s="1009" t="s">
        <v>516</v>
      </c>
      <c r="C1185" s="1009"/>
      <c r="E1185" s="189"/>
      <c r="F1185" s="191"/>
      <c r="G1185" s="189"/>
      <c r="H1185" s="191"/>
      <c r="I1185" s="189"/>
      <c r="J1185" s="191"/>
      <c r="K1185" s="189"/>
      <c r="L1185" s="191"/>
      <c r="M1185" s="189"/>
      <c r="N1185" s="191"/>
      <c r="P1185" s="189"/>
      <c r="Q1185" s="190"/>
      <c r="R1185" s="191"/>
      <c r="T1185" s="189"/>
      <c r="U1185" s="190"/>
      <c r="V1185" s="190"/>
      <c r="W1185" s="191"/>
      <c r="X1185" s="186"/>
      <c r="Z1185" s="1009" t="s">
        <v>516</v>
      </c>
      <c r="AA1185" s="1009"/>
      <c r="AC1185" s="189"/>
      <c r="AD1185" s="191"/>
      <c r="AE1185" s="189"/>
      <c r="AF1185" s="191"/>
      <c r="AG1185" s="189"/>
      <c r="AH1185" s="191"/>
      <c r="AI1185" s="189"/>
      <c r="AJ1185" s="191"/>
      <c r="AK1185" s="189"/>
      <c r="AL1185" s="191"/>
      <c r="AN1185" s="189"/>
      <c r="AO1185" s="190"/>
      <c r="AP1185" s="191"/>
      <c r="AR1185" s="189"/>
      <c r="AS1185" s="190"/>
      <c r="AT1185" s="190"/>
      <c r="AU1185" s="191"/>
    </row>
    <row r="1186" spans="2:48" ht="20.25" customHeight="1" x14ac:dyDescent="0.2">
      <c r="B1186" s="1009" t="s">
        <v>517</v>
      </c>
      <c r="C1186" s="1009"/>
      <c r="E1186" s="189"/>
      <c r="F1186" s="191"/>
      <c r="G1186" s="189"/>
      <c r="H1186" s="191"/>
      <c r="I1186" s="189"/>
      <c r="J1186" s="191"/>
      <c r="K1186" s="189"/>
      <c r="L1186" s="191"/>
      <c r="M1186" s="189"/>
      <c r="N1186" s="191"/>
      <c r="P1186" s="189"/>
      <c r="Q1186" s="190"/>
      <c r="R1186" s="191"/>
      <c r="T1186" s="189"/>
      <c r="U1186" s="190"/>
      <c r="V1186" s="190"/>
      <c r="W1186" s="191"/>
      <c r="X1186" s="186"/>
      <c r="Z1186" s="1009" t="s">
        <v>517</v>
      </c>
      <c r="AA1186" s="1009"/>
      <c r="AC1186" s="189"/>
      <c r="AD1186" s="191"/>
      <c r="AE1186" s="189"/>
      <c r="AF1186" s="191"/>
      <c r="AG1186" s="189"/>
      <c r="AH1186" s="191"/>
      <c r="AI1186" s="189"/>
      <c r="AJ1186" s="191"/>
      <c r="AK1186" s="189"/>
      <c r="AL1186" s="191"/>
      <c r="AN1186" s="189"/>
      <c r="AO1186" s="190"/>
      <c r="AP1186" s="191"/>
      <c r="AR1186" s="189"/>
      <c r="AS1186" s="190"/>
      <c r="AT1186" s="190"/>
      <c r="AU1186" s="191"/>
    </row>
    <row r="1187" spans="2:48" ht="20.25" customHeight="1" x14ac:dyDescent="0.2">
      <c r="B1187" s="1009" t="s">
        <v>518</v>
      </c>
      <c r="C1187" s="1009"/>
      <c r="E1187" s="189"/>
      <c r="F1187" s="191"/>
      <c r="G1187" s="189"/>
      <c r="H1187" s="191"/>
      <c r="I1187" s="189"/>
      <c r="J1187" s="191"/>
      <c r="K1187" s="189"/>
      <c r="L1187" s="191"/>
      <c r="M1187" s="189"/>
      <c r="N1187" s="191"/>
      <c r="P1187" s="189"/>
      <c r="Q1187" s="190"/>
      <c r="R1187" s="191"/>
      <c r="T1187" s="189"/>
      <c r="U1187" s="190"/>
      <c r="V1187" s="190"/>
      <c r="W1187" s="191"/>
      <c r="X1187" s="186"/>
      <c r="Z1187" s="1009" t="s">
        <v>518</v>
      </c>
      <c r="AA1187" s="1009"/>
      <c r="AC1187" s="189"/>
      <c r="AD1187" s="191"/>
      <c r="AE1187" s="189"/>
      <c r="AF1187" s="191"/>
      <c r="AG1187" s="189"/>
      <c r="AH1187" s="191"/>
      <c r="AI1187" s="189"/>
      <c r="AJ1187" s="191"/>
      <c r="AK1187" s="189"/>
      <c r="AL1187" s="191"/>
      <c r="AN1187" s="189"/>
      <c r="AO1187" s="190"/>
      <c r="AP1187" s="191"/>
      <c r="AR1187" s="189"/>
      <c r="AS1187" s="190"/>
      <c r="AT1187" s="190"/>
      <c r="AU1187" s="191"/>
    </row>
    <row r="1188" spans="2:48" ht="15.75" thickBot="1" x14ac:dyDescent="0.25">
      <c r="B1188" s="187"/>
      <c r="C1188" s="187"/>
      <c r="X1188" s="186"/>
      <c r="Z1188" s="187"/>
      <c r="AA1188" s="187"/>
    </row>
    <row r="1189" spans="2:48" ht="20.25" customHeight="1" thickBot="1" x14ac:dyDescent="0.25">
      <c r="P1189" s="197" t="s">
        <v>519</v>
      </c>
      <c r="Q1189" s="197"/>
      <c r="R1189" s="197"/>
      <c r="S1189" s="197"/>
      <c r="T1189" s="192"/>
      <c r="U1189" s="193"/>
      <c r="V1189" s="193"/>
      <c r="W1189" s="194"/>
      <c r="X1189" s="186"/>
      <c r="AN1189" s="197" t="s">
        <v>519</v>
      </c>
      <c r="AO1189" s="197"/>
      <c r="AP1189" s="197"/>
      <c r="AQ1189" s="197"/>
      <c r="AR1189" s="192"/>
      <c r="AS1189" s="193"/>
      <c r="AT1189" s="193"/>
      <c r="AU1189" s="194"/>
    </row>
    <row r="1190" spans="2:48" x14ac:dyDescent="0.2">
      <c r="E1190" s="196"/>
      <c r="F1190" s="196"/>
      <c r="G1190" s="196"/>
      <c r="H1190" s="196"/>
      <c r="I1190" s="196"/>
      <c r="J1190" s="196"/>
      <c r="K1190" s="196"/>
      <c r="L1190" s="196"/>
      <c r="M1190" s="196"/>
      <c r="X1190" s="186"/>
      <c r="AC1190" s="196"/>
      <c r="AD1190" s="196"/>
      <c r="AE1190" s="196"/>
      <c r="AF1190" s="196"/>
      <c r="AG1190" s="196"/>
      <c r="AH1190" s="196"/>
      <c r="AI1190" s="196"/>
      <c r="AJ1190" s="196"/>
      <c r="AK1190" s="196"/>
    </row>
    <row r="1191" spans="2:48" x14ac:dyDescent="0.2">
      <c r="B1191" s="1010" t="s">
        <v>521</v>
      </c>
      <c r="C1191" s="1010"/>
      <c r="D1191" s="1010"/>
      <c r="E1191" s="1010"/>
      <c r="F1191" s="1010"/>
      <c r="G1191" s="1010"/>
      <c r="H1191" s="195"/>
      <c r="I1191" s="1004" t="s">
        <v>522</v>
      </c>
      <c r="J1191" s="1004"/>
      <c r="K1191" s="1004"/>
      <c r="L1191" s="1004"/>
      <c r="M1191" s="1004"/>
      <c r="N1191" s="1004"/>
      <c r="O1191" s="1004"/>
      <c r="P1191" s="1004"/>
      <c r="Q1191" s="1004"/>
      <c r="R1191" s="1004"/>
      <c r="S1191" s="1004"/>
      <c r="T1191" s="1004"/>
      <c r="U1191" s="1004"/>
      <c r="V1191" s="1004"/>
      <c r="W1191" s="1004"/>
      <c r="X1191" s="198"/>
      <c r="Y1191" s="195"/>
      <c r="Z1191" s="1010" t="s">
        <v>521</v>
      </c>
      <c r="AA1191" s="1010"/>
      <c r="AB1191" s="1010"/>
      <c r="AC1191" s="1010"/>
      <c r="AD1191" s="1010"/>
      <c r="AE1191" s="1010"/>
      <c r="AF1191" s="195"/>
      <c r="AG1191" s="1004" t="s">
        <v>522</v>
      </c>
      <c r="AH1191" s="1004"/>
      <c r="AI1191" s="1004"/>
      <c r="AJ1191" s="1004"/>
      <c r="AK1191" s="1004"/>
      <c r="AL1191" s="1004"/>
      <c r="AM1191" s="1004"/>
      <c r="AN1191" s="1004"/>
      <c r="AO1191" s="1004"/>
      <c r="AP1191" s="1004"/>
      <c r="AQ1191" s="1004"/>
      <c r="AR1191" s="1004"/>
      <c r="AS1191" s="1004"/>
      <c r="AT1191" s="1004"/>
      <c r="AU1191" s="1004"/>
      <c r="AV1191" s="195"/>
    </row>
    <row r="1192" spans="2:48" x14ac:dyDescent="0.2">
      <c r="B1192" s="1005" t="s">
        <v>520</v>
      </c>
      <c r="C1192" s="1006"/>
      <c r="D1192" s="1006"/>
      <c r="E1192" s="1006"/>
      <c r="F1192" s="1006"/>
      <c r="G1192" s="1007"/>
      <c r="I1192" s="1005" t="s">
        <v>0</v>
      </c>
      <c r="J1192" s="1006"/>
      <c r="K1192" s="1006"/>
      <c r="L1192" s="1006"/>
      <c r="M1192" s="1006"/>
      <c r="N1192" s="1006"/>
      <c r="O1192" s="1006"/>
      <c r="P1192" s="1006"/>
      <c r="Q1192" s="1006"/>
      <c r="R1192" s="1006"/>
      <c r="S1192" s="1006"/>
      <c r="T1192" s="1006"/>
      <c r="U1192" s="1006"/>
      <c r="V1192" s="1006"/>
      <c r="W1192" s="1007"/>
      <c r="X1192" s="186"/>
      <c r="Z1192" s="1005" t="s">
        <v>520</v>
      </c>
      <c r="AA1192" s="1006"/>
      <c r="AB1192" s="1006"/>
      <c r="AC1192" s="1006"/>
      <c r="AD1192" s="1006"/>
      <c r="AE1192" s="1007"/>
      <c r="AG1192" s="1005" t="s">
        <v>0</v>
      </c>
      <c r="AH1192" s="1006"/>
      <c r="AI1192" s="1006"/>
      <c r="AJ1192" s="1006"/>
      <c r="AK1192" s="1006"/>
      <c r="AL1192" s="1006"/>
      <c r="AM1192" s="1006"/>
      <c r="AN1192" s="1006"/>
      <c r="AO1192" s="1006"/>
      <c r="AP1192" s="1006"/>
      <c r="AQ1192" s="1006"/>
      <c r="AR1192" s="1006"/>
      <c r="AS1192" s="1006"/>
      <c r="AT1192" s="1006"/>
      <c r="AU1192" s="1007"/>
    </row>
    <row r="1193" spans="2:48" x14ac:dyDescent="0.2">
      <c r="B1193" s="199"/>
      <c r="C1193" s="200"/>
      <c r="D1193" s="200"/>
      <c r="E1193" s="200"/>
      <c r="F1193" s="200"/>
      <c r="G1193" s="201"/>
      <c r="I1193" s="199"/>
      <c r="J1193" s="200"/>
      <c r="K1193" s="200"/>
      <c r="L1193" s="200"/>
      <c r="M1193" s="200"/>
      <c r="N1193" s="200"/>
      <c r="O1193" s="200"/>
      <c r="P1193" s="200"/>
      <c r="Q1193" s="200"/>
      <c r="R1193" s="200"/>
      <c r="S1193" s="200"/>
      <c r="T1193" s="200"/>
      <c r="U1193" s="200"/>
      <c r="V1193" s="200"/>
      <c r="W1193" s="201"/>
      <c r="X1193" s="186"/>
      <c r="Z1193" s="199"/>
      <c r="AA1193" s="200"/>
      <c r="AB1193" s="200"/>
      <c r="AC1193" s="200"/>
      <c r="AD1193" s="200"/>
      <c r="AE1193" s="201"/>
      <c r="AG1193" s="199"/>
      <c r="AH1193" s="200"/>
      <c r="AI1193" s="200"/>
      <c r="AJ1193" s="200"/>
      <c r="AK1193" s="200"/>
      <c r="AL1193" s="200"/>
      <c r="AM1193" s="200"/>
      <c r="AN1193" s="200"/>
      <c r="AO1193" s="200"/>
      <c r="AP1193" s="200"/>
      <c r="AQ1193" s="200"/>
      <c r="AR1193" s="200"/>
      <c r="AS1193" s="200"/>
      <c r="AT1193" s="200"/>
      <c r="AU1193" s="201"/>
    </row>
    <row r="1194" spans="2:48" x14ac:dyDescent="0.2">
      <c r="X1194" s="186"/>
    </row>
    <row r="1195" spans="2:48" x14ac:dyDescent="0.2">
      <c r="I1195" s="1005" t="s">
        <v>481</v>
      </c>
      <c r="J1195" s="1006"/>
      <c r="K1195" s="1006"/>
      <c r="L1195" s="1006"/>
      <c r="M1195" s="1006"/>
      <c r="N1195" s="1006"/>
      <c r="O1195" s="1006"/>
      <c r="P1195" s="1006"/>
      <c r="Q1195" s="1007"/>
      <c r="R1195" s="1005" t="s">
        <v>520</v>
      </c>
      <c r="S1195" s="1006"/>
      <c r="T1195" s="1006"/>
      <c r="U1195" s="1006"/>
      <c r="V1195" s="1006"/>
      <c r="W1195" s="1007"/>
      <c r="X1195" s="186"/>
      <c r="AG1195" s="1005" t="s">
        <v>481</v>
      </c>
      <c r="AH1195" s="1006"/>
      <c r="AI1195" s="1006"/>
      <c r="AJ1195" s="1006"/>
      <c r="AK1195" s="1006"/>
      <c r="AL1195" s="1006"/>
      <c r="AM1195" s="1006"/>
      <c r="AN1195" s="1006"/>
      <c r="AO1195" s="1007"/>
      <c r="AP1195" s="1005" t="s">
        <v>520</v>
      </c>
      <c r="AQ1195" s="1006"/>
      <c r="AR1195" s="1006"/>
      <c r="AS1195" s="1006"/>
      <c r="AT1195" s="1006"/>
      <c r="AU1195" s="1007"/>
    </row>
    <row r="1196" spans="2:48" x14ac:dyDescent="0.2">
      <c r="I1196" s="199"/>
      <c r="J1196" s="200"/>
      <c r="K1196" s="200"/>
      <c r="L1196" s="200"/>
      <c r="M1196" s="200"/>
      <c r="N1196" s="200"/>
      <c r="O1196" s="200"/>
      <c r="P1196" s="200"/>
      <c r="Q1196" s="200"/>
      <c r="R1196" s="199"/>
      <c r="S1196" s="200"/>
      <c r="T1196" s="200"/>
      <c r="U1196" s="200"/>
      <c r="V1196" s="200"/>
      <c r="W1196" s="201"/>
      <c r="X1196" s="186"/>
      <c r="AG1196" s="199"/>
      <c r="AH1196" s="200"/>
      <c r="AI1196" s="200"/>
      <c r="AJ1196" s="200"/>
      <c r="AK1196" s="200"/>
      <c r="AL1196" s="200"/>
      <c r="AM1196" s="200"/>
      <c r="AN1196" s="200"/>
      <c r="AO1196" s="200"/>
      <c r="AP1196" s="199"/>
      <c r="AQ1196" s="200"/>
      <c r="AR1196" s="200"/>
      <c r="AS1196" s="200"/>
      <c r="AT1196" s="200"/>
      <c r="AU1196" s="201"/>
    </row>
    <row r="1198" spans="2:48" ht="57.75" customHeight="1" x14ac:dyDescent="0.2">
      <c r="B1198" s="1058" t="str">
        <f>Championnat</f>
        <v>Championnat de France de Tir à l'ARC</v>
      </c>
      <c r="C1198" s="1058"/>
      <c r="D1198" s="1058"/>
      <c r="E1198" s="1058"/>
      <c r="F1198" s="1058"/>
      <c r="G1198" s="1058"/>
      <c r="H1198" s="1058"/>
      <c r="I1198" s="1058"/>
      <c r="J1198" s="1058"/>
      <c r="K1198" s="1058"/>
      <c r="L1198" s="1058"/>
      <c r="M1198" s="1058"/>
      <c r="N1198" s="1058"/>
      <c r="O1198" s="1058"/>
      <c r="P1198" s="1058"/>
      <c r="Q1198" s="1058"/>
      <c r="R1198" s="1058"/>
      <c r="S1198" s="1058"/>
      <c r="T1198" s="1058"/>
      <c r="U1198" s="1058"/>
      <c r="V1198" s="1058"/>
      <c r="W1198" s="1058"/>
      <c r="X1198" s="1058"/>
      <c r="Y1198" s="1058"/>
      <c r="Z1198" s="1058"/>
      <c r="AA1198" s="1058"/>
      <c r="AB1198" s="1058"/>
      <c r="AC1198" s="1058"/>
      <c r="AD1198" s="1058"/>
      <c r="AE1198" s="1058"/>
      <c r="AF1198" s="1058"/>
      <c r="AG1198" s="1058"/>
      <c r="AH1198" s="1058"/>
      <c r="AI1198" s="1058"/>
      <c r="AJ1198" s="1058"/>
      <c r="AK1198" s="1058"/>
      <c r="AL1198" s="1058"/>
      <c r="AM1198" s="1058"/>
      <c r="AN1198" s="1058"/>
      <c r="AO1198" s="1058"/>
      <c r="AP1198" s="1058"/>
    </row>
    <row r="1199" spans="2:48" ht="45" customHeight="1" thickBot="1" x14ac:dyDescent="0.25">
      <c r="B1199" s="1018" t="str">
        <f>LIEU&amp;" - "&amp;DATE&amp;" - "&amp;CATEG</f>
        <v>L’Isle sur la Sorgue - 27 au 31 mars 2023 - Collèges Mixtes Etablissement</v>
      </c>
      <c r="C1199" s="1018"/>
      <c r="D1199" s="1018"/>
      <c r="E1199" s="1018"/>
      <c r="F1199" s="1018"/>
      <c r="G1199" s="1018"/>
      <c r="H1199" s="1018"/>
      <c r="I1199" s="1018"/>
      <c r="J1199" s="1018"/>
      <c r="K1199" s="1018"/>
      <c r="L1199" s="1018"/>
      <c r="M1199" s="1018"/>
      <c r="N1199" s="1018"/>
      <c r="O1199" s="1018"/>
      <c r="P1199" s="1018"/>
      <c r="Q1199" s="1018"/>
      <c r="R1199" s="1018"/>
      <c r="S1199" s="1018"/>
      <c r="T1199" s="1018"/>
      <c r="U1199" s="1018"/>
      <c r="V1199" s="1018"/>
      <c r="W1199" s="1018"/>
      <c r="X1199" s="1018"/>
      <c r="Y1199" s="1018"/>
      <c r="Z1199" s="1018"/>
      <c r="AA1199" s="1018"/>
      <c r="AB1199" s="1018"/>
      <c r="AC1199" s="1018"/>
      <c r="AD1199" s="1018"/>
      <c r="AE1199" s="1018"/>
      <c r="AF1199" s="1018"/>
      <c r="AG1199" s="1018"/>
      <c r="AH1199" s="1018"/>
      <c r="AI1199" s="1018"/>
      <c r="AJ1199" s="1018"/>
      <c r="AK1199" s="1018"/>
      <c r="AL1199" s="1018"/>
      <c r="AM1199" s="1018"/>
      <c r="AN1199" s="1018"/>
      <c r="AO1199" s="1018"/>
      <c r="AP1199" s="1018"/>
      <c r="AQ1199" s="182"/>
      <c r="AR1199" s="182"/>
      <c r="AS1199" s="182"/>
      <c r="AT1199" s="182"/>
      <c r="AU1199" s="182"/>
      <c r="AV1199" s="182"/>
    </row>
    <row r="1200" spans="2:48" ht="26.25" customHeight="1" x14ac:dyDescent="0.2">
      <c r="B1200" s="1059" t="str">
        <f>CATEG_IMPORTEE</f>
        <v>Collèges Mixtes Etablissement</v>
      </c>
      <c r="C1200" s="1059"/>
      <c r="D1200" s="1059"/>
      <c r="E1200" s="1059"/>
      <c r="F1200" s="1059"/>
      <c r="G1200" s="1059"/>
      <c r="H1200" s="1059"/>
      <c r="I1200" s="1059"/>
      <c r="J1200" s="1059"/>
      <c r="K1200" s="1059"/>
      <c r="L1200" s="1059"/>
      <c r="M1200" s="1059"/>
      <c r="N1200" s="1059"/>
      <c r="O1200" s="1059"/>
      <c r="P1200" s="1059"/>
      <c r="Q1200" s="1059"/>
      <c r="R1200" s="1059"/>
      <c r="S1200" s="1059"/>
      <c r="T1200" s="1059"/>
      <c r="U1200" s="1059"/>
      <c r="V1200" s="1059"/>
      <c r="W1200" s="1059"/>
      <c r="X1200" s="1059"/>
      <c r="Y1200" s="1059"/>
      <c r="Z1200" s="1059"/>
      <c r="AA1200" s="1059"/>
      <c r="AB1200" s="1059"/>
      <c r="AC1200" s="1059"/>
      <c r="AD1200" s="1059"/>
      <c r="AE1200" s="1059"/>
      <c r="AF1200" s="1059"/>
      <c r="AG1200" s="1059"/>
      <c r="AH1200" s="1059"/>
      <c r="AI1200" s="1059"/>
      <c r="AJ1200" s="1059"/>
      <c r="AK1200" s="1059"/>
      <c r="AL1200" s="1059"/>
      <c r="AM1200" s="1059"/>
      <c r="AN1200" s="1059"/>
      <c r="AO1200" s="1059"/>
      <c r="AP1200" s="1059"/>
      <c r="AQ1200" s="182"/>
      <c r="AR1200" s="1060">
        <f>AR1137+1</f>
        <v>20</v>
      </c>
      <c r="AS1200" s="1061"/>
      <c r="AT1200" s="1062"/>
      <c r="AU1200" s="182"/>
      <c r="AV1200" s="182"/>
    </row>
    <row r="1201" spans="2:48" ht="18" customHeight="1" x14ac:dyDescent="0.2">
      <c r="B1201" s="182"/>
      <c r="C1201" s="182"/>
      <c r="D1201" s="182"/>
      <c r="E1201" s="182"/>
      <c r="F1201" s="182"/>
      <c r="G1201" s="182"/>
      <c r="H1201" s="182"/>
      <c r="I1201" s="182"/>
      <c r="J1201" s="182"/>
      <c r="K1201" s="182"/>
      <c r="L1201" s="182"/>
      <c r="M1201" s="182"/>
      <c r="N1201" s="182"/>
      <c r="O1201" s="182"/>
      <c r="P1201" s="182"/>
      <c r="Q1201" s="182"/>
      <c r="R1201" s="182"/>
      <c r="S1201" s="182"/>
      <c r="T1201" s="182"/>
      <c r="U1201" s="182"/>
      <c r="V1201" s="182"/>
      <c r="W1201" s="182"/>
      <c r="X1201" s="183"/>
      <c r="Y1201" s="184"/>
      <c r="Z1201" s="182"/>
      <c r="AA1201" s="182"/>
      <c r="AB1201" s="182"/>
      <c r="AC1201" s="182"/>
      <c r="AD1201" s="182"/>
      <c r="AE1201" s="182"/>
      <c r="AF1201" s="182"/>
      <c r="AG1201" s="182"/>
      <c r="AH1201" s="182"/>
      <c r="AI1201" s="182"/>
      <c r="AJ1201" s="182"/>
      <c r="AK1201" s="182"/>
      <c r="AL1201" s="182"/>
      <c r="AM1201" s="182"/>
      <c r="AN1201" s="182"/>
      <c r="AO1201" s="182"/>
      <c r="AP1201" s="182"/>
      <c r="AQ1201" s="182"/>
      <c r="AR1201" s="1063"/>
      <c r="AS1201" s="1064"/>
      <c r="AT1201" s="1065"/>
      <c r="AU1201" s="182"/>
      <c r="AV1201" s="182"/>
    </row>
    <row r="1202" spans="2:48" ht="18.75" customHeight="1" thickBot="1" x14ac:dyDescent="0.25">
      <c r="B1202" s="182"/>
      <c r="C1202" s="182"/>
      <c r="D1202" s="182"/>
      <c r="E1202" s="182"/>
      <c r="F1202" s="182"/>
      <c r="G1202" s="182"/>
      <c r="H1202" s="992" t="s">
        <v>374</v>
      </c>
      <c r="I1202" s="992"/>
      <c r="J1202" s="992"/>
      <c r="K1202" s="992"/>
      <c r="L1202" s="992"/>
      <c r="M1202" s="992"/>
      <c r="N1202" s="992"/>
      <c r="O1202" s="992"/>
      <c r="P1202" s="992"/>
      <c r="Q1202" s="992"/>
      <c r="R1202" s="182"/>
      <c r="S1202" s="182"/>
      <c r="T1202" s="182"/>
      <c r="U1202" s="182"/>
      <c r="V1202" s="182"/>
      <c r="W1202" s="182"/>
      <c r="X1202" s="183"/>
      <c r="Y1202" s="182"/>
      <c r="Z1202" s="182"/>
      <c r="AA1202" s="182"/>
      <c r="AB1202" s="182"/>
      <c r="AC1202" s="182"/>
      <c r="AD1202" s="182"/>
      <c r="AE1202" s="992" t="s">
        <v>374</v>
      </c>
      <c r="AF1202" s="992"/>
      <c r="AG1202" s="992"/>
      <c r="AH1202" s="992"/>
      <c r="AI1202" s="992"/>
      <c r="AJ1202" s="992"/>
      <c r="AK1202" s="992"/>
      <c r="AL1202" s="992"/>
      <c r="AM1202" s="992"/>
      <c r="AN1202" s="992"/>
      <c r="AO1202" s="182"/>
      <c r="AP1202" s="182"/>
      <c r="AQ1202" s="182"/>
      <c r="AR1202" s="1066"/>
      <c r="AS1202" s="1067"/>
      <c r="AT1202" s="1068"/>
      <c r="AU1202" s="182"/>
      <c r="AV1202" s="182"/>
    </row>
    <row r="1203" spans="2:48" ht="18" x14ac:dyDescent="0.2">
      <c r="B1203" s="182"/>
      <c r="C1203" s="182"/>
      <c r="D1203" s="182"/>
      <c r="E1203" s="182"/>
      <c r="F1203" s="182"/>
      <c r="G1203" s="182"/>
      <c r="H1203" s="1022" t="e">
        <f>VLOOKUP(U1212,ID_archer_cible,4,FALSE)</f>
        <v>#N/A</v>
      </c>
      <c r="I1203" s="1023"/>
      <c r="J1203" s="1023"/>
      <c r="K1203" s="1023"/>
      <c r="L1203" s="1023"/>
      <c r="M1203" s="1023"/>
      <c r="N1203" s="1023"/>
      <c r="O1203" s="1023"/>
      <c r="P1203" s="1023"/>
      <c r="Q1203" s="1024"/>
      <c r="R1203" s="182"/>
      <c r="S1203" s="182"/>
      <c r="T1203" s="182"/>
      <c r="U1203" s="182"/>
      <c r="V1203" s="182"/>
      <c r="W1203" s="182"/>
      <c r="X1203" s="183"/>
      <c r="Y1203" s="182"/>
      <c r="Z1203" s="182"/>
      <c r="AA1203" s="182"/>
      <c r="AB1203" s="182"/>
      <c r="AC1203" s="182"/>
      <c r="AD1203" s="182"/>
      <c r="AE1203" s="1022" t="e">
        <f>VLOOKUP(AS1212,ID_archer_cible,4,FALSE)</f>
        <v>#N/A</v>
      </c>
      <c r="AF1203" s="1023"/>
      <c r="AG1203" s="1023"/>
      <c r="AH1203" s="1023"/>
      <c r="AI1203" s="1023"/>
      <c r="AJ1203" s="1023"/>
      <c r="AK1203" s="1023"/>
      <c r="AL1203" s="1023"/>
      <c r="AM1203" s="1023"/>
      <c r="AN1203" s="1024"/>
      <c r="AO1203" s="182"/>
      <c r="AP1203" s="182"/>
      <c r="AQ1203" s="182"/>
      <c r="AR1203" s="182"/>
      <c r="AS1203" s="182"/>
      <c r="AT1203" s="182"/>
      <c r="AU1203" s="182"/>
      <c r="AV1203" s="182"/>
    </row>
    <row r="1204" spans="2:48" x14ac:dyDescent="0.2">
      <c r="X1204" s="186"/>
    </row>
    <row r="1205" spans="2:48" x14ac:dyDescent="0.2">
      <c r="B1205" s="1021" t="s">
        <v>0</v>
      </c>
      <c r="C1205" s="1021"/>
      <c r="D1205" s="1021"/>
      <c r="E1205" s="1021"/>
      <c r="F1205" s="1021"/>
      <c r="G1205" s="1021"/>
      <c r="H1205" s="1021"/>
      <c r="I1205" s="1021"/>
      <c r="J1205" s="1021"/>
      <c r="K1205" s="1021"/>
      <c r="L1205" s="1021"/>
      <c r="M1205" s="187"/>
      <c r="P1205" s="992" t="s">
        <v>375</v>
      </c>
      <c r="Q1205" s="992"/>
      <c r="R1205" s="992"/>
      <c r="S1205" s="992"/>
      <c r="T1205" s="992"/>
      <c r="U1205" s="992"/>
      <c r="V1205" s="992"/>
      <c r="W1205" s="992"/>
      <c r="X1205" s="188"/>
      <c r="Z1205" s="1021" t="s">
        <v>0</v>
      </c>
      <c r="AA1205" s="1021"/>
      <c r="AB1205" s="1021"/>
      <c r="AC1205" s="1021"/>
      <c r="AD1205" s="1021"/>
      <c r="AE1205" s="1021"/>
      <c r="AF1205" s="1021"/>
      <c r="AG1205" s="1021"/>
      <c r="AH1205" s="1021"/>
      <c r="AI1205" s="1021"/>
      <c r="AJ1205" s="1021"/>
      <c r="AK1205" s="187"/>
      <c r="AN1205" s="992" t="s">
        <v>375</v>
      </c>
      <c r="AO1205" s="992"/>
      <c r="AP1205" s="992"/>
      <c r="AQ1205" s="992"/>
      <c r="AR1205" s="992"/>
      <c r="AS1205" s="992"/>
      <c r="AT1205" s="992"/>
      <c r="AU1205" s="992"/>
      <c r="AV1205" s="187"/>
    </row>
    <row r="1206" spans="2:48" x14ac:dyDescent="0.2">
      <c r="B1206" s="999" t="e">
        <f>VLOOKUP(U1212,ID_archer_cible,2,FALSE)</f>
        <v>#N/A</v>
      </c>
      <c r="C1206" s="1000"/>
      <c r="D1206" s="1000"/>
      <c r="E1206" s="1000"/>
      <c r="F1206" s="1000"/>
      <c r="G1206" s="1000"/>
      <c r="H1206" s="1000"/>
      <c r="I1206" s="1000"/>
      <c r="J1206" s="1000"/>
      <c r="K1206" s="1000"/>
      <c r="L1206" s="1000"/>
      <c r="M1206" s="1001"/>
      <c r="P1206" s="999" t="e">
        <f>VLOOKUP(U1212,ID_archer_cible,3,FALSE)</f>
        <v>#N/A</v>
      </c>
      <c r="Q1206" s="1000"/>
      <c r="R1206" s="1000"/>
      <c r="S1206" s="1000"/>
      <c r="T1206" s="1000"/>
      <c r="U1206" s="1000"/>
      <c r="V1206" s="1000"/>
      <c r="W1206" s="1001"/>
      <c r="X1206" s="186"/>
      <c r="Y1206"/>
      <c r="Z1206" s="999" t="e">
        <f>VLOOKUP(AS1212,ID_archer_cible,2,FALSE)</f>
        <v>#N/A</v>
      </c>
      <c r="AA1206" s="1000"/>
      <c r="AB1206" s="1000"/>
      <c r="AC1206" s="1000"/>
      <c r="AD1206" s="1000"/>
      <c r="AE1206" s="1000"/>
      <c r="AF1206" s="1000"/>
      <c r="AG1206" s="1000"/>
      <c r="AH1206" s="1000"/>
      <c r="AI1206" s="1000"/>
      <c r="AJ1206" s="1000"/>
      <c r="AK1206" s="1001"/>
      <c r="AN1206" s="999" t="e">
        <f>VLOOKUP(AS1212,ID_archer_cible,3,FALSE)</f>
        <v>#N/A</v>
      </c>
      <c r="AO1206" s="1000"/>
      <c r="AP1206" s="1000"/>
      <c r="AQ1206" s="1000"/>
      <c r="AR1206" s="1000"/>
      <c r="AS1206" s="1000"/>
      <c r="AT1206" s="1000"/>
      <c r="AU1206" s="1001"/>
    </row>
    <row r="1207" spans="2:48" x14ac:dyDescent="0.2">
      <c r="X1207" s="186"/>
      <c r="Y1207"/>
    </row>
    <row r="1208" spans="2:48" ht="16.5" thickBot="1" x14ac:dyDescent="0.25">
      <c r="B1208" s="1017" t="s">
        <v>1</v>
      </c>
      <c r="C1208" s="1017"/>
      <c r="D1208" s="1017"/>
      <c r="E1208" s="1017"/>
      <c r="F1208" s="1017"/>
      <c r="G1208" s="1017"/>
      <c r="H1208" s="1017"/>
      <c r="I1208" s="1017"/>
      <c r="J1208" s="1017"/>
      <c r="L1208" s="1017" t="s">
        <v>505</v>
      </c>
      <c r="M1208" s="1017"/>
      <c r="N1208" s="1017"/>
      <c r="O1208" s="1017"/>
      <c r="P1208" s="1017"/>
      <c r="Q1208" s="1017"/>
      <c r="S1208" s="992" t="s">
        <v>506</v>
      </c>
      <c r="T1208" s="992"/>
      <c r="U1208" s="992"/>
      <c r="V1208" s="992"/>
      <c r="W1208" s="992"/>
      <c r="X1208" s="188"/>
      <c r="Y1208"/>
      <c r="Z1208" s="1017" t="s">
        <v>1</v>
      </c>
      <c r="AA1208" s="1017"/>
      <c r="AB1208" s="1017"/>
      <c r="AC1208" s="1017"/>
      <c r="AD1208" s="1017"/>
      <c r="AE1208" s="1017"/>
      <c r="AF1208" s="1017"/>
      <c r="AG1208" s="1017"/>
      <c r="AH1208" s="1017"/>
      <c r="AJ1208" s="1017" t="s">
        <v>505</v>
      </c>
      <c r="AK1208" s="1017"/>
      <c r="AL1208" s="1017"/>
      <c r="AM1208" s="1017"/>
      <c r="AN1208" s="1017"/>
      <c r="AO1208" s="1017"/>
      <c r="AQ1208" s="992" t="s">
        <v>506</v>
      </c>
      <c r="AR1208" s="992"/>
      <c r="AS1208" s="992"/>
      <c r="AT1208" s="992"/>
      <c r="AU1208" s="992"/>
      <c r="AV1208" s="187"/>
    </row>
    <row r="1209" spans="2:48" ht="16.5" thickBot="1" x14ac:dyDescent="0.25">
      <c r="B1209" s="1014" t="e">
        <f>VLOOKUP(U1212,ID_archer_cible,5,FALSE)</f>
        <v>#N/A</v>
      </c>
      <c r="C1209" s="1015"/>
      <c r="D1209" s="1015"/>
      <c r="E1209" s="1015"/>
      <c r="F1209" s="1015"/>
      <c r="G1209" s="1015"/>
      <c r="H1209" s="1015"/>
      <c r="I1209" s="1015"/>
      <c r="J1209" s="1016"/>
      <c r="L1209" s="1014" t="e">
        <f>VLOOKUP(U1212,ID_archer_cible,6,FALSE)</f>
        <v>#N/A</v>
      </c>
      <c r="M1209" s="1015"/>
      <c r="N1209" s="1015"/>
      <c r="O1209" s="1015"/>
      <c r="P1209" s="1015"/>
      <c r="Q1209" s="1016"/>
      <c r="S1209" s="999" t="e">
        <f>VLOOKUP(U1212,ID_archer_cible,8,FALSE)</f>
        <v>#N/A</v>
      </c>
      <c r="T1209" s="1000"/>
      <c r="U1209" s="1000"/>
      <c r="V1209" s="1000"/>
      <c r="W1209" s="1001"/>
      <c r="X1209" s="186"/>
      <c r="Y1209"/>
      <c r="Z1209" s="1014" t="e">
        <f>VLOOKUP(AS1212,ID_archer_cible,5,FALSE)</f>
        <v>#N/A</v>
      </c>
      <c r="AA1209" s="1015"/>
      <c r="AB1209" s="1015"/>
      <c r="AC1209" s="1015"/>
      <c r="AD1209" s="1015"/>
      <c r="AE1209" s="1015"/>
      <c r="AF1209" s="1015"/>
      <c r="AG1209" s="1015"/>
      <c r="AH1209" s="1016"/>
      <c r="AJ1209" s="1014" t="e">
        <f>VLOOKUP(AS1212,ID_archer_cible,6,FALSE)</f>
        <v>#N/A</v>
      </c>
      <c r="AK1209" s="1015"/>
      <c r="AL1209" s="1015"/>
      <c r="AM1209" s="1015"/>
      <c r="AN1209" s="1015"/>
      <c r="AO1209" s="1016"/>
      <c r="AQ1209" s="999" t="e">
        <f>VLOOKUP(AS1212,ID_archer_cible,8,FALSE)</f>
        <v>#N/A</v>
      </c>
      <c r="AR1209" s="1000"/>
      <c r="AS1209" s="1000"/>
      <c r="AT1209" s="1000"/>
      <c r="AU1209" s="1001"/>
    </row>
    <row r="1210" spans="2:48" x14ac:dyDescent="0.2">
      <c r="X1210" s="186"/>
      <c r="Y1210"/>
    </row>
    <row r="1211" spans="2:48" x14ac:dyDescent="0.2">
      <c r="B1211" s="992" t="s">
        <v>530</v>
      </c>
      <c r="C1211" s="992"/>
      <c r="D1211" s="992"/>
      <c r="E1211" s="992"/>
      <c r="F1211" s="992"/>
      <c r="G1211" s="187"/>
      <c r="H1211" s="992" t="s">
        <v>504</v>
      </c>
      <c r="I1211" s="992"/>
      <c r="J1211" s="992"/>
      <c r="K1211" s="992"/>
      <c r="M1211" s="992" t="s">
        <v>39</v>
      </c>
      <c r="N1211" s="992"/>
      <c r="O1211" s="992"/>
      <c r="Q1211" s="1021"/>
      <c r="R1211" s="1021"/>
      <c r="S1211" s="1021"/>
      <c r="U1211" s="992" t="s">
        <v>507</v>
      </c>
      <c r="V1211" s="992"/>
      <c r="W1211" s="992"/>
      <c r="X1211" s="188"/>
      <c r="Y1211"/>
      <c r="Z1211" s="992" t="s">
        <v>530</v>
      </c>
      <c r="AA1211" s="992"/>
      <c r="AB1211" s="992"/>
      <c r="AC1211" s="992"/>
      <c r="AD1211" s="992"/>
      <c r="AE1211" s="187"/>
      <c r="AF1211" s="992" t="s">
        <v>504</v>
      </c>
      <c r="AG1211" s="992"/>
      <c r="AH1211" s="992"/>
      <c r="AI1211" s="992"/>
      <c r="AK1211" s="992" t="s">
        <v>39</v>
      </c>
      <c r="AL1211" s="992"/>
      <c r="AM1211" s="992"/>
      <c r="AO1211" s="1021"/>
      <c r="AP1211" s="1021"/>
      <c r="AQ1211" s="1021"/>
      <c r="AS1211" s="992" t="s">
        <v>507</v>
      </c>
      <c r="AT1211" s="992"/>
      <c r="AU1211" s="992"/>
      <c r="AV1211" s="187"/>
    </row>
    <row r="1212" spans="2:48" ht="15.75" x14ac:dyDescent="0.2">
      <c r="B1212" s="1011" t="e">
        <f>VLOOKUP(U1212,ID_archer_cible,7,FALSE)</f>
        <v>#N/A</v>
      </c>
      <c r="C1212" s="1012"/>
      <c r="D1212" s="1012"/>
      <c r="E1212" s="1012"/>
      <c r="F1212" s="1013"/>
      <c r="H1212" s="999" t="e">
        <f>VLOOKUP(U1212,ID_archer_cible,9,FALSE)</f>
        <v>#N/A</v>
      </c>
      <c r="I1212" s="1000"/>
      <c r="J1212" s="1000"/>
      <c r="K1212" s="1001"/>
      <c r="M1212" s="999" t="e">
        <f>VLOOKUP(U1212,ID_archer_cible,10,FALSE)</f>
        <v>#N/A</v>
      </c>
      <c r="N1212" s="1000"/>
      <c r="O1212" s="1001"/>
      <c r="Q1212" s="1021"/>
      <c r="R1212" s="1021"/>
      <c r="S1212" s="1021"/>
      <c r="T1212" s="187"/>
      <c r="U1212" s="996" t="str">
        <f>AR1200&amp;"A"</f>
        <v>20A</v>
      </c>
      <c r="V1212" s="997"/>
      <c r="W1212" s="998"/>
      <c r="X1212" s="188"/>
      <c r="Y1212"/>
      <c r="Z1212" s="1011" t="e">
        <f>VLOOKUP(AS1212,ID_archer_cible,7,FALSE)</f>
        <v>#N/A</v>
      </c>
      <c r="AA1212" s="1012"/>
      <c r="AB1212" s="1012"/>
      <c r="AC1212" s="1012"/>
      <c r="AD1212" s="1013"/>
      <c r="AF1212" s="999" t="e">
        <f>VLOOKUP(AS1212,ID_archer_cible,9,FALSE)</f>
        <v>#N/A</v>
      </c>
      <c r="AG1212" s="1000"/>
      <c r="AH1212" s="1000"/>
      <c r="AI1212" s="1001"/>
      <c r="AK1212" s="999" t="e">
        <f>VLOOKUP(AS1212,ID_archer_cible,10,FALSE)</f>
        <v>#N/A</v>
      </c>
      <c r="AL1212" s="1000"/>
      <c r="AM1212" s="1001"/>
      <c r="AO1212" s="1021"/>
      <c r="AP1212" s="1021"/>
      <c r="AQ1212" s="1021"/>
      <c r="AR1212" s="187"/>
      <c r="AS1212" s="996" t="str">
        <f>AR1200&amp;"B"</f>
        <v>20B</v>
      </c>
      <c r="AT1212" s="997"/>
      <c r="AU1212" s="998"/>
      <c r="AV1212" s="187"/>
    </row>
    <row r="1213" spans="2:48" x14ac:dyDescent="0.2">
      <c r="X1213" s="186"/>
    </row>
    <row r="1214" spans="2:48" x14ac:dyDescent="0.2">
      <c r="B1214" s="185" t="s">
        <v>509</v>
      </c>
      <c r="E1214" s="992" t="s">
        <v>510</v>
      </c>
      <c r="F1214" s="992"/>
      <c r="G1214" s="992"/>
      <c r="H1214" s="992"/>
      <c r="I1214" s="992"/>
      <c r="J1214" s="992"/>
      <c r="K1214" s="992"/>
      <c r="L1214" s="992"/>
      <c r="M1214" s="992"/>
      <c r="N1214" s="992"/>
      <c r="P1214" s="992" t="s">
        <v>511</v>
      </c>
      <c r="Q1214" s="992"/>
      <c r="R1214" s="992"/>
      <c r="X1214" s="186"/>
      <c r="Z1214" s="185" t="s">
        <v>509</v>
      </c>
      <c r="AC1214" s="992" t="s">
        <v>510</v>
      </c>
      <c r="AD1214" s="992"/>
      <c r="AE1214" s="992"/>
      <c r="AF1214" s="992"/>
      <c r="AG1214" s="992"/>
      <c r="AH1214" s="992"/>
      <c r="AI1214" s="992"/>
      <c r="AJ1214" s="992"/>
      <c r="AK1214" s="992"/>
      <c r="AL1214" s="992"/>
      <c r="AN1214" s="992" t="s">
        <v>511</v>
      </c>
      <c r="AO1214" s="992"/>
      <c r="AP1214" s="992"/>
    </row>
    <row r="1215" spans="2:48" ht="20.25" customHeight="1" x14ac:dyDescent="0.2">
      <c r="B1215" s="1009" t="s">
        <v>513</v>
      </c>
      <c r="C1215" s="1009"/>
      <c r="E1215" s="189"/>
      <c r="F1215" s="191"/>
      <c r="G1215" s="189"/>
      <c r="H1215" s="191"/>
      <c r="I1215" s="189"/>
      <c r="J1215" s="191"/>
      <c r="K1215" s="189"/>
      <c r="L1215" s="191"/>
      <c r="M1215" s="189"/>
      <c r="N1215" s="191"/>
      <c r="P1215" s="189"/>
      <c r="Q1215" s="190"/>
      <c r="R1215" s="191"/>
      <c r="T1215" s="992" t="s">
        <v>512</v>
      </c>
      <c r="U1215" s="992"/>
      <c r="V1215" s="992"/>
      <c r="W1215" s="992"/>
      <c r="X1215" s="188"/>
      <c r="Z1215" s="1009" t="s">
        <v>513</v>
      </c>
      <c r="AA1215" s="1009"/>
      <c r="AC1215" s="189"/>
      <c r="AD1215" s="191"/>
      <c r="AE1215" s="189"/>
      <c r="AF1215" s="191"/>
      <c r="AG1215" s="189"/>
      <c r="AH1215" s="191"/>
      <c r="AI1215" s="189"/>
      <c r="AJ1215" s="191"/>
      <c r="AK1215" s="189"/>
      <c r="AL1215" s="191"/>
      <c r="AN1215" s="189"/>
      <c r="AO1215" s="190"/>
      <c r="AP1215" s="191"/>
      <c r="AR1215" s="992" t="s">
        <v>512</v>
      </c>
      <c r="AS1215" s="992"/>
      <c r="AT1215" s="992"/>
      <c r="AU1215" s="992"/>
      <c r="AV1215" s="187"/>
    </row>
    <row r="1216" spans="2:48" ht="20.25" customHeight="1" x14ac:dyDescent="0.2">
      <c r="B1216" s="1009" t="s">
        <v>514</v>
      </c>
      <c r="C1216" s="1009"/>
      <c r="E1216" s="189"/>
      <c r="F1216" s="191"/>
      <c r="G1216" s="189"/>
      <c r="H1216" s="191"/>
      <c r="I1216" s="189"/>
      <c r="J1216" s="191"/>
      <c r="K1216" s="189"/>
      <c r="L1216" s="191"/>
      <c r="M1216" s="189"/>
      <c r="N1216" s="191"/>
      <c r="P1216" s="189"/>
      <c r="Q1216" s="190"/>
      <c r="R1216" s="191"/>
      <c r="T1216" s="189"/>
      <c r="U1216" s="190"/>
      <c r="V1216" s="190"/>
      <c r="W1216" s="191"/>
      <c r="X1216" s="186"/>
      <c r="Z1216" s="1009" t="s">
        <v>514</v>
      </c>
      <c r="AA1216" s="1009"/>
      <c r="AC1216" s="189"/>
      <c r="AD1216" s="191"/>
      <c r="AE1216" s="189"/>
      <c r="AF1216" s="191"/>
      <c r="AG1216" s="189"/>
      <c r="AH1216" s="191"/>
      <c r="AI1216" s="189"/>
      <c r="AJ1216" s="191"/>
      <c r="AK1216" s="189"/>
      <c r="AL1216" s="191"/>
      <c r="AN1216" s="189"/>
      <c r="AO1216" s="190"/>
      <c r="AP1216" s="191"/>
      <c r="AR1216" s="189"/>
      <c r="AS1216" s="190"/>
      <c r="AT1216" s="190"/>
      <c r="AU1216" s="191"/>
    </row>
    <row r="1217" spans="2:48" ht="20.25" customHeight="1" x14ac:dyDescent="0.2">
      <c r="B1217" s="1009" t="s">
        <v>515</v>
      </c>
      <c r="C1217" s="1009"/>
      <c r="E1217" s="189"/>
      <c r="F1217" s="191"/>
      <c r="G1217" s="189"/>
      <c r="H1217" s="191"/>
      <c r="I1217" s="189"/>
      <c r="J1217" s="191"/>
      <c r="K1217" s="189"/>
      <c r="L1217" s="191"/>
      <c r="M1217" s="189"/>
      <c r="N1217" s="191"/>
      <c r="P1217" s="189"/>
      <c r="Q1217" s="190"/>
      <c r="R1217" s="191"/>
      <c r="T1217" s="189"/>
      <c r="U1217" s="190"/>
      <c r="V1217" s="190"/>
      <c r="W1217" s="191"/>
      <c r="X1217" s="186"/>
      <c r="Z1217" s="1009" t="s">
        <v>515</v>
      </c>
      <c r="AA1217" s="1009"/>
      <c r="AC1217" s="189"/>
      <c r="AD1217" s="191"/>
      <c r="AE1217" s="189"/>
      <c r="AF1217" s="191"/>
      <c r="AG1217" s="189"/>
      <c r="AH1217" s="191"/>
      <c r="AI1217" s="189"/>
      <c r="AJ1217" s="191"/>
      <c r="AK1217" s="189"/>
      <c r="AL1217" s="191"/>
      <c r="AN1217" s="189"/>
      <c r="AO1217" s="190"/>
      <c r="AP1217" s="191"/>
      <c r="AR1217" s="189"/>
      <c r="AS1217" s="190"/>
      <c r="AT1217" s="190"/>
      <c r="AU1217" s="191"/>
    </row>
    <row r="1218" spans="2:48" ht="20.25" customHeight="1" x14ac:dyDescent="0.2">
      <c r="B1218" s="1009" t="s">
        <v>516</v>
      </c>
      <c r="C1218" s="1009"/>
      <c r="E1218" s="189"/>
      <c r="F1218" s="191"/>
      <c r="G1218" s="189"/>
      <c r="H1218" s="191"/>
      <c r="I1218" s="189"/>
      <c r="J1218" s="191"/>
      <c r="K1218" s="189"/>
      <c r="L1218" s="191"/>
      <c r="M1218" s="189"/>
      <c r="N1218" s="191"/>
      <c r="P1218" s="189"/>
      <c r="Q1218" s="190"/>
      <c r="R1218" s="191"/>
      <c r="T1218" s="189"/>
      <c r="U1218" s="190"/>
      <c r="V1218" s="190"/>
      <c r="W1218" s="191"/>
      <c r="X1218" s="186"/>
      <c r="Z1218" s="1009" t="s">
        <v>516</v>
      </c>
      <c r="AA1218" s="1009"/>
      <c r="AC1218" s="189"/>
      <c r="AD1218" s="191"/>
      <c r="AE1218" s="189"/>
      <c r="AF1218" s="191"/>
      <c r="AG1218" s="189"/>
      <c r="AH1218" s="191"/>
      <c r="AI1218" s="189"/>
      <c r="AJ1218" s="191"/>
      <c r="AK1218" s="189"/>
      <c r="AL1218" s="191"/>
      <c r="AN1218" s="189"/>
      <c r="AO1218" s="190"/>
      <c r="AP1218" s="191"/>
      <c r="AR1218" s="189"/>
      <c r="AS1218" s="190"/>
      <c r="AT1218" s="190"/>
      <c r="AU1218" s="191"/>
    </row>
    <row r="1219" spans="2:48" ht="20.25" customHeight="1" x14ac:dyDescent="0.2">
      <c r="B1219" s="1009" t="s">
        <v>517</v>
      </c>
      <c r="C1219" s="1009"/>
      <c r="E1219" s="189"/>
      <c r="F1219" s="191"/>
      <c r="G1219" s="189"/>
      <c r="H1219" s="191"/>
      <c r="I1219" s="189"/>
      <c r="J1219" s="191"/>
      <c r="K1219" s="189"/>
      <c r="L1219" s="191"/>
      <c r="M1219" s="189"/>
      <c r="N1219" s="191"/>
      <c r="P1219" s="189"/>
      <c r="Q1219" s="190"/>
      <c r="R1219" s="191"/>
      <c r="T1219" s="189"/>
      <c r="U1219" s="190"/>
      <c r="V1219" s="190"/>
      <c r="W1219" s="191"/>
      <c r="X1219" s="186"/>
      <c r="Z1219" s="1009" t="s">
        <v>517</v>
      </c>
      <c r="AA1219" s="1009"/>
      <c r="AC1219" s="189"/>
      <c r="AD1219" s="191"/>
      <c r="AE1219" s="189"/>
      <c r="AF1219" s="191"/>
      <c r="AG1219" s="189"/>
      <c r="AH1219" s="191"/>
      <c r="AI1219" s="189"/>
      <c r="AJ1219" s="191"/>
      <c r="AK1219" s="189"/>
      <c r="AL1219" s="191"/>
      <c r="AN1219" s="189"/>
      <c r="AO1219" s="190"/>
      <c r="AP1219" s="191"/>
      <c r="AR1219" s="189"/>
      <c r="AS1219" s="190"/>
      <c r="AT1219" s="190"/>
      <c r="AU1219" s="191"/>
    </row>
    <row r="1220" spans="2:48" ht="20.25" customHeight="1" x14ac:dyDescent="0.2">
      <c r="B1220" s="1009" t="s">
        <v>518</v>
      </c>
      <c r="C1220" s="1009"/>
      <c r="E1220" s="189"/>
      <c r="F1220" s="191"/>
      <c r="G1220" s="189"/>
      <c r="H1220" s="191"/>
      <c r="I1220" s="189"/>
      <c r="J1220" s="191"/>
      <c r="K1220" s="189"/>
      <c r="L1220" s="191"/>
      <c r="M1220" s="189"/>
      <c r="N1220" s="191"/>
      <c r="P1220" s="189"/>
      <c r="Q1220" s="190"/>
      <c r="R1220" s="191"/>
      <c r="T1220" s="189"/>
      <c r="U1220" s="190"/>
      <c r="V1220" s="190"/>
      <c r="W1220" s="191"/>
      <c r="X1220" s="186"/>
      <c r="Z1220" s="1009" t="s">
        <v>518</v>
      </c>
      <c r="AA1220" s="1009"/>
      <c r="AC1220" s="189"/>
      <c r="AD1220" s="191"/>
      <c r="AE1220" s="189"/>
      <c r="AF1220" s="191"/>
      <c r="AG1220" s="189"/>
      <c r="AH1220" s="191"/>
      <c r="AI1220" s="189"/>
      <c r="AJ1220" s="191"/>
      <c r="AK1220" s="189"/>
      <c r="AL1220" s="191"/>
      <c r="AN1220" s="189"/>
      <c r="AO1220" s="190"/>
      <c r="AP1220" s="191"/>
      <c r="AR1220" s="189"/>
      <c r="AS1220" s="190"/>
      <c r="AT1220" s="190"/>
      <c r="AU1220" s="191"/>
    </row>
    <row r="1221" spans="2:48" ht="15.75" thickBot="1" x14ac:dyDescent="0.25">
      <c r="B1221" s="187"/>
      <c r="C1221" s="187"/>
      <c r="X1221" s="186"/>
      <c r="Z1221" s="187"/>
      <c r="AA1221" s="187"/>
    </row>
    <row r="1222" spans="2:48" ht="20.25" customHeight="1" thickBot="1" x14ac:dyDescent="0.25">
      <c r="P1222" s="197" t="s">
        <v>519</v>
      </c>
      <c r="Q1222" s="197"/>
      <c r="R1222" s="197"/>
      <c r="S1222" s="197"/>
      <c r="T1222" s="192"/>
      <c r="U1222" s="193"/>
      <c r="V1222" s="193"/>
      <c r="W1222" s="194"/>
      <c r="X1222" s="186"/>
      <c r="AN1222" s="197" t="s">
        <v>519</v>
      </c>
      <c r="AO1222" s="197"/>
      <c r="AP1222" s="197"/>
      <c r="AQ1222" s="197"/>
      <c r="AR1222" s="192"/>
      <c r="AS1222" s="193"/>
      <c r="AT1222" s="193"/>
      <c r="AU1222" s="194"/>
    </row>
    <row r="1223" spans="2:48" x14ac:dyDescent="0.2">
      <c r="E1223" s="196"/>
      <c r="F1223" s="196"/>
      <c r="G1223" s="196"/>
      <c r="H1223" s="196"/>
      <c r="I1223" s="196"/>
      <c r="J1223" s="196"/>
      <c r="K1223" s="196"/>
      <c r="L1223" s="196"/>
      <c r="M1223" s="196"/>
      <c r="X1223" s="186"/>
      <c r="AC1223" s="196"/>
      <c r="AD1223" s="196"/>
      <c r="AE1223" s="196"/>
      <c r="AF1223" s="196"/>
      <c r="AG1223" s="196"/>
      <c r="AH1223" s="196"/>
      <c r="AI1223" s="196"/>
      <c r="AJ1223" s="196"/>
      <c r="AK1223" s="196"/>
    </row>
    <row r="1224" spans="2:48" x14ac:dyDescent="0.2">
      <c r="B1224" s="1010" t="s">
        <v>521</v>
      </c>
      <c r="C1224" s="1010"/>
      <c r="D1224" s="1010"/>
      <c r="E1224" s="1010"/>
      <c r="F1224" s="1010"/>
      <c r="G1224" s="1010"/>
      <c r="H1224" s="195"/>
      <c r="I1224" s="1010" t="s">
        <v>522</v>
      </c>
      <c r="J1224" s="1010"/>
      <c r="K1224" s="1010"/>
      <c r="L1224" s="1010"/>
      <c r="M1224" s="1010"/>
      <c r="N1224" s="1010"/>
      <c r="O1224" s="1010"/>
      <c r="P1224" s="1010"/>
      <c r="Q1224" s="1010"/>
      <c r="R1224" s="1010"/>
      <c r="S1224" s="1010"/>
      <c r="T1224" s="1010"/>
      <c r="U1224" s="1010"/>
      <c r="V1224" s="1010"/>
      <c r="W1224" s="1010"/>
      <c r="X1224" s="198"/>
      <c r="Y1224" s="195"/>
      <c r="Z1224" s="1010" t="s">
        <v>521</v>
      </c>
      <c r="AA1224" s="1010"/>
      <c r="AB1224" s="1010"/>
      <c r="AC1224" s="1010"/>
      <c r="AD1224" s="1010"/>
      <c r="AE1224" s="1010"/>
      <c r="AF1224" s="195"/>
      <c r="AG1224" s="1004" t="s">
        <v>522</v>
      </c>
      <c r="AH1224" s="1004"/>
      <c r="AI1224" s="1004"/>
      <c r="AJ1224" s="1004"/>
      <c r="AK1224" s="1004"/>
      <c r="AL1224" s="1004"/>
      <c r="AM1224" s="1004"/>
      <c r="AN1224" s="1004"/>
      <c r="AO1224" s="1004"/>
      <c r="AP1224" s="1004"/>
      <c r="AQ1224" s="1004"/>
      <c r="AR1224" s="1004"/>
      <c r="AS1224" s="1004"/>
      <c r="AT1224" s="1004"/>
      <c r="AU1224" s="1004"/>
      <c r="AV1224" s="195"/>
    </row>
    <row r="1225" spans="2:48" x14ac:dyDescent="0.2">
      <c r="B1225" s="1005" t="s">
        <v>520</v>
      </c>
      <c r="C1225" s="1006"/>
      <c r="D1225" s="1006"/>
      <c r="E1225" s="1006"/>
      <c r="F1225" s="1006"/>
      <c r="G1225" s="1007"/>
      <c r="I1225" s="1005" t="s">
        <v>0</v>
      </c>
      <c r="J1225" s="1006"/>
      <c r="K1225" s="1006"/>
      <c r="L1225" s="1006"/>
      <c r="M1225" s="1006"/>
      <c r="N1225" s="1006"/>
      <c r="O1225" s="1006"/>
      <c r="P1225" s="1006"/>
      <c r="Q1225" s="1006"/>
      <c r="R1225" s="1006"/>
      <c r="S1225" s="1006"/>
      <c r="T1225" s="1006"/>
      <c r="U1225" s="1006"/>
      <c r="V1225" s="1006"/>
      <c r="W1225" s="1007"/>
      <c r="X1225" s="186"/>
      <c r="Z1225" s="1005" t="s">
        <v>520</v>
      </c>
      <c r="AA1225" s="1006"/>
      <c r="AB1225" s="1006"/>
      <c r="AC1225" s="1006"/>
      <c r="AD1225" s="1006"/>
      <c r="AE1225" s="1007"/>
      <c r="AG1225" s="1005" t="s">
        <v>0</v>
      </c>
      <c r="AH1225" s="1006"/>
      <c r="AI1225" s="1006"/>
      <c r="AJ1225" s="1006"/>
      <c r="AK1225" s="1006"/>
      <c r="AL1225" s="1006"/>
      <c r="AM1225" s="1006"/>
      <c r="AN1225" s="1006"/>
      <c r="AO1225" s="1006"/>
      <c r="AP1225" s="1006"/>
      <c r="AQ1225" s="1006"/>
      <c r="AR1225" s="1006"/>
      <c r="AS1225" s="1006"/>
      <c r="AT1225" s="1006"/>
      <c r="AU1225" s="1007"/>
    </row>
    <row r="1226" spans="2:48" x14ac:dyDescent="0.2">
      <c r="B1226" s="199"/>
      <c r="C1226" s="200"/>
      <c r="D1226" s="200"/>
      <c r="E1226" s="200"/>
      <c r="F1226" s="200"/>
      <c r="G1226" s="201"/>
      <c r="I1226" s="199"/>
      <c r="J1226" s="200"/>
      <c r="K1226" s="200"/>
      <c r="L1226" s="200"/>
      <c r="M1226" s="200"/>
      <c r="N1226" s="200"/>
      <c r="O1226" s="200"/>
      <c r="P1226" s="200"/>
      <c r="Q1226" s="200"/>
      <c r="R1226" s="200"/>
      <c r="S1226" s="200"/>
      <c r="T1226" s="200"/>
      <c r="U1226" s="200"/>
      <c r="V1226" s="200"/>
      <c r="W1226" s="201"/>
      <c r="X1226" s="186"/>
      <c r="Z1226" s="199"/>
      <c r="AA1226" s="200"/>
      <c r="AB1226" s="200"/>
      <c r="AC1226" s="200"/>
      <c r="AD1226" s="200"/>
      <c r="AE1226" s="201"/>
      <c r="AG1226" s="199"/>
      <c r="AH1226" s="200"/>
      <c r="AI1226" s="200"/>
      <c r="AJ1226" s="200"/>
      <c r="AK1226" s="200"/>
      <c r="AL1226" s="200"/>
      <c r="AM1226" s="200"/>
      <c r="AN1226" s="200"/>
      <c r="AO1226" s="200"/>
      <c r="AP1226" s="200"/>
      <c r="AQ1226" s="200"/>
      <c r="AR1226" s="200"/>
      <c r="AS1226" s="200"/>
      <c r="AT1226" s="200"/>
      <c r="AU1226" s="201"/>
    </row>
    <row r="1227" spans="2:48" x14ac:dyDescent="0.2">
      <c r="X1227" s="186"/>
    </row>
    <row r="1228" spans="2:48" x14ac:dyDescent="0.2">
      <c r="I1228" s="1005" t="s">
        <v>481</v>
      </c>
      <c r="J1228" s="1006"/>
      <c r="K1228" s="1006"/>
      <c r="L1228" s="1006"/>
      <c r="M1228" s="1006"/>
      <c r="N1228" s="1006"/>
      <c r="O1228" s="1006"/>
      <c r="P1228" s="1006"/>
      <c r="Q1228" s="1007"/>
      <c r="R1228" s="1005" t="s">
        <v>520</v>
      </c>
      <c r="S1228" s="1006"/>
      <c r="T1228" s="1006"/>
      <c r="U1228" s="1006"/>
      <c r="V1228" s="1006"/>
      <c r="W1228" s="1007"/>
      <c r="X1228" s="186"/>
      <c r="AG1228" s="1005" t="s">
        <v>481</v>
      </c>
      <c r="AH1228" s="1006"/>
      <c r="AI1228" s="1006"/>
      <c r="AJ1228" s="1006"/>
      <c r="AK1228" s="1006"/>
      <c r="AL1228" s="1006"/>
      <c r="AM1228" s="1006"/>
      <c r="AN1228" s="1006"/>
      <c r="AO1228" s="1007"/>
      <c r="AP1228" s="1005" t="s">
        <v>520</v>
      </c>
      <c r="AQ1228" s="1006"/>
      <c r="AR1228" s="1006"/>
      <c r="AS1228" s="1006"/>
      <c r="AT1228" s="1006"/>
      <c r="AU1228" s="1007"/>
    </row>
    <row r="1229" spans="2:48" x14ac:dyDescent="0.2">
      <c r="I1229" s="199"/>
      <c r="J1229" s="200"/>
      <c r="K1229" s="200"/>
      <c r="L1229" s="200"/>
      <c r="M1229" s="200"/>
      <c r="N1229" s="200"/>
      <c r="O1229" s="200"/>
      <c r="P1229" s="200"/>
      <c r="Q1229" s="200"/>
      <c r="R1229" s="199"/>
      <c r="S1229" s="200"/>
      <c r="T1229" s="200"/>
      <c r="U1229" s="200"/>
      <c r="V1229" s="200"/>
      <c r="W1229" s="201"/>
      <c r="X1229" s="186"/>
      <c r="AG1229" s="199"/>
      <c r="AH1229" s="200"/>
      <c r="AI1229" s="200"/>
      <c r="AJ1229" s="200"/>
      <c r="AK1229" s="200"/>
      <c r="AL1229" s="200"/>
      <c r="AM1229" s="200"/>
      <c r="AN1229" s="200"/>
      <c r="AO1229" s="200"/>
      <c r="AP1229" s="199"/>
      <c r="AQ1229" s="200"/>
      <c r="AR1229" s="200"/>
      <c r="AS1229" s="200"/>
      <c r="AT1229" s="200"/>
      <c r="AU1229" s="201"/>
    </row>
    <row r="1230" spans="2:48" ht="39" customHeight="1" x14ac:dyDescent="0.2">
      <c r="B1230" s="392"/>
      <c r="C1230" s="392"/>
      <c r="D1230" s="392"/>
      <c r="E1230" s="392"/>
      <c r="F1230" s="392"/>
      <c r="G1230" s="392"/>
      <c r="H1230" s="392"/>
      <c r="I1230" s="392"/>
      <c r="J1230" s="392"/>
      <c r="K1230" s="392"/>
      <c r="L1230" s="392"/>
      <c r="M1230" s="392"/>
      <c r="N1230" s="392"/>
      <c r="O1230" s="392"/>
      <c r="P1230" s="392"/>
      <c r="Q1230" s="392"/>
      <c r="R1230" s="392"/>
      <c r="S1230" s="392"/>
      <c r="T1230" s="392"/>
      <c r="U1230" s="392"/>
      <c r="V1230" s="392"/>
      <c r="W1230" s="392"/>
      <c r="X1230" s="393"/>
      <c r="Y1230" s="394"/>
      <c r="Z1230" s="392"/>
      <c r="AA1230" s="392"/>
      <c r="AB1230" s="392"/>
      <c r="AC1230" s="392"/>
      <c r="AD1230" s="392"/>
      <c r="AE1230" s="392"/>
      <c r="AF1230" s="392"/>
      <c r="AG1230" s="392"/>
      <c r="AH1230" s="392"/>
      <c r="AI1230" s="392"/>
      <c r="AJ1230" s="392"/>
      <c r="AK1230" s="392"/>
      <c r="AL1230" s="392"/>
      <c r="AM1230" s="392"/>
      <c r="AN1230" s="392"/>
      <c r="AO1230" s="392"/>
      <c r="AP1230" s="392"/>
      <c r="AQ1230" s="392"/>
      <c r="AR1230" s="392"/>
      <c r="AS1230" s="392"/>
      <c r="AT1230" s="392"/>
      <c r="AU1230" s="392"/>
      <c r="AV1230" s="392"/>
    </row>
    <row r="1231" spans="2:48" ht="39" customHeight="1" x14ac:dyDescent="0.2">
      <c r="B1231" s="182"/>
      <c r="C1231" s="182"/>
      <c r="D1231" s="182"/>
      <c r="E1231" s="182"/>
      <c r="F1231" s="182"/>
      <c r="G1231" s="182"/>
      <c r="H1231" s="182"/>
      <c r="I1231" s="182"/>
      <c r="J1231" s="182"/>
      <c r="K1231" s="182"/>
      <c r="L1231" s="182"/>
      <c r="M1231" s="182"/>
      <c r="N1231" s="182"/>
      <c r="O1231" s="182"/>
      <c r="P1231" s="182"/>
      <c r="Q1231" s="182"/>
      <c r="R1231" s="182"/>
      <c r="S1231" s="182"/>
      <c r="T1231" s="182"/>
      <c r="U1231" s="182"/>
      <c r="V1231" s="182"/>
      <c r="W1231" s="182"/>
      <c r="X1231" s="183"/>
      <c r="Y1231" s="184"/>
      <c r="Z1231" s="182"/>
      <c r="AA1231" s="182"/>
      <c r="AB1231" s="182"/>
      <c r="AC1231" s="182"/>
      <c r="AD1231" s="182"/>
      <c r="AE1231" s="182"/>
      <c r="AF1231" s="182"/>
      <c r="AG1231" s="182"/>
      <c r="AH1231" s="182"/>
      <c r="AI1231" s="182"/>
      <c r="AJ1231" s="182"/>
      <c r="AK1231" s="182"/>
      <c r="AL1231" s="182"/>
      <c r="AM1231" s="182"/>
      <c r="AN1231" s="182"/>
      <c r="AO1231" s="182"/>
      <c r="AP1231" s="182"/>
      <c r="AQ1231" s="182"/>
      <c r="AR1231" s="182"/>
      <c r="AS1231" s="182"/>
      <c r="AT1231" s="182"/>
      <c r="AU1231" s="182"/>
      <c r="AV1231" s="182"/>
    </row>
    <row r="1232" spans="2:48" ht="18" x14ac:dyDescent="0.2">
      <c r="B1232" s="182"/>
      <c r="C1232" s="182"/>
      <c r="D1232" s="182"/>
      <c r="E1232" s="182"/>
      <c r="F1232" s="182"/>
      <c r="G1232" s="182"/>
      <c r="H1232" s="992" t="s">
        <v>374</v>
      </c>
      <c r="I1232" s="992"/>
      <c r="J1232" s="992"/>
      <c r="K1232" s="992"/>
      <c r="L1232" s="992"/>
      <c r="M1232" s="992"/>
      <c r="N1232" s="992"/>
      <c r="O1232" s="992"/>
      <c r="P1232" s="992"/>
      <c r="Q1232" s="992"/>
      <c r="R1232" s="182"/>
      <c r="S1232" s="182"/>
      <c r="T1232" s="182"/>
      <c r="U1232" s="182"/>
      <c r="V1232" s="182"/>
      <c r="W1232" s="182"/>
      <c r="X1232" s="183"/>
      <c r="Y1232" s="182"/>
      <c r="Z1232" s="182"/>
      <c r="AA1232" s="182"/>
      <c r="AB1232" s="182"/>
      <c r="AC1232" s="182"/>
      <c r="AD1232" s="182"/>
      <c r="AE1232" s="992" t="s">
        <v>374</v>
      </c>
      <c r="AF1232" s="992"/>
      <c r="AG1232" s="992"/>
      <c r="AH1232" s="992"/>
      <c r="AI1232" s="992"/>
      <c r="AJ1232" s="992"/>
      <c r="AK1232" s="992"/>
      <c r="AL1232" s="992"/>
      <c r="AM1232" s="992"/>
      <c r="AN1232" s="992"/>
      <c r="AO1232" s="182"/>
      <c r="AP1232" s="182"/>
      <c r="AQ1232" s="182"/>
      <c r="AR1232" s="182"/>
      <c r="AS1232" s="182"/>
      <c r="AT1232" s="182"/>
      <c r="AU1232" s="182"/>
      <c r="AV1232" s="182"/>
    </row>
    <row r="1233" spans="2:48" ht="18" x14ac:dyDescent="0.2">
      <c r="B1233" s="182"/>
      <c r="C1233" s="182"/>
      <c r="D1233" s="182"/>
      <c r="E1233" s="182"/>
      <c r="F1233" s="182"/>
      <c r="G1233" s="182"/>
      <c r="H1233" s="1022" t="e">
        <f>VLOOKUP(U1242,ID_archer_cible,4,FALSE)</f>
        <v>#N/A</v>
      </c>
      <c r="I1233" s="1023"/>
      <c r="J1233" s="1023"/>
      <c r="K1233" s="1023"/>
      <c r="L1233" s="1023"/>
      <c r="M1233" s="1023"/>
      <c r="N1233" s="1023"/>
      <c r="O1233" s="1023"/>
      <c r="P1233" s="1023"/>
      <c r="Q1233" s="1024"/>
      <c r="R1233" s="182"/>
      <c r="S1233" s="182"/>
      <c r="T1233" s="182"/>
      <c r="U1233" s="182"/>
      <c r="V1233" s="182"/>
      <c r="W1233" s="182"/>
      <c r="X1233" s="183"/>
      <c r="Y1233" s="182"/>
      <c r="Z1233" s="182"/>
      <c r="AA1233" s="182"/>
      <c r="AB1233" s="182"/>
      <c r="AC1233" s="182"/>
      <c r="AD1233" s="182"/>
      <c r="AE1233" s="1022" t="e">
        <f>VLOOKUP(AS1242,ID_archer_cible,4,FALSE)</f>
        <v>#N/A</v>
      </c>
      <c r="AF1233" s="1023"/>
      <c r="AG1233" s="1023"/>
      <c r="AH1233" s="1023"/>
      <c r="AI1233" s="1023"/>
      <c r="AJ1233" s="1023"/>
      <c r="AK1233" s="1023"/>
      <c r="AL1233" s="1023"/>
      <c r="AM1233" s="1023"/>
      <c r="AN1233" s="1024"/>
      <c r="AO1233" s="182"/>
      <c r="AP1233" s="182"/>
      <c r="AQ1233" s="182"/>
      <c r="AR1233" s="182"/>
      <c r="AS1233" s="182"/>
      <c r="AT1233" s="182"/>
      <c r="AU1233" s="182"/>
      <c r="AV1233" s="182"/>
    </row>
    <row r="1234" spans="2:48" x14ac:dyDescent="0.2">
      <c r="X1234" s="186"/>
    </row>
    <row r="1235" spans="2:48" x14ac:dyDescent="0.2">
      <c r="B1235" s="1021" t="s">
        <v>0</v>
      </c>
      <c r="C1235" s="1021"/>
      <c r="D1235" s="1021"/>
      <c r="E1235" s="1021"/>
      <c r="F1235" s="1021"/>
      <c r="G1235" s="1021"/>
      <c r="H1235" s="1021"/>
      <c r="I1235" s="1021"/>
      <c r="J1235" s="1021"/>
      <c r="K1235" s="1021"/>
      <c r="L1235" s="1021"/>
      <c r="M1235" s="187"/>
      <c r="P1235" s="992" t="s">
        <v>375</v>
      </c>
      <c r="Q1235" s="992"/>
      <c r="R1235" s="992"/>
      <c r="S1235" s="992"/>
      <c r="T1235" s="992"/>
      <c r="U1235" s="992"/>
      <c r="V1235" s="992"/>
      <c r="W1235" s="992"/>
      <c r="X1235" s="188"/>
      <c r="Z1235" s="1021" t="s">
        <v>0</v>
      </c>
      <c r="AA1235" s="1021"/>
      <c r="AB1235" s="1021"/>
      <c r="AC1235" s="1021"/>
      <c r="AD1235" s="1021"/>
      <c r="AE1235" s="1021"/>
      <c r="AF1235" s="1021"/>
      <c r="AG1235" s="1021"/>
      <c r="AH1235" s="1021"/>
      <c r="AI1235" s="1021"/>
      <c r="AJ1235" s="1021"/>
      <c r="AK1235" s="187"/>
      <c r="AN1235" s="992" t="s">
        <v>375</v>
      </c>
      <c r="AO1235" s="992"/>
      <c r="AP1235" s="992"/>
      <c r="AQ1235" s="992"/>
      <c r="AR1235" s="992"/>
      <c r="AS1235" s="992"/>
      <c r="AT1235" s="992"/>
      <c r="AU1235" s="992"/>
      <c r="AV1235" s="187"/>
    </row>
    <row r="1236" spans="2:48" x14ac:dyDescent="0.2">
      <c r="B1236" s="999" t="e">
        <f>VLOOKUP(U1242,ID_archer_cible,2,FALSE)</f>
        <v>#N/A</v>
      </c>
      <c r="C1236" s="1000"/>
      <c r="D1236" s="1000"/>
      <c r="E1236" s="1000"/>
      <c r="F1236" s="1000"/>
      <c r="G1236" s="1000"/>
      <c r="H1236" s="1000"/>
      <c r="I1236" s="1000"/>
      <c r="J1236" s="1000"/>
      <c r="K1236" s="1000"/>
      <c r="L1236" s="1000"/>
      <c r="M1236" s="1001"/>
      <c r="P1236" s="999" t="e">
        <f>VLOOKUP(U1242,ID_archer_cible,3,FALSE)</f>
        <v>#N/A</v>
      </c>
      <c r="Q1236" s="1000"/>
      <c r="R1236" s="1000"/>
      <c r="S1236" s="1000"/>
      <c r="T1236" s="1000"/>
      <c r="U1236" s="1000"/>
      <c r="V1236" s="1000"/>
      <c r="W1236" s="1001"/>
      <c r="X1236" s="186"/>
      <c r="Y1236"/>
      <c r="Z1236" s="999" t="e">
        <f>VLOOKUP(AS1242,ID_archer_cible,2,FALSE)</f>
        <v>#N/A</v>
      </c>
      <c r="AA1236" s="1000"/>
      <c r="AB1236" s="1000"/>
      <c r="AC1236" s="1000"/>
      <c r="AD1236" s="1000"/>
      <c r="AE1236" s="1000"/>
      <c r="AF1236" s="1000"/>
      <c r="AG1236" s="1000"/>
      <c r="AH1236" s="1000"/>
      <c r="AI1236" s="1000"/>
      <c r="AJ1236" s="1000"/>
      <c r="AK1236" s="1001"/>
      <c r="AN1236" s="999" t="e">
        <f>VLOOKUP(AS1242,ID_archer_cible,3,FALSE)</f>
        <v>#N/A</v>
      </c>
      <c r="AO1236" s="1000"/>
      <c r="AP1236" s="1000"/>
      <c r="AQ1236" s="1000"/>
      <c r="AR1236" s="1000"/>
      <c r="AS1236" s="1000"/>
      <c r="AT1236" s="1000"/>
      <c r="AU1236" s="1001"/>
    </row>
    <row r="1237" spans="2:48" x14ac:dyDescent="0.2">
      <c r="X1237" s="186"/>
      <c r="Y1237"/>
    </row>
    <row r="1238" spans="2:48" ht="16.5" thickBot="1" x14ac:dyDescent="0.25">
      <c r="B1238" s="1017" t="s">
        <v>1</v>
      </c>
      <c r="C1238" s="1017"/>
      <c r="D1238" s="1017"/>
      <c r="E1238" s="1017"/>
      <c r="F1238" s="1017"/>
      <c r="G1238" s="1017"/>
      <c r="H1238" s="1017"/>
      <c r="I1238" s="1017"/>
      <c r="J1238" s="1017"/>
      <c r="L1238" s="1017" t="s">
        <v>505</v>
      </c>
      <c r="M1238" s="1017"/>
      <c r="N1238" s="1017"/>
      <c r="O1238" s="1017"/>
      <c r="P1238" s="1017"/>
      <c r="Q1238" s="1017"/>
      <c r="S1238" s="992" t="s">
        <v>506</v>
      </c>
      <c r="T1238" s="992"/>
      <c r="U1238" s="992"/>
      <c r="V1238" s="992"/>
      <c r="W1238" s="992"/>
      <c r="X1238" s="188"/>
      <c r="Y1238"/>
      <c r="Z1238" s="1017" t="s">
        <v>1</v>
      </c>
      <c r="AA1238" s="1017"/>
      <c r="AB1238" s="1017"/>
      <c r="AC1238" s="1017"/>
      <c r="AD1238" s="1017"/>
      <c r="AE1238" s="1017"/>
      <c r="AF1238" s="1017"/>
      <c r="AG1238" s="1017"/>
      <c r="AH1238" s="1017"/>
      <c r="AJ1238" s="1017" t="s">
        <v>505</v>
      </c>
      <c r="AK1238" s="1017"/>
      <c r="AL1238" s="1017"/>
      <c r="AM1238" s="1017"/>
      <c r="AN1238" s="1017"/>
      <c r="AO1238" s="1017"/>
      <c r="AQ1238" s="992" t="s">
        <v>506</v>
      </c>
      <c r="AR1238" s="992"/>
      <c r="AS1238" s="992"/>
      <c r="AT1238" s="992"/>
      <c r="AU1238" s="992"/>
      <c r="AV1238" s="187"/>
    </row>
    <row r="1239" spans="2:48" ht="16.5" thickBot="1" x14ac:dyDescent="0.25">
      <c r="B1239" s="1014" t="e">
        <f>VLOOKUP(U1242,ID_archer_cible,5,FALSE)</f>
        <v>#N/A</v>
      </c>
      <c r="C1239" s="1015"/>
      <c r="D1239" s="1015"/>
      <c r="E1239" s="1015"/>
      <c r="F1239" s="1015"/>
      <c r="G1239" s="1015"/>
      <c r="H1239" s="1015"/>
      <c r="I1239" s="1015"/>
      <c r="J1239" s="1016"/>
      <c r="L1239" s="1014" t="e">
        <f>VLOOKUP(U1242,ID_archer_cible,6,FALSE)</f>
        <v>#N/A</v>
      </c>
      <c r="M1239" s="1015"/>
      <c r="N1239" s="1015"/>
      <c r="O1239" s="1015"/>
      <c r="P1239" s="1015"/>
      <c r="Q1239" s="1016"/>
      <c r="S1239" s="999" t="e">
        <f>VLOOKUP(U1242,ID_archer_cible,8,FALSE)</f>
        <v>#N/A</v>
      </c>
      <c r="T1239" s="1000"/>
      <c r="U1239" s="1000"/>
      <c r="V1239" s="1000"/>
      <c r="W1239" s="1001"/>
      <c r="X1239" s="186"/>
      <c r="Y1239"/>
      <c r="Z1239" s="1014" t="e">
        <f>VLOOKUP(AS1242,ID_archer_cible,5,FALSE)</f>
        <v>#N/A</v>
      </c>
      <c r="AA1239" s="1015"/>
      <c r="AB1239" s="1015"/>
      <c r="AC1239" s="1015"/>
      <c r="AD1239" s="1015"/>
      <c r="AE1239" s="1015"/>
      <c r="AF1239" s="1015"/>
      <c r="AG1239" s="1015"/>
      <c r="AH1239" s="1016"/>
      <c r="AJ1239" s="1014" t="e">
        <f>VLOOKUP(AS1242,ID_archer_cible,6,FALSE)</f>
        <v>#N/A</v>
      </c>
      <c r="AK1239" s="1015"/>
      <c r="AL1239" s="1015"/>
      <c r="AM1239" s="1015"/>
      <c r="AN1239" s="1015"/>
      <c r="AO1239" s="1016"/>
      <c r="AQ1239" s="999" t="e">
        <f>VLOOKUP(AS1242,ID_archer_cible,8,FALSE)</f>
        <v>#N/A</v>
      </c>
      <c r="AR1239" s="1000"/>
      <c r="AS1239" s="1000"/>
      <c r="AT1239" s="1000"/>
      <c r="AU1239" s="1001"/>
    </row>
    <row r="1240" spans="2:48" x14ac:dyDescent="0.2">
      <c r="X1240" s="186"/>
      <c r="Y1240"/>
    </row>
    <row r="1241" spans="2:48" x14ac:dyDescent="0.2">
      <c r="B1241" s="992" t="s">
        <v>530</v>
      </c>
      <c r="C1241" s="992"/>
      <c r="D1241" s="992"/>
      <c r="E1241" s="992"/>
      <c r="F1241" s="992"/>
      <c r="G1241" s="187"/>
      <c r="H1241" s="992" t="s">
        <v>504</v>
      </c>
      <c r="I1241" s="992"/>
      <c r="J1241" s="992"/>
      <c r="K1241" s="992"/>
      <c r="M1241" s="992" t="s">
        <v>39</v>
      </c>
      <c r="N1241" s="992"/>
      <c r="O1241" s="992"/>
      <c r="Q1241" s="1021"/>
      <c r="R1241" s="1021"/>
      <c r="S1241" s="1021"/>
      <c r="U1241" s="992" t="s">
        <v>507</v>
      </c>
      <c r="V1241" s="992"/>
      <c r="W1241" s="992"/>
      <c r="X1241" s="188"/>
      <c r="Y1241"/>
      <c r="Z1241" s="992" t="s">
        <v>530</v>
      </c>
      <c r="AA1241" s="992"/>
      <c r="AB1241" s="992"/>
      <c r="AC1241" s="992"/>
      <c r="AD1241" s="992"/>
      <c r="AE1241" s="187"/>
      <c r="AF1241" s="992" t="s">
        <v>504</v>
      </c>
      <c r="AG1241" s="992"/>
      <c r="AH1241" s="992"/>
      <c r="AI1241" s="992"/>
      <c r="AK1241" s="992" t="s">
        <v>39</v>
      </c>
      <c r="AL1241" s="992"/>
      <c r="AM1241" s="992"/>
      <c r="AO1241" s="1021"/>
      <c r="AP1241" s="1021"/>
      <c r="AQ1241" s="1021"/>
      <c r="AS1241" s="992" t="s">
        <v>507</v>
      </c>
      <c r="AT1241" s="992"/>
      <c r="AU1241" s="992"/>
      <c r="AV1241" s="187"/>
    </row>
    <row r="1242" spans="2:48" ht="15.75" x14ac:dyDescent="0.2">
      <c r="B1242" s="1011" t="e">
        <f>VLOOKUP(U1242,ID_archer_cible,7,FALSE)</f>
        <v>#N/A</v>
      </c>
      <c r="C1242" s="1012"/>
      <c r="D1242" s="1012"/>
      <c r="E1242" s="1012"/>
      <c r="F1242" s="1013"/>
      <c r="H1242" s="999" t="e">
        <f>VLOOKUP(U1242,ID_archer_cible,9,FALSE)</f>
        <v>#N/A</v>
      </c>
      <c r="I1242" s="1000"/>
      <c r="J1242" s="1000"/>
      <c r="K1242" s="1001"/>
      <c r="M1242" s="999" t="e">
        <f>VLOOKUP(U1242,ID_archer_cible,10,FALSE)</f>
        <v>#N/A</v>
      </c>
      <c r="N1242" s="1000"/>
      <c r="O1242" s="1001"/>
      <c r="Q1242" s="1021"/>
      <c r="R1242" s="1021"/>
      <c r="S1242" s="1021"/>
      <c r="T1242" s="187"/>
      <c r="U1242" s="996" t="str">
        <f>AR1200&amp;"C"</f>
        <v>20C</v>
      </c>
      <c r="V1242" s="997"/>
      <c r="W1242" s="998"/>
      <c r="X1242" s="188"/>
      <c r="Y1242"/>
      <c r="Z1242" s="1011" t="e">
        <f>VLOOKUP(AS1242,ID_archer_cible,7,FALSE)</f>
        <v>#N/A</v>
      </c>
      <c r="AA1242" s="1012"/>
      <c r="AB1242" s="1012"/>
      <c r="AC1242" s="1012"/>
      <c r="AD1242" s="1013"/>
      <c r="AF1242" s="999" t="e">
        <f>VLOOKUP(AS1242,ID_archer_cible,9,FALSE)</f>
        <v>#N/A</v>
      </c>
      <c r="AG1242" s="1000"/>
      <c r="AH1242" s="1000"/>
      <c r="AI1242" s="1001"/>
      <c r="AK1242" s="999" t="e">
        <f>VLOOKUP(AS1242,ID_archer_cible,10,FALSE)</f>
        <v>#N/A</v>
      </c>
      <c r="AL1242" s="1000"/>
      <c r="AM1242" s="1001"/>
      <c r="AO1242" s="1021"/>
      <c r="AP1242" s="1021"/>
      <c r="AQ1242" s="1021"/>
      <c r="AR1242" s="187"/>
      <c r="AS1242" s="996" t="str">
        <f>AR1200&amp;"D"</f>
        <v>20D</v>
      </c>
      <c r="AT1242" s="997"/>
      <c r="AU1242" s="998"/>
      <c r="AV1242" s="187"/>
    </row>
    <row r="1243" spans="2:48" x14ac:dyDescent="0.2">
      <c r="X1243" s="186"/>
    </row>
    <row r="1244" spans="2:48" x14ac:dyDescent="0.2">
      <c r="B1244" s="185" t="s">
        <v>509</v>
      </c>
      <c r="E1244" s="992" t="s">
        <v>510</v>
      </c>
      <c r="F1244" s="992"/>
      <c r="G1244" s="992"/>
      <c r="H1244" s="992"/>
      <c r="I1244" s="992"/>
      <c r="J1244" s="992"/>
      <c r="K1244" s="992"/>
      <c r="L1244" s="992"/>
      <c r="M1244" s="992"/>
      <c r="N1244" s="992"/>
      <c r="P1244" s="992" t="s">
        <v>511</v>
      </c>
      <c r="Q1244" s="992"/>
      <c r="R1244" s="992"/>
      <c r="X1244" s="186"/>
      <c r="Z1244" s="185" t="s">
        <v>509</v>
      </c>
      <c r="AC1244" s="992" t="s">
        <v>510</v>
      </c>
      <c r="AD1244" s="992"/>
      <c r="AE1244" s="992"/>
      <c r="AF1244" s="992"/>
      <c r="AG1244" s="992"/>
      <c r="AH1244" s="992"/>
      <c r="AI1244" s="992"/>
      <c r="AJ1244" s="992"/>
      <c r="AK1244" s="992"/>
      <c r="AL1244" s="992"/>
      <c r="AN1244" s="992" t="s">
        <v>511</v>
      </c>
      <c r="AO1244" s="992"/>
      <c r="AP1244" s="992"/>
    </row>
    <row r="1245" spans="2:48" ht="20.25" customHeight="1" x14ac:dyDescent="0.2">
      <c r="B1245" s="1009" t="s">
        <v>513</v>
      </c>
      <c r="C1245" s="1009"/>
      <c r="E1245" s="189"/>
      <c r="F1245" s="191"/>
      <c r="G1245" s="189"/>
      <c r="H1245" s="191"/>
      <c r="I1245" s="189"/>
      <c r="J1245" s="191"/>
      <c r="K1245" s="189"/>
      <c r="L1245" s="191"/>
      <c r="M1245" s="189"/>
      <c r="N1245" s="191"/>
      <c r="P1245" s="189"/>
      <c r="Q1245" s="190"/>
      <c r="R1245" s="191"/>
      <c r="T1245" s="992" t="s">
        <v>512</v>
      </c>
      <c r="U1245" s="992"/>
      <c r="V1245" s="992"/>
      <c r="W1245" s="992"/>
      <c r="X1245" s="188"/>
      <c r="Z1245" s="1009" t="s">
        <v>513</v>
      </c>
      <c r="AA1245" s="1009"/>
      <c r="AC1245" s="189"/>
      <c r="AD1245" s="191"/>
      <c r="AE1245" s="189"/>
      <c r="AF1245" s="191"/>
      <c r="AG1245" s="189"/>
      <c r="AH1245" s="191"/>
      <c r="AI1245" s="189"/>
      <c r="AJ1245" s="191"/>
      <c r="AK1245" s="189"/>
      <c r="AL1245" s="191"/>
      <c r="AN1245" s="189"/>
      <c r="AO1245" s="190"/>
      <c r="AP1245" s="191"/>
      <c r="AR1245" s="992" t="s">
        <v>512</v>
      </c>
      <c r="AS1245" s="992"/>
      <c r="AT1245" s="992"/>
      <c r="AU1245" s="992"/>
      <c r="AV1245" s="187"/>
    </row>
    <row r="1246" spans="2:48" ht="20.25" customHeight="1" x14ac:dyDescent="0.2">
      <c r="B1246" s="1009" t="s">
        <v>514</v>
      </c>
      <c r="C1246" s="1009"/>
      <c r="E1246" s="189"/>
      <c r="F1246" s="191"/>
      <c r="G1246" s="189"/>
      <c r="H1246" s="191"/>
      <c r="I1246" s="189"/>
      <c r="J1246" s="191"/>
      <c r="K1246" s="189"/>
      <c r="L1246" s="191"/>
      <c r="M1246" s="189"/>
      <c r="N1246" s="191"/>
      <c r="P1246" s="189"/>
      <c r="Q1246" s="190"/>
      <c r="R1246" s="191"/>
      <c r="T1246" s="189"/>
      <c r="U1246" s="190"/>
      <c r="V1246" s="190"/>
      <c r="W1246" s="191"/>
      <c r="X1246" s="186"/>
      <c r="Z1246" s="1009" t="s">
        <v>514</v>
      </c>
      <c r="AA1246" s="1009"/>
      <c r="AC1246" s="189"/>
      <c r="AD1246" s="191"/>
      <c r="AE1246" s="189"/>
      <c r="AF1246" s="191"/>
      <c r="AG1246" s="189"/>
      <c r="AH1246" s="191"/>
      <c r="AI1246" s="189"/>
      <c r="AJ1246" s="191"/>
      <c r="AK1246" s="189"/>
      <c r="AL1246" s="191"/>
      <c r="AN1246" s="189"/>
      <c r="AO1246" s="190"/>
      <c r="AP1246" s="191"/>
      <c r="AR1246" s="189"/>
      <c r="AS1246" s="190"/>
      <c r="AT1246" s="190"/>
      <c r="AU1246" s="191"/>
    </row>
    <row r="1247" spans="2:48" ht="20.25" customHeight="1" x14ac:dyDescent="0.2">
      <c r="B1247" s="1009" t="s">
        <v>515</v>
      </c>
      <c r="C1247" s="1009"/>
      <c r="E1247" s="189"/>
      <c r="F1247" s="191"/>
      <c r="G1247" s="189"/>
      <c r="H1247" s="191"/>
      <c r="I1247" s="189"/>
      <c r="J1247" s="191"/>
      <c r="K1247" s="189"/>
      <c r="L1247" s="191"/>
      <c r="M1247" s="189"/>
      <c r="N1247" s="191"/>
      <c r="P1247" s="189"/>
      <c r="Q1247" s="190"/>
      <c r="R1247" s="191"/>
      <c r="T1247" s="189"/>
      <c r="U1247" s="190"/>
      <c r="V1247" s="190"/>
      <c r="W1247" s="191"/>
      <c r="X1247" s="186"/>
      <c r="Z1247" s="1009" t="s">
        <v>515</v>
      </c>
      <c r="AA1247" s="1009"/>
      <c r="AC1247" s="189"/>
      <c r="AD1247" s="191"/>
      <c r="AE1247" s="189"/>
      <c r="AF1247" s="191"/>
      <c r="AG1247" s="189"/>
      <c r="AH1247" s="191"/>
      <c r="AI1247" s="189"/>
      <c r="AJ1247" s="191"/>
      <c r="AK1247" s="189"/>
      <c r="AL1247" s="191"/>
      <c r="AN1247" s="189"/>
      <c r="AO1247" s="190"/>
      <c r="AP1247" s="191"/>
      <c r="AR1247" s="189"/>
      <c r="AS1247" s="190"/>
      <c r="AT1247" s="190"/>
      <c r="AU1247" s="191"/>
    </row>
    <row r="1248" spans="2:48" ht="20.25" customHeight="1" x14ac:dyDescent="0.2">
      <c r="B1248" s="1009" t="s">
        <v>516</v>
      </c>
      <c r="C1248" s="1009"/>
      <c r="E1248" s="189"/>
      <c r="F1248" s="191"/>
      <c r="G1248" s="189"/>
      <c r="H1248" s="191"/>
      <c r="I1248" s="189"/>
      <c r="J1248" s="191"/>
      <c r="K1248" s="189"/>
      <c r="L1248" s="191"/>
      <c r="M1248" s="189"/>
      <c r="N1248" s="191"/>
      <c r="P1248" s="189"/>
      <c r="Q1248" s="190"/>
      <c r="R1248" s="191"/>
      <c r="T1248" s="189"/>
      <c r="U1248" s="190"/>
      <c r="V1248" s="190"/>
      <c r="W1248" s="191"/>
      <c r="X1248" s="186"/>
      <c r="Z1248" s="1009" t="s">
        <v>516</v>
      </c>
      <c r="AA1248" s="1009"/>
      <c r="AC1248" s="189"/>
      <c r="AD1248" s="191"/>
      <c r="AE1248" s="189"/>
      <c r="AF1248" s="191"/>
      <c r="AG1248" s="189"/>
      <c r="AH1248" s="191"/>
      <c r="AI1248" s="189"/>
      <c r="AJ1248" s="191"/>
      <c r="AK1248" s="189"/>
      <c r="AL1248" s="191"/>
      <c r="AN1248" s="189"/>
      <c r="AO1248" s="190"/>
      <c r="AP1248" s="191"/>
      <c r="AR1248" s="189"/>
      <c r="AS1248" s="190"/>
      <c r="AT1248" s="190"/>
      <c r="AU1248" s="191"/>
    </row>
    <row r="1249" spans="2:48" ht="20.25" customHeight="1" x14ac:dyDescent="0.2">
      <c r="B1249" s="1009" t="s">
        <v>517</v>
      </c>
      <c r="C1249" s="1009"/>
      <c r="E1249" s="189"/>
      <c r="F1249" s="191"/>
      <c r="G1249" s="189"/>
      <c r="H1249" s="191"/>
      <c r="I1249" s="189"/>
      <c r="J1249" s="191"/>
      <c r="K1249" s="189"/>
      <c r="L1249" s="191"/>
      <c r="M1249" s="189"/>
      <c r="N1249" s="191"/>
      <c r="P1249" s="189"/>
      <c r="Q1249" s="190"/>
      <c r="R1249" s="191"/>
      <c r="T1249" s="189"/>
      <c r="U1249" s="190"/>
      <c r="V1249" s="190"/>
      <c r="W1249" s="191"/>
      <c r="X1249" s="186"/>
      <c r="Z1249" s="1009" t="s">
        <v>517</v>
      </c>
      <c r="AA1249" s="1009"/>
      <c r="AC1249" s="189"/>
      <c r="AD1249" s="191"/>
      <c r="AE1249" s="189"/>
      <c r="AF1249" s="191"/>
      <c r="AG1249" s="189"/>
      <c r="AH1249" s="191"/>
      <c r="AI1249" s="189"/>
      <c r="AJ1249" s="191"/>
      <c r="AK1249" s="189"/>
      <c r="AL1249" s="191"/>
      <c r="AN1249" s="189"/>
      <c r="AO1249" s="190"/>
      <c r="AP1249" s="191"/>
      <c r="AR1249" s="189"/>
      <c r="AS1249" s="190"/>
      <c r="AT1249" s="190"/>
      <c r="AU1249" s="191"/>
    </row>
    <row r="1250" spans="2:48" ht="20.25" customHeight="1" x14ac:dyDescent="0.2">
      <c r="B1250" s="1009" t="s">
        <v>518</v>
      </c>
      <c r="C1250" s="1009"/>
      <c r="E1250" s="189"/>
      <c r="F1250" s="191"/>
      <c r="G1250" s="189"/>
      <c r="H1250" s="191"/>
      <c r="I1250" s="189"/>
      <c r="J1250" s="191"/>
      <c r="K1250" s="189"/>
      <c r="L1250" s="191"/>
      <c r="M1250" s="189"/>
      <c r="N1250" s="191"/>
      <c r="P1250" s="189"/>
      <c r="Q1250" s="190"/>
      <c r="R1250" s="191"/>
      <c r="T1250" s="189"/>
      <c r="U1250" s="190"/>
      <c r="V1250" s="190"/>
      <c r="W1250" s="191"/>
      <c r="X1250" s="186"/>
      <c r="Z1250" s="1009" t="s">
        <v>518</v>
      </c>
      <c r="AA1250" s="1009"/>
      <c r="AC1250" s="189"/>
      <c r="AD1250" s="191"/>
      <c r="AE1250" s="189"/>
      <c r="AF1250" s="191"/>
      <c r="AG1250" s="189"/>
      <c r="AH1250" s="191"/>
      <c r="AI1250" s="189"/>
      <c r="AJ1250" s="191"/>
      <c r="AK1250" s="189"/>
      <c r="AL1250" s="191"/>
      <c r="AN1250" s="189"/>
      <c r="AO1250" s="190"/>
      <c r="AP1250" s="191"/>
      <c r="AR1250" s="189"/>
      <c r="AS1250" s="190"/>
      <c r="AT1250" s="190"/>
      <c r="AU1250" s="191"/>
    </row>
    <row r="1251" spans="2:48" ht="15.75" thickBot="1" x14ac:dyDescent="0.25">
      <c r="B1251" s="187"/>
      <c r="C1251" s="187"/>
      <c r="X1251" s="186"/>
      <c r="Z1251" s="187"/>
      <c r="AA1251" s="187"/>
    </row>
    <row r="1252" spans="2:48" ht="20.25" customHeight="1" thickBot="1" x14ac:dyDescent="0.25">
      <c r="P1252" s="197" t="s">
        <v>519</v>
      </c>
      <c r="Q1252" s="197"/>
      <c r="R1252" s="197"/>
      <c r="S1252" s="197"/>
      <c r="T1252" s="192"/>
      <c r="U1252" s="193"/>
      <c r="V1252" s="193"/>
      <c r="W1252" s="194"/>
      <c r="X1252" s="186"/>
      <c r="AN1252" s="197" t="s">
        <v>519</v>
      </c>
      <c r="AO1252" s="197"/>
      <c r="AP1252" s="197"/>
      <c r="AQ1252" s="197"/>
      <c r="AR1252" s="192"/>
      <c r="AS1252" s="193"/>
      <c r="AT1252" s="193"/>
      <c r="AU1252" s="194"/>
    </row>
    <row r="1253" spans="2:48" x14ac:dyDescent="0.2">
      <c r="E1253" s="196"/>
      <c r="F1253" s="196"/>
      <c r="G1253" s="196"/>
      <c r="H1253" s="196"/>
      <c r="I1253" s="196"/>
      <c r="J1253" s="196"/>
      <c r="K1253" s="196"/>
      <c r="L1253" s="196"/>
      <c r="M1253" s="196"/>
      <c r="X1253" s="186"/>
      <c r="AC1253" s="196"/>
      <c r="AD1253" s="196"/>
      <c r="AE1253" s="196"/>
      <c r="AF1253" s="196"/>
      <c r="AG1253" s="196"/>
      <c r="AH1253" s="196"/>
      <c r="AI1253" s="196"/>
      <c r="AJ1253" s="196"/>
      <c r="AK1253" s="196"/>
    </row>
    <row r="1254" spans="2:48" x14ac:dyDescent="0.2">
      <c r="B1254" s="1010" t="s">
        <v>521</v>
      </c>
      <c r="C1254" s="1010"/>
      <c r="D1254" s="1010"/>
      <c r="E1254" s="1010"/>
      <c r="F1254" s="1010"/>
      <c r="G1254" s="1010"/>
      <c r="H1254" s="195"/>
      <c r="I1254" s="1004" t="s">
        <v>522</v>
      </c>
      <c r="J1254" s="1004"/>
      <c r="K1254" s="1004"/>
      <c r="L1254" s="1004"/>
      <c r="M1254" s="1004"/>
      <c r="N1254" s="1004"/>
      <c r="O1254" s="1004"/>
      <c r="P1254" s="1004"/>
      <c r="Q1254" s="1004"/>
      <c r="R1254" s="1004"/>
      <c r="S1254" s="1004"/>
      <c r="T1254" s="1004"/>
      <c r="U1254" s="1004"/>
      <c r="V1254" s="1004"/>
      <c r="W1254" s="1004"/>
      <c r="X1254" s="198"/>
      <c r="Y1254" s="195"/>
      <c r="Z1254" s="1010" t="s">
        <v>521</v>
      </c>
      <c r="AA1254" s="1010"/>
      <c r="AB1254" s="1010"/>
      <c r="AC1254" s="1010"/>
      <c r="AD1254" s="1010"/>
      <c r="AE1254" s="1010"/>
      <c r="AF1254" s="195"/>
      <c r="AG1254" s="1004" t="s">
        <v>522</v>
      </c>
      <c r="AH1254" s="1004"/>
      <c r="AI1254" s="1004"/>
      <c r="AJ1254" s="1004"/>
      <c r="AK1254" s="1004"/>
      <c r="AL1254" s="1004"/>
      <c r="AM1254" s="1004"/>
      <c r="AN1254" s="1004"/>
      <c r="AO1254" s="1004"/>
      <c r="AP1254" s="1004"/>
      <c r="AQ1254" s="1004"/>
      <c r="AR1254" s="1004"/>
      <c r="AS1254" s="1004"/>
      <c r="AT1254" s="1004"/>
      <c r="AU1254" s="1004"/>
      <c r="AV1254" s="195"/>
    </row>
    <row r="1255" spans="2:48" x14ac:dyDescent="0.2">
      <c r="B1255" s="1005" t="s">
        <v>520</v>
      </c>
      <c r="C1255" s="1006"/>
      <c r="D1255" s="1006"/>
      <c r="E1255" s="1006"/>
      <c r="F1255" s="1006"/>
      <c r="G1255" s="1007"/>
      <c r="I1255" s="1005" t="s">
        <v>0</v>
      </c>
      <c r="J1255" s="1006"/>
      <c r="K1255" s="1006"/>
      <c r="L1255" s="1006"/>
      <c r="M1255" s="1006"/>
      <c r="N1255" s="1006"/>
      <c r="O1255" s="1006"/>
      <c r="P1255" s="1006"/>
      <c r="Q1255" s="1006"/>
      <c r="R1255" s="1006"/>
      <c r="S1255" s="1006"/>
      <c r="T1255" s="1006"/>
      <c r="U1255" s="1006"/>
      <c r="V1255" s="1006"/>
      <c r="W1255" s="1007"/>
      <c r="X1255" s="186"/>
      <c r="Z1255" s="1005" t="s">
        <v>520</v>
      </c>
      <c r="AA1255" s="1006"/>
      <c r="AB1255" s="1006"/>
      <c r="AC1255" s="1006"/>
      <c r="AD1255" s="1006"/>
      <c r="AE1255" s="1007"/>
      <c r="AG1255" s="1005" t="s">
        <v>0</v>
      </c>
      <c r="AH1255" s="1006"/>
      <c r="AI1255" s="1006"/>
      <c r="AJ1255" s="1006"/>
      <c r="AK1255" s="1006"/>
      <c r="AL1255" s="1006"/>
      <c r="AM1255" s="1006"/>
      <c r="AN1255" s="1006"/>
      <c r="AO1255" s="1006"/>
      <c r="AP1255" s="1006"/>
      <c r="AQ1255" s="1006"/>
      <c r="AR1255" s="1006"/>
      <c r="AS1255" s="1006"/>
      <c r="AT1255" s="1006"/>
      <c r="AU1255" s="1007"/>
    </row>
    <row r="1256" spans="2:48" x14ac:dyDescent="0.2">
      <c r="B1256" s="199"/>
      <c r="C1256" s="200"/>
      <c r="D1256" s="200"/>
      <c r="E1256" s="200"/>
      <c r="F1256" s="200"/>
      <c r="G1256" s="201"/>
      <c r="I1256" s="199"/>
      <c r="J1256" s="200"/>
      <c r="K1256" s="200"/>
      <c r="L1256" s="200"/>
      <c r="M1256" s="200"/>
      <c r="N1256" s="200"/>
      <c r="O1256" s="200"/>
      <c r="P1256" s="200"/>
      <c r="Q1256" s="200"/>
      <c r="R1256" s="200"/>
      <c r="S1256" s="200"/>
      <c r="T1256" s="200"/>
      <c r="U1256" s="200"/>
      <c r="V1256" s="200"/>
      <c r="W1256" s="201"/>
      <c r="X1256" s="186"/>
      <c r="Z1256" s="199"/>
      <c r="AA1256" s="200"/>
      <c r="AB1256" s="200"/>
      <c r="AC1256" s="200"/>
      <c r="AD1256" s="200"/>
      <c r="AE1256" s="201"/>
      <c r="AG1256" s="199"/>
      <c r="AH1256" s="200"/>
      <c r="AI1256" s="200"/>
      <c r="AJ1256" s="200"/>
      <c r="AK1256" s="200"/>
      <c r="AL1256" s="200"/>
      <c r="AM1256" s="200"/>
      <c r="AN1256" s="200"/>
      <c r="AO1256" s="200"/>
      <c r="AP1256" s="200"/>
      <c r="AQ1256" s="200"/>
      <c r="AR1256" s="200"/>
      <c r="AS1256" s="200"/>
      <c r="AT1256" s="200"/>
      <c r="AU1256" s="201"/>
    </row>
    <row r="1257" spans="2:48" x14ac:dyDescent="0.2">
      <c r="X1257" s="186"/>
    </row>
    <row r="1258" spans="2:48" x14ac:dyDescent="0.2">
      <c r="I1258" s="1005" t="s">
        <v>481</v>
      </c>
      <c r="J1258" s="1006"/>
      <c r="K1258" s="1006"/>
      <c r="L1258" s="1006"/>
      <c r="M1258" s="1006"/>
      <c r="N1258" s="1006"/>
      <c r="O1258" s="1006"/>
      <c r="P1258" s="1006"/>
      <c r="Q1258" s="1007"/>
      <c r="R1258" s="1005" t="s">
        <v>520</v>
      </c>
      <c r="S1258" s="1006"/>
      <c r="T1258" s="1006"/>
      <c r="U1258" s="1006"/>
      <c r="V1258" s="1006"/>
      <c r="W1258" s="1007"/>
      <c r="X1258" s="186"/>
      <c r="AG1258" s="1005" t="s">
        <v>481</v>
      </c>
      <c r="AH1258" s="1006"/>
      <c r="AI1258" s="1006"/>
      <c r="AJ1258" s="1006"/>
      <c r="AK1258" s="1006"/>
      <c r="AL1258" s="1006"/>
      <c r="AM1258" s="1006"/>
      <c r="AN1258" s="1006"/>
      <c r="AO1258" s="1007"/>
      <c r="AP1258" s="1005" t="s">
        <v>520</v>
      </c>
      <c r="AQ1258" s="1006"/>
      <c r="AR1258" s="1006"/>
      <c r="AS1258" s="1006"/>
      <c r="AT1258" s="1006"/>
      <c r="AU1258" s="1007"/>
    </row>
    <row r="1259" spans="2:48" x14ac:dyDescent="0.2">
      <c r="I1259" s="199"/>
      <c r="J1259" s="200"/>
      <c r="K1259" s="200"/>
      <c r="L1259" s="200"/>
      <c r="M1259" s="200"/>
      <c r="N1259" s="200"/>
      <c r="O1259" s="200"/>
      <c r="P1259" s="200"/>
      <c r="Q1259" s="200"/>
      <c r="R1259" s="199"/>
      <c r="S1259" s="200"/>
      <c r="T1259" s="200"/>
      <c r="U1259" s="200"/>
      <c r="V1259" s="200"/>
      <c r="W1259" s="201"/>
      <c r="X1259" s="186"/>
      <c r="AG1259" s="199"/>
      <c r="AH1259" s="200"/>
      <c r="AI1259" s="200"/>
      <c r="AJ1259" s="200"/>
      <c r="AK1259" s="200"/>
      <c r="AL1259" s="200"/>
      <c r="AM1259" s="200"/>
      <c r="AN1259" s="200"/>
      <c r="AO1259" s="200"/>
      <c r="AP1259" s="199"/>
      <c r="AQ1259" s="200"/>
      <c r="AR1259" s="200"/>
      <c r="AS1259" s="200"/>
      <c r="AT1259" s="200"/>
      <c r="AU1259" s="201"/>
    </row>
    <row r="1261" spans="2:48" ht="57.75" customHeight="1" x14ac:dyDescent="0.2">
      <c r="B1261" s="1058" t="str">
        <f>Championnat</f>
        <v>Championnat de France de Tir à l'ARC</v>
      </c>
      <c r="C1261" s="1058"/>
      <c r="D1261" s="1058"/>
      <c r="E1261" s="1058"/>
      <c r="F1261" s="1058"/>
      <c r="G1261" s="1058"/>
      <c r="H1261" s="1058"/>
      <c r="I1261" s="1058"/>
      <c r="J1261" s="1058"/>
      <c r="K1261" s="1058"/>
      <c r="L1261" s="1058"/>
      <c r="M1261" s="1058"/>
      <c r="N1261" s="1058"/>
      <c r="O1261" s="1058"/>
      <c r="P1261" s="1058"/>
      <c r="Q1261" s="1058"/>
      <c r="R1261" s="1058"/>
      <c r="S1261" s="1058"/>
      <c r="T1261" s="1058"/>
      <c r="U1261" s="1058"/>
      <c r="V1261" s="1058"/>
      <c r="W1261" s="1058"/>
      <c r="X1261" s="1058"/>
      <c r="Y1261" s="1058"/>
      <c r="Z1261" s="1058"/>
      <c r="AA1261" s="1058"/>
      <c r="AB1261" s="1058"/>
      <c r="AC1261" s="1058"/>
      <c r="AD1261" s="1058"/>
      <c r="AE1261" s="1058"/>
      <c r="AF1261" s="1058"/>
      <c r="AG1261" s="1058"/>
      <c r="AH1261" s="1058"/>
      <c r="AI1261" s="1058"/>
      <c r="AJ1261" s="1058"/>
      <c r="AK1261" s="1058"/>
      <c r="AL1261" s="1058"/>
      <c r="AM1261" s="1058"/>
      <c r="AN1261" s="1058"/>
      <c r="AO1261" s="1058"/>
      <c r="AP1261" s="1058"/>
    </row>
    <row r="1262" spans="2:48" ht="45" customHeight="1" thickBot="1" x14ac:dyDescent="0.25">
      <c r="B1262" s="1018" t="str">
        <f>LIEU&amp;" - "&amp;DATE&amp;" - "&amp;CATEG</f>
        <v>L’Isle sur la Sorgue - 27 au 31 mars 2023 - Collèges Mixtes Etablissement</v>
      </c>
      <c r="C1262" s="1018"/>
      <c r="D1262" s="1018"/>
      <c r="E1262" s="1018"/>
      <c r="F1262" s="1018"/>
      <c r="G1262" s="1018"/>
      <c r="H1262" s="1018"/>
      <c r="I1262" s="1018"/>
      <c r="J1262" s="1018"/>
      <c r="K1262" s="1018"/>
      <c r="L1262" s="1018"/>
      <c r="M1262" s="1018"/>
      <c r="N1262" s="1018"/>
      <c r="O1262" s="1018"/>
      <c r="P1262" s="1018"/>
      <c r="Q1262" s="1018"/>
      <c r="R1262" s="1018"/>
      <c r="S1262" s="1018"/>
      <c r="T1262" s="1018"/>
      <c r="U1262" s="1018"/>
      <c r="V1262" s="1018"/>
      <c r="W1262" s="1018"/>
      <c r="X1262" s="1018"/>
      <c r="Y1262" s="1018"/>
      <c r="Z1262" s="1018"/>
      <c r="AA1262" s="1018"/>
      <c r="AB1262" s="1018"/>
      <c r="AC1262" s="1018"/>
      <c r="AD1262" s="1018"/>
      <c r="AE1262" s="1018"/>
      <c r="AF1262" s="1018"/>
      <c r="AG1262" s="1018"/>
      <c r="AH1262" s="1018"/>
      <c r="AI1262" s="1018"/>
      <c r="AJ1262" s="1018"/>
      <c r="AK1262" s="1018"/>
      <c r="AL1262" s="1018"/>
      <c r="AM1262" s="1018"/>
      <c r="AN1262" s="1018"/>
      <c r="AO1262" s="1018"/>
      <c r="AP1262" s="1018"/>
      <c r="AQ1262" s="182"/>
      <c r="AR1262" s="182"/>
      <c r="AS1262" s="182"/>
      <c r="AT1262" s="182"/>
      <c r="AU1262" s="182"/>
      <c r="AV1262" s="182"/>
    </row>
    <row r="1263" spans="2:48" ht="26.25" customHeight="1" x14ac:dyDescent="0.2">
      <c r="B1263" s="1059" t="str">
        <f>CATEG_IMPORTEE</f>
        <v>Collèges Mixtes Etablissement</v>
      </c>
      <c r="C1263" s="1059"/>
      <c r="D1263" s="1059"/>
      <c r="E1263" s="1059"/>
      <c r="F1263" s="1059"/>
      <c r="G1263" s="1059"/>
      <c r="H1263" s="1059"/>
      <c r="I1263" s="1059"/>
      <c r="J1263" s="1059"/>
      <c r="K1263" s="1059"/>
      <c r="L1263" s="1059"/>
      <c r="M1263" s="1059"/>
      <c r="N1263" s="1059"/>
      <c r="O1263" s="1059"/>
      <c r="P1263" s="1059"/>
      <c r="Q1263" s="1059"/>
      <c r="R1263" s="1059"/>
      <c r="S1263" s="1059"/>
      <c r="T1263" s="1059"/>
      <c r="U1263" s="1059"/>
      <c r="V1263" s="1059"/>
      <c r="W1263" s="1059"/>
      <c r="X1263" s="1059"/>
      <c r="Y1263" s="1059"/>
      <c r="Z1263" s="1059"/>
      <c r="AA1263" s="1059"/>
      <c r="AB1263" s="1059"/>
      <c r="AC1263" s="1059"/>
      <c r="AD1263" s="1059"/>
      <c r="AE1263" s="1059"/>
      <c r="AF1263" s="1059"/>
      <c r="AG1263" s="1059"/>
      <c r="AH1263" s="1059"/>
      <c r="AI1263" s="1059"/>
      <c r="AJ1263" s="1059"/>
      <c r="AK1263" s="1059"/>
      <c r="AL1263" s="1059"/>
      <c r="AM1263" s="1059"/>
      <c r="AN1263" s="1059"/>
      <c r="AO1263" s="1059"/>
      <c r="AP1263" s="1059"/>
      <c r="AQ1263" s="182"/>
      <c r="AR1263" s="1060">
        <f>AR1200+1</f>
        <v>21</v>
      </c>
      <c r="AS1263" s="1061"/>
      <c r="AT1263" s="1062"/>
      <c r="AU1263" s="182"/>
      <c r="AV1263" s="182"/>
    </row>
    <row r="1264" spans="2:48" ht="18" customHeight="1" x14ac:dyDescent="0.2">
      <c r="B1264" s="182"/>
      <c r="C1264" s="182"/>
      <c r="D1264" s="182"/>
      <c r="E1264" s="182"/>
      <c r="F1264" s="182"/>
      <c r="G1264" s="182"/>
      <c r="H1264" s="182"/>
      <c r="I1264" s="182"/>
      <c r="J1264" s="182"/>
      <c r="K1264" s="182"/>
      <c r="L1264" s="182"/>
      <c r="M1264" s="182"/>
      <c r="N1264" s="182"/>
      <c r="O1264" s="182"/>
      <c r="P1264" s="182"/>
      <c r="Q1264" s="182"/>
      <c r="R1264" s="182"/>
      <c r="S1264" s="182"/>
      <c r="T1264" s="182"/>
      <c r="U1264" s="182"/>
      <c r="V1264" s="182"/>
      <c r="W1264" s="182"/>
      <c r="X1264" s="183"/>
      <c r="Y1264" s="184"/>
      <c r="Z1264" s="182"/>
      <c r="AA1264" s="182"/>
      <c r="AB1264" s="182"/>
      <c r="AC1264" s="182"/>
      <c r="AD1264" s="182"/>
      <c r="AE1264" s="182"/>
      <c r="AF1264" s="182"/>
      <c r="AG1264" s="182"/>
      <c r="AH1264" s="182"/>
      <c r="AI1264" s="182"/>
      <c r="AJ1264" s="182"/>
      <c r="AK1264" s="182"/>
      <c r="AL1264" s="182"/>
      <c r="AM1264" s="182"/>
      <c r="AN1264" s="182"/>
      <c r="AO1264" s="182"/>
      <c r="AP1264" s="182"/>
      <c r="AQ1264" s="182"/>
      <c r="AR1264" s="1063"/>
      <c r="AS1264" s="1064"/>
      <c r="AT1264" s="1065"/>
      <c r="AU1264" s="182"/>
      <c r="AV1264" s="182"/>
    </row>
    <row r="1265" spans="2:48" ht="18.75" customHeight="1" thickBot="1" x14ac:dyDescent="0.25">
      <c r="B1265" s="182"/>
      <c r="C1265" s="182"/>
      <c r="D1265" s="182"/>
      <c r="E1265" s="182"/>
      <c r="F1265" s="182"/>
      <c r="G1265" s="182"/>
      <c r="H1265" s="992" t="s">
        <v>374</v>
      </c>
      <c r="I1265" s="992"/>
      <c r="J1265" s="992"/>
      <c r="K1265" s="992"/>
      <c r="L1265" s="992"/>
      <c r="M1265" s="992"/>
      <c r="N1265" s="992"/>
      <c r="O1265" s="992"/>
      <c r="P1265" s="992"/>
      <c r="Q1265" s="992"/>
      <c r="R1265" s="182"/>
      <c r="S1265" s="182"/>
      <c r="T1265" s="182"/>
      <c r="U1265" s="182"/>
      <c r="V1265" s="182"/>
      <c r="W1265" s="182"/>
      <c r="X1265" s="183"/>
      <c r="Y1265" s="182"/>
      <c r="Z1265" s="182"/>
      <c r="AA1265" s="182"/>
      <c r="AB1265" s="182"/>
      <c r="AC1265" s="182"/>
      <c r="AD1265" s="182"/>
      <c r="AE1265" s="992" t="s">
        <v>374</v>
      </c>
      <c r="AF1265" s="992"/>
      <c r="AG1265" s="992"/>
      <c r="AH1265" s="992"/>
      <c r="AI1265" s="992"/>
      <c r="AJ1265" s="992"/>
      <c r="AK1265" s="992"/>
      <c r="AL1265" s="992"/>
      <c r="AM1265" s="992"/>
      <c r="AN1265" s="992"/>
      <c r="AO1265" s="182"/>
      <c r="AP1265" s="182"/>
      <c r="AQ1265" s="182"/>
      <c r="AR1265" s="1066"/>
      <c r="AS1265" s="1067"/>
      <c r="AT1265" s="1068"/>
      <c r="AU1265" s="182"/>
      <c r="AV1265" s="182"/>
    </row>
    <row r="1266" spans="2:48" ht="18" x14ac:dyDescent="0.2">
      <c r="B1266" s="182"/>
      <c r="C1266" s="182"/>
      <c r="D1266" s="182"/>
      <c r="E1266" s="182"/>
      <c r="F1266" s="182"/>
      <c r="G1266" s="182"/>
      <c r="H1266" s="1022" t="e">
        <f>VLOOKUP(U1275,ID_archer_cible,4,FALSE)</f>
        <v>#N/A</v>
      </c>
      <c r="I1266" s="1023"/>
      <c r="J1266" s="1023"/>
      <c r="K1266" s="1023"/>
      <c r="L1266" s="1023"/>
      <c r="M1266" s="1023"/>
      <c r="N1266" s="1023"/>
      <c r="O1266" s="1023"/>
      <c r="P1266" s="1023"/>
      <c r="Q1266" s="1024"/>
      <c r="R1266" s="182"/>
      <c r="S1266" s="182"/>
      <c r="T1266" s="182"/>
      <c r="U1266" s="182"/>
      <c r="V1266" s="182"/>
      <c r="W1266" s="182"/>
      <c r="X1266" s="183"/>
      <c r="Y1266" s="182"/>
      <c r="Z1266" s="182"/>
      <c r="AA1266" s="182"/>
      <c r="AB1266" s="182"/>
      <c r="AC1266" s="182"/>
      <c r="AD1266" s="182"/>
      <c r="AE1266" s="1022" t="e">
        <f>VLOOKUP(AS1275,ID_archer_cible,4,FALSE)</f>
        <v>#N/A</v>
      </c>
      <c r="AF1266" s="1023"/>
      <c r="AG1266" s="1023"/>
      <c r="AH1266" s="1023"/>
      <c r="AI1266" s="1023"/>
      <c r="AJ1266" s="1023"/>
      <c r="AK1266" s="1023"/>
      <c r="AL1266" s="1023"/>
      <c r="AM1266" s="1023"/>
      <c r="AN1266" s="1024"/>
      <c r="AO1266" s="182"/>
      <c r="AP1266" s="182"/>
      <c r="AQ1266" s="182"/>
      <c r="AR1266" s="182"/>
      <c r="AS1266" s="182"/>
      <c r="AT1266" s="182"/>
      <c r="AU1266" s="182"/>
      <c r="AV1266" s="182"/>
    </row>
    <row r="1267" spans="2:48" x14ac:dyDescent="0.2">
      <c r="X1267" s="186"/>
    </row>
    <row r="1268" spans="2:48" x14ac:dyDescent="0.2">
      <c r="B1268" s="1021" t="s">
        <v>0</v>
      </c>
      <c r="C1268" s="1021"/>
      <c r="D1268" s="1021"/>
      <c r="E1268" s="1021"/>
      <c r="F1268" s="1021"/>
      <c r="G1268" s="1021"/>
      <c r="H1268" s="1021"/>
      <c r="I1268" s="1021"/>
      <c r="J1268" s="1021"/>
      <c r="K1268" s="1021"/>
      <c r="L1268" s="1021"/>
      <c r="M1268" s="187"/>
      <c r="P1268" s="992" t="s">
        <v>375</v>
      </c>
      <c r="Q1268" s="992"/>
      <c r="R1268" s="992"/>
      <c r="S1268" s="992"/>
      <c r="T1268" s="992"/>
      <c r="U1268" s="992"/>
      <c r="V1268" s="992"/>
      <c r="W1268" s="992"/>
      <c r="X1268" s="188"/>
      <c r="Z1268" s="1021" t="s">
        <v>0</v>
      </c>
      <c r="AA1268" s="1021"/>
      <c r="AB1268" s="1021"/>
      <c r="AC1268" s="1021"/>
      <c r="AD1268" s="1021"/>
      <c r="AE1268" s="1021"/>
      <c r="AF1268" s="1021"/>
      <c r="AG1268" s="1021"/>
      <c r="AH1268" s="1021"/>
      <c r="AI1268" s="1021"/>
      <c r="AJ1268" s="1021"/>
      <c r="AK1268" s="187"/>
      <c r="AN1268" s="992" t="s">
        <v>375</v>
      </c>
      <c r="AO1268" s="992"/>
      <c r="AP1268" s="992"/>
      <c r="AQ1268" s="992"/>
      <c r="AR1268" s="992"/>
      <c r="AS1268" s="992"/>
      <c r="AT1268" s="992"/>
      <c r="AU1268" s="992"/>
      <c r="AV1268" s="187"/>
    </row>
    <row r="1269" spans="2:48" x14ac:dyDescent="0.2">
      <c r="B1269" s="999" t="e">
        <f>VLOOKUP(U1275,ID_archer_cible,2,FALSE)</f>
        <v>#N/A</v>
      </c>
      <c r="C1269" s="1000"/>
      <c r="D1269" s="1000"/>
      <c r="E1269" s="1000"/>
      <c r="F1269" s="1000"/>
      <c r="G1269" s="1000"/>
      <c r="H1269" s="1000"/>
      <c r="I1269" s="1000"/>
      <c r="J1269" s="1000"/>
      <c r="K1269" s="1000"/>
      <c r="L1269" s="1000"/>
      <c r="M1269" s="1001"/>
      <c r="P1269" s="999" t="e">
        <f>VLOOKUP(U1275,ID_archer_cible,3,FALSE)</f>
        <v>#N/A</v>
      </c>
      <c r="Q1269" s="1000"/>
      <c r="R1269" s="1000"/>
      <c r="S1269" s="1000"/>
      <c r="T1269" s="1000"/>
      <c r="U1269" s="1000"/>
      <c r="V1269" s="1000"/>
      <c r="W1269" s="1001"/>
      <c r="X1269" s="186"/>
      <c r="Y1269"/>
      <c r="Z1269" s="999" t="e">
        <f>VLOOKUP(AS1275,ID_archer_cible,2,FALSE)</f>
        <v>#N/A</v>
      </c>
      <c r="AA1269" s="1000"/>
      <c r="AB1269" s="1000"/>
      <c r="AC1269" s="1000"/>
      <c r="AD1269" s="1000"/>
      <c r="AE1269" s="1000"/>
      <c r="AF1269" s="1000"/>
      <c r="AG1269" s="1000"/>
      <c r="AH1269" s="1000"/>
      <c r="AI1269" s="1000"/>
      <c r="AJ1269" s="1000"/>
      <c r="AK1269" s="1001"/>
      <c r="AN1269" s="999" t="e">
        <f>VLOOKUP(AS1275,ID_archer_cible,3,FALSE)</f>
        <v>#N/A</v>
      </c>
      <c r="AO1269" s="1000"/>
      <c r="AP1269" s="1000"/>
      <c r="AQ1269" s="1000"/>
      <c r="AR1269" s="1000"/>
      <c r="AS1269" s="1000"/>
      <c r="AT1269" s="1000"/>
      <c r="AU1269" s="1001"/>
    </row>
    <row r="1270" spans="2:48" x14ac:dyDescent="0.2">
      <c r="X1270" s="186"/>
      <c r="Y1270"/>
    </row>
    <row r="1271" spans="2:48" ht="16.5" thickBot="1" x14ac:dyDescent="0.25">
      <c r="B1271" s="1017" t="s">
        <v>1</v>
      </c>
      <c r="C1271" s="1017"/>
      <c r="D1271" s="1017"/>
      <c r="E1271" s="1017"/>
      <c r="F1271" s="1017"/>
      <c r="G1271" s="1017"/>
      <c r="H1271" s="1017"/>
      <c r="I1271" s="1017"/>
      <c r="J1271" s="1017"/>
      <c r="L1271" s="1017" t="s">
        <v>505</v>
      </c>
      <c r="M1271" s="1017"/>
      <c r="N1271" s="1017"/>
      <c r="O1271" s="1017"/>
      <c r="P1271" s="1017"/>
      <c r="Q1271" s="1017"/>
      <c r="S1271" s="992" t="s">
        <v>506</v>
      </c>
      <c r="T1271" s="992"/>
      <c r="U1271" s="992"/>
      <c r="V1271" s="992"/>
      <c r="W1271" s="992"/>
      <c r="X1271" s="188"/>
      <c r="Y1271"/>
      <c r="Z1271" s="1017" t="s">
        <v>1</v>
      </c>
      <c r="AA1271" s="1017"/>
      <c r="AB1271" s="1017"/>
      <c r="AC1271" s="1017"/>
      <c r="AD1271" s="1017"/>
      <c r="AE1271" s="1017"/>
      <c r="AF1271" s="1017"/>
      <c r="AG1271" s="1017"/>
      <c r="AH1271" s="1017"/>
      <c r="AJ1271" s="1017" t="s">
        <v>505</v>
      </c>
      <c r="AK1271" s="1017"/>
      <c r="AL1271" s="1017"/>
      <c r="AM1271" s="1017"/>
      <c r="AN1271" s="1017"/>
      <c r="AO1271" s="1017"/>
      <c r="AQ1271" s="992" t="s">
        <v>506</v>
      </c>
      <c r="AR1271" s="992"/>
      <c r="AS1271" s="992"/>
      <c r="AT1271" s="992"/>
      <c r="AU1271" s="992"/>
      <c r="AV1271" s="187"/>
    </row>
    <row r="1272" spans="2:48" ht="16.5" thickBot="1" x14ac:dyDescent="0.25">
      <c r="B1272" s="1014" t="e">
        <f>VLOOKUP(U1275,ID_archer_cible,5,FALSE)</f>
        <v>#N/A</v>
      </c>
      <c r="C1272" s="1015"/>
      <c r="D1272" s="1015"/>
      <c r="E1272" s="1015"/>
      <c r="F1272" s="1015"/>
      <c r="G1272" s="1015"/>
      <c r="H1272" s="1015"/>
      <c r="I1272" s="1015"/>
      <c r="J1272" s="1016"/>
      <c r="L1272" s="1014" t="e">
        <f>VLOOKUP(U1275,ID_archer_cible,6,FALSE)</f>
        <v>#N/A</v>
      </c>
      <c r="M1272" s="1015"/>
      <c r="N1272" s="1015"/>
      <c r="O1272" s="1015"/>
      <c r="P1272" s="1015"/>
      <c r="Q1272" s="1016"/>
      <c r="S1272" s="999" t="e">
        <f>VLOOKUP(U1275,ID_archer_cible,8,FALSE)</f>
        <v>#N/A</v>
      </c>
      <c r="T1272" s="1000"/>
      <c r="U1272" s="1000"/>
      <c r="V1272" s="1000"/>
      <c r="W1272" s="1001"/>
      <c r="X1272" s="186"/>
      <c r="Y1272"/>
      <c r="Z1272" s="1014" t="e">
        <f>VLOOKUP(AS1275,ID_archer_cible,5,FALSE)</f>
        <v>#N/A</v>
      </c>
      <c r="AA1272" s="1015"/>
      <c r="AB1272" s="1015"/>
      <c r="AC1272" s="1015"/>
      <c r="AD1272" s="1015"/>
      <c r="AE1272" s="1015"/>
      <c r="AF1272" s="1015"/>
      <c r="AG1272" s="1015"/>
      <c r="AH1272" s="1016"/>
      <c r="AJ1272" s="1014" t="e">
        <f>VLOOKUP(AS1275,ID_archer_cible,6,FALSE)</f>
        <v>#N/A</v>
      </c>
      <c r="AK1272" s="1015"/>
      <c r="AL1272" s="1015"/>
      <c r="AM1272" s="1015"/>
      <c r="AN1272" s="1015"/>
      <c r="AO1272" s="1016"/>
      <c r="AQ1272" s="999" t="e">
        <f>VLOOKUP(AS1275,ID_archer_cible,8,FALSE)</f>
        <v>#N/A</v>
      </c>
      <c r="AR1272" s="1000"/>
      <c r="AS1272" s="1000"/>
      <c r="AT1272" s="1000"/>
      <c r="AU1272" s="1001"/>
    </row>
    <row r="1273" spans="2:48" x14ac:dyDescent="0.2">
      <c r="X1273" s="186"/>
      <c r="Y1273"/>
    </row>
    <row r="1274" spans="2:48" x14ac:dyDescent="0.2">
      <c r="B1274" s="992" t="s">
        <v>530</v>
      </c>
      <c r="C1274" s="992"/>
      <c r="D1274" s="992"/>
      <c r="E1274" s="992"/>
      <c r="F1274" s="992"/>
      <c r="G1274" s="187"/>
      <c r="H1274" s="992" t="s">
        <v>504</v>
      </c>
      <c r="I1274" s="992"/>
      <c r="J1274" s="992"/>
      <c r="K1274" s="992"/>
      <c r="M1274" s="992" t="s">
        <v>39</v>
      </c>
      <c r="N1274" s="992"/>
      <c r="O1274" s="992"/>
      <c r="Q1274" s="1021"/>
      <c r="R1274" s="1021"/>
      <c r="S1274" s="1021"/>
      <c r="U1274" s="992" t="s">
        <v>507</v>
      </c>
      <c r="V1274" s="992"/>
      <c r="W1274" s="992"/>
      <c r="X1274" s="188"/>
      <c r="Y1274"/>
      <c r="Z1274" s="992" t="s">
        <v>530</v>
      </c>
      <c r="AA1274" s="992"/>
      <c r="AB1274" s="992"/>
      <c r="AC1274" s="992"/>
      <c r="AD1274" s="992"/>
      <c r="AE1274" s="187"/>
      <c r="AF1274" s="992" t="s">
        <v>504</v>
      </c>
      <c r="AG1274" s="992"/>
      <c r="AH1274" s="992"/>
      <c r="AI1274" s="992"/>
      <c r="AK1274" s="992" t="s">
        <v>39</v>
      </c>
      <c r="AL1274" s="992"/>
      <c r="AM1274" s="992"/>
      <c r="AO1274" s="1021"/>
      <c r="AP1274" s="1021"/>
      <c r="AQ1274" s="1021"/>
      <c r="AS1274" s="992" t="s">
        <v>507</v>
      </c>
      <c r="AT1274" s="992"/>
      <c r="AU1274" s="992"/>
      <c r="AV1274" s="187"/>
    </row>
    <row r="1275" spans="2:48" ht="15.75" x14ac:dyDescent="0.2">
      <c r="B1275" s="1011" t="e">
        <f>VLOOKUP(U1275,ID_archer_cible,7,FALSE)</f>
        <v>#N/A</v>
      </c>
      <c r="C1275" s="1012"/>
      <c r="D1275" s="1012"/>
      <c r="E1275" s="1012"/>
      <c r="F1275" s="1013"/>
      <c r="H1275" s="999" t="e">
        <f>VLOOKUP(U1275,ID_archer_cible,9,FALSE)</f>
        <v>#N/A</v>
      </c>
      <c r="I1275" s="1000"/>
      <c r="J1275" s="1000"/>
      <c r="K1275" s="1001"/>
      <c r="M1275" s="999" t="e">
        <f>VLOOKUP(U1275,ID_archer_cible,10,FALSE)</f>
        <v>#N/A</v>
      </c>
      <c r="N1275" s="1000"/>
      <c r="O1275" s="1001"/>
      <c r="Q1275" s="1021"/>
      <c r="R1275" s="1021"/>
      <c r="S1275" s="1021"/>
      <c r="T1275" s="187"/>
      <c r="U1275" s="996" t="str">
        <f>AR1263&amp;"A"</f>
        <v>21A</v>
      </c>
      <c r="V1275" s="997"/>
      <c r="W1275" s="998"/>
      <c r="X1275" s="188"/>
      <c r="Y1275"/>
      <c r="Z1275" s="1011" t="e">
        <f>VLOOKUP(AS1275,ID_archer_cible,7,FALSE)</f>
        <v>#N/A</v>
      </c>
      <c r="AA1275" s="1012"/>
      <c r="AB1275" s="1012"/>
      <c r="AC1275" s="1012"/>
      <c r="AD1275" s="1013"/>
      <c r="AF1275" s="999" t="e">
        <f>VLOOKUP(AS1275,ID_archer_cible,9,FALSE)</f>
        <v>#N/A</v>
      </c>
      <c r="AG1275" s="1000"/>
      <c r="AH1275" s="1000"/>
      <c r="AI1275" s="1001"/>
      <c r="AK1275" s="999" t="e">
        <f>VLOOKUP(AS1275,ID_archer_cible,10,FALSE)</f>
        <v>#N/A</v>
      </c>
      <c r="AL1275" s="1000"/>
      <c r="AM1275" s="1001"/>
      <c r="AO1275" s="1021"/>
      <c r="AP1275" s="1021"/>
      <c r="AQ1275" s="1021"/>
      <c r="AR1275" s="187"/>
      <c r="AS1275" s="996" t="str">
        <f>AR1263&amp;"B"</f>
        <v>21B</v>
      </c>
      <c r="AT1275" s="997"/>
      <c r="AU1275" s="998"/>
      <c r="AV1275" s="187"/>
    </row>
    <row r="1276" spans="2:48" x14ac:dyDescent="0.2">
      <c r="X1276" s="186"/>
    </row>
    <row r="1277" spans="2:48" x14ac:dyDescent="0.2">
      <c r="B1277" s="185" t="s">
        <v>509</v>
      </c>
      <c r="E1277" s="992" t="s">
        <v>510</v>
      </c>
      <c r="F1277" s="992"/>
      <c r="G1277" s="992"/>
      <c r="H1277" s="992"/>
      <c r="I1277" s="992"/>
      <c r="J1277" s="992"/>
      <c r="K1277" s="992"/>
      <c r="L1277" s="992"/>
      <c r="M1277" s="992"/>
      <c r="N1277" s="992"/>
      <c r="P1277" s="992" t="s">
        <v>511</v>
      </c>
      <c r="Q1277" s="992"/>
      <c r="R1277" s="992"/>
      <c r="X1277" s="186"/>
      <c r="Z1277" s="185" t="s">
        <v>509</v>
      </c>
      <c r="AC1277" s="992" t="s">
        <v>510</v>
      </c>
      <c r="AD1277" s="992"/>
      <c r="AE1277" s="992"/>
      <c r="AF1277" s="992"/>
      <c r="AG1277" s="992"/>
      <c r="AH1277" s="992"/>
      <c r="AI1277" s="992"/>
      <c r="AJ1277" s="992"/>
      <c r="AK1277" s="992"/>
      <c r="AL1277" s="992"/>
      <c r="AN1277" s="992" t="s">
        <v>511</v>
      </c>
      <c r="AO1277" s="992"/>
      <c r="AP1277" s="992"/>
    </row>
    <row r="1278" spans="2:48" ht="20.25" customHeight="1" x14ac:dyDescent="0.2">
      <c r="B1278" s="1009" t="s">
        <v>513</v>
      </c>
      <c r="C1278" s="1009"/>
      <c r="E1278" s="189"/>
      <c r="F1278" s="191"/>
      <c r="G1278" s="189"/>
      <c r="H1278" s="191"/>
      <c r="I1278" s="189"/>
      <c r="J1278" s="191"/>
      <c r="K1278" s="189"/>
      <c r="L1278" s="191"/>
      <c r="M1278" s="189"/>
      <c r="N1278" s="191"/>
      <c r="P1278" s="189"/>
      <c r="Q1278" s="190"/>
      <c r="R1278" s="191"/>
      <c r="T1278" s="992" t="s">
        <v>512</v>
      </c>
      <c r="U1278" s="992"/>
      <c r="V1278" s="992"/>
      <c r="W1278" s="992"/>
      <c r="X1278" s="188"/>
      <c r="Z1278" s="1009" t="s">
        <v>513</v>
      </c>
      <c r="AA1278" s="1009"/>
      <c r="AC1278" s="189"/>
      <c r="AD1278" s="191"/>
      <c r="AE1278" s="189"/>
      <c r="AF1278" s="191"/>
      <c r="AG1278" s="189"/>
      <c r="AH1278" s="191"/>
      <c r="AI1278" s="189"/>
      <c r="AJ1278" s="191"/>
      <c r="AK1278" s="189"/>
      <c r="AL1278" s="191"/>
      <c r="AN1278" s="189"/>
      <c r="AO1278" s="190"/>
      <c r="AP1278" s="191"/>
      <c r="AR1278" s="992" t="s">
        <v>512</v>
      </c>
      <c r="AS1278" s="992"/>
      <c r="AT1278" s="992"/>
      <c r="AU1278" s="992"/>
      <c r="AV1278" s="187"/>
    </row>
    <row r="1279" spans="2:48" ht="20.25" customHeight="1" x14ac:dyDescent="0.2">
      <c r="B1279" s="1009" t="s">
        <v>514</v>
      </c>
      <c r="C1279" s="1009"/>
      <c r="E1279" s="189"/>
      <c r="F1279" s="191"/>
      <c r="G1279" s="189"/>
      <c r="H1279" s="191"/>
      <c r="I1279" s="189"/>
      <c r="J1279" s="191"/>
      <c r="K1279" s="189"/>
      <c r="L1279" s="191"/>
      <c r="M1279" s="189"/>
      <c r="N1279" s="191"/>
      <c r="P1279" s="189"/>
      <c r="Q1279" s="190"/>
      <c r="R1279" s="191"/>
      <c r="T1279" s="189"/>
      <c r="U1279" s="190"/>
      <c r="V1279" s="190"/>
      <c r="W1279" s="191"/>
      <c r="X1279" s="186"/>
      <c r="Z1279" s="1009" t="s">
        <v>514</v>
      </c>
      <c r="AA1279" s="1009"/>
      <c r="AC1279" s="189"/>
      <c r="AD1279" s="191"/>
      <c r="AE1279" s="189"/>
      <c r="AF1279" s="191"/>
      <c r="AG1279" s="189"/>
      <c r="AH1279" s="191"/>
      <c r="AI1279" s="189"/>
      <c r="AJ1279" s="191"/>
      <c r="AK1279" s="189"/>
      <c r="AL1279" s="191"/>
      <c r="AN1279" s="189"/>
      <c r="AO1279" s="190"/>
      <c r="AP1279" s="191"/>
      <c r="AR1279" s="189"/>
      <c r="AS1279" s="190"/>
      <c r="AT1279" s="190"/>
      <c r="AU1279" s="191"/>
    </row>
    <row r="1280" spans="2:48" ht="20.25" customHeight="1" x14ac:dyDescent="0.2">
      <c r="B1280" s="1009" t="s">
        <v>515</v>
      </c>
      <c r="C1280" s="1009"/>
      <c r="E1280" s="189"/>
      <c r="F1280" s="191"/>
      <c r="G1280" s="189"/>
      <c r="H1280" s="191"/>
      <c r="I1280" s="189"/>
      <c r="J1280" s="191"/>
      <c r="K1280" s="189"/>
      <c r="L1280" s="191"/>
      <c r="M1280" s="189"/>
      <c r="N1280" s="191"/>
      <c r="P1280" s="189"/>
      <c r="Q1280" s="190"/>
      <c r="R1280" s="191"/>
      <c r="T1280" s="189"/>
      <c r="U1280" s="190"/>
      <c r="V1280" s="190"/>
      <c r="W1280" s="191"/>
      <c r="X1280" s="186"/>
      <c r="Z1280" s="1009" t="s">
        <v>515</v>
      </c>
      <c r="AA1280" s="1009"/>
      <c r="AC1280" s="189"/>
      <c r="AD1280" s="191"/>
      <c r="AE1280" s="189"/>
      <c r="AF1280" s="191"/>
      <c r="AG1280" s="189"/>
      <c r="AH1280" s="191"/>
      <c r="AI1280" s="189"/>
      <c r="AJ1280" s="191"/>
      <c r="AK1280" s="189"/>
      <c r="AL1280" s="191"/>
      <c r="AN1280" s="189"/>
      <c r="AO1280" s="190"/>
      <c r="AP1280" s="191"/>
      <c r="AR1280" s="189"/>
      <c r="AS1280" s="190"/>
      <c r="AT1280" s="190"/>
      <c r="AU1280" s="191"/>
    </row>
    <row r="1281" spans="2:48" ht="20.25" customHeight="1" x14ac:dyDescent="0.2">
      <c r="B1281" s="1009" t="s">
        <v>516</v>
      </c>
      <c r="C1281" s="1009"/>
      <c r="E1281" s="189"/>
      <c r="F1281" s="191"/>
      <c r="G1281" s="189"/>
      <c r="H1281" s="191"/>
      <c r="I1281" s="189"/>
      <c r="J1281" s="191"/>
      <c r="K1281" s="189"/>
      <c r="L1281" s="191"/>
      <c r="M1281" s="189"/>
      <c r="N1281" s="191"/>
      <c r="P1281" s="189"/>
      <c r="Q1281" s="190"/>
      <c r="R1281" s="191"/>
      <c r="T1281" s="189"/>
      <c r="U1281" s="190"/>
      <c r="V1281" s="190"/>
      <c r="W1281" s="191"/>
      <c r="X1281" s="186"/>
      <c r="Z1281" s="1009" t="s">
        <v>516</v>
      </c>
      <c r="AA1281" s="1009"/>
      <c r="AC1281" s="189"/>
      <c r="AD1281" s="191"/>
      <c r="AE1281" s="189"/>
      <c r="AF1281" s="191"/>
      <c r="AG1281" s="189"/>
      <c r="AH1281" s="191"/>
      <c r="AI1281" s="189"/>
      <c r="AJ1281" s="191"/>
      <c r="AK1281" s="189"/>
      <c r="AL1281" s="191"/>
      <c r="AN1281" s="189"/>
      <c r="AO1281" s="190"/>
      <c r="AP1281" s="191"/>
      <c r="AR1281" s="189"/>
      <c r="AS1281" s="190"/>
      <c r="AT1281" s="190"/>
      <c r="AU1281" s="191"/>
    </row>
    <row r="1282" spans="2:48" ht="20.25" customHeight="1" x14ac:dyDescent="0.2">
      <c r="B1282" s="1009" t="s">
        <v>517</v>
      </c>
      <c r="C1282" s="1009"/>
      <c r="E1282" s="189"/>
      <c r="F1282" s="191"/>
      <c r="G1282" s="189"/>
      <c r="H1282" s="191"/>
      <c r="I1282" s="189"/>
      <c r="J1282" s="191"/>
      <c r="K1282" s="189"/>
      <c r="L1282" s="191"/>
      <c r="M1282" s="189"/>
      <c r="N1282" s="191"/>
      <c r="P1282" s="189"/>
      <c r="Q1282" s="190"/>
      <c r="R1282" s="191"/>
      <c r="T1282" s="189"/>
      <c r="U1282" s="190"/>
      <c r="V1282" s="190"/>
      <c r="W1282" s="191"/>
      <c r="X1282" s="186"/>
      <c r="Z1282" s="1009" t="s">
        <v>517</v>
      </c>
      <c r="AA1282" s="1009"/>
      <c r="AC1282" s="189"/>
      <c r="AD1282" s="191"/>
      <c r="AE1282" s="189"/>
      <c r="AF1282" s="191"/>
      <c r="AG1282" s="189"/>
      <c r="AH1282" s="191"/>
      <c r="AI1282" s="189"/>
      <c r="AJ1282" s="191"/>
      <c r="AK1282" s="189"/>
      <c r="AL1282" s="191"/>
      <c r="AN1282" s="189"/>
      <c r="AO1282" s="190"/>
      <c r="AP1282" s="191"/>
      <c r="AR1282" s="189"/>
      <c r="AS1282" s="190"/>
      <c r="AT1282" s="190"/>
      <c r="AU1282" s="191"/>
    </row>
    <row r="1283" spans="2:48" ht="20.25" customHeight="1" x14ac:dyDescent="0.2">
      <c r="B1283" s="1009" t="s">
        <v>518</v>
      </c>
      <c r="C1283" s="1009"/>
      <c r="E1283" s="189"/>
      <c r="F1283" s="191"/>
      <c r="G1283" s="189"/>
      <c r="H1283" s="191"/>
      <c r="I1283" s="189"/>
      <c r="J1283" s="191"/>
      <c r="K1283" s="189"/>
      <c r="L1283" s="191"/>
      <c r="M1283" s="189"/>
      <c r="N1283" s="191"/>
      <c r="P1283" s="189"/>
      <c r="Q1283" s="190"/>
      <c r="R1283" s="191"/>
      <c r="T1283" s="189"/>
      <c r="U1283" s="190"/>
      <c r="V1283" s="190"/>
      <c r="W1283" s="191"/>
      <c r="X1283" s="186"/>
      <c r="Z1283" s="1009" t="s">
        <v>518</v>
      </c>
      <c r="AA1283" s="1009"/>
      <c r="AC1283" s="189"/>
      <c r="AD1283" s="191"/>
      <c r="AE1283" s="189"/>
      <c r="AF1283" s="191"/>
      <c r="AG1283" s="189"/>
      <c r="AH1283" s="191"/>
      <c r="AI1283" s="189"/>
      <c r="AJ1283" s="191"/>
      <c r="AK1283" s="189"/>
      <c r="AL1283" s="191"/>
      <c r="AN1283" s="189"/>
      <c r="AO1283" s="190"/>
      <c r="AP1283" s="191"/>
      <c r="AR1283" s="189"/>
      <c r="AS1283" s="190"/>
      <c r="AT1283" s="190"/>
      <c r="AU1283" s="191"/>
    </row>
    <row r="1284" spans="2:48" ht="15.75" thickBot="1" x14ac:dyDescent="0.25">
      <c r="B1284" s="187"/>
      <c r="C1284" s="187"/>
      <c r="X1284" s="186"/>
      <c r="Z1284" s="187"/>
      <c r="AA1284" s="187"/>
    </row>
    <row r="1285" spans="2:48" ht="20.25" customHeight="1" thickBot="1" x14ac:dyDescent="0.25">
      <c r="P1285" s="197" t="s">
        <v>519</v>
      </c>
      <c r="Q1285" s="197"/>
      <c r="R1285" s="197"/>
      <c r="S1285" s="197"/>
      <c r="T1285" s="192"/>
      <c r="U1285" s="193"/>
      <c r="V1285" s="193"/>
      <c r="W1285" s="194"/>
      <c r="X1285" s="186"/>
      <c r="AN1285" s="197" t="s">
        <v>519</v>
      </c>
      <c r="AO1285" s="197"/>
      <c r="AP1285" s="197"/>
      <c r="AQ1285" s="197"/>
      <c r="AR1285" s="192"/>
      <c r="AS1285" s="193"/>
      <c r="AT1285" s="193"/>
      <c r="AU1285" s="194"/>
    </row>
    <row r="1286" spans="2:48" x14ac:dyDescent="0.2">
      <c r="E1286" s="196"/>
      <c r="F1286" s="196"/>
      <c r="G1286" s="196"/>
      <c r="H1286" s="196"/>
      <c r="I1286" s="196"/>
      <c r="J1286" s="196"/>
      <c r="K1286" s="196"/>
      <c r="L1286" s="196"/>
      <c r="M1286" s="196"/>
      <c r="X1286" s="186"/>
      <c r="AC1286" s="196"/>
      <c r="AD1286" s="196"/>
      <c r="AE1286" s="196"/>
      <c r="AF1286" s="196"/>
      <c r="AG1286" s="196"/>
      <c r="AH1286" s="196"/>
      <c r="AI1286" s="196"/>
      <c r="AJ1286" s="196"/>
      <c r="AK1286" s="196"/>
    </row>
    <row r="1287" spans="2:48" x14ac:dyDescent="0.2">
      <c r="B1287" s="1010" t="s">
        <v>521</v>
      </c>
      <c r="C1287" s="1010"/>
      <c r="D1287" s="1010"/>
      <c r="E1287" s="1010"/>
      <c r="F1287" s="1010"/>
      <c r="G1287" s="1010"/>
      <c r="H1287" s="195"/>
      <c r="I1287" s="1010" t="s">
        <v>522</v>
      </c>
      <c r="J1287" s="1010"/>
      <c r="K1287" s="1010"/>
      <c r="L1287" s="1010"/>
      <c r="M1287" s="1010"/>
      <c r="N1287" s="1010"/>
      <c r="O1287" s="1010"/>
      <c r="P1287" s="1010"/>
      <c r="Q1287" s="1010"/>
      <c r="R1287" s="1010"/>
      <c r="S1287" s="1010"/>
      <c r="T1287" s="1010"/>
      <c r="U1287" s="1010"/>
      <c r="V1287" s="1010"/>
      <c r="W1287" s="1010"/>
      <c r="X1287" s="198"/>
      <c r="Y1287" s="195"/>
      <c r="Z1287" s="1010" t="s">
        <v>521</v>
      </c>
      <c r="AA1287" s="1010"/>
      <c r="AB1287" s="1010"/>
      <c r="AC1287" s="1010"/>
      <c r="AD1287" s="1010"/>
      <c r="AE1287" s="1010"/>
      <c r="AF1287" s="195"/>
      <c r="AG1287" s="1004" t="s">
        <v>522</v>
      </c>
      <c r="AH1287" s="1004"/>
      <c r="AI1287" s="1004"/>
      <c r="AJ1287" s="1004"/>
      <c r="AK1287" s="1004"/>
      <c r="AL1287" s="1004"/>
      <c r="AM1287" s="1004"/>
      <c r="AN1287" s="1004"/>
      <c r="AO1287" s="1004"/>
      <c r="AP1287" s="1004"/>
      <c r="AQ1287" s="1004"/>
      <c r="AR1287" s="1004"/>
      <c r="AS1287" s="1004"/>
      <c r="AT1287" s="1004"/>
      <c r="AU1287" s="1004"/>
      <c r="AV1287" s="195"/>
    </row>
    <row r="1288" spans="2:48" x14ac:dyDescent="0.2">
      <c r="B1288" s="1005" t="s">
        <v>520</v>
      </c>
      <c r="C1288" s="1006"/>
      <c r="D1288" s="1006"/>
      <c r="E1288" s="1006"/>
      <c r="F1288" s="1006"/>
      <c r="G1288" s="1007"/>
      <c r="I1288" s="1005" t="s">
        <v>0</v>
      </c>
      <c r="J1288" s="1006"/>
      <c r="K1288" s="1006"/>
      <c r="L1288" s="1006"/>
      <c r="M1288" s="1006"/>
      <c r="N1288" s="1006"/>
      <c r="O1288" s="1006"/>
      <c r="P1288" s="1006"/>
      <c r="Q1288" s="1006"/>
      <c r="R1288" s="1006"/>
      <c r="S1288" s="1006"/>
      <c r="T1288" s="1006"/>
      <c r="U1288" s="1006"/>
      <c r="V1288" s="1006"/>
      <c r="W1288" s="1007"/>
      <c r="X1288" s="186"/>
      <c r="Z1288" s="1005" t="s">
        <v>520</v>
      </c>
      <c r="AA1288" s="1006"/>
      <c r="AB1288" s="1006"/>
      <c r="AC1288" s="1006"/>
      <c r="AD1288" s="1006"/>
      <c r="AE1288" s="1007"/>
      <c r="AG1288" s="1005" t="s">
        <v>0</v>
      </c>
      <c r="AH1288" s="1006"/>
      <c r="AI1288" s="1006"/>
      <c r="AJ1288" s="1006"/>
      <c r="AK1288" s="1006"/>
      <c r="AL1288" s="1006"/>
      <c r="AM1288" s="1006"/>
      <c r="AN1288" s="1006"/>
      <c r="AO1288" s="1006"/>
      <c r="AP1288" s="1006"/>
      <c r="AQ1288" s="1006"/>
      <c r="AR1288" s="1006"/>
      <c r="AS1288" s="1006"/>
      <c r="AT1288" s="1006"/>
      <c r="AU1288" s="1007"/>
    </row>
    <row r="1289" spans="2:48" x14ac:dyDescent="0.2">
      <c r="B1289" s="199"/>
      <c r="C1289" s="200"/>
      <c r="D1289" s="200"/>
      <c r="E1289" s="200"/>
      <c r="F1289" s="200"/>
      <c r="G1289" s="201"/>
      <c r="I1289" s="199"/>
      <c r="J1289" s="200"/>
      <c r="K1289" s="200"/>
      <c r="L1289" s="200"/>
      <c r="M1289" s="200"/>
      <c r="N1289" s="200"/>
      <c r="O1289" s="200"/>
      <c r="P1289" s="200"/>
      <c r="Q1289" s="200"/>
      <c r="R1289" s="200"/>
      <c r="S1289" s="200"/>
      <c r="T1289" s="200"/>
      <c r="U1289" s="200"/>
      <c r="V1289" s="200"/>
      <c r="W1289" s="201"/>
      <c r="X1289" s="186"/>
      <c r="Z1289" s="199"/>
      <c r="AA1289" s="200"/>
      <c r="AB1289" s="200"/>
      <c r="AC1289" s="200"/>
      <c r="AD1289" s="200"/>
      <c r="AE1289" s="201"/>
      <c r="AG1289" s="199"/>
      <c r="AH1289" s="200"/>
      <c r="AI1289" s="200"/>
      <c r="AJ1289" s="200"/>
      <c r="AK1289" s="200"/>
      <c r="AL1289" s="200"/>
      <c r="AM1289" s="200"/>
      <c r="AN1289" s="200"/>
      <c r="AO1289" s="200"/>
      <c r="AP1289" s="200"/>
      <c r="AQ1289" s="200"/>
      <c r="AR1289" s="200"/>
      <c r="AS1289" s="200"/>
      <c r="AT1289" s="200"/>
      <c r="AU1289" s="201"/>
    </row>
    <row r="1290" spans="2:48" x14ac:dyDescent="0.2">
      <c r="X1290" s="186"/>
    </row>
    <row r="1291" spans="2:48" x14ac:dyDescent="0.2">
      <c r="I1291" s="1005" t="s">
        <v>481</v>
      </c>
      <c r="J1291" s="1006"/>
      <c r="K1291" s="1006"/>
      <c r="L1291" s="1006"/>
      <c r="M1291" s="1006"/>
      <c r="N1291" s="1006"/>
      <c r="O1291" s="1006"/>
      <c r="P1291" s="1006"/>
      <c r="Q1291" s="1007"/>
      <c r="R1291" s="1005" t="s">
        <v>520</v>
      </c>
      <c r="S1291" s="1006"/>
      <c r="T1291" s="1006"/>
      <c r="U1291" s="1006"/>
      <c r="V1291" s="1006"/>
      <c r="W1291" s="1007"/>
      <c r="X1291" s="186"/>
      <c r="AG1291" s="1005" t="s">
        <v>481</v>
      </c>
      <c r="AH1291" s="1006"/>
      <c r="AI1291" s="1006"/>
      <c r="AJ1291" s="1006"/>
      <c r="AK1291" s="1006"/>
      <c r="AL1291" s="1006"/>
      <c r="AM1291" s="1006"/>
      <c r="AN1291" s="1006"/>
      <c r="AO1291" s="1007"/>
      <c r="AP1291" s="1005" t="s">
        <v>520</v>
      </c>
      <c r="AQ1291" s="1006"/>
      <c r="AR1291" s="1006"/>
      <c r="AS1291" s="1006"/>
      <c r="AT1291" s="1006"/>
      <c r="AU1291" s="1007"/>
    </row>
    <row r="1292" spans="2:48" x14ac:dyDescent="0.2">
      <c r="I1292" s="199"/>
      <c r="J1292" s="200"/>
      <c r="K1292" s="200"/>
      <c r="L1292" s="200"/>
      <c r="M1292" s="200"/>
      <c r="N1292" s="200"/>
      <c r="O1292" s="200"/>
      <c r="P1292" s="200"/>
      <c r="Q1292" s="200"/>
      <c r="R1292" s="199"/>
      <c r="S1292" s="200"/>
      <c r="T1292" s="200"/>
      <c r="U1292" s="200"/>
      <c r="V1292" s="200"/>
      <c r="W1292" s="201"/>
      <c r="X1292" s="186"/>
      <c r="AG1292" s="199"/>
      <c r="AH1292" s="200"/>
      <c r="AI1292" s="200"/>
      <c r="AJ1292" s="200"/>
      <c r="AK1292" s="200"/>
      <c r="AL1292" s="200"/>
      <c r="AM1292" s="200"/>
      <c r="AN1292" s="200"/>
      <c r="AO1292" s="200"/>
      <c r="AP1292" s="199"/>
      <c r="AQ1292" s="200"/>
      <c r="AR1292" s="200"/>
      <c r="AS1292" s="200"/>
      <c r="AT1292" s="200"/>
      <c r="AU1292" s="201"/>
    </row>
    <row r="1293" spans="2:48" ht="39" customHeight="1" x14ac:dyDescent="0.2">
      <c r="B1293" s="392"/>
      <c r="C1293" s="392"/>
      <c r="D1293" s="392"/>
      <c r="E1293" s="392"/>
      <c r="F1293" s="392"/>
      <c r="G1293" s="392"/>
      <c r="H1293" s="392"/>
      <c r="I1293" s="392"/>
      <c r="J1293" s="392"/>
      <c r="K1293" s="392"/>
      <c r="L1293" s="392"/>
      <c r="M1293" s="392"/>
      <c r="N1293" s="392"/>
      <c r="O1293" s="392"/>
      <c r="P1293" s="392"/>
      <c r="Q1293" s="392"/>
      <c r="R1293" s="392"/>
      <c r="S1293" s="392"/>
      <c r="T1293" s="392"/>
      <c r="U1293" s="392"/>
      <c r="V1293" s="392"/>
      <c r="W1293" s="392"/>
      <c r="X1293" s="393"/>
      <c r="Y1293" s="394"/>
      <c r="Z1293" s="392"/>
      <c r="AA1293" s="392"/>
      <c r="AB1293" s="392"/>
      <c r="AC1293" s="392"/>
      <c r="AD1293" s="392"/>
      <c r="AE1293" s="392"/>
      <c r="AF1293" s="392"/>
      <c r="AG1293" s="392"/>
      <c r="AH1293" s="392"/>
      <c r="AI1293" s="392"/>
      <c r="AJ1293" s="392"/>
      <c r="AK1293" s="392"/>
      <c r="AL1293" s="392"/>
      <c r="AM1293" s="392"/>
      <c r="AN1293" s="392"/>
      <c r="AO1293" s="392"/>
      <c r="AP1293" s="392"/>
      <c r="AQ1293" s="392"/>
      <c r="AR1293" s="392"/>
      <c r="AS1293" s="392"/>
      <c r="AT1293" s="392"/>
      <c r="AU1293" s="392"/>
      <c r="AV1293" s="392"/>
    </row>
    <row r="1294" spans="2:48" ht="39" customHeight="1" x14ac:dyDescent="0.2">
      <c r="B1294" s="182"/>
      <c r="C1294" s="182"/>
      <c r="D1294" s="182"/>
      <c r="E1294" s="182"/>
      <c r="F1294" s="182"/>
      <c r="G1294" s="182"/>
      <c r="H1294" s="182"/>
      <c r="I1294" s="182"/>
      <c r="J1294" s="182"/>
      <c r="K1294" s="182"/>
      <c r="L1294" s="182"/>
      <c r="M1294" s="182"/>
      <c r="N1294" s="182"/>
      <c r="O1294" s="182"/>
      <c r="P1294" s="182"/>
      <c r="Q1294" s="182"/>
      <c r="R1294" s="182"/>
      <c r="S1294" s="182"/>
      <c r="T1294" s="182"/>
      <c r="U1294" s="182"/>
      <c r="V1294" s="182"/>
      <c r="W1294" s="182"/>
      <c r="X1294" s="183"/>
      <c r="Y1294" s="184"/>
      <c r="Z1294" s="182"/>
      <c r="AA1294" s="182"/>
      <c r="AB1294" s="182"/>
      <c r="AC1294" s="182"/>
      <c r="AD1294" s="182"/>
      <c r="AE1294" s="182"/>
      <c r="AF1294" s="182"/>
      <c r="AG1294" s="182"/>
      <c r="AH1294" s="182"/>
      <c r="AI1294" s="182"/>
      <c r="AJ1294" s="182"/>
      <c r="AK1294" s="182"/>
      <c r="AL1294" s="182"/>
      <c r="AM1294" s="182"/>
      <c r="AN1294" s="182"/>
      <c r="AO1294" s="182"/>
      <c r="AP1294" s="182"/>
      <c r="AQ1294" s="182"/>
      <c r="AR1294" s="182"/>
      <c r="AS1294" s="182"/>
      <c r="AT1294" s="182"/>
      <c r="AU1294" s="182"/>
      <c r="AV1294" s="182"/>
    </row>
    <row r="1295" spans="2:48" ht="18" x14ac:dyDescent="0.2">
      <c r="B1295" s="182"/>
      <c r="C1295" s="182"/>
      <c r="D1295" s="182"/>
      <c r="E1295" s="182"/>
      <c r="F1295" s="182"/>
      <c r="G1295" s="182"/>
      <c r="H1295" s="992" t="s">
        <v>374</v>
      </c>
      <c r="I1295" s="992"/>
      <c r="J1295" s="992"/>
      <c r="K1295" s="992"/>
      <c r="L1295" s="992"/>
      <c r="M1295" s="992"/>
      <c r="N1295" s="992"/>
      <c r="O1295" s="992"/>
      <c r="P1295" s="992"/>
      <c r="Q1295" s="992"/>
      <c r="R1295" s="182"/>
      <c r="S1295" s="182"/>
      <c r="T1295" s="182"/>
      <c r="U1295" s="182"/>
      <c r="V1295" s="182"/>
      <c r="W1295" s="182"/>
      <c r="X1295" s="183"/>
      <c r="Y1295" s="182"/>
      <c r="Z1295" s="182"/>
      <c r="AA1295" s="182"/>
      <c r="AB1295" s="182"/>
      <c r="AC1295" s="182"/>
      <c r="AD1295" s="182"/>
      <c r="AE1295" s="992" t="s">
        <v>374</v>
      </c>
      <c r="AF1295" s="992"/>
      <c r="AG1295" s="992"/>
      <c r="AH1295" s="992"/>
      <c r="AI1295" s="992"/>
      <c r="AJ1295" s="992"/>
      <c r="AK1295" s="992"/>
      <c r="AL1295" s="992"/>
      <c r="AM1295" s="992"/>
      <c r="AN1295" s="992"/>
      <c r="AO1295" s="182"/>
      <c r="AP1295" s="182"/>
      <c r="AQ1295" s="182"/>
      <c r="AR1295" s="182"/>
      <c r="AS1295" s="182"/>
      <c r="AT1295" s="182"/>
      <c r="AU1295" s="182"/>
      <c r="AV1295" s="182"/>
    </row>
    <row r="1296" spans="2:48" ht="18" x14ac:dyDescent="0.2">
      <c r="B1296" s="182"/>
      <c r="C1296" s="182"/>
      <c r="D1296" s="182"/>
      <c r="E1296" s="182"/>
      <c r="F1296" s="182"/>
      <c r="G1296" s="182"/>
      <c r="H1296" s="1022" t="e">
        <f>VLOOKUP(U1305,ID_archer_cible,4,FALSE)</f>
        <v>#N/A</v>
      </c>
      <c r="I1296" s="1023"/>
      <c r="J1296" s="1023"/>
      <c r="K1296" s="1023"/>
      <c r="L1296" s="1023"/>
      <c r="M1296" s="1023"/>
      <c r="N1296" s="1023"/>
      <c r="O1296" s="1023"/>
      <c r="P1296" s="1023"/>
      <c r="Q1296" s="1024"/>
      <c r="R1296" s="182"/>
      <c r="S1296" s="182"/>
      <c r="T1296" s="182"/>
      <c r="U1296" s="182"/>
      <c r="V1296" s="182"/>
      <c r="W1296" s="182"/>
      <c r="X1296" s="183"/>
      <c r="Y1296" s="182"/>
      <c r="Z1296" s="182"/>
      <c r="AA1296" s="182"/>
      <c r="AB1296" s="182"/>
      <c r="AC1296" s="182"/>
      <c r="AD1296" s="182"/>
      <c r="AE1296" s="1022" t="e">
        <f>VLOOKUP(AS1305,ID_archer_cible,4,FALSE)</f>
        <v>#N/A</v>
      </c>
      <c r="AF1296" s="1023"/>
      <c r="AG1296" s="1023"/>
      <c r="AH1296" s="1023"/>
      <c r="AI1296" s="1023"/>
      <c r="AJ1296" s="1023"/>
      <c r="AK1296" s="1023"/>
      <c r="AL1296" s="1023"/>
      <c r="AM1296" s="1023"/>
      <c r="AN1296" s="1024"/>
      <c r="AO1296" s="182"/>
      <c r="AP1296" s="182"/>
      <c r="AQ1296" s="182"/>
      <c r="AR1296" s="182"/>
      <c r="AS1296" s="182"/>
      <c r="AT1296" s="182"/>
      <c r="AU1296" s="182"/>
      <c r="AV1296" s="182"/>
    </row>
    <row r="1297" spans="2:48" x14ac:dyDescent="0.2">
      <c r="X1297" s="186"/>
    </row>
    <row r="1298" spans="2:48" x14ac:dyDescent="0.2">
      <c r="B1298" s="1021" t="s">
        <v>0</v>
      </c>
      <c r="C1298" s="1021"/>
      <c r="D1298" s="1021"/>
      <c r="E1298" s="1021"/>
      <c r="F1298" s="1021"/>
      <c r="G1298" s="1021"/>
      <c r="H1298" s="1021"/>
      <c r="I1298" s="1021"/>
      <c r="J1298" s="1021"/>
      <c r="K1298" s="1021"/>
      <c r="L1298" s="1021"/>
      <c r="M1298" s="187"/>
      <c r="P1298" s="992" t="s">
        <v>375</v>
      </c>
      <c r="Q1298" s="992"/>
      <c r="R1298" s="992"/>
      <c r="S1298" s="992"/>
      <c r="T1298" s="992"/>
      <c r="U1298" s="992"/>
      <c r="V1298" s="992"/>
      <c r="W1298" s="992"/>
      <c r="X1298" s="188"/>
      <c r="Z1298" s="1021" t="s">
        <v>0</v>
      </c>
      <c r="AA1298" s="1021"/>
      <c r="AB1298" s="1021"/>
      <c r="AC1298" s="1021"/>
      <c r="AD1298" s="1021"/>
      <c r="AE1298" s="1021"/>
      <c r="AF1298" s="1021"/>
      <c r="AG1298" s="1021"/>
      <c r="AH1298" s="1021"/>
      <c r="AI1298" s="1021"/>
      <c r="AJ1298" s="1021"/>
      <c r="AK1298" s="187"/>
      <c r="AN1298" s="992" t="s">
        <v>375</v>
      </c>
      <c r="AO1298" s="992"/>
      <c r="AP1298" s="992"/>
      <c r="AQ1298" s="992"/>
      <c r="AR1298" s="992"/>
      <c r="AS1298" s="992"/>
      <c r="AT1298" s="992"/>
      <c r="AU1298" s="992"/>
      <c r="AV1298" s="187"/>
    </row>
    <row r="1299" spans="2:48" x14ac:dyDescent="0.2">
      <c r="B1299" s="999" t="e">
        <f>VLOOKUP(U1305,ID_archer_cible,2,FALSE)</f>
        <v>#N/A</v>
      </c>
      <c r="C1299" s="1000"/>
      <c r="D1299" s="1000"/>
      <c r="E1299" s="1000"/>
      <c r="F1299" s="1000"/>
      <c r="G1299" s="1000"/>
      <c r="H1299" s="1000"/>
      <c r="I1299" s="1000"/>
      <c r="J1299" s="1000"/>
      <c r="K1299" s="1000"/>
      <c r="L1299" s="1000"/>
      <c r="M1299" s="1001"/>
      <c r="P1299" s="999" t="e">
        <f>VLOOKUP(U1305,ID_archer_cible,3,FALSE)</f>
        <v>#N/A</v>
      </c>
      <c r="Q1299" s="1000"/>
      <c r="R1299" s="1000"/>
      <c r="S1299" s="1000"/>
      <c r="T1299" s="1000"/>
      <c r="U1299" s="1000"/>
      <c r="V1299" s="1000"/>
      <c r="W1299" s="1001"/>
      <c r="X1299" s="186"/>
      <c r="Y1299"/>
      <c r="Z1299" s="999" t="e">
        <f>VLOOKUP(AS1305,ID_archer_cible,2,FALSE)</f>
        <v>#N/A</v>
      </c>
      <c r="AA1299" s="1000"/>
      <c r="AB1299" s="1000"/>
      <c r="AC1299" s="1000"/>
      <c r="AD1299" s="1000"/>
      <c r="AE1299" s="1000"/>
      <c r="AF1299" s="1000"/>
      <c r="AG1299" s="1000"/>
      <c r="AH1299" s="1000"/>
      <c r="AI1299" s="1000"/>
      <c r="AJ1299" s="1000"/>
      <c r="AK1299" s="1001"/>
      <c r="AN1299" s="999" t="e">
        <f>VLOOKUP(AS1305,ID_archer_cible,3,FALSE)</f>
        <v>#N/A</v>
      </c>
      <c r="AO1299" s="1000"/>
      <c r="AP1299" s="1000"/>
      <c r="AQ1299" s="1000"/>
      <c r="AR1299" s="1000"/>
      <c r="AS1299" s="1000"/>
      <c r="AT1299" s="1000"/>
      <c r="AU1299" s="1001"/>
    </row>
    <row r="1300" spans="2:48" x14ac:dyDescent="0.2">
      <c r="X1300" s="186"/>
      <c r="Y1300"/>
    </row>
    <row r="1301" spans="2:48" ht="16.5" thickBot="1" x14ac:dyDescent="0.25">
      <c r="B1301" s="1017" t="s">
        <v>1</v>
      </c>
      <c r="C1301" s="1017"/>
      <c r="D1301" s="1017"/>
      <c r="E1301" s="1017"/>
      <c r="F1301" s="1017"/>
      <c r="G1301" s="1017"/>
      <c r="H1301" s="1017"/>
      <c r="I1301" s="1017"/>
      <c r="J1301" s="1017"/>
      <c r="L1301" s="1017" t="s">
        <v>505</v>
      </c>
      <c r="M1301" s="1017"/>
      <c r="N1301" s="1017"/>
      <c r="O1301" s="1017"/>
      <c r="P1301" s="1017"/>
      <c r="Q1301" s="1017"/>
      <c r="S1301" s="992" t="s">
        <v>506</v>
      </c>
      <c r="T1301" s="992"/>
      <c r="U1301" s="992"/>
      <c r="V1301" s="992"/>
      <c r="W1301" s="992"/>
      <c r="X1301" s="188"/>
      <c r="Y1301"/>
      <c r="Z1301" s="1017" t="s">
        <v>1</v>
      </c>
      <c r="AA1301" s="1017"/>
      <c r="AB1301" s="1017"/>
      <c r="AC1301" s="1017"/>
      <c r="AD1301" s="1017"/>
      <c r="AE1301" s="1017"/>
      <c r="AF1301" s="1017"/>
      <c r="AG1301" s="1017"/>
      <c r="AH1301" s="1017"/>
      <c r="AJ1301" s="1017" t="s">
        <v>505</v>
      </c>
      <c r="AK1301" s="1017"/>
      <c r="AL1301" s="1017"/>
      <c r="AM1301" s="1017"/>
      <c r="AN1301" s="1017"/>
      <c r="AO1301" s="1017"/>
      <c r="AQ1301" s="992" t="s">
        <v>506</v>
      </c>
      <c r="AR1301" s="992"/>
      <c r="AS1301" s="992"/>
      <c r="AT1301" s="992"/>
      <c r="AU1301" s="992"/>
      <c r="AV1301" s="187"/>
    </row>
    <row r="1302" spans="2:48" ht="16.5" thickBot="1" x14ac:dyDescent="0.25">
      <c r="B1302" s="1014" t="e">
        <f>VLOOKUP(U1305,ID_archer_cible,5,FALSE)</f>
        <v>#N/A</v>
      </c>
      <c r="C1302" s="1015"/>
      <c r="D1302" s="1015"/>
      <c r="E1302" s="1015"/>
      <c r="F1302" s="1015"/>
      <c r="G1302" s="1015"/>
      <c r="H1302" s="1015"/>
      <c r="I1302" s="1015"/>
      <c r="J1302" s="1016"/>
      <c r="L1302" s="1014" t="e">
        <f>VLOOKUP(U1305,ID_archer_cible,6,FALSE)</f>
        <v>#N/A</v>
      </c>
      <c r="M1302" s="1015"/>
      <c r="N1302" s="1015"/>
      <c r="O1302" s="1015"/>
      <c r="P1302" s="1015"/>
      <c r="Q1302" s="1016"/>
      <c r="S1302" s="999" t="e">
        <f>VLOOKUP(U1305,ID_archer_cible,8,FALSE)</f>
        <v>#N/A</v>
      </c>
      <c r="T1302" s="1000"/>
      <c r="U1302" s="1000"/>
      <c r="V1302" s="1000"/>
      <c r="W1302" s="1001"/>
      <c r="X1302" s="186"/>
      <c r="Y1302"/>
      <c r="Z1302" s="1014" t="e">
        <f>VLOOKUP(AS1305,ID_archer_cible,5,FALSE)</f>
        <v>#N/A</v>
      </c>
      <c r="AA1302" s="1015"/>
      <c r="AB1302" s="1015"/>
      <c r="AC1302" s="1015"/>
      <c r="AD1302" s="1015"/>
      <c r="AE1302" s="1015"/>
      <c r="AF1302" s="1015"/>
      <c r="AG1302" s="1015"/>
      <c r="AH1302" s="1016"/>
      <c r="AJ1302" s="1014" t="e">
        <f>VLOOKUP(AS1305,ID_archer_cible,6,FALSE)</f>
        <v>#N/A</v>
      </c>
      <c r="AK1302" s="1015"/>
      <c r="AL1302" s="1015"/>
      <c r="AM1302" s="1015"/>
      <c r="AN1302" s="1015"/>
      <c r="AO1302" s="1016"/>
      <c r="AQ1302" s="999" t="e">
        <f>VLOOKUP(AS1305,ID_archer_cible,8,FALSE)</f>
        <v>#N/A</v>
      </c>
      <c r="AR1302" s="1000"/>
      <c r="AS1302" s="1000"/>
      <c r="AT1302" s="1000"/>
      <c r="AU1302" s="1001"/>
    </row>
    <row r="1303" spans="2:48" x14ac:dyDescent="0.2">
      <c r="X1303" s="186"/>
      <c r="Y1303"/>
    </row>
    <row r="1304" spans="2:48" x14ac:dyDescent="0.2">
      <c r="B1304" s="992" t="s">
        <v>530</v>
      </c>
      <c r="C1304" s="992"/>
      <c r="D1304" s="992"/>
      <c r="E1304" s="992"/>
      <c r="F1304" s="992"/>
      <c r="G1304" s="187"/>
      <c r="H1304" s="992" t="s">
        <v>504</v>
      </c>
      <c r="I1304" s="992"/>
      <c r="J1304" s="992"/>
      <c r="K1304" s="992"/>
      <c r="M1304" s="992" t="s">
        <v>39</v>
      </c>
      <c r="N1304" s="992"/>
      <c r="O1304" s="992"/>
      <c r="Q1304" s="1021"/>
      <c r="R1304" s="1021"/>
      <c r="S1304" s="1021"/>
      <c r="U1304" s="992" t="s">
        <v>507</v>
      </c>
      <c r="V1304" s="992"/>
      <c r="W1304" s="992"/>
      <c r="X1304" s="188"/>
      <c r="Y1304"/>
      <c r="Z1304" s="992" t="s">
        <v>530</v>
      </c>
      <c r="AA1304" s="992"/>
      <c r="AB1304" s="992"/>
      <c r="AC1304" s="992"/>
      <c r="AD1304" s="992"/>
      <c r="AE1304" s="187"/>
      <c r="AF1304" s="992" t="s">
        <v>504</v>
      </c>
      <c r="AG1304" s="992"/>
      <c r="AH1304" s="992"/>
      <c r="AI1304" s="992"/>
      <c r="AK1304" s="992" t="s">
        <v>39</v>
      </c>
      <c r="AL1304" s="992"/>
      <c r="AM1304" s="992"/>
      <c r="AO1304" s="1021"/>
      <c r="AP1304" s="1021"/>
      <c r="AQ1304" s="1021"/>
      <c r="AS1304" s="992" t="s">
        <v>507</v>
      </c>
      <c r="AT1304" s="992"/>
      <c r="AU1304" s="992"/>
      <c r="AV1304" s="187"/>
    </row>
    <row r="1305" spans="2:48" ht="15.75" x14ac:dyDescent="0.2">
      <c r="B1305" s="1011" t="e">
        <f>VLOOKUP(U1305,ID_archer_cible,7,FALSE)</f>
        <v>#N/A</v>
      </c>
      <c r="C1305" s="1012"/>
      <c r="D1305" s="1012"/>
      <c r="E1305" s="1012"/>
      <c r="F1305" s="1013"/>
      <c r="H1305" s="999" t="e">
        <f>VLOOKUP(U1305,ID_archer_cible,9,FALSE)</f>
        <v>#N/A</v>
      </c>
      <c r="I1305" s="1000"/>
      <c r="J1305" s="1000"/>
      <c r="K1305" s="1001"/>
      <c r="M1305" s="999" t="e">
        <f>VLOOKUP(U1305,ID_archer_cible,10,FALSE)</f>
        <v>#N/A</v>
      </c>
      <c r="N1305" s="1000"/>
      <c r="O1305" s="1001"/>
      <c r="Q1305" s="1021"/>
      <c r="R1305" s="1021"/>
      <c r="S1305" s="1021"/>
      <c r="T1305" s="187"/>
      <c r="U1305" s="996" t="str">
        <f>AR1263&amp;"C"</f>
        <v>21C</v>
      </c>
      <c r="V1305" s="997"/>
      <c r="W1305" s="998"/>
      <c r="X1305" s="188"/>
      <c r="Y1305"/>
      <c r="Z1305" s="1011" t="e">
        <f>VLOOKUP(AS1305,ID_archer_cible,7,FALSE)</f>
        <v>#N/A</v>
      </c>
      <c r="AA1305" s="1012"/>
      <c r="AB1305" s="1012"/>
      <c r="AC1305" s="1012"/>
      <c r="AD1305" s="1013"/>
      <c r="AF1305" s="999" t="e">
        <f>VLOOKUP(AS1305,ID_archer_cible,9,FALSE)</f>
        <v>#N/A</v>
      </c>
      <c r="AG1305" s="1000"/>
      <c r="AH1305" s="1000"/>
      <c r="AI1305" s="1001"/>
      <c r="AK1305" s="999" t="e">
        <f>VLOOKUP(AS1305,ID_archer_cible,10,FALSE)</f>
        <v>#N/A</v>
      </c>
      <c r="AL1305" s="1000"/>
      <c r="AM1305" s="1001"/>
      <c r="AO1305" s="1021"/>
      <c r="AP1305" s="1021"/>
      <c r="AQ1305" s="1021"/>
      <c r="AR1305" s="187"/>
      <c r="AS1305" s="996" t="str">
        <f>AR1263&amp;"D"</f>
        <v>21D</v>
      </c>
      <c r="AT1305" s="997"/>
      <c r="AU1305" s="998"/>
      <c r="AV1305" s="187"/>
    </row>
    <row r="1306" spans="2:48" x14ac:dyDescent="0.2">
      <c r="X1306" s="186"/>
    </row>
    <row r="1307" spans="2:48" x14ac:dyDescent="0.2">
      <c r="B1307" s="185" t="s">
        <v>509</v>
      </c>
      <c r="E1307" s="992" t="s">
        <v>510</v>
      </c>
      <c r="F1307" s="992"/>
      <c r="G1307" s="992"/>
      <c r="H1307" s="992"/>
      <c r="I1307" s="992"/>
      <c r="J1307" s="992"/>
      <c r="K1307" s="992"/>
      <c r="L1307" s="992"/>
      <c r="M1307" s="992"/>
      <c r="N1307" s="992"/>
      <c r="P1307" s="992" t="s">
        <v>511</v>
      </c>
      <c r="Q1307" s="992"/>
      <c r="R1307" s="992"/>
      <c r="X1307" s="186"/>
      <c r="Z1307" s="185" t="s">
        <v>509</v>
      </c>
      <c r="AC1307" s="992" t="s">
        <v>510</v>
      </c>
      <c r="AD1307" s="992"/>
      <c r="AE1307" s="992"/>
      <c r="AF1307" s="992"/>
      <c r="AG1307" s="992"/>
      <c r="AH1307" s="992"/>
      <c r="AI1307" s="992"/>
      <c r="AJ1307" s="992"/>
      <c r="AK1307" s="992"/>
      <c r="AL1307" s="992"/>
      <c r="AN1307" s="992" t="s">
        <v>511</v>
      </c>
      <c r="AO1307" s="992"/>
      <c r="AP1307" s="992"/>
    </row>
    <row r="1308" spans="2:48" ht="20.25" customHeight="1" x14ac:dyDescent="0.2">
      <c r="B1308" s="1009" t="s">
        <v>513</v>
      </c>
      <c r="C1308" s="1009"/>
      <c r="E1308" s="189"/>
      <c r="F1308" s="191"/>
      <c r="G1308" s="189"/>
      <c r="H1308" s="191"/>
      <c r="I1308" s="189"/>
      <c r="J1308" s="191"/>
      <c r="K1308" s="189"/>
      <c r="L1308" s="191"/>
      <c r="M1308" s="189"/>
      <c r="N1308" s="191"/>
      <c r="P1308" s="189"/>
      <c r="Q1308" s="190"/>
      <c r="R1308" s="191"/>
      <c r="T1308" s="992" t="s">
        <v>512</v>
      </c>
      <c r="U1308" s="992"/>
      <c r="V1308" s="992"/>
      <c r="W1308" s="992"/>
      <c r="X1308" s="188"/>
      <c r="Z1308" s="1009" t="s">
        <v>513</v>
      </c>
      <c r="AA1308" s="1009"/>
      <c r="AC1308" s="189"/>
      <c r="AD1308" s="191"/>
      <c r="AE1308" s="189"/>
      <c r="AF1308" s="191"/>
      <c r="AG1308" s="189"/>
      <c r="AH1308" s="191"/>
      <c r="AI1308" s="189"/>
      <c r="AJ1308" s="191"/>
      <c r="AK1308" s="189"/>
      <c r="AL1308" s="191"/>
      <c r="AN1308" s="189"/>
      <c r="AO1308" s="190"/>
      <c r="AP1308" s="191"/>
      <c r="AR1308" s="992" t="s">
        <v>512</v>
      </c>
      <c r="AS1308" s="992"/>
      <c r="AT1308" s="992"/>
      <c r="AU1308" s="992"/>
      <c r="AV1308" s="187"/>
    </row>
    <row r="1309" spans="2:48" ht="20.25" customHeight="1" x14ac:dyDescent="0.2">
      <c r="B1309" s="1009" t="s">
        <v>514</v>
      </c>
      <c r="C1309" s="1009"/>
      <c r="E1309" s="189"/>
      <c r="F1309" s="191"/>
      <c r="G1309" s="189"/>
      <c r="H1309" s="191"/>
      <c r="I1309" s="189"/>
      <c r="J1309" s="191"/>
      <c r="K1309" s="189"/>
      <c r="L1309" s="191"/>
      <c r="M1309" s="189"/>
      <c r="N1309" s="191"/>
      <c r="P1309" s="189"/>
      <c r="Q1309" s="190"/>
      <c r="R1309" s="191"/>
      <c r="T1309" s="189"/>
      <c r="U1309" s="190"/>
      <c r="V1309" s="190"/>
      <c r="W1309" s="191"/>
      <c r="X1309" s="186"/>
      <c r="Z1309" s="1009" t="s">
        <v>514</v>
      </c>
      <c r="AA1309" s="1009"/>
      <c r="AC1309" s="189"/>
      <c r="AD1309" s="191"/>
      <c r="AE1309" s="189"/>
      <c r="AF1309" s="191"/>
      <c r="AG1309" s="189"/>
      <c r="AH1309" s="191"/>
      <c r="AI1309" s="189"/>
      <c r="AJ1309" s="191"/>
      <c r="AK1309" s="189"/>
      <c r="AL1309" s="191"/>
      <c r="AN1309" s="189"/>
      <c r="AO1309" s="190"/>
      <c r="AP1309" s="191"/>
      <c r="AR1309" s="189"/>
      <c r="AS1309" s="190"/>
      <c r="AT1309" s="190"/>
      <c r="AU1309" s="191"/>
    </row>
    <row r="1310" spans="2:48" ht="20.25" customHeight="1" x14ac:dyDescent="0.2">
      <c r="B1310" s="1009" t="s">
        <v>515</v>
      </c>
      <c r="C1310" s="1009"/>
      <c r="E1310" s="189"/>
      <c r="F1310" s="191"/>
      <c r="G1310" s="189"/>
      <c r="H1310" s="191"/>
      <c r="I1310" s="189"/>
      <c r="J1310" s="191"/>
      <c r="K1310" s="189"/>
      <c r="L1310" s="191"/>
      <c r="M1310" s="189"/>
      <c r="N1310" s="191"/>
      <c r="P1310" s="189"/>
      <c r="Q1310" s="190"/>
      <c r="R1310" s="191"/>
      <c r="T1310" s="189"/>
      <c r="U1310" s="190"/>
      <c r="V1310" s="190"/>
      <c r="W1310" s="191"/>
      <c r="X1310" s="186"/>
      <c r="Z1310" s="1009" t="s">
        <v>515</v>
      </c>
      <c r="AA1310" s="1009"/>
      <c r="AC1310" s="189"/>
      <c r="AD1310" s="191"/>
      <c r="AE1310" s="189"/>
      <c r="AF1310" s="191"/>
      <c r="AG1310" s="189"/>
      <c r="AH1310" s="191"/>
      <c r="AI1310" s="189"/>
      <c r="AJ1310" s="191"/>
      <c r="AK1310" s="189"/>
      <c r="AL1310" s="191"/>
      <c r="AN1310" s="189"/>
      <c r="AO1310" s="190"/>
      <c r="AP1310" s="191"/>
      <c r="AR1310" s="189"/>
      <c r="AS1310" s="190"/>
      <c r="AT1310" s="190"/>
      <c r="AU1310" s="191"/>
    </row>
    <row r="1311" spans="2:48" ht="20.25" customHeight="1" x14ac:dyDescent="0.2">
      <c r="B1311" s="1009" t="s">
        <v>516</v>
      </c>
      <c r="C1311" s="1009"/>
      <c r="E1311" s="189"/>
      <c r="F1311" s="191"/>
      <c r="G1311" s="189"/>
      <c r="H1311" s="191"/>
      <c r="I1311" s="189"/>
      <c r="J1311" s="191"/>
      <c r="K1311" s="189"/>
      <c r="L1311" s="191"/>
      <c r="M1311" s="189"/>
      <c r="N1311" s="191"/>
      <c r="P1311" s="189"/>
      <c r="Q1311" s="190"/>
      <c r="R1311" s="191"/>
      <c r="T1311" s="189"/>
      <c r="U1311" s="190"/>
      <c r="V1311" s="190"/>
      <c r="W1311" s="191"/>
      <c r="X1311" s="186"/>
      <c r="Z1311" s="1009" t="s">
        <v>516</v>
      </c>
      <c r="AA1311" s="1009"/>
      <c r="AC1311" s="189"/>
      <c r="AD1311" s="191"/>
      <c r="AE1311" s="189"/>
      <c r="AF1311" s="191"/>
      <c r="AG1311" s="189"/>
      <c r="AH1311" s="191"/>
      <c r="AI1311" s="189"/>
      <c r="AJ1311" s="191"/>
      <c r="AK1311" s="189"/>
      <c r="AL1311" s="191"/>
      <c r="AN1311" s="189"/>
      <c r="AO1311" s="190"/>
      <c r="AP1311" s="191"/>
      <c r="AR1311" s="189"/>
      <c r="AS1311" s="190"/>
      <c r="AT1311" s="190"/>
      <c r="AU1311" s="191"/>
    </row>
    <row r="1312" spans="2:48" ht="20.25" customHeight="1" x14ac:dyDescent="0.2">
      <c r="B1312" s="1009" t="s">
        <v>517</v>
      </c>
      <c r="C1312" s="1009"/>
      <c r="E1312" s="189"/>
      <c r="F1312" s="191"/>
      <c r="G1312" s="189"/>
      <c r="H1312" s="191"/>
      <c r="I1312" s="189"/>
      <c r="J1312" s="191"/>
      <c r="K1312" s="189"/>
      <c r="L1312" s="191"/>
      <c r="M1312" s="189"/>
      <c r="N1312" s="191"/>
      <c r="P1312" s="189"/>
      <c r="Q1312" s="190"/>
      <c r="R1312" s="191"/>
      <c r="T1312" s="189"/>
      <c r="U1312" s="190"/>
      <c r="V1312" s="190"/>
      <c r="W1312" s="191"/>
      <c r="X1312" s="186"/>
      <c r="Z1312" s="1009" t="s">
        <v>517</v>
      </c>
      <c r="AA1312" s="1009"/>
      <c r="AC1312" s="189"/>
      <c r="AD1312" s="191"/>
      <c r="AE1312" s="189"/>
      <c r="AF1312" s="191"/>
      <c r="AG1312" s="189"/>
      <c r="AH1312" s="191"/>
      <c r="AI1312" s="189"/>
      <c r="AJ1312" s="191"/>
      <c r="AK1312" s="189"/>
      <c r="AL1312" s="191"/>
      <c r="AN1312" s="189"/>
      <c r="AO1312" s="190"/>
      <c r="AP1312" s="191"/>
      <c r="AR1312" s="189"/>
      <c r="AS1312" s="190"/>
      <c r="AT1312" s="190"/>
      <c r="AU1312" s="191"/>
    </row>
    <row r="1313" spans="2:48" ht="20.25" customHeight="1" x14ac:dyDescent="0.2">
      <c r="B1313" s="1009" t="s">
        <v>518</v>
      </c>
      <c r="C1313" s="1009"/>
      <c r="E1313" s="189"/>
      <c r="F1313" s="191"/>
      <c r="G1313" s="189"/>
      <c r="H1313" s="191"/>
      <c r="I1313" s="189"/>
      <c r="J1313" s="191"/>
      <c r="K1313" s="189"/>
      <c r="L1313" s="191"/>
      <c r="M1313" s="189"/>
      <c r="N1313" s="191"/>
      <c r="P1313" s="189"/>
      <c r="Q1313" s="190"/>
      <c r="R1313" s="191"/>
      <c r="T1313" s="189"/>
      <c r="U1313" s="190"/>
      <c r="V1313" s="190"/>
      <c r="W1313" s="191"/>
      <c r="X1313" s="186"/>
      <c r="Z1313" s="1009" t="s">
        <v>518</v>
      </c>
      <c r="AA1313" s="1009"/>
      <c r="AC1313" s="189"/>
      <c r="AD1313" s="191"/>
      <c r="AE1313" s="189"/>
      <c r="AF1313" s="191"/>
      <c r="AG1313" s="189"/>
      <c r="AH1313" s="191"/>
      <c r="AI1313" s="189"/>
      <c r="AJ1313" s="191"/>
      <c r="AK1313" s="189"/>
      <c r="AL1313" s="191"/>
      <c r="AN1313" s="189"/>
      <c r="AO1313" s="190"/>
      <c r="AP1313" s="191"/>
      <c r="AR1313" s="189"/>
      <c r="AS1313" s="190"/>
      <c r="AT1313" s="190"/>
      <c r="AU1313" s="191"/>
    </row>
    <row r="1314" spans="2:48" ht="15.75" thickBot="1" x14ac:dyDescent="0.25">
      <c r="B1314" s="187"/>
      <c r="C1314" s="187"/>
      <c r="X1314" s="186"/>
      <c r="Z1314" s="187"/>
      <c r="AA1314" s="187"/>
    </row>
    <row r="1315" spans="2:48" ht="20.25" customHeight="1" thickBot="1" x14ac:dyDescent="0.25">
      <c r="P1315" s="197" t="s">
        <v>519</v>
      </c>
      <c r="Q1315" s="197"/>
      <c r="R1315" s="197"/>
      <c r="S1315" s="197"/>
      <c r="T1315" s="192"/>
      <c r="U1315" s="193"/>
      <c r="V1315" s="193"/>
      <c r="W1315" s="194"/>
      <c r="X1315" s="186"/>
      <c r="AN1315" s="197" t="s">
        <v>519</v>
      </c>
      <c r="AO1315" s="197"/>
      <c r="AP1315" s="197"/>
      <c r="AQ1315" s="197"/>
      <c r="AR1315" s="192"/>
      <c r="AS1315" s="193"/>
      <c r="AT1315" s="193"/>
      <c r="AU1315" s="194"/>
    </row>
    <row r="1316" spans="2:48" x14ac:dyDescent="0.2">
      <c r="E1316" s="196"/>
      <c r="F1316" s="196"/>
      <c r="G1316" s="196"/>
      <c r="H1316" s="196"/>
      <c r="I1316" s="196"/>
      <c r="J1316" s="196"/>
      <c r="K1316" s="196"/>
      <c r="L1316" s="196"/>
      <c r="M1316" s="196"/>
      <c r="X1316" s="186"/>
      <c r="AC1316" s="196"/>
      <c r="AD1316" s="196"/>
      <c r="AE1316" s="196"/>
      <c r="AF1316" s="196"/>
      <c r="AG1316" s="196"/>
      <c r="AH1316" s="196"/>
      <c r="AI1316" s="196"/>
      <c r="AJ1316" s="196"/>
      <c r="AK1316" s="196"/>
    </row>
    <row r="1317" spans="2:48" x14ac:dyDescent="0.2">
      <c r="B1317" s="1010" t="s">
        <v>521</v>
      </c>
      <c r="C1317" s="1010"/>
      <c r="D1317" s="1010"/>
      <c r="E1317" s="1010"/>
      <c r="F1317" s="1010"/>
      <c r="G1317" s="1010"/>
      <c r="H1317" s="195"/>
      <c r="I1317" s="1004" t="s">
        <v>522</v>
      </c>
      <c r="J1317" s="1004"/>
      <c r="K1317" s="1004"/>
      <c r="L1317" s="1004"/>
      <c r="M1317" s="1004"/>
      <c r="N1317" s="1004"/>
      <c r="O1317" s="1004"/>
      <c r="P1317" s="1004"/>
      <c r="Q1317" s="1004"/>
      <c r="R1317" s="1004"/>
      <c r="S1317" s="1004"/>
      <c r="T1317" s="1004"/>
      <c r="U1317" s="1004"/>
      <c r="V1317" s="1004"/>
      <c r="W1317" s="1004"/>
      <c r="X1317" s="198"/>
      <c r="Y1317" s="195"/>
      <c r="Z1317" s="1010" t="s">
        <v>521</v>
      </c>
      <c r="AA1317" s="1010"/>
      <c r="AB1317" s="1010"/>
      <c r="AC1317" s="1010"/>
      <c r="AD1317" s="1010"/>
      <c r="AE1317" s="1010"/>
      <c r="AF1317" s="195"/>
      <c r="AG1317" s="1004" t="s">
        <v>522</v>
      </c>
      <c r="AH1317" s="1004"/>
      <c r="AI1317" s="1004"/>
      <c r="AJ1317" s="1004"/>
      <c r="AK1317" s="1004"/>
      <c r="AL1317" s="1004"/>
      <c r="AM1317" s="1004"/>
      <c r="AN1317" s="1004"/>
      <c r="AO1317" s="1004"/>
      <c r="AP1317" s="1004"/>
      <c r="AQ1317" s="1004"/>
      <c r="AR1317" s="1004"/>
      <c r="AS1317" s="1004"/>
      <c r="AT1317" s="1004"/>
      <c r="AU1317" s="1004"/>
      <c r="AV1317" s="195"/>
    </row>
    <row r="1318" spans="2:48" x14ac:dyDescent="0.2">
      <c r="B1318" s="1005" t="s">
        <v>520</v>
      </c>
      <c r="C1318" s="1006"/>
      <c r="D1318" s="1006"/>
      <c r="E1318" s="1006"/>
      <c r="F1318" s="1006"/>
      <c r="G1318" s="1007"/>
      <c r="I1318" s="1005" t="s">
        <v>0</v>
      </c>
      <c r="J1318" s="1006"/>
      <c r="K1318" s="1006"/>
      <c r="L1318" s="1006"/>
      <c r="M1318" s="1006"/>
      <c r="N1318" s="1006"/>
      <c r="O1318" s="1006"/>
      <c r="P1318" s="1006"/>
      <c r="Q1318" s="1006"/>
      <c r="R1318" s="1006"/>
      <c r="S1318" s="1006"/>
      <c r="T1318" s="1006"/>
      <c r="U1318" s="1006"/>
      <c r="V1318" s="1006"/>
      <c r="W1318" s="1007"/>
      <c r="X1318" s="186"/>
      <c r="Z1318" s="1005" t="s">
        <v>520</v>
      </c>
      <c r="AA1318" s="1006"/>
      <c r="AB1318" s="1006"/>
      <c r="AC1318" s="1006"/>
      <c r="AD1318" s="1006"/>
      <c r="AE1318" s="1007"/>
      <c r="AG1318" s="1005" t="s">
        <v>0</v>
      </c>
      <c r="AH1318" s="1006"/>
      <c r="AI1318" s="1006"/>
      <c r="AJ1318" s="1006"/>
      <c r="AK1318" s="1006"/>
      <c r="AL1318" s="1006"/>
      <c r="AM1318" s="1006"/>
      <c r="AN1318" s="1006"/>
      <c r="AO1318" s="1006"/>
      <c r="AP1318" s="1006"/>
      <c r="AQ1318" s="1006"/>
      <c r="AR1318" s="1006"/>
      <c r="AS1318" s="1006"/>
      <c r="AT1318" s="1006"/>
      <c r="AU1318" s="1007"/>
    </row>
    <row r="1319" spans="2:48" x14ac:dyDescent="0.2">
      <c r="B1319" s="199"/>
      <c r="C1319" s="200"/>
      <c r="D1319" s="200"/>
      <c r="E1319" s="200"/>
      <c r="F1319" s="200"/>
      <c r="G1319" s="201"/>
      <c r="I1319" s="199"/>
      <c r="J1319" s="200"/>
      <c r="K1319" s="200"/>
      <c r="L1319" s="200"/>
      <c r="M1319" s="200"/>
      <c r="N1319" s="200"/>
      <c r="O1319" s="200"/>
      <c r="P1319" s="200"/>
      <c r="Q1319" s="200"/>
      <c r="R1319" s="200"/>
      <c r="S1319" s="200"/>
      <c r="T1319" s="200"/>
      <c r="U1319" s="200"/>
      <c r="V1319" s="200"/>
      <c r="W1319" s="201"/>
      <c r="X1319" s="186"/>
      <c r="Z1319" s="199"/>
      <c r="AA1319" s="200"/>
      <c r="AB1319" s="200"/>
      <c r="AC1319" s="200"/>
      <c r="AD1319" s="200"/>
      <c r="AE1319" s="201"/>
      <c r="AG1319" s="199"/>
      <c r="AH1319" s="200"/>
      <c r="AI1319" s="200"/>
      <c r="AJ1319" s="200"/>
      <c r="AK1319" s="200"/>
      <c r="AL1319" s="200"/>
      <c r="AM1319" s="200"/>
      <c r="AN1319" s="200"/>
      <c r="AO1319" s="200"/>
      <c r="AP1319" s="200"/>
      <c r="AQ1319" s="200"/>
      <c r="AR1319" s="200"/>
      <c r="AS1319" s="200"/>
      <c r="AT1319" s="200"/>
      <c r="AU1319" s="201"/>
    </row>
    <row r="1320" spans="2:48" x14ac:dyDescent="0.2">
      <c r="X1320" s="186"/>
    </row>
    <row r="1321" spans="2:48" x14ac:dyDescent="0.2">
      <c r="I1321" s="1005" t="s">
        <v>481</v>
      </c>
      <c r="J1321" s="1006"/>
      <c r="K1321" s="1006"/>
      <c r="L1321" s="1006"/>
      <c r="M1321" s="1006"/>
      <c r="N1321" s="1006"/>
      <c r="O1321" s="1006"/>
      <c r="P1321" s="1006"/>
      <c r="Q1321" s="1007"/>
      <c r="R1321" s="1005" t="s">
        <v>520</v>
      </c>
      <c r="S1321" s="1006"/>
      <c r="T1321" s="1006"/>
      <c r="U1321" s="1006"/>
      <c r="V1321" s="1006"/>
      <c r="W1321" s="1007"/>
      <c r="X1321" s="186"/>
      <c r="AG1321" s="1005" t="s">
        <v>481</v>
      </c>
      <c r="AH1321" s="1006"/>
      <c r="AI1321" s="1006"/>
      <c r="AJ1321" s="1006"/>
      <c r="AK1321" s="1006"/>
      <c r="AL1321" s="1006"/>
      <c r="AM1321" s="1006"/>
      <c r="AN1321" s="1006"/>
      <c r="AO1321" s="1007"/>
      <c r="AP1321" s="1005" t="s">
        <v>520</v>
      </c>
      <c r="AQ1321" s="1006"/>
      <c r="AR1321" s="1006"/>
      <c r="AS1321" s="1006"/>
      <c r="AT1321" s="1006"/>
      <c r="AU1321" s="1007"/>
    </row>
    <row r="1322" spans="2:48" x14ac:dyDescent="0.2">
      <c r="I1322" s="199"/>
      <c r="J1322" s="200"/>
      <c r="K1322" s="200"/>
      <c r="L1322" s="200"/>
      <c r="M1322" s="200"/>
      <c r="N1322" s="200"/>
      <c r="O1322" s="200"/>
      <c r="P1322" s="200"/>
      <c r="Q1322" s="200"/>
      <c r="R1322" s="199"/>
      <c r="S1322" s="200"/>
      <c r="T1322" s="200"/>
      <c r="U1322" s="200"/>
      <c r="V1322" s="200"/>
      <c r="W1322" s="201"/>
      <c r="X1322" s="186"/>
      <c r="AG1322" s="199"/>
      <c r="AH1322" s="200"/>
      <c r="AI1322" s="200"/>
      <c r="AJ1322" s="200"/>
      <c r="AK1322" s="200"/>
      <c r="AL1322" s="200"/>
      <c r="AM1322" s="200"/>
      <c r="AN1322" s="200"/>
      <c r="AO1322" s="200"/>
      <c r="AP1322" s="199"/>
      <c r="AQ1322" s="200"/>
      <c r="AR1322" s="200"/>
      <c r="AS1322" s="200"/>
      <c r="AT1322" s="200"/>
      <c r="AU1322" s="201"/>
    </row>
    <row r="1324" spans="2:48" ht="57.75" customHeight="1" x14ac:dyDescent="0.2">
      <c r="B1324" s="1058" t="str">
        <f>Championnat</f>
        <v>Championnat de France de Tir à l'ARC</v>
      </c>
      <c r="C1324" s="1058"/>
      <c r="D1324" s="1058"/>
      <c r="E1324" s="1058"/>
      <c r="F1324" s="1058"/>
      <c r="G1324" s="1058"/>
      <c r="H1324" s="1058"/>
      <c r="I1324" s="1058"/>
      <c r="J1324" s="1058"/>
      <c r="K1324" s="1058"/>
      <c r="L1324" s="1058"/>
      <c r="M1324" s="1058"/>
      <c r="N1324" s="1058"/>
      <c r="O1324" s="1058"/>
      <c r="P1324" s="1058"/>
      <c r="Q1324" s="1058"/>
      <c r="R1324" s="1058"/>
      <c r="S1324" s="1058"/>
      <c r="T1324" s="1058"/>
      <c r="U1324" s="1058"/>
      <c r="V1324" s="1058"/>
      <c r="W1324" s="1058"/>
      <c r="X1324" s="1058"/>
      <c r="Y1324" s="1058"/>
      <c r="Z1324" s="1058"/>
      <c r="AA1324" s="1058"/>
      <c r="AB1324" s="1058"/>
      <c r="AC1324" s="1058"/>
      <c r="AD1324" s="1058"/>
      <c r="AE1324" s="1058"/>
      <c r="AF1324" s="1058"/>
      <c r="AG1324" s="1058"/>
      <c r="AH1324" s="1058"/>
      <c r="AI1324" s="1058"/>
      <c r="AJ1324" s="1058"/>
      <c r="AK1324" s="1058"/>
      <c r="AL1324" s="1058"/>
      <c r="AM1324" s="1058"/>
      <c r="AN1324" s="1058"/>
      <c r="AO1324" s="1058"/>
      <c r="AP1324" s="1058"/>
    </row>
    <row r="1325" spans="2:48" ht="45" customHeight="1" thickBot="1" x14ac:dyDescent="0.25">
      <c r="B1325" s="1018" t="str">
        <f>LIEU&amp;" - "&amp;DATE&amp;" - "&amp;CATEG</f>
        <v>L’Isle sur la Sorgue - 27 au 31 mars 2023 - Collèges Mixtes Etablissement</v>
      </c>
      <c r="C1325" s="1018"/>
      <c r="D1325" s="1018"/>
      <c r="E1325" s="1018"/>
      <c r="F1325" s="1018"/>
      <c r="G1325" s="1018"/>
      <c r="H1325" s="1018"/>
      <c r="I1325" s="1018"/>
      <c r="J1325" s="1018"/>
      <c r="K1325" s="1018"/>
      <c r="L1325" s="1018"/>
      <c r="M1325" s="1018"/>
      <c r="N1325" s="1018"/>
      <c r="O1325" s="1018"/>
      <c r="P1325" s="1018"/>
      <c r="Q1325" s="1018"/>
      <c r="R1325" s="1018"/>
      <c r="S1325" s="1018"/>
      <c r="T1325" s="1018"/>
      <c r="U1325" s="1018"/>
      <c r="V1325" s="1018"/>
      <c r="W1325" s="1018"/>
      <c r="X1325" s="1018"/>
      <c r="Y1325" s="1018"/>
      <c r="Z1325" s="1018"/>
      <c r="AA1325" s="1018"/>
      <c r="AB1325" s="1018"/>
      <c r="AC1325" s="1018"/>
      <c r="AD1325" s="1018"/>
      <c r="AE1325" s="1018"/>
      <c r="AF1325" s="1018"/>
      <c r="AG1325" s="1018"/>
      <c r="AH1325" s="1018"/>
      <c r="AI1325" s="1018"/>
      <c r="AJ1325" s="1018"/>
      <c r="AK1325" s="1018"/>
      <c r="AL1325" s="1018"/>
      <c r="AM1325" s="1018"/>
      <c r="AN1325" s="1018"/>
      <c r="AO1325" s="1018"/>
      <c r="AP1325" s="1018"/>
      <c r="AQ1325" s="182"/>
      <c r="AR1325" s="182"/>
      <c r="AS1325" s="182"/>
      <c r="AT1325" s="182"/>
      <c r="AU1325" s="182"/>
      <c r="AV1325" s="182"/>
    </row>
    <row r="1326" spans="2:48" ht="26.25" customHeight="1" x14ac:dyDescent="0.2">
      <c r="B1326" s="1059" t="str">
        <f>CATEG_IMPORTEE</f>
        <v>Collèges Mixtes Etablissement</v>
      </c>
      <c r="C1326" s="1059"/>
      <c r="D1326" s="1059"/>
      <c r="E1326" s="1059"/>
      <c r="F1326" s="1059"/>
      <c r="G1326" s="1059"/>
      <c r="H1326" s="1059"/>
      <c r="I1326" s="1059"/>
      <c r="J1326" s="1059"/>
      <c r="K1326" s="1059"/>
      <c r="L1326" s="1059"/>
      <c r="M1326" s="1059"/>
      <c r="N1326" s="1059"/>
      <c r="O1326" s="1059"/>
      <c r="P1326" s="1059"/>
      <c r="Q1326" s="1059"/>
      <c r="R1326" s="1059"/>
      <c r="S1326" s="1059"/>
      <c r="T1326" s="1059"/>
      <c r="U1326" s="1059"/>
      <c r="V1326" s="1059"/>
      <c r="W1326" s="1059"/>
      <c r="X1326" s="1059"/>
      <c r="Y1326" s="1059"/>
      <c r="Z1326" s="1059"/>
      <c r="AA1326" s="1059"/>
      <c r="AB1326" s="1059"/>
      <c r="AC1326" s="1059"/>
      <c r="AD1326" s="1059"/>
      <c r="AE1326" s="1059"/>
      <c r="AF1326" s="1059"/>
      <c r="AG1326" s="1059"/>
      <c r="AH1326" s="1059"/>
      <c r="AI1326" s="1059"/>
      <c r="AJ1326" s="1059"/>
      <c r="AK1326" s="1059"/>
      <c r="AL1326" s="1059"/>
      <c r="AM1326" s="1059"/>
      <c r="AN1326" s="1059"/>
      <c r="AO1326" s="1059"/>
      <c r="AP1326" s="1059"/>
      <c r="AQ1326" s="182"/>
      <c r="AR1326" s="1060">
        <f>AR1263+1</f>
        <v>22</v>
      </c>
      <c r="AS1326" s="1061"/>
      <c r="AT1326" s="1062"/>
      <c r="AU1326" s="182"/>
      <c r="AV1326" s="182"/>
    </row>
    <row r="1327" spans="2:48" ht="18" customHeight="1" x14ac:dyDescent="0.2">
      <c r="B1327" s="182"/>
      <c r="C1327" s="182"/>
      <c r="D1327" s="182"/>
      <c r="E1327" s="182"/>
      <c r="F1327" s="182"/>
      <c r="G1327" s="182"/>
      <c r="H1327" s="182"/>
      <c r="I1327" s="182"/>
      <c r="J1327" s="182"/>
      <c r="K1327" s="182"/>
      <c r="L1327" s="182"/>
      <c r="M1327" s="182"/>
      <c r="N1327" s="182"/>
      <c r="O1327" s="182"/>
      <c r="P1327" s="182"/>
      <c r="Q1327" s="182"/>
      <c r="R1327" s="182"/>
      <c r="S1327" s="182"/>
      <c r="T1327" s="182"/>
      <c r="U1327" s="182"/>
      <c r="V1327" s="182"/>
      <c r="W1327" s="182"/>
      <c r="X1327" s="183"/>
      <c r="Y1327" s="184"/>
      <c r="Z1327" s="182"/>
      <c r="AA1327" s="182"/>
      <c r="AB1327" s="182"/>
      <c r="AC1327" s="182"/>
      <c r="AD1327" s="182"/>
      <c r="AE1327" s="182"/>
      <c r="AF1327" s="182"/>
      <c r="AG1327" s="182"/>
      <c r="AH1327" s="182"/>
      <c r="AI1327" s="182"/>
      <c r="AJ1327" s="182"/>
      <c r="AK1327" s="182"/>
      <c r="AL1327" s="182"/>
      <c r="AM1327" s="182"/>
      <c r="AN1327" s="182"/>
      <c r="AO1327" s="182"/>
      <c r="AP1327" s="182"/>
      <c r="AQ1327" s="182"/>
      <c r="AR1327" s="1063"/>
      <c r="AS1327" s="1064"/>
      <c r="AT1327" s="1065"/>
      <c r="AU1327" s="182"/>
      <c r="AV1327" s="182"/>
    </row>
    <row r="1328" spans="2:48" ht="18.75" customHeight="1" thickBot="1" x14ac:dyDescent="0.25">
      <c r="B1328" s="182"/>
      <c r="C1328" s="182"/>
      <c r="D1328" s="182"/>
      <c r="E1328" s="182"/>
      <c r="F1328" s="182"/>
      <c r="G1328" s="182"/>
      <c r="H1328" s="992" t="s">
        <v>374</v>
      </c>
      <c r="I1328" s="992"/>
      <c r="J1328" s="992"/>
      <c r="K1328" s="992"/>
      <c r="L1328" s="992"/>
      <c r="M1328" s="992"/>
      <c r="N1328" s="992"/>
      <c r="O1328" s="992"/>
      <c r="P1328" s="992"/>
      <c r="Q1328" s="992"/>
      <c r="R1328" s="182"/>
      <c r="S1328" s="182"/>
      <c r="T1328" s="182"/>
      <c r="U1328" s="182"/>
      <c r="V1328" s="182"/>
      <c r="W1328" s="182"/>
      <c r="X1328" s="183"/>
      <c r="Y1328" s="182"/>
      <c r="Z1328" s="182"/>
      <c r="AA1328" s="182"/>
      <c r="AB1328" s="182"/>
      <c r="AC1328" s="182"/>
      <c r="AD1328" s="182"/>
      <c r="AE1328" s="992" t="s">
        <v>374</v>
      </c>
      <c r="AF1328" s="992"/>
      <c r="AG1328" s="992"/>
      <c r="AH1328" s="992"/>
      <c r="AI1328" s="992"/>
      <c r="AJ1328" s="992"/>
      <c r="AK1328" s="992"/>
      <c r="AL1328" s="992"/>
      <c r="AM1328" s="992"/>
      <c r="AN1328" s="992"/>
      <c r="AO1328" s="182"/>
      <c r="AP1328" s="182"/>
      <c r="AQ1328" s="182"/>
      <c r="AR1328" s="1066"/>
      <c r="AS1328" s="1067"/>
      <c r="AT1328" s="1068"/>
      <c r="AU1328" s="182"/>
      <c r="AV1328" s="182"/>
    </row>
    <row r="1329" spans="2:48" ht="18" x14ac:dyDescent="0.2">
      <c r="B1329" s="182"/>
      <c r="C1329" s="182"/>
      <c r="D1329" s="182"/>
      <c r="E1329" s="182"/>
      <c r="F1329" s="182"/>
      <c r="G1329" s="182"/>
      <c r="H1329" s="1022" t="e">
        <f>VLOOKUP(U1338,ID_archer_cible,4,FALSE)</f>
        <v>#N/A</v>
      </c>
      <c r="I1329" s="1023"/>
      <c r="J1329" s="1023"/>
      <c r="K1329" s="1023"/>
      <c r="L1329" s="1023"/>
      <c r="M1329" s="1023"/>
      <c r="N1329" s="1023"/>
      <c r="O1329" s="1023"/>
      <c r="P1329" s="1023"/>
      <c r="Q1329" s="1024"/>
      <c r="R1329" s="182"/>
      <c r="S1329" s="182"/>
      <c r="T1329" s="182"/>
      <c r="U1329" s="182"/>
      <c r="V1329" s="182"/>
      <c r="W1329" s="182"/>
      <c r="X1329" s="183"/>
      <c r="Y1329" s="182"/>
      <c r="Z1329" s="182"/>
      <c r="AA1329" s="182"/>
      <c r="AB1329" s="182"/>
      <c r="AC1329" s="182"/>
      <c r="AD1329" s="182"/>
      <c r="AE1329" s="1022" t="e">
        <f>VLOOKUP(AS1338,ID_archer_cible,4,FALSE)</f>
        <v>#N/A</v>
      </c>
      <c r="AF1329" s="1023"/>
      <c r="AG1329" s="1023"/>
      <c r="AH1329" s="1023"/>
      <c r="AI1329" s="1023"/>
      <c r="AJ1329" s="1023"/>
      <c r="AK1329" s="1023"/>
      <c r="AL1329" s="1023"/>
      <c r="AM1329" s="1023"/>
      <c r="AN1329" s="1024"/>
      <c r="AO1329" s="182"/>
      <c r="AP1329" s="182"/>
      <c r="AQ1329" s="182"/>
      <c r="AR1329" s="182"/>
      <c r="AS1329" s="182"/>
      <c r="AT1329" s="182"/>
      <c r="AU1329" s="182"/>
      <c r="AV1329" s="182"/>
    </row>
    <row r="1330" spans="2:48" x14ac:dyDescent="0.2">
      <c r="X1330" s="186"/>
    </row>
    <row r="1331" spans="2:48" x14ac:dyDescent="0.2">
      <c r="B1331" s="1021" t="s">
        <v>0</v>
      </c>
      <c r="C1331" s="1021"/>
      <c r="D1331" s="1021"/>
      <c r="E1331" s="1021"/>
      <c r="F1331" s="1021"/>
      <c r="G1331" s="1021"/>
      <c r="H1331" s="1021"/>
      <c r="I1331" s="1021"/>
      <c r="J1331" s="1021"/>
      <c r="K1331" s="1021"/>
      <c r="L1331" s="1021"/>
      <c r="M1331" s="187"/>
      <c r="P1331" s="992" t="s">
        <v>375</v>
      </c>
      <c r="Q1331" s="992"/>
      <c r="R1331" s="992"/>
      <c r="S1331" s="992"/>
      <c r="T1331" s="992"/>
      <c r="U1331" s="992"/>
      <c r="V1331" s="992"/>
      <c r="W1331" s="992"/>
      <c r="X1331" s="188"/>
      <c r="Z1331" s="1021" t="s">
        <v>0</v>
      </c>
      <c r="AA1331" s="1021"/>
      <c r="AB1331" s="1021"/>
      <c r="AC1331" s="1021"/>
      <c r="AD1331" s="1021"/>
      <c r="AE1331" s="1021"/>
      <c r="AF1331" s="1021"/>
      <c r="AG1331" s="1021"/>
      <c r="AH1331" s="1021"/>
      <c r="AI1331" s="1021"/>
      <c r="AJ1331" s="1021"/>
      <c r="AK1331" s="187"/>
      <c r="AN1331" s="992" t="s">
        <v>375</v>
      </c>
      <c r="AO1331" s="992"/>
      <c r="AP1331" s="992"/>
      <c r="AQ1331" s="992"/>
      <c r="AR1331" s="992"/>
      <c r="AS1331" s="992"/>
      <c r="AT1331" s="992"/>
      <c r="AU1331" s="992"/>
      <c r="AV1331" s="187"/>
    </row>
    <row r="1332" spans="2:48" x14ac:dyDescent="0.2">
      <c r="B1332" s="999" t="e">
        <f>VLOOKUP(U1338,ID_archer_cible,2,FALSE)</f>
        <v>#N/A</v>
      </c>
      <c r="C1332" s="1000"/>
      <c r="D1332" s="1000"/>
      <c r="E1332" s="1000"/>
      <c r="F1332" s="1000"/>
      <c r="G1332" s="1000"/>
      <c r="H1332" s="1000"/>
      <c r="I1332" s="1000"/>
      <c r="J1332" s="1000"/>
      <c r="K1332" s="1000"/>
      <c r="L1332" s="1000"/>
      <c r="M1332" s="1001"/>
      <c r="P1332" s="999" t="e">
        <f>VLOOKUP(U1338,ID_archer_cible,3,FALSE)</f>
        <v>#N/A</v>
      </c>
      <c r="Q1332" s="1000"/>
      <c r="R1332" s="1000"/>
      <c r="S1332" s="1000"/>
      <c r="T1332" s="1000"/>
      <c r="U1332" s="1000"/>
      <c r="V1332" s="1000"/>
      <c r="W1332" s="1001"/>
      <c r="X1332" s="186"/>
      <c r="Y1332"/>
      <c r="Z1332" s="999" t="e">
        <f>VLOOKUP(AS1338,ID_archer_cible,2,FALSE)</f>
        <v>#N/A</v>
      </c>
      <c r="AA1332" s="1000"/>
      <c r="AB1332" s="1000"/>
      <c r="AC1332" s="1000"/>
      <c r="AD1332" s="1000"/>
      <c r="AE1332" s="1000"/>
      <c r="AF1332" s="1000"/>
      <c r="AG1332" s="1000"/>
      <c r="AH1332" s="1000"/>
      <c r="AI1332" s="1000"/>
      <c r="AJ1332" s="1000"/>
      <c r="AK1332" s="1001"/>
      <c r="AN1332" s="999" t="e">
        <f>VLOOKUP(AS1338,ID_archer_cible,3,FALSE)</f>
        <v>#N/A</v>
      </c>
      <c r="AO1332" s="1000"/>
      <c r="AP1332" s="1000"/>
      <c r="AQ1332" s="1000"/>
      <c r="AR1332" s="1000"/>
      <c r="AS1332" s="1000"/>
      <c r="AT1332" s="1000"/>
      <c r="AU1332" s="1001"/>
    </row>
    <row r="1333" spans="2:48" x14ac:dyDescent="0.2">
      <c r="X1333" s="186"/>
      <c r="Y1333"/>
    </row>
    <row r="1334" spans="2:48" ht="16.5" thickBot="1" x14ac:dyDescent="0.25">
      <c r="B1334" s="1017" t="s">
        <v>1</v>
      </c>
      <c r="C1334" s="1017"/>
      <c r="D1334" s="1017"/>
      <c r="E1334" s="1017"/>
      <c r="F1334" s="1017"/>
      <c r="G1334" s="1017"/>
      <c r="H1334" s="1017"/>
      <c r="I1334" s="1017"/>
      <c r="J1334" s="1017"/>
      <c r="L1334" s="1017" t="s">
        <v>505</v>
      </c>
      <c r="M1334" s="1017"/>
      <c r="N1334" s="1017"/>
      <c r="O1334" s="1017"/>
      <c r="P1334" s="1017"/>
      <c r="Q1334" s="1017"/>
      <c r="S1334" s="992" t="s">
        <v>506</v>
      </c>
      <c r="T1334" s="992"/>
      <c r="U1334" s="992"/>
      <c r="V1334" s="992"/>
      <c r="W1334" s="992"/>
      <c r="X1334" s="188"/>
      <c r="Y1334"/>
      <c r="Z1334" s="1017" t="s">
        <v>1</v>
      </c>
      <c r="AA1334" s="1017"/>
      <c r="AB1334" s="1017"/>
      <c r="AC1334" s="1017"/>
      <c r="AD1334" s="1017"/>
      <c r="AE1334" s="1017"/>
      <c r="AF1334" s="1017"/>
      <c r="AG1334" s="1017"/>
      <c r="AH1334" s="1017"/>
      <c r="AJ1334" s="1017" t="s">
        <v>505</v>
      </c>
      <c r="AK1334" s="1017"/>
      <c r="AL1334" s="1017"/>
      <c r="AM1334" s="1017"/>
      <c r="AN1334" s="1017"/>
      <c r="AO1334" s="1017"/>
      <c r="AQ1334" s="992" t="s">
        <v>506</v>
      </c>
      <c r="AR1334" s="992"/>
      <c r="AS1334" s="992"/>
      <c r="AT1334" s="992"/>
      <c r="AU1334" s="992"/>
      <c r="AV1334" s="187"/>
    </row>
    <row r="1335" spans="2:48" ht="16.5" thickBot="1" x14ac:dyDescent="0.25">
      <c r="B1335" s="1014" t="e">
        <f>VLOOKUP(U1338,ID_archer_cible,5,FALSE)</f>
        <v>#N/A</v>
      </c>
      <c r="C1335" s="1015"/>
      <c r="D1335" s="1015"/>
      <c r="E1335" s="1015"/>
      <c r="F1335" s="1015"/>
      <c r="G1335" s="1015"/>
      <c r="H1335" s="1015"/>
      <c r="I1335" s="1015"/>
      <c r="J1335" s="1016"/>
      <c r="L1335" s="1014" t="e">
        <f>VLOOKUP(U1338,ID_archer_cible,6,FALSE)</f>
        <v>#N/A</v>
      </c>
      <c r="M1335" s="1015"/>
      <c r="N1335" s="1015"/>
      <c r="O1335" s="1015"/>
      <c r="P1335" s="1015"/>
      <c r="Q1335" s="1016"/>
      <c r="S1335" s="999" t="e">
        <f>VLOOKUP(U1338,ID_archer_cible,8,FALSE)</f>
        <v>#N/A</v>
      </c>
      <c r="T1335" s="1000"/>
      <c r="U1335" s="1000"/>
      <c r="V1335" s="1000"/>
      <c r="W1335" s="1001"/>
      <c r="X1335" s="186"/>
      <c r="Y1335"/>
      <c r="Z1335" s="1014" t="e">
        <f>VLOOKUP(AS1338,ID_archer_cible,5,FALSE)</f>
        <v>#N/A</v>
      </c>
      <c r="AA1335" s="1015"/>
      <c r="AB1335" s="1015"/>
      <c r="AC1335" s="1015"/>
      <c r="AD1335" s="1015"/>
      <c r="AE1335" s="1015"/>
      <c r="AF1335" s="1015"/>
      <c r="AG1335" s="1015"/>
      <c r="AH1335" s="1016"/>
      <c r="AJ1335" s="1014" t="e">
        <f>VLOOKUP(AS1338,ID_archer_cible,6,FALSE)</f>
        <v>#N/A</v>
      </c>
      <c r="AK1335" s="1015"/>
      <c r="AL1335" s="1015"/>
      <c r="AM1335" s="1015"/>
      <c r="AN1335" s="1015"/>
      <c r="AO1335" s="1016"/>
      <c r="AQ1335" s="999" t="e">
        <f>VLOOKUP(AS1338,ID_archer_cible,8,FALSE)</f>
        <v>#N/A</v>
      </c>
      <c r="AR1335" s="1000"/>
      <c r="AS1335" s="1000"/>
      <c r="AT1335" s="1000"/>
      <c r="AU1335" s="1001"/>
    </row>
    <row r="1336" spans="2:48" x14ac:dyDescent="0.2">
      <c r="X1336" s="186"/>
      <c r="Y1336"/>
    </row>
    <row r="1337" spans="2:48" x14ac:dyDescent="0.2">
      <c r="B1337" s="992" t="s">
        <v>530</v>
      </c>
      <c r="C1337" s="992"/>
      <c r="D1337" s="992"/>
      <c r="E1337" s="992"/>
      <c r="F1337" s="992"/>
      <c r="G1337" s="187"/>
      <c r="H1337" s="992" t="s">
        <v>504</v>
      </c>
      <c r="I1337" s="992"/>
      <c r="J1337" s="992"/>
      <c r="K1337" s="992"/>
      <c r="M1337" s="992" t="s">
        <v>39</v>
      </c>
      <c r="N1337" s="992"/>
      <c r="O1337" s="992"/>
      <c r="Q1337" s="1021"/>
      <c r="R1337" s="1021"/>
      <c r="S1337" s="1021"/>
      <c r="U1337" s="992" t="s">
        <v>507</v>
      </c>
      <c r="V1337" s="992"/>
      <c r="W1337" s="992"/>
      <c r="X1337" s="188"/>
      <c r="Y1337"/>
      <c r="Z1337" s="992" t="s">
        <v>530</v>
      </c>
      <c r="AA1337" s="992"/>
      <c r="AB1337" s="992"/>
      <c r="AC1337" s="992"/>
      <c r="AD1337" s="992"/>
      <c r="AE1337" s="187"/>
      <c r="AF1337" s="992" t="s">
        <v>504</v>
      </c>
      <c r="AG1337" s="992"/>
      <c r="AH1337" s="992"/>
      <c r="AI1337" s="992"/>
      <c r="AK1337" s="992" t="s">
        <v>39</v>
      </c>
      <c r="AL1337" s="992"/>
      <c r="AM1337" s="992"/>
      <c r="AO1337" s="1021"/>
      <c r="AP1337" s="1021"/>
      <c r="AQ1337" s="1021"/>
      <c r="AS1337" s="992" t="s">
        <v>507</v>
      </c>
      <c r="AT1337" s="992"/>
      <c r="AU1337" s="992"/>
      <c r="AV1337" s="187"/>
    </row>
    <row r="1338" spans="2:48" ht="15.75" x14ac:dyDescent="0.2">
      <c r="B1338" s="1011" t="e">
        <f>VLOOKUP(U1338,ID_archer_cible,7,FALSE)</f>
        <v>#N/A</v>
      </c>
      <c r="C1338" s="1012"/>
      <c r="D1338" s="1012"/>
      <c r="E1338" s="1012"/>
      <c r="F1338" s="1013"/>
      <c r="H1338" s="999" t="e">
        <f>VLOOKUP(U1338,ID_archer_cible,9,FALSE)</f>
        <v>#N/A</v>
      </c>
      <c r="I1338" s="1000"/>
      <c r="J1338" s="1000"/>
      <c r="K1338" s="1001"/>
      <c r="M1338" s="999" t="e">
        <f>VLOOKUP(U1338,ID_archer_cible,10,FALSE)</f>
        <v>#N/A</v>
      </c>
      <c r="N1338" s="1000"/>
      <c r="O1338" s="1001"/>
      <c r="Q1338" s="1021"/>
      <c r="R1338" s="1021"/>
      <c r="S1338" s="1021"/>
      <c r="T1338" s="187"/>
      <c r="U1338" s="996" t="str">
        <f>AR1326&amp;"A"</f>
        <v>22A</v>
      </c>
      <c r="V1338" s="997"/>
      <c r="W1338" s="998"/>
      <c r="X1338" s="188"/>
      <c r="Y1338"/>
      <c r="Z1338" s="1011" t="e">
        <f>VLOOKUP(AS1338,ID_archer_cible,7,FALSE)</f>
        <v>#N/A</v>
      </c>
      <c r="AA1338" s="1012"/>
      <c r="AB1338" s="1012"/>
      <c r="AC1338" s="1012"/>
      <c r="AD1338" s="1013"/>
      <c r="AF1338" s="999" t="e">
        <f>VLOOKUP(AS1338,ID_archer_cible,9,FALSE)</f>
        <v>#N/A</v>
      </c>
      <c r="AG1338" s="1000"/>
      <c r="AH1338" s="1000"/>
      <c r="AI1338" s="1001"/>
      <c r="AK1338" s="999" t="e">
        <f>VLOOKUP(AS1338,ID_archer_cible,10,FALSE)</f>
        <v>#N/A</v>
      </c>
      <c r="AL1338" s="1000"/>
      <c r="AM1338" s="1001"/>
      <c r="AO1338" s="1021"/>
      <c r="AP1338" s="1021"/>
      <c r="AQ1338" s="1021"/>
      <c r="AR1338" s="187"/>
      <c r="AS1338" s="996" t="str">
        <f>AR1326&amp;"B"</f>
        <v>22B</v>
      </c>
      <c r="AT1338" s="997"/>
      <c r="AU1338" s="998"/>
      <c r="AV1338" s="187"/>
    </row>
    <row r="1339" spans="2:48" x14ac:dyDescent="0.2">
      <c r="X1339" s="186"/>
    </row>
    <row r="1340" spans="2:48" x14ac:dyDescent="0.2">
      <c r="B1340" s="185" t="s">
        <v>509</v>
      </c>
      <c r="E1340" s="992" t="s">
        <v>510</v>
      </c>
      <c r="F1340" s="992"/>
      <c r="G1340" s="992"/>
      <c r="H1340" s="992"/>
      <c r="I1340" s="992"/>
      <c r="J1340" s="992"/>
      <c r="K1340" s="992"/>
      <c r="L1340" s="992"/>
      <c r="M1340" s="992"/>
      <c r="N1340" s="992"/>
      <c r="P1340" s="992" t="s">
        <v>511</v>
      </c>
      <c r="Q1340" s="992"/>
      <c r="R1340" s="992"/>
      <c r="X1340" s="186"/>
      <c r="Z1340" s="185" t="s">
        <v>509</v>
      </c>
      <c r="AC1340" s="992" t="s">
        <v>510</v>
      </c>
      <c r="AD1340" s="992"/>
      <c r="AE1340" s="992"/>
      <c r="AF1340" s="992"/>
      <c r="AG1340" s="992"/>
      <c r="AH1340" s="992"/>
      <c r="AI1340" s="992"/>
      <c r="AJ1340" s="992"/>
      <c r="AK1340" s="992"/>
      <c r="AL1340" s="992"/>
      <c r="AN1340" s="992" t="s">
        <v>511</v>
      </c>
      <c r="AO1340" s="992"/>
      <c r="AP1340" s="992"/>
    </row>
    <row r="1341" spans="2:48" ht="20.25" customHeight="1" x14ac:dyDescent="0.2">
      <c r="B1341" s="1009" t="s">
        <v>513</v>
      </c>
      <c r="C1341" s="1009"/>
      <c r="E1341" s="189"/>
      <c r="F1341" s="191"/>
      <c r="G1341" s="189"/>
      <c r="H1341" s="191"/>
      <c r="I1341" s="189"/>
      <c r="J1341" s="191"/>
      <c r="K1341" s="189"/>
      <c r="L1341" s="191"/>
      <c r="M1341" s="189"/>
      <c r="N1341" s="191"/>
      <c r="P1341" s="189"/>
      <c r="Q1341" s="190"/>
      <c r="R1341" s="191"/>
      <c r="T1341" s="992" t="s">
        <v>512</v>
      </c>
      <c r="U1341" s="992"/>
      <c r="V1341" s="992"/>
      <c r="W1341" s="992"/>
      <c r="X1341" s="188"/>
      <c r="Z1341" s="1009" t="s">
        <v>513</v>
      </c>
      <c r="AA1341" s="1009"/>
      <c r="AC1341" s="189"/>
      <c r="AD1341" s="191"/>
      <c r="AE1341" s="189"/>
      <c r="AF1341" s="191"/>
      <c r="AG1341" s="189"/>
      <c r="AH1341" s="191"/>
      <c r="AI1341" s="189"/>
      <c r="AJ1341" s="191"/>
      <c r="AK1341" s="189"/>
      <c r="AL1341" s="191"/>
      <c r="AN1341" s="189"/>
      <c r="AO1341" s="190"/>
      <c r="AP1341" s="191"/>
      <c r="AR1341" s="992" t="s">
        <v>512</v>
      </c>
      <c r="AS1341" s="992"/>
      <c r="AT1341" s="992"/>
      <c r="AU1341" s="992"/>
      <c r="AV1341" s="187"/>
    </row>
    <row r="1342" spans="2:48" ht="20.25" customHeight="1" x14ac:dyDescent="0.2">
      <c r="B1342" s="1009" t="s">
        <v>514</v>
      </c>
      <c r="C1342" s="1009"/>
      <c r="E1342" s="189"/>
      <c r="F1342" s="191"/>
      <c r="G1342" s="189"/>
      <c r="H1342" s="191"/>
      <c r="I1342" s="189"/>
      <c r="J1342" s="191"/>
      <c r="K1342" s="189"/>
      <c r="L1342" s="191"/>
      <c r="M1342" s="189"/>
      <c r="N1342" s="191"/>
      <c r="P1342" s="189"/>
      <c r="Q1342" s="190"/>
      <c r="R1342" s="191"/>
      <c r="T1342" s="189"/>
      <c r="U1342" s="190"/>
      <c r="V1342" s="190"/>
      <c r="W1342" s="191"/>
      <c r="X1342" s="186"/>
      <c r="Z1342" s="1009" t="s">
        <v>514</v>
      </c>
      <c r="AA1342" s="1009"/>
      <c r="AC1342" s="189"/>
      <c r="AD1342" s="191"/>
      <c r="AE1342" s="189"/>
      <c r="AF1342" s="191"/>
      <c r="AG1342" s="189"/>
      <c r="AH1342" s="191"/>
      <c r="AI1342" s="189"/>
      <c r="AJ1342" s="191"/>
      <c r="AK1342" s="189"/>
      <c r="AL1342" s="191"/>
      <c r="AN1342" s="189"/>
      <c r="AO1342" s="190"/>
      <c r="AP1342" s="191"/>
      <c r="AR1342" s="189"/>
      <c r="AS1342" s="190"/>
      <c r="AT1342" s="190"/>
      <c r="AU1342" s="191"/>
    </row>
    <row r="1343" spans="2:48" ht="20.25" customHeight="1" x14ac:dyDescent="0.2">
      <c r="B1343" s="1009" t="s">
        <v>515</v>
      </c>
      <c r="C1343" s="1009"/>
      <c r="E1343" s="189"/>
      <c r="F1343" s="191"/>
      <c r="G1343" s="189"/>
      <c r="H1343" s="191"/>
      <c r="I1343" s="189"/>
      <c r="J1343" s="191"/>
      <c r="K1343" s="189"/>
      <c r="L1343" s="191"/>
      <c r="M1343" s="189"/>
      <c r="N1343" s="191"/>
      <c r="P1343" s="189"/>
      <c r="Q1343" s="190"/>
      <c r="R1343" s="191"/>
      <c r="T1343" s="189"/>
      <c r="U1343" s="190"/>
      <c r="V1343" s="190"/>
      <c r="W1343" s="191"/>
      <c r="X1343" s="186"/>
      <c r="Z1343" s="1009" t="s">
        <v>515</v>
      </c>
      <c r="AA1343" s="1009"/>
      <c r="AC1343" s="189"/>
      <c r="AD1343" s="191"/>
      <c r="AE1343" s="189"/>
      <c r="AF1343" s="191"/>
      <c r="AG1343" s="189"/>
      <c r="AH1343" s="191"/>
      <c r="AI1343" s="189"/>
      <c r="AJ1343" s="191"/>
      <c r="AK1343" s="189"/>
      <c r="AL1343" s="191"/>
      <c r="AN1343" s="189"/>
      <c r="AO1343" s="190"/>
      <c r="AP1343" s="191"/>
      <c r="AR1343" s="189"/>
      <c r="AS1343" s="190"/>
      <c r="AT1343" s="190"/>
      <c r="AU1343" s="191"/>
    </row>
    <row r="1344" spans="2:48" ht="20.25" customHeight="1" x14ac:dyDescent="0.2">
      <c r="B1344" s="1009" t="s">
        <v>516</v>
      </c>
      <c r="C1344" s="1009"/>
      <c r="E1344" s="189"/>
      <c r="F1344" s="191"/>
      <c r="G1344" s="189"/>
      <c r="H1344" s="191"/>
      <c r="I1344" s="189"/>
      <c r="J1344" s="191"/>
      <c r="K1344" s="189"/>
      <c r="L1344" s="191"/>
      <c r="M1344" s="189"/>
      <c r="N1344" s="191"/>
      <c r="P1344" s="189"/>
      <c r="Q1344" s="190"/>
      <c r="R1344" s="191"/>
      <c r="T1344" s="189"/>
      <c r="U1344" s="190"/>
      <c r="V1344" s="190"/>
      <c r="W1344" s="191"/>
      <c r="X1344" s="186"/>
      <c r="Z1344" s="1009" t="s">
        <v>516</v>
      </c>
      <c r="AA1344" s="1009"/>
      <c r="AC1344" s="189"/>
      <c r="AD1344" s="191"/>
      <c r="AE1344" s="189"/>
      <c r="AF1344" s="191"/>
      <c r="AG1344" s="189"/>
      <c r="AH1344" s="191"/>
      <c r="AI1344" s="189"/>
      <c r="AJ1344" s="191"/>
      <c r="AK1344" s="189"/>
      <c r="AL1344" s="191"/>
      <c r="AN1344" s="189"/>
      <c r="AO1344" s="190"/>
      <c r="AP1344" s="191"/>
      <c r="AR1344" s="189"/>
      <c r="AS1344" s="190"/>
      <c r="AT1344" s="190"/>
      <c r="AU1344" s="191"/>
    </row>
    <row r="1345" spans="2:48" ht="20.25" customHeight="1" x14ac:dyDescent="0.2">
      <c r="B1345" s="1009" t="s">
        <v>517</v>
      </c>
      <c r="C1345" s="1009"/>
      <c r="E1345" s="189"/>
      <c r="F1345" s="191"/>
      <c r="G1345" s="189"/>
      <c r="H1345" s="191"/>
      <c r="I1345" s="189"/>
      <c r="J1345" s="191"/>
      <c r="K1345" s="189"/>
      <c r="L1345" s="191"/>
      <c r="M1345" s="189"/>
      <c r="N1345" s="191"/>
      <c r="P1345" s="189"/>
      <c r="Q1345" s="190"/>
      <c r="R1345" s="191"/>
      <c r="T1345" s="189"/>
      <c r="U1345" s="190"/>
      <c r="V1345" s="190"/>
      <c r="W1345" s="191"/>
      <c r="X1345" s="186"/>
      <c r="Z1345" s="1009" t="s">
        <v>517</v>
      </c>
      <c r="AA1345" s="1009"/>
      <c r="AC1345" s="189"/>
      <c r="AD1345" s="191"/>
      <c r="AE1345" s="189"/>
      <c r="AF1345" s="191"/>
      <c r="AG1345" s="189"/>
      <c r="AH1345" s="191"/>
      <c r="AI1345" s="189"/>
      <c r="AJ1345" s="191"/>
      <c r="AK1345" s="189"/>
      <c r="AL1345" s="191"/>
      <c r="AN1345" s="189"/>
      <c r="AO1345" s="190"/>
      <c r="AP1345" s="191"/>
      <c r="AR1345" s="189"/>
      <c r="AS1345" s="190"/>
      <c r="AT1345" s="190"/>
      <c r="AU1345" s="191"/>
    </row>
    <row r="1346" spans="2:48" ht="20.25" customHeight="1" x14ac:dyDescent="0.2">
      <c r="B1346" s="1009" t="s">
        <v>518</v>
      </c>
      <c r="C1346" s="1009"/>
      <c r="E1346" s="189"/>
      <c r="F1346" s="191"/>
      <c r="G1346" s="189"/>
      <c r="H1346" s="191"/>
      <c r="I1346" s="189"/>
      <c r="J1346" s="191"/>
      <c r="K1346" s="189"/>
      <c r="L1346" s="191"/>
      <c r="M1346" s="189"/>
      <c r="N1346" s="191"/>
      <c r="P1346" s="189"/>
      <c r="Q1346" s="190"/>
      <c r="R1346" s="191"/>
      <c r="T1346" s="189"/>
      <c r="U1346" s="190"/>
      <c r="V1346" s="190"/>
      <c r="W1346" s="191"/>
      <c r="X1346" s="186"/>
      <c r="Z1346" s="1009" t="s">
        <v>518</v>
      </c>
      <c r="AA1346" s="1009"/>
      <c r="AC1346" s="189"/>
      <c r="AD1346" s="191"/>
      <c r="AE1346" s="189"/>
      <c r="AF1346" s="191"/>
      <c r="AG1346" s="189"/>
      <c r="AH1346" s="191"/>
      <c r="AI1346" s="189"/>
      <c r="AJ1346" s="191"/>
      <c r="AK1346" s="189"/>
      <c r="AL1346" s="191"/>
      <c r="AN1346" s="189"/>
      <c r="AO1346" s="190"/>
      <c r="AP1346" s="191"/>
      <c r="AR1346" s="189"/>
      <c r="AS1346" s="190"/>
      <c r="AT1346" s="190"/>
      <c r="AU1346" s="191"/>
    </row>
    <row r="1347" spans="2:48" ht="15.75" thickBot="1" x14ac:dyDescent="0.25">
      <c r="B1347" s="187"/>
      <c r="C1347" s="187"/>
      <c r="X1347" s="186"/>
      <c r="Z1347" s="187"/>
      <c r="AA1347" s="187"/>
    </row>
    <row r="1348" spans="2:48" ht="20.25" customHeight="1" thickBot="1" x14ac:dyDescent="0.25">
      <c r="P1348" s="197" t="s">
        <v>519</v>
      </c>
      <c r="Q1348" s="197"/>
      <c r="R1348" s="197"/>
      <c r="S1348" s="197"/>
      <c r="T1348" s="192"/>
      <c r="U1348" s="193"/>
      <c r="V1348" s="193"/>
      <c r="W1348" s="194"/>
      <c r="X1348" s="186"/>
      <c r="AN1348" s="197" t="s">
        <v>519</v>
      </c>
      <c r="AO1348" s="197"/>
      <c r="AP1348" s="197"/>
      <c r="AQ1348" s="197"/>
      <c r="AR1348" s="192"/>
      <c r="AS1348" s="193"/>
      <c r="AT1348" s="193"/>
      <c r="AU1348" s="194"/>
    </row>
    <row r="1349" spans="2:48" x14ac:dyDescent="0.2">
      <c r="E1349" s="196"/>
      <c r="F1349" s="196"/>
      <c r="G1349" s="196"/>
      <c r="H1349" s="196"/>
      <c r="I1349" s="196"/>
      <c r="J1349" s="196"/>
      <c r="K1349" s="196"/>
      <c r="L1349" s="196"/>
      <c r="M1349" s="196"/>
      <c r="X1349" s="186"/>
      <c r="AC1349" s="196"/>
      <c r="AD1349" s="196"/>
      <c r="AE1349" s="196"/>
      <c r="AF1349" s="196"/>
      <c r="AG1349" s="196"/>
      <c r="AH1349" s="196"/>
      <c r="AI1349" s="196"/>
      <c r="AJ1349" s="196"/>
      <c r="AK1349" s="196"/>
    </row>
    <row r="1350" spans="2:48" x14ac:dyDescent="0.2">
      <c r="B1350" s="1010" t="s">
        <v>521</v>
      </c>
      <c r="C1350" s="1010"/>
      <c r="D1350" s="1010"/>
      <c r="E1350" s="1010"/>
      <c r="F1350" s="1010"/>
      <c r="G1350" s="1010"/>
      <c r="H1350" s="195"/>
      <c r="I1350" s="1010" t="s">
        <v>522</v>
      </c>
      <c r="J1350" s="1010"/>
      <c r="K1350" s="1010"/>
      <c r="L1350" s="1010"/>
      <c r="M1350" s="1010"/>
      <c r="N1350" s="1010"/>
      <c r="O1350" s="1010"/>
      <c r="P1350" s="1010"/>
      <c r="Q1350" s="1010"/>
      <c r="R1350" s="1010"/>
      <c r="S1350" s="1010"/>
      <c r="T1350" s="1010"/>
      <c r="U1350" s="1010"/>
      <c r="V1350" s="1010"/>
      <c r="W1350" s="1010"/>
      <c r="X1350" s="198"/>
      <c r="Y1350" s="195"/>
      <c r="Z1350" s="1010" t="s">
        <v>521</v>
      </c>
      <c r="AA1350" s="1010"/>
      <c r="AB1350" s="1010"/>
      <c r="AC1350" s="1010"/>
      <c r="AD1350" s="1010"/>
      <c r="AE1350" s="1010"/>
      <c r="AF1350" s="195"/>
      <c r="AG1350" s="1004" t="s">
        <v>522</v>
      </c>
      <c r="AH1350" s="1004"/>
      <c r="AI1350" s="1004"/>
      <c r="AJ1350" s="1004"/>
      <c r="AK1350" s="1004"/>
      <c r="AL1350" s="1004"/>
      <c r="AM1350" s="1004"/>
      <c r="AN1350" s="1004"/>
      <c r="AO1350" s="1004"/>
      <c r="AP1350" s="1004"/>
      <c r="AQ1350" s="1004"/>
      <c r="AR1350" s="1004"/>
      <c r="AS1350" s="1004"/>
      <c r="AT1350" s="1004"/>
      <c r="AU1350" s="1004"/>
      <c r="AV1350" s="195"/>
    </row>
    <row r="1351" spans="2:48" x14ac:dyDescent="0.2">
      <c r="B1351" s="1005" t="s">
        <v>520</v>
      </c>
      <c r="C1351" s="1006"/>
      <c r="D1351" s="1006"/>
      <c r="E1351" s="1006"/>
      <c r="F1351" s="1006"/>
      <c r="G1351" s="1007"/>
      <c r="I1351" s="1005" t="s">
        <v>0</v>
      </c>
      <c r="J1351" s="1006"/>
      <c r="K1351" s="1006"/>
      <c r="L1351" s="1006"/>
      <c r="M1351" s="1006"/>
      <c r="N1351" s="1006"/>
      <c r="O1351" s="1006"/>
      <c r="P1351" s="1006"/>
      <c r="Q1351" s="1006"/>
      <c r="R1351" s="1006"/>
      <c r="S1351" s="1006"/>
      <c r="T1351" s="1006"/>
      <c r="U1351" s="1006"/>
      <c r="V1351" s="1006"/>
      <c r="W1351" s="1007"/>
      <c r="X1351" s="186"/>
      <c r="Z1351" s="1005" t="s">
        <v>520</v>
      </c>
      <c r="AA1351" s="1006"/>
      <c r="AB1351" s="1006"/>
      <c r="AC1351" s="1006"/>
      <c r="AD1351" s="1006"/>
      <c r="AE1351" s="1007"/>
      <c r="AG1351" s="1005" t="s">
        <v>0</v>
      </c>
      <c r="AH1351" s="1006"/>
      <c r="AI1351" s="1006"/>
      <c r="AJ1351" s="1006"/>
      <c r="AK1351" s="1006"/>
      <c r="AL1351" s="1006"/>
      <c r="AM1351" s="1006"/>
      <c r="AN1351" s="1006"/>
      <c r="AO1351" s="1006"/>
      <c r="AP1351" s="1006"/>
      <c r="AQ1351" s="1006"/>
      <c r="AR1351" s="1006"/>
      <c r="AS1351" s="1006"/>
      <c r="AT1351" s="1006"/>
      <c r="AU1351" s="1007"/>
    </row>
    <row r="1352" spans="2:48" x14ac:dyDescent="0.2">
      <c r="B1352" s="199"/>
      <c r="C1352" s="200"/>
      <c r="D1352" s="200"/>
      <c r="E1352" s="200"/>
      <c r="F1352" s="200"/>
      <c r="G1352" s="201"/>
      <c r="I1352" s="199"/>
      <c r="J1352" s="200"/>
      <c r="K1352" s="200"/>
      <c r="L1352" s="200"/>
      <c r="M1352" s="200"/>
      <c r="N1352" s="200"/>
      <c r="O1352" s="200"/>
      <c r="P1352" s="200"/>
      <c r="Q1352" s="200"/>
      <c r="R1352" s="200"/>
      <c r="S1352" s="200"/>
      <c r="T1352" s="200"/>
      <c r="U1352" s="200"/>
      <c r="V1352" s="200"/>
      <c r="W1352" s="201"/>
      <c r="X1352" s="186"/>
      <c r="Z1352" s="199"/>
      <c r="AA1352" s="200"/>
      <c r="AB1352" s="200"/>
      <c r="AC1352" s="200"/>
      <c r="AD1352" s="200"/>
      <c r="AE1352" s="201"/>
      <c r="AG1352" s="199"/>
      <c r="AH1352" s="200"/>
      <c r="AI1352" s="200"/>
      <c r="AJ1352" s="200"/>
      <c r="AK1352" s="200"/>
      <c r="AL1352" s="200"/>
      <c r="AM1352" s="200"/>
      <c r="AN1352" s="200"/>
      <c r="AO1352" s="200"/>
      <c r="AP1352" s="200"/>
      <c r="AQ1352" s="200"/>
      <c r="AR1352" s="200"/>
      <c r="AS1352" s="200"/>
      <c r="AT1352" s="200"/>
      <c r="AU1352" s="201"/>
    </row>
    <row r="1353" spans="2:48" x14ac:dyDescent="0.2">
      <c r="X1353" s="186"/>
    </row>
    <row r="1354" spans="2:48" x14ac:dyDescent="0.2">
      <c r="I1354" s="1005" t="s">
        <v>481</v>
      </c>
      <c r="J1354" s="1006"/>
      <c r="K1354" s="1006"/>
      <c r="L1354" s="1006"/>
      <c r="M1354" s="1006"/>
      <c r="N1354" s="1006"/>
      <c r="O1354" s="1006"/>
      <c r="P1354" s="1006"/>
      <c r="Q1354" s="1007"/>
      <c r="R1354" s="1005" t="s">
        <v>520</v>
      </c>
      <c r="S1354" s="1006"/>
      <c r="T1354" s="1006"/>
      <c r="U1354" s="1006"/>
      <c r="V1354" s="1006"/>
      <c r="W1354" s="1007"/>
      <c r="X1354" s="186"/>
      <c r="AG1354" s="1005" t="s">
        <v>481</v>
      </c>
      <c r="AH1354" s="1006"/>
      <c r="AI1354" s="1006"/>
      <c r="AJ1354" s="1006"/>
      <c r="AK1354" s="1006"/>
      <c r="AL1354" s="1006"/>
      <c r="AM1354" s="1006"/>
      <c r="AN1354" s="1006"/>
      <c r="AO1354" s="1007"/>
      <c r="AP1354" s="1005" t="s">
        <v>520</v>
      </c>
      <c r="AQ1354" s="1006"/>
      <c r="AR1354" s="1006"/>
      <c r="AS1354" s="1006"/>
      <c r="AT1354" s="1006"/>
      <c r="AU1354" s="1007"/>
    </row>
    <row r="1355" spans="2:48" x14ac:dyDescent="0.2">
      <c r="I1355" s="199"/>
      <c r="J1355" s="200"/>
      <c r="K1355" s="200"/>
      <c r="L1355" s="200"/>
      <c r="M1355" s="200"/>
      <c r="N1355" s="200"/>
      <c r="O1355" s="200"/>
      <c r="P1355" s="200"/>
      <c r="Q1355" s="200"/>
      <c r="R1355" s="199"/>
      <c r="S1355" s="200"/>
      <c r="T1355" s="200"/>
      <c r="U1355" s="200"/>
      <c r="V1355" s="200"/>
      <c r="W1355" s="201"/>
      <c r="X1355" s="186"/>
      <c r="AG1355" s="199"/>
      <c r="AH1355" s="200"/>
      <c r="AI1355" s="200"/>
      <c r="AJ1355" s="200"/>
      <c r="AK1355" s="200"/>
      <c r="AL1355" s="200"/>
      <c r="AM1355" s="200"/>
      <c r="AN1355" s="200"/>
      <c r="AO1355" s="200"/>
      <c r="AP1355" s="199"/>
      <c r="AQ1355" s="200"/>
      <c r="AR1355" s="200"/>
      <c r="AS1355" s="200"/>
      <c r="AT1355" s="200"/>
      <c r="AU1355" s="201"/>
    </row>
    <row r="1356" spans="2:48" ht="39" customHeight="1" x14ac:dyDescent="0.2">
      <c r="B1356" s="392"/>
      <c r="C1356" s="392"/>
      <c r="D1356" s="392"/>
      <c r="E1356" s="392"/>
      <c r="F1356" s="392"/>
      <c r="G1356" s="392"/>
      <c r="H1356" s="392"/>
      <c r="I1356" s="392"/>
      <c r="J1356" s="392"/>
      <c r="K1356" s="392"/>
      <c r="L1356" s="392"/>
      <c r="M1356" s="392"/>
      <c r="N1356" s="392"/>
      <c r="O1356" s="392"/>
      <c r="P1356" s="392"/>
      <c r="Q1356" s="392"/>
      <c r="R1356" s="392"/>
      <c r="S1356" s="392"/>
      <c r="T1356" s="392"/>
      <c r="U1356" s="392"/>
      <c r="V1356" s="392"/>
      <c r="W1356" s="392"/>
      <c r="X1356" s="393"/>
      <c r="Y1356" s="394"/>
      <c r="Z1356" s="392"/>
      <c r="AA1356" s="392"/>
      <c r="AB1356" s="392"/>
      <c r="AC1356" s="392"/>
      <c r="AD1356" s="392"/>
      <c r="AE1356" s="392"/>
      <c r="AF1356" s="392"/>
      <c r="AG1356" s="392"/>
      <c r="AH1356" s="392"/>
      <c r="AI1356" s="392"/>
      <c r="AJ1356" s="392"/>
      <c r="AK1356" s="392"/>
      <c r="AL1356" s="392"/>
      <c r="AM1356" s="392"/>
      <c r="AN1356" s="392"/>
      <c r="AO1356" s="392"/>
      <c r="AP1356" s="392"/>
      <c r="AQ1356" s="392"/>
      <c r="AR1356" s="392"/>
      <c r="AS1356" s="392"/>
      <c r="AT1356" s="392"/>
      <c r="AU1356" s="392"/>
      <c r="AV1356" s="392"/>
    </row>
    <row r="1357" spans="2:48" ht="39" customHeight="1" x14ac:dyDescent="0.2">
      <c r="B1357" s="182"/>
      <c r="C1357" s="182"/>
      <c r="D1357" s="182"/>
      <c r="E1357" s="182"/>
      <c r="F1357" s="182"/>
      <c r="G1357" s="182"/>
      <c r="H1357" s="182"/>
      <c r="I1357" s="182"/>
      <c r="J1357" s="182"/>
      <c r="K1357" s="182"/>
      <c r="L1357" s="182"/>
      <c r="M1357" s="182"/>
      <c r="N1357" s="182"/>
      <c r="O1357" s="182"/>
      <c r="P1357" s="182"/>
      <c r="Q1357" s="182"/>
      <c r="R1357" s="182"/>
      <c r="S1357" s="182"/>
      <c r="T1357" s="182"/>
      <c r="U1357" s="182"/>
      <c r="V1357" s="182"/>
      <c r="W1357" s="182"/>
      <c r="X1357" s="183"/>
      <c r="Y1357" s="184"/>
      <c r="Z1357" s="182"/>
      <c r="AA1357" s="182"/>
      <c r="AB1357" s="182"/>
      <c r="AC1357" s="182"/>
      <c r="AD1357" s="182"/>
      <c r="AE1357" s="182"/>
      <c r="AF1357" s="182"/>
      <c r="AG1357" s="182"/>
      <c r="AH1357" s="182"/>
      <c r="AI1357" s="182"/>
      <c r="AJ1357" s="182"/>
      <c r="AK1357" s="182"/>
      <c r="AL1357" s="182"/>
      <c r="AM1357" s="182"/>
      <c r="AN1357" s="182"/>
      <c r="AO1357" s="182"/>
      <c r="AP1357" s="182"/>
      <c r="AQ1357" s="182"/>
      <c r="AR1357" s="182"/>
      <c r="AS1357" s="182"/>
      <c r="AT1357" s="182"/>
      <c r="AU1357" s="182"/>
      <c r="AV1357" s="182"/>
    </row>
    <row r="1358" spans="2:48" ht="18" x14ac:dyDescent="0.2">
      <c r="B1358" s="182"/>
      <c r="C1358" s="182"/>
      <c r="D1358" s="182"/>
      <c r="E1358" s="182"/>
      <c r="F1358" s="182"/>
      <c r="G1358" s="182"/>
      <c r="H1358" s="992" t="s">
        <v>374</v>
      </c>
      <c r="I1358" s="992"/>
      <c r="J1358" s="992"/>
      <c r="K1358" s="992"/>
      <c r="L1358" s="992"/>
      <c r="M1358" s="992"/>
      <c r="N1358" s="992"/>
      <c r="O1358" s="992"/>
      <c r="P1358" s="992"/>
      <c r="Q1358" s="992"/>
      <c r="R1358" s="182"/>
      <c r="S1358" s="182"/>
      <c r="T1358" s="182"/>
      <c r="U1358" s="182"/>
      <c r="V1358" s="182"/>
      <c r="W1358" s="182"/>
      <c r="X1358" s="183"/>
      <c r="Y1358" s="182"/>
      <c r="Z1358" s="182"/>
      <c r="AA1358" s="182"/>
      <c r="AB1358" s="182"/>
      <c r="AC1358" s="182"/>
      <c r="AD1358" s="182"/>
      <c r="AE1358" s="992" t="s">
        <v>374</v>
      </c>
      <c r="AF1358" s="992"/>
      <c r="AG1358" s="992"/>
      <c r="AH1358" s="992"/>
      <c r="AI1358" s="992"/>
      <c r="AJ1358" s="992"/>
      <c r="AK1358" s="992"/>
      <c r="AL1358" s="992"/>
      <c r="AM1358" s="992"/>
      <c r="AN1358" s="992"/>
      <c r="AO1358" s="182"/>
      <c r="AP1358" s="182"/>
      <c r="AQ1358" s="182"/>
      <c r="AR1358" s="182"/>
      <c r="AS1358" s="182"/>
      <c r="AT1358" s="182"/>
      <c r="AU1358" s="182"/>
      <c r="AV1358" s="182"/>
    </row>
    <row r="1359" spans="2:48" ht="18" x14ac:dyDescent="0.2">
      <c r="B1359" s="182"/>
      <c r="C1359" s="182"/>
      <c r="D1359" s="182"/>
      <c r="E1359" s="182"/>
      <c r="F1359" s="182"/>
      <c r="G1359" s="182"/>
      <c r="H1359" s="1022" t="e">
        <f>VLOOKUP(U1368,ID_archer_cible,4,FALSE)</f>
        <v>#N/A</v>
      </c>
      <c r="I1359" s="1023"/>
      <c r="J1359" s="1023"/>
      <c r="K1359" s="1023"/>
      <c r="L1359" s="1023"/>
      <c r="M1359" s="1023"/>
      <c r="N1359" s="1023"/>
      <c r="O1359" s="1023"/>
      <c r="P1359" s="1023"/>
      <c r="Q1359" s="1024"/>
      <c r="R1359" s="182"/>
      <c r="S1359" s="182"/>
      <c r="T1359" s="182"/>
      <c r="U1359" s="182"/>
      <c r="V1359" s="182"/>
      <c r="W1359" s="182"/>
      <c r="X1359" s="183"/>
      <c r="Y1359" s="182"/>
      <c r="Z1359" s="182"/>
      <c r="AA1359" s="182"/>
      <c r="AB1359" s="182"/>
      <c r="AC1359" s="182"/>
      <c r="AD1359" s="182"/>
      <c r="AE1359" s="1022" t="e">
        <f>VLOOKUP(AS1368,ID_archer_cible,4,FALSE)</f>
        <v>#N/A</v>
      </c>
      <c r="AF1359" s="1023"/>
      <c r="AG1359" s="1023"/>
      <c r="AH1359" s="1023"/>
      <c r="AI1359" s="1023"/>
      <c r="AJ1359" s="1023"/>
      <c r="AK1359" s="1023"/>
      <c r="AL1359" s="1023"/>
      <c r="AM1359" s="1023"/>
      <c r="AN1359" s="1024"/>
      <c r="AO1359" s="182"/>
      <c r="AP1359" s="182"/>
      <c r="AQ1359" s="182"/>
      <c r="AR1359" s="182"/>
      <c r="AS1359" s="182"/>
      <c r="AT1359" s="182"/>
      <c r="AU1359" s="182"/>
      <c r="AV1359" s="182"/>
    </row>
    <row r="1360" spans="2:48" x14ac:dyDescent="0.2">
      <c r="X1360" s="186"/>
    </row>
    <row r="1361" spans="2:48" x14ac:dyDescent="0.2">
      <c r="B1361" s="1021" t="s">
        <v>0</v>
      </c>
      <c r="C1361" s="1021"/>
      <c r="D1361" s="1021"/>
      <c r="E1361" s="1021"/>
      <c r="F1361" s="1021"/>
      <c r="G1361" s="1021"/>
      <c r="H1361" s="1021"/>
      <c r="I1361" s="1021"/>
      <c r="J1361" s="1021"/>
      <c r="K1361" s="1021"/>
      <c r="L1361" s="1021"/>
      <c r="M1361" s="187"/>
      <c r="P1361" s="992" t="s">
        <v>375</v>
      </c>
      <c r="Q1361" s="992"/>
      <c r="R1361" s="992"/>
      <c r="S1361" s="992"/>
      <c r="T1361" s="992"/>
      <c r="U1361" s="992"/>
      <c r="V1361" s="992"/>
      <c r="W1361" s="992"/>
      <c r="X1361" s="188"/>
      <c r="Z1361" s="1021" t="s">
        <v>0</v>
      </c>
      <c r="AA1361" s="1021"/>
      <c r="AB1361" s="1021"/>
      <c r="AC1361" s="1021"/>
      <c r="AD1361" s="1021"/>
      <c r="AE1361" s="1021"/>
      <c r="AF1361" s="1021"/>
      <c r="AG1361" s="1021"/>
      <c r="AH1361" s="1021"/>
      <c r="AI1361" s="1021"/>
      <c r="AJ1361" s="1021"/>
      <c r="AK1361" s="187"/>
      <c r="AN1361" s="992" t="s">
        <v>375</v>
      </c>
      <c r="AO1361" s="992"/>
      <c r="AP1361" s="992"/>
      <c r="AQ1361" s="992"/>
      <c r="AR1361" s="992"/>
      <c r="AS1361" s="992"/>
      <c r="AT1361" s="992"/>
      <c r="AU1361" s="992"/>
      <c r="AV1361" s="187"/>
    </row>
    <row r="1362" spans="2:48" x14ac:dyDescent="0.2">
      <c r="B1362" s="999" t="e">
        <f>VLOOKUP(U1368,ID_archer_cible,2,FALSE)</f>
        <v>#N/A</v>
      </c>
      <c r="C1362" s="1000"/>
      <c r="D1362" s="1000"/>
      <c r="E1362" s="1000"/>
      <c r="F1362" s="1000"/>
      <c r="G1362" s="1000"/>
      <c r="H1362" s="1000"/>
      <c r="I1362" s="1000"/>
      <c r="J1362" s="1000"/>
      <c r="K1362" s="1000"/>
      <c r="L1362" s="1000"/>
      <c r="M1362" s="1001"/>
      <c r="P1362" s="999" t="e">
        <f>VLOOKUP(U1368,ID_archer_cible,3,FALSE)</f>
        <v>#N/A</v>
      </c>
      <c r="Q1362" s="1000"/>
      <c r="R1362" s="1000"/>
      <c r="S1362" s="1000"/>
      <c r="T1362" s="1000"/>
      <c r="U1362" s="1000"/>
      <c r="V1362" s="1000"/>
      <c r="W1362" s="1001"/>
      <c r="X1362" s="186"/>
      <c r="Y1362"/>
      <c r="Z1362" s="999" t="e">
        <f>VLOOKUP(AS1368,ID_archer_cible,2,FALSE)</f>
        <v>#N/A</v>
      </c>
      <c r="AA1362" s="1000"/>
      <c r="AB1362" s="1000"/>
      <c r="AC1362" s="1000"/>
      <c r="AD1362" s="1000"/>
      <c r="AE1362" s="1000"/>
      <c r="AF1362" s="1000"/>
      <c r="AG1362" s="1000"/>
      <c r="AH1362" s="1000"/>
      <c r="AI1362" s="1000"/>
      <c r="AJ1362" s="1000"/>
      <c r="AK1362" s="1001"/>
      <c r="AN1362" s="999" t="e">
        <f>VLOOKUP(AS1368,ID_archer_cible,3,FALSE)</f>
        <v>#N/A</v>
      </c>
      <c r="AO1362" s="1000"/>
      <c r="AP1362" s="1000"/>
      <c r="AQ1362" s="1000"/>
      <c r="AR1362" s="1000"/>
      <c r="AS1362" s="1000"/>
      <c r="AT1362" s="1000"/>
      <c r="AU1362" s="1001"/>
    </row>
    <row r="1363" spans="2:48" x14ac:dyDescent="0.2">
      <c r="X1363" s="186"/>
      <c r="Y1363"/>
    </row>
    <row r="1364" spans="2:48" ht="16.5" thickBot="1" x14ac:dyDescent="0.25">
      <c r="B1364" s="1017" t="s">
        <v>1</v>
      </c>
      <c r="C1364" s="1017"/>
      <c r="D1364" s="1017"/>
      <c r="E1364" s="1017"/>
      <c r="F1364" s="1017"/>
      <c r="G1364" s="1017"/>
      <c r="H1364" s="1017"/>
      <c r="I1364" s="1017"/>
      <c r="J1364" s="1017"/>
      <c r="L1364" s="1017" t="s">
        <v>505</v>
      </c>
      <c r="M1364" s="1017"/>
      <c r="N1364" s="1017"/>
      <c r="O1364" s="1017"/>
      <c r="P1364" s="1017"/>
      <c r="Q1364" s="1017"/>
      <c r="S1364" s="992" t="s">
        <v>506</v>
      </c>
      <c r="T1364" s="992"/>
      <c r="U1364" s="992"/>
      <c r="V1364" s="992"/>
      <c r="W1364" s="992"/>
      <c r="X1364" s="188"/>
      <c r="Y1364"/>
      <c r="Z1364" s="1017" t="s">
        <v>1</v>
      </c>
      <c r="AA1364" s="1017"/>
      <c r="AB1364" s="1017"/>
      <c r="AC1364" s="1017"/>
      <c r="AD1364" s="1017"/>
      <c r="AE1364" s="1017"/>
      <c r="AF1364" s="1017"/>
      <c r="AG1364" s="1017"/>
      <c r="AH1364" s="1017"/>
      <c r="AJ1364" s="1017" t="s">
        <v>505</v>
      </c>
      <c r="AK1364" s="1017"/>
      <c r="AL1364" s="1017"/>
      <c r="AM1364" s="1017"/>
      <c r="AN1364" s="1017"/>
      <c r="AO1364" s="1017"/>
      <c r="AQ1364" s="992" t="s">
        <v>506</v>
      </c>
      <c r="AR1364" s="992"/>
      <c r="AS1364" s="992"/>
      <c r="AT1364" s="992"/>
      <c r="AU1364" s="992"/>
      <c r="AV1364" s="187"/>
    </row>
    <row r="1365" spans="2:48" ht="16.5" thickBot="1" x14ac:dyDescent="0.25">
      <c r="B1365" s="1014" t="e">
        <f>VLOOKUP(U1368,ID_archer_cible,5,FALSE)</f>
        <v>#N/A</v>
      </c>
      <c r="C1365" s="1015"/>
      <c r="D1365" s="1015"/>
      <c r="E1365" s="1015"/>
      <c r="F1365" s="1015"/>
      <c r="G1365" s="1015"/>
      <c r="H1365" s="1015"/>
      <c r="I1365" s="1015"/>
      <c r="J1365" s="1016"/>
      <c r="L1365" s="1014" t="e">
        <f>VLOOKUP(U1368,ID_archer_cible,6,FALSE)</f>
        <v>#N/A</v>
      </c>
      <c r="M1365" s="1015"/>
      <c r="N1365" s="1015"/>
      <c r="O1365" s="1015"/>
      <c r="P1365" s="1015"/>
      <c r="Q1365" s="1016"/>
      <c r="S1365" s="999" t="e">
        <f>VLOOKUP(U1368,ID_archer_cible,8,FALSE)</f>
        <v>#N/A</v>
      </c>
      <c r="T1365" s="1000"/>
      <c r="U1365" s="1000"/>
      <c r="V1365" s="1000"/>
      <c r="W1365" s="1001"/>
      <c r="X1365" s="186"/>
      <c r="Y1365"/>
      <c r="Z1365" s="1014" t="e">
        <f>VLOOKUP(AS1368,ID_archer_cible,5,FALSE)</f>
        <v>#N/A</v>
      </c>
      <c r="AA1365" s="1015"/>
      <c r="AB1365" s="1015"/>
      <c r="AC1365" s="1015"/>
      <c r="AD1365" s="1015"/>
      <c r="AE1365" s="1015"/>
      <c r="AF1365" s="1015"/>
      <c r="AG1365" s="1015"/>
      <c r="AH1365" s="1016"/>
      <c r="AJ1365" s="1014" t="e">
        <f>VLOOKUP(AS1368,ID_archer_cible,6,FALSE)</f>
        <v>#N/A</v>
      </c>
      <c r="AK1365" s="1015"/>
      <c r="AL1365" s="1015"/>
      <c r="AM1365" s="1015"/>
      <c r="AN1365" s="1015"/>
      <c r="AO1365" s="1016"/>
      <c r="AQ1365" s="999" t="e">
        <f>VLOOKUP(AS1368,ID_archer_cible,8,FALSE)</f>
        <v>#N/A</v>
      </c>
      <c r="AR1365" s="1000"/>
      <c r="AS1365" s="1000"/>
      <c r="AT1365" s="1000"/>
      <c r="AU1365" s="1001"/>
    </row>
    <row r="1366" spans="2:48" x14ac:dyDescent="0.2">
      <c r="X1366" s="186"/>
      <c r="Y1366"/>
    </row>
    <row r="1367" spans="2:48" x14ac:dyDescent="0.2">
      <c r="B1367" s="992" t="s">
        <v>530</v>
      </c>
      <c r="C1367" s="992"/>
      <c r="D1367" s="992"/>
      <c r="E1367" s="992"/>
      <c r="F1367" s="992"/>
      <c r="G1367" s="187"/>
      <c r="H1367" s="992" t="s">
        <v>504</v>
      </c>
      <c r="I1367" s="992"/>
      <c r="J1367" s="992"/>
      <c r="K1367" s="992"/>
      <c r="M1367" s="992" t="s">
        <v>39</v>
      </c>
      <c r="N1367" s="992"/>
      <c r="O1367" s="992"/>
      <c r="Q1367" s="1021"/>
      <c r="R1367" s="1021"/>
      <c r="S1367" s="1021"/>
      <c r="U1367" s="992" t="s">
        <v>507</v>
      </c>
      <c r="V1367" s="992"/>
      <c r="W1367" s="992"/>
      <c r="X1367" s="188"/>
      <c r="Y1367"/>
      <c r="Z1367" s="992" t="s">
        <v>530</v>
      </c>
      <c r="AA1367" s="992"/>
      <c r="AB1367" s="992"/>
      <c r="AC1367" s="992"/>
      <c r="AD1367" s="992"/>
      <c r="AE1367" s="187"/>
      <c r="AF1367" s="992" t="s">
        <v>504</v>
      </c>
      <c r="AG1367" s="992"/>
      <c r="AH1367" s="992"/>
      <c r="AI1367" s="992"/>
      <c r="AK1367" s="992" t="s">
        <v>39</v>
      </c>
      <c r="AL1367" s="992"/>
      <c r="AM1367" s="992"/>
      <c r="AO1367" s="1021"/>
      <c r="AP1367" s="1021"/>
      <c r="AQ1367" s="1021"/>
      <c r="AS1367" s="992" t="s">
        <v>507</v>
      </c>
      <c r="AT1367" s="992"/>
      <c r="AU1367" s="992"/>
      <c r="AV1367" s="187"/>
    </row>
    <row r="1368" spans="2:48" ht="15.75" x14ac:dyDescent="0.2">
      <c r="B1368" s="1011" t="e">
        <f>VLOOKUP(U1368,ID_archer_cible,7,FALSE)</f>
        <v>#N/A</v>
      </c>
      <c r="C1368" s="1012"/>
      <c r="D1368" s="1012"/>
      <c r="E1368" s="1012"/>
      <c r="F1368" s="1013"/>
      <c r="H1368" s="999" t="e">
        <f>VLOOKUP(U1368,ID_archer_cible,9,FALSE)</f>
        <v>#N/A</v>
      </c>
      <c r="I1368" s="1000"/>
      <c r="J1368" s="1000"/>
      <c r="K1368" s="1001"/>
      <c r="M1368" s="999" t="e">
        <f>VLOOKUP(U1368,ID_archer_cible,10,FALSE)</f>
        <v>#N/A</v>
      </c>
      <c r="N1368" s="1000"/>
      <c r="O1368" s="1001"/>
      <c r="Q1368" s="1021"/>
      <c r="R1368" s="1021"/>
      <c r="S1368" s="1021"/>
      <c r="T1368" s="187"/>
      <c r="U1368" s="996" t="str">
        <f>AR1326&amp;"C"</f>
        <v>22C</v>
      </c>
      <c r="V1368" s="997"/>
      <c r="W1368" s="998"/>
      <c r="X1368" s="188"/>
      <c r="Y1368"/>
      <c r="Z1368" s="1011" t="e">
        <f>VLOOKUP(AS1368,ID_archer_cible,7,FALSE)</f>
        <v>#N/A</v>
      </c>
      <c r="AA1368" s="1012"/>
      <c r="AB1368" s="1012"/>
      <c r="AC1368" s="1012"/>
      <c r="AD1368" s="1013"/>
      <c r="AF1368" s="999" t="e">
        <f>VLOOKUP(AS1368,ID_archer_cible,9,FALSE)</f>
        <v>#N/A</v>
      </c>
      <c r="AG1368" s="1000"/>
      <c r="AH1368" s="1000"/>
      <c r="AI1368" s="1001"/>
      <c r="AK1368" s="999" t="e">
        <f>VLOOKUP(AS1368,ID_archer_cible,10,FALSE)</f>
        <v>#N/A</v>
      </c>
      <c r="AL1368" s="1000"/>
      <c r="AM1368" s="1001"/>
      <c r="AO1368" s="1021"/>
      <c r="AP1368" s="1021"/>
      <c r="AQ1368" s="1021"/>
      <c r="AR1368" s="187"/>
      <c r="AS1368" s="996" t="str">
        <f>AR1326&amp;"D"</f>
        <v>22D</v>
      </c>
      <c r="AT1368" s="997"/>
      <c r="AU1368" s="998"/>
      <c r="AV1368" s="187"/>
    </row>
    <row r="1369" spans="2:48" x14ac:dyDescent="0.2">
      <c r="X1369" s="186"/>
    </row>
    <row r="1370" spans="2:48" x14ac:dyDescent="0.2">
      <c r="B1370" s="185" t="s">
        <v>509</v>
      </c>
      <c r="E1370" s="992" t="s">
        <v>510</v>
      </c>
      <c r="F1370" s="992"/>
      <c r="G1370" s="992"/>
      <c r="H1370" s="992"/>
      <c r="I1370" s="992"/>
      <c r="J1370" s="992"/>
      <c r="K1370" s="992"/>
      <c r="L1370" s="992"/>
      <c r="M1370" s="992"/>
      <c r="N1370" s="992"/>
      <c r="P1370" s="992" t="s">
        <v>511</v>
      </c>
      <c r="Q1370" s="992"/>
      <c r="R1370" s="992"/>
      <c r="X1370" s="186"/>
      <c r="Z1370" s="185" t="s">
        <v>509</v>
      </c>
      <c r="AC1370" s="992" t="s">
        <v>510</v>
      </c>
      <c r="AD1370" s="992"/>
      <c r="AE1370" s="992"/>
      <c r="AF1370" s="992"/>
      <c r="AG1370" s="992"/>
      <c r="AH1370" s="992"/>
      <c r="AI1370" s="992"/>
      <c r="AJ1370" s="992"/>
      <c r="AK1370" s="992"/>
      <c r="AL1370" s="992"/>
      <c r="AN1370" s="992" t="s">
        <v>511</v>
      </c>
      <c r="AO1370" s="992"/>
      <c r="AP1370" s="992"/>
    </row>
    <row r="1371" spans="2:48" ht="20.25" customHeight="1" x14ac:dyDescent="0.2">
      <c r="B1371" s="1009" t="s">
        <v>513</v>
      </c>
      <c r="C1371" s="1009"/>
      <c r="E1371" s="189"/>
      <c r="F1371" s="191"/>
      <c r="G1371" s="189"/>
      <c r="H1371" s="191"/>
      <c r="I1371" s="189"/>
      <c r="J1371" s="191"/>
      <c r="K1371" s="189"/>
      <c r="L1371" s="191"/>
      <c r="M1371" s="189"/>
      <c r="N1371" s="191"/>
      <c r="P1371" s="189"/>
      <c r="Q1371" s="190"/>
      <c r="R1371" s="191"/>
      <c r="T1371" s="992" t="s">
        <v>512</v>
      </c>
      <c r="U1371" s="992"/>
      <c r="V1371" s="992"/>
      <c r="W1371" s="992"/>
      <c r="X1371" s="188"/>
      <c r="Z1371" s="1009" t="s">
        <v>513</v>
      </c>
      <c r="AA1371" s="1009"/>
      <c r="AC1371" s="189"/>
      <c r="AD1371" s="191"/>
      <c r="AE1371" s="189"/>
      <c r="AF1371" s="191"/>
      <c r="AG1371" s="189"/>
      <c r="AH1371" s="191"/>
      <c r="AI1371" s="189"/>
      <c r="AJ1371" s="191"/>
      <c r="AK1371" s="189"/>
      <c r="AL1371" s="191"/>
      <c r="AN1371" s="189"/>
      <c r="AO1371" s="190"/>
      <c r="AP1371" s="191"/>
      <c r="AR1371" s="992" t="s">
        <v>512</v>
      </c>
      <c r="AS1371" s="992"/>
      <c r="AT1371" s="992"/>
      <c r="AU1371" s="992"/>
      <c r="AV1371" s="187"/>
    </row>
    <row r="1372" spans="2:48" ht="20.25" customHeight="1" x14ac:dyDescent="0.2">
      <c r="B1372" s="1009" t="s">
        <v>514</v>
      </c>
      <c r="C1372" s="1009"/>
      <c r="E1372" s="189"/>
      <c r="F1372" s="191"/>
      <c r="G1372" s="189"/>
      <c r="H1372" s="191"/>
      <c r="I1372" s="189"/>
      <c r="J1372" s="191"/>
      <c r="K1372" s="189"/>
      <c r="L1372" s="191"/>
      <c r="M1372" s="189"/>
      <c r="N1372" s="191"/>
      <c r="P1372" s="189"/>
      <c r="Q1372" s="190"/>
      <c r="R1372" s="191"/>
      <c r="T1372" s="189"/>
      <c r="U1372" s="190"/>
      <c r="V1372" s="190"/>
      <c r="W1372" s="191"/>
      <c r="X1372" s="186"/>
      <c r="Z1372" s="1009" t="s">
        <v>514</v>
      </c>
      <c r="AA1372" s="1009"/>
      <c r="AC1372" s="189"/>
      <c r="AD1372" s="191"/>
      <c r="AE1372" s="189"/>
      <c r="AF1372" s="191"/>
      <c r="AG1372" s="189"/>
      <c r="AH1372" s="191"/>
      <c r="AI1372" s="189"/>
      <c r="AJ1372" s="191"/>
      <c r="AK1372" s="189"/>
      <c r="AL1372" s="191"/>
      <c r="AN1372" s="189"/>
      <c r="AO1372" s="190"/>
      <c r="AP1372" s="191"/>
      <c r="AR1372" s="189"/>
      <c r="AS1372" s="190"/>
      <c r="AT1372" s="190"/>
      <c r="AU1372" s="191"/>
    </row>
    <row r="1373" spans="2:48" ht="20.25" customHeight="1" x14ac:dyDescent="0.2">
      <c r="B1373" s="1009" t="s">
        <v>515</v>
      </c>
      <c r="C1373" s="1009"/>
      <c r="E1373" s="189"/>
      <c r="F1373" s="191"/>
      <c r="G1373" s="189"/>
      <c r="H1373" s="191"/>
      <c r="I1373" s="189"/>
      <c r="J1373" s="191"/>
      <c r="K1373" s="189"/>
      <c r="L1373" s="191"/>
      <c r="M1373" s="189"/>
      <c r="N1373" s="191"/>
      <c r="P1373" s="189"/>
      <c r="Q1373" s="190"/>
      <c r="R1373" s="191"/>
      <c r="T1373" s="189"/>
      <c r="U1373" s="190"/>
      <c r="V1373" s="190"/>
      <c r="W1373" s="191"/>
      <c r="X1373" s="186"/>
      <c r="Z1373" s="1009" t="s">
        <v>515</v>
      </c>
      <c r="AA1373" s="1009"/>
      <c r="AC1373" s="189"/>
      <c r="AD1373" s="191"/>
      <c r="AE1373" s="189"/>
      <c r="AF1373" s="191"/>
      <c r="AG1373" s="189"/>
      <c r="AH1373" s="191"/>
      <c r="AI1373" s="189"/>
      <c r="AJ1373" s="191"/>
      <c r="AK1373" s="189"/>
      <c r="AL1373" s="191"/>
      <c r="AN1373" s="189"/>
      <c r="AO1373" s="190"/>
      <c r="AP1373" s="191"/>
      <c r="AR1373" s="189"/>
      <c r="AS1373" s="190"/>
      <c r="AT1373" s="190"/>
      <c r="AU1373" s="191"/>
    </row>
    <row r="1374" spans="2:48" ht="20.25" customHeight="1" x14ac:dyDescent="0.2">
      <c r="B1374" s="1009" t="s">
        <v>516</v>
      </c>
      <c r="C1374" s="1009"/>
      <c r="E1374" s="189"/>
      <c r="F1374" s="191"/>
      <c r="G1374" s="189"/>
      <c r="H1374" s="191"/>
      <c r="I1374" s="189"/>
      <c r="J1374" s="191"/>
      <c r="K1374" s="189"/>
      <c r="L1374" s="191"/>
      <c r="M1374" s="189"/>
      <c r="N1374" s="191"/>
      <c r="P1374" s="189"/>
      <c r="Q1374" s="190"/>
      <c r="R1374" s="191"/>
      <c r="T1374" s="189"/>
      <c r="U1374" s="190"/>
      <c r="V1374" s="190"/>
      <c r="W1374" s="191"/>
      <c r="X1374" s="186"/>
      <c r="Z1374" s="1009" t="s">
        <v>516</v>
      </c>
      <c r="AA1374" s="1009"/>
      <c r="AC1374" s="189"/>
      <c r="AD1374" s="191"/>
      <c r="AE1374" s="189"/>
      <c r="AF1374" s="191"/>
      <c r="AG1374" s="189"/>
      <c r="AH1374" s="191"/>
      <c r="AI1374" s="189"/>
      <c r="AJ1374" s="191"/>
      <c r="AK1374" s="189"/>
      <c r="AL1374" s="191"/>
      <c r="AN1374" s="189"/>
      <c r="AO1374" s="190"/>
      <c r="AP1374" s="191"/>
      <c r="AR1374" s="189"/>
      <c r="AS1374" s="190"/>
      <c r="AT1374" s="190"/>
      <c r="AU1374" s="191"/>
    </row>
    <row r="1375" spans="2:48" ht="20.25" customHeight="1" x14ac:dyDescent="0.2">
      <c r="B1375" s="1009" t="s">
        <v>517</v>
      </c>
      <c r="C1375" s="1009"/>
      <c r="E1375" s="189"/>
      <c r="F1375" s="191"/>
      <c r="G1375" s="189"/>
      <c r="H1375" s="191"/>
      <c r="I1375" s="189"/>
      <c r="J1375" s="191"/>
      <c r="K1375" s="189"/>
      <c r="L1375" s="191"/>
      <c r="M1375" s="189"/>
      <c r="N1375" s="191"/>
      <c r="P1375" s="189"/>
      <c r="Q1375" s="190"/>
      <c r="R1375" s="191"/>
      <c r="T1375" s="189"/>
      <c r="U1375" s="190"/>
      <c r="V1375" s="190"/>
      <c r="W1375" s="191"/>
      <c r="X1375" s="186"/>
      <c r="Z1375" s="1009" t="s">
        <v>517</v>
      </c>
      <c r="AA1375" s="1009"/>
      <c r="AC1375" s="189"/>
      <c r="AD1375" s="191"/>
      <c r="AE1375" s="189"/>
      <c r="AF1375" s="191"/>
      <c r="AG1375" s="189"/>
      <c r="AH1375" s="191"/>
      <c r="AI1375" s="189"/>
      <c r="AJ1375" s="191"/>
      <c r="AK1375" s="189"/>
      <c r="AL1375" s="191"/>
      <c r="AN1375" s="189"/>
      <c r="AO1375" s="190"/>
      <c r="AP1375" s="191"/>
      <c r="AR1375" s="189"/>
      <c r="AS1375" s="190"/>
      <c r="AT1375" s="190"/>
      <c r="AU1375" s="191"/>
    </row>
    <row r="1376" spans="2:48" ht="20.25" customHeight="1" x14ac:dyDescent="0.2">
      <c r="B1376" s="1009" t="s">
        <v>518</v>
      </c>
      <c r="C1376" s="1009"/>
      <c r="E1376" s="189"/>
      <c r="F1376" s="191"/>
      <c r="G1376" s="189"/>
      <c r="H1376" s="191"/>
      <c r="I1376" s="189"/>
      <c r="J1376" s="191"/>
      <c r="K1376" s="189"/>
      <c r="L1376" s="191"/>
      <c r="M1376" s="189"/>
      <c r="N1376" s="191"/>
      <c r="P1376" s="189"/>
      <c r="Q1376" s="190"/>
      <c r="R1376" s="191"/>
      <c r="T1376" s="189"/>
      <c r="U1376" s="190"/>
      <c r="V1376" s="190"/>
      <c r="W1376" s="191"/>
      <c r="X1376" s="186"/>
      <c r="Z1376" s="1009" t="s">
        <v>518</v>
      </c>
      <c r="AA1376" s="1009"/>
      <c r="AC1376" s="189"/>
      <c r="AD1376" s="191"/>
      <c r="AE1376" s="189"/>
      <c r="AF1376" s="191"/>
      <c r="AG1376" s="189"/>
      <c r="AH1376" s="191"/>
      <c r="AI1376" s="189"/>
      <c r="AJ1376" s="191"/>
      <c r="AK1376" s="189"/>
      <c r="AL1376" s="191"/>
      <c r="AN1376" s="189"/>
      <c r="AO1376" s="190"/>
      <c r="AP1376" s="191"/>
      <c r="AR1376" s="189"/>
      <c r="AS1376" s="190"/>
      <c r="AT1376" s="190"/>
      <c r="AU1376" s="191"/>
    </row>
    <row r="1377" spans="2:48" ht="15.75" thickBot="1" x14ac:dyDescent="0.25">
      <c r="B1377" s="187"/>
      <c r="C1377" s="187"/>
      <c r="X1377" s="186"/>
      <c r="Z1377" s="187"/>
      <c r="AA1377" s="187"/>
    </row>
    <row r="1378" spans="2:48" ht="20.25" customHeight="1" thickBot="1" x14ac:dyDescent="0.25">
      <c r="P1378" s="197" t="s">
        <v>519</v>
      </c>
      <c r="Q1378" s="197"/>
      <c r="R1378" s="197"/>
      <c r="S1378" s="197"/>
      <c r="T1378" s="192"/>
      <c r="U1378" s="193"/>
      <c r="V1378" s="193"/>
      <c r="W1378" s="194"/>
      <c r="X1378" s="186"/>
      <c r="AN1378" s="197" t="s">
        <v>519</v>
      </c>
      <c r="AO1378" s="197"/>
      <c r="AP1378" s="197"/>
      <c r="AQ1378" s="197"/>
      <c r="AR1378" s="192"/>
      <c r="AS1378" s="193"/>
      <c r="AT1378" s="193"/>
      <c r="AU1378" s="194"/>
    </row>
    <row r="1379" spans="2:48" x14ac:dyDescent="0.2">
      <c r="E1379" s="196"/>
      <c r="F1379" s="196"/>
      <c r="G1379" s="196"/>
      <c r="H1379" s="196"/>
      <c r="I1379" s="196"/>
      <c r="J1379" s="196"/>
      <c r="K1379" s="196"/>
      <c r="L1379" s="196"/>
      <c r="M1379" s="196"/>
      <c r="X1379" s="186"/>
      <c r="AC1379" s="196"/>
      <c r="AD1379" s="196"/>
      <c r="AE1379" s="196"/>
      <c r="AF1379" s="196"/>
      <c r="AG1379" s="196"/>
      <c r="AH1379" s="196"/>
      <c r="AI1379" s="196"/>
      <c r="AJ1379" s="196"/>
      <c r="AK1379" s="196"/>
    </row>
    <row r="1380" spans="2:48" x14ac:dyDescent="0.2">
      <c r="B1380" s="1010" t="s">
        <v>521</v>
      </c>
      <c r="C1380" s="1010"/>
      <c r="D1380" s="1010"/>
      <c r="E1380" s="1010"/>
      <c r="F1380" s="1010"/>
      <c r="G1380" s="1010"/>
      <c r="H1380" s="195"/>
      <c r="I1380" s="1004" t="s">
        <v>522</v>
      </c>
      <c r="J1380" s="1004"/>
      <c r="K1380" s="1004"/>
      <c r="L1380" s="1004"/>
      <c r="M1380" s="1004"/>
      <c r="N1380" s="1004"/>
      <c r="O1380" s="1004"/>
      <c r="P1380" s="1004"/>
      <c r="Q1380" s="1004"/>
      <c r="R1380" s="1004"/>
      <c r="S1380" s="1004"/>
      <c r="T1380" s="1004"/>
      <c r="U1380" s="1004"/>
      <c r="V1380" s="1004"/>
      <c r="W1380" s="1004"/>
      <c r="X1380" s="198"/>
      <c r="Y1380" s="195"/>
      <c r="Z1380" s="1010" t="s">
        <v>521</v>
      </c>
      <c r="AA1380" s="1010"/>
      <c r="AB1380" s="1010"/>
      <c r="AC1380" s="1010"/>
      <c r="AD1380" s="1010"/>
      <c r="AE1380" s="1010"/>
      <c r="AF1380" s="195"/>
      <c r="AG1380" s="1004" t="s">
        <v>522</v>
      </c>
      <c r="AH1380" s="1004"/>
      <c r="AI1380" s="1004"/>
      <c r="AJ1380" s="1004"/>
      <c r="AK1380" s="1004"/>
      <c r="AL1380" s="1004"/>
      <c r="AM1380" s="1004"/>
      <c r="AN1380" s="1004"/>
      <c r="AO1380" s="1004"/>
      <c r="AP1380" s="1004"/>
      <c r="AQ1380" s="1004"/>
      <c r="AR1380" s="1004"/>
      <c r="AS1380" s="1004"/>
      <c r="AT1380" s="1004"/>
      <c r="AU1380" s="1004"/>
      <c r="AV1380" s="195"/>
    </row>
    <row r="1381" spans="2:48" x14ac:dyDescent="0.2">
      <c r="B1381" s="1005" t="s">
        <v>520</v>
      </c>
      <c r="C1381" s="1006"/>
      <c r="D1381" s="1006"/>
      <c r="E1381" s="1006"/>
      <c r="F1381" s="1006"/>
      <c r="G1381" s="1007"/>
      <c r="I1381" s="1005" t="s">
        <v>0</v>
      </c>
      <c r="J1381" s="1006"/>
      <c r="K1381" s="1006"/>
      <c r="L1381" s="1006"/>
      <c r="M1381" s="1006"/>
      <c r="N1381" s="1006"/>
      <c r="O1381" s="1006"/>
      <c r="P1381" s="1006"/>
      <c r="Q1381" s="1006"/>
      <c r="R1381" s="1006"/>
      <c r="S1381" s="1006"/>
      <c r="T1381" s="1006"/>
      <c r="U1381" s="1006"/>
      <c r="V1381" s="1006"/>
      <c r="W1381" s="1007"/>
      <c r="X1381" s="186"/>
      <c r="Z1381" s="1005" t="s">
        <v>520</v>
      </c>
      <c r="AA1381" s="1006"/>
      <c r="AB1381" s="1006"/>
      <c r="AC1381" s="1006"/>
      <c r="AD1381" s="1006"/>
      <c r="AE1381" s="1007"/>
      <c r="AG1381" s="1005" t="s">
        <v>0</v>
      </c>
      <c r="AH1381" s="1006"/>
      <c r="AI1381" s="1006"/>
      <c r="AJ1381" s="1006"/>
      <c r="AK1381" s="1006"/>
      <c r="AL1381" s="1006"/>
      <c r="AM1381" s="1006"/>
      <c r="AN1381" s="1006"/>
      <c r="AO1381" s="1006"/>
      <c r="AP1381" s="1006"/>
      <c r="AQ1381" s="1006"/>
      <c r="AR1381" s="1006"/>
      <c r="AS1381" s="1006"/>
      <c r="AT1381" s="1006"/>
      <c r="AU1381" s="1007"/>
    </row>
    <row r="1382" spans="2:48" x14ac:dyDescent="0.2">
      <c r="B1382" s="199"/>
      <c r="C1382" s="200"/>
      <c r="D1382" s="200"/>
      <c r="E1382" s="200"/>
      <c r="F1382" s="200"/>
      <c r="G1382" s="201"/>
      <c r="I1382" s="199"/>
      <c r="J1382" s="200"/>
      <c r="K1382" s="200"/>
      <c r="L1382" s="200"/>
      <c r="M1382" s="200"/>
      <c r="N1382" s="200"/>
      <c r="O1382" s="200"/>
      <c r="P1382" s="200"/>
      <c r="Q1382" s="200"/>
      <c r="R1382" s="200"/>
      <c r="S1382" s="200"/>
      <c r="T1382" s="200"/>
      <c r="U1382" s="200"/>
      <c r="V1382" s="200"/>
      <c r="W1382" s="201"/>
      <c r="X1382" s="186"/>
      <c r="Z1382" s="199"/>
      <c r="AA1382" s="200"/>
      <c r="AB1382" s="200"/>
      <c r="AC1382" s="200"/>
      <c r="AD1382" s="200"/>
      <c r="AE1382" s="201"/>
      <c r="AG1382" s="199"/>
      <c r="AH1382" s="200"/>
      <c r="AI1382" s="200"/>
      <c r="AJ1382" s="200"/>
      <c r="AK1382" s="200"/>
      <c r="AL1382" s="200"/>
      <c r="AM1382" s="200"/>
      <c r="AN1382" s="200"/>
      <c r="AO1382" s="200"/>
      <c r="AP1382" s="200"/>
      <c r="AQ1382" s="200"/>
      <c r="AR1382" s="200"/>
      <c r="AS1382" s="200"/>
      <c r="AT1382" s="200"/>
      <c r="AU1382" s="201"/>
    </row>
    <row r="1383" spans="2:48" x14ac:dyDescent="0.2">
      <c r="X1383" s="186"/>
    </row>
    <row r="1384" spans="2:48" x14ac:dyDescent="0.2">
      <c r="I1384" s="1005" t="s">
        <v>481</v>
      </c>
      <c r="J1384" s="1006"/>
      <c r="K1384" s="1006"/>
      <c r="L1384" s="1006"/>
      <c r="M1384" s="1006"/>
      <c r="N1384" s="1006"/>
      <c r="O1384" s="1006"/>
      <c r="P1384" s="1006"/>
      <c r="Q1384" s="1007"/>
      <c r="R1384" s="1005" t="s">
        <v>520</v>
      </c>
      <c r="S1384" s="1006"/>
      <c r="T1384" s="1006"/>
      <c r="U1384" s="1006"/>
      <c r="V1384" s="1006"/>
      <c r="W1384" s="1007"/>
      <c r="X1384" s="186"/>
      <c r="AG1384" s="1005" t="s">
        <v>481</v>
      </c>
      <c r="AH1384" s="1006"/>
      <c r="AI1384" s="1006"/>
      <c r="AJ1384" s="1006"/>
      <c r="AK1384" s="1006"/>
      <c r="AL1384" s="1006"/>
      <c r="AM1384" s="1006"/>
      <c r="AN1384" s="1006"/>
      <c r="AO1384" s="1007"/>
      <c r="AP1384" s="1005" t="s">
        <v>520</v>
      </c>
      <c r="AQ1384" s="1006"/>
      <c r="AR1384" s="1006"/>
      <c r="AS1384" s="1006"/>
      <c r="AT1384" s="1006"/>
      <c r="AU1384" s="1007"/>
    </row>
    <row r="1385" spans="2:48" x14ac:dyDescent="0.2">
      <c r="I1385" s="199"/>
      <c r="J1385" s="200"/>
      <c r="K1385" s="200"/>
      <c r="L1385" s="200"/>
      <c r="M1385" s="200"/>
      <c r="N1385" s="200"/>
      <c r="O1385" s="200"/>
      <c r="P1385" s="200"/>
      <c r="Q1385" s="200"/>
      <c r="R1385" s="199"/>
      <c r="S1385" s="200"/>
      <c r="T1385" s="200"/>
      <c r="U1385" s="200"/>
      <c r="V1385" s="200"/>
      <c r="W1385" s="201"/>
      <c r="X1385" s="186"/>
      <c r="AG1385" s="199"/>
      <c r="AH1385" s="200"/>
      <c r="AI1385" s="200"/>
      <c r="AJ1385" s="200"/>
      <c r="AK1385" s="200"/>
      <c r="AL1385" s="200"/>
      <c r="AM1385" s="200"/>
      <c r="AN1385" s="200"/>
      <c r="AO1385" s="200"/>
      <c r="AP1385" s="199"/>
      <c r="AQ1385" s="200"/>
      <c r="AR1385" s="200"/>
      <c r="AS1385" s="200"/>
      <c r="AT1385" s="200"/>
      <c r="AU1385" s="201"/>
    </row>
    <row r="1388" spans="2:48" ht="57.75" customHeight="1" x14ac:dyDescent="0.2">
      <c r="B1388" s="1058" t="str">
        <f>Championnat</f>
        <v>Championnat de France de Tir à l'ARC</v>
      </c>
      <c r="C1388" s="1058"/>
      <c r="D1388" s="1058"/>
      <c r="E1388" s="1058"/>
      <c r="F1388" s="1058"/>
      <c r="G1388" s="1058"/>
      <c r="H1388" s="1058"/>
      <c r="I1388" s="1058"/>
      <c r="J1388" s="1058"/>
      <c r="K1388" s="1058"/>
      <c r="L1388" s="1058"/>
      <c r="M1388" s="1058"/>
      <c r="N1388" s="1058"/>
      <c r="O1388" s="1058"/>
      <c r="P1388" s="1058"/>
      <c r="Q1388" s="1058"/>
      <c r="R1388" s="1058"/>
      <c r="S1388" s="1058"/>
      <c r="T1388" s="1058"/>
      <c r="U1388" s="1058"/>
      <c r="V1388" s="1058"/>
      <c r="W1388" s="1058"/>
      <c r="X1388" s="1058"/>
      <c r="Y1388" s="1058"/>
      <c r="Z1388" s="1058"/>
      <c r="AA1388" s="1058"/>
      <c r="AB1388" s="1058"/>
      <c r="AC1388" s="1058"/>
      <c r="AD1388" s="1058"/>
      <c r="AE1388" s="1058"/>
      <c r="AF1388" s="1058"/>
      <c r="AG1388" s="1058"/>
      <c r="AH1388" s="1058"/>
      <c r="AI1388" s="1058"/>
      <c r="AJ1388" s="1058"/>
      <c r="AK1388" s="1058"/>
      <c r="AL1388" s="1058"/>
      <c r="AM1388" s="1058"/>
      <c r="AN1388" s="1058"/>
      <c r="AO1388" s="1058"/>
      <c r="AP1388" s="1058"/>
    </row>
    <row r="1389" spans="2:48" ht="45" customHeight="1" thickBot="1" x14ac:dyDescent="0.25">
      <c r="B1389" s="1018" t="str">
        <f>LIEU&amp;" - "&amp;DATE&amp;" - "&amp;CATEG</f>
        <v>L’Isle sur la Sorgue - 27 au 31 mars 2023 - Collèges Mixtes Etablissement</v>
      </c>
      <c r="C1389" s="1018"/>
      <c r="D1389" s="1018"/>
      <c r="E1389" s="1018"/>
      <c r="F1389" s="1018"/>
      <c r="G1389" s="1018"/>
      <c r="H1389" s="1018"/>
      <c r="I1389" s="1018"/>
      <c r="J1389" s="1018"/>
      <c r="K1389" s="1018"/>
      <c r="L1389" s="1018"/>
      <c r="M1389" s="1018"/>
      <c r="N1389" s="1018"/>
      <c r="O1389" s="1018"/>
      <c r="P1389" s="1018"/>
      <c r="Q1389" s="1018"/>
      <c r="R1389" s="1018"/>
      <c r="S1389" s="1018"/>
      <c r="T1389" s="1018"/>
      <c r="U1389" s="1018"/>
      <c r="V1389" s="1018"/>
      <c r="W1389" s="1018"/>
      <c r="X1389" s="1018"/>
      <c r="Y1389" s="1018"/>
      <c r="Z1389" s="1018"/>
      <c r="AA1389" s="1018"/>
      <c r="AB1389" s="1018"/>
      <c r="AC1389" s="1018"/>
      <c r="AD1389" s="1018"/>
      <c r="AE1389" s="1018"/>
      <c r="AF1389" s="1018"/>
      <c r="AG1389" s="1018"/>
      <c r="AH1389" s="1018"/>
      <c r="AI1389" s="1018"/>
      <c r="AJ1389" s="1018"/>
      <c r="AK1389" s="1018"/>
      <c r="AL1389" s="1018"/>
      <c r="AM1389" s="1018"/>
      <c r="AN1389" s="1018"/>
      <c r="AO1389" s="1018"/>
      <c r="AP1389" s="1018"/>
      <c r="AQ1389" s="182"/>
      <c r="AR1389" s="182"/>
      <c r="AS1389" s="182"/>
      <c r="AT1389" s="182"/>
      <c r="AU1389" s="182"/>
      <c r="AV1389" s="182"/>
    </row>
    <row r="1390" spans="2:48" ht="26.25" customHeight="1" x14ac:dyDescent="0.2">
      <c r="B1390" s="1059" t="str">
        <f>CATEG_IMPORTEE</f>
        <v>Collèges Mixtes Etablissement</v>
      </c>
      <c r="C1390" s="1059"/>
      <c r="D1390" s="1059"/>
      <c r="E1390" s="1059"/>
      <c r="F1390" s="1059"/>
      <c r="G1390" s="1059"/>
      <c r="H1390" s="1059"/>
      <c r="I1390" s="1059"/>
      <c r="J1390" s="1059"/>
      <c r="K1390" s="1059"/>
      <c r="L1390" s="1059"/>
      <c r="M1390" s="1059"/>
      <c r="N1390" s="1059"/>
      <c r="O1390" s="1059"/>
      <c r="P1390" s="1059"/>
      <c r="Q1390" s="1059"/>
      <c r="R1390" s="1059"/>
      <c r="S1390" s="1059"/>
      <c r="T1390" s="1059"/>
      <c r="U1390" s="1059"/>
      <c r="V1390" s="1059"/>
      <c r="W1390" s="1059"/>
      <c r="X1390" s="1059"/>
      <c r="Y1390" s="1059"/>
      <c r="Z1390" s="1059"/>
      <c r="AA1390" s="1059"/>
      <c r="AB1390" s="1059"/>
      <c r="AC1390" s="1059"/>
      <c r="AD1390" s="1059"/>
      <c r="AE1390" s="1059"/>
      <c r="AF1390" s="1059"/>
      <c r="AG1390" s="1059"/>
      <c r="AH1390" s="1059"/>
      <c r="AI1390" s="1059"/>
      <c r="AJ1390" s="1059"/>
      <c r="AK1390" s="1059"/>
      <c r="AL1390" s="1059"/>
      <c r="AM1390" s="1059"/>
      <c r="AN1390" s="1059"/>
      <c r="AO1390" s="1059"/>
      <c r="AP1390" s="1059"/>
      <c r="AQ1390" s="182"/>
      <c r="AR1390" s="1060">
        <f>AR1326+1</f>
        <v>23</v>
      </c>
      <c r="AS1390" s="1061"/>
      <c r="AT1390" s="1062"/>
      <c r="AU1390" s="182"/>
      <c r="AV1390" s="182"/>
    </row>
    <row r="1391" spans="2:48" ht="18" customHeight="1" x14ac:dyDescent="0.2">
      <c r="B1391" s="182"/>
      <c r="C1391" s="182"/>
      <c r="D1391" s="182"/>
      <c r="E1391" s="182"/>
      <c r="F1391" s="182"/>
      <c r="G1391" s="182"/>
      <c r="H1391" s="182"/>
      <c r="I1391" s="182"/>
      <c r="J1391" s="182"/>
      <c r="K1391" s="182"/>
      <c r="L1391" s="182"/>
      <c r="M1391" s="182"/>
      <c r="N1391" s="182"/>
      <c r="O1391" s="182"/>
      <c r="P1391" s="182"/>
      <c r="Q1391" s="182"/>
      <c r="R1391" s="182"/>
      <c r="S1391" s="182"/>
      <c r="T1391" s="182"/>
      <c r="U1391" s="182"/>
      <c r="V1391" s="182"/>
      <c r="W1391" s="182"/>
      <c r="X1391" s="183"/>
      <c r="Y1391" s="184"/>
      <c r="Z1391" s="182"/>
      <c r="AA1391" s="182"/>
      <c r="AB1391" s="182"/>
      <c r="AC1391" s="182"/>
      <c r="AD1391" s="182"/>
      <c r="AE1391" s="182"/>
      <c r="AF1391" s="182"/>
      <c r="AG1391" s="182"/>
      <c r="AH1391" s="182"/>
      <c r="AI1391" s="182"/>
      <c r="AJ1391" s="182"/>
      <c r="AK1391" s="182"/>
      <c r="AL1391" s="182"/>
      <c r="AM1391" s="182"/>
      <c r="AN1391" s="182"/>
      <c r="AO1391" s="182"/>
      <c r="AP1391" s="182"/>
      <c r="AQ1391" s="182"/>
      <c r="AR1391" s="1063"/>
      <c r="AS1391" s="1064"/>
      <c r="AT1391" s="1065"/>
      <c r="AU1391" s="182"/>
      <c r="AV1391" s="182"/>
    </row>
    <row r="1392" spans="2:48" ht="18.75" customHeight="1" thickBot="1" x14ac:dyDescent="0.25">
      <c r="B1392" s="182"/>
      <c r="C1392" s="182"/>
      <c r="D1392" s="182"/>
      <c r="E1392" s="182"/>
      <c r="F1392" s="182"/>
      <c r="G1392" s="182"/>
      <c r="H1392" s="992" t="s">
        <v>374</v>
      </c>
      <c r="I1392" s="992"/>
      <c r="J1392" s="992"/>
      <c r="K1392" s="992"/>
      <c r="L1392" s="992"/>
      <c r="M1392" s="992"/>
      <c r="N1392" s="992"/>
      <c r="O1392" s="992"/>
      <c r="P1392" s="992"/>
      <c r="Q1392" s="992"/>
      <c r="R1392" s="182"/>
      <c r="S1392" s="182"/>
      <c r="T1392" s="182"/>
      <c r="U1392" s="182"/>
      <c r="V1392" s="182"/>
      <c r="W1392" s="182"/>
      <c r="X1392" s="183"/>
      <c r="Y1392" s="182"/>
      <c r="Z1392" s="182"/>
      <c r="AA1392" s="182"/>
      <c r="AB1392" s="182"/>
      <c r="AC1392" s="182"/>
      <c r="AD1392" s="182"/>
      <c r="AE1392" s="992" t="s">
        <v>374</v>
      </c>
      <c r="AF1392" s="992"/>
      <c r="AG1392" s="992"/>
      <c r="AH1392" s="992"/>
      <c r="AI1392" s="992"/>
      <c r="AJ1392" s="992"/>
      <c r="AK1392" s="992"/>
      <c r="AL1392" s="992"/>
      <c r="AM1392" s="992"/>
      <c r="AN1392" s="992"/>
      <c r="AO1392" s="182"/>
      <c r="AP1392" s="182"/>
      <c r="AQ1392" s="182"/>
      <c r="AR1392" s="1066"/>
      <c r="AS1392" s="1067"/>
      <c r="AT1392" s="1068"/>
      <c r="AU1392" s="182"/>
      <c r="AV1392" s="182"/>
    </row>
    <row r="1393" spans="2:48" ht="18" x14ac:dyDescent="0.2">
      <c r="B1393" s="182"/>
      <c r="C1393" s="182"/>
      <c r="D1393" s="182"/>
      <c r="E1393" s="182"/>
      <c r="F1393" s="182"/>
      <c r="G1393" s="182"/>
      <c r="H1393" s="1022" t="e">
        <f>VLOOKUP(U1402,ID_archer_cible,4,FALSE)</f>
        <v>#N/A</v>
      </c>
      <c r="I1393" s="1023"/>
      <c r="J1393" s="1023"/>
      <c r="K1393" s="1023"/>
      <c r="L1393" s="1023"/>
      <c r="M1393" s="1023"/>
      <c r="N1393" s="1023"/>
      <c r="O1393" s="1023"/>
      <c r="P1393" s="1023"/>
      <c r="Q1393" s="1024"/>
      <c r="R1393" s="182"/>
      <c r="S1393" s="182"/>
      <c r="T1393" s="182"/>
      <c r="U1393" s="182"/>
      <c r="V1393" s="182"/>
      <c r="W1393" s="182"/>
      <c r="X1393" s="183"/>
      <c r="Y1393" s="182"/>
      <c r="Z1393" s="182"/>
      <c r="AA1393" s="182"/>
      <c r="AB1393" s="182"/>
      <c r="AC1393" s="182"/>
      <c r="AD1393" s="182"/>
      <c r="AE1393" s="1022" t="e">
        <f>VLOOKUP(AS1402,ID_archer_cible,4,FALSE)</f>
        <v>#N/A</v>
      </c>
      <c r="AF1393" s="1023"/>
      <c r="AG1393" s="1023"/>
      <c r="AH1393" s="1023"/>
      <c r="AI1393" s="1023"/>
      <c r="AJ1393" s="1023"/>
      <c r="AK1393" s="1023"/>
      <c r="AL1393" s="1023"/>
      <c r="AM1393" s="1023"/>
      <c r="AN1393" s="1024"/>
      <c r="AO1393" s="182"/>
      <c r="AP1393" s="182"/>
      <c r="AQ1393" s="182"/>
      <c r="AR1393" s="182"/>
      <c r="AS1393" s="182"/>
      <c r="AT1393" s="182"/>
      <c r="AU1393" s="182"/>
      <c r="AV1393" s="182"/>
    </row>
    <row r="1394" spans="2:48" x14ac:dyDescent="0.2">
      <c r="X1394" s="186"/>
    </row>
    <row r="1395" spans="2:48" x14ac:dyDescent="0.2">
      <c r="B1395" s="1021" t="s">
        <v>0</v>
      </c>
      <c r="C1395" s="1021"/>
      <c r="D1395" s="1021"/>
      <c r="E1395" s="1021"/>
      <c r="F1395" s="1021"/>
      <c r="G1395" s="1021"/>
      <c r="H1395" s="1021"/>
      <c r="I1395" s="1021"/>
      <c r="J1395" s="1021"/>
      <c r="K1395" s="1021"/>
      <c r="L1395" s="1021"/>
      <c r="M1395" s="187"/>
      <c r="P1395" s="992" t="s">
        <v>375</v>
      </c>
      <c r="Q1395" s="992"/>
      <c r="R1395" s="992"/>
      <c r="S1395" s="992"/>
      <c r="T1395" s="992"/>
      <c r="U1395" s="992"/>
      <c r="V1395" s="992"/>
      <c r="W1395" s="992"/>
      <c r="X1395" s="188"/>
      <c r="Z1395" s="1021" t="s">
        <v>0</v>
      </c>
      <c r="AA1395" s="1021"/>
      <c r="AB1395" s="1021"/>
      <c r="AC1395" s="1021"/>
      <c r="AD1395" s="1021"/>
      <c r="AE1395" s="1021"/>
      <c r="AF1395" s="1021"/>
      <c r="AG1395" s="1021"/>
      <c r="AH1395" s="1021"/>
      <c r="AI1395" s="1021"/>
      <c r="AJ1395" s="1021"/>
      <c r="AK1395" s="187"/>
      <c r="AN1395" s="992" t="s">
        <v>375</v>
      </c>
      <c r="AO1395" s="992"/>
      <c r="AP1395" s="992"/>
      <c r="AQ1395" s="992"/>
      <c r="AR1395" s="992"/>
      <c r="AS1395" s="992"/>
      <c r="AT1395" s="992"/>
      <c r="AU1395" s="992"/>
      <c r="AV1395" s="187"/>
    </row>
    <row r="1396" spans="2:48" x14ac:dyDescent="0.2">
      <c r="B1396" s="999" t="e">
        <f>VLOOKUP(U1402,ID_archer_cible,2,FALSE)</f>
        <v>#N/A</v>
      </c>
      <c r="C1396" s="1000"/>
      <c r="D1396" s="1000"/>
      <c r="E1396" s="1000"/>
      <c r="F1396" s="1000"/>
      <c r="G1396" s="1000"/>
      <c r="H1396" s="1000"/>
      <c r="I1396" s="1000"/>
      <c r="J1396" s="1000"/>
      <c r="K1396" s="1000"/>
      <c r="L1396" s="1000"/>
      <c r="M1396" s="1001"/>
      <c r="P1396" s="999" t="e">
        <f>VLOOKUP(U1402,ID_archer_cible,3,FALSE)</f>
        <v>#N/A</v>
      </c>
      <c r="Q1396" s="1000"/>
      <c r="R1396" s="1000"/>
      <c r="S1396" s="1000"/>
      <c r="T1396" s="1000"/>
      <c r="U1396" s="1000"/>
      <c r="V1396" s="1000"/>
      <c r="W1396" s="1001"/>
      <c r="X1396" s="186"/>
      <c r="Y1396"/>
      <c r="Z1396" s="999" t="e">
        <f>VLOOKUP(AS1402,ID_archer_cible,2,FALSE)</f>
        <v>#N/A</v>
      </c>
      <c r="AA1396" s="1000"/>
      <c r="AB1396" s="1000"/>
      <c r="AC1396" s="1000"/>
      <c r="AD1396" s="1000"/>
      <c r="AE1396" s="1000"/>
      <c r="AF1396" s="1000"/>
      <c r="AG1396" s="1000"/>
      <c r="AH1396" s="1000"/>
      <c r="AI1396" s="1000"/>
      <c r="AJ1396" s="1000"/>
      <c r="AK1396" s="1001"/>
      <c r="AN1396" s="999" t="e">
        <f>VLOOKUP(AS1402,ID_archer_cible,3,FALSE)</f>
        <v>#N/A</v>
      </c>
      <c r="AO1396" s="1000"/>
      <c r="AP1396" s="1000"/>
      <c r="AQ1396" s="1000"/>
      <c r="AR1396" s="1000"/>
      <c r="AS1396" s="1000"/>
      <c r="AT1396" s="1000"/>
      <c r="AU1396" s="1001"/>
    </row>
    <row r="1397" spans="2:48" x14ac:dyDescent="0.2">
      <c r="X1397" s="186"/>
      <c r="Y1397"/>
    </row>
    <row r="1398" spans="2:48" ht="16.5" thickBot="1" x14ac:dyDescent="0.25">
      <c r="B1398" s="1017" t="s">
        <v>1</v>
      </c>
      <c r="C1398" s="1017"/>
      <c r="D1398" s="1017"/>
      <c r="E1398" s="1017"/>
      <c r="F1398" s="1017"/>
      <c r="G1398" s="1017"/>
      <c r="H1398" s="1017"/>
      <c r="I1398" s="1017"/>
      <c r="J1398" s="1017"/>
      <c r="L1398" s="1017" t="s">
        <v>505</v>
      </c>
      <c r="M1398" s="1017"/>
      <c r="N1398" s="1017"/>
      <c r="O1398" s="1017"/>
      <c r="P1398" s="1017"/>
      <c r="Q1398" s="1017"/>
      <c r="S1398" s="992" t="s">
        <v>506</v>
      </c>
      <c r="T1398" s="992"/>
      <c r="U1398" s="992"/>
      <c r="V1398" s="992"/>
      <c r="W1398" s="992"/>
      <c r="X1398" s="188"/>
      <c r="Y1398"/>
      <c r="Z1398" s="1017" t="s">
        <v>1</v>
      </c>
      <c r="AA1398" s="1017"/>
      <c r="AB1398" s="1017"/>
      <c r="AC1398" s="1017"/>
      <c r="AD1398" s="1017"/>
      <c r="AE1398" s="1017"/>
      <c r="AF1398" s="1017"/>
      <c r="AG1398" s="1017"/>
      <c r="AH1398" s="1017"/>
      <c r="AJ1398" s="1017" t="s">
        <v>505</v>
      </c>
      <c r="AK1398" s="1017"/>
      <c r="AL1398" s="1017"/>
      <c r="AM1398" s="1017"/>
      <c r="AN1398" s="1017"/>
      <c r="AO1398" s="1017"/>
      <c r="AQ1398" s="992" t="s">
        <v>506</v>
      </c>
      <c r="AR1398" s="992"/>
      <c r="AS1398" s="992"/>
      <c r="AT1398" s="992"/>
      <c r="AU1398" s="992"/>
      <c r="AV1398" s="187"/>
    </row>
    <row r="1399" spans="2:48" ht="16.5" thickBot="1" x14ac:dyDescent="0.25">
      <c r="B1399" s="1014" t="e">
        <f>VLOOKUP(U1402,ID_archer_cible,5,FALSE)</f>
        <v>#N/A</v>
      </c>
      <c r="C1399" s="1015"/>
      <c r="D1399" s="1015"/>
      <c r="E1399" s="1015"/>
      <c r="F1399" s="1015"/>
      <c r="G1399" s="1015"/>
      <c r="H1399" s="1015"/>
      <c r="I1399" s="1015"/>
      <c r="J1399" s="1016"/>
      <c r="L1399" s="1014" t="e">
        <f>VLOOKUP(U1402,ID_archer_cible,6,FALSE)</f>
        <v>#N/A</v>
      </c>
      <c r="M1399" s="1015"/>
      <c r="N1399" s="1015"/>
      <c r="O1399" s="1015"/>
      <c r="P1399" s="1015"/>
      <c r="Q1399" s="1016"/>
      <c r="S1399" s="999" t="e">
        <f>VLOOKUP(U1402,ID_archer_cible,8,FALSE)</f>
        <v>#N/A</v>
      </c>
      <c r="T1399" s="1000"/>
      <c r="U1399" s="1000"/>
      <c r="V1399" s="1000"/>
      <c r="W1399" s="1001"/>
      <c r="X1399" s="186"/>
      <c r="Y1399"/>
      <c r="Z1399" s="1014" t="e">
        <f>VLOOKUP(AS1402,ID_archer_cible,5,FALSE)</f>
        <v>#N/A</v>
      </c>
      <c r="AA1399" s="1015"/>
      <c r="AB1399" s="1015"/>
      <c r="AC1399" s="1015"/>
      <c r="AD1399" s="1015"/>
      <c r="AE1399" s="1015"/>
      <c r="AF1399" s="1015"/>
      <c r="AG1399" s="1015"/>
      <c r="AH1399" s="1016"/>
      <c r="AJ1399" s="1014" t="e">
        <f>VLOOKUP(AS1402,ID_archer_cible,6,FALSE)</f>
        <v>#N/A</v>
      </c>
      <c r="AK1399" s="1015"/>
      <c r="AL1399" s="1015"/>
      <c r="AM1399" s="1015"/>
      <c r="AN1399" s="1015"/>
      <c r="AO1399" s="1016"/>
      <c r="AQ1399" s="999" t="e">
        <f>VLOOKUP(AS1402,ID_archer_cible,8,FALSE)</f>
        <v>#N/A</v>
      </c>
      <c r="AR1399" s="1000"/>
      <c r="AS1399" s="1000"/>
      <c r="AT1399" s="1000"/>
      <c r="AU1399" s="1001"/>
    </row>
    <row r="1400" spans="2:48" x14ac:dyDescent="0.2">
      <c r="X1400" s="186"/>
      <c r="Y1400"/>
    </row>
    <row r="1401" spans="2:48" x14ac:dyDescent="0.2">
      <c r="B1401" s="992" t="s">
        <v>530</v>
      </c>
      <c r="C1401" s="992"/>
      <c r="D1401" s="992"/>
      <c r="E1401" s="992"/>
      <c r="F1401" s="992"/>
      <c r="G1401" s="187"/>
      <c r="H1401" s="992" t="s">
        <v>504</v>
      </c>
      <c r="I1401" s="992"/>
      <c r="J1401" s="992"/>
      <c r="K1401" s="992"/>
      <c r="M1401" s="992" t="s">
        <v>39</v>
      </c>
      <c r="N1401" s="992"/>
      <c r="O1401" s="992"/>
      <c r="Q1401" s="1021"/>
      <c r="R1401" s="1021"/>
      <c r="S1401" s="1021"/>
      <c r="U1401" s="992" t="s">
        <v>507</v>
      </c>
      <c r="V1401" s="992"/>
      <c r="W1401" s="992"/>
      <c r="X1401" s="188"/>
      <c r="Y1401"/>
      <c r="Z1401" s="992" t="s">
        <v>530</v>
      </c>
      <c r="AA1401" s="992"/>
      <c r="AB1401" s="992"/>
      <c r="AC1401" s="992"/>
      <c r="AD1401" s="992"/>
      <c r="AE1401" s="187"/>
      <c r="AF1401" s="992" t="s">
        <v>504</v>
      </c>
      <c r="AG1401" s="992"/>
      <c r="AH1401" s="992"/>
      <c r="AI1401" s="992"/>
      <c r="AK1401" s="992" t="s">
        <v>39</v>
      </c>
      <c r="AL1401" s="992"/>
      <c r="AM1401" s="992"/>
      <c r="AO1401" s="1021"/>
      <c r="AP1401" s="1021"/>
      <c r="AQ1401" s="1021"/>
      <c r="AS1401" s="992" t="s">
        <v>507</v>
      </c>
      <c r="AT1401" s="992"/>
      <c r="AU1401" s="992"/>
      <c r="AV1401" s="187"/>
    </row>
    <row r="1402" spans="2:48" ht="15.75" x14ac:dyDescent="0.2">
      <c r="B1402" s="1011" t="e">
        <f>VLOOKUP(U1402,ID_archer_cible,7,FALSE)</f>
        <v>#N/A</v>
      </c>
      <c r="C1402" s="1012"/>
      <c r="D1402" s="1012"/>
      <c r="E1402" s="1012"/>
      <c r="F1402" s="1013"/>
      <c r="H1402" s="999" t="e">
        <f>VLOOKUP(U1402,ID_archer_cible,9,FALSE)</f>
        <v>#N/A</v>
      </c>
      <c r="I1402" s="1000"/>
      <c r="J1402" s="1000"/>
      <c r="K1402" s="1001"/>
      <c r="M1402" s="999" t="e">
        <f>VLOOKUP(U1402,ID_archer_cible,10,FALSE)</f>
        <v>#N/A</v>
      </c>
      <c r="N1402" s="1000"/>
      <c r="O1402" s="1001"/>
      <c r="Q1402" s="1021"/>
      <c r="R1402" s="1021"/>
      <c r="S1402" s="1021"/>
      <c r="T1402" s="187"/>
      <c r="U1402" s="996" t="str">
        <f>AR1390&amp;"A"</f>
        <v>23A</v>
      </c>
      <c r="V1402" s="997"/>
      <c r="W1402" s="998"/>
      <c r="X1402" s="188"/>
      <c r="Y1402"/>
      <c r="Z1402" s="1011" t="e">
        <f>VLOOKUP(AS1402,ID_archer_cible,7,FALSE)</f>
        <v>#N/A</v>
      </c>
      <c r="AA1402" s="1012"/>
      <c r="AB1402" s="1012"/>
      <c r="AC1402" s="1012"/>
      <c r="AD1402" s="1013"/>
      <c r="AF1402" s="999" t="e">
        <f>VLOOKUP(AS1402,ID_archer_cible,9,FALSE)</f>
        <v>#N/A</v>
      </c>
      <c r="AG1402" s="1000"/>
      <c r="AH1402" s="1000"/>
      <c r="AI1402" s="1001"/>
      <c r="AK1402" s="999" t="e">
        <f>VLOOKUP(AS1402,ID_archer_cible,10,FALSE)</f>
        <v>#N/A</v>
      </c>
      <c r="AL1402" s="1000"/>
      <c r="AM1402" s="1001"/>
      <c r="AO1402" s="1021"/>
      <c r="AP1402" s="1021"/>
      <c r="AQ1402" s="1021"/>
      <c r="AR1402" s="187"/>
      <c r="AS1402" s="996" t="str">
        <f>AR1390&amp;"B"</f>
        <v>23B</v>
      </c>
      <c r="AT1402" s="997"/>
      <c r="AU1402" s="998"/>
      <c r="AV1402" s="187"/>
    </row>
    <row r="1403" spans="2:48" x14ac:dyDescent="0.2">
      <c r="X1403" s="186"/>
    </row>
    <row r="1404" spans="2:48" x14ac:dyDescent="0.2">
      <c r="B1404" s="185" t="s">
        <v>509</v>
      </c>
      <c r="E1404" s="992" t="s">
        <v>510</v>
      </c>
      <c r="F1404" s="992"/>
      <c r="G1404" s="992"/>
      <c r="H1404" s="992"/>
      <c r="I1404" s="992"/>
      <c r="J1404" s="992"/>
      <c r="K1404" s="992"/>
      <c r="L1404" s="992"/>
      <c r="M1404" s="992"/>
      <c r="N1404" s="992"/>
      <c r="P1404" s="992" t="s">
        <v>511</v>
      </c>
      <c r="Q1404" s="992"/>
      <c r="R1404" s="992"/>
      <c r="X1404" s="186"/>
      <c r="Z1404" s="185" t="s">
        <v>509</v>
      </c>
      <c r="AC1404" s="992" t="s">
        <v>510</v>
      </c>
      <c r="AD1404" s="992"/>
      <c r="AE1404" s="992"/>
      <c r="AF1404" s="992"/>
      <c r="AG1404" s="992"/>
      <c r="AH1404" s="992"/>
      <c r="AI1404" s="992"/>
      <c r="AJ1404" s="992"/>
      <c r="AK1404" s="992"/>
      <c r="AL1404" s="992"/>
      <c r="AN1404" s="992" t="s">
        <v>511</v>
      </c>
      <c r="AO1404" s="992"/>
      <c r="AP1404" s="992"/>
    </row>
    <row r="1405" spans="2:48" ht="20.25" customHeight="1" x14ac:dyDescent="0.2">
      <c r="B1405" s="1009" t="s">
        <v>513</v>
      </c>
      <c r="C1405" s="1009"/>
      <c r="E1405" s="189"/>
      <c r="F1405" s="191"/>
      <c r="G1405" s="189"/>
      <c r="H1405" s="191"/>
      <c r="I1405" s="189"/>
      <c r="J1405" s="191"/>
      <c r="K1405" s="189"/>
      <c r="L1405" s="191"/>
      <c r="M1405" s="189"/>
      <c r="N1405" s="191"/>
      <c r="P1405" s="189"/>
      <c r="Q1405" s="190"/>
      <c r="R1405" s="191"/>
      <c r="T1405" s="992" t="s">
        <v>512</v>
      </c>
      <c r="U1405" s="992"/>
      <c r="V1405" s="992"/>
      <c r="W1405" s="992"/>
      <c r="X1405" s="188"/>
      <c r="Z1405" s="1009" t="s">
        <v>513</v>
      </c>
      <c r="AA1405" s="1009"/>
      <c r="AC1405" s="189"/>
      <c r="AD1405" s="191"/>
      <c r="AE1405" s="189"/>
      <c r="AF1405" s="191"/>
      <c r="AG1405" s="189"/>
      <c r="AH1405" s="191"/>
      <c r="AI1405" s="189"/>
      <c r="AJ1405" s="191"/>
      <c r="AK1405" s="189"/>
      <c r="AL1405" s="191"/>
      <c r="AN1405" s="189"/>
      <c r="AO1405" s="190"/>
      <c r="AP1405" s="191"/>
      <c r="AR1405" s="992" t="s">
        <v>512</v>
      </c>
      <c r="AS1405" s="992"/>
      <c r="AT1405" s="992"/>
      <c r="AU1405" s="992"/>
      <c r="AV1405" s="187"/>
    </row>
    <row r="1406" spans="2:48" ht="20.25" customHeight="1" x14ac:dyDescent="0.2">
      <c r="B1406" s="1009" t="s">
        <v>514</v>
      </c>
      <c r="C1406" s="1009"/>
      <c r="E1406" s="189"/>
      <c r="F1406" s="191"/>
      <c r="G1406" s="189"/>
      <c r="H1406" s="191"/>
      <c r="I1406" s="189"/>
      <c r="J1406" s="191"/>
      <c r="K1406" s="189"/>
      <c r="L1406" s="191"/>
      <c r="M1406" s="189"/>
      <c r="N1406" s="191"/>
      <c r="P1406" s="189"/>
      <c r="Q1406" s="190"/>
      <c r="R1406" s="191"/>
      <c r="T1406" s="189"/>
      <c r="U1406" s="190"/>
      <c r="V1406" s="190"/>
      <c r="W1406" s="191"/>
      <c r="X1406" s="186"/>
      <c r="Z1406" s="1009" t="s">
        <v>514</v>
      </c>
      <c r="AA1406" s="1009"/>
      <c r="AC1406" s="189"/>
      <c r="AD1406" s="191"/>
      <c r="AE1406" s="189"/>
      <c r="AF1406" s="191"/>
      <c r="AG1406" s="189"/>
      <c r="AH1406" s="191"/>
      <c r="AI1406" s="189"/>
      <c r="AJ1406" s="191"/>
      <c r="AK1406" s="189"/>
      <c r="AL1406" s="191"/>
      <c r="AN1406" s="189"/>
      <c r="AO1406" s="190"/>
      <c r="AP1406" s="191"/>
      <c r="AR1406" s="189"/>
      <c r="AS1406" s="190"/>
      <c r="AT1406" s="190"/>
      <c r="AU1406" s="191"/>
    </row>
    <row r="1407" spans="2:48" ht="20.25" customHeight="1" x14ac:dyDescent="0.2">
      <c r="B1407" s="1009" t="s">
        <v>515</v>
      </c>
      <c r="C1407" s="1009"/>
      <c r="E1407" s="189"/>
      <c r="F1407" s="191"/>
      <c r="G1407" s="189"/>
      <c r="H1407" s="191"/>
      <c r="I1407" s="189"/>
      <c r="J1407" s="191"/>
      <c r="K1407" s="189"/>
      <c r="L1407" s="191"/>
      <c r="M1407" s="189"/>
      <c r="N1407" s="191"/>
      <c r="P1407" s="189"/>
      <c r="Q1407" s="190"/>
      <c r="R1407" s="191"/>
      <c r="T1407" s="189"/>
      <c r="U1407" s="190"/>
      <c r="V1407" s="190"/>
      <c r="W1407" s="191"/>
      <c r="X1407" s="186"/>
      <c r="Z1407" s="1009" t="s">
        <v>515</v>
      </c>
      <c r="AA1407" s="1009"/>
      <c r="AC1407" s="189"/>
      <c r="AD1407" s="191"/>
      <c r="AE1407" s="189"/>
      <c r="AF1407" s="191"/>
      <c r="AG1407" s="189"/>
      <c r="AH1407" s="191"/>
      <c r="AI1407" s="189"/>
      <c r="AJ1407" s="191"/>
      <c r="AK1407" s="189"/>
      <c r="AL1407" s="191"/>
      <c r="AN1407" s="189"/>
      <c r="AO1407" s="190"/>
      <c r="AP1407" s="191"/>
      <c r="AR1407" s="189"/>
      <c r="AS1407" s="190"/>
      <c r="AT1407" s="190"/>
      <c r="AU1407" s="191"/>
    </row>
    <row r="1408" spans="2:48" ht="20.25" customHeight="1" x14ac:dyDescent="0.2">
      <c r="B1408" s="1009" t="s">
        <v>516</v>
      </c>
      <c r="C1408" s="1009"/>
      <c r="E1408" s="189"/>
      <c r="F1408" s="191"/>
      <c r="G1408" s="189"/>
      <c r="H1408" s="191"/>
      <c r="I1408" s="189"/>
      <c r="J1408" s="191"/>
      <c r="K1408" s="189"/>
      <c r="L1408" s="191"/>
      <c r="M1408" s="189"/>
      <c r="N1408" s="191"/>
      <c r="P1408" s="189"/>
      <c r="Q1408" s="190"/>
      <c r="R1408" s="191"/>
      <c r="T1408" s="189"/>
      <c r="U1408" s="190"/>
      <c r="V1408" s="190"/>
      <c r="W1408" s="191"/>
      <c r="X1408" s="186"/>
      <c r="Z1408" s="1009" t="s">
        <v>516</v>
      </c>
      <c r="AA1408" s="1009"/>
      <c r="AC1408" s="189"/>
      <c r="AD1408" s="191"/>
      <c r="AE1408" s="189"/>
      <c r="AF1408" s="191"/>
      <c r="AG1408" s="189"/>
      <c r="AH1408" s="191"/>
      <c r="AI1408" s="189"/>
      <c r="AJ1408" s="191"/>
      <c r="AK1408" s="189"/>
      <c r="AL1408" s="191"/>
      <c r="AN1408" s="189"/>
      <c r="AO1408" s="190"/>
      <c r="AP1408" s="191"/>
      <c r="AR1408" s="189"/>
      <c r="AS1408" s="190"/>
      <c r="AT1408" s="190"/>
      <c r="AU1408" s="191"/>
    </row>
    <row r="1409" spans="2:48" ht="20.25" customHeight="1" x14ac:dyDescent="0.2">
      <c r="B1409" s="1009" t="s">
        <v>517</v>
      </c>
      <c r="C1409" s="1009"/>
      <c r="E1409" s="189"/>
      <c r="F1409" s="191"/>
      <c r="G1409" s="189"/>
      <c r="H1409" s="191"/>
      <c r="I1409" s="189"/>
      <c r="J1409" s="191"/>
      <c r="K1409" s="189"/>
      <c r="L1409" s="191"/>
      <c r="M1409" s="189"/>
      <c r="N1409" s="191"/>
      <c r="P1409" s="189"/>
      <c r="Q1409" s="190"/>
      <c r="R1409" s="191"/>
      <c r="T1409" s="189"/>
      <c r="U1409" s="190"/>
      <c r="V1409" s="190"/>
      <c r="W1409" s="191"/>
      <c r="X1409" s="186"/>
      <c r="Z1409" s="1009" t="s">
        <v>517</v>
      </c>
      <c r="AA1409" s="1009"/>
      <c r="AC1409" s="189"/>
      <c r="AD1409" s="191"/>
      <c r="AE1409" s="189"/>
      <c r="AF1409" s="191"/>
      <c r="AG1409" s="189"/>
      <c r="AH1409" s="191"/>
      <c r="AI1409" s="189"/>
      <c r="AJ1409" s="191"/>
      <c r="AK1409" s="189"/>
      <c r="AL1409" s="191"/>
      <c r="AN1409" s="189"/>
      <c r="AO1409" s="190"/>
      <c r="AP1409" s="191"/>
      <c r="AR1409" s="189"/>
      <c r="AS1409" s="190"/>
      <c r="AT1409" s="190"/>
      <c r="AU1409" s="191"/>
    </row>
    <row r="1410" spans="2:48" ht="20.25" customHeight="1" x14ac:dyDescent="0.2">
      <c r="B1410" s="1009" t="s">
        <v>518</v>
      </c>
      <c r="C1410" s="1009"/>
      <c r="E1410" s="189"/>
      <c r="F1410" s="191"/>
      <c r="G1410" s="189"/>
      <c r="H1410" s="191"/>
      <c r="I1410" s="189"/>
      <c r="J1410" s="191"/>
      <c r="K1410" s="189"/>
      <c r="L1410" s="191"/>
      <c r="M1410" s="189"/>
      <c r="N1410" s="191"/>
      <c r="P1410" s="189"/>
      <c r="Q1410" s="190"/>
      <c r="R1410" s="191"/>
      <c r="T1410" s="189"/>
      <c r="U1410" s="190"/>
      <c r="V1410" s="190"/>
      <c r="W1410" s="191"/>
      <c r="X1410" s="186"/>
      <c r="Z1410" s="1009" t="s">
        <v>518</v>
      </c>
      <c r="AA1410" s="1009"/>
      <c r="AC1410" s="189"/>
      <c r="AD1410" s="191"/>
      <c r="AE1410" s="189"/>
      <c r="AF1410" s="191"/>
      <c r="AG1410" s="189"/>
      <c r="AH1410" s="191"/>
      <c r="AI1410" s="189"/>
      <c r="AJ1410" s="191"/>
      <c r="AK1410" s="189"/>
      <c r="AL1410" s="191"/>
      <c r="AN1410" s="189"/>
      <c r="AO1410" s="190"/>
      <c r="AP1410" s="191"/>
      <c r="AR1410" s="189"/>
      <c r="AS1410" s="190"/>
      <c r="AT1410" s="190"/>
      <c r="AU1410" s="191"/>
    </row>
    <row r="1411" spans="2:48" ht="15.75" thickBot="1" x14ac:dyDescent="0.25">
      <c r="B1411" s="187"/>
      <c r="C1411" s="187"/>
      <c r="X1411" s="186"/>
      <c r="Z1411" s="187"/>
      <c r="AA1411" s="187"/>
    </row>
    <row r="1412" spans="2:48" ht="20.25" customHeight="1" thickBot="1" x14ac:dyDescent="0.25">
      <c r="P1412" s="197" t="s">
        <v>519</v>
      </c>
      <c r="Q1412" s="197"/>
      <c r="R1412" s="197"/>
      <c r="S1412" s="197"/>
      <c r="T1412" s="192"/>
      <c r="U1412" s="193"/>
      <c r="V1412" s="193"/>
      <c r="W1412" s="194"/>
      <c r="X1412" s="186"/>
      <c r="AN1412" s="197" t="s">
        <v>519</v>
      </c>
      <c r="AO1412" s="197"/>
      <c r="AP1412" s="197"/>
      <c r="AQ1412" s="197"/>
      <c r="AR1412" s="192"/>
      <c r="AS1412" s="193"/>
      <c r="AT1412" s="193"/>
      <c r="AU1412" s="194"/>
    </row>
    <row r="1413" spans="2:48" x14ac:dyDescent="0.2">
      <c r="E1413" s="196"/>
      <c r="F1413" s="196"/>
      <c r="G1413" s="196"/>
      <c r="H1413" s="196"/>
      <c r="I1413" s="196"/>
      <c r="J1413" s="196"/>
      <c r="K1413" s="196"/>
      <c r="L1413" s="196"/>
      <c r="M1413" s="196"/>
      <c r="X1413" s="186"/>
      <c r="AC1413" s="196"/>
      <c r="AD1413" s="196"/>
      <c r="AE1413" s="196"/>
      <c r="AF1413" s="196"/>
      <c r="AG1413" s="196"/>
      <c r="AH1413" s="196"/>
      <c r="AI1413" s="196"/>
      <c r="AJ1413" s="196"/>
      <c r="AK1413" s="196"/>
    </row>
    <row r="1414" spans="2:48" x14ac:dyDescent="0.2">
      <c r="B1414" s="1010" t="s">
        <v>521</v>
      </c>
      <c r="C1414" s="1010"/>
      <c r="D1414" s="1010"/>
      <c r="E1414" s="1010"/>
      <c r="F1414" s="1010"/>
      <c r="G1414" s="1010"/>
      <c r="H1414" s="195"/>
      <c r="I1414" s="1010" t="s">
        <v>522</v>
      </c>
      <c r="J1414" s="1010"/>
      <c r="K1414" s="1010"/>
      <c r="L1414" s="1010"/>
      <c r="M1414" s="1010"/>
      <c r="N1414" s="1010"/>
      <c r="O1414" s="1010"/>
      <c r="P1414" s="1010"/>
      <c r="Q1414" s="1010"/>
      <c r="R1414" s="1010"/>
      <c r="S1414" s="1010"/>
      <c r="T1414" s="1010"/>
      <c r="U1414" s="1010"/>
      <c r="V1414" s="1010"/>
      <c r="W1414" s="1010"/>
      <c r="X1414" s="198"/>
      <c r="Y1414" s="195"/>
      <c r="Z1414" s="1010" t="s">
        <v>521</v>
      </c>
      <c r="AA1414" s="1010"/>
      <c r="AB1414" s="1010"/>
      <c r="AC1414" s="1010"/>
      <c r="AD1414" s="1010"/>
      <c r="AE1414" s="1010"/>
      <c r="AF1414" s="195"/>
      <c r="AG1414" s="1004" t="s">
        <v>522</v>
      </c>
      <c r="AH1414" s="1004"/>
      <c r="AI1414" s="1004"/>
      <c r="AJ1414" s="1004"/>
      <c r="AK1414" s="1004"/>
      <c r="AL1414" s="1004"/>
      <c r="AM1414" s="1004"/>
      <c r="AN1414" s="1004"/>
      <c r="AO1414" s="1004"/>
      <c r="AP1414" s="1004"/>
      <c r="AQ1414" s="1004"/>
      <c r="AR1414" s="1004"/>
      <c r="AS1414" s="1004"/>
      <c r="AT1414" s="1004"/>
      <c r="AU1414" s="1004"/>
      <c r="AV1414" s="195"/>
    </row>
    <row r="1415" spans="2:48" x14ac:dyDescent="0.2">
      <c r="B1415" s="1005" t="s">
        <v>520</v>
      </c>
      <c r="C1415" s="1006"/>
      <c r="D1415" s="1006"/>
      <c r="E1415" s="1006"/>
      <c r="F1415" s="1006"/>
      <c r="G1415" s="1007"/>
      <c r="I1415" s="1005" t="s">
        <v>0</v>
      </c>
      <c r="J1415" s="1006"/>
      <c r="K1415" s="1006"/>
      <c r="L1415" s="1006"/>
      <c r="M1415" s="1006"/>
      <c r="N1415" s="1006"/>
      <c r="O1415" s="1006"/>
      <c r="P1415" s="1006"/>
      <c r="Q1415" s="1006"/>
      <c r="R1415" s="1006"/>
      <c r="S1415" s="1006"/>
      <c r="T1415" s="1006"/>
      <c r="U1415" s="1006"/>
      <c r="V1415" s="1006"/>
      <c r="W1415" s="1007"/>
      <c r="X1415" s="186"/>
      <c r="Z1415" s="1005" t="s">
        <v>520</v>
      </c>
      <c r="AA1415" s="1006"/>
      <c r="AB1415" s="1006"/>
      <c r="AC1415" s="1006"/>
      <c r="AD1415" s="1006"/>
      <c r="AE1415" s="1007"/>
      <c r="AG1415" s="1005" t="s">
        <v>0</v>
      </c>
      <c r="AH1415" s="1006"/>
      <c r="AI1415" s="1006"/>
      <c r="AJ1415" s="1006"/>
      <c r="AK1415" s="1006"/>
      <c r="AL1415" s="1006"/>
      <c r="AM1415" s="1006"/>
      <c r="AN1415" s="1006"/>
      <c r="AO1415" s="1006"/>
      <c r="AP1415" s="1006"/>
      <c r="AQ1415" s="1006"/>
      <c r="AR1415" s="1006"/>
      <c r="AS1415" s="1006"/>
      <c r="AT1415" s="1006"/>
      <c r="AU1415" s="1007"/>
    </row>
    <row r="1416" spans="2:48" x14ac:dyDescent="0.2">
      <c r="B1416" s="199"/>
      <c r="C1416" s="200"/>
      <c r="D1416" s="200"/>
      <c r="E1416" s="200"/>
      <c r="F1416" s="200"/>
      <c r="G1416" s="201"/>
      <c r="I1416" s="199"/>
      <c r="J1416" s="200"/>
      <c r="K1416" s="200"/>
      <c r="L1416" s="200"/>
      <c r="M1416" s="200"/>
      <c r="N1416" s="200"/>
      <c r="O1416" s="200"/>
      <c r="P1416" s="200"/>
      <c r="Q1416" s="200"/>
      <c r="R1416" s="200"/>
      <c r="S1416" s="200"/>
      <c r="T1416" s="200"/>
      <c r="U1416" s="200"/>
      <c r="V1416" s="200"/>
      <c r="W1416" s="201"/>
      <c r="X1416" s="186"/>
      <c r="Z1416" s="199"/>
      <c r="AA1416" s="200"/>
      <c r="AB1416" s="200"/>
      <c r="AC1416" s="200"/>
      <c r="AD1416" s="200"/>
      <c r="AE1416" s="201"/>
      <c r="AG1416" s="199"/>
      <c r="AH1416" s="200"/>
      <c r="AI1416" s="200"/>
      <c r="AJ1416" s="200"/>
      <c r="AK1416" s="200"/>
      <c r="AL1416" s="200"/>
      <c r="AM1416" s="200"/>
      <c r="AN1416" s="200"/>
      <c r="AO1416" s="200"/>
      <c r="AP1416" s="200"/>
      <c r="AQ1416" s="200"/>
      <c r="AR1416" s="200"/>
      <c r="AS1416" s="200"/>
      <c r="AT1416" s="200"/>
      <c r="AU1416" s="201"/>
    </row>
    <row r="1417" spans="2:48" x14ac:dyDescent="0.2">
      <c r="X1417" s="186"/>
    </row>
    <row r="1418" spans="2:48" x14ac:dyDescent="0.2">
      <c r="I1418" s="1005" t="s">
        <v>481</v>
      </c>
      <c r="J1418" s="1006"/>
      <c r="K1418" s="1006"/>
      <c r="L1418" s="1006"/>
      <c r="M1418" s="1006"/>
      <c r="N1418" s="1006"/>
      <c r="O1418" s="1006"/>
      <c r="P1418" s="1006"/>
      <c r="Q1418" s="1007"/>
      <c r="R1418" s="1005" t="s">
        <v>520</v>
      </c>
      <c r="S1418" s="1006"/>
      <c r="T1418" s="1006"/>
      <c r="U1418" s="1006"/>
      <c r="V1418" s="1006"/>
      <c r="W1418" s="1007"/>
      <c r="X1418" s="186"/>
      <c r="AG1418" s="1005" t="s">
        <v>481</v>
      </c>
      <c r="AH1418" s="1006"/>
      <c r="AI1418" s="1006"/>
      <c r="AJ1418" s="1006"/>
      <c r="AK1418" s="1006"/>
      <c r="AL1418" s="1006"/>
      <c r="AM1418" s="1006"/>
      <c r="AN1418" s="1006"/>
      <c r="AO1418" s="1007"/>
      <c r="AP1418" s="1005" t="s">
        <v>520</v>
      </c>
      <c r="AQ1418" s="1006"/>
      <c r="AR1418" s="1006"/>
      <c r="AS1418" s="1006"/>
      <c r="AT1418" s="1006"/>
      <c r="AU1418" s="1007"/>
    </row>
    <row r="1419" spans="2:48" x14ac:dyDescent="0.2">
      <c r="I1419" s="199"/>
      <c r="J1419" s="200"/>
      <c r="K1419" s="200"/>
      <c r="L1419" s="200"/>
      <c r="M1419" s="200"/>
      <c r="N1419" s="200"/>
      <c r="O1419" s="200"/>
      <c r="P1419" s="200"/>
      <c r="Q1419" s="200"/>
      <c r="R1419" s="199"/>
      <c r="S1419" s="200"/>
      <c r="T1419" s="200"/>
      <c r="U1419" s="200"/>
      <c r="V1419" s="200"/>
      <c r="W1419" s="201"/>
      <c r="X1419" s="186"/>
      <c r="AG1419" s="199"/>
      <c r="AH1419" s="200"/>
      <c r="AI1419" s="200"/>
      <c r="AJ1419" s="200"/>
      <c r="AK1419" s="200"/>
      <c r="AL1419" s="200"/>
      <c r="AM1419" s="200"/>
      <c r="AN1419" s="200"/>
      <c r="AO1419" s="200"/>
      <c r="AP1419" s="199"/>
      <c r="AQ1419" s="200"/>
      <c r="AR1419" s="200"/>
      <c r="AS1419" s="200"/>
      <c r="AT1419" s="200"/>
      <c r="AU1419" s="201"/>
    </row>
    <row r="1420" spans="2:48" ht="39" customHeight="1" x14ac:dyDescent="0.2">
      <c r="B1420" s="392"/>
      <c r="C1420" s="392"/>
      <c r="D1420" s="392"/>
      <c r="E1420" s="392"/>
      <c r="F1420" s="392"/>
      <c r="G1420" s="392"/>
      <c r="H1420" s="392"/>
      <c r="I1420" s="392"/>
      <c r="J1420" s="392"/>
      <c r="K1420" s="392"/>
      <c r="L1420" s="392"/>
      <c r="M1420" s="392"/>
      <c r="N1420" s="392"/>
      <c r="O1420" s="392"/>
      <c r="P1420" s="392"/>
      <c r="Q1420" s="392"/>
      <c r="R1420" s="392"/>
      <c r="S1420" s="392"/>
      <c r="T1420" s="392"/>
      <c r="U1420" s="392"/>
      <c r="V1420" s="392"/>
      <c r="W1420" s="392"/>
      <c r="X1420" s="393"/>
      <c r="Y1420" s="394"/>
      <c r="Z1420" s="392"/>
      <c r="AA1420" s="392"/>
      <c r="AB1420" s="392"/>
      <c r="AC1420" s="392"/>
      <c r="AD1420" s="392"/>
      <c r="AE1420" s="392"/>
      <c r="AF1420" s="392"/>
      <c r="AG1420" s="392"/>
      <c r="AH1420" s="392"/>
      <c r="AI1420" s="392"/>
      <c r="AJ1420" s="392"/>
      <c r="AK1420" s="392"/>
      <c r="AL1420" s="392"/>
      <c r="AM1420" s="392"/>
      <c r="AN1420" s="392"/>
      <c r="AO1420" s="392"/>
      <c r="AP1420" s="392"/>
      <c r="AQ1420" s="392"/>
      <c r="AR1420" s="392"/>
      <c r="AS1420" s="392"/>
      <c r="AT1420" s="392"/>
      <c r="AU1420" s="392"/>
      <c r="AV1420" s="392"/>
    </row>
    <row r="1421" spans="2:48" ht="39" customHeight="1" x14ac:dyDescent="0.2">
      <c r="B1421" s="182"/>
      <c r="C1421" s="182"/>
      <c r="D1421" s="182"/>
      <c r="E1421" s="182"/>
      <c r="F1421" s="182"/>
      <c r="G1421" s="182"/>
      <c r="H1421" s="182"/>
      <c r="I1421" s="182"/>
      <c r="J1421" s="182"/>
      <c r="K1421" s="182"/>
      <c r="L1421" s="182"/>
      <c r="M1421" s="182"/>
      <c r="N1421" s="182"/>
      <c r="O1421" s="182"/>
      <c r="P1421" s="182"/>
      <c r="Q1421" s="182"/>
      <c r="R1421" s="182"/>
      <c r="S1421" s="182"/>
      <c r="T1421" s="182"/>
      <c r="U1421" s="182"/>
      <c r="V1421" s="182"/>
      <c r="W1421" s="182"/>
      <c r="X1421" s="183"/>
      <c r="Y1421" s="184"/>
      <c r="Z1421" s="182"/>
      <c r="AA1421" s="182"/>
      <c r="AB1421" s="182"/>
      <c r="AC1421" s="182"/>
      <c r="AD1421" s="182"/>
      <c r="AE1421" s="182"/>
      <c r="AF1421" s="182"/>
      <c r="AG1421" s="182"/>
      <c r="AH1421" s="182"/>
      <c r="AI1421" s="182"/>
      <c r="AJ1421" s="182"/>
      <c r="AK1421" s="182"/>
      <c r="AL1421" s="182"/>
      <c r="AM1421" s="182"/>
      <c r="AN1421" s="182"/>
      <c r="AO1421" s="182"/>
      <c r="AP1421" s="182"/>
      <c r="AQ1421" s="182"/>
      <c r="AR1421" s="182"/>
      <c r="AS1421" s="182"/>
      <c r="AT1421" s="182"/>
      <c r="AU1421" s="182"/>
      <c r="AV1421" s="182"/>
    </row>
    <row r="1422" spans="2:48" ht="18" x14ac:dyDescent="0.2">
      <c r="B1422" s="182"/>
      <c r="C1422" s="182"/>
      <c r="D1422" s="182"/>
      <c r="E1422" s="182"/>
      <c r="F1422" s="182"/>
      <c r="G1422" s="182"/>
      <c r="H1422" s="992" t="s">
        <v>374</v>
      </c>
      <c r="I1422" s="992"/>
      <c r="J1422" s="992"/>
      <c r="K1422" s="992"/>
      <c r="L1422" s="992"/>
      <c r="M1422" s="992"/>
      <c r="N1422" s="992"/>
      <c r="O1422" s="992"/>
      <c r="P1422" s="992"/>
      <c r="Q1422" s="992"/>
      <c r="R1422" s="182"/>
      <c r="S1422" s="182"/>
      <c r="T1422" s="182"/>
      <c r="U1422" s="182"/>
      <c r="V1422" s="182"/>
      <c r="W1422" s="182"/>
      <c r="X1422" s="183"/>
      <c r="Y1422" s="182"/>
      <c r="Z1422" s="182"/>
      <c r="AA1422" s="182"/>
      <c r="AB1422" s="182"/>
      <c r="AC1422" s="182"/>
      <c r="AD1422" s="182"/>
      <c r="AE1422" s="992" t="s">
        <v>374</v>
      </c>
      <c r="AF1422" s="992"/>
      <c r="AG1422" s="992"/>
      <c r="AH1422" s="992"/>
      <c r="AI1422" s="992"/>
      <c r="AJ1422" s="992"/>
      <c r="AK1422" s="992"/>
      <c r="AL1422" s="992"/>
      <c r="AM1422" s="992"/>
      <c r="AN1422" s="992"/>
      <c r="AO1422" s="182"/>
      <c r="AP1422" s="182"/>
      <c r="AQ1422" s="182"/>
      <c r="AR1422" s="182"/>
      <c r="AS1422" s="182"/>
      <c r="AT1422" s="182"/>
      <c r="AU1422" s="182"/>
      <c r="AV1422" s="182"/>
    </row>
    <row r="1423" spans="2:48" ht="18" x14ac:dyDescent="0.2">
      <c r="B1423" s="182"/>
      <c r="C1423" s="182"/>
      <c r="D1423" s="182"/>
      <c r="E1423" s="182"/>
      <c r="F1423" s="182"/>
      <c r="G1423" s="182"/>
      <c r="H1423" s="1022" t="e">
        <f>VLOOKUP(U1432,ID_archer_cible,4,FALSE)</f>
        <v>#N/A</v>
      </c>
      <c r="I1423" s="1023"/>
      <c r="J1423" s="1023"/>
      <c r="K1423" s="1023"/>
      <c r="L1423" s="1023"/>
      <c r="M1423" s="1023"/>
      <c r="N1423" s="1023"/>
      <c r="O1423" s="1023"/>
      <c r="P1423" s="1023"/>
      <c r="Q1423" s="1024"/>
      <c r="R1423" s="182"/>
      <c r="S1423" s="182"/>
      <c r="T1423" s="182"/>
      <c r="U1423" s="182"/>
      <c r="V1423" s="182"/>
      <c r="W1423" s="182"/>
      <c r="X1423" s="183"/>
      <c r="Y1423" s="182"/>
      <c r="Z1423" s="182"/>
      <c r="AA1423" s="182"/>
      <c r="AB1423" s="182"/>
      <c r="AC1423" s="182"/>
      <c r="AD1423" s="182"/>
      <c r="AE1423" s="1022" t="e">
        <f>VLOOKUP(AS1432,ID_archer_cible,4,FALSE)</f>
        <v>#N/A</v>
      </c>
      <c r="AF1423" s="1023"/>
      <c r="AG1423" s="1023"/>
      <c r="AH1423" s="1023"/>
      <c r="AI1423" s="1023"/>
      <c r="AJ1423" s="1023"/>
      <c r="AK1423" s="1023"/>
      <c r="AL1423" s="1023"/>
      <c r="AM1423" s="1023"/>
      <c r="AN1423" s="1024"/>
      <c r="AO1423" s="182"/>
      <c r="AP1423" s="182"/>
      <c r="AQ1423" s="182"/>
      <c r="AR1423" s="182"/>
      <c r="AS1423" s="182"/>
      <c r="AT1423" s="182"/>
      <c r="AU1423" s="182"/>
      <c r="AV1423" s="182"/>
    </row>
    <row r="1424" spans="2:48" x14ac:dyDescent="0.2">
      <c r="X1424" s="186"/>
    </row>
    <row r="1425" spans="2:48" x14ac:dyDescent="0.2">
      <c r="B1425" s="1021" t="s">
        <v>0</v>
      </c>
      <c r="C1425" s="1021"/>
      <c r="D1425" s="1021"/>
      <c r="E1425" s="1021"/>
      <c r="F1425" s="1021"/>
      <c r="G1425" s="1021"/>
      <c r="H1425" s="1021"/>
      <c r="I1425" s="1021"/>
      <c r="J1425" s="1021"/>
      <c r="K1425" s="1021"/>
      <c r="L1425" s="1021"/>
      <c r="M1425" s="187"/>
      <c r="P1425" s="992" t="s">
        <v>375</v>
      </c>
      <c r="Q1425" s="992"/>
      <c r="R1425" s="992"/>
      <c r="S1425" s="992"/>
      <c r="T1425" s="992"/>
      <c r="U1425" s="992"/>
      <c r="V1425" s="992"/>
      <c r="W1425" s="992"/>
      <c r="X1425" s="188"/>
      <c r="Z1425" s="1021" t="s">
        <v>0</v>
      </c>
      <c r="AA1425" s="1021"/>
      <c r="AB1425" s="1021"/>
      <c r="AC1425" s="1021"/>
      <c r="AD1425" s="1021"/>
      <c r="AE1425" s="1021"/>
      <c r="AF1425" s="1021"/>
      <c r="AG1425" s="1021"/>
      <c r="AH1425" s="1021"/>
      <c r="AI1425" s="1021"/>
      <c r="AJ1425" s="1021"/>
      <c r="AK1425" s="187"/>
      <c r="AN1425" s="992" t="s">
        <v>375</v>
      </c>
      <c r="AO1425" s="992"/>
      <c r="AP1425" s="992"/>
      <c r="AQ1425" s="992"/>
      <c r="AR1425" s="992"/>
      <c r="AS1425" s="992"/>
      <c r="AT1425" s="992"/>
      <c r="AU1425" s="992"/>
      <c r="AV1425" s="187"/>
    </row>
    <row r="1426" spans="2:48" x14ac:dyDescent="0.2">
      <c r="B1426" s="999" t="e">
        <f>VLOOKUP(U1432,ID_archer_cible,2,FALSE)</f>
        <v>#N/A</v>
      </c>
      <c r="C1426" s="1000"/>
      <c r="D1426" s="1000"/>
      <c r="E1426" s="1000"/>
      <c r="F1426" s="1000"/>
      <c r="G1426" s="1000"/>
      <c r="H1426" s="1000"/>
      <c r="I1426" s="1000"/>
      <c r="J1426" s="1000"/>
      <c r="K1426" s="1000"/>
      <c r="L1426" s="1000"/>
      <c r="M1426" s="1001"/>
      <c r="P1426" s="999" t="e">
        <f>VLOOKUP(U1432,ID_archer_cible,3,FALSE)</f>
        <v>#N/A</v>
      </c>
      <c r="Q1426" s="1000"/>
      <c r="R1426" s="1000"/>
      <c r="S1426" s="1000"/>
      <c r="T1426" s="1000"/>
      <c r="U1426" s="1000"/>
      <c r="V1426" s="1000"/>
      <c r="W1426" s="1001"/>
      <c r="X1426" s="186"/>
      <c r="Y1426"/>
      <c r="Z1426" s="999" t="e">
        <f>VLOOKUP(AS1432,ID_archer_cible,2,FALSE)</f>
        <v>#N/A</v>
      </c>
      <c r="AA1426" s="1000"/>
      <c r="AB1426" s="1000"/>
      <c r="AC1426" s="1000"/>
      <c r="AD1426" s="1000"/>
      <c r="AE1426" s="1000"/>
      <c r="AF1426" s="1000"/>
      <c r="AG1426" s="1000"/>
      <c r="AH1426" s="1000"/>
      <c r="AI1426" s="1000"/>
      <c r="AJ1426" s="1000"/>
      <c r="AK1426" s="1001"/>
      <c r="AN1426" s="999" t="e">
        <f>VLOOKUP(AS1432,ID_archer_cible,3,FALSE)</f>
        <v>#N/A</v>
      </c>
      <c r="AO1426" s="1000"/>
      <c r="AP1426" s="1000"/>
      <c r="AQ1426" s="1000"/>
      <c r="AR1426" s="1000"/>
      <c r="AS1426" s="1000"/>
      <c r="AT1426" s="1000"/>
      <c r="AU1426" s="1001"/>
    </row>
    <row r="1427" spans="2:48" x14ac:dyDescent="0.2">
      <c r="X1427" s="186"/>
      <c r="Y1427"/>
    </row>
    <row r="1428" spans="2:48" ht="16.5" thickBot="1" x14ac:dyDescent="0.25">
      <c r="B1428" s="1017" t="s">
        <v>1</v>
      </c>
      <c r="C1428" s="1017"/>
      <c r="D1428" s="1017"/>
      <c r="E1428" s="1017"/>
      <c r="F1428" s="1017"/>
      <c r="G1428" s="1017"/>
      <c r="H1428" s="1017"/>
      <c r="I1428" s="1017"/>
      <c r="J1428" s="1017"/>
      <c r="L1428" s="1017" t="s">
        <v>505</v>
      </c>
      <c r="M1428" s="1017"/>
      <c r="N1428" s="1017"/>
      <c r="O1428" s="1017"/>
      <c r="P1428" s="1017"/>
      <c r="Q1428" s="1017"/>
      <c r="S1428" s="992" t="s">
        <v>506</v>
      </c>
      <c r="T1428" s="992"/>
      <c r="U1428" s="992"/>
      <c r="V1428" s="992"/>
      <c r="W1428" s="992"/>
      <c r="X1428" s="188"/>
      <c r="Y1428"/>
      <c r="Z1428" s="1017" t="s">
        <v>1</v>
      </c>
      <c r="AA1428" s="1017"/>
      <c r="AB1428" s="1017"/>
      <c r="AC1428" s="1017"/>
      <c r="AD1428" s="1017"/>
      <c r="AE1428" s="1017"/>
      <c r="AF1428" s="1017"/>
      <c r="AG1428" s="1017"/>
      <c r="AH1428" s="1017"/>
      <c r="AJ1428" s="1017" t="s">
        <v>505</v>
      </c>
      <c r="AK1428" s="1017"/>
      <c r="AL1428" s="1017"/>
      <c r="AM1428" s="1017"/>
      <c r="AN1428" s="1017"/>
      <c r="AO1428" s="1017"/>
      <c r="AQ1428" s="992" t="s">
        <v>506</v>
      </c>
      <c r="AR1428" s="992"/>
      <c r="AS1428" s="992"/>
      <c r="AT1428" s="992"/>
      <c r="AU1428" s="992"/>
      <c r="AV1428" s="187"/>
    </row>
    <row r="1429" spans="2:48" ht="16.5" thickBot="1" x14ac:dyDescent="0.25">
      <c r="B1429" s="1014" t="e">
        <f>VLOOKUP(U1432,ID_archer_cible,5,FALSE)</f>
        <v>#N/A</v>
      </c>
      <c r="C1429" s="1015"/>
      <c r="D1429" s="1015"/>
      <c r="E1429" s="1015"/>
      <c r="F1429" s="1015"/>
      <c r="G1429" s="1015"/>
      <c r="H1429" s="1015"/>
      <c r="I1429" s="1015"/>
      <c r="J1429" s="1016"/>
      <c r="L1429" s="1014" t="e">
        <f>VLOOKUP(U1432,ID_archer_cible,6,FALSE)</f>
        <v>#N/A</v>
      </c>
      <c r="M1429" s="1015"/>
      <c r="N1429" s="1015"/>
      <c r="O1429" s="1015"/>
      <c r="P1429" s="1015"/>
      <c r="Q1429" s="1016"/>
      <c r="S1429" s="999" t="e">
        <f>VLOOKUP(U1432,ID_archer_cible,8,FALSE)</f>
        <v>#N/A</v>
      </c>
      <c r="T1429" s="1000"/>
      <c r="U1429" s="1000"/>
      <c r="V1429" s="1000"/>
      <c r="W1429" s="1001"/>
      <c r="X1429" s="186"/>
      <c r="Y1429"/>
      <c r="Z1429" s="1014" t="e">
        <f>VLOOKUP(AS1432,ID_archer_cible,5,FALSE)</f>
        <v>#N/A</v>
      </c>
      <c r="AA1429" s="1015"/>
      <c r="AB1429" s="1015"/>
      <c r="AC1429" s="1015"/>
      <c r="AD1429" s="1015"/>
      <c r="AE1429" s="1015"/>
      <c r="AF1429" s="1015"/>
      <c r="AG1429" s="1015"/>
      <c r="AH1429" s="1016"/>
      <c r="AJ1429" s="1014" t="e">
        <f>VLOOKUP(AS1432,ID_archer_cible,6,FALSE)</f>
        <v>#N/A</v>
      </c>
      <c r="AK1429" s="1015"/>
      <c r="AL1429" s="1015"/>
      <c r="AM1429" s="1015"/>
      <c r="AN1429" s="1015"/>
      <c r="AO1429" s="1016"/>
      <c r="AQ1429" s="999" t="e">
        <f>VLOOKUP(AS1432,ID_archer_cible,8,FALSE)</f>
        <v>#N/A</v>
      </c>
      <c r="AR1429" s="1000"/>
      <c r="AS1429" s="1000"/>
      <c r="AT1429" s="1000"/>
      <c r="AU1429" s="1001"/>
    </row>
    <row r="1430" spans="2:48" x14ac:dyDescent="0.2">
      <c r="X1430" s="186"/>
      <c r="Y1430"/>
    </row>
    <row r="1431" spans="2:48" x14ac:dyDescent="0.2">
      <c r="B1431" s="992" t="s">
        <v>530</v>
      </c>
      <c r="C1431" s="992"/>
      <c r="D1431" s="992"/>
      <c r="E1431" s="992"/>
      <c r="F1431" s="992"/>
      <c r="G1431" s="187"/>
      <c r="H1431" s="992" t="s">
        <v>504</v>
      </c>
      <c r="I1431" s="992"/>
      <c r="J1431" s="992"/>
      <c r="K1431" s="992"/>
      <c r="M1431" s="992" t="s">
        <v>39</v>
      </c>
      <c r="N1431" s="992"/>
      <c r="O1431" s="992"/>
      <c r="Q1431" s="1021"/>
      <c r="R1431" s="1021"/>
      <c r="S1431" s="1021"/>
      <c r="U1431" s="992" t="s">
        <v>507</v>
      </c>
      <c r="V1431" s="992"/>
      <c r="W1431" s="992"/>
      <c r="X1431" s="188"/>
      <c r="Y1431"/>
      <c r="Z1431" s="992" t="s">
        <v>530</v>
      </c>
      <c r="AA1431" s="992"/>
      <c r="AB1431" s="992"/>
      <c r="AC1431" s="992"/>
      <c r="AD1431" s="992"/>
      <c r="AE1431" s="187"/>
      <c r="AF1431" s="992" t="s">
        <v>504</v>
      </c>
      <c r="AG1431" s="992"/>
      <c r="AH1431" s="992"/>
      <c r="AI1431" s="992"/>
      <c r="AK1431" s="992" t="s">
        <v>39</v>
      </c>
      <c r="AL1431" s="992"/>
      <c r="AM1431" s="992"/>
      <c r="AO1431" s="1021"/>
      <c r="AP1431" s="1021"/>
      <c r="AQ1431" s="1021"/>
      <c r="AS1431" s="992" t="s">
        <v>507</v>
      </c>
      <c r="AT1431" s="992"/>
      <c r="AU1431" s="992"/>
      <c r="AV1431" s="187"/>
    </row>
    <row r="1432" spans="2:48" ht="15.75" x14ac:dyDescent="0.2">
      <c r="B1432" s="1011" t="e">
        <f>VLOOKUP(U1432,ID_archer_cible,7,FALSE)</f>
        <v>#N/A</v>
      </c>
      <c r="C1432" s="1012"/>
      <c r="D1432" s="1012"/>
      <c r="E1432" s="1012"/>
      <c r="F1432" s="1013"/>
      <c r="H1432" s="999" t="e">
        <f>VLOOKUP(U1432,ID_archer_cible,9,FALSE)</f>
        <v>#N/A</v>
      </c>
      <c r="I1432" s="1000"/>
      <c r="J1432" s="1000"/>
      <c r="K1432" s="1001"/>
      <c r="M1432" s="999" t="e">
        <f>VLOOKUP(U1432,ID_archer_cible,10,FALSE)</f>
        <v>#N/A</v>
      </c>
      <c r="N1432" s="1000"/>
      <c r="O1432" s="1001"/>
      <c r="Q1432" s="1021"/>
      <c r="R1432" s="1021"/>
      <c r="S1432" s="1021"/>
      <c r="T1432" s="187"/>
      <c r="U1432" s="996" t="str">
        <f>AR1390&amp;"C"</f>
        <v>23C</v>
      </c>
      <c r="V1432" s="997"/>
      <c r="W1432" s="998"/>
      <c r="X1432" s="188"/>
      <c r="Y1432"/>
      <c r="Z1432" s="1011" t="e">
        <f>VLOOKUP(AS1432,ID_archer_cible,7,FALSE)</f>
        <v>#N/A</v>
      </c>
      <c r="AA1432" s="1012"/>
      <c r="AB1432" s="1012"/>
      <c r="AC1432" s="1012"/>
      <c r="AD1432" s="1013"/>
      <c r="AF1432" s="999" t="e">
        <f>VLOOKUP(AS1432,ID_archer_cible,9,FALSE)</f>
        <v>#N/A</v>
      </c>
      <c r="AG1432" s="1000"/>
      <c r="AH1432" s="1000"/>
      <c r="AI1432" s="1001"/>
      <c r="AK1432" s="999" t="e">
        <f>VLOOKUP(AS1432,ID_archer_cible,10,FALSE)</f>
        <v>#N/A</v>
      </c>
      <c r="AL1432" s="1000"/>
      <c r="AM1432" s="1001"/>
      <c r="AO1432" s="1021"/>
      <c r="AP1432" s="1021"/>
      <c r="AQ1432" s="1021"/>
      <c r="AR1432" s="187"/>
      <c r="AS1432" s="996" t="str">
        <f>AR1390&amp;"D"</f>
        <v>23D</v>
      </c>
      <c r="AT1432" s="997"/>
      <c r="AU1432" s="998"/>
      <c r="AV1432" s="187"/>
    </row>
    <row r="1433" spans="2:48" x14ac:dyDescent="0.2">
      <c r="X1433" s="186"/>
    </row>
    <row r="1434" spans="2:48" x14ac:dyDescent="0.2">
      <c r="B1434" s="185" t="s">
        <v>509</v>
      </c>
      <c r="E1434" s="992" t="s">
        <v>510</v>
      </c>
      <c r="F1434" s="992"/>
      <c r="G1434" s="992"/>
      <c r="H1434" s="992"/>
      <c r="I1434" s="992"/>
      <c r="J1434" s="992"/>
      <c r="K1434" s="992"/>
      <c r="L1434" s="992"/>
      <c r="M1434" s="992"/>
      <c r="N1434" s="992"/>
      <c r="P1434" s="992" t="s">
        <v>511</v>
      </c>
      <c r="Q1434" s="992"/>
      <c r="R1434" s="992"/>
      <c r="X1434" s="186"/>
      <c r="Z1434" s="185" t="s">
        <v>509</v>
      </c>
      <c r="AC1434" s="992" t="s">
        <v>510</v>
      </c>
      <c r="AD1434" s="992"/>
      <c r="AE1434" s="992"/>
      <c r="AF1434" s="992"/>
      <c r="AG1434" s="992"/>
      <c r="AH1434" s="992"/>
      <c r="AI1434" s="992"/>
      <c r="AJ1434" s="992"/>
      <c r="AK1434" s="992"/>
      <c r="AL1434" s="992"/>
      <c r="AN1434" s="992" t="s">
        <v>511</v>
      </c>
      <c r="AO1434" s="992"/>
      <c r="AP1434" s="992"/>
    </row>
    <row r="1435" spans="2:48" ht="20.25" customHeight="1" x14ac:dyDescent="0.2">
      <c r="B1435" s="1009" t="s">
        <v>513</v>
      </c>
      <c r="C1435" s="1009"/>
      <c r="E1435" s="189"/>
      <c r="F1435" s="191"/>
      <c r="G1435" s="189"/>
      <c r="H1435" s="191"/>
      <c r="I1435" s="189"/>
      <c r="J1435" s="191"/>
      <c r="K1435" s="189"/>
      <c r="L1435" s="191"/>
      <c r="M1435" s="189"/>
      <c r="N1435" s="191"/>
      <c r="P1435" s="189"/>
      <c r="Q1435" s="190"/>
      <c r="R1435" s="191"/>
      <c r="T1435" s="992" t="s">
        <v>512</v>
      </c>
      <c r="U1435" s="992"/>
      <c r="V1435" s="992"/>
      <c r="W1435" s="992"/>
      <c r="X1435" s="188"/>
      <c r="Z1435" s="1009" t="s">
        <v>513</v>
      </c>
      <c r="AA1435" s="1009"/>
      <c r="AC1435" s="189"/>
      <c r="AD1435" s="191"/>
      <c r="AE1435" s="189"/>
      <c r="AF1435" s="191"/>
      <c r="AG1435" s="189"/>
      <c r="AH1435" s="191"/>
      <c r="AI1435" s="189"/>
      <c r="AJ1435" s="191"/>
      <c r="AK1435" s="189"/>
      <c r="AL1435" s="191"/>
      <c r="AN1435" s="189"/>
      <c r="AO1435" s="190"/>
      <c r="AP1435" s="191"/>
      <c r="AR1435" s="992" t="s">
        <v>512</v>
      </c>
      <c r="AS1435" s="992"/>
      <c r="AT1435" s="992"/>
      <c r="AU1435" s="992"/>
      <c r="AV1435" s="187"/>
    </row>
    <row r="1436" spans="2:48" ht="20.25" customHeight="1" x14ac:dyDescent="0.2">
      <c r="B1436" s="1009" t="s">
        <v>514</v>
      </c>
      <c r="C1436" s="1009"/>
      <c r="E1436" s="189"/>
      <c r="F1436" s="191"/>
      <c r="G1436" s="189"/>
      <c r="H1436" s="191"/>
      <c r="I1436" s="189"/>
      <c r="J1436" s="191"/>
      <c r="K1436" s="189"/>
      <c r="L1436" s="191"/>
      <c r="M1436" s="189"/>
      <c r="N1436" s="191"/>
      <c r="P1436" s="189"/>
      <c r="Q1436" s="190"/>
      <c r="R1436" s="191"/>
      <c r="T1436" s="189"/>
      <c r="U1436" s="190"/>
      <c r="V1436" s="190"/>
      <c r="W1436" s="191"/>
      <c r="X1436" s="186"/>
      <c r="Z1436" s="1009" t="s">
        <v>514</v>
      </c>
      <c r="AA1436" s="1009"/>
      <c r="AC1436" s="189"/>
      <c r="AD1436" s="191"/>
      <c r="AE1436" s="189"/>
      <c r="AF1436" s="191"/>
      <c r="AG1436" s="189"/>
      <c r="AH1436" s="191"/>
      <c r="AI1436" s="189"/>
      <c r="AJ1436" s="191"/>
      <c r="AK1436" s="189"/>
      <c r="AL1436" s="191"/>
      <c r="AN1436" s="189"/>
      <c r="AO1436" s="190"/>
      <c r="AP1436" s="191"/>
      <c r="AR1436" s="189"/>
      <c r="AS1436" s="190"/>
      <c r="AT1436" s="190"/>
      <c r="AU1436" s="191"/>
    </row>
    <row r="1437" spans="2:48" ht="20.25" customHeight="1" x14ac:dyDescent="0.2">
      <c r="B1437" s="1009" t="s">
        <v>515</v>
      </c>
      <c r="C1437" s="1009"/>
      <c r="E1437" s="189"/>
      <c r="F1437" s="191"/>
      <c r="G1437" s="189"/>
      <c r="H1437" s="191"/>
      <c r="I1437" s="189"/>
      <c r="J1437" s="191"/>
      <c r="K1437" s="189"/>
      <c r="L1437" s="191"/>
      <c r="M1437" s="189"/>
      <c r="N1437" s="191"/>
      <c r="P1437" s="189"/>
      <c r="Q1437" s="190"/>
      <c r="R1437" s="191"/>
      <c r="T1437" s="189"/>
      <c r="U1437" s="190"/>
      <c r="V1437" s="190"/>
      <c r="W1437" s="191"/>
      <c r="X1437" s="186"/>
      <c r="Z1437" s="1009" t="s">
        <v>515</v>
      </c>
      <c r="AA1437" s="1009"/>
      <c r="AC1437" s="189"/>
      <c r="AD1437" s="191"/>
      <c r="AE1437" s="189"/>
      <c r="AF1437" s="191"/>
      <c r="AG1437" s="189"/>
      <c r="AH1437" s="191"/>
      <c r="AI1437" s="189"/>
      <c r="AJ1437" s="191"/>
      <c r="AK1437" s="189"/>
      <c r="AL1437" s="191"/>
      <c r="AN1437" s="189"/>
      <c r="AO1437" s="190"/>
      <c r="AP1437" s="191"/>
      <c r="AR1437" s="189"/>
      <c r="AS1437" s="190"/>
      <c r="AT1437" s="190"/>
      <c r="AU1437" s="191"/>
    </row>
    <row r="1438" spans="2:48" ht="20.25" customHeight="1" x14ac:dyDescent="0.2">
      <c r="B1438" s="1009" t="s">
        <v>516</v>
      </c>
      <c r="C1438" s="1009"/>
      <c r="E1438" s="189"/>
      <c r="F1438" s="191"/>
      <c r="G1438" s="189"/>
      <c r="H1438" s="191"/>
      <c r="I1438" s="189"/>
      <c r="J1438" s="191"/>
      <c r="K1438" s="189"/>
      <c r="L1438" s="191"/>
      <c r="M1438" s="189"/>
      <c r="N1438" s="191"/>
      <c r="P1438" s="189"/>
      <c r="Q1438" s="190"/>
      <c r="R1438" s="191"/>
      <c r="T1438" s="189"/>
      <c r="U1438" s="190"/>
      <c r="V1438" s="190"/>
      <c r="W1438" s="191"/>
      <c r="X1438" s="186"/>
      <c r="Z1438" s="1009" t="s">
        <v>516</v>
      </c>
      <c r="AA1438" s="1009"/>
      <c r="AC1438" s="189"/>
      <c r="AD1438" s="191"/>
      <c r="AE1438" s="189"/>
      <c r="AF1438" s="191"/>
      <c r="AG1438" s="189"/>
      <c r="AH1438" s="191"/>
      <c r="AI1438" s="189"/>
      <c r="AJ1438" s="191"/>
      <c r="AK1438" s="189"/>
      <c r="AL1438" s="191"/>
      <c r="AN1438" s="189"/>
      <c r="AO1438" s="190"/>
      <c r="AP1438" s="191"/>
      <c r="AR1438" s="189"/>
      <c r="AS1438" s="190"/>
      <c r="AT1438" s="190"/>
      <c r="AU1438" s="191"/>
    </row>
    <row r="1439" spans="2:48" ht="20.25" customHeight="1" x14ac:dyDescent="0.2">
      <c r="B1439" s="1009" t="s">
        <v>517</v>
      </c>
      <c r="C1439" s="1009"/>
      <c r="E1439" s="189"/>
      <c r="F1439" s="191"/>
      <c r="G1439" s="189"/>
      <c r="H1439" s="191"/>
      <c r="I1439" s="189"/>
      <c r="J1439" s="191"/>
      <c r="K1439" s="189"/>
      <c r="L1439" s="191"/>
      <c r="M1439" s="189"/>
      <c r="N1439" s="191"/>
      <c r="P1439" s="189"/>
      <c r="Q1439" s="190"/>
      <c r="R1439" s="191"/>
      <c r="T1439" s="189"/>
      <c r="U1439" s="190"/>
      <c r="V1439" s="190"/>
      <c r="W1439" s="191"/>
      <c r="X1439" s="186"/>
      <c r="Z1439" s="1009" t="s">
        <v>517</v>
      </c>
      <c r="AA1439" s="1009"/>
      <c r="AC1439" s="189"/>
      <c r="AD1439" s="191"/>
      <c r="AE1439" s="189"/>
      <c r="AF1439" s="191"/>
      <c r="AG1439" s="189"/>
      <c r="AH1439" s="191"/>
      <c r="AI1439" s="189"/>
      <c r="AJ1439" s="191"/>
      <c r="AK1439" s="189"/>
      <c r="AL1439" s="191"/>
      <c r="AN1439" s="189"/>
      <c r="AO1439" s="190"/>
      <c r="AP1439" s="191"/>
      <c r="AR1439" s="189"/>
      <c r="AS1439" s="190"/>
      <c r="AT1439" s="190"/>
      <c r="AU1439" s="191"/>
    </row>
    <row r="1440" spans="2:48" ht="20.25" customHeight="1" x14ac:dyDescent="0.2">
      <c r="B1440" s="1009" t="s">
        <v>518</v>
      </c>
      <c r="C1440" s="1009"/>
      <c r="E1440" s="189"/>
      <c r="F1440" s="191"/>
      <c r="G1440" s="189"/>
      <c r="H1440" s="191"/>
      <c r="I1440" s="189"/>
      <c r="J1440" s="191"/>
      <c r="K1440" s="189"/>
      <c r="L1440" s="191"/>
      <c r="M1440" s="189"/>
      <c r="N1440" s="191"/>
      <c r="P1440" s="189"/>
      <c r="Q1440" s="190"/>
      <c r="R1440" s="191"/>
      <c r="T1440" s="189"/>
      <c r="U1440" s="190"/>
      <c r="V1440" s="190"/>
      <c r="W1440" s="191"/>
      <c r="X1440" s="186"/>
      <c r="Z1440" s="1009" t="s">
        <v>518</v>
      </c>
      <c r="AA1440" s="1009"/>
      <c r="AC1440" s="189"/>
      <c r="AD1440" s="191"/>
      <c r="AE1440" s="189"/>
      <c r="AF1440" s="191"/>
      <c r="AG1440" s="189"/>
      <c r="AH1440" s="191"/>
      <c r="AI1440" s="189"/>
      <c r="AJ1440" s="191"/>
      <c r="AK1440" s="189"/>
      <c r="AL1440" s="191"/>
      <c r="AN1440" s="189"/>
      <c r="AO1440" s="190"/>
      <c r="AP1440" s="191"/>
      <c r="AR1440" s="189"/>
      <c r="AS1440" s="190"/>
      <c r="AT1440" s="190"/>
      <c r="AU1440" s="191"/>
    </row>
    <row r="1441" spans="2:48" ht="15.75" thickBot="1" x14ac:dyDescent="0.25">
      <c r="B1441" s="187"/>
      <c r="C1441" s="187"/>
      <c r="X1441" s="186"/>
      <c r="Z1441" s="187"/>
      <c r="AA1441" s="187"/>
    </row>
    <row r="1442" spans="2:48" ht="20.25" customHeight="1" thickBot="1" x14ac:dyDescent="0.25">
      <c r="P1442" s="197" t="s">
        <v>519</v>
      </c>
      <c r="Q1442" s="197"/>
      <c r="R1442" s="197"/>
      <c r="S1442" s="197"/>
      <c r="T1442" s="192"/>
      <c r="U1442" s="193"/>
      <c r="V1442" s="193"/>
      <c r="W1442" s="194"/>
      <c r="X1442" s="186"/>
      <c r="AN1442" s="197" t="s">
        <v>519</v>
      </c>
      <c r="AO1442" s="197"/>
      <c r="AP1442" s="197"/>
      <c r="AQ1442" s="197"/>
      <c r="AR1442" s="192"/>
      <c r="AS1442" s="193"/>
      <c r="AT1442" s="193"/>
      <c r="AU1442" s="194"/>
    </row>
    <row r="1443" spans="2:48" x14ac:dyDescent="0.2">
      <c r="E1443" s="196"/>
      <c r="F1443" s="196"/>
      <c r="G1443" s="196"/>
      <c r="H1443" s="196"/>
      <c r="I1443" s="196"/>
      <c r="J1443" s="196"/>
      <c r="K1443" s="196"/>
      <c r="L1443" s="196"/>
      <c r="M1443" s="196"/>
      <c r="X1443" s="186"/>
      <c r="AC1443" s="196"/>
      <c r="AD1443" s="196"/>
      <c r="AE1443" s="196"/>
      <c r="AF1443" s="196"/>
      <c r="AG1443" s="196"/>
      <c r="AH1443" s="196"/>
      <c r="AI1443" s="196"/>
      <c r="AJ1443" s="196"/>
      <c r="AK1443" s="196"/>
    </row>
    <row r="1444" spans="2:48" x14ac:dyDescent="0.2">
      <c r="B1444" s="1010" t="s">
        <v>521</v>
      </c>
      <c r="C1444" s="1010"/>
      <c r="D1444" s="1010"/>
      <c r="E1444" s="1010"/>
      <c r="F1444" s="1010"/>
      <c r="G1444" s="1010"/>
      <c r="H1444" s="195"/>
      <c r="I1444" s="1004" t="s">
        <v>522</v>
      </c>
      <c r="J1444" s="1004"/>
      <c r="K1444" s="1004"/>
      <c r="L1444" s="1004"/>
      <c r="M1444" s="1004"/>
      <c r="N1444" s="1004"/>
      <c r="O1444" s="1004"/>
      <c r="P1444" s="1004"/>
      <c r="Q1444" s="1004"/>
      <c r="R1444" s="1004"/>
      <c r="S1444" s="1004"/>
      <c r="T1444" s="1004"/>
      <c r="U1444" s="1004"/>
      <c r="V1444" s="1004"/>
      <c r="W1444" s="1004"/>
      <c r="X1444" s="198"/>
      <c r="Y1444" s="195"/>
      <c r="Z1444" s="1010" t="s">
        <v>521</v>
      </c>
      <c r="AA1444" s="1010"/>
      <c r="AB1444" s="1010"/>
      <c r="AC1444" s="1010"/>
      <c r="AD1444" s="1010"/>
      <c r="AE1444" s="1010"/>
      <c r="AF1444" s="195"/>
      <c r="AG1444" s="1004" t="s">
        <v>522</v>
      </c>
      <c r="AH1444" s="1004"/>
      <c r="AI1444" s="1004"/>
      <c r="AJ1444" s="1004"/>
      <c r="AK1444" s="1004"/>
      <c r="AL1444" s="1004"/>
      <c r="AM1444" s="1004"/>
      <c r="AN1444" s="1004"/>
      <c r="AO1444" s="1004"/>
      <c r="AP1444" s="1004"/>
      <c r="AQ1444" s="1004"/>
      <c r="AR1444" s="1004"/>
      <c r="AS1444" s="1004"/>
      <c r="AT1444" s="1004"/>
      <c r="AU1444" s="1004"/>
      <c r="AV1444" s="195"/>
    </row>
    <row r="1445" spans="2:48" x14ac:dyDescent="0.2">
      <c r="B1445" s="1005" t="s">
        <v>520</v>
      </c>
      <c r="C1445" s="1006"/>
      <c r="D1445" s="1006"/>
      <c r="E1445" s="1006"/>
      <c r="F1445" s="1006"/>
      <c r="G1445" s="1007"/>
      <c r="I1445" s="1005" t="s">
        <v>0</v>
      </c>
      <c r="J1445" s="1006"/>
      <c r="K1445" s="1006"/>
      <c r="L1445" s="1006"/>
      <c r="M1445" s="1006"/>
      <c r="N1445" s="1006"/>
      <c r="O1445" s="1006"/>
      <c r="P1445" s="1006"/>
      <c r="Q1445" s="1006"/>
      <c r="R1445" s="1006"/>
      <c r="S1445" s="1006"/>
      <c r="T1445" s="1006"/>
      <c r="U1445" s="1006"/>
      <c r="V1445" s="1006"/>
      <c r="W1445" s="1007"/>
      <c r="X1445" s="186"/>
      <c r="Z1445" s="1005" t="s">
        <v>520</v>
      </c>
      <c r="AA1445" s="1006"/>
      <c r="AB1445" s="1006"/>
      <c r="AC1445" s="1006"/>
      <c r="AD1445" s="1006"/>
      <c r="AE1445" s="1007"/>
      <c r="AG1445" s="1005" t="s">
        <v>0</v>
      </c>
      <c r="AH1445" s="1006"/>
      <c r="AI1445" s="1006"/>
      <c r="AJ1445" s="1006"/>
      <c r="AK1445" s="1006"/>
      <c r="AL1445" s="1006"/>
      <c r="AM1445" s="1006"/>
      <c r="AN1445" s="1006"/>
      <c r="AO1445" s="1006"/>
      <c r="AP1445" s="1006"/>
      <c r="AQ1445" s="1006"/>
      <c r="AR1445" s="1006"/>
      <c r="AS1445" s="1006"/>
      <c r="AT1445" s="1006"/>
      <c r="AU1445" s="1007"/>
    </row>
    <row r="1446" spans="2:48" x14ac:dyDescent="0.2">
      <c r="B1446" s="199"/>
      <c r="C1446" s="200"/>
      <c r="D1446" s="200"/>
      <c r="E1446" s="200"/>
      <c r="F1446" s="200"/>
      <c r="G1446" s="201"/>
      <c r="I1446" s="199"/>
      <c r="J1446" s="200"/>
      <c r="K1446" s="200"/>
      <c r="L1446" s="200"/>
      <c r="M1446" s="200"/>
      <c r="N1446" s="200"/>
      <c r="O1446" s="200"/>
      <c r="P1446" s="200"/>
      <c r="Q1446" s="200"/>
      <c r="R1446" s="200"/>
      <c r="S1446" s="200"/>
      <c r="T1446" s="200"/>
      <c r="U1446" s="200"/>
      <c r="V1446" s="200"/>
      <c r="W1446" s="201"/>
      <c r="X1446" s="186"/>
      <c r="Z1446" s="199"/>
      <c r="AA1446" s="200"/>
      <c r="AB1446" s="200"/>
      <c r="AC1446" s="200"/>
      <c r="AD1446" s="200"/>
      <c r="AE1446" s="201"/>
      <c r="AG1446" s="199"/>
      <c r="AH1446" s="200"/>
      <c r="AI1446" s="200"/>
      <c r="AJ1446" s="200"/>
      <c r="AK1446" s="200"/>
      <c r="AL1446" s="200"/>
      <c r="AM1446" s="200"/>
      <c r="AN1446" s="200"/>
      <c r="AO1446" s="200"/>
      <c r="AP1446" s="200"/>
      <c r="AQ1446" s="200"/>
      <c r="AR1446" s="200"/>
      <c r="AS1446" s="200"/>
      <c r="AT1446" s="200"/>
      <c r="AU1446" s="201"/>
    </row>
    <row r="1447" spans="2:48" x14ac:dyDescent="0.2">
      <c r="X1447" s="186"/>
    </row>
    <row r="1448" spans="2:48" x14ac:dyDescent="0.2">
      <c r="I1448" s="1005" t="s">
        <v>481</v>
      </c>
      <c r="J1448" s="1006"/>
      <c r="K1448" s="1006"/>
      <c r="L1448" s="1006"/>
      <c r="M1448" s="1006"/>
      <c r="N1448" s="1006"/>
      <c r="O1448" s="1006"/>
      <c r="P1448" s="1006"/>
      <c r="Q1448" s="1007"/>
      <c r="R1448" s="1005" t="s">
        <v>520</v>
      </c>
      <c r="S1448" s="1006"/>
      <c r="T1448" s="1006"/>
      <c r="U1448" s="1006"/>
      <c r="V1448" s="1006"/>
      <c r="W1448" s="1007"/>
      <c r="X1448" s="186"/>
      <c r="AG1448" s="1005" t="s">
        <v>481</v>
      </c>
      <c r="AH1448" s="1006"/>
      <c r="AI1448" s="1006"/>
      <c r="AJ1448" s="1006"/>
      <c r="AK1448" s="1006"/>
      <c r="AL1448" s="1006"/>
      <c r="AM1448" s="1006"/>
      <c r="AN1448" s="1006"/>
      <c r="AO1448" s="1007"/>
      <c r="AP1448" s="1005" t="s">
        <v>520</v>
      </c>
      <c r="AQ1448" s="1006"/>
      <c r="AR1448" s="1006"/>
      <c r="AS1448" s="1006"/>
      <c r="AT1448" s="1006"/>
      <c r="AU1448" s="1007"/>
    </row>
    <row r="1449" spans="2:48" x14ac:dyDescent="0.2">
      <c r="I1449" s="199"/>
      <c r="J1449" s="200"/>
      <c r="K1449" s="200"/>
      <c r="L1449" s="200"/>
      <c r="M1449" s="200"/>
      <c r="N1449" s="200"/>
      <c r="O1449" s="200"/>
      <c r="P1449" s="200"/>
      <c r="Q1449" s="200"/>
      <c r="R1449" s="199"/>
      <c r="S1449" s="200"/>
      <c r="T1449" s="200"/>
      <c r="U1449" s="200"/>
      <c r="V1449" s="200"/>
      <c r="W1449" s="201"/>
      <c r="X1449" s="186"/>
      <c r="AG1449" s="199"/>
      <c r="AH1449" s="200"/>
      <c r="AI1449" s="200"/>
      <c r="AJ1449" s="200"/>
      <c r="AK1449" s="200"/>
      <c r="AL1449" s="200"/>
      <c r="AM1449" s="200"/>
      <c r="AN1449" s="200"/>
      <c r="AO1449" s="200"/>
      <c r="AP1449" s="199"/>
      <c r="AQ1449" s="200"/>
      <c r="AR1449" s="200"/>
      <c r="AS1449" s="200"/>
      <c r="AT1449" s="200"/>
      <c r="AU1449" s="201"/>
    </row>
    <row r="1452" spans="2:48" ht="57.75" customHeight="1" x14ac:dyDescent="0.2">
      <c r="B1452" s="1058" t="str">
        <f>Championnat</f>
        <v>Championnat de France de Tir à l'ARC</v>
      </c>
      <c r="C1452" s="1058"/>
      <c r="D1452" s="1058"/>
      <c r="E1452" s="1058"/>
      <c r="F1452" s="1058"/>
      <c r="G1452" s="1058"/>
      <c r="H1452" s="1058"/>
      <c r="I1452" s="1058"/>
      <c r="J1452" s="1058"/>
      <c r="K1452" s="1058"/>
      <c r="L1452" s="1058"/>
      <c r="M1452" s="1058"/>
      <c r="N1452" s="1058"/>
      <c r="O1452" s="1058"/>
      <c r="P1452" s="1058"/>
      <c r="Q1452" s="1058"/>
      <c r="R1452" s="1058"/>
      <c r="S1452" s="1058"/>
      <c r="T1452" s="1058"/>
      <c r="U1452" s="1058"/>
      <c r="V1452" s="1058"/>
      <c r="W1452" s="1058"/>
      <c r="X1452" s="1058"/>
      <c r="Y1452" s="1058"/>
      <c r="Z1452" s="1058"/>
      <c r="AA1452" s="1058"/>
      <c r="AB1452" s="1058"/>
      <c r="AC1452" s="1058"/>
      <c r="AD1452" s="1058"/>
      <c r="AE1452" s="1058"/>
      <c r="AF1452" s="1058"/>
      <c r="AG1452" s="1058"/>
      <c r="AH1452" s="1058"/>
      <c r="AI1452" s="1058"/>
      <c r="AJ1452" s="1058"/>
      <c r="AK1452" s="1058"/>
      <c r="AL1452" s="1058"/>
      <c r="AM1452" s="1058"/>
      <c r="AN1452" s="1058"/>
      <c r="AO1452" s="1058"/>
      <c r="AP1452" s="1058"/>
    </row>
    <row r="1453" spans="2:48" ht="45" customHeight="1" thickBot="1" x14ac:dyDescent="0.25">
      <c r="B1453" s="1018" t="str">
        <f>LIEU&amp;" - "&amp;DATE&amp;" - "&amp;CATEG</f>
        <v>L’Isle sur la Sorgue - 27 au 31 mars 2023 - Collèges Mixtes Etablissement</v>
      </c>
      <c r="C1453" s="1018"/>
      <c r="D1453" s="1018"/>
      <c r="E1453" s="1018"/>
      <c r="F1453" s="1018"/>
      <c r="G1453" s="1018"/>
      <c r="H1453" s="1018"/>
      <c r="I1453" s="1018"/>
      <c r="J1453" s="1018"/>
      <c r="K1453" s="1018"/>
      <c r="L1453" s="1018"/>
      <c r="M1453" s="1018"/>
      <c r="N1453" s="1018"/>
      <c r="O1453" s="1018"/>
      <c r="P1453" s="1018"/>
      <c r="Q1453" s="1018"/>
      <c r="R1453" s="1018"/>
      <c r="S1453" s="1018"/>
      <c r="T1453" s="1018"/>
      <c r="U1453" s="1018"/>
      <c r="V1453" s="1018"/>
      <c r="W1453" s="1018"/>
      <c r="X1453" s="1018"/>
      <c r="Y1453" s="1018"/>
      <c r="Z1453" s="1018"/>
      <c r="AA1453" s="1018"/>
      <c r="AB1453" s="1018"/>
      <c r="AC1453" s="1018"/>
      <c r="AD1453" s="1018"/>
      <c r="AE1453" s="1018"/>
      <c r="AF1453" s="1018"/>
      <c r="AG1453" s="1018"/>
      <c r="AH1453" s="1018"/>
      <c r="AI1453" s="1018"/>
      <c r="AJ1453" s="1018"/>
      <c r="AK1453" s="1018"/>
      <c r="AL1453" s="1018"/>
      <c r="AM1453" s="1018"/>
      <c r="AN1453" s="1018"/>
      <c r="AO1453" s="1018"/>
      <c r="AP1453" s="1018"/>
      <c r="AQ1453" s="182"/>
      <c r="AR1453" s="182"/>
      <c r="AS1453" s="182"/>
      <c r="AT1453" s="182"/>
      <c r="AU1453" s="182"/>
      <c r="AV1453" s="182"/>
    </row>
    <row r="1454" spans="2:48" ht="26.25" customHeight="1" x14ac:dyDescent="0.2">
      <c r="B1454" s="1059" t="str">
        <f>CATEG_IMPORTEE</f>
        <v>Collèges Mixtes Etablissement</v>
      </c>
      <c r="C1454" s="1059"/>
      <c r="D1454" s="1059"/>
      <c r="E1454" s="1059"/>
      <c r="F1454" s="1059"/>
      <c r="G1454" s="1059"/>
      <c r="H1454" s="1059"/>
      <c r="I1454" s="1059"/>
      <c r="J1454" s="1059"/>
      <c r="K1454" s="1059"/>
      <c r="L1454" s="1059"/>
      <c r="M1454" s="1059"/>
      <c r="N1454" s="1059"/>
      <c r="O1454" s="1059"/>
      <c r="P1454" s="1059"/>
      <c r="Q1454" s="1059"/>
      <c r="R1454" s="1059"/>
      <c r="S1454" s="1059"/>
      <c r="T1454" s="1059"/>
      <c r="U1454" s="1059"/>
      <c r="V1454" s="1059"/>
      <c r="W1454" s="1059"/>
      <c r="X1454" s="1059"/>
      <c r="Y1454" s="1059"/>
      <c r="Z1454" s="1059"/>
      <c r="AA1454" s="1059"/>
      <c r="AB1454" s="1059"/>
      <c r="AC1454" s="1059"/>
      <c r="AD1454" s="1059"/>
      <c r="AE1454" s="1059"/>
      <c r="AF1454" s="1059"/>
      <c r="AG1454" s="1059"/>
      <c r="AH1454" s="1059"/>
      <c r="AI1454" s="1059"/>
      <c r="AJ1454" s="1059"/>
      <c r="AK1454" s="1059"/>
      <c r="AL1454" s="1059"/>
      <c r="AM1454" s="1059"/>
      <c r="AN1454" s="1059"/>
      <c r="AO1454" s="1059"/>
      <c r="AP1454" s="1059"/>
      <c r="AQ1454" s="182"/>
      <c r="AR1454" s="1060">
        <f>AR1390+1</f>
        <v>24</v>
      </c>
      <c r="AS1454" s="1061"/>
      <c r="AT1454" s="1062"/>
      <c r="AU1454" s="182"/>
      <c r="AV1454" s="182"/>
    </row>
    <row r="1455" spans="2:48" ht="18" customHeight="1" x14ac:dyDescent="0.2">
      <c r="B1455" s="182"/>
      <c r="C1455" s="182"/>
      <c r="D1455" s="182"/>
      <c r="E1455" s="182"/>
      <c r="F1455" s="182"/>
      <c r="G1455" s="182"/>
      <c r="H1455" s="182"/>
      <c r="I1455" s="182"/>
      <c r="J1455" s="182"/>
      <c r="K1455" s="182"/>
      <c r="L1455" s="182"/>
      <c r="M1455" s="182"/>
      <c r="N1455" s="182"/>
      <c r="O1455" s="182"/>
      <c r="P1455" s="182"/>
      <c r="Q1455" s="182"/>
      <c r="R1455" s="182"/>
      <c r="S1455" s="182"/>
      <c r="T1455" s="182"/>
      <c r="U1455" s="182"/>
      <c r="V1455" s="182"/>
      <c r="W1455" s="182"/>
      <c r="X1455" s="183"/>
      <c r="Y1455" s="184"/>
      <c r="Z1455" s="182"/>
      <c r="AA1455" s="182"/>
      <c r="AB1455" s="182"/>
      <c r="AC1455" s="182"/>
      <c r="AD1455" s="182"/>
      <c r="AE1455" s="182"/>
      <c r="AF1455" s="182"/>
      <c r="AG1455" s="182"/>
      <c r="AH1455" s="182"/>
      <c r="AI1455" s="182"/>
      <c r="AJ1455" s="182"/>
      <c r="AK1455" s="182"/>
      <c r="AL1455" s="182"/>
      <c r="AM1455" s="182"/>
      <c r="AN1455" s="182"/>
      <c r="AO1455" s="182"/>
      <c r="AP1455" s="182"/>
      <c r="AQ1455" s="182"/>
      <c r="AR1455" s="1063"/>
      <c r="AS1455" s="1064"/>
      <c r="AT1455" s="1065"/>
      <c r="AU1455" s="182"/>
      <c r="AV1455" s="182"/>
    </row>
    <row r="1456" spans="2:48" ht="18.75" customHeight="1" thickBot="1" x14ac:dyDescent="0.25">
      <c r="B1456" s="182"/>
      <c r="C1456" s="182"/>
      <c r="D1456" s="182"/>
      <c r="E1456" s="182"/>
      <c r="F1456" s="182"/>
      <c r="G1456" s="182"/>
      <c r="H1456" s="992" t="s">
        <v>374</v>
      </c>
      <c r="I1456" s="992"/>
      <c r="J1456" s="992"/>
      <c r="K1456" s="992"/>
      <c r="L1456" s="992"/>
      <c r="M1456" s="992"/>
      <c r="N1456" s="992"/>
      <c r="O1456" s="992"/>
      <c r="P1456" s="992"/>
      <c r="Q1456" s="992"/>
      <c r="R1456" s="182"/>
      <c r="S1456" s="182"/>
      <c r="T1456" s="182"/>
      <c r="U1456" s="182"/>
      <c r="V1456" s="182"/>
      <c r="W1456" s="182"/>
      <c r="X1456" s="183"/>
      <c r="Y1456" s="182"/>
      <c r="Z1456" s="182"/>
      <c r="AA1456" s="182"/>
      <c r="AB1456" s="182"/>
      <c r="AC1456" s="182"/>
      <c r="AD1456" s="182"/>
      <c r="AE1456" s="992" t="s">
        <v>374</v>
      </c>
      <c r="AF1456" s="992"/>
      <c r="AG1456" s="992"/>
      <c r="AH1456" s="992"/>
      <c r="AI1456" s="992"/>
      <c r="AJ1456" s="992"/>
      <c r="AK1456" s="992"/>
      <c r="AL1456" s="992"/>
      <c r="AM1456" s="992"/>
      <c r="AN1456" s="992"/>
      <c r="AO1456" s="182"/>
      <c r="AP1456" s="182"/>
      <c r="AQ1456" s="182"/>
      <c r="AR1456" s="1066"/>
      <c r="AS1456" s="1067"/>
      <c r="AT1456" s="1068"/>
      <c r="AU1456" s="182"/>
      <c r="AV1456" s="182"/>
    </row>
    <row r="1457" spans="2:48" ht="18" x14ac:dyDescent="0.2">
      <c r="B1457" s="182"/>
      <c r="C1457" s="182"/>
      <c r="D1457" s="182"/>
      <c r="E1457" s="182"/>
      <c r="F1457" s="182"/>
      <c r="G1457" s="182"/>
      <c r="H1457" s="1022" t="e">
        <f>VLOOKUP(U1466,ID_archer_cible,4,FALSE)</f>
        <v>#N/A</v>
      </c>
      <c r="I1457" s="1023"/>
      <c r="J1457" s="1023"/>
      <c r="K1457" s="1023"/>
      <c r="L1457" s="1023"/>
      <c r="M1457" s="1023"/>
      <c r="N1457" s="1023"/>
      <c r="O1457" s="1023"/>
      <c r="P1457" s="1023"/>
      <c r="Q1457" s="1024"/>
      <c r="R1457" s="182"/>
      <c r="S1457" s="182"/>
      <c r="T1457" s="182"/>
      <c r="U1457" s="182"/>
      <c r="V1457" s="182"/>
      <c r="W1457" s="182"/>
      <c r="X1457" s="183"/>
      <c r="Y1457" s="182"/>
      <c r="Z1457" s="182"/>
      <c r="AA1457" s="182"/>
      <c r="AB1457" s="182"/>
      <c r="AC1457" s="182"/>
      <c r="AD1457" s="182"/>
      <c r="AE1457" s="1022" t="e">
        <f>VLOOKUP(AS1466,ID_archer_cible,4,FALSE)</f>
        <v>#N/A</v>
      </c>
      <c r="AF1457" s="1023"/>
      <c r="AG1457" s="1023"/>
      <c r="AH1457" s="1023"/>
      <c r="AI1457" s="1023"/>
      <c r="AJ1457" s="1023"/>
      <c r="AK1457" s="1023"/>
      <c r="AL1457" s="1023"/>
      <c r="AM1457" s="1023"/>
      <c r="AN1457" s="1024"/>
      <c r="AO1457" s="182"/>
      <c r="AP1457" s="182"/>
      <c r="AQ1457" s="182"/>
      <c r="AR1457" s="182"/>
      <c r="AS1457" s="182"/>
      <c r="AT1457" s="182"/>
      <c r="AU1457" s="182"/>
      <c r="AV1457" s="182"/>
    </row>
    <row r="1458" spans="2:48" x14ac:dyDescent="0.2">
      <c r="X1458" s="186"/>
    </row>
    <row r="1459" spans="2:48" x14ac:dyDescent="0.2">
      <c r="B1459" s="1021" t="s">
        <v>0</v>
      </c>
      <c r="C1459" s="1021"/>
      <c r="D1459" s="1021"/>
      <c r="E1459" s="1021"/>
      <c r="F1459" s="1021"/>
      <c r="G1459" s="1021"/>
      <c r="H1459" s="1021"/>
      <c r="I1459" s="1021"/>
      <c r="J1459" s="1021"/>
      <c r="K1459" s="1021"/>
      <c r="L1459" s="1021"/>
      <c r="M1459" s="187"/>
      <c r="P1459" s="992" t="s">
        <v>375</v>
      </c>
      <c r="Q1459" s="992"/>
      <c r="R1459" s="992"/>
      <c r="S1459" s="992"/>
      <c r="T1459" s="992"/>
      <c r="U1459" s="992"/>
      <c r="V1459" s="992"/>
      <c r="W1459" s="992"/>
      <c r="X1459" s="188"/>
      <c r="Z1459" s="1021" t="s">
        <v>0</v>
      </c>
      <c r="AA1459" s="1021"/>
      <c r="AB1459" s="1021"/>
      <c r="AC1459" s="1021"/>
      <c r="AD1459" s="1021"/>
      <c r="AE1459" s="1021"/>
      <c r="AF1459" s="1021"/>
      <c r="AG1459" s="1021"/>
      <c r="AH1459" s="1021"/>
      <c r="AI1459" s="1021"/>
      <c r="AJ1459" s="1021"/>
      <c r="AK1459" s="187"/>
      <c r="AN1459" s="992" t="s">
        <v>375</v>
      </c>
      <c r="AO1459" s="992"/>
      <c r="AP1459" s="992"/>
      <c r="AQ1459" s="992"/>
      <c r="AR1459" s="992"/>
      <c r="AS1459" s="992"/>
      <c r="AT1459" s="992"/>
      <c r="AU1459" s="992"/>
      <c r="AV1459" s="187"/>
    </row>
    <row r="1460" spans="2:48" x14ac:dyDescent="0.2">
      <c r="B1460" s="999" t="e">
        <f>VLOOKUP(U1466,ID_archer_cible,2,FALSE)</f>
        <v>#N/A</v>
      </c>
      <c r="C1460" s="1000"/>
      <c r="D1460" s="1000"/>
      <c r="E1460" s="1000"/>
      <c r="F1460" s="1000"/>
      <c r="G1460" s="1000"/>
      <c r="H1460" s="1000"/>
      <c r="I1460" s="1000"/>
      <c r="J1460" s="1000"/>
      <c r="K1460" s="1000"/>
      <c r="L1460" s="1000"/>
      <c r="M1460" s="1001"/>
      <c r="P1460" s="999" t="e">
        <f>VLOOKUP(U1466,ID_archer_cible,3,FALSE)</f>
        <v>#N/A</v>
      </c>
      <c r="Q1460" s="1000"/>
      <c r="R1460" s="1000"/>
      <c r="S1460" s="1000"/>
      <c r="T1460" s="1000"/>
      <c r="U1460" s="1000"/>
      <c r="V1460" s="1000"/>
      <c r="W1460" s="1001"/>
      <c r="X1460" s="186"/>
      <c r="Y1460"/>
      <c r="Z1460" s="999" t="e">
        <f>VLOOKUP(AS1466,ID_archer_cible,2,FALSE)</f>
        <v>#N/A</v>
      </c>
      <c r="AA1460" s="1000"/>
      <c r="AB1460" s="1000"/>
      <c r="AC1460" s="1000"/>
      <c r="AD1460" s="1000"/>
      <c r="AE1460" s="1000"/>
      <c r="AF1460" s="1000"/>
      <c r="AG1460" s="1000"/>
      <c r="AH1460" s="1000"/>
      <c r="AI1460" s="1000"/>
      <c r="AJ1460" s="1000"/>
      <c r="AK1460" s="1001"/>
      <c r="AN1460" s="999" t="e">
        <f>VLOOKUP(AS1466,ID_archer_cible,3,FALSE)</f>
        <v>#N/A</v>
      </c>
      <c r="AO1460" s="1000"/>
      <c r="AP1460" s="1000"/>
      <c r="AQ1460" s="1000"/>
      <c r="AR1460" s="1000"/>
      <c r="AS1460" s="1000"/>
      <c r="AT1460" s="1000"/>
      <c r="AU1460" s="1001"/>
    </row>
    <row r="1461" spans="2:48" x14ac:dyDescent="0.2">
      <c r="X1461" s="186"/>
      <c r="Y1461"/>
    </row>
    <row r="1462" spans="2:48" ht="16.5" thickBot="1" x14ac:dyDescent="0.25">
      <c r="B1462" s="1017" t="s">
        <v>1</v>
      </c>
      <c r="C1462" s="1017"/>
      <c r="D1462" s="1017"/>
      <c r="E1462" s="1017"/>
      <c r="F1462" s="1017"/>
      <c r="G1462" s="1017"/>
      <c r="H1462" s="1017"/>
      <c r="I1462" s="1017"/>
      <c r="J1462" s="1017"/>
      <c r="L1462" s="1017" t="s">
        <v>505</v>
      </c>
      <c r="M1462" s="1017"/>
      <c r="N1462" s="1017"/>
      <c r="O1462" s="1017"/>
      <c r="P1462" s="1017"/>
      <c r="Q1462" s="1017"/>
      <c r="S1462" s="992" t="s">
        <v>506</v>
      </c>
      <c r="T1462" s="992"/>
      <c r="U1462" s="992"/>
      <c r="V1462" s="992"/>
      <c r="W1462" s="992"/>
      <c r="X1462" s="188"/>
      <c r="Y1462"/>
      <c r="Z1462" s="1017" t="s">
        <v>1</v>
      </c>
      <c r="AA1462" s="1017"/>
      <c r="AB1462" s="1017"/>
      <c r="AC1462" s="1017"/>
      <c r="AD1462" s="1017"/>
      <c r="AE1462" s="1017"/>
      <c r="AF1462" s="1017"/>
      <c r="AG1462" s="1017"/>
      <c r="AH1462" s="1017"/>
      <c r="AJ1462" s="1017" t="s">
        <v>505</v>
      </c>
      <c r="AK1462" s="1017"/>
      <c r="AL1462" s="1017"/>
      <c r="AM1462" s="1017"/>
      <c r="AN1462" s="1017"/>
      <c r="AO1462" s="1017"/>
      <c r="AQ1462" s="992" t="s">
        <v>506</v>
      </c>
      <c r="AR1462" s="992"/>
      <c r="AS1462" s="992"/>
      <c r="AT1462" s="992"/>
      <c r="AU1462" s="992"/>
      <c r="AV1462" s="187"/>
    </row>
    <row r="1463" spans="2:48" ht="16.5" thickBot="1" x14ac:dyDescent="0.25">
      <c r="B1463" s="1014" t="e">
        <f>VLOOKUP(U1466,ID_archer_cible,5,FALSE)</f>
        <v>#N/A</v>
      </c>
      <c r="C1463" s="1015"/>
      <c r="D1463" s="1015"/>
      <c r="E1463" s="1015"/>
      <c r="F1463" s="1015"/>
      <c r="G1463" s="1015"/>
      <c r="H1463" s="1015"/>
      <c r="I1463" s="1015"/>
      <c r="J1463" s="1016"/>
      <c r="L1463" s="1014" t="e">
        <f>VLOOKUP(U1466,ID_archer_cible,6,FALSE)</f>
        <v>#N/A</v>
      </c>
      <c r="M1463" s="1015"/>
      <c r="N1463" s="1015"/>
      <c r="O1463" s="1015"/>
      <c r="P1463" s="1015"/>
      <c r="Q1463" s="1016"/>
      <c r="S1463" s="999" t="e">
        <f>VLOOKUP(U1466,ID_archer_cible,8,FALSE)</f>
        <v>#N/A</v>
      </c>
      <c r="T1463" s="1000"/>
      <c r="U1463" s="1000"/>
      <c r="V1463" s="1000"/>
      <c r="W1463" s="1001"/>
      <c r="X1463" s="186"/>
      <c r="Y1463"/>
      <c r="Z1463" s="1014" t="e">
        <f>VLOOKUP(AS1466,ID_archer_cible,5,FALSE)</f>
        <v>#N/A</v>
      </c>
      <c r="AA1463" s="1015"/>
      <c r="AB1463" s="1015"/>
      <c r="AC1463" s="1015"/>
      <c r="AD1463" s="1015"/>
      <c r="AE1463" s="1015"/>
      <c r="AF1463" s="1015"/>
      <c r="AG1463" s="1015"/>
      <c r="AH1463" s="1016"/>
      <c r="AJ1463" s="1014" t="e">
        <f>VLOOKUP(AS1466,ID_archer_cible,6,FALSE)</f>
        <v>#N/A</v>
      </c>
      <c r="AK1463" s="1015"/>
      <c r="AL1463" s="1015"/>
      <c r="AM1463" s="1015"/>
      <c r="AN1463" s="1015"/>
      <c r="AO1463" s="1016"/>
      <c r="AQ1463" s="999" t="e">
        <f>VLOOKUP(AS1466,ID_archer_cible,8,FALSE)</f>
        <v>#N/A</v>
      </c>
      <c r="AR1463" s="1000"/>
      <c r="AS1463" s="1000"/>
      <c r="AT1463" s="1000"/>
      <c r="AU1463" s="1001"/>
    </row>
    <row r="1464" spans="2:48" x14ac:dyDescent="0.2">
      <c r="X1464" s="186"/>
      <c r="Y1464"/>
    </row>
    <row r="1465" spans="2:48" x14ac:dyDescent="0.2">
      <c r="B1465" s="992" t="s">
        <v>530</v>
      </c>
      <c r="C1465" s="992"/>
      <c r="D1465" s="992"/>
      <c r="E1465" s="992"/>
      <c r="F1465" s="992"/>
      <c r="G1465" s="187"/>
      <c r="H1465" s="992" t="s">
        <v>504</v>
      </c>
      <c r="I1465" s="992"/>
      <c r="J1465" s="992"/>
      <c r="K1465" s="992"/>
      <c r="M1465" s="992" t="s">
        <v>39</v>
      </c>
      <c r="N1465" s="992"/>
      <c r="O1465" s="992"/>
      <c r="Q1465" s="1021"/>
      <c r="R1465" s="1021"/>
      <c r="S1465" s="1021"/>
      <c r="U1465" s="992" t="s">
        <v>507</v>
      </c>
      <c r="V1465" s="992"/>
      <c r="W1465" s="992"/>
      <c r="X1465" s="188"/>
      <c r="Y1465"/>
      <c r="Z1465" s="992" t="s">
        <v>530</v>
      </c>
      <c r="AA1465" s="992"/>
      <c r="AB1465" s="992"/>
      <c r="AC1465" s="992"/>
      <c r="AD1465" s="992"/>
      <c r="AE1465" s="187"/>
      <c r="AF1465" s="992" t="s">
        <v>504</v>
      </c>
      <c r="AG1465" s="992"/>
      <c r="AH1465" s="992"/>
      <c r="AI1465" s="992"/>
      <c r="AK1465" s="992" t="s">
        <v>39</v>
      </c>
      <c r="AL1465" s="992"/>
      <c r="AM1465" s="992"/>
      <c r="AO1465" s="1021"/>
      <c r="AP1465" s="1021"/>
      <c r="AQ1465" s="1021"/>
      <c r="AS1465" s="992" t="s">
        <v>507</v>
      </c>
      <c r="AT1465" s="992"/>
      <c r="AU1465" s="992"/>
      <c r="AV1465" s="187"/>
    </row>
    <row r="1466" spans="2:48" ht="15.75" x14ac:dyDescent="0.2">
      <c r="B1466" s="1011" t="e">
        <f>VLOOKUP(U1466,ID_archer_cible,7,FALSE)</f>
        <v>#N/A</v>
      </c>
      <c r="C1466" s="1012"/>
      <c r="D1466" s="1012"/>
      <c r="E1466" s="1012"/>
      <c r="F1466" s="1013"/>
      <c r="H1466" s="999" t="e">
        <f>VLOOKUP(U1466,ID_archer_cible,9,FALSE)</f>
        <v>#N/A</v>
      </c>
      <c r="I1466" s="1000"/>
      <c r="J1466" s="1000"/>
      <c r="K1466" s="1001"/>
      <c r="M1466" s="999" t="e">
        <f>VLOOKUP(U1466,ID_archer_cible,10,FALSE)</f>
        <v>#N/A</v>
      </c>
      <c r="N1466" s="1000"/>
      <c r="O1466" s="1001"/>
      <c r="Q1466" s="1021"/>
      <c r="R1466" s="1021"/>
      <c r="S1466" s="1021"/>
      <c r="T1466" s="187"/>
      <c r="U1466" s="996" t="str">
        <f>AR1454&amp;"A"</f>
        <v>24A</v>
      </c>
      <c r="V1466" s="997"/>
      <c r="W1466" s="998"/>
      <c r="X1466" s="188"/>
      <c r="Y1466"/>
      <c r="Z1466" s="1011" t="e">
        <f>VLOOKUP(AS1466,ID_archer_cible,7,FALSE)</f>
        <v>#N/A</v>
      </c>
      <c r="AA1466" s="1012"/>
      <c r="AB1466" s="1012"/>
      <c r="AC1466" s="1012"/>
      <c r="AD1466" s="1013"/>
      <c r="AF1466" s="999" t="e">
        <f>VLOOKUP(AS1466,ID_archer_cible,9,FALSE)</f>
        <v>#N/A</v>
      </c>
      <c r="AG1466" s="1000"/>
      <c r="AH1466" s="1000"/>
      <c r="AI1466" s="1001"/>
      <c r="AK1466" s="999" t="e">
        <f>VLOOKUP(AS1466,ID_archer_cible,10,FALSE)</f>
        <v>#N/A</v>
      </c>
      <c r="AL1466" s="1000"/>
      <c r="AM1466" s="1001"/>
      <c r="AO1466" s="1021"/>
      <c r="AP1466" s="1021"/>
      <c r="AQ1466" s="1021"/>
      <c r="AR1466" s="187"/>
      <c r="AS1466" s="996" t="str">
        <f>AR1454&amp;"B"</f>
        <v>24B</v>
      </c>
      <c r="AT1466" s="997"/>
      <c r="AU1466" s="998"/>
      <c r="AV1466" s="187"/>
    </row>
    <row r="1467" spans="2:48" x14ac:dyDescent="0.2">
      <c r="X1467" s="186"/>
    </row>
    <row r="1468" spans="2:48" x14ac:dyDescent="0.2">
      <c r="B1468" s="185" t="s">
        <v>509</v>
      </c>
      <c r="E1468" s="992" t="s">
        <v>510</v>
      </c>
      <c r="F1468" s="992"/>
      <c r="G1468" s="992"/>
      <c r="H1468" s="992"/>
      <c r="I1468" s="992"/>
      <c r="J1468" s="992"/>
      <c r="K1468" s="992"/>
      <c r="L1468" s="992"/>
      <c r="M1468" s="992"/>
      <c r="N1468" s="992"/>
      <c r="P1468" s="992" t="s">
        <v>511</v>
      </c>
      <c r="Q1468" s="992"/>
      <c r="R1468" s="992"/>
      <c r="X1468" s="186"/>
      <c r="Z1468" s="185" t="s">
        <v>509</v>
      </c>
      <c r="AC1468" s="992" t="s">
        <v>510</v>
      </c>
      <c r="AD1468" s="992"/>
      <c r="AE1468" s="992"/>
      <c r="AF1468" s="992"/>
      <c r="AG1468" s="992"/>
      <c r="AH1468" s="992"/>
      <c r="AI1468" s="992"/>
      <c r="AJ1468" s="992"/>
      <c r="AK1468" s="992"/>
      <c r="AL1468" s="992"/>
      <c r="AN1468" s="992" t="s">
        <v>511</v>
      </c>
      <c r="AO1468" s="992"/>
      <c r="AP1468" s="992"/>
    </row>
    <row r="1469" spans="2:48" ht="20.25" customHeight="1" x14ac:dyDescent="0.2">
      <c r="B1469" s="1009" t="s">
        <v>513</v>
      </c>
      <c r="C1469" s="1009"/>
      <c r="E1469" s="189"/>
      <c r="F1469" s="191"/>
      <c r="G1469" s="189"/>
      <c r="H1469" s="191"/>
      <c r="I1469" s="189"/>
      <c r="J1469" s="191"/>
      <c r="K1469" s="189"/>
      <c r="L1469" s="191"/>
      <c r="M1469" s="189"/>
      <c r="N1469" s="191"/>
      <c r="P1469" s="189"/>
      <c r="Q1469" s="190"/>
      <c r="R1469" s="191"/>
      <c r="T1469" s="992" t="s">
        <v>512</v>
      </c>
      <c r="U1469" s="992"/>
      <c r="V1469" s="992"/>
      <c r="W1469" s="992"/>
      <c r="X1469" s="188"/>
      <c r="Z1469" s="1009" t="s">
        <v>513</v>
      </c>
      <c r="AA1469" s="1009"/>
      <c r="AC1469" s="189"/>
      <c r="AD1469" s="191"/>
      <c r="AE1469" s="189"/>
      <c r="AF1469" s="191"/>
      <c r="AG1469" s="189"/>
      <c r="AH1469" s="191"/>
      <c r="AI1469" s="189"/>
      <c r="AJ1469" s="191"/>
      <c r="AK1469" s="189"/>
      <c r="AL1469" s="191"/>
      <c r="AN1469" s="189"/>
      <c r="AO1469" s="190"/>
      <c r="AP1469" s="191"/>
      <c r="AR1469" s="992" t="s">
        <v>512</v>
      </c>
      <c r="AS1469" s="992"/>
      <c r="AT1469" s="992"/>
      <c r="AU1469" s="992"/>
      <c r="AV1469" s="187"/>
    </row>
    <row r="1470" spans="2:48" ht="20.25" customHeight="1" x14ac:dyDescent="0.2">
      <c r="B1470" s="1009" t="s">
        <v>514</v>
      </c>
      <c r="C1470" s="1009"/>
      <c r="E1470" s="189"/>
      <c r="F1470" s="191"/>
      <c r="G1470" s="189"/>
      <c r="H1470" s="191"/>
      <c r="I1470" s="189"/>
      <c r="J1470" s="191"/>
      <c r="K1470" s="189"/>
      <c r="L1470" s="191"/>
      <c r="M1470" s="189"/>
      <c r="N1470" s="191"/>
      <c r="P1470" s="189"/>
      <c r="Q1470" s="190"/>
      <c r="R1470" s="191"/>
      <c r="T1470" s="189"/>
      <c r="U1470" s="190"/>
      <c r="V1470" s="190"/>
      <c r="W1470" s="191"/>
      <c r="X1470" s="186"/>
      <c r="Z1470" s="1009" t="s">
        <v>514</v>
      </c>
      <c r="AA1470" s="1009"/>
      <c r="AC1470" s="189"/>
      <c r="AD1470" s="191"/>
      <c r="AE1470" s="189"/>
      <c r="AF1470" s="191"/>
      <c r="AG1470" s="189"/>
      <c r="AH1470" s="191"/>
      <c r="AI1470" s="189"/>
      <c r="AJ1470" s="191"/>
      <c r="AK1470" s="189"/>
      <c r="AL1470" s="191"/>
      <c r="AN1470" s="189"/>
      <c r="AO1470" s="190"/>
      <c r="AP1470" s="191"/>
      <c r="AR1470" s="189"/>
      <c r="AS1470" s="190"/>
      <c r="AT1470" s="190"/>
      <c r="AU1470" s="191"/>
    </row>
    <row r="1471" spans="2:48" ht="20.25" customHeight="1" x14ac:dyDescent="0.2">
      <c r="B1471" s="1009" t="s">
        <v>515</v>
      </c>
      <c r="C1471" s="1009"/>
      <c r="E1471" s="189"/>
      <c r="F1471" s="191"/>
      <c r="G1471" s="189"/>
      <c r="H1471" s="191"/>
      <c r="I1471" s="189"/>
      <c r="J1471" s="191"/>
      <c r="K1471" s="189"/>
      <c r="L1471" s="191"/>
      <c r="M1471" s="189"/>
      <c r="N1471" s="191"/>
      <c r="P1471" s="189"/>
      <c r="Q1471" s="190"/>
      <c r="R1471" s="191"/>
      <c r="T1471" s="189"/>
      <c r="U1471" s="190"/>
      <c r="V1471" s="190"/>
      <c r="W1471" s="191"/>
      <c r="X1471" s="186"/>
      <c r="Z1471" s="1009" t="s">
        <v>515</v>
      </c>
      <c r="AA1471" s="1009"/>
      <c r="AC1471" s="189"/>
      <c r="AD1471" s="191"/>
      <c r="AE1471" s="189"/>
      <c r="AF1471" s="191"/>
      <c r="AG1471" s="189"/>
      <c r="AH1471" s="191"/>
      <c r="AI1471" s="189"/>
      <c r="AJ1471" s="191"/>
      <c r="AK1471" s="189"/>
      <c r="AL1471" s="191"/>
      <c r="AN1471" s="189"/>
      <c r="AO1471" s="190"/>
      <c r="AP1471" s="191"/>
      <c r="AR1471" s="189"/>
      <c r="AS1471" s="190"/>
      <c r="AT1471" s="190"/>
      <c r="AU1471" s="191"/>
    </row>
    <row r="1472" spans="2:48" ht="20.25" customHeight="1" x14ac:dyDescent="0.2">
      <c r="B1472" s="1009" t="s">
        <v>516</v>
      </c>
      <c r="C1472" s="1009"/>
      <c r="E1472" s="189"/>
      <c r="F1472" s="191"/>
      <c r="G1472" s="189"/>
      <c r="H1472" s="191"/>
      <c r="I1472" s="189"/>
      <c r="J1472" s="191"/>
      <c r="K1472" s="189"/>
      <c r="L1472" s="191"/>
      <c r="M1472" s="189"/>
      <c r="N1472" s="191"/>
      <c r="P1472" s="189"/>
      <c r="Q1472" s="190"/>
      <c r="R1472" s="191"/>
      <c r="T1472" s="189"/>
      <c r="U1472" s="190"/>
      <c r="V1472" s="190"/>
      <c r="W1472" s="191"/>
      <c r="X1472" s="186"/>
      <c r="Z1472" s="1009" t="s">
        <v>516</v>
      </c>
      <c r="AA1472" s="1009"/>
      <c r="AC1472" s="189"/>
      <c r="AD1472" s="191"/>
      <c r="AE1472" s="189"/>
      <c r="AF1472" s="191"/>
      <c r="AG1472" s="189"/>
      <c r="AH1472" s="191"/>
      <c r="AI1472" s="189"/>
      <c r="AJ1472" s="191"/>
      <c r="AK1472" s="189"/>
      <c r="AL1472" s="191"/>
      <c r="AN1472" s="189"/>
      <c r="AO1472" s="190"/>
      <c r="AP1472" s="191"/>
      <c r="AR1472" s="189"/>
      <c r="AS1472" s="190"/>
      <c r="AT1472" s="190"/>
      <c r="AU1472" s="191"/>
    </row>
    <row r="1473" spans="2:48" ht="20.25" customHeight="1" x14ac:dyDescent="0.2">
      <c r="B1473" s="1009" t="s">
        <v>517</v>
      </c>
      <c r="C1473" s="1009"/>
      <c r="E1473" s="189"/>
      <c r="F1473" s="191"/>
      <c r="G1473" s="189"/>
      <c r="H1473" s="191"/>
      <c r="I1473" s="189"/>
      <c r="J1473" s="191"/>
      <c r="K1473" s="189"/>
      <c r="L1473" s="191"/>
      <c r="M1473" s="189"/>
      <c r="N1473" s="191"/>
      <c r="P1473" s="189"/>
      <c r="Q1473" s="190"/>
      <c r="R1473" s="191"/>
      <c r="T1473" s="189"/>
      <c r="U1473" s="190"/>
      <c r="V1473" s="190"/>
      <c r="W1473" s="191"/>
      <c r="X1473" s="186"/>
      <c r="Z1473" s="1009" t="s">
        <v>517</v>
      </c>
      <c r="AA1473" s="1009"/>
      <c r="AC1473" s="189"/>
      <c r="AD1473" s="191"/>
      <c r="AE1473" s="189"/>
      <c r="AF1473" s="191"/>
      <c r="AG1473" s="189"/>
      <c r="AH1473" s="191"/>
      <c r="AI1473" s="189"/>
      <c r="AJ1473" s="191"/>
      <c r="AK1473" s="189"/>
      <c r="AL1473" s="191"/>
      <c r="AN1473" s="189"/>
      <c r="AO1473" s="190"/>
      <c r="AP1473" s="191"/>
      <c r="AR1473" s="189"/>
      <c r="AS1473" s="190"/>
      <c r="AT1473" s="190"/>
      <c r="AU1473" s="191"/>
    </row>
    <row r="1474" spans="2:48" ht="20.25" customHeight="1" x14ac:dyDescent="0.2">
      <c r="B1474" s="1009" t="s">
        <v>518</v>
      </c>
      <c r="C1474" s="1009"/>
      <c r="E1474" s="189"/>
      <c r="F1474" s="191"/>
      <c r="G1474" s="189"/>
      <c r="H1474" s="191"/>
      <c r="I1474" s="189"/>
      <c r="J1474" s="191"/>
      <c r="K1474" s="189"/>
      <c r="L1474" s="191"/>
      <c r="M1474" s="189"/>
      <c r="N1474" s="191"/>
      <c r="P1474" s="189"/>
      <c r="Q1474" s="190"/>
      <c r="R1474" s="191"/>
      <c r="T1474" s="189"/>
      <c r="U1474" s="190"/>
      <c r="V1474" s="190"/>
      <c r="W1474" s="191"/>
      <c r="X1474" s="186"/>
      <c r="Z1474" s="1009" t="s">
        <v>518</v>
      </c>
      <c r="AA1474" s="1009"/>
      <c r="AC1474" s="189"/>
      <c r="AD1474" s="191"/>
      <c r="AE1474" s="189"/>
      <c r="AF1474" s="191"/>
      <c r="AG1474" s="189"/>
      <c r="AH1474" s="191"/>
      <c r="AI1474" s="189"/>
      <c r="AJ1474" s="191"/>
      <c r="AK1474" s="189"/>
      <c r="AL1474" s="191"/>
      <c r="AN1474" s="189"/>
      <c r="AO1474" s="190"/>
      <c r="AP1474" s="191"/>
      <c r="AR1474" s="189"/>
      <c r="AS1474" s="190"/>
      <c r="AT1474" s="190"/>
      <c r="AU1474" s="191"/>
    </row>
    <row r="1475" spans="2:48" ht="15.75" thickBot="1" x14ac:dyDescent="0.25">
      <c r="B1475" s="187"/>
      <c r="C1475" s="187"/>
      <c r="X1475" s="186"/>
      <c r="Z1475" s="187"/>
      <c r="AA1475" s="187"/>
    </row>
    <row r="1476" spans="2:48" ht="20.25" customHeight="1" thickBot="1" x14ac:dyDescent="0.25">
      <c r="P1476" s="197" t="s">
        <v>519</v>
      </c>
      <c r="Q1476" s="197"/>
      <c r="R1476" s="197"/>
      <c r="S1476" s="197"/>
      <c r="T1476" s="192"/>
      <c r="U1476" s="193"/>
      <c r="V1476" s="193"/>
      <c r="W1476" s="194"/>
      <c r="X1476" s="186"/>
      <c r="AN1476" s="197" t="s">
        <v>519</v>
      </c>
      <c r="AO1476" s="197"/>
      <c r="AP1476" s="197"/>
      <c r="AQ1476" s="197"/>
      <c r="AR1476" s="192"/>
      <c r="AS1476" s="193"/>
      <c r="AT1476" s="193"/>
      <c r="AU1476" s="194"/>
    </row>
    <row r="1477" spans="2:48" x14ac:dyDescent="0.2">
      <c r="E1477" s="196"/>
      <c r="F1477" s="196"/>
      <c r="G1477" s="196"/>
      <c r="H1477" s="196"/>
      <c r="I1477" s="196"/>
      <c r="J1477" s="196"/>
      <c r="K1477" s="196"/>
      <c r="L1477" s="196"/>
      <c r="M1477" s="196"/>
      <c r="X1477" s="186"/>
      <c r="AC1477" s="196"/>
      <c r="AD1477" s="196"/>
      <c r="AE1477" s="196"/>
      <c r="AF1477" s="196"/>
      <c r="AG1477" s="196"/>
      <c r="AH1477" s="196"/>
      <c r="AI1477" s="196"/>
      <c r="AJ1477" s="196"/>
      <c r="AK1477" s="196"/>
    </row>
    <row r="1478" spans="2:48" x14ac:dyDescent="0.2">
      <c r="B1478" s="1010" t="s">
        <v>521</v>
      </c>
      <c r="C1478" s="1010"/>
      <c r="D1478" s="1010"/>
      <c r="E1478" s="1010"/>
      <c r="F1478" s="1010"/>
      <c r="G1478" s="1010"/>
      <c r="H1478" s="195"/>
      <c r="I1478" s="1010" t="s">
        <v>522</v>
      </c>
      <c r="J1478" s="1010"/>
      <c r="K1478" s="1010"/>
      <c r="L1478" s="1010"/>
      <c r="M1478" s="1010"/>
      <c r="N1478" s="1010"/>
      <c r="O1478" s="1010"/>
      <c r="P1478" s="1010"/>
      <c r="Q1478" s="1010"/>
      <c r="R1478" s="1010"/>
      <c r="S1478" s="1010"/>
      <c r="T1478" s="1010"/>
      <c r="U1478" s="1010"/>
      <c r="V1478" s="1010"/>
      <c r="W1478" s="1010"/>
      <c r="X1478" s="198"/>
      <c r="Y1478" s="195"/>
      <c r="Z1478" s="1010" t="s">
        <v>521</v>
      </c>
      <c r="AA1478" s="1010"/>
      <c r="AB1478" s="1010"/>
      <c r="AC1478" s="1010"/>
      <c r="AD1478" s="1010"/>
      <c r="AE1478" s="1010"/>
      <c r="AF1478" s="195"/>
      <c r="AG1478" s="1004" t="s">
        <v>522</v>
      </c>
      <c r="AH1478" s="1004"/>
      <c r="AI1478" s="1004"/>
      <c r="AJ1478" s="1004"/>
      <c r="AK1478" s="1004"/>
      <c r="AL1478" s="1004"/>
      <c r="AM1478" s="1004"/>
      <c r="AN1478" s="1004"/>
      <c r="AO1478" s="1004"/>
      <c r="AP1478" s="1004"/>
      <c r="AQ1478" s="1004"/>
      <c r="AR1478" s="1004"/>
      <c r="AS1478" s="1004"/>
      <c r="AT1478" s="1004"/>
      <c r="AU1478" s="1004"/>
      <c r="AV1478" s="195"/>
    </row>
    <row r="1479" spans="2:48" x14ac:dyDescent="0.2">
      <c r="B1479" s="1005" t="s">
        <v>520</v>
      </c>
      <c r="C1479" s="1006"/>
      <c r="D1479" s="1006"/>
      <c r="E1479" s="1006"/>
      <c r="F1479" s="1006"/>
      <c r="G1479" s="1007"/>
      <c r="I1479" s="1005" t="s">
        <v>0</v>
      </c>
      <c r="J1479" s="1006"/>
      <c r="K1479" s="1006"/>
      <c r="L1479" s="1006"/>
      <c r="M1479" s="1006"/>
      <c r="N1479" s="1006"/>
      <c r="O1479" s="1006"/>
      <c r="P1479" s="1006"/>
      <c r="Q1479" s="1006"/>
      <c r="R1479" s="1006"/>
      <c r="S1479" s="1006"/>
      <c r="T1479" s="1006"/>
      <c r="U1479" s="1006"/>
      <c r="V1479" s="1006"/>
      <c r="W1479" s="1007"/>
      <c r="X1479" s="186"/>
      <c r="Z1479" s="1005" t="s">
        <v>520</v>
      </c>
      <c r="AA1479" s="1006"/>
      <c r="AB1479" s="1006"/>
      <c r="AC1479" s="1006"/>
      <c r="AD1479" s="1006"/>
      <c r="AE1479" s="1007"/>
      <c r="AG1479" s="1005" t="s">
        <v>0</v>
      </c>
      <c r="AH1479" s="1006"/>
      <c r="AI1479" s="1006"/>
      <c r="AJ1479" s="1006"/>
      <c r="AK1479" s="1006"/>
      <c r="AL1479" s="1006"/>
      <c r="AM1479" s="1006"/>
      <c r="AN1479" s="1006"/>
      <c r="AO1479" s="1006"/>
      <c r="AP1479" s="1006"/>
      <c r="AQ1479" s="1006"/>
      <c r="AR1479" s="1006"/>
      <c r="AS1479" s="1006"/>
      <c r="AT1479" s="1006"/>
      <c r="AU1479" s="1007"/>
    </row>
    <row r="1480" spans="2:48" x14ac:dyDescent="0.2">
      <c r="B1480" s="199"/>
      <c r="C1480" s="200"/>
      <c r="D1480" s="200"/>
      <c r="E1480" s="200"/>
      <c r="F1480" s="200"/>
      <c r="G1480" s="201"/>
      <c r="I1480" s="199"/>
      <c r="J1480" s="200"/>
      <c r="K1480" s="200"/>
      <c r="L1480" s="200"/>
      <c r="M1480" s="200"/>
      <c r="N1480" s="200"/>
      <c r="O1480" s="200"/>
      <c r="P1480" s="200"/>
      <c r="Q1480" s="200"/>
      <c r="R1480" s="200"/>
      <c r="S1480" s="200"/>
      <c r="T1480" s="200"/>
      <c r="U1480" s="200"/>
      <c r="V1480" s="200"/>
      <c r="W1480" s="201"/>
      <c r="X1480" s="186"/>
      <c r="Z1480" s="199"/>
      <c r="AA1480" s="200"/>
      <c r="AB1480" s="200"/>
      <c r="AC1480" s="200"/>
      <c r="AD1480" s="200"/>
      <c r="AE1480" s="201"/>
      <c r="AG1480" s="199"/>
      <c r="AH1480" s="200"/>
      <c r="AI1480" s="200"/>
      <c r="AJ1480" s="200"/>
      <c r="AK1480" s="200"/>
      <c r="AL1480" s="200"/>
      <c r="AM1480" s="200"/>
      <c r="AN1480" s="200"/>
      <c r="AO1480" s="200"/>
      <c r="AP1480" s="200"/>
      <c r="AQ1480" s="200"/>
      <c r="AR1480" s="200"/>
      <c r="AS1480" s="200"/>
      <c r="AT1480" s="200"/>
      <c r="AU1480" s="201"/>
    </row>
    <row r="1481" spans="2:48" x14ac:dyDescent="0.2">
      <c r="X1481" s="186"/>
    </row>
    <row r="1482" spans="2:48" x14ac:dyDescent="0.2">
      <c r="I1482" s="1005" t="s">
        <v>481</v>
      </c>
      <c r="J1482" s="1006"/>
      <c r="K1482" s="1006"/>
      <c r="L1482" s="1006"/>
      <c r="M1482" s="1006"/>
      <c r="N1482" s="1006"/>
      <c r="O1482" s="1006"/>
      <c r="P1482" s="1006"/>
      <c r="Q1482" s="1007"/>
      <c r="R1482" s="1005" t="s">
        <v>520</v>
      </c>
      <c r="S1482" s="1006"/>
      <c r="T1482" s="1006"/>
      <c r="U1482" s="1006"/>
      <c r="V1482" s="1006"/>
      <c r="W1482" s="1007"/>
      <c r="X1482" s="186"/>
      <c r="AG1482" s="1005" t="s">
        <v>481</v>
      </c>
      <c r="AH1482" s="1006"/>
      <c r="AI1482" s="1006"/>
      <c r="AJ1482" s="1006"/>
      <c r="AK1482" s="1006"/>
      <c r="AL1482" s="1006"/>
      <c r="AM1482" s="1006"/>
      <c r="AN1482" s="1006"/>
      <c r="AO1482" s="1007"/>
      <c r="AP1482" s="1005" t="s">
        <v>520</v>
      </c>
      <c r="AQ1482" s="1006"/>
      <c r="AR1482" s="1006"/>
      <c r="AS1482" s="1006"/>
      <c r="AT1482" s="1006"/>
      <c r="AU1482" s="1007"/>
    </row>
    <row r="1483" spans="2:48" x14ac:dyDescent="0.2">
      <c r="I1483" s="199"/>
      <c r="J1483" s="200"/>
      <c r="K1483" s="200"/>
      <c r="L1483" s="200"/>
      <c r="M1483" s="200"/>
      <c r="N1483" s="200"/>
      <c r="O1483" s="200"/>
      <c r="P1483" s="200"/>
      <c r="Q1483" s="200"/>
      <c r="R1483" s="199"/>
      <c r="S1483" s="200"/>
      <c r="T1483" s="200"/>
      <c r="U1483" s="200"/>
      <c r="V1483" s="200"/>
      <c r="W1483" s="201"/>
      <c r="X1483" s="186"/>
      <c r="AG1483" s="199"/>
      <c r="AH1483" s="200"/>
      <c r="AI1483" s="200"/>
      <c r="AJ1483" s="200"/>
      <c r="AK1483" s="200"/>
      <c r="AL1483" s="200"/>
      <c r="AM1483" s="200"/>
      <c r="AN1483" s="200"/>
      <c r="AO1483" s="200"/>
      <c r="AP1483" s="199"/>
      <c r="AQ1483" s="200"/>
      <c r="AR1483" s="200"/>
      <c r="AS1483" s="200"/>
      <c r="AT1483" s="200"/>
      <c r="AU1483" s="201"/>
    </row>
    <row r="1484" spans="2:48" ht="39" customHeight="1" x14ac:dyDescent="0.2">
      <c r="B1484" s="392"/>
      <c r="C1484" s="392"/>
      <c r="D1484" s="392"/>
      <c r="E1484" s="392"/>
      <c r="F1484" s="392"/>
      <c r="G1484" s="392"/>
      <c r="H1484" s="392"/>
      <c r="I1484" s="392"/>
      <c r="J1484" s="392"/>
      <c r="K1484" s="392"/>
      <c r="L1484" s="392"/>
      <c r="M1484" s="392"/>
      <c r="N1484" s="392"/>
      <c r="O1484" s="392"/>
      <c r="P1484" s="392"/>
      <c r="Q1484" s="392"/>
      <c r="R1484" s="392"/>
      <c r="S1484" s="392"/>
      <c r="T1484" s="392"/>
      <c r="U1484" s="392"/>
      <c r="V1484" s="392"/>
      <c r="W1484" s="392"/>
      <c r="X1484" s="393"/>
      <c r="Y1484" s="394"/>
      <c r="Z1484" s="392"/>
      <c r="AA1484" s="392"/>
      <c r="AB1484" s="392"/>
      <c r="AC1484" s="392"/>
      <c r="AD1484" s="392"/>
      <c r="AE1484" s="392"/>
      <c r="AF1484" s="392"/>
      <c r="AG1484" s="392"/>
      <c r="AH1484" s="392"/>
      <c r="AI1484" s="392"/>
      <c r="AJ1484" s="392"/>
      <c r="AK1484" s="392"/>
      <c r="AL1484" s="392"/>
      <c r="AM1484" s="392"/>
      <c r="AN1484" s="392"/>
      <c r="AO1484" s="392"/>
      <c r="AP1484" s="392"/>
      <c r="AQ1484" s="392"/>
      <c r="AR1484" s="392"/>
      <c r="AS1484" s="392"/>
      <c r="AT1484" s="392"/>
      <c r="AU1484" s="392"/>
      <c r="AV1484" s="392"/>
    </row>
    <row r="1485" spans="2:48" ht="39" customHeight="1" x14ac:dyDescent="0.2">
      <c r="B1485" s="182"/>
      <c r="C1485" s="182"/>
      <c r="D1485" s="182"/>
      <c r="E1485" s="182"/>
      <c r="F1485" s="182"/>
      <c r="G1485" s="182"/>
      <c r="H1485" s="182"/>
      <c r="I1485" s="182"/>
      <c r="J1485" s="182"/>
      <c r="K1485" s="182"/>
      <c r="L1485" s="182"/>
      <c r="M1485" s="182"/>
      <c r="N1485" s="182"/>
      <c r="O1485" s="182"/>
      <c r="P1485" s="182"/>
      <c r="Q1485" s="182"/>
      <c r="R1485" s="182"/>
      <c r="S1485" s="182"/>
      <c r="T1485" s="182"/>
      <c r="U1485" s="182"/>
      <c r="V1485" s="182"/>
      <c r="W1485" s="182"/>
      <c r="X1485" s="183"/>
      <c r="Y1485" s="184"/>
      <c r="Z1485" s="182"/>
      <c r="AA1485" s="182"/>
      <c r="AB1485" s="182"/>
      <c r="AC1485" s="182"/>
      <c r="AD1485" s="182"/>
      <c r="AE1485" s="182"/>
      <c r="AF1485" s="182"/>
      <c r="AG1485" s="182"/>
      <c r="AH1485" s="182"/>
      <c r="AI1485" s="182"/>
      <c r="AJ1485" s="182"/>
      <c r="AK1485" s="182"/>
      <c r="AL1485" s="182"/>
      <c r="AM1485" s="182"/>
      <c r="AN1485" s="182"/>
      <c r="AO1485" s="182"/>
      <c r="AP1485" s="182"/>
      <c r="AQ1485" s="182"/>
      <c r="AR1485" s="182"/>
      <c r="AS1485" s="182"/>
      <c r="AT1485" s="182"/>
      <c r="AU1485" s="182"/>
      <c r="AV1485" s="182"/>
    </row>
    <row r="1486" spans="2:48" ht="18" x14ac:dyDescent="0.2">
      <c r="B1486" s="182"/>
      <c r="C1486" s="182"/>
      <c r="D1486" s="182"/>
      <c r="E1486" s="182"/>
      <c r="F1486" s="182"/>
      <c r="G1486" s="182"/>
      <c r="H1486" s="992" t="s">
        <v>374</v>
      </c>
      <c r="I1486" s="992"/>
      <c r="J1486" s="992"/>
      <c r="K1486" s="992"/>
      <c r="L1486" s="992"/>
      <c r="M1486" s="992"/>
      <c r="N1486" s="992"/>
      <c r="O1486" s="992"/>
      <c r="P1486" s="992"/>
      <c r="Q1486" s="992"/>
      <c r="R1486" s="182"/>
      <c r="S1486" s="182"/>
      <c r="T1486" s="182"/>
      <c r="U1486" s="182"/>
      <c r="V1486" s="182"/>
      <c r="W1486" s="182"/>
      <c r="X1486" s="183"/>
      <c r="Y1486" s="182"/>
      <c r="Z1486" s="182"/>
      <c r="AA1486" s="182"/>
      <c r="AB1486" s="182"/>
      <c r="AC1486" s="182"/>
      <c r="AD1486" s="182"/>
      <c r="AE1486" s="992" t="s">
        <v>374</v>
      </c>
      <c r="AF1486" s="992"/>
      <c r="AG1486" s="992"/>
      <c r="AH1486" s="992"/>
      <c r="AI1486" s="992"/>
      <c r="AJ1486" s="992"/>
      <c r="AK1486" s="992"/>
      <c r="AL1486" s="992"/>
      <c r="AM1486" s="992"/>
      <c r="AN1486" s="992"/>
      <c r="AO1486" s="182"/>
      <c r="AP1486" s="182"/>
      <c r="AQ1486" s="182"/>
      <c r="AR1486" s="182"/>
      <c r="AS1486" s="182"/>
      <c r="AT1486" s="182"/>
      <c r="AU1486" s="182"/>
      <c r="AV1486" s="182"/>
    </row>
    <row r="1487" spans="2:48" ht="18" x14ac:dyDescent="0.2">
      <c r="B1487" s="182"/>
      <c r="C1487" s="182"/>
      <c r="D1487" s="182"/>
      <c r="E1487" s="182"/>
      <c r="F1487" s="182"/>
      <c r="G1487" s="182"/>
      <c r="H1487" s="1022" t="e">
        <f>VLOOKUP(U1496,ID_archer_cible,4,FALSE)</f>
        <v>#N/A</v>
      </c>
      <c r="I1487" s="1023"/>
      <c r="J1487" s="1023"/>
      <c r="K1487" s="1023"/>
      <c r="L1487" s="1023"/>
      <c r="M1487" s="1023"/>
      <c r="N1487" s="1023"/>
      <c r="O1487" s="1023"/>
      <c r="P1487" s="1023"/>
      <c r="Q1487" s="1024"/>
      <c r="R1487" s="182"/>
      <c r="S1487" s="182"/>
      <c r="T1487" s="182"/>
      <c r="U1487" s="182"/>
      <c r="V1487" s="182"/>
      <c r="W1487" s="182"/>
      <c r="X1487" s="183"/>
      <c r="Y1487" s="182"/>
      <c r="Z1487" s="182"/>
      <c r="AA1487" s="182"/>
      <c r="AB1487" s="182"/>
      <c r="AC1487" s="182"/>
      <c r="AD1487" s="182"/>
      <c r="AE1487" s="1022" t="e">
        <f>VLOOKUP(AS1496,ID_archer_cible,4,FALSE)</f>
        <v>#N/A</v>
      </c>
      <c r="AF1487" s="1023"/>
      <c r="AG1487" s="1023"/>
      <c r="AH1487" s="1023"/>
      <c r="AI1487" s="1023"/>
      <c r="AJ1487" s="1023"/>
      <c r="AK1487" s="1023"/>
      <c r="AL1487" s="1023"/>
      <c r="AM1487" s="1023"/>
      <c r="AN1487" s="1024"/>
      <c r="AO1487" s="182"/>
      <c r="AP1487" s="182"/>
      <c r="AQ1487" s="182"/>
      <c r="AR1487" s="182"/>
      <c r="AS1487" s="182"/>
      <c r="AT1487" s="182"/>
      <c r="AU1487" s="182"/>
      <c r="AV1487" s="182"/>
    </row>
    <row r="1488" spans="2:48" x14ac:dyDescent="0.2">
      <c r="X1488" s="186"/>
    </row>
    <row r="1489" spans="2:48" x14ac:dyDescent="0.2">
      <c r="B1489" s="1021" t="s">
        <v>0</v>
      </c>
      <c r="C1489" s="1021"/>
      <c r="D1489" s="1021"/>
      <c r="E1489" s="1021"/>
      <c r="F1489" s="1021"/>
      <c r="G1489" s="1021"/>
      <c r="H1489" s="1021"/>
      <c r="I1489" s="1021"/>
      <c r="J1489" s="1021"/>
      <c r="K1489" s="1021"/>
      <c r="L1489" s="1021"/>
      <c r="M1489" s="187"/>
      <c r="P1489" s="992" t="s">
        <v>375</v>
      </c>
      <c r="Q1489" s="992"/>
      <c r="R1489" s="992"/>
      <c r="S1489" s="992"/>
      <c r="T1489" s="992"/>
      <c r="U1489" s="992"/>
      <c r="V1489" s="992"/>
      <c r="W1489" s="992"/>
      <c r="X1489" s="188"/>
      <c r="Z1489" s="1021" t="s">
        <v>0</v>
      </c>
      <c r="AA1489" s="1021"/>
      <c r="AB1489" s="1021"/>
      <c r="AC1489" s="1021"/>
      <c r="AD1489" s="1021"/>
      <c r="AE1489" s="1021"/>
      <c r="AF1489" s="1021"/>
      <c r="AG1489" s="1021"/>
      <c r="AH1489" s="1021"/>
      <c r="AI1489" s="1021"/>
      <c r="AJ1489" s="1021"/>
      <c r="AK1489" s="187"/>
      <c r="AN1489" s="992" t="s">
        <v>375</v>
      </c>
      <c r="AO1489" s="992"/>
      <c r="AP1489" s="992"/>
      <c r="AQ1489" s="992"/>
      <c r="AR1489" s="992"/>
      <c r="AS1489" s="992"/>
      <c r="AT1489" s="992"/>
      <c r="AU1489" s="992"/>
      <c r="AV1489" s="187"/>
    </row>
    <row r="1490" spans="2:48" x14ac:dyDescent="0.2">
      <c r="B1490" s="999" t="e">
        <f>VLOOKUP(U1496,ID_archer_cible,2,FALSE)</f>
        <v>#N/A</v>
      </c>
      <c r="C1490" s="1000"/>
      <c r="D1490" s="1000"/>
      <c r="E1490" s="1000"/>
      <c r="F1490" s="1000"/>
      <c r="G1490" s="1000"/>
      <c r="H1490" s="1000"/>
      <c r="I1490" s="1000"/>
      <c r="J1490" s="1000"/>
      <c r="K1490" s="1000"/>
      <c r="L1490" s="1000"/>
      <c r="M1490" s="1001"/>
      <c r="P1490" s="999" t="e">
        <f>VLOOKUP(U1496,ID_archer_cible,3,FALSE)</f>
        <v>#N/A</v>
      </c>
      <c r="Q1490" s="1000"/>
      <c r="R1490" s="1000"/>
      <c r="S1490" s="1000"/>
      <c r="T1490" s="1000"/>
      <c r="U1490" s="1000"/>
      <c r="V1490" s="1000"/>
      <c r="W1490" s="1001"/>
      <c r="X1490" s="186"/>
      <c r="Y1490"/>
      <c r="Z1490" s="999" t="e">
        <f>VLOOKUP(AS1496,ID_archer_cible,2,FALSE)</f>
        <v>#N/A</v>
      </c>
      <c r="AA1490" s="1000"/>
      <c r="AB1490" s="1000"/>
      <c r="AC1490" s="1000"/>
      <c r="AD1490" s="1000"/>
      <c r="AE1490" s="1000"/>
      <c r="AF1490" s="1000"/>
      <c r="AG1490" s="1000"/>
      <c r="AH1490" s="1000"/>
      <c r="AI1490" s="1000"/>
      <c r="AJ1490" s="1000"/>
      <c r="AK1490" s="1001"/>
      <c r="AN1490" s="999" t="e">
        <f>VLOOKUP(AS1496,ID_archer_cible,3,FALSE)</f>
        <v>#N/A</v>
      </c>
      <c r="AO1490" s="1000"/>
      <c r="AP1490" s="1000"/>
      <c r="AQ1490" s="1000"/>
      <c r="AR1490" s="1000"/>
      <c r="AS1490" s="1000"/>
      <c r="AT1490" s="1000"/>
      <c r="AU1490" s="1001"/>
    </row>
    <row r="1491" spans="2:48" x14ac:dyDescent="0.2">
      <c r="X1491" s="186"/>
      <c r="Y1491"/>
    </row>
    <row r="1492" spans="2:48" ht="16.5" thickBot="1" x14ac:dyDescent="0.25">
      <c r="B1492" s="1017" t="s">
        <v>1</v>
      </c>
      <c r="C1492" s="1017"/>
      <c r="D1492" s="1017"/>
      <c r="E1492" s="1017"/>
      <c r="F1492" s="1017"/>
      <c r="G1492" s="1017"/>
      <c r="H1492" s="1017"/>
      <c r="I1492" s="1017"/>
      <c r="J1492" s="1017"/>
      <c r="L1492" s="1017" t="s">
        <v>505</v>
      </c>
      <c r="M1492" s="1017"/>
      <c r="N1492" s="1017"/>
      <c r="O1492" s="1017"/>
      <c r="P1492" s="1017"/>
      <c r="Q1492" s="1017"/>
      <c r="S1492" s="992" t="s">
        <v>506</v>
      </c>
      <c r="T1492" s="992"/>
      <c r="U1492" s="992"/>
      <c r="V1492" s="992"/>
      <c r="W1492" s="992"/>
      <c r="X1492" s="188"/>
      <c r="Y1492"/>
      <c r="Z1492" s="1017" t="s">
        <v>1</v>
      </c>
      <c r="AA1492" s="1017"/>
      <c r="AB1492" s="1017"/>
      <c r="AC1492" s="1017"/>
      <c r="AD1492" s="1017"/>
      <c r="AE1492" s="1017"/>
      <c r="AF1492" s="1017"/>
      <c r="AG1492" s="1017"/>
      <c r="AH1492" s="1017"/>
      <c r="AJ1492" s="1017" t="s">
        <v>505</v>
      </c>
      <c r="AK1492" s="1017"/>
      <c r="AL1492" s="1017"/>
      <c r="AM1492" s="1017"/>
      <c r="AN1492" s="1017"/>
      <c r="AO1492" s="1017"/>
      <c r="AQ1492" s="992" t="s">
        <v>506</v>
      </c>
      <c r="AR1492" s="992"/>
      <c r="AS1492" s="992"/>
      <c r="AT1492" s="992"/>
      <c r="AU1492" s="992"/>
      <c r="AV1492" s="187"/>
    </row>
    <row r="1493" spans="2:48" ht="16.5" thickBot="1" x14ac:dyDescent="0.25">
      <c r="B1493" s="1014" t="e">
        <f>VLOOKUP(U1496,ID_archer_cible,5,FALSE)</f>
        <v>#N/A</v>
      </c>
      <c r="C1493" s="1015"/>
      <c r="D1493" s="1015"/>
      <c r="E1493" s="1015"/>
      <c r="F1493" s="1015"/>
      <c r="G1493" s="1015"/>
      <c r="H1493" s="1015"/>
      <c r="I1493" s="1015"/>
      <c r="J1493" s="1016"/>
      <c r="L1493" s="1014" t="e">
        <f>VLOOKUP(U1496,ID_archer_cible,6,FALSE)</f>
        <v>#N/A</v>
      </c>
      <c r="M1493" s="1015"/>
      <c r="N1493" s="1015"/>
      <c r="O1493" s="1015"/>
      <c r="P1493" s="1015"/>
      <c r="Q1493" s="1016"/>
      <c r="S1493" s="999" t="e">
        <f>VLOOKUP(U1496,ID_archer_cible,8,FALSE)</f>
        <v>#N/A</v>
      </c>
      <c r="T1493" s="1000"/>
      <c r="U1493" s="1000"/>
      <c r="V1493" s="1000"/>
      <c r="W1493" s="1001"/>
      <c r="X1493" s="186"/>
      <c r="Y1493"/>
      <c r="Z1493" s="1014" t="e">
        <f>VLOOKUP(AS1496,ID_archer_cible,5,FALSE)</f>
        <v>#N/A</v>
      </c>
      <c r="AA1493" s="1015"/>
      <c r="AB1493" s="1015"/>
      <c r="AC1493" s="1015"/>
      <c r="AD1493" s="1015"/>
      <c r="AE1493" s="1015"/>
      <c r="AF1493" s="1015"/>
      <c r="AG1493" s="1015"/>
      <c r="AH1493" s="1016"/>
      <c r="AJ1493" s="1014" t="e">
        <f>VLOOKUP(AS1496,ID_archer_cible,6,FALSE)</f>
        <v>#N/A</v>
      </c>
      <c r="AK1493" s="1015"/>
      <c r="AL1493" s="1015"/>
      <c r="AM1493" s="1015"/>
      <c r="AN1493" s="1015"/>
      <c r="AO1493" s="1016"/>
      <c r="AQ1493" s="999" t="e">
        <f>VLOOKUP(AS1496,ID_archer_cible,8,FALSE)</f>
        <v>#N/A</v>
      </c>
      <c r="AR1493" s="1000"/>
      <c r="AS1493" s="1000"/>
      <c r="AT1493" s="1000"/>
      <c r="AU1493" s="1001"/>
    </row>
    <row r="1494" spans="2:48" x14ac:dyDescent="0.2">
      <c r="X1494" s="186"/>
      <c r="Y1494"/>
    </row>
    <row r="1495" spans="2:48" x14ac:dyDescent="0.2">
      <c r="B1495" s="992" t="s">
        <v>530</v>
      </c>
      <c r="C1495" s="992"/>
      <c r="D1495" s="992"/>
      <c r="E1495" s="992"/>
      <c r="F1495" s="992"/>
      <c r="G1495" s="187"/>
      <c r="H1495" s="992" t="s">
        <v>504</v>
      </c>
      <c r="I1495" s="992"/>
      <c r="J1495" s="992"/>
      <c r="K1495" s="992"/>
      <c r="M1495" s="992" t="s">
        <v>39</v>
      </c>
      <c r="N1495" s="992"/>
      <c r="O1495" s="992"/>
      <c r="Q1495" s="1021"/>
      <c r="R1495" s="1021"/>
      <c r="S1495" s="1021"/>
      <c r="U1495" s="992" t="s">
        <v>507</v>
      </c>
      <c r="V1495" s="992"/>
      <c r="W1495" s="992"/>
      <c r="X1495" s="188"/>
      <c r="Y1495"/>
      <c r="Z1495" s="992" t="s">
        <v>530</v>
      </c>
      <c r="AA1495" s="992"/>
      <c r="AB1495" s="992"/>
      <c r="AC1495" s="992"/>
      <c r="AD1495" s="992"/>
      <c r="AE1495" s="187"/>
      <c r="AF1495" s="992" t="s">
        <v>504</v>
      </c>
      <c r="AG1495" s="992"/>
      <c r="AH1495" s="992"/>
      <c r="AI1495" s="992"/>
      <c r="AK1495" s="992" t="s">
        <v>39</v>
      </c>
      <c r="AL1495" s="992"/>
      <c r="AM1495" s="992"/>
      <c r="AO1495" s="1021"/>
      <c r="AP1495" s="1021"/>
      <c r="AQ1495" s="1021"/>
      <c r="AS1495" s="992" t="s">
        <v>507</v>
      </c>
      <c r="AT1495" s="992"/>
      <c r="AU1495" s="992"/>
      <c r="AV1495" s="187"/>
    </row>
    <row r="1496" spans="2:48" ht="15.75" x14ac:dyDescent="0.2">
      <c r="B1496" s="1011" t="e">
        <f>VLOOKUP(U1496,ID_archer_cible,7,FALSE)</f>
        <v>#N/A</v>
      </c>
      <c r="C1496" s="1012"/>
      <c r="D1496" s="1012"/>
      <c r="E1496" s="1012"/>
      <c r="F1496" s="1013"/>
      <c r="H1496" s="999" t="e">
        <f>VLOOKUP(U1496,ID_archer_cible,9,FALSE)</f>
        <v>#N/A</v>
      </c>
      <c r="I1496" s="1000"/>
      <c r="J1496" s="1000"/>
      <c r="K1496" s="1001"/>
      <c r="M1496" s="999" t="e">
        <f>VLOOKUP(U1496,ID_archer_cible,10,FALSE)</f>
        <v>#N/A</v>
      </c>
      <c r="N1496" s="1000"/>
      <c r="O1496" s="1001"/>
      <c r="Q1496" s="1021"/>
      <c r="R1496" s="1021"/>
      <c r="S1496" s="1021"/>
      <c r="T1496" s="187"/>
      <c r="U1496" s="996" t="str">
        <f>AR1454&amp;"C"</f>
        <v>24C</v>
      </c>
      <c r="V1496" s="997"/>
      <c r="W1496" s="998"/>
      <c r="X1496" s="188"/>
      <c r="Y1496"/>
      <c r="Z1496" s="1011" t="e">
        <f>VLOOKUP(AS1496,ID_archer_cible,7,FALSE)</f>
        <v>#N/A</v>
      </c>
      <c r="AA1496" s="1012"/>
      <c r="AB1496" s="1012"/>
      <c r="AC1496" s="1012"/>
      <c r="AD1496" s="1013"/>
      <c r="AF1496" s="999" t="e">
        <f>VLOOKUP(AS1496,ID_archer_cible,9,FALSE)</f>
        <v>#N/A</v>
      </c>
      <c r="AG1496" s="1000"/>
      <c r="AH1496" s="1000"/>
      <c r="AI1496" s="1001"/>
      <c r="AK1496" s="999" t="e">
        <f>VLOOKUP(AS1496,ID_archer_cible,10,FALSE)</f>
        <v>#N/A</v>
      </c>
      <c r="AL1496" s="1000"/>
      <c r="AM1496" s="1001"/>
      <c r="AO1496" s="1021"/>
      <c r="AP1496" s="1021"/>
      <c r="AQ1496" s="1021"/>
      <c r="AR1496" s="187"/>
      <c r="AS1496" s="996" t="str">
        <f>AR1454&amp;"D"</f>
        <v>24D</v>
      </c>
      <c r="AT1496" s="997"/>
      <c r="AU1496" s="998"/>
      <c r="AV1496" s="187"/>
    </row>
    <row r="1497" spans="2:48" x14ac:dyDescent="0.2">
      <c r="X1497" s="186"/>
    </row>
    <row r="1498" spans="2:48" x14ac:dyDescent="0.2">
      <c r="B1498" s="185" t="s">
        <v>509</v>
      </c>
      <c r="E1498" s="992" t="s">
        <v>510</v>
      </c>
      <c r="F1498" s="992"/>
      <c r="G1498" s="992"/>
      <c r="H1498" s="992"/>
      <c r="I1498" s="992"/>
      <c r="J1498" s="992"/>
      <c r="K1498" s="992"/>
      <c r="L1498" s="992"/>
      <c r="M1498" s="992"/>
      <c r="N1498" s="992"/>
      <c r="P1498" s="992" t="s">
        <v>511</v>
      </c>
      <c r="Q1498" s="992"/>
      <c r="R1498" s="992"/>
      <c r="X1498" s="186"/>
      <c r="Z1498" s="185" t="s">
        <v>509</v>
      </c>
      <c r="AC1498" s="992" t="s">
        <v>510</v>
      </c>
      <c r="AD1498" s="992"/>
      <c r="AE1498" s="992"/>
      <c r="AF1498" s="992"/>
      <c r="AG1498" s="992"/>
      <c r="AH1498" s="992"/>
      <c r="AI1498" s="992"/>
      <c r="AJ1498" s="992"/>
      <c r="AK1498" s="992"/>
      <c r="AL1498" s="992"/>
      <c r="AN1498" s="992" t="s">
        <v>511</v>
      </c>
      <c r="AO1498" s="992"/>
      <c r="AP1498" s="992"/>
    </row>
    <row r="1499" spans="2:48" ht="20.25" customHeight="1" x14ac:dyDescent="0.2">
      <c r="B1499" s="1009" t="s">
        <v>513</v>
      </c>
      <c r="C1499" s="1009"/>
      <c r="E1499" s="189"/>
      <c r="F1499" s="191"/>
      <c r="G1499" s="189"/>
      <c r="H1499" s="191"/>
      <c r="I1499" s="189"/>
      <c r="J1499" s="191"/>
      <c r="K1499" s="189"/>
      <c r="L1499" s="191"/>
      <c r="M1499" s="189"/>
      <c r="N1499" s="191"/>
      <c r="P1499" s="189"/>
      <c r="Q1499" s="190"/>
      <c r="R1499" s="191"/>
      <c r="T1499" s="992" t="s">
        <v>512</v>
      </c>
      <c r="U1499" s="992"/>
      <c r="V1499" s="992"/>
      <c r="W1499" s="992"/>
      <c r="X1499" s="188"/>
      <c r="Z1499" s="1009" t="s">
        <v>513</v>
      </c>
      <c r="AA1499" s="1009"/>
      <c r="AC1499" s="189"/>
      <c r="AD1499" s="191"/>
      <c r="AE1499" s="189"/>
      <c r="AF1499" s="191"/>
      <c r="AG1499" s="189"/>
      <c r="AH1499" s="191"/>
      <c r="AI1499" s="189"/>
      <c r="AJ1499" s="191"/>
      <c r="AK1499" s="189"/>
      <c r="AL1499" s="191"/>
      <c r="AN1499" s="189"/>
      <c r="AO1499" s="190"/>
      <c r="AP1499" s="191"/>
      <c r="AR1499" s="992" t="s">
        <v>512</v>
      </c>
      <c r="AS1499" s="992"/>
      <c r="AT1499" s="992"/>
      <c r="AU1499" s="992"/>
      <c r="AV1499" s="187"/>
    </row>
    <row r="1500" spans="2:48" ht="20.25" customHeight="1" x14ac:dyDescent="0.2">
      <c r="B1500" s="1009" t="s">
        <v>514</v>
      </c>
      <c r="C1500" s="1009"/>
      <c r="E1500" s="189"/>
      <c r="F1500" s="191"/>
      <c r="G1500" s="189"/>
      <c r="H1500" s="191"/>
      <c r="I1500" s="189"/>
      <c r="J1500" s="191"/>
      <c r="K1500" s="189"/>
      <c r="L1500" s="191"/>
      <c r="M1500" s="189"/>
      <c r="N1500" s="191"/>
      <c r="P1500" s="189"/>
      <c r="Q1500" s="190"/>
      <c r="R1500" s="191"/>
      <c r="T1500" s="189"/>
      <c r="U1500" s="190"/>
      <c r="V1500" s="190"/>
      <c r="W1500" s="191"/>
      <c r="X1500" s="186"/>
      <c r="Z1500" s="1009" t="s">
        <v>514</v>
      </c>
      <c r="AA1500" s="1009"/>
      <c r="AC1500" s="189"/>
      <c r="AD1500" s="191"/>
      <c r="AE1500" s="189"/>
      <c r="AF1500" s="191"/>
      <c r="AG1500" s="189"/>
      <c r="AH1500" s="191"/>
      <c r="AI1500" s="189"/>
      <c r="AJ1500" s="191"/>
      <c r="AK1500" s="189"/>
      <c r="AL1500" s="191"/>
      <c r="AN1500" s="189"/>
      <c r="AO1500" s="190"/>
      <c r="AP1500" s="191"/>
      <c r="AR1500" s="189"/>
      <c r="AS1500" s="190"/>
      <c r="AT1500" s="190"/>
      <c r="AU1500" s="191"/>
    </row>
    <row r="1501" spans="2:48" ht="20.25" customHeight="1" x14ac:dyDescent="0.2">
      <c r="B1501" s="1009" t="s">
        <v>515</v>
      </c>
      <c r="C1501" s="1009"/>
      <c r="E1501" s="189"/>
      <c r="F1501" s="191"/>
      <c r="G1501" s="189"/>
      <c r="H1501" s="191"/>
      <c r="I1501" s="189"/>
      <c r="J1501" s="191"/>
      <c r="K1501" s="189"/>
      <c r="L1501" s="191"/>
      <c r="M1501" s="189"/>
      <c r="N1501" s="191"/>
      <c r="P1501" s="189"/>
      <c r="Q1501" s="190"/>
      <c r="R1501" s="191"/>
      <c r="T1501" s="189"/>
      <c r="U1501" s="190"/>
      <c r="V1501" s="190"/>
      <c r="W1501" s="191"/>
      <c r="X1501" s="186"/>
      <c r="Z1501" s="1009" t="s">
        <v>515</v>
      </c>
      <c r="AA1501" s="1009"/>
      <c r="AC1501" s="189"/>
      <c r="AD1501" s="191"/>
      <c r="AE1501" s="189"/>
      <c r="AF1501" s="191"/>
      <c r="AG1501" s="189"/>
      <c r="AH1501" s="191"/>
      <c r="AI1501" s="189"/>
      <c r="AJ1501" s="191"/>
      <c r="AK1501" s="189"/>
      <c r="AL1501" s="191"/>
      <c r="AN1501" s="189"/>
      <c r="AO1501" s="190"/>
      <c r="AP1501" s="191"/>
      <c r="AR1501" s="189"/>
      <c r="AS1501" s="190"/>
      <c r="AT1501" s="190"/>
      <c r="AU1501" s="191"/>
    </row>
    <row r="1502" spans="2:48" ht="20.25" customHeight="1" x14ac:dyDescent="0.2">
      <c r="B1502" s="1009" t="s">
        <v>516</v>
      </c>
      <c r="C1502" s="1009"/>
      <c r="E1502" s="189"/>
      <c r="F1502" s="191"/>
      <c r="G1502" s="189"/>
      <c r="H1502" s="191"/>
      <c r="I1502" s="189"/>
      <c r="J1502" s="191"/>
      <c r="K1502" s="189"/>
      <c r="L1502" s="191"/>
      <c r="M1502" s="189"/>
      <c r="N1502" s="191"/>
      <c r="P1502" s="189"/>
      <c r="Q1502" s="190"/>
      <c r="R1502" s="191"/>
      <c r="T1502" s="189"/>
      <c r="U1502" s="190"/>
      <c r="V1502" s="190"/>
      <c r="W1502" s="191"/>
      <c r="X1502" s="186"/>
      <c r="Z1502" s="1009" t="s">
        <v>516</v>
      </c>
      <c r="AA1502" s="1009"/>
      <c r="AC1502" s="189"/>
      <c r="AD1502" s="191"/>
      <c r="AE1502" s="189"/>
      <c r="AF1502" s="191"/>
      <c r="AG1502" s="189"/>
      <c r="AH1502" s="191"/>
      <c r="AI1502" s="189"/>
      <c r="AJ1502" s="191"/>
      <c r="AK1502" s="189"/>
      <c r="AL1502" s="191"/>
      <c r="AN1502" s="189"/>
      <c r="AO1502" s="190"/>
      <c r="AP1502" s="191"/>
      <c r="AR1502" s="189"/>
      <c r="AS1502" s="190"/>
      <c r="AT1502" s="190"/>
      <c r="AU1502" s="191"/>
    </row>
    <row r="1503" spans="2:48" ht="20.25" customHeight="1" x14ac:dyDescent="0.2">
      <c r="B1503" s="1009" t="s">
        <v>517</v>
      </c>
      <c r="C1503" s="1009"/>
      <c r="E1503" s="189"/>
      <c r="F1503" s="191"/>
      <c r="G1503" s="189"/>
      <c r="H1503" s="191"/>
      <c r="I1503" s="189"/>
      <c r="J1503" s="191"/>
      <c r="K1503" s="189"/>
      <c r="L1503" s="191"/>
      <c r="M1503" s="189"/>
      <c r="N1503" s="191"/>
      <c r="P1503" s="189"/>
      <c r="Q1503" s="190"/>
      <c r="R1503" s="191"/>
      <c r="T1503" s="189"/>
      <c r="U1503" s="190"/>
      <c r="V1503" s="190"/>
      <c r="W1503" s="191"/>
      <c r="X1503" s="186"/>
      <c r="Z1503" s="1009" t="s">
        <v>517</v>
      </c>
      <c r="AA1503" s="1009"/>
      <c r="AC1503" s="189"/>
      <c r="AD1503" s="191"/>
      <c r="AE1503" s="189"/>
      <c r="AF1503" s="191"/>
      <c r="AG1503" s="189"/>
      <c r="AH1503" s="191"/>
      <c r="AI1503" s="189"/>
      <c r="AJ1503" s="191"/>
      <c r="AK1503" s="189"/>
      <c r="AL1503" s="191"/>
      <c r="AN1503" s="189"/>
      <c r="AO1503" s="190"/>
      <c r="AP1503" s="191"/>
      <c r="AR1503" s="189"/>
      <c r="AS1503" s="190"/>
      <c r="AT1503" s="190"/>
      <c r="AU1503" s="191"/>
    </row>
    <row r="1504" spans="2:48" ht="20.25" customHeight="1" x14ac:dyDescent="0.2">
      <c r="B1504" s="1009" t="s">
        <v>518</v>
      </c>
      <c r="C1504" s="1009"/>
      <c r="E1504" s="189"/>
      <c r="F1504" s="191"/>
      <c r="G1504" s="189"/>
      <c r="H1504" s="191"/>
      <c r="I1504" s="189"/>
      <c r="J1504" s="191"/>
      <c r="K1504" s="189"/>
      <c r="L1504" s="191"/>
      <c r="M1504" s="189"/>
      <c r="N1504" s="191"/>
      <c r="P1504" s="189"/>
      <c r="Q1504" s="190"/>
      <c r="R1504" s="191"/>
      <c r="T1504" s="189"/>
      <c r="U1504" s="190"/>
      <c r="V1504" s="190"/>
      <c r="W1504" s="191"/>
      <c r="X1504" s="186"/>
      <c r="Z1504" s="1009" t="s">
        <v>518</v>
      </c>
      <c r="AA1504" s="1009"/>
      <c r="AC1504" s="189"/>
      <c r="AD1504" s="191"/>
      <c r="AE1504" s="189"/>
      <c r="AF1504" s="191"/>
      <c r="AG1504" s="189"/>
      <c r="AH1504" s="191"/>
      <c r="AI1504" s="189"/>
      <c r="AJ1504" s="191"/>
      <c r="AK1504" s="189"/>
      <c r="AL1504" s="191"/>
      <c r="AN1504" s="189"/>
      <c r="AO1504" s="190"/>
      <c r="AP1504" s="191"/>
      <c r="AR1504" s="189"/>
      <c r="AS1504" s="190"/>
      <c r="AT1504" s="190"/>
      <c r="AU1504" s="191"/>
    </row>
    <row r="1505" spans="2:48" ht="15.75" thickBot="1" x14ac:dyDescent="0.25">
      <c r="B1505" s="187"/>
      <c r="C1505" s="187"/>
      <c r="X1505" s="186"/>
      <c r="Z1505" s="187"/>
      <c r="AA1505" s="187"/>
    </row>
    <row r="1506" spans="2:48" ht="20.25" customHeight="1" thickBot="1" x14ac:dyDescent="0.25">
      <c r="P1506" s="197" t="s">
        <v>519</v>
      </c>
      <c r="Q1506" s="197"/>
      <c r="R1506" s="197"/>
      <c r="S1506" s="197"/>
      <c r="T1506" s="192"/>
      <c r="U1506" s="193"/>
      <c r="V1506" s="193"/>
      <c r="W1506" s="194"/>
      <c r="X1506" s="186"/>
      <c r="AN1506" s="197" t="s">
        <v>519</v>
      </c>
      <c r="AO1506" s="197"/>
      <c r="AP1506" s="197"/>
      <c r="AQ1506" s="197"/>
      <c r="AR1506" s="192"/>
      <c r="AS1506" s="193"/>
      <c r="AT1506" s="193"/>
      <c r="AU1506" s="194"/>
    </row>
    <row r="1507" spans="2:48" x14ac:dyDescent="0.2">
      <c r="E1507" s="196"/>
      <c r="F1507" s="196"/>
      <c r="G1507" s="196"/>
      <c r="H1507" s="196"/>
      <c r="I1507" s="196"/>
      <c r="J1507" s="196"/>
      <c r="K1507" s="196"/>
      <c r="L1507" s="196"/>
      <c r="M1507" s="196"/>
      <c r="X1507" s="186"/>
      <c r="AC1507" s="196"/>
      <c r="AD1507" s="196"/>
      <c r="AE1507" s="196"/>
      <c r="AF1507" s="196"/>
      <c r="AG1507" s="196"/>
      <c r="AH1507" s="196"/>
      <c r="AI1507" s="196"/>
      <c r="AJ1507" s="196"/>
      <c r="AK1507" s="196"/>
    </row>
    <row r="1508" spans="2:48" x14ac:dyDescent="0.2">
      <c r="B1508" s="1010" t="s">
        <v>521</v>
      </c>
      <c r="C1508" s="1010"/>
      <c r="D1508" s="1010"/>
      <c r="E1508" s="1010"/>
      <c r="F1508" s="1010"/>
      <c r="G1508" s="1010"/>
      <c r="H1508" s="195"/>
      <c r="I1508" s="1004" t="s">
        <v>522</v>
      </c>
      <c r="J1508" s="1004"/>
      <c r="K1508" s="1004"/>
      <c r="L1508" s="1004"/>
      <c r="M1508" s="1004"/>
      <c r="N1508" s="1004"/>
      <c r="O1508" s="1004"/>
      <c r="P1508" s="1004"/>
      <c r="Q1508" s="1004"/>
      <c r="R1508" s="1004"/>
      <c r="S1508" s="1004"/>
      <c r="T1508" s="1004"/>
      <c r="U1508" s="1004"/>
      <c r="V1508" s="1004"/>
      <c r="W1508" s="1004"/>
      <c r="X1508" s="198"/>
      <c r="Y1508" s="195"/>
      <c r="Z1508" s="1010" t="s">
        <v>521</v>
      </c>
      <c r="AA1508" s="1010"/>
      <c r="AB1508" s="1010"/>
      <c r="AC1508" s="1010"/>
      <c r="AD1508" s="1010"/>
      <c r="AE1508" s="1010"/>
      <c r="AF1508" s="195"/>
      <c r="AG1508" s="1004" t="s">
        <v>522</v>
      </c>
      <c r="AH1508" s="1004"/>
      <c r="AI1508" s="1004"/>
      <c r="AJ1508" s="1004"/>
      <c r="AK1508" s="1004"/>
      <c r="AL1508" s="1004"/>
      <c r="AM1508" s="1004"/>
      <c r="AN1508" s="1004"/>
      <c r="AO1508" s="1004"/>
      <c r="AP1508" s="1004"/>
      <c r="AQ1508" s="1004"/>
      <c r="AR1508" s="1004"/>
      <c r="AS1508" s="1004"/>
      <c r="AT1508" s="1004"/>
      <c r="AU1508" s="1004"/>
      <c r="AV1508" s="195"/>
    </row>
    <row r="1509" spans="2:48" x14ac:dyDescent="0.2">
      <c r="B1509" s="1005" t="s">
        <v>520</v>
      </c>
      <c r="C1509" s="1006"/>
      <c r="D1509" s="1006"/>
      <c r="E1509" s="1006"/>
      <c r="F1509" s="1006"/>
      <c r="G1509" s="1007"/>
      <c r="I1509" s="1005" t="s">
        <v>0</v>
      </c>
      <c r="J1509" s="1006"/>
      <c r="K1509" s="1006"/>
      <c r="L1509" s="1006"/>
      <c r="M1509" s="1006"/>
      <c r="N1509" s="1006"/>
      <c r="O1509" s="1006"/>
      <c r="P1509" s="1006"/>
      <c r="Q1509" s="1006"/>
      <c r="R1509" s="1006"/>
      <c r="S1509" s="1006"/>
      <c r="T1509" s="1006"/>
      <c r="U1509" s="1006"/>
      <c r="V1509" s="1006"/>
      <c r="W1509" s="1007"/>
      <c r="X1509" s="186"/>
      <c r="Z1509" s="1005" t="s">
        <v>520</v>
      </c>
      <c r="AA1509" s="1006"/>
      <c r="AB1509" s="1006"/>
      <c r="AC1509" s="1006"/>
      <c r="AD1509" s="1006"/>
      <c r="AE1509" s="1007"/>
      <c r="AG1509" s="1005" t="s">
        <v>0</v>
      </c>
      <c r="AH1509" s="1006"/>
      <c r="AI1509" s="1006"/>
      <c r="AJ1509" s="1006"/>
      <c r="AK1509" s="1006"/>
      <c r="AL1509" s="1006"/>
      <c r="AM1509" s="1006"/>
      <c r="AN1509" s="1006"/>
      <c r="AO1509" s="1006"/>
      <c r="AP1509" s="1006"/>
      <c r="AQ1509" s="1006"/>
      <c r="AR1509" s="1006"/>
      <c r="AS1509" s="1006"/>
      <c r="AT1509" s="1006"/>
      <c r="AU1509" s="1007"/>
    </row>
    <row r="1510" spans="2:48" x14ac:dyDescent="0.2">
      <c r="B1510" s="199"/>
      <c r="C1510" s="200"/>
      <c r="D1510" s="200"/>
      <c r="E1510" s="200"/>
      <c r="F1510" s="200"/>
      <c r="G1510" s="201"/>
      <c r="I1510" s="199"/>
      <c r="J1510" s="200"/>
      <c r="K1510" s="200"/>
      <c r="L1510" s="200"/>
      <c r="M1510" s="200"/>
      <c r="N1510" s="200"/>
      <c r="O1510" s="200"/>
      <c r="P1510" s="200"/>
      <c r="Q1510" s="200"/>
      <c r="R1510" s="200"/>
      <c r="S1510" s="200"/>
      <c r="T1510" s="200"/>
      <c r="U1510" s="200"/>
      <c r="V1510" s="200"/>
      <c r="W1510" s="201"/>
      <c r="X1510" s="186"/>
      <c r="Z1510" s="199"/>
      <c r="AA1510" s="200"/>
      <c r="AB1510" s="200"/>
      <c r="AC1510" s="200"/>
      <c r="AD1510" s="200"/>
      <c r="AE1510" s="201"/>
      <c r="AG1510" s="199"/>
      <c r="AH1510" s="200"/>
      <c r="AI1510" s="200"/>
      <c r="AJ1510" s="200"/>
      <c r="AK1510" s="200"/>
      <c r="AL1510" s="200"/>
      <c r="AM1510" s="200"/>
      <c r="AN1510" s="200"/>
      <c r="AO1510" s="200"/>
      <c r="AP1510" s="200"/>
      <c r="AQ1510" s="200"/>
      <c r="AR1510" s="200"/>
      <c r="AS1510" s="200"/>
      <c r="AT1510" s="200"/>
      <c r="AU1510" s="201"/>
    </row>
    <row r="1511" spans="2:48" x14ac:dyDescent="0.2">
      <c r="X1511" s="186"/>
    </row>
    <row r="1512" spans="2:48" x14ac:dyDescent="0.2">
      <c r="I1512" s="1005" t="s">
        <v>481</v>
      </c>
      <c r="J1512" s="1006"/>
      <c r="K1512" s="1006"/>
      <c r="L1512" s="1006"/>
      <c r="M1512" s="1006"/>
      <c r="N1512" s="1006"/>
      <c r="O1512" s="1006"/>
      <c r="P1512" s="1006"/>
      <c r="Q1512" s="1007"/>
      <c r="R1512" s="1005" t="s">
        <v>520</v>
      </c>
      <c r="S1512" s="1006"/>
      <c r="T1512" s="1006"/>
      <c r="U1512" s="1006"/>
      <c r="V1512" s="1006"/>
      <c r="W1512" s="1007"/>
      <c r="X1512" s="186"/>
      <c r="AG1512" s="1005" t="s">
        <v>481</v>
      </c>
      <c r="AH1512" s="1006"/>
      <c r="AI1512" s="1006"/>
      <c r="AJ1512" s="1006"/>
      <c r="AK1512" s="1006"/>
      <c r="AL1512" s="1006"/>
      <c r="AM1512" s="1006"/>
      <c r="AN1512" s="1006"/>
      <c r="AO1512" s="1007"/>
      <c r="AP1512" s="1005" t="s">
        <v>520</v>
      </c>
      <c r="AQ1512" s="1006"/>
      <c r="AR1512" s="1006"/>
      <c r="AS1512" s="1006"/>
      <c r="AT1512" s="1006"/>
      <c r="AU1512" s="1007"/>
    </row>
    <row r="1513" spans="2:48" x14ac:dyDescent="0.2">
      <c r="I1513" s="199"/>
      <c r="J1513" s="200"/>
      <c r="K1513" s="200"/>
      <c r="L1513" s="200"/>
      <c r="M1513" s="200"/>
      <c r="N1513" s="200"/>
      <c r="O1513" s="200"/>
      <c r="P1513" s="200"/>
      <c r="Q1513" s="200"/>
      <c r="R1513" s="199"/>
      <c r="S1513" s="200"/>
      <c r="T1513" s="200"/>
      <c r="U1513" s="200"/>
      <c r="V1513" s="200"/>
      <c r="W1513" s="201"/>
      <c r="X1513" s="186"/>
      <c r="AG1513" s="199"/>
      <c r="AH1513" s="200"/>
      <c r="AI1513" s="200"/>
      <c r="AJ1513" s="200"/>
      <c r="AK1513" s="200"/>
      <c r="AL1513" s="200"/>
      <c r="AM1513" s="200"/>
      <c r="AN1513" s="200"/>
      <c r="AO1513" s="200"/>
      <c r="AP1513" s="199"/>
      <c r="AQ1513" s="200"/>
      <c r="AR1513" s="200"/>
      <c r="AS1513" s="200"/>
      <c r="AT1513" s="200"/>
      <c r="AU1513" s="201"/>
    </row>
  </sheetData>
  <sheetProtection selectLockedCells="1"/>
  <mergeCells count="3648">
    <mergeCell ref="B1508:G1508"/>
    <mergeCell ref="I1508:W1508"/>
    <mergeCell ref="Z1508:AE1508"/>
    <mergeCell ref="AG1508:AU1508"/>
    <mergeCell ref="B1509:G1509"/>
    <mergeCell ref="I1509:W1509"/>
    <mergeCell ref="Z1509:AE1509"/>
    <mergeCell ref="AG1509:AU1509"/>
    <mergeCell ref="I1512:Q1512"/>
    <mergeCell ref="R1512:W1512"/>
    <mergeCell ref="AG1512:AO1512"/>
    <mergeCell ref="AP1512:AU1512"/>
    <mergeCell ref="E1498:N1498"/>
    <mergeCell ref="P1498:R1498"/>
    <mergeCell ref="AC1498:AL1498"/>
    <mergeCell ref="AN1498:AP1498"/>
    <mergeCell ref="B1499:C1499"/>
    <mergeCell ref="T1499:W1499"/>
    <mergeCell ref="Z1499:AA1499"/>
    <mergeCell ref="AR1499:AU1499"/>
    <mergeCell ref="B1500:C1500"/>
    <mergeCell ref="Z1500:AA1500"/>
    <mergeCell ref="B1501:C1501"/>
    <mergeCell ref="Z1501:AA1501"/>
    <mergeCell ref="B1502:C1502"/>
    <mergeCell ref="Z1502:AA1502"/>
    <mergeCell ref="B1503:C1503"/>
    <mergeCell ref="Z1503:AA1503"/>
    <mergeCell ref="B1504:C1504"/>
    <mergeCell ref="Z1504:AA1504"/>
    <mergeCell ref="B1493:J1493"/>
    <mergeCell ref="L1493:Q1493"/>
    <mergeCell ref="S1493:W1493"/>
    <mergeCell ref="Z1493:AH1493"/>
    <mergeCell ref="AJ1493:AO1493"/>
    <mergeCell ref="AQ1493:AU1493"/>
    <mergeCell ref="B1495:F1495"/>
    <mergeCell ref="H1495:K1495"/>
    <mergeCell ref="M1495:O1495"/>
    <mergeCell ref="Q1495:S1495"/>
    <mergeCell ref="U1495:W1495"/>
    <mergeCell ref="Z1495:AD1495"/>
    <mergeCell ref="AF1495:AI1495"/>
    <mergeCell ref="AK1495:AM1495"/>
    <mergeCell ref="AO1495:AQ1495"/>
    <mergeCell ref="AS1495:AU1495"/>
    <mergeCell ref="B1496:F1496"/>
    <mergeCell ref="H1496:K1496"/>
    <mergeCell ref="M1496:O1496"/>
    <mergeCell ref="Q1496:S1496"/>
    <mergeCell ref="U1496:W1496"/>
    <mergeCell ref="Z1496:AD1496"/>
    <mergeCell ref="AF1496:AI1496"/>
    <mergeCell ref="AK1496:AM1496"/>
    <mergeCell ref="AO1496:AQ1496"/>
    <mergeCell ref="AS1496:AU1496"/>
    <mergeCell ref="I1482:Q1482"/>
    <mergeCell ref="R1482:W1482"/>
    <mergeCell ref="AG1482:AO1482"/>
    <mergeCell ref="AP1482:AU1482"/>
    <mergeCell ref="H1486:Q1486"/>
    <mergeCell ref="AE1486:AN1486"/>
    <mergeCell ref="H1487:Q1487"/>
    <mergeCell ref="AE1487:AN1487"/>
    <mergeCell ref="B1489:L1489"/>
    <mergeCell ref="P1489:W1489"/>
    <mergeCell ref="Z1489:AJ1489"/>
    <mergeCell ref="AN1489:AU1489"/>
    <mergeCell ref="B1490:M1490"/>
    <mergeCell ref="P1490:W1490"/>
    <mergeCell ref="Z1490:AK1490"/>
    <mergeCell ref="AN1490:AU1490"/>
    <mergeCell ref="B1492:J1492"/>
    <mergeCell ref="L1492:Q1492"/>
    <mergeCell ref="S1492:W1492"/>
    <mergeCell ref="Z1492:AH1492"/>
    <mergeCell ref="AJ1492:AO1492"/>
    <mergeCell ref="AQ1492:AU1492"/>
    <mergeCell ref="B1470:C1470"/>
    <mergeCell ref="Z1470:AA1470"/>
    <mergeCell ref="B1471:C1471"/>
    <mergeCell ref="Z1471:AA1471"/>
    <mergeCell ref="B1472:C1472"/>
    <mergeCell ref="Z1472:AA1472"/>
    <mergeCell ref="B1473:C1473"/>
    <mergeCell ref="Z1473:AA1473"/>
    <mergeCell ref="B1474:C1474"/>
    <mergeCell ref="Z1474:AA1474"/>
    <mergeCell ref="B1478:G1478"/>
    <mergeCell ref="I1478:W1478"/>
    <mergeCell ref="Z1478:AE1478"/>
    <mergeCell ref="AG1478:AU1478"/>
    <mergeCell ref="B1479:G1479"/>
    <mergeCell ref="I1479:W1479"/>
    <mergeCell ref="Z1479:AE1479"/>
    <mergeCell ref="AG1479:AU1479"/>
    <mergeCell ref="B1466:F1466"/>
    <mergeCell ref="H1466:K1466"/>
    <mergeCell ref="M1466:O1466"/>
    <mergeCell ref="Q1466:S1466"/>
    <mergeCell ref="U1466:W1466"/>
    <mergeCell ref="Z1466:AD1466"/>
    <mergeCell ref="AF1466:AI1466"/>
    <mergeCell ref="AK1466:AM1466"/>
    <mergeCell ref="AO1466:AQ1466"/>
    <mergeCell ref="AS1466:AU1466"/>
    <mergeCell ref="E1468:N1468"/>
    <mergeCell ref="P1468:R1468"/>
    <mergeCell ref="AC1468:AL1468"/>
    <mergeCell ref="AN1468:AP1468"/>
    <mergeCell ref="B1469:C1469"/>
    <mergeCell ref="T1469:W1469"/>
    <mergeCell ref="Z1469:AA1469"/>
    <mergeCell ref="AR1469:AU1469"/>
    <mergeCell ref="B1462:J1462"/>
    <mergeCell ref="L1462:Q1462"/>
    <mergeCell ref="S1462:W1462"/>
    <mergeCell ref="Z1462:AH1462"/>
    <mergeCell ref="AJ1462:AO1462"/>
    <mergeCell ref="AQ1462:AU1462"/>
    <mergeCell ref="B1463:J1463"/>
    <mergeCell ref="L1463:Q1463"/>
    <mergeCell ref="S1463:W1463"/>
    <mergeCell ref="Z1463:AH1463"/>
    <mergeCell ref="AJ1463:AO1463"/>
    <mergeCell ref="AQ1463:AU1463"/>
    <mergeCell ref="B1465:F1465"/>
    <mergeCell ref="H1465:K1465"/>
    <mergeCell ref="M1465:O1465"/>
    <mergeCell ref="Q1465:S1465"/>
    <mergeCell ref="U1465:W1465"/>
    <mergeCell ref="Z1465:AD1465"/>
    <mergeCell ref="AF1465:AI1465"/>
    <mergeCell ref="AK1465:AM1465"/>
    <mergeCell ref="AO1465:AQ1465"/>
    <mergeCell ref="AS1465:AU1465"/>
    <mergeCell ref="I1448:Q1448"/>
    <mergeCell ref="R1448:W1448"/>
    <mergeCell ref="AG1448:AO1448"/>
    <mergeCell ref="AP1448:AU1448"/>
    <mergeCell ref="B1452:AP1452"/>
    <mergeCell ref="B1453:AP1453"/>
    <mergeCell ref="B1454:AP1454"/>
    <mergeCell ref="AR1454:AT1456"/>
    <mergeCell ref="H1456:Q1456"/>
    <mergeCell ref="AE1456:AN1456"/>
    <mergeCell ref="H1457:Q1457"/>
    <mergeCell ref="AE1457:AN1457"/>
    <mergeCell ref="B1459:L1459"/>
    <mergeCell ref="P1459:W1459"/>
    <mergeCell ref="Z1459:AJ1459"/>
    <mergeCell ref="AN1459:AU1459"/>
    <mergeCell ref="B1460:M1460"/>
    <mergeCell ref="P1460:W1460"/>
    <mergeCell ref="Z1460:AK1460"/>
    <mergeCell ref="AN1460:AU1460"/>
    <mergeCell ref="B1436:C1436"/>
    <mergeCell ref="Z1436:AA1436"/>
    <mergeCell ref="B1437:C1437"/>
    <mergeCell ref="Z1437:AA1437"/>
    <mergeCell ref="B1438:C1438"/>
    <mergeCell ref="Z1438:AA1438"/>
    <mergeCell ref="B1439:C1439"/>
    <mergeCell ref="Z1439:AA1439"/>
    <mergeCell ref="B1440:C1440"/>
    <mergeCell ref="Z1440:AA1440"/>
    <mergeCell ref="B1444:G1444"/>
    <mergeCell ref="I1444:W1444"/>
    <mergeCell ref="Z1444:AE1444"/>
    <mergeCell ref="AG1444:AU1444"/>
    <mergeCell ref="B1445:G1445"/>
    <mergeCell ref="I1445:W1445"/>
    <mergeCell ref="Z1445:AE1445"/>
    <mergeCell ref="AG1445:AU1445"/>
    <mergeCell ref="B1432:F1432"/>
    <mergeCell ref="H1432:K1432"/>
    <mergeCell ref="M1432:O1432"/>
    <mergeCell ref="Q1432:S1432"/>
    <mergeCell ref="U1432:W1432"/>
    <mergeCell ref="Z1432:AD1432"/>
    <mergeCell ref="AF1432:AI1432"/>
    <mergeCell ref="AK1432:AM1432"/>
    <mergeCell ref="AO1432:AQ1432"/>
    <mergeCell ref="AS1432:AU1432"/>
    <mergeCell ref="E1434:N1434"/>
    <mergeCell ref="P1434:R1434"/>
    <mergeCell ref="AC1434:AL1434"/>
    <mergeCell ref="AN1434:AP1434"/>
    <mergeCell ref="B1435:C1435"/>
    <mergeCell ref="T1435:W1435"/>
    <mergeCell ref="Z1435:AA1435"/>
    <mergeCell ref="AR1435:AU1435"/>
    <mergeCell ref="B1426:M1426"/>
    <mergeCell ref="P1426:W1426"/>
    <mergeCell ref="Z1426:AK1426"/>
    <mergeCell ref="AN1426:AU1426"/>
    <mergeCell ref="B1428:J1428"/>
    <mergeCell ref="L1428:Q1428"/>
    <mergeCell ref="S1428:W1428"/>
    <mergeCell ref="Z1428:AH1428"/>
    <mergeCell ref="AJ1428:AO1428"/>
    <mergeCell ref="AQ1428:AU1428"/>
    <mergeCell ref="B1429:J1429"/>
    <mergeCell ref="L1429:Q1429"/>
    <mergeCell ref="S1429:W1429"/>
    <mergeCell ref="Z1429:AH1429"/>
    <mergeCell ref="AJ1429:AO1429"/>
    <mergeCell ref="AQ1429:AU1429"/>
    <mergeCell ref="B1431:F1431"/>
    <mergeCell ref="H1431:K1431"/>
    <mergeCell ref="M1431:O1431"/>
    <mergeCell ref="Q1431:S1431"/>
    <mergeCell ref="U1431:W1431"/>
    <mergeCell ref="Z1431:AD1431"/>
    <mergeCell ref="AF1431:AI1431"/>
    <mergeCell ref="AK1431:AM1431"/>
    <mergeCell ref="AO1431:AQ1431"/>
    <mergeCell ref="AS1431:AU1431"/>
    <mergeCell ref="B1414:G1414"/>
    <mergeCell ref="I1414:W1414"/>
    <mergeCell ref="Z1414:AE1414"/>
    <mergeCell ref="AG1414:AU1414"/>
    <mergeCell ref="B1415:G1415"/>
    <mergeCell ref="I1415:W1415"/>
    <mergeCell ref="Z1415:AE1415"/>
    <mergeCell ref="AG1415:AU1415"/>
    <mergeCell ref="I1418:Q1418"/>
    <mergeCell ref="R1418:W1418"/>
    <mergeCell ref="AG1418:AO1418"/>
    <mergeCell ref="AP1418:AU1418"/>
    <mergeCell ref="H1422:Q1422"/>
    <mergeCell ref="AE1422:AN1422"/>
    <mergeCell ref="H1423:Q1423"/>
    <mergeCell ref="AE1423:AN1423"/>
    <mergeCell ref="B1425:L1425"/>
    <mergeCell ref="P1425:W1425"/>
    <mergeCell ref="Z1425:AJ1425"/>
    <mergeCell ref="AN1425:AU1425"/>
    <mergeCell ref="E1404:N1404"/>
    <mergeCell ref="P1404:R1404"/>
    <mergeCell ref="AC1404:AL1404"/>
    <mergeCell ref="AN1404:AP1404"/>
    <mergeCell ref="B1405:C1405"/>
    <mergeCell ref="T1405:W1405"/>
    <mergeCell ref="Z1405:AA1405"/>
    <mergeCell ref="AR1405:AU1405"/>
    <mergeCell ref="B1406:C1406"/>
    <mergeCell ref="Z1406:AA1406"/>
    <mergeCell ref="B1407:C1407"/>
    <mergeCell ref="Z1407:AA1407"/>
    <mergeCell ref="B1408:C1408"/>
    <mergeCell ref="Z1408:AA1408"/>
    <mergeCell ref="B1409:C1409"/>
    <mergeCell ref="Z1409:AA1409"/>
    <mergeCell ref="B1410:C1410"/>
    <mergeCell ref="Z1410:AA1410"/>
    <mergeCell ref="B1399:J1399"/>
    <mergeCell ref="L1399:Q1399"/>
    <mergeCell ref="S1399:W1399"/>
    <mergeCell ref="Z1399:AH1399"/>
    <mergeCell ref="AJ1399:AO1399"/>
    <mergeCell ref="AQ1399:AU1399"/>
    <mergeCell ref="B1401:F1401"/>
    <mergeCell ref="H1401:K1401"/>
    <mergeCell ref="M1401:O1401"/>
    <mergeCell ref="Q1401:S1401"/>
    <mergeCell ref="U1401:W1401"/>
    <mergeCell ref="Z1401:AD1401"/>
    <mergeCell ref="AF1401:AI1401"/>
    <mergeCell ref="AK1401:AM1401"/>
    <mergeCell ref="AO1401:AQ1401"/>
    <mergeCell ref="AS1401:AU1401"/>
    <mergeCell ref="B1402:F1402"/>
    <mergeCell ref="H1402:K1402"/>
    <mergeCell ref="M1402:O1402"/>
    <mergeCell ref="Q1402:S1402"/>
    <mergeCell ref="U1402:W1402"/>
    <mergeCell ref="Z1402:AD1402"/>
    <mergeCell ref="AF1402:AI1402"/>
    <mergeCell ref="AK1402:AM1402"/>
    <mergeCell ref="AO1402:AQ1402"/>
    <mergeCell ref="AS1402:AU1402"/>
    <mergeCell ref="B1388:AP1388"/>
    <mergeCell ref="B1389:AP1389"/>
    <mergeCell ref="B1390:AP1390"/>
    <mergeCell ref="AR1390:AT1392"/>
    <mergeCell ref="H1392:Q1392"/>
    <mergeCell ref="AE1392:AN1392"/>
    <mergeCell ref="H1393:Q1393"/>
    <mergeCell ref="AE1393:AN1393"/>
    <mergeCell ref="B1395:L1395"/>
    <mergeCell ref="P1395:W1395"/>
    <mergeCell ref="Z1395:AJ1395"/>
    <mergeCell ref="AN1395:AU1395"/>
    <mergeCell ref="B1396:M1396"/>
    <mergeCell ref="P1396:W1396"/>
    <mergeCell ref="Z1396:AK1396"/>
    <mergeCell ref="AN1396:AU1396"/>
    <mergeCell ref="B1398:J1398"/>
    <mergeCell ref="L1398:Q1398"/>
    <mergeCell ref="S1398:W1398"/>
    <mergeCell ref="Z1398:AH1398"/>
    <mergeCell ref="AJ1398:AO1398"/>
    <mergeCell ref="AQ1398:AU1398"/>
    <mergeCell ref="U15:W15"/>
    <mergeCell ref="Z15:AD15"/>
    <mergeCell ref="AF15:AI15"/>
    <mergeCell ref="AK15:AM15"/>
    <mergeCell ref="AO15:AQ15"/>
    <mergeCell ref="AS15:AU15"/>
    <mergeCell ref="H5:Q5"/>
    <mergeCell ref="AE5:AN5"/>
    <mergeCell ref="H6:Q6"/>
    <mergeCell ref="AE6:AN6"/>
    <mergeCell ref="B8:L8"/>
    <mergeCell ref="P8:W8"/>
    <mergeCell ref="Z8:AJ8"/>
    <mergeCell ref="AN8:AU8"/>
    <mergeCell ref="B9:M9"/>
    <mergeCell ref="P9:W9"/>
    <mergeCell ref="Z9:AK9"/>
    <mergeCell ref="AN9:AU9"/>
    <mergeCell ref="B11:J11"/>
    <mergeCell ref="L11:Q11"/>
    <mergeCell ref="S11:W11"/>
    <mergeCell ref="Z11:AH11"/>
    <mergeCell ref="AJ11:AO11"/>
    <mergeCell ref="AQ11:AU11"/>
    <mergeCell ref="B21:C21"/>
    <mergeCell ref="Z21:AA21"/>
    <mergeCell ref="B22:C22"/>
    <mergeCell ref="Z22:AA22"/>
    <mergeCell ref="AG31:AO31"/>
    <mergeCell ref="AP31:AU31"/>
    <mergeCell ref="B23:C23"/>
    <mergeCell ref="Z23:AA23"/>
    <mergeCell ref="B27:G27"/>
    <mergeCell ref="I27:W27"/>
    <mergeCell ref="Z27:AE27"/>
    <mergeCell ref="AG27:AU27"/>
    <mergeCell ref="B12:J12"/>
    <mergeCell ref="L12:Q12"/>
    <mergeCell ref="S12:W12"/>
    <mergeCell ref="Z12:AH12"/>
    <mergeCell ref="AJ12:AO12"/>
    <mergeCell ref="AQ12:AU12"/>
    <mergeCell ref="B14:F14"/>
    <mergeCell ref="H14:K14"/>
    <mergeCell ref="M14:O14"/>
    <mergeCell ref="Q14:S14"/>
    <mergeCell ref="U14:W14"/>
    <mergeCell ref="Z14:AD14"/>
    <mergeCell ref="AF14:AI14"/>
    <mergeCell ref="AK14:AM14"/>
    <mergeCell ref="AO14:AQ14"/>
    <mergeCell ref="AS14:AU14"/>
    <mergeCell ref="B15:F15"/>
    <mergeCell ref="H15:K15"/>
    <mergeCell ref="M15:O15"/>
    <mergeCell ref="Q15:S15"/>
    <mergeCell ref="B111:C111"/>
    <mergeCell ref="T111:W111"/>
    <mergeCell ref="Z111:AA111"/>
    <mergeCell ref="AR111:AU111"/>
    <mergeCell ref="B112:C112"/>
    <mergeCell ref="Z112:AA112"/>
    <mergeCell ref="AF108:AI108"/>
    <mergeCell ref="AK108:AM108"/>
    <mergeCell ref="AO108:AQ108"/>
    <mergeCell ref="AS108:AU108"/>
    <mergeCell ref="E110:N110"/>
    <mergeCell ref="P110:R110"/>
    <mergeCell ref="AC110:AL110"/>
    <mergeCell ref="AN110:AP110"/>
    <mergeCell ref="AF107:AI107"/>
    <mergeCell ref="AK107:AM107"/>
    <mergeCell ref="AO107:AQ107"/>
    <mergeCell ref="AS107:AU107"/>
    <mergeCell ref="B108:F108"/>
    <mergeCell ref="H108:K108"/>
    <mergeCell ref="M108:O108"/>
    <mergeCell ref="Q108:S108"/>
    <mergeCell ref="U108:W108"/>
    <mergeCell ref="Z108:AD108"/>
    <mergeCell ref="B107:F107"/>
    <mergeCell ref="H107:K107"/>
    <mergeCell ref="M107:O107"/>
    <mergeCell ref="Q107:S107"/>
    <mergeCell ref="U107:W107"/>
    <mergeCell ref="Z107:AD107"/>
    <mergeCell ref="B105:J105"/>
    <mergeCell ref="L105:Q105"/>
    <mergeCell ref="S105:W105"/>
    <mergeCell ref="Z105:AH105"/>
    <mergeCell ref="AJ105:AO105"/>
    <mergeCell ref="AQ105:AU105"/>
    <mergeCell ref="B102:M102"/>
    <mergeCell ref="P102:W102"/>
    <mergeCell ref="Z102:AK102"/>
    <mergeCell ref="AN102:AU102"/>
    <mergeCell ref="B104:J104"/>
    <mergeCell ref="L104:Q104"/>
    <mergeCell ref="S104:W104"/>
    <mergeCell ref="Z104:AH104"/>
    <mergeCell ref="AJ104:AO104"/>
    <mergeCell ref="AQ104:AU104"/>
    <mergeCell ref="AE98:AN98"/>
    <mergeCell ref="AE99:AN99"/>
    <mergeCell ref="B101:L101"/>
    <mergeCell ref="P101:W101"/>
    <mergeCell ref="Z101:AJ101"/>
    <mergeCell ref="AN101:AU101"/>
    <mergeCell ref="H98:Q98"/>
    <mergeCell ref="H99:Q99"/>
    <mergeCell ref="B91:G91"/>
    <mergeCell ref="I91:W91"/>
    <mergeCell ref="Z91:AE91"/>
    <mergeCell ref="AG91:AU91"/>
    <mergeCell ref="I94:Q94"/>
    <mergeCell ref="R94:W94"/>
    <mergeCell ref="AG94:AO94"/>
    <mergeCell ref="AP94:AU94"/>
    <mergeCell ref="B86:C86"/>
    <mergeCell ref="Z86:AA86"/>
    <mergeCell ref="B90:G90"/>
    <mergeCell ref="I90:W90"/>
    <mergeCell ref="Z90:AE90"/>
    <mergeCell ref="AG90:AU90"/>
    <mergeCell ref="B83:C83"/>
    <mergeCell ref="Z83:AA83"/>
    <mergeCell ref="B84:C84"/>
    <mergeCell ref="Z84:AA84"/>
    <mergeCell ref="B85:C85"/>
    <mergeCell ref="Z85:AA85"/>
    <mergeCell ref="B81:C81"/>
    <mergeCell ref="T81:W81"/>
    <mergeCell ref="Z81:AA81"/>
    <mergeCell ref="AR81:AU81"/>
    <mergeCell ref="B82:C82"/>
    <mergeCell ref="Z82:AA82"/>
    <mergeCell ref="AF78:AI78"/>
    <mergeCell ref="AK78:AM78"/>
    <mergeCell ref="AO78:AQ78"/>
    <mergeCell ref="AS78:AU78"/>
    <mergeCell ref="E80:N80"/>
    <mergeCell ref="P80:R80"/>
    <mergeCell ref="AC80:AL80"/>
    <mergeCell ref="AN80:AP80"/>
    <mergeCell ref="AF77:AI77"/>
    <mergeCell ref="AK77:AM77"/>
    <mergeCell ref="AO77:AQ77"/>
    <mergeCell ref="AS77:AU77"/>
    <mergeCell ref="B78:F78"/>
    <mergeCell ref="H78:K78"/>
    <mergeCell ref="M78:O78"/>
    <mergeCell ref="Q78:S78"/>
    <mergeCell ref="U78:W78"/>
    <mergeCell ref="Z78:AD78"/>
    <mergeCell ref="B77:F77"/>
    <mergeCell ref="H77:K77"/>
    <mergeCell ref="M77:O77"/>
    <mergeCell ref="Q77:S77"/>
    <mergeCell ref="U77:W77"/>
    <mergeCell ref="Z77:AD77"/>
    <mergeCell ref="S74:W74"/>
    <mergeCell ref="Z74:AH74"/>
    <mergeCell ref="AJ74:AO74"/>
    <mergeCell ref="AQ74:AU74"/>
    <mergeCell ref="B1:AP1"/>
    <mergeCell ref="H69:Q69"/>
    <mergeCell ref="AE69:AN69"/>
    <mergeCell ref="B71:L71"/>
    <mergeCell ref="P71:W71"/>
    <mergeCell ref="Z71:AJ71"/>
    <mergeCell ref="AN71:AU71"/>
    <mergeCell ref="B28:G28"/>
    <mergeCell ref="I28:W28"/>
    <mergeCell ref="Z28:AE28"/>
    <mergeCell ref="AE35:AN35"/>
    <mergeCell ref="AE36:AN36"/>
    <mergeCell ref="B2:AP2"/>
    <mergeCell ref="B3:AP3"/>
    <mergeCell ref="AR3:AT5"/>
    <mergeCell ref="H36:Q36"/>
    <mergeCell ref="E17:N17"/>
    <mergeCell ref="P17:R17"/>
    <mergeCell ref="AC17:AL17"/>
    <mergeCell ref="AN17:AP17"/>
    <mergeCell ref="B18:C18"/>
    <mergeCell ref="T18:W18"/>
    <mergeCell ref="Z18:AA18"/>
    <mergeCell ref="AR18:AU18"/>
    <mergeCell ref="B19:C19"/>
    <mergeCell ref="Z19:AA19"/>
    <mergeCell ref="B20:C20"/>
    <mergeCell ref="Z20:AA20"/>
    <mergeCell ref="H35:Q35"/>
    <mergeCell ref="AG28:AU28"/>
    <mergeCell ref="I31:Q31"/>
    <mergeCell ref="R31:W31"/>
    <mergeCell ref="B38:L38"/>
    <mergeCell ref="P38:W38"/>
    <mergeCell ref="Z38:AJ38"/>
    <mergeCell ref="AN38:AU38"/>
    <mergeCell ref="B39:M39"/>
    <mergeCell ref="P39:W39"/>
    <mergeCell ref="Z39:AK39"/>
    <mergeCell ref="AN39:AU39"/>
    <mergeCell ref="B41:J41"/>
    <mergeCell ref="L41:Q41"/>
    <mergeCell ref="S41:W41"/>
    <mergeCell ref="Z41:AH41"/>
    <mergeCell ref="AJ41:AO41"/>
    <mergeCell ref="AQ41:AU41"/>
    <mergeCell ref="B42:J42"/>
    <mergeCell ref="L42:Q42"/>
    <mergeCell ref="S42:W42"/>
    <mergeCell ref="Z42:AH42"/>
    <mergeCell ref="AJ42:AO42"/>
    <mergeCell ref="AQ42:AU42"/>
    <mergeCell ref="B44:F44"/>
    <mergeCell ref="H44:K44"/>
    <mergeCell ref="M44:O44"/>
    <mergeCell ref="Q44:S44"/>
    <mergeCell ref="U44:W44"/>
    <mergeCell ref="Z44:AD44"/>
    <mergeCell ref="AF44:AI44"/>
    <mergeCell ref="AK44:AM44"/>
    <mergeCell ref="AO44:AQ44"/>
    <mergeCell ref="AS44:AU44"/>
    <mergeCell ref="B45:F45"/>
    <mergeCell ref="H45:K45"/>
    <mergeCell ref="M45:O45"/>
    <mergeCell ref="Q45:S45"/>
    <mergeCell ref="U45:W45"/>
    <mergeCell ref="Z45:AD45"/>
    <mergeCell ref="AF45:AI45"/>
    <mergeCell ref="AK45:AM45"/>
    <mergeCell ref="AO45:AQ45"/>
    <mergeCell ref="AS45:AU45"/>
    <mergeCell ref="E47:N47"/>
    <mergeCell ref="P47:R47"/>
    <mergeCell ref="AC47:AL47"/>
    <mergeCell ref="AN47:AP47"/>
    <mergeCell ref="B48:C48"/>
    <mergeCell ref="T48:W48"/>
    <mergeCell ref="Z48:AA48"/>
    <mergeCell ref="AR48:AU48"/>
    <mergeCell ref="B49:C49"/>
    <mergeCell ref="Z49:AA49"/>
    <mergeCell ref="B50:C50"/>
    <mergeCell ref="Z50:AA50"/>
    <mergeCell ref="B51:C51"/>
    <mergeCell ref="Z51:AA51"/>
    <mergeCell ref="B52:C52"/>
    <mergeCell ref="Z52:AA52"/>
    <mergeCell ref="B53:C53"/>
    <mergeCell ref="Z53:AA53"/>
    <mergeCell ref="B57:G57"/>
    <mergeCell ref="I57:W57"/>
    <mergeCell ref="Z57:AE57"/>
    <mergeCell ref="AG57:AU57"/>
    <mergeCell ref="B58:G58"/>
    <mergeCell ref="I58:W58"/>
    <mergeCell ref="Z58:AE58"/>
    <mergeCell ref="AG58:AU58"/>
    <mergeCell ref="I61:Q61"/>
    <mergeCell ref="R61:W61"/>
    <mergeCell ref="AG61:AO61"/>
    <mergeCell ref="AP61:AU61"/>
    <mergeCell ref="B115:C115"/>
    <mergeCell ref="Z115:AA115"/>
    <mergeCell ref="B116:C116"/>
    <mergeCell ref="Z116:AA116"/>
    <mergeCell ref="B120:G120"/>
    <mergeCell ref="I120:W120"/>
    <mergeCell ref="Z120:AE120"/>
    <mergeCell ref="AG120:AU120"/>
    <mergeCell ref="B75:J75"/>
    <mergeCell ref="L75:Q75"/>
    <mergeCell ref="S75:W75"/>
    <mergeCell ref="Z75:AH75"/>
    <mergeCell ref="AJ75:AO75"/>
    <mergeCell ref="AQ75:AU75"/>
    <mergeCell ref="B72:M72"/>
    <mergeCell ref="P72:W72"/>
    <mergeCell ref="Z72:AK72"/>
    <mergeCell ref="AN72:AU72"/>
    <mergeCell ref="B74:J74"/>
    <mergeCell ref="L74:Q74"/>
    <mergeCell ref="B121:G121"/>
    <mergeCell ref="I121:W121"/>
    <mergeCell ref="Z121:AE121"/>
    <mergeCell ref="AG121:AU121"/>
    <mergeCell ref="I124:Q124"/>
    <mergeCell ref="R124:W124"/>
    <mergeCell ref="AG124:AO124"/>
    <mergeCell ref="AP124:AU124"/>
    <mergeCell ref="B127:AP127"/>
    <mergeCell ref="B128:AP128"/>
    <mergeCell ref="B129:AP129"/>
    <mergeCell ref="AR129:AT131"/>
    <mergeCell ref="H131:Q131"/>
    <mergeCell ref="AE131:AN131"/>
    <mergeCell ref="H132:Q132"/>
    <mergeCell ref="AE132:AN132"/>
    <mergeCell ref="B134:L134"/>
    <mergeCell ref="P134:W134"/>
    <mergeCell ref="Z134:AJ134"/>
    <mergeCell ref="AN134:AU134"/>
    <mergeCell ref="B140:F140"/>
    <mergeCell ref="H140:K140"/>
    <mergeCell ref="M140:O140"/>
    <mergeCell ref="P143:R143"/>
    <mergeCell ref="AC143:AL143"/>
    <mergeCell ref="AN143:AP143"/>
    <mergeCell ref="AF140:AI140"/>
    <mergeCell ref="AK140:AM140"/>
    <mergeCell ref="AO140:AQ140"/>
    <mergeCell ref="Q140:S140"/>
    <mergeCell ref="U140:W140"/>
    <mergeCell ref="Z140:AD140"/>
    <mergeCell ref="B135:M135"/>
    <mergeCell ref="P135:W135"/>
    <mergeCell ref="Z135:AK135"/>
    <mergeCell ref="AN135:AU135"/>
    <mergeCell ref="B137:J137"/>
    <mergeCell ref="L137:Q137"/>
    <mergeCell ref="S137:W137"/>
    <mergeCell ref="Z137:AH137"/>
    <mergeCell ref="AJ137:AO137"/>
    <mergeCell ref="AQ137:AU137"/>
    <mergeCell ref="B138:J138"/>
    <mergeCell ref="L138:Q138"/>
    <mergeCell ref="S138:W138"/>
    <mergeCell ref="Z138:AH138"/>
    <mergeCell ref="AJ138:AO138"/>
    <mergeCell ref="AQ138:AU138"/>
    <mergeCell ref="AS140:AU140"/>
    <mergeCell ref="T144:W144"/>
    <mergeCell ref="Z144:AA144"/>
    <mergeCell ref="AR144:AU144"/>
    <mergeCell ref="B145:C145"/>
    <mergeCell ref="Z145:AA145"/>
    <mergeCell ref="AF141:AI141"/>
    <mergeCell ref="AK141:AM141"/>
    <mergeCell ref="AO141:AQ141"/>
    <mergeCell ref="AS141:AU141"/>
    <mergeCell ref="E143:N143"/>
    <mergeCell ref="AG153:AU153"/>
    <mergeCell ref="B146:C146"/>
    <mergeCell ref="Z146:AA146"/>
    <mergeCell ref="B147:C147"/>
    <mergeCell ref="Z147:AA147"/>
    <mergeCell ref="B148:C148"/>
    <mergeCell ref="Z148:AA148"/>
    <mergeCell ref="B141:F141"/>
    <mergeCell ref="H141:K141"/>
    <mergeCell ref="M141:O141"/>
    <mergeCell ref="Q141:S141"/>
    <mergeCell ref="U141:W141"/>
    <mergeCell ref="Z141:AD141"/>
    <mergeCell ref="AG154:AU154"/>
    <mergeCell ref="I157:Q157"/>
    <mergeCell ref="R157:W157"/>
    <mergeCell ref="AG157:AO157"/>
    <mergeCell ref="AP157:AU157"/>
    <mergeCell ref="B149:C149"/>
    <mergeCell ref="Z149:AA149"/>
    <mergeCell ref="B153:G153"/>
    <mergeCell ref="I153:W153"/>
    <mergeCell ref="Z153:AE153"/>
    <mergeCell ref="AE161:AN161"/>
    <mergeCell ref="AE162:AN162"/>
    <mergeCell ref="B164:L164"/>
    <mergeCell ref="P164:W164"/>
    <mergeCell ref="Z164:AJ164"/>
    <mergeCell ref="AN164:AU164"/>
    <mergeCell ref="B165:M165"/>
    <mergeCell ref="P165:W165"/>
    <mergeCell ref="Z165:AK165"/>
    <mergeCell ref="AN165:AU165"/>
    <mergeCell ref="B167:J167"/>
    <mergeCell ref="L167:Q167"/>
    <mergeCell ref="S167:W167"/>
    <mergeCell ref="Z167:AH167"/>
    <mergeCell ref="AJ167:AO167"/>
    <mergeCell ref="AQ167:AU167"/>
    <mergeCell ref="B168:J168"/>
    <mergeCell ref="L168:Q168"/>
    <mergeCell ref="S168:W168"/>
    <mergeCell ref="Z168:AH168"/>
    <mergeCell ref="AJ168:AO168"/>
    <mergeCell ref="AQ168:AU168"/>
    <mergeCell ref="B170:F170"/>
    <mergeCell ref="H170:K170"/>
    <mergeCell ref="M170:O170"/>
    <mergeCell ref="Q170:S170"/>
    <mergeCell ref="U170:W170"/>
    <mergeCell ref="Z170:AD170"/>
    <mergeCell ref="AF170:AI170"/>
    <mergeCell ref="AK170:AM170"/>
    <mergeCell ref="AO170:AQ170"/>
    <mergeCell ref="AS170:AU170"/>
    <mergeCell ref="B171:F171"/>
    <mergeCell ref="H171:K171"/>
    <mergeCell ref="M171:O171"/>
    <mergeCell ref="Q171:S171"/>
    <mergeCell ref="U171:W171"/>
    <mergeCell ref="Z171:AD171"/>
    <mergeCell ref="AF171:AI171"/>
    <mergeCell ref="AK171:AM171"/>
    <mergeCell ref="AO171:AQ171"/>
    <mergeCell ref="AS171:AU171"/>
    <mergeCell ref="E173:N173"/>
    <mergeCell ref="P173:R173"/>
    <mergeCell ref="AC173:AL173"/>
    <mergeCell ref="AN173:AP173"/>
    <mergeCell ref="B174:C174"/>
    <mergeCell ref="T174:W174"/>
    <mergeCell ref="Z174:AA174"/>
    <mergeCell ref="AR174:AU174"/>
    <mergeCell ref="B175:C175"/>
    <mergeCell ref="Z175:AA175"/>
    <mergeCell ref="B176:C176"/>
    <mergeCell ref="Z176:AA176"/>
    <mergeCell ref="B177:C177"/>
    <mergeCell ref="Z177:AA177"/>
    <mergeCell ref="B178:C178"/>
    <mergeCell ref="Z178:AA178"/>
    <mergeCell ref="B179:C179"/>
    <mergeCell ref="Z179:AA179"/>
    <mergeCell ref="B183:G183"/>
    <mergeCell ref="I183:W183"/>
    <mergeCell ref="Z183:AE183"/>
    <mergeCell ref="AG183:AU183"/>
    <mergeCell ref="B184:G184"/>
    <mergeCell ref="I184:W184"/>
    <mergeCell ref="Z184:AE184"/>
    <mergeCell ref="AG184:AU184"/>
    <mergeCell ref="I187:Q187"/>
    <mergeCell ref="R187:W187"/>
    <mergeCell ref="AG187:AO187"/>
    <mergeCell ref="AP187:AU187"/>
    <mergeCell ref="B190:AP190"/>
    <mergeCell ref="B191:AP191"/>
    <mergeCell ref="B192:AP192"/>
    <mergeCell ref="AR192:AT194"/>
    <mergeCell ref="H194:Q194"/>
    <mergeCell ref="AE194:AN194"/>
    <mergeCell ref="H195:Q195"/>
    <mergeCell ref="AE195:AN195"/>
    <mergeCell ref="B197:L197"/>
    <mergeCell ref="P197:W197"/>
    <mergeCell ref="Z197:AJ197"/>
    <mergeCell ref="AN197:AU197"/>
    <mergeCell ref="B198:M198"/>
    <mergeCell ref="P198:W198"/>
    <mergeCell ref="Z198:AK198"/>
    <mergeCell ref="AN198:AU198"/>
    <mergeCell ref="B200:J200"/>
    <mergeCell ref="L200:Q200"/>
    <mergeCell ref="S200:W200"/>
    <mergeCell ref="Z200:AH200"/>
    <mergeCell ref="AJ200:AO200"/>
    <mergeCell ref="AQ200:AU200"/>
    <mergeCell ref="B201:J201"/>
    <mergeCell ref="L201:Q201"/>
    <mergeCell ref="S201:W201"/>
    <mergeCell ref="Z201:AH201"/>
    <mergeCell ref="AJ201:AO201"/>
    <mergeCell ref="AQ201:AU201"/>
    <mergeCell ref="B203:F203"/>
    <mergeCell ref="H203:K203"/>
    <mergeCell ref="M203:O203"/>
    <mergeCell ref="Q203:S203"/>
    <mergeCell ref="U203:W203"/>
    <mergeCell ref="Z203:AD203"/>
    <mergeCell ref="AF203:AI203"/>
    <mergeCell ref="AK203:AM203"/>
    <mergeCell ref="AO203:AQ203"/>
    <mergeCell ref="AS203:AU203"/>
    <mergeCell ref="B204:F204"/>
    <mergeCell ref="H204:K204"/>
    <mergeCell ref="M204:O204"/>
    <mergeCell ref="Q204:S204"/>
    <mergeCell ref="U204:W204"/>
    <mergeCell ref="Z204:AD204"/>
    <mergeCell ref="AF204:AI204"/>
    <mergeCell ref="AK204:AM204"/>
    <mergeCell ref="AO204:AQ204"/>
    <mergeCell ref="AS204:AU204"/>
    <mergeCell ref="E206:N206"/>
    <mergeCell ref="P206:R206"/>
    <mergeCell ref="AC206:AL206"/>
    <mergeCell ref="AN206:AP206"/>
    <mergeCell ref="B207:C207"/>
    <mergeCell ref="T207:W207"/>
    <mergeCell ref="Z207:AA207"/>
    <mergeCell ref="AR207:AU207"/>
    <mergeCell ref="B208:C208"/>
    <mergeCell ref="Z208:AA208"/>
    <mergeCell ref="B209:C209"/>
    <mergeCell ref="Z209:AA209"/>
    <mergeCell ref="B210:C210"/>
    <mergeCell ref="Z210:AA210"/>
    <mergeCell ref="B211:C211"/>
    <mergeCell ref="Z211:AA211"/>
    <mergeCell ref="B212:C212"/>
    <mergeCell ref="Z212:AA212"/>
    <mergeCell ref="B216:G216"/>
    <mergeCell ref="I216:W216"/>
    <mergeCell ref="Z216:AE216"/>
    <mergeCell ref="AG216:AU216"/>
    <mergeCell ref="B217:G217"/>
    <mergeCell ref="I217:W217"/>
    <mergeCell ref="Z217:AE217"/>
    <mergeCell ref="AG217:AU217"/>
    <mergeCell ref="I220:Q220"/>
    <mergeCell ref="R220:W220"/>
    <mergeCell ref="AG220:AO220"/>
    <mergeCell ref="AP220:AU220"/>
    <mergeCell ref="AE224:AN224"/>
    <mergeCell ref="AE225:AN225"/>
    <mergeCell ref="B227:L227"/>
    <mergeCell ref="P227:W227"/>
    <mergeCell ref="Z227:AJ227"/>
    <mergeCell ref="AN227:AU227"/>
    <mergeCell ref="H224:Q224"/>
    <mergeCell ref="H225:Q225"/>
    <mergeCell ref="B228:M228"/>
    <mergeCell ref="P228:W228"/>
    <mergeCell ref="Z228:AK228"/>
    <mergeCell ref="AN228:AU228"/>
    <mergeCell ref="B230:J230"/>
    <mergeCell ref="L230:Q230"/>
    <mergeCell ref="S230:W230"/>
    <mergeCell ref="Z230:AH230"/>
    <mergeCell ref="AJ230:AO230"/>
    <mergeCell ref="AQ230:AU230"/>
    <mergeCell ref="B231:J231"/>
    <mergeCell ref="L231:Q231"/>
    <mergeCell ref="S231:W231"/>
    <mergeCell ref="Z231:AH231"/>
    <mergeCell ref="AJ231:AO231"/>
    <mergeCell ref="AQ231:AU231"/>
    <mergeCell ref="B233:F233"/>
    <mergeCell ref="H233:K233"/>
    <mergeCell ref="M233:O233"/>
    <mergeCell ref="Q233:S233"/>
    <mergeCell ref="U233:W233"/>
    <mergeCell ref="Z233:AD233"/>
    <mergeCell ref="AF233:AI233"/>
    <mergeCell ref="AK233:AM233"/>
    <mergeCell ref="AO233:AQ233"/>
    <mergeCell ref="AS233:AU233"/>
    <mergeCell ref="B234:F234"/>
    <mergeCell ref="H234:K234"/>
    <mergeCell ref="M234:O234"/>
    <mergeCell ref="Q234:S234"/>
    <mergeCell ref="U234:W234"/>
    <mergeCell ref="Z234:AD234"/>
    <mergeCell ref="AF234:AI234"/>
    <mergeCell ref="AK234:AM234"/>
    <mergeCell ref="AO234:AQ234"/>
    <mergeCell ref="AS234:AU234"/>
    <mergeCell ref="E236:N236"/>
    <mergeCell ref="P236:R236"/>
    <mergeCell ref="AC236:AL236"/>
    <mergeCell ref="AN236:AP236"/>
    <mergeCell ref="B237:C237"/>
    <mergeCell ref="T237:W237"/>
    <mergeCell ref="Z237:AA237"/>
    <mergeCell ref="AR237:AU237"/>
    <mergeCell ref="B238:C238"/>
    <mergeCell ref="Z238:AA238"/>
    <mergeCell ref="B239:C239"/>
    <mergeCell ref="Z239:AA239"/>
    <mergeCell ref="B240:C240"/>
    <mergeCell ref="Z240:AA240"/>
    <mergeCell ref="B241:C241"/>
    <mergeCell ref="Z241:AA241"/>
    <mergeCell ref="B242:C242"/>
    <mergeCell ref="Z242:AA242"/>
    <mergeCell ref="B246:G246"/>
    <mergeCell ref="I246:W246"/>
    <mergeCell ref="Z246:AE246"/>
    <mergeCell ref="AG246:AU246"/>
    <mergeCell ref="B247:G247"/>
    <mergeCell ref="I247:W247"/>
    <mergeCell ref="Z247:AE247"/>
    <mergeCell ref="AG247:AU247"/>
    <mergeCell ref="I250:Q250"/>
    <mergeCell ref="R250:W250"/>
    <mergeCell ref="AG250:AO250"/>
    <mergeCell ref="AP250:AU250"/>
    <mergeCell ref="B253:AP253"/>
    <mergeCell ref="B254:AP254"/>
    <mergeCell ref="B255:AP255"/>
    <mergeCell ref="AR255:AT257"/>
    <mergeCell ref="H257:Q257"/>
    <mergeCell ref="AE257:AN257"/>
    <mergeCell ref="H258:Q258"/>
    <mergeCell ref="AE258:AN258"/>
    <mergeCell ref="B260:L260"/>
    <mergeCell ref="P260:W260"/>
    <mergeCell ref="Z260:AJ260"/>
    <mergeCell ref="AN260:AU260"/>
    <mergeCell ref="B261:M261"/>
    <mergeCell ref="P261:W261"/>
    <mergeCell ref="Z261:AK261"/>
    <mergeCell ref="AN261:AU261"/>
    <mergeCell ref="B263:J263"/>
    <mergeCell ref="L263:Q263"/>
    <mergeCell ref="S263:W263"/>
    <mergeCell ref="Z263:AH263"/>
    <mergeCell ref="AJ263:AO263"/>
    <mergeCell ref="AQ263:AU263"/>
    <mergeCell ref="B264:J264"/>
    <mergeCell ref="L264:Q264"/>
    <mergeCell ref="S264:W264"/>
    <mergeCell ref="Z264:AH264"/>
    <mergeCell ref="AJ264:AO264"/>
    <mergeCell ref="AQ264:AU264"/>
    <mergeCell ref="B266:F266"/>
    <mergeCell ref="H266:K266"/>
    <mergeCell ref="M266:O266"/>
    <mergeCell ref="Q266:S266"/>
    <mergeCell ref="U266:W266"/>
    <mergeCell ref="Z266:AD266"/>
    <mergeCell ref="AF266:AI266"/>
    <mergeCell ref="AK266:AM266"/>
    <mergeCell ref="AO266:AQ266"/>
    <mergeCell ref="AS266:AU266"/>
    <mergeCell ref="B267:F267"/>
    <mergeCell ref="H267:K267"/>
    <mergeCell ref="M267:O267"/>
    <mergeCell ref="Q267:S267"/>
    <mergeCell ref="U267:W267"/>
    <mergeCell ref="Z267:AD267"/>
    <mergeCell ref="AF267:AI267"/>
    <mergeCell ref="AK267:AM267"/>
    <mergeCell ref="AO267:AQ267"/>
    <mergeCell ref="AS267:AU267"/>
    <mergeCell ref="E269:N269"/>
    <mergeCell ref="P269:R269"/>
    <mergeCell ref="AC269:AL269"/>
    <mergeCell ref="AN269:AP269"/>
    <mergeCell ref="B270:C270"/>
    <mergeCell ref="T270:W270"/>
    <mergeCell ref="Z270:AA270"/>
    <mergeCell ref="AR270:AU270"/>
    <mergeCell ref="B271:C271"/>
    <mergeCell ref="Z271:AA271"/>
    <mergeCell ref="B272:C272"/>
    <mergeCell ref="Z272:AA272"/>
    <mergeCell ref="B273:C273"/>
    <mergeCell ref="Z273:AA273"/>
    <mergeCell ref="B274:C274"/>
    <mergeCell ref="Z274:AA274"/>
    <mergeCell ref="B275:C275"/>
    <mergeCell ref="Z275:AA275"/>
    <mergeCell ref="B279:G279"/>
    <mergeCell ref="I279:W279"/>
    <mergeCell ref="Z279:AE279"/>
    <mergeCell ref="AG279:AU279"/>
    <mergeCell ref="B280:G280"/>
    <mergeCell ref="I280:W280"/>
    <mergeCell ref="Z280:AE280"/>
    <mergeCell ref="AG280:AU280"/>
    <mergeCell ref="I283:Q283"/>
    <mergeCell ref="R283:W283"/>
    <mergeCell ref="AG283:AO283"/>
    <mergeCell ref="AP283:AU283"/>
    <mergeCell ref="AE287:AN287"/>
    <mergeCell ref="AE288:AN288"/>
    <mergeCell ref="B290:L290"/>
    <mergeCell ref="P290:W290"/>
    <mergeCell ref="Z290:AJ290"/>
    <mergeCell ref="AN290:AU290"/>
    <mergeCell ref="H287:Q287"/>
    <mergeCell ref="H288:Q288"/>
    <mergeCell ref="B291:M291"/>
    <mergeCell ref="P291:W291"/>
    <mergeCell ref="Z291:AK291"/>
    <mergeCell ref="AN291:AU291"/>
    <mergeCell ref="B293:J293"/>
    <mergeCell ref="L293:Q293"/>
    <mergeCell ref="S293:W293"/>
    <mergeCell ref="Z293:AH293"/>
    <mergeCell ref="AJ293:AO293"/>
    <mergeCell ref="AQ293:AU293"/>
    <mergeCell ref="B294:J294"/>
    <mergeCell ref="L294:Q294"/>
    <mergeCell ref="S294:W294"/>
    <mergeCell ref="Z294:AH294"/>
    <mergeCell ref="AJ294:AO294"/>
    <mergeCell ref="AQ294:AU294"/>
    <mergeCell ref="B296:F296"/>
    <mergeCell ref="H296:K296"/>
    <mergeCell ref="M296:O296"/>
    <mergeCell ref="Q296:S296"/>
    <mergeCell ref="U296:W296"/>
    <mergeCell ref="Z296:AD296"/>
    <mergeCell ref="AF296:AI296"/>
    <mergeCell ref="AK296:AM296"/>
    <mergeCell ref="AO296:AQ296"/>
    <mergeCell ref="AS296:AU296"/>
    <mergeCell ref="B297:F297"/>
    <mergeCell ref="H297:K297"/>
    <mergeCell ref="M297:O297"/>
    <mergeCell ref="Q297:S297"/>
    <mergeCell ref="U297:W297"/>
    <mergeCell ref="Z297:AD297"/>
    <mergeCell ref="AF297:AI297"/>
    <mergeCell ref="AK297:AM297"/>
    <mergeCell ref="AO297:AQ297"/>
    <mergeCell ref="AS297:AU297"/>
    <mergeCell ref="E299:N299"/>
    <mergeCell ref="P299:R299"/>
    <mergeCell ref="AC299:AL299"/>
    <mergeCell ref="AN299:AP299"/>
    <mergeCell ref="B300:C300"/>
    <mergeCell ref="T300:W300"/>
    <mergeCell ref="Z300:AA300"/>
    <mergeCell ref="AR300:AU300"/>
    <mergeCell ref="B301:C301"/>
    <mergeCell ref="Z301:AA301"/>
    <mergeCell ref="B302:C302"/>
    <mergeCell ref="Z302:AA302"/>
    <mergeCell ref="B303:C303"/>
    <mergeCell ref="Z303:AA303"/>
    <mergeCell ref="B304:C304"/>
    <mergeCell ref="Z304:AA304"/>
    <mergeCell ref="B305:C305"/>
    <mergeCell ref="Z305:AA305"/>
    <mergeCell ref="B309:G309"/>
    <mergeCell ref="I309:W309"/>
    <mergeCell ref="Z309:AE309"/>
    <mergeCell ref="AG309:AU309"/>
    <mergeCell ref="B310:G310"/>
    <mergeCell ref="I310:W310"/>
    <mergeCell ref="Z310:AE310"/>
    <mergeCell ref="AG310:AU310"/>
    <mergeCell ref="I313:Q313"/>
    <mergeCell ref="R313:W313"/>
    <mergeCell ref="AG313:AO313"/>
    <mergeCell ref="AP313:AU313"/>
    <mergeCell ref="B316:AP316"/>
    <mergeCell ref="B317:AP317"/>
    <mergeCell ref="B318:AP318"/>
    <mergeCell ref="AR318:AT320"/>
    <mergeCell ref="H320:Q320"/>
    <mergeCell ref="AE320:AN320"/>
    <mergeCell ref="H321:Q321"/>
    <mergeCell ref="AE321:AN321"/>
    <mergeCell ref="B323:L323"/>
    <mergeCell ref="P323:W323"/>
    <mergeCell ref="Z323:AJ323"/>
    <mergeCell ref="AN323:AU323"/>
    <mergeCell ref="B324:M324"/>
    <mergeCell ref="P324:W324"/>
    <mergeCell ref="Z324:AK324"/>
    <mergeCell ref="AN324:AU324"/>
    <mergeCell ref="B326:J326"/>
    <mergeCell ref="L326:Q326"/>
    <mergeCell ref="S326:W326"/>
    <mergeCell ref="Z326:AH326"/>
    <mergeCell ref="AJ326:AO326"/>
    <mergeCell ref="AQ326:AU326"/>
    <mergeCell ref="B327:J327"/>
    <mergeCell ref="L327:Q327"/>
    <mergeCell ref="S327:W327"/>
    <mergeCell ref="Z327:AH327"/>
    <mergeCell ref="AJ327:AO327"/>
    <mergeCell ref="AQ327:AU327"/>
    <mergeCell ref="B329:F329"/>
    <mergeCell ref="H329:K329"/>
    <mergeCell ref="M329:O329"/>
    <mergeCell ref="Q329:S329"/>
    <mergeCell ref="U329:W329"/>
    <mergeCell ref="Z329:AD329"/>
    <mergeCell ref="AF329:AI329"/>
    <mergeCell ref="AK329:AM329"/>
    <mergeCell ref="AO329:AQ329"/>
    <mergeCell ref="AS329:AU329"/>
    <mergeCell ref="B330:F330"/>
    <mergeCell ref="H330:K330"/>
    <mergeCell ref="M330:O330"/>
    <mergeCell ref="Q330:S330"/>
    <mergeCell ref="U330:W330"/>
    <mergeCell ref="Z330:AD330"/>
    <mergeCell ref="AF330:AI330"/>
    <mergeCell ref="AK330:AM330"/>
    <mergeCell ref="AO330:AQ330"/>
    <mergeCell ref="AS330:AU330"/>
    <mergeCell ref="E332:N332"/>
    <mergeCell ref="P332:R332"/>
    <mergeCell ref="AC332:AL332"/>
    <mergeCell ref="AN332:AP332"/>
    <mergeCell ref="B333:C333"/>
    <mergeCell ref="T333:W333"/>
    <mergeCell ref="Z333:AA333"/>
    <mergeCell ref="AR333:AU333"/>
    <mergeCell ref="B334:C334"/>
    <mergeCell ref="Z334:AA334"/>
    <mergeCell ref="B335:C335"/>
    <mergeCell ref="Z335:AA335"/>
    <mergeCell ref="B336:C336"/>
    <mergeCell ref="Z336:AA336"/>
    <mergeCell ref="B337:C337"/>
    <mergeCell ref="Z337:AA337"/>
    <mergeCell ref="B338:C338"/>
    <mergeCell ref="Z338:AA338"/>
    <mergeCell ref="B342:G342"/>
    <mergeCell ref="I342:W342"/>
    <mergeCell ref="Z342:AE342"/>
    <mergeCell ref="AG342:AU342"/>
    <mergeCell ref="B343:G343"/>
    <mergeCell ref="I343:W343"/>
    <mergeCell ref="Z343:AE343"/>
    <mergeCell ref="AG343:AU343"/>
    <mergeCell ref="I346:Q346"/>
    <mergeCell ref="R346:W346"/>
    <mergeCell ref="AG346:AO346"/>
    <mergeCell ref="AP346:AU346"/>
    <mergeCell ref="AE350:AN350"/>
    <mergeCell ref="AE351:AN351"/>
    <mergeCell ref="B353:L353"/>
    <mergeCell ref="P353:W353"/>
    <mergeCell ref="Z353:AJ353"/>
    <mergeCell ref="AN353:AU353"/>
    <mergeCell ref="H350:Q350"/>
    <mergeCell ref="H351:Q351"/>
    <mergeCell ref="B354:M354"/>
    <mergeCell ref="P354:W354"/>
    <mergeCell ref="Z354:AK354"/>
    <mergeCell ref="AN354:AU354"/>
    <mergeCell ref="B356:J356"/>
    <mergeCell ref="L356:Q356"/>
    <mergeCell ref="S356:W356"/>
    <mergeCell ref="Z356:AH356"/>
    <mergeCell ref="AJ356:AO356"/>
    <mergeCell ref="AQ356:AU356"/>
    <mergeCell ref="B357:J357"/>
    <mergeCell ref="L357:Q357"/>
    <mergeCell ref="S357:W357"/>
    <mergeCell ref="Z357:AH357"/>
    <mergeCell ref="AJ357:AO357"/>
    <mergeCell ref="AQ357:AU357"/>
    <mergeCell ref="B359:F359"/>
    <mergeCell ref="H359:K359"/>
    <mergeCell ref="M359:O359"/>
    <mergeCell ref="Q359:S359"/>
    <mergeCell ref="U359:W359"/>
    <mergeCell ref="Z359:AD359"/>
    <mergeCell ref="AF359:AI359"/>
    <mergeCell ref="AK359:AM359"/>
    <mergeCell ref="AO359:AQ359"/>
    <mergeCell ref="AS359:AU359"/>
    <mergeCell ref="B360:F360"/>
    <mergeCell ref="H360:K360"/>
    <mergeCell ref="M360:O360"/>
    <mergeCell ref="Q360:S360"/>
    <mergeCell ref="U360:W360"/>
    <mergeCell ref="Z360:AD360"/>
    <mergeCell ref="AF360:AI360"/>
    <mergeCell ref="AK360:AM360"/>
    <mergeCell ref="AO360:AQ360"/>
    <mergeCell ref="AS360:AU360"/>
    <mergeCell ref="E362:N362"/>
    <mergeCell ref="P362:R362"/>
    <mergeCell ref="AC362:AL362"/>
    <mergeCell ref="AN362:AP362"/>
    <mergeCell ref="B363:C363"/>
    <mergeCell ref="T363:W363"/>
    <mergeCell ref="Z363:AA363"/>
    <mergeCell ref="AR363:AU363"/>
    <mergeCell ref="B364:C364"/>
    <mergeCell ref="Z364:AA364"/>
    <mergeCell ref="B365:C365"/>
    <mergeCell ref="Z365:AA365"/>
    <mergeCell ref="B366:C366"/>
    <mergeCell ref="Z366:AA366"/>
    <mergeCell ref="B367:C367"/>
    <mergeCell ref="Z367:AA367"/>
    <mergeCell ref="B368:C368"/>
    <mergeCell ref="Z368:AA368"/>
    <mergeCell ref="B372:G372"/>
    <mergeCell ref="I372:W372"/>
    <mergeCell ref="Z372:AE372"/>
    <mergeCell ref="AG372:AU372"/>
    <mergeCell ref="B373:G373"/>
    <mergeCell ref="I373:W373"/>
    <mergeCell ref="Z373:AE373"/>
    <mergeCell ref="AG373:AU373"/>
    <mergeCell ref="I376:Q376"/>
    <mergeCell ref="R376:W376"/>
    <mergeCell ref="AG376:AO376"/>
    <mergeCell ref="AP376:AU376"/>
    <mergeCell ref="B379:AP379"/>
    <mergeCell ref="B380:AP380"/>
    <mergeCell ref="B381:AP381"/>
    <mergeCell ref="AR381:AT383"/>
    <mergeCell ref="H383:Q383"/>
    <mergeCell ref="AE383:AN383"/>
    <mergeCell ref="H384:Q384"/>
    <mergeCell ref="AE384:AN384"/>
    <mergeCell ref="B386:L386"/>
    <mergeCell ref="P386:W386"/>
    <mergeCell ref="Z386:AJ386"/>
    <mergeCell ref="AN386:AU386"/>
    <mergeCell ref="B387:M387"/>
    <mergeCell ref="P387:W387"/>
    <mergeCell ref="Z387:AK387"/>
    <mergeCell ref="AN387:AU387"/>
    <mergeCell ref="B389:J389"/>
    <mergeCell ref="L389:Q389"/>
    <mergeCell ref="S389:W389"/>
    <mergeCell ref="Z389:AH389"/>
    <mergeCell ref="AJ389:AO389"/>
    <mergeCell ref="AQ389:AU389"/>
    <mergeCell ref="B390:J390"/>
    <mergeCell ref="L390:Q390"/>
    <mergeCell ref="S390:W390"/>
    <mergeCell ref="Z390:AH390"/>
    <mergeCell ref="AJ390:AO390"/>
    <mergeCell ref="AQ390:AU390"/>
    <mergeCell ref="B392:F392"/>
    <mergeCell ref="H392:K392"/>
    <mergeCell ref="M392:O392"/>
    <mergeCell ref="Q392:S392"/>
    <mergeCell ref="U392:W392"/>
    <mergeCell ref="Z392:AD392"/>
    <mergeCell ref="AF392:AI392"/>
    <mergeCell ref="AK392:AM392"/>
    <mergeCell ref="AO392:AQ392"/>
    <mergeCell ref="AS392:AU392"/>
    <mergeCell ref="B393:F393"/>
    <mergeCell ref="H393:K393"/>
    <mergeCell ref="M393:O393"/>
    <mergeCell ref="Q393:S393"/>
    <mergeCell ref="U393:W393"/>
    <mergeCell ref="Z393:AD393"/>
    <mergeCell ref="AF393:AI393"/>
    <mergeCell ref="AK393:AM393"/>
    <mergeCell ref="AO393:AQ393"/>
    <mergeCell ref="AS393:AU393"/>
    <mergeCell ref="E395:N395"/>
    <mergeCell ref="P395:R395"/>
    <mergeCell ref="AC395:AL395"/>
    <mergeCell ref="AN395:AP395"/>
    <mergeCell ref="B396:C396"/>
    <mergeCell ref="T396:W396"/>
    <mergeCell ref="Z396:AA396"/>
    <mergeCell ref="AR396:AU396"/>
    <mergeCell ref="B397:C397"/>
    <mergeCell ref="Z397:AA397"/>
    <mergeCell ref="B398:C398"/>
    <mergeCell ref="Z398:AA398"/>
    <mergeCell ref="B399:C399"/>
    <mergeCell ref="Z399:AA399"/>
    <mergeCell ref="B400:C400"/>
    <mergeCell ref="Z400:AA400"/>
    <mergeCell ref="B401:C401"/>
    <mergeCell ref="Z401:AA401"/>
    <mergeCell ref="B405:G405"/>
    <mergeCell ref="I405:W405"/>
    <mergeCell ref="Z405:AE405"/>
    <mergeCell ref="AG405:AU405"/>
    <mergeCell ref="B406:G406"/>
    <mergeCell ref="I406:W406"/>
    <mergeCell ref="Z406:AE406"/>
    <mergeCell ref="AG406:AU406"/>
    <mergeCell ref="I409:Q409"/>
    <mergeCell ref="R409:W409"/>
    <mergeCell ref="AG409:AO409"/>
    <mergeCell ref="AP409:AU409"/>
    <mergeCell ref="AE413:AN413"/>
    <mergeCell ref="AE414:AN414"/>
    <mergeCell ref="B416:L416"/>
    <mergeCell ref="P416:W416"/>
    <mergeCell ref="Z416:AJ416"/>
    <mergeCell ref="AN416:AU416"/>
    <mergeCell ref="H413:Q413"/>
    <mergeCell ref="H414:Q414"/>
    <mergeCell ref="B417:M417"/>
    <mergeCell ref="P417:W417"/>
    <mergeCell ref="Z417:AK417"/>
    <mergeCell ref="AN417:AU417"/>
    <mergeCell ref="B419:J419"/>
    <mergeCell ref="L419:Q419"/>
    <mergeCell ref="S419:W419"/>
    <mergeCell ref="Z419:AH419"/>
    <mergeCell ref="AJ419:AO419"/>
    <mergeCell ref="AQ419:AU419"/>
    <mergeCell ref="B420:J420"/>
    <mergeCell ref="L420:Q420"/>
    <mergeCell ref="S420:W420"/>
    <mergeCell ref="Z420:AH420"/>
    <mergeCell ref="AJ420:AO420"/>
    <mergeCell ref="AQ420:AU420"/>
    <mergeCell ref="B422:F422"/>
    <mergeCell ref="H422:K422"/>
    <mergeCell ref="M422:O422"/>
    <mergeCell ref="Q422:S422"/>
    <mergeCell ref="U422:W422"/>
    <mergeCell ref="Z422:AD422"/>
    <mergeCell ref="AF422:AI422"/>
    <mergeCell ref="AK422:AM422"/>
    <mergeCell ref="AO422:AQ422"/>
    <mergeCell ref="AS422:AU422"/>
    <mergeCell ref="B423:F423"/>
    <mergeCell ref="H423:K423"/>
    <mergeCell ref="M423:O423"/>
    <mergeCell ref="Q423:S423"/>
    <mergeCell ref="U423:W423"/>
    <mergeCell ref="Z423:AD423"/>
    <mergeCell ref="AF423:AI423"/>
    <mergeCell ref="AK423:AM423"/>
    <mergeCell ref="AO423:AQ423"/>
    <mergeCell ref="AS423:AU423"/>
    <mergeCell ref="E425:N425"/>
    <mergeCell ref="P425:R425"/>
    <mergeCell ref="AC425:AL425"/>
    <mergeCell ref="AN425:AP425"/>
    <mergeCell ref="B426:C426"/>
    <mergeCell ref="T426:W426"/>
    <mergeCell ref="Z426:AA426"/>
    <mergeCell ref="AR426:AU426"/>
    <mergeCell ref="B427:C427"/>
    <mergeCell ref="Z427:AA427"/>
    <mergeCell ref="B428:C428"/>
    <mergeCell ref="Z428:AA428"/>
    <mergeCell ref="B429:C429"/>
    <mergeCell ref="Z429:AA429"/>
    <mergeCell ref="B430:C430"/>
    <mergeCell ref="Z430:AA430"/>
    <mergeCell ref="B431:C431"/>
    <mergeCell ref="Z431:AA431"/>
    <mergeCell ref="B435:G435"/>
    <mergeCell ref="I435:W435"/>
    <mergeCell ref="Z435:AE435"/>
    <mergeCell ref="AG435:AU435"/>
    <mergeCell ref="B436:G436"/>
    <mergeCell ref="I436:W436"/>
    <mergeCell ref="Z436:AE436"/>
    <mergeCell ref="AG436:AU436"/>
    <mergeCell ref="I439:Q439"/>
    <mergeCell ref="R439:W439"/>
    <mergeCell ref="AG439:AO439"/>
    <mergeCell ref="AP439:AU439"/>
    <mergeCell ref="B442:AP442"/>
    <mergeCell ref="B443:AP443"/>
    <mergeCell ref="B444:AP444"/>
    <mergeCell ref="AR444:AT446"/>
    <mergeCell ref="H446:Q446"/>
    <mergeCell ref="AE446:AN446"/>
    <mergeCell ref="H447:Q447"/>
    <mergeCell ref="AE447:AN447"/>
    <mergeCell ref="B449:L449"/>
    <mergeCell ref="P449:W449"/>
    <mergeCell ref="Z449:AJ449"/>
    <mergeCell ref="AN449:AU449"/>
    <mergeCell ref="B450:M450"/>
    <mergeCell ref="P450:W450"/>
    <mergeCell ref="Z450:AK450"/>
    <mergeCell ref="AN450:AU450"/>
    <mergeCell ref="B452:J452"/>
    <mergeCell ref="L452:Q452"/>
    <mergeCell ref="S452:W452"/>
    <mergeCell ref="Z452:AH452"/>
    <mergeCell ref="AJ452:AO452"/>
    <mergeCell ref="AQ452:AU452"/>
    <mergeCell ref="B453:J453"/>
    <mergeCell ref="L453:Q453"/>
    <mergeCell ref="S453:W453"/>
    <mergeCell ref="Z453:AH453"/>
    <mergeCell ref="AJ453:AO453"/>
    <mergeCell ref="AQ453:AU453"/>
    <mergeCell ref="B455:F455"/>
    <mergeCell ref="H455:K455"/>
    <mergeCell ref="M455:O455"/>
    <mergeCell ref="Q455:S455"/>
    <mergeCell ref="U455:W455"/>
    <mergeCell ref="Z455:AD455"/>
    <mergeCell ref="AF455:AI455"/>
    <mergeCell ref="AK455:AM455"/>
    <mergeCell ref="AO455:AQ455"/>
    <mergeCell ref="AS455:AU455"/>
    <mergeCell ref="B456:F456"/>
    <mergeCell ref="H456:K456"/>
    <mergeCell ref="M456:O456"/>
    <mergeCell ref="Q456:S456"/>
    <mergeCell ref="U456:W456"/>
    <mergeCell ref="Z456:AD456"/>
    <mergeCell ref="AF456:AI456"/>
    <mergeCell ref="AK456:AM456"/>
    <mergeCell ref="AO456:AQ456"/>
    <mergeCell ref="AS456:AU456"/>
    <mergeCell ref="E458:N458"/>
    <mergeCell ref="P458:R458"/>
    <mergeCell ref="AC458:AL458"/>
    <mergeCell ref="AN458:AP458"/>
    <mergeCell ref="B459:C459"/>
    <mergeCell ref="T459:W459"/>
    <mergeCell ref="Z459:AA459"/>
    <mergeCell ref="AR459:AU459"/>
    <mergeCell ref="B460:C460"/>
    <mergeCell ref="Z460:AA460"/>
    <mergeCell ref="B461:C461"/>
    <mergeCell ref="Z461:AA461"/>
    <mergeCell ref="B462:C462"/>
    <mergeCell ref="Z462:AA462"/>
    <mergeCell ref="B463:C463"/>
    <mergeCell ref="Z463:AA463"/>
    <mergeCell ref="B464:C464"/>
    <mergeCell ref="Z464:AA464"/>
    <mergeCell ref="B468:G468"/>
    <mergeCell ref="I468:W468"/>
    <mergeCell ref="Z468:AE468"/>
    <mergeCell ref="AG468:AU468"/>
    <mergeCell ref="B469:G469"/>
    <mergeCell ref="I469:W469"/>
    <mergeCell ref="Z469:AE469"/>
    <mergeCell ref="AG469:AU469"/>
    <mergeCell ref="I472:Q472"/>
    <mergeCell ref="R472:W472"/>
    <mergeCell ref="AG472:AO472"/>
    <mergeCell ref="AP472:AU472"/>
    <mergeCell ref="AE476:AN476"/>
    <mergeCell ref="AE477:AN477"/>
    <mergeCell ref="B479:L479"/>
    <mergeCell ref="P479:W479"/>
    <mergeCell ref="Z479:AJ479"/>
    <mergeCell ref="AN479:AU479"/>
    <mergeCell ref="H476:Q476"/>
    <mergeCell ref="H477:Q477"/>
    <mergeCell ref="B480:M480"/>
    <mergeCell ref="P480:W480"/>
    <mergeCell ref="Z480:AK480"/>
    <mergeCell ref="AN480:AU480"/>
    <mergeCell ref="B482:J482"/>
    <mergeCell ref="L482:Q482"/>
    <mergeCell ref="S482:W482"/>
    <mergeCell ref="Z482:AH482"/>
    <mergeCell ref="AJ482:AO482"/>
    <mergeCell ref="AQ482:AU482"/>
    <mergeCell ref="B483:J483"/>
    <mergeCell ref="L483:Q483"/>
    <mergeCell ref="S483:W483"/>
    <mergeCell ref="Z483:AH483"/>
    <mergeCell ref="AJ483:AO483"/>
    <mergeCell ref="AQ483:AU483"/>
    <mergeCell ref="B485:F485"/>
    <mergeCell ref="H485:K485"/>
    <mergeCell ref="M485:O485"/>
    <mergeCell ref="Q485:S485"/>
    <mergeCell ref="U485:W485"/>
    <mergeCell ref="Z485:AD485"/>
    <mergeCell ref="AF485:AI485"/>
    <mergeCell ref="AK485:AM485"/>
    <mergeCell ref="AO485:AQ485"/>
    <mergeCell ref="AS485:AU485"/>
    <mergeCell ref="B486:F486"/>
    <mergeCell ref="H486:K486"/>
    <mergeCell ref="M486:O486"/>
    <mergeCell ref="Q486:S486"/>
    <mergeCell ref="U486:W486"/>
    <mergeCell ref="Z486:AD486"/>
    <mergeCell ref="AF486:AI486"/>
    <mergeCell ref="AK486:AM486"/>
    <mergeCell ref="AO486:AQ486"/>
    <mergeCell ref="AS486:AU486"/>
    <mergeCell ref="E488:N488"/>
    <mergeCell ref="P488:R488"/>
    <mergeCell ref="AC488:AL488"/>
    <mergeCell ref="AN488:AP488"/>
    <mergeCell ref="B489:C489"/>
    <mergeCell ref="T489:W489"/>
    <mergeCell ref="Z489:AA489"/>
    <mergeCell ref="AR489:AU489"/>
    <mergeCell ref="B490:C490"/>
    <mergeCell ref="Z490:AA490"/>
    <mergeCell ref="B491:C491"/>
    <mergeCell ref="Z491:AA491"/>
    <mergeCell ref="B492:C492"/>
    <mergeCell ref="Z492:AA492"/>
    <mergeCell ref="B493:C493"/>
    <mergeCell ref="Z493:AA493"/>
    <mergeCell ref="B494:C494"/>
    <mergeCell ref="Z494:AA494"/>
    <mergeCell ref="B498:G498"/>
    <mergeCell ref="I498:W498"/>
    <mergeCell ref="Z498:AE498"/>
    <mergeCell ref="AG498:AU498"/>
    <mergeCell ref="B499:G499"/>
    <mergeCell ref="I499:W499"/>
    <mergeCell ref="Z499:AE499"/>
    <mergeCell ref="AG499:AU499"/>
    <mergeCell ref="I502:Q502"/>
    <mergeCell ref="R502:W502"/>
    <mergeCell ref="AG502:AO502"/>
    <mergeCell ref="AP502:AU502"/>
    <mergeCell ref="B505:AP505"/>
    <mergeCell ref="B506:AP506"/>
    <mergeCell ref="B507:AP507"/>
    <mergeCell ref="AR507:AT509"/>
    <mergeCell ref="H509:Q509"/>
    <mergeCell ref="AE509:AN509"/>
    <mergeCell ref="H510:Q510"/>
    <mergeCell ref="AE510:AN510"/>
    <mergeCell ref="B512:L512"/>
    <mergeCell ref="P512:W512"/>
    <mergeCell ref="Z512:AJ512"/>
    <mergeCell ref="AN512:AU512"/>
    <mergeCell ref="B513:M513"/>
    <mergeCell ref="P513:W513"/>
    <mergeCell ref="Z513:AK513"/>
    <mergeCell ref="AN513:AU513"/>
    <mergeCell ref="B515:J515"/>
    <mergeCell ref="L515:Q515"/>
    <mergeCell ref="S515:W515"/>
    <mergeCell ref="Z515:AH515"/>
    <mergeCell ref="AJ515:AO515"/>
    <mergeCell ref="AQ515:AU515"/>
    <mergeCell ref="B516:J516"/>
    <mergeCell ref="L516:Q516"/>
    <mergeCell ref="S516:W516"/>
    <mergeCell ref="Z516:AH516"/>
    <mergeCell ref="AJ516:AO516"/>
    <mergeCell ref="AQ516:AU516"/>
    <mergeCell ref="B518:F518"/>
    <mergeCell ref="H518:K518"/>
    <mergeCell ref="M518:O518"/>
    <mergeCell ref="Q518:S518"/>
    <mergeCell ref="U518:W518"/>
    <mergeCell ref="Z518:AD518"/>
    <mergeCell ref="AF518:AI518"/>
    <mergeCell ref="AK518:AM518"/>
    <mergeCell ref="AO518:AQ518"/>
    <mergeCell ref="AS518:AU518"/>
    <mergeCell ref="B519:F519"/>
    <mergeCell ref="H519:K519"/>
    <mergeCell ref="M519:O519"/>
    <mergeCell ref="Q519:S519"/>
    <mergeCell ref="U519:W519"/>
    <mergeCell ref="Z519:AD519"/>
    <mergeCell ref="AF519:AI519"/>
    <mergeCell ref="AK519:AM519"/>
    <mergeCell ref="AO519:AQ519"/>
    <mergeCell ref="AS519:AU519"/>
    <mergeCell ref="E521:N521"/>
    <mergeCell ref="P521:R521"/>
    <mergeCell ref="AC521:AL521"/>
    <mergeCell ref="AN521:AP521"/>
    <mergeCell ref="B522:C522"/>
    <mergeCell ref="T522:W522"/>
    <mergeCell ref="Z522:AA522"/>
    <mergeCell ref="AR522:AU522"/>
    <mergeCell ref="B523:C523"/>
    <mergeCell ref="Z523:AA523"/>
    <mergeCell ref="B524:C524"/>
    <mergeCell ref="Z524:AA524"/>
    <mergeCell ref="B525:C525"/>
    <mergeCell ref="Z525:AA525"/>
    <mergeCell ref="B526:C526"/>
    <mergeCell ref="Z526:AA526"/>
    <mergeCell ref="B527:C527"/>
    <mergeCell ref="Z527:AA527"/>
    <mergeCell ref="B531:G531"/>
    <mergeCell ref="I531:W531"/>
    <mergeCell ref="Z531:AE531"/>
    <mergeCell ref="AG531:AU531"/>
    <mergeCell ref="B532:G532"/>
    <mergeCell ref="I532:W532"/>
    <mergeCell ref="Z532:AE532"/>
    <mergeCell ref="AG532:AU532"/>
    <mergeCell ref="I535:Q535"/>
    <mergeCell ref="R535:W535"/>
    <mergeCell ref="AG535:AO535"/>
    <mergeCell ref="AP535:AU535"/>
    <mergeCell ref="AE539:AN539"/>
    <mergeCell ref="AE540:AN540"/>
    <mergeCell ref="B542:L542"/>
    <mergeCell ref="P542:W542"/>
    <mergeCell ref="Z542:AJ542"/>
    <mergeCell ref="AN542:AU542"/>
    <mergeCell ref="H539:Q539"/>
    <mergeCell ref="H540:Q540"/>
    <mergeCell ref="B543:M543"/>
    <mergeCell ref="P543:W543"/>
    <mergeCell ref="Z543:AK543"/>
    <mergeCell ref="AN543:AU543"/>
    <mergeCell ref="B545:J545"/>
    <mergeCell ref="L545:Q545"/>
    <mergeCell ref="S545:W545"/>
    <mergeCell ref="Z545:AH545"/>
    <mergeCell ref="AJ545:AO545"/>
    <mergeCell ref="AQ545:AU545"/>
    <mergeCell ref="B546:J546"/>
    <mergeCell ref="L546:Q546"/>
    <mergeCell ref="S546:W546"/>
    <mergeCell ref="Z546:AH546"/>
    <mergeCell ref="AJ546:AO546"/>
    <mergeCell ref="AQ546:AU546"/>
    <mergeCell ref="B548:F548"/>
    <mergeCell ref="H548:K548"/>
    <mergeCell ref="M548:O548"/>
    <mergeCell ref="Q548:S548"/>
    <mergeCell ref="U548:W548"/>
    <mergeCell ref="Z548:AD548"/>
    <mergeCell ref="AF548:AI548"/>
    <mergeCell ref="AK548:AM548"/>
    <mergeCell ref="AO548:AQ548"/>
    <mergeCell ref="AS548:AU548"/>
    <mergeCell ref="B549:F549"/>
    <mergeCell ref="H549:K549"/>
    <mergeCell ref="M549:O549"/>
    <mergeCell ref="Q549:S549"/>
    <mergeCell ref="U549:W549"/>
    <mergeCell ref="Z549:AD549"/>
    <mergeCell ref="AF549:AI549"/>
    <mergeCell ref="AK549:AM549"/>
    <mergeCell ref="AO549:AQ549"/>
    <mergeCell ref="AS549:AU549"/>
    <mergeCell ref="E551:N551"/>
    <mergeCell ref="P551:R551"/>
    <mergeCell ref="AC551:AL551"/>
    <mergeCell ref="AN551:AP551"/>
    <mergeCell ref="B552:C552"/>
    <mergeCell ref="T552:W552"/>
    <mergeCell ref="Z552:AA552"/>
    <mergeCell ref="AR552:AU552"/>
    <mergeCell ref="B553:C553"/>
    <mergeCell ref="Z553:AA553"/>
    <mergeCell ref="B554:C554"/>
    <mergeCell ref="Z554:AA554"/>
    <mergeCell ref="B555:C555"/>
    <mergeCell ref="Z555:AA555"/>
    <mergeCell ref="B556:C556"/>
    <mergeCell ref="Z556:AA556"/>
    <mergeCell ref="B557:C557"/>
    <mergeCell ref="Z557:AA557"/>
    <mergeCell ref="B561:G561"/>
    <mergeCell ref="I561:W561"/>
    <mergeCell ref="Z561:AE561"/>
    <mergeCell ref="AG561:AU561"/>
    <mergeCell ref="B562:G562"/>
    <mergeCell ref="I562:W562"/>
    <mergeCell ref="Z562:AE562"/>
    <mergeCell ref="AG562:AU562"/>
    <mergeCell ref="I565:Q565"/>
    <mergeCell ref="R565:W565"/>
    <mergeCell ref="AG565:AO565"/>
    <mergeCell ref="AP565:AU565"/>
    <mergeCell ref="B568:AP568"/>
    <mergeCell ref="B569:AP569"/>
    <mergeCell ref="B570:AP570"/>
    <mergeCell ref="AR570:AT572"/>
    <mergeCell ref="H572:Q572"/>
    <mergeCell ref="AE572:AN572"/>
    <mergeCell ref="H573:Q573"/>
    <mergeCell ref="AE573:AN573"/>
    <mergeCell ref="B575:L575"/>
    <mergeCell ref="P575:W575"/>
    <mergeCell ref="Z575:AJ575"/>
    <mergeCell ref="AN575:AU575"/>
    <mergeCell ref="B576:M576"/>
    <mergeCell ref="P576:W576"/>
    <mergeCell ref="Z576:AK576"/>
    <mergeCell ref="AN576:AU576"/>
    <mergeCell ref="B578:J578"/>
    <mergeCell ref="L578:Q578"/>
    <mergeCell ref="S578:W578"/>
    <mergeCell ref="Z578:AH578"/>
    <mergeCell ref="AJ578:AO578"/>
    <mergeCell ref="AQ578:AU578"/>
    <mergeCell ref="B579:J579"/>
    <mergeCell ref="L579:Q579"/>
    <mergeCell ref="S579:W579"/>
    <mergeCell ref="Z579:AH579"/>
    <mergeCell ref="AJ579:AO579"/>
    <mergeCell ref="AQ579:AU579"/>
    <mergeCell ref="B581:F581"/>
    <mergeCell ref="H581:K581"/>
    <mergeCell ref="M581:O581"/>
    <mergeCell ref="Q581:S581"/>
    <mergeCell ref="U581:W581"/>
    <mergeCell ref="Z581:AD581"/>
    <mergeCell ref="AF581:AI581"/>
    <mergeCell ref="AK581:AM581"/>
    <mergeCell ref="AO581:AQ581"/>
    <mergeCell ref="AS581:AU581"/>
    <mergeCell ref="B582:F582"/>
    <mergeCell ref="H582:K582"/>
    <mergeCell ref="M582:O582"/>
    <mergeCell ref="Q582:S582"/>
    <mergeCell ref="U582:W582"/>
    <mergeCell ref="Z582:AD582"/>
    <mergeCell ref="AF582:AI582"/>
    <mergeCell ref="AK582:AM582"/>
    <mergeCell ref="AO582:AQ582"/>
    <mergeCell ref="AS582:AU582"/>
    <mergeCell ref="E584:N584"/>
    <mergeCell ref="P584:R584"/>
    <mergeCell ref="AC584:AL584"/>
    <mergeCell ref="AN584:AP584"/>
    <mergeCell ref="B585:C585"/>
    <mergeCell ref="T585:W585"/>
    <mergeCell ref="Z585:AA585"/>
    <mergeCell ref="AR585:AU585"/>
    <mergeCell ref="B586:C586"/>
    <mergeCell ref="Z586:AA586"/>
    <mergeCell ref="B587:C587"/>
    <mergeCell ref="Z587:AA587"/>
    <mergeCell ref="B588:C588"/>
    <mergeCell ref="Z588:AA588"/>
    <mergeCell ref="B589:C589"/>
    <mergeCell ref="Z589:AA589"/>
    <mergeCell ref="B590:C590"/>
    <mergeCell ref="Z590:AA590"/>
    <mergeCell ref="B594:G594"/>
    <mergeCell ref="I594:W594"/>
    <mergeCell ref="Z594:AE594"/>
    <mergeCell ref="AG594:AU594"/>
    <mergeCell ref="B595:G595"/>
    <mergeCell ref="I595:W595"/>
    <mergeCell ref="Z595:AE595"/>
    <mergeCell ref="AG595:AU595"/>
    <mergeCell ref="I598:Q598"/>
    <mergeCell ref="R598:W598"/>
    <mergeCell ref="AG598:AO598"/>
    <mergeCell ref="AP598:AU598"/>
    <mergeCell ref="AE602:AN602"/>
    <mergeCell ref="AE603:AN603"/>
    <mergeCell ref="B605:L605"/>
    <mergeCell ref="P605:W605"/>
    <mergeCell ref="Z605:AJ605"/>
    <mergeCell ref="AN605:AU605"/>
    <mergeCell ref="H602:Q602"/>
    <mergeCell ref="H603:Q603"/>
    <mergeCell ref="B606:M606"/>
    <mergeCell ref="P606:W606"/>
    <mergeCell ref="Z606:AK606"/>
    <mergeCell ref="AN606:AU606"/>
    <mergeCell ref="B608:J608"/>
    <mergeCell ref="L608:Q608"/>
    <mergeCell ref="S608:W608"/>
    <mergeCell ref="Z608:AH608"/>
    <mergeCell ref="AJ608:AO608"/>
    <mergeCell ref="AQ608:AU608"/>
    <mergeCell ref="B609:J609"/>
    <mergeCell ref="L609:Q609"/>
    <mergeCell ref="S609:W609"/>
    <mergeCell ref="Z609:AH609"/>
    <mergeCell ref="AJ609:AO609"/>
    <mergeCell ref="AQ609:AU609"/>
    <mergeCell ref="B611:F611"/>
    <mergeCell ref="H611:K611"/>
    <mergeCell ref="M611:O611"/>
    <mergeCell ref="Q611:S611"/>
    <mergeCell ref="U611:W611"/>
    <mergeCell ref="Z611:AD611"/>
    <mergeCell ref="AF611:AI611"/>
    <mergeCell ref="AK611:AM611"/>
    <mergeCell ref="AO611:AQ611"/>
    <mergeCell ref="AS611:AU611"/>
    <mergeCell ref="B612:F612"/>
    <mergeCell ref="H612:K612"/>
    <mergeCell ref="M612:O612"/>
    <mergeCell ref="Q612:S612"/>
    <mergeCell ref="U612:W612"/>
    <mergeCell ref="Z612:AD612"/>
    <mergeCell ref="AF612:AI612"/>
    <mergeCell ref="AK612:AM612"/>
    <mergeCell ref="AO612:AQ612"/>
    <mergeCell ref="AS612:AU612"/>
    <mergeCell ref="E614:N614"/>
    <mergeCell ref="P614:R614"/>
    <mergeCell ref="AC614:AL614"/>
    <mergeCell ref="AN614:AP614"/>
    <mergeCell ref="B615:C615"/>
    <mergeCell ref="T615:W615"/>
    <mergeCell ref="Z615:AA615"/>
    <mergeCell ref="AR615:AU615"/>
    <mergeCell ref="B616:C616"/>
    <mergeCell ref="Z616:AA616"/>
    <mergeCell ref="B617:C617"/>
    <mergeCell ref="Z617:AA617"/>
    <mergeCell ref="B618:C618"/>
    <mergeCell ref="Z618:AA618"/>
    <mergeCell ref="B619:C619"/>
    <mergeCell ref="Z619:AA619"/>
    <mergeCell ref="B620:C620"/>
    <mergeCell ref="Z620:AA620"/>
    <mergeCell ref="B624:G624"/>
    <mergeCell ref="I624:W624"/>
    <mergeCell ref="Z624:AE624"/>
    <mergeCell ref="AG624:AU624"/>
    <mergeCell ref="B625:G625"/>
    <mergeCell ref="I625:W625"/>
    <mergeCell ref="Z625:AE625"/>
    <mergeCell ref="AG625:AU625"/>
    <mergeCell ref="I628:Q628"/>
    <mergeCell ref="R628:W628"/>
    <mergeCell ref="AG628:AO628"/>
    <mergeCell ref="AP628:AU628"/>
    <mergeCell ref="B631:AP631"/>
    <mergeCell ref="B632:AP632"/>
    <mergeCell ref="B633:AP633"/>
    <mergeCell ref="AR633:AT635"/>
    <mergeCell ref="H635:Q635"/>
    <mergeCell ref="AE635:AN635"/>
    <mergeCell ref="H636:Q636"/>
    <mergeCell ref="AE636:AN636"/>
    <mergeCell ref="B638:L638"/>
    <mergeCell ref="P638:W638"/>
    <mergeCell ref="Z638:AJ638"/>
    <mergeCell ref="AN638:AU638"/>
    <mergeCell ref="B639:M639"/>
    <mergeCell ref="P639:W639"/>
    <mergeCell ref="Z639:AK639"/>
    <mergeCell ref="AN639:AU639"/>
    <mergeCell ref="B641:J641"/>
    <mergeCell ref="L641:Q641"/>
    <mergeCell ref="S641:W641"/>
    <mergeCell ref="Z641:AH641"/>
    <mergeCell ref="AJ641:AO641"/>
    <mergeCell ref="AQ641:AU641"/>
    <mergeCell ref="B642:J642"/>
    <mergeCell ref="L642:Q642"/>
    <mergeCell ref="S642:W642"/>
    <mergeCell ref="Z642:AH642"/>
    <mergeCell ref="AJ642:AO642"/>
    <mergeCell ref="AQ642:AU642"/>
    <mergeCell ref="B644:F644"/>
    <mergeCell ref="H644:K644"/>
    <mergeCell ref="M644:O644"/>
    <mergeCell ref="Q644:S644"/>
    <mergeCell ref="U644:W644"/>
    <mergeCell ref="Z644:AD644"/>
    <mergeCell ref="AF644:AI644"/>
    <mergeCell ref="AK644:AM644"/>
    <mergeCell ref="AO644:AQ644"/>
    <mergeCell ref="AS644:AU644"/>
    <mergeCell ref="B645:F645"/>
    <mergeCell ref="H645:K645"/>
    <mergeCell ref="M645:O645"/>
    <mergeCell ref="Q645:S645"/>
    <mergeCell ref="U645:W645"/>
    <mergeCell ref="Z645:AD645"/>
    <mergeCell ref="AF645:AI645"/>
    <mergeCell ref="AK645:AM645"/>
    <mergeCell ref="AO645:AQ645"/>
    <mergeCell ref="AS645:AU645"/>
    <mergeCell ref="E647:N647"/>
    <mergeCell ref="P647:R647"/>
    <mergeCell ref="AC647:AL647"/>
    <mergeCell ref="AN647:AP647"/>
    <mergeCell ref="B648:C648"/>
    <mergeCell ref="T648:W648"/>
    <mergeCell ref="Z648:AA648"/>
    <mergeCell ref="AR648:AU648"/>
    <mergeCell ref="B649:C649"/>
    <mergeCell ref="Z649:AA649"/>
    <mergeCell ref="B650:C650"/>
    <mergeCell ref="Z650:AA650"/>
    <mergeCell ref="B651:C651"/>
    <mergeCell ref="Z651:AA651"/>
    <mergeCell ref="B652:C652"/>
    <mergeCell ref="Z652:AA652"/>
    <mergeCell ref="B653:C653"/>
    <mergeCell ref="Z653:AA653"/>
    <mergeCell ref="B657:G657"/>
    <mergeCell ref="I657:W657"/>
    <mergeCell ref="Z657:AE657"/>
    <mergeCell ref="AG657:AU657"/>
    <mergeCell ref="B658:G658"/>
    <mergeCell ref="I658:W658"/>
    <mergeCell ref="Z658:AE658"/>
    <mergeCell ref="AG658:AU658"/>
    <mergeCell ref="I661:Q661"/>
    <mergeCell ref="R661:W661"/>
    <mergeCell ref="AG661:AO661"/>
    <mergeCell ref="AP661:AU661"/>
    <mergeCell ref="AE665:AN665"/>
    <mergeCell ref="AE666:AN666"/>
    <mergeCell ref="B668:L668"/>
    <mergeCell ref="P668:W668"/>
    <mergeCell ref="Z668:AJ668"/>
    <mergeCell ref="AN668:AU668"/>
    <mergeCell ref="H665:Q665"/>
    <mergeCell ref="H666:Q666"/>
    <mergeCell ref="B669:M669"/>
    <mergeCell ref="P669:W669"/>
    <mergeCell ref="Z669:AK669"/>
    <mergeCell ref="AN669:AU669"/>
    <mergeCell ref="B671:J671"/>
    <mergeCell ref="L671:Q671"/>
    <mergeCell ref="S671:W671"/>
    <mergeCell ref="Z671:AH671"/>
    <mergeCell ref="AJ671:AO671"/>
    <mergeCell ref="AQ671:AU671"/>
    <mergeCell ref="B672:J672"/>
    <mergeCell ref="L672:Q672"/>
    <mergeCell ref="S672:W672"/>
    <mergeCell ref="Z672:AH672"/>
    <mergeCell ref="AJ672:AO672"/>
    <mergeCell ref="AQ672:AU672"/>
    <mergeCell ref="B674:F674"/>
    <mergeCell ref="H674:K674"/>
    <mergeCell ref="M674:O674"/>
    <mergeCell ref="Q674:S674"/>
    <mergeCell ref="U674:W674"/>
    <mergeCell ref="Z674:AD674"/>
    <mergeCell ref="AF674:AI674"/>
    <mergeCell ref="AK674:AM674"/>
    <mergeCell ref="AO674:AQ674"/>
    <mergeCell ref="AS674:AU674"/>
    <mergeCell ref="B675:F675"/>
    <mergeCell ref="H675:K675"/>
    <mergeCell ref="M675:O675"/>
    <mergeCell ref="Q675:S675"/>
    <mergeCell ref="U675:W675"/>
    <mergeCell ref="Z675:AD675"/>
    <mergeCell ref="AF675:AI675"/>
    <mergeCell ref="AK675:AM675"/>
    <mergeCell ref="AO675:AQ675"/>
    <mergeCell ref="AS675:AU675"/>
    <mergeCell ref="E677:N677"/>
    <mergeCell ref="P677:R677"/>
    <mergeCell ref="AC677:AL677"/>
    <mergeCell ref="AN677:AP677"/>
    <mergeCell ref="B678:C678"/>
    <mergeCell ref="T678:W678"/>
    <mergeCell ref="Z678:AA678"/>
    <mergeCell ref="AR678:AU678"/>
    <mergeCell ref="B679:C679"/>
    <mergeCell ref="Z679:AA679"/>
    <mergeCell ref="B680:C680"/>
    <mergeCell ref="Z680:AA680"/>
    <mergeCell ref="B681:C681"/>
    <mergeCell ref="Z681:AA681"/>
    <mergeCell ref="B682:C682"/>
    <mergeCell ref="Z682:AA682"/>
    <mergeCell ref="B683:C683"/>
    <mergeCell ref="Z683:AA683"/>
    <mergeCell ref="B687:G687"/>
    <mergeCell ref="I687:W687"/>
    <mergeCell ref="Z687:AE687"/>
    <mergeCell ref="AG687:AU687"/>
    <mergeCell ref="B688:G688"/>
    <mergeCell ref="I688:W688"/>
    <mergeCell ref="Z688:AE688"/>
    <mergeCell ref="AG688:AU688"/>
    <mergeCell ref="I691:Q691"/>
    <mergeCell ref="R691:W691"/>
    <mergeCell ref="AG691:AO691"/>
    <mergeCell ref="AP691:AU691"/>
    <mergeCell ref="B694:AP694"/>
    <mergeCell ref="B695:AP695"/>
    <mergeCell ref="B696:AP696"/>
    <mergeCell ref="AR696:AT698"/>
    <mergeCell ref="H698:Q698"/>
    <mergeCell ref="AE698:AN698"/>
    <mergeCell ref="H699:Q699"/>
    <mergeCell ref="AE699:AN699"/>
    <mergeCell ref="B701:L701"/>
    <mergeCell ref="P701:W701"/>
    <mergeCell ref="Z701:AJ701"/>
    <mergeCell ref="AN701:AU701"/>
    <mergeCell ref="B702:M702"/>
    <mergeCell ref="P702:W702"/>
    <mergeCell ref="Z702:AK702"/>
    <mergeCell ref="AN702:AU702"/>
    <mergeCell ref="B704:J704"/>
    <mergeCell ref="L704:Q704"/>
    <mergeCell ref="S704:W704"/>
    <mergeCell ref="Z704:AH704"/>
    <mergeCell ref="AJ704:AO704"/>
    <mergeCell ref="AQ704:AU704"/>
    <mergeCell ref="B705:J705"/>
    <mergeCell ref="L705:Q705"/>
    <mergeCell ref="S705:W705"/>
    <mergeCell ref="Z705:AH705"/>
    <mergeCell ref="AJ705:AO705"/>
    <mergeCell ref="AQ705:AU705"/>
    <mergeCell ref="B707:F707"/>
    <mergeCell ref="H707:K707"/>
    <mergeCell ref="M707:O707"/>
    <mergeCell ref="Q707:S707"/>
    <mergeCell ref="U707:W707"/>
    <mergeCell ref="Z707:AD707"/>
    <mergeCell ref="AF707:AI707"/>
    <mergeCell ref="AK707:AM707"/>
    <mergeCell ref="AO707:AQ707"/>
    <mergeCell ref="AS707:AU707"/>
    <mergeCell ref="B708:F708"/>
    <mergeCell ref="H708:K708"/>
    <mergeCell ref="M708:O708"/>
    <mergeCell ref="Q708:S708"/>
    <mergeCell ref="U708:W708"/>
    <mergeCell ref="Z708:AD708"/>
    <mergeCell ref="AF708:AI708"/>
    <mergeCell ref="AK708:AM708"/>
    <mergeCell ref="AO708:AQ708"/>
    <mergeCell ref="AS708:AU708"/>
    <mergeCell ref="E710:N710"/>
    <mergeCell ref="P710:R710"/>
    <mergeCell ref="AC710:AL710"/>
    <mergeCell ref="AN710:AP710"/>
    <mergeCell ref="B711:C711"/>
    <mergeCell ref="T711:W711"/>
    <mergeCell ref="Z711:AA711"/>
    <mergeCell ref="AR711:AU711"/>
    <mergeCell ref="B712:C712"/>
    <mergeCell ref="Z712:AA712"/>
    <mergeCell ref="B713:C713"/>
    <mergeCell ref="Z713:AA713"/>
    <mergeCell ref="B714:C714"/>
    <mergeCell ref="Z714:AA714"/>
    <mergeCell ref="B715:C715"/>
    <mergeCell ref="Z715:AA715"/>
    <mergeCell ref="B716:C716"/>
    <mergeCell ref="Z716:AA716"/>
    <mergeCell ref="B720:G720"/>
    <mergeCell ref="I720:W720"/>
    <mergeCell ref="Z720:AE720"/>
    <mergeCell ref="AG720:AU720"/>
    <mergeCell ref="B721:G721"/>
    <mergeCell ref="I721:W721"/>
    <mergeCell ref="Z721:AE721"/>
    <mergeCell ref="AG721:AU721"/>
    <mergeCell ref="I724:Q724"/>
    <mergeCell ref="R724:W724"/>
    <mergeCell ref="AG724:AO724"/>
    <mergeCell ref="AP724:AU724"/>
    <mergeCell ref="AE728:AN728"/>
    <mergeCell ref="AE729:AN729"/>
    <mergeCell ref="B731:L731"/>
    <mergeCell ref="P731:W731"/>
    <mergeCell ref="Z731:AJ731"/>
    <mergeCell ref="AN731:AU731"/>
    <mergeCell ref="H728:Q728"/>
    <mergeCell ref="H729:Q729"/>
    <mergeCell ref="B732:M732"/>
    <mergeCell ref="P732:W732"/>
    <mergeCell ref="Z732:AK732"/>
    <mergeCell ref="AN732:AU732"/>
    <mergeCell ref="B734:J734"/>
    <mergeCell ref="L734:Q734"/>
    <mergeCell ref="S734:W734"/>
    <mergeCell ref="Z734:AH734"/>
    <mergeCell ref="AJ734:AO734"/>
    <mergeCell ref="AQ734:AU734"/>
    <mergeCell ref="B735:J735"/>
    <mergeCell ref="L735:Q735"/>
    <mergeCell ref="S735:W735"/>
    <mergeCell ref="Z735:AH735"/>
    <mergeCell ref="AJ735:AO735"/>
    <mergeCell ref="AQ735:AU735"/>
    <mergeCell ref="B737:F737"/>
    <mergeCell ref="H737:K737"/>
    <mergeCell ref="M737:O737"/>
    <mergeCell ref="Q737:S737"/>
    <mergeCell ref="U737:W737"/>
    <mergeCell ref="Z737:AD737"/>
    <mergeCell ref="AF737:AI737"/>
    <mergeCell ref="AK737:AM737"/>
    <mergeCell ref="AO737:AQ737"/>
    <mergeCell ref="AS737:AU737"/>
    <mergeCell ref="B738:F738"/>
    <mergeCell ref="H738:K738"/>
    <mergeCell ref="M738:O738"/>
    <mergeCell ref="Q738:S738"/>
    <mergeCell ref="U738:W738"/>
    <mergeCell ref="Z738:AD738"/>
    <mergeCell ref="AF738:AI738"/>
    <mergeCell ref="AK738:AM738"/>
    <mergeCell ref="AO738:AQ738"/>
    <mergeCell ref="AS738:AU738"/>
    <mergeCell ref="E740:N740"/>
    <mergeCell ref="P740:R740"/>
    <mergeCell ref="AC740:AL740"/>
    <mergeCell ref="AN740:AP740"/>
    <mergeCell ref="B741:C741"/>
    <mergeCell ref="T741:W741"/>
    <mergeCell ref="Z741:AA741"/>
    <mergeCell ref="AR741:AU741"/>
    <mergeCell ref="B742:C742"/>
    <mergeCell ref="Z742:AA742"/>
    <mergeCell ref="B743:C743"/>
    <mergeCell ref="Z743:AA743"/>
    <mergeCell ref="B744:C744"/>
    <mergeCell ref="Z744:AA744"/>
    <mergeCell ref="B745:C745"/>
    <mergeCell ref="Z745:AA745"/>
    <mergeCell ref="B746:C746"/>
    <mergeCell ref="Z746:AA746"/>
    <mergeCell ref="B750:G750"/>
    <mergeCell ref="I750:W750"/>
    <mergeCell ref="Z750:AE750"/>
    <mergeCell ref="AG750:AU750"/>
    <mergeCell ref="B751:G751"/>
    <mergeCell ref="I751:W751"/>
    <mergeCell ref="Z751:AE751"/>
    <mergeCell ref="AG751:AU751"/>
    <mergeCell ref="I754:Q754"/>
    <mergeCell ref="R754:W754"/>
    <mergeCell ref="AG754:AO754"/>
    <mergeCell ref="AP754:AU754"/>
    <mergeCell ref="B757:AP757"/>
    <mergeCell ref="B758:AP758"/>
    <mergeCell ref="B759:AP759"/>
    <mergeCell ref="AR759:AT761"/>
    <mergeCell ref="H761:Q761"/>
    <mergeCell ref="AE761:AN761"/>
    <mergeCell ref="H762:Q762"/>
    <mergeCell ref="AE762:AN762"/>
    <mergeCell ref="B764:L764"/>
    <mergeCell ref="P764:W764"/>
    <mergeCell ref="Z764:AJ764"/>
    <mergeCell ref="AN764:AU764"/>
    <mergeCell ref="B765:M765"/>
    <mergeCell ref="P765:W765"/>
    <mergeCell ref="Z765:AK765"/>
    <mergeCell ref="AN765:AU765"/>
    <mergeCell ref="B767:J767"/>
    <mergeCell ref="L767:Q767"/>
    <mergeCell ref="S767:W767"/>
    <mergeCell ref="Z767:AH767"/>
    <mergeCell ref="AJ767:AO767"/>
    <mergeCell ref="AQ767:AU767"/>
    <mergeCell ref="B768:J768"/>
    <mergeCell ref="L768:Q768"/>
    <mergeCell ref="S768:W768"/>
    <mergeCell ref="Z768:AH768"/>
    <mergeCell ref="AJ768:AO768"/>
    <mergeCell ref="AQ768:AU768"/>
    <mergeCell ref="B770:F770"/>
    <mergeCell ref="H770:K770"/>
    <mergeCell ref="M770:O770"/>
    <mergeCell ref="Q770:S770"/>
    <mergeCell ref="U770:W770"/>
    <mergeCell ref="Z770:AD770"/>
    <mergeCell ref="AF770:AI770"/>
    <mergeCell ref="AK770:AM770"/>
    <mergeCell ref="AO770:AQ770"/>
    <mergeCell ref="AS770:AU770"/>
    <mergeCell ref="B771:F771"/>
    <mergeCell ref="H771:K771"/>
    <mergeCell ref="M771:O771"/>
    <mergeCell ref="Q771:S771"/>
    <mergeCell ref="U771:W771"/>
    <mergeCell ref="Z771:AD771"/>
    <mergeCell ref="AF771:AI771"/>
    <mergeCell ref="AK771:AM771"/>
    <mergeCell ref="AO771:AQ771"/>
    <mergeCell ref="AS771:AU771"/>
    <mergeCell ref="E773:N773"/>
    <mergeCell ref="P773:R773"/>
    <mergeCell ref="AC773:AL773"/>
    <mergeCell ref="AN773:AP773"/>
    <mergeCell ref="B774:C774"/>
    <mergeCell ref="T774:W774"/>
    <mergeCell ref="Z774:AA774"/>
    <mergeCell ref="AR774:AU774"/>
    <mergeCell ref="B775:C775"/>
    <mergeCell ref="Z775:AA775"/>
    <mergeCell ref="B776:C776"/>
    <mergeCell ref="Z776:AA776"/>
    <mergeCell ref="B777:C777"/>
    <mergeCell ref="Z777:AA777"/>
    <mergeCell ref="B778:C778"/>
    <mergeCell ref="Z778:AA778"/>
    <mergeCell ref="B779:C779"/>
    <mergeCell ref="Z779:AA779"/>
    <mergeCell ref="B783:G783"/>
    <mergeCell ref="I783:W783"/>
    <mergeCell ref="Z783:AE783"/>
    <mergeCell ref="AG783:AU783"/>
    <mergeCell ref="B784:G784"/>
    <mergeCell ref="I784:W784"/>
    <mergeCell ref="Z784:AE784"/>
    <mergeCell ref="AG784:AU784"/>
    <mergeCell ref="I787:Q787"/>
    <mergeCell ref="R787:W787"/>
    <mergeCell ref="AG787:AO787"/>
    <mergeCell ref="AP787:AU787"/>
    <mergeCell ref="AE791:AN791"/>
    <mergeCell ref="AE792:AN792"/>
    <mergeCell ref="B794:L794"/>
    <mergeCell ref="P794:W794"/>
    <mergeCell ref="Z794:AJ794"/>
    <mergeCell ref="AN794:AU794"/>
    <mergeCell ref="H791:Q791"/>
    <mergeCell ref="H792:Q792"/>
    <mergeCell ref="B795:M795"/>
    <mergeCell ref="P795:W795"/>
    <mergeCell ref="Z795:AK795"/>
    <mergeCell ref="AN795:AU795"/>
    <mergeCell ref="B797:J797"/>
    <mergeCell ref="L797:Q797"/>
    <mergeCell ref="S797:W797"/>
    <mergeCell ref="Z797:AH797"/>
    <mergeCell ref="AJ797:AO797"/>
    <mergeCell ref="AQ797:AU797"/>
    <mergeCell ref="B798:J798"/>
    <mergeCell ref="L798:Q798"/>
    <mergeCell ref="S798:W798"/>
    <mergeCell ref="Z798:AH798"/>
    <mergeCell ref="AJ798:AO798"/>
    <mergeCell ref="AQ798:AU798"/>
    <mergeCell ref="B800:F800"/>
    <mergeCell ref="H800:K800"/>
    <mergeCell ref="M800:O800"/>
    <mergeCell ref="Q800:S800"/>
    <mergeCell ref="U800:W800"/>
    <mergeCell ref="Z800:AD800"/>
    <mergeCell ref="AF800:AI800"/>
    <mergeCell ref="AK800:AM800"/>
    <mergeCell ref="AO800:AQ800"/>
    <mergeCell ref="AS800:AU800"/>
    <mergeCell ref="B801:F801"/>
    <mergeCell ref="H801:K801"/>
    <mergeCell ref="M801:O801"/>
    <mergeCell ref="Q801:S801"/>
    <mergeCell ref="U801:W801"/>
    <mergeCell ref="Z801:AD801"/>
    <mergeCell ref="AF801:AI801"/>
    <mergeCell ref="AK801:AM801"/>
    <mergeCell ref="AO801:AQ801"/>
    <mergeCell ref="AS801:AU801"/>
    <mergeCell ref="E803:N803"/>
    <mergeCell ref="P803:R803"/>
    <mergeCell ref="AC803:AL803"/>
    <mergeCell ref="AN803:AP803"/>
    <mergeCell ref="B804:C804"/>
    <mergeCell ref="T804:W804"/>
    <mergeCell ref="Z804:AA804"/>
    <mergeCell ref="AR804:AU804"/>
    <mergeCell ref="B805:C805"/>
    <mergeCell ref="Z805:AA805"/>
    <mergeCell ref="B806:C806"/>
    <mergeCell ref="Z806:AA806"/>
    <mergeCell ref="B807:C807"/>
    <mergeCell ref="Z807:AA807"/>
    <mergeCell ref="B808:C808"/>
    <mergeCell ref="Z808:AA808"/>
    <mergeCell ref="B809:C809"/>
    <mergeCell ref="Z809:AA809"/>
    <mergeCell ref="B813:G813"/>
    <mergeCell ref="I813:W813"/>
    <mergeCell ref="Z813:AE813"/>
    <mergeCell ref="AG813:AU813"/>
    <mergeCell ref="B814:G814"/>
    <mergeCell ref="I814:W814"/>
    <mergeCell ref="Z814:AE814"/>
    <mergeCell ref="AG814:AU814"/>
    <mergeCell ref="I817:Q817"/>
    <mergeCell ref="R817:W817"/>
    <mergeCell ref="AG817:AO817"/>
    <mergeCell ref="AP817:AU817"/>
    <mergeCell ref="B820:AP820"/>
    <mergeCell ref="B821:AP821"/>
    <mergeCell ref="B822:AP822"/>
    <mergeCell ref="AR822:AT824"/>
    <mergeCell ref="H824:Q824"/>
    <mergeCell ref="AE824:AN824"/>
    <mergeCell ref="H825:Q825"/>
    <mergeCell ref="AE825:AN825"/>
    <mergeCell ref="B827:L827"/>
    <mergeCell ref="P827:W827"/>
    <mergeCell ref="Z827:AJ827"/>
    <mergeCell ref="AN827:AU827"/>
    <mergeCell ref="B828:M828"/>
    <mergeCell ref="P828:W828"/>
    <mergeCell ref="Z828:AK828"/>
    <mergeCell ref="AN828:AU828"/>
    <mergeCell ref="B830:J830"/>
    <mergeCell ref="L830:Q830"/>
    <mergeCell ref="S830:W830"/>
    <mergeCell ref="Z830:AH830"/>
    <mergeCell ref="AJ830:AO830"/>
    <mergeCell ref="AQ830:AU830"/>
    <mergeCell ref="B831:J831"/>
    <mergeCell ref="L831:Q831"/>
    <mergeCell ref="S831:W831"/>
    <mergeCell ref="Z831:AH831"/>
    <mergeCell ref="AJ831:AO831"/>
    <mergeCell ref="AQ831:AU831"/>
    <mergeCell ref="B833:F833"/>
    <mergeCell ref="H833:K833"/>
    <mergeCell ref="M833:O833"/>
    <mergeCell ref="Q833:S833"/>
    <mergeCell ref="U833:W833"/>
    <mergeCell ref="Z833:AD833"/>
    <mergeCell ref="AF833:AI833"/>
    <mergeCell ref="AK833:AM833"/>
    <mergeCell ref="AO833:AQ833"/>
    <mergeCell ref="AS833:AU833"/>
    <mergeCell ref="B834:F834"/>
    <mergeCell ref="H834:K834"/>
    <mergeCell ref="M834:O834"/>
    <mergeCell ref="Q834:S834"/>
    <mergeCell ref="U834:W834"/>
    <mergeCell ref="Z834:AD834"/>
    <mergeCell ref="AF834:AI834"/>
    <mergeCell ref="AK834:AM834"/>
    <mergeCell ref="AO834:AQ834"/>
    <mergeCell ref="AS834:AU834"/>
    <mergeCell ref="E836:N836"/>
    <mergeCell ref="P836:R836"/>
    <mergeCell ref="AC836:AL836"/>
    <mergeCell ref="AN836:AP836"/>
    <mergeCell ref="B837:C837"/>
    <mergeCell ref="T837:W837"/>
    <mergeCell ref="Z837:AA837"/>
    <mergeCell ref="AR837:AU837"/>
    <mergeCell ref="B838:C838"/>
    <mergeCell ref="Z838:AA838"/>
    <mergeCell ref="B839:C839"/>
    <mergeCell ref="Z839:AA839"/>
    <mergeCell ref="B840:C840"/>
    <mergeCell ref="Z840:AA840"/>
    <mergeCell ref="B841:C841"/>
    <mergeCell ref="Z841:AA841"/>
    <mergeCell ref="B842:C842"/>
    <mergeCell ref="Z842:AA842"/>
    <mergeCell ref="B846:G846"/>
    <mergeCell ref="I846:W846"/>
    <mergeCell ref="Z846:AE846"/>
    <mergeCell ref="AG846:AU846"/>
    <mergeCell ref="B847:G847"/>
    <mergeCell ref="I847:W847"/>
    <mergeCell ref="Z847:AE847"/>
    <mergeCell ref="AG847:AU847"/>
    <mergeCell ref="I850:Q850"/>
    <mergeCell ref="R850:W850"/>
    <mergeCell ref="AG850:AO850"/>
    <mergeCell ref="AP850:AU850"/>
    <mergeCell ref="AE854:AN854"/>
    <mergeCell ref="AE855:AN855"/>
    <mergeCell ref="B857:L857"/>
    <mergeCell ref="P857:W857"/>
    <mergeCell ref="Z857:AJ857"/>
    <mergeCell ref="AN857:AU857"/>
    <mergeCell ref="H854:Q854"/>
    <mergeCell ref="H855:Q855"/>
    <mergeCell ref="B858:M858"/>
    <mergeCell ref="P858:W858"/>
    <mergeCell ref="Z858:AK858"/>
    <mergeCell ref="AN858:AU858"/>
    <mergeCell ref="B860:J860"/>
    <mergeCell ref="L860:Q860"/>
    <mergeCell ref="S860:W860"/>
    <mergeCell ref="Z860:AH860"/>
    <mergeCell ref="AJ860:AO860"/>
    <mergeCell ref="AQ860:AU860"/>
    <mergeCell ref="B861:J861"/>
    <mergeCell ref="L861:Q861"/>
    <mergeCell ref="S861:W861"/>
    <mergeCell ref="Z861:AH861"/>
    <mergeCell ref="AJ861:AO861"/>
    <mergeCell ref="AQ861:AU861"/>
    <mergeCell ref="B863:F863"/>
    <mergeCell ref="H863:K863"/>
    <mergeCell ref="M863:O863"/>
    <mergeCell ref="Q863:S863"/>
    <mergeCell ref="U863:W863"/>
    <mergeCell ref="Z863:AD863"/>
    <mergeCell ref="AF863:AI863"/>
    <mergeCell ref="AK863:AM863"/>
    <mergeCell ref="AO863:AQ863"/>
    <mergeCell ref="AS863:AU863"/>
    <mergeCell ref="B864:F864"/>
    <mergeCell ref="H864:K864"/>
    <mergeCell ref="M864:O864"/>
    <mergeCell ref="Q864:S864"/>
    <mergeCell ref="U864:W864"/>
    <mergeCell ref="Z864:AD864"/>
    <mergeCell ref="AF864:AI864"/>
    <mergeCell ref="AK864:AM864"/>
    <mergeCell ref="AO864:AQ864"/>
    <mergeCell ref="AS864:AU864"/>
    <mergeCell ref="E866:N866"/>
    <mergeCell ref="P866:R866"/>
    <mergeCell ref="AC866:AL866"/>
    <mergeCell ref="AN866:AP866"/>
    <mergeCell ref="B867:C867"/>
    <mergeCell ref="T867:W867"/>
    <mergeCell ref="Z867:AA867"/>
    <mergeCell ref="AR867:AU867"/>
    <mergeCell ref="B868:C868"/>
    <mergeCell ref="Z868:AA868"/>
    <mergeCell ref="B869:C869"/>
    <mergeCell ref="Z869:AA869"/>
    <mergeCell ref="B870:C870"/>
    <mergeCell ref="Z870:AA870"/>
    <mergeCell ref="B871:C871"/>
    <mergeCell ref="Z871:AA871"/>
    <mergeCell ref="B872:C872"/>
    <mergeCell ref="Z872:AA872"/>
    <mergeCell ref="B876:G876"/>
    <mergeCell ref="I876:W876"/>
    <mergeCell ref="Z876:AE876"/>
    <mergeCell ref="AG876:AU876"/>
    <mergeCell ref="B877:G877"/>
    <mergeCell ref="I877:W877"/>
    <mergeCell ref="Z877:AE877"/>
    <mergeCell ref="AG877:AU877"/>
    <mergeCell ref="I880:Q880"/>
    <mergeCell ref="R880:W880"/>
    <mergeCell ref="AG880:AO880"/>
    <mergeCell ref="AP880:AU880"/>
    <mergeCell ref="B883:AP883"/>
    <mergeCell ref="B884:AP884"/>
    <mergeCell ref="B885:AP885"/>
    <mergeCell ref="AR885:AT887"/>
    <mergeCell ref="H887:Q887"/>
    <mergeCell ref="AE887:AN887"/>
    <mergeCell ref="H888:Q888"/>
    <mergeCell ref="AE888:AN888"/>
    <mergeCell ref="B890:L890"/>
    <mergeCell ref="P890:W890"/>
    <mergeCell ref="Z890:AJ890"/>
    <mergeCell ref="AN890:AU890"/>
    <mergeCell ref="B891:M891"/>
    <mergeCell ref="P891:W891"/>
    <mergeCell ref="Z891:AK891"/>
    <mergeCell ref="AN891:AU891"/>
    <mergeCell ref="B893:J893"/>
    <mergeCell ref="L893:Q893"/>
    <mergeCell ref="S893:W893"/>
    <mergeCell ref="Z893:AH893"/>
    <mergeCell ref="AJ893:AO893"/>
    <mergeCell ref="AQ893:AU893"/>
    <mergeCell ref="B894:J894"/>
    <mergeCell ref="L894:Q894"/>
    <mergeCell ref="S894:W894"/>
    <mergeCell ref="Z894:AH894"/>
    <mergeCell ref="AJ894:AO894"/>
    <mergeCell ref="AQ894:AU894"/>
    <mergeCell ref="B896:F896"/>
    <mergeCell ref="H896:K896"/>
    <mergeCell ref="M896:O896"/>
    <mergeCell ref="Q896:S896"/>
    <mergeCell ref="U896:W896"/>
    <mergeCell ref="Z896:AD896"/>
    <mergeCell ref="AF896:AI896"/>
    <mergeCell ref="AK896:AM896"/>
    <mergeCell ref="AO896:AQ896"/>
    <mergeCell ref="AS896:AU896"/>
    <mergeCell ref="B897:F897"/>
    <mergeCell ref="H897:K897"/>
    <mergeCell ref="M897:O897"/>
    <mergeCell ref="Q897:S897"/>
    <mergeCell ref="U897:W897"/>
    <mergeCell ref="Z897:AD897"/>
    <mergeCell ref="AF897:AI897"/>
    <mergeCell ref="AK897:AM897"/>
    <mergeCell ref="AO897:AQ897"/>
    <mergeCell ref="AS897:AU897"/>
    <mergeCell ref="E899:N899"/>
    <mergeCell ref="P899:R899"/>
    <mergeCell ref="AC899:AL899"/>
    <mergeCell ref="AN899:AP899"/>
    <mergeCell ref="B900:C900"/>
    <mergeCell ref="T900:W900"/>
    <mergeCell ref="Z900:AA900"/>
    <mergeCell ref="AR900:AU900"/>
    <mergeCell ref="B901:C901"/>
    <mergeCell ref="Z901:AA901"/>
    <mergeCell ref="B902:C902"/>
    <mergeCell ref="Z902:AA902"/>
    <mergeCell ref="B903:C903"/>
    <mergeCell ref="Z903:AA903"/>
    <mergeCell ref="B904:C904"/>
    <mergeCell ref="Z904:AA904"/>
    <mergeCell ref="B905:C905"/>
    <mergeCell ref="Z905:AA905"/>
    <mergeCell ref="B909:G909"/>
    <mergeCell ref="I909:W909"/>
    <mergeCell ref="Z909:AE909"/>
    <mergeCell ref="AG909:AU909"/>
    <mergeCell ref="B910:G910"/>
    <mergeCell ref="I910:W910"/>
    <mergeCell ref="Z910:AE910"/>
    <mergeCell ref="AG910:AU910"/>
    <mergeCell ref="I913:Q913"/>
    <mergeCell ref="R913:W913"/>
    <mergeCell ref="AG913:AO913"/>
    <mergeCell ref="AP913:AU913"/>
    <mergeCell ref="AE917:AN917"/>
    <mergeCell ref="AE918:AN918"/>
    <mergeCell ref="B920:L920"/>
    <mergeCell ref="P920:W920"/>
    <mergeCell ref="Z920:AJ920"/>
    <mergeCell ref="AN920:AU920"/>
    <mergeCell ref="H917:Q917"/>
    <mergeCell ref="H918:Q918"/>
    <mergeCell ref="B921:M921"/>
    <mergeCell ref="P921:W921"/>
    <mergeCell ref="Z921:AK921"/>
    <mergeCell ref="AN921:AU921"/>
    <mergeCell ref="B923:J923"/>
    <mergeCell ref="L923:Q923"/>
    <mergeCell ref="S923:W923"/>
    <mergeCell ref="Z923:AH923"/>
    <mergeCell ref="AJ923:AO923"/>
    <mergeCell ref="AQ923:AU923"/>
    <mergeCell ref="B924:J924"/>
    <mergeCell ref="L924:Q924"/>
    <mergeCell ref="S924:W924"/>
    <mergeCell ref="Z924:AH924"/>
    <mergeCell ref="AJ924:AO924"/>
    <mergeCell ref="AQ924:AU924"/>
    <mergeCell ref="B926:F926"/>
    <mergeCell ref="H926:K926"/>
    <mergeCell ref="M926:O926"/>
    <mergeCell ref="Q926:S926"/>
    <mergeCell ref="U926:W926"/>
    <mergeCell ref="Z926:AD926"/>
    <mergeCell ref="AF926:AI926"/>
    <mergeCell ref="AK926:AM926"/>
    <mergeCell ref="AO926:AQ926"/>
    <mergeCell ref="AS926:AU926"/>
    <mergeCell ref="B927:F927"/>
    <mergeCell ref="H927:K927"/>
    <mergeCell ref="M927:O927"/>
    <mergeCell ref="Q927:S927"/>
    <mergeCell ref="U927:W927"/>
    <mergeCell ref="Z927:AD927"/>
    <mergeCell ref="AF927:AI927"/>
    <mergeCell ref="AK927:AM927"/>
    <mergeCell ref="AO927:AQ927"/>
    <mergeCell ref="AS927:AU927"/>
    <mergeCell ref="E929:N929"/>
    <mergeCell ref="P929:R929"/>
    <mergeCell ref="AC929:AL929"/>
    <mergeCell ref="AN929:AP929"/>
    <mergeCell ref="B930:C930"/>
    <mergeCell ref="T930:W930"/>
    <mergeCell ref="Z930:AA930"/>
    <mergeCell ref="AR930:AU930"/>
    <mergeCell ref="B931:C931"/>
    <mergeCell ref="Z931:AA931"/>
    <mergeCell ref="B932:C932"/>
    <mergeCell ref="Z932:AA932"/>
    <mergeCell ref="B933:C933"/>
    <mergeCell ref="Z933:AA933"/>
    <mergeCell ref="B934:C934"/>
    <mergeCell ref="Z934:AA934"/>
    <mergeCell ref="B935:C935"/>
    <mergeCell ref="Z935:AA935"/>
    <mergeCell ref="B939:G939"/>
    <mergeCell ref="I939:W939"/>
    <mergeCell ref="Z939:AE939"/>
    <mergeCell ref="AG939:AU939"/>
    <mergeCell ref="B940:G940"/>
    <mergeCell ref="I940:W940"/>
    <mergeCell ref="Z940:AE940"/>
    <mergeCell ref="AG940:AU940"/>
    <mergeCell ref="I943:Q943"/>
    <mergeCell ref="R943:W943"/>
    <mergeCell ref="AG943:AO943"/>
    <mergeCell ref="AP943:AU943"/>
    <mergeCell ref="B946:AP946"/>
    <mergeCell ref="B947:AP947"/>
    <mergeCell ref="B948:AP948"/>
    <mergeCell ref="AR948:AT950"/>
    <mergeCell ref="H950:Q950"/>
    <mergeCell ref="AE950:AN950"/>
    <mergeCell ref="H951:Q951"/>
    <mergeCell ref="AE951:AN951"/>
    <mergeCell ref="B953:L953"/>
    <mergeCell ref="P953:W953"/>
    <mergeCell ref="Z953:AJ953"/>
    <mergeCell ref="AN953:AU953"/>
    <mergeCell ref="B954:M954"/>
    <mergeCell ref="P954:W954"/>
    <mergeCell ref="Z954:AK954"/>
    <mergeCell ref="AN954:AU954"/>
    <mergeCell ref="B956:J956"/>
    <mergeCell ref="L956:Q956"/>
    <mergeCell ref="S956:W956"/>
    <mergeCell ref="Z956:AH956"/>
    <mergeCell ref="AJ956:AO956"/>
    <mergeCell ref="AQ956:AU956"/>
    <mergeCell ref="B957:J957"/>
    <mergeCell ref="L957:Q957"/>
    <mergeCell ref="S957:W957"/>
    <mergeCell ref="Z957:AH957"/>
    <mergeCell ref="AJ957:AO957"/>
    <mergeCell ref="AQ957:AU957"/>
    <mergeCell ref="B959:F959"/>
    <mergeCell ref="H959:K959"/>
    <mergeCell ref="M959:O959"/>
    <mergeCell ref="Q959:S959"/>
    <mergeCell ref="U959:W959"/>
    <mergeCell ref="Z959:AD959"/>
    <mergeCell ref="AF959:AI959"/>
    <mergeCell ref="AK959:AM959"/>
    <mergeCell ref="AO959:AQ959"/>
    <mergeCell ref="AS959:AU959"/>
    <mergeCell ref="B960:F960"/>
    <mergeCell ref="H960:K960"/>
    <mergeCell ref="M960:O960"/>
    <mergeCell ref="Q960:S960"/>
    <mergeCell ref="U960:W960"/>
    <mergeCell ref="Z960:AD960"/>
    <mergeCell ref="AF960:AI960"/>
    <mergeCell ref="AK960:AM960"/>
    <mergeCell ref="AO960:AQ960"/>
    <mergeCell ref="AS960:AU960"/>
    <mergeCell ref="E962:N962"/>
    <mergeCell ref="P962:R962"/>
    <mergeCell ref="AC962:AL962"/>
    <mergeCell ref="AN962:AP962"/>
    <mergeCell ref="B963:C963"/>
    <mergeCell ref="T963:W963"/>
    <mergeCell ref="Z963:AA963"/>
    <mergeCell ref="AR963:AU963"/>
    <mergeCell ref="B964:C964"/>
    <mergeCell ref="Z964:AA964"/>
    <mergeCell ref="B965:C965"/>
    <mergeCell ref="Z965:AA965"/>
    <mergeCell ref="B966:C966"/>
    <mergeCell ref="Z966:AA966"/>
    <mergeCell ref="B967:C967"/>
    <mergeCell ref="Z967:AA967"/>
    <mergeCell ref="B968:C968"/>
    <mergeCell ref="Z968:AA968"/>
    <mergeCell ref="B972:G972"/>
    <mergeCell ref="I972:W972"/>
    <mergeCell ref="Z972:AE972"/>
    <mergeCell ref="AG972:AU972"/>
    <mergeCell ref="B973:G973"/>
    <mergeCell ref="I973:W973"/>
    <mergeCell ref="Z973:AE973"/>
    <mergeCell ref="AG973:AU973"/>
    <mergeCell ref="I976:Q976"/>
    <mergeCell ref="R976:W976"/>
    <mergeCell ref="AG976:AO976"/>
    <mergeCell ref="AP976:AU976"/>
    <mergeCell ref="AE980:AN980"/>
    <mergeCell ref="AE981:AN981"/>
    <mergeCell ref="B983:L983"/>
    <mergeCell ref="P983:W983"/>
    <mergeCell ref="Z983:AJ983"/>
    <mergeCell ref="AN983:AU983"/>
    <mergeCell ref="H980:Q980"/>
    <mergeCell ref="H981:Q981"/>
    <mergeCell ref="B984:M984"/>
    <mergeCell ref="P984:W984"/>
    <mergeCell ref="Z984:AK984"/>
    <mergeCell ref="AN984:AU984"/>
    <mergeCell ref="B986:J986"/>
    <mergeCell ref="L986:Q986"/>
    <mergeCell ref="S986:W986"/>
    <mergeCell ref="Z986:AH986"/>
    <mergeCell ref="AJ986:AO986"/>
    <mergeCell ref="AQ986:AU986"/>
    <mergeCell ref="B987:J987"/>
    <mergeCell ref="L987:Q987"/>
    <mergeCell ref="S987:W987"/>
    <mergeCell ref="Z987:AH987"/>
    <mergeCell ref="AJ987:AO987"/>
    <mergeCell ref="AQ987:AU987"/>
    <mergeCell ref="B989:F989"/>
    <mergeCell ref="H989:K989"/>
    <mergeCell ref="M989:O989"/>
    <mergeCell ref="Q989:S989"/>
    <mergeCell ref="U989:W989"/>
    <mergeCell ref="Z989:AD989"/>
    <mergeCell ref="AF989:AI989"/>
    <mergeCell ref="AK989:AM989"/>
    <mergeCell ref="AO989:AQ989"/>
    <mergeCell ref="AS989:AU989"/>
    <mergeCell ref="B990:F990"/>
    <mergeCell ref="H990:K990"/>
    <mergeCell ref="M990:O990"/>
    <mergeCell ref="Q990:S990"/>
    <mergeCell ref="U990:W990"/>
    <mergeCell ref="Z990:AD990"/>
    <mergeCell ref="AF990:AI990"/>
    <mergeCell ref="AK990:AM990"/>
    <mergeCell ref="AO990:AQ990"/>
    <mergeCell ref="AS990:AU990"/>
    <mergeCell ref="E992:N992"/>
    <mergeCell ref="P992:R992"/>
    <mergeCell ref="AC992:AL992"/>
    <mergeCell ref="AN992:AP992"/>
    <mergeCell ref="B993:C993"/>
    <mergeCell ref="T993:W993"/>
    <mergeCell ref="Z993:AA993"/>
    <mergeCell ref="AR993:AU993"/>
    <mergeCell ref="B994:C994"/>
    <mergeCell ref="Z994:AA994"/>
    <mergeCell ref="B995:C995"/>
    <mergeCell ref="Z995:AA995"/>
    <mergeCell ref="B996:C996"/>
    <mergeCell ref="Z996:AA996"/>
    <mergeCell ref="B997:C997"/>
    <mergeCell ref="Z997:AA997"/>
    <mergeCell ref="B998:C998"/>
    <mergeCell ref="Z998:AA998"/>
    <mergeCell ref="B1002:G1002"/>
    <mergeCell ref="I1002:W1002"/>
    <mergeCell ref="Z1002:AE1002"/>
    <mergeCell ref="AG1002:AU1002"/>
    <mergeCell ref="B1003:G1003"/>
    <mergeCell ref="I1003:W1003"/>
    <mergeCell ref="Z1003:AE1003"/>
    <mergeCell ref="AG1003:AU1003"/>
    <mergeCell ref="I1006:Q1006"/>
    <mergeCell ref="R1006:W1006"/>
    <mergeCell ref="AG1006:AO1006"/>
    <mergeCell ref="AP1006:AU1006"/>
    <mergeCell ref="B1009:AP1009"/>
    <mergeCell ref="B1010:AP1010"/>
    <mergeCell ref="B1011:AP1011"/>
    <mergeCell ref="AR1011:AT1013"/>
    <mergeCell ref="H1013:Q1013"/>
    <mergeCell ref="AE1013:AN1013"/>
    <mergeCell ref="H1014:Q1014"/>
    <mergeCell ref="AE1014:AN1014"/>
    <mergeCell ref="B1016:L1016"/>
    <mergeCell ref="P1016:W1016"/>
    <mergeCell ref="Z1016:AJ1016"/>
    <mergeCell ref="AN1016:AU1016"/>
    <mergeCell ref="B1017:M1017"/>
    <mergeCell ref="P1017:W1017"/>
    <mergeCell ref="Z1017:AK1017"/>
    <mergeCell ref="AN1017:AU1017"/>
    <mergeCell ref="B1019:J1019"/>
    <mergeCell ref="L1019:Q1019"/>
    <mergeCell ref="S1019:W1019"/>
    <mergeCell ref="Z1019:AH1019"/>
    <mergeCell ref="AJ1019:AO1019"/>
    <mergeCell ref="AQ1019:AU1019"/>
    <mergeCell ref="B1020:J1020"/>
    <mergeCell ref="L1020:Q1020"/>
    <mergeCell ref="S1020:W1020"/>
    <mergeCell ref="Z1020:AH1020"/>
    <mergeCell ref="AJ1020:AO1020"/>
    <mergeCell ref="AQ1020:AU1020"/>
    <mergeCell ref="B1022:F1022"/>
    <mergeCell ref="H1022:K1022"/>
    <mergeCell ref="M1022:O1022"/>
    <mergeCell ref="Q1022:S1022"/>
    <mergeCell ref="U1022:W1022"/>
    <mergeCell ref="Z1022:AD1022"/>
    <mergeCell ref="AF1022:AI1022"/>
    <mergeCell ref="AK1022:AM1022"/>
    <mergeCell ref="AO1022:AQ1022"/>
    <mergeCell ref="AS1022:AU1022"/>
    <mergeCell ref="B1023:F1023"/>
    <mergeCell ref="H1023:K1023"/>
    <mergeCell ref="M1023:O1023"/>
    <mergeCell ref="Q1023:S1023"/>
    <mergeCell ref="U1023:W1023"/>
    <mergeCell ref="Z1023:AD1023"/>
    <mergeCell ref="AF1023:AI1023"/>
    <mergeCell ref="AK1023:AM1023"/>
    <mergeCell ref="AO1023:AQ1023"/>
    <mergeCell ref="AS1023:AU1023"/>
    <mergeCell ref="E1025:N1025"/>
    <mergeCell ref="P1025:R1025"/>
    <mergeCell ref="AC1025:AL1025"/>
    <mergeCell ref="AN1025:AP1025"/>
    <mergeCell ref="B1026:C1026"/>
    <mergeCell ref="T1026:W1026"/>
    <mergeCell ref="Z1026:AA1026"/>
    <mergeCell ref="AR1026:AU1026"/>
    <mergeCell ref="B1027:C1027"/>
    <mergeCell ref="Z1027:AA1027"/>
    <mergeCell ref="B1028:C1028"/>
    <mergeCell ref="Z1028:AA1028"/>
    <mergeCell ref="B1029:C1029"/>
    <mergeCell ref="Z1029:AA1029"/>
    <mergeCell ref="B1030:C1030"/>
    <mergeCell ref="Z1030:AA1030"/>
    <mergeCell ref="B1031:C1031"/>
    <mergeCell ref="Z1031:AA1031"/>
    <mergeCell ref="B1035:G1035"/>
    <mergeCell ref="I1035:W1035"/>
    <mergeCell ref="Z1035:AE1035"/>
    <mergeCell ref="AG1035:AU1035"/>
    <mergeCell ref="B1036:G1036"/>
    <mergeCell ref="I1036:W1036"/>
    <mergeCell ref="Z1036:AE1036"/>
    <mergeCell ref="AG1036:AU1036"/>
    <mergeCell ref="I1039:Q1039"/>
    <mergeCell ref="R1039:W1039"/>
    <mergeCell ref="AG1039:AO1039"/>
    <mergeCell ref="AP1039:AU1039"/>
    <mergeCell ref="AE1043:AN1043"/>
    <mergeCell ref="AE1044:AN1044"/>
    <mergeCell ref="B1046:L1046"/>
    <mergeCell ref="P1046:W1046"/>
    <mergeCell ref="Z1046:AJ1046"/>
    <mergeCell ref="AN1046:AU1046"/>
    <mergeCell ref="H1043:Q1043"/>
    <mergeCell ref="H1044:Q1044"/>
    <mergeCell ref="B1047:M1047"/>
    <mergeCell ref="P1047:W1047"/>
    <mergeCell ref="Z1047:AK1047"/>
    <mergeCell ref="AN1047:AU1047"/>
    <mergeCell ref="B1049:J1049"/>
    <mergeCell ref="L1049:Q1049"/>
    <mergeCell ref="S1049:W1049"/>
    <mergeCell ref="Z1049:AH1049"/>
    <mergeCell ref="AJ1049:AO1049"/>
    <mergeCell ref="AQ1049:AU1049"/>
    <mergeCell ref="B1050:J1050"/>
    <mergeCell ref="L1050:Q1050"/>
    <mergeCell ref="S1050:W1050"/>
    <mergeCell ref="Z1050:AH1050"/>
    <mergeCell ref="AJ1050:AO1050"/>
    <mergeCell ref="AQ1050:AU1050"/>
    <mergeCell ref="B1052:F1052"/>
    <mergeCell ref="H1052:K1052"/>
    <mergeCell ref="M1052:O1052"/>
    <mergeCell ref="Q1052:S1052"/>
    <mergeCell ref="U1052:W1052"/>
    <mergeCell ref="Z1052:AD1052"/>
    <mergeCell ref="AF1052:AI1052"/>
    <mergeCell ref="AK1052:AM1052"/>
    <mergeCell ref="AO1052:AQ1052"/>
    <mergeCell ref="AS1052:AU1052"/>
    <mergeCell ref="B1053:F1053"/>
    <mergeCell ref="H1053:K1053"/>
    <mergeCell ref="M1053:O1053"/>
    <mergeCell ref="Q1053:S1053"/>
    <mergeCell ref="U1053:W1053"/>
    <mergeCell ref="Z1053:AD1053"/>
    <mergeCell ref="AF1053:AI1053"/>
    <mergeCell ref="AK1053:AM1053"/>
    <mergeCell ref="AO1053:AQ1053"/>
    <mergeCell ref="AS1053:AU1053"/>
    <mergeCell ref="E1055:N1055"/>
    <mergeCell ref="P1055:R1055"/>
    <mergeCell ref="AC1055:AL1055"/>
    <mergeCell ref="AN1055:AP1055"/>
    <mergeCell ref="B1056:C1056"/>
    <mergeCell ref="T1056:W1056"/>
    <mergeCell ref="Z1056:AA1056"/>
    <mergeCell ref="AR1056:AU1056"/>
    <mergeCell ref="B1057:C1057"/>
    <mergeCell ref="Z1057:AA1057"/>
    <mergeCell ref="B1058:C1058"/>
    <mergeCell ref="Z1058:AA1058"/>
    <mergeCell ref="B1059:C1059"/>
    <mergeCell ref="Z1059:AA1059"/>
    <mergeCell ref="B1060:C1060"/>
    <mergeCell ref="Z1060:AA1060"/>
    <mergeCell ref="B1061:C1061"/>
    <mergeCell ref="Z1061:AA1061"/>
    <mergeCell ref="B1065:G1065"/>
    <mergeCell ref="I1065:W1065"/>
    <mergeCell ref="Z1065:AE1065"/>
    <mergeCell ref="AG1065:AU1065"/>
    <mergeCell ref="B1066:G1066"/>
    <mergeCell ref="I1066:W1066"/>
    <mergeCell ref="Z1066:AE1066"/>
    <mergeCell ref="AG1066:AU1066"/>
    <mergeCell ref="I1069:Q1069"/>
    <mergeCell ref="R1069:W1069"/>
    <mergeCell ref="AG1069:AO1069"/>
    <mergeCell ref="AP1069:AU1069"/>
    <mergeCell ref="B1072:AP1072"/>
    <mergeCell ref="B1073:AP1073"/>
    <mergeCell ref="B1074:AP1074"/>
    <mergeCell ref="AR1074:AT1076"/>
    <mergeCell ref="H1076:Q1076"/>
    <mergeCell ref="AE1076:AN1076"/>
    <mergeCell ref="H1077:Q1077"/>
    <mergeCell ref="AE1077:AN1077"/>
    <mergeCell ref="B1079:L1079"/>
    <mergeCell ref="P1079:W1079"/>
    <mergeCell ref="Z1079:AJ1079"/>
    <mergeCell ref="AN1079:AU1079"/>
    <mergeCell ref="B1080:M1080"/>
    <mergeCell ref="P1080:W1080"/>
    <mergeCell ref="Z1080:AK1080"/>
    <mergeCell ref="AN1080:AU1080"/>
    <mergeCell ref="B1082:J1082"/>
    <mergeCell ref="L1082:Q1082"/>
    <mergeCell ref="S1082:W1082"/>
    <mergeCell ref="Z1082:AH1082"/>
    <mergeCell ref="AJ1082:AO1082"/>
    <mergeCell ref="AQ1082:AU1082"/>
    <mergeCell ref="B1083:J1083"/>
    <mergeCell ref="L1083:Q1083"/>
    <mergeCell ref="S1083:W1083"/>
    <mergeCell ref="Z1083:AH1083"/>
    <mergeCell ref="AJ1083:AO1083"/>
    <mergeCell ref="AQ1083:AU1083"/>
    <mergeCell ref="B1085:F1085"/>
    <mergeCell ref="H1085:K1085"/>
    <mergeCell ref="M1085:O1085"/>
    <mergeCell ref="Q1085:S1085"/>
    <mergeCell ref="U1085:W1085"/>
    <mergeCell ref="Z1085:AD1085"/>
    <mergeCell ref="AF1085:AI1085"/>
    <mergeCell ref="AK1085:AM1085"/>
    <mergeCell ref="AO1085:AQ1085"/>
    <mergeCell ref="AS1085:AU1085"/>
    <mergeCell ref="B1086:F1086"/>
    <mergeCell ref="H1086:K1086"/>
    <mergeCell ref="M1086:O1086"/>
    <mergeCell ref="Q1086:S1086"/>
    <mergeCell ref="U1086:W1086"/>
    <mergeCell ref="Z1086:AD1086"/>
    <mergeCell ref="AF1086:AI1086"/>
    <mergeCell ref="AK1086:AM1086"/>
    <mergeCell ref="AO1086:AQ1086"/>
    <mergeCell ref="AS1086:AU1086"/>
    <mergeCell ref="E1088:N1088"/>
    <mergeCell ref="P1088:R1088"/>
    <mergeCell ref="AC1088:AL1088"/>
    <mergeCell ref="AN1088:AP1088"/>
    <mergeCell ref="B1089:C1089"/>
    <mergeCell ref="T1089:W1089"/>
    <mergeCell ref="Z1089:AA1089"/>
    <mergeCell ref="AR1089:AU1089"/>
    <mergeCell ref="B1090:C1090"/>
    <mergeCell ref="Z1090:AA1090"/>
    <mergeCell ref="B1091:C1091"/>
    <mergeCell ref="Z1091:AA1091"/>
    <mergeCell ref="B1092:C1092"/>
    <mergeCell ref="Z1092:AA1092"/>
    <mergeCell ref="B1093:C1093"/>
    <mergeCell ref="Z1093:AA1093"/>
    <mergeCell ref="B1094:C1094"/>
    <mergeCell ref="Z1094:AA1094"/>
    <mergeCell ref="B1098:G1098"/>
    <mergeCell ref="I1098:W1098"/>
    <mergeCell ref="Z1098:AE1098"/>
    <mergeCell ref="AG1098:AU1098"/>
    <mergeCell ref="B1099:G1099"/>
    <mergeCell ref="I1099:W1099"/>
    <mergeCell ref="Z1099:AE1099"/>
    <mergeCell ref="AG1099:AU1099"/>
    <mergeCell ref="I1102:Q1102"/>
    <mergeCell ref="R1102:W1102"/>
    <mergeCell ref="AG1102:AO1102"/>
    <mergeCell ref="AP1102:AU1102"/>
    <mergeCell ref="AE1106:AN1106"/>
    <mergeCell ref="AE1107:AN1107"/>
    <mergeCell ref="B1109:L1109"/>
    <mergeCell ref="P1109:W1109"/>
    <mergeCell ref="Z1109:AJ1109"/>
    <mergeCell ref="AN1109:AU1109"/>
    <mergeCell ref="H1106:Q1106"/>
    <mergeCell ref="H1107:Q1107"/>
    <mergeCell ref="B1110:M1110"/>
    <mergeCell ref="P1110:W1110"/>
    <mergeCell ref="Z1110:AK1110"/>
    <mergeCell ref="AN1110:AU1110"/>
    <mergeCell ref="B1112:J1112"/>
    <mergeCell ref="L1112:Q1112"/>
    <mergeCell ref="S1112:W1112"/>
    <mergeCell ref="Z1112:AH1112"/>
    <mergeCell ref="AJ1112:AO1112"/>
    <mergeCell ref="AQ1112:AU1112"/>
    <mergeCell ref="B1113:J1113"/>
    <mergeCell ref="L1113:Q1113"/>
    <mergeCell ref="S1113:W1113"/>
    <mergeCell ref="Z1113:AH1113"/>
    <mergeCell ref="AJ1113:AO1113"/>
    <mergeCell ref="AQ1113:AU1113"/>
    <mergeCell ref="B1115:F1115"/>
    <mergeCell ref="H1115:K1115"/>
    <mergeCell ref="M1115:O1115"/>
    <mergeCell ref="Q1115:S1115"/>
    <mergeCell ref="U1115:W1115"/>
    <mergeCell ref="Z1115:AD1115"/>
    <mergeCell ref="AF1115:AI1115"/>
    <mergeCell ref="AK1115:AM1115"/>
    <mergeCell ref="AO1115:AQ1115"/>
    <mergeCell ref="AS1115:AU1115"/>
    <mergeCell ref="B1116:F1116"/>
    <mergeCell ref="H1116:K1116"/>
    <mergeCell ref="M1116:O1116"/>
    <mergeCell ref="Q1116:S1116"/>
    <mergeCell ref="U1116:W1116"/>
    <mergeCell ref="Z1116:AD1116"/>
    <mergeCell ref="AF1116:AI1116"/>
    <mergeCell ref="AK1116:AM1116"/>
    <mergeCell ref="AO1116:AQ1116"/>
    <mergeCell ref="AS1116:AU1116"/>
    <mergeCell ref="E1118:N1118"/>
    <mergeCell ref="P1118:R1118"/>
    <mergeCell ref="AC1118:AL1118"/>
    <mergeCell ref="AN1118:AP1118"/>
    <mergeCell ref="B1119:C1119"/>
    <mergeCell ref="T1119:W1119"/>
    <mergeCell ref="Z1119:AA1119"/>
    <mergeCell ref="AR1119:AU1119"/>
    <mergeCell ref="B1120:C1120"/>
    <mergeCell ref="Z1120:AA1120"/>
    <mergeCell ref="B1121:C1121"/>
    <mergeCell ref="Z1121:AA1121"/>
    <mergeCell ref="B1122:C1122"/>
    <mergeCell ref="Z1122:AA1122"/>
    <mergeCell ref="B1123:C1123"/>
    <mergeCell ref="Z1123:AA1123"/>
    <mergeCell ref="B1124:C1124"/>
    <mergeCell ref="Z1124:AA1124"/>
    <mergeCell ref="B1128:G1128"/>
    <mergeCell ref="I1128:W1128"/>
    <mergeCell ref="Z1128:AE1128"/>
    <mergeCell ref="AG1128:AU1128"/>
    <mergeCell ref="B1129:G1129"/>
    <mergeCell ref="I1129:W1129"/>
    <mergeCell ref="Z1129:AE1129"/>
    <mergeCell ref="AG1129:AU1129"/>
    <mergeCell ref="I1132:Q1132"/>
    <mergeCell ref="R1132:W1132"/>
    <mergeCell ref="AG1132:AO1132"/>
    <mergeCell ref="AP1132:AU1132"/>
    <mergeCell ref="B1135:AP1135"/>
    <mergeCell ref="B1136:AP1136"/>
    <mergeCell ref="B1137:AP1137"/>
    <mergeCell ref="AR1137:AT1139"/>
    <mergeCell ref="H1139:Q1139"/>
    <mergeCell ref="AE1139:AN1139"/>
    <mergeCell ref="H1140:Q1140"/>
    <mergeCell ref="AE1140:AN1140"/>
    <mergeCell ref="B1142:L1142"/>
    <mergeCell ref="P1142:W1142"/>
    <mergeCell ref="Z1142:AJ1142"/>
    <mergeCell ref="AN1142:AU1142"/>
    <mergeCell ref="B1143:M1143"/>
    <mergeCell ref="P1143:W1143"/>
    <mergeCell ref="Z1143:AK1143"/>
    <mergeCell ref="AN1143:AU1143"/>
    <mergeCell ref="B1145:J1145"/>
    <mergeCell ref="L1145:Q1145"/>
    <mergeCell ref="S1145:W1145"/>
    <mergeCell ref="Z1145:AH1145"/>
    <mergeCell ref="AJ1145:AO1145"/>
    <mergeCell ref="AQ1145:AU1145"/>
    <mergeCell ref="B1146:J1146"/>
    <mergeCell ref="L1146:Q1146"/>
    <mergeCell ref="S1146:W1146"/>
    <mergeCell ref="Z1146:AH1146"/>
    <mergeCell ref="AJ1146:AO1146"/>
    <mergeCell ref="AQ1146:AU1146"/>
    <mergeCell ref="B1148:F1148"/>
    <mergeCell ref="H1148:K1148"/>
    <mergeCell ref="M1148:O1148"/>
    <mergeCell ref="Q1148:S1148"/>
    <mergeCell ref="U1148:W1148"/>
    <mergeCell ref="Z1148:AD1148"/>
    <mergeCell ref="AF1148:AI1148"/>
    <mergeCell ref="AK1148:AM1148"/>
    <mergeCell ref="AO1148:AQ1148"/>
    <mergeCell ref="AS1148:AU1148"/>
    <mergeCell ref="B1149:F1149"/>
    <mergeCell ref="H1149:K1149"/>
    <mergeCell ref="M1149:O1149"/>
    <mergeCell ref="Q1149:S1149"/>
    <mergeCell ref="U1149:W1149"/>
    <mergeCell ref="Z1149:AD1149"/>
    <mergeCell ref="AF1149:AI1149"/>
    <mergeCell ref="AK1149:AM1149"/>
    <mergeCell ref="AO1149:AQ1149"/>
    <mergeCell ref="AS1149:AU1149"/>
    <mergeCell ref="E1151:N1151"/>
    <mergeCell ref="P1151:R1151"/>
    <mergeCell ref="AC1151:AL1151"/>
    <mergeCell ref="AN1151:AP1151"/>
    <mergeCell ref="B1152:C1152"/>
    <mergeCell ref="T1152:W1152"/>
    <mergeCell ref="Z1152:AA1152"/>
    <mergeCell ref="AR1152:AU1152"/>
    <mergeCell ref="B1153:C1153"/>
    <mergeCell ref="Z1153:AA1153"/>
    <mergeCell ref="B1154:C1154"/>
    <mergeCell ref="Z1154:AA1154"/>
    <mergeCell ref="B1155:C1155"/>
    <mergeCell ref="Z1155:AA1155"/>
    <mergeCell ref="B1156:C1156"/>
    <mergeCell ref="Z1156:AA1156"/>
    <mergeCell ref="B1157:C1157"/>
    <mergeCell ref="Z1157:AA1157"/>
    <mergeCell ref="B1161:G1161"/>
    <mergeCell ref="I1161:W1161"/>
    <mergeCell ref="Z1161:AE1161"/>
    <mergeCell ref="AG1161:AU1161"/>
    <mergeCell ref="B1162:G1162"/>
    <mergeCell ref="I1162:W1162"/>
    <mergeCell ref="Z1162:AE1162"/>
    <mergeCell ref="AG1162:AU1162"/>
    <mergeCell ref="I1165:Q1165"/>
    <mergeCell ref="R1165:W1165"/>
    <mergeCell ref="AG1165:AO1165"/>
    <mergeCell ref="AP1165:AU1165"/>
    <mergeCell ref="AE1169:AN1169"/>
    <mergeCell ref="AE1170:AN1170"/>
    <mergeCell ref="B1172:L1172"/>
    <mergeCell ref="P1172:W1172"/>
    <mergeCell ref="Z1172:AJ1172"/>
    <mergeCell ref="AN1172:AU1172"/>
    <mergeCell ref="H1169:Q1169"/>
    <mergeCell ref="H1170:Q1170"/>
    <mergeCell ref="B1173:M1173"/>
    <mergeCell ref="P1173:W1173"/>
    <mergeCell ref="Z1173:AK1173"/>
    <mergeCell ref="AN1173:AU1173"/>
    <mergeCell ref="B1175:J1175"/>
    <mergeCell ref="L1175:Q1175"/>
    <mergeCell ref="S1175:W1175"/>
    <mergeCell ref="Z1175:AH1175"/>
    <mergeCell ref="AJ1175:AO1175"/>
    <mergeCell ref="AQ1175:AU1175"/>
    <mergeCell ref="B1176:J1176"/>
    <mergeCell ref="L1176:Q1176"/>
    <mergeCell ref="S1176:W1176"/>
    <mergeCell ref="Z1176:AH1176"/>
    <mergeCell ref="AJ1176:AO1176"/>
    <mergeCell ref="AQ1176:AU1176"/>
    <mergeCell ref="B1178:F1178"/>
    <mergeCell ref="H1178:K1178"/>
    <mergeCell ref="M1178:O1178"/>
    <mergeCell ref="Q1178:S1178"/>
    <mergeCell ref="U1178:W1178"/>
    <mergeCell ref="Z1178:AD1178"/>
    <mergeCell ref="AF1178:AI1178"/>
    <mergeCell ref="AK1178:AM1178"/>
    <mergeCell ref="AO1178:AQ1178"/>
    <mergeCell ref="AS1178:AU1178"/>
    <mergeCell ref="B1179:F1179"/>
    <mergeCell ref="H1179:K1179"/>
    <mergeCell ref="M1179:O1179"/>
    <mergeCell ref="Q1179:S1179"/>
    <mergeCell ref="U1179:W1179"/>
    <mergeCell ref="Z1179:AD1179"/>
    <mergeCell ref="AF1179:AI1179"/>
    <mergeCell ref="AK1179:AM1179"/>
    <mergeCell ref="AO1179:AQ1179"/>
    <mergeCell ref="AS1179:AU1179"/>
    <mergeCell ref="E1181:N1181"/>
    <mergeCell ref="P1181:R1181"/>
    <mergeCell ref="AC1181:AL1181"/>
    <mergeCell ref="AN1181:AP1181"/>
    <mergeCell ref="B1182:C1182"/>
    <mergeCell ref="T1182:W1182"/>
    <mergeCell ref="Z1182:AA1182"/>
    <mergeCell ref="AR1182:AU1182"/>
    <mergeCell ref="B1183:C1183"/>
    <mergeCell ref="Z1183:AA1183"/>
    <mergeCell ref="B1184:C1184"/>
    <mergeCell ref="Z1184:AA1184"/>
    <mergeCell ref="B1185:C1185"/>
    <mergeCell ref="Z1185:AA1185"/>
    <mergeCell ref="B1186:C1186"/>
    <mergeCell ref="Z1186:AA1186"/>
    <mergeCell ref="B1187:C1187"/>
    <mergeCell ref="Z1187:AA1187"/>
    <mergeCell ref="B1191:G1191"/>
    <mergeCell ref="I1191:W1191"/>
    <mergeCell ref="Z1191:AE1191"/>
    <mergeCell ref="AG1191:AU1191"/>
    <mergeCell ref="B1192:G1192"/>
    <mergeCell ref="I1192:W1192"/>
    <mergeCell ref="Z1192:AE1192"/>
    <mergeCell ref="AG1192:AU1192"/>
    <mergeCell ref="I1195:Q1195"/>
    <mergeCell ref="R1195:W1195"/>
    <mergeCell ref="AG1195:AO1195"/>
    <mergeCell ref="AP1195:AU1195"/>
    <mergeCell ref="B1198:AP1198"/>
    <mergeCell ref="B1199:AP1199"/>
    <mergeCell ref="B1200:AP1200"/>
    <mergeCell ref="AR1200:AT1202"/>
    <mergeCell ref="H1202:Q1202"/>
    <mergeCell ref="AE1202:AN1202"/>
    <mergeCell ref="H1203:Q1203"/>
    <mergeCell ref="AE1203:AN1203"/>
    <mergeCell ref="B1205:L1205"/>
    <mergeCell ref="P1205:W1205"/>
    <mergeCell ref="Z1205:AJ1205"/>
    <mergeCell ref="AN1205:AU1205"/>
    <mergeCell ref="B1206:M1206"/>
    <mergeCell ref="P1206:W1206"/>
    <mergeCell ref="Z1206:AK1206"/>
    <mergeCell ref="AN1206:AU1206"/>
    <mergeCell ref="B1208:J1208"/>
    <mergeCell ref="L1208:Q1208"/>
    <mergeCell ref="S1208:W1208"/>
    <mergeCell ref="Z1208:AH1208"/>
    <mergeCell ref="AJ1208:AO1208"/>
    <mergeCell ref="AQ1208:AU1208"/>
    <mergeCell ref="B1209:J1209"/>
    <mergeCell ref="L1209:Q1209"/>
    <mergeCell ref="S1209:W1209"/>
    <mergeCell ref="Z1209:AH1209"/>
    <mergeCell ref="AJ1209:AO1209"/>
    <mergeCell ref="AQ1209:AU1209"/>
    <mergeCell ref="B1211:F1211"/>
    <mergeCell ref="H1211:K1211"/>
    <mergeCell ref="M1211:O1211"/>
    <mergeCell ref="Q1211:S1211"/>
    <mergeCell ref="U1211:W1211"/>
    <mergeCell ref="Z1211:AD1211"/>
    <mergeCell ref="AF1211:AI1211"/>
    <mergeCell ref="AK1211:AM1211"/>
    <mergeCell ref="AO1211:AQ1211"/>
    <mergeCell ref="AS1211:AU1211"/>
    <mergeCell ref="B1212:F1212"/>
    <mergeCell ref="H1212:K1212"/>
    <mergeCell ref="M1212:O1212"/>
    <mergeCell ref="Q1212:S1212"/>
    <mergeCell ref="U1212:W1212"/>
    <mergeCell ref="Z1212:AD1212"/>
    <mergeCell ref="AF1212:AI1212"/>
    <mergeCell ref="AK1212:AM1212"/>
    <mergeCell ref="AO1212:AQ1212"/>
    <mergeCell ref="AS1212:AU1212"/>
    <mergeCell ref="E1214:N1214"/>
    <mergeCell ref="P1214:R1214"/>
    <mergeCell ref="AC1214:AL1214"/>
    <mergeCell ref="AN1214:AP1214"/>
    <mergeCell ref="B1215:C1215"/>
    <mergeCell ref="T1215:W1215"/>
    <mergeCell ref="Z1215:AA1215"/>
    <mergeCell ref="AR1215:AU1215"/>
    <mergeCell ref="B1216:C1216"/>
    <mergeCell ref="Z1216:AA1216"/>
    <mergeCell ref="B1217:C1217"/>
    <mergeCell ref="Z1217:AA1217"/>
    <mergeCell ref="B1218:C1218"/>
    <mergeCell ref="Z1218:AA1218"/>
    <mergeCell ref="B1219:C1219"/>
    <mergeCell ref="Z1219:AA1219"/>
    <mergeCell ref="B1220:C1220"/>
    <mergeCell ref="Z1220:AA1220"/>
    <mergeCell ref="B1224:G1224"/>
    <mergeCell ref="I1224:W1224"/>
    <mergeCell ref="Z1224:AE1224"/>
    <mergeCell ref="AG1224:AU1224"/>
    <mergeCell ref="B1225:G1225"/>
    <mergeCell ref="I1225:W1225"/>
    <mergeCell ref="Z1225:AE1225"/>
    <mergeCell ref="AG1225:AU1225"/>
    <mergeCell ref="I1228:Q1228"/>
    <mergeCell ref="R1228:W1228"/>
    <mergeCell ref="AG1228:AO1228"/>
    <mergeCell ref="AP1228:AU1228"/>
    <mergeCell ref="AE1232:AN1232"/>
    <mergeCell ref="AE1233:AN1233"/>
    <mergeCell ref="B1235:L1235"/>
    <mergeCell ref="P1235:W1235"/>
    <mergeCell ref="Z1235:AJ1235"/>
    <mergeCell ref="AN1235:AU1235"/>
    <mergeCell ref="H1232:Q1232"/>
    <mergeCell ref="H1233:Q1233"/>
    <mergeCell ref="B1236:M1236"/>
    <mergeCell ref="P1236:W1236"/>
    <mergeCell ref="Z1236:AK1236"/>
    <mergeCell ref="AN1236:AU1236"/>
    <mergeCell ref="B1238:J1238"/>
    <mergeCell ref="L1238:Q1238"/>
    <mergeCell ref="S1238:W1238"/>
    <mergeCell ref="Z1238:AH1238"/>
    <mergeCell ref="AJ1238:AO1238"/>
    <mergeCell ref="AQ1238:AU1238"/>
    <mergeCell ref="B1239:J1239"/>
    <mergeCell ref="L1239:Q1239"/>
    <mergeCell ref="S1239:W1239"/>
    <mergeCell ref="Z1239:AH1239"/>
    <mergeCell ref="AJ1239:AO1239"/>
    <mergeCell ref="AQ1239:AU1239"/>
    <mergeCell ref="B1241:F1241"/>
    <mergeCell ref="H1241:K1241"/>
    <mergeCell ref="M1241:O1241"/>
    <mergeCell ref="Q1241:S1241"/>
    <mergeCell ref="U1241:W1241"/>
    <mergeCell ref="Z1241:AD1241"/>
    <mergeCell ref="AF1241:AI1241"/>
    <mergeCell ref="AK1241:AM1241"/>
    <mergeCell ref="AO1241:AQ1241"/>
    <mergeCell ref="AS1241:AU1241"/>
    <mergeCell ref="B1242:F1242"/>
    <mergeCell ref="H1242:K1242"/>
    <mergeCell ref="M1242:O1242"/>
    <mergeCell ref="Q1242:S1242"/>
    <mergeCell ref="U1242:W1242"/>
    <mergeCell ref="Z1242:AD1242"/>
    <mergeCell ref="AF1242:AI1242"/>
    <mergeCell ref="AK1242:AM1242"/>
    <mergeCell ref="AO1242:AQ1242"/>
    <mergeCell ref="AS1242:AU1242"/>
    <mergeCell ref="E1244:N1244"/>
    <mergeCell ref="P1244:R1244"/>
    <mergeCell ref="AC1244:AL1244"/>
    <mergeCell ref="AN1244:AP1244"/>
    <mergeCell ref="B1245:C1245"/>
    <mergeCell ref="T1245:W1245"/>
    <mergeCell ref="Z1245:AA1245"/>
    <mergeCell ref="AR1245:AU1245"/>
    <mergeCell ref="B1246:C1246"/>
    <mergeCell ref="Z1246:AA1246"/>
    <mergeCell ref="B1247:C1247"/>
    <mergeCell ref="Z1247:AA1247"/>
    <mergeCell ref="B1248:C1248"/>
    <mergeCell ref="Z1248:AA1248"/>
    <mergeCell ref="B1249:C1249"/>
    <mergeCell ref="Z1249:AA1249"/>
    <mergeCell ref="B1250:C1250"/>
    <mergeCell ref="Z1250:AA1250"/>
    <mergeCell ref="B1254:G1254"/>
    <mergeCell ref="I1254:W1254"/>
    <mergeCell ref="Z1254:AE1254"/>
    <mergeCell ref="AG1254:AU1254"/>
    <mergeCell ref="B1255:G1255"/>
    <mergeCell ref="I1255:W1255"/>
    <mergeCell ref="Z1255:AE1255"/>
    <mergeCell ref="AG1255:AU1255"/>
    <mergeCell ref="I1258:Q1258"/>
    <mergeCell ref="R1258:W1258"/>
    <mergeCell ref="AG1258:AO1258"/>
    <mergeCell ref="AP1258:AU1258"/>
    <mergeCell ref="B1261:AP1261"/>
    <mergeCell ref="B1262:AP1262"/>
    <mergeCell ref="B1263:AP1263"/>
    <mergeCell ref="AR1263:AT1265"/>
    <mergeCell ref="H1265:Q1265"/>
    <mergeCell ref="AE1265:AN1265"/>
    <mergeCell ref="H1266:Q1266"/>
    <mergeCell ref="AE1266:AN1266"/>
    <mergeCell ref="B1268:L1268"/>
    <mergeCell ref="P1268:W1268"/>
    <mergeCell ref="Z1268:AJ1268"/>
    <mergeCell ref="AN1268:AU1268"/>
    <mergeCell ref="B1269:M1269"/>
    <mergeCell ref="P1269:W1269"/>
    <mergeCell ref="Z1269:AK1269"/>
    <mergeCell ref="AN1269:AU1269"/>
    <mergeCell ref="B1271:J1271"/>
    <mergeCell ref="L1271:Q1271"/>
    <mergeCell ref="S1271:W1271"/>
    <mergeCell ref="Z1271:AH1271"/>
    <mergeCell ref="AJ1271:AO1271"/>
    <mergeCell ref="AQ1271:AU1271"/>
    <mergeCell ref="B1272:J1272"/>
    <mergeCell ref="L1272:Q1272"/>
    <mergeCell ref="S1272:W1272"/>
    <mergeCell ref="Z1272:AH1272"/>
    <mergeCell ref="AJ1272:AO1272"/>
    <mergeCell ref="AQ1272:AU1272"/>
    <mergeCell ref="B1274:F1274"/>
    <mergeCell ref="H1274:K1274"/>
    <mergeCell ref="M1274:O1274"/>
    <mergeCell ref="Q1274:S1274"/>
    <mergeCell ref="U1274:W1274"/>
    <mergeCell ref="Z1274:AD1274"/>
    <mergeCell ref="AF1274:AI1274"/>
    <mergeCell ref="AK1274:AM1274"/>
    <mergeCell ref="AO1274:AQ1274"/>
    <mergeCell ref="AS1274:AU1274"/>
    <mergeCell ref="B1275:F1275"/>
    <mergeCell ref="H1275:K1275"/>
    <mergeCell ref="M1275:O1275"/>
    <mergeCell ref="Q1275:S1275"/>
    <mergeCell ref="U1275:W1275"/>
    <mergeCell ref="Z1275:AD1275"/>
    <mergeCell ref="AF1275:AI1275"/>
    <mergeCell ref="AK1275:AM1275"/>
    <mergeCell ref="AO1275:AQ1275"/>
    <mergeCell ref="AS1275:AU1275"/>
    <mergeCell ref="E1277:N1277"/>
    <mergeCell ref="P1277:R1277"/>
    <mergeCell ref="AC1277:AL1277"/>
    <mergeCell ref="AN1277:AP1277"/>
    <mergeCell ref="B1278:C1278"/>
    <mergeCell ref="T1278:W1278"/>
    <mergeCell ref="Z1278:AA1278"/>
    <mergeCell ref="AR1278:AU1278"/>
    <mergeCell ref="B1279:C1279"/>
    <mergeCell ref="Z1279:AA1279"/>
    <mergeCell ref="B1280:C1280"/>
    <mergeCell ref="Z1280:AA1280"/>
    <mergeCell ref="B1281:C1281"/>
    <mergeCell ref="Z1281:AA1281"/>
    <mergeCell ref="B1282:C1282"/>
    <mergeCell ref="Z1282:AA1282"/>
    <mergeCell ref="B1283:C1283"/>
    <mergeCell ref="Z1283:AA1283"/>
    <mergeCell ref="B1287:G1287"/>
    <mergeCell ref="I1287:W1287"/>
    <mergeCell ref="Z1287:AE1287"/>
    <mergeCell ref="AG1287:AU1287"/>
    <mergeCell ref="B1288:G1288"/>
    <mergeCell ref="I1288:W1288"/>
    <mergeCell ref="Z1288:AE1288"/>
    <mergeCell ref="AG1288:AU1288"/>
    <mergeCell ref="I1291:Q1291"/>
    <mergeCell ref="R1291:W1291"/>
    <mergeCell ref="AG1291:AO1291"/>
    <mergeCell ref="AP1291:AU1291"/>
    <mergeCell ref="AE1295:AN1295"/>
    <mergeCell ref="AE1296:AN1296"/>
    <mergeCell ref="B1298:L1298"/>
    <mergeCell ref="P1298:W1298"/>
    <mergeCell ref="Z1298:AJ1298"/>
    <mergeCell ref="AN1298:AU1298"/>
    <mergeCell ref="H1295:Q1295"/>
    <mergeCell ref="H1296:Q1296"/>
    <mergeCell ref="B1299:M1299"/>
    <mergeCell ref="P1299:W1299"/>
    <mergeCell ref="Z1299:AK1299"/>
    <mergeCell ref="AN1299:AU1299"/>
    <mergeCell ref="B1301:J1301"/>
    <mergeCell ref="L1301:Q1301"/>
    <mergeCell ref="S1301:W1301"/>
    <mergeCell ref="Z1301:AH1301"/>
    <mergeCell ref="AJ1301:AO1301"/>
    <mergeCell ref="AQ1301:AU1301"/>
    <mergeCell ref="B1302:J1302"/>
    <mergeCell ref="L1302:Q1302"/>
    <mergeCell ref="S1302:W1302"/>
    <mergeCell ref="Z1302:AH1302"/>
    <mergeCell ref="AJ1302:AO1302"/>
    <mergeCell ref="AQ1302:AU1302"/>
    <mergeCell ref="B1304:F1304"/>
    <mergeCell ref="H1304:K1304"/>
    <mergeCell ref="M1304:O1304"/>
    <mergeCell ref="Q1304:S1304"/>
    <mergeCell ref="U1304:W1304"/>
    <mergeCell ref="Z1304:AD1304"/>
    <mergeCell ref="AF1304:AI1304"/>
    <mergeCell ref="AK1304:AM1304"/>
    <mergeCell ref="AO1304:AQ1304"/>
    <mergeCell ref="AS1304:AU1304"/>
    <mergeCell ref="B1305:F1305"/>
    <mergeCell ref="H1305:K1305"/>
    <mergeCell ref="M1305:O1305"/>
    <mergeCell ref="Q1305:S1305"/>
    <mergeCell ref="U1305:W1305"/>
    <mergeCell ref="Z1305:AD1305"/>
    <mergeCell ref="AF1305:AI1305"/>
    <mergeCell ref="AK1305:AM1305"/>
    <mergeCell ref="AO1305:AQ1305"/>
    <mergeCell ref="AS1305:AU1305"/>
    <mergeCell ref="E1307:N1307"/>
    <mergeCell ref="P1307:R1307"/>
    <mergeCell ref="AC1307:AL1307"/>
    <mergeCell ref="AN1307:AP1307"/>
    <mergeCell ref="B1308:C1308"/>
    <mergeCell ref="T1308:W1308"/>
    <mergeCell ref="Z1308:AA1308"/>
    <mergeCell ref="AR1308:AU1308"/>
    <mergeCell ref="B1309:C1309"/>
    <mergeCell ref="Z1309:AA1309"/>
    <mergeCell ref="B1310:C1310"/>
    <mergeCell ref="Z1310:AA1310"/>
    <mergeCell ref="B1311:C1311"/>
    <mergeCell ref="Z1311:AA1311"/>
    <mergeCell ref="B1312:C1312"/>
    <mergeCell ref="Z1312:AA1312"/>
    <mergeCell ref="B1313:C1313"/>
    <mergeCell ref="Z1313:AA1313"/>
    <mergeCell ref="B1317:G1317"/>
    <mergeCell ref="I1317:W1317"/>
    <mergeCell ref="Z1317:AE1317"/>
    <mergeCell ref="AG1317:AU1317"/>
    <mergeCell ref="B1318:G1318"/>
    <mergeCell ref="I1318:W1318"/>
    <mergeCell ref="Z1318:AE1318"/>
    <mergeCell ref="AG1318:AU1318"/>
    <mergeCell ref="I1321:Q1321"/>
    <mergeCell ref="R1321:W1321"/>
    <mergeCell ref="AG1321:AO1321"/>
    <mergeCell ref="AP1321:AU1321"/>
    <mergeCell ref="B1324:AP1324"/>
    <mergeCell ref="B1325:AP1325"/>
    <mergeCell ref="B1326:AP1326"/>
    <mergeCell ref="AR1326:AT1328"/>
    <mergeCell ref="H1328:Q1328"/>
    <mergeCell ref="AE1328:AN1328"/>
    <mergeCell ref="H1329:Q1329"/>
    <mergeCell ref="AE1329:AN1329"/>
    <mergeCell ref="B1331:L1331"/>
    <mergeCell ref="P1331:W1331"/>
    <mergeCell ref="Z1331:AJ1331"/>
    <mergeCell ref="AN1331:AU1331"/>
    <mergeCell ref="B1332:M1332"/>
    <mergeCell ref="P1332:W1332"/>
    <mergeCell ref="Z1332:AK1332"/>
    <mergeCell ref="AN1332:AU1332"/>
    <mergeCell ref="B1334:J1334"/>
    <mergeCell ref="L1334:Q1334"/>
    <mergeCell ref="S1334:W1334"/>
    <mergeCell ref="Z1334:AH1334"/>
    <mergeCell ref="AJ1334:AO1334"/>
    <mergeCell ref="AQ1334:AU1334"/>
    <mergeCell ref="B1335:J1335"/>
    <mergeCell ref="L1335:Q1335"/>
    <mergeCell ref="S1335:W1335"/>
    <mergeCell ref="Z1335:AH1335"/>
    <mergeCell ref="AJ1335:AO1335"/>
    <mergeCell ref="AQ1335:AU1335"/>
    <mergeCell ref="B1337:F1337"/>
    <mergeCell ref="H1337:K1337"/>
    <mergeCell ref="M1337:O1337"/>
    <mergeCell ref="Q1337:S1337"/>
    <mergeCell ref="U1337:W1337"/>
    <mergeCell ref="Z1337:AD1337"/>
    <mergeCell ref="AF1337:AI1337"/>
    <mergeCell ref="AK1337:AM1337"/>
    <mergeCell ref="AO1337:AQ1337"/>
    <mergeCell ref="AS1337:AU1337"/>
    <mergeCell ref="B1338:F1338"/>
    <mergeCell ref="H1338:K1338"/>
    <mergeCell ref="M1338:O1338"/>
    <mergeCell ref="Q1338:S1338"/>
    <mergeCell ref="U1338:W1338"/>
    <mergeCell ref="Z1338:AD1338"/>
    <mergeCell ref="AF1338:AI1338"/>
    <mergeCell ref="AK1338:AM1338"/>
    <mergeCell ref="AO1338:AQ1338"/>
    <mergeCell ref="AS1338:AU1338"/>
    <mergeCell ref="E1340:N1340"/>
    <mergeCell ref="P1340:R1340"/>
    <mergeCell ref="AC1340:AL1340"/>
    <mergeCell ref="AN1340:AP1340"/>
    <mergeCell ref="B1341:C1341"/>
    <mergeCell ref="T1341:W1341"/>
    <mergeCell ref="Z1341:AA1341"/>
    <mergeCell ref="AR1341:AU1341"/>
    <mergeCell ref="B1342:C1342"/>
    <mergeCell ref="Z1342:AA1342"/>
    <mergeCell ref="B1343:C1343"/>
    <mergeCell ref="Z1343:AA1343"/>
    <mergeCell ref="B1344:C1344"/>
    <mergeCell ref="Z1344:AA1344"/>
    <mergeCell ref="B1345:C1345"/>
    <mergeCell ref="Z1345:AA1345"/>
    <mergeCell ref="B1346:C1346"/>
    <mergeCell ref="Z1346:AA1346"/>
    <mergeCell ref="B1350:G1350"/>
    <mergeCell ref="I1350:W1350"/>
    <mergeCell ref="Z1350:AE1350"/>
    <mergeCell ref="AG1350:AU1350"/>
    <mergeCell ref="B1351:G1351"/>
    <mergeCell ref="I1351:W1351"/>
    <mergeCell ref="Z1351:AE1351"/>
    <mergeCell ref="AG1351:AU1351"/>
    <mergeCell ref="M1368:O1368"/>
    <mergeCell ref="Q1368:S1368"/>
    <mergeCell ref="U1368:W1368"/>
    <mergeCell ref="Z1368:AD1368"/>
    <mergeCell ref="AF1368:AI1368"/>
    <mergeCell ref="AK1368:AM1368"/>
    <mergeCell ref="AO1368:AQ1368"/>
    <mergeCell ref="AS1368:AU1368"/>
    <mergeCell ref="I1354:Q1354"/>
    <mergeCell ref="R1354:W1354"/>
    <mergeCell ref="AG1354:AO1354"/>
    <mergeCell ref="AP1354:AU1354"/>
    <mergeCell ref="AE1358:AN1358"/>
    <mergeCell ref="AE1359:AN1359"/>
    <mergeCell ref="B1361:L1361"/>
    <mergeCell ref="P1361:W1361"/>
    <mergeCell ref="Z1361:AJ1361"/>
    <mergeCell ref="AN1361:AU1361"/>
    <mergeCell ref="H1358:Q1358"/>
    <mergeCell ref="H1359:Q1359"/>
    <mergeCell ref="B1362:M1362"/>
    <mergeCell ref="P1362:W1362"/>
    <mergeCell ref="Z1362:AK1362"/>
    <mergeCell ref="AN1362:AU1362"/>
    <mergeCell ref="B1364:J1364"/>
    <mergeCell ref="L1364:Q1364"/>
    <mergeCell ref="S1364:W1364"/>
    <mergeCell ref="Z1364:AH1364"/>
    <mergeCell ref="AJ1364:AO1364"/>
    <mergeCell ref="AQ1364:AU1364"/>
    <mergeCell ref="B1371:C1371"/>
    <mergeCell ref="T1371:W1371"/>
    <mergeCell ref="Z1371:AA1371"/>
    <mergeCell ref="AR1371:AU1371"/>
    <mergeCell ref="B1372:C1372"/>
    <mergeCell ref="Z1372:AA1372"/>
    <mergeCell ref="B1373:C1373"/>
    <mergeCell ref="Z1373:AA1373"/>
    <mergeCell ref="B1374:C1374"/>
    <mergeCell ref="Z1374:AA1374"/>
    <mergeCell ref="B1375:C1375"/>
    <mergeCell ref="Z1375:AA1375"/>
    <mergeCell ref="B1376:C1376"/>
    <mergeCell ref="Z1376:AA1376"/>
    <mergeCell ref="B1365:J1365"/>
    <mergeCell ref="L1365:Q1365"/>
    <mergeCell ref="S1365:W1365"/>
    <mergeCell ref="Z1365:AH1365"/>
    <mergeCell ref="AJ1365:AO1365"/>
    <mergeCell ref="AQ1365:AU1365"/>
    <mergeCell ref="B1367:F1367"/>
    <mergeCell ref="H1367:K1367"/>
    <mergeCell ref="M1367:O1367"/>
    <mergeCell ref="Q1367:S1367"/>
    <mergeCell ref="U1367:W1367"/>
    <mergeCell ref="Z1367:AD1367"/>
    <mergeCell ref="AF1367:AI1367"/>
    <mergeCell ref="AK1367:AM1367"/>
    <mergeCell ref="AO1367:AQ1367"/>
    <mergeCell ref="AS1367:AU1367"/>
    <mergeCell ref="B1368:F1368"/>
    <mergeCell ref="H1368:K1368"/>
    <mergeCell ref="B1380:G1380"/>
    <mergeCell ref="I1380:W1380"/>
    <mergeCell ref="Z1380:AE1380"/>
    <mergeCell ref="AG1380:AU1380"/>
    <mergeCell ref="B1381:G1381"/>
    <mergeCell ref="I1381:W1381"/>
    <mergeCell ref="Z1381:AE1381"/>
    <mergeCell ref="AG1381:AU1381"/>
    <mergeCell ref="I1384:Q1384"/>
    <mergeCell ref="R1384:W1384"/>
    <mergeCell ref="AG1384:AO1384"/>
    <mergeCell ref="AP1384:AU1384"/>
    <mergeCell ref="B64:AP64"/>
    <mergeCell ref="B65:AP65"/>
    <mergeCell ref="B66:AP66"/>
    <mergeCell ref="AR66:AT68"/>
    <mergeCell ref="H68:Q68"/>
    <mergeCell ref="AE68:AN68"/>
    <mergeCell ref="B113:C113"/>
    <mergeCell ref="Z113:AA113"/>
    <mergeCell ref="B114:C114"/>
    <mergeCell ref="Z114:AA114"/>
    <mergeCell ref="H161:Q161"/>
    <mergeCell ref="H162:Q162"/>
    <mergeCell ref="B154:G154"/>
    <mergeCell ref="I154:W154"/>
    <mergeCell ref="Z154:AE154"/>
    <mergeCell ref="B144:C144"/>
    <mergeCell ref="E1370:N1370"/>
    <mergeCell ref="P1370:R1370"/>
    <mergeCell ref="AC1370:AL1370"/>
    <mergeCell ref="AN1370:AP1370"/>
  </mergeCells>
  <pageMargins left="0.25" right="0.25" top="0.75" bottom="0.75" header="0.3" footer="0.3"/>
  <pageSetup paperSize="9" scale="61" fitToHeight="0" orientation="portrait" r:id="rId1"/>
  <rowBreaks count="23" manualBreakCount="23">
    <brk id="62" max="16383" man="1"/>
    <brk id="126" max="47" man="1"/>
    <brk id="189" max="16383" man="1"/>
    <brk id="252" max="16383" man="1"/>
    <brk id="315" max="16383" man="1"/>
    <brk id="378" max="16383" man="1"/>
    <brk id="441" max="16383" man="1"/>
    <brk id="504" max="16383" man="1"/>
    <brk id="567" max="16383" man="1"/>
    <brk id="630" max="16383" man="1"/>
    <brk id="693" max="16383" man="1"/>
    <brk id="756" max="16383" man="1"/>
    <brk id="819" max="16383" man="1"/>
    <brk id="882" max="16383" man="1"/>
    <brk id="945" max="16383" man="1"/>
    <brk id="1008" max="16383" man="1"/>
    <brk id="1071" max="16383" man="1"/>
    <brk id="1134" max="16383" man="1"/>
    <brk id="1197" max="16383" man="1"/>
    <brk id="1260" max="16383" man="1"/>
    <brk id="1323" max="16383" man="1"/>
    <brk id="1387" max="16383" man="1"/>
    <brk id="1451"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30">
    <tabColor rgb="FF00FF00"/>
    <pageSetUpPr fitToPage="1"/>
  </sheetPr>
  <dimension ref="A1:F42"/>
  <sheetViews>
    <sheetView workbookViewId="0"/>
  </sheetViews>
  <sheetFormatPr baseColWidth="10" defaultRowHeight="12.75" x14ac:dyDescent="0.2"/>
  <cols>
    <col min="1" max="1" width="4.42578125" style="40" customWidth="1"/>
    <col min="2" max="2" width="4.42578125" style="40" hidden="1" customWidth="1"/>
    <col min="3" max="4" width="40.7109375" style="40" customWidth="1"/>
    <col min="5" max="6" width="17" style="40" bestFit="1" customWidth="1"/>
    <col min="7" max="16384" width="11.42578125" style="40"/>
  </cols>
  <sheetData>
    <row r="1" spans="1:6" ht="36.75" customHeight="1" x14ac:dyDescent="0.2">
      <c r="C1" s="439" t="str">
        <f>Championnat</f>
        <v>Championnat de France de Tir à l'ARC</v>
      </c>
    </row>
    <row r="2" spans="1:6" ht="32.25" customHeight="1" x14ac:dyDescent="0.2">
      <c r="C2" s="135" t="str">
        <f>CATEG_IMPORTEE</f>
        <v>Collèges Mixtes Etablissement</v>
      </c>
      <c r="D2" s="129"/>
    </row>
    <row r="3" spans="1:6" ht="27" customHeight="1" x14ac:dyDescent="0.2">
      <c r="C3" s="140" t="str">
        <f>"DUEL "&amp;LEFT('Fiches Duels 1'!AD2,2)</f>
        <v>DUEL D1</v>
      </c>
      <c r="D3" s="129"/>
    </row>
    <row r="4" spans="1:6" ht="5.25" customHeight="1" x14ac:dyDescent="0.2">
      <c r="C4" s="129"/>
      <c r="D4" s="130"/>
    </row>
    <row r="5" spans="1:6" ht="25.5" x14ac:dyDescent="0.2">
      <c r="C5" s="1042" t="s">
        <v>485</v>
      </c>
      <c r="D5" s="1042"/>
    </row>
    <row r="6" spans="1:6" ht="9.75" customHeight="1" x14ac:dyDescent="0.2"/>
    <row r="7" spans="1:6" ht="20.25" x14ac:dyDescent="0.2">
      <c r="C7" s="132" t="s">
        <v>0</v>
      </c>
      <c r="D7" s="132" t="s">
        <v>375</v>
      </c>
      <c r="E7" s="529" t="s">
        <v>486</v>
      </c>
      <c r="F7" s="132" t="s">
        <v>881</v>
      </c>
    </row>
    <row r="8" spans="1:6" s="134" customFormat="1" ht="15.95" customHeight="1" x14ac:dyDescent="0.2">
      <c r="A8" s="134">
        <v>1</v>
      </c>
      <c r="B8" s="527" t="str">
        <f>'Fiches Duels 1'!AE3</f>
        <v>C1-Coll1Ville1</v>
      </c>
      <c r="C8" s="528" t="str">
        <f>IFERROR(VLOOKUP(B8,Num_AS,2,FALSE),"")</f>
        <v/>
      </c>
      <c r="D8" s="528" t="str">
        <f>IFERROR(VLOOKUP(B8,Num_AS,3,FALSE),"")</f>
        <v/>
      </c>
      <c r="E8" s="136">
        <v>9</v>
      </c>
      <c r="F8" s="532" t="str">
        <f t="shared" ref="F8:F42" si="0">IFERROR(VLOOKUP(B8,Num_AS,30,FALSE),"")</f>
        <v/>
      </c>
    </row>
    <row r="9" spans="1:6" s="134" customFormat="1" ht="15.95" customHeight="1" x14ac:dyDescent="0.2">
      <c r="A9" s="134">
        <v>2</v>
      </c>
      <c r="B9" s="527" t="str">
        <f>'Fiches Duels 1'!AE4</f>
        <v>C8-Coll8Ville8</v>
      </c>
      <c r="C9" s="528" t="str">
        <f>IFERROR(VLOOKUP(B9,Num_AS,2,FALSE),"")</f>
        <v/>
      </c>
      <c r="D9" s="528" t="str">
        <f>IFERROR(VLOOKUP(B9,Num_AS,3,FALSE),"")</f>
        <v/>
      </c>
      <c r="E9" s="136">
        <v>10</v>
      </c>
      <c r="F9" s="532" t="str">
        <f t="shared" si="0"/>
        <v/>
      </c>
    </row>
    <row r="10" spans="1:6" s="134" customFormat="1" ht="6.75" customHeight="1" x14ac:dyDescent="0.2">
      <c r="B10" s="527"/>
      <c r="C10" s="530"/>
      <c r="D10" s="530"/>
      <c r="E10" s="627"/>
      <c r="F10" s="533" t="str">
        <f t="shared" si="0"/>
        <v/>
      </c>
    </row>
    <row r="11" spans="1:6" s="134" customFormat="1" ht="15.95" customHeight="1" x14ac:dyDescent="0.2">
      <c r="A11" s="134">
        <v>3</v>
      </c>
      <c r="B11" s="527" t="str">
        <f>'Fiches Duels 1'!AE5</f>
        <v>C4-Coll4Ville4</v>
      </c>
      <c r="C11" s="528" t="str">
        <f>IFERROR(VLOOKUP(B11,Num_AS,2,FALSE),"")</f>
        <v/>
      </c>
      <c r="D11" s="528" t="str">
        <f>IFERROR(VLOOKUP(B11,Num_AS,3,FALSE),"")</f>
        <v/>
      </c>
      <c r="E11" s="136">
        <v>12</v>
      </c>
      <c r="F11" s="532" t="str">
        <f t="shared" si="0"/>
        <v/>
      </c>
    </row>
    <row r="12" spans="1:6" s="134" customFormat="1" ht="15.95" customHeight="1" x14ac:dyDescent="0.2">
      <c r="A12" s="134">
        <v>4</v>
      </c>
      <c r="B12" s="527" t="str">
        <f>'Fiches Duels 1'!AE6</f>
        <v>C5-Coll5Ville5</v>
      </c>
      <c r="C12" s="528" t="str">
        <f>IFERROR(VLOOKUP(B12,Num_AS,2,FALSE),"")</f>
        <v/>
      </c>
      <c r="D12" s="528" t="str">
        <f>IFERROR(VLOOKUP(B12,Num_AS,3,FALSE),"")</f>
        <v/>
      </c>
      <c r="E12" s="136">
        <v>13</v>
      </c>
      <c r="F12" s="532" t="str">
        <f t="shared" si="0"/>
        <v/>
      </c>
    </row>
    <row r="13" spans="1:6" s="134" customFormat="1" ht="6.75" customHeight="1" x14ac:dyDescent="0.2">
      <c r="B13" s="527"/>
      <c r="C13" s="530"/>
      <c r="D13" s="530"/>
      <c r="E13" s="531"/>
      <c r="F13" s="533" t="str">
        <f t="shared" si="0"/>
        <v/>
      </c>
    </row>
    <row r="14" spans="1:6" s="134" customFormat="1" ht="15.95" customHeight="1" x14ac:dyDescent="0.2">
      <c r="A14" s="134">
        <v>5</v>
      </c>
      <c r="B14" s="527" t="str">
        <f>'Fiches Duels 1'!AE7</f>
        <v>C3-Coll3Ville3</v>
      </c>
      <c r="C14" s="528" t="str">
        <f>IFERROR(VLOOKUP(B14,Num_AS,2,FALSE),"")</f>
        <v/>
      </c>
      <c r="D14" s="528" t="str">
        <f>IFERROR(VLOOKUP(B14,Num_AS,3,FALSE),"")</f>
        <v/>
      </c>
      <c r="E14" s="136">
        <f>'Fiches Duels 1'!AD7</f>
        <v>5</v>
      </c>
      <c r="F14" s="532" t="str">
        <f t="shared" si="0"/>
        <v/>
      </c>
    </row>
    <row r="15" spans="1:6" s="134" customFormat="1" ht="15.95" customHeight="1" x14ac:dyDescent="0.2">
      <c r="A15" s="134">
        <v>6</v>
      </c>
      <c r="B15" s="527" t="str">
        <f>'Fiches Duels 1'!AE8</f>
        <v>C6-Coll6Ville6</v>
      </c>
      <c r="C15" s="528" t="str">
        <f>IFERROR(VLOOKUP(B15,Num_AS,2,FALSE),"")</f>
        <v/>
      </c>
      <c r="D15" s="528" t="str">
        <f>IFERROR(VLOOKUP(B15,Num_AS,3,FALSE),"")</f>
        <v/>
      </c>
      <c r="E15" s="136">
        <f>'Fiches Duels 1'!AD8</f>
        <v>6</v>
      </c>
      <c r="F15" s="532" t="str">
        <f t="shared" si="0"/>
        <v/>
      </c>
    </row>
    <row r="16" spans="1:6" s="134" customFormat="1" ht="6.75" customHeight="1" x14ac:dyDescent="0.2">
      <c r="B16" s="527"/>
      <c r="C16" s="530"/>
      <c r="D16" s="530"/>
      <c r="E16" s="531"/>
      <c r="F16" s="533" t="str">
        <f t="shared" si="0"/>
        <v/>
      </c>
    </row>
    <row r="17" spans="1:6" s="134" customFormat="1" ht="15.95" customHeight="1" x14ac:dyDescent="0.2">
      <c r="A17" s="134">
        <v>7</v>
      </c>
      <c r="B17" s="527" t="str">
        <f>'Fiches Duels 1'!AE9</f>
        <v>C2-Coll2Ville2</v>
      </c>
      <c r="C17" s="528" t="str">
        <f>IFERROR(VLOOKUP(B17,Num_AS,2,FALSE),"")</f>
        <v/>
      </c>
      <c r="D17" s="528" t="str">
        <f>IFERROR(VLOOKUP(B17,Num_AS,3,FALSE),"")</f>
        <v/>
      </c>
      <c r="E17" s="136">
        <f>'Fiches Duels 1'!AD9</f>
        <v>7</v>
      </c>
      <c r="F17" s="532" t="str">
        <f t="shared" si="0"/>
        <v/>
      </c>
    </row>
    <row r="18" spans="1:6" s="134" customFormat="1" ht="15.95" customHeight="1" x14ac:dyDescent="0.2">
      <c r="A18" s="134">
        <v>8</v>
      </c>
      <c r="B18" s="527" t="str">
        <f>'Fiches Duels 1'!AE10</f>
        <v>C7-Coll7Ville7</v>
      </c>
      <c r="C18" s="528" t="str">
        <f>IFERROR(VLOOKUP(B18,Num_AS,2,FALSE),"")</f>
        <v/>
      </c>
      <c r="D18" s="528" t="str">
        <f>IFERROR(VLOOKUP(B18,Num_AS,3,FALSE),"")</f>
        <v/>
      </c>
      <c r="E18" s="136">
        <f>'Fiches Duels 1'!AD10</f>
        <v>8</v>
      </c>
      <c r="F18" s="532" t="str">
        <f t="shared" si="0"/>
        <v/>
      </c>
    </row>
    <row r="19" spans="1:6" s="134" customFormat="1" ht="6.75" customHeight="1" x14ac:dyDescent="0.2">
      <c r="B19" s="527"/>
      <c r="C19" s="530"/>
      <c r="D19" s="530"/>
      <c r="E19" s="531"/>
      <c r="F19" s="533" t="str">
        <f t="shared" si="0"/>
        <v/>
      </c>
    </row>
    <row r="20" spans="1:6" s="134" customFormat="1" ht="15.95" customHeight="1" x14ac:dyDescent="0.2">
      <c r="A20" s="134">
        <v>9</v>
      </c>
      <c r="B20" s="527" t="str">
        <f>'Fiches Duels 1'!AE11</f>
        <v>C9-Coll9Ville9</v>
      </c>
      <c r="C20" s="528" t="str">
        <f>IFERROR(VLOOKUP(B20,Num_AS,2,FALSE),"")</f>
        <v/>
      </c>
      <c r="D20" s="528" t="str">
        <f>IFERROR(VLOOKUP(B20,Num_AS,3,FALSE),"")</f>
        <v/>
      </c>
      <c r="E20" s="136">
        <f>'Fiches Duels 1'!AD11</f>
        <v>9</v>
      </c>
      <c r="F20" s="532" t="str">
        <f t="shared" si="0"/>
        <v/>
      </c>
    </row>
    <row r="21" spans="1:6" s="134" customFormat="1" ht="15.95" customHeight="1" x14ac:dyDescent="0.2">
      <c r="A21" s="134">
        <v>10</v>
      </c>
      <c r="B21" s="527" t="str">
        <f>'Fiches Duels 1'!AE12</f>
        <v>C12-Coll12Ville12</v>
      </c>
      <c r="C21" s="528" t="str">
        <f>IFERROR(VLOOKUP(B21,Num_AS,2,FALSE),"")</f>
        <v/>
      </c>
      <c r="D21" s="528" t="str">
        <f>IFERROR(VLOOKUP(B21,Num_AS,3,FALSE),"")</f>
        <v/>
      </c>
      <c r="E21" s="136">
        <f>'Fiches Duels 1'!AD12</f>
        <v>10</v>
      </c>
      <c r="F21" s="532" t="str">
        <f t="shared" si="0"/>
        <v/>
      </c>
    </row>
    <row r="22" spans="1:6" s="134" customFormat="1" ht="6.75" customHeight="1" x14ac:dyDescent="0.2">
      <c r="B22" s="527"/>
      <c r="C22" s="530"/>
      <c r="D22" s="530"/>
      <c r="E22" s="531"/>
      <c r="F22" s="533" t="str">
        <f t="shared" si="0"/>
        <v/>
      </c>
    </row>
    <row r="23" spans="1:6" s="134" customFormat="1" ht="15.95" customHeight="1" x14ac:dyDescent="0.2">
      <c r="A23" s="134">
        <v>11</v>
      </c>
      <c r="B23" s="527" t="str">
        <f>'Fiches Duels 1'!AE13</f>
        <v>C13-Coll13Ville13</v>
      </c>
      <c r="C23" s="528" t="str">
        <f>IFERROR(VLOOKUP(B23,Num_AS,2,FALSE),"")</f>
        <v/>
      </c>
      <c r="D23" s="528" t="str">
        <f>IFERROR(VLOOKUP(B23,Num_AS,3,FALSE),"")</f>
        <v/>
      </c>
      <c r="E23" s="136">
        <f>'Fiches Duels 1'!AD13</f>
        <v>11</v>
      </c>
      <c r="F23" s="532" t="str">
        <f t="shared" si="0"/>
        <v/>
      </c>
    </row>
    <row r="24" spans="1:6" s="134" customFormat="1" ht="15.95" customHeight="1" x14ac:dyDescent="0.2">
      <c r="A24" s="134">
        <v>12</v>
      </c>
      <c r="B24" s="527" t="str">
        <f>'Fiches Duels 1'!AE14</f>
        <v>C10-Coll10Ville10</v>
      </c>
      <c r="C24" s="528" t="str">
        <f>IFERROR(VLOOKUP(B24,Num_AS,2,FALSE),"")</f>
        <v/>
      </c>
      <c r="D24" s="528" t="str">
        <f>IFERROR(VLOOKUP(B24,Num_AS,3,FALSE),"")</f>
        <v/>
      </c>
      <c r="E24" s="136">
        <f>'Fiches Duels 1'!AD14</f>
        <v>12</v>
      </c>
      <c r="F24" s="532" t="str">
        <f t="shared" si="0"/>
        <v/>
      </c>
    </row>
    <row r="25" spans="1:6" s="134" customFormat="1" ht="6.75" customHeight="1" x14ac:dyDescent="0.2">
      <c r="B25" s="527"/>
      <c r="C25" s="530"/>
      <c r="D25" s="530"/>
      <c r="E25" s="531"/>
      <c r="F25" s="533" t="str">
        <f t="shared" si="0"/>
        <v/>
      </c>
    </row>
    <row r="26" spans="1:6" s="134" customFormat="1" ht="15.95" customHeight="1" x14ac:dyDescent="0.2">
      <c r="A26" s="134">
        <v>13</v>
      </c>
      <c r="B26" s="527" t="str">
        <f>'Fiches Duels 1'!AE15</f>
        <v>C11-Coll11Ville11</v>
      </c>
      <c r="C26" s="528" t="str">
        <f>IFERROR(VLOOKUP(B26,Num_AS,2,FALSE),"")</f>
        <v/>
      </c>
      <c r="D26" s="528" t="str">
        <f>IFERROR(VLOOKUP(B26,Num_AS,3,FALSE),"")</f>
        <v/>
      </c>
      <c r="E26" s="136">
        <f>'Fiches Duels 1'!AD15</f>
        <v>13</v>
      </c>
      <c r="F26" s="532" t="str">
        <f t="shared" si="0"/>
        <v/>
      </c>
    </row>
    <row r="27" spans="1:6" s="134" customFormat="1" ht="15.95" customHeight="1" x14ac:dyDescent="0.2">
      <c r="A27" s="134">
        <v>14</v>
      </c>
      <c r="B27" s="527">
        <f>'Fiches Duels 1'!AE16</f>
        <v>0</v>
      </c>
      <c r="C27" s="528" t="str">
        <f>IFERROR(VLOOKUP(B27,Num_AS,2,FALSE),"")</f>
        <v/>
      </c>
      <c r="D27" s="528" t="str">
        <f>IFERROR(VLOOKUP(B27,Num_AS,3,FALSE),"")</f>
        <v/>
      </c>
      <c r="E27" s="136">
        <f>'Fiches Duels 1'!AD16</f>
        <v>0</v>
      </c>
      <c r="F27" s="532" t="str">
        <f t="shared" si="0"/>
        <v/>
      </c>
    </row>
    <row r="28" spans="1:6" s="134" customFormat="1" ht="6.75" customHeight="1" x14ac:dyDescent="0.2">
      <c r="B28" s="527"/>
      <c r="C28" s="530"/>
      <c r="D28" s="530"/>
      <c r="E28" s="531"/>
      <c r="F28" s="533" t="str">
        <f t="shared" si="0"/>
        <v/>
      </c>
    </row>
    <row r="29" spans="1:6" s="134" customFormat="1" ht="15.95" customHeight="1" x14ac:dyDescent="0.2">
      <c r="A29" s="134">
        <v>15</v>
      </c>
      <c r="B29" s="527">
        <f>'Fiches Duels 1'!AE17</f>
        <v>0</v>
      </c>
      <c r="C29" s="528" t="str">
        <f>IFERROR(VLOOKUP(B29,Num_AS,2,FALSE),"")</f>
        <v/>
      </c>
      <c r="D29" s="528" t="str">
        <f>IFERROR(VLOOKUP(B29,Num_AS,3,FALSE),"")</f>
        <v/>
      </c>
      <c r="E29" s="136">
        <f>'Fiches Duels 1'!AD17</f>
        <v>0</v>
      </c>
      <c r="F29" s="532" t="str">
        <f t="shared" si="0"/>
        <v/>
      </c>
    </row>
    <row r="30" spans="1:6" s="134" customFormat="1" ht="15.95" customHeight="1" x14ac:dyDescent="0.2">
      <c r="A30" s="134">
        <v>16</v>
      </c>
      <c r="B30" s="527">
        <f>'Fiches Duels 1'!AE18</f>
        <v>0</v>
      </c>
      <c r="C30" s="528" t="str">
        <f>IFERROR(VLOOKUP(B30,Num_AS,2,FALSE),"")</f>
        <v/>
      </c>
      <c r="D30" s="528" t="str">
        <f>IFERROR(VLOOKUP(B30,Num_AS,3,FALSE),"")</f>
        <v/>
      </c>
      <c r="E30" s="136">
        <f>'Fiches Duels 1'!AD18</f>
        <v>0</v>
      </c>
      <c r="F30" s="532" t="str">
        <f t="shared" si="0"/>
        <v/>
      </c>
    </row>
    <row r="31" spans="1:6" s="134" customFormat="1" ht="6.75" customHeight="1" x14ac:dyDescent="0.2">
      <c r="B31" s="527"/>
      <c r="C31" s="530"/>
      <c r="D31" s="530"/>
      <c r="E31" s="531"/>
      <c r="F31" s="533" t="str">
        <f t="shared" si="0"/>
        <v/>
      </c>
    </row>
    <row r="32" spans="1:6" s="134" customFormat="1" ht="15.95" customHeight="1" x14ac:dyDescent="0.2">
      <c r="A32" s="134">
        <v>17</v>
      </c>
      <c r="B32" s="527">
        <f>'Fiches Duels 1'!AE19</f>
        <v>0</v>
      </c>
      <c r="C32" s="528" t="str">
        <f>IFERROR(VLOOKUP(B32,Num_AS,2,FALSE),"")</f>
        <v/>
      </c>
      <c r="D32" s="528" t="str">
        <f>IFERROR(VLOOKUP(B32,Num_AS,3,FALSE),"")</f>
        <v/>
      </c>
      <c r="E32" s="136">
        <f>'Fiches Duels 1'!AD19</f>
        <v>0</v>
      </c>
      <c r="F32" s="532" t="str">
        <f t="shared" si="0"/>
        <v/>
      </c>
    </row>
    <row r="33" spans="1:6" s="134" customFormat="1" ht="15.95" customHeight="1" x14ac:dyDescent="0.2">
      <c r="A33" s="134">
        <v>18</v>
      </c>
      <c r="B33" s="527">
        <f>'Fiches Duels 1'!AE20</f>
        <v>0</v>
      </c>
      <c r="C33" s="528" t="str">
        <f>IFERROR(VLOOKUP(B33,Num_AS,2,FALSE),"")</f>
        <v/>
      </c>
      <c r="D33" s="528" t="str">
        <f>IFERROR(VLOOKUP(B33,Num_AS,3,FALSE),"")</f>
        <v/>
      </c>
      <c r="E33" s="136">
        <f>'Fiches Duels 1'!AD20</f>
        <v>0</v>
      </c>
      <c r="F33" s="532" t="str">
        <f t="shared" si="0"/>
        <v/>
      </c>
    </row>
    <row r="34" spans="1:6" s="134" customFormat="1" ht="6.75" customHeight="1" x14ac:dyDescent="0.2">
      <c r="B34" s="527"/>
      <c r="C34" s="530"/>
      <c r="D34" s="530"/>
      <c r="E34" s="531"/>
      <c r="F34" s="533" t="str">
        <f t="shared" si="0"/>
        <v/>
      </c>
    </row>
    <row r="35" spans="1:6" s="134" customFormat="1" ht="15.95" customHeight="1" x14ac:dyDescent="0.2">
      <c r="A35" s="134">
        <v>19</v>
      </c>
      <c r="B35" s="527">
        <f>'Fiches Duels 1'!AE21</f>
        <v>0</v>
      </c>
      <c r="C35" s="528" t="str">
        <f>IFERROR(VLOOKUP(B35,Num_AS,2,FALSE),"")</f>
        <v/>
      </c>
      <c r="D35" s="528" t="str">
        <f>IFERROR(VLOOKUP(B35,Num_AS,3,FALSE),"")</f>
        <v/>
      </c>
      <c r="E35" s="136">
        <f>'Fiches Duels 1'!AD21</f>
        <v>0</v>
      </c>
      <c r="F35" s="532" t="str">
        <f t="shared" si="0"/>
        <v/>
      </c>
    </row>
    <row r="36" spans="1:6" s="134" customFormat="1" ht="15.95" customHeight="1" x14ac:dyDescent="0.2">
      <c r="A36" s="134">
        <v>20</v>
      </c>
      <c r="B36" s="527">
        <f>'Fiches Duels 1'!AE22</f>
        <v>0</v>
      </c>
      <c r="C36" s="528" t="str">
        <f>IFERROR(VLOOKUP(B36,Num_AS,2,FALSE),"")</f>
        <v/>
      </c>
      <c r="D36" s="528" t="str">
        <f>IFERROR(VLOOKUP(B36,Num_AS,3,FALSE),"")</f>
        <v/>
      </c>
      <c r="E36" s="136">
        <f>'Fiches Duels 1'!AD22</f>
        <v>0</v>
      </c>
      <c r="F36" s="532" t="str">
        <f t="shared" si="0"/>
        <v/>
      </c>
    </row>
    <row r="37" spans="1:6" s="134" customFormat="1" ht="6.75" customHeight="1" x14ac:dyDescent="0.2">
      <c r="B37" s="527"/>
      <c r="C37" s="530"/>
      <c r="D37" s="530"/>
      <c r="E37" s="531"/>
      <c r="F37" s="533" t="str">
        <f t="shared" si="0"/>
        <v/>
      </c>
    </row>
    <row r="38" spans="1:6" s="134" customFormat="1" ht="15.95" customHeight="1" x14ac:dyDescent="0.2">
      <c r="A38" s="134">
        <v>21</v>
      </c>
      <c r="B38" s="527">
        <f>'Fiches Duels 1'!AE23</f>
        <v>0</v>
      </c>
      <c r="C38" s="528" t="str">
        <f>IFERROR(VLOOKUP(B38,Num_AS,2,FALSE),"")</f>
        <v/>
      </c>
      <c r="D38" s="528" t="str">
        <f>IFERROR(VLOOKUP(B38,Num_AS,3,FALSE),"")</f>
        <v/>
      </c>
      <c r="E38" s="136">
        <f>'Fiches Duels 1'!AD23</f>
        <v>0</v>
      </c>
      <c r="F38" s="532" t="str">
        <f t="shared" si="0"/>
        <v/>
      </c>
    </row>
    <row r="39" spans="1:6" s="134" customFormat="1" ht="15.95" customHeight="1" x14ac:dyDescent="0.2">
      <c r="A39" s="134">
        <v>22</v>
      </c>
      <c r="B39" s="527">
        <f>'Fiches Duels 1'!AE24</f>
        <v>0</v>
      </c>
      <c r="C39" s="528" t="str">
        <f>IFERROR(VLOOKUP(B39,Num_AS,2,FALSE),"")</f>
        <v/>
      </c>
      <c r="D39" s="528" t="str">
        <f>IFERROR(VLOOKUP(B39,Num_AS,3,FALSE),"")</f>
        <v/>
      </c>
      <c r="E39" s="136">
        <f>'Fiches Duels 1'!AD24</f>
        <v>0</v>
      </c>
      <c r="F39" s="532" t="str">
        <f t="shared" si="0"/>
        <v/>
      </c>
    </row>
    <row r="40" spans="1:6" s="134" customFormat="1" ht="6.75" customHeight="1" x14ac:dyDescent="0.2">
      <c r="B40" s="527"/>
      <c r="C40" s="530"/>
      <c r="D40" s="530"/>
      <c r="E40" s="531"/>
      <c r="F40" s="533" t="str">
        <f t="shared" si="0"/>
        <v/>
      </c>
    </row>
    <row r="41" spans="1:6" s="134" customFormat="1" ht="15.95" customHeight="1" x14ac:dyDescent="0.2">
      <c r="A41" s="134">
        <v>23</v>
      </c>
      <c r="B41" s="527">
        <f>'Fiches Duels 1'!AE25</f>
        <v>0</v>
      </c>
      <c r="C41" s="528" t="str">
        <f>IFERROR(VLOOKUP(B41,Num_AS,2,FALSE),"")</f>
        <v/>
      </c>
      <c r="D41" s="528" t="str">
        <f>IFERROR(VLOOKUP(B41,Num_AS,3,FALSE),"")</f>
        <v/>
      </c>
      <c r="E41" s="136">
        <f>'Fiches Duels 1'!AD25</f>
        <v>0</v>
      </c>
      <c r="F41" s="532" t="str">
        <f t="shared" si="0"/>
        <v/>
      </c>
    </row>
    <row r="42" spans="1:6" s="134" customFormat="1" ht="15.95" customHeight="1" x14ac:dyDescent="0.2">
      <c r="A42" s="134">
        <v>24</v>
      </c>
      <c r="B42" s="527">
        <f>'Fiches Duels 1'!AE26</f>
        <v>0</v>
      </c>
      <c r="C42" s="528" t="str">
        <f>IFERROR(VLOOKUP(B42,Num_AS,2,FALSE),"")</f>
        <v/>
      </c>
      <c r="D42" s="528" t="str">
        <f>IFERROR(VLOOKUP(B42,Num_AS,3,FALSE),"")</f>
        <v/>
      </c>
      <c r="E42" s="136">
        <f>'Fiches Duels 1'!AD26</f>
        <v>0</v>
      </c>
      <c r="F42" s="532" t="str">
        <f t="shared" si="0"/>
        <v/>
      </c>
    </row>
  </sheetData>
  <mergeCells count="1">
    <mergeCell ref="C5:D5"/>
  </mergeCells>
  <conditionalFormatting sqref="E8:E42">
    <cfRule type="cellIs" dxfId="2214" priority="1" operator="equal">
      <formula>0</formula>
    </cfRule>
  </conditionalFormatting>
  <pageMargins left="0.78740157480314965" right="0.78740157480314965" top="0.98425196850393704" bottom="0.98425196850393704" header="0.51181102362204722" footer="0.51181102362204722"/>
  <pageSetup paperSize="9" scale="81" fitToWidth="2"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12">
    <tabColor indexed="11"/>
    <pageSetUpPr fitToPage="1"/>
  </sheetPr>
  <dimension ref="A1:G39"/>
  <sheetViews>
    <sheetView workbookViewId="0">
      <selection activeCell="B3" sqref="B3"/>
    </sheetView>
  </sheetViews>
  <sheetFormatPr baseColWidth="10" defaultRowHeight="12.75" x14ac:dyDescent="0.2"/>
  <cols>
    <col min="1" max="1" width="4.42578125" style="40" customWidth="1"/>
    <col min="2" max="3" width="40.7109375" style="40" customWidth="1"/>
    <col min="4" max="5" width="7.42578125" style="40" customWidth="1"/>
    <col min="6" max="6" width="14.7109375" style="44" customWidth="1"/>
    <col min="7" max="16384" width="11.42578125" style="40"/>
  </cols>
  <sheetData>
    <row r="1" spans="1:7" ht="2.25" customHeight="1" x14ac:dyDescent="0.2"/>
    <row r="2" spans="1:7" ht="32.25" customHeight="1" x14ac:dyDescent="0.2">
      <c r="B2" s="135" t="str">
        <f>CATEG_IMPORTEE</f>
        <v>Collèges Mixtes Etablissement</v>
      </c>
      <c r="C2" s="129"/>
    </row>
    <row r="3" spans="1:7" ht="27" customHeight="1" x14ac:dyDescent="0.2">
      <c r="B3" s="140" t="s">
        <v>487</v>
      </c>
      <c r="C3" s="129"/>
    </row>
    <row r="4" spans="1:7" ht="5.25" customHeight="1" x14ac:dyDescent="0.2">
      <c r="B4" s="129"/>
      <c r="C4" s="130"/>
    </row>
    <row r="5" spans="1:7" ht="25.5" x14ac:dyDescent="0.2">
      <c r="B5" s="1042" t="s">
        <v>485</v>
      </c>
      <c r="C5" s="1042"/>
    </row>
    <row r="6" spans="1:7" ht="9.75" customHeight="1" x14ac:dyDescent="0.2">
      <c r="G6" s="294" t="s">
        <v>582</v>
      </c>
    </row>
    <row r="7" spans="1:7" ht="20.25" x14ac:dyDescent="0.2">
      <c r="B7" s="132" t="s">
        <v>0</v>
      </c>
      <c r="C7" s="132" t="s">
        <v>375</v>
      </c>
      <c r="D7" s="1043" t="s">
        <v>486</v>
      </c>
      <c r="E7" s="1043"/>
      <c r="F7" s="174" t="s">
        <v>501</v>
      </c>
      <c r="G7" s="295" t="s">
        <v>581</v>
      </c>
    </row>
    <row r="8" spans="1:7" s="134" customFormat="1" ht="15.95" customHeight="1" x14ac:dyDescent="0.2">
      <c r="A8" s="134">
        <v>1</v>
      </c>
      <c r="B8" s="267" t="e">
        <f>'Phase_Finale Impair'!#REF!</f>
        <v>#REF!</v>
      </c>
      <c r="C8" s="267" t="e">
        <f>'Phase_Finale Impair'!#REF!</f>
        <v>#REF!</v>
      </c>
      <c r="D8" s="136">
        <f>Num_Cible</f>
        <v>1</v>
      </c>
      <c r="E8" s="136"/>
      <c r="F8" s="179" t="e">
        <f>IF(C8="","",LOOKUP(C8,taille_cibles))</f>
        <v>#REF!</v>
      </c>
      <c r="G8" s="297" t="e">
        <f>IF(C8="","",LOOKUP(C8,REPERE))</f>
        <v>#REF!</v>
      </c>
    </row>
    <row r="9" spans="1:7" s="134" customFormat="1" ht="15.95" customHeight="1" x14ac:dyDescent="0.2">
      <c r="A9" s="134">
        <v>2</v>
      </c>
      <c r="B9" s="267" t="e">
        <f>'Phase_Finale Impair'!#REF!</f>
        <v>#REF!</v>
      </c>
      <c r="C9" s="267" t="e">
        <f>'Phase_Finale Impair'!#REF!</f>
        <v>#REF!</v>
      </c>
      <c r="D9" s="136">
        <f>D8+1</f>
        <v>2</v>
      </c>
      <c r="E9" s="136"/>
      <c r="F9" s="179" t="e">
        <f>IF(C9="","",LOOKUP(C9,taille_cibles))</f>
        <v>#REF!</v>
      </c>
      <c r="G9" s="297" t="e">
        <f>IF(C9="","",LOOKUP(C9,REPERE))</f>
        <v>#REF!</v>
      </c>
    </row>
    <row r="10" spans="1:7" s="134" customFormat="1" ht="3" customHeight="1" x14ac:dyDescent="0.2">
      <c r="B10" s="271"/>
      <c r="C10" s="271"/>
      <c r="D10" s="137"/>
      <c r="E10" s="137"/>
      <c r="F10" s="180"/>
      <c r="G10" s="298"/>
    </row>
    <row r="11" spans="1:7" s="134" customFormat="1" ht="15.95" customHeight="1" x14ac:dyDescent="0.2">
      <c r="A11" s="134">
        <v>3</v>
      </c>
      <c r="B11" s="267" t="e">
        <f>'Phase_Finale Impair'!#REF!</f>
        <v>#REF!</v>
      </c>
      <c r="C11" s="267" t="e">
        <f>'Phase_Finale Impair'!#REF!</f>
        <v>#REF!</v>
      </c>
      <c r="D11" s="136">
        <f>D9+1</f>
        <v>3</v>
      </c>
      <c r="E11" s="136"/>
      <c r="F11" s="179" t="e">
        <f>IF(C11="","",LOOKUP(C11,taille_cibles))</f>
        <v>#REF!</v>
      </c>
      <c r="G11" s="297" t="e">
        <f>IF(C11="","",LOOKUP(C11,REPERE))</f>
        <v>#REF!</v>
      </c>
    </row>
    <row r="12" spans="1:7" s="134" customFormat="1" ht="15.95" customHeight="1" x14ac:dyDescent="0.2">
      <c r="A12" s="134">
        <v>4</v>
      </c>
      <c r="B12" s="267" t="e">
        <f>'Phase_Finale Impair'!#REF!</f>
        <v>#REF!</v>
      </c>
      <c r="C12" s="267" t="e">
        <f>'Phase_Finale Impair'!#REF!</f>
        <v>#REF!</v>
      </c>
      <c r="D12" s="136">
        <f>D11+1</f>
        <v>4</v>
      </c>
      <c r="E12" s="136"/>
      <c r="F12" s="179" t="e">
        <f>IF(C12="","",LOOKUP(C12,taille_cibles))</f>
        <v>#REF!</v>
      </c>
      <c r="G12" s="297" t="e">
        <f>IF(C12="","",LOOKUP(C12,REPERE))</f>
        <v>#REF!</v>
      </c>
    </row>
    <row r="13" spans="1:7" s="134" customFormat="1" ht="3" customHeight="1" x14ac:dyDescent="0.2">
      <c r="B13" s="271"/>
      <c r="C13" s="271"/>
      <c r="D13" s="137"/>
      <c r="E13" s="137"/>
      <c r="F13" s="180"/>
      <c r="G13" s="298"/>
    </row>
    <row r="14" spans="1:7" s="134" customFormat="1" ht="15.95" customHeight="1" x14ac:dyDescent="0.2">
      <c r="A14" s="134">
        <v>5</v>
      </c>
      <c r="B14" s="267" t="e">
        <f>'Phase_Finale Impair'!#REF!</f>
        <v>#REF!</v>
      </c>
      <c r="C14" s="267" t="e">
        <f>'Phase_Finale Impair'!#REF!</f>
        <v>#REF!</v>
      </c>
      <c r="D14" s="136">
        <f>D12+1</f>
        <v>5</v>
      </c>
      <c r="E14" s="136"/>
      <c r="F14" s="179" t="e">
        <f>IF(C14="","",LOOKUP(C14,taille_cibles))</f>
        <v>#REF!</v>
      </c>
      <c r="G14" s="297" t="e">
        <f>IF(C14="","",LOOKUP(C14,REPERE))</f>
        <v>#REF!</v>
      </c>
    </row>
    <row r="15" spans="1:7" s="134" customFormat="1" ht="15.95" customHeight="1" x14ac:dyDescent="0.2">
      <c r="A15" s="134">
        <v>6</v>
      </c>
      <c r="B15" s="267" t="e">
        <f>'Phase_Finale Impair'!#REF!</f>
        <v>#REF!</v>
      </c>
      <c r="C15" s="267" t="e">
        <f>'Phase_Finale Impair'!#REF!</f>
        <v>#REF!</v>
      </c>
      <c r="D15" s="136">
        <f>D14+1</f>
        <v>6</v>
      </c>
      <c r="E15" s="136"/>
      <c r="F15" s="179" t="e">
        <f>IF(C15="","",LOOKUP(C15,taille_cibles))</f>
        <v>#REF!</v>
      </c>
      <c r="G15" s="297" t="e">
        <f>IF(C15="","",LOOKUP(C15,REPERE))</f>
        <v>#REF!</v>
      </c>
    </row>
    <row r="16" spans="1:7" s="134" customFormat="1" ht="3" customHeight="1" x14ac:dyDescent="0.2">
      <c r="B16" s="271"/>
      <c r="C16" s="271"/>
      <c r="D16" s="137"/>
      <c r="E16" s="137"/>
      <c r="F16" s="180"/>
      <c r="G16" s="298"/>
    </row>
    <row r="17" spans="1:7" s="134" customFormat="1" ht="15.95" customHeight="1" x14ac:dyDescent="0.2">
      <c r="A17" s="134">
        <v>7</v>
      </c>
      <c r="B17" s="267" t="e">
        <f>'Phase_Finale Impair'!#REF!</f>
        <v>#REF!</v>
      </c>
      <c r="C17" s="267" t="e">
        <f>'Phase_Finale Impair'!#REF!</f>
        <v>#REF!</v>
      </c>
      <c r="D17" s="136">
        <f>D15+1</f>
        <v>7</v>
      </c>
      <c r="E17" s="136"/>
      <c r="F17" s="179" t="e">
        <f>IF(C17="","",LOOKUP(C17,taille_cibles))</f>
        <v>#REF!</v>
      </c>
      <c r="G17" s="297" t="e">
        <f>IF(C17="","",LOOKUP(C17,REPERE))</f>
        <v>#REF!</v>
      </c>
    </row>
    <row r="18" spans="1:7" s="134" customFormat="1" ht="15.95" customHeight="1" x14ac:dyDescent="0.2">
      <c r="A18" s="134">
        <v>8</v>
      </c>
      <c r="B18" s="267" t="e">
        <f>'Phase_Finale Impair'!#REF!</f>
        <v>#REF!</v>
      </c>
      <c r="C18" s="267" t="e">
        <f>'Phase_Finale Impair'!#REF!</f>
        <v>#REF!</v>
      </c>
      <c r="D18" s="136">
        <f>D17+1</f>
        <v>8</v>
      </c>
      <c r="E18" s="136"/>
      <c r="F18" s="179" t="e">
        <f>IF(C18="","",LOOKUP(C18,taille_cibles))</f>
        <v>#REF!</v>
      </c>
      <c r="G18" s="297" t="e">
        <f>IF(C18="","",LOOKUP(C18,REPERE))</f>
        <v>#REF!</v>
      </c>
    </row>
    <row r="19" spans="1:7" s="134" customFormat="1" ht="3" customHeight="1" x14ac:dyDescent="0.2">
      <c r="B19" s="271"/>
      <c r="C19" s="271"/>
      <c r="D19" s="137"/>
      <c r="E19" s="137"/>
      <c r="F19" s="180"/>
      <c r="G19" s="298"/>
    </row>
    <row r="20" spans="1:7" s="134" customFormat="1" ht="15.95" customHeight="1" x14ac:dyDescent="0.2">
      <c r="A20" s="134">
        <v>9</v>
      </c>
      <c r="B20" s="267" t="e">
        <f>'Phase_Finale Impair'!#REF!</f>
        <v>#REF!</v>
      </c>
      <c r="C20" s="267" t="e">
        <f>'Phase_Finale Impair'!#REF!</f>
        <v>#REF!</v>
      </c>
      <c r="D20" s="136">
        <f>D18+1</f>
        <v>9</v>
      </c>
      <c r="E20" s="136"/>
      <c r="F20" s="179" t="e">
        <f>IF(C20="","",LOOKUP(C20,taille_cibles))</f>
        <v>#REF!</v>
      </c>
      <c r="G20" s="297" t="e">
        <f>IF(C20="","",LOOKUP(C20,REPERE))</f>
        <v>#REF!</v>
      </c>
    </row>
    <row r="21" spans="1:7" s="134" customFormat="1" ht="15.95" customHeight="1" x14ac:dyDescent="0.2">
      <c r="A21" s="134">
        <v>10</v>
      </c>
      <c r="B21" s="267" t="e">
        <f>'Phase_Finale Impair'!#REF!</f>
        <v>#REF!</v>
      </c>
      <c r="C21" s="267" t="e">
        <f>'Phase_Finale Impair'!#REF!</f>
        <v>#REF!</v>
      </c>
      <c r="D21" s="136">
        <f>D20+1</f>
        <v>10</v>
      </c>
      <c r="E21" s="136"/>
      <c r="F21" s="179" t="e">
        <f>IF(C21="","",LOOKUP(C21,taille_cibles))</f>
        <v>#REF!</v>
      </c>
      <c r="G21" s="297" t="e">
        <f>IF(C21="","",LOOKUP(C21,REPERE))</f>
        <v>#REF!</v>
      </c>
    </row>
    <row r="22" spans="1:7" s="134" customFormat="1" ht="3" customHeight="1" x14ac:dyDescent="0.2">
      <c r="B22" s="271"/>
      <c r="C22" s="271"/>
      <c r="D22" s="137"/>
      <c r="E22" s="137"/>
      <c r="F22" s="180"/>
      <c r="G22" s="298"/>
    </row>
    <row r="23" spans="1:7" s="134" customFormat="1" ht="15.95" customHeight="1" x14ac:dyDescent="0.2">
      <c r="A23" s="134">
        <v>11</v>
      </c>
      <c r="B23" s="267" t="e">
        <f>'Phase_Finale Impair'!#REF!</f>
        <v>#REF!</v>
      </c>
      <c r="C23" s="267" t="e">
        <f>'Phase_Finale Impair'!#REF!</f>
        <v>#REF!</v>
      </c>
      <c r="D23" s="136">
        <f>D21+1</f>
        <v>11</v>
      </c>
      <c r="E23" s="136"/>
      <c r="F23" s="179" t="e">
        <f>IF(C23="","",LOOKUP(C23,taille_cibles))</f>
        <v>#REF!</v>
      </c>
      <c r="G23" s="297" t="e">
        <f>IF(C23="","",LOOKUP(C23,REPERE))</f>
        <v>#REF!</v>
      </c>
    </row>
    <row r="24" spans="1:7" s="134" customFormat="1" ht="15.95" customHeight="1" x14ac:dyDescent="0.2">
      <c r="A24" s="134">
        <v>12</v>
      </c>
      <c r="B24" s="267" t="e">
        <f>'Phase_Finale Impair'!#REF!</f>
        <v>#REF!</v>
      </c>
      <c r="C24" s="267" t="e">
        <f>'Phase_Finale Impair'!#REF!</f>
        <v>#REF!</v>
      </c>
      <c r="D24" s="136">
        <f>D23+1</f>
        <v>12</v>
      </c>
      <c r="E24" s="136"/>
      <c r="F24" s="179" t="e">
        <f>IF(C24="","",LOOKUP(C24,taille_cibles))</f>
        <v>#REF!</v>
      </c>
      <c r="G24" s="297" t="e">
        <f>IF(C24="","",LOOKUP(C24,REPERE))</f>
        <v>#REF!</v>
      </c>
    </row>
    <row r="25" spans="1:7" s="134" customFormat="1" ht="3" customHeight="1" x14ac:dyDescent="0.2">
      <c r="B25" s="271"/>
      <c r="C25" s="271"/>
      <c r="D25" s="137"/>
      <c r="E25" s="137"/>
      <c r="F25" s="180"/>
      <c r="G25" s="298"/>
    </row>
    <row r="26" spans="1:7" s="134" customFormat="1" ht="15.95" customHeight="1" x14ac:dyDescent="0.2">
      <c r="A26" s="134">
        <v>13</v>
      </c>
      <c r="B26" s="267" t="e">
        <f>'Phase_Finale Impair'!#REF!</f>
        <v>#REF!</v>
      </c>
      <c r="C26" s="267" t="e">
        <f>'Phase_Finale Impair'!#REF!</f>
        <v>#REF!</v>
      </c>
      <c r="D26" s="136">
        <f>D24+1</f>
        <v>13</v>
      </c>
      <c r="E26" s="136"/>
      <c r="F26" s="179" t="e">
        <f>IF(C26="","",LOOKUP(C26,taille_cibles))</f>
        <v>#REF!</v>
      </c>
      <c r="G26" s="297" t="e">
        <f>IF(C26="","",LOOKUP(C26,REPERE))</f>
        <v>#REF!</v>
      </c>
    </row>
    <row r="27" spans="1:7" s="134" customFormat="1" ht="15.95" customHeight="1" x14ac:dyDescent="0.2">
      <c r="A27" s="134">
        <v>14</v>
      </c>
      <c r="B27" s="267" t="e">
        <f>'Phase_Finale Impair'!#REF!</f>
        <v>#REF!</v>
      </c>
      <c r="C27" s="267" t="e">
        <f>'Phase_Finale Impair'!#REF!</f>
        <v>#REF!</v>
      </c>
      <c r="D27" s="136">
        <f>D26+1</f>
        <v>14</v>
      </c>
      <c r="E27" s="136"/>
      <c r="F27" s="179" t="e">
        <f>IF(C27="","",LOOKUP(C27,taille_cibles))</f>
        <v>#REF!</v>
      </c>
      <c r="G27" s="297" t="e">
        <f>IF(C27="","",LOOKUP(C27,REPERE))</f>
        <v>#REF!</v>
      </c>
    </row>
    <row r="28" spans="1:7" s="134" customFormat="1" ht="3" customHeight="1" x14ac:dyDescent="0.2">
      <c r="B28" s="271"/>
      <c r="C28" s="271"/>
      <c r="D28" s="137"/>
      <c r="E28" s="137"/>
      <c r="F28" s="180"/>
      <c r="G28" s="298"/>
    </row>
    <row r="29" spans="1:7" s="134" customFormat="1" ht="15.95" customHeight="1" x14ac:dyDescent="0.2">
      <c r="A29" s="134">
        <v>15</v>
      </c>
      <c r="B29" s="267" t="e">
        <f>'Phase_Finale Impair'!#REF!</f>
        <v>#REF!</v>
      </c>
      <c r="C29" s="267" t="e">
        <f>'Phase_Finale Impair'!#REF!</f>
        <v>#REF!</v>
      </c>
      <c r="D29" s="136">
        <f>D27+1</f>
        <v>15</v>
      </c>
      <c r="E29" s="136"/>
      <c r="F29" s="179" t="e">
        <f>IF(C29="","",LOOKUP(C29,taille_cibles))</f>
        <v>#REF!</v>
      </c>
      <c r="G29" s="297" t="e">
        <f>IF(C29="","",LOOKUP(C29,REPERE))</f>
        <v>#REF!</v>
      </c>
    </row>
    <row r="30" spans="1:7" s="134" customFormat="1" ht="15.95" customHeight="1" x14ac:dyDescent="0.2">
      <c r="A30" s="134">
        <v>16</v>
      </c>
      <c r="B30" s="267" t="e">
        <f>'Phase_Finale Impair'!#REF!</f>
        <v>#REF!</v>
      </c>
      <c r="C30" s="267" t="e">
        <f>'Phase_Finale Impair'!#REF!</f>
        <v>#REF!</v>
      </c>
      <c r="D30" s="136">
        <f>D29+1</f>
        <v>16</v>
      </c>
      <c r="E30" s="136"/>
      <c r="F30" s="179" t="e">
        <f>IF(C30="","",LOOKUP(C30,taille_cibles))</f>
        <v>#REF!</v>
      </c>
      <c r="G30" s="297" t="e">
        <f>IF(C30="","",LOOKUP(C30,REPERE))</f>
        <v>#REF!</v>
      </c>
    </row>
    <row r="31" spans="1:7" s="134" customFormat="1" ht="3" customHeight="1" x14ac:dyDescent="0.2">
      <c r="B31" s="271"/>
      <c r="C31" s="271"/>
      <c r="D31" s="137"/>
      <c r="E31" s="137"/>
      <c r="F31" s="180"/>
      <c r="G31" s="298"/>
    </row>
    <row r="32" spans="1:7" s="134" customFormat="1" ht="15.95" customHeight="1" x14ac:dyDescent="0.2">
      <c r="A32" s="134">
        <v>17</v>
      </c>
      <c r="B32" s="267" t="e">
        <f>'Phase_Finale Impair'!#REF!</f>
        <v>#REF!</v>
      </c>
      <c r="C32" s="267" t="e">
        <f>'Phase_Finale Impair'!#REF!</f>
        <v>#REF!</v>
      </c>
      <c r="D32" s="136">
        <f>D30+1</f>
        <v>17</v>
      </c>
      <c r="E32" s="136"/>
      <c r="F32" s="179" t="e">
        <f>IF(C32="","",LOOKUP(C32,taille_cibles))</f>
        <v>#REF!</v>
      </c>
      <c r="G32" s="297" t="e">
        <f>IF(C32="","",LOOKUP(C32,REPERE))</f>
        <v>#REF!</v>
      </c>
    </row>
    <row r="33" spans="1:7" s="134" customFormat="1" ht="15.95" customHeight="1" x14ac:dyDescent="0.2">
      <c r="A33" s="134">
        <v>18</v>
      </c>
      <c r="B33" s="267" t="e">
        <f>'Phase_Finale Impair'!#REF!</f>
        <v>#REF!</v>
      </c>
      <c r="C33" s="267" t="e">
        <f>'Phase_Finale Impair'!#REF!</f>
        <v>#REF!</v>
      </c>
      <c r="D33" s="136">
        <f>D32+1</f>
        <v>18</v>
      </c>
      <c r="E33" s="136"/>
      <c r="F33" s="179" t="e">
        <f>IF(C33="","",LOOKUP(C33,taille_cibles))</f>
        <v>#REF!</v>
      </c>
      <c r="G33" s="297" t="e">
        <f>IF(C33="","",LOOKUP(C33,REPERE))</f>
        <v>#REF!</v>
      </c>
    </row>
    <row r="34" spans="1:7" s="134" customFormat="1" ht="3" customHeight="1" x14ac:dyDescent="0.2">
      <c r="B34" s="271"/>
      <c r="C34" s="271"/>
      <c r="D34" s="137"/>
      <c r="E34" s="137"/>
      <c r="F34" s="180"/>
      <c r="G34" s="298"/>
    </row>
    <row r="35" spans="1:7" s="134" customFormat="1" ht="15.95" customHeight="1" x14ac:dyDescent="0.2">
      <c r="A35" s="134">
        <v>19</v>
      </c>
      <c r="B35" s="267" t="e">
        <f>'Phase_Finale Impair'!#REF!</f>
        <v>#REF!</v>
      </c>
      <c r="C35" s="267" t="e">
        <f>'Phase_Finale Impair'!#REF!</f>
        <v>#REF!</v>
      </c>
      <c r="D35" s="136">
        <f>D33+1</f>
        <v>19</v>
      </c>
      <c r="E35" s="136"/>
      <c r="F35" s="179" t="e">
        <f>IF(C35="","",LOOKUP(C35,taille_cibles))</f>
        <v>#REF!</v>
      </c>
      <c r="G35" s="297" t="e">
        <f>IF(C35="","",LOOKUP(C35,REPERE))</f>
        <v>#REF!</v>
      </c>
    </row>
    <row r="36" spans="1:7" s="134" customFormat="1" ht="15.95" customHeight="1" x14ac:dyDescent="0.2">
      <c r="A36" s="134">
        <v>20</v>
      </c>
      <c r="B36" s="267" t="e">
        <f>'Phase_Finale Impair'!#REF!</f>
        <v>#REF!</v>
      </c>
      <c r="C36" s="267" t="e">
        <f>'Phase_Finale Impair'!#REF!</f>
        <v>#REF!</v>
      </c>
      <c r="D36" s="136">
        <f>D35+1</f>
        <v>20</v>
      </c>
      <c r="E36" s="136"/>
      <c r="F36" s="179" t="e">
        <f>IF(C36="","",LOOKUP(C36,taille_cibles))</f>
        <v>#REF!</v>
      </c>
      <c r="G36" s="297" t="e">
        <f>IF(C36="","",LOOKUP(C36,REPERE))</f>
        <v>#REF!</v>
      </c>
    </row>
    <row r="37" spans="1:7" ht="3" customHeight="1" x14ac:dyDescent="0.2">
      <c r="A37" s="134"/>
      <c r="B37" s="271"/>
      <c r="C37" s="271"/>
      <c r="D37" s="137"/>
      <c r="E37" s="137"/>
      <c r="F37" s="180"/>
      <c r="G37" s="298"/>
    </row>
    <row r="38" spans="1:7" ht="15.75" x14ac:dyDescent="0.2">
      <c r="A38" s="134">
        <v>21</v>
      </c>
      <c r="B38" s="267" t="e">
        <f>'Phase_Finale Impair'!#REF!</f>
        <v>#REF!</v>
      </c>
      <c r="C38" s="267" t="e">
        <f>'Phase_Finale Impair'!#REF!</f>
        <v>#REF!</v>
      </c>
      <c r="D38" s="136">
        <f>D36+1</f>
        <v>21</v>
      </c>
      <c r="E38" s="136"/>
      <c r="F38" s="179" t="e">
        <f>IF(C38="","",LOOKUP(C38,taille_cibles))</f>
        <v>#REF!</v>
      </c>
      <c r="G38" s="297" t="e">
        <f>IF(C38="","",LOOKUP(C38,REPERE))</f>
        <v>#REF!</v>
      </c>
    </row>
    <row r="39" spans="1:7" ht="15.75" x14ac:dyDescent="0.2">
      <c r="A39" s="134">
        <v>22</v>
      </c>
      <c r="B39" s="267" t="e">
        <f>'Phase_Finale Impair'!#REF!</f>
        <v>#REF!</v>
      </c>
      <c r="C39" s="267" t="e">
        <f>'Phase_Finale Impair'!#REF!</f>
        <v>#REF!</v>
      </c>
      <c r="D39" s="136">
        <f>D38+1</f>
        <v>22</v>
      </c>
      <c r="E39" s="136"/>
      <c r="F39" s="179" t="e">
        <f>IF(C39="","",LOOKUP(C39,taille_cibles))</f>
        <v>#REF!</v>
      </c>
      <c r="G39" s="297" t="e">
        <f>IF(C39="","",LOOKUP(C39,REPERE))</f>
        <v>#REF!</v>
      </c>
    </row>
  </sheetData>
  <mergeCells count="2">
    <mergeCell ref="D7:E7"/>
    <mergeCell ref="B5:C5"/>
  </mergeCells>
  <phoneticPr fontId="34" type="noConversion"/>
  <pageMargins left="0.78740157480314965" right="0.78740157480314965" top="0.98425196850393704" bottom="0.98425196850393704" header="0.51181102362204722" footer="0.51181102362204722"/>
  <pageSetup paperSize="9" scale="91" fitToWidth="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0"/>
  <dimension ref="A1:S26"/>
  <sheetViews>
    <sheetView workbookViewId="0">
      <selection activeCell="B9" sqref="B9"/>
    </sheetView>
  </sheetViews>
  <sheetFormatPr baseColWidth="10" defaultRowHeight="12.75" x14ac:dyDescent="0.2"/>
  <cols>
    <col min="1" max="1" width="22" customWidth="1"/>
    <col min="2" max="2" width="34.85546875" customWidth="1"/>
    <col min="3" max="3" width="5.85546875" customWidth="1"/>
    <col min="4" max="4" width="6" bestFit="1" customWidth="1"/>
    <col min="5" max="5" width="50.28515625" bestFit="1" customWidth="1"/>
    <col min="8" max="9" width="2.140625" customWidth="1"/>
    <col min="10" max="13" width="2.85546875" customWidth="1"/>
    <col min="14" max="14" width="5" customWidth="1"/>
    <col min="15" max="15" width="3.28515625" customWidth="1"/>
    <col min="16" max="16" width="4.140625" customWidth="1"/>
    <col min="17" max="17" width="43.7109375" customWidth="1"/>
    <col min="19" max="19" width="5.7109375" customWidth="1"/>
  </cols>
  <sheetData>
    <row r="1" spans="1:19" ht="23.25" x14ac:dyDescent="0.35">
      <c r="A1" s="2" t="s">
        <v>616</v>
      </c>
      <c r="E1" s="954" t="str">
        <f>"Championnat "&amp;B4</f>
        <v>Championnat de France de Tir à l'ARC</v>
      </c>
      <c r="F1" s="955"/>
      <c r="G1" s="956"/>
    </row>
    <row r="2" spans="1:19" ht="13.5" thickBot="1" x14ac:dyDescent="0.25">
      <c r="Q2" t="s">
        <v>612</v>
      </c>
      <c r="S2" t="s">
        <v>613</v>
      </c>
    </row>
    <row r="3" spans="1:19" ht="21" thickBot="1" x14ac:dyDescent="0.35">
      <c r="F3" s="425" t="s">
        <v>769</v>
      </c>
      <c r="G3" s="834">
        <v>1</v>
      </c>
    </row>
    <row r="4" spans="1:19" ht="17.25" customHeight="1" x14ac:dyDescent="0.2">
      <c r="A4" s="343" t="s">
        <v>28</v>
      </c>
      <c r="B4" s="344" t="s">
        <v>1352</v>
      </c>
      <c r="Q4" s="35" t="s">
        <v>1247</v>
      </c>
      <c r="S4" s="347">
        <v>2</v>
      </c>
    </row>
    <row r="5" spans="1:19" ht="17.25" customHeight="1" x14ac:dyDescent="0.25">
      <c r="A5" s="343" t="s">
        <v>614</v>
      </c>
      <c r="B5" s="344" t="s">
        <v>1350</v>
      </c>
      <c r="Q5" s="835" t="s">
        <v>1248</v>
      </c>
      <c r="S5" s="347">
        <v>3</v>
      </c>
    </row>
    <row r="6" spans="1:19" ht="17.25" customHeight="1" x14ac:dyDescent="0.2">
      <c r="A6" s="343" t="s">
        <v>609</v>
      </c>
      <c r="B6" s="345" t="s">
        <v>1351</v>
      </c>
      <c r="Q6" s="35" t="s">
        <v>1250</v>
      </c>
      <c r="S6" s="347">
        <v>4</v>
      </c>
    </row>
    <row r="7" spans="1:19" ht="17.25" customHeight="1" x14ac:dyDescent="0.2">
      <c r="A7" s="343" t="s">
        <v>610</v>
      </c>
      <c r="B7" s="344" t="s">
        <v>1247</v>
      </c>
      <c r="Q7" s="729" t="s">
        <v>1251</v>
      </c>
      <c r="S7" s="347">
        <v>5</v>
      </c>
    </row>
    <row r="8" spans="1:19" ht="17.25" customHeight="1" x14ac:dyDescent="0.25">
      <c r="Q8" s="835" t="s">
        <v>1249</v>
      </c>
      <c r="S8" s="347">
        <v>6</v>
      </c>
    </row>
    <row r="9" spans="1:19" ht="17.25" customHeight="1" x14ac:dyDescent="0.25">
      <c r="A9" s="343" t="s">
        <v>611</v>
      </c>
      <c r="B9" s="551">
        <v>2</v>
      </c>
      <c r="D9" s="391"/>
      <c r="E9" s="350"/>
      <c r="Q9" s="729" t="s">
        <v>1252</v>
      </c>
      <c r="S9" s="347">
        <v>7</v>
      </c>
    </row>
    <row r="10" spans="1:19" ht="18" customHeight="1" x14ac:dyDescent="0.2">
      <c r="A10" s="346" t="s">
        <v>617</v>
      </c>
      <c r="B10" s="552">
        <v>4</v>
      </c>
      <c r="E10" s="471"/>
      <c r="Q10" s="350" t="s">
        <v>620</v>
      </c>
      <c r="S10" s="347">
        <v>8</v>
      </c>
    </row>
    <row r="11" spans="1:19" ht="15.75" customHeight="1" x14ac:dyDescent="0.2">
      <c r="A11" s="343" t="s">
        <v>615</v>
      </c>
      <c r="B11" s="349">
        <f>NB_EQUIPES*4</f>
        <v>8</v>
      </c>
      <c r="E11" s="350"/>
      <c r="Q11" t="s">
        <v>618</v>
      </c>
      <c r="S11" s="347">
        <v>9</v>
      </c>
    </row>
    <row r="12" spans="1:19" x14ac:dyDescent="0.2">
      <c r="E12" s="556"/>
      <c r="Q12" t="s">
        <v>619</v>
      </c>
      <c r="S12" s="347">
        <v>10</v>
      </c>
    </row>
    <row r="13" spans="1:19" x14ac:dyDescent="0.2">
      <c r="A13" s="957"/>
      <c r="S13" s="347">
        <v>11</v>
      </c>
    </row>
    <row r="14" spans="1:19" ht="18" x14ac:dyDescent="0.2">
      <c r="A14" s="957"/>
      <c r="B14" s="41"/>
      <c r="S14" s="347">
        <v>12</v>
      </c>
    </row>
    <row r="15" spans="1:19" x14ac:dyDescent="0.2">
      <c r="A15" s="957"/>
      <c r="S15" s="347">
        <v>13</v>
      </c>
    </row>
    <row r="16" spans="1:19" x14ac:dyDescent="0.2">
      <c r="S16" s="347">
        <v>14</v>
      </c>
    </row>
    <row r="17" spans="1:19" x14ac:dyDescent="0.2">
      <c r="B17" s="535" t="s">
        <v>970</v>
      </c>
      <c r="S17" s="347">
        <v>15</v>
      </c>
    </row>
    <row r="18" spans="1:19" ht="15" x14ac:dyDescent="0.25">
      <c r="A18" s="535" t="s">
        <v>969</v>
      </c>
      <c r="B18" s="833" t="s">
        <v>1254</v>
      </c>
      <c r="S18" s="347">
        <v>16</v>
      </c>
    </row>
    <row r="19" spans="1:19" ht="15" x14ac:dyDescent="0.25">
      <c r="A19" s="535" t="s">
        <v>815</v>
      </c>
      <c r="B19" s="833" t="s">
        <v>1253</v>
      </c>
      <c r="S19" s="347">
        <v>17</v>
      </c>
    </row>
    <row r="20" spans="1:19" ht="15" x14ac:dyDescent="0.25">
      <c r="A20" s="535" t="s">
        <v>971</v>
      </c>
      <c r="B20" s="833" t="s">
        <v>1263</v>
      </c>
      <c r="S20" s="347">
        <v>18</v>
      </c>
    </row>
    <row r="21" spans="1:19" x14ac:dyDescent="0.2">
      <c r="A21" s="535" t="s">
        <v>817</v>
      </c>
      <c r="B21" s="837" t="s">
        <v>1266</v>
      </c>
      <c r="S21" s="347">
        <v>19</v>
      </c>
    </row>
    <row r="22" spans="1:19" x14ac:dyDescent="0.2">
      <c r="S22" s="347">
        <v>20</v>
      </c>
    </row>
    <row r="23" spans="1:19" ht="12.75" customHeight="1" x14ac:dyDescent="0.2">
      <c r="A23" s="471" t="s">
        <v>977</v>
      </c>
      <c r="B23" s="958" t="s">
        <v>1267</v>
      </c>
      <c r="C23" s="959"/>
      <c r="D23" s="959"/>
      <c r="E23" s="959"/>
      <c r="Q23" s="471" t="s">
        <v>888</v>
      </c>
      <c r="S23" s="347">
        <v>21</v>
      </c>
    </row>
    <row r="24" spans="1:19" x14ac:dyDescent="0.2">
      <c r="B24" s="959"/>
      <c r="C24" s="959"/>
      <c r="D24" s="959"/>
      <c r="E24" s="959"/>
      <c r="Q24" s="350" t="s">
        <v>622</v>
      </c>
      <c r="S24" s="347">
        <v>22</v>
      </c>
    </row>
    <row r="25" spans="1:19" x14ac:dyDescent="0.2">
      <c r="B25" s="959"/>
      <c r="C25" s="959"/>
      <c r="D25" s="959"/>
      <c r="E25" s="959"/>
      <c r="Q25" s="350" t="s">
        <v>623</v>
      </c>
      <c r="S25" s="347">
        <v>23</v>
      </c>
    </row>
    <row r="26" spans="1:19" x14ac:dyDescent="0.2">
      <c r="B26" s="959"/>
      <c r="C26" s="959"/>
      <c r="D26" s="959"/>
      <c r="E26" s="959"/>
      <c r="S26" s="949">
        <v>24</v>
      </c>
    </row>
  </sheetData>
  <sheetProtection sheet="1" selectLockedCells="1"/>
  <sortState xmlns:xlrd2="http://schemas.microsoft.com/office/spreadsheetml/2017/richdata2" ref="S4:S26">
    <sortCondition ref="S4:S26"/>
  </sortState>
  <mergeCells count="3">
    <mergeCell ref="E1:G1"/>
    <mergeCell ref="A13:A15"/>
    <mergeCell ref="B23:E26"/>
  </mergeCells>
  <dataValidations count="2">
    <dataValidation type="list" allowBlank="1" showInputMessage="1" showErrorMessage="1" sqref="B7" xr:uid="{00000000-0002-0000-0100-000000000000}">
      <formula1>LISTE_CATEGORIE</formula1>
    </dataValidation>
    <dataValidation type="list" allowBlank="1" showInputMessage="1" showErrorMessage="1" sqref="B9" xr:uid="{00000000-0002-0000-0100-000001000000}">
      <formula1>NOMBRE_EQUIPES</formula1>
    </dataValidation>
  </dataValidations>
  <pageMargins left="0.7" right="0.7" top="0.75" bottom="0.75" header="0.3" footer="0.3"/>
  <pageSetup paperSize="9"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8">
    <tabColor indexed="11"/>
    <pageSetUpPr fitToPage="1"/>
  </sheetPr>
  <dimension ref="A1:K40"/>
  <sheetViews>
    <sheetView workbookViewId="0">
      <selection activeCell="B8" sqref="B8"/>
    </sheetView>
  </sheetViews>
  <sheetFormatPr baseColWidth="10" defaultRowHeight="12.75" x14ac:dyDescent="0.2"/>
  <cols>
    <col min="1" max="1" width="4.42578125" style="40" customWidth="1"/>
    <col min="2" max="3" width="40.7109375" style="40" customWidth="1"/>
    <col min="4" max="5" width="7.42578125" style="40" customWidth="1"/>
    <col min="6" max="6" width="14.7109375" style="44" customWidth="1"/>
    <col min="7" max="9" width="11.42578125" style="40"/>
    <col min="10" max="10" width="14.85546875" style="40" customWidth="1"/>
    <col min="11" max="11" width="22.140625" style="40" customWidth="1"/>
    <col min="12" max="16384" width="11.42578125" style="40"/>
  </cols>
  <sheetData>
    <row r="1" spans="1:11" ht="2.25" customHeight="1" x14ac:dyDescent="0.2"/>
    <row r="2" spans="1:11" ht="32.25" customHeight="1" x14ac:dyDescent="0.2">
      <c r="B2" s="135" t="str">
        <f>CATEG_IMPORTEE</f>
        <v>Collèges Mixtes Etablissement</v>
      </c>
      <c r="C2" s="129"/>
    </row>
    <row r="3" spans="1:11" ht="27" customHeight="1" x14ac:dyDescent="0.2">
      <c r="B3" s="140" t="s">
        <v>484</v>
      </c>
      <c r="C3" s="129"/>
    </row>
    <row r="4" spans="1:11" ht="5.25" customHeight="1" x14ac:dyDescent="0.2">
      <c r="B4" s="129"/>
      <c r="C4" s="130"/>
    </row>
    <row r="5" spans="1:11" ht="25.5" x14ac:dyDescent="0.2">
      <c r="B5" s="1042" t="s">
        <v>485</v>
      </c>
      <c r="C5" s="1042"/>
    </row>
    <row r="6" spans="1:11" ht="9.75" customHeight="1" x14ac:dyDescent="0.2">
      <c r="G6" s="294" t="s">
        <v>582</v>
      </c>
    </row>
    <row r="7" spans="1:11" ht="20.25" x14ac:dyDescent="0.2">
      <c r="B7" s="132" t="s">
        <v>0</v>
      </c>
      <c r="C7" s="132" t="s">
        <v>375</v>
      </c>
      <c r="D7" s="1043" t="s">
        <v>486</v>
      </c>
      <c r="E7" s="1043"/>
      <c r="F7" s="174" t="s">
        <v>501</v>
      </c>
      <c r="G7" s="295" t="s">
        <v>581</v>
      </c>
      <c r="K7" s="421" t="s">
        <v>768</v>
      </c>
    </row>
    <row r="8" spans="1:11" s="134" customFormat="1" ht="15.95" customHeight="1" x14ac:dyDescent="0.2">
      <c r="A8" s="134">
        <v>1</v>
      </c>
      <c r="B8" s="267" t="e">
        <f>'Phase_Finale Impair'!#REF!</f>
        <v>#REF!</v>
      </c>
      <c r="C8" s="267" t="e">
        <f>'Phase_Finale Impair'!#REF!</f>
        <v>#REF!</v>
      </c>
      <c r="D8" s="136">
        <f>Num_Cible</f>
        <v>1</v>
      </c>
      <c r="E8" s="136"/>
      <c r="F8" s="179" t="e">
        <f>IF(C8=0,"",LOOKUP(C8,taille_cibles))</f>
        <v>#REF!</v>
      </c>
      <c r="G8" s="297" t="e">
        <f>IF(C8=0,"",LOOKUP(C8,REPERE))</f>
        <v>#REF!</v>
      </c>
    </row>
    <row r="9" spans="1:11" s="134" customFormat="1" ht="15.95" customHeight="1" x14ac:dyDescent="0.2">
      <c r="A9" s="134">
        <v>2</v>
      </c>
      <c r="B9" s="267" t="e">
        <f>'Phase_Finale Impair'!#REF!</f>
        <v>#REF!</v>
      </c>
      <c r="C9" s="267" t="e">
        <f>'Phase_Finale Impair'!#REF!</f>
        <v>#REF!</v>
      </c>
      <c r="D9" s="136">
        <f>D8+1</f>
        <v>2</v>
      </c>
      <c r="E9" s="136"/>
      <c r="F9" s="179" t="e">
        <f>IF(C9=0,"",LOOKUP(C9,taille_cibles))</f>
        <v>#REF!</v>
      </c>
      <c r="G9" s="297" t="e">
        <f>IF(C9=0,"",LOOKUP(C9,REPERE))</f>
        <v>#REF!</v>
      </c>
    </row>
    <row r="10" spans="1:11" s="134" customFormat="1" ht="3" customHeight="1" x14ac:dyDescent="0.2">
      <c r="B10" s="271"/>
      <c r="C10" s="271"/>
      <c r="D10" s="137"/>
      <c r="E10" s="137"/>
      <c r="F10" s="180"/>
      <c r="G10" s="298"/>
    </row>
    <row r="11" spans="1:11" s="134" customFormat="1" ht="15.95" customHeight="1" x14ac:dyDescent="0.2">
      <c r="A11" s="134">
        <v>3</v>
      </c>
      <c r="B11" s="267" t="e">
        <f>'Phase_Finale Impair'!#REF!</f>
        <v>#REF!</v>
      </c>
      <c r="C11" s="267" t="e">
        <f>'Phase_Finale Impair'!#REF!</f>
        <v>#REF!</v>
      </c>
      <c r="D11" s="136">
        <f>D9+1</f>
        <v>3</v>
      </c>
      <c r="E11" s="136"/>
      <c r="F11" s="179" t="e">
        <f>IF(C11=0,"",LOOKUP(C11,taille_cibles))</f>
        <v>#REF!</v>
      </c>
      <c r="G11" s="297" t="e">
        <f>IF(C11=0,"",LOOKUP(C11,REPERE))</f>
        <v>#REF!</v>
      </c>
      <c r="K11" s="424"/>
    </row>
    <row r="12" spans="1:11" s="134" customFormat="1" ht="15.95" customHeight="1" x14ac:dyDescent="0.2">
      <c r="A12" s="134">
        <v>4</v>
      </c>
      <c r="B12" s="267" t="e">
        <f>'Phase_Finale Impair'!#REF!</f>
        <v>#REF!</v>
      </c>
      <c r="C12" s="267" t="e">
        <f>'Phase_Finale Impair'!#REF!</f>
        <v>#REF!</v>
      </c>
      <c r="D12" s="136">
        <f>D11+1</f>
        <v>4</v>
      </c>
      <c r="E12" s="136"/>
      <c r="F12" s="179" t="e">
        <f>IF(C12=0,"",LOOKUP(C12,taille_cibles))</f>
        <v>#REF!</v>
      </c>
      <c r="G12" s="297" t="e">
        <f>IF(C12=0,"",LOOKUP(C12,REPERE))</f>
        <v>#REF!</v>
      </c>
    </row>
    <row r="13" spans="1:11" s="134" customFormat="1" ht="3" customHeight="1" x14ac:dyDescent="0.2">
      <c r="B13" s="271"/>
      <c r="C13" s="271"/>
      <c r="D13" s="137"/>
      <c r="E13" s="137"/>
      <c r="F13" s="180"/>
      <c r="G13" s="298"/>
    </row>
    <row r="14" spans="1:11" s="134" customFormat="1" ht="15.95" customHeight="1" x14ac:dyDescent="0.2">
      <c r="A14" s="134">
        <v>5</v>
      </c>
      <c r="B14" s="267" t="e">
        <f>'Phase_Finale Impair'!#REF!</f>
        <v>#REF!</v>
      </c>
      <c r="C14" s="267" t="e">
        <f>'Phase_Finale Impair'!#REF!</f>
        <v>#REF!</v>
      </c>
      <c r="D14" s="136">
        <f>D12+1</f>
        <v>5</v>
      </c>
      <c r="E14" s="136"/>
      <c r="F14" s="179" t="e">
        <f>IF(C14=0,"",LOOKUP(C14,taille_cibles))</f>
        <v>#REF!</v>
      </c>
      <c r="G14" s="297" t="e">
        <f>IF(C14=0,"",LOOKUP(C14,REPERE))</f>
        <v>#REF!</v>
      </c>
    </row>
    <row r="15" spans="1:11" s="134" customFormat="1" ht="15.95" customHeight="1" x14ac:dyDescent="0.2">
      <c r="A15" s="134">
        <v>6</v>
      </c>
      <c r="B15" s="267" t="e">
        <f>'Phase_Finale Impair'!#REF!</f>
        <v>#REF!</v>
      </c>
      <c r="C15" s="267" t="e">
        <f>'Phase_Finale Impair'!#REF!</f>
        <v>#REF!</v>
      </c>
      <c r="D15" s="136">
        <f>D14+1</f>
        <v>6</v>
      </c>
      <c r="E15" s="136"/>
      <c r="F15" s="179" t="e">
        <f>IF(C15=0,"",LOOKUP(C15,taille_cibles))</f>
        <v>#REF!</v>
      </c>
      <c r="G15" s="297" t="e">
        <f>IF(C15=0,"",LOOKUP(C15,REPERE))</f>
        <v>#REF!</v>
      </c>
    </row>
    <row r="16" spans="1:11" s="134" customFormat="1" ht="3" customHeight="1" x14ac:dyDescent="0.2">
      <c r="B16" s="271"/>
      <c r="C16" s="271"/>
      <c r="D16" s="137"/>
      <c r="E16" s="137"/>
      <c r="F16" s="180"/>
      <c r="G16" s="298"/>
    </row>
    <row r="17" spans="1:11" s="134" customFormat="1" ht="15.95" customHeight="1" x14ac:dyDescent="0.2">
      <c r="A17" s="134">
        <v>7</v>
      </c>
      <c r="B17" s="267" t="e">
        <f>'Phase_Finale Impair'!#REF!</f>
        <v>#REF!</v>
      </c>
      <c r="C17" s="267" t="e">
        <f>'Phase_Finale Impair'!#REF!</f>
        <v>#REF!</v>
      </c>
      <c r="D17" s="136">
        <f>D15+1</f>
        <v>7</v>
      </c>
      <c r="E17" s="136"/>
      <c r="F17" s="179" t="e">
        <f>IF(C17=0,"",LOOKUP(C17,taille_cibles))</f>
        <v>#REF!</v>
      </c>
      <c r="G17" s="297" t="e">
        <f>IF(C17=0,"",LOOKUP(C17,REPERE))</f>
        <v>#REF!</v>
      </c>
    </row>
    <row r="18" spans="1:11" s="134" customFormat="1" ht="15.95" customHeight="1" x14ac:dyDescent="0.2">
      <c r="A18" s="134">
        <v>8</v>
      </c>
      <c r="B18" s="267" t="e">
        <f>'Phase_Finale Impair'!#REF!</f>
        <v>#REF!</v>
      </c>
      <c r="C18" s="267" t="e">
        <f>'Phase_Finale Impair'!#REF!</f>
        <v>#REF!</v>
      </c>
      <c r="D18" s="136">
        <f>D17+1</f>
        <v>8</v>
      </c>
      <c r="E18" s="136"/>
      <c r="F18" s="179" t="e">
        <f>IF(C18=0,"",LOOKUP(C18,taille_cibles))</f>
        <v>#REF!</v>
      </c>
      <c r="G18" s="297" t="e">
        <f>IF(C18=0,"",LOOKUP(C18,REPERE))</f>
        <v>#REF!</v>
      </c>
    </row>
    <row r="19" spans="1:11" s="134" customFormat="1" ht="3" customHeight="1" x14ac:dyDescent="0.2">
      <c r="B19" s="271"/>
      <c r="C19" s="271"/>
      <c r="D19" s="137"/>
      <c r="E19" s="137"/>
      <c r="F19" s="180"/>
      <c r="G19" s="298"/>
    </row>
    <row r="20" spans="1:11" s="134" customFormat="1" ht="15.95" customHeight="1" x14ac:dyDescent="0.2">
      <c r="A20" s="134">
        <v>9</v>
      </c>
      <c r="B20" s="267" t="e">
        <f>'Phase_Finale Impair'!#REF!</f>
        <v>#REF!</v>
      </c>
      <c r="C20" s="267" t="e">
        <f>'Phase_Finale Impair'!#REF!</f>
        <v>#REF!</v>
      </c>
      <c r="D20" s="136">
        <f>D18+1</f>
        <v>9</v>
      </c>
      <c r="E20" s="136"/>
      <c r="F20" s="179" t="e">
        <f>IF(C20=0,"",LOOKUP(C20,taille_cibles))</f>
        <v>#REF!</v>
      </c>
      <c r="G20" s="297" t="e">
        <f>IF(C20=0,"",LOOKUP(C20,REPERE))</f>
        <v>#REF!</v>
      </c>
    </row>
    <row r="21" spans="1:11" s="134" customFormat="1" ht="15.95" customHeight="1" x14ac:dyDescent="0.2">
      <c r="A21" s="134">
        <v>10</v>
      </c>
      <c r="B21" s="267" t="e">
        <f>'Phase_Finale Impair'!#REF!</f>
        <v>#REF!</v>
      </c>
      <c r="C21" s="267" t="e">
        <f>'Phase_Finale Impair'!#REF!</f>
        <v>#REF!</v>
      </c>
      <c r="D21" s="136">
        <f>D20+1</f>
        <v>10</v>
      </c>
      <c r="E21" s="136"/>
      <c r="F21" s="179" t="e">
        <f>IF(C21=0,"",LOOKUP(C21,taille_cibles))</f>
        <v>#REF!</v>
      </c>
      <c r="G21" s="297" t="e">
        <f>IF(C21=0,"",LOOKUP(C21,REPERE))</f>
        <v>#REF!</v>
      </c>
    </row>
    <row r="22" spans="1:11" s="134" customFormat="1" ht="3" customHeight="1" x14ac:dyDescent="0.2">
      <c r="B22" s="271"/>
      <c r="C22" s="271"/>
      <c r="D22" s="137"/>
      <c r="E22" s="137"/>
      <c r="F22" s="180"/>
      <c r="G22" s="298"/>
    </row>
    <row r="23" spans="1:11" s="134" customFormat="1" ht="15.95" customHeight="1" x14ac:dyDescent="0.2">
      <c r="A23" s="134">
        <v>11</v>
      </c>
      <c r="B23" s="267" t="e">
        <f>'Phase_Finale Impair'!#REF!</f>
        <v>#REF!</v>
      </c>
      <c r="C23" s="267" t="e">
        <f>'Phase_Finale Impair'!#REF!</f>
        <v>#REF!</v>
      </c>
      <c r="D23" s="136">
        <f>D21+1</f>
        <v>11</v>
      </c>
      <c r="E23" s="136"/>
      <c r="F23" s="179" t="e">
        <f>IF(C23=0,"",LOOKUP(C23,taille_cibles))</f>
        <v>#REF!</v>
      </c>
      <c r="G23" s="297" t="e">
        <f>IF(C23=0,"",LOOKUP(C23,REPERE))</f>
        <v>#REF!</v>
      </c>
    </row>
    <row r="24" spans="1:11" s="134" customFormat="1" ht="15.95" customHeight="1" x14ac:dyDescent="0.2">
      <c r="A24" s="134">
        <v>12</v>
      </c>
      <c r="B24" s="267" t="e">
        <f>'Phase_Finale Impair'!#REF!</f>
        <v>#REF!</v>
      </c>
      <c r="C24" s="267" t="e">
        <f>'Phase_Finale Impair'!#REF!</f>
        <v>#REF!</v>
      </c>
      <c r="D24" s="136">
        <f>D23+1</f>
        <v>12</v>
      </c>
      <c r="E24" s="136"/>
      <c r="F24" s="179" t="e">
        <f>IF(C24=0,"",LOOKUP(C24,taille_cibles))</f>
        <v>#REF!</v>
      </c>
      <c r="G24" s="297" t="e">
        <f>IF(C24=0,"",LOOKUP(C24,REPERE))</f>
        <v>#REF!</v>
      </c>
    </row>
    <row r="25" spans="1:11" s="134" customFormat="1" ht="3" customHeight="1" x14ac:dyDescent="0.2">
      <c r="B25" s="271"/>
      <c r="C25" s="271"/>
      <c r="D25" s="137"/>
      <c r="E25" s="137"/>
      <c r="F25" s="180"/>
      <c r="G25" s="298"/>
    </row>
    <row r="26" spans="1:11" s="134" customFormat="1" ht="15.95" customHeight="1" x14ac:dyDescent="0.2">
      <c r="A26" s="134">
        <v>13</v>
      </c>
      <c r="B26" s="267" t="e">
        <f>'Phase_Finale Impair'!#REF!</f>
        <v>#REF!</v>
      </c>
      <c r="C26" s="267" t="e">
        <f>'Phase_Finale Impair'!#REF!</f>
        <v>#REF!</v>
      </c>
      <c r="D26" s="136">
        <f>D24+1</f>
        <v>13</v>
      </c>
      <c r="E26" s="136"/>
      <c r="F26" s="179" t="e">
        <f>IF(C26=0,"",LOOKUP(C26,taille_cibles))</f>
        <v>#REF!</v>
      </c>
      <c r="G26" s="297" t="e">
        <f>IF(C26=0,"",LOOKUP(C26,REPERE))</f>
        <v>#REF!</v>
      </c>
      <c r="K26" s="422"/>
    </row>
    <row r="27" spans="1:11" s="134" customFormat="1" ht="15.95" customHeight="1" x14ac:dyDescent="0.2">
      <c r="A27" s="134">
        <v>14</v>
      </c>
      <c r="B27" s="267" t="e">
        <f>'Phase_Finale Impair'!#REF!</f>
        <v>#REF!</v>
      </c>
      <c r="C27" s="267" t="e">
        <f>'Phase_Finale Impair'!#REF!</f>
        <v>#REF!</v>
      </c>
      <c r="D27" s="136">
        <f>D26+1</f>
        <v>14</v>
      </c>
      <c r="E27" s="136"/>
      <c r="F27" s="179" t="e">
        <f>IF(C27=0,"",LOOKUP(C27,taille_cibles))</f>
        <v>#REF!</v>
      </c>
      <c r="G27" s="297" t="e">
        <f>IF(C27=0,"",LOOKUP(C27,REPERE))</f>
        <v>#REF!</v>
      </c>
    </row>
    <row r="28" spans="1:11" s="134" customFormat="1" ht="3" customHeight="1" x14ac:dyDescent="0.2">
      <c r="B28" s="271"/>
      <c r="C28" s="271"/>
      <c r="D28" s="137"/>
      <c r="E28" s="137"/>
      <c r="F28" s="180"/>
      <c r="G28" s="298"/>
    </row>
    <row r="29" spans="1:11" s="134" customFormat="1" ht="15.95" customHeight="1" x14ac:dyDescent="0.2">
      <c r="A29" s="134">
        <v>15</v>
      </c>
      <c r="B29" s="267" t="e">
        <f>'Phase_Finale Impair'!#REF!</f>
        <v>#REF!</v>
      </c>
      <c r="C29" s="267" t="e">
        <f>'Phase_Finale Impair'!#REF!</f>
        <v>#REF!</v>
      </c>
      <c r="D29" s="136">
        <f>D27+1</f>
        <v>15</v>
      </c>
      <c r="E29" s="136"/>
      <c r="F29" s="179" t="e">
        <f>IF(C29=0,"",LOOKUP(C29,taille_cibles))</f>
        <v>#REF!</v>
      </c>
      <c r="G29" s="297" t="e">
        <f>IF(C29=0,"",LOOKUP(C29,REPERE))</f>
        <v>#REF!</v>
      </c>
    </row>
    <row r="30" spans="1:11" s="134" customFormat="1" ht="15.95" customHeight="1" x14ac:dyDescent="0.2">
      <c r="A30" s="134">
        <v>16</v>
      </c>
      <c r="B30" s="267" t="e">
        <f>'Phase_Finale Impair'!#REF!</f>
        <v>#REF!</v>
      </c>
      <c r="C30" s="267" t="e">
        <f>'Phase_Finale Impair'!#REF!</f>
        <v>#REF!</v>
      </c>
      <c r="D30" s="136">
        <f>D29+1</f>
        <v>16</v>
      </c>
      <c r="E30" s="136"/>
      <c r="F30" s="179" t="e">
        <f>IF(C30=0,"",LOOKUP(C30,taille_cibles))</f>
        <v>#REF!</v>
      </c>
      <c r="G30" s="297" t="e">
        <f>IF(C30=0,"",LOOKUP(C30,REPERE))</f>
        <v>#REF!</v>
      </c>
    </row>
    <row r="31" spans="1:11" s="134" customFormat="1" ht="3" customHeight="1" x14ac:dyDescent="0.2">
      <c r="B31" s="271"/>
      <c r="C31" s="271"/>
      <c r="D31" s="137"/>
      <c r="E31" s="137"/>
      <c r="F31" s="180"/>
      <c r="G31" s="298"/>
    </row>
    <row r="32" spans="1:11" s="134" customFormat="1" ht="15.95" customHeight="1" x14ac:dyDescent="0.2">
      <c r="A32" s="134">
        <v>17</v>
      </c>
      <c r="B32" s="267" t="e">
        <f>'Phase_Finale Impair'!#REF!</f>
        <v>#REF!</v>
      </c>
      <c r="C32" s="267" t="e">
        <f>'Phase_Finale Impair'!#REF!</f>
        <v>#REF!</v>
      </c>
      <c r="D32" s="136">
        <f>D30+1</f>
        <v>17</v>
      </c>
      <c r="E32" s="136"/>
      <c r="F32" s="179" t="e">
        <f>IF(C32=0,"",LOOKUP(C32,taille_cibles))</f>
        <v>#REF!</v>
      </c>
      <c r="G32" s="297" t="e">
        <f>IF(C32=0,"",LOOKUP(C32,REPERE))</f>
        <v>#REF!</v>
      </c>
    </row>
    <row r="33" spans="1:7" s="134" customFormat="1" ht="15.95" customHeight="1" x14ac:dyDescent="0.2">
      <c r="A33" s="134">
        <v>18</v>
      </c>
      <c r="B33" s="267" t="e">
        <f>'Phase_Finale Impair'!#REF!</f>
        <v>#REF!</v>
      </c>
      <c r="C33" s="267" t="e">
        <f>'Phase_Finale Impair'!#REF!</f>
        <v>#REF!</v>
      </c>
      <c r="D33" s="136">
        <f>D32+1</f>
        <v>18</v>
      </c>
      <c r="E33" s="136"/>
      <c r="F33" s="179" t="e">
        <f>IF(C33=0,"",LOOKUP(C33,taille_cibles))</f>
        <v>#REF!</v>
      </c>
      <c r="G33" s="297" t="e">
        <f>IF(C33=0,"",LOOKUP(C33,REPERE))</f>
        <v>#REF!</v>
      </c>
    </row>
    <row r="34" spans="1:7" s="134" customFormat="1" ht="3" customHeight="1" x14ac:dyDescent="0.2">
      <c r="B34" s="271"/>
      <c r="C34" s="271"/>
      <c r="D34" s="137"/>
      <c r="E34" s="137"/>
      <c r="F34" s="180"/>
      <c r="G34" s="298"/>
    </row>
    <row r="35" spans="1:7" s="134" customFormat="1" ht="15.95" customHeight="1" x14ac:dyDescent="0.2">
      <c r="A35" s="134">
        <v>19</v>
      </c>
      <c r="B35" s="267" t="e">
        <f>'Phase_Finale Impair'!#REF!</f>
        <v>#REF!</v>
      </c>
      <c r="C35" s="267" t="e">
        <f>'Phase_Finale Impair'!#REF!</f>
        <v>#REF!</v>
      </c>
      <c r="D35" s="136">
        <f>D33+1</f>
        <v>19</v>
      </c>
      <c r="E35" s="136"/>
      <c r="F35" s="179" t="e">
        <f>IF(C35=0,"",LOOKUP(C35,taille_cibles))</f>
        <v>#REF!</v>
      </c>
      <c r="G35" s="297" t="e">
        <f>IF(C35=0,"",LOOKUP(C35,REPERE))</f>
        <v>#REF!</v>
      </c>
    </row>
    <row r="36" spans="1:7" s="134" customFormat="1" ht="15.95" customHeight="1" x14ac:dyDescent="0.2">
      <c r="A36" s="134">
        <v>20</v>
      </c>
      <c r="B36" s="267" t="e">
        <f>'Phase_Finale Impair'!#REF!</f>
        <v>#REF!</v>
      </c>
      <c r="C36" s="267" t="e">
        <f>'Phase_Finale Impair'!#REF!</f>
        <v>#REF!</v>
      </c>
      <c r="D36" s="136">
        <f>D35+1</f>
        <v>20</v>
      </c>
      <c r="E36" s="136"/>
      <c r="F36" s="179" t="e">
        <f>IF(C36=0,"",LOOKUP(C36,taille_cibles))</f>
        <v>#REF!</v>
      </c>
      <c r="G36" s="297" t="e">
        <f>IF(C36=0,"",LOOKUP(C36,REPERE))</f>
        <v>#REF!</v>
      </c>
    </row>
    <row r="37" spans="1:7" s="134" customFormat="1" ht="3" customHeight="1" x14ac:dyDescent="0.2">
      <c r="B37" s="271"/>
      <c r="C37" s="271"/>
      <c r="D37" s="137"/>
      <c r="E37" s="137"/>
      <c r="F37" s="180"/>
      <c r="G37" s="298"/>
    </row>
    <row r="38" spans="1:7" s="134" customFormat="1" ht="15.95" customHeight="1" x14ac:dyDescent="0.2">
      <c r="A38" s="134">
        <v>21</v>
      </c>
      <c r="B38" s="267" t="e">
        <f>'Phase_Finale Impair'!#REF!</f>
        <v>#REF!</v>
      </c>
      <c r="C38" s="267" t="e">
        <f>'Phase_Finale Impair'!#REF!</f>
        <v>#REF!</v>
      </c>
      <c r="D38" s="136">
        <f>D36+1</f>
        <v>21</v>
      </c>
      <c r="E38" s="136"/>
      <c r="F38" s="179" t="e">
        <f>IF(C38=0,"",LOOKUP(C38,taille_cibles))</f>
        <v>#REF!</v>
      </c>
      <c r="G38" s="297" t="e">
        <f>IF(C38=0,"",LOOKUP(C38,REPERE))</f>
        <v>#REF!</v>
      </c>
    </row>
    <row r="39" spans="1:7" s="134" customFormat="1" ht="15.95" customHeight="1" x14ac:dyDescent="0.2">
      <c r="A39" s="134">
        <v>22</v>
      </c>
      <c r="B39" s="267" t="e">
        <f>'Phase_Finale Impair'!#REF!</f>
        <v>#REF!</v>
      </c>
      <c r="C39" s="267" t="e">
        <f>'Phase_Finale Impair'!#REF!</f>
        <v>#REF!</v>
      </c>
      <c r="D39" s="136">
        <f>D38+1</f>
        <v>22</v>
      </c>
      <c r="E39" s="136"/>
      <c r="F39" s="179" t="e">
        <f>IF(C39=0,"",LOOKUP(C39,taille_cibles))</f>
        <v>#REF!</v>
      </c>
      <c r="G39" s="297" t="e">
        <f>IF(C39=0,"",LOOKUP(C39,REPERE))</f>
        <v>#REF!</v>
      </c>
    </row>
    <row r="40" spans="1:7" s="134" customFormat="1" ht="3" customHeight="1" x14ac:dyDescent="0.2">
      <c r="B40" s="271"/>
      <c r="C40" s="271"/>
      <c r="D40" s="137"/>
      <c r="E40" s="137"/>
      <c r="F40" s="180"/>
      <c r="G40" s="298"/>
    </row>
  </sheetData>
  <mergeCells count="2">
    <mergeCell ref="D7:E7"/>
    <mergeCell ref="B5:C5"/>
  </mergeCells>
  <phoneticPr fontId="34" type="noConversion"/>
  <pageMargins left="0.78740157480314965" right="0.78740157480314965" top="0.98425196850393704" bottom="0.98425196850393704" header="0.51181102362204722" footer="0.51181102362204722"/>
  <pageSetup paperSize="9" scale="91"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15">
    <pageSetUpPr fitToPage="1"/>
  </sheetPr>
  <dimension ref="A1:AS145"/>
  <sheetViews>
    <sheetView zoomScale="70" workbookViewId="0">
      <selection activeCell="AL23" sqref="AL23"/>
    </sheetView>
  </sheetViews>
  <sheetFormatPr baseColWidth="10" defaultRowHeight="12.75" x14ac:dyDescent="0.2"/>
  <cols>
    <col min="1" max="1" width="12.42578125" style="217" customWidth="1"/>
    <col min="2" max="8" width="5.28515625" style="217" customWidth="1"/>
    <col min="9" max="9" width="3.7109375" style="217" customWidth="1"/>
    <col min="10" max="10" width="7.7109375" style="217" customWidth="1"/>
    <col min="11" max="13" width="5.28515625" style="217" customWidth="1"/>
    <col min="14" max="14" width="3.7109375" style="217" customWidth="1"/>
    <col min="15" max="15" width="7.7109375" style="217" customWidth="1"/>
    <col min="16" max="18" width="5.28515625" style="217" customWidth="1"/>
    <col min="19" max="19" width="3.7109375" style="217" customWidth="1"/>
    <col min="20" max="20" width="7.7109375" style="217" customWidth="1"/>
    <col min="21" max="23" width="5.28515625" style="217" customWidth="1"/>
    <col min="24" max="24" width="3.7109375" style="217" customWidth="1"/>
    <col min="25" max="25" width="7.7109375" style="217" customWidth="1"/>
    <col min="26" max="26" width="3.7109375" style="217" customWidth="1"/>
    <col min="27" max="27" width="5.140625" style="217" customWidth="1"/>
    <col min="28" max="28" width="17.28515625" style="217" customWidth="1"/>
    <col min="29" max="29" width="10.85546875" style="217" customWidth="1"/>
    <col min="30" max="30" width="12.5703125" style="217" customWidth="1"/>
    <col min="31" max="31" width="13.140625" style="217" customWidth="1"/>
    <col min="32" max="32" width="11.28515625" style="217" customWidth="1"/>
    <col min="33" max="16384" width="11.42578125" style="217"/>
  </cols>
  <sheetData>
    <row r="1" spans="1:33" ht="6.75" customHeight="1" x14ac:dyDescent="0.2"/>
    <row r="2" spans="1:33" s="218" customFormat="1" ht="23.25" customHeight="1" x14ac:dyDescent="0.2">
      <c r="A2" s="1072" t="s">
        <v>546</v>
      </c>
      <c r="B2" s="1073"/>
      <c r="C2" s="263">
        <v>11</v>
      </c>
      <c r="K2" s="218" t="str">
        <f>CATEG</f>
        <v>Collèges Mixtes Etablissement</v>
      </c>
      <c r="AB2" s="250" t="s">
        <v>572</v>
      </c>
      <c r="AC2" s="255">
        <v>11</v>
      </c>
      <c r="AD2" s="208"/>
      <c r="AE2" s="185"/>
      <c r="AF2" s="185"/>
    </row>
    <row r="3" spans="1:33" ht="27" customHeight="1" thickBot="1" x14ac:dyDescent="0.25">
      <c r="B3" s="1069" t="s">
        <v>0</v>
      </c>
      <c r="C3" s="1069"/>
      <c r="D3" s="1069"/>
      <c r="E3" s="1069"/>
      <c r="F3" s="1069"/>
      <c r="G3" s="1069"/>
      <c r="H3" s="1069"/>
      <c r="I3" s="1069" t="s">
        <v>374</v>
      </c>
      <c r="J3" s="1069"/>
      <c r="K3" s="1069"/>
      <c r="L3" s="1069"/>
      <c r="O3" s="1069" t="s">
        <v>0</v>
      </c>
      <c r="P3" s="1069"/>
      <c r="Q3" s="1069"/>
      <c r="R3" s="1069"/>
      <c r="S3" s="1069"/>
      <c r="T3" s="1069"/>
      <c r="U3" s="1069"/>
      <c r="V3" s="1069" t="s">
        <v>374</v>
      </c>
      <c r="W3" s="1069"/>
      <c r="X3" s="1069"/>
      <c r="Y3" s="1069"/>
      <c r="AB3" s="185"/>
      <c r="AC3" s="187"/>
      <c r="AD3" s="208"/>
      <c r="AE3" s="185"/>
      <c r="AF3" s="185"/>
    </row>
    <row r="4" spans="1:33" ht="24" customHeight="1" thickBot="1" x14ac:dyDescent="0.25">
      <c r="A4" s="219"/>
      <c r="B4" s="257" t="s">
        <v>599</v>
      </c>
      <c r="C4" s="220"/>
      <c r="D4" s="220"/>
      <c r="E4" s="220"/>
      <c r="F4" s="220"/>
      <c r="G4" s="220"/>
      <c r="H4" s="221"/>
      <c r="I4" s="257" t="s">
        <v>600</v>
      </c>
      <c r="J4" s="220"/>
      <c r="K4" s="220"/>
      <c r="L4" s="221"/>
      <c r="M4" s="1070" t="s">
        <v>547</v>
      </c>
      <c r="N4" s="1071"/>
      <c r="O4" s="257" t="s">
        <v>607</v>
      </c>
      <c r="P4" s="220"/>
      <c r="Q4" s="220"/>
      <c r="R4" s="220"/>
      <c r="S4" s="220"/>
      <c r="T4" s="220"/>
      <c r="U4" s="221"/>
      <c r="V4" s="257" t="s">
        <v>608</v>
      </c>
      <c r="W4" s="220"/>
      <c r="X4" s="220"/>
      <c r="Y4" s="221"/>
      <c r="AB4" s="293" t="s">
        <v>0</v>
      </c>
      <c r="AC4" s="264" t="str">
        <f ca="1">IF(AA7="","",LOOKUP(AA7,établissement))</f>
        <v/>
      </c>
      <c r="AD4" s="227"/>
      <c r="AE4" s="227"/>
      <c r="AF4" s="247"/>
    </row>
    <row r="5" spans="1:33" ht="15" customHeight="1" x14ac:dyDescent="0.2">
      <c r="AB5" s="293" t="s">
        <v>374</v>
      </c>
      <c r="AC5" s="264" t="str">
        <f ca="1">IF(AA7="","",LOOKUP(AA7,académie))</f>
        <v/>
      </c>
      <c r="AD5" s="227"/>
      <c r="AE5" s="227"/>
      <c r="AF5" s="247"/>
    </row>
    <row r="6" spans="1:33" ht="20.100000000000001" customHeight="1" x14ac:dyDescent="0.2">
      <c r="A6" s="1074" t="s">
        <v>548</v>
      </c>
      <c r="B6" s="1074"/>
      <c r="C6" s="1074"/>
      <c r="D6" s="1074"/>
      <c r="E6" s="1074"/>
      <c r="AB6" s="46" t="s">
        <v>481</v>
      </c>
      <c r="AC6" s="253" t="s">
        <v>2</v>
      </c>
      <c r="AD6" s="253" t="s">
        <v>480</v>
      </c>
      <c r="AE6" s="253" t="s">
        <v>529</v>
      </c>
      <c r="AF6" s="253" t="s">
        <v>551</v>
      </c>
    </row>
    <row r="7" spans="1:33" ht="20.100000000000001" customHeight="1" x14ac:dyDescent="0.2">
      <c r="A7" s="1075" t="s">
        <v>549</v>
      </c>
      <c r="B7" s="1075"/>
      <c r="C7" s="1075"/>
      <c r="D7" s="1075"/>
      <c r="E7" s="1075"/>
      <c r="G7" s="1076" t="s">
        <v>480</v>
      </c>
      <c r="H7" s="1076"/>
      <c r="I7" s="1077" t="s">
        <v>550</v>
      </c>
      <c r="J7" s="1077"/>
      <c r="K7" s="1077"/>
      <c r="L7" s="252" t="s">
        <v>551</v>
      </c>
      <c r="M7" s="1078" t="s">
        <v>552</v>
      </c>
      <c r="N7" s="1078"/>
      <c r="O7" s="251"/>
      <c r="Z7" s="219"/>
      <c r="AA7" s="256">
        <v>29</v>
      </c>
      <c r="AB7" s="212" t="str">
        <f ca="1">IF(AA7="","",LOOKUP(AA7,nom))</f>
        <v/>
      </c>
      <c r="AC7" s="229" t="str">
        <f ca="1">IF(AA7="","",LOOKUP(AA7,prénom))</f>
        <v/>
      </c>
      <c r="AD7" s="248" t="e">
        <f ca="1">IF(AA7="","",LOOKUP(AG7,BF))</f>
        <v>#N/A</v>
      </c>
      <c r="AE7" s="248" t="str">
        <f ca="1">IF(AA7="","",LOOKUP(AA7,n_licence))</f>
        <v/>
      </c>
      <c r="AF7" s="248" t="str">
        <f ca="1">IF(AA7="","",LOOKUP(AA7,blason))</f>
        <v/>
      </c>
      <c r="AG7" s="249" t="str">
        <f ca="1">IF(AA7="","",LOOKUP(AA7,catégorie))</f>
        <v/>
      </c>
    </row>
    <row r="8" spans="1:33" ht="24" customHeight="1" x14ac:dyDescent="0.2">
      <c r="A8" s="258" t="s">
        <v>588</v>
      </c>
      <c r="B8" s="223"/>
      <c r="C8" s="259" t="s">
        <v>589</v>
      </c>
      <c r="D8" s="223"/>
      <c r="E8" s="224"/>
      <c r="F8" s="219"/>
      <c r="G8" s="258" t="s">
        <v>542</v>
      </c>
      <c r="H8" s="224"/>
      <c r="I8" s="222"/>
      <c r="J8" s="246" t="s">
        <v>601</v>
      </c>
      <c r="K8" s="224"/>
      <c r="L8" s="260">
        <v>60</v>
      </c>
      <c r="M8" s="287">
        <v>22</v>
      </c>
      <c r="N8" s="288"/>
      <c r="O8" s="249"/>
      <c r="R8" s="254"/>
      <c r="S8" s="254"/>
      <c r="T8" s="254" t="s">
        <v>575</v>
      </c>
      <c r="U8" s="254"/>
      <c r="V8" s="254"/>
      <c r="W8" s="254"/>
      <c r="X8" s="254"/>
      <c r="Y8" s="254"/>
      <c r="Z8" s="219"/>
      <c r="AA8" s="256">
        <v>30</v>
      </c>
      <c r="AB8" s="212" t="str">
        <f ca="1">IF(AA8="","",LOOKUP(AA8,nom))</f>
        <v/>
      </c>
      <c r="AC8" s="229" t="str">
        <f ca="1">IF(AA8="","",LOOKUP(AA8,prénom))</f>
        <v/>
      </c>
      <c r="AD8" s="248" t="e">
        <f ca="1">IF(AA8="","",LOOKUP(AG8,BF))</f>
        <v>#N/A</v>
      </c>
      <c r="AE8" s="248" t="str">
        <f ca="1">IF(AA8="","",LOOKUP(AA8,n_licence))</f>
        <v/>
      </c>
      <c r="AF8" s="248" t="str">
        <f ca="1">IF(AA8="","",LOOKUP(AA8,blason))</f>
        <v/>
      </c>
      <c r="AG8" s="249" t="str">
        <f ca="1">IF(AA8="","",LOOKUP(AA8,catégorie))</f>
        <v/>
      </c>
    </row>
    <row r="9" spans="1:33" ht="24" customHeight="1" x14ac:dyDescent="0.2">
      <c r="A9" s="258" t="s">
        <v>590</v>
      </c>
      <c r="B9" s="223"/>
      <c r="C9" s="259" t="s">
        <v>591</v>
      </c>
      <c r="D9" s="223"/>
      <c r="E9" s="224"/>
      <c r="F9" s="219"/>
      <c r="G9" s="258" t="s">
        <v>542</v>
      </c>
      <c r="H9" s="224"/>
      <c r="I9" s="222"/>
      <c r="J9" s="246" t="s">
        <v>602</v>
      </c>
      <c r="K9" s="224"/>
      <c r="L9" s="260">
        <v>60</v>
      </c>
      <c r="M9" s="287">
        <v>22</v>
      </c>
      <c r="N9" s="288"/>
      <c r="O9" s="249"/>
      <c r="Q9" s="254"/>
      <c r="R9" s="254"/>
      <c r="S9" s="254"/>
      <c r="T9" s="254"/>
      <c r="U9" s="254"/>
      <c r="V9" s="254"/>
      <c r="W9" s="254"/>
      <c r="X9" s="254"/>
      <c r="Y9" s="254"/>
      <c r="Z9" s="219"/>
      <c r="AA9" s="256">
        <v>31</v>
      </c>
      <c r="AB9" s="212" t="str">
        <f ca="1">IF(AA9="","",LOOKUP(AA9,nom))</f>
        <v/>
      </c>
      <c r="AC9" s="229" t="str">
        <f ca="1">IF(AA9="","",LOOKUP(AA9,prénom))</f>
        <v/>
      </c>
      <c r="AD9" s="248" t="e">
        <f ca="1">IF(AA9="","",LOOKUP(AG9,BF))</f>
        <v>#N/A</v>
      </c>
      <c r="AE9" s="248" t="str">
        <f ca="1">IF(AA9="","",LOOKUP(AA9,n_licence))</f>
        <v/>
      </c>
      <c r="AF9" s="248" t="str">
        <f ca="1">IF(AA9="","",LOOKUP(AA9,blason))</f>
        <v/>
      </c>
      <c r="AG9" s="249" t="str">
        <f ca="1">IF(AA9="","",LOOKUP(AA9,catégorie))</f>
        <v/>
      </c>
    </row>
    <row r="10" spans="1:33" ht="24" customHeight="1" x14ac:dyDescent="0.2">
      <c r="A10" s="258" t="s">
        <v>592</v>
      </c>
      <c r="B10" s="223"/>
      <c r="C10" s="259" t="s">
        <v>593</v>
      </c>
      <c r="D10" s="223"/>
      <c r="E10" s="224"/>
      <c r="F10" s="219"/>
      <c r="G10" s="258" t="s">
        <v>541</v>
      </c>
      <c r="H10" s="224"/>
      <c r="I10" s="222"/>
      <c r="J10" s="246" t="s">
        <v>603</v>
      </c>
      <c r="K10" s="224"/>
      <c r="L10" s="260">
        <v>60</v>
      </c>
      <c r="M10" s="289">
        <v>22</v>
      </c>
      <c r="N10" s="290"/>
      <c r="O10" s="249"/>
      <c r="Q10" s="254"/>
      <c r="R10" s="254"/>
      <c r="S10" s="254"/>
      <c r="T10" s="254"/>
      <c r="U10" s="254"/>
      <c r="V10" s="254"/>
      <c r="W10" s="254"/>
      <c r="X10" s="254"/>
      <c r="Y10" s="254"/>
      <c r="Z10" s="219"/>
      <c r="AA10" s="256">
        <v>32</v>
      </c>
      <c r="AB10" s="212" t="str">
        <f ca="1">IF(AA10="","",LOOKUP(AA10,nom))</f>
        <v/>
      </c>
      <c r="AC10" s="229" t="str">
        <f ca="1">IF(AA10="","",LOOKUP(AA10,prénom))</f>
        <v/>
      </c>
      <c r="AD10" s="248" t="e">
        <f ca="1">IF(AA10="","",LOOKUP(AG10,BF))</f>
        <v>#N/A</v>
      </c>
      <c r="AE10" s="248" t="str">
        <f ca="1">IF(AA10="","",LOOKUP(AA10,n_licence))</f>
        <v/>
      </c>
      <c r="AF10" s="248" t="str">
        <f ca="1">IF(AA10="","",LOOKUP(AA10,blason))</f>
        <v/>
      </c>
      <c r="AG10" s="249" t="str">
        <f ca="1">IF(AA10="","",LOOKUP(AA10,catégorie))</f>
        <v/>
      </c>
    </row>
    <row r="11" spans="1:33" ht="24" customHeight="1" x14ac:dyDescent="0.2">
      <c r="A11" s="258" t="s">
        <v>594</v>
      </c>
      <c r="B11" s="223"/>
      <c r="C11" s="259" t="s">
        <v>595</v>
      </c>
      <c r="D11" s="223"/>
      <c r="E11" s="224"/>
      <c r="F11" s="219"/>
      <c r="G11" s="258" t="s">
        <v>542</v>
      </c>
      <c r="H11" s="224"/>
      <c r="I11" s="222"/>
      <c r="J11" s="246" t="s">
        <v>604</v>
      </c>
      <c r="K11" s="224"/>
      <c r="L11" s="260">
        <v>60</v>
      </c>
      <c r="M11" s="291">
        <v>22</v>
      </c>
      <c r="N11" s="292"/>
      <c r="O11" s="249"/>
      <c r="AB11" s="185"/>
      <c r="AC11" s="187"/>
      <c r="AD11" s="208"/>
      <c r="AE11" s="185"/>
      <c r="AF11" s="185"/>
    </row>
    <row r="12" spans="1:33" ht="15" customHeight="1" thickBot="1" x14ac:dyDescent="0.25">
      <c r="AB12" s="216" t="s">
        <v>547</v>
      </c>
      <c r="AC12" s="187"/>
      <c r="AD12" s="208"/>
      <c r="AE12" s="185"/>
      <c r="AF12" s="185"/>
    </row>
    <row r="13" spans="1:33" ht="20.100000000000001" customHeight="1" x14ac:dyDescent="0.2">
      <c r="F13" s="1081" t="s">
        <v>555</v>
      </c>
      <c r="G13" s="1082"/>
      <c r="H13" s="1082"/>
      <c r="I13" s="1082"/>
      <c r="J13" s="1083"/>
      <c r="K13" s="1081" t="s">
        <v>556</v>
      </c>
      <c r="L13" s="1082"/>
      <c r="M13" s="1082"/>
      <c r="N13" s="1082"/>
      <c r="O13" s="1083"/>
      <c r="P13" s="1081" t="s">
        <v>557</v>
      </c>
      <c r="Q13" s="1082"/>
      <c r="R13" s="1082"/>
      <c r="S13" s="1082"/>
      <c r="T13" s="1083"/>
      <c r="U13" s="1081" t="s">
        <v>558</v>
      </c>
      <c r="V13" s="1082"/>
      <c r="W13" s="1082"/>
      <c r="X13" s="1082"/>
      <c r="Y13" s="1083"/>
    </row>
    <row r="14" spans="1:33" ht="20.100000000000001" customHeight="1" x14ac:dyDescent="0.2">
      <c r="A14" s="1075" t="s">
        <v>559</v>
      </c>
      <c r="B14" s="1075"/>
      <c r="C14" s="1075"/>
      <c r="D14" s="1075"/>
      <c r="E14" s="1089"/>
      <c r="F14" s="1090" t="s">
        <v>560</v>
      </c>
      <c r="G14" s="1075"/>
      <c r="H14" s="1075"/>
      <c r="J14" s="225" t="s">
        <v>7</v>
      </c>
      <c r="K14" s="1090" t="s">
        <v>560</v>
      </c>
      <c r="L14" s="1075"/>
      <c r="M14" s="1075"/>
      <c r="O14" s="225" t="s">
        <v>7</v>
      </c>
      <c r="P14" s="1090" t="s">
        <v>560</v>
      </c>
      <c r="Q14" s="1075"/>
      <c r="R14" s="1075"/>
      <c r="T14" s="225" t="s">
        <v>7</v>
      </c>
      <c r="U14" s="1090" t="s">
        <v>560</v>
      </c>
      <c r="V14" s="1075"/>
      <c r="W14" s="1075"/>
      <c r="Y14" s="225" t="s">
        <v>7</v>
      </c>
      <c r="AA14" s="256">
        <v>14</v>
      </c>
      <c r="AB14" s="293" t="s">
        <v>0</v>
      </c>
      <c r="AC14" s="226">
        <f ca="1">IF(AA14="","",LOOKUP(AA14,Etab_duel))</f>
        <v>0</v>
      </c>
      <c r="AD14" s="227"/>
      <c r="AE14" s="227"/>
      <c r="AF14" s="247"/>
    </row>
    <row r="15" spans="1:33" ht="24" customHeight="1" x14ac:dyDescent="0.2">
      <c r="A15" s="261" t="s">
        <v>588</v>
      </c>
      <c r="B15" s="227"/>
      <c r="C15" s="262" t="s">
        <v>589</v>
      </c>
      <c r="D15" s="227"/>
      <c r="E15" s="227"/>
      <c r="F15" s="228"/>
      <c r="G15" s="229"/>
      <c r="H15" s="229"/>
      <c r="I15" s="230" t="s">
        <v>561</v>
      </c>
      <c r="J15" s="231"/>
      <c r="K15" s="228"/>
      <c r="L15" s="229"/>
      <c r="M15" s="229"/>
      <c r="N15" s="230" t="s">
        <v>561</v>
      </c>
      <c r="O15" s="231"/>
      <c r="P15" s="228"/>
      <c r="Q15" s="229"/>
      <c r="R15" s="229"/>
      <c r="S15" s="230" t="s">
        <v>561</v>
      </c>
      <c r="T15" s="231"/>
      <c r="U15" s="228"/>
      <c r="V15" s="229"/>
      <c r="W15" s="229"/>
      <c r="X15" s="230" t="s">
        <v>561</v>
      </c>
      <c r="Y15" s="231"/>
      <c r="AB15" s="293" t="s">
        <v>374</v>
      </c>
      <c r="AC15" s="226" t="e">
        <f ca="1">IF(AA14="","",LOOKUP(AA14,Acad_duel))</f>
        <v>#N/A</v>
      </c>
      <c r="AD15" s="227"/>
      <c r="AE15" s="227"/>
      <c r="AF15" s="247"/>
    </row>
    <row r="16" spans="1:33" ht="24" customHeight="1" x14ac:dyDescent="0.2">
      <c r="A16" s="261" t="s">
        <v>590</v>
      </c>
      <c r="B16" s="227"/>
      <c r="C16" s="262" t="s">
        <v>591</v>
      </c>
      <c r="D16" s="227"/>
      <c r="E16" s="227"/>
      <c r="F16" s="228"/>
      <c r="G16" s="229"/>
      <c r="H16" s="229"/>
      <c r="I16" s="230" t="s">
        <v>561</v>
      </c>
      <c r="J16" s="231"/>
      <c r="K16" s="228"/>
      <c r="L16" s="229"/>
      <c r="M16" s="229"/>
      <c r="N16" s="230" t="s">
        <v>561</v>
      </c>
      <c r="O16" s="231"/>
      <c r="P16" s="228"/>
      <c r="Q16" s="229"/>
      <c r="R16" s="229"/>
      <c r="S16" s="230" t="s">
        <v>561</v>
      </c>
      <c r="T16" s="231"/>
      <c r="U16" s="228"/>
      <c r="V16" s="229"/>
      <c r="W16" s="229"/>
      <c r="X16" s="230" t="s">
        <v>561</v>
      </c>
      <c r="Y16" s="231"/>
    </row>
    <row r="17" spans="1:45" ht="24" customHeight="1" x14ac:dyDescent="0.2">
      <c r="A17" s="261" t="s">
        <v>592</v>
      </c>
      <c r="B17" s="227"/>
      <c r="C17" s="262" t="s">
        <v>593</v>
      </c>
      <c r="D17" s="227"/>
      <c r="E17" s="227"/>
      <c r="F17" s="228"/>
      <c r="G17" s="229"/>
      <c r="H17" s="229"/>
      <c r="I17" s="230" t="s">
        <v>561</v>
      </c>
      <c r="J17" s="231"/>
      <c r="K17" s="228"/>
      <c r="L17" s="229"/>
      <c r="M17" s="229"/>
      <c r="N17" s="230" t="s">
        <v>561</v>
      </c>
      <c r="O17" s="231"/>
      <c r="P17" s="228"/>
      <c r="Q17" s="229"/>
      <c r="R17" s="229"/>
      <c r="S17" s="230" t="s">
        <v>561</v>
      </c>
      <c r="T17" s="231"/>
      <c r="U17" s="228"/>
      <c r="V17" s="229"/>
      <c r="W17" s="229"/>
      <c r="X17" s="230" t="s">
        <v>561</v>
      </c>
      <c r="Y17" s="231"/>
      <c r="AB17" s="1017" t="s">
        <v>580</v>
      </c>
      <c r="AC17" s="285"/>
      <c r="AD17" s="286">
        <v>22</v>
      </c>
    </row>
    <row r="18" spans="1:45" ht="24" customHeight="1" x14ac:dyDescent="0.2">
      <c r="A18" s="261" t="s">
        <v>594</v>
      </c>
      <c r="B18" s="227"/>
      <c r="C18" s="262" t="s">
        <v>595</v>
      </c>
      <c r="D18" s="227"/>
      <c r="E18" s="227"/>
      <c r="F18" s="228"/>
      <c r="G18" s="229"/>
      <c r="H18" s="229"/>
      <c r="I18" s="230" t="s">
        <v>561</v>
      </c>
      <c r="J18" s="232"/>
      <c r="K18" s="228"/>
      <c r="L18" s="229"/>
      <c r="M18" s="229"/>
      <c r="N18" s="230" t="s">
        <v>561</v>
      </c>
      <c r="O18" s="232"/>
      <c r="P18" s="228"/>
      <c r="Q18" s="229"/>
      <c r="R18" s="229"/>
      <c r="S18" s="230" t="s">
        <v>561</v>
      </c>
      <c r="T18" s="232"/>
      <c r="U18" s="228"/>
      <c r="V18" s="229"/>
      <c r="W18" s="229"/>
      <c r="X18" s="230" t="s">
        <v>561</v>
      </c>
      <c r="Y18" s="232"/>
      <c r="AB18" s="1017"/>
      <c r="AC18" s="285"/>
      <c r="AD18" s="286">
        <v>22</v>
      </c>
    </row>
    <row r="19" spans="1:45" ht="24" customHeight="1" thickBot="1" x14ac:dyDescent="0.25">
      <c r="F19" s="1079" t="s">
        <v>562</v>
      </c>
      <c r="G19" s="1080"/>
      <c r="H19" s="1080"/>
      <c r="I19" s="230" t="s">
        <v>561</v>
      </c>
      <c r="J19" s="231"/>
      <c r="K19" s="1079" t="s">
        <v>563</v>
      </c>
      <c r="L19" s="1080"/>
      <c r="M19" s="1080"/>
      <c r="N19" s="230" t="s">
        <v>561</v>
      </c>
      <c r="O19" s="232"/>
      <c r="P19" s="1079" t="s">
        <v>564</v>
      </c>
      <c r="Q19" s="1080"/>
      <c r="R19" s="1080"/>
      <c r="S19" s="230" t="s">
        <v>561</v>
      </c>
      <c r="T19" s="232"/>
      <c r="U19" s="1079" t="s">
        <v>565</v>
      </c>
      <c r="V19" s="1080"/>
      <c r="W19" s="1080"/>
      <c r="X19" s="230" t="s">
        <v>561</v>
      </c>
      <c r="Y19" s="232"/>
      <c r="AB19" s="1017"/>
      <c r="AC19" s="285"/>
      <c r="AD19" s="286">
        <v>22</v>
      </c>
    </row>
    <row r="20" spans="1:45" ht="24" customHeight="1" thickBot="1" x14ac:dyDescent="0.25">
      <c r="F20" s="233"/>
      <c r="G20" s="234"/>
      <c r="H20" s="235" t="s">
        <v>566</v>
      </c>
      <c r="I20" s="235"/>
      <c r="J20" s="236"/>
      <c r="K20" s="1092" t="s">
        <v>567</v>
      </c>
      <c r="L20" s="1085"/>
      <c r="M20" s="1085"/>
      <c r="N20" s="237" t="s">
        <v>561</v>
      </c>
      <c r="O20" s="238"/>
      <c r="P20" s="1092" t="s">
        <v>568</v>
      </c>
      <c r="Q20" s="1085"/>
      <c r="R20" s="1085"/>
      <c r="S20" s="237" t="s">
        <v>561</v>
      </c>
      <c r="T20" s="238"/>
      <c r="U20" s="1092" t="s">
        <v>569</v>
      </c>
      <c r="V20" s="1085"/>
      <c r="W20" s="1085"/>
      <c r="X20" s="237" t="s">
        <v>561</v>
      </c>
      <c r="Y20" s="239"/>
      <c r="AB20" s="1017"/>
      <c r="AC20" s="285"/>
      <c r="AD20" s="286">
        <v>22</v>
      </c>
    </row>
    <row r="21" spans="1:45" ht="12.75" customHeight="1" x14ac:dyDescent="0.2">
      <c r="Y21" s="240" t="s">
        <v>570</v>
      </c>
      <c r="AD21" s="217">
        <v>0</v>
      </c>
    </row>
    <row r="22" spans="1:45" ht="15.75" customHeight="1" x14ac:dyDescent="0.2">
      <c r="B22" s="1091" t="s">
        <v>521</v>
      </c>
      <c r="C22" s="1091"/>
      <c r="D22" s="1091"/>
      <c r="E22" s="1091"/>
      <c r="F22" s="1091"/>
      <c r="G22" s="1091"/>
      <c r="H22" s="1091"/>
      <c r="I22" s="1091"/>
      <c r="J22" s="1091"/>
      <c r="K22" s="1091"/>
      <c r="L22" s="1091"/>
      <c r="O22" s="1091" t="s">
        <v>522</v>
      </c>
      <c r="P22" s="1091"/>
      <c r="Q22" s="1091"/>
      <c r="R22" s="1091"/>
      <c r="S22" s="1091"/>
      <c r="T22" s="1091"/>
      <c r="U22" s="1091"/>
      <c r="V22" s="1091"/>
      <c r="W22" s="1091"/>
      <c r="X22" s="1091"/>
      <c r="Y22" s="1091"/>
    </row>
    <row r="23" spans="1:45" ht="13.5" customHeight="1" x14ac:dyDescent="0.2">
      <c r="B23" s="1086" t="s">
        <v>1</v>
      </c>
      <c r="C23" s="1087"/>
      <c r="D23" s="1087"/>
      <c r="E23" s="1087"/>
      <c r="F23" s="1087"/>
      <c r="G23" s="1087"/>
      <c r="H23" s="1088"/>
      <c r="I23" s="1086" t="s">
        <v>520</v>
      </c>
      <c r="J23" s="1087"/>
      <c r="K23" s="1087"/>
      <c r="L23" s="1088"/>
      <c r="N23" s="241"/>
      <c r="O23" s="1086" t="s">
        <v>1</v>
      </c>
      <c r="P23" s="1087"/>
      <c r="Q23" s="1087"/>
      <c r="R23" s="1087"/>
      <c r="S23" s="1087"/>
      <c r="T23" s="1087"/>
      <c r="U23" s="1088"/>
      <c r="V23" s="1086" t="s">
        <v>520</v>
      </c>
      <c r="W23" s="1087"/>
      <c r="X23" s="1087"/>
      <c r="Y23" s="1088"/>
    </row>
    <row r="24" spans="1:45" ht="21.75" customHeight="1" x14ac:dyDescent="0.2">
      <c r="B24" s="242"/>
      <c r="C24" s="243"/>
      <c r="D24" s="243"/>
      <c r="E24" s="243"/>
      <c r="F24" s="243"/>
      <c r="G24" s="243"/>
      <c r="H24" s="243"/>
      <c r="I24" s="242"/>
      <c r="J24" s="243"/>
      <c r="K24" s="243"/>
      <c r="L24" s="244"/>
      <c r="N24" s="241"/>
      <c r="O24" s="242"/>
      <c r="P24" s="243"/>
      <c r="Q24" s="243"/>
      <c r="R24" s="243"/>
      <c r="S24" s="243"/>
      <c r="T24" s="243"/>
      <c r="U24" s="243"/>
      <c r="V24" s="242"/>
      <c r="W24" s="243"/>
      <c r="X24" s="243"/>
      <c r="Y24" s="244"/>
    </row>
    <row r="25" spans="1:45" ht="13.5" customHeight="1" x14ac:dyDescent="0.2"/>
    <row r="26" spans="1:45" ht="14.25" customHeight="1" thickBot="1" x14ac:dyDescent="0.25">
      <c r="A26" s="241"/>
      <c r="G26" s="305"/>
      <c r="H26" s="305"/>
      <c r="I26" s="1069" t="s">
        <v>0</v>
      </c>
      <c r="J26" s="1069"/>
      <c r="K26" s="1069"/>
      <c r="L26" s="1069"/>
      <c r="M26" s="1069"/>
      <c r="N26" s="1069"/>
      <c r="O26" s="1069"/>
      <c r="P26" s="1069" t="s">
        <v>374</v>
      </c>
      <c r="Q26" s="1069"/>
      <c r="R26" s="1069"/>
      <c r="S26" s="1069"/>
      <c r="T26" s="1069"/>
      <c r="U26" s="1069" t="s">
        <v>571</v>
      </c>
      <c r="V26" s="1069"/>
      <c r="W26" s="1069"/>
      <c r="X26" s="305"/>
      <c r="Y26" s="305"/>
    </row>
    <row r="27" spans="1:45" ht="20.25" customHeight="1" x14ac:dyDescent="0.2">
      <c r="A27" s="241"/>
      <c r="F27" s="1074" t="s">
        <v>584</v>
      </c>
      <c r="G27" s="1074"/>
      <c r="H27" s="1074"/>
      <c r="I27" s="316"/>
      <c r="J27" s="306"/>
      <c r="K27" s="306"/>
      <c r="L27" s="306"/>
      <c r="M27" s="306"/>
      <c r="N27" s="306"/>
      <c r="O27" s="306"/>
      <c r="P27" s="312"/>
      <c r="Q27" s="306"/>
      <c r="R27" s="307"/>
      <c r="S27" s="304"/>
      <c r="T27" s="313"/>
      <c r="U27" s="310"/>
      <c r="V27" s="1084" t="s">
        <v>495</v>
      </c>
      <c r="W27" s="308"/>
    </row>
    <row r="28" spans="1:45" ht="13.5" thickBot="1" x14ac:dyDescent="0.25">
      <c r="F28" s="1074"/>
      <c r="G28" s="1074"/>
      <c r="H28" s="1074"/>
      <c r="I28" s="303"/>
      <c r="J28" s="235"/>
      <c r="K28" s="235"/>
      <c r="L28" s="235"/>
      <c r="M28" s="235"/>
      <c r="N28" s="235"/>
      <c r="O28" s="235"/>
      <c r="P28" s="314"/>
      <c r="Q28" s="235"/>
      <c r="R28" s="234"/>
      <c r="S28" s="234"/>
      <c r="T28" s="315"/>
      <c r="U28" s="311"/>
      <c r="V28" s="1085"/>
      <c r="W28" s="309"/>
    </row>
    <row r="29" spans="1:45" x14ac:dyDescent="0.2">
      <c r="X29" s="217" t="str">
        <f>'Fiches Qualif'!AO34</f>
        <v>BF</v>
      </c>
      <c r="Y29" s="217" t="str">
        <f>'Fiches Qualif'!AP34</f>
        <v>benjamin</v>
      </c>
      <c r="AB29" s="245" t="str">
        <f>'Fiches Qualif'!AV32</f>
        <v>établissement</v>
      </c>
      <c r="AC29" s="245">
        <f>'Fiches Qualif'!AW32</f>
        <v>0</v>
      </c>
      <c r="AD29" s="245" t="str">
        <f>'Fiches Qualif'!AX32</f>
        <v>ville</v>
      </c>
      <c r="AE29" s="245">
        <f>'Fiches Qualif'!AY32</f>
        <v>0</v>
      </c>
      <c r="AF29" s="245" t="str">
        <f>'Fiches Qualif'!AZ32</f>
        <v>académie</v>
      </c>
      <c r="AG29" s="245">
        <f>'Fiches Qualif'!BA32</f>
        <v>0</v>
      </c>
      <c r="AH29" s="245" t="str">
        <f>'Fiches Qualif'!BB32</f>
        <v>nom</v>
      </c>
      <c r="AI29" s="245">
        <f>'Fiches Qualif'!BC32</f>
        <v>0</v>
      </c>
      <c r="AJ29" s="245" t="str">
        <f>'Fiches Qualif'!BD32</f>
        <v>prénom</v>
      </c>
      <c r="AK29" s="245">
        <f>'Fiches Qualif'!BE32</f>
        <v>0</v>
      </c>
      <c r="AL29" s="245" t="str">
        <f>'Fiches Qualif'!BF32</f>
        <v>date_de_naissance</v>
      </c>
      <c r="AM29" s="245">
        <f>'Fiches Qualif'!BG32</f>
        <v>0</v>
      </c>
      <c r="AN29" s="245" t="str">
        <f>'Fiches Qualif'!BH32</f>
        <v>n_licence</v>
      </c>
      <c r="AO29" s="245">
        <f>'Fiches Qualif'!BI32</f>
        <v>0</v>
      </c>
      <c r="AP29" s="245" t="str">
        <f>'Fiches Qualif'!BJ32</f>
        <v>catégorie</v>
      </c>
      <c r="AQ29" s="245">
        <f>'Fiches Qualif'!BK32</f>
        <v>0</v>
      </c>
      <c r="AR29" s="245" t="str">
        <f>'Fiches Qualif'!BL32</f>
        <v>blason</v>
      </c>
      <c r="AS29" s="245">
        <f>'Fiches Qualif'!BM32</f>
        <v>0</v>
      </c>
    </row>
    <row r="30" spans="1:45" x14ac:dyDescent="0.2">
      <c r="X30" s="217" t="str">
        <f>'Fiches Qualif'!AO35</f>
        <v>BP</v>
      </c>
      <c r="Y30" s="217" t="str">
        <f>'Fiches Qualif'!AP35</f>
        <v>benjamin</v>
      </c>
      <c r="AB30" s="245">
        <f>'Fiches Qualif'!AV33</f>
        <v>1</v>
      </c>
      <c r="AC30" s="245" t="str">
        <f>'Fiches Qualif'!AW33</f>
        <v/>
      </c>
      <c r="AD30" s="245">
        <f>'Fiches Qualif'!AX33</f>
        <v>1</v>
      </c>
      <c r="AE30" s="245" t="str">
        <f>'Fiches Qualif'!AY33</f>
        <v/>
      </c>
      <c r="AF30" s="245">
        <f>'Fiches Qualif'!AZ33</f>
        <v>1</v>
      </c>
      <c r="AG30" s="245" t="str">
        <f>'Fiches Qualif'!BA33</f>
        <v/>
      </c>
      <c r="AH30" s="245">
        <f>'Fiches Qualif'!BB33</f>
        <v>1</v>
      </c>
      <c r="AI30" s="245" t="str">
        <f>'Fiches Qualif'!BC33</f>
        <v/>
      </c>
      <c r="AJ30" s="245">
        <f>'Fiches Qualif'!BD33</f>
        <v>1</v>
      </c>
      <c r="AK30" s="245" t="str">
        <f>'Fiches Qualif'!BE33</f>
        <v/>
      </c>
      <c r="AL30" s="245">
        <f>'Fiches Qualif'!BF33</f>
        <v>1</v>
      </c>
      <c r="AM30" s="245" t="str">
        <f>'Fiches Qualif'!BG33</f>
        <v/>
      </c>
      <c r="AN30" s="245">
        <f>'Fiches Qualif'!BH33</f>
        <v>1</v>
      </c>
      <c r="AO30" s="245" t="str">
        <f>'Fiches Qualif'!BI33</f>
        <v/>
      </c>
      <c r="AP30" s="245">
        <f>'Fiches Qualif'!BJ33</f>
        <v>1</v>
      </c>
      <c r="AQ30" s="245" t="str">
        <f>'Fiches Qualif'!BK33</f>
        <v/>
      </c>
      <c r="AR30" s="245">
        <f>'Fiches Qualif'!BL33</f>
        <v>1</v>
      </c>
      <c r="AS30" s="245" t="str">
        <f>'Fiches Qualif'!BM33</f>
        <v/>
      </c>
    </row>
    <row r="31" spans="1:45" x14ac:dyDescent="0.2">
      <c r="X31" s="217" t="str">
        <f>'Fiches Qualif'!AO36</f>
        <v>CF</v>
      </c>
      <c r="Y31" s="217" t="str">
        <f>'Fiches Qualif'!AP36</f>
        <v>cadet</v>
      </c>
      <c r="AB31" s="245">
        <f>'Fiches Qualif'!AV34</f>
        <v>2</v>
      </c>
      <c r="AC31" s="245" t="str">
        <f>'Fiches Qualif'!AW34</f>
        <v/>
      </c>
      <c r="AD31" s="245">
        <f>'Fiches Qualif'!AX34</f>
        <v>2</v>
      </c>
      <c r="AE31" s="245" t="str">
        <f>'Fiches Qualif'!AY34</f>
        <v/>
      </c>
      <c r="AF31" s="245">
        <f>'Fiches Qualif'!AZ34</f>
        <v>2</v>
      </c>
      <c r="AG31" s="245" t="str">
        <f>'Fiches Qualif'!BA34</f>
        <v/>
      </c>
      <c r="AH31" s="245">
        <f>'Fiches Qualif'!BB34</f>
        <v>2</v>
      </c>
      <c r="AI31" s="245" t="str">
        <f>'Fiches Qualif'!BC34</f>
        <v/>
      </c>
      <c r="AJ31" s="245">
        <f>'Fiches Qualif'!BD34</f>
        <v>2</v>
      </c>
      <c r="AK31" s="245" t="str">
        <f>'Fiches Qualif'!BE34</f>
        <v/>
      </c>
      <c r="AL31" s="245">
        <f>'Fiches Qualif'!BF34</f>
        <v>2</v>
      </c>
      <c r="AM31" s="245" t="str">
        <f>'Fiches Qualif'!BG34</f>
        <v/>
      </c>
      <c r="AN31" s="245">
        <f>'Fiches Qualif'!BH34</f>
        <v>2</v>
      </c>
      <c r="AO31" s="245" t="str">
        <f>'Fiches Qualif'!BI34</f>
        <v/>
      </c>
      <c r="AP31" s="245">
        <f>'Fiches Qualif'!BJ34</f>
        <v>2</v>
      </c>
      <c r="AQ31" s="245" t="str">
        <f>'Fiches Qualif'!BK34</f>
        <v/>
      </c>
      <c r="AR31" s="245">
        <f>'Fiches Qualif'!BL34</f>
        <v>2</v>
      </c>
      <c r="AS31" s="245" t="str">
        <f>'Fiches Qualif'!BM34</f>
        <v/>
      </c>
    </row>
    <row r="32" spans="1:45" x14ac:dyDescent="0.2">
      <c r="X32" s="217" t="str">
        <f>'Fiches Qualif'!AO37</f>
        <v>CG</v>
      </c>
      <c r="Y32" s="217" t="str">
        <f>'Fiches Qualif'!AP37</f>
        <v>cadet</v>
      </c>
      <c r="AB32" s="245">
        <f>'Fiches Qualif'!AV35</f>
        <v>3</v>
      </c>
      <c r="AC32" s="245" t="str">
        <f>'Fiches Qualif'!AW35</f>
        <v/>
      </c>
      <c r="AD32" s="245">
        <f>'Fiches Qualif'!AX35</f>
        <v>3</v>
      </c>
      <c r="AE32" s="245" t="str">
        <f>'Fiches Qualif'!AY35</f>
        <v/>
      </c>
      <c r="AF32" s="245">
        <f>'Fiches Qualif'!AZ35</f>
        <v>3</v>
      </c>
      <c r="AG32" s="245" t="str">
        <f>'Fiches Qualif'!BA35</f>
        <v/>
      </c>
      <c r="AH32" s="245">
        <f>'Fiches Qualif'!BB35</f>
        <v>3</v>
      </c>
      <c r="AI32" s="245" t="str">
        <f>'Fiches Qualif'!BC35</f>
        <v/>
      </c>
      <c r="AJ32" s="245">
        <f>'Fiches Qualif'!BD35</f>
        <v>3</v>
      </c>
      <c r="AK32" s="245" t="str">
        <f>'Fiches Qualif'!BE35</f>
        <v/>
      </c>
      <c r="AL32" s="245">
        <f>'Fiches Qualif'!BF35</f>
        <v>3</v>
      </c>
      <c r="AM32" s="245" t="str">
        <f>'Fiches Qualif'!BG35</f>
        <v/>
      </c>
      <c r="AN32" s="245">
        <f>'Fiches Qualif'!BH35</f>
        <v>3</v>
      </c>
      <c r="AO32" s="245" t="str">
        <f>'Fiches Qualif'!BI35</f>
        <v/>
      </c>
      <c r="AP32" s="245">
        <f>'Fiches Qualif'!BJ35</f>
        <v>3</v>
      </c>
      <c r="AQ32" s="245" t="str">
        <f>'Fiches Qualif'!BK35</f>
        <v/>
      </c>
      <c r="AR32" s="245">
        <f>'Fiches Qualif'!BL35</f>
        <v>3</v>
      </c>
      <c r="AS32" s="245" t="str">
        <f>'Fiches Qualif'!BM35</f>
        <v/>
      </c>
    </row>
    <row r="33" spans="24:45" x14ac:dyDescent="0.2">
      <c r="X33" s="217" t="str">
        <f>'Fiches Qualif'!AO38</f>
        <v>JF</v>
      </c>
      <c r="Y33" s="217" t="str">
        <f>'Fiches Qualif'!AP38</f>
        <v>junior</v>
      </c>
      <c r="AB33" s="245">
        <f>'Fiches Qualif'!AV36</f>
        <v>4</v>
      </c>
      <c r="AC33" s="245" t="str">
        <f>'Fiches Qualif'!AW36</f>
        <v/>
      </c>
      <c r="AD33" s="245">
        <f>'Fiches Qualif'!AX36</f>
        <v>4</v>
      </c>
      <c r="AE33" s="245" t="str">
        <f>'Fiches Qualif'!AY36</f>
        <v/>
      </c>
      <c r="AF33" s="245">
        <f>'Fiches Qualif'!AZ36</f>
        <v>4</v>
      </c>
      <c r="AG33" s="245" t="str">
        <f>'Fiches Qualif'!BA36</f>
        <v/>
      </c>
      <c r="AH33" s="245">
        <f>'Fiches Qualif'!BB36</f>
        <v>4</v>
      </c>
      <c r="AI33" s="245" t="str">
        <f>'Fiches Qualif'!BC36</f>
        <v/>
      </c>
      <c r="AJ33" s="245">
        <f>'Fiches Qualif'!BD36</f>
        <v>4</v>
      </c>
      <c r="AK33" s="245" t="str">
        <f>'Fiches Qualif'!BE36</f>
        <v/>
      </c>
      <c r="AL33" s="245">
        <f>'Fiches Qualif'!BF36</f>
        <v>4</v>
      </c>
      <c r="AM33" s="245" t="str">
        <f>'Fiches Qualif'!BG36</f>
        <v/>
      </c>
      <c r="AN33" s="245">
        <f>'Fiches Qualif'!BH36</f>
        <v>4</v>
      </c>
      <c r="AO33" s="245" t="str">
        <f>'Fiches Qualif'!BI36</f>
        <v/>
      </c>
      <c r="AP33" s="245">
        <f>'Fiches Qualif'!BJ36</f>
        <v>4</v>
      </c>
      <c r="AQ33" s="245" t="str">
        <f>'Fiches Qualif'!BK36</f>
        <v/>
      </c>
      <c r="AR33" s="245">
        <f>'Fiches Qualif'!BL36</f>
        <v>4</v>
      </c>
      <c r="AS33" s="245" t="str">
        <f>'Fiches Qualif'!BM36</f>
        <v/>
      </c>
    </row>
    <row r="34" spans="24:45" x14ac:dyDescent="0.2">
      <c r="X34" s="217" t="str">
        <f>'Fiches Qualif'!AO39</f>
        <v>JG</v>
      </c>
      <c r="Y34" s="217" t="str">
        <f>'Fiches Qualif'!AP39</f>
        <v>junior</v>
      </c>
      <c r="AB34" s="245">
        <f>'Fiches Qualif'!AV37</f>
        <v>5</v>
      </c>
      <c r="AC34" s="245" t="str">
        <f>'Fiches Qualif'!AW37</f>
        <v/>
      </c>
      <c r="AD34" s="245">
        <f>'Fiches Qualif'!AX37</f>
        <v>5</v>
      </c>
      <c r="AE34" s="245" t="str">
        <f>'Fiches Qualif'!AY37</f>
        <v/>
      </c>
      <c r="AF34" s="245">
        <f>'Fiches Qualif'!AZ37</f>
        <v>5</v>
      </c>
      <c r="AG34" s="245" t="str">
        <f>'Fiches Qualif'!BA37</f>
        <v/>
      </c>
      <c r="AH34" s="245">
        <f>'Fiches Qualif'!BB37</f>
        <v>5</v>
      </c>
      <c r="AI34" s="245" t="str">
        <f>'Fiches Qualif'!BC37</f>
        <v/>
      </c>
      <c r="AJ34" s="245">
        <f>'Fiches Qualif'!BD37</f>
        <v>5</v>
      </c>
      <c r="AK34" s="245" t="str">
        <f>'Fiches Qualif'!BE37</f>
        <v/>
      </c>
      <c r="AL34" s="245">
        <f>'Fiches Qualif'!BF37</f>
        <v>5</v>
      </c>
      <c r="AM34" s="245" t="str">
        <f>'Fiches Qualif'!BG37</f>
        <v/>
      </c>
      <c r="AN34" s="245">
        <f>'Fiches Qualif'!BH37</f>
        <v>5</v>
      </c>
      <c r="AO34" s="245" t="str">
        <f>'Fiches Qualif'!BI37</f>
        <v/>
      </c>
      <c r="AP34" s="245">
        <f>'Fiches Qualif'!BJ37</f>
        <v>5</v>
      </c>
      <c r="AQ34" s="245" t="str">
        <f>'Fiches Qualif'!BK37</f>
        <v/>
      </c>
      <c r="AR34" s="245">
        <f>'Fiches Qualif'!BL37</f>
        <v>5</v>
      </c>
      <c r="AS34" s="245" t="str">
        <f>'Fiches Qualif'!BM37</f>
        <v/>
      </c>
    </row>
    <row r="35" spans="24:45" x14ac:dyDescent="0.2">
      <c r="X35" s="217" t="str">
        <f>'Fiches Qualif'!AO40</f>
        <v>MF</v>
      </c>
      <c r="Y35" s="217" t="str">
        <f>'Fiches Qualif'!AP40</f>
        <v>minime</v>
      </c>
      <c r="AB35" s="245">
        <f>'Fiches Qualif'!AV38</f>
        <v>6</v>
      </c>
      <c r="AC35" s="245" t="str">
        <f>'Fiches Qualif'!AW38</f>
        <v/>
      </c>
      <c r="AD35" s="245">
        <f>'Fiches Qualif'!AX38</f>
        <v>6</v>
      </c>
      <c r="AE35" s="245" t="str">
        <f>'Fiches Qualif'!AY38</f>
        <v/>
      </c>
      <c r="AF35" s="245">
        <f>'Fiches Qualif'!AZ38</f>
        <v>6</v>
      </c>
      <c r="AG35" s="245" t="str">
        <f>'Fiches Qualif'!BA38</f>
        <v/>
      </c>
      <c r="AH35" s="245">
        <f>'Fiches Qualif'!BB38</f>
        <v>6</v>
      </c>
      <c r="AI35" s="245" t="str">
        <f>'Fiches Qualif'!BC38</f>
        <v/>
      </c>
      <c r="AJ35" s="245">
        <f>'Fiches Qualif'!BD38</f>
        <v>6</v>
      </c>
      <c r="AK35" s="245" t="str">
        <f>'Fiches Qualif'!BE38</f>
        <v/>
      </c>
      <c r="AL35" s="245">
        <f>'Fiches Qualif'!BF38</f>
        <v>6</v>
      </c>
      <c r="AM35" s="245" t="str">
        <f>'Fiches Qualif'!BG38</f>
        <v/>
      </c>
      <c r="AN35" s="245">
        <f>'Fiches Qualif'!BH38</f>
        <v>6</v>
      </c>
      <c r="AO35" s="245" t="str">
        <f>'Fiches Qualif'!BI38</f>
        <v/>
      </c>
      <c r="AP35" s="245">
        <f>'Fiches Qualif'!BJ38</f>
        <v>6</v>
      </c>
      <c r="AQ35" s="245" t="str">
        <f>'Fiches Qualif'!BK38</f>
        <v/>
      </c>
      <c r="AR35" s="245">
        <f>'Fiches Qualif'!BL38</f>
        <v>6</v>
      </c>
      <c r="AS35" s="245" t="str">
        <f>'Fiches Qualif'!BM38</f>
        <v/>
      </c>
    </row>
    <row r="36" spans="24:45" x14ac:dyDescent="0.2">
      <c r="X36" s="217" t="str">
        <f>'Fiches Qualif'!AO41</f>
        <v>MG</v>
      </c>
      <c r="Y36" s="217" t="str">
        <f>'Fiches Qualif'!AP41</f>
        <v>minime</v>
      </c>
      <c r="AB36" s="245">
        <f>'Fiches Qualif'!AV39</f>
        <v>7</v>
      </c>
      <c r="AC36" s="245" t="str">
        <f>'Fiches Qualif'!AW39</f>
        <v/>
      </c>
      <c r="AD36" s="245">
        <f>'Fiches Qualif'!AX39</f>
        <v>7</v>
      </c>
      <c r="AE36" s="245" t="str">
        <f>'Fiches Qualif'!AY39</f>
        <v/>
      </c>
      <c r="AF36" s="245">
        <f>'Fiches Qualif'!AZ39</f>
        <v>7</v>
      </c>
      <c r="AG36" s="245" t="str">
        <f>'Fiches Qualif'!BA39</f>
        <v/>
      </c>
      <c r="AH36" s="245">
        <f>'Fiches Qualif'!BB39</f>
        <v>7</v>
      </c>
      <c r="AI36" s="245" t="str">
        <f>'Fiches Qualif'!BC39</f>
        <v/>
      </c>
      <c r="AJ36" s="245">
        <f>'Fiches Qualif'!BD39</f>
        <v>7</v>
      </c>
      <c r="AK36" s="245" t="str">
        <f>'Fiches Qualif'!BE39</f>
        <v/>
      </c>
      <c r="AL36" s="245">
        <f>'Fiches Qualif'!BF39</f>
        <v>7</v>
      </c>
      <c r="AM36" s="245" t="str">
        <f>'Fiches Qualif'!BG39</f>
        <v/>
      </c>
      <c r="AN36" s="245">
        <f>'Fiches Qualif'!BH39</f>
        <v>7</v>
      </c>
      <c r="AO36" s="245" t="str">
        <f>'Fiches Qualif'!BI39</f>
        <v/>
      </c>
      <c r="AP36" s="245">
        <f>'Fiches Qualif'!BJ39</f>
        <v>7</v>
      </c>
      <c r="AQ36" s="245" t="str">
        <f>'Fiches Qualif'!BK39</f>
        <v/>
      </c>
      <c r="AR36" s="245">
        <f>'Fiches Qualif'!BL39</f>
        <v>7</v>
      </c>
      <c r="AS36" s="245" t="str">
        <f>'Fiches Qualif'!BM39</f>
        <v/>
      </c>
    </row>
    <row r="37" spans="24:45" x14ac:dyDescent="0.2">
      <c r="X37" s="217" t="str">
        <f>'Fiches Qualif'!AO42</f>
        <v>PB</v>
      </c>
      <c r="Y37" s="217" t="str">
        <f>'Fiches Qualif'!AP42</f>
        <v>poussin</v>
      </c>
      <c r="AB37" s="245">
        <f>'Fiches Qualif'!AV40</f>
        <v>8</v>
      </c>
      <c r="AC37" s="245" t="str">
        <f>'Fiches Qualif'!AW40</f>
        <v/>
      </c>
      <c r="AD37" s="245">
        <f>'Fiches Qualif'!AX40</f>
        <v>8</v>
      </c>
      <c r="AE37" s="245" t="str">
        <f>'Fiches Qualif'!AY40</f>
        <v/>
      </c>
      <c r="AF37" s="245">
        <f>'Fiches Qualif'!AZ40</f>
        <v>8</v>
      </c>
      <c r="AG37" s="245" t="str">
        <f>'Fiches Qualif'!BA40</f>
        <v/>
      </c>
      <c r="AH37" s="245">
        <f>'Fiches Qualif'!BB40</f>
        <v>8</v>
      </c>
      <c r="AI37" s="245" t="str">
        <f>'Fiches Qualif'!BC40</f>
        <v/>
      </c>
      <c r="AJ37" s="245">
        <f>'Fiches Qualif'!BD40</f>
        <v>8</v>
      </c>
      <c r="AK37" s="245" t="str">
        <f>'Fiches Qualif'!BE40</f>
        <v/>
      </c>
      <c r="AL37" s="245">
        <f>'Fiches Qualif'!BF40</f>
        <v>8</v>
      </c>
      <c r="AM37" s="245" t="str">
        <f>'Fiches Qualif'!BG40</f>
        <v/>
      </c>
      <c r="AN37" s="245">
        <f>'Fiches Qualif'!BH40</f>
        <v>8</v>
      </c>
      <c r="AO37" s="245" t="str">
        <f>'Fiches Qualif'!BI40</f>
        <v/>
      </c>
      <c r="AP37" s="245">
        <f>'Fiches Qualif'!BJ40</f>
        <v>8</v>
      </c>
      <c r="AQ37" s="245" t="str">
        <f>'Fiches Qualif'!BK40</f>
        <v/>
      </c>
      <c r="AR37" s="245">
        <f>'Fiches Qualif'!BL40</f>
        <v>8</v>
      </c>
      <c r="AS37" s="245" t="str">
        <f>'Fiches Qualif'!BM40</f>
        <v/>
      </c>
    </row>
    <row r="38" spans="24:45" x14ac:dyDescent="0.2">
      <c r="X38" s="217" t="str">
        <f>'Fiches Qualif'!AO43</f>
        <v>PF</v>
      </c>
      <c r="Y38" s="217" t="str">
        <f>'Fiches Qualif'!AP43</f>
        <v>poussin</v>
      </c>
      <c r="AB38" s="245">
        <f>'Fiches Qualif'!AV41</f>
        <v>9</v>
      </c>
      <c r="AC38" s="245" t="str">
        <f>'Fiches Qualif'!AW41</f>
        <v/>
      </c>
      <c r="AD38" s="245">
        <f>'Fiches Qualif'!AX41</f>
        <v>9</v>
      </c>
      <c r="AE38" s="245" t="str">
        <f>'Fiches Qualif'!AY41</f>
        <v/>
      </c>
      <c r="AF38" s="245">
        <f>'Fiches Qualif'!AZ41</f>
        <v>9</v>
      </c>
      <c r="AG38" s="245" t="str">
        <f>'Fiches Qualif'!BA41</f>
        <v/>
      </c>
      <c r="AH38" s="245">
        <f>'Fiches Qualif'!BB41</f>
        <v>9</v>
      </c>
      <c r="AI38" s="245" t="str">
        <f>'Fiches Qualif'!BC41</f>
        <v/>
      </c>
      <c r="AJ38" s="245">
        <f>'Fiches Qualif'!BD41</f>
        <v>9</v>
      </c>
      <c r="AK38" s="245" t="str">
        <f>'Fiches Qualif'!BE41</f>
        <v/>
      </c>
      <c r="AL38" s="245">
        <f>'Fiches Qualif'!BF41</f>
        <v>9</v>
      </c>
      <c r="AM38" s="245" t="str">
        <f>'Fiches Qualif'!BG41</f>
        <v/>
      </c>
      <c r="AN38" s="245">
        <f>'Fiches Qualif'!BH41</f>
        <v>9</v>
      </c>
      <c r="AO38" s="245" t="str">
        <f>'Fiches Qualif'!BI41</f>
        <v/>
      </c>
      <c r="AP38" s="245">
        <f>'Fiches Qualif'!BJ41</f>
        <v>9</v>
      </c>
      <c r="AQ38" s="245" t="str">
        <f>'Fiches Qualif'!BK41</f>
        <v/>
      </c>
      <c r="AR38" s="245">
        <f>'Fiches Qualif'!BL41</f>
        <v>9</v>
      </c>
      <c r="AS38" s="245" t="str">
        <f>'Fiches Qualif'!BM41</f>
        <v/>
      </c>
    </row>
    <row r="39" spans="24:45" x14ac:dyDescent="0.2">
      <c r="X39" s="217" t="str">
        <f>'Fiches Qualif'!AO44</f>
        <v>SF</v>
      </c>
      <c r="Y39" s="217" t="str">
        <f>'Fiches Qualif'!AP44</f>
        <v>senior</v>
      </c>
      <c r="AB39" s="245">
        <f>'Fiches Qualif'!AV42</f>
        <v>10</v>
      </c>
      <c r="AC39" s="245" t="str">
        <f>'Fiches Qualif'!AW42</f>
        <v/>
      </c>
      <c r="AD39" s="245">
        <f>'Fiches Qualif'!AX42</f>
        <v>10</v>
      </c>
      <c r="AE39" s="245" t="str">
        <f>'Fiches Qualif'!AY42</f>
        <v/>
      </c>
      <c r="AF39" s="245">
        <f>'Fiches Qualif'!AZ42</f>
        <v>10</v>
      </c>
      <c r="AG39" s="245" t="str">
        <f>'Fiches Qualif'!BA42</f>
        <v/>
      </c>
      <c r="AH39" s="245">
        <f>'Fiches Qualif'!BB42</f>
        <v>10</v>
      </c>
      <c r="AI39" s="245" t="str">
        <f>'Fiches Qualif'!BC42</f>
        <v/>
      </c>
      <c r="AJ39" s="245">
        <f>'Fiches Qualif'!BD42</f>
        <v>10</v>
      </c>
      <c r="AK39" s="245" t="str">
        <f>'Fiches Qualif'!BE42</f>
        <v/>
      </c>
      <c r="AL39" s="245">
        <f>'Fiches Qualif'!BF42</f>
        <v>10</v>
      </c>
      <c r="AM39" s="245" t="str">
        <f>'Fiches Qualif'!BG42</f>
        <v/>
      </c>
      <c r="AN39" s="245">
        <f>'Fiches Qualif'!BH42</f>
        <v>10</v>
      </c>
      <c r="AO39" s="245" t="str">
        <f>'Fiches Qualif'!BI42</f>
        <v/>
      </c>
      <c r="AP39" s="245">
        <f>'Fiches Qualif'!BJ42</f>
        <v>10</v>
      </c>
      <c r="AQ39" s="245" t="str">
        <f>'Fiches Qualif'!BK42</f>
        <v/>
      </c>
      <c r="AR39" s="245">
        <f>'Fiches Qualif'!BL42</f>
        <v>10</v>
      </c>
      <c r="AS39" s="245" t="str">
        <f>'Fiches Qualif'!BM42</f>
        <v/>
      </c>
    </row>
    <row r="40" spans="24:45" x14ac:dyDescent="0.2">
      <c r="X40" s="217" t="str">
        <f>'Fiches Qualif'!AO45</f>
        <v>SG</v>
      </c>
      <c r="Y40" s="217" t="str">
        <f>'Fiches Qualif'!AP45</f>
        <v>senior</v>
      </c>
      <c r="AB40" s="245">
        <f>'Fiches Qualif'!AV43</f>
        <v>11</v>
      </c>
      <c r="AC40" s="245" t="str">
        <f>'Fiches Qualif'!AW43</f>
        <v/>
      </c>
      <c r="AD40" s="245">
        <f>'Fiches Qualif'!AX43</f>
        <v>11</v>
      </c>
      <c r="AE40" s="245" t="str">
        <f>'Fiches Qualif'!AY43</f>
        <v/>
      </c>
      <c r="AF40" s="245">
        <f>'Fiches Qualif'!AZ43</f>
        <v>11</v>
      </c>
      <c r="AG40" s="245" t="str">
        <f>'Fiches Qualif'!BA43</f>
        <v/>
      </c>
      <c r="AH40" s="245">
        <f>'Fiches Qualif'!BB43</f>
        <v>11</v>
      </c>
      <c r="AI40" s="245" t="str">
        <f>'Fiches Qualif'!BC43</f>
        <v/>
      </c>
      <c r="AJ40" s="245">
        <f>'Fiches Qualif'!BD43</f>
        <v>11</v>
      </c>
      <c r="AK40" s="245" t="str">
        <f>'Fiches Qualif'!BE43</f>
        <v/>
      </c>
      <c r="AL40" s="245">
        <f>'Fiches Qualif'!BF43</f>
        <v>11</v>
      </c>
      <c r="AM40" s="245" t="str">
        <f>'Fiches Qualif'!BG43</f>
        <v/>
      </c>
      <c r="AN40" s="245">
        <f>'Fiches Qualif'!BH43</f>
        <v>11</v>
      </c>
      <c r="AO40" s="245" t="str">
        <f>'Fiches Qualif'!BI43</f>
        <v/>
      </c>
      <c r="AP40" s="245">
        <f>'Fiches Qualif'!BJ43</f>
        <v>11</v>
      </c>
      <c r="AQ40" s="245" t="str">
        <f>'Fiches Qualif'!BK43</f>
        <v/>
      </c>
      <c r="AR40" s="245">
        <f>'Fiches Qualif'!BL43</f>
        <v>11</v>
      </c>
      <c r="AS40" s="245" t="str">
        <f>'Fiches Qualif'!BM43</f>
        <v/>
      </c>
    </row>
    <row r="41" spans="24:45" x14ac:dyDescent="0.2">
      <c r="AB41" s="245">
        <f>'Fiches Qualif'!AV44</f>
        <v>12</v>
      </c>
      <c r="AC41" s="245" t="str">
        <f>'Fiches Qualif'!AW44</f>
        <v/>
      </c>
      <c r="AD41" s="245">
        <f>'Fiches Qualif'!AX44</f>
        <v>12</v>
      </c>
      <c r="AE41" s="245" t="str">
        <f>'Fiches Qualif'!AY44</f>
        <v/>
      </c>
      <c r="AF41" s="245">
        <f>'Fiches Qualif'!AZ44</f>
        <v>12</v>
      </c>
      <c r="AG41" s="245" t="str">
        <f>'Fiches Qualif'!BA44</f>
        <v/>
      </c>
      <c r="AH41" s="245">
        <f>'Fiches Qualif'!BB44</f>
        <v>12</v>
      </c>
      <c r="AI41" s="245" t="str">
        <f>'Fiches Qualif'!BC44</f>
        <v/>
      </c>
      <c r="AJ41" s="245">
        <f>'Fiches Qualif'!BD44</f>
        <v>12</v>
      </c>
      <c r="AK41" s="245" t="str">
        <f>'Fiches Qualif'!BE44</f>
        <v/>
      </c>
      <c r="AL41" s="245">
        <f>'Fiches Qualif'!BF44</f>
        <v>12</v>
      </c>
      <c r="AM41" s="245" t="str">
        <f>'Fiches Qualif'!BG44</f>
        <v/>
      </c>
      <c r="AN41" s="245">
        <f>'Fiches Qualif'!BH44</f>
        <v>12</v>
      </c>
      <c r="AO41" s="245" t="str">
        <f>'Fiches Qualif'!BI44</f>
        <v/>
      </c>
      <c r="AP41" s="245">
        <f>'Fiches Qualif'!BJ44</f>
        <v>12</v>
      </c>
      <c r="AQ41" s="245" t="str">
        <f>'Fiches Qualif'!BK44</f>
        <v/>
      </c>
      <c r="AR41" s="245">
        <f>'Fiches Qualif'!BL44</f>
        <v>12</v>
      </c>
      <c r="AS41" s="245" t="str">
        <f>'Fiches Qualif'!BM44</f>
        <v/>
      </c>
    </row>
    <row r="42" spans="24:45" x14ac:dyDescent="0.2">
      <c r="AB42" s="245">
        <f>'Fiches Qualif'!AV45</f>
        <v>13</v>
      </c>
      <c r="AC42" s="245" t="str">
        <f>'Fiches Qualif'!AW45</f>
        <v/>
      </c>
      <c r="AD42" s="245">
        <f>'Fiches Qualif'!AX45</f>
        <v>13</v>
      </c>
      <c r="AE42" s="245" t="str">
        <f>'Fiches Qualif'!AY45</f>
        <v/>
      </c>
      <c r="AF42" s="245">
        <f>'Fiches Qualif'!AZ45</f>
        <v>13</v>
      </c>
      <c r="AG42" s="245" t="str">
        <f>'Fiches Qualif'!BA45</f>
        <v/>
      </c>
      <c r="AH42" s="245">
        <f>'Fiches Qualif'!BB45</f>
        <v>13</v>
      </c>
      <c r="AI42" s="245" t="str">
        <f>'Fiches Qualif'!BC45</f>
        <v/>
      </c>
      <c r="AJ42" s="245">
        <f>'Fiches Qualif'!BD45</f>
        <v>13</v>
      </c>
      <c r="AK42" s="245" t="str">
        <f>'Fiches Qualif'!BE45</f>
        <v/>
      </c>
      <c r="AL42" s="245">
        <f>'Fiches Qualif'!BF45</f>
        <v>13</v>
      </c>
      <c r="AM42" s="245" t="str">
        <f>'Fiches Qualif'!BG45</f>
        <v/>
      </c>
      <c r="AN42" s="245">
        <f>'Fiches Qualif'!BH45</f>
        <v>13</v>
      </c>
      <c r="AO42" s="245" t="str">
        <f>'Fiches Qualif'!BI45</f>
        <v/>
      </c>
      <c r="AP42" s="245">
        <f>'Fiches Qualif'!BJ45</f>
        <v>13</v>
      </c>
      <c r="AQ42" s="245" t="str">
        <f>'Fiches Qualif'!BK45</f>
        <v/>
      </c>
      <c r="AR42" s="245">
        <f>'Fiches Qualif'!BL45</f>
        <v>13</v>
      </c>
      <c r="AS42" s="245" t="str">
        <f>'Fiches Qualif'!BM45</f>
        <v/>
      </c>
    </row>
    <row r="43" spans="24:45" x14ac:dyDescent="0.2">
      <c r="AB43" s="245">
        <f>'Fiches Qualif'!AV46</f>
        <v>14</v>
      </c>
      <c r="AC43" s="245" t="str">
        <f>'Fiches Qualif'!AW46</f>
        <v/>
      </c>
      <c r="AD43" s="245">
        <f>'Fiches Qualif'!AX46</f>
        <v>14</v>
      </c>
      <c r="AE43" s="245" t="str">
        <f>'Fiches Qualif'!AY46</f>
        <v/>
      </c>
      <c r="AF43" s="245">
        <f>'Fiches Qualif'!AZ46</f>
        <v>14</v>
      </c>
      <c r="AG43" s="245" t="str">
        <f>'Fiches Qualif'!BA46</f>
        <v/>
      </c>
      <c r="AH43" s="245">
        <f>'Fiches Qualif'!BB46</f>
        <v>14</v>
      </c>
      <c r="AI43" s="245" t="str">
        <f>'Fiches Qualif'!BC46</f>
        <v/>
      </c>
      <c r="AJ43" s="245">
        <f>'Fiches Qualif'!BD46</f>
        <v>14</v>
      </c>
      <c r="AK43" s="245" t="str">
        <f>'Fiches Qualif'!BE46</f>
        <v/>
      </c>
      <c r="AL43" s="245">
        <f>'Fiches Qualif'!BF46</f>
        <v>14</v>
      </c>
      <c r="AM43" s="245" t="str">
        <f>'Fiches Qualif'!BG46</f>
        <v/>
      </c>
      <c r="AN43" s="245">
        <f>'Fiches Qualif'!BH46</f>
        <v>14</v>
      </c>
      <c r="AO43" s="245" t="str">
        <f>'Fiches Qualif'!BI46</f>
        <v/>
      </c>
      <c r="AP43" s="245">
        <f>'Fiches Qualif'!BJ46</f>
        <v>14</v>
      </c>
      <c r="AQ43" s="245" t="str">
        <f>'Fiches Qualif'!BK46</f>
        <v/>
      </c>
      <c r="AR43" s="245">
        <f>'Fiches Qualif'!BL46</f>
        <v>14</v>
      </c>
      <c r="AS43" s="245" t="str">
        <f>'Fiches Qualif'!BM46</f>
        <v/>
      </c>
    </row>
    <row r="44" spans="24:45" x14ac:dyDescent="0.2">
      <c r="X44" s="217">
        <v>1</v>
      </c>
      <c r="AB44" s="245">
        <f>'Fiches Qualif'!AV47</f>
        <v>15</v>
      </c>
      <c r="AC44" s="245" t="str">
        <f>'Fiches Qualif'!AW47</f>
        <v/>
      </c>
      <c r="AD44" s="245">
        <f>'Fiches Qualif'!AX47</f>
        <v>15</v>
      </c>
      <c r="AE44" s="245" t="str">
        <f>'Fiches Qualif'!AY47</f>
        <v/>
      </c>
      <c r="AF44" s="245">
        <f>'Fiches Qualif'!AZ47</f>
        <v>15</v>
      </c>
      <c r="AG44" s="245" t="str">
        <f>'Fiches Qualif'!BA47</f>
        <v/>
      </c>
      <c r="AH44" s="245">
        <f>'Fiches Qualif'!BB47</f>
        <v>15</v>
      </c>
      <c r="AI44" s="245" t="str">
        <f>'Fiches Qualif'!BC47</f>
        <v/>
      </c>
      <c r="AJ44" s="245">
        <f>'Fiches Qualif'!BD47</f>
        <v>15</v>
      </c>
      <c r="AK44" s="245" t="str">
        <f>'Fiches Qualif'!BE47</f>
        <v/>
      </c>
      <c r="AL44" s="245">
        <f>'Fiches Qualif'!BF47</f>
        <v>15</v>
      </c>
      <c r="AM44" s="245" t="str">
        <f>'Fiches Qualif'!BG47</f>
        <v/>
      </c>
      <c r="AN44" s="245">
        <f>'Fiches Qualif'!BH47</f>
        <v>15</v>
      </c>
      <c r="AO44" s="245" t="str">
        <f>'Fiches Qualif'!BI47</f>
        <v/>
      </c>
      <c r="AP44" s="245">
        <f>'Fiches Qualif'!BJ47</f>
        <v>15</v>
      </c>
      <c r="AQ44" s="245" t="str">
        <f>'Fiches Qualif'!BK47</f>
        <v/>
      </c>
      <c r="AR44" s="245">
        <f>'Fiches Qualif'!BL47</f>
        <v>15</v>
      </c>
      <c r="AS44" s="245" t="str">
        <f>'Fiches Qualif'!BM47</f>
        <v/>
      </c>
    </row>
    <row r="45" spans="24:45" x14ac:dyDescent="0.2">
      <c r="X45" s="217">
        <v>2</v>
      </c>
      <c r="AB45" s="245">
        <f>'Fiches Qualif'!AV48</f>
        <v>16</v>
      </c>
      <c r="AC45" s="245" t="str">
        <f>'Fiches Qualif'!AW48</f>
        <v/>
      </c>
      <c r="AD45" s="245">
        <f>'Fiches Qualif'!AX48</f>
        <v>16</v>
      </c>
      <c r="AE45" s="245" t="str">
        <f>'Fiches Qualif'!AY48</f>
        <v/>
      </c>
      <c r="AF45" s="245">
        <f>'Fiches Qualif'!AZ48</f>
        <v>16</v>
      </c>
      <c r="AG45" s="245" t="str">
        <f>'Fiches Qualif'!BA48</f>
        <v/>
      </c>
      <c r="AH45" s="245">
        <f>'Fiches Qualif'!BB48</f>
        <v>16</v>
      </c>
      <c r="AI45" s="245" t="str">
        <f>'Fiches Qualif'!BC48</f>
        <v/>
      </c>
      <c r="AJ45" s="245">
        <f>'Fiches Qualif'!BD48</f>
        <v>16</v>
      </c>
      <c r="AK45" s="245" t="str">
        <f>'Fiches Qualif'!BE48</f>
        <v/>
      </c>
      <c r="AL45" s="245">
        <f>'Fiches Qualif'!BF48</f>
        <v>16</v>
      </c>
      <c r="AM45" s="245" t="str">
        <f>'Fiches Qualif'!BG48</f>
        <v/>
      </c>
      <c r="AN45" s="245">
        <f>'Fiches Qualif'!BH48</f>
        <v>16</v>
      </c>
      <c r="AO45" s="245" t="str">
        <f>'Fiches Qualif'!BI48</f>
        <v/>
      </c>
      <c r="AP45" s="245">
        <f>'Fiches Qualif'!BJ48</f>
        <v>16</v>
      </c>
      <c r="AQ45" s="245" t="str">
        <f>'Fiches Qualif'!BK48</f>
        <v/>
      </c>
      <c r="AR45" s="245">
        <f>'Fiches Qualif'!BL48</f>
        <v>16</v>
      </c>
      <c r="AS45" s="245" t="str">
        <f>'Fiches Qualif'!BM48</f>
        <v/>
      </c>
    </row>
    <row r="46" spans="24:45" x14ac:dyDescent="0.2">
      <c r="X46" s="217">
        <v>3</v>
      </c>
      <c r="AB46" s="245">
        <f>'Fiches Qualif'!AV49</f>
        <v>17</v>
      </c>
      <c r="AC46" s="245" t="str">
        <f>'Fiches Qualif'!AW49</f>
        <v/>
      </c>
      <c r="AD46" s="245">
        <f>'Fiches Qualif'!AX49</f>
        <v>17</v>
      </c>
      <c r="AE46" s="245" t="str">
        <f>'Fiches Qualif'!AY49</f>
        <v/>
      </c>
      <c r="AF46" s="245">
        <f>'Fiches Qualif'!AZ49</f>
        <v>17</v>
      </c>
      <c r="AG46" s="245" t="str">
        <f>'Fiches Qualif'!BA49</f>
        <v/>
      </c>
      <c r="AH46" s="245">
        <f>'Fiches Qualif'!BB49</f>
        <v>17</v>
      </c>
      <c r="AI46" s="245" t="str">
        <f>'Fiches Qualif'!BC49</f>
        <v/>
      </c>
      <c r="AJ46" s="245">
        <f>'Fiches Qualif'!BD49</f>
        <v>17</v>
      </c>
      <c r="AK46" s="245" t="str">
        <f>'Fiches Qualif'!BE49</f>
        <v/>
      </c>
      <c r="AL46" s="245">
        <f>'Fiches Qualif'!BF49</f>
        <v>17</v>
      </c>
      <c r="AM46" s="245" t="str">
        <f>'Fiches Qualif'!BG49</f>
        <v/>
      </c>
      <c r="AN46" s="245">
        <f>'Fiches Qualif'!BH49</f>
        <v>17</v>
      </c>
      <c r="AO46" s="245" t="str">
        <f>'Fiches Qualif'!BI49</f>
        <v/>
      </c>
      <c r="AP46" s="245">
        <f>'Fiches Qualif'!BJ49</f>
        <v>17</v>
      </c>
      <c r="AQ46" s="245" t="str">
        <f>'Fiches Qualif'!BK49</f>
        <v/>
      </c>
      <c r="AR46" s="245">
        <f>'Fiches Qualif'!BL49</f>
        <v>17</v>
      </c>
      <c r="AS46" s="245" t="str">
        <f>'Fiches Qualif'!BM49</f>
        <v/>
      </c>
    </row>
    <row r="47" spans="24:45" x14ac:dyDescent="0.2">
      <c r="X47" s="217">
        <v>4</v>
      </c>
      <c r="AB47" s="245">
        <f>'Fiches Qualif'!AV50</f>
        <v>18</v>
      </c>
      <c r="AC47" s="245" t="str">
        <f>'Fiches Qualif'!AW50</f>
        <v/>
      </c>
      <c r="AD47" s="245">
        <f>'Fiches Qualif'!AX50</f>
        <v>18</v>
      </c>
      <c r="AE47" s="245" t="str">
        <f>'Fiches Qualif'!AY50</f>
        <v/>
      </c>
      <c r="AF47" s="245">
        <f>'Fiches Qualif'!AZ50</f>
        <v>18</v>
      </c>
      <c r="AG47" s="245" t="str">
        <f>'Fiches Qualif'!BA50</f>
        <v/>
      </c>
      <c r="AH47" s="245">
        <f>'Fiches Qualif'!BB50</f>
        <v>18</v>
      </c>
      <c r="AI47" s="245" t="str">
        <f>'Fiches Qualif'!BC50</f>
        <v/>
      </c>
      <c r="AJ47" s="245">
        <f>'Fiches Qualif'!BD50</f>
        <v>18</v>
      </c>
      <c r="AK47" s="245" t="str">
        <f>'Fiches Qualif'!BE50</f>
        <v/>
      </c>
      <c r="AL47" s="245">
        <f>'Fiches Qualif'!BF50</f>
        <v>18</v>
      </c>
      <c r="AM47" s="245" t="str">
        <f>'Fiches Qualif'!BG50</f>
        <v/>
      </c>
      <c r="AN47" s="245">
        <f>'Fiches Qualif'!BH50</f>
        <v>18</v>
      </c>
      <c r="AO47" s="245" t="str">
        <f>'Fiches Qualif'!BI50</f>
        <v/>
      </c>
      <c r="AP47" s="245">
        <f>'Fiches Qualif'!BJ50</f>
        <v>18</v>
      </c>
      <c r="AQ47" s="245" t="str">
        <f>'Fiches Qualif'!BK50</f>
        <v/>
      </c>
      <c r="AR47" s="245">
        <f>'Fiches Qualif'!BL50</f>
        <v>18</v>
      </c>
      <c r="AS47" s="245" t="str">
        <f>'Fiches Qualif'!BM50</f>
        <v/>
      </c>
    </row>
    <row r="48" spans="24:45" x14ac:dyDescent="0.2">
      <c r="X48" s="217">
        <v>5</v>
      </c>
      <c r="AB48" s="245">
        <f>'Fiches Qualif'!AV51</f>
        <v>19</v>
      </c>
      <c r="AC48" s="245" t="str">
        <f>'Fiches Qualif'!AW51</f>
        <v/>
      </c>
      <c r="AD48" s="245">
        <f>'Fiches Qualif'!AX51</f>
        <v>19</v>
      </c>
      <c r="AE48" s="245" t="str">
        <f>'Fiches Qualif'!AY51</f>
        <v/>
      </c>
      <c r="AF48" s="245">
        <f>'Fiches Qualif'!AZ51</f>
        <v>19</v>
      </c>
      <c r="AG48" s="245" t="str">
        <f>'Fiches Qualif'!BA51</f>
        <v/>
      </c>
      <c r="AH48" s="245">
        <f>'Fiches Qualif'!BB51</f>
        <v>19</v>
      </c>
      <c r="AI48" s="245" t="str">
        <f>'Fiches Qualif'!BC51</f>
        <v/>
      </c>
      <c r="AJ48" s="245">
        <f>'Fiches Qualif'!BD51</f>
        <v>19</v>
      </c>
      <c r="AK48" s="245" t="str">
        <f>'Fiches Qualif'!BE51</f>
        <v/>
      </c>
      <c r="AL48" s="245">
        <f>'Fiches Qualif'!BF51</f>
        <v>19</v>
      </c>
      <c r="AM48" s="245" t="str">
        <f>'Fiches Qualif'!BG51</f>
        <v/>
      </c>
      <c r="AN48" s="245">
        <f>'Fiches Qualif'!BH51</f>
        <v>19</v>
      </c>
      <c r="AO48" s="245" t="str">
        <f>'Fiches Qualif'!BI51</f>
        <v/>
      </c>
      <c r="AP48" s="245">
        <f>'Fiches Qualif'!BJ51</f>
        <v>19</v>
      </c>
      <c r="AQ48" s="245" t="str">
        <f>'Fiches Qualif'!BK51</f>
        <v/>
      </c>
      <c r="AR48" s="245">
        <f>'Fiches Qualif'!BL51</f>
        <v>19</v>
      </c>
      <c r="AS48" s="245" t="str">
        <f>'Fiches Qualif'!BM51</f>
        <v/>
      </c>
    </row>
    <row r="49" spans="24:45" x14ac:dyDescent="0.2">
      <c r="X49" s="217">
        <v>6</v>
      </c>
      <c r="AB49" s="245">
        <f>'Fiches Qualif'!AV52</f>
        <v>20</v>
      </c>
      <c r="AC49" s="245" t="str">
        <f>'Fiches Qualif'!AW52</f>
        <v/>
      </c>
      <c r="AD49" s="245">
        <f>'Fiches Qualif'!AX52</f>
        <v>20</v>
      </c>
      <c r="AE49" s="245" t="str">
        <f>'Fiches Qualif'!AY52</f>
        <v/>
      </c>
      <c r="AF49" s="245">
        <f>'Fiches Qualif'!AZ52</f>
        <v>20</v>
      </c>
      <c r="AG49" s="245" t="str">
        <f>'Fiches Qualif'!BA52</f>
        <v/>
      </c>
      <c r="AH49" s="245">
        <f>'Fiches Qualif'!BB52</f>
        <v>20</v>
      </c>
      <c r="AI49" s="245" t="str">
        <f>'Fiches Qualif'!BC52</f>
        <v/>
      </c>
      <c r="AJ49" s="245">
        <f>'Fiches Qualif'!BD52</f>
        <v>20</v>
      </c>
      <c r="AK49" s="245" t="str">
        <f>'Fiches Qualif'!BE52</f>
        <v/>
      </c>
      <c r="AL49" s="245">
        <f>'Fiches Qualif'!BF52</f>
        <v>20</v>
      </c>
      <c r="AM49" s="245" t="str">
        <f>'Fiches Qualif'!BG52</f>
        <v/>
      </c>
      <c r="AN49" s="245">
        <f>'Fiches Qualif'!BH52</f>
        <v>20</v>
      </c>
      <c r="AO49" s="245" t="str">
        <f>'Fiches Qualif'!BI52</f>
        <v/>
      </c>
      <c r="AP49" s="245">
        <f>'Fiches Qualif'!BJ52</f>
        <v>20</v>
      </c>
      <c r="AQ49" s="245" t="str">
        <f>'Fiches Qualif'!BK52</f>
        <v/>
      </c>
      <c r="AR49" s="245">
        <f>'Fiches Qualif'!BL52</f>
        <v>20</v>
      </c>
      <c r="AS49" s="245" t="str">
        <f>'Fiches Qualif'!BM52</f>
        <v/>
      </c>
    </row>
    <row r="50" spans="24:45" x14ac:dyDescent="0.2">
      <c r="X50" s="217">
        <v>7</v>
      </c>
      <c r="AB50" s="245">
        <f>'Fiches Qualif'!AV53</f>
        <v>21</v>
      </c>
      <c r="AC50" s="245" t="str">
        <f>'Fiches Qualif'!AW53</f>
        <v/>
      </c>
      <c r="AD50" s="245">
        <f>'Fiches Qualif'!AX53</f>
        <v>21</v>
      </c>
      <c r="AE50" s="245" t="str">
        <f>'Fiches Qualif'!AY53</f>
        <v/>
      </c>
      <c r="AF50" s="245">
        <f>'Fiches Qualif'!AZ53</f>
        <v>21</v>
      </c>
      <c r="AG50" s="245" t="str">
        <f>'Fiches Qualif'!BA53</f>
        <v/>
      </c>
      <c r="AH50" s="245">
        <f>'Fiches Qualif'!BB53</f>
        <v>21</v>
      </c>
      <c r="AI50" s="245" t="str">
        <f>'Fiches Qualif'!BC53</f>
        <v/>
      </c>
      <c r="AJ50" s="245">
        <f>'Fiches Qualif'!BD53</f>
        <v>21</v>
      </c>
      <c r="AK50" s="245" t="str">
        <f>'Fiches Qualif'!BE53</f>
        <v/>
      </c>
      <c r="AL50" s="245">
        <f>'Fiches Qualif'!BF53</f>
        <v>21</v>
      </c>
      <c r="AM50" s="245" t="str">
        <f>'Fiches Qualif'!BG53</f>
        <v/>
      </c>
      <c r="AN50" s="245">
        <f>'Fiches Qualif'!BH53</f>
        <v>21</v>
      </c>
      <c r="AO50" s="245" t="str">
        <f>'Fiches Qualif'!BI53</f>
        <v/>
      </c>
      <c r="AP50" s="245">
        <f>'Fiches Qualif'!BJ53</f>
        <v>21</v>
      </c>
      <c r="AQ50" s="245" t="str">
        <f>'Fiches Qualif'!BK53</f>
        <v/>
      </c>
      <c r="AR50" s="245">
        <f>'Fiches Qualif'!BL53</f>
        <v>21</v>
      </c>
      <c r="AS50" s="245" t="str">
        <f>'Fiches Qualif'!BM53</f>
        <v/>
      </c>
    </row>
    <row r="51" spans="24:45" x14ac:dyDescent="0.2">
      <c r="X51" s="217">
        <v>8</v>
      </c>
      <c r="AB51" s="245">
        <f>'Fiches Qualif'!AV54</f>
        <v>22</v>
      </c>
      <c r="AC51" s="245" t="str">
        <f>'Fiches Qualif'!AW54</f>
        <v/>
      </c>
      <c r="AD51" s="245">
        <f>'Fiches Qualif'!AX54</f>
        <v>22</v>
      </c>
      <c r="AE51" s="245" t="str">
        <f>'Fiches Qualif'!AY54</f>
        <v/>
      </c>
      <c r="AF51" s="245">
        <f>'Fiches Qualif'!AZ54</f>
        <v>22</v>
      </c>
      <c r="AG51" s="245" t="str">
        <f>'Fiches Qualif'!BA54</f>
        <v/>
      </c>
      <c r="AH51" s="245">
        <f>'Fiches Qualif'!BB54</f>
        <v>22</v>
      </c>
      <c r="AI51" s="245" t="str">
        <f>'Fiches Qualif'!BC54</f>
        <v/>
      </c>
      <c r="AJ51" s="245">
        <f>'Fiches Qualif'!BD54</f>
        <v>22</v>
      </c>
      <c r="AK51" s="245" t="str">
        <f>'Fiches Qualif'!BE54</f>
        <v/>
      </c>
      <c r="AL51" s="245">
        <f>'Fiches Qualif'!BF54</f>
        <v>22</v>
      </c>
      <c r="AM51" s="245" t="str">
        <f>'Fiches Qualif'!BG54</f>
        <v/>
      </c>
      <c r="AN51" s="245">
        <f>'Fiches Qualif'!BH54</f>
        <v>22</v>
      </c>
      <c r="AO51" s="245" t="str">
        <f>'Fiches Qualif'!BI54</f>
        <v/>
      </c>
      <c r="AP51" s="245">
        <f>'Fiches Qualif'!BJ54</f>
        <v>22</v>
      </c>
      <c r="AQ51" s="245" t="str">
        <f>'Fiches Qualif'!BK54</f>
        <v/>
      </c>
      <c r="AR51" s="245">
        <f>'Fiches Qualif'!BL54</f>
        <v>22</v>
      </c>
      <c r="AS51" s="245" t="str">
        <f>'Fiches Qualif'!BM54</f>
        <v/>
      </c>
    </row>
    <row r="52" spans="24:45" x14ac:dyDescent="0.2">
      <c r="X52" s="217">
        <v>9</v>
      </c>
      <c r="AB52" s="245">
        <f>'Fiches Qualif'!AV55</f>
        <v>23</v>
      </c>
      <c r="AC52" s="245" t="str">
        <f>'Fiches Qualif'!AW55</f>
        <v/>
      </c>
      <c r="AD52" s="245">
        <f>'Fiches Qualif'!AX55</f>
        <v>23</v>
      </c>
      <c r="AE52" s="245" t="str">
        <f>'Fiches Qualif'!AY55</f>
        <v/>
      </c>
      <c r="AF52" s="245">
        <f>'Fiches Qualif'!AZ55</f>
        <v>23</v>
      </c>
      <c r="AG52" s="245" t="str">
        <f>'Fiches Qualif'!BA55</f>
        <v/>
      </c>
      <c r="AH52" s="245">
        <f>'Fiches Qualif'!BB55</f>
        <v>23</v>
      </c>
      <c r="AI52" s="245" t="str">
        <f>'Fiches Qualif'!BC55</f>
        <v/>
      </c>
      <c r="AJ52" s="245">
        <f>'Fiches Qualif'!BD55</f>
        <v>23</v>
      </c>
      <c r="AK52" s="245" t="str">
        <f>'Fiches Qualif'!BE55</f>
        <v/>
      </c>
      <c r="AL52" s="245">
        <f>'Fiches Qualif'!BF55</f>
        <v>23</v>
      </c>
      <c r="AM52" s="245" t="str">
        <f>'Fiches Qualif'!BG55</f>
        <v/>
      </c>
      <c r="AN52" s="245">
        <f>'Fiches Qualif'!BH55</f>
        <v>23</v>
      </c>
      <c r="AO52" s="245" t="str">
        <f>'Fiches Qualif'!BI55</f>
        <v/>
      </c>
      <c r="AP52" s="245">
        <f>'Fiches Qualif'!BJ55</f>
        <v>23</v>
      </c>
      <c r="AQ52" s="245" t="str">
        <f>'Fiches Qualif'!BK55</f>
        <v/>
      </c>
      <c r="AR52" s="245">
        <f>'Fiches Qualif'!BL55</f>
        <v>23</v>
      </c>
      <c r="AS52" s="245" t="str">
        <f>'Fiches Qualif'!BM55</f>
        <v/>
      </c>
    </row>
    <row r="53" spans="24:45" x14ac:dyDescent="0.2">
      <c r="X53" s="217">
        <v>10</v>
      </c>
      <c r="AB53" s="245">
        <f>'Fiches Qualif'!AV56</f>
        <v>24</v>
      </c>
      <c r="AC53" s="245" t="str">
        <f>'Fiches Qualif'!AW56</f>
        <v/>
      </c>
      <c r="AD53" s="245">
        <f>'Fiches Qualif'!AX56</f>
        <v>24</v>
      </c>
      <c r="AE53" s="245" t="str">
        <f>'Fiches Qualif'!AY56</f>
        <v/>
      </c>
      <c r="AF53" s="245">
        <f>'Fiches Qualif'!AZ56</f>
        <v>24</v>
      </c>
      <c r="AG53" s="245" t="str">
        <f>'Fiches Qualif'!BA56</f>
        <v/>
      </c>
      <c r="AH53" s="245">
        <f>'Fiches Qualif'!BB56</f>
        <v>24</v>
      </c>
      <c r="AI53" s="245" t="str">
        <f>'Fiches Qualif'!BC56</f>
        <v/>
      </c>
      <c r="AJ53" s="245">
        <f>'Fiches Qualif'!BD56</f>
        <v>24</v>
      </c>
      <c r="AK53" s="245" t="str">
        <f>'Fiches Qualif'!BE56</f>
        <v/>
      </c>
      <c r="AL53" s="245">
        <f>'Fiches Qualif'!BF56</f>
        <v>24</v>
      </c>
      <c r="AM53" s="245" t="str">
        <f>'Fiches Qualif'!BG56</f>
        <v/>
      </c>
      <c r="AN53" s="245">
        <f>'Fiches Qualif'!BH56</f>
        <v>24</v>
      </c>
      <c r="AO53" s="245" t="str">
        <f>'Fiches Qualif'!BI56</f>
        <v/>
      </c>
      <c r="AP53" s="245">
        <f>'Fiches Qualif'!BJ56</f>
        <v>24</v>
      </c>
      <c r="AQ53" s="245" t="str">
        <f>'Fiches Qualif'!BK56</f>
        <v/>
      </c>
      <c r="AR53" s="245">
        <f>'Fiches Qualif'!BL56</f>
        <v>24</v>
      </c>
      <c r="AS53" s="245" t="str">
        <f>'Fiches Qualif'!BM56</f>
        <v/>
      </c>
    </row>
    <row r="54" spans="24:45" x14ac:dyDescent="0.2">
      <c r="X54" s="217">
        <v>11</v>
      </c>
      <c r="AB54" s="245">
        <f>'Fiches Qualif'!AV57</f>
        <v>25</v>
      </c>
      <c r="AC54" s="245" t="str">
        <f>'Fiches Qualif'!AW57</f>
        <v/>
      </c>
      <c r="AD54" s="245">
        <f>'Fiches Qualif'!AX57</f>
        <v>25</v>
      </c>
      <c r="AE54" s="245" t="str">
        <f>'Fiches Qualif'!AY57</f>
        <v/>
      </c>
      <c r="AF54" s="245">
        <f>'Fiches Qualif'!AZ57</f>
        <v>25</v>
      </c>
      <c r="AG54" s="245" t="str">
        <f>'Fiches Qualif'!BA57</f>
        <v/>
      </c>
      <c r="AH54" s="245">
        <f>'Fiches Qualif'!BB57</f>
        <v>25</v>
      </c>
      <c r="AI54" s="245" t="str">
        <f>'Fiches Qualif'!BC57</f>
        <v/>
      </c>
      <c r="AJ54" s="245">
        <f>'Fiches Qualif'!BD57</f>
        <v>25</v>
      </c>
      <c r="AK54" s="245" t="str">
        <f>'Fiches Qualif'!BE57</f>
        <v/>
      </c>
      <c r="AL54" s="245">
        <f>'Fiches Qualif'!BF57</f>
        <v>25</v>
      </c>
      <c r="AM54" s="245" t="str">
        <f>'Fiches Qualif'!BG57</f>
        <v/>
      </c>
      <c r="AN54" s="245">
        <f>'Fiches Qualif'!BH57</f>
        <v>25</v>
      </c>
      <c r="AO54" s="245" t="str">
        <f>'Fiches Qualif'!BI57</f>
        <v/>
      </c>
      <c r="AP54" s="245">
        <f>'Fiches Qualif'!BJ57</f>
        <v>25</v>
      </c>
      <c r="AQ54" s="245" t="str">
        <f>'Fiches Qualif'!BK57</f>
        <v/>
      </c>
      <c r="AR54" s="245">
        <f>'Fiches Qualif'!BL57</f>
        <v>25</v>
      </c>
      <c r="AS54" s="245" t="str">
        <f>'Fiches Qualif'!BM57</f>
        <v/>
      </c>
    </row>
    <row r="55" spans="24:45" x14ac:dyDescent="0.2">
      <c r="AB55" s="245">
        <f>'Fiches Qualif'!AV58</f>
        <v>26</v>
      </c>
      <c r="AC55" s="245" t="str">
        <f>'Fiches Qualif'!AW58</f>
        <v/>
      </c>
      <c r="AD55" s="245">
        <f>'Fiches Qualif'!AX58</f>
        <v>26</v>
      </c>
      <c r="AE55" s="245" t="str">
        <f>'Fiches Qualif'!AY58</f>
        <v/>
      </c>
      <c r="AF55" s="245">
        <f>'Fiches Qualif'!AZ58</f>
        <v>26</v>
      </c>
      <c r="AG55" s="245" t="str">
        <f>'Fiches Qualif'!BA58</f>
        <v/>
      </c>
      <c r="AH55" s="245">
        <f>'Fiches Qualif'!BB58</f>
        <v>26</v>
      </c>
      <c r="AI55" s="245" t="str">
        <f>'Fiches Qualif'!BC58</f>
        <v/>
      </c>
      <c r="AJ55" s="245">
        <f>'Fiches Qualif'!BD58</f>
        <v>26</v>
      </c>
      <c r="AK55" s="245" t="str">
        <f>'Fiches Qualif'!BE58</f>
        <v/>
      </c>
      <c r="AL55" s="245">
        <f>'Fiches Qualif'!BF58</f>
        <v>26</v>
      </c>
      <c r="AM55" s="245" t="str">
        <f>'Fiches Qualif'!BG58</f>
        <v/>
      </c>
      <c r="AN55" s="245">
        <f>'Fiches Qualif'!BH58</f>
        <v>26</v>
      </c>
      <c r="AO55" s="245" t="str">
        <f>'Fiches Qualif'!BI58</f>
        <v/>
      </c>
      <c r="AP55" s="245">
        <f>'Fiches Qualif'!BJ58</f>
        <v>26</v>
      </c>
      <c r="AQ55" s="245" t="str">
        <f>'Fiches Qualif'!BK58</f>
        <v/>
      </c>
      <c r="AR55" s="245">
        <f>'Fiches Qualif'!BL58</f>
        <v>26</v>
      </c>
      <c r="AS55" s="245" t="str">
        <f>'Fiches Qualif'!BM58</f>
        <v/>
      </c>
    </row>
    <row r="56" spans="24:45" x14ac:dyDescent="0.2">
      <c r="AB56" s="245">
        <f>'Fiches Qualif'!AV59</f>
        <v>27</v>
      </c>
      <c r="AC56" s="245" t="str">
        <f>'Fiches Qualif'!AW59</f>
        <v/>
      </c>
      <c r="AD56" s="245">
        <f>'Fiches Qualif'!AX59</f>
        <v>27</v>
      </c>
      <c r="AE56" s="245" t="str">
        <f>'Fiches Qualif'!AY59</f>
        <v/>
      </c>
      <c r="AF56" s="245">
        <f>'Fiches Qualif'!AZ59</f>
        <v>27</v>
      </c>
      <c r="AG56" s="245" t="str">
        <f>'Fiches Qualif'!BA59</f>
        <v/>
      </c>
      <c r="AH56" s="245">
        <f>'Fiches Qualif'!BB59</f>
        <v>27</v>
      </c>
      <c r="AI56" s="245" t="str">
        <f>'Fiches Qualif'!BC59</f>
        <v/>
      </c>
      <c r="AJ56" s="245">
        <f>'Fiches Qualif'!BD59</f>
        <v>27</v>
      </c>
      <c r="AK56" s="245" t="str">
        <f>'Fiches Qualif'!BE59</f>
        <v/>
      </c>
      <c r="AL56" s="245">
        <f>'Fiches Qualif'!BF59</f>
        <v>27</v>
      </c>
      <c r="AM56" s="245" t="str">
        <f>'Fiches Qualif'!BG59</f>
        <v/>
      </c>
      <c r="AN56" s="245">
        <f>'Fiches Qualif'!BH59</f>
        <v>27</v>
      </c>
      <c r="AO56" s="245" t="str">
        <f>'Fiches Qualif'!BI59</f>
        <v/>
      </c>
      <c r="AP56" s="245">
        <f>'Fiches Qualif'!BJ59</f>
        <v>27</v>
      </c>
      <c r="AQ56" s="245" t="str">
        <f>'Fiches Qualif'!BK59</f>
        <v/>
      </c>
      <c r="AR56" s="245">
        <f>'Fiches Qualif'!BL59</f>
        <v>27</v>
      </c>
      <c r="AS56" s="245" t="str">
        <f>'Fiches Qualif'!BM59</f>
        <v/>
      </c>
    </row>
    <row r="57" spans="24:45" x14ac:dyDescent="0.2">
      <c r="AB57" s="245">
        <f>'Fiches Qualif'!AV60</f>
        <v>28</v>
      </c>
      <c r="AC57" s="245" t="str">
        <f>'Fiches Qualif'!AW60</f>
        <v/>
      </c>
      <c r="AD57" s="245">
        <f>'Fiches Qualif'!AX60</f>
        <v>28</v>
      </c>
      <c r="AE57" s="245" t="str">
        <f>'Fiches Qualif'!AY60</f>
        <v/>
      </c>
      <c r="AF57" s="245">
        <f>'Fiches Qualif'!AZ60</f>
        <v>28</v>
      </c>
      <c r="AG57" s="245" t="str">
        <f>'Fiches Qualif'!BA60</f>
        <v/>
      </c>
      <c r="AH57" s="245">
        <f>'Fiches Qualif'!BB60</f>
        <v>28</v>
      </c>
      <c r="AI57" s="245" t="str">
        <f>'Fiches Qualif'!BC60</f>
        <v/>
      </c>
      <c r="AJ57" s="245">
        <f>'Fiches Qualif'!BD60</f>
        <v>28</v>
      </c>
      <c r="AK57" s="245" t="str">
        <f>'Fiches Qualif'!BE60</f>
        <v/>
      </c>
      <c r="AL57" s="245">
        <f>'Fiches Qualif'!BF60</f>
        <v>28</v>
      </c>
      <c r="AM57" s="245" t="str">
        <f>'Fiches Qualif'!BG60</f>
        <v/>
      </c>
      <c r="AN57" s="245">
        <f>'Fiches Qualif'!BH60</f>
        <v>28</v>
      </c>
      <c r="AO57" s="245" t="str">
        <f>'Fiches Qualif'!BI60</f>
        <v/>
      </c>
      <c r="AP57" s="245">
        <f>'Fiches Qualif'!BJ60</f>
        <v>28</v>
      </c>
      <c r="AQ57" s="245" t="str">
        <f>'Fiches Qualif'!BK60</f>
        <v/>
      </c>
      <c r="AR57" s="245">
        <f>'Fiches Qualif'!BL60</f>
        <v>28</v>
      </c>
      <c r="AS57" s="245" t="str">
        <f>'Fiches Qualif'!BM60</f>
        <v/>
      </c>
    </row>
    <row r="58" spans="24:45" x14ac:dyDescent="0.2">
      <c r="AB58" s="245">
        <f>'Fiches Qualif'!AV61</f>
        <v>29</v>
      </c>
      <c r="AC58" s="245" t="str">
        <f>'Fiches Qualif'!AW61</f>
        <v/>
      </c>
      <c r="AD58" s="245">
        <f>'Fiches Qualif'!AX61</f>
        <v>29</v>
      </c>
      <c r="AE58" s="245" t="str">
        <f>'Fiches Qualif'!AY61</f>
        <v/>
      </c>
      <c r="AF58" s="245">
        <f>'Fiches Qualif'!AZ61</f>
        <v>29</v>
      </c>
      <c r="AG58" s="245" t="str">
        <f>'Fiches Qualif'!BA61</f>
        <v/>
      </c>
      <c r="AH58" s="245">
        <f>'Fiches Qualif'!BB61</f>
        <v>29</v>
      </c>
      <c r="AI58" s="245" t="str">
        <f>'Fiches Qualif'!BC61</f>
        <v/>
      </c>
      <c r="AJ58" s="245">
        <f>'Fiches Qualif'!BD61</f>
        <v>29</v>
      </c>
      <c r="AK58" s="245" t="str">
        <f>'Fiches Qualif'!BE61</f>
        <v/>
      </c>
      <c r="AL58" s="245">
        <f>'Fiches Qualif'!BF61</f>
        <v>29</v>
      </c>
      <c r="AM58" s="245" t="str">
        <f>'Fiches Qualif'!BG61</f>
        <v/>
      </c>
      <c r="AN58" s="245">
        <f>'Fiches Qualif'!BH61</f>
        <v>29</v>
      </c>
      <c r="AO58" s="245" t="str">
        <f>'Fiches Qualif'!BI61</f>
        <v/>
      </c>
      <c r="AP58" s="245">
        <f>'Fiches Qualif'!BJ61</f>
        <v>29</v>
      </c>
      <c r="AQ58" s="245" t="str">
        <f>'Fiches Qualif'!BK61</f>
        <v/>
      </c>
      <c r="AR58" s="245">
        <f>'Fiches Qualif'!BL61</f>
        <v>29</v>
      </c>
      <c r="AS58" s="245" t="str">
        <f>'Fiches Qualif'!BM61</f>
        <v/>
      </c>
    </row>
    <row r="59" spans="24:45" x14ac:dyDescent="0.2">
      <c r="AB59" s="245">
        <f>'Fiches Qualif'!AV62</f>
        <v>30</v>
      </c>
      <c r="AC59" s="245" t="str">
        <f>'Fiches Qualif'!AW62</f>
        <v/>
      </c>
      <c r="AD59" s="245">
        <f>'Fiches Qualif'!AX62</f>
        <v>30</v>
      </c>
      <c r="AE59" s="245" t="str">
        <f>'Fiches Qualif'!AY62</f>
        <v/>
      </c>
      <c r="AF59" s="245">
        <f>'Fiches Qualif'!AZ62</f>
        <v>30</v>
      </c>
      <c r="AG59" s="245" t="str">
        <f>'Fiches Qualif'!BA62</f>
        <v/>
      </c>
      <c r="AH59" s="245">
        <f>'Fiches Qualif'!BB62</f>
        <v>30</v>
      </c>
      <c r="AI59" s="245" t="str">
        <f>'Fiches Qualif'!BC62</f>
        <v/>
      </c>
      <c r="AJ59" s="245">
        <f>'Fiches Qualif'!BD62</f>
        <v>30</v>
      </c>
      <c r="AK59" s="245" t="str">
        <f>'Fiches Qualif'!BE62</f>
        <v/>
      </c>
      <c r="AL59" s="245">
        <f>'Fiches Qualif'!BF62</f>
        <v>30</v>
      </c>
      <c r="AM59" s="245" t="str">
        <f>'Fiches Qualif'!BG62</f>
        <v/>
      </c>
      <c r="AN59" s="245">
        <f>'Fiches Qualif'!BH62</f>
        <v>30</v>
      </c>
      <c r="AO59" s="245" t="str">
        <f>'Fiches Qualif'!BI62</f>
        <v/>
      </c>
      <c r="AP59" s="245">
        <f>'Fiches Qualif'!BJ62</f>
        <v>30</v>
      </c>
      <c r="AQ59" s="245" t="str">
        <f>'Fiches Qualif'!BK62</f>
        <v/>
      </c>
      <c r="AR59" s="245">
        <f>'Fiches Qualif'!BL62</f>
        <v>30</v>
      </c>
      <c r="AS59" s="245" t="str">
        <f>'Fiches Qualif'!BM62</f>
        <v/>
      </c>
    </row>
    <row r="60" spans="24:45" x14ac:dyDescent="0.2">
      <c r="AB60" s="245">
        <f>'Fiches Qualif'!AV63</f>
        <v>31</v>
      </c>
      <c r="AC60" s="245" t="str">
        <f>'Fiches Qualif'!AW63</f>
        <v/>
      </c>
      <c r="AD60" s="245">
        <f>'Fiches Qualif'!AX63</f>
        <v>31</v>
      </c>
      <c r="AE60" s="245" t="str">
        <f>'Fiches Qualif'!AY63</f>
        <v/>
      </c>
      <c r="AF60" s="245">
        <f>'Fiches Qualif'!AZ63</f>
        <v>31</v>
      </c>
      <c r="AG60" s="245" t="str">
        <f>'Fiches Qualif'!BA63</f>
        <v/>
      </c>
      <c r="AH60" s="245">
        <f>'Fiches Qualif'!BB63</f>
        <v>31</v>
      </c>
      <c r="AI60" s="245" t="str">
        <f>'Fiches Qualif'!BC63</f>
        <v/>
      </c>
      <c r="AJ60" s="245">
        <f>'Fiches Qualif'!BD63</f>
        <v>31</v>
      </c>
      <c r="AK60" s="245" t="str">
        <f>'Fiches Qualif'!BE63</f>
        <v/>
      </c>
      <c r="AL60" s="245">
        <f>'Fiches Qualif'!BF63</f>
        <v>31</v>
      </c>
      <c r="AM60" s="245" t="str">
        <f>'Fiches Qualif'!BG63</f>
        <v/>
      </c>
      <c r="AN60" s="245">
        <f>'Fiches Qualif'!BH63</f>
        <v>31</v>
      </c>
      <c r="AO60" s="245" t="str">
        <f>'Fiches Qualif'!BI63</f>
        <v/>
      </c>
      <c r="AP60" s="245">
        <f>'Fiches Qualif'!BJ63</f>
        <v>31</v>
      </c>
      <c r="AQ60" s="245" t="str">
        <f>'Fiches Qualif'!BK63</f>
        <v/>
      </c>
      <c r="AR60" s="245">
        <f>'Fiches Qualif'!BL63</f>
        <v>31</v>
      </c>
      <c r="AS60" s="245" t="str">
        <f>'Fiches Qualif'!BM63</f>
        <v/>
      </c>
    </row>
    <row r="61" spans="24:45" x14ac:dyDescent="0.2">
      <c r="AB61" s="245">
        <f>'Fiches Qualif'!AV64</f>
        <v>32</v>
      </c>
      <c r="AC61" s="245" t="str">
        <f>'Fiches Qualif'!AW64</f>
        <v/>
      </c>
      <c r="AD61" s="245">
        <f>'Fiches Qualif'!AX64</f>
        <v>32</v>
      </c>
      <c r="AE61" s="245" t="str">
        <f>'Fiches Qualif'!AY64</f>
        <v/>
      </c>
      <c r="AF61" s="245">
        <f>'Fiches Qualif'!AZ64</f>
        <v>32</v>
      </c>
      <c r="AG61" s="245" t="str">
        <f>'Fiches Qualif'!BA64</f>
        <v/>
      </c>
      <c r="AH61" s="245">
        <f>'Fiches Qualif'!BB64</f>
        <v>32</v>
      </c>
      <c r="AI61" s="245" t="str">
        <f>'Fiches Qualif'!BC64</f>
        <v/>
      </c>
      <c r="AJ61" s="245">
        <f>'Fiches Qualif'!BD64</f>
        <v>32</v>
      </c>
      <c r="AK61" s="245" t="str">
        <f>'Fiches Qualif'!BE64</f>
        <v/>
      </c>
      <c r="AL61" s="245">
        <f>'Fiches Qualif'!BF64</f>
        <v>32</v>
      </c>
      <c r="AM61" s="245" t="str">
        <f>'Fiches Qualif'!BG64</f>
        <v/>
      </c>
      <c r="AN61" s="245">
        <f>'Fiches Qualif'!BH64</f>
        <v>32</v>
      </c>
      <c r="AO61" s="245" t="str">
        <f>'Fiches Qualif'!BI64</f>
        <v/>
      </c>
      <c r="AP61" s="245">
        <f>'Fiches Qualif'!BJ64</f>
        <v>32</v>
      </c>
      <c r="AQ61" s="245" t="str">
        <f>'Fiches Qualif'!BK64</f>
        <v/>
      </c>
      <c r="AR61" s="245">
        <f>'Fiches Qualif'!BL64</f>
        <v>32</v>
      </c>
      <c r="AS61" s="245" t="str">
        <f>'Fiches Qualif'!BM64</f>
        <v/>
      </c>
    </row>
    <row r="62" spans="24:45" x14ac:dyDescent="0.2">
      <c r="AB62" s="245">
        <f>'Fiches Qualif'!AV65</f>
        <v>33</v>
      </c>
      <c r="AC62" s="245" t="str">
        <f>'Fiches Qualif'!AW65</f>
        <v/>
      </c>
      <c r="AD62" s="245">
        <f>'Fiches Qualif'!AX65</f>
        <v>33</v>
      </c>
      <c r="AE62" s="245" t="str">
        <f>'Fiches Qualif'!AY65</f>
        <v/>
      </c>
      <c r="AF62" s="245">
        <f>'Fiches Qualif'!AZ65</f>
        <v>33</v>
      </c>
      <c r="AG62" s="245" t="str">
        <f>'Fiches Qualif'!BA65</f>
        <v/>
      </c>
      <c r="AH62" s="245">
        <f>'Fiches Qualif'!BB65</f>
        <v>33</v>
      </c>
      <c r="AI62" s="245" t="str">
        <f>'Fiches Qualif'!BC65</f>
        <v/>
      </c>
      <c r="AJ62" s="245">
        <f>'Fiches Qualif'!BD65</f>
        <v>33</v>
      </c>
      <c r="AK62" s="245" t="str">
        <f>'Fiches Qualif'!BE65</f>
        <v/>
      </c>
      <c r="AL62" s="245">
        <f>'Fiches Qualif'!BF65</f>
        <v>33</v>
      </c>
      <c r="AM62" s="245" t="str">
        <f>'Fiches Qualif'!BG65</f>
        <v/>
      </c>
      <c r="AN62" s="245">
        <f>'Fiches Qualif'!BH65</f>
        <v>33</v>
      </c>
      <c r="AO62" s="245" t="str">
        <f>'Fiches Qualif'!BI65</f>
        <v/>
      </c>
      <c r="AP62" s="245">
        <f>'Fiches Qualif'!BJ65</f>
        <v>33</v>
      </c>
      <c r="AQ62" s="245" t="str">
        <f>'Fiches Qualif'!BK65</f>
        <v/>
      </c>
      <c r="AR62" s="245">
        <f>'Fiches Qualif'!BL65</f>
        <v>33</v>
      </c>
      <c r="AS62" s="245" t="str">
        <f>'Fiches Qualif'!BM65</f>
        <v/>
      </c>
    </row>
    <row r="63" spans="24:45" x14ac:dyDescent="0.2">
      <c r="AB63" s="245">
        <f>'Fiches Qualif'!AV66</f>
        <v>34</v>
      </c>
      <c r="AC63" s="245" t="str">
        <f>'Fiches Qualif'!AW66</f>
        <v/>
      </c>
      <c r="AD63" s="245">
        <f>'Fiches Qualif'!AX66</f>
        <v>34</v>
      </c>
      <c r="AE63" s="245" t="str">
        <f>'Fiches Qualif'!AY66</f>
        <v/>
      </c>
      <c r="AF63" s="245">
        <f>'Fiches Qualif'!AZ66</f>
        <v>34</v>
      </c>
      <c r="AG63" s="245" t="str">
        <f>'Fiches Qualif'!BA66</f>
        <v/>
      </c>
      <c r="AH63" s="245">
        <f>'Fiches Qualif'!BB66</f>
        <v>34</v>
      </c>
      <c r="AI63" s="245" t="str">
        <f>'Fiches Qualif'!BC66</f>
        <v/>
      </c>
      <c r="AJ63" s="245">
        <f>'Fiches Qualif'!BD66</f>
        <v>34</v>
      </c>
      <c r="AK63" s="245" t="str">
        <f>'Fiches Qualif'!BE66</f>
        <v/>
      </c>
      <c r="AL63" s="245">
        <f>'Fiches Qualif'!BF66</f>
        <v>34</v>
      </c>
      <c r="AM63" s="245" t="str">
        <f>'Fiches Qualif'!BG66</f>
        <v/>
      </c>
      <c r="AN63" s="245">
        <f>'Fiches Qualif'!BH66</f>
        <v>34</v>
      </c>
      <c r="AO63" s="245" t="str">
        <f>'Fiches Qualif'!BI66</f>
        <v/>
      </c>
      <c r="AP63" s="245">
        <f>'Fiches Qualif'!BJ66</f>
        <v>34</v>
      </c>
      <c r="AQ63" s="245" t="str">
        <f>'Fiches Qualif'!BK66</f>
        <v/>
      </c>
      <c r="AR63" s="245">
        <f>'Fiches Qualif'!BL66</f>
        <v>34</v>
      </c>
      <c r="AS63" s="245" t="str">
        <f>'Fiches Qualif'!BM66</f>
        <v/>
      </c>
    </row>
    <row r="64" spans="24:45" x14ac:dyDescent="0.2">
      <c r="AB64" s="245">
        <f>'Fiches Qualif'!AV67</f>
        <v>35</v>
      </c>
      <c r="AC64" s="245" t="str">
        <f>'Fiches Qualif'!AW67</f>
        <v/>
      </c>
      <c r="AD64" s="245">
        <f>'Fiches Qualif'!AX67</f>
        <v>35</v>
      </c>
      <c r="AE64" s="245" t="str">
        <f>'Fiches Qualif'!AY67</f>
        <v/>
      </c>
      <c r="AF64" s="245">
        <f>'Fiches Qualif'!AZ67</f>
        <v>35</v>
      </c>
      <c r="AG64" s="245" t="str">
        <f>'Fiches Qualif'!BA67</f>
        <v/>
      </c>
      <c r="AH64" s="245">
        <f>'Fiches Qualif'!BB67</f>
        <v>35</v>
      </c>
      <c r="AI64" s="245" t="str">
        <f>'Fiches Qualif'!BC67</f>
        <v/>
      </c>
      <c r="AJ64" s="245">
        <f>'Fiches Qualif'!BD67</f>
        <v>35</v>
      </c>
      <c r="AK64" s="245" t="str">
        <f>'Fiches Qualif'!BE67</f>
        <v/>
      </c>
      <c r="AL64" s="245">
        <f>'Fiches Qualif'!BF67</f>
        <v>35</v>
      </c>
      <c r="AM64" s="245" t="str">
        <f>'Fiches Qualif'!BG67</f>
        <v/>
      </c>
      <c r="AN64" s="245">
        <f>'Fiches Qualif'!BH67</f>
        <v>35</v>
      </c>
      <c r="AO64" s="245" t="str">
        <f>'Fiches Qualif'!BI67</f>
        <v/>
      </c>
      <c r="AP64" s="245">
        <f>'Fiches Qualif'!BJ67</f>
        <v>35</v>
      </c>
      <c r="AQ64" s="245" t="str">
        <f>'Fiches Qualif'!BK67</f>
        <v/>
      </c>
      <c r="AR64" s="245">
        <f>'Fiches Qualif'!BL67</f>
        <v>35</v>
      </c>
      <c r="AS64" s="245" t="str">
        <f>'Fiches Qualif'!BM67</f>
        <v/>
      </c>
    </row>
    <row r="65" spans="28:45" x14ac:dyDescent="0.2">
      <c r="AB65" s="245">
        <f>'Fiches Qualif'!AV68</f>
        <v>36</v>
      </c>
      <c r="AC65" s="245" t="str">
        <f>'Fiches Qualif'!AW68</f>
        <v/>
      </c>
      <c r="AD65" s="245">
        <f>'Fiches Qualif'!AX68</f>
        <v>36</v>
      </c>
      <c r="AE65" s="245" t="str">
        <f>'Fiches Qualif'!AY68</f>
        <v/>
      </c>
      <c r="AF65" s="245">
        <f>'Fiches Qualif'!AZ68</f>
        <v>36</v>
      </c>
      <c r="AG65" s="245" t="str">
        <f>'Fiches Qualif'!BA68</f>
        <v/>
      </c>
      <c r="AH65" s="245">
        <f>'Fiches Qualif'!BB68</f>
        <v>36</v>
      </c>
      <c r="AI65" s="245" t="str">
        <f>'Fiches Qualif'!BC68</f>
        <v/>
      </c>
      <c r="AJ65" s="245">
        <f>'Fiches Qualif'!BD68</f>
        <v>36</v>
      </c>
      <c r="AK65" s="245" t="str">
        <f>'Fiches Qualif'!BE68</f>
        <v/>
      </c>
      <c r="AL65" s="245">
        <f>'Fiches Qualif'!BF68</f>
        <v>36</v>
      </c>
      <c r="AM65" s="245" t="str">
        <f>'Fiches Qualif'!BG68</f>
        <v/>
      </c>
      <c r="AN65" s="245">
        <f>'Fiches Qualif'!BH68</f>
        <v>36</v>
      </c>
      <c r="AO65" s="245" t="str">
        <f>'Fiches Qualif'!BI68</f>
        <v/>
      </c>
      <c r="AP65" s="245">
        <f>'Fiches Qualif'!BJ68</f>
        <v>36</v>
      </c>
      <c r="AQ65" s="245" t="str">
        <f>'Fiches Qualif'!BK68</f>
        <v/>
      </c>
      <c r="AR65" s="245">
        <f>'Fiches Qualif'!BL68</f>
        <v>36</v>
      </c>
      <c r="AS65" s="245" t="str">
        <f>'Fiches Qualif'!BM68</f>
        <v/>
      </c>
    </row>
    <row r="66" spans="28:45" x14ac:dyDescent="0.2">
      <c r="AB66" s="245">
        <f>'Fiches Qualif'!AV69</f>
        <v>37</v>
      </c>
      <c r="AC66" s="245" t="str">
        <f>'Fiches Qualif'!AW69</f>
        <v/>
      </c>
      <c r="AD66" s="245">
        <f>'Fiches Qualif'!AX69</f>
        <v>37</v>
      </c>
      <c r="AE66" s="245" t="str">
        <f>'Fiches Qualif'!AY69</f>
        <v/>
      </c>
      <c r="AF66" s="245">
        <f>'Fiches Qualif'!AZ69</f>
        <v>37</v>
      </c>
      <c r="AG66" s="245" t="str">
        <f>'Fiches Qualif'!BA69</f>
        <v/>
      </c>
      <c r="AH66" s="245">
        <f>'Fiches Qualif'!BB69</f>
        <v>37</v>
      </c>
      <c r="AI66" s="245" t="str">
        <f>'Fiches Qualif'!BC69</f>
        <v/>
      </c>
      <c r="AJ66" s="245">
        <f>'Fiches Qualif'!BD69</f>
        <v>37</v>
      </c>
      <c r="AK66" s="245" t="str">
        <f>'Fiches Qualif'!BE69</f>
        <v/>
      </c>
      <c r="AL66" s="245">
        <f>'Fiches Qualif'!BF69</f>
        <v>37</v>
      </c>
      <c r="AM66" s="245" t="str">
        <f>'Fiches Qualif'!BG69</f>
        <v/>
      </c>
      <c r="AN66" s="245">
        <f>'Fiches Qualif'!BH69</f>
        <v>37</v>
      </c>
      <c r="AO66" s="245" t="str">
        <f>'Fiches Qualif'!BI69</f>
        <v/>
      </c>
      <c r="AP66" s="245">
        <f>'Fiches Qualif'!BJ69</f>
        <v>37</v>
      </c>
      <c r="AQ66" s="245" t="str">
        <f>'Fiches Qualif'!BK69</f>
        <v/>
      </c>
      <c r="AR66" s="245">
        <f>'Fiches Qualif'!BL69</f>
        <v>37</v>
      </c>
      <c r="AS66" s="245" t="str">
        <f>'Fiches Qualif'!BM69</f>
        <v/>
      </c>
    </row>
    <row r="67" spans="28:45" x14ac:dyDescent="0.2">
      <c r="AB67" s="245">
        <f>'Fiches Qualif'!AV70</f>
        <v>38</v>
      </c>
      <c r="AC67" s="245" t="str">
        <f>'Fiches Qualif'!AW70</f>
        <v/>
      </c>
      <c r="AD67" s="245">
        <f>'Fiches Qualif'!AX70</f>
        <v>38</v>
      </c>
      <c r="AE67" s="245" t="str">
        <f>'Fiches Qualif'!AY70</f>
        <v/>
      </c>
      <c r="AF67" s="245">
        <f>'Fiches Qualif'!AZ70</f>
        <v>38</v>
      </c>
      <c r="AG67" s="245" t="str">
        <f>'Fiches Qualif'!BA70</f>
        <v/>
      </c>
      <c r="AH67" s="245">
        <f>'Fiches Qualif'!BB70</f>
        <v>38</v>
      </c>
      <c r="AI67" s="245" t="str">
        <f>'Fiches Qualif'!BC70</f>
        <v/>
      </c>
      <c r="AJ67" s="245">
        <f>'Fiches Qualif'!BD70</f>
        <v>38</v>
      </c>
      <c r="AK67" s="245" t="str">
        <f>'Fiches Qualif'!BE70</f>
        <v/>
      </c>
      <c r="AL67" s="245">
        <f>'Fiches Qualif'!BF70</f>
        <v>38</v>
      </c>
      <c r="AM67" s="245" t="str">
        <f>'Fiches Qualif'!BG70</f>
        <v/>
      </c>
      <c r="AN67" s="245">
        <f>'Fiches Qualif'!BH70</f>
        <v>38</v>
      </c>
      <c r="AO67" s="245" t="str">
        <f>'Fiches Qualif'!BI70</f>
        <v/>
      </c>
      <c r="AP67" s="245">
        <f>'Fiches Qualif'!BJ70</f>
        <v>38</v>
      </c>
      <c r="AQ67" s="245" t="str">
        <f>'Fiches Qualif'!BK70</f>
        <v/>
      </c>
      <c r="AR67" s="245">
        <f>'Fiches Qualif'!BL70</f>
        <v>38</v>
      </c>
      <c r="AS67" s="245" t="str">
        <f>'Fiches Qualif'!BM70</f>
        <v/>
      </c>
    </row>
    <row r="68" spans="28:45" x14ac:dyDescent="0.2">
      <c r="AB68" s="245">
        <f>'Fiches Qualif'!AV71</f>
        <v>39</v>
      </c>
      <c r="AC68" s="245" t="str">
        <f>'Fiches Qualif'!AW71</f>
        <v/>
      </c>
      <c r="AD68" s="245">
        <f>'Fiches Qualif'!AX71</f>
        <v>39</v>
      </c>
      <c r="AE68" s="245" t="str">
        <f>'Fiches Qualif'!AY71</f>
        <v/>
      </c>
      <c r="AF68" s="245">
        <f>'Fiches Qualif'!AZ71</f>
        <v>39</v>
      </c>
      <c r="AG68" s="245" t="str">
        <f>'Fiches Qualif'!BA71</f>
        <v/>
      </c>
      <c r="AH68" s="245">
        <f>'Fiches Qualif'!BB71</f>
        <v>39</v>
      </c>
      <c r="AI68" s="245" t="str">
        <f>'Fiches Qualif'!BC71</f>
        <v/>
      </c>
      <c r="AJ68" s="245">
        <f>'Fiches Qualif'!BD71</f>
        <v>39</v>
      </c>
      <c r="AK68" s="245" t="str">
        <f>'Fiches Qualif'!BE71</f>
        <v/>
      </c>
      <c r="AL68" s="245">
        <f>'Fiches Qualif'!BF71</f>
        <v>39</v>
      </c>
      <c r="AM68" s="245" t="str">
        <f>'Fiches Qualif'!BG71</f>
        <v/>
      </c>
      <c r="AN68" s="245">
        <f>'Fiches Qualif'!BH71</f>
        <v>39</v>
      </c>
      <c r="AO68" s="245" t="str">
        <f>'Fiches Qualif'!BI71</f>
        <v/>
      </c>
      <c r="AP68" s="245">
        <f>'Fiches Qualif'!BJ71</f>
        <v>39</v>
      </c>
      <c r="AQ68" s="245" t="str">
        <f>'Fiches Qualif'!BK71</f>
        <v/>
      </c>
      <c r="AR68" s="245">
        <f>'Fiches Qualif'!BL71</f>
        <v>39</v>
      </c>
      <c r="AS68" s="245" t="str">
        <f>'Fiches Qualif'!BM71</f>
        <v/>
      </c>
    </row>
    <row r="69" spans="28:45" x14ac:dyDescent="0.2">
      <c r="AB69" s="245">
        <f>'Fiches Qualif'!AV72</f>
        <v>40</v>
      </c>
      <c r="AC69" s="245" t="str">
        <f>'Fiches Qualif'!AW72</f>
        <v/>
      </c>
      <c r="AD69" s="245">
        <f>'Fiches Qualif'!AX72</f>
        <v>40</v>
      </c>
      <c r="AE69" s="245" t="str">
        <f>'Fiches Qualif'!AY72</f>
        <v/>
      </c>
      <c r="AF69" s="245">
        <f>'Fiches Qualif'!AZ72</f>
        <v>40</v>
      </c>
      <c r="AG69" s="245" t="str">
        <f>'Fiches Qualif'!BA72</f>
        <v/>
      </c>
      <c r="AH69" s="245">
        <f>'Fiches Qualif'!BB72</f>
        <v>40</v>
      </c>
      <c r="AI69" s="245" t="str">
        <f>'Fiches Qualif'!BC72</f>
        <v/>
      </c>
      <c r="AJ69" s="245">
        <f>'Fiches Qualif'!BD72</f>
        <v>40</v>
      </c>
      <c r="AK69" s="245" t="str">
        <f>'Fiches Qualif'!BE72</f>
        <v/>
      </c>
      <c r="AL69" s="245">
        <f>'Fiches Qualif'!BF72</f>
        <v>40</v>
      </c>
      <c r="AM69" s="245" t="str">
        <f>'Fiches Qualif'!BG72</f>
        <v/>
      </c>
      <c r="AN69" s="245">
        <f>'Fiches Qualif'!BH72</f>
        <v>40</v>
      </c>
      <c r="AO69" s="245" t="str">
        <f>'Fiches Qualif'!BI72</f>
        <v/>
      </c>
      <c r="AP69" s="245">
        <f>'Fiches Qualif'!BJ72</f>
        <v>40</v>
      </c>
      <c r="AQ69" s="245" t="str">
        <f>'Fiches Qualif'!BK72</f>
        <v/>
      </c>
      <c r="AR69" s="245">
        <f>'Fiches Qualif'!BL72</f>
        <v>40</v>
      </c>
      <c r="AS69" s="245" t="str">
        <f>'Fiches Qualif'!BM72</f>
        <v/>
      </c>
    </row>
    <row r="70" spans="28:45" x14ac:dyDescent="0.2">
      <c r="AB70" s="245">
        <f>'Fiches Qualif'!AV73</f>
        <v>41</v>
      </c>
      <c r="AC70" s="245" t="str">
        <f>'Fiches Qualif'!AW73</f>
        <v/>
      </c>
      <c r="AD70" s="245">
        <f>'Fiches Qualif'!AX73</f>
        <v>41</v>
      </c>
      <c r="AE70" s="245" t="str">
        <f>'Fiches Qualif'!AY73</f>
        <v/>
      </c>
      <c r="AF70" s="245">
        <f>'Fiches Qualif'!AZ73</f>
        <v>41</v>
      </c>
      <c r="AG70" s="245" t="str">
        <f>'Fiches Qualif'!BA73</f>
        <v/>
      </c>
      <c r="AH70" s="245">
        <f>'Fiches Qualif'!BB73</f>
        <v>41</v>
      </c>
      <c r="AI70" s="245" t="str">
        <f>'Fiches Qualif'!BC73</f>
        <v/>
      </c>
      <c r="AJ70" s="245">
        <f>'Fiches Qualif'!BD73</f>
        <v>41</v>
      </c>
      <c r="AK70" s="245" t="str">
        <f>'Fiches Qualif'!BE73</f>
        <v/>
      </c>
      <c r="AL70" s="245">
        <f>'Fiches Qualif'!BF73</f>
        <v>41</v>
      </c>
      <c r="AM70" s="245" t="str">
        <f>'Fiches Qualif'!BG73</f>
        <v/>
      </c>
      <c r="AN70" s="245">
        <f>'Fiches Qualif'!BH73</f>
        <v>41</v>
      </c>
      <c r="AO70" s="245" t="str">
        <f>'Fiches Qualif'!BI73</f>
        <v/>
      </c>
      <c r="AP70" s="245">
        <f>'Fiches Qualif'!BJ73</f>
        <v>41</v>
      </c>
      <c r="AQ70" s="245" t="str">
        <f>'Fiches Qualif'!BK73</f>
        <v/>
      </c>
      <c r="AR70" s="245">
        <f>'Fiches Qualif'!BL73</f>
        <v>41</v>
      </c>
      <c r="AS70" s="245" t="str">
        <f>'Fiches Qualif'!BM73</f>
        <v/>
      </c>
    </row>
    <row r="71" spans="28:45" x14ac:dyDescent="0.2">
      <c r="AB71" s="245">
        <f>'Fiches Qualif'!AV74</f>
        <v>42</v>
      </c>
      <c r="AC71" s="245" t="str">
        <f>'Fiches Qualif'!AW74</f>
        <v/>
      </c>
      <c r="AD71" s="245">
        <f>'Fiches Qualif'!AX74</f>
        <v>42</v>
      </c>
      <c r="AE71" s="245" t="str">
        <f>'Fiches Qualif'!AY74</f>
        <v/>
      </c>
      <c r="AF71" s="245">
        <f>'Fiches Qualif'!AZ74</f>
        <v>42</v>
      </c>
      <c r="AG71" s="245" t="str">
        <f>'Fiches Qualif'!BA74</f>
        <v/>
      </c>
      <c r="AH71" s="245">
        <f>'Fiches Qualif'!BB74</f>
        <v>42</v>
      </c>
      <c r="AI71" s="245" t="str">
        <f>'Fiches Qualif'!BC74</f>
        <v/>
      </c>
      <c r="AJ71" s="245">
        <f>'Fiches Qualif'!BD74</f>
        <v>42</v>
      </c>
      <c r="AK71" s="245" t="str">
        <f>'Fiches Qualif'!BE74</f>
        <v/>
      </c>
      <c r="AL71" s="245">
        <f>'Fiches Qualif'!BF74</f>
        <v>42</v>
      </c>
      <c r="AM71" s="245" t="str">
        <f>'Fiches Qualif'!BG74</f>
        <v/>
      </c>
      <c r="AN71" s="245">
        <f>'Fiches Qualif'!BH74</f>
        <v>42</v>
      </c>
      <c r="AO71" s="245" t="str">
        <f>'Fiches Qualif'!BI74</f>
        <v/>
      </c>
      <c r="AP71" s="245">
        <f>'Fiches Qualif'!BJ74</f>
        <v>42</v>
      </c>
      <c r="AQ71" s="245" t="str">
        <f>'Fiches Qualif'!BK74</f>
        <v/>
      </c>
      <c r="AR71" s="245">
        <f>'Fiches Qualif'!BL74</f>
        <v>42</v>
      </c>
      <c r="AS71" s="245" t="str">
        <f>'Fiches Qualif'!BM74</f>
        <v/>
      </c>
    </row>
    <row r="72" spans="28:45" x14ac:dyDescent="0.2">
      <c r="AB72" s="245">
        <f>'Fiches Qualif'!AV75</f>
        <v>43</v>
      </c>
      <c r="AC72" s="245" t="str">
        <f>'Fiches Qualif'!AW75</f>
        <v/>
      </c>
      <c r="AD72" s="245">
        <f>'Fiches Qualif'!AX75</f>
        <v>43</v>
      </c>
      <c r="AE72" s="245" t="str">
        <f>'Fiches Qualif'!AY75</f>
        <v/>
      </c>
      <c r="AF72" s="245">
        <f>'Fiches Qualif'!AZ75</f>
        <v>43</v>
      </c>
      <c r="AG72" s="245" t="str">
        <f>'Fiches Qualif'!BA75</f>
        <v/>
      </c>
      <c r="AH72" s="245">
        <f>'Fiches Qualif'!BB75</f>
        <v>43</v>
      </c>
      <c r="AI72" s="245" t="str">
        <f>'Fiches Qualif'!BC75</f>
        <v/>
      </c>
      <c r="AJ72" s="245">
        <f>'Fiches Qualif'!BD75</f>
        <v>43</v>
      </c>
      <c r="AK72" s="245" t="str">
        <f>'Fiches Qualif'!BE75</f>
        <v/>
      </c>
      <c r="AL72" s="245">
        <f>'Fiches Qualif'!BF75</f>
        <v>43</v>
      </c>
      <c r="AM72" s="245" t="str">
        <f>'Fiches Qualif'!BG75</f>
        <v/>
      </c>
      <c r="AN72" s="245">
        <f>'Fiches Qualif'!BH75</f>
        <v>43</v>
      </c>
      <c r="AO72" s="245" t="str">
        <f>'Fiches Qualif'!BI75</f>
        <v/>
      </c>
      <c r="AP72" s="245">
        <f>'Fiches Qualif'!BJ75</f>
        <v>43</v>
      </c>
      <c r="AQ72" s="245" t="str">
        <f>'Fiches Qualif'!BK75</f>
        <v/>
      </c>
      <c r="AR72" s="245">
        <f>'Fiches Qualif'!BL75</f>
        <v>43</v>
      </c>
      <c r="AS72" s="245" t="str">
        <f>'Fiches Qualif'!BM75</f>
        <v/>
      </c>
    </row>
    <row r="73" spans="28:45" x14ac:dyDescent="0.2">
      <c r="AB73" s="245">
        <f>'Fiches Qualif'!AV76</f>
        <v>44</v>
      </c>
      <c r="AC73" s="245" t="str">
        <f>'Fiches Qualif'!AW76</f>
        <v/>
      </c>
      <c r="AD73" s="245">
        <f>'Fiches Qualif'!AX76</f>
        <v>44</v>
      </c>
      <c r="AE73" s="245" t="str">
        <f>'Fiches Qualif'!AY76</f>
        <v/>
      </c>
      <c r="AF73" s="245">
        <f>'Fiches Qualif'!AZ76</f>
        <v>44</v>
      </c>
      <c r="AG73" s="245" t="str">
        <f>'Fiches Qualif'!BA76</f>
        <v/>
      </c>
      <c r="AH73" s="245">
        <f>'Fiches Qualif'!BB76</f>
        <v>44</v>
      </c>
      <c r="AI73" s="245" t="str">
        <f>'Fiches Qualif'!BC76</f>
        <v/>
      </c>
      <c r="AJ73" s="245">
        <f>'Fiches Qualif'!BD76</f>
        <v>44</v>
      </c>
      <c r="AK73" s="245" t="str">
        <f>'Fiches Qualif'!BE76</f>
        <v/>
      </c>
      <c r="AL73" s="245">
        <f>'Fiches Qualif'!BF76</f>
        <v>44</v>
      </c>
      <c r="AM73" s="245" t="str">
        <f>'Fiches Qualif'!BG76</f>
        <v/>
      </c>
      <c r="AN73" s="245">
        <f>'Fiches Qualif'!BH76</f>
        <v>44</v>
      </c>
      <c r="AO73" s="245" t="str">
        <f>'Fiches Qualif'!BI76</f>
        <v/>
      </c>
      <c r="AP73" s="245">
        <f>'Fiches Qualif'!BJ76</f>
        <v>44</v>
      </c>
      <c r="AQ73" s="245" t="str">
        <f>'Fiches Qualif'!BK76</f>
        <v/>
      </c>
      <c r="AR73" s="245">
        <f>'Fiches Qualif'!BL76</f>
        <v>44</v>
      </c>
      <c r="AS73" s="245" t="str">
        <f>'Fiches Qualif'!BM76</f>
        <v/>
      </c>
    </row>
    <row r="74" spans="28:45" x14ac:dyDescent="0.2">
      <c r="AB74" s="245">
        <f>'Fiches Qualif'!AV77</f>
        <v>45</v>
      </c>
      <c r="AC74" s="245" t="str">
        <f>'Fiches Qualif'!AW77</f>
        <v/>
      </c>
      <c r="AD74" s="245">
        <f>'Fiches Qualif'!AX77</f>
        <v>45</v>
      </c>
      <c r="AE74" s="245" t="str">
        <f>'Fiches Qualif'!AY77</f>
        <v/>
      </c>
      <c r="AF74" s="245">
        <f>'Fiches Qualif'!AZ77</f>
        <v>45</v>
      </c>
      <c r="AG74" s="245" t="str">
        <f>'Fiches Qualif'!BA77</f>
        <v/>
      </c>
      <c r="AH74" s="245">
        <f>'Fiches Qualif'!BB77</f>
        <v>45</v>
      </c>
      <c r="AI74" s="245" t="str">
        <f>'Fiches Qualif'!BC77</f>
        <v/>
      </c>
      <c r="AJ74" s="245">
        <f>'Fiches Qualif'!BD77</f>
        <v>45</v>
      </c>
      <c r="AK74" s="245" t="str">
        <f>'Fiches Qualif'!BE77</f>
        <v/>
      </c>
      <c r="AL74" s="245">
        <f>'Fiches Qualif'!BF77</f>
        <v>45</v>
      </c>
      <c r="AM74" s="245" t="str">
        <f>'Fiches Qualif'!BG77</f>
        <v/>
      </c>
      <c r="AN74" s="245">
        <f>'Fiches Qualif'!BH77</f>
        <v>45</v>
      </c>
      <c r="AO74" s="245" t="str">
        <f>'Fiches Qualif'!BI77</f>
        <v/>
      </c>
      <c r="AP74" s="245">
        <f>'Fiches Qualif'!BJ77</f>
        <v>45</v>
      </c>
      <c r="AQ74" s="245" t="str">
        <f>'Fiches Qualif'!BK77</f>
        <v/>
      </c>
      <c r="AR74" s="245">
        <f>'Fiches Qualif'!BL77</f>
        <v>45</v>
      </c>
      <c r="AS74" s="245" t="str">
        <f>'Fiches Qualif'!BM77</f>
        <v/>
      </c>
    </row>
    <row r="75" spans="28:45" x14ac:dyDescent="0.2">
      <c r="AB75" s="245">
        <f>'Fiches Qualif'!AV78</f>
        <v>46</v>
      </c>
      <c r="AC75" s="245" t="str">
        <f>'Fiches Qualif'!AW78</f>
        <v/>
      </c>
      <c r="AD75" s="245">
        <f>'Fiches Qualif'!AX78</f>
        <v>46</v>
      </c>
      <c r="AE75" s="245" t="str">
        <f>'Fiches Qualif'!AY78</f>
        <v/>
      </c>
      <c r="AF75" s="245">
        <f>'Fiches Qualif'!AZ78</f>
        <v>46</v>
      </c>
      <c r="AG75" s="245" t="str">
        <f>'Fiches Qualif'!BA78</f>
        <v/>
      </c>
      <c r="AH75" s="245">
        <f>'Fiches Qualif'!BB78</f>
        <v>46</v>
      </c>
      <c r="AI75" s="245" t="str">
        <f>'Fiches Qualif'!BC78</f>
        <v/>
      </c>
      <c r="AJ75" s="245">
        <f>'Fiches Qualif'!BD78</f>
        <v>46</v>
      </c>
      <c r="AK75" s="245" t="str">
        <f>'Fiches Qualif'!BE78</f>
        <v/>
      </c>
      <c r="AL75" s="245">
        <f>'Fiches Qualif'!BF78</f>
        <v>46</v>
      </c>
      <c r="AM75" s="245" t="str">
        <f>'Fiches Qualif'!BG78</f>
        <v/>
      </c>
      <c r="AN75" s="245">
        <f>'Fiches Qualif'!BH78</f>
        <v>46</v>
      </c>
      <c r="AO75" s="245" t="str">
        <f>'Fiches Qualif'!BI78</f>
        <v/>
      </c>
      <c r="AP75" s="245">
        <f>'Fiches Qualif'!BJ78</f>
        <v>46</v>
      </c>
      <c r="AQ75" s="245" t="str">
        <f>'Fiches Qualif'!BK78</f>
        <v/>
      </c>
      <c r="AR75" s="245">
        <f>'Fiches Qualif'!BL78</f>
        <v>46</v>
      </c>
      <c r="AS75" s="245" t="str">
        <f>'Fiches Qualif'!BM78</f>
        <v/>
      </c>
    </row>
    <row r="76" spans="28:45" x14ac:dyDescent="0.2">
      <c r="AB76" s="245">
        <f>'Fiches Qualif'!AV79</f>
        <v>47</v>
      </c>
      <c r="AC76" s="245" t="str">
        <f>'Fiches Qualif'!AW79</f>
        <v/>
      </c>
      <c r="AD76" s="245">
        <f>'Fiches Qualif'!AX79</f>
        <v>47</v>
      </c>
      <c r="AE76" s="245" t="str">
        <f>'Fiches Qualif'!AY79</f>
        <v/>
      </c>
      <c r="AF76" s="245">
        <f>'Fiches Qualif'!AZ79</f>
        <v>47</v>
      </c>
      <c r="AG76" s="245" t="str">
        <f>'Fiches Qualif'!BA79</f>
        <v/>
      </c>
      <c r="AH76" s="245">
        <f>'Fiches Qualif'!BB79</f>
        <v>47</v>
      </c>
      <c r="AI76" s="245" t="str">
        <f>'Fiches Qualif'!BC79</f>
        <v/>
      </c>
      <c r="AJ76" s="245">
        <f>'Fiches Qualif'!BD79</f>
        <v>47</v>
      </c>
      <c r="AK76" s="245" t="str">
        <f>'Fiches Qualif'!BE79</f>
        <v/>
      </c>
      <c r="AL76" s="245">
        <f>'Fiches Qualif'!BF79</f>
        <v>47</v>
      </c>
      <c r="AM76" s="245" t="str">
        <f>'Fiches Qualif'!BG79</f>
        <v/>
      </c>
      <c r="AN76" s="245">
        <f>'Fiches Qualif'!BH79</f>
        <v>47</v>
      </c>
      <c r="AO76" s="245" t="str">
        <f>'Fiches Qualif'!BI79</f>
        <v/>
      </c>
      <c r="AP76" s="245">
        <f>'Fiches Qualif'!BJ79</f>
        <v>47</v>
      </c>
      <c r="AQ76" s="245" t="str">
        <f>'Fiches Qualif'!BK79</f>
        <v/>
      </c>
      <c r="AR76" s="245">
        <f>'Fiches Qualif'!BL79</f>
        <v>47</v>
      </c>
      <c r="AS76" s="245" t="str">
        <f>'Fiches Qualif'!BM79</f>
        <v/>
      </c>
    </row>
    <row r="77" spans="28:45" x14ac:dyDescent="0.2">
      <c r="AB77" s="245">
        <f>'Fiches Qualif'!AV80</f>
        <v>48</v>
      </c>
      <c r="AC77" s="245" t="str">
        <f>'Fiches Qualif'!AW80</f>
        <v/>
      </c>
      <c r="AD77" s="245">
        <f>'Fiches Qualif'!AX80</f>
        <v>48</v>
      </c>
      <c r="AE77" s="245" t="str">
        <f>'Fiches Qualif'!AY80</f>
        <v/>
      </c>
      <c r="AF77" s="245">
        <f>'Fiches Qualif'!AZ80</f>
        <v>48</v>
      </c>
      <c r="AG77" s="245" t="str">
        <f>'Fiches Qualif'!BA80</f>
        <v/>
      </c>
      <c r="AH77" s="245">
        <f>'Fiches Qualif'!BB80</f>
        <v>48</v>
      </c>
      <c r="AI77" s="245" t="str">
        <f>'Fiches Qualif'!BC80</f>
        <v/>
      </c>
      <c r="AJ77" s="245">
        <f>'Fiches Qualif'!BD80</f>
        <v>48</v>
      </c>
      <c r="AK77" s="245" t="str">
        <f>'Fiches Qualif'!BE80</f>
        <v/>
      </c>
      <c r="AL77" s="245">
        <f>'Fiches Qualif'!BF80</f>
        <v>48</v>
      </c>
      <c r="AM77" s="245" t="str">
        <f>'Fiches Qualif'!BG80</f>
        <v/>
      </c>
      <c r="AN77" s="245">
        <f>'Fiches Qualif'!BH80</f>
        <v>48</v>
      </c>
      <c r="AO77" s="245" t="str">
        <f>'Fiches Qualif'!BI80</f>
        <v/>
      </c>
      <c r="AP77" s="245">
        <f>'Fiches Qualif'!BJ80</f>
        <v>48</v>
      </c>
      <c r="AQ77" s="245" t="str">
        <f>'Fiches Qualif'!BK80</f>
        <v/>
      </c>
      <c r="AR77" s="245">
        <f>'Fiches Qualif'!BL80</f>
        <v>48</v>
      </c>
      <c r="AS77" s="245" t="str">
        <f>'Fiches Qualif'!BM80</f>
        <v/>
      </c>
    </row>
    <row r="78" spans="28:45" x14ac:dyDescent="0.2">
      <c r="AB78" s="245">
        <f>'Fiches Qualif'!AV81</f>
        <v>49</v>
      </c>
      <c r="AC78" s="245" t="str">
        <f>'Fiches Qualif'!AW81</f>
        <v/>
      </c>
      <c r="AD78" s="245">
        <f>'Fiches Qualif'!AX81</f>
        <v>49</v>
      </c>
      <c r="AE78" s="245" t="str">
        <f>'Fiches Qualif'!AY81</f>
        <v/>
      </c>
      <c r="AF78" s="245">
        <f>'Fiches Qualif'!AZ81</f>
        <v>49</v>
      </c>
      <c r="AG78" s="245" t="str">
        <f>'Fiches Qualif'!BA81</f>
        <v/>
      </c>
      <c r="AH78" s="245">
        <f>'Fiches Qualif'!BB81</f>
        <v>49</v>
      </c>
      <c r="AI78" s="245" t="str">
        <f>'Fiches Qualif'!BC81</f>
        <v/>
      </c>
      <c r="AJ78" s="245">
        <f>'Fiches Qualif'!BD81</f>
        <v>49</v>
      </c>
      <c r="AK78" s="245" t="str">
        <f>'Fiches Qualif'!BE81</f>
        <v/>
      </c>
      <c r="AL78" s="245">
        <f>'Fiches Qualif'!BF81</f>
        <v>49</v>
      </c>
      <c r="AM78" s="245" t="str">
        <f>'Fiches Qualif'!BG81</f>
        <v/>
      </c>
      <c r="AN78" s="245">
        <f>'Fiches Qualif'!BH81</f>
        <v>49</v>
      </c>
      <c r="AO78" s="245" t="str">
        <f>'Fiches Qualif'!BI81</f>
        <v/>
      </c>
      <c r="AP78" s="245">
        <f>'Fiches Qualif'!BJ81</f>
        <v>49</v>
      </c>
      <c r="AQ78" s="245" t="str">
        <f>'Fiches Qualif'!BK81</f>
        <v/>
      </c>
      <c r="AR78" s="245">
        <f>'Fiches Qualif'!BL81</f>
        <v>49</v>
      </c>
      <c r="AS78" s="245" t="str">
        <f>'Fiches Qualif'!BM81</f>
        <v/>
      </c>
    </row>
    <row r="79" spans="28:45" x14ac:dyDescent="0.2">
      <c r="AB79" s="245">
        <f>'Fiches Qualif'!AV82</f>
        <v>50</v>
      </c>
      <c r="AC79" s="245" t="str">
        <f>'Fiches Qualif'!AW82</f>
        <v/>
      </c>
      <c r="AD79" s="245">
        <f>'Fiches Qualif'!AX82</f>
        <v>50</v>
      </c>
      <c r="AE79" s="245" t="str">
        <f>'Fiches Qualif'!AY82</f>
        <v/>
      </c>
      <c r="AF79" s="245">
        <f>'Fiches Qualif'!AZ82</f>
        <v>50</v>
      </c>
      <c r="AG79" s="245" t="str">
        <f>'Fiches Qualif'!BA82</f>
        <v/>
      </c>
      <c r="AH79" s="245">
        <f>'Fiches Qualif'!BB82</f>
        <v>50</v>
      </c>
      <c r="AI79" s="245" t="str">
        <f>'Fiches Qualif'!BC82</f>
        <v/>
      </c>
      <c r="AJ79" s="245">
        <f>'Fiches Qualif'!BD82</f>
        <v>50</v>
      </c>
      <c r="AK79" s="245" t="str">
        <f>'Fiches Qualif'!BE82</f>
        <v/>
      </c>
      <c r="AL79" s="245">
        <f>'Fiches Qualif'!BF82</f>
        <v>50</v>
      </c>
      <c r="AM79" s="245" t="str">
        <f>'Fiches Qualif'!BG82</f>
        <v/>
      </c>
      <c r="AN79" s="245">
        <f>'Fiches Qualif'!BH82</f>
        <v>50</v>
      </c>
      <c r="AO79" s="245" t="str">
        <f>'Fiches Qualif'!BI82</f>
        <v/>
      </c>
      <c r="AP79" s="245">
        <f>'Fiches Qualif'!BJ82</f>
        <v>50</v>
      </c>
      <c r="AQ79" s="245" t="str">
        <f>'Fiches Qualif'!BK82</f>
        <v/>
      </c>
      <c r="AR79" s="245">
        <f>'Fiches Qualif'!BL82</f>
        <v>50</v>
      </c>
      <c r="AS79" s="245" t="str">
        <f>'Fiches Qualif'!BM82</f>
        <v/>
      </c>
    </row>
    <row r="80" spans="28:45" x14ac:dyDescent="0.2">
      <c r="AB80" s="245">
        <f>'Fiches Qualif'!AV83</f>
        <v>51</v>
      </c>
      <c r="AC80" s="245" t="str">
        <f>'Fiches Qualif'!AW83</f>
        <v/>
      </c>
      <c r="AD80" s="245">
        <f>'Fiches Qualif'!AX83</f>
        <v>51</v>
      </c>
      <c r="AE80" s="245" t="str">
        <f>'Fiches Qualif'!AY83</f>
        <v/>
      </c>
      <c r="AF80" s="245">
        <f>'Fiches Qualif'!AZ83</f>
        <v>51</v>
      </c>
      <c r="AG80" s="245" t="str">
        <f>'Fiches Qualif'!BA83</f>
        <v/>
      </c>
      <c r="AH80" s="245">
        <f>'Fiches Qualif'!BB83</f>
        <v>51</v>
      </c>
      <c r="AI80" s="245" t="str">
        <f>'Fiches Qualif'!BC83</f>
        <v/>
      </c>
      <c r="AJ80" s="245">
        <f>'Fiches Qualif'!BD83</f>
        <v>51</v>
      </c>
      <c r="AK80" s="245" t="str">
        <f>'Fiches Qualif'!BE83</f>
        <v/>
      </c>
      <c r="AL80" s="245">
        <f>'Fiches Qualif'!BF83</f>
        <v>51</v>
      </c>
      <c r="AM80" s="245" t="str">
        <f>'Fiches Qualif'!BG83</f>
        <v/>
      </c>
      <c r="AN80" s="245">
        <f>'Fiches Qualif'!BH83</f>
        <v>51</v>
      </c>
      <c r="AO80" s="245" t="str">
        <f>'Fiches Qualif'!BI83</f>
        <v/>
      </c>
      <c r="AP80" s="245">
        <f>'Fiches Qualif'!BJ83</f>
        <v>51</v>
      </c>
      <c r="AQ80" s="245" t="str">
        <f>'Fiches Qualif'!BK83</f>
        <v/>
      </c>
      <c r="AR80" s="245">
        <f>'Fiches Qualif'!BL83</f>
        <v>51</v>
      </c>
      <c r="AS80" s="245" t="str">
        <f>'Fiches Qualif'!BM83</f>
        <v/>
      </c>
    </row>
    <row r="81" spans="28:45" x14ac:dyDescent="0.2">
      <c r="AB81" s="245">
        <f>'Fiches Qualif'!AV84</f>
        <v>52</v>
      </c>
      <c r="AC81" s="245" t="str">
        <f>'Fiches Qualif'!AW84</f>
        <v/>
      </c>
      <c r="AD81" s="245">
        <f>'Fiches Qualif'!AX84</f>
        <v>52</v>
      </c>
      <c r="AE81" s="245" t="str">
        <f>'Fiches Qualif'!AY84</f>
        <v/>
      </c>
      <c r="AF81" s="245">
        <f>'Fiches Qualif'!AZ84</f>
        <v>52</v>
      </c>
      <c r="AG81" s="245" t="str">
        <f>'Fiches Qualif'!BA84</f>
        <v/>
      </c>
      <c r="AH81" s="245">
        <f>'Fiches Qualif'!BB84</f>
        <v>52</v>
      </c>
      <c r="AI81" s="245" t="str">
        <f>'Fiches Qualif'!BC84</f>
        <v/>
      </c>
      <c r="AJ81" s="245">
        <f>'Fiches Qualif'!BD84</f>
        <v>52</v>
      </c>
      <c r="AK81" s="245" t="str">
        <f>'Fiches Qualif'!BE84</f>
        <v/>
      </c>
      <c r="AL81" s="245">
        <f>'Fiches Qualif'!BF84</f>
        <v>52</v>
      </c>
      <c r="AM81" s="245" t="str">
        <f>'Fiches Qualif'!BG84</f>
        <v/>
      </c>
      <c r="AN81" s="245">
        <f>'Fiches Qualif'!BH84</f>
        <v>52</v>
      </c>
      <c r="AO81" s="245" t="str">
        <f>'Fiches Qualif'!BI84</f>
        <v/>
      </c>
      <c r="AP81" s="245">
        <f>'Fiches Qualif'!BJ84</f>
        <v>52</v>
      </c>
      <c r="AQ81" s="245" t="str">
        <f>'Fiches Qualif'!BK84</f>
        <v/>
      </c>
      <c r="AR81" s="245">
        <f>'Fiches Qualif'!BL84</f>
        <v>52</v>
      </c>
      <c r="AS81" s="245" t="str">
        <f>'Fiches Qualif'!BM84</f>
        <v/>
      </c>
    </row>
    <row r="82" spans="28:45" x14ac:dyDescent="0.2">
      <c r="AB82" s="245">
        <f>'Fiches Qualif'!AV85</f>
        <v>53</v>
      </c>
      <c r="AC82" s="245" t="str">
        <f>'Fiches Qualif'!AW85</f>
        <v/>
      </c>
      <c r="AD82" s="245">
        <f>'Fiches Qualif'!AX85</f>
        <v>53</v>
      </c>
      <c r="AE82" s="245" t="str">
        <f>'Fiches Qualif'!AY85</f>
        <v/>
      </c>
      <c r="AF82" s="245">
        <f>'Fiches Qualif'!AZ85</f>
        <v>53</v>
      </c>
      <c r="AG82" s="245" t="str">
        <f>'Fiches Qualif'!BA85</f>
        <v/>
      </c>
      <c r="AH82" s="245">
        <f>'Fiches Qualif'!BB85</f>
        <v>53</v>
      </c>
      <c r="AI82" s="245" t="str">
        <f>'Fiches Qualif'!BC85</f>
        <v/>
      </c>
      <c r="AJ82" s="245">
        <f>'Fiches Qualif'!BD85</f>
        <v>53</v>
      </c>
      <c r="AK82" s="245" t="str">
        <f>'Fiches Qualif'!BE85</f>
        <v/>
      </c>
      <c r="AL82" s="245">
        <f>'Fiches Qualif'!BF85</f>
        <v>53</v>
      </c>
      <c r="AM82" s="245" t="str">
        <f>'Fiches Qualif'!BG85</f>
        <v/>
      </c>
      <c r="AN82" s="245">
        <f>'Fiches Qualif'!BH85</f>
        <v>53</v>
      </c>
      <c r="AO82" s="245" t="str">
        <f>'Fiches Qualif'!BI85</f>
        <v/>
      </c>
      <c r="AP82" s="245">
        <f>'Fiches Qualif'!BJ85</f>
        <v>53</v>
      </c>
      <c r="AQ82" s="245" t="str">
        <f>'Fiches Qualif'!BK85</f>
        <v/>
      </c>
      <c r="AR82" s="245">
        <f>'Fiches Qualif'!BL85</f>
        <v>53</v>
      </c>
      <c r="AS82" s="245" t="str">
        <f>'Fiches Qualif'!BM85</f>
        <v/>
      </c>
    </row>
    <row r="83" spans="28:45" x14ac:dyDescent="0.2">
      <c r="AB83" s="245">
        <f>'Fiches Qualif'!AV86</f>
        <v>54</v>
      </c>
      <c r="AC83" s="245" t="str">
        <f>'Fiches Qualif'!AW86</f>
        <v/>
      </c>
      <c r="AD83" s="245">
        <f>'Fiches Qualif'!AX86</f>
        <v>54</v>
      </c>
      <c r="AE83" s="245" t="str">
        <f>'Fiches Qualif'!AY86</f>
        <v/>
      </c>
      <c r="AF83" s="245">
        <f>'Fiches Qualif'!AZ86</f>
        <v>54</v>
      </c>
      <c r="AG83" s="245" t="str">
        <f>'Fiches Qualif'!BA86</f>
        <v/>
      </c>
      <c r="AH83" s="245">
        <f>'Fiches Qualif'!BB86</f>
        <v>54</v>
      </c>
      <c r="AI83" s="245" t="str">
        <f>'Fiches Qualif'!BC86</f>
        <v/>
      </c>
      <c r="AJ83" s="245">
        <f>'Fiches Qualif'!BD86</f>
        <v>54</v>
      </c>
      <c r="AK83" s="245" t="str">
        <f>'Fiches Qualif'!BE86</f>
        <v/>
      </c>
      <c r="AL83" s="245">
        <f>'Fiches Qualif'!BF86</f>
        <v>54</v>
      </c>
      <c r="AM83" s="245" t="str">
        <f>'Fiches Qualif'!BG86</f>
        <v/>
      </c>
      <c r="AN83" s="245">
        <f>'Fiches Qualif'!BH86</f>
        <v>54</v>
      </c>
      <c r="AO83" s="245" t="str">
        <f>'Fiches Qualif'!BI86</f>
        <v/>
      </c>
      <c r="AP83" s="245">
        <f>'Fiches Qualif'!BJ86</f>
        <v>54</v>
      </c>
      <c r="AQ83" s="245" t="str">
        <f>'Fiches Qualif'!BK86</f>
        <v/>
      </c>
      <c r="AR83" s="245">
        <f>'Fiches Qualif'!BL86</f>
        <v>54</v>
      </c>
      <c r="AS83" s="245" t="str">
        <f>'Fiches Qualif'!BM86</f>
        <v/>
      </c>
    </row>
    <row r="84" spans="28:45" x14ac:dyDescent="0.2">
      <c r="AB84" s="245">
        <f>'Fiches Qualif'!AV87</f>
        <v>55</v>
      </c>
      <c r="AC84" s="245" t="str">
        <f>'Fiches Qualif'!AW87</f>
        <v/>
      </c>
      <c r="AD84" s="245">
        <f>'Fiches Qualif'!AX87</f>
        <v>55</v>
      </c>
      <c r="AE84" s="245" t="str">
        <f>'Fiches Qualif'!AY87</f>
        <v/>
      </c>
      <c r="AF84" s="245">
        <f>'Fiches Qualif'!AZ87</f>
        <v>55</v>
      </c>
      <c r="AG84" s="245" t="str">
        <f>'Fiches Qualif'!BA87</f>
        <v/>
      </c>
      <c r="AH84" s="245">
        <f>'Fiches Qualif'!BB87</f>
        <v>55</v>
      </c>
      <c r="AI84" s="245" t="str">
        <f>'Fiches Qualif'!BC87</f>
        <v/>
      </c>
      <c r="AJ84" s="245">
        <f>'Fiches Qualif'!BD87</f>
        <v>55</v>
      </c>
      <c r="AK84" s="245" t="str">
        <f>'Fiches Qualif'!BE87</f>
        <v/>
      </c>
      <c r="AL84" s="245">
        <f>'Fiches Qualif'!BF87</f>
        <v>55</v>
      </c>
      <c r="AM84" s="245" t="str">
        <f>'Fiches Qualif'!BG87</f>
        <v/>
      </c>
      <c r="AN84" s="245">
        <f>'Fiches Qualif'!BH87</f>
        <v>55</v>
      </c>
      <c r="AO84" s="245" t="str">
        <f>'Fiches Qualif'!BI87</f>
        <v/>
      </c>
      <c r="AP84" s="245">
        <f>'Fiches Qualif'!BJ87</f>
        <v>55</v>
      </c>
      <c r="AQ84" s="245" t="str">
        <f>'Fiches Qualif'!BK87</f>
        <v/>
      </c>
      <c r="AR84" s="245">
        <f>'Fiches Qualif'!BL87</f>
        <v>55</v>
      </c>
      <c r="AS84" s="245" t="str">
        <f>'Fiches Qualif'!BM87</f>
        <v/>
      </c>
    </row>
    <row r="85" spans="28:45" x14ac:dyDescent="0.2">
      <c r="AB85" s="245">
        <f>'Fiches Qualif'!AV88</f>
        <v>56</v>
      </c>
      <c r="AC85" s="245" t="str">
        <f>'Fiches Qualif'!AW88</f>
        <v/>
      </c>
      <c r="AD85" s="245">
        <f>'Fiches Qualif'!AX88</f>
        <v>56</v>
      </c>
      <c r="AE85" s="245" t="str">
        <f>'Fiches Qualif'!AY88</f>
        <v/>
      </c>
      <c r="AF85" s="245">
        <f>'Fiches Qualif'!AZ88</f>
        <v>56</v>
      </c>
      <c r="AG85" s="245" t="str">
        <f>'Fiches Qualif'!BA88</f>
        <v/>
      </c>
      <c r="AH85" s="245">
        <f>'Fiches Qualif'!BB88</f>
        <v>56</v>
      </c>
      <c r="AI85" s="245" t="str">
        <f>'Fiches Qualif'!BC88</f>
        <v/>
      </c>
      <c r="AJ85" s="245">
        <f>'Fiches Qualif'!BD88</f>
        <v>56</v>
      </c>
      <c r="AK85" s="245" t="str">
        <f>'Fiches Qualif'!BE88</f>
        <v/>
      </c>
      <c r="AL85" s="245">
        <f>'Fiches Qualif'!BF88</f>
        <v>56</v>
      </c>
      <c r="AM85" s="245" t="str">
        <f>'Fiches Qualif'!BG88</f>
        <v/>
      </c>
      <c r="AN85" s="245">
        <f>'Fiches Qualif'!BH88</f>
        <v>56</v>
      </c>
      <c r="AO85" s="245" t="str">
        <f>'Fiches Qualif'!BI88</f>
        <v/>
      </c>
      <c r="AP85" s="245">
        <f>'Fiches Qualif'!BJ88</f>
        <v>56</v>
      </c>
      <c r="AQ85" s="245" t="str">
        <f>'Fiches Qualif'!BK88</f>
        <v/>
      </c>
      <c r="AR85" s="245">
        <f>'Fiches Qualif'!BL88</f>
        <v>56</v>
      </c>
      <c r="AS85" s="245" t="str">
        <f>'Fiches Qualif'!BM88</f>
        <v/>
      </c>
    </row>
    <row r="86" spans="28:45" x14ac:dyDescent="0.2">
      <c r="AB86" s="245">
        <f>'Fiches Qualif'!AV89</f>
        <v>57</v>
      </c>
      <c r="AC86" s="245" t="str">
        <f>'Fiches Qualif'!AW89</f>
        <v/>
      </c>
      <c r="AD86" s="245">
        <f>'Fiches Qualif'!AX89</f>
        <v>57</v>
      </c>
      <c r="AE86" s="245" t="str">
        <f>'Fiches Qualif'!AY89</f>
        <v/>
      </c>
      <c r="AF86" s="245">
        <f>'Fiches Qualif'!AZ89</f>
        <v>57</v>
      </c>
      <c r="AG86" s="245" t="str">
        <f>'Fiches Qualif'!BA89</f>
        <v/>
      </c>
      <c r="AH86" s="245">
        <f>'Fiches Qualif'!BB89</f>
        <v>57</v>
      </c>
      <c r="AI86" s="245" t="str">
        <f>'Fiches Qualif'!BC89</f>
        <v/>
      </c>
      <c r="AJ86" s="245">
        <f>'Fiches Qualif'!BD89</f>
        <v>57</v>
      </c>
      <c r="AK86" s="245" t="str">
        <f>'Fiches Qualif'!BE89</f>
        <v/>
      </c>
      <c r="AL86" s="245">
        <f>'Fiches Qualif'!BF89</f>
        <v>57</v>
      </c>
      <c r="AM86" s="245" t="str">
        <f>'Fiches Qualif'!BG89</f>
        <v/>
      </c>
      <c r="AN86" s="245">
        <f>'Fiches Qualif'!BH89</f>
        <v>57</v>
      </c>
      <c r="AO86" s="245" t="str">
        <f>'Fiches Qualif'!BI89</f>
        <v/>
      </c>
      <c r="AP86" s="245">
        <f>'Fiches Qualif'!BJ89</f>
        <v>57</v>
      </c>
      <c r="AQ86" s="245" t="str">
        <f>'Fiches Qualif'!BK89</f>
        <v/>
      </c>
      <c r="AR86" s="245">
        <f>'Fiches Qualif'!BL89</f>
        <v>57</v>
      </c>
      <c r="AS86" s="245" t="str">
        <f>'Fiches Qualif'!BM89</f>
        <v/>
      </c>
    </row>
    <row r="87" spans="28:45" x14ac:dyDescent="0.2">
      <c r="AB87" s="245">
        <f>'Fiches Qualif'!AV90</f>
        <v>58</v>
      </c>
      <c r="AC87" s="245" t="str">
        <f>'Fiches Qualif'!AW90</f>
        <v/>
      </c>
      <c r="AD87" s="245">
        <f>'Fiches Qualif'!AX90</f>
        <v>58</v>
      </c>
      <c r="AE87" s="245" t="str">
        <f>'Fiches Qualif'!AY90</f>
        <v/>
      </c>
      <c r="AF87" s="245">
        <f>'Fiches Qualif'!AZ90</f>
        <v>58</v>
      </c>
      <c r="AG87" s="245" t="str">
        <f>'Fiches Qualif'!BA90</f>
        <v/>
      </c>
      <c r="AH87" s="245">
        <f>'Fiches Qualif'!BB90</f>
        <v>58</v>
      </c>
      <c r="AI87" s="245" t="str">
        <f>'Fiches Qualif'!BC90</f>
        <v/>
      </c>
      <c r="AJ87" s="245">
        <f>'Fiches Qualif'!BD90</f>
        <v>58</v>
      </c>
      <c r="AK87" s="245" t="str">
        <f>'Fiches Qualif'!BE90</f>
        <v/>
      </c>
      <c r="AL87" s="245">
        <f>'Fiches Qualif'!BF90</f>
        <v>58</v>
      </c>
      <c r="AM87" s="245" t="str">
        <f>'Fiches Qualif'!BG90</f>
        <v/>
      </c>
      <c r="AN87" s="245">
        <f>'Fiches Qualif'!BH90</f>
        <v>58</v>
      </c>
      <c r="AO87" s="245" t="str">
        <f>'Fiches Qualif'!BI90</f>
        <v/>
      </c>
      <c r="AP87" s="245">
        <f>'Fiches Qualif'!BJ90</f>
        <v>58</v>
      </c>
      <c r="AQ87" s="245" t="str">
        <f>'Fiches Qualif'!BK90</f>
        <v/>
      </c>
      <c r="AR87" s="245">
        <f>'Fiches Qualif'!BL90</f>
        <v>58</v>
      </c>
      <c r="AS87" s="245" t="str">
        <f>'Fiches Qualif'!BM90</f>
        <v/>
      </c>
    </row>
    <row r="88" spans="28:45" x14ac:dyDescent="0.2">
      <c r="AB88" s="245">
        <f>'Fiches Qualif'!AV91</f>
        <v>59</v>
      </c>
      <c r="AC88" s="245" t="str">
        <f>'Fiches Qualif'!AW91</f>
        <v/>
      </c>
      <c r="AD88" s="245">
        <f>'Fiches Qualif'!AX91</f>
        <v>59</v>
      </c>
      <c r="AE88" s="245" t="str">
        <f>'Fiches Qualif'!AY91</f>
        <v/>
      </c>
      <c r="AF88" s="245">
        <f>'Fiches Qualif'!AZ91</f>
        <v>59</v>
      </c>
      <c r="AG88" s="245" t="str">
        <f>'Fiches Qualif'!BA91</f>
        <v/>
      </c>
      <c r="AH88" s="245">
        <f>'Fiches Qualif'!BB91</f>
        <v>59</v>
      </c>
      <c r="AI88" s="245" t="str">
        <f>'Fiches Qualif'!BC91</f>
        <v/>
      </c>
      <c r="AJ88" s="245">
        <f>'Fiches Qualif'!BD91</f>
        <v>59</v>
      </c>
      <c r="AK88" s="245" t="str">
        <f>'Fiches Qualif'!BE91</f>
        <v/>
      </c>
      <c r="AL88" s="245">
        <f>'Fiches Qualif'!BF91</f>
        <v>59</v>
      </c>
      <c r="AM88" s="245" t="str">
        <f>'Fiches Qualif'!BG91</f>
        <v/>
      </c>
      <c r="AN88" s="245">
        <f>'Fiches Qualif'!BH91</f>
        <v>59</v>
      </c>
      <c r="AO88" s="245" t="str">
        <f>'Fiches Qualif'!BI91</f>
        <v/>
      </c>
      <c r="AP88" s="245">
        <f>'Fiches Qualif'!BJ91</f>
        <v>59</v>
      </c>
      <c r="AQ88" s="245" t="str">
        <f>'Fiches Qualif'!BK91</f>
        <v/>
      </c>
      <c r="AR88" s="245">
        <f>'Fiches Qualif'!BL91</f>
        <v>59</v>
      </c>
      <c r="AS88" s="245" t="str">
        <f>'Fiches Qualif'!BM91</f>
        <v/>
      </c>
    </row>
    <row r="89" spans="28:45" x14ac:dyDescent="0.2">
      <c r="AB89" s="245">
        <f>'Fiches Qualif'!AV92</f>
        <v>60</v>
      </c>
      <c r="AC89" s="245" t="str">
        <f>'Fiches Qualif'!AW92</f>
        <v/>
      </c>
      <c r="AD89" s="245">
        <f>'Fiches Qualif'!AX92</f>
        <v>60</v>
      </c>
      <c r="AE89" s="245" t="str">
        <f>'Fiches Qualif'!AY92</f>
        <v/>
      </c>
      <c r="AF89" s="245">
        <f>'Fiches Qualif'!AZ92</f>
        <v>60</v>
      </c>
      <c r="AG89" s="245" t="str">
        <f>'Fiches Qualif'!BA92</f>
        <v/>
      </c>
      <c r="AH89" s="245">
        <f>'Fiches Qualif'!BB92</f>
        <v>60</v>
      </c>
      <c r="AI89" s="245" t="str">
        <f>'Fiches Qualif'!BC92</f>
        <v/>
      </c>
      <c r="AJ89" s="245">
        <f>'Fiches Qualif'!BD92</f>
        <v>60</v>
      </c>
      <c r="AK89" s="245" t="str">
        <f>'Fiches Qualif'!BE92</f>
        <v/>
      </c>
      <c r="AL89" s="245">
        <f>'Fiches Qualif'!BF92</f>
        <v>60</v>
      </c>
      <c r="AM89" s="245" t="str">
        <f>'Fiches Qualif'!BG92</f>
        <v/>
      </c>
      <c r="AN89" s="245">
        <f>'Fiches Qualif'!BH92</f>
        <v>60</v>
      </c>
      <c r="AO89" s="245" t="str">
        <f>'Fiches Qualif'!BI92</f>
        <v/>
      </c>
      <c r="AP89" s="245">
        <f>'Fiches Qualif'!BJ92</f>
        <v>60</v>
      </c>
      <c r="AQ89" s="245" t="str">
        <f>'Fiches Qualif'!BK92</f>
        <v/>
      </c>
      <c r="AR89" s="245">
        <f>'Fiches Qualif'!BL92</f>
        <v>60</v>
      </c>
      <c r="AS89" s="245" t="str">
        <f>'Fiches Qualif'!BM92</f>
        <v/>
      </c>
    </row>
    <row r="90" spans="28:45" x14ac:dyDescent="0.2">
      <c r="AB90" s="245">
        <f>'Fiches Qualif'!AV93</f>
        <v>61</v>
      </c>
      <c r="AC90" s="245" t="str">
        <f>'Fiches Qualif'!AW93</f>
        <v/>
      </c>
      <c r="AD90" s="245">
        <f>'Fiches Qualif'!AX93</f>
        <v>61</v>
      </c>
      <c r="AE90" s="245" t="str">
        <f>'Fiches Qualif'!AY93</f>
        <v/>
      </c>
      <c r="AF90" s="245">
        <f>'Fiches Qualif'!AZ93</f>
        <v>61</v>
      </c>
      <c r="AG90" s="245" t="str">
        <f>'Fiches Qualif'!BA93</f>
        <v/>
      </c>
      <c r="AH90" s="245">
        <f>'Fiches Qualif'!BB93</f>
        <v>61</v>
      </c>
      <c r="AI90" s="245" t="str">
        <f>'Fiches Qualif'!BC93</f>
        <v/>
      </c>
      <c r="AJ90" s="245">
        <f>'Fiches Qualif'!BD93</f>
        <v>61</v>
      </c>
      <c r="AK90" s="245" t="str">
        <f>'Fiches Qualif'!BE93</f>
        <v/>
      </c>
      <c r="AL90" s="245">
        <f>'Fiches Qualif'!BF93</f>
        <v>61</v>
      </c>
      <c r="AM90" s="245" t="str">
        <f>'Fiches Qualif'!BG93</f>
        <v/>
      </c>
      <c r="AN90" s="245">
        <f>'Fiches Qualif'!BH93</f>
        <v>61</v>
      </c>
      <c r="AO90" s="245" t="str">
        <f>'Fiches Qualif'!BI93</f>
        <v/>
      </c>
      <c r="AP90" s="245">
        <f>'Fiches Qualif'!BJ93</f>
        <v>61</v>
      </c>
      <c r="AQ90" s="245" t="str">
        <f>'Fiches Qualif'!BK93</f>
        <v/>
      </c>
      <c r="AR90" s="245">
        <f>'Fiches Qualif'!BL93</f>
        <v>61</v>
      </c>
      <c r="AS90" s="245" t="str">
        <f>'Fiches Qualif'!BM93</f>
        <v/>
      </c>
    </row>
    <row r="91" spans="28:45" x14ac:dyDescent="0.2">
      <c r="AB91" s="245">
        <f>'Fiches Qualif'!AV94</f>
        <v>62</v>
      </c>
      <c r="AC91" s="245" t="str">
        <f>'Fiches Qualif'!AW94</f>
        <v/>
      </c>
      <c r="AD91" s="245">
        <f>'Fiches Qualif'!AX94</f>
        <v>62</v>
      </c>
      <c r="AE91" s="245" t="str">
        <f>'Fiches Qualif'!AY94</f>
        <v/>
      </c>
      <c r="AF91" s="245">
        <f>'Fiches Qualif'!AZ94</f>
        <v>62</v>
      </c>
      <c r="AG91" s="245" t="str">
        <f>'Fiches Qualif'!BA94</f>
        <v/>
      </c>
      <c r="AH91" s="245">
        <f>'Fiches Qualif'!BB94</f>
        <v>62</v>
      </c>
      <c r="AI91" s="245" t="str">
        <f>'Fiches Qualif'!BC94</f>
        <v/>
      </c>
      <c r="AJ91" s="245">
        <f>'Fiches Qualif'!BD94</f>
        <v>62</v>
      </c>
      <c r="AK91" s="245" t="str">
        <f>'Fiches Qualif'!BE94</f>
        <v/>
      </c>
      <c r="AL91" s="245">
        <f>'Fiches Qualif'!BF94</f>
        <v>62</v>
      </c>
      <c r="AM91" s="245" t="str">
        <f>'Fiches Qualif'!BG94</f>
        <v/>
      </c>
      <c r="AN91" s="245">
        <f>'Fiches Qualif'!BH94</f>
        <v>62</v>
      </c>
      <c r="AO91" s="245" t="str">
        <f>'Fiches Qualif'!BI94</f>
        <v/>
      </c>
      <c r="AP91" s="245">
        <f>'Fiches Qualif'!BJ94</f>
        <v>62</v>
      </c>
      <c r="AQ91" s="245" t="str">
        <f>'Fiches Qualif'!BK94</f>
        <v/>
      </c>
      <c r="AR91" s="245">
        <f>'Fiches Qualif'!BL94</f>
        <v>62</v>
      </c>
      <c r="AS91" s="245" t="str">
        <f>'Fiches Qualif'!BM94</f>
        <v/>
      </c>
    </row>
    <row r="92" spans="28:45" x14ac:dyDescent="0.2">
      <c r="AB92" s="245">
        <f>'Fiches Qualif'!AV95</f>
        <v>63</v>
      </c>
      <c r="AC92" s="245" t="str">
        <f>'Fiches Qualif'!AW95</f>
        <v/>
      </c>
      <c r="AD92" s="245">
        <f>'Fiches Qualif'!AX95</f>
        <v>63</v>
      </c>
      <c r="AE92" s="245" t="str">
        <f>'Fiches Qualif'!AY95</f>
        <v/>
      </c>
      <c r="AF92" s="245">
        <f>'Fiches Qualif'!AZ95</f>
        <v>63</v>
      </c>
      <c r="AG92" s="245" t="str">
        <f>'Fiches Qualif'!BA95</f>
        <v/>
      </c>
      <c r="AH92" s="245">
        <f>'Fiches Qualif'!BB95</f>
        <v>63</v>
      </c>
      <c r="AI92" s="245" t="str">
        <f>'Fiches Qualif'!BC95</f>
        <v/>
      </c>
      <c r="AJ92" s="245">
        <f>'Fiches Qualif'!BD95</f>
        <v>63</v>
      </c>
      <c r="AK92" s="245" t="str">
        <f>'Fiches Qualif'!BE95</f>
        <v/>
      </c>
      <c r="AL92" s="245">
        <f>'Fiches Qualif'!BF95</f>
        <v>63</v>
      </c>
      <c r="AM92" s="245" t="str">
        <f>'Fiches Qualif'!BG95</f>
        <v/>
      </c>
      <c r="AN92" s="245">
        <f>'Fiches Qualif'!BH95</f>
        <v>63</v>
      </c>
      <c r="AO92" s="245" t="str">
        <f>'Fiches Qualif'!BI95</f>
        <v/>
      </c>
      <c r="AP92" s="245">
        <f>'Fiches Qualif'!BJ95</f>
        <v>63</v>
      </c>
      <c r="AQ92" s="245" t="str">
        <f>'Fiches Qualif'!BK95</f>
        <v/>
      </c>
      <c r="AR92" s="245">
        <f>'Fiches Qualif'!BL95</f>
        <v>63</v>
      </c>
      <c r="AS92" s="245" t="str">
        <f>'Fiches Qualif'!BM95</f>
        <v/>
      </c>
    </row>
    <row r="93" spans="28:45" x14ac:dyDescent="0.2">
      <c r="AB93" s="245">
        <f>'Fiches Qualif'!AV96</f>
        <v>64</v>
      </c>
      <c r="AC93" s="245" t="str">
        <f>'Fiches Qualif'!AW96</f>
        <v/>
      </c>
      <c r="AD93" s="245">
        <f>'Fiches Qualif'!AX96</f>
        <v>64</v>
      </c>
      <c r="AE93" s="245" t="str">
        <f>'Fiches Qualif'!AY96</f>
        <v/>
      </c>
      <c r="AF93" s="245">
        <f>'Fiches Qualif'!AZ96</f>
        <v>64</v>
      </c>
      <c r="AG93" s="245" t="str">
        <f>'Fiches Qualif'!BA96</f>
        <v/>
      </c>
      <c r="AH93" s="245">
        <f>'Fiches Qualif'!BB96</f>
        <v>64</v>
      </c>
      <c r="AI93" s="245" t="str">
        <f>'Fiches Qualif'!BC96</f>
        <v/>
      </c>
      <c r="AJ93" s="245">
        <f>'Fiches Qualif'!BD96</f>
        <v>64</v>
      </c>
      <c r="AK93" s="245" t="str">
        <f>'Fiches Qualif'!BE96</f>
        <v/>
      </c>
      <c r="AL93" s="245">
        <f>'Fiches Qualif'!BF96</f>
        <v>64</v>
      </c>
      <c r="AM93" s="245" t="str">
        <f>'Fiches Qualif'!BG96</f>
        <v/>
      </c>
      <c r="AN93" s="245">
        <f>'Fiches Qualif'!BH96</f>
        <v>64</v>
      </c>
      <c r="AO93" s="245" t="str">
        <f>'Fiches Qualif'!BI96</f>
        <v/>
      </c>
      <c r="AP93" s="245">
        <f>'Fiches Qualif'!BJ96</f>
        <v>64</v>
      </c>
      <c r="AQ93" s="245" t="str">
        <f>'Fiches Qualif'!BK96</f>
        <v/>
      </c>
      <c r="AR93" s="245">
        <f>'Fiches Qualif'!BL96</f>
        <v>64</v>
      </c>
      <c r="AS93" s="245" t="str">
        <f>'Fiches Qualif'!BM96</f>
        <v/>
      </c>
    </row>
    <row r="94" spans="28:45" x14ac:dyDescent="0.2">
      <c r="AB94" s="245">
        <f>'Fiches Qualif'!AV97</f>
        <v>65</v>
      </c>
      <c r="AC94" s="245" t="str">
        <f>'Fiches Qualif'!AW97</f>
        <v/>
      </c>
      <c r="AD94" s="245">
        <f>'Fiches Qualif'!AX97</f>
        <v>65</v>
      </c>
      <c r="AE94" s="245" t="str">
        <f>'Fiches Qualif'!AY97</f>
        <v/>
      </c>
      <c r="AF94" s="245">
        <f>'Fiches Qualif'!AZ97</f>
        <v>65</v>
      </c>
      <c r="AG94" s="245" t="str">
        <f>'Fiches Qualif'!BA97</f>
        <v/>
      </c>
      <c r="AH94" s="245">
        <f>'Fiches Qualif'!BB97</f>
        <v>65</v>
      </c>
      <c r="AI94" s="245" t="str">
        <f>'Fiches Qualif'!BC97</f>
        <v/>
      </c>
      <c r="AJ94" s="245">
        <f>'Fiches Qualif'!BD97</f>
        <v>65</v>
      </c>
      <c r="AK94" s="245" t="str">
        <f>'Fiches Qualif'!BE97</f>
        <v/>
      </c>
      <c r="AL94" s="245">
        <f>'Fiches Qualif'!BF97</f>
        <v>65</v>
      </c>
      <c r="AM94" s="245" t="str">
        <f>'Fiches Qualif'!BG97</f>
        <v/>
      </c>
      <c r="AN94" s="245">
        <f>'Fiches Qualif'!BH97</f>
        <v>65</v>
      </c>
      <c r="AO94" s="245" t="str">
        <f>'Fiches Qualif'!BI97</f>
        <v/>
      </c>
      <c r="AP94" s="245">
        <f>'Fiches Qualif'!BJ97</f>
        <v>65</v>
      </c>
      <c r="AQ94" s="245" t="str">
        <f>'Fiches Qualif'!BK97</f>
        <v/>
      </c>
      <c r="AR94" s="245">
        <f>'Fiches Qualif'!BL97</f>
        <v>65</v>
      </c>
      <c r="AS94" s="245" t="str">
        <f>'Fiches Qualif'!BM97</f>
        <v/>
      </c>
    </row>
    <row r="95" spans="28:45" x14ac:dyDescent="0.2">
      <c r="AB95" s="245">
        <f>'Fiches Qualif'!AV98</f>
        <v>66</v>
      </c>
      <c r="AC95" s="245" t="str">
        <f>'Fiches Qualif'!AW98</f>
        <v/>
      </c>
      <c r="AD95" s="245">
        <f>'Fiches Qualif'!AX98</f>
        <v>66</v>
      </c>
      <c r="AE95" s="245" t="str">
        <f>'Fiches Qualif'!AY98</f>
        <v/>
      </c>
      <c r="AF95" s="245">
        <f>'Fiches Qualif'!AZ98</f>
        <v>66</v>
      </c>
      <c r="AG95" s="245" t="str">
        <f>'Fiches Qualif'!BA98</f>
        <v/>
      </c>
      <c r="AH95" s="245">
        <f>'Fiches Qualif'!BB98</f>
        <v>66</v>
      </c>
      <c r="AI95" s="245" t="str">
        <f>'Fiches Qualif'!BC98</f>
        <v/>
      </c>
      <c r="AJ95" s="245">
        <f>'Fiches Qualif'!BD98</f>
        <v>66</v>
      </c>
      <c r="AK95" s="245" t="str">
        <f>'Fiches Qualif'!BE98</f>
        <v/>
      </c>
      <c r="AL95" s="245">
        <f>'Fiches Qualif'!BF98</f>
        <v>66</v>
      </c>
      <c r="AM95" s="245" t="str">
        <f>'Fiches Qualif'!BG98</f>
        <v/>
      </c>
      <c r="AN95" s="245">
        <f>'Fiches Qualif'!BH98</f>
        <v>66</v>
      </c>
      <c r="AO95" s="245" t="str">
        <f>'Fiches Qualif'!BI98</f>
        <v/>
      </c>
      <c r="AP95" s="245">
        <f>'Fiches Qualif'!BJ98</f>
        <v>66</v>
      </c>
      <c r="AQ95" s="245" t="str">
        <f>'Fiches Qualif'!BK98</f>
        <v/>
      </c>
      <c r="AR95" s="245">
        <f>'Fiches Qualif'!BL98</f>
        <v>66</v>
      </c>
      <c r="AS95" s="245" t="str">
        <f>'Fiches Qualif'!BM98</f>
        <v/>
      </c>
    </row>
    <row r="96" spans="28:45" x14ac:dyDescent="0.2">
      <c r="AB96" s="245">
        <f>'Fiches Qualif'!AV99</f>
        <v>67</v>
      </c>
      <c r="AC96" s="245" t="str">
        <f>'Fiches Qualif'!AW99</f>
        <v/>
      </c>
      <c r="AD96" s="245">
        <f>'Fiches Qualif'!AX99</f>
        <v>67</v>
      </c>
      <c r="AE96" s="245" t="str">
        <f>'Fiches Qualif'!AY99</f>
        <v/>
      </c>
      <c r="AF96" s="245">
        <f>'Fiches Qualif'!AZ99</f>
        <v>67</v>
      </c>
      <c r="AG96" s="245" t="str">
        <f>'Fiches Qualif'!BA99</f>
        <v/>
      </c>
      <c r="AH96" s="245">
        <f>'Fiches Qualif'!BB99</f>
        <v>67</v>
      </c>
      <c r="AI96" s="245" t="str">
        <f>'Fiches Qualif'!BC99</f>
        <v/>
      </c>
      <c r="AJ96" s="245">
        <f>'Fiches Qualif'!BD99</f>
        <v>67</v>
      </c>
      <c r="AK96" s="245" t="str">
        <f>'Fiches Qualif'!BE99</f>
        <v/>
      </c>
      <c r="AL96" s="245">
        <f>'Fiches Qualif'!BF99</f>
        <v>67</v>
      </c>
      <c r="AM96" s="245" t="str">
        <f>'Fiches Qualif'!BG99</f>
        <v/>
      </c>
      <c r="AN96" s="245">
        <f>'Fiches Qualif'!BH99</f>
        <v>67</v>
      </c>
      <c r="AO96" s="245" t="str">
        <f>'Fiches Qualif'!BI99</f>
        <v/>
      </c>
      <c r="AP96" s="245">
        <f>'Fiches Qualif'!BJ99</f>
        <v>67</v>
      </c>
      <c r="AQ96" s="245" t="str">
        <f>'Fiches Qualif'!BK99</f>
        <v/>
      </c>
      <c r="AR96" s="245">
        <f>'Fiches Qualif'!BL99</f>
        <v>67</v>
      </c>
      <c r="AS96" s="245" t="str">
        <f>'Fiches Qualif'!BM99</f>
        <v/>
      </c>
    </row>
    <row r="97" spans="28:45" x14ac:dyDescent="0.2">
      <c r="AB97" s="245">
        <f>'Fiches Qualif'!AV100</f>
        <v>68</v>
      </c>
      <c r="AC97" s="245" t="str">
        <f>'Fiches Qualif'!AW100</f>
        <v/>
      </c>
      <c r="AD97" s="245">
        <f>'Fiches Qualif'!AX100</f>
        <v>68</v>
      </c>
      <c r="AE97" s="245" t="str">
        <f>'Fiches Qualif'!AY100</f>
        <v/>
      </c>
      <c r="AF97" s="245">
        <f>'Fiches Qualif'!AZ100</f>
        <v>68</v>
      </c>
      <c r="AG97" s="245" t="str">
        <f>'Fiches Qualif'!BA100</f>
        <v/>
      </c>
      <c r="AH97" s="245">
        <f>'Fiches Qualif'!BB100</f>
        <v>68</v>
      </c>
      <c r="AI97" s="245" t="str">
        <f>'Fiches Qualif'!BC100</f>
        <v/>
      </c>
      <c r="AJ97" s="245">
        <f>'Fiches Qualif'!BD100</f>
        <v>68</v>
      </c>
      <c r="AK97" s="245" t="str">
        <f>'Fiches Qualif'!BE100</f>
        <v/>
      </c>
      <c r="AL97" s="245">
        <f>'Fiches Qualif'!BF100</f>
        <v>68</v>
      </c>
      <c r="AM97" s="245" t="str">
        <f>'Fiches Qualif'!BG100</f>
        <v/>
      </c>
      <c r="AN97" s="245">
        <f>'Fiches Qualif'!BH100</f>
        <v>68</v>
      </c>
      <c r="AO97" s="245" t="str">
        <f>'Fiches Qualif'!BI100</f>
        <v/>
      </c>
      <c r="AP97" s="245">
        <f>'Fiches Qualif'!BJ100</f>
        <v>68</v>
      </c>
      <c r="AQ97" s="245" t="str">
        <f>'Fiches Qualif'!BK100</f>
        <v/>
      </c>
      <c r="AR97" s="245">
        <f>'Fiches Qualif'!BL100</f>
        <v>68</v>
      </c>
      <c r="AS97" s="245" t="str">
        <f>'Fiches Qualif'!BM100</f>
        <v/>
      </c>
    </row>
    <row r="98" spans="28:45" x14ac:dyDescent="0.2">
      <c r="AB98" s="245">
        <f>'Fiches Qualif'!AV101</f>
        <v>69</v>
      </c>
      <c r="AC98" s="245" t="str">
        <f>'Fiches Qualif'!AW101</f>
        <v/>
      </c>
      <c r="AD98" s="245">
        <f>'Fiches Qualif'!AX101</f>
        <v>69</v>
      </c>
      <c r="AE98" s="245" t="str">
        <f>'Fiches Qualif'!AY101</f>
        <v/>
      </c>
      <c r="AF98" s="245">
        <f>'Fiches Qualif'!AZ101</f>
        <v>69</v>
      </c>
      <c r="AG98" s="245" t="str">
        <f>'Fiches Qualif'!BA101</f>
        <v/>
      </c>
      <c r="AH98" s="245">
        <f>'Fiches Qualif'!BB101</f>
        <v>69</v>
      </c>
      <c r="AI98" s="245" t="str">
        <f>'Fiches Qualif'!BC101</f>
        <v/>
      </c>
      <c r="AJ98" s="245">
        <f>'Fiches Qualif'!BD101</f>
        <v>69</v>
      </c>
      <c r="AK98" s="245" t="str">
        <f>'Fiches Qualif'!BE101</f>
        <v/>
      </c>
      <c r="AL98" s="245">
        <f>'Fiches Qualif'!BF101</f>
        <v>69</v>
      </c>
      <c r="AM98" s="245" t="str">
        <f>'Fiches Qualif'!BG101</f>
        <v/>
      </c>
      <c r="AN98" s="245">
        <f>'Fiches Qualif'!BH101</f>
        <v>69</v>
      </c>
      <c r="AO98" s="245" t="str">
        <f>'Fiches Qualif'!BI101</f>
        <v/>
      </c>
      <c r="AP98" s="245">
        <f>'Fiches Qualif'!BJ101</f>
        <v>69</v>
      </c>
      <c r="AQ98" s="245" t="str">
        <f>'Fiches Qualif'!BK101</f>
        <v/>
      </c>
      <c r="AR98" s="245">
        <f>'Fiches Qualif'!BL101</f>
        <v>69</v>
      </c>
      <c r="AS98" s="245" t="str">
        <f>'Fiches Qualif'!BM101</f>
        <v/>
      </c>
    </row>
    <row r="99" spans="28:45" x14ac:dyDescent="0.2">
      <c r="AB99" s="245">
        <f>'Fiches Qualif'!AV102</f>
        <v>70</v>
      </c>
      <c r="AC99" s="245" t="str">
        <f>'Fiches Qualif'!AW102</f>
        <v/>
      </c>
      <c r="AD99" s="245">
        <f>'Fiches Qualif'!AX102</f>
        <v>70</v>
      </c>
      <c r="AE99" s="245" t="str">
        <f>'Fiches Qualif'!AY102</f>
        <v/>
      </c>
      <c r="AF99" s="245">
        <f>'Fiches Qualif'!AZ102</f>
        <v>70</v>
      </c>
      <c r="AG99" s="245" t="str">
        <f>'Fiches Qualif'!BA102</f>
        <v/>
      </c>
      <c r="AH99" s="245">
        <f>'Fiches Qualif'!BB102</f>
        <v>70</v>
      </c>
      <c r="AI99" s="245" t="str">
        <f>'Fiches Qualif'!BC102</f>
        <v/>
      </c>
      <c r="AJ99" s="245">
        <f>'Fiches Qualif'!BD102</f>
        <v>70</v>
      </c>
      <c r="AK99" s="245" t="str">
        <f>'Fiches Qualif'!BE102</f>
        <v/>
      </c>
      <c r="AL99" s="245">
        <f>'Fiches Qualif'!BF102</f>
        <v>70</v>
      </c>
      <c r="AM99" s="245" t="str">
        <f>'Fiches Qualif'!BG102</f>
        <v/>
      </c>
      <c r="AN99" s="245">
        <f>'Fiches Qualif'!BH102</f>
        <v>70</v>
      </c>
      <c r="AO99" s="245" t="str">
        <f>'Fiches Qualif'!BI102</f>
        <v/>
      </c>
      <c r="AP99" s="245">
        <f>'Fiches Qualif'!BJ102</f>
        <v>70</v>
      </c>
      <c r="AQ99" s="245" t="str">
        <f>'Fiches Qualif'!BK102</f>
        <v/>
      </c>
      <c r="AR99" s="245">
        <f>'Fiches Qualif'!BL102</f>
        <v>70</v>
      </c>
      <c r="AS99" s="245" t="str">
        <f>'Fiches Qualif'!BM102</f>
        <v/>
      </c>
    </row>
    <row r="100" spans="28:45" x14ac:dyDescent="0.2">
      <c r="AB100" s="245">
        <f>'Fiches Qualif'!AV103</f>
        <v>71</v>
      </c>
      <c r="AC100" s="245" t="str">
        <f>'Fiches Qualif'!AW103</f>
        <v/>
      </c>
      <c r="AD100" s="245">
        <f>'Fiches Qualif'!AX103</f>
        <v>71</v>
      </c>
      <c r="AE100" s="245" t="str">
        <f>'Fiches Qualif'!AY103</f>
        <v/>
      </c>
      <c r="AF100" s="245">
        <f>'Fiches Qualif'!AZ103</f>
        <v>71</v>
      </c>
      <c r="AG100" s="245" t="str">
        <f>'Fiches Qualif'!BA103</f>
        <v/>
      </c>
      <c r="AH100" s="245">
        <f>'Fiches Qualif'!BB103</f>
        <v>71</v>
      </c>
      <c r="AI100" s="245" t="str">
        <f>'Fiches Qualif'!BC103</f>
        <v/>
      </c>
      <c r="AJ100" s="245">
        <f>'Fiches Qualif'!BD103</f>
        <v>71</v>
      </c>
      <c r="AK100" s="245" t="str">
        <f>'Fiches Qualif'!BE103</f>
        <v/>
      </c>
      <c r="AL100" s="245">
        <f>'Fiches Qualif'!BF103</f>
        <v>71</v>
      </c>
      <c r="AM100" s="245" t="str">
        <f>'Fiches Qualif'!BG103</f>
        <v/>
      </c>
      <c r="AN100" s="245">
        <f>'Fiches Qualif'!BH103</f>
        <v>71</v>
      </c>
      <c r="AO100" s="245" t="str">
        <f>'Fiches Qualif'!BI103</f>
        <v/>
      </c>
      <c r="AP100" s="245">
        <f>'Fiches Qualif'!BJ103</f>
        <v>71</v>
      </c>
      <c r="AQ100" s="245" t="str">
        <f>'Fiches Qualif'!BK103</f>
        <v/>
      </c>
      <c r="AR100" s="245">
        <f>'Fiches Qualif'!BL103</f>
        <v>71</v>
      </c>
      <c r="AS100" s="245" t="str">
        <f>'Fiches Qualif'!BM103</f>
        <v/>
      </c>
    </row>
    <row r="101" spans="28:45" x14ac:dyDescent="0.2">
      <c r="AB101" s="245">
        <f>'Fiches Qualif'!AV104</f>
        <v>72</v>
      </c>
      <c r="AC101" s="245" t="str">
        <f>'Fiches Qualif'!AW104</f>
        <v/>
      </c>
      <c r="AD101" s="245">
        <f>'Fiches Qualif'!AX104</f>
        <v>72</v>
      </c>
      <c r="AE101" s="245" t="str">
        <f>'Fiches Qualif'!AY104</f>
        <v/>
      </c>
      <c r="AF101" s="245">
        <f>'Fiches Qualif'!AZ104</f>
        <v>72</v>
      </c>
      <c r="AG101" s="245" t="str">
        <f>'Fiches Qualif'!BA104</f>
        <v/>
      </c>
      <c r="AH101" s="245">
        <f>'Fiches Qualif'!BB104</f>
        <v>72</v>
      </c>
      <c r="AI101" s="245" t="str">
        <f>'Fiches Qualif'!BC104</f>
        <v/>
      </c>
      <c r="AJ101" s="245">
        <f>'Fiches Qualif'!BD104</f>
        <v>72</v>
      </c>
      <c r="AK101" s="245" t="str">
        <f>'Fiches Qualif'!BE104</f>
        <v/>
      </c>
      <c r="AL101" s="245">
        <f>'Fiches Qualif'!BF104</f>
        <v>72</v>
      </c>
      <c r="AM101" s="245" t="str">
        <f>'Fiches Qualif'!BG104</f>
        <v/>
      </c>
      <c r="AN101" s="245">
        <f>'Fiches Qualif'!BH104</f>
        <v>72</v>
      </c>
      <c r="AO101" s="245" t="str">
        <f>'Fiches Qualif'!BI104</f>
        <v/>
      </c>
      <c r="AP101" s="245">
        <f>'Fiches Qualif'!BJ104</f>
        <v>72</v>
      </c>
      <c r="AQ101" s="245" t="str">
        <f>'Fiches Qualif'!BK104</f>
        <v/>
      </c>
      <c r="AR101" s="245">
        <f>'Fiches Qualif'!BL104</f>
        <v>72</v>
      </c>
      <c r="AS101" s="245" t="str">
        <f>'Fiches Qualif'!BM104</f>
        <v/>
      </c>
    </row>
    <row r="102" spans="28:45" x14ac:dyDescent="0.2">
      <c r="AB102" s="245">
        <f>'Fiches Qualif'!AV105</f>
        <v>73</v>
      </c>
      <c r="AC102" s="217" t="str">
        <f>'Fiches Qualif'!AW105</f>
        <v/>
      </c>
      <c r="AD102" s="245">
        <f>'Fiches Qualif'!AX105</f>
        <v>73</v>
      </c>
      <c r="AE102" s="217" t="str">
        <f>'Fiches Qualif'!AY105</f>
        <v/>
      </c>
      <c r="AF102" s="245">
        <f>'Fiches Qualif'!AZ105</f>
        <v>73</v>
      </c>
      <c r="AG102" s="217" t="str">
        <f>'Fiches Qualif'!BA105</f>
        <v/>
      </c>
      <c r="AH102" s="245">
        <f>'Fiches Qualif'!BB105</f>
        <v>73</v>
      </c>
      <c r="AI102" s="217" t="str">
        <f>'Fiches Qualif'!BC105</f>
        <v/>
      </c>
      <c r="AJ102" s="245">
        <f>'Fiches Qualif'!BD105</f>
        <v>73</v>
      </c>
      <c r="AK102" s="217" t="str">
        <f>'Fiches Qualif'!BE105</f>
        <v/>
      </c>
      <c r="AL102" s="245">
        <f>'Fiches Qualif'!BF105</f>
        <v>73</v>
      </c>
      <c r="AM102" s="217" t="str">
        <f>'Fiches Qualif'!BG105</f>
        <v/>
      </c>
      <c r="AN102" s="245">
        <f>'Fiches Qualif'!BH105</f>
        <v>73</v>
      </c>
      <c r="AO102" s="217" t="str">
        <f>'Fiches Qualif'!BI105</f>
        <v/>
      </c>
      <c r="AP102" s="245">
        <f>'Fiches Qualif'!BJ105</f>
        <v>73</v>
      </c>
      <c r="AQ102" s="217" t="str">
        <f>'Fiches Qualif'!BK105</f>
        <v/>
      </c>
      <c r="AR102" s="245">
        <f>'Fiches Qualif'!BL105</f>
        <v>73</v>
      </c>
      <c r="AS102" s="245" t="str">
        <f>'Fiches Qualif'!BM105</f>
        <v/>
      </c>
    </row>
    <row r="103" spans="28:45" x14ac:dyDescent="0.2">
      <c r="AB103" s="245">
        <f>'Fiches Qualif'!AV106</f>
        <v>74</v>
      </c>
      <c r="AC103" s="217" t="str">
        <f>'Fiches Qualif'!AW106</f>
        <v/>
      </c>
      <c r="AD103" s="245">
        <f>'Fiches Qualif'!AX106</f>
        <v>74</v>
      </c>
      <c r="AE103" s="217" t="str">
        <f>'Fiches Qualif'!AY106</f>
        <v/>
      </c>
      <c r="AF103" s="245">
        <f>'Fiches Qualif'!AZ106</f>
        <v>74</v>
      </c>
      <c r="AG103" s="217" t="str">
        <f>'Fiches Qualif'!BA106</f>
        <v/>
      </c>
      <c r="AH103" s="245">
        <f>'Fiches Qualif'!BB106</f>
        <v>74</v>
      </c>
      <c r="AI103" s="217" t="str">
        <f>'Fiches Qualif'!BC106</f>
        <v/>
      </c>
      <c r="AJ103" s="245">
        <f>'Fiches Qualif'!BD106</f>
        <v>74</v>
      </c>
      <c r="AK103" s="217" t="str">
        <f>'Fiches Qualif'!BE106</f>
        <v/>
      </c>
      <c r="AL103" s="245">
        <f>'Fiches Qualif'!BF106</f>
        <v>74</v>
      </c>
      <c r="AM103" s="217" t="str">
        <f>'Fiches Qualif'!BG106</f>
        <v/>
      </c>
      <c r="AN103" s="245">
        <f>'Fiches Qualif'!BH106</f>
        <v>74</v>
      </c>
      <c r="AO103" s="217" t="str">
        <f>'Fiches Qualif'!BI106</f>
        <v/>
      </c>
      <c r="AP103" s="245">
        <f>'Fiches Qualif'!BJ106</f>
        <v>74</v>
      </c>
      <c r="AQ103" s="217" t="str">
        <f>'Fiches Qualif'!BK106</f>
        <v/>
      </c>
      <c r="AR103" s="245">
        <f>'Fiches Qualif'!BL106</f>
        <v>74</v>
      </c>
      <c r="AS103" s="245" t="str">
        <f>'Fiches Qualif'!BM106</f>
        <v/>
      </c>
    </row>
    <row r="104" spans="28:45" x14ac:dyDescent="0.2">
      <c r="AB104" s="245">
        <f>'Fiches Qualif'!AV107</f>
        <v>75</v>
      </c>
      <c r="AC104" s="217" t="str">
        <f>'Fiches Qualif'!AW107</f>
        <v/>
      </c>
      <c r="AD104" s="245">
        <f>'Fiches Qualif'!AX107</f>
        <v>75</v>
      </c>
      <c r="AE104" s="217" t="str">
        <f>'Fiches Qualif'!AY107</f>
        <v/>
      </c>
      <c r="AF104" s="245">
        <f>'Fiches Qualif'!AZ107</f>
        <v>75</v>
      </c>
      <c r="AG104" s="217" t="str">
        <f>'Fiches Qualif'!BA107</f>
        <v/>
      </c>
      <c r="AH104" s="245">
        <f>'Fiches Qualif'!BB107</f>
        <v>75</v>
      </c>
      <c r="AI104" s="217" t="str">
        <f>'Fiches Qualif'!BC107</f>
        <v/>
      </c>
      <c r="AJ104" s="245">
        <f>'Fiches Qualif'!BD107</f>
        <v>75</v>
      </c>
      <c r="AK104" s="217" t="str">
        <f>'Fiches Qualif'!BE107</f>
        <v/>
      </c>
      <c r="AL104" s="245">
        <f>'Fiches Qualif'!BF107</f>
        <v>75</v>
      </c>
      <c r="AM104" s="217" t="str">
        <f>'Fiches Qualif'!BG107</f>
        <v/>
      </c>
      <c r="AN104" s="245">
        <f>'Fiches Qualif'!BH107</f>
        <v>75</v>
      </c>
      <c r="AO104" s="217" t="str">
        <f>'Fiches Qualif'!BI107</f>
        <v/>
      </c>
      <c r="AP104" s="245">
        <f>'Fiches Qualif'!BJ107</f>
        <v>75</v>
      </c>
      <c r="AQ104" s="217" t="str">
        <f>'Fiches Qualif'!BK107</f>
        <v/>
      </c>
      <c r="AR104" s="245">
        <f>'Fiches Qualif'!BL107</f>
        <v>75</v>
      </c>
      <c r="AS104" s="245" t="str">
        <f>'Fiches Qualif'!BM107</f>
        <v/>
      </c>
    </row>
    <row r="105" spans="28:45" x14ac:dyDescent="0.2">
      <c r="AB105" s="245">
        <f>'Fiches Qualif'!AV108</f>
        <v>76</v>
      </c>
      <c r="AC105" s="217" t="str">
        <f>'Fiches Qualif'!AW108</f>
        <v/>
      </c>
      <c r="AD105" s="245">
        <f>'Fiches Qualif'!AX108</f>
        <v>76</v>
      </c>
      <c r="AE105" s="217" t="str">
        <f>'Fiches Qualif'!AY108</f>
        <v/>
      </c>
      <c r="AF105" s="245">
        <f>'Fiches Qualif'!AZ108</f>
        <v>76</v>
      </c>
      <c r="AG105" s="217" t="str">
        <f>'Fiches Qualif'!BA108</f>
        <v/>
      </c>
      <c r="AH105" s="245">
        <f>'Fiches Qualif'!BB108</f>
        <v>76</v>
      </c>
      <c r="AI105" s="217" t="str">
        <f>'Fiches Qualif'!BC108</f>
        <v/>
      </c>
      <c r="AJ105" s="245">
        <f>'Fiches Qualif'!BD108</f>
        <v>76</v>
      </c>
      <c r="AK105" s="217" t="str">
        <f>'Fiches Qualif'!BE108</f>
        <v/>
      </c>
      <c r="AL105" s="245">
        <f>'Fiches Qualif'!BF108</f>
        <v>76</v>
      </c>
      <c r="AM105" s="217" t="str">
        <f>'Fiches Qualif'!BG108</f>
        <v/>
      </c>
      <c r="AN105" s="245">
        <f>'Fiches Qualif'!BH108</f>
        <v>76</v>
      </c>
      <c r="AO105" s="217" t="str">
        <f>'Fiches Qualif'!BI108</f>
        <v/>
      </c>
      <c r="AP105" s="245">
        <f>'Fiches Qualif'!BJ108</f>
        <v>76</v>
      </c>
      <c r="AQ105" s="217" t="str">
        <f>'Fiches Qualif'!BK108</f>
        <v/>
      </c>
      <c r="AR105" s="245">
        <f>'Fiches Qualif'!BL108</f>
        <v>76</v>
      </c>
      <c r="AS105" s="245" t="str">
        <f>'Fiches Qualif'!BM108</f>
        <v/>
      </c>
    </row>
    <row r="106" spans="28:45" x14ac:dyDescent="0.2">
      <c r="AB106" s="245">
        <f>'Fiches Qualif'!AV109</f>
        <v>77</v>
      </c>
      <c r="AC106" s="217" t="str">
        <f>'Fiches Qualif'!AW109</f>
        <v/>
      </c>
      <c r="AD106" s="245">
        <f>'Fiches Qualif'!AX109</f>
        <v>77</v>
      </c>
      <c r="AE106" s="217" t="str">
        <f>'Fiches Qualif'!AY109</f>
        <v/>
      </c>
      <c r="AF106" s="245">
        <f>'Fiches Qualif'!AZ109</f>
        <v>77</v>
      </c>
      <c r="AG106" s="217" t="str">
        <f>'Fiches Qualif'!BA109</f>
        <v/>
      </c>
      <c r="AH106" s="245">
        <f>'Fiches Qualif'!BB109</f>
        <v>77</v>
      </c>
      <c r="AI106" s="217" t="str">
        <f>'Fiches Qualif'!BC109</f>
        <v/>
      </c>
      <c r="AJ106" s="245">
        <f>'Fiches Qualif'!BD109</f>
        <v>77</v>
      </c>
      <c r="AK106" s="217" t="str">
        <f>'Fiches Qualif'!BE109</f>
        <v/>
      </c>
      <c r="AL106" s="245">
        <f>'Fiches Qualif'!BF109</f>
        <v>77</v>
      </c>
      <c r="AM106" s="217" t="str">
        <f>'Fiches Qualif'!BG109</f>
        <v/>
      </c>
      <c r="AN106" s="245">
        <f>'Fiches Qualif'!BH109</f>
        <v>77</v>
      </c>
      <c r="AO106" s="217" t="str">
        <f>'Fiches Qualif'!BI109</f>
        <v/>
      </c>
      <c r="AP106" s="245">
        <f>'Fiches Qualif'!BJ109</f>
        <v>77</v>
      </c>
      <c r="AQ106" s="217" t="str">
        <f>'Fiches Qualif'!BK109</f>
        <v/>
      </c>
      <c r="AR106" s="245">
        <f>'Fiches Qualif'!BL109</f>
        <v>77</v>
      </c>
      <c r="AS106" s="245" t="str">
        <f>'Fiches Qualif'!BM109</f>
        <v/>
      </c>
    </row>
    <row r="107" spans="28:45" x14ac:dyDescent="0.2">
      <c r="AB107" s="245">
        <f>'Fiches Qualif'!AV110</f>
        <v>78</v>
      </c>
      <c r="AC107" s="217" t="str">
        <f>'Fiches Qualif'!AW110</f>
        <v/>
      </c>
      <c r="AD107" s="245">
        <f>'Fiches Qualif'!AX110</f>
        <v>78</v>
      </c>
      <c r="AE107" s="217" t="str">
        <f>'Fiches Qualif'!AY110</f>
        <v/>
      </c>
      <c r="AF107" s="245">
        <f>'Fiches Qualif'!AZ110</f>
        <v>78</v>
      </c>
      <c r="AG107" s="217" t="str">
        <f>'Fiches Qualif'!BA110</f>
        <v/>
      </c>
      <c r="AH107" s="245">
        <f>'Fiches Qualif'!BB110</f>
        <v>78</v>
      </c>
      <c r="AI107" s="217" t="str">
        <f>'Fiches Qualif'!BC110</f>
        <v/>
      </c>
      <c r="AJ107" s="245">
        <f>'Fiches Qualif'!BD110</f>
        <v>78</v>
      </c>
      <c r="AK107" s="217" t="str">
        <f>'Fiches Qualif'!BE110</f>
        <v/>
      </c>
      <c r="AL107" s="245">
        <f>'Fiches Qualif'!BF110</f>
        <v>78</v>
      </c>
      <c r="AM107" s="217" t="str">
        <f>'Fiches Qualif'!BG110</f>
        <v/>
      </c>
      <c r="AN107" s="245">
        <f>'Fiches Qualif'!BH110</f>
        <v>78</v>
      </c>
      <c r="AO107" s="217" t="str">
        <f>'Fiches Qualif'!BI110</f>
        <v/>
      </c>
      <c r="AP107" s="245">
        <f>'Fiches Qualif'!BJ110</f>
        <v>78</v>
      </c>
      <c r="AQ107" s="217" t="str">
        <f>'Fiches Qualif'!BK110</f>
        <v/>
      </c>
      <c r="AR107" s="245">
        <f>'Fiches Qualif'!BL110</f>
        <v>78</v>
      </c>
      <c r="AS107" s="245" t="str">
        <f>'Fiches Qualif'!BM110</f>
        <v/>
      </c>
    </row>
    <row r="108" spans="28:45" x14ac:dyDescent="0.2">
      <c r="AB108" s="245">
        <f>'Fiches Qualif'!AV111</f>
        <v>79</v>
      </c>
      <c r="AC108" s="217" t="str">
        <f>'Fiches Qualif'!AW111</f>
        <v/>
      </c>
      <c r="AD108" s="245">
        <f>'Fiches Qualif'!AX111</f>
        <v>79</v>
      </c>
      <c r="AE108" s="217" t="str">
        <f>'Fiches Qualif'!AY111</f>
        <v/>
      </c>
      <c r="AF108" s="245">
        <f>'Fiches Qualif'!AZ111</f>
        <v>79</v>
      </c>
      <c r="AG108" s="217" t="str">
        <f>'Fiches Qualif'!BA111</f>
        <v/>
      </c>
      <c r="AH108" s="245">
        <f>'Fiches Qualif'!BB111</f>
        <v>79</v>
      </c>
      <c r="AI108" s="217" t="str">
        <f>'Fiches Qualif'!BC111</f>
        <v/>
      </c>
      <c r="AJ108" s="245">
        <f>'Fiches Qualif'!BD111</f>
        <v>79</v>
      </c>
      <c r="AK108" s="217" t="str">
        <f>'Fiches Qualif'!BE111</f>
        <v/>
      </c>
      <c r="AL108" s="245">
        <f>'Fiches Qualif'!BF111</f>
        <v>79</v>
      </c>
      <c r="AM108" s="217" t="str">
        <f>'Fiches Qualif'!BG111</f>
        <v/>
      </c>
      <c r="AN108" s="245">
        <f>'Fiches Qualif'!BH111</f>
        <v>79</v>
      </c>
      <c r="AO108" s="217" t="str">
        <f>'Fiches Qualif'!BI111</f>
        <v/>
      </c>
      <c r="AP108" s="245">
        <f>'Fiches Qualif'!BJ111</f>
        <v>79</v>
      </c>
      <c r="AQ108" s="217" t="str">
        <f>'Fiches Qualif'!BK111</f>
        <v/>
      </c>
      <c r="AR108" s="245">
        <f>'Fiches Qualif'!BL111</f>
        <v>79</v>
      </c>
      <c r="AS108" s="245" t="str">
        <f>'Fiches Qualif'!BM111</f>
        <v/>
      </c>
    </row>
    <row r="109" spans="28:45" x14ac:dyDescent="0.2">
      <c r="AB109" s="245">
        <f>'Fiches Qualif'!AV112</f>
        <v>80</v>
      </c>
      <c r="AC109" s="217" t="str">
        <f>'Fiches Qualif'!AW112</f>
        <v/>
      </c>
      <c r="AD109" s="245">
        <f>'Fiches Qualif'!AX112</f>
        <v>80</v>
      </c>
      <c r="AE109" s="217" t="str">
        <f>'Fiches Qualif'!AY112</f>
        <v/>
      </c>
      <c r="AF109" s="245">
        <f>'Fiches Qualif'!AZ112</f>
        <v>80</v>
      </c>
      <c r="AG109" s="217" t="str">
        <f>'Fiches Qualif'!BA112</f>
        <v/>
      </c>
      <c r="AH109" s="245">
        <f>'Fiches Qualif'!BB112</f>
        <v>80</v>
      </c>
      <c r="AI109" s="217" t="str">
        <f>'Fiches Qualif'!BC112</f>
        <v/>
      </c>
      <c r="AJ109" s="245">
        <f>'Fiches Qualif'!BD112</f>
        <v>80</v>
      </c>
      <c r="AK109" s="217" t="str">
        <f>'Fiches Qualif'!BE112</f>
        <v/>
      </c>
      <c r="AL109" s="245">
        <f>'Fiches Qualif'!BF112</f>
        <v>80</v>
      </c>
      <c r="AM109" s="217" t="str">
        <f>'Fiches Qualif'!BG112</f>
        <v/>
      </c>
      <c r="AN109" s="245">
        <f>'Fiches Qualif'!BH112</f>
        <v>80</v>
      </c>
      <c r="AO109" s="217" t="str">
        <f>'Fiches Qualif'!BI112</f>
        <v/>
      </c>
      <c r="AP109" s="245">
        <f>'Fiches Qualif'!BJ112</f>
        <v>80</v>
      </c>
      <c r="AQ109" s="217" t="str">
        <f>'Fiches Qualif'!BK112</f>
        <v/>
      </c>
      <c r="AR109" s="245">
        <f>'Fiches Qualif'!BL112</f>
        <v>80</v>
      </c>
      <c r="AS109" s="245" t="str">
        <f>'Fiches Qualif'!BM112</f>
        <v/>
      </c>
    </row>
    <row r="110" spans="28:45" x14ac:dyDescent="0.2">
      <c r="AB110" s="245">
        <f>'Fiches Qualif'!AV113</f>
        <v>81</v>
      </c>
      <c r="AC110" s="217" t="str">
        <f>'Fiches Qualif'!AW113</f>
        <v/>
      </c>
      <c r="AD110" s="245">
        <f>'Fiches Qualif'!AX113</f>
        <v>81</v>
      </c>
      <c r="AE110" s="217" t="str">
        <f>'Fiches Qualif'!AY113</f>
        <v/>
      </c>
      <c r="AF110" s="245">
        <f>'Fiches Qualif'!AZ113</f>
        <v>81</v>
      </c>
      <c r="AG110" s="217" t="str">
        <f>'Fiches Qualif'!BA113</f>
        <v/>
      </c>
      <c r="AH110" s="245">
        <f>'Fiches Qualif'!BB113</f>
        <v>81</v>
      </c>
      <c r="AI110" s="217" t="str">
        <f>'Fiches Qualif'!BC113</f>
        <v/>
      </c>
      <c r="AJ110" s="245">
        <f>'Fiches Qualif'!BD113</f>
        <v>81</v>
      </c>
      <c r="AK110" s="217" t="str">
        <f>'Fiches Qualif'!BE113</f>
        <v/>
      </c>
      <c r="AL110" s="245">
        <f>'Fiches Qualif'!BF113</f>
        <v>81</v>
      </c>
      <c r="AM110" s="217" t="str">
        <f>'Fiches Qualif'!BG113</f>
        <v/>
      </c>
      <c r="AN110" s="245">
        <f>'Fiches Qualif'!BH113</f>
        <v>81</v>
      </c>
      <c r="AO110" s="217" t="str">
        <f>'Fiches Qualif'!BI113</f>
        <v/>
      </c>
      <c r="AP110" s="245">
        <f>'Fiches Qualif'!BJ113</f>
        <v>81</v>
      </c>
      <c r="AQ110" s="217" t="str">
        <f>'Fiches Qualif'!BK113</f>
        <v/>
      </c>
      <c r="AR110" s="245">
        <f>'Fiches Qualif'!BL113</f>
        <v>81</v>
      </c>
      <c r="AS110" s="245" t="str">
        <f>'Fiches Qualif'!BM113</f>
        <v/>
      </c>
    </row>
    <row r="111" spans="28:45" x14ac:dyDescent="0.2">
      <c r="AB111" s="245">
        <f>'Fiches Qualif'!AV114</f>
        <v>82</v>
      </c>
      <c r="AC111" s="217" t="str">
        <f>'Fiches Qualif'!AW114</f>
        <v/>
      </c>
      <c r="AD111" s="245">
        <f>'Fiches Qualif'!AX114</f>
        <v>82</v>
      </c>
      <c r="AE111" s="217" t="str">
        <f>'Fiches Qualif'!AY114</f>
        <v/>
      </c>
      <c r="AF111" s="245">
        <f>'Fiches Qualif'!AZ114</f>
        <v>82</v>
      </c>
      <c r="AG111" s="217" t="str">
        <f>'Fiches Qualif'!BA114</f>
        <v/>
      </c>
      <c r="AH111" s="245">
        <f>'Fiches Qualif'!BB114</f>
        <v>82</v>
      </c>
      <c r="AI111" s="217" t="str">
        <f>'Fiches Qualif'!BC114</f>
        <v/>
      </c>
      <c r="AJ111" s="245">
        <f>'Fiches Qualif'!BD114</f>
        <v>82</v>
      </c>
      <c r="AK111" s="217" t="str">
        <f>'Fiches Qualif'!BE114</f>
        <v/>
      </c>
      <c r="AL111" s="245">
        <f>'Fiches Qualif'!BF114</f>
        <v>82</v>
      </c>
      <c r="AM111" s="217" t="str">
        <f>'Fiches Qualif'!BG114</f>
        <v/>
      </c>
      <c r="AN111" s="245">
        <f>'Fiches Qualif'!BH114</f>
        <v>82</v>
      </c>
      <c r="AO111" s="217" t="str">
        <f>'Fiches Qualif'!BI114</f>
        <v/>
      </c>
      <c r="AP111" s="245">
        <f>'Fiches Qualif'!BJ114</f>
        <v>82</v>
      </c>
      <c r="AQ111" s="217" t="str">
        <f>'Fiches Qualif'!BK114</f>
        <v/>
      </c>
      <c r="AR111" s="245">
        <f>'Fiches Qualif'!BL114</f>
        <v>82</v>
      </c>
      <c r="AS111" s="245" t="str">
        <f>'Fiches Qualif'!BM114</f>
        <v/>
      </c>
    </row>
    <row r="112" spans="28:45" x14ac:dyDescent="0.2">
      <c r="AB112" s="245">
        <f>'Fiches Qualif'!AV115</f>
        <v>83</v>
      </c>
      <c r="AC112" s="217" t="str">
        <f>'Fiches Qualif'!AW115</f>
        <v/>
      </c>
      <c r="AD112" s="245">
        <f>'Fiches Qualif'!AX115</f>
        <v>83</v>
      </c>
      <c r="AE112" s="217" t="str">
        <f>'Fiches Qualif'!AY115</f>
        <v/>
      </c>
      <c r="AF112" s="245">
        <f>'Fiches Qualif'!AZ115</f>
        <v>83</v>
      </c>
      <c r="AG112" s="217" t="str">
        <f>'Fiches Qualif'!BA115</f>
        <v/>
      </c>
      <c r="AH112" s="245">
        <f>'Fiches Qualif'!BB115</f>
        <v>83</v>
      </c>
      <c r="AI112" s="217" t="str">
        <f>'Fiches Qualif'!BC115</f>
        <v/>
      </c>
      <c r="AJ112" s="245">
        <f>'Fiches Qualif'!BD115</f>
        <v>83</v>
      </c>
      <c r="AK112" s="217" t="str">
        <f>'Fiches Qualif'!BE115</f>
        <v/>
      </c>
      <c r="AL112" s="245">
        <f>'Fiches Qualif'!BF115</f>
        <v>83</v>
      </c>
      <c r="AM112" s="217" t="str">
        <f>'Fiches Qualif'!BG115</f>
        <v/>
      </c>
      <c r="AN112" s="245">
        <f>'Fiches Qualif'!BH115</f>
        <v>83</v>
      </c>
      <c r="AO112" s="217" t="str">
        <f>'Fiches Qualif'!BI115</f>
        <v/>
      </c>
      <c r="AP112" s="245">
        <f>'Fiches Qualif'!BJ115</f>
        <v>83</v>
      </c>
      <c r="AQ112" s="217" t="str">
        <f>'Fiches Qualif'!BK115</f>
        <v/>
      </c>
      <c r="AR112" s="245">
        <f>'Fiches Qualif'!BL115</f>
        <v>83</v>
      </c>
      <c r="AS112" s="245" t="str">
        <f>'Fiches Qualif'!BM115</f>
        <v/>
      </c>
    </row>
    <row r="113" spans="28:45" x14ac:dyDescent="0.2">
      <c r="AB113" s="245">
        <f>'Fiches Qualif'!AV116</f>
        <v>84</v>
      </c>
      <c r="AC113" s="217" t="str">
        <f>'Fiches Qualif'!AW116</f>
        <v/>
      </c>
      <c r="AD113" s="245">
        <f>'Fiches Qualif'!AX116</f>
        <v>84</v>
      </c>
      <c r="AE113" s="217" t="str">
        <f>'Fiches Qualif'!AY116</f>
        <v/>
      </c>
      <c r="AF113" s="245">
        <f>'Fiches Qualif'!AZ116</f>
        <v>84</v>
      </c>
      <c r="AG113" s="217" t="str">
        <f>'Fiches Qualif'!BA116</f>
        <v/>
      </c>
      <c r="AH113" s="245">
        <f>'Fiches Qualif'!BB116</f>
        <v>84</v>
      </c>
      <c r="AI113" s="217" t="str">
        <f>'Fiches Qualif'!BC116</f>
        <v/>
      </c>
      <c r="AJ113" s="245">
        <f>'Fiches Qualif'!BD116</f>
        <v>84</v>
      </c>
      <c r="AK113" s="217" t="str">
        <f>'Fiches Qualif'!BE116</f>
        <v/>
      </c>
      <c r="AL113" s="245">
        <f>'Fiches Qualif'!BF116</f>
        <v>84</v>
      </c>
      <c r="AM113" s="217" t="str">
        <f>'Fiches Qualif'!BG116</f>
        <v/>
      </c>
      <c r="AN113" s="245">
        <f>'Fiches Qualif'!BH116</f>
        <v>84</v>
      </c>
      <c r="AO113" s="217" t="str">
        <f>'Fiches Qualif'!BI116</f>
        <v/>
      </c>
      <c r="AP113" s="245">
        <f>'Fiches Qualif'!BJ116</f>
        <v>84</v>
      </c>
      <c r="AQ113" s="217" t="str">
        <f>'Fiches Qualif'!BK116</f>
        <v/>
      </c>
      <c r="AR113" s="245">
        <f>'Fiches Qualif'!BL116</f>
        <v>84</v>
      </c>
      <c r="AS113" s="245" t="str">
        <f>'Fiches Qualif'!BM116</f>
        <v/>
      </c>
    </row>
    <row r="114" spans="28:45" x14ac:dyDescent="0.2">
      <c r="AB114" s="245">
        <f>'Fiches Qualif'!AV117</f>
        <v>85</v>
      </c>
      <c r="AC114" s="217" t="str">
        <f>'Fiches Qualif'!AW117</f>
        <v/>
      </c>
      <c r="AD114" s="245">
        <f>'Fiches Qualif'!AX117</f>
        <v>85</v>
      </c>
      <c r="AE114" s="217" t="str">
        <f>'Fiches Qualif'!AY117</f>
        <v/>
      </c>
      <c r="AF114" s="245">
        <f>'Fiches Qualif'!AZ117</f>
        <v>85</v>
      </c>
      <c r="AG114" s="217" t="str">
        <f>'Fiches Qualif'!BA117</f>
        <v/>
      </c>
      <c r="AH114" s="245">
        <f>'Fiches Qualif'!BB117</f>
        <v>85</v>
      </c>
      <c r="AI114" s="217" t="str">
        <f>'Fiches Qualif'!BC117</f>
        <v/>
      </c>
      <c r="AJ114" s="245">
        <f>'Fiches Qualif'!BD117</f>
        <v>85</v>
      </c>
      <c r="AK114" s="217" t="str">
        <f>'Fiches Qualif'!BE117</f>
        <v/>
      </c>
      <c r="AL114" s="245">
        <f>'Fiches Qualif'!BF117</f>
        <v>85</v>
      </c>
      <c r="AM114" s="217" t="str">
        <f>'Fiches Qualif'!BG117</f>
        <v/>
      </c>
      <c r="AN114" s="245">
        <f>'Fiches Qualif'!BH117</f>
        <v>85</v>
      </c>
      <c r="AO114" s="217" t="str">
        <f>'Fiches Qualif'!BI117</f>
        <v/>
      </c>
      <c r="AP114" s="245">
        <f>'Fiches Qualif'!BJ117</f>
        <v>85</v>
      </c>
      <c r="AQ114" s="217" t="str">
        <f>'Fiches Qualif'!BK117</f>
        <v/>
      </c>
      <c r="AR114" s="245">
        <f>'Fiches Qualif'!BL117</f>
        <v>85</v>
      </c>
      <c r="AS114" s="245" t="str">
        <f>'Fiches Qualif'!BM117</f>
        <v/>
      </c>
    </row>
    <row r="115" spans="28:45" x14ac:dyDescent="0.2">
      <c r="AB115" s="245">
        <f>'Fiches Qualif'!AV118</f>
        <v>86</v>
      </c>
      <c r="AC115" s="217" t="str">
        <f>'Fiches Qualif'!AW118</f>
        <v/>
      </c>
      <c r="AD115" s="245">
        <f>'Fiches Qualif'!AX118</f>
        <v>86</v>
      </c>
      <c r="AE115" s="217" t="str">
        <f>'Fiches Qualif'!AY118</f>
        <v/>
      </c>
      <c r="AF115" s="245">
        <f>'Fiches Qualif'!AZ118</f>
        <v>86</v>
      </c>
      <c r="AG115" s="217" t="str">
        <f>'Fiches Qualif'!BA118</f>
        <v/>
      </c>
      <c r="AH115" s="245">
        <f>'Fiches Qualif'!BB118</f>
        <v>86</v>
      </c>
      <c r="AI115" s="217" t="str">
        <f>'Fiches Qualif'!BC118</f>
        <v/>
      </c>
      <c r="AJ115" s="245">
        <f>'Fiches Qualif'!BD118</f>
        <v>86</v>
      </c>
      <c r="AK115" s="217" t="str">
        <f>'Fiches Qualif'!BE118</f>
        <v/>
      </c>
      <c r="AL115" s="245">
        <f>'Fiches Qualif'!BF118</f>
        <v>86</v>
      </c>
      <c r="AM115" s="217" t="str">
        <f>'Fiches Qualif'!BG118</f>
        <v/>
      </c>
      <c r="AN115" s="245">
        <f>'Fiches Qualif'!BH118</f>
        <v>86</v>
      </c>
      <c r="AO115" s="217" t="str">
        <f>'Fiches Qualif'!BI118</f>
        <v/>
      </c>
      <c r="AP115" s="245">
        <f>'Fiches Qualif'!BJ118</f>
        <v>86</v>
      </c>
      <c r="AQ115" s="217" t="str">
        <f>'Fiches Qualif'!BK118</f>
        <v/>
      </c>
      <c r="AR115" s="245">
        <f>'Fiches Qualif'!BL118</f>
        <v>86</v>
      </c>
      <c r="AS115" s="245" t="str">
        <f>'Fiches Qualif'!BM118</f>
        <v/>
      </c>
    </row>
    <row r="116" spans="28:45" x14ac:dyDescent="0.2">
      <c r="AB116" s="245">
        <f>'Fiches Qualif'!AV119</f>
        <v>87</v>
      </c>
      <c r="AC116" s="217" t="str">
        <f>'Fiches Qualif'!AW119</f>
        <v/>
      </c>
      <c r="AD116" s="245">
        <f>'Fiches Qualif'!AX119</f>
        <v>87</v>
      </c>
      <c r="AE116" s="217" t="str">
        <f>'Fiches Qualif'!AY119</f>
        <v/>
      </c>
      <c r="AF116" s="245">
        <f>'Fiches Qualif'!AZ119</f>
        <v>87</v>
      </c>
      <c r="AG116" s="217" t="str">
        <f>'Fiches Qualif'!BA119</f>
        <v/>
      </c>
      <c r="AH116" s="245">
        <f>'Fiches Qualif'!BB119</f>
        <v>87</v>
      </c>
      <c r="AI116" s="217" t="str">
        <f>'Fiches Qualif'!BC119</f>
        <v/>
      </c>
      <c r="AJ116" s="245">
        <f>'Fiches Qualif'!BD119</f>
        <v>87</v>
      </c>
      <c r="AK116" s="217" t="str">
        <f>'Fiches Qualif'!BE119</f>
        <v/>
      </c>
      <c r="AL116" s="245">
        <f>'Fiches Qualif'!BF119</f>
        <v>87</v>
      </c>
      <c r="AM116" s="217" t="str">
        <f>'Fiches Qualif'!BG119</f>
        <v/>
      </c>
      <c r="AN116" s="245">
        <f>'Fiches Qualif'!BH119</f>
        <v>87</v>
      </c>
      <c r="AO116" s="217" t="str">
        <f>'Fiches Qualif'!BI119</f>
        <v/>
      </c>
      <c r="AP116" s="245">
        <f>'Fiches Qualif'!BJ119</f>
        <v>87</v>
      </c>
      <c r="AQ116" s="217" t="str">
        <f>'Fiches Qualif'!BK119</f>
        <v/>
      </c>
      <c r="AR116" s="245">
        <f>'Fiches Qualif'!BL119</f>
        <v>87</v>
      </c>
      <c r="AS116" s="245" t="str">
        <f>'Fiches Qualif'!BM119</f>
        <v/>
      </c>
    </row>
    <row r="117" spans="28:45" x14ac:dyDescent="0.2">
      <c r="AB117" s="245">
        <f>'Fiches Qualif'!AV120</f>
        <v>88</v>
      </c>
      <c r="AC117" s="217" t="str">
        <f>'Fiches Qualif'!AW120</f>
        <v/>
      </c>
      <c r="AD117" s="245">
        <f>'Fiches Qualif'!AX120</f>
        <v>88</v>
      </c>
      <c r="AE117" s="217" t="str">
        <f>'Fiches Qualif'!AY120</f>
        <v/>
      </c>
      <c r="AF117" s="245">
        <f>'Fiches Qualif'!AZ120</f>
        <v>88</v>
      </c>
      <c r="AG117" s="217" t="str">
        <f>'Fiches Qualif'!BA120</f>
        <v/>
      </c>
      <c r="AH117" s="245">
        <f>'Fiches Qualif'!BB120</f>
        <v>88</v>
      </c>
      <c r="AI117" s="217" t="str">
        <f>'Fiches Qualif'!BC120</f>
        <v/>
      </c>
      <c r="AJ117" s="245">
        <f>'Fiches Qualif'!BD120</f>
        <v>88</v>
      </c>
      <c r="AK117" s="217" t="str">
        <f>'Fiches Qualif'!BE120</f>
        <v/>
      </c>
      <c r="AL117" s="245">
        <f>'Fiches Qualif'!BF120</f>
        <v>88</v>
      </c>
      <c r="AM117" s="217" t="str">
        <f>'Fiches Qualif'!BG120</f>
        <v/>
      </c>
      <c r="AN117" s="245">
        <f>'Fiches Qualif'!BH120</f>
        <v>88</v>
      </c>
      <c r="AO117" s="217" t="str">
        <f>'Fiches Qualif'!BI120</f>
        <v/>
      </c>
      <c r="AP117" s="245">
        <f>'Fiches Qualif'!BJ120</f>
        <v>88</v>
      </c>
      <c r="AQ117" s="217" t="str">
        <f>'Fiches Qualif'!BK120</f>
        <v/>
      </c>
      <c r="AR117" s="245">
        <f>'Fiches Qualif'!BL120</f>
        <v>88</v>
      </c>
      <c r="AS117" s="245" t="str">
        <f>'Fiches Qualif'!BM120</f>
        <v/>
      </c>
    </row>
    <row r="123" spans="28:45" x14ac:dyDescent="0.2">
      <c r="AB123" s="241" t="s">
        <v>573</v>
      </c>
      <c r="AE123" s="241" t="s">
        <v>574</v>
      </c>
      <c r="AJ123" s="217">
        <f>123+22</f>
        <v>145</v>
      </c>
    </row>
    <row r="124" spans="28:45" x14ac:dyDescent="0.2">
      <c r="AB124" s="217">
        <f>Etab!A3</f>
        <v>1</v>
      </c>
      <c r="AC124" s="217">
        <f>Etab!B3</f>
        <v>0</v>
      </c>
      <c r="AE124" s="217">
        <f>FicheD1!AB124</f>
        <v>1</v>
      </c>
      <c r="AF124" s="217" t="str">
        <f>Etab!D3</f>
        <v>CRETEIL</v>
      </c>
    </row>
    <row r="125" spans="28:45" x14ac:dyDescent="0.2">
      <c r="AB125" s="217">
        <f>Etab!A4</f>
        <v>2</v>
      </c>
      <c r="AC125" s="217">
        <f>Etab!B4</f>
        <v>0</v>
      </c>
      <c r="AE125" s="217">
        <f>FicheD1!AB125</f>
        <v>2</v>
      </c>
      <c r="AF125" s="217" t="str">
        <f>Etab!D4</f>
        <v>NANTES</v>
      </c>
    </row>
    <row r="126" spans="28:45" x14ac:dyDescent="0.2">
      <c r="AB126" s="217">
        <f>Etab!A5</f>
        <v>3</v>
      </c>
      <c r="AC126" s="217">
        <f>Etab!B5</f>
        <v>0</v>
      </c>
      <c r="AE126" s="217">
        <f>FicheD1!AB126</f>
        <v>3</v>
      </c>
      <c r="AF126" s="217" t="str">
        <f>Etab!D5</f>
        <v>TOULOUSE</v>
      </c>
    </row>
    <row r="127" spans="28:45" x14ac:dyDescent="0.2">
      <c r="AB127" s="217">
        <f>Etab!A6</f>
        <v>4</v>
      </c>
      <c r="AC127" s="217">
        <f>Etab!B6</f>
        <v>0</v>
      </c>
      <c r="AE127" s="217">
        <f>FicheD1!AB127</f>
        <v>4</v>
      </c>
      <c r="AF127" s="217" t="str">
        <f>Etab!D6</f>
        <v>PARIS</v>
      </c>
    </row>
    <row r="128" spans="28:45" x14ac:dyDescent="0.2">
      <c r="AB128" s="217">
        <f>Etab!A7</f>
        <v>5</v>
      </c>
      <c r="AC128" s="217">
        <f>Etab!B7</f>
        <v>0</v>
      </c>
      <c r="AE128" s="217">
        <f>FicheD1!AB128</f>
        <v>5</v>
      </c>
      <c r="AF128" s="217" t="str">
        <f>Etab!D7</f>
        <v>LIMOGES</v>
      </c>
    </row>
    <row r="129" spans="28:32" x14ac:dyDescent="0.2">
      <c r="AB129" s="217">
        <f>Etab!A8</f>
        <v>6</v>
      </c>
      <c r="AC129" s="217">
        <f>Etab!B8</f>
        <v>0</v>
      </c>
      <c r="AE129" s="217">
        <f>FicheD1!AB129</f>
        <v>6</v>
      </c>
      <c r="AF129" s="217" t="str">
        <f>Etab!D8</f>
        <v>CLERMONT-FERRAND</v>
      </c>
    </row>
    <row r="130" spans="28:32" x14ac:dyDescent="0.2">
      <c r="AB130" s="217">
        <f>Etab!A9</f>
        <v>7</v>
      </c>
      <c r="AC130" s="217">
        <f>Etab!B9</f>
        <v>0</v>
      </c>
      <c r="AE130" s="217">
        <f>FicheD1!AB130</f>
        <v>7</v>
      </c>
      <c r="AF130" s="217" t="str">
        <f>Etab!D9</f>
        <v>NANCY-METZ</v>
      </c>
    </row>
    <row r="131" spans="28:32" x14ac:dyDescent="0.2">
      <c r="AB131" s="217">
        <f>Etab!A10</f>
        <v>8</v>
      </c>
      <c r="AC131" s="217">
        <f>Etab!B10</f>
        <v>0</v>
      </c>
      <c r="AE131" s="217">
        <f>FicheD1!AB131</f>
        <v>8</v>
      </c>
      <c r="AF131" s="217" t="str">
        <f>Etab!D10</f>
        <v>DIJON</v>
      </c>
    </row>
    <row r="132" spans="28:32" x14ac:dyDescent="0.2">
      <c r="AB132" s="217">
        <f>Etab!A11</f>
        <v>9</v>
      </c>
      <c r="AC132" s="217">
        <f>Etab!B11</f>
        <v>0</v>
      </c>
      <c r="AE132" s="217">
        <f>FicheD1!AB132</f>
        <v>9</v>
      </c>
      <c r="AF132" s="217" t="str">
        <f>Etab!D11</f>
        <v>AMIENS</v>
      </c>
    </row>
    <row r="133" spans="28:32" x14ac:dyDescent="0.2">
      <c r="AB133" s="217">
        <f>Etab!A12</f>
        <v>10</v>
      </c>
      <c r="AC133" s="217">
        <f>Etab!B12</f>
        <v>0</v>
      </c>
      <c r="AE133" s="217">
        <f>FicheD1!AB133</f>
        <v>10</v>
      </c>
      <c r="AF133" s="217" t="str">
        <f>Etab!D12</f>
        <v>LILLE</v>
      </c>
    </row>
    <row r="134" spans="28:32" x14ac:dyDescent="0.2">
      <c r="AB134" s="217">
        <f>Etab!A13</f>
        <v>11</v>
      </c>
      <c r="AC134" s="217">
        <f>Etab!B13</f>
        <v>0</v>
      </c>
      <c r="AE134" s="217">
        <f>FicheD1!AB134</f>
        <v>11</v>
      </c>
      <c r="AF134" s="217" t="str">
        <f>Etab!D13</f>
        <v>REIMS</v>
      </c>
    </row>
    <row r="135" spans="28:32" x14ac:dyDescent="0.2">
      <c r="AB135" s="217">
        <f>Etab!A14</f>
        <v>12</v>
      </c>
      <c r="AC135" s="217">
        <f>Etab!B14</f>
        <v>0</v>
      </c>
      <c r="AE135" s="217">
        <f>FicheD1!AB135</f>
        <v>12</v>
      </c>
      <c r="AF135" s="217" t="str">
        <f>Etab!D14</f>
        <v>POITIERS</v>
      </c>
    </row>
    <row r="136" spans="28:32" x14ac:dyDescent="0.2">
      <c r="AB136" s="217">
        <f>Etab!A15</f>
        <v>13</v>
      </c>
      <c r="AC136" s="217">
        <f>Etab!B15</f>
        <v>0</v>
      </c>
      <c r="AE136" s="217">
        <f>FicheD1!AB136</f>
        <v>13</v>
      </c>
      <c r="AF136" s="217" t="str">
        <f>Etab!D15</f>
        <v>ORLEANS-TOURS</v>
      </c>
    </row>
    <row r="137" spans="28:32" x14ac:dyDescent="0.2">
      <c r="AB137" s="217">
        <f>Etab!A16</f>
        <v>14</v>
      </c>
      <c r="AC137" s="217" t="str">
        <f>Etab!B16</f>
        <v>COL Collège des Gorges de la Loire 1</v>
      </c>
      <c r="AE137" s="217">
        <f>FicheD1!AB137</f>
        <v>14</v>
      </c>
      <c r="AF137" s="217" t="str">
        <f>Etab!D16</f>
        <v>CLERMONT-FERRAND</v>
      </c>
    </row>
    <row r="138" spans="28:32" x14ac:dyDescent="0.2">
      <c r="AB138" s="217">
        <f>Etab!A17</f>
        <v>15</v>
      </c>
      <c r="AC138" s="217" t="str">
        <f>Etab!B17</f>
        <v>EEA Etablissement régional d'enseignement adapté Joël Jeannot 1</v>
      </c>
      <c r="AE138" s="217">
        <f>FicheD1!AB138</f>
        <v>15</v>
      </c>
      <c r="AF138" s="217" t="str">
        <f>Etab!D17</f>
        <v>BORDEAUX</v>
      </c>
    </row>
    <row r="139" spans="28:32" x14ac:dyDescent="0.2">
      <c r="AB139" s="217">
        <f>Etab!A18</f>
        <v>16</v>
      </c>
      <c r="AC139" s="217" t="str">
        <f>Etab!B18</f>
        <v>LPO Lycée Catherine et Raymond Janot 1</v>
      </c>
      <c r="AE139" s="217">
        <f>FicheD1!AB139</f>
        <v>16</v>
      </c>
      <c r="AF139" s="217" t="str">
        <f>Etab!D18</f>
        <v>DIJON</v>
      </c>
    </row>
    <row r="140" spans="28:32" x14ac:dyDescent="0.2">
      <c r="AB140" s="217">
        <f>Etab!A19</f>
        <v>17</v>
      </c>
      <c r="AC140" s="217" t="str">
        <f>Etab!B19</f>
        <v>LP Lycée professionnel Maréchal Leclerc de Hauteclocque 1</v>
      </c>
      <c r="AE140" s="217">
        <f>FicheD1!AB140</f>
        <v>17</v>
      </c>
      <c r="AF140" s="217" t="str">
        <f>Etab!D19</f>
        <v>NANTES</v>
      </c>
    </row>
    <row r="141" spans="28:32" x14ac:dyDescent="0.2">
      <c r="AB141" s="217">
        <f>Etab!A20</f>
        <v>18</v>
      </c>
      <c r="AC141" s="217" t="str">
        <f>Etab!B20</f>
        <v>LP Lycée professionnel Roz Glas 1</v>
      </c>
      <c r="AE141" s="217">
        <f>FicheD1!AB141</f>
        <v>18</v>
      </c>
      <c r="AF141" s="217" t="str">
        <f>Etab!D20</f>
        <v>RENNES</v>
      </c>
    </row>
    <row r="142" spans="28:32" x14ac:dyDescent="0.2">
      <c r="AB142" s="217">
        <f>Etab!A21</f>
        <v>19</v>
      </c>
      <c r="AC142" s="217">
        <f>Etab!B21</f>
        <v>0</v>
      </c>
      <c r="AE142" s="217">
        <f>FicheD1!AB142</f>
        <v>19</v>
      </c>
      <c r="AF142" s="217">
        <f>Etab!D21</f>
        <v>0</v>
      </c>
    </row>
    <row r="143" spans="28:32" x14ac:dyDescent="0.2">
      <c r="AB143" s="217">
        <f>Etab!A22</f>
        <v>20</v>
      </c>
      <c r="AC143" s="217">
        <f>Etab!B22</f>
        <v>0</v>
      </c>
      <c r="AE143" s="217">
        <f>FicheD1!AB143</f>
        <v>20</v>
      </c>
      <c r="AF143" s="217">
        <f>Etab!D22</f>
        <v>0</v>
      </c>
    </row>
    <row r="144" spans="28:32" x14ac:dyDescent="0.2">
      <c r="AB144" s="217">
        <f>Etab!A23</f>
        <v>21</v>
      </c>
      <c r="AC144" s="217">
        <f>Etab!B23</f>
        <v>0</v>
      </c>
      <c r="AE144" s="217">
        <f>FicheD1!AB144</f>
        <v>21</v>
      </c>
      <c r="AF144" s="217">
        <f>Etab!D23</f>
        <v>0</v>
      </c>
    </row>
    <row r="145" spans="28:32" x14ac:dyDescent="0.2">
      <c r="AB145" s="217">
        <f>Etab!A24</f>
        <v>22</v>
      </c>
      <c r="AC145" s="217">
        <f>Etab!B24</f>
        <v>0</v>
      </c>
      <c r="AE145" s="217">
        <f>FicheD1!AB145</f>
        <v>22</v>
      </c>
      <c r="AF145" s="217">
        <f>Etab!D24</f>
        <v>0</v>
      </c>
    </row>
  </sheetData>
  <mergeCells count="39">
    <mergeCell ref="AB17:AB20"/>
    <mergeCell ref="U14:W14"/>
    <mergeCell ref="P19:R19"/>
    <mergeCell ref="U19:W19"/>
    <mergeCell ref="O22:Y22"/>
    <mergeCell ref="A14:E14"/>
    <mergeCell ref="F14:H14"/>
    <mergeCell ref="K14:M14"/>
    <mergeCell ref="P14:R14"/>
    <mergeCell ref="F27:H28"/>
    <mergeCell ref="O23:U23"/>
    <mergeCell ref="K19:M19"/>
    <mergeCell ref="I26:O26"/>
    <mergeCell ref="B22:L22"/>
    <mergeCell ref="B23:H23"/>
    <mergeCell ref="I23:L23"/>
    <mergeCell ref="K20:M20"/>
    <mergeCell ref="P20:R20"/>
    <mergeCell ref="U20:W20"/>
    <mergeCell ref="U26:W26"/>
    <mergeCell ref="P26:T26"/>
    <mergeCell ref="F19:H19"/>
    <mergeCell ref="F13:J13"/>
    <mergeCell ref="K13:O13"/>
    <mergeCell ref="P13:T13"/>
    <mergeCell ref="V27:V28"/>
    <mergeCell ref="V23:Y23"/>
    <mergeCell ref="U13:Y13"/>
    <mergeCell ref="A6:E6"/>
    <mergeCell ref="O3:U3"/>
    <mergeCell ref="A7:E7"/>
    <mergeCell ref="G7:H7"/>
    <mergeCell ref="I7:K7"/>
    <mergeCell ref="M7:N7"/>
    <mergeCell ref="V3:Y3"/>
    <mergeCell ref="M4:N4"/>
    <mergeCell ref="A2:B2"/>
    <mergeCell ref="B3:H3"/>
    <mergeCell ref="I3:L3"/>
  </mergeCells>
  <phoneticPr fontId="34" type="noConversion"/>
  <dataValidations count="4">
    <dataValidation type="list" allowBlank="1" showInputMessage="1" showErrorMessage="1" sqref="AA7:AA10" xr:uid="{00000000-0002-0000-1500-000000000000}">
      <formula1>$AB$30:$AB$117</formula1>
    </dataValidation>
    <dataValidation type="list" allowBlank="1" showInputMessage="1" showErrorMessage="1" sqref="AC2" xr:uid="{00000000-0002-0000-1500-000001000000}">
      <formula1>$X$44:$X$54</formula1>
    </dataValidation>
    <dataValidation type="list" allowBlank="1" showInputMessage="1" showErrorMessage="1" sqref="AA14" xr:uid="{00000000-0002-0000-1500-000002000000}">
      <formula1>$AB$124:$AB$145</formula1>
    </dataValidation>
    <dataValidation type="list" allowBlank="1" showInputMessage="1" showErrorMessage="1" sqref="AD17:AD20" xr:uid="{00000000-0002-0000-1500-000003000000}">
      <formula1>$AB$30:$AB$69</formula1>
    </dataValidation>
  </dataValidations>
  <pageMargins left="0.78740157480314965" right="0.78740157480314965" top="0.98425196850393704" bottom="0.98425196850393704" header="0.51181102362204722" footer="0.51181102362204722"/>
  <pageSetup paperSize="9" scale="84"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10" r:id="rId4" name="Button 6">
              <controlPr defaultSize="0" print="0" autoFill="0" autoPict="0" macro="[0]!fiche_D1_QuandClic">
                <anchor moveWithCells="1" sizeWithCells="1">
                  <from>
                    <xdr:col>21</xdr:col>
                    <xdr:colOff>276225</xdr:colOff>
                    <xdr:row>18</xdr:row>
                    <xdr:rowOff>66675</xdr:rowOff>
                  </from>
                  <to>
                    <xdr:col>27</xdr:col>
                    <xdr:colOff>971550</xdr:colOff>
                    <xdr:row>18</xdr:row>
                    <xdr:rowOff>266700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16"/>
  <dimension ref="A1:AS144"/>
  <sheetViews>
    <sheetView topLeftCell="B1" zoomScale="70" workbookViewId="0">
      <selection activeCell="L21" sqref="L21"/>
    </sheetView>
  </sheetViews>
  <sheetFormatPr baseColWidth="10" defaultRowHeight="12.75" x14ac:dyDescent="0.2"/>
  <cols>
    <col min="1" max="1" width="12.42578125" style="217" customWidth="1"/>
    <col min="2" max="8" width="5.28515625" style="217" customWidth="1"/>
    <col min="9" max="9" width="3.7109375" style="217" customWidth="1"/>
    <col min="10" max="10" width="7.7109375" style="217" customWidth="1"/>
    <col min="11" max="13" width="5.28515625" style="217" customWidth="1"/>
    <col min="14" max="14" width="3.7109375" style="217" customWidth="1"/>
    <col min="15" max="15" width="7.7109375" style="217" customWidth="1"/>
    <col min="16" max="18" width="5.28515625" style="217" customWidth="1"/>
    <col min="19" max="19" width="3.7109375" style="217" customWidth="1"/>
    <col min="20" max="20" width="7.7109375" style="217" customWidth="1"/>
    <col min="21" max="23" width="5.28515625" style="217" customWidth="1"/>
    <col min="24" max="24" width="3.7109375" style="217" customWidth="1"/>
    <col min="25" max="25" width="7.7109375" style="217" customWidth="1"/>
    <col min="26" max="26" width="3.7109375" style="217" customWidth="1"/>
    <col min="27" max="27" width="5.140625" style="217" customWidth="1"/>
    <col min="28" max="28" width="17.28515625" style="217" customWidth="1"/>
    <col min="29" max="29" width="10.85546875" style="217" customWidth="1"/>
    <col min="30" max="30" width="12.5703125" style="217" customWidth="1"/>
    <col min="31" max="31" width="13.140625" style="217" customWidth="1"/>
    <col min="32" max="32" width="11.28515625" style="217" customWidth="1"/>
    <col min="33" max="16384" width="11.42578125" style="217"/>
  </cols>
  <sheetData>
    <row r="1" spans="1:33" ht="6.75" customHeight="1" x14ac:dyDescent="0.2"/>
    <row r="2" spans="1:33" s="218" customFormat="1" ht="23.25" customHeight="1" x14ac:dyDescent="0.2">
      <c r="A2" s="1072" t="s">
        <v>546</v>
      </c>
      <c r="B2" s="1073"/>
      <c r="C2" s="263">
        <v>10</v>
      </c>
      <c r="K2" s="218" t="str">
        <f>CATEG</f>
        <v>Collèges Mixtes Etablissement</v>
      </c>
      <c r="AB2" s="250" t="s">
        <v>572</v>
      </c>
      <c r="AC2" s="255"/>
      <c r="AD2" s="208"/>
      <c r="AE2" s="185"/>
      <c r="AF2" s="185"/>
    </row>
    <row r="3" spans="1:33" ht="27" customHeight="1" thickBot="1" x14ac:dyDescent="0.25">
      <c r="B3" s="1069" t="s">
        <v>0</v>
      </c>
      <c r="C3" s="1069"/>
      <c r="D3" s="1069"/>
      <c r="E3" s="1069"/>
      <c r="F3" s="1069"/>
      <c r="G3" s="1069"/>
      <c r="H3" s="1069"/>
      <c r="I3" s="1069" t="s">
        <v>374</v>
      </c>
      <c r="J3" s="1069"/>
      <c r="K3" s="1069"/>
      <c r="L3" s="1069"/>
      <c r="O3" s="1069" t="s">
        <v>0</v>
      </c>
      <c r="P3" s="1069"/>
      <c r="Q3" s="1069"/>
      <c r="R3" s="1069"/>
      <c r="S3" s="1069"/>
      <c r="T3" s="1069"/>
      <c r="U3" s="1069"/>
      <c r="V3" s="1069" t="s">
        <v>374</v>
      </c>
      <c r="W3" s="1069"/>
      <c r="X3" s="1069"/>
      <c r="Y3" s="1069"/>
      <c r="AB3" s="185"/>
      <c r="AC3" s="187"/>
      <c r="AD3" s="208"/>
      <c r="AE3" s="185"/>
      <c r="AF3" s="185"/>
    </row>
    <row r="4" spans="1:33" ht="24" customHeight="1" thickBot="1" x14ac:dyDescent="0.25">
      <c r="A4" s="219"/>
      <c r="B4" s="257" t="s">
        <v>599</v>
      </c>
      <c r="C4" s="220"/>
      <c r="D4" s="220"/>
      <c r="E4" s="220"/>
      <c r="F4" s="220"/>
      <c r="G4" s="220"/>
      <c r="H4" s="221"/>
      <c r="I4" s="257" t="s">
        <v>600</v>
      </c>
      <c r="J4" s="220"/>
      <c r="K4" s="220"/>
      <c r="L4" s="221"/>
      <c r="M4" s="1070" t="s">
        <v>547</v>
      </c>
      <c r="N4" s="1071"/>
      <c r="O4" s="257" t="s">
        <v>605</v>
      </c>
      <c r="P4" s="220"/>
      <c r="Q4" s="220"/>
      <c r="R4" s="220"/>
      <c r="S4" s="220"/>
      <c r="T4" s="220"/>
      <c r="U4" s="221"/>
      <c r="V4" s="257" t="s">
        <v>606</v>
      </c>
      <c r="W4" s="220"/>
      <c r="X4" s="220"/>
      <c r="Y4" s="221"/>
      <c r="AB4" s="293" t="s">
        <v>0</v>
      </c>
      <c r="AC4" s="264" t="str">
        <f ca="1">IF(AA7="","",LOOKUP(AA7,établissement))</f>
        <v/>
      </c>
      <c r="AD4" s="227"/>
      <c r="AE4" s="227"/>
      <c r="AF4" s="247"/>
    </row>
    <row r="5" spans="1:33" ht="15" customHeight="1" x14ac:dyDescent="0.2">
      <c r="AB5" s="293" t="s">
        <v>374</v>
      </c>
      <c r="AC5" s="264" t="str">
        <f ca="1">IF(AA7="","",LOOKUP(AA7,académie))</f>
        <v/>
      </c>
      <c r="AD5" s="227"/>
      <c r="AE5" s="227"/>
      <c r="AF5" s="247"/>
    </row>
    <row r="6" spans="1:33" ht="20.100000000000001" customHeight="1" x14ac:dyDescent="0.2">
      <c r="A6" s="1074" t="s">
        <v>548</v>
      </c>
      <c r="B6" s="1074"/>
      <c r="C6" s="1074"/>
      <c r="D6" s="1074"/>
      <c r="E6" s="1074"/>
      <c r="AB6" s="46" t="s">
        <v>481</v>
      </c>
      <c r="AC6" s="253" t="s">
        <v>2</v>
      </c>
      <c r="AD6" s="253" t="s">
        <v>480</v>
      </c>
      <c r="AE6" s="253" t="s">
        <v>529</v>
      </c>
      <c r="AF6" s="253" t="s">
        <v>551</v>
      </c>
    </row>
    <row r="7" spans="1:33" ht="20.100000000000001" customHeight="1" x14ac:dyDescent="0.2">
      <c r="A7" s="1075" t="s">
        <v>549</v>
      </c>
      <c r="B7" s="1075"/>
      <c r="C7" s="1075"/>
      <c r="D7" s="1075"/>
      <c r="E7" s="1075"/>
      <c r="G7" s="1076" t="s">
        <v>480</v>
      </c>
      <c r="H7" s="1076"/>
      <c r="I7" s="1077" t="s">
        <v>550</v>
      </c>
      <c r="J7" s="1077"/>
      <c r="K7" s="1077"/>
      <c r="L7" s="252" t="s">
        <v>551</v>
      </c>
      <c r="M7" s="1078" t="s">
        <v>552</v>
      </c>
      <c r="N7" s="1078"/>
      <c r="O7" s="251"/>
      <c r="Z7" s="219"/>
      <c r="AA7" s="256">
        <v>29</v>
      </c>
      <c r="AB7" s="212" t="str">
        <f ca="1">IF(AA7="","",LOOKUP(AA7,nom))</f>
        <v/>
      </c>
      <c r="AC7" s="229" t="str">
        <f ca="1">IF(AA7="","",LOOKUP(AA7,prénom))</f>
        <v/>
      </c>
      <c r="AD7" s="248" t="e">
        <f ca="1">IF(AA7="","",LOOKUP(AG7,BF))</f>
        <v>#N/A</v>
      </c>
      <c r="AE7" s="248" t="str">
        <f ca="1">IF(AA7="","",LOOKUP(AA7,n_licence))</f>
        <v/>
      </c>
      <c r="AF7" s="248" t="str">
        <f ca="1">IF(AA7="","",LOOKUP(AA7,blason))</f>
        <v/>
      </c>
      <c r="AG7" s="249" t="str">
        <f ca="1">IF(AA7="","",LOOKUP(AA7,catégorie))</f>
        <v/>
      </c>
    </row>
    <row r="8" spans="1:33" ht="24" customHeight="1" x14ac:dyDescent="0.2">
      <c r="A8" s="258" t="s">
        <v>588</v>
      </c>
      <c r="B8" s="223"/>
      <c r="C8" s="259" t="s">
        <v>589</v>
      </c>
      <c r="D8" s="223"/>
      <c r="E8" s="224"/>
      <c r="F8" s="219"/>
      <c r="G8" s="258" t="s">
        <v>542</v>
      </c>
      <c r="H8" s="224"/>
      <c r="I8" s="222"/>
      <c r="J8" s="246" t="s">
        <v>601</v>
      </c>
      <c r="K8" s="224"/>
      <c r="L8" s="260">
        <v>60</v>
      </c>
      <c r="M8" s="287">
        <v>22</v>
      </c>
      <c r="N8" s="288"/>
      <c r="O8" s="249"/>
      <c r="R8" s="254"/>
      <c r="S8" s="254"/>
      <c r="T8" s="254" t="s">
        <v>576</v>
      </c>
      <c r="U8" s="254"/>
      <c r="V8" s="254"/>
      <c r="W8" s="254"/>
      <c r="X8" s="254"/>
      <c r="Y8" s="254"/>
      <c r="Z8" s="219"/>
      <c r="AA8" s="256">
        <v>30</v>
      </c>
      <c r="AB8" s="212" t="str">
        <f ca="1">IF(AA8="","",LOOKUP(AA8,nom))</f>
        <v/>
      </c>
      <c r="AC8" s="229" t="str">
        <f ca="1">IF(AA8="","",LOOKUP(AA8,prénom))</f>
        <v/>
      </c>
      <c r="AD8" s="248" t="e">
        <f ca="1">IF(AA8="","",LOOKUP(AG8,BF))</f>
        <v>#N/A</v>
      </c>
      <c r="AE8" s="248" t="str">
        <f ca="1">IF(AA8="","",LOOKUP(AA8,n_licence))</f>
        <v/>
      </c>
      <c r="AF8" s="248" t="str">
        <f ca="1">IF(AA8="","",LOOKUP(AA8,blason))</f>
        <v/>
      </c>
      <c r="AG8" s="249" t="str">
        <f ca="1">IF(AA8="","",LOOKUP(AA8,catégorie))</f>
        <v/>
      </c>
    </row>
    <row r="9" spans="1:33" ht="24" customHeight="1" x14ac:dyDescent="0.2">
      <c r="A9" s="258" t="s">
        <v>590</v>
      </c>
      <c r="B9" s="223"/>
      <c r="C9" s="259" t="s">
        <v>591</v>
      </c>
      <c r="D9" s="223"/>
      <c r="E9" s="224"/>
      <c r="F9" s="219"/>
      <c r="G9" s="258" t="s">
        <v>542</v>
      </c>
      <c r="H9" s="224"/>
      <c r="I9" s="222"/>
      <c r="J9" s="246" t="s">
        <v>602</v>
      </c>
      <c r="K9" s="224"/>
      <c r="L9" s="260">
        <v>60</v>
      </c>
      <c r="M9" s="287">
        <v>22</v>
      </c>
      <c r="N9" s="288"/>
      <c r="O9" s="249"/>
      <c r="Q9" s="254"/>
      <c r="R9" s="254"/>
      <c r="S9" s="254"/>
      <c r="T9" s="254"/>
      <c r="U9" s="254"/>
      <c r="V9" s="254"/>
      <c r="W9" s="254"/>
      <c r="X9" s="254"/>
      <c r="Y9" s="254"/>
      <c r="Z9" s="219"/>
      <c r="AA9" s="256">
        <v>31</v>
      </c>
      <c r="AB9" s="212" t="str">
        <f ca="1">IF(AA9="","",LOOKUP(AA9,nom))</f>
        <v/>
      </c>
      <c r="AC9" s="229" t="str">
        <f ca="1">IF(AA9="","",LOOKUP(AA9,prénom))</f>
        <v/>
      </c>
      <c r="AD9" s="248" t="e">
        <f ca="1">IF(AA9="","",LOOKUP(AG9,BF))</f>
        <v>#N/A</v>
      </c>
      <c r="AE9" s="248" t="str">
        <f ca="1">IF(AA9="","",LOOKUP(AA9,n_licence))</f>
        <v/>
      </c>
      <c r="AF9" s="248" t="str">
        <f ca="1">IF(AA9="","",LOOKUP(AA9,blason))</f>
        <v/>
      </c>
      <c r="AG9" s="249" t="str">
        <f ca="1">IF(AA9="","",LOOKUP(AA9,catégorie))</f>
        <v/>
      </c>
    </row>
    <row r="10" spans="1:33" ht="24" customHeight="1" x14ac:dyDescent="0.2">
      <c r="A10" s="258" t="s">
        <v>592</v>
      </c>
      <c r="B10" s="223"/>
      <c r="C10" s="259" t="s">
        <v>593</v>
      </c>
      <c r="D10" s="223"/>
      <c r="E10" s="224"/>
      <c r="F10" s="219"/>
      <c r="G10" s="258" t="s">
        <v>541</v>
      </c>
      <c r="H10" s="224"/>
      <c r="I10" s="222"/>
      <c r="J10" s="246" t="s">
        <v>603</v>
      </c>
      <c r="K10" s="224"/>
      <c r="L10" s="260">
        <v>60</v>
      </c>
      <c r="M10" s="289">
        <v>22</v>
      </c>
      <c r="N10" s="290"/>
      <c r="O10" s="249"/>
      <c r="Q10" s="254"/>
      <c r="R10" s="254"/>
      <c r="S10" s="254"/>
      <c r="T10" s="254"/>
      <c r="U10" s="254"/>
      <c r="V10" s="254"/>
      <c r="W10" s="254"/>
      <c r="X10" s="254"/>
      <c r="Y10" s="254"/>
      <c r="Z10" s="219"/>
      <c r="AA10" s="256">
        <v>32</v>
      </c>
      <c r="AB10" s="212" t="str">
        <f ca="1">IF(AA10="","",LOOKUP(AA10,nom))</f>
        <v/>
      </c>
      <c r="AC10" s="229" t="str">
        <f ca="1">IF(AA10="","",LOOKUP(AA10,prénom))</f>
        <v/>
      </c>
      <c r="AD10" s="248" t="e">
        <f ca="1">IF(AA10="","",LOOKUP(AG10,BF))</f>
        <v>#N/A</v>
      </c>
      <c r="AE10" s="248" t="str">
        <f ca="1">IF(AA10="","",LOOKUP(AA10,n_licence))</f>
        <v/>
      </c>
      <c r="AF10" s="248" t="str">
        <f ca="1">IF(AA10="","",LOOKUP(AA10,blason))</f>
        <v/>
      </c>
      <c r="AG10" s="249" t="str">
        <f ca="1">IF(AA10="","",LOOKUP(AA10,catégorie))</f>
        <v/>
      </c>
    </row>
    <row r="11" spans="1:33" ht="24" customHeight="1" x14ac:dyDescent="0.2">
      <c r="A11" s="258" t="s">
        <v>594</v>
      </c>
      <c r="B11" s="223"/>
      <c r="C11" s="259" t="s">
        <v>595</v>
      </c>
      <c r="D11" s="223"/>
      <c r="E11" s="224"/>
      <c r="F11" s="219"/>
      <c r="G11" s="258" t="s">
        <v>542</v>
      </c>
      <c r="H11" s="224"/>
      <c r="I11" s="222"/>
      <c r="J11" s="246" t="s">
        <v>604</v>
      </c>
      <c r="K11" s="224"/>
      <c r="L11" s="260">
        <v>60</v>
      </c>
      <c r="M11" s="291">
        <v>22</v>
      </c>
      <c r="N11" s="292"/>
      <c r="O11" s="249"/>
      <c r="AB11" s="185"/>
      <c r="AC11" s="187"/>
      <c r="AD11" s="208"/>
      <c r="AE11" s="185"/>
      <c r="AF11" s="185"/>
    </row>
    <row r="12" spans="1:33" ht="15" customHeight="1" thickBot="1" x14ac:dyDescent="0.25">
      <c r="AB12" s="216" t="s">
        <v>547</v>
      </c>
      <c r="AC12" s="187"/>
      <c r="AD12" s="208"/>
      <c r="AE12" s="185"/>
      <c r="AF12" s="185"/>
    </row>
    <row r="13" spans="1:33" ht="20.100000000000001" customHeight="1" x14ac:dyDescent="0.2">
      <c r="F13" s="1081" t="s">
        <v>555</v>
      </c>
      <c r="G13" s="1082"/>
      <c r="H13" s="1082"/>
      <c r="I13" s="1082"/>
      <c r="J13" s="1083"/>
      <c r="K13" s="1081" t="s">
        <v>556</v>
      </c>
      <c r="L13" s="1082"/>
      <c r="M13" s="1082"/>
      <c r="N13" s="1082"/>
      <c r="O13" s="1083"/>
      <c r="P13" s="1081" t="s">
        <v>557</v>
      </c>
      <c r="Q13" s="1082"/>
      <c r="R13" s="1082"/>
      <c r="S13" s="1082"/>
      <c r="T13" s="1083"/>
      <c r="U13" s="1081" t="s">
        <v>558</v>
      </c>
      <c r="V13" s="1082"/>
      <c r="W13" s="1082"/>
      <c r="X13" s="1082"/>
      <c r="Y13" s="1083"/>
    </row>
    <row r="14" spans="1:33" ht="20.100000000000001" customHeight="1" x14ac:dyDescent="0.2">
      <c r="A14" s="1075" t="s">
        <v>559</v>
      </c>
      <c r="B14" s="1075"/>
      <c r="C14" s="1075"/>
      <c r="D14" s="1075"/>
      <c r="E14" s="1089"/>
      <c r="F14" s="1090" t="s">
        <v>560</v>
      </c>
      <c r="G14" s="1075"/>
      <c r="H14" s="1075"/>
      <c r="J14" s="225" t="s">
        <v>7</v>
      </c>
      <c r="K14" s="1090" t="s">
        <v>560</v>
      </c>
      <c r="L14" s="1075"/>
      <c r="M14" s="1075"/>
      <c r="O14" s="225" t="s">
        <v>7</v>
      </c>
      <c r="P14" s="1090" t="s">
        <v>560</v>
      </c>
      <c r="Q14" s="1075"/>
      <c r="R14" s="1075"/>
      <c r="T14" s="225" t="s">
        <v>7</v>
      </c>
      <c r="U14" s="1090" t="s">
        <v>560</v>
      </c>
      <c r="V14" s="1075"/>
      <c r="W14" s="1075"/>
      <c r="Y14" s="225" t="s">
        <v>7</v>
      </c>
      <c r="AA14" s="256">
        <v>13</v>
      </c>
      <c r="AB14" s="293" t="s">
        <v>0</v>
      </c>
      <c r="AC14" s="226">
        <f ca="1">IF(AA14="","",LOOKUP(AA14,Etab_duel))</f>
        <v>0</v>
      </c>
      <c r="AD14" s="227"/>
      <c r="AE14" s="227"/>
      <c r="AF14" s="247"/>
    </row>
    <row r="15" spans="1:33" ht="24" customHeight="1" x14ac:dyDescent="0.2">
      <c r="A15" s="261" t="s">
        <v>588</v>
      </c>
      <c r="B15" s="227"/>
      <c r="C15" s="262" t="s">
        <v>589</v>
      </c>
      <c r="D15" s="227"/>
      <c r="E15" s="227"/>
      <c r="F15" s="228"/>
      <c r="G15" s="229"/>
      <c r="H15" s="229"/>
      <c r="I15" s="230" t="s">
        <v>561</v>
      </c>
      <c r="J15" s="231"/>
      <c r="K15" s="228"/>
      <c r="L15" s="229"/>
      <c r="M15" s="229"/>
      <c r="N15" s="230" t="s">
        <v>561</v>
      </c>
      <c r="O15" s="231"/>
      <c r="P15" s="228"/>
      <c r="Q15" s="229"/>
      <c r="R15" s="229"/>
      <c r="S15" s="230" t="s">
        <v>561</v>
      </c>
      <c r="T15" s="231"/>
      <c r="U15" s="228"/>
      <c r="V15" s="229"/>
      <c r="W15" s="229"/>
      <c r="X15" s="230" t="s">
        <v>561</v>
      </c>
      <c r="Y15" s="231"/>
      <c r="AB15" s="293" t="s">
        <v>374</v>
      </c>
      <c r="AC15" s="226" t="str">
        <f ca="1">IF(AA14="","",LOOKUP(AA14,Acad_duel))</f>
        <v>CRETEIL</v>
      </c>
      <c r="AD15" s="227"/>
      <c r="AE15" s="227"/>
      <c r="AF15" s="247"/>
    </row>
    <row r="16" spans="1:33" ht="24" customHeight="1" x14ac:dyDescent="0.2">
      <c r="A16" s="261" t="s">
        <v>590</v>
      </c>
      <c r="B16" s="227"/>
      <c r="C16" s="262" t="s">
        <v>591</v>
      </c>
      <c r="D16" s="227"/>
      <c r="E16" s="227"/>
      <c r="F16" s="228"/>
      <c r="G16" s="229"/>
      <c r="H16" s="229"/>
      <c r="I16" s="230" t="s">
        <v>561</v>
      </c>
      <c r="J16" s="231"/>
      <c r="K16" s="228"/>
      <c r="L16" s="229"/>
      <c r="M16" s="229"/>
      <c r="N16" s="230" t="s">
        <v>561</v>
      </c>
      <c r="O16" s="231"/>
      <c r="P16" s="228"/>
      <c r="Q16" s="229"/>
      <c r="R16" s="229"/>
      <c r="S16" s="230" t="s">
        <v>561</v>
      </c>
      <c r="T16" s="231"/>
      <c r="U16" s="228"/>
      <c r="V16" s="229"/>
      <c r="W16" s="229"/>
      <c r="X16" s="230" t="s">
        <v>561</v>
      </c>
      <c r="Y16" s="231"/>
    </row>
    <row r="17" spans="1:45" ht="24" customHeight="1" x14ac:dyDescent="0.2">
      <c r="A17" s="261" t="s">
        <v>592</v>
      </c>
      <c r="B17" s="227"/>
      <c r="C17" s="262" t="s">
        <v>593</v>
      </c>
      <c r="D17" s="227"/>
      <c r="E17" s="227"/>
      <c r="F17" s="228"/>
      <c r="G17" s="229"/>
      <c r="H17" s="229"/>
      <c r="I17" s="230" t="s">
        <v>561</v>
      </c>
      <c r="J17" s="231"/>
      <c r="K17" s="228"/>
      <c r="L17" s="229"/>
      <c r="M17" s="229"/>
      <c r="N17" s="230" t="s">
        <v>561</v>
      </c>
      <c r="O17" s="231"/>
      <c r="P17" s="228"/>
      <c r="Q17" s="229"/>
      <c r="R17" s="229"/>
      <c r="S17" s="230" t="s">
        <v>561</v>
      </c>
      <c r="T17" s="231"/>
      <c r="U17" s="228"/>
      <c r="V17" s="229"/>
      <c r="W17" s="229"/>
      <c r="X17" s="230" t="s">
        <v>561</v>
      </c>
      <c r="Y17" s="231"/>
      <c r="AB17" s="1017" t="s">
        <v>580</v>
      </c>
      <c r="AC17" s="285"/>
      <c r="AD17" s="286">
        <v>22</v>
      </c>
    </row>
    <row r="18" spans="1:45" ht="24" customHeight="1" x14ac:dyDescent="0.2">
      <c r="A18" s="261" t="s">
        <v>594</v>
      </c>
      <c r="B18" s="227"/>
      <c r="C18" s="262" t="s">
        <v>595</v>
      </c>
      <c r="D18" s="227"/>
      <c r="E18" s="227"/>
      <c r="F18" s="228"/>
      <c r="G18" s="229"/>
      <c r="H18" s="229"/>
      <c r="I18" s="230" t="s">
        <v>561</v>
      </c>
      <c r="J18" s="232"/>
      <c r="K18" s="228"/>
      <c r="L18" s="229"/>
      <c r="M18" s="229"/>
      <c r="N18" s="230" t="s">
        <v>561</v>
      </c>
      <c r="O18" s="232"/>
      <c r="P18" s="228"/>
      <c r="Q18" s="229"/>
      <c r="R18" s="229"/>
      <c r="S18" s="230" t="s">
        <v>561</v>
      </c>
      <c r="T18" s="232"/>
      <c r="U18" s="228"/>
      <c r="V18" s="229"/>
      <c r="W18" s="229"/>
      <c r="X18" s="230" t="s">
        <v>561</v>
      </c>
      <c r="Y18" s="232"/>
      <c r="AB18" s="1017"/>
      <c r="AC18" s="285"/>
      <c r="AD18" s="286">
        <v>22</v>
      </c>
    </row>
    <row r="19" spans="1:45" ht="24" customHeight="1" thickBot="1" x14ac:dyDescent="0.25">
      <c r="F19" s="1079" t="s">
        <v>562</v>
      </c>
      <c r="G19" s="1080"/>
      <c r="H19" s="1080"/>
      <c r="I19" s="230" t="s">
        <v>561</v>
      </c>
      <c r="J19" s="231"/>
      <c r="K19" s="1079" t="s">
        <v>563</v>
      </c>
      <c r="L19" s="1080"/>
      <c r="M19" s="1080"/>
      <c r="N19" s="230" t="s">
        <v>561</v>
      </c>
      <c r="O19" s="232"/>
      <c r="P19" s="1079" t="s">
        <v>564</v>
      </c>
      <c r="Q19" s="1080"/>
      <c r="R19" s="1080"/>
      <c r="S19" s="230" t="s">
        <v>561</v>
      </c>
      <c r="T19" s="232"/>
      <c r="U19" s="1079" t="s">
        <v>565</v>
      </c>
      <c r="V19" s="1080"/>
      <c r="W19" s="1080"/>
      <c r="X19" s="230" t="s">
        <v>561</v>
      </c>
      <c r="Y19" s="232"/>
      <c r="AB19" s="1017"/>
      <c r="AC19" s="285"/>
      <c r="AD19" s="286">
        <v>22</v>
      </c>
    </row>
    <row r="20" spans="1:45" ht="24" customHeight="1" thickBot="1" x14ac:dyDescent="0.25">
      <c r="F20" s="233"/>
      <c r="G20" s="234"/>
      <c r="H20" s="235" t="s">
        <v>566</v>
      </c>
      <c r="I20" s="235"/>
      <c r="J20" s="236"/>
      <c r="K20" s="1092" t="s">
        <v>567</v>
      </c>
      <c r="L20" s="1085"/>
      <c r="M20" s="1085"/>
      <c r="N20" s="237" t="s">
        <v>561</v>
      </c>
      <c r="O20" s="238"/>
      <c r="P20" s="1092" t="s">
        <v>568</v>
      </c>
      <c r="Q20" s="1085"/>
      <c r="R20" s="1085"/>
      <c r="S20" s="237" t="s">
        <v>561</v>
      </c>
      <c r="T20" s="238"/>
      <c r="U20" s="1092" t="s">
        <v>569</v>
      </c>
      <c r="V20" s="1085"/>
      <c r="W20" s="1085"/>
      <c r="X20" s="237" t="s">
        <v>561</v>
      </c>
      <c r="Y20" s="239"/>
      <c r="AB20" s="1017"/>
      <c r="AC20" s="285"/>
      <c r="AD20" s="286">
        <v>22</v>
      </c>
    </row>
    <row r="21" spans="1:45" ht="12.75" customHeight="1" x14ac:dyDescent="0.2">
      <c r="Y21" s="240" t="s">
        <v>570</v>
      </c>
    </row>
    <row r="22" spans="1:45" ht="15.75" customHeight="1" x14ac:dyDescent="0.2">
      <c r="B22" s="1091" t="s">
        <v>521</v>
      </c>
      <c r="C22" s="1091"/>
      <c r="D22" s="1091"/>
      <c r="E22" s="1091"/>
      <c r="F22" s="1091"/>
      <c r="G22" s="1091"/>
      <c r="H22" s="1091"/>
      <c r="I22" s="1091"/>
      <c r="J22" s="1091"/>
      <c r="K22" s="1091"/>
      <c r="L22" s="1091"/>
      <c r="O22" s="1091" t="s">
        <v>522</v>
      </c>
      <c r="P22" s="1091"/>
      <c r="Q22" s="1091"/>
      <c r="R22" s="1091"/>
      <c r="S22" s="1091"/>
      <c r="T22" s="1091"/>
      <c r="U22" s="1091"/>
      <c r="V22" s="1091"/>
      <c r="W22" s="1091"/>
      <c r="X22" s="1091"/>
      <c r="Y22" s="1091"/>
    </row>
    <row r="23" spans="1:45" ht="13.5" customHeight="1" x14ac:dyDescent="0.2">
      <c r="B23" s="1086" t="s">
        <v>1</v>
      </c>
      <c r="C23" s="1087"/>
      <c r="D23" s="1087"/>
      <c r="E23" s="1087"/>
      <c r="F23" s="1087"/>
      <c r="G23" s="1087"/>
      <c r="H23" s="1088"/>
      <c r="I23" s="1086" t="s">
        <v>520</v>
      </c>
      <c r="J23" s="1087"/>
      <c r="K23" s="1087"/>
      <c r="L23" s="1088"/>
      <c r="N23" s="241"/>
      <c r="O23" s="1086" t="s">
        <v>1</v>
      </c>
      <c r="P23" s="1087"/>
      <c r="Q23" s="1087"/>
      <c r="R23" s="1087"/>
      <c r="S23" s="1087"/>
      <c r="T23" s="1087"/>
      <c r="U23" s="1088"/>
      <c r="V23" s="1086" t="s">
        <v>520</v>
      </c>
      <c r="W23" s="1087"/>
      <c r="X23" s="1087"/>
      <c r="Y23" s="1088"/>
    </row>
    <row r="24" spans="1:45" ht="21.75" customHeight="1" x14ac:dyDescent="0.2">
      <c r="B24" s="242"/>
      <c r="C24" s="243"/>
      <c r="D24" s="243"/>
      <c r="E24" s="243"/>
      <c r="F24" s="243"/>
      <c r="G24" s="243"/>
      <c r="H24" s="243"/>
      <c r="I24" s="242"/>
      <c r="J24" s="243"/>
      <c r="K24" s="243"/>
      <c r="L24" s="244"/>
      <c r="N24" s="241"/>
      <c r="O24" s="242"/>
      <c r="P24" s="243"/>
      <c r="Q24" s="243"/>
      <c r="R24" s="243"/>
      <c r="S24" s="243"/>
      <c r="T24" s="243"/>
      <c r="U24" s="243"/>
      <c r="V24" s="242"/>
      <c r="W24" s="243"/>
      <c r="X24" s="243"/>
      <c r="Y24" s="244"/>
    </row>
    <row r="25" spans="1:45" ht="13.5" customHeight="1" x14ac:dyDescent="0.2"/>
    <row r="26" spans="1:45" ht="14.25" customHeight="1" thickBot="1" x14ac:dyDescent="0.25">
      <c r="A26" s="241"/>
      <c r="G26" s="305"/>
      <c r="H26" s="305"/>
      <c r="I26" s="1069" t="s">
        <v>0</v>
      </c>
      <c r="J26" s="1069"/>
      <c r="K26" s="1069"/>
      <c r="L26" s="1069"/>
      <c r="M26" s="1069"/>
      <c r="N26" s="1069"/>
      <c r="O26" s="1069"/>
      <c r="P26" s="1069" t="s">
        <v>374</v>
      </c>
      <c r="Q26" s="1069"/>
      <c r="R26" s="1069"/>
      <c r="S26" s="1069"/>
      <c r="T26" s="1069"/>
      <c r="U26" s="1069" t="s">
        <v>571</v>
      </c>
      <c r="V26" s="1069"/>
      <c r="W26" s="1069"/>
      <c r="X26" s="305"/>
      <c r="Y26" s="305"/>
    </row>
    <row r="27" spans="1:45" ht="20.25" customHeight="1" x14ac:dyDescent="0.2">
      <c r="A27" s="241"/>
      <c r="F27" s="1074" t="s">
        <v>584</v>
      </c>
      <c r="G27" s="1074"/>
      <c r="H27" s="1074"/>
      <c r="I27" s="316"/>
      <c r="J27" s="306"/>
      <c r="K27" s="306"/>
      <c r="L27" s="306"/>
      <c r="M27" s="306"/>
      <c r="N27" s="306"/>
      <c r="O27" s="306"/>
      <c r="P27" s="312"/>
      <c r="Q27" s="306"/>
      <c r="R27" s="307"/>
      <c r="S27" s="304"/>
      <c r="T27" s="313"/>
      <c r="U27" s="310"/>
      <c r="V27" s="1084" t="s">
        <v>495</v>
      </c>
      <c r="W27" s="308"/>
    </row>
    <row r="28" spans="1:45" ht="13.5" thickBot="1" x14ac:dyDescent="0.25">
      <c r="F28" s="1074"/>
      <c r="G28" s="1074"/>
      <c r="H28" s="1074"/>
      <c r="I28" s="303"/>
      <c r="J28" s="235"/>
      <c r="K28" s="235"/>
      <c r="L28" s="235"/>
      <c r="M28" s="235"/>
      <c r="N28" s="235"/>
      <c r="O28" s="235"/>
      <c r="P28" s="314"/>
      <c r="Q28" s="235"/>
      <c r="R28" s="234"/>
      <c r="S28" s="234"/>
      <c r="T28" s="315"/>
      <c r="U28" s="311"/>
      <c r="V28" s="1085"/>
      <c r="W28" s="309"/>
    </row>
    <row r="29" spans="1:45" x14ac:dyDescent="0.2">
      <c r="X29" s="217" t="str">
        <f>'Fiches Qualif'!AO34</f>
        <v>BF</v>
      </c>
      <c r="Y29" s="217" t="str">
        <f>'Fiches Qualif'!AP34</f>
        <v>benjamin</v>
      </c>
      <c r="AB29" s="245" t="str">
        <f>'Fiches Qualif'!AV32</f>
        <v>établissement</v>
      </c>
      <c r="AC29" s="245">
        <f>'Fiches Qualif'!AW32</f>
        <v>0</v>
      </c>
      <c r="AD29" s="245" t="str">
        <f>'Fiches Qualif'!AX32</f>
        <v>ville</v>
      </c>
      <c r="AE29" s="245">
        <f>'Fiches Qualif'!AY32</f>
        <v>0</v>
      </c>
      <c r="AF29" s="245" t="str">
        <f>'Fiches Qualif'!AZ32</f>
        <v>académie</v>
      </c>
      <c r="AG29" s="245">
        <f>'Fiches Qualif'!BA32</f>
        <v>0</v>
      </c>
      <c r="AH29" s="245" t="str">
        <f>'Fiches Qualif'!BB32</f>
        <v>nom</v>
      </c>
      <c r="AI29" s="245">
        <f>'Fiches Qualif'!BC32</f>
        <v>0</v>
      </c>
      <c r="AJ29" s="245" t="str">
        <f>'Fiches Qualif'!BD32</f>
        <v>prénom</v>
      </c>
      <c r="AK29" s="245">
        <f>'Fiches Qualif'!BE32</f>
        <v>0</v>
      </c>
      <c r="AL29" s="245" t="str">
        <f>'Fiches Qualif'!BF32</f>
        <v>date_de_naissance</v>
      </c>
      <c r="AM29" s="245">
        <f>'Fiches Qualif'!BG32</f>
        <v>0</v>
      </c>
      <c r="AN29" s="245" t="str">
        <f>'Fiches Qualif'!BH32</f>
        <v>n_licence</v>
      </c>
      <c r="AO29" s="245">
        <f>'Fiches Qualif'!BI32</f>
        <v>0</v>
      </c>
      <c r="AP29" s="245" t="str">
        <f>'Fiches Qualif'!BJ32</f>
        <v>catégorie</v>
      </c>
      <c r="AQ29" s="245">
        <f>'Fiches Qualif'!BK32</f>
        <v>0</v>
      </c>
      <c r="AR29" s="245" t="str">
        <f>'Fiches Qualif'!BL32</f>
        <v>blason</v>
      </c>
      <c r="AS29" s="245">
        <f>'Fiches Qualif'!BM32</f>
        <v>0</v>
      </c>
    </row>
    <row r="30" spans="1:45" x14ac:dyDescent="0.2">
      <c r="X30" s="217" t="str">
        <f>'Fiches Qualif'!AO35</f>
        <v>BP</v>
      </c>
      <c r="Y30" s="217" t="str">
        <f>'Fiches Qualif'!AP35</f>
        <v>benjamin</v>
      </c>
      <c r="AB30" s="245">
        <f>'Fiches Qualif'!AV33</f>
        <v>1</v>
      </c>
      <c r="AC30" s="245" t="str">
        <f>'Fiches Qualif'!AW33</f>
        <v/>
      </c>
      <c r="AD30" s="245">
        <f>'Fiches Qualif'!AX33</f>
        <v>1</v>
      </c>
      <c r="AE30" s="245" t="str">
        <f>'Fiches Qualif'!AY33</f>
        <v/>
      </c>
      <c r="AF30" s="245">
        <f>'Fiches Qualif'!AZ33</f>
        <v>1</v>
      </c>
      <c r="AG30" s="245" t="str">
        <f>'Fiches Qualif'!BA33</f>
        <v/>
      </c>
      <c r="AH30" s="245">
        <f>'Fiches Qualif'!BB33</f>
        <v>1</v>
      </c>
      <c r="AI30" s="245" t="str">
        <f>'Fiches Qualif'!BC33</f>
        <v/>
      </c>
      <c r="AJ30" s="245">
        <f>'Fiches Qualif'!BD33</f>
        <v>1</v>
      </c>
      <c r="AK30" s="245" t="str">
        <f>'Fiches Qualif'!BE33</f>
        <v/>
      </c>
      <c r="AL30" s="245">
        <f>'Fiches Qualif'!BF33</f>
        <v>1</v>
      </c>
      <c r="AM30" s="245" t="str">
        <f>'Fiches Qualif'!BG33</f>
        <v/>
      </c>
      <c r="AN30" s="245">
        <f>'Fiches Qualif'!BH33</f>
        <v>1</v>
      </c>
      <c r="AO30" s="245" t="str">
        <f>'Fiches Qualif'!BI33</f>
        <v/>
      </c>
      <c r="AP30" s="245">
        <f>'Fiches Qualif'!BJ33</f>
        <v>1</v>
      </c>
      <c r="AQ30" s="245" t="str">
        <f>'Fiches Qualif'!BK33</f>
        <v/>
      </c>
      <c r="AR30" s="245">
        <f>'Fiches Qualif'!BL33</f>
        <v>1</v>
      </c>
      <c r="AS30" s="245" t="str">
        <f>'Fiches Qualif'!BM33</f>
        <v/>
      </c>
    </row>
    <row r="31" spans="1:45" x14ac:dyDescent="0.2">
      <c r="X31" s="217" t="str">
        <f>'Fiches Qualif'!AO36</f>
        <v>CF</v>
      </c>
      <c r="Y31" s="217" t="str">
        <f>'Fiches Qualif'!AP36</f>
        <v>cadet</v>
      </c>
      <c r="AB31" s="245">
        <f>'Fiches Qualif'!AV34</f>
        <v>2</v>
      </c>
      <c r="AC31" s="245" t="str">
        <f>'Fiches Qualif'!AW34</f>
        <v/>
      </c>
      <c r="AD31" s="245">
        <f>'Fiches Qualif'!AX34</f>
        <v>2</v>
      </c>
      <c r="AE31" s="245" t="str">
        <f>'Fiches Qualif'!AY34</f>
        <v/>
      </c>
      <c r="AF31" s="245">
        <f>'Fiches Qualif'!AZ34</f>
        <v>2</v>
      </c>
      <c r="AG31" s="245" t="str">
        <f>'Fiches Qualif'!BA34</f>
        <v/>
      </c>
      <c r="AH31" s="245">
        <f>'Fiches Qualif'!BB34</f>
        <v>2</v>
      </c>
      <c r="AI31" s="245" t="str">
        <f>'Fiches Qualif'!BC34</f>
        <v/>
      </c>
      <c r="AJ31" s="245">
        <f>'Fiches Qualif'!BD34</f>
        <v>2</v>
      </c>
      <c r="AK31" s="245" t="str">
        <f>'Fiches Qualif'!BE34</f>
        <v/>
      </c>
      <c r="AL31" s="245">
        <f>'Fiches Qualif'!BF34</f>
        <v>2</v>
      </c>
      <c r="AM31" s="245" t="str">
        <f>'Fiches Qualif'!BG34</f>
        <v/>
      </c>
      <c r="AN31" s="245">
        <f>'Fiches Qualif'!BH34</f>
        <v>2</v>
      </c>
      <c r="AO31" s="245" t="str">
        <f>'Fiches Qualif'!BI34</f>
        <v/>
      </c>
      <c r="AP31" s="245">
        <f>'Fiches Qualif'!BJ34</f>
        <v>2</v>
      </c>
      <c r="AQ31" s="245" t="str">
        <f>'Fiches Qualif'!BK34</f>
        <v/>
      </c>
      <c r="AR31" s="245">
        <f>'Fiches Qualif'!BL34</f>
        <v>2</v>
      </c>
      <c r="AS31" s="245" t="str">
        <f>'Fiches Qualif'!BM34</f>
        <v/>
      </c>
    </row>
    <row r="32" spans="1:45" x14ac:dyDescent="0.2">
      <c r="X32" s="217" t="str">
        <f>'Fiches Qualif'!AO37</f>
        <v>CG</v>
      </c>
      <c r="Y32" s="217" t="str">
        <f>'Fiches Qualif'!AP37</f>
        <v>cadet</v>
      </c>
      <c r="AB32" s="245">
        <f>'Fiches Qualif'!AV35</f>
        <v>3</v>
      </c>
      <c r="AC32" s="245" t="str">
        <f>'Fiches Qualif'!AW35</f>
        <v/>
      </c>
      <c r="AD32" s="245">
        <f>'Fiches Qualif'!AX35</f>
        <v>3</v>
      </c>
      <c r="AE32" s="245" t="str">
        <f>'Fiches Qualif'!AY35</f>
        <v/>
      </c>
      <c r="AF32" s="245">
        <f>'Fiches Qualif'!AZ35</f>
        <v>3</v>
      </c>
      <c r="AG32" s="245" t="str">
        <f>'Fiches Qualif'!BA35</f>
        <v/>
      </c>
      <c r="AH32" s="245">
        <f>'Fiches Qualif'!BB35</f>
        <v>3</v>
      </c>
      <c r="AI32" s="245" t="str">
        <f>'Fiches Qualif'!BC35</f>
        <v/>
      </c>
      <c r="AJ32" s="245">
        <f>'Fiches Qualif'!BD35</f>
        <v>3</v>
      </c>
      <c r="AK32" s="245" t="str">
        <f>'Fiches Qualif'!BE35</f>
        <v/>
      </c>
      <c r="AL32" s="245">
        <f>'Fiches Qualif'!BF35</f>
        <v>3</v>
      </c>
      <c r="AM32" s="245" t="str">
        <f>'Fiches Qualif'!BG35</f>
        <v/>
      </c>
      <c r="AN32" s="245">
        <f>'Fiches Qualif'!BH35</f>
        <v>3</v>
      </c>
      <c r="AO32" s="245" t="str">
        <f>'Fiches Qualif'!BI35</f>
        <v/>
      </c>
      <c r="AP32" s="245">
        <f>'Fiches Qualif'!BJ35</f>
        <v>3</v>
      </c>
      <c r="AQ32" s="245" t="str">
        <f>'Fiches Qualif'!BK35</f>
        <v/>
      </c>
      <c r="AR32" s="245">
        <f>'Fiches Qualif'!BL35</f>
        <v>3</v>
      </c>
      <c r="AS32" s="245" t="str">
        <f>'Fiches Qualif'!BM35</f>
        <v/>
      </c>
    </row>
    <row r="33" spans="24:45" x14ac:dyDescent="0.2">
      <c r="X33" s="217" t="str">
        <f>'Fiches Qualif'!AO38</f>
        <v>JF</v>
      </c>
      <c r="Y33" s="217" t="str">
        <f>'Fiches Qualif'!AP38</f>
        <v>junior</v>
      </c>
      <c r="AB33" s="245">
        <f>'Fiches Qualif'!AV36</f>
        <v>4</v>
      </c>
      <c r="AC33" s="245" t="str">
        <f>'Fiches Qualif'!AW36</f>
        <v/>
      </c>
      <c r="AD33" s="245">
        <f>'Fiches Qualif'!AX36</f>
        <v>4</v>
      </c>
      <c r="AE33" s="245" t="str">
        <f>'Fiches Qualif'!AY36</f>
        <v/>
      </c>
      <c r="AF33" s="245">
        <f>'Fiches Qualif'!AZ36</f>
        <v>4</v>
      </c>
      <c r="AG33" s="245" t="str">
        <f>'Fiches Qualif'!BA36</f>
        <v/>
      </c>
      <c r="AH33" s="245">
        <f>'Fiches Qualif'!BB36</f>
        <v>4</v>
      </c>
      <c r="AI33" s="245" t="str">
        <f>'Fiches Qualif'!BC36</f>
        <v/>
      </c>
      <c r="AJ33" s="245">
        <f>'Fiches Qualif'!BD36</f>
        <v>4</v>
      </c>
      <c r="AK33" s="245" t="str">
        <f>'Fiches Qualif'!BE36</f>
        <v/>
      </c>
      <c r="AL33" s="245">
        <f>'Fiches Qualif'!BF36</f>
        <v>4</v>
      </c>
      <c r="AM33" s="245" t="str">
        <f>'Fiches Qualif'!BG36</f>
        <v/>
      </c>
      <c r="AN33" s="245">
        <f>'Fiches Qualif'!BH36</f>
        <v>4</v>
      </c>
      <c r="AO33" s="245" t="str">
        <f>'Fiches Qualif'!BI36</f>
        <v/>
      </c>
      <c r="AP33" s="245">
        <f>'Fiches Qualif'!BJ36</f>
        <v>4</v>
      </c>
      <c r="AQ33" s="245" t="str">
        <f>'Fiches Qualif'!BK36</f>
        <v/>
      </c>
      <c r="AR33" s="245">
        <f>'Fiches Qualif'!BL36</f>
        <v>4</v>
      </c>
      <c r="AS33" s="245" t="str">
        <f>'Fiches Qualif'!BM36</f>
        <v/>
      </c>
    </row>
    <row r="34" spans="24:45" x14ac:dyDescent="0.2">
      <c r="X34" s="217" t="str">
        <f>'Fiches Qualif'!AO39</f>
        <v>JG</v>
      </c>
      <c r="Y34" s="217" t="str">
        <f>'Fiches Qualif'!AP39</f>
        <v>junior</v>
      </c>
      <c r="AB34" s="245">
        <f>'Fiches Qualif'!AV37</f>
        <v>5</v>
      </c>
      <c r="AC34" s="245" t="str">
        <f>'Fiches Qualif'!AW37</f>
        <v/>
      </c>
      <c r="AD34" s="245">
        <f>'Fiches Qualif'!AX37</f>
        <v>5</v>
      </c>
      <c r="AE34" s="245" t="str">
        <f>'Fiches Qualif'!AY37</f>
        <v/>
      </c>
      <c r="AF34" s="245">
        <f>'Fiches Qualif'!AZ37</f>
        <v>5</v>
      </c>
      <c r="AG34" s="245" t="str">
        <f>'Fiches Qualif'!BA37</f>
        <v/>
      </c>
      <c r="AH34" s="245">
        <f>'Fiches Qualif'!BB37</f>
        <v>5</v>
      </c>
      <c r="AI34" s="245" t="str">
        <f>'Fiches Qualif'!BC37</f>
        <v/>
      </c>
      <c r="AJ34" s="245">
        <f>'Fiches Qualif'!BD37</f>
        <v>5</v>
      </c>
      <c r="AK34" s="245" t="str">
        <f>'Fiches Qualif'!BE37</f>
        <v/>
      </c>
      <c r="AL34" s="245">
        <f>'Fiches Qualif'!BF37</f>
        <v>5</v>
      </c>
      <c r="AM34" s="245" t="str">
        <f>'Fiches Qualif'!BG37</f>
        <v/>
      </c>
      <c r="AN34" s="245">
        <f>'Fiches Qualif'!BH37</f>
        <v>5</v>
      </c>
      <c r="AO34" s="245" t="str">
        <f>'Fiches Qualif'!BI37</f>
        <v/>
      </c>
      <c r="AP34" s="245">
        <f>'Fiches Qualif'!BJ37</f>
        <v>5</v>
      </c>
      <c r="AQ34" s="245" t="str">
        <f>'Fiches Qualif'!BK37</f>
        <v/>
      </c>
      <c r="AR34" s="245">
        <f>'Fiches Qualif'!BL37</f>
        <v>5</v>
      </c>
      <c r="AS34" s="245" t="str">
        <f>'Fiches Qualif'!BM37</f>
        <v/>
      </c>
    </row>
    <row r="35" spans="24:45" x14ac:dyDescent="0.2">
      <c r="X35" s="217" t="str">
        <f>'Fiches Qualif'!AO40</f>
        <v>MF</v>
      </c>
      <c r="Y35" s="217" t="str">
        <f>'Fiches Qualif'!AP40</f>
        <v>minime</v>
      </c>
      <c r="AB35" s="245">
        <f>'Fiches Qualif'!AV38</f>
        <v>6</v>
      </c>
      <c r="AC35" s="245" t="str">
        <f>'Fiches Qualif'!AW38</f>
        <v/>
      </c>
      <c r="AD35" s="245">
        <f>'Fiches Qualif'!AX38</f>
        <v>6</v>
      </c>
      <c r="AE35" s="245" t="str">
        <f>'Fiches Qualif'!AY38</f>
        <v/>
      </c>
      <c r="AF35" s="245">
        <f>'Fiches Qualif'!AZ38</f>
        <v>6</v>
      </c>
      <c r="AG35" s="245" t="str">
        <f>'Fiches Qualif'!BA38</f>
        <v/>
      </c>
      <c r="AH35" s="245">
        <f>'Fiches Qualif'!BB38</f>
        <v>6</v>
      </c>
      <c r="AI35" s="245" t="str">
        <f>'Fiches Qualif'!BC38</f>
        <v/>
      </c>
      <c r="AJ35" s="245">
        <f>'Fiches Qualif'!BD38</f>
        <v>6</v>
      </c>
      <c r="AK35" s="245" t="str">
        <f>'Fiches Qualif'!BE38</f>
        <v/>
      </c>
      <c r="AL35" s="245">
        <f>'Fiches Qualif'!BF38</f>
        <v>6</v>
      </c>
      <c r="AM35" s="245" t="str">
        <f>'Fiches Qualif'!BG38</f>
        <v/>
      </c>
      <c r="AN35" s="245">
        <f>'Fiches Qualif'!BH38</f>
        <v>6</v>
      </c>
      <c r="AO35" s="245" t="str">
        <f>'Fiches Qualif'!BI38</f>
        <v/>
      </c>
      <c r="AP35" s="245">
        <f>'Fiches Qualif'!BJ38</f>
        <v>6</v>
      </c>
      <c r="AQ35" s="245" t="str">
        <f>'Fiches Qualif'!BK38</f>
        <v/>
      </c>
      <c r="AR35" s="245">
        <f>'Fiches Qualif'!BL38</f>
        <v>6</v>
      </c>
      <c r="AS35" s="245" t="str">
        <f>'Fiches Qualif'!BM38</f>
        <v/>
      </c>
    </row>
    <row r="36" spans="24:45" x14ac:dyDescent="0.2">
      <c r="X36" s="217" t="str">
        <f>'Fiches Qualif'!AO41</f>
        <v>MG</v>
      </c>
      <c r="Y36" s="217" t="str">
        <f>'Fiches Qualif'!AP41</f>
        <v>minime</v>
      </c>
      <c r="AB36" s="245">
        <f>'Fiches Qualif'!AV39</f>
        <v>7</v>
      </c>
      <c r="AC36" s="245" t="str">
        <f>'Fiches Qualif'!AW39</f>
        <v/>
      </c>
      <c r="AD36" s="245">
        <f>'Fiches Qualif'!AX39</f>
        <v>7</v>
      </c>
      <c r="AE36" s="245" t="str">
        <f>'Fiches Qualif'!AY39</f>
        <v/>
      </c>
      <c r="AF36" s="245">
        <f>'Fiches Qualif'!AZ39</f>
        <v>7</v>
      </c>
      <c r="AG36" s="245" t="str">
        <f>'Fiches Qualif'!BA39</f>
        <v/>
      </c>
      <c r="AH36" s="245">
        <f>'Fiches Qualif'!BB39</f>
        <v>7</v>
      </c>
      <c r="AI36" s="245" t="str">
        <f>'Fiches Qualif'!BC39</f>
        <v/>
      </c>
      <c r="AJ36" s="245">
        <f>'Fiches Qualif'!BD39</f>
        <v>7</v>
      </c>
      <c r="AK36" s="245" t="str">
        <f>'Fiches Qualif'!BE39</f>
        <v/>
      </c>
      <c r="AL36" s="245">
        <f>'Fiches Qualif'!BF39</f>
        <v>7</v>
      </c>
      <c r="AM36" s="245" t="str">
        <f>'Fiches Qualif'!BG39</f>
        <v/>
      </c>
      <c r="AN36" s="245">
        <f>'Fiches Qualif'!BH39</f>
        <v>7</v>
      </c>
      <c r="AO36" s="245" t="str">
        <f>'Fiches Qualif'!BI39</f>
        <v/>
      </c>
      <c r="AP36" s="245">
        <f>'Fiches Qualif'!BJ39</f>
        <v>7</v>
      </c>
      <c r="AQ36" s="245" t="str">
        <f>'Fiches Qualif'!BK39</f>
        <v/>
      </c>
      <c r="AR36" s="245">
        <f>'Fiches Qualif'!BL39</f>
        <v>7</v>
      </c>
      <c r="AS36" s="245" t="str">
        <f>'Fiches Qualif'!BM39</f>
        <v/>
      </c>
    </row>
    <row r="37" spans="24:45" x14ac:dyDescent="0.2">
      <c r="X37" s="217" t="str">
        <f>'Fiches Qualif'!AO42</f>
        <v>PB</v>
      </c>
      <c r="Y37" s="217" t="str">
        <f>'Fiches Qualif'!AP42</f>
        <v>poussin</v>
      </c>
      <c r="AB37" s="245">
        <f>'Fiches Qualif'!AV40</f>
        <v>8</v>
      </c>
      <c r="AC37" s="245" t="str">
        <f>'Fiches Qualif'!AW40</f>
        <v/>
      </c>
      <c r="AD37" s="245">
        <f>'Fiches Qualif'!AX40</f>
        <v>8</v>
      </c>
      <c r="AE37" s="245" t="str">
        <f>'Fiches Qualif'!AY40</f>
        <v/>
      </c>
      <c r="AF37" s="245">
        <f>'Fiches Qualif'!AZ40</f>
        <v>8</v>
      </c>
      <c r="AG37" s="245" t="str">
        <f>'Fiches Qualif'!BA40</f>
        <v/>
      </c>
      <c r="AH37" s="245">
        <f>'Fiches Qualif'!BB40</f>
        <v>8</v>
      </c>
      <c r="AI37" s="245" t="str">
        <f>'Fiches Qualif'!BC40</f>
        <v/>
      </c>
      <c r="AJ37" s="245">
        <f>'Fiches Qualif'!BD40</f>
        <v>8</v>
      </c>
      <c r="AK37" s="245" t="str">
        <f>'Fiches Qualif'!BE40</f>
        <v/>
      </c>
      <c r="AL37" s="245">
        <f>'Fiches Qualif'!BF40</f>
        <v>8</v>
      </c>
      <c r="AM37" s="245" t="str">
        <f>'Fiches Qualif'!BG40</f>
        <v/>
      </c>
      <c r="AN37" s="245">
        <f>'Fiches Qualif'!BH40</f>
        <v>8</v>
      </c>
      <c r="AO37" s="245" t="str">
        <f>'Fiches Qualif'!BI40</f>
        <v/>
      </c>
      <c r="AP37" s="245">
        <f>'Fiches Qualif'!BJ40</f>
        <v>8</v>
      </c>
      <c r="AQ37" s="245" t="str">
        <f>'Fiches Qualif'!BK40</f>
        <v/>
      </c>
      <c r="AR37" s="245">
        <f>'Fiches Qualif'!BL40</f>
        <v>8</v>
      </c>
      <c r="AS37" s="245" t="str">
        <f>'Fiches Qualif'!BM40</f>
        <v/>
      </c>
    </row>
    <row r="38" spans="24:45" x14ac:dyDescent="0.2">
      <c r="X38" s="217" t="str">
        <f>'Fiches Qualif'!AO43</f>
        <v>PF</v>
      </c>
      <c r="Y38" s="217" t="str">
        <f>'Fiches Qualif'!AP43</f>
        <v>poussin</v>
      </c>
      <c r="AB38" s="245">
        <f>'Fiches Qualif'!AV41</f>
        <v>9</v>
      </c>
      <c r="AC38" s="245" t="str">
        <f>'Fiches Qualif'!AW41</f>
        <v/>
      </c>
      <c r="AD38" s="245">
        <f>'Fiches Qualif'!AX41</f>
        <v>9</v>
      </c>
      <c r="AE38" s="245" t="str">
        <f>'Fiches Qualif'!AY41</f>
        <v/>
      </c>
      <c r="AF38" s="245">
        <f>'Fiches Qualif'!AZ41</f>
        <v>9</v>
      </c>
      <c r="AG38" s="245" t="str">
        <f>'Fiches Qualif'!BA41</f>
        <v/>
      </c>
      <c r="AH38" s="245">
        <f>'Fiches Qualif'!BB41</f>
        <v>9</v>
      </c>
      <c r="AI38" s="245" t="str">
        <f>'Fiches Qualif'!BC41</f>
        <v/>
      </c>
      <c r="AJ38" s="245">
        <f>'Fiches Qualif'!BD41</f>
        <v>9</v>
      </c>
      <c r="AK38" s="245" t="str">
        <f>'Fiches Qualif'!BE41</f>
        <v/>
      </c>
      <c r="AL38" s="245">
        <f>'Fiches Qualif'!BF41</f>
        <v>9</v>
      </c>
      <c r="AM38" s="245" t="str">
        <f>'Fiches Qualif'!BG41</f>
        <v/>
      </c>
      <c r="AN38" s="245">
        <f>'Fiches Qualif'!BH41</f>
        <v>9</v>
      </c>
      <c r="AO38" s="245" t="str">
        <f>'Fiches Qualif'!BI41</f>
        <v/>
      </c>
      <c r="AP38" s="245">
        <f>'Fiches Qualif'!BJ41</f>
        <v>9</v>
      </c>
      <c r="AQ38" s="245" t="str">
        <f>'Fiches Qualif'!BK41</f>
        <v/>
      </c>
      <c r="AR38" s="245">
        <f>'Fiches Qualif'!BL41</f>
        <v>9</v>
      </c>
      <c r="AS38" s="245" t="str">
        <f>'Fiches Qualif'!BM41</f>
        <v/>
      </c>
    </row>
    <row r="39" spans="24:45" x14ac:dyDescent="0.2">
      <c r="X39" s="217" t="str">
        <f>'Fiches Qualif'!AO44</f>
        <v>SF</v>
      </c>
      <c r="Y39" s="217" t="str">
        <f>'Fiches Qualif'!AP44</f>
        <v>senior</v>
      </c>
      <c r="AB39" s="245">
        <f>'Fiches Qualif'!AV42</f>
        <v>10</v>
      </c>
      <c r="AC39" s="245" t="str">
        <f>'Fiches Qualif'!AW42</f>
        <v/>
      </c>
      <c r="AD39" s="245">
        <f>'Fiches Qualif'!AX42</f>
        <v>10</v>
      </c>
      <c r="AE39" s="245" t="str">
        <f>'Fiches Qualif'!AY42</f>
        <v/>
      </c>
      <c r="AF39" s="245">
        <f>'Fiches Qualif'!AZ42</f>
        <v>10</v>
      </c>
      <c r="AG39" s="245" t="str">
        <f>'Fiches Qualif'!BA42</f>
        <v/>
      </c>
      <c r="AH39" s="245">
        <f>'Fiches Qualif'!BB42</f>
        <v>10</v>
      </c>
      <c r="AI39" s="245" t="str">
        <f>'Fiches Qualif'!BC42</f>
        <v/>
      </c>
      <c r="AJ39" s="245">
        <f>'Fiches Qualif'!BD42</f>
        <v>10</v>
      </c>
      <c r="AK39" s="245" t="str">
        <f>'Fiches Qualif'!BE42</f>
        <v/>
      </c>
      <c r="AL39" s="245">
        <f>'Fiches Qualif'!BF42</f>
        <v>10</v>
      </c>
      <c r="AM39" s="245" t="str">
        <f>'Fiches Qualif'!BG42</f>
        <v/>
      </c>
      <c r="AN39" s="245">
        <f>'Fiches Qualif'!BH42</f>
        <v>10</v>
      </c>
      <c r="AO39" s="245" t="str">
        <f>'Fiches Qualif'!BI42</f>
        <v/>
      </c>
      <c r="AP39" s="245">
        <f>'Fiches Qualif'!BJ42</f>
        <v>10</v>
      </c>
      <c r="AQ39" s="245" t="str">
        <f>'Fiches Qualif'!BK42</f>
        <v/>
      </c>
      <c r="AR39" s="245">
        <f>'Fiches Qualif'!BL42</f>
        <v>10</v>
      </c>
      <c r="AS39" s="245" t="str">
        <f>'Fiches Qualif'!BM42</f>
        <v/>
      </c>
    </row>
    <row r="40" spans="24:45" x14ac:dyDescent="0.2">
      <c r="X40" s="217" t="str">
        <f>'Fiches Qualif'!AO45</f>
        <v>SG</v>
      </c>
      <c r="Y40" s="217" t="str">
        <f>'Fiches Qualif'!AP45</f>
        <v>senior</v>
      </c>
      <c r="AB40" s="245">
        <f>'Fiches Qualif'!AV43</f>
        <v>11</v>
      </c>
      <c r="AC40" s="245" t="str">
        <f>'Fiches Qualif'!AW43</f>
        <v/>
      </c>
      <c r="AD40" s="245">
        <f>'Fiches Qualif'!AX43</f>
        <v>11</v>
      </c>
      <c r="AE40" s="245" t="str">
        <f>'Fiches Qualif'!AY43</f>
        <v/>
      </c>
      <c r="AF40" s="245">
        <f>'Fiches Qualif'!AZ43</f>
        <v>11</v>
      </c>
      <c r="AG40" s="245" t="str">
        <f>'Fiches Qualif'!BA43</f>
        <v/>
      </c>
      <c r="AH40" s="245">
        <f>'Fiches Qualif'!BB43</f>
        <v>11</v>
      </c>
      <c r="AI40" s="245" t="str">
        <f>'Fiches Qualif'!BC43</f>
        <v/>
      </c>
      <c r="AJ40" s="245">
        <f>'Fiches Qualif'!BD43</f>
        <v>11</v>
      </c>
      <c r="AK40" s="245" t="str">
        <f>'Fiches Qualif'!BE43</f>
        <v/>
      </c>
      <c r="AL40" s="245">
        <f>'Fiches Qualif'!BF43</f>
        <v>11</v>
      </c>
      <c r="AM40" s="245" t="str">
        <f>'Fiches Qualif'!BG43</f>
        <v/>
      </c>
      <c r="AN40" s="245">
        <f>'Fiches Qualif'!BH43</f>
        <v>11</v>
      </c>
      <c r="AO40" s="245" t="str">
        <f>'Fiches Qualif'!BI43</f>
        <v/>
      </c>
      <c r="AP40" s="245">
        <f>'Fiches Qualif'!BJ43</f>
        <v>11</v>
      </c>
      <c r="AQ40" s="245" t="str">
        <f>'Fiches Qualif'!BK43</f>
        <v/>
      </c>
      <c r="AR40" s="245">
        <f>'Fiches Qualif'!BL43</f>
        <v>11</v>
      </c>
      <c r="AS40" s="245" t="str">
        <f>'Fiches Qualif'!BM43</f>
        <v/>
      </c>
    </row>
    <row r="41" spans="24:45" x14ac:dyDescent="0.2">
      <c r="AB41" s="245">
        <f>'Fiches Qualif'!AV44</f>
        <v>12</v>
      </c>
      <c r="AC41" s="245" t="str">
        <f>'Fiches Qualif'!AW44</f>
        <v/>
      </c>
      <c r="AD41" s="245">
        <f>'Fiches Qualif'!AX44</f>
        <v>12</v>
      </c>
      <c r="AE41" s="245" t="str">
        <f>'Fiches Qualif'!AY44</f>
        <v/>
      </c>
      <c r="AF41" s="245">
        <f>'Fiches Qualif'!AZ44</f>
        <v>12</v>
      </c>
      <c r="AG41" s="245" t="str">
        <f>'Fiches Qualif'!BA44</f>
        <v/>
      </c>
      <c r="AH41" s="245">
        <f>'Fiches Qualif'!BB44</f>
        <v>12</v>
      </c>
      <c r="AI41" s="245" t="str">
        <f>'Fiches Qualif'!BC44</f>
        <v/>
      </c>
      <c r="AJ41" s="245">
        <f>'Fiches Qualif'!BD44</f>
        <v>12</v>
      </c>
      <c r="AK41" s="245" t="str">
        <f>'Fiches Qualif'!BE44</f>
        <v/>
      </c>
      <c r="AL41" s="245">
        <f>'Fiches Qualif'!BF44</f>
        <v>12</v>
      </c>
      <c r="AM41" s="245" t="str">
        <f>'Fiches Qualif'!BG44</f>
        <v/>
      </c>
      <c r="AN41" s="245">
        <f>'Fiches Qualif'!BH44</f>
        <v>12</v>
      </c>
      <c r="AO41" s="245" t="str">
        <f>'Fiches Qualif'!BI44</f>
        <v/>
      </c>
      <c r="AP41" s="245">
        <f>'Fiches Qualif'!BJ44</f>
        <v>12</v>
      </c>
      <c r="AQ41" s="245" t="str">
        <f>'Fiches Qualif'!BK44</f>
        <v/>
      </c>
      <c r="AR41" s="245">
        <f>'Fiches Qualif'!BL44</f>
        <v>12</v>
      </c>
      <c r="AS41" s="245" t="str">
        <f>'Fiches Qualif'!BM44</f>
        <v/>
      </c>
    </row>
    <row r="42" spans="24:45" x14ac:dyDescent="0.2">
      <c r="AB42" s="245">
        <f>'Fiches Qualif'!AV45</f>
        <v>13</v>
      </c>
      <c r="AC42" s="245" t="str">
        <f>'Fiches Qualif'!AW45</f>
        <v/>
      </c>
      <c r="AD42" s="245">
        <f>'Fiches Qualif'!AX45</f>
        <v>13</v>
      </c>
      <c r="AE42" s="245" t="str">
        <f>'Fiches Qualif'!AY45</f>
        <v/>
      </c>
      <c r="AF42" s="245">
        <f>'Fiches Qualif'!AZ45</f>
        <v>13</v>
      </c>
      <c r="AG42" s="245" t="str">
        <f>'Fiches Qualif'!BA45</f>
        <v/>
      </c>
      <c r="AH42" s="245">
        <f>'Fiches Qualif'!BB45</f>
        <v>13</v>
      </c>
      <c r="AI42" s="245" t="str">
        <f>'Fiches Qualif'!BC45</f>
        <v/>
      </c>
      <c r="AJ42" s="245">
        <f>'Fiches Qualif'!BD45</f>
        <v>13</v>
      </c>
      <c r="AK42" s="245" t="str">
        <f>'Fiches Qualif'!BE45</f>
        <v/>
      </c>
      <c r="AL42" s="245">
        <f>'Fiches Qualif'!BF45</f>
        <v>13</v>
      </c>
      <c r="AM42" s="245" t="str">
        <f>'Fiches Qualif'!BG45</f>
        <v/>
      </c>
      <c r="AN42" s="245">
        <f>'Fiches Qualif'!BH45</f>
        <v>13</v>
      </c>
      <c r="AO42" s="245" t="str">
        <f>'Fiches Qualif'!BI45</f>
        <v/>
      </c>
      <c r="AP42" s="245">
        <f>'Fiches Qualif'!BJ45</f>
        <v>13</v>
      </c>
      <c r="AQ42" s="245" t="str">
        <f>'Fiches Qualif'!BK45</f>
        <v/>
      </c>
      <c r="AR42" s="245">
        <f>'Fiches Qualif'!BL45</f>
        <v>13</v>
      </c>
      <c r="AS42" s="245" t="str">
        <f>'Fiches Qualif'!BM45</f>
        <v/>
      </c>
    </row>
    <row r="43" spans="24:45" x14ac:dyDescent="0.2">
      <c r="AB43" s="245">
        <f>'Fiches Qualif'!AV46</f>
        <v>14</v>
      </c>
      <c r="AC43" s="245" t="str">
        <f>'Fiches Qualif'!AW46</f>
        <v/>
      </c>
      <c r="AD43" s="245">
        <f>'Fiches Qualif'!AX46</f>
        <v>14</v>
      </c>
      <c r="AE43" s="245" t="str">
        <f>'Fiches Qualif'!AY46</f>
        <v/>
      </c>
      <c r="AF43" s="245">
        <f>'Fiches Qualif'!AZ46</f>
        <v>14</v>
      </c>
      <c r="AG43" s="245" t="str">
        <f>'Fiches Qualif'!BA46</f>
        <v/>
      </c>
      <c r="AH43" s="245">
        <f>'Fiches Qualif'!BB46</f>
        <v>14</v>
      </c>
      <c r="AI43" s="245" t="str">
        <f>'Fiches Qualif'!BC46</f>
        <v/>
      </c>
      <c r="AJ43" s="245">
        <f>'Fiches Qualif'!BD46</f>
        <v>14</v>
      </c>
      <c r="AK43" s="245" t="str">
        <f>'Fiches Qualif'!BE46</f>
        <v/>
      </c>
      <c r="AL43" s="245">
        <f>'Fiches Qualif'!BF46</f>
        <v>14</v>
      </c>
      <c r="AM43" s="245" t="str">
        <f>'Fiches Qualif'!BG46</f>
        <v/>
      </c>
      <c r="AN43" s="245">
        <f>'Fiches Qualif'!BH46</f>
        <v>14</v>
      </c>
      <c r="AO43" s="245" t="str">
        <f>'Fiches Qualif'!BI46</f>
        <v/>
      </c>
      <c r="AP43" s="245">
        <f>'Fiches Qualif'!BJ46</f>
        <v>14</v>
      </c>
      <c r="AQ43" s="245" t="str">
        <f>'Fiches Qualif'!BK46</f>
        <v/>
      </c>
      <c r="AR43" s="245">
        <f>'Fiches Qualif'!BL46</f>
        <v>14</v>
      </c>
      <c r="AS43" s="245" t="str">
        <f>'Fiches Qualif'!BM46</f>
        <v/>
      </c>
    </row>
    <row r="44" spans="24:45" x14ac:dyDescent="0.2">
      <c r="X44" s="217">
        <v>1</v>
      </c>
      <c r="AB44" s="245">
        <f>'Fiches Qualif'!AV47</f>
        <v>15</v>
      </c>
      <c r="AC44" s="245" t="str">
        <f>'Fiches Qualif'!AW47</f>
        <v/>
      </c>
      <c r="AD44" s="245">
        <f>'Fiches Qualif'!AX47</f>
        <v>15</v>
      </c>
      <c r="AE44" s="245" t="str">
        <f>'Fiches Qualif'!AY47</f>
        <v/>
      </c>
      <c r="AF44" s="245">
        <f>'Fiches Qualif'!AZ47</f>
        <v>15</v>
      </c>
      <c r="AG44" s="245" t="str">
        <f>'Fiches Qualif'!BA47</f>
        <v/>
      </c>
      <c r="AH44" s="245">
        <f>'Fiches Qualif'!BB47</f>
        <v>15</v>
      </c>
      <c r="AI44" s="245" t="str">
        <f>'Fiches Qualif'!BC47</f>
        <v/>
      </c>
      <c r="AJ44" s="245">
        <f>'Fiches Qualif'!BD47</f>
        <v>15</v>
      </c>
      <c r="AK44" s="245" t="str">
        <f>'Fiches Qualif'!BE47</f>
        <v/>
      </c>
      <c r="AL44" s="245">
        <f>'Fiches Qualif'!BF47</f>
        <v>15</v>
      </c>
      <c r="AM44" s="245" t="str">
        <f>'Fiches Qualif'!BG47</f>
        <v/>
      </c>
      <c r="AN44" s="245">
        <f>'Fiches Qualif'!BH47</f>
        <v>15</v>
      </c>
      <c r="AO44" s="245" t="str">
        <f>'Fiches Qualif'!BI47</f>
        <v/>
      </c>
      <c r="AP44" s="245">
        <f>'Fiches Qualif'!BJ47</f>
        <v>15</v>
      </c>
      <c r="AQ44" s="245" t="str">
        <f>'Fiches Qualif'!BK47</f>
        <v/>
      </c>
      <c r="AR44" s="245">
        <f>'Fiches Qualif'!BL47</f>
        <v>15</v>
      </c>
      <c r="AS44" s="245" t="str">
        <f>'Fiches Qualif'!BM47</f>
        <v/>
      </c>
    </row>
    <row r="45" spans="24:45" x14ac:dyDescent="0.2">
      <c r="X45" s="217">
        <v>2</v>
      </c>
      <c r="AB45" s="245">
        <f>'Fiches Qualif'!AV48</f>
        <v>16</v>
      </c>
      <c r="AC45" s="245" t="str">
        <f>'Fiches Qualif'!AW48</f>
        <v/>
      </c>
      <c r="AD45" s="245">
        <f>'Fiches Qualif'!AX48</f>
        <v>16</v>
      </c>
      <c r="AE45" s="245" t="str">
        <f>'Fiches Qualif'!AY48</f>
        <v/>
      </c>
      <c r="AF45" s="245">
        <f>'Fiches Qualif'!AZ48</f>
        <v>16</v>
      </c>
      <c r="AG45" s="245" t="str">
        <f>'Fiches Qualif'!BA48</f>
        <v/>
      </c>
      <c r="AH45" s="245">
        <f>'Fiches Qualif'!BB48</f>
        <v>16</v>
      </c>
      <c r="AI45" s="245" t="str">
        <f>'Fiches Qualif'!BC48</f>
        <v/>
      </c>
      <c r="AJ45" s="245">
        <f>'Fiches Qualif'!BD48</f>
        <v>16</v>
      </c>
      <c r="AK45" s="245" t="str">
        <f>'Fiches Qualif'!BE48</f>
        <v/>
      </c>
      <c r="AL45" s="245">
        <f>'Fiches Qualif'!BF48</f>
        <v>16</v>
      </c>
      <c r="AM45" s="245" t="str">
        <f>'Fiches Qualif'!BG48</f>
        <v/>
      </c>
      <c r="AN45" s="245">
        <f>'Fiches Qualif'!BH48</f>
        <v>16</v>
      </c>
      <c r="AO45" s="245" t="str">
        <f>'Fiches Qualif'!BI48</f>
        <v/>
      </c>
      <c r="AP45" s="245">
        <f>'Fiches Qualif'!BJ48</f>
        <v>16</v>
      </c>
      <c r="AQ45" s="245" t="str">
        <f>'Fiches Qualif'!BK48</f>
        <v/>
      </c>
      <c r="AR45" s="245">
        <f>'Fiches Qualif'!BL48</f>
        <v>16</v>
      </c>
      <c r="AS45" s="245" t="str">
        <f>'Fiches Qualif'!BM48</f>
        <v/>
      </c>
    </row>
    <row r="46" spans="24:45" x14ac:dyDescent="0.2">
      <c r="X46" s="217">
        <v>3</v>
      </c>
      <c r="AB46" s="245">
        <f>'Fiches Qualif'!AV49</f>
        <v>17</v>
      </c>
      <c r="AC46" s="245" t="str">
        <f>'Fiches Qualif'!AW49</f>
        <v/>
      </c>
      <c r="AD46" s="245">
        <f>'Fiches Qualif'!AX49</f>
        <v>17</v>
      </c>
      <c r="AE46" s="245" t="str">
        <f>'Fiches Qualif'!AY49</f>
        <v/>
      </c>
      <c r="AF46" s="245">
        <f>'Fiches Qualif'!AZ49</f>
        <v>17</v>
      </c>
      <c r="AG46" s="245" t="str">
        <f>'Fiches Qualif'!BA49</f>
        <v/>
      </c>
      <c r="AH46" s="245">
        <f>'Fiches Qualif'!BB49</f>
        <v>17</v>
      </c>
      <c r="AI46" s="245" t="str">
        <f>'Fiches Qualif'!BC49</f>
        <v/>
      </c>
      <c r="AJ46" s="245">
        <f>'Fiches Qualif'!BD49</f>
        <v>17</v>
      </c>
      <c r="AK46" s="245" t="str">
        <f>'Fiches Qualif'!BE49</f>
        <v/>
      </c>
      <c r="AL46" s="245">
        <f>'Fiches Qualif'!BF49</f>
        <v>17</v>
      </c>
      <c r="AM46" s="245" t="str">
        <f>'Fiches Qualif'!BG49</f>
        <v/>
      </c>
      <c r="AN46" s="245">
        <f>'Fiches Qualif'!BH49</f>
        <v>17</v>
      </c>
      <c r="AO46" s="245" t="str">
        <f>'Fiches Qualif'!BI49</f>
        <v/>
      </c>
      <c r="AP46" s="245">
        <f>'Fiches Qualif'!BJ49</f>
        <v>17</v>
      </c>
      <c r="AQ46" s="245" t="str">
        <f>'Fiches Qualif'!BK49</f>
        <v/>
      </c>
      <c r="AR46" s="245">
        <f>'Fiches Qualif'!BL49</f>
        <v>17</v>
      </c>
      <c r="AS46" s="245" t="str">
        <f>'Fiches Qualif'!BM49</f>
        <v/>
      </c>
    </row>
    <row r="47" spans="24:45" x14ac:dyDescent="0.2">
      <c r="X47" s="217">
        <v>4</v>
      </c>
      <c r="AB47" s="245">
        <f>'Fiches Qualif'!AV50</f>
        <v>18</v>
      </c>
      <c r="AC47" s="245" t="str">
        <f>'Fiches Qualif'!AW50</f>
        <v/>
      </c>
      <c r="AD47" s="245">
        <f>'Fiches Qualif'!AX50</f>
        <v>18</v>
      </c>
      <c r="AE47" s="245" t="str">
        <f>'Fiches Qualif'!AY50</f>
        <v/>
      </c>
      <c r="AF47" s="245">
        <f>'Fiches Qualif'!AZ50</f>
        <v>18</v>
      </c>
      <c r="AG47" s="245" t="str">
        <f>'Fiches Qualif'!BA50</f>
        <v/>
      </c>
      <c r="AH47" s="245">
        <f>'Fiches Qualif'!BB50</f>
        <v>18</v>
      </c>
      <c r="AI47" s="245" t="str">
        <f>'Fiches Qualif'!BC50</f>
        <v/>
      </c>
      <c r="AJ47" s="245">
        <f>'Fiches Qualif'!BD50</f>
        <v>18</v>
      </c>
      <c r="AK47" s="245" t="str">
        <f>'Fiches Qualif'!BE50</f>
        <v/>
      </c>
      <c r="AL47" s="245">
        <f>'Fiches Qualif'!BF50</f>
        <v>18</v>
      </c>
      <c r="AM47" s="245" t="str">
        <f>'Fiches Qualif'!BG50</f>
        <v/>
      </c>
      <c r="AN47" s="245">
        <f>'Fiches Qualif'!BH50</f>
        <v>18</v>
      </c>
      <c r="AO47" s="245" t="str">
        <f>'Fiches Qualif'!BI50</f>
        <v/>
      </c>
      <c r="AP47" s="245">
        <f>'Fiches Qualif'!BJ50</f>
        <v>18</v>
      </c>
      <c r="AQ47" s="245" t="str">
        <f>'Fiches Qualif'!BK50</f>
        <v/>
      </c>
      <c r="AR47" s="245">
        <f>'Fiches Qualif'!BL50</f>
        <v>18</v>
      </c>
      <c r="AS47" s="245" t="str">
        <f>'Fiches Qualif'!BM50</f>
        <v/>
      </c>
    </row>
    <row r="48" spans="24:45" x14ac:dyDescent="0.2">
      <c r="X48" s="217">
        <v>5</v>
      </c>
      <c r="AB48" s="245">
        <f>'Fiches Qualif'!AV51</f>
        <v>19</v>
      </c>
      <c r="AC48" s="245" t="str">
        <f>'Fiches Qualif'!AW51</f>
        <v/>
      </c>
      <c r="AD48" s="245">
        <f>'Fiches Qualif'!AX51</f>
        <v>19</v>
      </c>
      <c r="AE48" s="245" t="str">
        <f>'Fiches Qualif'!AY51</f>
        <v/>
      </c>
      <c r="AF48" s="245">
        <f>'Fiches Qualif'!AZ51</f>
        <v>19</v>
      </c>
      <c r="AG48" s="245" t="str">
        <f>'Fiches Qualif'!BA51</f>
        <v/>
      </c>
      <c r="AH48" s="245">
        <f>'Fiches Qualif'!BB51</f>
        <v>19</v>
      </c>
      <c r="AI48" s="245" t="str">
        <f>'Fiches Qualif'!BC51</f>
        <v/>
      </c>
      <c r="AJ48" s="245">
        <f>'Fiches Qualif'!BD51</f>
        <v>19</v>
      </c>
      <c r="AK48" s="245" t="str">
        <f>'Fiches Qualif'!BE51</f>
        <v/>
      </c>
      <c r="AL48" s="245">
        <f>'Fiches Qualif'!BF51</f>
        <v>19</v>
      </c>
      <c r="AM48" s="245" t="str">
        <f>'Fiches Qualif'!BG51</f>
        <v/>
      </c>
      <c r="AN48" s="245">
        <f>'Fiches Qualif'!BH51</f>
        <v>19</v>
      </c>
      <c r="AO48" s="245" t="str">
        <f>'Fiches Qualif'!BI51</f>
        <v/>
      </c>
      <c r="AP48" s="245">
        <f>'Fiches Qualif'!BJ51</f>
        <v>19</v>
      </c>
      <c r="AQ48" s="245" t="str">
        <f>'Fiches Qualif'!BK51</f>
        <v/>
      </c>
      <c r="AR48" s="245">
        <f>'Fiches Qualif'!BL51</f>
        <v>19</v>
      </c>
      <c r="AS48" s="245" t="str">
        <f>'Fiches Qualif'!BM51</f>
        <v/>
      </c>
    </row>
    <row r="49" spans="24:45" x14ac:dyDescent="0.2">
      <c r="X49" s="217">
        <v>6</v>
      </c>
      <c r="AB49" s="245">
        <f>'Fiches Qualif'!AV52</f>
        <v>20</v>
      </c>
      <c r="AC49" s="245" t="str">
        <f>'Fiches Qualif'!AW52</f>
        <v/>
      </c>
      <c r="AD49" s="245">
        <f>'Fiches Qualif'!AX52</f>
        <v>20</v>
      </c>
      <c r="AE49" s="245" t="str">
        <f>'Fiches Qualif'!AY52</f>
        <v/>
      </c>
      <c r="AF49" s="245">
        <f>'Fiches Qualif'!AZ52</f>
        <v>20</v>
      </c>
      <c r="AG49" s="245" t="str">
        <f>'Fiches Qualif'!BA52</f>
        <v/>
      </c>
      <c r="AH49" s="245">
        <f>'Fiches Qualif'!BB52</f>
        <v>20</v>
      </c>
      <c r="AI49" s="245" t="str">
        <f>'Fiches Qualif'!BC52</f>
        <v/>
      </c>
      <c r="AJ49" s="245">
        <f>'Fiches Qualif'!BD52</f>
        <v>20</v>
      </c>
      <c r="AK49" s="245" t="str">
        <f>'Fiches Qualif'!BE52</f>
        <v/>
      </c>
      <c r="AL49" s="245">
        <f>'Fiches Qualif'!BF52</f>
        <v>20</v>
      </c>
      <c r="AM49" s="245" t="str">
        <f>'Fiches Qualif'!BG52</f>
        <v/>
      </c>
      <c r="AN49" s="245">
        <f>'Fiches Qualif'!BH52</f>
        <v>20</v>
      </c>
      <c r="AO49" s="245" t="str">
        <f>'Fiches Qualif'!BI52</f>
        <v/>
      </c>
      <c r="AP49" s="245">
        <f>'Fiches Qualif'!BJ52</f>
        <v>20</v>
      </c>
      <c r="AQ49" s="245" t="str">
        <f>'Fiches Qualif'!BK52</f>
        <v/>
      </c>
      <c r="AR49" s="245">
        <f>'Fiches Qualif'!BL52</f>
        <v>20</v>
      </c>
      <c r="AS49" s="245" t="str">
        <f>'Fiches Qualif'!BM52</f>
        <v/>
      </c>
    </row>
    <row r="50" spans="24:45" x14ac:dyDescent="0.2">
      <c r="X50" s="217">
        <v>7</v>
      </c>
      <c r="AB50" s="245">
        <f>'Fiches Qualif'!AV53</f>
        <v>21</v>
      </c>
      <c r="AC50" s="245" t="str">
        <f>'Fiches Qualif'!AW53</f>
        <v/>
      </c>
      <c r="AD50" s="245">
        <f>'Fiches Qualif'!AX53</f>
        <v>21</v>
      </c>
      <c r="AE50" s="245" t="str">
        <f>'Fiches Qualif'!AY53</f>
        <v/>
      </c>
      <c r="AF50" s="245">
        <f>'Fiches Qualif'!AZ53</f>
        <v>21</v>
      </c>
      <c r="AG50" s="245" t="str">
        <f>'Fiches Qualif'!BA53</f>
        <v/>
      </c>
      <c r="AH50" s="245">
        <f>'Fiches Qualif'!BB53</f>
        <v>21</v>
      </c>
      <c r="AI50" s="245" t="str">
        <f>'Fiches Qualif'!BC53</f>
        <v/>
      </c>
      <c r="AJ50" s="245">
        <f>'Fiches Qualif'!BD53</f>
        <v>21</v>
      </c>
      <c r="AK50" s="245" t="str">
        <f>'Fiches Qualif'!BE53</f>
        <v/>
      </c>
      <c r="AL50" s="245">
        <f>'Fiches Qualif'!BF53</f>
        <v>21</v>
      </c>
      <c r="AM50" s="245" t="str">
        <f>'Fiches Qualif'!BG53</f>
        <v/>
      </c>
      <c r="AN50" s="245">
        <f>'Fiches Qualif'!BH53</f>
        <v>21</v>
      </c>
      <c r="AO50" s="245" t="str">
        <f>'Fiches Qualif'!BI53</f>
        <v/>
      </c>
      <c r="AP50" s="245">
        <f>'Fiches Qualif'!BJ53</f>
        <v>21</v>
      </c>
      <c r="AQ50" s="245" t="str">
        <f>'Fiches Qualif'!BK53</f>
        <v/>
      </c>
      <c r="AR50" s="245">
        <f>'Fiches Qualif'!BL53</f>
        <v>21</v>
      </c>
      <c r="AS50" s="245" t="str">
        <f>'Fiches Qualif'!BM53</f>
        <v/>
      </c>
    </row>
    <row r="51" spans="24:45" x14ac:dyDescent="0.2">
      <c r="X51" s="217">
        <v>8</v>
      </c>
      <c r="AB51" s="245">
        <f>'Fiches Qualif'!AV54</f>
        <v>22</v>
      </c>
      <c r="AC51" s="245" t="str">
        <f>'Fiches Qualif'!AW54</f>
        <v/>
      </c>
      <c r="AD51" s="245">
        <f>'Fiches Qualif'!AX54</f>
        <v>22</v>
      </c>
      <c r="AE51" s="245" t="str">
        <f>'Fiches Qualif'!AY54</f>
        <v/>
      </c>
      <c r="AF51" s="245">
        <f>'Fiches Qualif'!AZ54</f>
        <v>22</v>
      </c>
      <c r="AG51" s="245" t="str">
        <f>'Fiches Qualif'!BA54</f>
        <v/>
      </c>
      <c r="AH51" s="245">
        <f>'Fiches Qualif'!BB54</f>
        <v>22</v>
      </c>
      <c r="AI51" s="245" t="str">
        <f>'Fiches Qualif'!BC54</f>
        <v/>
      </c>
      <c r="AJ51" s="245">
        <f>'Fiches Qualif'!BD54</f>
        <v>22</v>
      </c>
      <c r="AK51" s="245" t="str">
        <f>'Fiches Qualif'!BE54</f>
        <v/>
      </c>
      <c r="AL51" s="245">
        <f>'Fiches Qualif'!BF54</f>
        <v>22</v>
      </c>
      <c r="AM51" s="245" t="str">
        <f>'Fiches Qualif'!BG54</f>
        <v/>
      </c>
      <c r="AN51" s="245">
        <f>'Fiches Qualif'!BH54</f>
        <v>22</v>
      </c>
      <c r="AO51" s="245" t="str">
        <f>'Fiches Qualif'!BI54</f>
        <v/>
      </c>
      <c r="AP51" s="245">
        <f>'Fiches Qualif'!BJ54</f>
        <v>22</v>
      </c>
      <c r="AQ51" s="245" t="str">
        <f>'Fiches Qualif'!BK54</f>
        <v/>
      </c>
      <c r="AR51" s="245">
        <f>'Fiches Qualif'!BL54</f>
        <v>22</v>
      </c>
      <c r="AS51" s="245" t="str">
        <f>'Fiches Qualif'!BM54</f>
        <v/>
      </c>
    </row>
    <row r="52" spans="24:45" x14ac:dyDescent="0.2">
      <c r="X52" s="217">
        <v>9</v>
      </c>
      <c r="AB52" s="245">
        <f>'Fiches Qualif'!AV55</f>
        <v>23</v>
      </c>
      <c r="AC52" s="245" t="str">
        <f>'Fiches Qualif'!AW55</f>
        <v/>
      </c>
      <c r="AD52" s="245">
        <f>'Fiches Qualif'!AX55</f>
        <v>23</v>
      </c>
      <c r="AE52" s="245" t="str">
        <f>'Fiches Qualif'!AY55</f>
        <v/>
      </c>
      <c r="AF52" s="245">
        <f>'Fiches Qualif'!AZ55</f>
        <v>23</v>
      </c>
      <c r="AG52" s="245" t="str">
        <f>'Fiches Qualif'!BA55</f>
        <v/>
      </c>
      <c r="AH52" s="245">
        <f>'Fiches Qualif'!BB55</f>
        <v>23</v>
      </c>
      <c r="AI52" s="245" t="str">
        <f>'Fiches Qualif'!BC55</f>
        <v/>
      </c>
      <c r="AJ52" s="245">
        <f>'Fiches Qualif'!BD55</f>
        <v>23</v>
      </c>
      <c r="AK52" s="245" t="str">
        <f>'Fiches Qualif'!BE55</f>
        <v/>
      </c>
      <c r="AL52" s="245">
        <f>'Fiches Qualif'!BF55</f>
        <v>23</v>
      </c>
      <c r="AM52" s="245" t="str">
        <f>'Fiches Qualif'!BG55</f>
        <v/>
      </c>
      <c r="AN52" s="245">
        <f>'Fiches Qualif'!BH55</f>
        <v>23</v>
      </c>
      <c r="AO52" s="245" t="str">
        <f>'Fiches Qualif'!BI55</f>
        <v/>
      </c>
      <c r="AP52" s="245">
        <f>'Fiches Qualif'!BJ55</f>
        <v>23</v>
      </c>
      <c r="AQ52" s="245" t="str">
        <f>'Fiches Qualif'!BK55</f>
        <v/>
      </c>
      <c r="AR52" s="245">
        <f>'Fiches Qualif'!BL55</f>
        <v>23</v>
      </c>
      <c r="AS52" s="245" t="str">
        <f>'Fiches Qualif'!BM55</f>
        <v/>
      </c>
    </row>
    <row r="53" spans="24:45" x14ac:dyDescent="0.2">
      <c r="X53" s="217">
        <v>10</v>
      </c>
      <c r="AB53" s="245">
        <f>'Fiches Qualif'!AV56</f>
        <v>24</v>
      </c>
      <c r="AC53" s="245" t="str">
        <f>'Fiches Qualif'!AW56</f>
        <v/>
      </c>
      <c r="AD53" s="245">
        <f>'Fiches Qualif'!AX56</f>
        <v>24</v>
      </c>
      <c r="AE53" s="245" t="str">
        <f>'Fiches Qualif'!AY56</f>
        <v/>
      </c>
      <c r="AF53" s="245">
        <f>'Fiches Qualif'!AZ56</f>
        <v>24</v>
      </c>
      <c r="AG53" s="245" t="str">
        <f>'Fiches Qualif'!BA56</f>
        <v/>
      </c>
      <c r="AH53" s="245">
        <f>'Fiches Qualif'!BB56</f>
        <v>24</v>
      </c>
      <c r="AI53" s="245" t="str">
        <f>'Fiches Qualif'!BC56</f>
        <v/>
      </c>
      <c r="AJ53" s="245">
        <f>'Fiches Qualif'!BD56</f>
        <v>24</v>
      </c>
      <c r="AK53" s="245" t="str">
        <f>'Fiches Qualif'!BE56</f>
        <v/>
      </c>
      <c r="AL53" s="245">
        <f>'Fiches Qualif'!BF56</f>
        <v>24</v>
      </c>
      <c r="AM53" s="245" t="str">
        <f>'Fiches Qualif'!BG56</f>
        <v/>
      </c>
      <c r="AN53" s="245">
        <f>'Fiches Qualif'!BH56</f>
        <v>24</v>
      </c>
      <c r="AO53" s="245" t="str">
        <f>'Fiches Qualif'!BI56</f>
        <v/>
      </c>
      <c r="AP53" s="245">
        <f>'Fiches Qualif'!BJ56</f>
        <v>24</v>
      </c>
      <c r="AQ53" s="245" t="str">
        <f>'Fiches Qualif'!BK56</f>
        <v/>
      </c>
      <c r="AR53" s="245">
        <f>'Fiches Qualif'!BL56</f>
        <v>24</v>
      </c>
      <c r="AS53" s="245" t="str">
        <f>'Fiches Qualif'!BM56</f>
        <v/>
      </c>
    </row>
    <row r="54" spans="24:45" x14ac:dyDescent="0.2">
      <c r="X54" s="217">
        <v>11</v>
      </c>
      <c r="AB54" s="245">
        <f>'Fiches Qualif'!AV57</f>
        <v>25</v>
      </c>
      <c r="AC54" s="245" t="str">
        <f>'Fiches Qualif'!AW57</f>
        <v/>
      </c>
      <c r="AD54" s="245">
        <f>'Fiches Qualif'!AX57</f>
        <v>25</v>
      </c>
      <c r="AE54" s="245" t="str">
        <f>'Fiches Qualif'!AY57</f>
        <v/>
      </c>
      <c r="AF54" s="245">
        <f>'Fiches Qualif'!AZ57</f>
        <v>25</v>
      </c>
      <c r="AG54" s="245" t="str">
        <f>'Fiches Qualif'!BA57</f>
        <v/>
      </c>
      <c r="AH54" s="245">
        <f>'Fiches Qualif'!BB57</f>
        <v>25</v>
      </c>
      <c r="AI54" s="245" t="str">
        <f>'Fiches Qualif'!BC57</f>
        <v/>
      </c>
      <c r="AJ54" s="245">
        <f>'Fiches Qualif'!BD57</f>
        <v>25</v>
      </c>
      <c r="AK54" s="245" t="str">
        <f>'Fiches Qualif'!BE57</f>
        <v/>
      </c>
      <c r="AL54" s="245">
        <f>'Fiches Qualif'!BF57</f>
        <v>25</v>
      </c>
      <c r="AM54" s="245" t="str">
        <f>'Fiches Qualif'!BG57</f>
        <v/>
      </c>
      <c r="AN54" s="245">
        <f>'Fiches Qualif'!BH57</f>
        <v>25</v>
      </c>
      <c r="AO54" s="245" t="str">
        <f>'Fiches Qualif'!BI57</f>
        <v/>
      </c>
      <c r="AP54" s="245">
        <f>'Fiches Qualif'!BJ57</f>
        <v>25</v>
      </c>
      <c r="AQ54" s="245" t="str">
        <f>'Fiches Qualif'!BK57</f>
        <v/>
      </c>
      <c r="AR54" s="245">
        <f>'Fiches Qualif'!BL57</f>
        <v>25</v>
      </c>
      <c r="AS54" s="245" t="str">
        <f>'Fiches Qualif'!BM57</f>
        <v/>
      </c>
    </row>
    <row r="55" spans="24:45" x14ac:dyDescent="0.2">
      <c r="AB55" s="245">
        <f>'Fiches Qualif'!AV58</f>
        <v>26</v>
      </c>
      <c r="AC55" s="245" t="str">
        <f>'Fiches Qualif'!AW58</f>
        <v/>
      </c>
      <c r="AD55" s="245">
        <f>'Fiches Qualif'!AX58</f>
        <v>26</v>
      </c>
      <c r="AE55" s="245" t="str">
        <f>'Fiches Qualif'!AY58</f>
        <v/>
      </c>
      <c r="AF55" s="245">
        <f>'Fiches Qualif'!AZ58</f>
        <v>26</v>
      </c>
      <c r="AG55" s="245" t="str">
        <f>'Fiches Qualif'!BA58</f>
        <v/>
      </c>
      <c r="AH55" s="245">
        <f>'Fiches Qualif'!BB58</f>
        <v>26</v>
      </c>
      <c r="AI55" s="245" t="str">
        <f>'Fiches Qualif'!BC58</f>
        <v/>
      </c>
      <c r="AJ55" s="245">
        <f>'Fiches Qualif'!BD58</f>
        <v>26</v>
      </c>
      <c r="AK55" s="245" t="str">
        <f>'Fiches Qualif'!BE58</f>
        <v/>
      </c>
      <c r="AL55" s="245">
        <f>'Fiches Qualif'!BF58</f>
        <v>26</v>
      </c>
      <c r="AM55" s="245" t="str">
        <f>'Fiches Qualif'!BG58</f>
        <v/>
      </c>
      <c r="AN55" s="245">
        <f>'Fiches Qualif'!BH58</f>
        <v>26</v>
      </c>
      <c r="AO55" s="245" t="str">
        <f>'Fiches Qualif'!BI58</f>
        <v/>
      </c>
      <c r="AP55" s="245">
        <f>'Fiches Qualif'!BJ58</f>
        <v>26</v>
      </c>
      <c r="AQ55" s="245" t="str">
        <f>'Fiches Qualif'!BK58</f>
        <v/>
      </c>
      <c r="AR55" s="245">
        <f>'Fiches Qualif'!BL58</f>
        <v>26</v>
      </c>
      <c r="AS55" s="245" t="str">
        <f>'Fiches Qualif'!BM58</f>
        <v/>
      </c>
    </row>
    <row r="56" spans="24:45" x14ac:dyDescent="0.2">
      <c r="AB56" s="245">
        <f>'Fiches Qualif'!AV59</f>
        <v>27</v>
      </c>
      <c r="AC56" s="245" t="str">
        <f>'Fiches Qualif'!AW59</f>
        <v/>
      </c>
      <c r="AD56" s="245">
        <f>'Fiches Qualif'!AX59</f>
        <v>27</v>
      </c>
      <c r="AE56" s="245" t="str">
        <f>'Fiches Qualif'!AY59</f>
        <v/>
      </c>
      <c r="AF56" s="245">
        <f>'Fiches Qualif'!AZ59</f>
        <v>27</v>
      </c>
      <c r="AG56" s="245" t="str">
        <f>'Fiches Qualif'!BA59</f>
        <v/>
      </c>
      <c r="AH56" s="245">
        <f>'Fiches Qualif'!BB59</f>
        <v>27</v>
      </c>
      <c r="AI56" s="245" t="str">
        <f>'Fiches Qualif'!BC59</f>
        <v/>
      </c>
      <c r="AJ56" s="245">
        <f>'Fiches Qualif'!BD59</f>
        <v>27</v>
      </c>
      <c r="AK56" s="245" t="str">
        <f>'Fiches Qualif'!BE59</f>
        <v/>
      </c>
      <c r="AL56" s="245">
        <f>'Fiches Qualif'!BF59</f>
        <v>27</v>
      </c>
      <c r="AM56" s="245" t="str">
        <f>'Fiches Qualif'!BG59</f>
        <v/>
      </c>
      <c r="AN56" s="245">
        <f>'Fiches Qualif'!BH59</f>
        <v>27</v>
      </c>
      <c r="AO56" s="245" t="str">
        <f>'Fiches Qualif'!BI59</f>
        <v/>
      </c>
      <c r="AP56" s="245">
        <f>'Fiches Qualif'!BJ59</f>
        <v>27</v>
      </c>
      <c r="AQ56" s="245" t="str">
        <f>'Fiches Qualif'!BK59</f>
        <v/>
      </c>
      <c r="AR56" s="245">
        <f>'Fiches Qualif'!BL59</f>
        <v>27</v>
      </c>
      <c r="AS56" s="245" t="str">
        <f>'Fiches Qualif'!BM59</f>
        <v/>
      </c>
    </row>
    <row r="57" spans="24:45" x14ac:dyDescent="0.2">
      <c r="AB57" s="245">
        <f>'Fiches Qualif'!AV60</f>
        <v>28</v>
      </c>
      <c r="AC57" s="245" t="str">
        <f>'Fiches Qualif'!AW60</f>
        <v/>
      </c>
      <c r="AD57" s="245">
        <f>'Fiches Qualif'!AX60</f>
        <v>28</v>
      </c>
      <c r="AE57" s="245" t="str">
        <f>'Fiches Qualif'!AY60</f>
        <v/>
      </c>
      <c r="AF57" s="245">
        <f>'Fiches Qualif'!AZ60</f>
        <v>28</v>
      </c>
      <c r="AG57" s="245" t="str">
        <f>'Fiches Qualif'!BA60</f>
        <v/>
      </c>
      <c r="AH57" s="245">
        <f>'Fiches Qualif'!BB60</f>
        <v>28</v>
      </c>
      <c r="AI57" s="245" t="str">
        <f>'Fiches Qualif'!BC60</f>
        <v/>
      </c>
      <c r="AJ57" s="245">
        <f>'Fiches Qualif'!BD60</f>
        <v>28</v>
      </c>
      <c r="AK57" s="245" t="str">
        <f>'Fiches Qualif'!BE60</f>
        <v/>
      </c>
      <c r="AL57" s="245">
        <f>'Fiches Qualif'!BF60</f>
        <v>28</v>
      </c>
      <c r="AM57" s="245" t="str">
        <f>'Fiches Qualif'!BG60</f>
        <v/>
      </c>
      <c r="AN57" s="245">
        <f>'Fiches Qualif'!BH60</f>
        <v>28</v>
      </c>
      <c r="AO57" s="245" t="str">
        <f>'Fiches Qualif'!BI60</f>
        <v/>
      </c>
      <c r="AP57" s="245">
        <f>'Fiches Qualif'!BJ60</f>
        <v>28</v>
      </c>
      <c r="AQ57" s="245" t="str">
        <f>'Fiches Qualif'!BK60</f>
        <v/>
      </c>
      <c r="AR57" s="245">
        <f>'Fiches Qualif'!BL60</f>
        <v>28</v>
      </c>
      <c r="AS57" s="245" t="str">
        <f>'Fiches Qualif'!BM60</f>
        <v/>
      </c>
    </row>
    <row r="58" spans="24:45" x14ac:dyDescent="0.2">
      <c r="AB58" s="245">
        <f>'Fiches Qualif'!AV61</f>
        <v>29</v>
      </c>
      <c r="AC58" s="245" t="str">
        <f>'Fiches Qualif'!AW61</f>
        <v/>
      </c>
      <c r="AD58" s="245">
        <f>'Fiches Qualif'!AX61</f>
        <v>29</v>
      </c>
      <c r="AE58" s="245" t="str">
        <f>'Fiches Qualif'!AY61</f>
        <v/>
      </c>
      <c r="AF58" s="245">
        <f>'Fiches Qualif'!AZ61</f>
        <v>29</v>
      </c>
      <c r="AG58" s="245" t="str">
        <f>'Fiches Qualif'!BA61</f>
        <v/>
      </c>
      <c r="AH58" s="245">
        <f>'Fiches Qualif'!BB61</f>
        <v>29</v>
      </c>
      <c r="AI58" s="245" t="str">
        <f>'Fiches Qualif'!BC61</f>
        <v/>
      </c>
      <c r="AJ58" s="245">
        <f>'Fiches Qualif'!BD61</f>
        <v>29</v>
      </c>
      <c r="AK58" s="245" t="str">
        <f>'Fiches Qualif'!BE61</f>
        <v/>
      </c>
      <c r="AL58" s="245">
        <f>'Fiches Qualif'!BF61</f>
        <v>29</v>
      </c>
      <c r="AM58" s="245" t="str">
        <f>'Fiches Qualif'!BG61</f>
        <v/>
      </c>
      <c r="AN58" s="245">
        <f>'Fiches Qualif'!BH61</f>
        <v>29</v>
      </c>
      <c r="AO58" s="245" t="str">
        <f>'Fiches Qualif'!BI61</f>
        <v/>
      </c>
      <c r="AP58" s="245">
        <f>'Fiches Qualif'!BJ61</f>
        <v>29</v>
      </c>
      <c r="AQ58" s="245" t="str">
        <f>'Fiches Qualif'!BK61</f>
        <v/>
      </c>
      <c r="AR58" s="245">
        <f>'Fiches Qualif'!BL61</f>
        <v>29</v>
      </c>
      <c r="AS58" s="245" t="str">
        <f>'Fiches Qualif'!BM61</f>
        <v/>
      </c>
    </row>
    <row r="59" spans="24:45" x14ac:dyDescent="0.2">
      <c r="AB59" s="245">
        <f>'Fiches Qualif'!AV62</f>
        <v>30</v>
      </c>
      <c r="AC59" s="245" t="str">
        <f>'Fiches Qualif'!AW62</f>
        <v/>
      </c>
      <c r="AD59" s="245">
        <f>'Fiches Qualif'!AX62</f>
        <v>30</v>
      </c>
      <c r="AE59" s="245" t="str">
        <f>'Fiches Qualif'!AY62</f>
        <v/>
      </c>
      <c r="AF59" s="245">
        <f>'Fiches Qualif'!AZ62</f>
        <v>30</v>
      </c>
      <c r="AG59" s="245" t="str">
        <f>'Fiches Qualif'!BA62</f>
        <v/>
      </c>
      <c r="AH59" s="245">
        <f>'Fiches Qualif'!BB62</f>
        <v>30</v>
      </c>
      <c r="AI59" s="245" t="str">
        <f>'Fiches Qualif'!BC62</f>
        <v/>
      </c>
      <c r="AJ59" s="245">
        <f>'Fiches Qualif'!BD62</f>
        <v>30</v>
      </c>
      <c r="AK59" s="245" t="str">
        <f>'Fiches Qualif'!BE62</f>
        <v/>
      </c>
      <c r="AL59" s="245">
        <f>'Fiches Qualif'!BF62</f>
        <v>30</v>
      </c>
      <c r="AM59" s="245" t="str">
        <f>'Fiches Qualif'!BG62</f>
        <v/>
      </c>
      <c r="AN59" s="245">
        <f>'Fiches Qualif'!BH62</f>
        <v>30</v>
      </c>
      <c r="AO59" s="245" t="str">
        <f>'Fiches Qualif'!BI62</f>
        <v/>
      </c>
      <c r="AP59" s="245">
        <f>'Fiches Qualif'!BJ62</f>
        <v>30</v>
      </c>
      <c r="AQ59" s="245" t="str">
        <f>'Fiches Qualif'!BK62</f>
        <v/>
      </c>
      <c r="AR59" s="245">
        <f>'Fiches Qualif'!BL62</f>
        <v>30</v>
      </c>
      <c r="AS59" s="245" t="str">
        <f>'Fiches Qualif'!BM62</f>
        <v/>
      </c>
    </row>
    <row r="60" spans="24:45" x14ac:dyDescent="0.2">
      <c r="AB60" s="245">
        <f>'Fiches Qualif'!AV63</f>
        <v>31</v>
      </c>
      <c r="AC60" s="245" t="str">
        <f>'Fiches Qualif'!AW63</f>
        <v/>
      </c>
      <c r="AD60" s="245">
        <f>'Fiches Qualif'!AX63</f>
        <v>31</v>
      </c>
      <c r="AE60" s="245" t="str">
        <f>'Fiches Qualif'!AY63</f>
        <v/>
      </c>
      <c r="AF60" s="245">
        <f>'Fiches Qualif'!AZ63</f>
        <v>31</v>
      </c>
      <c r="AG60" s="245" t="str">
        <f>'Fiches Qualif'!BA63</f>
        <v/>
      </c>
      <c r="AH60" s="245">
        <f>'Fiches Qualif'!BB63</f>
        <v>31</v>
      </c>
      <c r="AI60" s="245" t="str">
        <f>'Fiches Qualif'!BC63</f>
        <v/>
      </c>
      <c r="AJ60" s="245">
        <f>'Fiches Qualif'!BD63</f>
        <v>31</v>
      </c>
      <c r="AK60" s="245" t="str">
        <f>'Fiches Qualif'!BE63</f>
        <v/>
      </c>
      <c r="AL60" s="245">
        <f>'Fiches Qualif'!BF63</f>
        <v>31</v>
      </c>
      <c r="AM60" s="245" t="str">
        <f>'Fiches Qualif'!BG63</f>
        <v/>
      </c>
      <c r="AN60" s="245">
        <f>'Fiches Qualif'!BH63</f>
        <v>31</v>
      </c>
      <c r="AO60" s="245" t="str">
        <f>'Fiches Qualif'!BI63</f>
        <v/>
      </c>
      <c r="AP60" s="245">
        <f>'Fiches Qualif'!BJ63</f>
        <v>31</v>
      </c>
      <c r="AQ60" s="245" t="str">
        <f>'Fiches Qualif'!BK63</f>
        <v/>
      </c>
      <c r="AR60" s="245">
        <f>'Fiches Qualif'!BL63</f>
        <v>31</v>
      </c>
      <c r="AS60" s="245" t="str">
        <f>'Fiches Qualif'!BM63</f>
        <v/>
      </c>
    </row>
    <row r="61" spans="24:45" x14ac:dyDescent="0.2">
      <c r="AB61" s="245">
        <f>'Fiches Qualif'!AV64</f>
        <v>32</v>
      </c>
      <c r="AC61" s="245" t="str">
        <f>'Fiches Qualif'!AW64</f>
        <v/>
      </c>
      <c r="AD61" s="245">
        <f>'Fiches Qualif'!AX64</f>
        <v>32</v>
      </c>
      <c r="AE61" s="245" t="str">
        <f>'Fiches Qualif'!AY64</f>
        <v/>
      </c>
      <c r="AF61" s="245">
        <f>'Fiches Qualif'!AZ64</f>
        <v>32</v>
      </c>
      <c r="AG61" s="245" t="str">
        <f>'Fiches Qualif'!BA64</f>
        <v/>
      </c>
      <c r="AH61" s="245">
        <f>'Fiches Qualif'!BB64</f>
        <v>32</v>
      </c>
      <c r="AI61" s="245" t="str">
        <f>'Fiches Qualif'!BC64</f>
        <v/>
      </c>
      <c r="AJ61" s="245">
        <f>'Fiches Qualif'!BD64</f>
        <v>32</v>
      </c>
      <c r="AK61" s="245" t="str">
        <f>'Fiches Qualif'!BE64</f>
        <v/>
      </c>
      <c r="AL61" s="245">
        <f>'Fiches Qualif'!BF64</f>
        <v>32</v>
      </c>
      <c r="AM61" s="245" t="str">
        <f>'Fiches Qualif'!BG64</f>
        <v/>
      </c>
      <c r="AN61" s="245">
        <f>'Fiches Qualif'!BH64</f>
        <v>32</v>
      </c>
      <c r="AO61" s="245" t="str">
        <f>'Fiches Qualif'!BI64</f>
        <v/>
      </c>
      <c r="AP61" s="245">
        <f>'Fiches Qualif'!BJ64</f>
        <v>32</v>
      </c>
      <c r="AQ61" s="245" t="str">
        <f>'Fiches Qualif'!BK64</f>
        <v/>
      </c>
      <c r="AR61" s="245">
        <f>'Fiches Qualif'!BL64</f>
        <v>32</v>
      </c>
      <c r="AS61" s="245" t="str">
        <f>'Fiches Qualif'!BM64</f>
        <v/>
      </c>
    </row>
    <row r="62" spans="24:45" x14ac:dyDescent="0.2">
      <c r="AB62" s="245">
        <f>'Fiches Qualif'!AV65</f>
        <v>33</v>
      </c>
      <c r="AC62" s="245" t="str">
        <f>'Fiches Qualif'!AW65</f>
        <v/>
      </c>
      <c r="AD62" s="245">
        <f>'Fiches Qualif'!AX65</f>
        <v>33</v>
      </c>
      <c r="AE62" s="245" t="str">
        <f>'Fiches Qualif'!AY65</f>
        <v/>
      </c>
      <c r="AF62" s="245">
        <f>'Fiches Qualif'!AZ65</f>
        <v>33</v>
      </c>
      <c r="AG62" s="245" t="str">
        <f>'Fiches Qualif'!BA65</f>
        <v/>
      </c>
      <c r="AH62" s="245">
        <f>'Fiches Qualif'!BB65</f>
        <v>33</v>
      </c>
      <c r="AI62" s="245" t="str">
        <f>'Fiches Qualif'!BC65</f>
        <v/>
      </c>
      <c r="AJ62" s="245">
        <f>'Fiches Qualif'!BD65</f>
        <v>33</v>
      </c>
      <c r="AK62" s="245" t="str">
        <f>'Fiches Qualif'!BE65</f>
        <v/>
      </c>
      <c r="AL62" s="245">
        <f>'Fiches Qualif'!BF65</f>
        <v>33</v>
      </c>
      <c r="AM62" s="245" t="str">
        <f>'Fiches Qualif'!BG65</f>
        <v/>
      </c>
      <c r="AN62" s="245">
        <f>'Fiches Qualif'!BH65</f>
        <v>33</v>
      </c>
      <c r="AO62" s="245" t="str">
        <f>'Fiches Qualif'!BI65</f>
        <v/>
      </c>
      <c r="AP62" s="245">
        <f>'Fiches Qualif'!BJ65</f>
        <v>33</v>
      </c>
      <c r="AQ62" s="245" t="str">
        <f>'Fiches Qualif'!BK65</f>
        <v/>
      </c>
      <c r="AR62" s="245">
        <f>'Fiches Qualif'!BL65</f>
        <v>33</v>
      </c>
      <c r="AS62" s="245" t="str">
        <f>'Fiches Qualif'!BM65</f>
        <v/>
      </c>
    </row>
    <row r="63" spans="24:45" x14ac:dyDescent="0.2">
      <c r="AB63" s="245">
        <f>'Fiches Qualif'!AV66</f>
        <v>34</v>
      </c>
      <c r="AC63" s="245" t="str">
        <f>'Fiches Qualif'!AW66</f>
        <v/>
      </c>
      <c r="AD63" s="245">
        <f>'Fiches Qualif'!AX66</f>
        <v>34</v>
      </c>
      <c r="AE63" s="245" t="str">
        <f>'Fiches Qualif'!AY66</f>
        <v/>
      </c>
      <c r="AF63" s="245">
        <f>'Fiches Qualif'!AZ66</f>
        <v>34</v>
      </c>
      <c r="AG63" s="245" t="str">
        <f>'Fiches Qualif'!BA66</f>
        <v/>
      </c>
      <c r="AH63" s="245">
        <f>'Fiches Qualif'!BB66</f>
        <v>34</v>
      </c>
      <c r="AI63" s="245" t="str">
        <f>'Fiches Qualif'!BC66</f>
        <v/>
      </c>
      <c r="AJ63" s="245">
        <f>'Fiches Qualif'!BD66</f>
        <v>34</v>
      </c>
      <c r="AK63" s="245" t="str">
        <f>'Fiches Qualif'!BE66</f>
        <v/>
      </c>
      <c r="AL63" s="245">
        <f>'Fiches Qualif'!BF66</f>
        <v>34</v>
      </c>
      <c r="AM63" s="245" t="str">
        <f>'Fiches Qualif'!BG66</f>
        <v/>
      </c>
      <c r="AN63" s="245">
        <f>'Fiches Qualif'!BH66</f>
        <v>34</v>
      </c>
      <c r="AO63" s="245" t="str">
        <f>'Fiches Qualif'!BI66</f>
        <v/>
      </c>
      <c r="AP63" s="245">
        <f>'Fiches Qualif'!BJ66</f>
        <v>34</v>
      </c>
      <c r="AQ63" s="245" t="str">
        <f>'Fiches Qualif'!BK66</f>
        <v/>
      </c>
      <c r="AR63" s="245">
        <f>'Fiches Qualif'!BL66</f>
        <v>34</v>
      </c>
      <c r="AS63" s="245" t="str">
        <f>'Fiches Qualif'!BM66</f>
        <v/>
      </c>
    </row>
    <row r="64" spans="24:45" x14ac:dyDescent="0.2">
      <c r="AB64" s="245">
        <f>'Fiches Qualif'!AV67</f>
        <v>35</v>
      </c>
      <c r="AC64" s="245" t="str">
        <f>'Fiches Qualif'!AW67</f>
        <v/>
      </c>
      <c r="AD64" s="245">
        <f>'Fiches Qualif'!AX67</f>
        <v>35</v>
      </c>
      <c r="AE64" s="245" t="str">
        <f>'Fiches Qualif'!AY67</f>
        <v/>
      </c>
      <c r="AF64" s="245">
        <f>'Fiches Qualif'!AZ67</f>
        <v>35</v>
      </c>
      <c r="AG64" s="245" t="str">
        <f>'Fiches Qualif'!BA67</f>
        <v/>
      </c>
      <c r="AH64" s="245">
        <f>'Fiches Qualif'!BB67</f>
        <v>35</v>
      </c>
      <c r="AI64" s="245" t="str">
        <f>'Fiches Qualif'!BC67</f>
        <v/>
      </c>
      <c r="AJ64" s="245">
        <f>'Fiches Qualif'!BD67</f>
        <v>35</v>
      </c>
      <c r="AK64" s="245" t="str">
        <f>'Fiches Qualif'!BE67</f>
        <v/>
      </c>
      <c r="AL64" s="245">
        <f>'Fiches Qualif'!BF67</f>
        <v>35</v>
      </c>
      <c r="AM64" s="245" t="str">
        <f>'Fiches Qualif'!BG67</f>
        <v/>
      </c>
      <c r="AN64" s="245">
        <f>'Fiches Qualif'!BH67</f>
        <v>35</v>
      </c>
      <c r="AO64" s="245" t="str">
        <f>'Fiches Qualif'!BI67</f>
        <v/>
      </c>
      <c r="AP64" s="245">
        <f>'Fiches Qualif'!BJ67</f>
        <v>35</v>
      </c>
      <c r="AQ64" s="245" t="str">
        <f>'Fiches Qualif'!BK67</f>
        <v/>
      </c>
      <c r="AR64" s="245">
        <f>'Fiches Qualif'!BL67</f>
        <v>35</v>
      </c>
      <c r="AS64" s="245" t="str">
        <f>'Fiches Qualif'!BM67</f>
        <v/>
      </c>
    </row>
    <row r="65" spans="28:45" x14ac:dyDescent="0.2">
      <c r="AB65" s="245">
        <f>'Fiches Qualif'!AV68</f>
        <v>36</v>
      </c>
      <c r="AC65" s="245" t="str">
        <f>'Fiches Qualif'!AW68</f>
        <v/>
      </c>
      <c r="AD65" s="245">
        <f>'Fiches Qualif'!AX68</f>
        <v>36</v>
      </c>
      <c r="AE65" s="245" t="str">
        <f>'Fiches Qualif'!AY68</f>
        <v/>
      </c>
      <c r="AF65" s="245">
        <f>'Fiches Qualif'!AZ68</f>
        <v>36</v>
      </c>
      <c r="AG65" s="245" t="str">
        <f>'Fiches Qualif'!BA68</f>
        <v/>
      </c>
      <c r="AH65" s="245">
        <f>'Fiches Qualif'!BB68</f>
        <v>36</v>
      </c>
      <c r="AI65" s="245" t="str">
        <f>'Fiches Qualif'!BC68</f>
        <v/>
      </c>
      <c r="AJ65" s="245">
        <f>'Fiches Qualif'!BD68</f>
        <v>36</v>
      </c>
      <c r="AK65" s="245" t="str">
        <f>'Fiches Qualif'!BE68</f>
        <v/>
      </c>
      <c r="AL65" s="245">
        <f>'Fiches Qualif'!BF68</f>
        <v>36</v>
      </c>
      <c r="AM65" s="245" t="str">
        <f>'Fiches Qualif'!BG68</f>
        <v/>
      </c>
      <c r="AN65" s="245">
        <f>'Fiches Qualif'!BH68</f>
        <v>36</v>
      </c>
      <c r="AO65" s="245" t="str">
        <f>'Fiches Qualif'!BI68</f>
        <v/>
      </c>
      <c r="AP65" s="245">
        <f>'Fiches Qualif'!BJ68</f>
        <v>36</v>
      </c>
      <c r="AQ65" s="245" t="str">
        <f>'Fiches Qualif'!BK68</f>
        <v/>
      </c>
      <c r="AR65" s="245">
        <f>'Fiches Qualif'!BL68</f>
        <v>36</v>
      </c>
      <c r="AS65" s="245" t="str">
        <f>'Fiches Qualif'!BM68</f>
        <v/>
      </c>
    </row>
    <row r="66" spans="28:45" x14ac:dyDescent="0.2">
      <c r="AB66" s="245">
        <f>'Fiches Qualif'!AV69</f>
        <v>37</v>
      </c>
      <c r="AC66" s="245" t="str">
        <f>'Fiches Qualif'!AW69</f>
        <v/>
      </c>
      <c r="AD66" s="245">
        <f>'Fiches Qualif'!AX69</f>
        <v>37</v>
      </c>
      <c r="AE66" s="245" t="str">
        <f>'Fiches Qualif'!AY69</f>
        <v/>
      </c>
      <c r="AF66" s="245">
        <f>'Fiches Qualif'!AZ69</f>
        <v>37</v>
      </c>
      <c r="AG66" s="245" t="str">
        <f>'Fiches Qualif'!BA69</f>
        <v/>
      </c>
      <c r="AH66" s="245">
        <f>'Fiches Qualif'!BB69</f>
        <v>37</v>
      </c>
      <c r="AI66" s="245" t="str">
        <f>'Fiches Qualif'!BC69</f>
        <v/>
      </c>
      <c r="AJ66" s="245">
        <f>'Fiches Qualif'!BD69</f>
        <v>37</v>
      </c>
      <c r="AK66" s="245" t="str">
        <f>'Fiches Qualif'!BE69</f>
        <v/>
      </c>
      <c r="AL66" s="245">
        <f>'Fiches Qualif'!BF69</f>
        <v>37</v>
      </c>
      <c r="AM66" s="245" t="str">
        <f>'Fiches Qualif'!BG69</f>
        <v/>
      </c>
      <c r="AN66" s="245">
        <f>'Fiches Qualif'!BH69</f>
        <v>37</v>
      </c>
      <c r="AO66" s="245" t="str">
        <f>'Fiches Qualif'!BI69</f>
        <v/>
      </c>
      <c r="AP66" s="245">
        <f>'Fiches Qualif'!BJ69</f>
        <v>37</v>
      </c>
      <c r="AQ66" s="245" t="str">
        <f>'Fiches Qualif'!BK69</f>
        <v/>
      </c>
      <c r="AR66" s="245">
        <f>'Fiches Qualif'!BL69</f>
        <v>37</v>
      </c>
      <c r="AS66" s="245" t="str">
        <f>'Fiches Qualif'!BM69</f>
        <v/>
      </c>
    </row>
    <row r="67" spans="28:45" x14ac:dyDescent="0.2">
      <c r="AB67" s="245">
        <f>'Fiches Qualif'!AV70</f>
        <v>38</v>
      </c>
      <c r="AC67" s="245" t="str">
        <f>'Fiches Qualif'!AW70</f>
        <v/>
      </c>
      <c r="AD67" s="245">
        <f>'Fiches Qualif'!AX70</f>
        <v>38</v>
      </c>
      <c r="AE67" s="245" t="str">
        <f>'Fiches Qualif'!AY70</f>
        <v/>
      </c>
      <c r="AF67" s="245">
        <f>'Fiches Qualif'!AZ70</f>
        <v>38</v>
      </c>
      <c r="AG67" s="245" t="str">
        <f>'Fiches Qualif'!BA70</f>
        <v/>
      </c>
      <c r="AH67" s="245">
        <f>'Fiches Qualif'!BB70</f>
        <v>38</v>
      </c>
      <c r="AI67" s="245" t="str">
        <f>'Fiches Qualif'!BC70</f>
        <v/>
      </c>
      <c r="AJ67" s="245">
        <f>'Fiches Qualif'!BD70</f>
        <v>38</v>
      </c>
      <c r="AK67" s="245" t="str">
        <f>'Fiches Qualif'!BE70</f>
        <v/>
      </c>
      <c r="AL67" s="245">
        <f>'Fiches Qualif'!BF70</f>
        <v>38</v>
      </c>
      <c r="AM67" s="245" t="str">
        <f>'Fiches Qualif'!BG70</f>
        <v/>
      </c>
      <c r="AN67" s="245">
        <f>'Fiches Qualif'!BH70</f>
        <v>38</v>
      </c>
      <c r="AO67" s="245" t="str">
        <f>'Fiches Qualif'!BI70</f>
        <v/>
      </c>
      <c r="AP67" s="245">
        <f>'Fiches Qualif'!BJ70</f>
        <v>38</v>
      </c>
      <c r="AQ67" s="245" t="str">
        <f>'Fiches Qualif'!BK70</f>
        <v/>
      </c>
      <c r="AR67" s="245">
        <f>'Fiches Qualif'!BL70</f>
        <v>38</v>
      </c>
      <c r="AS67" s="245" t="str">
        <f>'Fiches Qualif'!BM70</f>
        <v/>
      </c>
    </row>
    <row r="68" spans="28:45" x14ac:dyDescent="0.2">
      <c r="AB68" s="245">
        <f>'Fiches Qualif'!AV71</f>
        <v>39</v>
      </c>
      <c r="AC68" s="245" t="str">
        <f>'Fiches Qualif'!AW71</f>
        <v/>
      </c>
      <c r="AD68" s="245">
        <f>'Fiches Qualif'!AX71</f>
        <v>39</v>
      </c>
      <c r="AE68" s="245" t="str">
        <f>'Fiches Qualif'!AY71</f>
        <v/>
      </c>
      <c r="AF68" s="245">
        <f>'Fiches Qualif'!AZ71</f>
        <v>39</v>
      </c>
      <c r="AG68" s="245" t="str">
        <f>'Fiches Qualif'!BA71</f>
        <v/>
      </c>
      <c r="AH68" s="245">
        <f>'Fiches Qualif'!BB71</f>
        <v>39</v>
      </c>
      <c r="AI68" s="245" t="str">
        <f>'Fiches Qualif'!BC71</f>
        <v/>
      </c>
      <c r="AJ68" s="245">
        <f>'Fiches Qualif'!BD71</f>
        <v>39</v>
      </c>
      <c r="AK68" s="245" t="str">
        <f>'Fiches Qualif'!BE71</f>
        <v/>
      </c>
      <c r="AL68" s="245">
        <f>'Fiches Qualif'!BF71</f>
        <v>39</v>
      </c>
      <c r="AM68" s="245" t="str">
        <f>'Fiches Qualif'!BG71</f>
        <v/>
      </c>
      <c r="AN68" s="245">
        <f>'Fiches Qualif'!BH71</f>
        <v>39</v>
      </c>
      <c r="AO68" s="245" t="str">
        <f>'Fiches Qualif'!BI71</f>
        <v/>
      </c>
      <c r="AP68" s="245">
        <f>'Fiches Qualif'!BJ71</f>
        <v>39</v>
      </c>
      <c r="AQ68" s="245" t="str">
        <f>'Fiches Qualif'!BK71</f>
        <v/>
      </c>
      <c r="AR68" s="245">
        <f>'Fiches Qualif'!BL71</f>
        <v>39</v>
      </c>
      <c r="AS68" s="245" t="str">
        <f>'Fiches Qualif'!BM71</f>
        <v/>
      </c>
    </row>
    <row r="69" spans="28:45" x14ac:dyDescent="0.2">
      <c r="AB69" s="245">
        <f>'Fiches Qualif'!AV72</f>
        <v>40</v>
      </c>
      <c r="AC69" s="245" t="str">
        <f>'Fiches Qualif'!AW72</f>
        <v/>
      </c>
      <c r="AD69" s="245">
        <f>'Fiches Qualif'!AX72</f>
        <v>40</v>
      </c>
      <c r="AE69" s="245" t="str">
        <f>'Fiches Qualif'!AY72</f>
        <v/>
      </c>
      <c r="AF69" s="245">
        <f>'Fiches Qualif'!AZ72</f>
        <v>40</v>
      </c>
      <c r="AG69" s="245" t="str">
        <f>'Fiches Qualif'!BA72</f>
        <v/>
      </c>
      <c r="AH69" s="245">
        <f>'Fiches Qualif'!BB72</f>
        <v>40</v>
      </c>
      <c r="AI69" s="245" t="str">
        <f>'Fiches Qualif'!BC72</f>
        <v/>
      </c>
      <c r="AJ69" s="245">
        <f>'Fiches Qualif'!BD72</f>
        <v>40</v>
      </c>
      <c r="AK69" s="245" t="str">
        <f>'Fiches Qualif'!BE72</f>
        <v/>
      </c>
      <c r="AL69" s="245">
        <f>'Fiches Qualif'!BF72</f>
        <v>40</v>
      </c>
      <c r="AM69" s="245" t="str">
        <f>'Fiches Qualif'!BG72</f>
        <v/>
      </c>
      <c r="AN69" s="245">
        <f>'Fiches Qualif'!BH72</f>
        <v>40</v>
      </c>
      <c r="AO69" s="245" t="str">
        <f>'Fiches Qualif'!BI72</f>
        <v/>
      </c>
      <c r="AP69" s="245">
        <f>'Fiches Qualif'!BJ72</f>
        <v>40</v>
      </c>
      <c r="AQ69" s="245" t="str">
        <f>'Fiches Qualif'!BK72</f>
        <v/>
      </c>
      <c r="AR69" s="245">
        <f>'Fiches Qualif'!BL72</f>
        <v>40</v>
      </c>
      <c r="AS69" s="245" t="str">
        <f>'Fiches Qualif'!BM72</f>
        <v/>
      </c>
    </row>
    <row r="70" spans="28:45" x14ac:dyDescent="0.2">
      <c r="AB70" s="245">
        <f>'Fiches Qualif'!AV73</f>
        <v>41</v>
      </c>
      <c r="AC70" s="245" t="str">
        <f>'Fiches Qualif'!AW73</f>
        <v/>
      </c>
      <c r="AD70" s="245">
        <f>'Fiches Qualif'!AX73</f>
        <v>41</v>
      </c>
      <c r="AE70" s="245" t="str">
        <f>'Fiches Qualif'!AY73</f>
        <v/>
      </c>
      <c r="AF70" s="245">
        <f>'Fiches Qualif'!AZ73</f>
        <v>41</v>
      </c>
      <c r="AG70" s="245" t="str">
        <f>'Fiches Qualif'!BA73</f>
        <v/>
      </c>
      <c r="AH70" s="245">
        <f>'Fiches Qualif'!BB73</f>
        <v>41</v>
      </c>
      <c r="AI70" s="245" t="str">
        <f>'Fiches Qualif'!BC73</f>
        <v/>
      </c>
      <c r="AJ70" s="245">
        <f>'Fiches Qualif'!BD73</f>
        <v>41</v>
      </c>
      <c r="AK70" s="245" t="str">
        <f>'Fiches Qualif'!BE73</f>
        <v/>
      </c>
      <c r="AL70" s="245">
        <f>'Fiches Qualif'!BF73</f>
        <v>41</v>
      </c>
      <c r="AM70" s="245" t="str">
        <f>'Fiches Qualif'!BG73</f>
        <v/>
      </c>
      <c r="AN70" s="245">
        <f>'Fiches Qualif'!BH73</f>
        <v>41</v>
      </c>
      <c r="AO70" s="245" t="str">
        <f>'Fiches Qualif'!BI73</f>
        <v/>
      </c>
      <c r="AP70" s="245">
        <f>'Fiches Qualif'!BJ73</f>
        <v>41</v>
      </c>
      <c r="AQ70" s="245" t="str">
        <f>'Fiches Qualif'!BK73</f>
        <v/>
      </c>
      <c r="AR70" s="245">
        <f>'Fiches Qualif'!BL73</f>
        <v>41</v>
      </c>
      <c r="AS70" s="245" t="str">
        <f>'Fiches Qualif'!BM73</f>
        <v/>
      </c>
    </row>
    <row r="71" spans="28:45" x14ac:dyDescent="0.2">
      <c r="AB71" s="245">
        <f>'Fiches Qualif'!AV74</f>
        <v>42</v>
      </c>
      <c r="AC71" s="245" t="str">
        <f>'Fiches Qualif'!AW74</f>
        <v/>
      </c>
      <c r="AD71" s="245">
        <f>'Fiches Qualif'!AX74</f>
        <v>42</v>
      </c>
      <c r="AE71" s="245" t="str">
        <f>'Fiches Qualif'!AY74</f>
        <v/>
      </c>
      <c r="AF71" s="245">
        <f>'Fiches Qualif'!AZ74</f>
        <v>42</v>
      </c>
      <c r="AG71" s="245" t="str">
        <f>'Fiches Qualif'!BA74</f>
        <v/>
      </c>
      <c r="AH71" s="245">
        <f>'Fiches Qualif'!BB74</f>
        <v>42</v>
      </c>
      <c r="AI71" s="245" t="str">
        <f>'Fiches Qualif'!BC74</f>
        <v/>
      </c>
      <c r="AJ71" s="245">
        <f>'Fiches Qualif'!BD74</f>
        <v>42</v>
      </c>
      <c r="AK71" s="245" t="str">
        <f>'Fiches Qualif'!BE74</f>
        <v/>
      </c>
      <c r="AL71" s="245">
        <f>'Fiches Qualif'!BF74</f>
        <v>42</v>
      </c>
      <c r="AM71" s="245" t="str">
        <f>'Fiches Qualif'!BG74</f>
        <v/>
      </c>
      <c r="AN71" s="245">
        <f>'Fiches Qualif'!BH74</f>
        <v>42</v>
      </c>
      <c r="AO71" s="245" t="str">
        <f>'Fiches Qualif'!BI74</f>
        <v/>
      </c>
      <c r="AP71" s="245">
        <f>'Fiches Qualif'!BJ74</f>
        <v>42</v>
      </c>
      <c r="AQ71" s="245" t="str">
        <f>'Fiches Qualif'!BK74</f>
        <v/>
      </c>
      <c r="AR71" s="245">
        <f>'Fiches Qualif'!BL74</f>
        <v>42</v>
      </c>
      <c r="AS71" s="245" t="str">
        <f>'Fiches Qualif'!BM74</f>
        <v/>
      </c>
    </row>
    <row r="72" spans="28:45" x14ac:dyDescent="0.2">
      <c r="AB72" s="245">
        <f>'Fiches Qualif'!AV75</f>
        <v>43</v>
      </c>
      <c r="AC72" s="245" t="str">
        <f>'Fiches Qualif'!AW75</f>
        <v/>
      </c>
      <c r="AD72" s="245">
        <f>'Fiches Qualif'!AX75</f>
        <v>43</v>
      </c>
      <c r="AE72" s="245" t="str">
        <f>'Fiches Qualif'!AY75</f>
        <v/>
      </c>
      <c r="AF72" s="245">
        <f>'Fiches Qualif'!AZ75</f>
        <v>43</v>
      </c>
      <c r="AG72" s="245" t="str">
        <f>'Fiches Qualif'!BA75</f>
        <v/>
      </c>
      <c r="AH72" s="245">
        <f>'Fiches Qualif'!BB75</f>
        <v>43</v>
      </c>
      <c r="AI72" s="245" t="str">
        <f>'Fiches Qualif'!BC75</f>
        <v/>
      </c>
      <c r="AJ72" s="245">
        <f>'Fiches Qualif'!BD75</f>
        <v>43</v>
      </c>
      <c r="AK72" s="245" t="str">
        <f>'Fiches Qualif'!BE75</f>
        <v/>
      </c>
      <c r="AL72" s="245">
        <f>'Fiches Qualif'!BF75</f>
        <v>43</v>
      </c>
      <c r="AM72" s="245" t="str">
        <f>'Fiches Qualif'!BG75</f>
        <v/>
      </c>
      <c r="AN72" s="245">
        <f>'Fiches Qualif'!BH75</f>
        <v>43</v>
      </c>
      <c r="AO72" s="245" t="str">
        <f>'Fiches Qualif'!BI75</f>
        <v/>
      </c>
      <c r="AP72" s="245">
        <f>'Fiches Qualif'!BJ75</f>
        <v>43</v>
      </c>
      <c r="AQ72" s="245" t="str">
        <f>'Fiches Qualif'!BK75</f>
        <v/>
      </c>
      <c r="AR72" s="245">
        <f>'Fiches Qualif'!BL75</f>
        <v>43</v>
      </c>
      <c r="AS72" s="245" t="str">
        <f>'Fiches Qualif'!BM75</f>
        <v/>
      </c>
    </row>
    <row r="73" spans="28:45" x14ac:dyDescent="0.2">
      <c r="AB73" s="245">
        <f>'Fiches Qualif'!AV76</f>
        <v>44</v>
      </c>
      <c r="AC73" s="245" t="str">
        <f>'Fiches Qualif'!AW76</f>
        <v/>
      </c>
      <c r="AD73" s="245">
        <f>'Fiches Qualif'!AX76</f>
        <v>44</v>
      </c>
      <c r="AE73" s="245" t="str">
        <f>'Fiches Qualif'!AY76</f>
        <v/>
      </c>
      <c r="AF73" s="245">
        <f>'Fiches Qualif'!AZ76</f>
        <v>44</v>
      </c>
      <c r="AG73" s="245" t="str">
        <f>'Fiches Qualif'!BA76</f>
        <v/>
      </c>
      <c r="AH73" s="245">
        <f>'Fiches Qualif'!BB76</f>
        <v>44</v>
      </c>
      <c r="AI73" s="245" t="str">
        <f>'Fiches Qualif'!BC76</f>
        <v/>
      </c>
      <c r="AJ73" s="245">
        <f>'Fiches Qualif'!BD76</f>
        <v>44</v>
      </c>
      <c r="AK73" s="245" t="str">
        <f>'Fiches Qualif'!BE76</f>
        <v/>
      </c>
      <c r="AL73" s="245">
        <f>'Fiches Qualif'!BF76</f>
        <v>44</v>
      </c>
      <c r="AM73" s="245" t="str">
        <f>'Fiches Qualif'!BG76</f>
        <v/>
      </c>
      <c r="AN73" s="245">
        <f>'Fiches Qualif'!BH76</f>
        <v>44</v>
      </c>
      <c r="AO73" s="245" t="str">
        <f>'Fiches Qualif'!BI76</f>
        <v/>
      </c>
      <c r="AP73" s="245">
        <f>'Fiches Qualif'!BJ76</f>
        <v>44</v>
      </c>
      <c r="AQ73" s="245" t="str">
        <f>'Fiches Qualif'!BK76</f>
        <v/>
      </c>
      <c r="AR73" s="245">
        <f>'Fiches Qualif'!BL76</f>
        <v>44</v>
      </c>
      <c r="AS73" s="245" t="str">
        <f>'Fiches Qualif'!BM76</f>
        <v/>
      </c>
    </row>
    <row r="74" spans="28:45" x14ac:dyDescent="0.2">
      <c r="AB74" s="245">
        <f>'Fiches Qualif'!AV77</f>
        <v>45</v>
      </c>
      <c r="AC74" s="245" t="str">
        <f>'Fiches Qualif'!AW77</f>
        <v/>
      </c>
      <c r="AD74" s="245">
        <f>'Fiches Qualif'!AX77</f>
        <v>45</v>
      </c>
      <c r="AE74" s="245" t="str">
        <f>'Fiches Qualif'!AY77</f>
        <v/>
      </c>
      <c r="AF74" s="245">
        <f>'Fiches Qualif'!AZ77</f>
        <v>45</v>
      </c>
      <c r="AG74" s="245" t="str">
        <f>'Fiches Qualif'!BA77</f>
        <v/>
      </c>
      <c r="AH74" s="245">
        <f>'Fiches Qualif'!BB77</f>
        <v>45</v>
      </c>
      <c r="AI74" s="245" t="str">
        <f>'Fiches Qualif'!BC77</f>
        <v/>
      </c>
      <c r="AJ74" s="245">
        <f>'Fiches Qualif'!BD77</f>
        <v>45</v>
      </c>
      <c r="AK74" s="245" t="str">
        <f>'Fiches Qualif'!BE77</f>
        <v/>
      </c>
      <c r="AL74" s="245">
        <f>'Fiches Qualif'!BF77</f>
        <v>45</v>
      </c>
      <c r="AM74" s="245" t="str">
        <f>'Fiches Qualif'!BG77</f>
        <v/>
      </c>
      <c r="AN74" s="245">
        <f>'Fiches Qualif'!BH77</f>
        <v>45</v>
      </c>
      <c r="AO74" s="245" t="str">
        <f>'Fiches Qualif'!BI77</f>
        <v/>
      </c>
      <c r="AP74" s="245">
        <f>'Fiches Qualif'!BJ77</f>
        <v>45</v>
      </c>
      <c r="AQ74" s="245" t="str">
        <f>'Fiches Qualif'!BK77</f>
        <v/>
      </c>
      <c r="AR74" s="245">
        <f>'Fiches Qualif'!BL77</f>
        <v>45</v>
      </c>
      <c r="AS74" s="245" t="str">
        <f>'Fiches Qualif'!BM77</f>
        <v/>
      </c>
    </row>
    <row r="75" spans="28:45" x14ac:dyDescent="0.2">
      <c r="AB75" s="245">
        <f>'Fiches Qualif'!AV78</f>
        <v>46</v>
      </c>
      <c r="AC75" s="245" t="str">
        <f>'Fiches Qualif'!AW78</f>
        <v/>
      </c>
      <c r="AD75" s="245">
        <f>'Fiches Qualif'!AX78</f>
        <v>46</v>
      </c>
      <c r="AE75" s="245" t="str">
        <f>'Fiches Qualif'!AY78</f>
        <v/>
      </c>
      <c r="AF75" s="245">
        <f>'Fiches Qualif'!AZ78</f>
        <v>46</v>
      </c>
      <c r="AG75" s="245" t="str">
        <f>'Fiches Qualif'!BA78</f>
        <v/>
      </c>
      <c r="AH75" s="245">
        <f>'Fiches Qualif'!BB78</f>
        <v>46</v>
      </c>
      <c r="AI75" s="245" t="str">
        <f>'Fiches Qualif'!BC78</f>
        <v/>
      </c>
      <c r="AJ75" s="245">
        <f>'Fiches Qualif'!BD78</f>
        <v>46</v>
      </c>
      <c r="AK75" s="245" t="str">
        <f>'Fiches Qualif'!BE78</f>
        <v/>
      </c>
      <c r="AL75" s="245">
        <f>'Fiches Qualif'!BF78</f>
        <v>46</v>
      </c>
      <c r="AM75" s="245" t="str">
        <f>'Fiches Qualif'!BG78</f>
        <v/>
      </c>
      <c r="AN75" s="245">
        <f>'Fiches Qualif'!BH78</f>
        <v>46</v>
      </c>
      <c r="AO75" s="245" t="str">
        <f>'Fiches Qualif'!BI78</f>
        <v/>
      </c>
      <c r="AP75" s="245">
        <f>'Fiches Qualif'!BJ78</f>
        <v>46</v>
      </c>
      <c r="AQ75" s="245" t="str">
        <f>'Fiches Qualif'!BK78</f>
        <v/>
      </c>
      <c r="AR75" s="245">
        <f>'Fiches Qualif'!BL78</f>
        <v>46</v>
      </c>
      <c r="AS75" s="245" t="str">
        <f>'Fiches Qualif'!BM78</f>
        <v/>
      </c>
    </row>
    <row r="76" spans="28:45" x14ac:dyDescent="0.2">
      <c r="AB76" s="245">
        <f>'Fiches Qualif'!AV79</f>
        <v>47</v>
      </c>
      <c r="AC76" s="245" t="str">
        <f>'Fiches Qualif'!AW79</f>
        <v/>
      </c>
      <c r="AD76" s="245">
        <f>'Fiches Qualif'!AX79</f>
        <v>47</v>
      </c>
      <c r="AE76" s="245" t="str">
        <f>'Fiches Qualif'!AY79</f>
        <v/>
      </c>
      <c r="AF76" s="245">
        <f>'Fiches Qualif'!AZ79</f>
        <v>47</v>
      </c>
      <c r="AG76" s="245" t="str">
        <f>'Fiches Qualif'!BA79</f>
        <v/>
      </c>
      <c r="AH76" s="245">
        <f>'Fiches Qualif'!BB79</f>
        <v>47</v>
      </c>
      <c r="AI76" s="245" t="str">
        <f>'Fiches Qualif'!BC79</f>
        <v/>
      </c>
      <c r="AJ76" s="245">
        <f>'Fiches Qualif'!BD79</f>
        <v>47</v>
      </c>
      <c r="AK76" s="245" t="str">
        <f>'Fiches Qualif'!BE79</f>
        <v/>
      </c>
      <c r="AL76" s="245">
        <f>'Fiches Qualif'!BF79</f>
        <v>47</v>
      </c>
      <c r="AM76" s="245" t="str">
        <f>'Fiches Qualif'!BG79</f>
        <v/>
      </c>
      <c r="AN76" s="245">
        <f>'Fiches Qualif'!BH79</f>
        <v>47</v>
      </c>
      <c r="AO76" s="245" t="str">
        <f>'Fiches Qualif'!BI79</f>
        <v/>
      </c>
      <c r="AP76" s="245">
        <f>'Fiches Qualif'!BJ79</f>
        <v>47</v>
      </c>
      <c r="AQ76" s="245" t="str">
        <f>'Fiches Qualif'!BK79</f>
        <v/>
      </c>
      <c r="AR76" s="245">
        <f>'Fiches Qualif'!BL79</f>
        <v>47</v>
      </c>
      <c r="AS76" s="245" t="str">
        <f>'Fiches Qualif'!BM79</f>
        <v/>
      </c>
    </row>
    <row r="77" spans="28:45" x14ac:dyDescent="0.2">
      <c r="AB77" s="245">
        <f>'Fiches Qualif'!AV80</f>
        <v>48</v>
      </c>
      <c r="AC77" s="245" t="str">
        <f>'Fiches Qualif'!AW80</f>
        <v/>
      </c>
      <c r="AD77" s="245">
        <f>'Fiches Qualif'!AX80</f>
        <v>48</v>
      </c>
      <c r="AE77" s="245" t="str">
        <f>'Fiches Qualif'!AY80</f>
        <v/>
      </c>
      <c r="AF77" s="245">
        <f>'Fiches Qualif'!AZ80</f>
        <v>48</v>
      </c>
      <c r="AG77" s="245" t="str">
        <f>'Fiches Qualif'!BA80</f>
        <v/>
      </c>
      <c r="AH77" s="245">
        <f>'Fiches Qualif'!BB80</f>
        <v>48</v>
      </c>
      <c r="AI77" s="245" t="str">
        <f>'Fiches Qualif'!BC80</f>
        <v/>
      </c>
      <c r="AJ77" s="245">
        <f>'Fiches Qualif'!BD80</f>
        <v>48</v>
      </c>
      <c r="AK77" s="245" t="str">
        <f>'Fiches Qualif'!BE80</f>
        <v/>
      </c>
      <c r="AL77" s="245">
        <f>'Fiches Qualif'!BF80</f>
        <v>48</v>
      </c>
      <c r="AM77" s="245" t="str">
        <f>'Fiches Qualif'!BG80</f>
        <v/>
      </c>
      <c r="AN77" s="245">
        <f>'Fiches Qualif'!BH80</f>
        <v>48</v>
      </c>
      <c r="AO77" s="245" t="str">
        <f>'Fiches Qualif'!BI80</f>
        <v/>
      </c>
      <c r="AP77" s="245">
        <f>'Fiches Qualif'!BJ80</f>
        <v>48</v>
      </c>
      <c r="AQ77" s="245" t="str">
        <f>'Fiches Qualif'!BK80</f>
        <v/>
      </c>
      <c r="AR77" s="245">
        <f>'Fiches Qualif'!BL80</f>
        <v>48</v>
      </c>
      <c r="AS77" s="245" t="str">
        <f>'Fiches Qualif'!BM80</f>
        <v/>
      </c>
    </row>
    <row r="78" spans="28:45" x14ac:dyDescent="0.2">
      <c r="AB78" s="245">
        <f>'Fiches Qualif'!AV81</f>
        <v>49</v>
      </c>
      <c r="AC78" s="245" t="str">
        <f>'Fiches Qualif'!AW81</f>
        <v/>
      </c>
      <c r="AD78" s="245">
        <f>'Fiches Qualif'!AX81</f>
        <v>49</v>
      </c>
      <c r="AE78" s="245" t="str">
        <f>'Fiches Qualif'!AY81</f>
        <v/>
      </c>
      <c r="AF78" s="245">
        <f>'Fiches Qualif'!AZ81</f>
        <v>49</v>
      </c>
      <c r="AG78" s="245" t="str">
        <f>'Fiches Qualif'!BA81</f>
        <v/>
      </c>
      <c r="AH78" s="245">
        <f>'Fiches Qualif'!BB81</f>
        <v>49</v>
      </c>
      <c r="AI78" s="245" t="str">
        <f>'Fiches Qualif'!BC81</f>
        <v/>
      </c>
      <c r="AJ78" s="245">
        <f>'Fiches Qualif'!BD81</f>
        <v>49</v>
      </c>
      <c r="AK78" s="245" t="str">
        <f>'Fiches Qualif'!BE81</f>
        <v/>
      </c>
      <c r="AL78" s="245">
        <f>'Fiches Qualif'!BF81</f>
        <v>49</v>
      </c>
      <c r="AM78" s="245" t="str">
        <f>'Fiches Qualif'!BG81</f>
        <v/>
      </c>
      <c r="AN78" s="245">
        <f>'Fiches Qualif'!BH81</f>
        <v>49</v>
      </c>
      <c r="AO78" s="245" t="str">
        <f>'Fiches Qualif'!BI81</f>
        <v/>
      </c>
      <c r="AP78" s="245">
        <f>'Fiches Qualif'!BJ81</f>
        <v>49</v>
      </c>
      <c r="AQ78" s="245" t="str">
        <f>'Fiches Qualif'!BK81</f>
        <v/>
      </c>
      <c r="AR78" s="245">
        <f>'Fiches Qualif'!BL81</f>
        <v>49</v>
      </c>
      <c r="AS78" s="245" t="str">
        <f>'Fiches Qualif'!BM81</f>
        <v/>
      </c>
    </row>
    <row r="79" spans="28:45" x14ac:dyDescent="0.2">
      <c r="AB79" s="245">
        <f>'Fiches Qualif'!AV82</f>
        <v>50</v>
      </c>
      <c r="AC79" s="245" t="str">
        <f>'Fiches Qualif'!AW82</f>
        <v/>
      </c>
      <c r="AD79" s="245">
        <f>'Fiches Qualif'!AX82</f>
        <v>50</v>
      </c>
      <c r="AE79" s="245" t="str">
        <f>'Fiches Qualif'!AY82</f>
        <v/>
      </c>
      <c r="AF79" s="245">
        <f>'Fiches Qualif'!AZ82</f>
        <v>50</v>
      </c>
      <c r="AG79" s="245" t="str">
        <f>'Fiches Qualif'!BA82</f>
        <v/>
      </c>
      <c r="AH79" s="245">
        <f>'Fiches Qualif'!BB82</f>
        <v>50</v>
      </c>
      <c r="AI79" s="245" t="str">
        <f>'Fiches Qualif'!BC82</f>
        <v/>
      </c>
      <c r="AJ79" s="245">
        <f>'Fiches Qualif'!BD82</f>
        <v>50</v>
      </c>
      <c r="AK79" s="245" t="str">
        <f>'Fiches Qualif'!BE82</f>
        <v/>
      </c>
      <c r="AL79" s="245">
        <f>'Fiches Qualif'!BF82</f>
        <v>50</v>
      </c>
      <c r="AM79" s="245" t="str">
        <f>'Fiches Qualif'!BG82</f>
        <v/>
      </c>
      <c r="AN79" s="245">
        <f>'Fiches Qualif'!BH82</f>
        <v>50</v>
      </c>
      <c r="AO79" s="245" t="str">
        <f>'Fiches Qualif'!BI82</f>
        <v/>
      </c>
      <c r="AP79" s="245">
        <f>'Fiches Qualif'!BJ82</f>
        <v>50</v>
      </c>
      <c r="AQ79" s="245" t="str">
        <f>'Fiches Qualif'!BK82</f>
        <v/>
      </c>
      <c r="AR79" s="245">
        <f>'Fiches Qualif'!BL82</f>
        <v>50</v>
      </c>
      <c r="AS79" s="245" t="str">
        <f>'Fiches Qualif'!BM82</f>
        <v/>
      </c>
    </row>
    <row r="80" spans="28:45" x14ac:dyDescent="0.2">
      <c r="AB80" s="245">
        <f>'Fiches Qualif'!AV83</f>
        <v>51</v>
      </c>
      <c r="AC80" s="245" t="str">
        <f>'Fiches Qualif'!AW83</f>
        <v/>
      </c>
      <c r="AD80" s="245">
        <f>'Fiches Qualif'!AX83</f>
        <v>51</v>
      </c>
      <c r="AE80" s="245" t="str">
        <f>'Fiches Qualif'!AY83</f>
        <v/>
      </c>
      <c r="AF80" s="245">
        <f>'Fiches Qualif'!AZ83</f>
        <v>51</v>
      </c>
      <c r="AG80" s="245" t="str">
        <f>'Fiches Qualif'!BA83</f>
        <v/>
      </c>
      <c r="AH80" s="245">
        <f>'Fiches Qualif'!BB83</f>
        <v>51</v>
      </c>
      <c r="AI80" s="245" t="str">
        <f>'Fiches Qualif'!BC83</f>
        <v/>
      </c>
      <c r="AJ80" s="245">
        <f>'Fiches Qualif'!BD83</f>
        <v>51</v>
      </c>
      <c r="AK80" s="245" t="str">
        <f>'Fiches Qualif'!BE83</f>
        <v/>
      </c>
      <c r="AL80" s="245">
        <f>'Fiches Qualif'!BF83</f>
        <v>51</v>
      </c>
      <c r="AM80" s="245" t="str">
        <f>'Fiches Qualif'!BG83</f>
        <v/>
      </c>
      <c r="AN80" s="245">
        <f>'Fiches Qualif'!BH83</f>
        <v>51</v>
      </c>
      <c r="AO80" s="245" t="str">
        <f>'Fiches Qualif'!BI83</f>
        <v/>
      </c>
      <c r="AP80" s="245">
        <f>'Fiches Qualif'!BJ83</f>
        <v>51</v>
      </c>
      <c r="AQ80" s="245" t="str">
        <f>'Fiches Qualif'!BK83</f>
        <v/>
      </c>
      <c r="AR80" s="245">
        <f>'Fiches Qualif'!BL83</f>
        <v>51</v>
      </c>
      <c r="AS80" s="245" t="str">
        <f>'Fiches Qualif'!BM83</f>
        <v/>
      </c>
    </row>
    <row r="81" spans="28:45" x14ac:dyDescent="0.2">
      <c r="AB81" s="245">
        <f>'Fiches Qualif'!AV84</f>
        <v>52</v>
      </c>
      <c r="AC81" s="245" t="str">
        <f>'Fiches Qualif'!AW84</f>
        <v/>
      </c>
      <c r="AD81" s="245">
        <f>'Fiches Qualif'!AX84</f>
        <v>52</v>
      </c>
      <c r="AE81" s="245" t="str">
        <f>'Fiches Qualif'!AY84</f>
        <v/>
      </c>
      <c r="AF81" s="245">
        <f>'Fiches Qualif'!AZ84</f>
        <v>52</v>
      </c>
      <c r="AG81" s="245" t="str">
        <f>'Fiches Qualif'!BA84</f>
        <v/>
      </c>
      <c r="AH81" s="245">
        <f>'Fiches Qualif'!BB84</f>
        <v>52</v>
      </c>
      <c r="AI81" s="245" t="str">
        <f>'Fiches Qualif'!BC84</f>
        <v/>
      </c>
      <c r="AJ81" s="245">
        <f>'Fiches Qualif'!BD84</f>
        <v>52</v>
      </c>
      <c r="AK81" s="245" t="str">
        <f>'Fiches Qualif'!BE84</f>
        <v/>
      </c>
      <c r="AL81" s="245">
        <f>'Fiches Qualif'!BF84</f>
        <v>52</v>
      </c>
      <c r="AM81" s="245" t="str">
        <f>'Fiches Qualif'!BG84</f>
        <v/>
      </c>
      <c r="AN81" s="245">
        <f>'Fiches Qualif'!BH84</f>
        <v>52</v>
      </c>
      <c r="AO81" s="245" t="str">
        <f>'Fiches Qualif'!BI84</f>
        <v/>
      </c>
      <c r="AP81" s="245">
        <f>'Fiches Qualif'!BJ84</f>
        <v>52</v>
      </c>
      <c r="AQ81" s="245" t="str">
        <f>'Fiches Qualif'!BK84</f>
        <v/>
      </c>
      <c r="AR81" s="245">
        <f>'Fiches Qualif'!BL84</f>
        <v>52</v>
      </c>
      <c r="AS81" s="245" t="str">
        <f>'Fiches Qualif'!BM84</f>
        <v/>
      </c>
    </row>
    <row r="82" spans="28:45" x14ac:dyDescent="0.2">
      <c r="AB82" s="245">
        <f>'Fiches Qualif'!AV85</f>
        <v>53</v>
      </c>
      <c r="AC82" s="245" t="str">
        <f>'Fiches Qualif'!AW85</f>
        <v/>
      </c>
      <c r="AD82" s="245">
        <f>'Fiches Qualif'!AX85</f>
        <v>53</v>
      </c>
      <c r="AE82" s="245" t="str">
        <f>'Fiches Qualif'!AY85</f>
        <v/>
      </c>
      <c r="AF82" s="245">
        <f>'Fiches Qualif'!AZ85</f>
        <v>53</v>
      </c>
      <c r="AG82" s="245" t="str">
        <f>'Fiches Qualif'!BA85</f>
        <v/>
      </c>
      <c r="AH82" s="245">
        <f>'Fiches Qualif'!BB85</f>
        <v>53</v>
      </c>
      <c r="AI82" s="245" t="str">
        <f>'Fiches Qualif'!BC85</f>
        <v/>
      </c>
      <c r="AJ82" s="245">
        <f>'Fiches Qualif'!BD85</f>
        <v>53</v>
      </c>
      <c r="AK82" s="245" t="str">
        <f>'Fiches Qualif'!BE85</f>
        <v/>
      </c>
      <c r="AL82" s="245">
        <f>'Fiches Qualif'!BF85</f>
        <v>53</v>
      </c>
      <c r="AM82" s="245" t="str">
        <f>'Fiches Qualif'!BG85</f>
        <v/>
      </c>
      <c r="AN82" s="245">
        <f>'Fiches Qualif'!BH85</f>
        <v>53</v>
      </c>
      <c r="AO82" s="245" t="str">
        <f>'Fiches Qualif'!BI85</f>
        <v/>
      </c>
      <c r="AP82" s="245">
        <f>'Fiches Qualif'!BJ85</f>
        <v>53</v>
      </c>
      <c r="AQ82" s="245" t="str">
        <f>'Fiches Qualif'!BK85</f>
        <v/>
      </c>
      <c r="AR82" s="245">
        <f>'Fiches Qualif'!BL85</f>
        <v>53</v>
      </c>
      <c r="AS82" s="245" t="str">
        <f>'Fiches Qualif'!BM85</f>
        <v/>
      </c>
    </row>
    <row r="83" spans="28:45" x14ac:dyDescent="0.2">
      <c r="AB83" s="245">
        <f>'Fiches Qualif'!AV86</f>
        <v>54</v>
      </c>
      <c r="AC83" s="245" t="str">
        <f>'Fiches Qualif'!AW86</f>
        <v/>
      </c>
      <c r="AD83" s="245">
        <f>'Fiches Qualif'!AX86</f>
        <v>54</v>
      </c>
      <c r="AE83" s="245" t="str">
        <f>'Fiches Qualif'!AY86</f>
        <v/>
      </c>
      <c r="AF83" s="245">
        <f>'Fiches Qualif'!AZ86</f>
        <v>54</v>
      </c>
      <c r="AG83" s="245" t="str">
        <f>'Fiches Qualif'!BA86</f>
        <v/>
      </c>
      <c r="AH83" s="245">
        <f>'Fiches Qualif'!BB86</f>
        <v>54</v>
      </c>
      <c r="AI83" s="245" t="str">
        <f>'Fiches Qualif'!BC86</f>
        <v/>
      </c>
      <c r="AJ83" s="245">
        <f>'Fiches Qualif'!BD86</f>
        <v>54</v>
      </c>
      <c r="AK83" s="245" t="str">
        <f>'Fiches Qualif'!BE86</f>
        <v/>
      </c>
      <c r="AL83" s="245">
        <f>'Fiches Qualif'!BF86</f>
        <v>54</v>
      </c>
      <c r="AM83" s="245" t="str">
        <f>'Fiches Qualif'!BG86</f>
        <v/>
      </c>
      <c r="AN83" s="245">
        <f>'Fiches Qualif'!BH86</f>
        <v>54</v>
      </c>
      <c r="AO83" s="245" t="str">
        <f>'Fiches Qualif'!BI86</f>
        <v/>
      </c>
      <c r="AP83" s="245">
        <f>'Fiches Qualif'!BJ86</f>
        <v>54</v>
      </c>
      <c r="AQ83" s="245" t="str">
        <f>'Fiches Qualif'!BK86</f>
        <v/>
      </c>
      <c r="AR83" s="245">
        <f>'Fiches Qualif'!BL86</f>
        <v>54</v>
      </c>
      <c r="AS83" s="245" t="str">
        <f>'Fiches Qualif'!BM86</f>
        <v/>
      </c>
    </row>
    <row r="84" spans="28:45" x14ac:dyDescent="0.2">
      <c r="AB84" s="245">
        <f>'Fiches Qualif'!AV87</f>
        <v>55</v>
      </c>
      <c r="AC84" s="245" t="str">
        <f>'Fiches Qualif'!AW87</f>
        <v/>
      </c>
      <c r="AD84" s="245">
        <f>'Fiches Qualif'!AX87</f>
        <v>55</v>
      </c>
      <c r="AE84" s="245" t="str">
        <f>'Fiches Qualif'!AY87</f>
        <v/>
      </c>
      <c r="AF84" s="245">
        <f>'Fiches Qualif'!AZ87</f>
        <v>55</v>
      </c>
      <c r="AG84" s="245" t="str">
        <f>'Fiches Qualif'!BA87</f>
        <v/>
      </c>
      <c r="AH84" s="245">
        <f>'Fiches Qualif'!BB87</f>
        <v>55</v>
      </c>
      <c r="AI84" s="245" t="str">
        <f>'Fiches Qualif'!BC87</f>
        <v/>
      </c>
      <c r="AJ84" s="245">
        <f>'Fiches Qualif'!BD87</f>
        <v>55</v>
      </c>
      <c r="AK84" s="245" t="str">
        <f>'Fiches Qualif'!BE87</f>
        <v/>
      </c>
      <c r="AL84" s="245">
        <f>'Fiches Qualif'!BF87</f>
        <v>55</v>
      </c>
      <c r="AM84" s="245" t="str">
        <f>'Fiches Qualif'!BG87</f>
        <v/>
      </c>
      <c r="AN84" s="245">
        <f>'Fiches Qualif'!BH87</f>
        <v>55</v>
      </c>
      <c r="AO84" s="245" t="str">
        <f>'Fiches Qualif'!BI87</f>
        <v/>
      </c>
      <c r="AP84" s="245">
        <f>'Fiches Qualif'!BJ87</f>
        <v>55</v>
      </c>
      <c r="AQ84" s="245" t="str">
        <f>'Fiches Qualif'!BK87</f>
        <v/>
      </c>
      <c r="AR84" s="245">
        <f>'Fiches Qualif'!BL87</f>
        <v>55</v>
      </c>
      <c r="AS84" s="245" t="str">
        <f>'Fiches Qualif'!BM87</f>
        <v/>
      </c>
    </row>
    <row r="85" spans="28:45" x14ac:dyDescent="0.2">
      <c r="AB85" s="245">
        <f>'Fiches Qualif'!AV88</f>
        <v>56</v>
      </c>
      <c r="AC85" s="245" t="str">
        <f>'Fiches Qualif'!AW88</f>
        <v/>
      </c>
      <c r="AD85" s="245">
        <f>'Fiches Qualif'!AX88</f>
        <v>56</v>
      </c>
      <c r="AE85" s="245" t="str">
        <f>'Fiches Qualif'!AY88</f>
        <v/>
      </c>
      <c r="AF85" s="245">
        <f>'Fiches Qualif'!AZ88</f>
        <v>56</v>
      </c>
      <c r="AG85" s="245" t="str">
        <f>'Fiches Qualif'!BA88</f>
        <v/>
      </c>
      <c r="AH85" s="245">
        <f>'Fiches Qualif'!BB88</f>
        <v>56</v>
      </c>
      <c r="AI85" s="245" t="str">
        <f>'Fiches Qualif'!BC88</f>
        <v/>
      </c>
      <c r="AJ85" s="245">
        <f>'Fiches Qualif'!BD88</f>
        <v>56</v>
      </c>
      <c r="AK85" s="245" t="str">
        <f>'Fiches Qualif'!BE88</f>
        <v/>
      </c>
      <c r="AL85" s="245">
        <f>'Fiches Qualif'!BF88</f>
        <v>56</v>
      </c>
      <c r="AM85" s="245" t="str">
        <f>'Fiches Qualif'!BG88</f>
        <v/>
      </c>
      <c r="AN85" s="245">
        <f>'Fiches Qualif'!BH88</f>
        <v>56</v>
      </c>
      <c r="AO85" s="245" t="str">
        <f>'Fiches Qualif'!BI88</f>
        <v/>
      </c>
      <c r="AP85" s="245">
        <f>'Fiches Qualif'!BJ88</f>
        <v>56</v>
      </c>
      <c r="AQ85" s="245" t="str">
        <f>'Fiches Qualif'!BK88</f>
        <v/>
      </c>
      <c r="AR85" s="245">
        <f>'Fiches Qualif'!BL88</f>
        <v>56</v>
      </c>
      <c r="AS85" s="245" t="str">
        <f>'Fiches Qualif'!BM88</f>
        <v/>
      </c>
    </row>
    <row r="86" spans="28:45" x14ac:dyDescent="0.2">
      <c r="AB86" s="245">
        <f>'Fiches Qualif'!AV89</f>
        <v>57</v>
      </c>
      <c r="AC86" s="245" t="str">
        <f>'Fiches Qualif'!AW89</f>
        <v/>
      </c>
      <c r="AD86" s="245">
        <f>'Fiches Qualif'!AX89</f>
        <v>57</v>
      </c>
      <c r="AE86" s="245" t="str">
        <f>'Fiches Qualif'!AY89</f>
        <v/>
      </c>
      <c r="AF86" s="245">
        <f>'Fiches Qualif'!AZ89</f>
        <v>57</v>
      </c>
      <c r="AG86" s="245" t="str">
        <f>'Fiches Qualif'!BA89</f>
        <v/>
      </c>
      <c r="AH86" s="245">
        <f>'Fiches Qualif'!BB89</f>
        <v>57</v>
      </c>
      <c r="AI86" s="245" t="str">
        <f>'Fiches Qualif'!BC89</f>
        <v/>
      </c>
      <c r="AJ86" s="245">
        <f>'Fiches Qualif'!BD89</f>
        <v>57</v>
      </c>
      <c r="AK86" s="245" t="str">
        <f>'Fiches Qualif'!BE89</f>
        <v/>
      </c>
      <c r="AL86" s="245">
        <f>'Fiches Qualif'!BF89</f>
        <v>57</v>
      </c>
      <c r="AM86" s="245" t="str">
        <f>'Fiches Qualif'!BG89</f>
        <v/>
      </c>
      <c r="AN86" s="245">
        <f>'Fiches Qualif'!BH89</f>
        <v>57</v>
      </c>
      <c r="AO86" s="245" t="str">
        <f>'Fiches Qualif'!BI89</f>
        <v/>
      </c>
      <c r="AP86" s="245">
        <f>'Fiches Qualif'!BJ89</f>
        <v>57</v>
      </c>
      <c r="AQ86" s="245" t="str">
        <f>'Fiches Qualif'!BK89</f>
        <v/>
      </c>
      <c r="AR86" s="245">
        <f>'Fiches Qualif'!BL89</f>
        <v>57</v>
      </c>
      <c r="AS86" s="245" t="str">
        <f>'Fiches Qualif'!BM89</f>
        <v/>
      </c>
    </row>
    <row r="87" spans="28:45" x14ac:dyDescent="0.2">
      <c r="AB87" s="245">
        <f>'Fiches Qualif'!AV90</f>
        <v>58</v>
      </c>
      <c r="AC87" s="245" t="str">
        <f>'Fiches Qualif'!AW90</f>
        <v/>
      </c>
      <c r="AD87" s="245">
        <f>'Fiches Qualif'!AX90</f>
        <v>58</v>
      </c>
      <c r="AE87" s="245" t="str">
        <f>'Fiches Qualif'!AY90</f>
        <v/>
      </c>
      <c r="AF87" s="245">
        <f>'Fiches Qualif'!AZ90</f>
        <v>58</v>
      </c>
      <c r="AG87" s="245" t="str">
        <f>'Fiches Qualif'!BA90</f>
        <v/>
      </c>
      <c r="AH87" s="245">
        <f>'Fiches Qualif'!BB90</f>
        <v>58</v>
      </c>
      <c r="AI87" s="245" t="str">
        <f>'Fiches Qualif'!BC90</f>
        <v/>
      </c>
      <c r="AJ87" s="245">
        <f>'Fiches Qualif'!BD90</f>
        <v>58</v>
      </c>
      <c r="AK87" s="245" t="str">
        <f>'Fiches Qualif'!BE90</f>
        <v/>
      </c>
      <c r="AL87" s="245">
        <f>'Fiches Qualif'!BF90</f>
        <v>58</v>
      </c>
      <c r="AM87" s="245" t="str">
        <f>'Fiches Qualif'!BG90</f>
        <v/>
      </c>
      <c r="AN87" s="245">
        <f>'Fiches Qualif'!BH90</f>
        <v>58</v>
      </c>
      <c r="AO87" s="245" t="str">
        <f>'Fiches Qualif'!BI90</f>
        <v/>
      </c>
      <c r="AP87" s="245">
        <f>'Fiches Qualif'!BJ90</f>
        <v>58</v>
      </c>
      <c r="AQ87" s="245" t="str">
        <f>'Fiches Qualif'!BK90</f>
        <v/>
      </c>
      <c r="AR87" s="245">
        <f>'Fiches Qualif'!BL90</f>
        <v>58</v>
      </c>
      <c r="AS87" s="245" t="str">
        <f>'Fiches Qualif'!BM90</f>
        <v/>
      </c>
    </row>
    <row r="88" spans="28:45" x14ac:dyDescent="0.2">
      <c r="AB88" s="245">
        <f>'Fiches Qualif'!AV91</f>
        <v>59</v>
      </c>
      <c r="AC88" s="245" t="str">
        <f>'Fiches Qualif'!AW91</f>
        <v/>
      </c>
      <c r="AD88" s="245">
        <f>'Fiches Qualif'!AX91</f>
        <v>59</v>
      </c>
      <c r="AE88" s="245" t="str">
        <f>'Fiches Qualif'!AY91</f>
        <v/>
      </c>
      <c r="AF88" s="245">
        <f>'Fiches Qualif'!AZ91</f>
        <v>59</v>
      </c>
      <c r="AG88" s="245" t="str">
        <f>'Fiches Qualif'!BA91</f>
        <v/>
      </c>
      <c r="AH88" s="245">
        <f>'Fiches Qualif'!BB91</f>
        <v>59</v>
      </c>
      <c r="AI88" s="245" t="str">
        <f>'Fiches Qualif'!BC91</f>
        <v/>
      </c>
      <c r="AJ88" s="245">
        <f>'Fiches Qualif'!BD91</f>
        <v>59</v>
      </c>
      <c r="AK88" s="245" t="str">
        <f>'Fiches Qualif'!BE91</f>
        <v/>
      </c>
      <c r="AL88" s="245">
        <f>'Fiches Qualif'!BF91</f>
        <v>59</v>
      </c>
      <c r="AM88" s="245" t="str">
        <f>'Fiches Qualif'!BG91</f>
        <v/>
      </c>
      <c r="AN88" s="245">
        <f>'Fiches Qualif'!BH91</f>
        <v>59</v>
      </c>
      <c r="AO88" s="245" t="str">
        <f>'Fiches Qualif'!BI91</f>
        <v/>
      </c>
      <c r="AP88" s="245">
        <f>'Fiches Qualif'!BJ91</f>
        <v>59</v>
      </c>
      <c r="AQ88" s="245" t="str">
        <f>'Fiches Qualif'!BK91</f>
        <v/>
      </c>
      <c r="AR88" s="245">
        <f>'Fiches Qualif'!BL91</f>
        <v>59</v>
      </c>
      <c r="AS88" s="245" t="str">
        <f>'Fiches Qualif'!BM91</f>
        <v/>
      </c>
    </row>
    <row r="89" spans="28:45" x14ac:dyDescent="0.2">
      <c r="AB89" s="245">
        <f>'Fiches Qualif'!AV92</f>
        <v>60</v>
      </c>
      <c r="AC89" s="245" t="str">
        <f>'Fiches Qualif'!AW92</f>
        <v/>
      </c>
      <c r="AD89" s="245">
        <f>'Fiches Qualif'!AX92</f>
        <v>60</v>
      </c>
      <c r="AE89" s="245" t="str">
        <f>'Fiches Qualif'!AY92</f>
        <v/>
      </c>
      <c r="AF89" s="245">
        <f>'Fiches Qualif'!AZ92</f>
        <v>60</v>
      </c>
      <c r="AG89" s="245" t="str">
        <f>'Fiches Qualif'!BA92</f>
        <v/>
      </c>
      <c r="AH89" s="245">
        <f>'Fiches Qualif'!BB92</f>
        <v>60</v>
      </c>
      <c r="AI89" s="245" t="str">
        <f>'Fiches Qualif'!BC92</f>
        <v/>
      </c>
      <c r="AJ89" s="245">
        <f>'Fiches Qualif'!BD92</f>
        <v>60</v>
      </c>
      <c r="AK89" s="245" t="str">
        <f>'Fiches Qualif'!BE92</f>
        <v/>
      </c>
      <c r="AL89" s="245">
        <f>'Fiches Qualif'!BF92</f>
        <v>60</v>
      </c>
      <c r="AM89" s="245" t="str">
        <f>'Fiches Qualif'!BG92</f>
        <v/>
      </c>
      <c r="AN89" s="245">
        <f>'Fiches Qualif'!BH92</f>
        <v>60</v>
      </c>
      <c r="AO89" s="245" t="str">
        <f>'Fiches Qualif'!BI92</f>
        <v/>
      </c>
      <c r="AP89" s="245">
        <f>'Fiches Qualif'!BJ92</f>
        <v>60</v>
      </c>
      <c r="AQ89" s="245" t="str">
        <f>'Fiches Qualif'!BK92</f>
        <v/>
      </c>
      <c r="AR89" s="245">
        <f>'Fiches Qualif'!BL92</f>
        <v>60</v>
      </c>
      <c r="AS89" s="245" t="str">
        <f>'Fiches Qualif'!BM92</f>
        <v/>
      </c>
    </row>
    <row r="90" spans="28:45" x14ac:dyDescent="0.2">
      <c r="AB90" s="245">
        <f>'Fiches Qualif'!AV93</f>
        <v>61</v>
      </c>
      <c r="AC90" s="245" t="str">
        <f>'Fiches Qualif'!AW93</f>
        <v/>
      </c>
      <c r="AD90" s="245">
        <f>'Fiches Qualif'!AX93</f>
        <v>61</v>
      </c>
      <c r="AE90" s="245" t="str">
        <f>'Fiches Qualif'!AY93</f>
        <v/>
      </c>
      <c r="AF90" s="245">
        <f>'Fiches Qualif'!AZ93</f>
        <v>61</v>
      </c>
      <c r="AG90" s="245" t="str">
        <f>'Fiches Qualif'!BA93</f>
        <v/>
      </c>
      <c r="AH90" s="245">
        <f>'Fiches Qualif'!BB93</f>
        <v>61</v>
      </c>
      <c r="AI90" s="245" t="str">
        <f>'Fiches Qualif'!BC93</f>
        <v/>
      </c>
      <c r="AJ90" s="245">
        <f>'Fiches Qualif'!BD93</f>
        <v>61</v>
      </c>
      <c r="AK90" s="245" t="str">
        <f>'Fiches Qualif'!BE93</f>
        <v/>
      </c>
      <c r="AL90" s="245">
        <f>'Fiches Qualif'!BF93</f>
        <v>61</v>
      </c>
      <c r="AM90" s="245" t="str">
        <f>'Fiches Qualif'!BG93</f>
        <v/>
      </c>
      <c r="AN90" s="245">
        <f>'Fiches Qualif'!BH93</f>
        <v>61</v>
      </c>
      <c r="AO90" s="245" t="str">
        <f>'Fiches Qualif'!BI93</f>
        <v/>
      </c>
      <c r="AP90" s="245">
        <f>'Fiches Qualif'!BJ93</f>
        <v>61</v>
      </c>
      <c r="AQ90" s="245" t="str">
        <f>'Fiches Qualif'!BK93</f>
        <v/>
      </c>
      <c r="AR90" s="245">
        <f>'Fiches Qualif'!BL93</f>
        <v>61</v>
      </c>
      <c r="AS90" s="245" t="str">
        <f>'Fiches Qualif'!BM93</f>
        <v/>
      </c>
    </row>
    <row r="91" spans="28:45" x14ac:dyDescent="0.2">
      <c r="AB91" s="245">
        <f>'Fiches Qualif'!AV94</f>
        <v>62</v>
      </c>
      <c r="AC91" s="245" t="str">
        <f>'Fiches Qualif'!AW94</f>
        <v/>
      </c>
      <c r="AD91" s="245">
        <f>'Fiches Qualif'!AX94</f>
        <v>62</v>
      </c>
      <c r="AE91" s="245" t="str">
        <f>'Fiches Qualif'!AY94</f>
        <v/>
      </c>
      <c r="AF91" s="245">
        <f>'Fiches Qualif'!AZ94</f>
        <v>62</v>
      </c>
      <c r="AG91" s="245" t="str">
        <f>'Fiches Qualif'!BA94</f>
        <v/>
      </c>
      <c r="AH91" s="245">
        <f>'Fiches Qualif'!BB94</f>
        <v>62</v>
      </c>
      <c r="AI91" s="245" t="str">
        <f>'Fiches Qualif'!BC94</f>
        <v/>
      </c>
      <c r="AJ91" s="245">
        <f>'Fiches Qualif'!BD94</f>
        <v>62</v>
      </c>
      <c r="AK91" s="245" t="str">
        <f>'Fiches Qualif'!BE94</f>
        <v/>
      </c>
      <c r="AL91" s="245">
        <f>'Fiches Qualif'!BF94</f>
        <v>62</v>
      </c>
      <c r="AM91" s="245" t="str">
        <f>'Fiches Qualif'!BG94</f>
        <v/>
      </c>
      <c r="AN91" s="245">
        <f>'Fiches Qualif'!BH94</f>
        <v>62</v>
      </c>
      <c r="AO91" s="245" t="str">
        <f>'Fiches Qualif'!BI94</f>
        <v/>
      </c>
      <c r="AP91" s="245">
        <f>'Fiches Qualif'!BJ94</f>
        <v>62</v>
      </c>
      <c r="AQ91" s="245" t="str">
        <f>'Fiches Qualif'!BK94</f>
        <v/>
      </c>
      <c r="AR91" s="245">
        <f>'Fiches Qualif'!BL94</f>
        <v>62</v>
      </c>
      <c r="AS91" s="245" t="str">
        <f>'Fiches Qualif'!BM94</f>
        <v/>
      </c>
    </row>
    <row r="92" spans="28:45" x14ac:dyDescent="0.2">
      <c r="AB92" s="245">
        <f>'Fiches Qualif'!AV95</f>
        <v>63</v>
      </c>
      <c r="AC92" s="245" t="str">
        <f>'Fiches Qualif'!AW95</f>
        <v/>
      </c>
      <c r="AD92" s="245">
        <f>'Fiches Qualif'!AX95</f>
        <v>63</v>
      </c>
      <c r="AE92" s="245" t="str">
        <f>'Fiches Qualif'!AY95</f>
        <v/>
      </c>
      <c r="AF92" s="245">
        <f>'Fiches Qualif'!AZ95</f>
        <v>63</v>
      </c>
      <c r="AG92" s="245" t="str">
        <f>'Fiches Qualif'!BA95</f>
        <v/>
      </c>
      <c r="AH92" s="245">
        <f>'Fiches Qualif'!BB95</f>
        <v>63</v>
      </c>
      <c r="AI92" s="245" t="str">
        <f>'Fiches Qualif'!BC95</f>
        <v/>
      </c>
      <c r="AJ92" s="245">
        <f>'Fiches Qualif'!BD95</f>
        <v>63</v>
      </c>
      <c r="AK92" s="245" t="str">
        <f>'Fiches Qualif'!BE95</f>
        <v/>
      </c>
      <c r="AL92" s="245">
        <f>'Fiches Qualif'!BF95</f>
        <v>63</v>
      </c>
      <c r="AM92" s="245" t="str">
        <f>'Fiches Qualif'!BG95</f>
        <v/>
      </c>
      <c r="AN92" s="245">
        <f>'Fiches Qualif'!BH95</f>
        <v>63</v>
      </c>
      <c r="AO92" s="245" t="str">
        <f>'Fiches Qualif'!BI95</f>
        <v/>
      </c>
      <c r="AP92" s="245">
        <f>'Fiches Qualif'!BJ95</f>
        <v>63</v>
      </c>
      <c r="AQ92" s="245" t="str">
        <f>'Fiches Qualif'!BK95</f>
        <v/>
      </c>
      <c r="AR92" s="245">
        <f>'Fiches Qualif'!BL95</f>
        <v>63</v>
      </c>
      <c r="AS92" s="245" t="str">
        <f>'Fiches Qualif'!BM95</f>
        <v/>
      </c>
    </row>
    <row r="93" spans="28:45" x14ac:dyDescent="0.2">
      <c r="AB93" s="245">
        <f>'Fiches Qualif'!AV96</f>
        <v>64</v>
      </c>
      <c r="AC93" s="245" t="str">
        <f>'Fiches Qualif'!AW96</f>
        <v/>
      </c>
      <c r="AD93" s="245">
        <f>'Fiches Qualif'!AX96</f>
        <v>64</v>
      </c>
      <c r="AE93" s="245" t="str">
        <f>'Fiches Qualif'!AY96</f>
        <v/>
      </c>
      <c r="AF93" s="245">
        <f>'Fiches Qualif'!AZ96</f>
        <v>64</v>
      </c>
      <c r="AG93" s="245" t="str">
        <f>'Fiches Qualif'!BA96</f>
        <v/>
      </c>
      <c r="AH93" s="245">
        <f>'Fiches Qualif'!BB96</f>
        <v>64</v>
      </c>
      <c r="AI93" s="245" t="str">
        <f>'Fiches Qualif'!BC96</f>
        <v/>
      </c>
      <c r="AJ93" s="245">
        <f>'Fiches Qualif'!BD96</f>
        <v>64</v>
      </c>
      <c r="AK93" s="245" t="str">
        <f>'Fiches Qualif'!BE96</f>
        <v/>
      </c>
      <c r="AL93" s="245">
        <f>'Fiches Qualif'!BF96</f>
        <v>64</v>
      </c>
      <c r="AM93" s="245" t="str">
        <f>'Fiches Qualif'!BG96</f>
        <v/>
      </c>
      <c r="AN93" s="245">
        <f>'Fiches Qualif'!BH96</f>
        <v>64</v>
      </c>
      <c r="AO93" s="245" t="str">
        <f>'Fiches Qualif'!BI96</f>
        <v/>
      </c>
      <c r="AP93" s="245">
        <f>'Fiches Qualif'!BJ96</f>
        <v>64</v>
      </c>
      <c r="AQ93" s="245" t="str">
        <f>'Fiches Qualif'!BK96</f>
        <v/>
      </c>
      <c r="AR93" s="245">
        <f>'Fiches Qualif'!BL96</f>
        <v>64</v>
      </c>
      <c r="AS93" s="245" t="str">
        <f>'Fiches Qualif'!BM96</f>
        <v/>
      </c>
    </row>
    <row r="94" spans="28:45" x14ac:dyDescent="0.2">
      <c r="AB94" s="245">
        <f>'Fiches Qualif'!AV97</f>
        <v>65</v>
      </c>
      <c r="AC94" s="245" t="str">
        <f>'Fiches Qualif'!AW97</f>
        <v/>
      </c>
      <c r="AD94" s="245">
        <f>'Fiches Qualif'!AX97</f>
        <v>65</v>
      </c>
      <c r="AE94" s="245" t="str">
        <f>'Fiches Qualif'!AY97</f>
        <v/>
      </c>
      <c r="AF94" s="245">
        <f>'Fiches Qualif'!AZ97</f>
        <v>65</v>
      </c>
      <c r="AG94" s="245" t="str">
        <f>'Fiches Qualif'!BA97</f>
        <v/>
      </c>
      <c r="AH94" s="245">
        <f>'Fiches Qualif'!BB97</f>
        <v>65</v>
      </c>
      <c r="AI94" s="245" t="str">
        <f>'Fiches Qualif'!BC97</f>
        <v/>
      </c>
      <c r="AJ94" s="245">
        <f>'Fiches Qualif'!BD97</f>
        <v>65</v>
      </c>
      <c r="AK94" s="245" t="str">
        <f>'Fiches Qualif'!BE97</f>
        <v/>
      </c>
      <c r="AL94" s="245">
        <f>'Fiches Qualif'!BF97</f>
        <v>65</v>
      </c>
      <c r="AM94" s="245" t="str">
        <f>'Fiches Qualif'!BG97</f>
        <v/>
      </c>
      <c r="AN94" s="245">
        <f>'Fiches Qualif'!BH97</f>
        <v>65</v>
      </c>
      <c r="AO94" s="245" t="str">
        <f>'Fiches Qualif'!BI97</f>
        <v/>
      </c>
      <c r="AP94" s="245">
        <f>'Fiches Qualif'!BJ97</f>
        <v>65</v>
      </c>
      <c r="AQ94" s="245" t="str">
        <f>'Fiches Qualif'!BK97</f>
        <v/>
      </c>
      <c r="AR94" s="245">
        <f>'Fiches Qualif'!BL97</f>
        <v>65</v>
      </c>
      <c r="AS94" s="245" t="str">
        <f>'Fiches Qualif'!BM97</f>
        <v/>
      </c>
    </row>
    <row r="95" spans="28:45" x14ac:dyDescent="0.2">
      <c r="AB95" s="245">
        <f>'Fiches Qualif'!AV98</f>
        <v>66</v>
      </c>
      <c r="AC95" s="245" t="str">
        <f>'Fiches Qualif'!AW98</f>
        <v/>
      </c>
      <c r="AD95" s="245">
        <f>'Fiches Qualif'!AX98</f>
        <v>66</v>
      </c>
      <c r="AE95" s="245" t="str">
        <f>'Fiches Qualif'!AY98</f>
        <v/>
      </c>
      <c r="AF95" s="245">
        <f>'Fiches Qualif'!AZ98</f>
        <v>66</v>
      </c>
      <c r="AG95" s="245" t="str">
        <f>'Fiches Qualif'!BA98</f>
        <v/>
      </c>
      <c r="AH95" s="245">
        <f>'Fiches Qualif'!BB98</f>
        <v>66</v>
      </c>
      <c r="AI95" s="245" t="str">
        <f>'Fiches Qualif'!BC98</f>
        <v/>
      </c>
      <c r="AJ95" s="245">
        <f>'Fiches Qualif'!BD98</f>
        <v>66</v>
      </c>
      <c r="AK95" s="245" t="str">
        <f>'Fiches Qualif'!BE98</f>
        <v/>
      </c>
      <c r="AL95" s="245">
        <f>'Fiches Qualif'!BF98</f>
        <v>66</v>
      </c>
      <c r="AM95" s="245" t="str">
        <f>'Fiches Qualif'!BG98</f>
        <v/>
      </c>
      <c r="AN95" s="245">
        <f>'Fiches Qualif'!BH98</f>
        <v>66</v>
      </c>
      <c r="AO95" s="245" t="str">
        <f>'Fiches Qualif'!BI98</f>
        <v/>
      </c>
      <c r="AP95" s="245">
        <f>'Fiches Qualif'!BJ98</f>
        <v>66</v>
      </c>
      <c r="AQ95" s="245" t="str">
        <f>'Fiches Qualif'!BK98</f>
        <v/>
      </c>
      <c r="AR95" s="245">
        <f>'Fiches Qualif'!BL98</f>
        <v>66</v>
      </c>
      <c r="AS95" s="245" t="str">
        <f>'Fiches Qualif'!BM98</f>
        <v/>
      </c>
    </row>
    <row r="96" spans="28:45" x14ac:dyDescent="0.2">
      <c r="AB96" s="245">
        <f>'Fiches Qualif'!AV99</f>
        <v>67</v>
      </c>
      <c r="AC96" s="245" t="str">
        <f>'Fiches Qualif'!AW99</f>
        <v/>
      </c>
      <c r="AD96" s="245">
        <f>'Fiches Qualif'!AX99</f>
        <v>67</v>
      </c>
      <c r="AE96" s="245" t="str">
        <f>'Fiches Qualif'!AY99</f>
        <v/>
      </c>
      <c r="AF96" s="245">
        <f>'Fiches Qualif'!AZ99</f>
        <v>67</v>
      </c>
      <c r="AG96" s="245" t="str">
        <f>'Fiches Qualif'!BA99</f>
        <v/>
      </c>
      <c r="AH96" s="245">
        <f>'Fiches Qualif'!BB99</f>
        <v>67</v>
      </c>
      <c r="AI96" s="245" t="str">
        <f>'Fiches Qualif'!BC99</f>
        <v/>
      </c>
      <c r="AJ96" s="245">
        <f>'Fiches Qualif'!BD99</f>
        <v>67</v>
      </c>
      <c r="AK96" s="245" t="str">
        <f>'Fiches Qualif'!BE99</f>
        <v/>
      </c>
      <c r="AL96" s="245">
        <f>'Fiches Qualif'!BF99</f>
        <v>67</v>
      </c>
      <c r="AM96" s="245" t="str">
        <f>'Fiches Qualif'!BG99</f>
        <v/>
      </c>
      <c r="AN96" s="245">
        <f>'Fiches Qualif'!BH99</f>
        <v>67</v>
      </c>
      <c r="AO96" s="245" t="str">
        <f>'Fiches Qualif'!BI99</f>
        <v/>
      </c>
      <c r="AP96" s="245">
        <f>'Fiches Qualif'!BJ99</f>
        <v>67</v>
      </c>
      <c r="AQ96" s="245" t="str">
        <f>'Fiches Qualif'!BK99</f>
        <v/>
      </c>
      <c r="AR96" s="245">
        <f>'Fiches Qualif'!BL99</f>
        <v>67</v>
      </c>
      <c r="AS96" s="245" t="str">
        <f>'Fiches Qualif'!BM99</f>
        <v/>
      </c>
    </row>
    <row r="97" spans="28:45" x14ac:dyDescent="0.2">
      <c r="AB97" s="245">
        <f>'Fiches Qualif'!AV100</f>
        <v>68</v>
      </c>
      <c r="AC97" s="245" t="str">
        <f>'Fiches Qualif'!AW100</f>
        <v/>
      </c>
      <c r="AD97" s="245">
        <f>'Fiches Qualif'!AX100</f>
        <v>68</v>
      </c>
      <c r="AE97" s="245" t="str">
        <f>'Fiches Qualif'!AY100</f>
        <v/>
      </c>
      <c r="AF97" s="245">
        <f>'Fiches Qualif'!AZ100</f>
        <v>68</v>
      </c>
      <c r="AG97" s="245" t="str">
        <f>'Fiches Qualif'!BA100</f>
        <v/>
      </c>
      <c r="AH97" s="245">
        <f>'Fiches Qualif'!BB100</f>
        <v>68</v>
      </c>
      <c r="AI97" s="245" t="str">
        <f>'Fiches Qualif'!BC100</f>
        <v/>
      </c>
      <c r="AJ97" s="245">
        <f>'Fiches Qualif'!BD100</f>
        <v>68</v>
      </c>
      <c r="AK97" s="245" t="str">
        <f>'Fiches Qualif'!BE100</f>
        <v/>
      </c>
      <c r="AL97" s="245">
        <f>'Fiches Qualif'!BF100</f>
        <v>68</v>
      </c>
      <c r="AM97" s="245" t="str">
        <f>'Fiches Qualif'!BG100</f>
        <v/>
      </c>
      <c r="AN97" s="245">
        <f>'Fiches Qualif'!BH100</f>
        <v>68</v>
      </c>
      <c r="AO97" s="245" t="str">
        <f>'Fiches Qualif'!BI100</f>
        <v/>
      </c>
      <c r="AP97" s="245">
        <f>'Fiches Qualif'!BJ100</f>
        <v>68</v>
      </c>
      <c r="AQ97" s="245" t="str">
        <f>'Fiches Qualif'!BK100</f>
        <v/>
      </c>
      <c r="AR97" s="245">
        <f>'Fiches Qualif'!BL100</f>
        <v>68</v>
      </c>
      <c r="AS97" s="245" t="str">
        <f>'Fiches Qualif'!BM100</f>
        <v/>
      </c>
    </row>
    <row r="98" spans="28:45" x14ac:dyDescent="0.2">
      <c r="AB98" s="245">
        <f>'Fiches Qualif'!AV101</f>
        <v>69</v>
      </c>
      <c r="AC98" s="245" t="str">
        <f>'Fiches Qualif'!AW101</f>
        <v/>
      </c>
      <c r="AD98" s="245">
        <f>'Fiches Qualif'!AX101</f>
        <v>69</v>
      </c>
      <c r="AE98" s="245" t="str">
        <f>'Fiches Qualif'!AY101</f>
        <v/>
      </c>
      <c r="AF98" s="245">
        <f>'Fiches Qualif'!AZ101</f>
        <v>69</v>
      </c>
      <c r="AG98" s="245" t="str">
        <f>'Fiches Qualif'!BA101</f>
        <v/>
      </c>
      <c r="AH98" s="245">
        <f>'Fiches Qualif'!BB101</f>
        <v>69</v>
      </c>
      <c r="AI98" s="245" t="str">
        <f>'Fiches Qualif'!BC101</f>
        <v/>
      </c>
      <c r="AJ98" s="245">
        <f>'Fiches Qualif'!BD101</f>
        <v>69</v>
      </c>
      <c r="AK98" s="245" t="str">
        <f>'Fiches Qualif'!BE101</f>
        <v/>
      </c>
      <c r="AL98" s="245">
        <f>'Fiches Qualif'!BF101</f>
        <v>69</v>
      </c>
      <c r="AM98" s="245" t="str">
        <f>'Fiches Qualif'!BG101</f>
        <v/>
      </c>
      <c r="AN98" s="245">
        <f>'Fiches Qualif'!BH101</f>
        <v>69</v>
      </c>
      <c r="AO98" s="245" t="str">
        <f>'Fiches Qualif'!BI101</f>
        <v/>
      </c>
      <c r="AP98" s="245">
        <f>'Fiches Qualif'!BJ101</f>
        <v>69</v>
      </c>
      <c r="AQ98" s="245" t="str">
        <f>'Fiches Qualif'!BK101</f>
        <v/>
      </c>
      <c r="AR98" s="245">
        <f>'Fiches Qualif'!BL101</f>
        <v>69</v>
      </c>
      <c r="AS98" s="245" t="str">
        <f>'Fiches Qualif'!BM101</f>
        <v/>
      </c>
    </row>
    <row r="99" spans="28:45" x14ac:dyDescent="0.2">
      <c r="AB99" s="245">
        <f>'Fiches Qualif'!AV102</f>
        <v>70</v>
      </c>
      <c r="AC99" s="245" t="str">
        <f>'Fiches Qualif'!AW102</f>
        <v/>
      </c>
      <c r="AD99" s="245">
        <f>'Fiches Qualif'!AX102</f>
        <v>70</v>
      </c>
      <c r="AE99" s="245" t="str">
        <f>'Fiches Qualif'!AY102</f>
        <v/>
      </c>
      <c r="AF99" s="245">
        <f>'Fiches Qualif'!AZ102</f>
        <v>70</v>
      </c>
      <c r="AG99" s="245" t="str">
        <f>'Fiches Qualif'!BA102</f>
        <v/>
      </c>
      <c r="AH99" s="245">
        <f>'Fiches Qualif'!BB102</f>
        <v>70</v>
      </c>
      <c r="AI99" s="245" t="str">
        <f>'Fiches Qualif'!BC102</f>
        <v/>
      </c>
      <c r="AJ99" s="245">
        <f>'Fiches Qualif'!BD102</f>
        <v>70</v>
      </c>
      <c r="AK99" s="245" t="str">
        <f>'Fiches Qualif'!BE102</f>
        <v/>
      </c>
      <c r="AL99" s="245">
        <f>'Fiches Qualif'!BF102</f>
        <v>70</v>
      </c>
      <c r="AM99" s="245" t="str">
        <f>'Fiches Qualif'!BG102</f>
        <v/>
      </c>
      <c r="AN99" s="245">
        <f>'Fiches Qualif'!BH102</f>
        <v>70</v>
      </c>
      <c r="AO99" s="245" t="str">
        <f>'Fiches Qualif'!BI102</f>
        <v/>
      </c>
      <c r="AP99" s="245">
        <f>'Fiches Qualif'!BJ102</f>
        <v>70</v>
      </c>
      <c r="AQ99" s="245" t="str">
        <f>'Fiches Qualif'!BK102</f>
        <v/>
      </c>
      <c r="AR99" s="245">
        <f>'Fiches Qualif'!BL102</f>
        <v>70</v>
      </c>
      <c r="AS99" s="245" t="str">
        <f>'Fiches Qualif'!BM102</f>
        <v/>
      </c>
    </row>
    <row r="100" spans="28:45" x14ac:dyDescent="0.2">
      <c r="AB100" s="245">
        <f>'Fiches Qualif'!AV103</f>
        <v>71</v>
      </c>
      <c r="AC100" s="245" t="str">
        <f>'Fiches Qualif'!AW103</f>
        <v/>
      </c>
      <c r="AD100" s="245">
        <f>'Fiches Qualif'!AX103</f>
        <v>71</v>
      </c>
      <c r="AE100" s="245" t="str">
        <f>'Fiches Qualif'!AY103</f>
        <v/>
      </c>
      <c r="AF100" s="245">
        <f>'Fiches Qualif'!AZ103</f>
        <v>71</v>
      </c>
      <c r="AG100" s="245" t="str">
        <f>'Fiches Qualif'!BA103</f>
        <v/>
      </c>
      <c r="AH100" s="245">
        <f>'Fiches Qualif'!BB103</f>
        <v>71</v>
      </c>
      <c r="AI100" s="245" t="str">
        <f>'Fiches Qualif'!BC103</f>
        <v/>
      </c>
      <c r="AJ100" s="245">
        <f>'Fiches Qualif'!BD103</f>
        <v>71</v>
      </c>
      <c r="AK100" s="245" t="str">
        <f>'Fiches Qualif'!BE103</f>
        <v/>
      </c>
      <c r="AL100" s="245">
        <f>'Fiches Qualif'!BF103</f>
        <v>71</v>
      </c>
      <c r="AM100" s="245" t="str">
        <f>'Fiches Qualif'!BG103</f>
        <v/>
      </c>
      <c r="AN100" s="245">
        <f>'Fiches Qualif'!BH103</f>
        <v>71</v>
      </c>
      <c r="AO100" s="245" t="str">
        <f>'Fiches Qualif'!BI103</f>
        <v/>
      </c>
      <c r="AP100" s="245">
        <f>'Fiches Qualif'!BJ103</f>
        <v>71</v>
      </c>
      <c r="AQ100" s="245" t="str">
        <f>'Fiches Qualif'!BK103</f>
        <v/>
      </c>
      <c r="AR100" s="245">
        <f>'Fiches Qualif'!BL103</f>
        <v>71</v>
      </c>
      <c r="AS100" s="245" t="str">
        <f>'Fiches Qualif'!BM103</f>
        <v/>
      </c>
    </row>
    <row r="101" spans="28:45" x14ac:dyDescent="0.2">
      <c r="AB101" s="245">
        <f>'Fiches Qualif'!AV104</f>
        <v>72</v>
      </c>
      <c r="AC101" s="245" t="str">
        <f>'Fiches Qualif'!AW104</f>
        <v/>
      </c>
      <c r="AD101" s="245">
        <f>'Fiches Qualif'!AX104</f>
        <v>72</v>
      </c>
      <c r="AE101" s="245" t="str">
        <f>'Fiches Qualif'!AY104</f>
        <v/>
      </c>
      <c r="AF101" s="245">
        <f>'Fiches Qualif'!AZ104</f>
        <v>72</v>
      </c>
      <c r="AG101" s="245" t="str">
        <f>'Fiches Qualif'!BA104</f>
        <v/>
      </c>
      <c r="AH101" s="245">
        <f>'Fiches Qualif'!BB104</f>
        <v>72</v>
      </c>
      <c r="AI101" s="245" t="str">
        <f>'Fiches Qualif'!BC104</f>
        <v/>
      </c>
      <c r="AJ101" s="245">
        <f>'Fiches Qualif'!BD104</f>
        <v>72</v>
      </c>
      <c r="AK101" s="245" t="str">
        <f>'Fiches Qualif'!BE104</f>
        <v/>
      </c>
      <c r="AL101" s="245">
        <f>'Fiches Qualif'!BF104</f>
        <v>72</v>
      </c>
      <c r="AM101" s="245" t="str">
        <f>'Fiches Qualif'!BG104</f>
        <v/>
      </c>
      <c r="AN101" s="245">
        <f>'Fiches Qualif'!BH104</f>
        <v>72</v>
      </c>
      <c r="AO101" s="245" t="str">
        <f>'Fiches Qualif'!BI104</f>
        <v/>
      </c>
      <c r="AP101" s="245">
        <f>'Fiches Qualif'!BJ104</f>
        <v>72</v>
      </c>
      <c r="AQ101" s="245" t="str">
        <f>'Fiches Qualif'!BK104</f>
        <v/>
      </c>
      <c r="AR101" s="245">
        <f>'Fiches Qualif'!BL104</f>
        <v>72</v>
      </c>
      <c r="AS101" s="245" t="str">
        <f>'Fiches Qualif'!BM104</f>
        <v/>
      </c>
    </row>
    <row r="102" spans="28:45" x14ac:dyDescent="0.2">
      <c r="AB102" s="245">
        <f>'Fiches Qualif'!AV105</f>
        <v>73</v>
      </c>
      <c r="AC102" s="217" t="str">
        <f>'Fiches Qualif'!AW105</f>
        <v/>
      </c>
      <c r="AD102" s="245">
        <f>'Fiches Qualif'!AX105</f>
        <v>73</v>
      </c>
      <c r="AE102" s="217" t="str">
        <f>'Fiches Qualif'!AY105</f>
        <v/>
      </c>
      <c r="AF102" s="245">
        <f>'Fiches Qualif'!AZ105</f>
        <v>73</v>
      </c>
      <c r="AG102" s="217" t="str">
        <f>'Fiches Qualif'!BA105</f>
        <v/>
      </c>
      <c r="AH102" s="245">
        <f>'Fiches Qualif'!BB105</f>
        <v>73</v>
      </c>
      <c r="AI102" s="217" t="str">
        <f>'Fiches Qualif'!BC105</f>
        <v/>
      </c>
      <c r="AJ102" s="245">
        <f>'Fiches Qualif'!BD105</f>
        <v>73</v>
      </c>
      <c r="AK102" s="217" t="str">
        <f>'Fiches Qualif'!BE105</f>
        <v/>
      </c>
      <c r="AL102" s="245">
        <f>'Fiches Qualif'!BF105</f>
        <v>73</v>
      </c>
      <c r="AM102" s="217" t="str">
        <f>'Fiches Qualif'!BG105</f>
        <v/>
      </c>
      <c r="AN102" s="245">
        <f>'Fiches Qualif'!BH105</f>
        <v>73</v>
      </c>
      <c r="AO102" s="217" t="str">
        <f>'Fiches Qualif'!BI105</f>
        <v/>
      </c>
      <c r="AP102" s="245">
        <f>'Fiches Qualif'!BJ105</f>
        <v>73</v>
      </c>
      <c r="AQ102" s="217" t="str">
        <f>'Fiches Qualif'!BK105</f>
        <v/>
      </c>
      <c r="AR102" s="245">
        <f>'Fiches Qualif'!BL105</f>
        <v>73</v>
      </c>
      <c r="AS102" s="245" t="str">
        <f>'Fiches Qualif'!BM105</f>
        <v/>
      </c>
    </row>
    <row r="103" spans="28:45" x14ac:dyDescent="0.2">
      <c r="AB103" s="245">
        <f>'Fiches Qualif'!AV106</f>
        <v>74</v>
      </c>
      <c r="AC103" s="217" t="str">
        <f>'Fiches Qualif'!AW106</f>
        <v/>
      </c>
      <c r="AD103" s="245">
        <f>'Fiches Qualif'!AX106</f>
        <v>74</v>
      </c>
      <c r="AE103" s="217" t="str">
        <f>'Fiches Qualif'!AY106</f>
        <v/>
      </c>
      <c r="AF103" s="245">
        <f>'Fiches Qualif'!AZ106</f>
        <v>74</v>
      </c>
      <c r="AG103" s="217" t="str">
        <f>'Fiches Qualif'!BA106</f>
        <v/>
      </c>
      <c r="AH103" s="245">
        <f>'Fiches Qualif'!BB106</f>
        <v>74</v>
      </c>
      <c r="AI103" s="217" t="str">
        <f>'Fiches Qualif'!BC106</f>
        <v/>
      </c>
      <c r="AJ103" s="245">
        <f>'Fiches Qualif'!BD106</f>
        <v>74</v>
      </c>
      <c r="AK103" s="217" t="str">
        <f>'Fiches Qualif'!BE106</f>
        <v/>
      </c>
      <c r="AL103" s="245">
        <f>'Fiches Qualif'!BF106</f>
        <v>74</v>
      </c>
      <c r="AM103" s="217" t="str">
        <f>'Fiches Qualif'!BG106</f>
        <v/>
      </c>
      <c r="AN103" s="245">
        <f>'Fiches Qualif'!BH106</f>
        <v>74</v>
      </c>
      <c r="AO103" s="217" t="str">
        <f>'Fiches Qualif'!BI106</f>
        <v/>
      </c>
      <c r="AP103" s="245">
        <f>'Fiches Qualif'!BJ106</f>
        <v>74</v>
      </c>
      <c r="AQ103" s="217" t="str">
        <f>'Fiches Qualif'!BK106</f>
        <v/>
      </c>
      <c r="AR103" s="245">
        <f>'Fiches Qualif'!BL106</f>
        <v>74</v>
      </c>
      <c r="AS103" s="245" t="str">
        <f>'Fiches Qualif'!BM106</f>
        <v/>
      </c>
    </row>
    <row r="104" spans="28:45" x14ac:dyDescent="0.2">
      <c r="AB104" s="245">
        <f>'Fiches Qualif'!AV107</f>
        <v>75</v>
      </c>
      <c r="AC104" s="217" t="str">
        <f>'Fiches Qualif'!AW107</f>
        <v/>
      </c>
      <c r="AD104" s="245">
        <f>'Fiches Qualif'!AX107</f>
        <v>75</v>
      </c>
      <c r="AE104" s="217" t="str">
        <f>'Fiches Qualif'!AY107</f>
        <v/>
      </c>
      <c r="AF104" s="245">
        <f>'Fiches Qualif'!AZ107</f>
        <v>75</v>
      </c>
      <c r="AG104" s="217" t="str">
        <f>'Fiches Qualif'!BA107</f>
        <v/>
      </c>
      <c r="AH104" s="245">
        <f>'Fiches Qualif'!BB107</f>
        <v>75</v>
      </c>
      <c r="AI104" s="217" t="str">
        <f>'Fiches Qualif'!BC107</f>
        <v/>
      </c>
      <c r="AJ104" s="245">
        <f>'Fiches Qualif'!BD107</f>
        <v>75</v>
      </c>
      <c r="AK104" s="217" t="str">
        <f>'Fiches Qualif'!BE107</f>
        <v/>
      </c>
      <c r="AL104" s="245">
        <f>'Fiches Qualif'!BF107</f>
        <v>75</v>
      </c>
      <c r="AM104" s="217" t="str">
        <f>'Fiches Qualif'!BG107</f>
        <v/>
      </c>
      <c r="AN104" s="245">
        <f>'Fiches Qualif'!BH107</f>
        <v>75</v>
      </c>
      <c r="AO104" s="217" t="str">
        <f>'Fiches Qualif'!BI107</f>
        <v/>
      </c>
      <c r="AP104" s="245">
        <f>'Fiches Qualif'!BJ107</f>
        <v>75</v>
      </c>
      <c r="AQ104" s="217" t="str">
        <f>'Fiches Qualif'!BK107</f>
        <v/>
      </c>
      <c r="AR104" s="245">
        <f>'Fiches Qualif'!BL107</f>
        <v>75</v>
      </c>
      <c r="AS104" s="245" t="str">
        <f>'Fiches Qualif'!BM107</f>
        <v/>
      </c>
    </row>
    <row r="105" spans="28:45" x14ac:dyDescent="0.2">
      <c r="AB105" s="245">
        <f>'Fiches Qualif'!AV108</f>
        <v>76</v>
      </c>
      <c r="AC105" s="217" t="str">
        <f>'Fiches Qualif'!AW108</f>
        <v/>
      </c>
      <c r="AD105" s="245">
        <f>'Fiches Qualif'!AX108</f>
        <v>76</v>
      </c>
      <c r="AE105" s="217" t="str">
        <f>'Fiches Qualif'!AY108</f>
        <v/>
      </c>
      <c r="AF105" s="245">
        <f>'Fiches Qualif'!AZ108</f>
        <v>76</v>
      </c>
      <c r="AG105" s="217" t="str">
        <f>'Fiches Qualif'!BA108</f>
        <v/>
      </c>
      <c r="AH105" s="245">
        <f>'Fiches Qualif'!BB108</f>
        <v>76</v>
      </c>
      <c r="AI105" s="217" t="str">
        <f>'Fiches Qualif'!BC108</f>
        <v/>
      </c>
      <c r="AJ105" s="245">
        <f>'Fiches Qualif'!BD108</f>
        <v>76</v>
      </c>
      <c r="AK105" s="217" t="str">
        <f>'Fiches Qualif'!BE108</f>
        <v/>
      </c>
      <c r="AL105" s="245">
        <f>'Fiches Qualif'!BF108</f>
        <v>76</v>
      </c>
      <c r="AM105" s="217" t="str">
        <f>'Fiches Qualif'!BG108</f>
        <v/>
      </c>
      <c r="AN105" s="245">
        <f>'Fiches Qualif'!BH108</f>
        <v>76</v>
      </c>
      <c r="AO105" s="217" t="str">
        <f>'Fiches Qualif'!BI108</f>
        <v/>
      </c>
      <c r="AP105" s="245">
        <f>'Fiches Qualif'!BJ108</f>
        <v>76</v>
      </c>
      <c r="AQ105" s="217" t="str">
        <f>'Fiches Qualif'!BK108</f>
        <v/>
      </c>
      <c r="AR105" s="245">
        <f>'Fiches Qualif'!BL108</f>
        <v>76</v>
      </c>
      <c r="AS105" s="245" t="str">
        <f>'Fiches Qualif'!BM108</f>
        <v/>
      </c>
    </row>
    <row r="106" spans="28:45" x14ac:dyDescent="0.2">
      <c r="AB106" s="245">
        <f>'Fiches Qualif'!AV109</f>
        <v>77</v>
      </c>
      <c r="AC106" s="217" t="str">
        <f>'Fiches Qualif'!AW109</f>
        <v/>
      </c>
      <c r="AD106" s="245">
        <f>'Fiches Qualif'!AX109</f>
        <v>77</v>
      </c>
      <c r="AE106" s="217" t="str">
        <f>'Fiches Qualif'!AY109</f>
        <v/>
      </c>
      <c r="AF106" s="245">
        <f>'Fiches Qualif'!AZ109</f>
        <v>77</v>
      </c>
      <c r="AG106" s="217" t="str">
        <f>'Fiches Qualif'!BA109</f>
        <v/>
      </c>
      <c r="AH106" s="245">
        <f>'Fiches Qualif'!BB109</f>
        <v>77</v>
      </c>
      <c r="AI106" s="217" t="str">
        <f>'Fiches Qualif'!BC109</f>
        <v/>
      </c>
      <c r="AJ106" s="245">
        <f>'Fiches Qualif'!BD109</f>
        <v>77</v>
      </c>
      <c r="AK106" s="217" t="str">
        <f>'Fiches Qualif'!BE109</f>
        <v/>
      </c>
      <c r="AL106" s="245">
        <f>'Fiches Qualif'!BF109</f>
        <v>77</v>
      </c>
      <c r="AM106" s="217" t="str">
        <f>'Fiches Qualif'!BG109</f>
        <v/>
      </c>
      <c r="AN106" s="245">
        <f>'Fiches Qualif'!BH109</f>
        <v>77</v>
      </c>
      <c r="AO106" s="217" t="str">
        <f>'Fiches Qualif'!BI109</f>
        <v/>
      </c>
      <c r="AP106" s="245">
        <f>'Fiches Qualif'!BJ109</f>
        <v>77</v>
      </c>
      <c r="AQ106" s="217" t="str">
        <f>'Fiches Qualif'!BK109</f>
        <v/>
      </c>
      <c r="AR106" s="245">
        <f>'Fiches Qualif'!BL109</f>
        <v>77</v>
      </c>
      <c r="AS106" s="245" t="str">
        <f>'Fiches Qualif'!BM109</f>
        <v/>
      </c>
    </row>
    <row r="107" spans="28:45" x14ac:dyDescent="0.2">
      <c r="AB107" s="245">
        <f>'Fiches Qualif'!AV110</f>
        <v>78</v>
      </c>
      <c r="AC107" s="217" t="str">
        <f>'Fiches Qualif'!AW110</f>
        <v/>
      </c>
      <c r="AD107" s="245">
        <f>'Fiches Qualif'!AX110</f>
        <v>78</v>
      </c>
      <c r="AE107" s="217" t="str">
        <f>'Fiches Qualif'!AY110</f>
        <v/>
      </c>
      <c r="AF107" s="245">
        <f>'Fiches Qualif'!AZ110</f>
        <v>78</v>
      </c>
      <c r="AG107" s="217" t="str">
        <f>'Fiches Qualif'!BA110</f>
        <v/>
      </c>
      <c r="AH107" s="245">
        <f>'Fiches Qualif'!BB110</f>
        <v>78</v>
      </c>
      <c r="AI107" s="217" t="str">
        <f>'Fiches Qualif'!BC110</f>
        <v/>
      </c>
      <c r="AJ107" s="245">
        <f>'Fiches Qualif'!BD110</f>
        <v>78</v>
      </c>
      <c r="AK107" s="217" t="str">
        <f>'Fiches Qualif'!BE110</f>
        <v/>
      </c>
      <c r="AL107" s="245">
        <f>'Fiches Qualif'!BF110</f>
        <v>78</v>
      </c>
      <c r="AM107" s="217" t="str">
        <f>'Fiches Qualif'!BG110</f>
        <v/>
      </c>
      <c r="AN107" s="245">
        <f>'Fiches Qualif'!BH110</f>
        <v>78</v>
      </c>
      <c r="AO107" s="217" t="str">
        <f>'Fiches Qualif'!BI110</f>
        <v/>
      </c>
      <c r="AP107" s="245">
        <f>'Fiches Qualif'!BJ110</f>
        <v>78</v>
      </c>
      <c r="AQ107" s="217" t="str">
        <f>'Fiches Qualif'!BK110</f>
        <v/>
      </c>
      <c r="AR107" s="245">
        <f>'Fiches Qualif'!BL110</f>
        <v>78</v>
      </c>
      <c r="AS107" s="245" t="str">
        <f>'Fiches Qualif'!BM110</f>
        <v/>
      </c>
    </row>
    <row r="108" spans="28:45" x14ac:dyDescent="0.2">
      <c r="AB108" s="245">
        <f>'Fiches Qualif'!AV111</f>
        <v>79</v>
      </c>
      <c r="AC108" s="217" t="str">
        <f>'Fiches Qualif'!AW111</f>
        <v/>
      </c>
      <c r="AD108" s="245">
        <f>'Fiches Qualif'!AX111</f>
        <v>79</v>
      </c>
      <c r="AE108" s="217" t="str">
        <f>'Fiches Qualif'!AY111</f>
        <v/>
      </c>
      <c r="AF108" s="245">
        <f>'Fiches Qualif'!AZ111</f>
        <v>79</v>
      </c>
      <c r="AG108" s="217" t="str">
        <f>'Fiches Qualif'!BA111</f>
        <v/>
      </c>
      <c r="AH108" s="245">
        <f>'Fiches Qualif'!BB111</f>
        <v>79</v>
      </c>
      <c r="AI108" s="217" t="str">
        <f>'Fiches Qualif'!BC111</f>
        <v/>
      </c>
      <c r="AJ108" s="245">
        <f>'Fiches Qualif'!BD111</f>
        <v>79</v>
      </c>
      <c r="AK108" s="217" t="str">
        <f>'Fiches Qualif'!BE111</f>
        <v/>
      </c>
      <c r="AL108" s="245">
        <f>'Fiches Qualif'!BF111</f>
        <v>79</v>
      </c>
      <c r="AM108" s="217" t="str">
        <f>'Fiches Qualif'!BG111</f>
        <v/>
      </c>
      <c r="AN108" s="245">
        <f>'Fiches Qualif'!BH111</f>
        <v>79</v>
      </c>
      <c r="AO108" s="217" t="str">
        <f>'Fiches Qualif'!BI111</f>
        <v/>
      </c>
      <c r="AP108" s="245">
        <f>'Fiches Qualif'!BJ111</f>
        <v>79</v>
      </c>
      <c r="AQ108" s="217" t="str">
        <f>'Fiches Qualif'!BK111</f>
        <v/>
      </c>
      <c r="AR108" s="245">
        <f>'Fiches Qualif'!BL111</f>
        <v>79</v>
      </c>
      <c r="AS108" s="245" t="str">
        <f>'Fiches Qualif'!BM111</f>
        <v/>
      </c>
    </row>
    <row r="109" spans="28:45" x14ac:dyDescent="0.2">
      <c r="AB109" s="245">
        <f>'Fiches Qualif'!AV112</f>
        <v>80</v>
      </c>
      <c r="AC109" s="217" t="str">
        <f>'Fiches Qualif'!AW112</f>
        <v/>
      </c>
      <c r="AD109" s="245">
        <f>'Fiches Qualif'!AX112</f>
        <v>80</v>
      </c>
      <c r="AE109" s="217" t="str">
        <f>'Fiches Qualif'!AY112</f>
        <v/>
      </c>
      <c r="AF109" s="245">
        <f>'Fiches Qualif'!AZ112</f>
        <v>80</v>
      </c>
      <c r="AG109" s="217" t="str">
        <f>'Fiches Qualif'!BA112</f>
        <v/>
      </c>
      <c r="AH109" s="245">
        <f>'Fiches Qualif'!BB112</f>
        <v>80</v>
      </c>
      <c r="AI109" s="217" t="str">
        <f>'Fiches Qualif'!BC112</f>
        <v/>
      </c>
      <c r="AJ109" s="245">
        <f>'Fiches Qualif'!BD112</f>
        <v>80</v>
      </c>
      <c r="AK109" s="217" t="str">
        <f>'Fiches Qualif'!BE112</f>
        <v/>
      </c>
      <c r="AL109" s="245">
        <f>'Fiches Qualif'!BF112</f>
        <v>80</v>
      </c>
      <c r="AM109" s="217" t="str">
        <f>'Fiches Qualif'!BG112</f>
        <v/>
      </c>
      <c r="AN109" s="245">
        <f>'Fiches Qualif'!BH112</f>
        <v>80</v>
      </c>
      <c r="AO109" s="217" t="str">
        <f>'Fiches Qualif'!BI112</f>
        <v/>
      </c>
      <c r="AP109" s="245">
        <f>'Fiches Qualif'!BJ112</f>
        <v>80</v>
      </c>
      <c r="AQ109" s="217" t="str">
        <f>'Fiches Qualif'!BK112</f>
        <v/>
      </c>
      <c r="AR109" s="245">
        <f>'Fiches Qualif'!BL112</f>
        <v>80</v>
      </c>
      <c r="AS109" s="245" t="str">
        <f>'Fiches Qualif'!BM112</f>
        <v/>
      </c>
    </row>
    <row r="110" spans="28:45" x14ac:dyDescent="0.2">
      <c r="AB110" s="245">
        <f>'Fiches Qualif'!AV113</f>
        <v>81</v>
      </c>
      <c r="AC110" s="217" t="str">
        <f>'Fiches Qualif'!AW113</f>
        <v/>
      </c>
      <c r="AD110" s="245">
        <f>'Fiches Qualif'!AX113</f>
        <v>81</v>
      </c>
      <c r="AE110" s="217" t="str">
        <f>'Fiches Qualif'!AY113</f>
        <v/>
      </c>
      <c r="AF110" s="245">
        <f>'Fiches Qualif'!AZ113</f>
        <v>81</v>
      </c>
      <c r="AG110" s="217" t="str">
        <f>'Fiches Qualif'!BA113</f>
        <v/>
      </c>
      <c r="AH110" s="245">
        <f>'Fiches Qualif'!BB113</f>
        <v>81</v>
      </c>
      <c r="AI110" s="217" t="str">
        <f>'Fiches Qualif'!BC113</f>
        <v/>
      </c>
      <c r="AJ110" s="245">
        <f>'Fiches Qualif'!BD113</f>
        <v>81</v>
      </c>
      <c r="AK110" s="217" t="str">
        <f>'Fiches Qualif'!BE113</f>
        <v/>
      </c>
      <c r="AL110" s="245">
        <f>'Fiches Qualif'!BF113</f>
        <v>81</v>
      </c>
      <c r="AM110" s="217" t="str">
        <f>'Fiches Qualif'!BG113</f>
        <v/>
      </c>
      <c r="AN110" s="245">
        <f>'Fiches Qualif'!BH113</f>
        <v>81</v>
      </c>
      <c r="AO110" s="217" t="str">
        <f>'Fiches Qualif'!BI113</f>
        <v/>
      </c>
      <c r="AP110" s="245">
        <f>'Fiches Qualif'!BJ113</f>
        <v>81</v>
      </c>
      <c r="AQ110" s="217" t="str">
        <f>'Fiches Qualif'!BK113</f>
        <v/>
      </c>
      <c r="AR110" s="245">
        <f>'Fiches Qualif'!BL113</f>
        <v>81</v>
      </c>
      <c r="AS110" s="245" t="str">
        <f>'Fiches Qualif'!BM113</f>
        <v/>
      </c>
    </row>
    <row r="111" spans="28:45" x14ac:dyDescent="0.2">
      <c r="AB111" s="245">
        <f>'Fiches Qualif'!AV114</f>
        <v>82</v>
      </c>
      <c r="AC111" s="217" t="str">
        <f>'Fiches Qualif'!AW114</f>
        <v/>
      </c>
      <c r="AD111" s="245">
        <f>'Fiches Qualif'!AX114</f>
        <v>82</v>
      </c>
      <c r="AE111" s="217" t="str">
        <f>'Fiches Qualif'!AY114</f>
        <v/>
      </c>
      <c r="AF111" s="245">
        <f>'Fiches Qualif'!AZ114</f>
        <v>82</v>
      </c>
      <c r="AG111" s="217" t="str">
        <f>'Fiches Qualif'!BA114</f>
        <v/>
      </c>
      <c r="AH111" s="245">
        <f>'Fiches Qualif'!BB114</f>
        <v>82</v>
      </c>
      <c r="AI111" s="217" t="str">
        <f>'Fiches Qualif'!BC114</f>
        <v/>
      </c>
      <c r="AJ111" s="245">
        <f>'Fiches Qualif'!BD114</f>
        <v>82</v>
      </c>
      <c r="AK111" s="217" t="str">
        <f>'Fiches Qualif'!BE114</f>
        <v/>
      </c>
      <c r="AL111" s="245">
        <f>'Fiches Qualif'!BF114</f>
        <v>82</v>
      </c>
      <c r="AM111" s="217" t="str">
        <f>'Fiches Qualif'!BG114</f>
        <v/>
      </c>
      <c r="AN111" s="245">
        <f>'Fiches Qualif'!BH114</f>
        <v>82</v>
      </c>
      <c r="AO111" s="217" t="str">
        <f>'Fiches Qualif'!BI114</f>
        <v/>
      </c>
      <c r="AP111" s="245">
        <f>'Fiches Qualif'!BJ114</f>
        <v>82</v>
      </c>
      <c r="AQ111" s="217" t="str">
        <f>'Fiches Qualif'!BK114</f>
        <v/>
      </c>
      <c r="AR111" s="245">
        <f>'Fiches Qualif'!BL114</f>
        <v>82</v>
      </c>
      <c r="AS111" s="245" t="str">
        <f>'Fiches Qualif'!BM114</f>
        <v/>
      </c>
    </row>
    <row r="112" spans="28:45" x14ac:dyDescent="0.2">
      <c r="AB112" s="245">
        <f>'Fiches Qualif'!AV115</f>
        <v>83</v>
      </c>
      <c r="AC112" s="217" t="str">
        <f>'Fiches Qualif'!AW115</f>
        <v/>
      </c>
      <c r="AD112" s="245">
        <f>'Fiches Qualif'!AX115</f>
        <v>83</v>
      </c>
      <c r="AE112" s="217" t="str">
        <f>'Fiches Qualif'!AY115</f>
        <v/>
      </c>
      <c r="AF112" s="245">
        <f>'Fiches Qualif'!AZ115</f>
        <v>83</v>
      </c>
      <c r="AG112" s="217" t="str">
        <f>'Fiches Qualif'!BA115</f>
        <v/>
      </c>
      <c r="AH112" s="245">
        <f>'Fiches Qualif'!BB115</f>
        <v>83</v>
      </c>
      <c r="AI112" s="217" t="str">
        <f>'Fiches Qualif'!BC115</f>
        <v/>
      </c>
      <c r="AJ112" s="245">
        <f>'Fiches Qualif'!BD115</f>
        <v>83</v>
      </c>
      <c r="AK112" s="217" t="str">
        <f>'Fiches Qualif'!BE115</f>
        <v/>
      </c>
      <c r="AL112" s="245">
        <f>'Fiches Qualif'!BF115</f>
        <v>83</v>
      </c>
      <c r="AM112" s="217" t="str">
        <f>'Fiches Qualif'!BG115</f>
        <v/>
      </c>
      <c r="AN112" s="245">
        <f>'Fiches Qualif'!BH115</f>
        <v>83</v>
      </c>
      <c r="AO112" s="217" t="str">
        <f>'Fiches Qualif'!BI115</f>
        <v/>
      </c>
      <c r="AP112" s="245">
        <f>'Fiches Qualif'!BJ115</f>
        <v>83</v>
      </c>
      <c r="AQ112" s="217" t="str">
        <f>'Fiches Qualif'!BK115</f>
        <v/>
      </c>
      <c r="AR112" s="245">
        <f>'Fiches Qualif'!BL115</f>
        <v>83</v>
      </c>
      <c r="AS112" s="245" t="str">
        <f>'Fiches Qualif'!BM115</f>
        <v/>
      </c>
    </row>
    <row r="113" spans="28:45" x14ac:dyDescent="0.2">
      <c r="AB113" s="245">
        <f>'Fiches Qualif'!AV116</f>
        <v>84</v>
      </c>
      <c r="AC113" s="217" t="str">
        <f>'Fiches Qualif'!AW116</f>
        <v/>
      </c>
      <c r="AD113" s="245">
        <f>'Fiches Qualif'!AX116</f>
        <v>84</v>
      </c>
      <c r="AE113" s="217" t="str">
        <f>'Fiches Qualif'!AY116</f>
        <v/>
      </c>
      <c r="AF113" s="245">
        <f>'Fiches Qualif'!AZ116</f>
        <v>84</v>
      </c>
      <c r="AG113" s="217" t="str">
        <f>'Fiches Qualif'!BA116</f>
        <v/>
      </c>
      <c r="AH113" s="245">
        <f>'Fiches Qualif'!BB116</f>
        <v>84</v>
      </c>
      <c r="AI113" s="217" t="str">
        <f>'Fiches Qualif'!BC116</f>
        <v/>
      </c>
      <c r="AJ113" s="245">
        <f>'Fiches Qualif'!BD116</f>
        <v>84</v>
      </c>
      <c r="AK113" s="217" t="str">
        <f>'Fiches Qualif'!BE116</f>
        <v/>
      </c>
      <c r="AL113" s="245">
        <f>'Fiches Qualif'!BF116</f>
        <v>84</v>
      </c>
      <c r="AM113" s="217" t="str">
        <f>'Fiches Qualif'!BG116</f>
        <v/>
      </c>
      <c r="AN113" s="245">
        <f>'Fiches Qualif'!BH116</f>
        <v>84</v>
      </c>
      <c r="AO113" s="217" t="str">
        <f>'Fiches Qualif'!BI116</f>
        <v/>
      </c>
      <c r="AP113" s="245">
        <f>'Fiches Qualif'!BJ116</f>
        <v>84</v>
      </c>
      <c r="AQ113" s="217" t="str">
        <f>'Fiches Qualif'!BK116</f>
        <v/>
      </c>
      <c r="AR113" s="245">
        <f>'Fiches Qualif'!BL116</f>
        <v>84</v>
      </c>
      <c r="AS113" s="245" t="str">
        <f>'Fiches Qualif'!BM116</f>
        <v/>
      </c>
    </row>
    <row r="114" spans="28:45" x14ac:dyDescent="0.2">
      <c r="AB114" s="245">
        <f>'Fiches Qualif'!AV117</f>
        <v>85</v>
      </c>
      <c r="AC114" s="217" t="str">
        <f>'Fiches Qualif'!AW117</f>
        <v/>
      </c>
      <c r="AD114" s="245">
        <f>'Fiches Qualif'!AX117</f>
        <v>85</v>
      </c>
      <c r="AE114" s="217" t="str">
        <f>'Fiches Qualif'!AY117</f>
        <v/>
      </c>
      <c r="AF114" s="245">
        <f>'Fiches Qualif'!AZ117</f>
        <v>85</v>
      </c>
      <c r="AG114" s="217" t="str">
        <f>'Fiches Qualif'!BA117</f>
        <v/>
      </c>
      <c r="AH114" s="245">
        <f>'Fiches Qualif'!BB117</f>
        <v>85</v>
      </c>
      <c r="AI114" s="217" t="str">
        <f>'Fiches Qualif'!BC117</f>
        <v/>
      </c>
      <c r="AJ114" s="245">
        <f>'Fiches Qualif'!BD117</f>
        <v>85</v>
      </c>
      <c r="AK114" s="217" t="str">
        <f>'Fiches Qualif'!BE117</f>
        <v/>
      </c>
      <c r="AL114" s="245">
        <f>'Fiches Qualif'!BF117</f>
        <v>85</v>
      </c>
      <c r="AM114" s="217" t="str">
        <f>'Fiches Qualif'!BG117</f>
        <v/>
      </c>
      <c r="AN114" s="245">
        <f>'Fiches Qualif'!BH117</f>
        <v>85</v>
      </c>
      <c r="AO114" s="217" t="str">
        <f>'Fiches Qualif'!BI117</f>
        <v/>
      </c>
      <c r="AP114" s="245">
        <f>'Fiches Qualif'!BJ117</f>
        <v>85</v>
      </c>
      <c r="AQ114" s="217" t="str">
        <f>'Fiches Qualif'!BK117</f>
        <v/>
      </c>
      <c r="AR114" s="245">
        <f>'Fiches Qualif'!BL117</f>
        <v>85</v>
      </c>
      <c r="AS114" s="245" t="str">
        <f>'Fiches Qualif'!BM117</f>
        <v/>
      </c>
    </row>
    <row r="115" spans="28:45" x14ac:dyDescent="0.2">
      <c r="AB115" s="245">
        <f>'Fiches Qualif'!AV118</f>
        <v>86</v>
      </c>
      <c r="AC115" s="217" t="str">
        <f>'Fiches Qualif'!AW118</f>
        <v/>
      </c>
      <c r="AD115" s="245">
        <f>'Fiches Qualif'!AX118</f>
        <v>86</v>
      </c>
      <c r="AE115" s="217" t="str">
        <f>'Fiches Qualif'!AY118</f>
        <v/>
      </c>
      <c r="AF115" s="245">
        <f>'Fiches Qualif'!AZ118</f>
        <v>86</v>
      </c>
      <c r="AG115" s="217" t="str">
        <f>'Fiches Qualif'!BA118</f>
        <v/>
      </c>
      <c r="AH115" s="245">
        <f>'Fiches Qualif'!BB118</f>
        <v>86</v>
      </c>
      <c r="AI115" s="217" t="str">
        <f>'Fiches Qualif'!BC118</f>
        <v/>
      </c>
      <c r="AJ115" s="245">
        <f>'Fiches Qualif'!BD118</f>
        <v>86</v>
      </c>
      <c r="AK115" s="217" t="str">
        <f>'Fiches Qualif'!BE118</f>
        <v/>
      </c>
      <c r="AL115" s="245">
        <f>'Fiches Qualif'!BF118</f>
        <v>86</v>
      </c>
      <c r="AM115" s="217" t="str">
        <f>'Fiches Qualif'!BG118</f>
        <v/>
      </c>
      <c r="AN115" s="245">
        <f>'Fiches Qualif'!BH118</f>
        <v>86</v>
      </c>
      <c r="AO115" s="217" t="str">
        <f>'Fiches Qualif'!BI118</f>
        <v/>
      </c>
      <c r="AP115" s="245">
        <f>'Fiches Qualif'!BJ118</f>
        <v>86</v>
      </c>
      <c r="AQ115" s="217" t="str">
        <f>'Fiches Qualif'!BK118</f>
        <v/>
      </c>
      <c r="AR115" s="245">
        <f>'Fiches Qualif'!BL118</f>
        <v>86</v>
      </c>
      <c r="AS115" s="245" t="str">
        <f>'Fiches Qualif'!BM118</f>
        <v/>
      </c>
    </row>
    <row r="116" spans="28:45" x14ac:dyDescent="0.2">
      <c r="AB116" s="245">
        <f>'Fiches Qualif'!AV119</f>
        <v>87</v>
      </c>
      <c r="AC116" s="217" t="str">
        <f>'Fiches Qualif'!AW119</f>
        <v/>
      </c>
      <c r="AD116" s="245">
        <f>'Fiches Qualif'!AX119</f>
        <v>87</v>
      </c>
      <c r="AE116" s="217" t="str">
        <f>'Fiches Qualif'!AY119</f>
        <v/>
      </c>
      <c r="AF116" s="245">
        <f>'Fiches Qualif'!AZ119</f>
        <v>87</v>
      </c>
      <c r="AG116" s="217" t="str">
        <f>'Fiches Qualif'!BA119</f>
        <v/>
      </c>
      <c r="AH116" s="245">
        <f>'Fiches Qualif'!BB119</f>
        <v>87</v>
      </c>
      <c r="AI116" s="217" t="str">
        <f>'Fiches Qualif'!BC119</f>
        <v/>
      </c>
      <c r="AJ116" s="245">
        <f>'Fiches Qualif'!BD119</f>
        <v>87</v>
      </c>
      <c r="AK116" s="217" t="str">
        <f>'Fiches Qualif'!BE119</f>
        <v/>
      </c>
      <c r="AL116" s="245">
        <f>'Fiches Qualif'!BF119</f>
        <v>87</v>
      </c>
      <c r="AM116" s="217" t="str">
        <f>'Fiches Qualif'!BG119</f>
        <v/>
      </c>
      <c r="AN116" s="245">
        <f>'Fiches Qualif'!BH119</f>
        <v>87</v>
      </c>
      <c r="AO116" s="217" t="str">
        <f>'Fiches Qualif'!BI119</f>
        <v/>
      </c>
      <c r="AP116" s="245">
        <f>'Fiches Qualif'!BJ119</f>
        <v>87</v>
      </c>
      <c r="AQ116" s="217" t="str">
        <f>'Fiches Qualif'!BK119</f>
        <v/>
      </c>
      <c r="AR116" s="245">
        <f>'Fiches Qualif'!BL119</f>
        <v>87</v>
      </c>
      <c r="AS116" s="245" t="str">
        <f>'Fiches Qualif'!BM119</f>
        <v/>
      </c>
    </row>
    <row r="117" spans="28:45" x14ac:dyDescent="0.2">
      <c r="AB117" s="245">
        <f>'Fiches Qualif'!AV120</f>
        <v>88</v>
      </c>
      <c r="AC117" s="217" t="str">
        <f>'Fiches Qualif'!AW120</f>
        <v/>
      </c>
      <c r="AD117" s="245">
        <f>'Fiches Qualif'!AX120</f>
        <v>88</v>
      </c>
      <c r="AE117" s="217" t="str">
        <f>'Fiches Qualif'!AY120</f>
        <v/>
      </c>
      <c r="AF117" s="245">
        <f>'Fiches Qualif'!AZ120</f>
        <v>88</v>
      </c>
      <c r="AG117" s="217" t="str">
        <f>'Fiches Qualif'!BA120</f>
        <v/>
      </c>
      <c r="AH117" s="245">
        <f>'Fiches Qualif'!BB120</f>
        <v>88</v>
      </c>
      <c r="AI117" s="217" t="str">
        <f>'Fiches Qualif'!BC120</f>
        <v/>
      </c>
      <c r="AJ117" s="245">
        <f>'Fiches Qualif'!BD120</f>
        <v>88</v>
      </c>
      <c r="AK117" s="217" t="str">
        <f>'Fiches Qualif'!BE120</f>
        <v/>
      </c>
      <c r="AL117" s="245">
        <f>'Fiches Qualif'!BF120</f>
        <v>88</v>
      </c>
      <c r="AM117" s="217" t="str">
        <f>'Fiches Qualif'!BG120</f>
        <v/>
      </c>
      <c r="AN117" s="245">
        <f>'Fiches Qualif'!BH120</f>
        <v>88</v>
      </c>
      <c r="AO117" s="217" t="str">
        <f>'Fiches Qualif'!BI120</f>
        <v/>
      </c>
      <c r="AP117" s="245">
        <f>'Fiches Qualif'!BJ120</f>
        <v>88</v>
      </c>
      <c r="AQ117" s="217" t="str">
        <f>'Fiches Qualif'!BK120</f>
        <v/>
      </c>
      <c r="AR117" s="245">
        <f>'Fiches Qualif'!BL120</f>
        <v>88</v>
      </c>
      <c r="AS117" s="245" t="str">
        <f>'Fiches Qualif'!BM120</f>
        <v/>
      </c>
    </row>
    <row r="122" spans="28:45" x14ac:dyDescent="0.2">
      <c r="AB122" s="241" t="s">
        <v>573</v>
      </c>
      <c r="AE122" s="241" t="s">
        <v>574</v>
      </c>
    </row>
    <row r="123" spans="28:45" x14ac:dyDescent="0.2">
      <c r="AB123" s="217">
        <f>Etab!A3</f>
        <v>1</v>
      </c>
      <c r="AC123" s="217">
        <f>Etab!B3</f>
        <v>0</v>
      </c>
      <c r="AE123" s="217">
        <f>FicheD2!AB123</f>
        <v>1</v>
      </c>
      <c r="AF123" s="217" t="str">
        <f>Etab!D3</f>
        <v>CRETEIL</v>
      </c>
    </row>
    <row r="124" spans="28:45" x14ac:dyDescent="0.2">
      <c r="AB124" s="217">
        <f>Etab!A4</f>
        <v>2</v>
      </c>
      <c r="AC124" s="217">
        <f>Etab!B4</f>
        <v>0</v>
      </c>
      <c r="AE124" s="217">
        <f>FicheD2!AB124</f>
        <v>2</v>
      </c>
      <c r="AF124" s="217" t="str">
        <f>Etab!D4</f>
        <v>NANTES</v>
      </c>
    </row>
    <row r="125" spans="28:45" x14ac:dyDescent="0.2">
      <c r="AB125" s="217">
        <f>Etab!A5</f>
        <v>3</v>
      </c>
      <c r="AC125" s="217">
        <f>Etab!B5</f>
        <v>0</v>
      </c>
      <c r="AE125" s="217">
        <f>FicheD2!AB125</f>
        <v>3</v>
      </c>
      <c r="AF125" s="217" t="str">
        <f>Etab!D5</f>
        <v>TOULOUSE</v>
      </c>
    </row>
    <row r="126" spans="28:45" x14ac:dyDescent="0.2">
      <c r="AB126" s="217">
        <f>Etab!A6</f>
        <v>4</v>
      </c>
      <c r="AC126" s="217">
        <f>Etab!B6</f>
        <v>0</v>
      </c>
      <c r="AE126" s="217">
        <f>FicheD2!AB126</f>
        <v>4</v>
      </c>
      <c r="AF126" s="217" t="str">
        <f>Etab!D6</f>
        <v>PARIS</v>
      </c>
    </row>
    <row r="127" spans="28:45" x14ac:dyDescent="0.2">
      <c r="AB127" s="217">
        <f>Etab!A7</f>
        <v>5</v>
      </c>
      <c r="AC127" s="217">
        <f>Etab!B7</f>
        <v>0</v>
      </c>
      <c r="AE127" s="217">
        <f>FicheD2!AB127</f>
        <v>5</v>
      </c>
      <c r="AF127" s="217" t="str">
        <f>Etab!D7</f>
        <v>LIMOGES</v>
      </c>
    </row>
    <row r="128" spans="28:45" x14ac:dyDescent="0.2">
      <c r="AB128" s="217">
        <f>Etab!A8</f>
        <v>6</v>
      </c>
      <c r="AC128" s="217">
        <f>Etab!B8</f>
        <v>0</v>
      </c>
      <c r="AE128" s="217">
        <f>FicheD2!AB128</f>
        <v>6</v>
      </c>
      <c r="AF128" s="217" t="str">
        <f>Etab!D8</f>
        <v>CLERMONT-FERRAND</v>
      </c>
    </row>
    <row r="129" spans="28:32" x14ac:dyDescent="0.2">
      <c r="AB129" s="217">
        <f>Etab!A9</f>
        <v>7</v>
      </c>
      <c r="AC129" s="217">
        <f>Etab!B9</f>
        <v>0</v>
      </c>
      <c r="AE129" s="217">
        <f>FicheD2!AB129</f>
        <v>7</v>
      </c>
      <c r="AF129" s="217" t="str">
        <f>Etab!D9</f>
        <v>NANCY-METZ</v>
      </c>
    </row>
    <row r="130" spans="28:32" x14ac:dyDescent="0.2">
      <c r="AB130" s="217">
        <f>Etab!A10</f>
        <v>8</v>
      </c>
      <c r="AC130" s="217">
        <f>Etab!B10</f>
        <v>0</v>
      </c>
      <c r="AE130" s="217">
        <f>FicheD2!AB130</f>
        <v>8</v>
      </c>
      <c r="AF130" s="217" t="str">
        <f>Etab!D10</f>
        <v>DIJON</v>
      </c>
    </row>
    <row r="131" spans="28:32" x14ac:dyDescent="0.2">
      <c r="AB131" s="217">
        <f>Etab!A11</f>
        <v>9</v>
      </c>
      <c r="AC131" s="217">
        <f>Etab!B11</f>
        <v>0</v>
      </c>
      <c r="AE131" s="217">
        <f>FicheD2!AB131</f>
        <v>9</v>
      </c>
      <c r="AF131" s="217" t="str">
        <f>Etab!D11</f>
        <v>AMIENS</v>
      </c>
    </row>
    <row r="132" spans="28:32" x14ac:dyDescent="0.2">
      <c r="AB132" s="217">
        <f>Etab!A12</f>
        <v>10</v>
      </c>
      <c r="AC132" s="217">
        <f>Etab!B12</f>
        <v>0</v>
      </c>
      <c r="AE132" s="217">
        <f>FicheD2!AB132</f>
        <v>10</v>
      </c>
      <c r="AF132" s="217" t="str">
        <f>Etab!D12</f>
        <v>LILLE</v>
      </c>
    </row>
    <row r="133" spans="28:32" x14ac:dyDescent="0.2">
      <c r="AB133" s="217">
        <f>Etab!A13</f>
        <v>11</v>
      </c>
      <c r="AC133" s="217">
        <f>Etab!B13</f>
        <v>0</v>
      </c>
      <c r="AE133" s="217">
        <f>FicheD2!AB133</f>
        <v>11</v>
      </c>
      <c r="AF133" s="217" t="str">
        <f>Etab!D13</f>
        <v>REIMS</v>
      </c>
    </row>
    <row r="134" spans="28:32" x14ac:dyDescent="0.2">
      <c r="AB134" s="217">
        <f>Etab!A14</f>
        <v>12</v>
      </c>
      <c r="AC134" s="217">
        <f>Etab!B14</f>
        <v>0</v>
      </c>
      <c r="AE134" s="217">
        <f>FicheD2!AB134</f>
        <v>12</v>
      </c>
      <c r="AF134" s="217" t="str">
        <f>Etab!D14</f>
        <v>POITIERS</v>
      </c>
    </row>
    <row r="135" spans="28:32" x14ac:dyDescent="0.2">
      <c r="AB135" s="217">
        <f>Etab!A15</f>
        <v>13</v>
      </c>
      <c r="AC135" s="217">
        <f>Etab!B15</f>
        <v>0</v>
      </c>
      <c r="AE135" s="217">
        <f>FicheD2!AB135</f>
        <v>13</v>
      </c>
      <c r="AF135" s="217" t="str">
        <f>Etab!D15</f>
        <v>ORLEANS-TOURS</v>
      </c>
    </row>
    <row r="136" spans="28:32" x14ac:dyDescent="0.2">
      <c r="AB136" s="217">
        <f>Etab!A16</f>
        <v>14</v>
      </c>
      <c r="AC136" s="217" t="str">
        <f>Etab!B16</f>
        <v>COL Collège des Gorges de la Loire 1</v>
      </c>
      <c r="AE136" s="217">
        <f>FicheD2!AB136</f>
        <v>14</v>
      </c>
      <c r="AF136" s="217" t="str">
        <f>Etab!D16</f>
        <v>CLERMONT-FERRAND</v>
      </c>
    </row>
    <row r="137" spans="28:32" x14ac:dyDescent="0.2">
      <c r="AB137" s="217">
        <f>Etab!A17</f>
        <v>15</v>
      </c>
      <c r="AC137" s="217" t="str">
        <f>Etab!B17</f>
        <v>EEA Etablissement régional d'enseignement adapté Joël Jeannot 1</v>
      </c>
      <c r="AE137" s="217">
        <f>FicheD2!AB137</f>
        <v>15</v>
      </c>
      <c r="AF137" s="217" t="str">
        <f>Etab!D17</f>
        <v>BORDEAUX</v>
      </c>
    </row>
    <row r="138" spans="28:32" x14ac:dyDescent="0.2">
      <c r="AB138" s="217">
        <f>Etab!A18</f>
        <v>16</v>
      </c>
      <c r="AC138" s="217" t="str">
        <f>Etab!B18</f>
        <v>LPO Lycée Catherine et Raymond Janot 1</v>
      </c>
      <c r="AE138" s="217">
        <f>FicheD2!AB138</f>
        <v>16</v>
      </c>
      <c r="AF138" s="217" t="str">
        <f>Etab!D18</f>
        <v>DIJON</v>
      </c>
    </row>
    <row r="139" spans="28:32" x14ac:dyDescent="0.2">
      <c r="AB139" s="217">
        <f>Etab!A19</f>
        <v>17</v>
      </c>
      <c r="AC139" s="217" t="str">
        <f>Etab!B19</f>
        <v>LP Lycée professionnel Maréchal Leclerc de Hauteclocque 1</v>
      </c>
      <c r="AE139" s="217">
        <f>FicheD2!AB139</f>
        <v>17</v>
      </c>
      <c r="AF139" s="217" t="str">
        <f>Etab!D19</f>
        <v>NANTES</v>
      </c>
    </row>
    <row r="140" spans="28:32" x14ac:dyDescent="0.2">
      <c r="AB140" s="217">
        <f>Etab!A20</f>
        <v>18</v>
      </c>
      <c r="AC140" s="217" t="str">
        <f>Etab!B20</f>
        <v>LP Lycée professionnel Roz Glas 1</v>
      </c>
      <c r="AE140" s="217">
        <f>FicheD2!AB140</f>
        <v>18</v>
      </c>
      <c r="AF140" s="217" t="str">
        <f>Etab!D20</f>
        <v>RENNES</v>
      </c>
    </row>
    <row r="141" spans="28:32" x14ac:dyDescent="0.2">
      <c r="AB141" s="217">
        <f>Etab!A21</f>
        <v>19</v>
      </c>
      <c r="AC141" s="217">
        <f>Etab!B21</f>
        <v>0</v>
      </c>
      <c r="AE141" s="217">
        <f>FicheD2!AB141</f>
        <v>19</v>
      </c>
      <c r="AF141" s="217">
        <f>Etab!D21</f>
        <v>0</v>
      </c>
    </row>
    <row r="142" spans="28:32" x14ac:dyDescent="0.2">
      <c r="AB142" s="217">
        <f>Etab!A22</f>
        <v>20</v>
      </c>
      <c r="AC142" s="217">
        <f>Etab!B22</f>
        <v>0</v>
      </c>
      <c r="AE142" s="217">
        <f>FicheD2!AB142</f>
        <v>20</v>
      </c>
      <c r="AF142" s="217">
        <f>Etab!D22</f>
        <v>0</v>
      </c>
    </row>
    <row r="143" spans="28:32" x14ac:dyDescent="0.2">
      <c r="AB143" s="217">
        <f>Etab!A23</f>
        <v>21</v>
      </c>
      <c r="AC143" s="217">
        <f>Etab!B23</f>
        <v>0</v>
      </c>
      <c r="AE143" s="217">
        <f>FicheD2!AB143</f>
        <v>21</v>
      </c>
      <c r="AF143" s="217">
        <f>Etab!D23</f>
        <v>0</v>
      </c>
    </row>
    <row r="144" spans="28:32" x14ac:dyDescent="0.2">
      <c r="AB144" s="217">
        <f>Etab!A24</f>
        <v>22</v>
      </c>
      <c r="AC144" s="217">
        <f>Etab!B24</f>
        <v>0</v>
      </c>
      <c r="AE144" s="217">
        <f>FicheD2!AB144</f>
        <v>22</v>
      </c>
      <c r="AF144" s="217">
        <f>Etab!D24</f>
        <v>0</v>
      </c>
    </row>
  </sheetData>
  <mergeCells count="39">
    <mergeCell ref="P14:R14"/>
    <mergeCell ref="AB17:AB20"/>
    <mergeCell ref="A2:B2"/>
    <mergeCell ref="B3:H3"/>
    <mergeCell ref="I3:L3"/>
    <mergeCell ref="O3:U3"/>
    <mergeCell ref="V3:Y3"/>
    <mergeCell ref="M4:N4"/>
    <mergeCell ref="P13:T13"/>
    <mergeCell ref="U13:Y13"/>
    <mergeCell ref="U14:W14"/>
    <mergeCell ref="A6:E6"/>
    <mergeCell ref="F13:J13"/>
    <mergeCell ref="K13:O13"/>
    <mergeCell ref="F14:H14"/>
    <mergeCell ref="K14:M14"/>
    <mergeCell ref="F27:H28"/>
    <mergeCell ref="V27:V28"/>
    <mergeCell ref="A7:E7"/>
    <mergeCell ref="G7:H7"/>
    <mergeCell ref="I7:K7"/>
    <mergeCell ref="M7:N7"/>
    <mergeCell ref="A14:E14"/>
    <mergeCell ref="F19:H19"/>
    <mergeCell ref="K19:M19"/>
    <mergeCell ref="P19:R19"/>
    <mergeCell ref="U19:W19"/>
    <mergeCell ref="B22:L22"/>
    <mergeCell ref="O22:Y22"/>
    <mergeCell ref="K20:M20"/>
    <mergeCell ref="P20:R20"/>
    <mergeCell ref="U20:W20"/>
    <mergeCell ref="I26:O26"/>
    <mergeCell ref="P26:T26"/>
    <mergeCell ref="U26:W26"/>
    <mergeCell ref="B23:H23"/>
    <mergeCell ref="I23:L23"/>
    <mergeCell ref="O23:U23"/>
    <mergeCell ref="V23:Y23"/>
  </mergeCells>
  <phoneticPr fontId="0" type="noConversion"/>
  <dataValidations count="4">
    <dataValidation type="list" allowBlank="1" showInputMessage="1" showErrorMessage="1" sqref="AA7:AA10" xr:uid="{00000000-0002-0000-1600-000000000000}">
      <formula1>$AB$30:$AB$117</formula1>
    </dataValidation>
    <dataValidation type="list" allowBlank="1" showInputMessage="1" showErrorMessage="1" sqref="AC2" xr:uid="{00000000-0002-0000-1600-000001000000}">
      <formula1>$X$44:$X$54</formula1>
    </dataValidation>
    <dataValidation type="list" allowBlank="1" showInputMessage="1" showErrorMessage="1" sqref="AA14" xr:uid="{00000000-0002-0000-1600-000002000000}">
      <formula1>$AB$123:$AB$144</formula1>
    </dataValidation>
    <dataValidation type="list" allowBlank="1" showInputMessage="1" showErrorMessage="1" sqref="AD17:AD20" xr:uid="{00000000-0002-0000-1600-000003000000}">
      <formula1>$AB$30:$AB$69</formula1>
    </dataValidation>
  </dataValidations>
  <pageMargins left="0.19685039370078741" right="0.19685039370078741" top="0.39370078740157483" bottom="0.19685039370078741" header="0.51181102362204722" footer="0.51181102362204722"/>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8" r:id="rId4" name="Button 2">
              <controlPr defaultSize="0" print="0" autoFill="0" autoPict="0" macro="[0]!fiche_D1_QuandClic">
                <anchor moveWithCells="1" sizeWithCells="1">
                  <from>
                    <xdr:col>26</xdr:col>
                    <xdr:colOff>152400</xdr:colOff>
                    <xdr:row>22</xdr:row>
                    <xdr:rowOff>38100</xdr:rowOff>
                  </from>
                  <to>
                    <xdr:col>30</xdr:col>
                    <xdr:colOff>371475</xdr:colOff>
                    <xdr:row>23</xdr:row>
                    <xdr:rowOff>104775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13">
    <tabColor indexed="11"/>
    <pageSetUpPr fitToPage="1"/>
  </sheetPr>
  <dimension ref="A1:K40"/>
  <sheetViews>
    <sheetView workbookViewId="0">
      <selection activeCell="B8" sqref="B8"/>
    </sheetView>
  </sheetViews>
  <sheetFormatPr baseColWidth="10" defaultRowHeight="12.75" x14ac:dyDescent="0.2"/>
  <cols>
    <col min="1" max="1" width="3.85546875" style="40" bestFit="1" customWidth="1"/>
    <col min="2" max="3" width="40.7109375" style="40" customWidth="1"/>
    <col min="4" max="4" width="8" style="40" customWidth="1"/>
    <col min="5" max="5" width="7.140625" style="40" customWidth="1"/>
    <col min="6" max="6" width="14.42578125" style="40" customWidth="1"/>
    <col min="7" max="16384" width="11.42578125" style="40"/>
  </cols>
  <sheetData>
    <row r="1" spans="1:11" ht="2.25" customHeight="1" x14ac:dyDescent="0.2"/>
    <row r="2" spans="1:11" ht="33.75" customHeight="1" x14ac:dyDescent="0.2">
      <c r="B2" s="135" t="str">
        <f>ciblesD2!$B$2</f>
        <v>Collèges Mixtes Etablissement</v>
      </c>
      <c r="C2" s="129"/>
    </row>
    <row r="3" spans="1:11" ht="25.5" customHeight="1" x14ac:dyDescent="0.2">
      <c r="B3" s="140" t="s">
        <v>488</v>
      </c>
      <c r="C3" s="129"/>
    </row>
    <row r="4" spans="1:11" ht="5.25" customHeight="1" x14ac:dyDescent="0.2">
      <c r="B4" s="129"/>
      <c r="C4" s="129"/>
    </row>
    <row r="5" spans="1:11" ht="23.25" customHeight="1" x14ac:dyDescent="0.2">
      <c r="B5" s="1042" t="s">
        <v>485</v>
      </c>
      <c r="C5" s="1042"/>
    </row>
    <row r="6" spans="1:11" ht="9.75" customHeight="1" x14ac:dyDescent="0.2">
      <c r="B6" s="131"/>
      <c r="C6" s="131"/>
      <c r="G6" s="294" t="s">
        <v>582</v>
      </c>
    </row>
    <row r="7" spans="1:11" ht="20.25" x14ac:dyDescent="0.2">
      <c r="B7" s="132" t="s">
        <v>0</v>
      </c>
      <c r="C7" s="132" t="s">
        <v>375</v>
      </c>
      <c r="D7" s="1043" t="s">
        <v>486</v>
      </c>
      <c r="E7" s="1043"/>
      <c r="F7" s="174" t="s">
        <v>501</v>
      </c>
      <c r="G7" s="295" t="s">
        <v>581</v>
      </c>
      <c r="K7" s="423"/>
    </row>
    <row r="8" spans="1:11" ht="15.95" customHeight="1" x14ac:dyDescent="0.2">
      <c r="A8" s="134">
        <v>1</v>
      </c>
      <c r="B8" s="267" t="e">
        <f>'Phase_Finale Impair'!#REF!</f>
        <v>#REF!</v>
      </c>
      <c r="C8" s="267" t="e">
        <f>'Phase_Finale Impair'!#REF!</f>
        <v>#REF!</v>
      </c>
      <c r="D8" s="136">
        <f>Num_Cible</f>
        <v>1</v>
      </c>
      <c r="E8" s="136"/>
      <c r="F8" s="179" t="e">
        <f>IF(C8="","",LOOKUP(C8,taille_cibles))</f>
        <v>#REF!</v>
      </c>
      <c r="G8" s="297" t="e">
        <f>IF(C8="","",LOOKUP(C8,REPERE))</f>
        <v>#REF!</v>
      </c>
    </row>
    <row r="9" spans="1:11" ht="15.95" customHeight="1" x14ac:dyDescent="0.2">
      <c r="A9" s="134">
        <v>2</v>
      </c>
      <c r="B9" s="267" t="e">
        <f>'Phase_Finale Impair'!#REF!</f>
        <v>#REF!</v>
      </c>
      <c r="C9" s="267" t="e">
        <f>'Phase_Finale Impair'!#REF!</f>
        <v>#REF!</v>
      </c>
      <c r="D9" s="181">
        <f>D8+1</f>
        <v>2</v>
      </c>
      <c r="E9" s="136"/>
      <c r="F9" s="179" t="e">
        <f>IF(C9="","",LOOKUP(C9,taille_cibles))</f>
        <v>#REF!</v>
      </c>
      <c r="G9" s="297" t="e">
        <f>IF(C9="","",LOOKUP(C9,REPERE))</f>
        <v>#REF!</v>
      </c>
    </row>
    <row r="10" spans="1:11" ht="3" customHeight="1" x14ac:dyDescent="0.2">
      <c r="A10" s="134"/>
      <c r="B10" s="271"/>
      <c r="C10" s="271"/>
      <c r="D10" s="137"/>
      <c r="E10" s="137"/>
      <c r="F10" s="180"/>
      <c r="G10" s="298"/>
    </row>
    <row r="11" spans="1:11" ht="15.95" customHeight="1" x14ac:dyDescent="0.2">
      <c r="A11" s="134">
        <v>3</v>
      </c>
      <c r="B11" s="267" t="e">
        <f>'Phase_Finale Impair'!#REF!</f>
        <v>#REF!</v>
      </c>
      <c r="C11" s="267" t="e">
        <f>'Phase_Finale Impair'!#REF!</f>
        <v>#REF!</v>
      </c>
      <c r="D11" s="136">
        <f>D9+1</f>
        <v>3</v>
      </c>
      <c r="E11" s="136"/>
      <c r="F11" s="179" t="e">
        <f>IF(C11="","",LOOKUP(C11,taille_cibles))</f>
        <v>#REF!</v>
      </c>
      <c r="G11" s="297" t="e">
        <f>IF(C11="","",LOOKUP(C11,REPERE))</f>
        <v>#REF!</v>
      </c>
    </row>
    <row r="12" spans="1:11" ht="15.95" customHeight="1" x14ac:dyDescent="0.2">
      <c r="A12" s="134">
        <v>4</v>
      </c>
      <c r="B12" s="267" t="e">
        <f>'Phase_Finale Impair'!#REF!</f>
        <v>#REF!</v>
      </c>
      <c r="C12" s="267" t="e">
        <f>'Phase_Finale Impair'!#REF!</f>
        <v>#REF!</v>
      </c>
      <c r="D12" s="136">
        <f>D11+1</f>
        <v>4</v>
      </c>
      <c r="E12" s="136"/>
      <c r="F12" s="179" t="e">
        <f>IF(C12="","",LOOKUP(C12,taille_cibles))</f>
        <v>#REF!</v>
      </c>
      <c r="G12" s="297" t="e">
        <f>IF(C12="","",LOOKUP(C12,REPERE))</f>
        <v>#REF!</v>
      </c>
    </row>
    <row r="13" spans="1:11" ht="3" customHeight="1" x14ac:dyDescent="0.2">
      <c r="A13" s="134"/>
      <c r="B13" s="272"/>
      <c r="C13" s="271"/>
      <c r="D13" s="137"/>
      <c r="E13" s="137"/>
      <c r="F13" s="180"/>
      <c r="G13" s="298"/>
    </row>
    <row r="14" spans="1:11" ht="15.95" customHeight="1" x14ac:dyDescent="0.2">
      <c r="A14" s="134">
        <v>5</v>
      </c>
      <c r="B14" s="267" t="e">
        <f>'Phase_Finale Impair'!#REF!</f>
        <v>#REF!</v>
      </c>
      <c r="C14" s="267" t="e">
        <f>'Phase_Finale Impair'!#REF!</f>
        <v>#REF!</v>
      </c>
      <c r="D14" s="136">
        <f>D12+1</f>
        <v>5</v>
      </c>
      <c r="E14" s="136"/>
      <c r="F14" s="179" t="e">
        <f>IF(C14="","",LOOKUP(C14,taille_cibles))</f>
        <v>#REF!</v>
      </c>
      <c r="G14" s="297" t="e">
        <f>IF(C14="","",LOOKUP(C14,REPERE))</f>
        <v>#REF!</v>
      </c>
    </row>
    <row r="15" spans="1:11" ht="15.95" customHeight="1" x14ac:dyDescent="0.2">
      <c r="A15" s="134">
        <v>6</v>
      </c>
      <c r="B15" s="267" t="e">
        <f>'Phase_Finale Impair'!#REF!</f>
        <v>#REF!</v>
      </c>
      <c r="C15" s="267" t="e">
        <f>'Phase_Finale Impair'!#REF!</f>
        <v>#REF!</v>
      </c>
      <c r="D15" s="136">
        <f>D14+1</f>
        <v>6</v>
      </c>
      <c r="E15" s="136"/>
      <c r="F15" s="179" t="e">
        <f>IF(C15="","",LOOKUP(C15,taille_cibles))</f>
        <v>#REF!</v>
      </c>
      <c r="G15" s="297" t="e">
        <f>IF(C15="","",LOOKUP(C15,REPERE))</f>
        <v>#REF!</v>
      </c>
    </row>
    <row r="16" spans="1:11" ht="3" customHeight="1" x14ac:dyDescent="0.2">
      <c r="A16" s="134"/>
      <c r="B16" s="271"/>
      <c r="C16" s="271"/>
      <c r="D16" s="137"/>
      <c r="E16" s="137"/>
      <c r="F16" s="180"/>
      <c r="G16" s="298"/>
    </row>
    <row r="17" spans="1:7" ht="15.95" customHeight="1" x14ac:dyDescent="0.2">
      <c r="A17" s="134">
        <v>7</v>
      </c>
      <c r="B17" s="267" t="e">
        <f>'Phase_Finale Impair'!#REF!</f>
        <v>#REF!</v>
      </c>
      <c r="C17" s="267" t="e">
        <f>'Phase_Finale Impair'!#REF!</f>
        <v>#REF!</v>
      </c>
      <c r="D17" s="136">
        <f>D15+1</f>
        <v>7</v>
      </c>
      <c r="E17" s="136"/>
      <c r="F17" s="179" t="e">
        <f>IF(C17="","",LOOKUP(C17,taille_cibles))</f>
        <v>#REF!</v>
      </c>
      <c r="G17" s="297" t="e">
        <f>IF(C17="","",LOOKUP(C17,REPERE))</f>
        <v>#REF!</v>
      </c>
    </row>
    <row r="18" spans="1:7" ht="15.95" customHeight="1" x14ac:dyDescent="0.2">
      <c r="A18" s="134">
        <v>8</v>
      </c>
      <c r="B18" s="267" t="e">
        <f>'Phase_Finale Impair'!#REF!</f>
        <v>#REF!</v>
      </c>
      <c r="C18" s="267" t="e">
        <f>'Phase_Finale Impair'!#REF!</f>
        <v>#REF!</v>
      </c>
      <c r="D18" s="136">
        <f>D17+1</f>
        <v>8</v>
      </c>
      <c r="E18" s="136"/>
      <c r="F18" s="179" t="e">
        <f>IF(C18="","",LOOKUP(C18,taille_cibles))</f>
        <v>#REF!</v>
      </c>
      <c r="G18" s="297" t="e">
        <f>IF(C18="","",LOOKUP(C18,REPERE))</f>
        <v>#REF!</v>
      </c>
    </row>
    <row r="19" spans="1:7" ht="3" customHeight="1" x14ac:dyDescent="0.2">
      <c r="A19" s="134"/>
      <c r="B19" s="271"/>
      <c r="C19" s="271"/>
      <c r="D19" s="137"/>
      <c r="E19" s="137"/>
      <c r="F19" s="180"/>
      <c r="G19" s="298"/>
    </row>
    <row r="20" spans="1:7" ht="15.95" customHeight="1" x14ac:dyDescent="0.2">
      <c r="A20" s="134">
        <v>9</v>
      </c>
      <c r="B20" s="267" t="e">
        <f>'Phase_Finale Impair'!#REF!</f>
        <v>#REF!</v>
      </c>
      <c r="C20" s="267" t="e">
        <f>'Phase_Finale Impair'!#REF!</f>
        <v>#REF!</v>
      </c>
      <c r="D20" s="136">
        <f>D18+1</f>
        <v>9</v>
      </c>
      <c r="E20" s="136"/>
      <c r="F20" s="179" t="e">
        <f>IF(C20="","",LOOKUP(C20,taille_cibles))</f>
        <v>#REF!</v>
      </c>
      <c r="G20" s="297" t="e">
        <f>IF(C20="","",LOOKUP(C20,REPERE))</f>
        <v>#REF!</v>
      </c>
    </row>
    <row r="21" spans="1:7" ht="15.95" customHeight="1" x14ac:dyDescent="0.2">
      <c r="A21" s="134">
        <v>10</v>
      </c>
      <c r="B21" s="267" t="e">
        <f>'Phase_Finale Impair'!#REF!</f>
        <v>#REF!</v>
      </c>
      <c r="C21" s="267" t="e">
        <f>'Phase_Finale Impair'!#REF!</f>
        <v>#REF!</v>
      </c>
      <c r="D21" s="136">
        <f>D20+1</f>
        <v>10</v>
      </c>
      <c r="E21" s="136"/>
      <c r="F21" s="179" t="e">
        <f>IF(C21="","",LOOKUP(C21,taille_cibles))</f>
        <v>#REF!</v>
      </c>
      <c r="G21" s="297" t="e">
        <f>IF(C21="","",LOOKUP(C21,REPERE))</f>
        <v>#REF!</v>
      </c>
    </row>
    <row r="22" spans="1:7" ht="3" customHeight="1" x14ac:dyDescent="0.2">
      <c r="A22" s="134"/>
      <c r="B22" s="273"/>
      <c r="C22" s="273"/>
      <c r="D22" s="138"/>
      <c r="E22" s="138"/>
      <c r="F22" s="180"/>
      <c r="G22" s="298"/>
    </row>
    <row r="23" spans="1:7" ht="15.95" customHeight="1" x14ac:dyDescent="0.2">
      <c r="A23" s="134">
        <v>11</v>
      </c>
      <c r="B23" s="267" t="e">
        <f>'Phase_Finale Impair'!#REF!</f>
        <v>#REF!</v>
      </c>
      <c r="C23" s="267" t="e">
        <f>'Phase_Finale Impair'!#REF!</f>
        <v>#REF!</v>
      </c>
      <c r="D23" s="136">
        <f>D21+1</f>
        <v>11</v>
      </c>
      <c r="E23" s="136"/>
      <c r="F23" s="179" t="e">
        <f>IF(C23="","",LOOKUP(C23,taille_cibles))</f>
        <v>#REF!</v>
      </c>
      <c r="G23" s="297" t="e">
        <f>IF(C23="","",LOOKUP(C23,REPERE))</f>
        <v>#REF!</v>
      </c>
    </row>
    <row r="24" spans="1:7" ht="15.95" customHeight="1" x14ac:dyDescent="0.2">
      <c r="A24" s="134">
        <v>12</v>
      </c>
      <c r="B24" s="274" t="e">
        <f>'Phase_Finale Impair'!#REF!</f>
        <v>#REF!</v>
      </c>
      <c r="C24" s="274" t="e">
        <f>'Phase_Finale Impair'!#REF!</f>
        <v>#REF!</v>
      </c>
      <c r="D24" s="139">
        <f>D23+1</f>
        <v>12</v>
      </c>
      <c r="E24" s="139"/>
      <c r="F24" s="179" t="e">
        <f>IF(C24="","",LOOKUP(C24,taille_cibles))</f>
        <v>#REF!</v>
      </c>
      <c r="G24" s="297" t="e">
        <f>IF(C24="","",LOOKUP(C24,REPERE))</f>
        <v>#REF!</v>
      </c>
    </row>
    <row r="25" spans="1:7" ht="3" customHeight="1" x14ac:dyDescent="0.2">
      <c r="A25" s="134"/>
      <c r="B25" s="271"/>
      <c r="C25" s="271"/>
      <c r="D25" s="137"/>
      <c r="E25" s="137"/>
      <c r="F25" s="180"/>
      <c r="G25" s="298"/>
    </row>
    <row r="26" spans="1:7" ht="15.95" customHeight="1" x14ac:dyDescent="0.2">
      <c r="A26" s="134">
        <v>13</v>
      </c>
      <c r="B26" s="267" t="e">
        <f>'Phase_Finale Impair'!#REF!</f>
        <v>#REF!</v>
      </c>
      <c r="C26" s="267" t="e">
        <f>'Phase_Finale Impair'!#REF!</f>
        <v>#REF!</v>
      </c>
      <c r="D26" s="136">
        <f>D24+1</f>
        <v>13</v>
      </c>
      <c r="E26" s="136"/>
      <c r="F26" s="179" t="e">
        <f>IF(C26="","",LOOKUP(C26,taille_cibles))</f>
        <v>#REF!</v>
      </c>
      <c r="G26" s="297" t="e">
        <f>IF(C26="","",LOOKUP(C26,REPERE))</f>
        <v>#REF!</v>
      </c>
    </row>
    <row r="27" spans="1:7" ht="15.95" customHeight="1" x14ac:dyDescent="0.2">
      <c r="A27" s="134">
        <v>14</v>
      </c>
      <c r="B27" s="267" t="e">
        <f>'Phase_Finale Impair'!#REF!</f>
        <v>#REF!</v>
      </c>
      <c r="C27" s="267" t="e">
        <f>'Phase_Finale Impair'!#REF!</f>
        <v>#REF!</v>
      </c>
      <c r="D27" s="136">
        <f>D26+1</f>
        <v>14</v>
      </c>
      <c r="E27" s="136"/>
      <c r="F27" s="179" t="e">
        <f>IF(C27="","",LOOKUP(C27,taille_cibles))</f>
        <v>#REF!</v>
      </c>
      <c r="G27" s="297" t="e">
        <f>IF(C27="","",LOOKUP(C27,REPERE))</f>
        <v>#REF!</v>
      </c>
    </row>
    <row r="28" spans="1:7" ht="3" customHeight="1" x14ac:dyDescent="0.2">
      <c r="A28" s="134"/>
      <c r="B28" s="271"/>
      <c r="C28" s="271"/>
      <c r="D28" s="137"/>
      <c r="E28" s="137"/>
      <c r="F28" s="180"/>
      <c r="G28" s="298"/>
    </row>
    <row r="29" spans="1:7" ht="15.95" customHeight="1" x14ac:dyDescent="0.2">
      <c r="A29" s="134">
        <v>15</v>
      </c>
      <c r="B29" s="267" t="e">
        <f>'Phase_Finale Impair'!#REF!</f>
        <v>#REF!</v>
      </c>
      <c r="C29" s="267" t="e">
        <f>'Phase_Finale Impair'!#REF!</f>
        <v>#REF!</v>
      </c>
      <c r="D29" s="136">
        <f>D27+1</f>
        <v>15</v>
      </c>
      <c r="E29" s="136"/>
      <c r="F29" s="179" t="e">
        <f>IF(C29="","",LOOKUP(C29,taille_cibles))</f>
        <v>#REF!</v>
      </c>
      <c r="G29" s="297" t="e">
        <f>IF(C29="","",LOOKUP(C29,REPERE))</f>
        <v>#REF!</v>
      </c>
    </row>
    <row r="30" spans="1:7" ht="15.95" customHeight="1" x14ac:dyDescent="0.2">
      <c r="A30" s="134">
        <v>16</v>
      </c>
      <c r="B30" s="267" t="e">
        <f>'Phase_Finale Impair'!#REF!</f>
        <v>#REF!</v>
      </c>
      <c r="C30" s="267" t="e">
        <f>'Phase_Finale Impair'!#REF!</f>
        <v>#REF!</v>
      </c>
      <c r="D30" s="136">
        <f>D29+1</f>
        <v>16</v>
      </c>
      <c r="E30" s="136"/>
      <c r="F30" s="179" t="e">
        <f>IF(C30="","",LOOKUP(C30,taille_cibles))</f>
        <v>#REF!</v>
      </c>
      <c r="G30" s="297" t="e">
        <f>IF(C30="","",LOOKUP(C30,REPERE))</f>
        <v>#REF!</v>
      </c>
    </row>
    <row r="31" spans="1:7" ht="3" customHeight="1" x14ac:dyDescent="0.2">
      <c r="A31" s="134"/>
      <c r="B31" s="271"/>
      <c r="C31" s="271"/>
      <c r="D31" s="137"/>
      <c r="E31" s="137"/>
      <c r="F31" s="180"/>
      <c r="G31" s="298"/>
    </row>
    <row r="32" spans="1:7" ht="15.95" customHeight="1" x14ac:dyDescent="0.2">
      <c r="A32" s="134">
        <v>17</v>
      </c>
      <c r="B32" s="267" t="e">
        <f>'Phase_Finale Impair'!#REF!</f>
        <v>#REF!</v>
      </c>
      <c r="C32" s="267" t="e">
        <f>'Phase_Finale Impair'!#REF!</f>
        <v>#REF!</v>
      </c>
      <c r="D32" s="136">
        <f>D30+1</f>
        <v>17</v>
      </c>
      <c r="E32" s="136"/>
      <c r="F32" s="179" t="e">
        <f>IF(C32="","",LOOKUP(C32,taille_cibles))</f>
        <v>#REF!</v>
      </c>
      <c r="G32" s="297" t="e">
        <f>IF(C32="","",LOOKUP(C32,REPERE))</f>
        <v>#REF!</v>
      </c>
    </row>
    <row r="33" spans="1:7" ht="15.95" customHeight="1" x14ac:dyDescent="0.2">
      <c r="A33" s="134">
        <v>18</v>
      </c>
      <c r="B33" s="267" t="e">
        <f>'Phase_Finale Impair'!#REF!</f>
        <v>#REF!</v>
      </c>
      <c r="C33" s="267" t="e">
        <f>'Phase_Finale Impair'!#REF!</f>
        <v>#REF!</v>
      </c>
      <c r="D33" s="136">
        <f>D32+1</f>
        <v>18</v>
      </c>
      <c r="E33" s="136"/>
      <c r="F33" s="179" t="e">
        <f>IF(C33="","",LOOKUP(C33,taille_cibles))</f>
        <v>#REF!</v>
      </c>
      <c r="G33" s="297" t="e">
        <f>IF(C33="","",LOOKUP(C33,REPERE))</f>
        <v>#REF!</v>
      </c>
    </row>
    <row r="34" spans="1:7" ht="3" customHeight="1" x14ac:dyDescent="0.2">
      <c r="A34" s="134"/>
      <c r="B34" s="271"/>
      <c r="C34" s="271"/>
      <c r="D34" s="137"/>
      <c r="E34" s="137"/>
      <c r="F34" s="180"/>
      <c r="G34" s="298"/>
    </row>
    <row r="35" spans="1:7" ht="15.95" customHeight="1" x14ac:dyDescent="0.2">
      <c r="A35" s="134">
        <v>19</v>
      </c>
      <c r="B35" s="267" t="e">
        <f>'Phase_Finale Impair'!#REF!</f>
        <v>#REF!</v>
      </c>
      <c r="C35" s="267" t="e">
        <f>'Phase_Finale Impair'!#REF!</f>
        <v>#REF!</v>
      </c>
      <c r="D35" s="136">
        <f>D33+1</f>
        <v>19</v>
      </c>
      <c r="E35" s="136"/>
      <c r="F35" s="179" t="e">
        <f>IF(C35="","",LOOKUP(C35,taille_cibles))</f>
        <v>#REF!</v>
      </c>
      <c r="G35" s="297" t="e">
        <f>IF(C35="","",LOOKUP(C35,REPERE))</f>
        <v>#REF!</v>
      </c>
    </row>
    <row r="36" spans="1:7" ht="15.95" customHeight="1" x14ac:dyDescent="0.2">
      <c r="A36" s="134">
        <v>20</v>
      </c>
      <c r="B36" s="267" t="e">
        <f>'Phase_Finale Impair'!#REF!</f>
        <v>#REF!</v>
      </c>
      <c r="C36" s="267" t="e">
        <f>'Phase_Finale Impair'!#REF!</f>
        <v>#REF!</v>
      </c>
      <c r="D36" s="136">
        <f>D35+1</f>
        <v>20</v>
      </c>
      <c r="E36" s="136"/>
      <c r="F36" s="179" t="e">
        <f>IF(C36="","",LOOKUP(C36,taille_cibles))</f>
        <v>#REF!</v>
      </c>
      <c r="G36" s="297" t="e">
        <f>IF(C36="","",LOOKUP(C36,REPERE))</f>
        <v>#REF!</v>
      </c>
    </row>
    <row r="37" spans="1:7" ht="3" customHeight="1" x14ac:dyDescent="0.2">
      <c r="A37" s="134"/>
      <c r="B37" s="271"/>
      <c r="C37" s="271"/>
      <c r="D37" s="137"/>
      <c r="E37" s="137"/>
      <c r="F37" s="180"/>
      <c r="G37" s="298"/>
    </row>
    <row r="38" spans="1:7" ht="15.75" x14ac:dyDescent="0.2">
      <c r="A38" s="134">
        <v>21</v>
      </c>
      <c r="B38" s="267" t="e">
        <f>'Phase_Finale Impair'!#REF!</f>
        <v>#REF!</v>
      </c>
      <c r="C38" s="267" t="e">
        <f>'Phase_Finale Impair'!#REF!</f>
        <v>#REF!</v>
      </c>
      <c r="D38" s="136">
        <f>D36+1</f>
        <v>21</v>
      </c>
      <c r="E38" s="136"/>
      <c r="F38" s="179" t="e">
        <f>IF(C38="","",LOOKUP(C38,taille_cibles))</f>
        <v>#REF!</v>
      </c>
      <c r="G38" s="297" t="e">
        <f>IF(C38="","",LOOKUP(C38,REPERE))</f>
        <v>#REF!</v>
      </c>
    </row>
    <row r="39" spans="1:7" ht="15.75" x14ac:dyDescent="0.2">
      <c r="A39" s="134">
        <v>22</v>
      </c>
      <c r="B39" s="267" t="e">
        <f>'Phase_Finale Impair'!#REF!</f>
        <v>#REF!</v>
      </c>
      <c r="C39" s="267" t="e">
        <f>'Phase_Finale Impair'!#REF!</f>
        <v>#REF!</v>
      </c>
      <c r="D39" s="136">
        <f>D38+1</f>
        <v>22</v>
      </c>
      <c r="E39" s="136"/>
      <c r="F39" s="179" t="e">
        <f>IF(C39="","",LOOKUP(C39,taille_cibles))</f>
        <v>#REF!</v>
      </c>
      <c r="G39" s="297" t="e">
        <f>IF(C39="","",LOOKUP(C39,REPERE))</f>
        <v>#REF!</v>
      </c>
    </row>
    <row r="40" spans="1:7" ht="3" customHeight="1" x14ac:dyDescent="0.2">
      <c r="A40" s="134"/>
      <c r="B40" s="271"/>
      <c r="C40" s="271"/>
      <c r="D40" s="137"/>
      <c r="E40" s="137"/>
      <c r="F40" s="180"/>
      <c r="G40" s="298"/>
    </row>
  </sheetData>
  <mergeCells count="2">
    <mergeCell ref="D7:E7"/>
    <mergeCell ref="B5:C5"/>
  </mergeCells>
  <phoneticPr fontId="34" type="noConversion"/>
  <pageMargins left="0.78740157480314965" right="0.78740157480314965" top="0.98425196850393704" bottom="0.98425196850393704" header="0.51181102362204722" footer="0.51181102362204722"/>
  <pageSetup paperSize="9" scale="91" fitToWidth="2"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17">
    <pageSetUpPr fitToPage="1"/>
  </sheetPr>
  <dimension ref="A1:AS144"/>
  <sheetViews>
    <sheetView zoomScale="70" workbookViewId="0">
      <selection activeCell="E34" sqref="E34"/>
    </sheetView>
  </sheetViews>
  <sheetFormatPr baseColWidth="10" defaultRowHeight="12.75" x14ac:dyDescent="0.2"/>
  <cols>
    <col min="1" max="1" width="12.42578125" style="217" customWidth="1"/>
    <col min="2" max="8" width="5.28515625" style="217" customWidth="1"/>
    <col min="9" max="9" width="3.7109375" style="217" customWidth="1"/>
    <col min="10" max="10" width="7.7109375" style="217" customWidth="1"/>
    <col min="11" max="13" width="5.28515625" style="217" customWidth="1"/>
    <col min="14" max="14" width="3.7109375" style="217" customWidth="1"/>
    <col min="15" max="15" width="7.7109375" style="217" customWidth="1"/>
    <col min="16" max="18" width="5.28515625" style="217" customWidth="1"/>
    <col min="19" max="19" width="3.7109375" style="217" customWidth="1"/>
    <col min="20" max="20" width="7.7109375" style="217" customWidth="1"/>
    <col min="21" max="23" width="5.28515625" style="217" customWidth="1"/>
    <col min="24" max="24" width="3.7109375" style="217" customWidth="1"/>
    <col min="25" max="25" width="7.7109375" style="217" customWidth="1"/>
    <col min="26" max="26" width="3.7109375" style="217" customWidth="1"/>
    <col min="27" max="27" width="5.140625" style="217" customWidth="1"/>
    <col min="28" max="28" width="17.28515625" style="217" customWidth="1"/>
    <col min="29" max="29" width="10.85546875" style="217" customWidth="1"/>
    <col min="30" max="30" width="12.5703125" style="217" customWidth="1"/>
    <col min="31" max="31" width="13.140625" style="217" customWidth="1"/>
    <col min="32" max="32" width="11.28515625" style="217" customWidth="1"/>
    <col min="33" max="16384" width="11.42578125" style="217"/>
  </cols>
  <sheetData>
    <row r="1" spans="1:33" ht="6.75" customHeight="1" x14ac:dyDescent="0.2"/>
    <row r="2" spans="1:33" s="218" customFormat="1" ht="23.25" customHeight="1" x14ac:dyDescent="0.2">
      <c r="A2" s="1072" t="s">
        <v>546</v>
      </c>
      <c r="B2" s="1073"/>
      <c r="C2" s="263">
        <v>11</v>
      </c>
      <c r="K2" s="218" t="str">
        <f>CATEG</f>
        <v>Collèges Mixtes Etablissement</v>
      </c>
      <c r="AB2" s="250" t="s">
        <v>572</v>
      </c>
      <c r="AC2" s="255">
        <v>11</v>
      </c>
      <c r="AD2" s="208"/>
      <c r="AE2" s="185"/>
      <c r="AF2" s="185"/>
    </row>
    <row r="3" spans="1:33" ht="27" customHeight="1" thickBot="1" x14ac:dyDescent="0.25">
      <c r="B3" s="1069" t="s">
        <v>0</v>
      </c>
      <c r="C3" s="1069"/>
      <c r="D3" s="1069"/>
      <c r="E3" s="1069"/>
      <c r="F3" s="1069"/>
      <c r="G3" s="1069"/>
      <c r="H3" s="1069"/>
      <c r="I3" s="1069" t="s">
        <v>374</v>
      </c>
      <c r="J3" s="1069"/>
      <c r="K3" s="1069"/>
      <c r="L3" s="1069"/>
      <c r="O3" s="1069" t="s">
        <v>0</v>
      </c>
      <c r="P3" s="1069"/>
      <c r="Q3" s="1069"/>
      <c r="R3" s="1069"/>
      <c r="S3" s="1069"/>
      <c r="T3" s="1069"/>
      <c r="U3" s="1069"/>
      <c r="V3" s="1069" t="s">
        <v>374</v>
      </c>
      <c r="W3" s="1069"/>
      <c r="X3" s="1069"/>
      <c r="Y3" s="1069"/>
      <c r="AB3" s="185"/>
      <c r="AC3" s="187"/>
      <c r="AD3" s="208"/>
      <c r="AE3" s="185"/>
      <c r="AF3" s="185"/>
    </row>
    <row r="4" spans="1:33" ht="24" customHeight="1" thickBot="1" x14ac:dyDescent="0.25">
      <c r="A4" s="219"/>
      <c r="B4" s="257" t="s">
        <v>599</v>
      </c>
      <c r="C4" s="220"/>
      <c r="D4" s="220"/>
      <c r="E4" s="220"/>
      <c r="F4" s="220"/>
      <c r="G4" s="220"/>
      <c r="H4" s="221"/>
      <c r="I4" s="257" t="s">
        <v>600</v>
      </c>
      <c r="J4" s="220"/>
      <c r="K4" s="220"/>
      <c r="L4" s="221"/>
      <c r="M4" s="1070" t="s">
        <v>547</v>
      </c>
      <c r="N4" s="1071"/>
      <c r="O4" s="257" t="s">
        <v>607</v>
      </c>
      <c r="P4" s="220"/>
      <c r="Q4" s="220"/>
      <c r="R4" s="220"/>
      <c r="S4" s="220"/>
      <c r="T4" s="220"/>
      <c r="U4" s="221"/>
      <c r="V4" s="257" t="s">
        <v>608</v>
      </c>
      <c r="W4" s="220"/>
      <c r="X4" s="220"/>
      <c r="Y4" s="221"/>
      <c r="AB4" s="293" t="s">
        <v>0</v>
      </c>
      <c r="AC4" s="264" t="str">
        <f ca="1">IF(AA7="","",LOOKUP(AA7,établissement))</f>
        <v/>
      </c>
      <c r="AD4" s="227"/>
      <c r="AE4" s="227"/>
      <c r="AF4" s="247"/>
    </row>
    <row r="5" spans="1:33" ht="15" customHeight="1" x14ac:dyDescent="0.2">
      <c r="AB5" s="293" t="s">
        <v>374</v>
      </c>
      <c r="AC5" s="264" t="str">
        <f ca="1">IF(AA7="","",LOOKUP(AA7,académie))</f>
        <v/>
      </c>
      <c r="AD5" s="227"/>
      <c r="AE5" s="227"/>
      <c r="AF5" s="247"/>
    </row>
    <row r="6" spans="1:33" ht="20.100000000000001" customHeight="1" x14ac:dyDescent="0.2">
      <c r="A6" s="1074" t="s">
        <v>548</v>
      </c>
      <c r="B6" s="1074"/>
      <c r="C6" s="1074"/>
      <c r="D6" s="1074"/>
      <c r="E6" s="1074"/>
      <c r="AB6" s="46" t="s">
        <v>481</v>
      </c>
      <c r="AC6" s="253" t="s">
        <v>2</v>
      </c>
      <c r="AD6" s="253" t="s">
        <v>480</v>
      </c>
      <c r="AE6" s="253" t="s">
        <v>529</v>
      </c>
      <c r="AF6" s="253" t="s">
        <v>551</v>
      </c>
    </row>
    <row r="7" spans="1:33" ht="20.100000000000001" customHeight="1" x14ac:dyDescent="0.2">
      <c r="A7" s="1075" t="s">
        <v>549</v>
      </c>
      <c r="B7" s="1075"/>
      <c r="C7" s="1075"/>
      <c r="D7" s="1075"/>
      <c r="E7" s="1075"/>
      <c r="G7" s="1076" t="s">
        <v>480</v>
      </c>
      <c r="H7" s="1076"/>
      <c r="I7" s="1077" t="s">
        <v>550</v>
      </c>
      <c r="J7" s="1077"/>
      <c r="K7" s="1077"/>
      <c r="L7" s="252" t="s">
        <v>551</v>
      </c>
      <c r="M7" s="1078" t="s">
        <v>552</v>
      </c>
      <c r="N7" s="1078"/>
      <c r="O7" s="251"/>
      <c r="Z7" s="219"/>
      <c r="AA7" s="256">
        <v>29</v>
      </c>
      <c r="AB7" s="212" t="str">
        <f ca="1">IF(AA7="","",LOOKUP(AA7,nom))</f>
        <v/>
      </c>
      <c r="AC7" s="229" t="str">
        <f ca="1">IF(AA7="","",LOOKUP(AA7,prénom))</f>
        <v/>
      </c>
      <c r="AD7" s="248" t="e">
        <f ca="1">IF(AA7="","",LOOKUP(AG7,BF))</f>
        <v>#N/A</v>
      </c>
      <c r="AE7" s="248" t="str">
        <f ca="1">IF(AA7="","",LOOKUP(AA7,n_licence))</f>
        <v/>
      </c>
      <c r="AF7" s="248" t="str">
        <f ca="1">IF(AA7="","",LOOKUP(AA7,blason))</f>
        <v/>
      </c>
      <c r="AG7" s="249" t="str">
        <f ca="1">IF(AA7="","",LOOKUP(AA7,catégorie))</f>
        <v/>
      </c>
    </row>
    <row r="8" spans="1:33" ht="24" customHeight="1" x14ac:dyDescent="0.2">
      <c r="A8" s="258" t="s">
        <v>588</v>
      </c>
      <c r="B8" s="223"/>
      <c r="C8" s="259" t="s">
        <v>589</v>
      </c>
      <c r="D8" s="223"/>
      <c r="E8" s="224"/>
      <c r="F8" s="219"/>
      <c r="G8" s="258" t="s">
        <v>542</v>
      </c>
      <c r="H8" s="224"/>
      <c r="I8" s="222"/>
      <c r="J8" s="246" t="s">
        <v>601</v>
      </c>
      <c r="K8" s="224"/>
      <c r="L8" s="260">
        <v>60</v>
      </c>
      <c r="M8" s="287">
        <v>22</v>
      </c>
      <c r="N8" s="288"/>
      <c r="O8" s="249"/>
      <c r="R8" s="254"/>
      <c r="S8" s="254"/>
      <c r="T8" s="254" t="s">
        <v>51</v>
      </c>
      <c r="U8" s="254"/>
      <c r="V8" s="254"/>
      <c r="W8" s="254"/>
      <c r="X8" s="254"/>
      <c r="Y8" s="254"/>
      <c r="Z8" s="219"/>
      <c r="AA8" s="256">
        <v>30</v>
      </c>
      <c r="AB8" s="212" t="str">
        <f ca="1">IF(AA8="","",LOOKUP(AA8,nom))</f>
        <v/>
      </c>
      <c r="AC8" s="229" t="str">
        <f ca="1">IF(AA8="","",LOOKUP(AA8,prénom))</f>
        <v/>
      </c>
      <c r="AD8" s="248" t="e">
        <f ca="1">IF(AA8="","",LOOKUP(AG8,BF))</f>
        <v>#N/A</v>
      </c>
      <c r="AE8" s="248" t="str">
        <f ca="1">IF(AA8="","",LOOKUP(AA8,n_licence))</f>
        <v/>
      </c>
      <c r="AF8" s="248" t="str">
        <f ca="1">IF(AA8="","",LOOKUP(AA8,blason))</f>
        <v/>
      </c>
      <c r="AG8" s="249" t="str">
        <f ca="1">IF(AA8="","",LOOKUP(AA8,catégorie))</f>
        <v/>
      </c>
    </row>
    <row r="9" spans="1:33" ht="24" customHeight="1" x14ac:dyDescent="0.2">
      <c r="A9" s="258" t="s">
        <v>590</v>
      </c>
      <c r="B9" s="223"/>
      <c r="C9" s="259" t="s">
        <v>591</v>
      </c>
      <c r="D9" s="223"/>
      <c r="E9" s="224"/>
      <c r="F9" s="219"/>
      <c r="G9" s="258" t="s">
        <v>542</v>
      </c>
      <c r="H9" s="224"/>
      <c r="I9" s="222"/>
      <c r="J9" s="246" t="s">
        <v>602</v>
      </c>
      <c r="K9" s="224"/>
      <c r="L9" s="260">
        <v>60</v>
      </c>
      <c r="M9" s="287">
        <v>22</v>
      </c>
      <c r="N9" s="288"/>
      <c r="O9" s="249"/>
      <c r="Q9" s="254"/>
      <c r="R9" s="254"/>
      <c r="S9" s="254"/>
      <c r="T9" s="254"/>
      <c r="U9" s="254"/>
      <c r="V9" s="254"/>
      <c r="W9" s="254"/>
      <c r="X9" s="254"/>
      <c r="Y9" s="254"/>
      <c r="Z9" s="219"/>
      <c r="AA9" s="256">
        <v>31</v>
      </c>
      <c r="AB9" s="212" t="str">
        <f ca="1">IF(AA9="","",LOOKUP(AA9,nom))</f>
        <v/>
      </c>
      <c r="AC9" s="229" t="str">
        <f ca="1">IF(AA9="","",LOOKUP(AA9,prénom))</f>
        <v/>
      </c>
      <c r="AD9" s="248" t="e">
        <f ca="1">IF(AA9="","",LOOKUP(AG9,BF))</f>
        <v>#N/A</v>
      </c>
      <c r="AE9" s="248" t="str">
        <f ca="1">IF(AA9="","",LOOKUP(AA9,n_licence))</f>
        <v/>
      </c>
      <c r="AF9" s="248" t="str">
        <f ca="1">IF(AA9="","",LOOKUP(AA9,blason))</f>
        <v/>
      </c>
      <c r="AG9" s="249" t="str">
        <f ca="1">IF(AA9="","",LOOKUP(AA9,catégorie))</f>
        <v/>
      </c>
    </row>
    <row r="10" spans="1:33" ht="24" customHeight="1" x14ac:dyDescent="0.2">
      <c r="A10" s="258" t="s">
        <v>592</v>
      </c>
      <c r="B10" s="223"/>
      <c r="C10" s="259" t="s">
        <v>593</v>
      </c>
      <c r="D10" s="223"/>
      <c r="E10" s="224"/>
      <c r="F10" s="219"/>
      <c r="G10" s="258" t="s">
        <v>541</v>
      </c>
      <c r="H10" s="224"/>
      <c r="I10" s="222"/>
      <c r="J10" s="246" t="s">
        <v>603</v>
      </c>
      <c r="K10" s="224"/>
      <c r="L10" s="260">
        <v>60</v>
      </c>
      <c r="M10" s="289">
        <v>22</v>
      </c>
      <c r="N10" s="290"/>
      <c r="O10" s="249"/>
      <c r="Q10" s="254"/>
      <c r="R10" s="254"/>
      <c r="S10" s="254"/>
      <c r="T10" s="254"/>
      <c r="U10" s="254"/>
      <c r="V10" s="254"/>
      <c r="W10" s="254"/>
      <c r="X10" s="254"/>
      <c r="Y10" s="254"/>
      <c r="Z10" s="219"/>
      <c r="AA10" s="256">
        <v>32</v>
      </c>
      <c r="AB10" s="212" t="str">
        <f ca="1">IF(AA10="","",LOOKUP(AA10,nom))</f>
        <v/>
      </c>
      <c r="AC10" s="229" t="str">
        <f ca="1">IF(AA10="","",LOOKUP(AA10,prénom))</f>
        <v/>
      </c>
      <c r="AD10" s="248" t="e">
        <f ca="1">IF(AA10="","",LOOKUP(AG10,BF))</f>
        <v>#N/A</v>
      </c>
      <c r="AE10" s="248" t="str">
        <f ca="1">IF(AA10="","",LOOKUP(AA10,n_licence))</f>
        <v/>
      </c>
      <c r="AF10" s="248" t="str">
        <f ca="1">IF(AA10="","",LOOKUP(AA10,blason))</f>
        <v/>
      </c>
      <c r="AG10" s="249" t="str">
        <f ca="1">IF(AA10="","",LOOKUP(AA10,catégorie))</f>
        <v/>
      </c>
    </row>
    <row r="11" spans="1:33" ht="24" customHeight="1" x14ac:dyDescent="0.2">
      <c r="A11" s="258" t="s">
        <v>594</v>
      </c>
      <c r="B11" s="223"/>
      <c r="C11" s="259" t="s">
        <v>595</v>
      </c>
      <c r="D11" s="223"/>
      <c r="E11" s="224"/>
      <c r="F11" s="219"/>
      <c r="G11" s="258" t="s">
        <v>542</v>
      </c>
      <c r="H11" s="224"/>
      <c r="I11" s="222"/>
      <c r="J11" s="246" t="s">
        <v>604</v>
      </c>
      <c r="K11" s="224"/>
      <c r="L11" s="260">
        <v>60</v>
      </c>
      <c r="M11" s="291">
        <v>22</v>
      </c>
      <c r="N11" s="292"/>
      <c r="O11" s="249"/>
      <c r="AB11" s="185"/>
      <c r="AC11" s="187"/>
      <c r="AD11" s="208"/>
      <c r="AE11" s="185"/>
      <c r="AF11" s="185"/>
    </row>
    <row r="12" spans="1:33" ht="15" customHeight="1" thickBot="1" x14ac:dyDescent="0.25">
      <c r="AB12" s="216" t="s">
        <v>547</v>
      </c>
      <c r="AC12" s="187"/>
      <c r="AD12" s="208"/>
      <c r="AE12" s="185"/>
      <c r="AF12" s="185"/>
    </row>
    <row r="13" spans="1:33" ht="20.100000000000001" customHeight="1" x14ac:dyDescent="0.2">
      <c r="F13" s="1081" t="s">
        <v>555</v>
      </c>
      <c r="G13" s="1082"/>
      <c r="H13" s="1082"/>
      <c r="I13" s="1082"/>
      <c r="J13" s="1083"/>
      <c r="K13" s="1081" t="s">
        <v>556</v>
      </c>
      <c r="L13" s="1082"/>
      <c r="M13" s="1082"/>
      <c r="N13" s="1082"/>
      <c r="O13" s="1083"/>
      <c r="P13" s="1081" t="s">
        <v>557</v>
      </c>
      <c r="Q13" s="1082"/>
      <c r="R13" s="1082"/>
      <c r="S13" s="1082"/>
      <c r="T13" s="1083"/>
      <c r="U13" s="1081" t="s">
        <v>558</v>
      </c>
      <c r="V13" s="1082"/>
      <c r="W13" s="1082"/>
      <c r="X13" s="1082"/>
      <c r="Y13" s="1083"/>
    </row>
    <row r="14" spans="1:33" ht="20.100000000000001" customHeight="1" x14ac:dyDescent="0.2">
      <c r="A14" s="1075" t="s">
        <v>559</v>
      </c>
      <c r="B14" s="1075"/>
      <c r="C14" s="1075"/>
      <c r="D14" s="1075"/>
      <c r="E14" s="1089"/>
      <c r="F14" s="1090" t="s">
        <v>560</v>
      </c>
      <c r="G14" s="1075"/>
      <c r="H14" s="1075"/>
      <c r="J14" s="225" t="s">
        <v>7</v>
      </c>
      <c r="K14" s="1090" t="s">
        <v>560</v>
      </c>
      <c r="L14" s="1075"/>
      <c r="M14" s="1075"/>
      <c r="O14" s="225" t="s">
        <v>7</v>
      </c>
      <c r="P14" s="1090" t="s">
        <v>560</v>
      </c>
      <c r="Q14" s="1075"/>
      <c r="R14" s="1075"/>
      <c r="T14" s="225" t="s">
        <v>7</v>
      </c>
      <c r="U14" s="1090" t="s">
        <v>560</v>
      </c>
      <c r="V14" s="1075"/>
      <c r="W14" s="1075"/>
      <c r="Y14" s="225" t="s">
        <v>7</v>
      </c>
      <c r="AA14" s="256">
        <v>14</v>
      </c>
      <c r="AB14" s="293" t="s">
        <v>0</v>
      </c>
      <c r="AC14" s="226">
        <f ca="1">IF(AA14="","",LOOKUP(AA14,Etab_duel))</f>
        <v>0</v>
      </c>
      <c r="AD14" s="227"/>
      <c r="AE14" s="227"/>
      <c r="AF14" s="247"/>
    </row>
    <row r="15" spans="1:33" ht="24" customHeight="1" x14ac:dyDescent="0.2">
      <c r="A15" s="261" t="s">
        <v>588</v>
      </c>
      <c r="B15" s="227"/>
      <c r="C15" s="262" t="s">
        <v>589</v>
      </c>
      <c r="D15" s="227"/>
      <c r="E15" s="227"/>
      <c r="F15" s="228"/>
      <c r="G15" s="229"/>
      <c r="H15" s="229"/>
      <c r="I15" s="230" t="s">
        <v>561</v>
      </c>
      <c r="J15" s="231"/>
      <c r="K15" s="228"/>
      <c r="L15" s="229"/>
      <c r="M15" s="229"/>
      <c r="N15" s="230" t="s">
        <v>561</v>
      </c>
      <c r="O15" s="231"/>
      <c r="P15" s="228"/>
      <c r="Q15" s="229"/>
      <c r="R15" s="229"/>
      <c r="S15" s="230" t="s">
        <v>561</v>
      </c>
      <c r="T15" s="231"/>
      <c r="U15" s="228"/>
      <c r="V15" s="229"/>
      <c r="W15" s="229"/>
      <c r="X15" s="230" t="s">
        <v>561</v>
      </c>
      <c r="Y15" s="231"/>
      <c r="AB15" s="293" t="s">
        <v>374</v>
      </c>
      <c r="AC15" s="226" t="str">
        <f ca="1">IF(AA14="","",LOOKUP(AA14,Acad_duel))</f>
        <v>CRETEIL</v>
      </c>
      <c r="AD15" s="227"/>
      <c r="AE15" s="227"/>
      <c r="AF15" s="247"/>
    </row>
    <row r="16" spans="1:33" ht="24" customHeight="1" x14ac:dyDescent="0.2">
      <c r="A16" s="261" t="s">
        <v>590</v>
      </c>
      <c r="B16" s="227"/>
      <c r="C16" s="262" t="s">
        <v>591</v>
      </c>
      <c r="D16" s="227"/>
      <c r="E16" s="227"/>
      <c r="F16" s="228"/>
      <c r="G16" s="229"/>
      <c r="H16" s="229"/>
      <c r="I16" s="230" t="s">
        <v>561</v>
      </c>
      <c r="J16" s="231"/>
      <c r="K16" s="228"/>
      <c r="L16" s="229"/>
      <c r="M16" s="229"/>
      <c r="N16" s="230" t="s">
        <v>561</v>
      </c>
      <c r="O16" s="231"/>
      <c r="P16" s="228"/>
      <c r="Q16" s="229"/>
      <c r="R16" s="229"/>
      <c r="S16" s="230" t="s">
        <v>561</v>
      </c>
      <c r="T16" s="231"/>
      <c r="U16" s="228"/>
      <c r="V16" s="229"/>
      <c r="W16" s="229"/>
      <c r="X16" s="230" t="s">
        <v>561</v>
      </c>
      <c r="Y16" s="231"/>
    </row>
    <row r="17" spans="1:45" ht="24" customHeight="1" x14ac:dyDescent="0.2">
      <c r="A17" s="261" t="s">
        <v>592</v>
      </c>
      <c r="B17" s="227"/>
      <c r="C17" s="262" t="s">
        <v>593</v>
      </c>
      <c r="D17" s="227"/>
      <c r="E17" s="227"/>
      <c r="F17" s="228"/>
      <c r="G17" s="229"/>
      <c r="H17" s="229"/>
      <c r="I17" s="230" t="s">
        <v>561</v>
      </c>
      <c r="J17" s="231"/>
      <c r="K17" s="228"/>
      <c r="L17" s="229"/>
      <c r="M17" s="229"/>
      <c r="N17" s="230" t="s">
        <v>561</v>
      </c>
      <c r="O17" s="231"/>
      <c r="P17" s="228"/>
      <c r="Q17" s="229"/>
      <c r="R17" s="229"/>
      <c r="S17" s="230" t="s">
        <v>561</v>
      </c>
      <c r="T17" s="231"/>
      <c r="U17" s="228"/>
      <c r="V17" s="229"/>
      <c r="W17" s="229"/>
      <c r="X17" s="230" t="s">
        <v>561</v>
      </c>
      <c r="Y17" s="231"/>
      <c r="AB17" s="1017" t="s">
        <v>580</v>
      </c>
      <c r="AC17" s="285"/>
      <c r="AD17" s="286">
        <v>22</v>
      </c>
    </row>
    <row r="18" spans="1:45" ht="24" customHeight="1" x14ac:dyDescent="0.2">
      <c r="A18" s="261" t="s">
        <v>594</v>
      </c>
      <c r="B18" s="227"/>
      <c r="C18" s="262" t="s">
        <v>595</v>
      </c>
      <c r="D18" s="227"/>
      <c r="E18" s="227"/>
      <c r="F18" s="228"/>
      <c r="G18" s="229"/>
      <c r="H18" s="229"/>
      <c r="I18" s="230" t="s">
        <v>561</v>
      </c>
      <c r="J18" s="232"/>
      <c r="K18" s="228"/>
      <c r="L18" s="229"/>
      <c r="M18" s="229"/>
      <c r="N18" s="230" t="s">
        <v>561</v>
      </c>
      <c r="O18" s="232"/>
      <c r="P18" s="228"/>
      <c r="Q18" s="229"/>
      <c r="R18" s="229"/>
      <c r="S18" s="230" t="s">
        <v>561</v>
      </c>
      <c r="T18" s="232"/>
      <c r="U18" s="228"/>
      <c r="V18" s="229"/>
      <c r="W18" s="229"/>
      <c r="X18" s="230" t="s">
        <v>561</v>
      </c>
      <c r="Y18" s="232"/>
      <c r="AB18" s="1017"/>
      <c r="AC18" s="285"/>
      <c r="AD18" s="286">
        <v>22</v>
      </c>
    </row>
    <row r="19" spans="1:45" ht="24" customHeight="1" thickBot="1" x14ac:dyDescent="0.25">
      <c r="F19" s="1079" t="s">
        <v>562</v>
      </c>
      <c r="G19" s="1080"/>
      <c r="H19" s="1080"/>
      <c r="I19" s="230" t="s">
        <v>561</v>
      </c>
      <c r="J19" s="231"/>
      <c r="K19" s="1079" t="s">
        <v>563</v>
      </c>
      <c r="L19" s="1080"/>
      <c r="M19" s="1080"/>
      <c r="N19" s="230" t="s">
        <v>561</v>
      </c>
      <c r="O19" s="232"/>
      <c r="P19" s="1079" t="s">
        <v>564</v>
      </c>
      <c r="Q19" s="1080"/>
      <c r="R19" s="1080"/>
      <c r="S19" s="230" t="s">
        <v>561</v>
      </c>
      <c r="T19" s="232"/>
      <c r="U19" s="1079" t="s">
        <v>565</v>
      </c>
      <c r="V19" s="1080"/>
      <c r="W19" s="1080"/>
      <c r="X19" s="230" t="s">
        <v>561</v>
      </c>
      <c r="Y19" s="232"/>
      <c r="AB19" s="1017"/>
      <c r="AC19" s="285"/>
      <c r="AD19" s="286">
        <v>22</v>
      </c>
    </row>
    <row r="20" spans="1:45" ht="24" customHeight="1" thickBot="1" x14ac:dyDescent="0.25">
      <c r="F20" s="233"/>
      <c r="G20" s="234"/>
      <c r="H20" s="235" t="s">
        <v>566</v>
      </c>
      <c r="I20" s="235"/>
      <c r="J20" s="236"/>
      <c r="K20" s="1092" t="s">
        <v>567</v>
      </c>
      <c r="L20" s="1085"/>
      <c r="M20" s="1085"/>
      <c r="N20" s="237" t="s">
        <v>561</v>
      </c>
      <c r="O20" s="238"/>
      <c r="P20" s="1092" t="s">
        <v>568</v>
      </c>
      <c r="Q20" s="1085"/>
      <c r="R20" s="1085"/>
      <c r="S20" s="237" t="s">
        <v>561</v>
      </c>
      <c r="T20" s="238"/>
      <c r="U20" s="1092" t="s">
        <v>569</v>
      </c>
      <c r="V20" s="1085"/>
      <c r="W20" s="1085"/>
      <c r="X20" s="237" t="s">
        <v>561</v>
      </c>
      <c r="Y20" s="239"/>
      <c r="AB20" s="1017"/>
      <c r="AC20" s="285"/>
      <c r="AD20" s="286">
        <v>22</v>
      </c>
    </row>
    <row r="21" spans="1:45" ht="12.75" customHeight="1" x14ac:dyDescent="0.2">
      <c r="Y21" s="240" t="s">
        <v>570</v>
      </c>
    </row>
    <row r="22" spans="1:45" ht="15.75" customHeight="1" x14ac:dyDescent="0.2">
      <c r="B22" s="1091" t="s">
        <v>521</v>
      </c>
      <c r="C22" s="1091"/>
      <c r="D22" s="1091"/>
      <c r="E22" s="1091"/>
      <c r="F22" s="1091"/>
      <c r="G22" s="1091"/>
      <c r="H22" s="1091"/>
      <c r="I22" s="1091"/>
      <c r="J22" s="1091"/>
      <c r="K22" s="1091"/>
      <c r="L22" s="1091"/>
      <c r="O22" s="1091" t="s">
        <v>522</v>
      </c>
      <c r="P22" s="1091"/>
      <c r="Q22" s="1091"/>
      <c r="R22" s="1091"/>
      <c r="S22" s="1091"/>
      <c r="T22" s="1091"/>
      <c r="U22" s="1091"/>
      <c r="V22" s="1091"/>
      <c r="W22" s="1091"/>
      <c r="X22" s="1091"/>
      <c r="Y22" s="1091"/>
    </row>
    <row r="23" spans="1:45" ht="13.5" customHeight="1" x14ac:dyDescent="0.2">
      <c r="B23" s="1086" t="s">
        <v>1</v>
      </c>
      <c r="C23" s="1087"/>
      <c r="D23" s="1087"/>
      <c r="E23" s="1087"/>
      <c r="F23" s="1087"/>
      <c r="G23" s="1087"/>
      <c r="H23" s="1088"/>
      <c r="I23" s="1086" t="s">
        <v>520</v>
      </c>
      <c r="J23" s="1087"/>
      <c r="K23" s="1087"/>
      <c r="L23" s="1088"/>
      <c r="N23" s="241"/>
      <c r="O23" s="1086" t="s">
        <v>1</v>
      </c>
      <c r="P23" s="1087"/>
      <c r="Q23" s="1087"/>
      <c r="R23" s="1087"/>
      <c r="S23" s="1087"/>
      <c r="T23" s="1087"/>
      <c r="U23" s="1088"/>
      <c r="V23" s="1086" t="s">
        <v>520</v>
      </c>
      <c r="W23" s="1087"/>
      <c r="X23" s="1087"/>
      <c r="Y23" s="1088"/>
    </row>
    <row r="24" spans="1:45" ht="21.75" customHeight="1" x14ac:dyDescent="0.2">
      <c r="B24" s="242"/>
      <c r="C24" s="243"/>
      <c r="D24" s="243"/>
      <c r="E24" s="243"/>
      <c r="F24" s="243"/>
      <c r="G24" s="243"/>
      <c r="H24" s="243"/>
      <c r="I24" s="242"/>
      <c r="J24" s="243"/>
      <c r="K24" s="243"/>
      <c r="L24" s="244"/>
      <c r="N24" s="241"/>
      <c r="O24" s="242"/>
      <c r="P24" s="243"/>
      <c r="Q24" s="243"/>
      <c r="R24" s="243"/>
      <c r="S24" s="243"/>
      <c r="T24" s="243"/>
      <c r="U24" s="243"/>
      <c r="V24" s="242"/>
      <c r="W24" s="243"/>
      <c r="X24" s="243"/>
      <c r="Y24" s="244"/>
    </row>
    <row r="25" spans="1:45" ht="13.5" customHeight="1" x14ac:dyDescent="0.2"/>
    <row r="26" spans="1:45" ht="14.25" customHeight="1" thickBot="1" x14ac:dyDescent="0.25">
      <c r="A26" s="241"/>
      <c r="G26" s="305"/>
      <c r="H26" s="305"/>
      <c r="I26" s="1069" t="s">
        <v>0</v>
      </c>
      <c r="J26" s="1069"/>
      <c r="K26" s="1069"/>
      <c r="L26" s="1069"/>
      <c r="M26" s="1069"/>
      <c r="N26" s="1069"/>
      <c r="O26" s="1069"/>
      <c r="P26" s="1069" t="s">
        <v>374</v>
      </c>
      <c r="Q26" s="1069"/>
      <c r="R26" s="1069"/>
      <c r="S26" s="1069"/>
      <c r="T26" s="1069"/>
      <c r="U26" s="1069" t="s">
        <v>571</v>
      </c>
      <c r="V26" s="1069"/>
      <c r="W26" s="1069"/>
      <c r="X26" s="305"/>
      <c r="Y26" s="305"/>
    </row>
    <row r="27" spans="1:45" ht="20.25" customHeight="1" x14ac:dyDescent="0.2">
      <c r="A27" s="241"/>
      <c r="F27" s="1074" t="s">
        <v>584</v>
      </c>
      <c r="G27" s="1074"/>
      <c r="H27" s="1074"/>
      <c r="I27" s="316"/>
      <c r="J27" s="306"/>
      <c r="K27" s="306"/>
      <c r="L27" s="306"/>
      <c r="M27" s="306"/>
      <c r="N27" s="306"/>
      <c r="O27" s="306"/>
      <c r="P27" s="312"/>
      <c r="Q27" s="306"/>
      <c r="R27" s="307"/>
      <c r="S27" s="304"/>
      <c r="T27" s="313"/>
      <c r="U27" s="310"/>
      <c r="V27" s="1084" t="s">
        <v>495</v>
      </c>
      <c r="W27" s="308"/>
    </row>
    <row r="28" spans="1:45" ht="13.5" thickBot="1" x14ac:dyDescent="0.25">
      <c r="F28" s="1074"/>
      <c r="G28" s="1074"/>
      <c r="H28" s="1074"/>
      <c r="I28" s="303"/>
      <c r="J28" s="235"/>
      <c r="K28" s="235"/>
      <c r="L28" s="235"/>
      <c r="M28" s="235"/>
      <c r="N28" s="235"/>
      <c r="O28" s="235"/>
      <c r="P28" s="314"/>
      <c r="Q28" s="235"/>
      <c r="R28" s="234"/>
      <c r="S28" s="234"/>
      <c r="T28" s="315"/>
      <c r="U28" s="311"/>
      <c r="V28" s="1085"/>
      <c r="W28" s="309"/>
    </row>
    <row r="29" spans="1:45" x14ac:dyDescent="0.2">
      <c r="X29" s="217" t="str">
        <f>'Fiches Qualif'!AO34</f>
        <v>BF</v>
      </c>
      <c r="Y29" s="217" t="str">
        <f>'Fiches Qualif'!AP34</f>
        <v>benjamin</v>
      </c>
      <c r="AB29" s="245" t="str">
        <f>'Fiches Qualif'!AV32</f>
        <v>établissement</v>
      </c>
      <c r="AC29" s="245">
        <f>'Fiches Qualif'!AW32</f>
        <v>0</v>
      </c>
      <c r="AD29" s="245" t="str">
        <f>'Fiches Qualif'!AX32</f>
        <v>ville</v>
      </c>
      <c r="AE29" s="245">
        <f>'Fiches Qualif'!AY32</f>
        <v>0</v>
      </c>
      <c r="AF29" s="245" t="str">
        <f>'Fiches Qualif'!AZ32</f>
        <v>académie</v>
      </c>
      <c r="AG29" s="245">
        <f>'Fiches Qualif'!BA32</f>
        <v>0</v>
      </c>
      <c r="AH29" s="245" t="str">
        <f>'Fiches Qualif'!BB32</f>
        <v>nom</v>
      </c>
      <c r="AI29" s="245">
        <f>'Fiches Qualif'!BC32</f>
        <v>0</v>
      </c>
      <c r="AJ29" s="245" t="str">
        <f>'Fiches Qualif'!BD32</f>
        <v>prénom</v>
      </c>
      <c r="AK29" s="245">
        <f>'Fiches Qualif'!BE32</f>
        <v>0</v>
      </c>
      <c r="AL29" s="245" t="str">
        <f>'Fiches Qualif'!BF32</f>
        <v>date_de_naissance</v>
      </c>
      <c r="AM29" s="245">
        <f>'Fiches Qualif'!BG32</f>
        <v>0</v>
      </c>
      <c r="AN29" s="245" t="str">
        <f>'Fiches Qualif'!BH32</f>
        <v>n_licence</v>
      </c>
      <c r="AO29" s="245">
        <f>'Fiches Qualif'!BI32</f>
        <v>0</v>
      </c>
      <c r="AP29" s="245" t="str">
        <f>'Fiches Qualif'!BJ32</f>
        <v>catégorie</v>
      </c>
      <c r="AQ29" s="245">
        <f>'Fiches Qualif'!BK32</f>
        <v>0</v>
      </c>
      <c r="AR29" s="245" t="str">
        <f>'Fiches Qualif'!BL32</f>
        <v>blason</v>
      </c>
      <c r="AS29" s="245">
        <f>'Fiches Qualif'!BM32</f>
        <v>0</v>
      </c>
    </row>
    <row r="30" spans="1:45" x14ac:dyDescent="0.2">
      <c r="X30" s="217" t="str">
        <f>'Fiches Qualif'!AO35</f>
        <v>BP</v>
      </c>
      <c r="Y30" s="217" t="str">
        <f>'Fiches Qualif'!AP35</f>
        <v>benjamin</v>
      </c>
      <c r="AB30" s="245">
        <f>'Fiches Qualif'!AV33</f>
        <v>1</v>
      </c>
      <c r="AC30" s="245" t="str">
        <f>'Fiches Qualif'!AW33</f>
        <v/>
      </c>
      <c r="AD30" s="245">
        <f>'Fiches Qualif'!AX33</f>
        <v>1</v>
      </c>
      <c r="AE30" s="245" t="str">
        <f>'Fiches Qualif'!AY33</f>
        <v/>
      </c>
      <c r="AF30" s="245">
        <f>'Fiches Qualif'!AZ33</f>
        <v>1</v>
      </c>
      <c r="AG30" s="245" t="str">
        <f>'Fiches Qualif'!BA33</f>
        <v/>
      </c>
      <c r="AH30" s="245">
        <f>'Fiches Qualif'!BB33</f>
        <v>1</v>
      </c>
      <c r="AI30" s="245" t="str">
        <f>'Fiches Qualif'!BC33</f>
        <v/>
      </c>
      <c r="AJ30" s="245">
        <f>'Fiches Qualif'!BD33</f>
        <v>1</v>
      </c>
      <c r="AK30" s="245" t="str">
        <f>'Fiches Qualif'!BE33</f>
        <v/>
      </c>
      <c r="AL30" s="245">
        <f>'Fiches Qualif'!BF33</f>
        <v>1</v>
      </c>
      <c r="AM30" s="245" t="str">
        <f>'Fiches Qualif'!BG33</f>
        <v/>
      </c>
      <c r="AN30" s="245">
        <f>'Fiches Qualif'!BH33</f>
        <v>1</v>
      </c>
      <c r="AO30" s="245" t="str">
        <f>'Fiches Qualif'!BI33</f>
        <v/>
      </c>
      <c r="AP30" s="245">
        <f>'Fiches Qualif'!BJ33</f>
        <v>1</v>
      </c>
      <c r="AQ30" s="245" t="str">
        <f>'Fiches Qualif'!BK33</f>
        <v/>
      </c>
      <c r="AR30" s="245">
        <f>'Fiches Qualif'!BL33</f>
        <v>1</v>
      </c>
      <c r="AS30" s="245" t="str">
        <f>'Fiches Qualif'!BM33</f>
        <v/>
      </c>
    </row>
    <row r="31" spans="1:45" x14ac:dyDescent="0.2">
      <c r="X31" s="217" t="str">
        <f>'Fiches Qualif'!AO36</f>
        <v>CF</v>
      </c>
      <c r="Y31" s="217" t="str">
        <f>'Fiches Qualif'!AP36</f>
        <v>cadet</v>
      </c>
      <c r="AB31" s="245">
        <f>'Fiches Qualif'!AV34</f>
        <v>2</v>
      </c>
      <c r="AC31" s="245" t="str">
        <f>'Fiches Qualif'!AW34</f>
        <v/>
      </c>
      <c r="AD31" s="245">
        <f>'Fiches Qualif'!AX34</f>
        <v>2</v>
      </c>
      <c r="AE31" s="245" t="str">
        <f>'Fiches Qualif'!AY34</f>
        <v/>
      </c>
      <c r="AF31" s="245">
        <f>'Fiches Qualif'!AZ34</f>
        <v>2</v>
      </c>
      <c r="AG31" s="245" t="str">
        <f>'Fiches Qualif'!BA34</f>
        <v/>
      </c>
      <c r="AH31" s="245">
        <f>'Fiches Qualif'!BB34</f>
        <v>2</v>
      </c>
      <c r="AI31" s="245" t="str">
        <f>'Fiches Qualif'!BC34</f>
        <v/>
      </c>
      <c r="AJ31" s="245">
        <f>'Fiches Qualif'!BD34</f>
        <v>2</v>
      </c>
      <c r="AK31" s="245" t="str">
        <f>'Fiches Qualif'!BE34</f>
        <v/>
      </c>
      <c r="AL31" s="245">
        <f>'Fiches Qualif'!BF34</f>
        <v>2</v>
      </c>
      <c r="AM31" s="245" t="str">
        <f>'Fiches Qualif'!BG34</f>
        <v/>
      </c>
      <c r="AN31" s="245">
        <f>'Fiches Qualif'!BH34</f>
        <v>2</v>
      </c>
      <c r="AO31" s="245" t="str">
        <f>'Fiches Qualif'!BI34</f>
        <v/>
      </c>
      <c r="AP31" s="245">
        <f>'Fiches Qualif'!BJ34</f>
        <v>2</v>
      </c>
      <c r="AQ31" s="245" t="str">
        <f>'Fiches Qualif'!BK34</f>
        <v/>
      </c>
      <c r="AR31" s="245">
        <f>'Fiches Qualif'!BL34</f>
        <v>2</v>
      </c>
      <c r="AS31" s="245" t="str">
        <f>'Fiches Qualif'!BM34</f>
        <v/>
      </c>
    </row>
    <row r="32" spans="1:45" x14ac:dyDescent="0.2">
      <c r="X32" s="217" t="str">
        <f>'Fiches Qualif'!AO37</f>
        <v>CG</v>
      </c>
      <c r="Y32" s="217" t="str">
        <f>'Fiches Qualif'!AP37</f>
        <v>cadet</v>
      </c>
      <c r="AB32" s="245">
        <f>'Fiches Qualif'!AV35</f>
        <v>3</v>
      </c>
      <c r="AC32" s="245" t="str">
        <f>'Fiches Qualif'!AW35</f>
        <v/>
      </c>
      <c r="AD32" s="245">
        <f>'Fiches Qualif'!AX35</f>
        <v>3</v>
      </c>
      <c r="AE32" s="245" t="str">
        <f>'Fiches Qualif'!AY35</f>
        <v/>
      </c>
      <c r="AF32" s="245">
        <f>'Fiches Qualif'!AZ35</f>
        <v>3</v>
      </c>
      <c r="AG32" s="245" t="str">
        <f>'Fiches Qualif'!BA35</f>
        <v/>
      </c>
      <c r="AH32" s="245">
        <f>'Fiches Qualif'!BB35</f>
        <v>3</v>
      </c>
      <c r="AI32" s="245" t="str">
        <f>'Fiches Qualif'!BC35</f>
        <v/>
      </c>
      <c r="AJ32" s="245">
        <f>'Fiches Qualif'!BD35</f>
        <v>3</v>
      </c>
      <c r="AK32" s="245" t="str">
        <f>'Fiches Qualif'!BE35</f>
        <v/>
      </c>
      <c r="AL32" s="245">
        <f>'Fiches Qualif'!BF35</f>
        <v>3</v>
      </c>
      <c r="AM32" s="245" t="str">
        <f>'Fiches Qualif'!BG35</f>
        <v/>
      </c>
      <c r="AN32" s="245">
        <f>'Fiches Qualif'!BH35</f>
        <v>3</v>
      </c>
      <c r="AO32" s="245" t="str">
        <f>'Fiches Qualif'!BI35</f>
        <v/>
      </c>
      <c r="AP32" s="245">
        <f>'Fiches Qualif'!BJ35</f>
        <v>3</v>
      </c>
      <c r="AQ32" s="245" t="str">
        <f>'Fiches Qualif'!BK35</f>
        <v/>
      </c>
      <c r="AR32" s="245">
        <f>'Fiches Qualif'!BL35</f>
        <v>3</v>
      </c>
      <c r="AS32" s="245" t="str">
        <f>'Fiches Qualif'!BM35</f>
        <v/>
      </c>
    </row>
    <row r="33" spans="24:45" x14ac:dyDescent="0.2">
      <c r="X33" s="217" t="str">
        <f>'Fiches Qualif'!AO38</f>
        <v>JF</v>
      </c>
      <c r="Y33" s="217" t="str">
        <f>'Fiches Qualif'!AP38</f>
        <v>junior</v>
      </c>
      <c r="AB33" s="245">
        <f>'Fiches Qualif'!AV36</f>
        <v>4</v>
      </c>
      <c r="AC33" s="245" t="str">
        <f>'Fiches Qualif'!AW36</f>
        <v/>
      </c>
      <c r="AD33" s="245">
        <f>'Fiches Qualif'!AX36</f>
        <v>4</v>
      </c>
      <c r="AE33" s="245" t="str">
        <f>'Fiches Qualif'!AY36</f>
        <v/>
      </c>
      <c r="AF33" s="245">
        <f>'Fiches Qualif'!AZ36</f>
        <v>4</v>
      </c>
      <c r="AG33" s="245" t="str">
        <f>'Fiches Qualif'!BA36</f>
        <v/>
      </c>
      <c r="AH33" s="245">
        <f>'Fiches Qualif'!BB36</f>
        <v>4</v>
      </c>
      <c r="AI33" s="245" t="str">
        <f>'Fiches Qualif'!BC36</f>
        <v/>
      </c>
      <c r="AJ33" s="245">
        <f>'Fiches Qualif'!BD36</f>
        <v>4</v>
      </c>
      <c r="AK33" s="245" t="str">
        <f>'Fiches Qualif'!BE36</f>
        <v/>
      </c>
      <c r="AL33" s="245">
        <f>'Fiches Qualif'!BF36</f>
        <v>4</v>
      </c>
      <c r="AM33" s="245" t="str">
        <f>'Fiches Qualif'!BG36</f>
        <v/>
      </c>
      <c r="AN33" s="245">
        <f>'Fiches Qualif'!BH36</f>
        <v>4</v>
      </c>
      <c r="AO33" s="245" t="str">
        <f>'Fiches Qualif'!BI36</f>
        <v/>
      </c>
      <c r="AP33" s="245">
        <f>'Fiches Qualif'!BJ36</f>
        <v>4</v>
      </c>
      <c r="AQ33" s="245" t="str">
        <f>'Fiches Qualif'!BK36</f>
        <v/>
      </c>
      <c r="AR33" s="245">
        <f>'Fiches Qualif'!BL36</f>
        <v>4</v>
      </c>
      <c r="AS33" s="245" t="str">
        <f>'Fiches Qualif'!BM36</f>
        <v/>
      </c>
    </row>
    <row r="34" spans="24:45" x14ac:dyDescent="0.2">
      <c r="X34" s="217" t="str">
        <f>'Fiches Qualif'!AO39</f>
        <v>JG</v>
      </c>
      <c r="Y34" s="217" t="str">
        <f>'Fiches Qualif'!AP39</f>
        <v>junior</v>
      </c>
      <c r="AB34" s="245">
        <f>'Fiches Qualif'!AV37</f>
        <v>5</v>
      </c>
      <c r="AC34" s="245" t="str">
        <f>'Fiches Qualif'!AW37</f>
        <v/>
      </c>
      <c r="AD34" s="245">
        <f>'Fiches Qualif'!AX37</f>
        <v>5</v>
      </c>
      <c r="AE34" s="245" t="str">
        <f>'Fiches Qualif'!AY37</f>
        <v/>
      </c>
      <c r="AF34" s="245">
        <f>'Fiches Qualif'!AZ37</f>
        <v>5</v>
      </c>
      <c r="AG34" s="245" t="str">
        <f>'Fiches Qualif'!BA37</f>
        <v/>
      </c>
      <c r="AH34" s="245">
        <f>'Fiches Qualif'!BB37</f>
        <v>5</v>
      </c>
      <c r="AI34" s="245" t="str">
        <f>'Fiches Qualif'!BC37</f>
        <v/>
      </c>
      <c r="AJ34" s="245">
        <f>'Fiches Qualif'!BD37</f>
        <v>5</v>
      </c>
      <c r="AK34" s="245" t="str">
        <f>'Fiches Qualif'!BE37</f>
        <v/>
      </c>
      <c r="AL34" s="245">
        <f>'Fiches Qualif'!BF37</f>
        <v>5</v>
      </c>
      <c r="AM34" s="245" t="str">
        <f>'Fiches Qualif'!BG37</f>
        <v/>
      </c>
      <c r="AN34" s="245">
        <f>'Fiches Qualif'!BH37</f>
        <v>5</v>
      </c>
      <c r="AO34" s="245" t="str">
        <f>'Fiches Qualif'!BI37</f>
        <v/>
      </c>
      <c r="AP34" s="245">
        <f>'Fiches Qualif'!BJ37</f>
        <v>5</v>
      </c>
      <c r="AQ34" s="245" t="str">
        <f>'Fiches Qualif'!BK37</f>
        <v/>
      </c>
      <c r="AR34" s="245">
        <f>'Fiches Qualif'!BL37</f>
        <v>5</v>
      </c>
      <c r="AS34" s="245" t="str">
        <f>'Fiches Qualif'!BM37</f>
        <v/>
      </c>
    </row>
    <row r="35" spans="24:45" x14ac:dyDescent="0.2">
      <c r="X35" s="217" t="str">
        <f>'Fiches Qualif'!AO40</f>
        <v>MF</v>
      </c>
      <c r="Y35" s="217" t="str">
        <f>'Fiches Qualif'!AP40</f>
        <v>minime</v>
      </c>
      <c r="AB35" s="245">
        <f>'Fiches Qualif'!AV38</f>
        <v>6</v>
      </c>
      <c r="AC35" s="245" t="str">
        <f>'Fiches Qualif'!AW38</f>
        <v/>
      </c>
      <c r="AD35" s="245">
        <f>'Fiches Qualif'!AX38</f>
        <v>6</v>
      </c>
      <c r="AE35" s="245" t="str">
        <f>'Fiches Qualif'!AY38</f>
        <v/>
      </c>
      <c r="AF35" s="245">
        <f>'Fiches Qualif'!AZ38</f>
        <v>6</v>
      </c>
      <c r="AG35" s="245" t="str">
        <f>'Fiches Qualif'!BA38</f>
        <v/>
      </c>
      <c r="AH35" s="245">
        <f>'Fiches Qualif'!BB38</f>
        <v>6</v>
      </c>
      <c r="AI35" s="245" t="str">
        <f>'Fiches Qualif'!BC38</f>
        <v/>
      </c>
      <c r="AJ35" s="245">
        <f>'Fiches Qualif'!BD38</f>
        <v>6</v>
      </c>
      <c r="AK35" s="245" t="str">
        <f>'Fiches Qualif'!BE38</f>
        <v/>
      </c>
      <c r="AL35" s="245">
        <f>'Fiches Qualif'!BF38</f>
        <v>6</v>
      </c>
      <c r="AM35" s="245" t="str">
        <f>'Fiches Qualif'!BG38</f>
        <v/>
      </c>
      <c r="AN35" s="245">
        <f>'Fiches Qualif'!BH38</f>
        <v>6</v>
      </c>
      <c r="AO35" s="245" t="str">
        <f>'Fiches Qualif'!BI38</f>
        <v/>
      </c>
      <c r="AP35" s="245">
        <f>'Fiches Qualif'!BJ38</f>
        <v>6</v>
      </c>
      <c r="AQ35" s="245" t="str">
        <f>'Fiches Qualif'!BK38</f>
        <v/>
      </c>
      <c r="AR35" s="245">
        <f>'Fiches Qualif'!BL38</f>
        <v>6</v>
      </c>
      <c r="AS35" s="245" t="str">
        <f>'Fiches Qualif'!BM38</f>
        <v/>
      </c>
    </row>
    <row r="36" spans="24:45" x14ac:dyDescent="0.2">
      <c r="X36" s="217" t="str">
        <f>'Fiches Qualif'!AO41</f>
        <v>MG</v>
      </c>
      <c r="Y36" s="217" t="str">
        <f>'Fiches Qualif'!AP41</f>
        <v>minime</v>
      </c>
      <c r="AB36" s="245">
        <f>'Fiches Qualif'!AV39</f>
        <v>7</v>
      </c>
      <c r="AC36" s="245" t="str">
        <f>'Fiches Qualif'!AW39</f>
        <v/>
      </c>
      <c r="AD36" s="245">
        <f>'Fiches Qualif'!AX39</f>
        <v>7</v>
      </c>
      <c r="AE36" s="245" t="str">
        <f>'Fiches Qualif'!AY39</f>
        <v/>
      </c>
      <c r="AF36" s="245">
        <f>'Fiches Qualif'!AZ39</f>
        <v>7</v>
      </c>
      <c r="AG36" s="245" t="str">
        <f>'Fiches Qualif'!BA39</f>
        <v/>
      </c>
      <c r="AH36" s="245">
        <f>'Fiches Qualif'!BB39</f>
        <v>7</v>
      </c>
      <c r="AI36" s="245" t="str">
        <f>'Fiches Qualif'!BC39</f>
        <v/>
      </c>
      <c r="AJ36" s="245">
        <f>'Fiches Qualif'!BD39</f>
        <v>7</v>
      </c>
      <c r="AK36" s="245" t="str">
        <f>'Fiches Qualif'!BE39</f>
        <v/>
      </c>
      <c r="AL36" s="245">
        <f>'Fiches Qualif'!BF39</f>
        <v>7</v>
      </c>
      <c r="AM36" s="245" t="str">
        <f>'Fiches Qualif'!BG39</f>
        <v/>
      </c>
      <c r="AN36" s="245">
        <f>'Fiches Qualif'!BH39</f>
        <v>7</v>
      </c>
      <c r="AO36" s="245" t="str">
        <f>'Fiches Qualif'!BI39</f>
        <v/>
      </c>
      <c r="AP36" s="245">
        <f>'Fiches Qualif'!BJ39</f>
        <v>7</v>
      </c>
      <c r="AQ36" s="245" t="str">
        <f>'Fiches Qualif'!BK39</f>
        <v/>
      </c>
      <c r="AR36" s="245">
        <f>'Fiches Qualif'!BL39</f>
        <v>7</v>
      </c>
      <c r="AS36" s="245" t="str">
        <f>'Fiches Qualif'!BM39</f>
        <v/>
      </c>
    </row>
    <row r="37" spans="24:45" x14ac:dyDescent="0.2">
      <c r="X37" s="217" t="str">
        <f>'Fiches Qualif'!AO42</f>
        <v>PB</v>
      </c>
      <c r="Y37" s="217" t="str">
        <f>'Fiches Qualif'!AP42</f>
        <v>poussin</v>
      </c>
      <c r="AB37" s="245">
        <f>'Fiches Qualif'!AV40</f>
        <v>8</v>
      </c>
      <c r="AC37" s="245" t="str">
        <f>'Fiches Qualif'!AW40</f>
        <v/>
      </c>
      <c r="AD37" s="245">
        <f>'Fiches Qualif'!AX40</f>
        <v>8</v>
      </c>
      <c r="AE37" s="245" t="str">
        <f>'Fiches Qualif'!AY40</f>
        <v/>
      </c>
      <c r="AF37" s="245">
        <f>'Fiches Qualif'!AZ40</f>
        <v>8</v>
      </c>
      <c r="AG37" s="245" t="str">
        <f>'Fiches Qualif'!BA40</f>
        <v/>
      </c>
      <c r="AH37" s="245">
        <f>'Fiches Qualif'!BB40</f>
        <v>8</v>
      </c>
      <c r="AI37" s="245" t="str">
        <f>'Fiches Qualif'!BC40</f>
        <v/>
      </c>
      <c r="AJ37" s="245">
        <f>'Fiches Qualif'!BD40</f>
        <v>8</v>
      </c>
      <c r="AK37" s="245" t="str">
        <f>'Fiches Qualif'!BE40</f>
        <v/>
      </c>
      <c r="AL37" s="245">
        <f>'Fiches Qualif'!BF40</f>
        <v>8</v>
      </c>
      <c r="AM37" s="245" t="str">
        <f>'Fiches Qualif'!BG40</f>
        <v/>
      </c>
      <c r="AN37" s="245">
        <f>'Fiches Qualif'!BH40</f>
        <v>8</v>
      </c>
      <c r="AO37" s="245" t="str">
        <f>'Fiches Qualif'!BI40</f>
        <v/>
      </c>
      <c r="AP37" s="245">
        <f>'Fiches Qualif'!BJ40</f>
        <v>8</v>
      </c>
      <c r="AQ37" s="245" t="str">
        <f>'Fiches Qualif'!BK40</f>
        <v/>
      </c>
      <c r="AR37" s="245">
        <f>'Fiches Qualif'!BL40</f>
        <v>8</v>
      </c>
      <c r="AS37" s="245" t="str">
        <f>'Fiches Qualif'!BM40</f>
        <v/>
      </c>
    </row>
    <row r="38" spans="24:45" x14ac:dyDescent="0.2">
      <c r="X38" s="217" t="str">
        <f>'Fiches Qualif'!AO43</f>
        <v>PF</v>
      </c>
      <c r="Y38" s="217" t="str">
        <f>'Fiches Qualif'!AP43</f>
        <v>poussin</v>
      </c>
      <c r="AB38" s="245">
        <f>'Fiches Qualif'!AV41</f>
        <v>9</v>
      </c>
      <c r="AC38" s="245" t="str">
        <f>'Fiches Qualif'!AW41</f>
        <v/>
      </c>
      <c r="AD38" s="245">
        <f>'Fiches Qualif'!AX41</f>
        <v>9</v>
      </c>
      <c r="AE38" s="245" t="str">
        <f>'Fiches Qualif'!AY41</f>
        <v/>
      </c>
      <c r="AF38" s="245">
        <f>'Fiches Qualif'!AZ41</f>
        <v>9</v>
      </c>
      <c r="AG38" s="245" t="str">
        <f>'Fiches Qualif'!BA41</f>
        <v/>
      </c>
      <c r="AH38" s="245">
        <f>'Fiches Qualif'!BB41</f>
        <v>9</v>
      </c>
      <c r="AI38" s="245" t="str">
        <f>'Fiches Qualif'!BC41</f>
        <v/>
      </c>
      <c r="AJ38" s="245">
        <f>'Fiches Qualif'!BD41</f>
        <v>9</v>
      </c>
      <c r="AK38" s="245" t="str">
        <f>'Fiches Qualif'!BE41</f>
        <v/>
      </c>
      <c r="AL38" s="245">
        <f>'Fiches Qualif'!BF41</f>
        <v>9</v>
      </c>
      <c r="AM38" s="245" t="str">
        <f>'Fiches Qualif'!BG41</f>
        <v/>
      </c>
      <c r="AN38" s="245">
        <f>'Fiches Qualif'!BH41</f>
        <v>9</v>
      </c>
      <c r="AO38" s="245" t="str">
        <f>'Fiches Qualif'!BI41</f>
        <v/>
      </c>
      <c r="AP38" s="245">
        <f>'Fiches Qualif'!BJ41</f>
        <v>9</v>
      </c>
      <c r="AQ38" s="245" t="str">
        <f>'Fiches Qualif'!BK41</f>
        <v/>
      </c>
      <c r="AR38" s="245">
        <f>'Fiches Qualif'!BL41</f>
        <v>9</v>
      </c>
      <c r="AS38" s="245" t="str">
        <f>'Fiches Qualif'!BM41</f>
        <v/>
      </c>
    </row>
    <row r="39" spans="24:45" x14ac:dyDescent="0.2">
      <c r="X39" s="217" t="str">
        <f>'Fiches Qualif'!AO44</f>
        <v>SF</v>
      </c>
      <c r="Y39" s="217" t="str">
        <f>'Fiches Qualif'!AP44</f>
        <v>senior</v>
      </c>
      <c r="AB39" s="245">
        <f>'Fiches Qualif'!AV42</f>
        <v>10</v>
      </c>
      <c r="AC39" s="245" t="str">
        <f>'Fiches Qualif'!AW42</f>
        <v/>
      </c>
      <c r="AD39" s="245">
        <f>'Fiches Qualif'!AX42</f>
        <v>10</v>
      </c>
      <c r="AE39" s="245" t="str">
        <f>'Fiches Qualif'!AY42</f>
        <v/>
      </c>
      <c r="AF39" s="245">
        <f>'Fiches Qualif'!AZ42</f>
        <v>10</v>
      </c>
      <c r="AG39" s="245" t="str">
        <f>'Fiches Qualif'!BA42</f>
        <v/>
      </c>
      <c r="AH39" s="245">
        <f>'Fiches Qualif'!BB42</f>
        <v>10</v>
      </c>
      <c r="AI39" s="245" t="str">
        <f>'Fiches Qualif'!BC42</f>
        <v/>
      </c>
      <c r="AJ39" s="245">
        <f>'Fiches Qualif'!BD42</f>
        <v>10</v>
      </c>
      <c r="AK39" s="245" t="str">
        <f>'Fiches Qualif'!BE42</f>
        <v/>
      </c>
      <c r="AL39" s="245">
        <f>'Fiches Qualif'!BF42</f>
        <v>10</v>
      </c>
      <c r="AM39" s="245" t="str">
        <f>'Fiches Qualif'!BG42</f>
        <v/>
      </c>
      <c r="AN39" s="245">
        <f>'Fiches Qualif'!BH42</f>
        <v>10</v>
      </c>
      <c r="AO39" s="245" t="str">
        <f>'Fiches Qualif'!BI42</f>
        <v/>
      </c>
      <c r="AP39" s="245">
        <f>'Fiches Qualif'!BJ42</f>
        <v>10</v>
      </c>
      <c r="AQ39" s="245" t="str">
        <f>'Fiches Qualif'!BK42</f>
        <v/>
      </c>
      <c r="AR39" s="245">
        <f>'Fiches Qualif'!BL42</f>
        <v>10</v>
      </c>
      <c r="AS39" s="245" t="str">
        <f>'Fiches Qualif'!BM42</f>
        <v/>
      </c>
    </row>
    <row r="40" spans="24:45" x14ac:dyDescent="0.2">
      <c r="X40" s="217" t="str">
        <f>'Fiches Qualif'!AO45</f>
        <v>SG</v>
      </c>
      <c r="Y40" s="217" t="str">
        <f>'Fiches Qualif'!AP45</f>
        <v>senior</v>
      </c>
      <c r="AB40" s="245">
        <f>'Fiches Qualif'!AV43</f>
        <v>11</v>
      </c>
      <c r="AC40" s="245" t="str">
        <f>'Fiches Qualif'!AW43</f>
        <v/>
      </c>
      <c r="AD40" s="245">
        <f>'Fiches Qualif'!AX43</f>
        <v>11</v>
      </c>
      <c r="AE40" s="245" t="str">
        <f>'Fiches Qualif'!AY43</f>
        <v/>
      </c>
      <c r="AF40" s="245">
        <f>'Fiches Qualif'!AZ43</f>
        <v>11</v>
      </c>
      <c r="AG40" s="245" t="str">
        <f>'Fiches Qualif'!BA43</f>
        <v/>
      </c>
      <c r="AH40" s="245">
        <f>'Fiches Qualif'!BB43</f>
        <v>11</v>
      </c>
      <c r="AI40" s="245" t="str">
        <f>'Fiches Qualif'!BC43</f>
        <v/>
      </c>
      <c r="AJ40" s="245">
        <f>'Fiches Qualif'!BD43</f>
        <v>11</v>
      </c>
      <c r="AK40" s="245" t="str">
        <f>'Fiches Qualif'!BE43</f>
        <v/>
      </c>
      <c r="AL40" s="245">
        <f>'Fiches Qualif'!BF43</f>
        <v>11</v>
      </c>
      <c r="AM40" s="245" t="str">
        <f>'Fiches Qualif'!BG43</f>
        <v/>
      </c>
      <c r="AN40" s="245">
        <f>'Fiches Qualif'!BH43</f>
        <v>11</v>
      </c>
      <c r="AO40" s="245" t="str">
        <f>'Fiches Qualif'!BI43</f>
        <v/>
      </c>
      <c r="AP40" s="245">
        <f>'Fiches Qualif'!BJ43</f>
        <v>11</v>
      </c>
      <c r="AQ40" s="245" t="str">
        <f>'Fiches Qualif'!BK43</f>
        <v/>
      </c>
      <c r="AR40" s="245">
        <f>'Fiches Qualif'!BL43</f>
        <v>11</v>
      </c>
      <c r="AS40" s="245" t="str">
        <f>'Fiches Qualif'!BM43</f>
        <v/>
      </c>
    </row>
    <row r="41" spans="24:45" x14ac:dyDescent="0.2">
      <c r="AB41" s="245">
        <f>'Fiches Qualif'!AV44</f>
        <v>12</v>
      </c>
      <c r="AC41" s="245" t="str">
        <f>'Fiches Qualif'!AW44</f>
        <v/>
      </c>
      <c r="AD41" s="245">
        <f>'Fiches Qualif'!AX44</f>
        <v>12</v>
      </c>
      <c r="AE41" s="245" t="str">
        <f>'Fiches Qualif'!AY44</f>
        <v/>
      </c>
      <c r="AF41" s="245">
        <f>'Fiches Qualif'!AZ44</f>
        <v>12</v>
      </c>
      <c r="AG41" s="245" t="str">
        <f>'Fiches Qualif'!BA44</f>
        <v/>
      </c>
      <c r="AH41" s="245">
        <f>'Fiches Qualif'!BB44</f>
        <v>12</v>
      </c>
      <c r="AI41" s="245" t="str">
        <f>'Fiches Qualif'!BC44</f>
        <v/>
      </c>
      <c r="AJ41" s="245">
        <f>'Fiches Qualif'!BD44</f>
        <v>12</v>
      </c>
      <c r="AK41" s="245" t="str">
        <f>'Fiches Qualif'!BE44</f>
        <v/>
      </c>
      <c r="AL41" s="245">
        <f>'Fiches Qualif'!BF44</f>
        <v>12</v>
      </c>
      <c r="AM41" s="245" t="str">
        <f>'Fiches Qualif'!BG44</f>
        <v/>
      </c>
      <c r="AN41" s="245">
        <f>'Fiches Qualif'!BH44</f>
        <v>12</v>
      </c>
      <c r="AO41" s="245" t="str">
        <f>'Fiches Qualif'!BI44</f>
        <v/>
      </c>
      <c r="AP41" s="245">
        <f>'Fiches Qualif'!BJ44</f>
        <v>12</v>
      </c>
      <c r="AQ41" s="245" t="str">
        <f>'Fiches Qualif'!BK44</f>
        <v/>
      </c>
      <c r="AR41" s="245">
        <f>'Fiches Qualif'!BL44</f>
        <v>12</v>
      </c>
      <c r="AS41" s="245" t="str">
        <f>'Fiches Qualif'!BM44</f>
        <v/>
      </c>
    </row>
    <row r="42" spans="24:45" x14ac:dyDescent="0.2">
      <c r="AB42" s="245">
        <f>'Fiches Qualif'!AV45</f>
        <v>13</v>
      </c>
      <c r="AC42" s="245" t="str">
        <f>'Fiches Qualif'!AW45</f>
        <v/>
      </c>
      <c r="AD42" s="245">
        <f>'Fiches Qualif'!AX45</f>
        <v>13</v>
      </c>
      <c r="AE42" s="245" t="str">
        <f>'Fiches Qualif'!AY45</f>
        <v/>
      </c>
      <c r="AF42" s="245">
        <f>'Fiches Qualif'!AZ45</f>
        <v>13</v>
      </c>
      <c r="AG42" s="245" t="str">
        <f>'Fiches Qualif'!BA45</f>
        <v/>
      </c>
      <c r="AH42" s="245">
        <f>'Fiches Qualif'!BB45</f>
        <v>13</v>
      </c>
      <c r="AI42" s="245" t="str">
        <f>'Fiches Qualif'!BC45</f>
        <v/>
      </c>
      <c r="AJ42" s="245">
        <f>'Fiches Qualif'!BD45</f>
        <v>13</v>
      </c>
      <c r="AK42" s="245" t="str">
        <f>'Fiches Qualif'!BE45</f>
        <v/>
      </c>
      <c r="AL42" s="245">
        <f>'Fiches Qualif'!BF45</f>
        <v>13</v>
      </c>
      <c r="AM42" s="245" t="str">
        <f>'Fiches Qualif'!BG45</f>
        <v/>
      </c>
      <c r="AN42" s="245">
        <f>'Fiches Qualif'!BH45</f>
        <v>13</v>
      </c>
      <c r="AO42" s="245" t="str">
        <f>'Fiches Qualif'!BI45</f>
        <v/>
      </c>
      <c r="AP42" s="245">
        <f>'Fiches Qualif'!BJ45</f>
        <v>13</v>
      </c>
      <c r="AQ42" s="245" t="str">
        <f>'Fiches Qualif'!BK45</f>
        <v/>
      </c>
      <c r="AR42" s="245">
        <f>'Fiches Qualif'!BL45</f>
        <v>13</v>
      </c>
      <c r="AS42" s="245" t="str">
        <f>'Fiches Qualif'!BM45</f>
        <v/>
      </c>
    </row>
    <row r="43" spans="24:45" x14ac:dyDescent="0.2">
      <c r="AB43" s="245">
        <f>'Fiches Qualif'!AV46</f>
        <v>14</v>
      </c>
      <c r="AC43" s="245" t="str">
        <f>'Fiches Qualif'!AW46</f>
        <v/>
      </c>
      <c r="AD43" s="245">
        <f>'Fiches Qualif'!AX46</f>
        <v>14</v>
      </c>
      <c r="AE43" s="245" t="str">
        <f>'Fiches Qualif'!AY46</f>
        <v/>
      </c>
      <c r="AF43" s="245">
        <f>'Fiches Qualif'!AZ46</f>
        <v>14</v>
      </c>
      <c r="AG43" s="245" t="str">
        <f>'Fiches Qualif'!BA46</f>
        <v/>
      </c>
      <c r="AH43" s="245">
        <f>'Fiches Qualif'!BB46</f>
        <v>14</v>
      </c>
      <c r="AI43" s="245" t="str">
        <f>'Fiches Qualif'!BC46</f>
        <v/>
      </c>
      <c r="AJ43" s="245">
        <f>'Fiches Qualif'!BD46</f>
        <v>14</v>
      </c>
      <c r="AK43" s="245" t="str">
        <f>'Fiches Qualif'!BE46</f>
        <v/>
      </c>
      <c r="AL43" s="245">
        <f>'Fiches Qualif'!BF46</f>
        <v>14</v>
      </c>
      <c r="AM43" s="245" t="str">
        <f>'Fiches Qualif'!BG46</f>
        <v/>
      </c>
      <c r="AN43" s="245">
        <f>'Fiches Qualif'!BH46</f>
        <v>14</v>
      </c>
      <c r="AO43" s="245" t="str">
        <f>'Fiches Qualif'!BI46</f>
        <v/>
      </c>
      <c r="AP43" s="245">
        <f>'Fiches Qualif'!BJ46</f>
        <v>14</v>
      </c>
      <c r="AQ43" s="245" t="str">
        <f>'Fiches Qualif'!BK46</f>
        <v/>
      </c>
      <c r="AR43" s="245">
        <f>'Fiches Qualif'!BL46</f>
        <v>14</v>
      </c>
      <c r="AS43" s="245" t="str">
        <f>'Fiches Qualif'!BM46</f>
        <v/>
      </c>
    </row>
    <row r="44" spans="24:45" x14ac:dyDescent="0.2">
      <c r="X44" s="217">
        <v>1</v>
      </c>
      <c r="AB44" s="245">
        <f>'Fiches Qualif'!AV47</f>
        <v>15</v>
      </c>
      <c r="AC44" s="245" t="str">
        <f>'Fiches Qualif'!AW47</f>
        <v/>
      </c>
      <c r="AD44" s="245">
        <f>'Fiches Qualif'!AX47</f>
        <v>15</v>
      </c>
      <c r="AE44" s="245" t="str">
        <f>'Fiches Qualif'!AY47</f>
        <v/>
      </c>
      <c r="AF44" s="245">
        <f>'Fiches Qualif'!AZ47</f>
        <v>15</v>
      </c>
      <c r="AG44" s="245" t="str">
        <f>'Fiches Qualif'!BA47</f>
        <v/>
      </c>
      <c r="AH44" s="245">
        <f>'Fiches Qualif'!BB47</f>
        <v>15</v>
      </c>
      <c r="AI44" s="245" t="str">
        <f>'Fiches Qualif'!BC47</f>
        <v/>
      </c>
      <c r="AJ44" s="245">
        <f>'Fiches Qualif'!BD47</f>
        <v>15</v>
      </c>
      <c r="AK44" s="245" t="str">
        <f>'Fiches Qualif'!BE47</f>
        <v/>
      </c>
      <c r="AL44" s="245">
        <f>'Fiches Qualif'!BF47</f>
        <v>15</v>
      </c>
      <c r="AM44" s="245" t="str">
        <f>'Fiches Qualif'!BG47</f>
        <v/>
      </c>
      <c r="AN44" s="245">
        <f>'Fiches Qualif'!BH47</f>
        <v>15</v>
      </c>
      <c r="AO44" s="245" t="str">
        <f>'Fiches Qualif'!BI47</f>
        <v/>
      </c>
      <c r="AP44" s="245">
        <f>'Fiches Qualif'!BJ47</f>
        <v>15</v>
      </c>
      <c r="AQ44" s="245" t="str">
        <f>'Fiches Qualif'!BK47</f>
        <v/>
      </c>
      <c r="AR44" s="245">
        <f>'Fiches Qualif'!BL47</f>
        <v>15</v>
      </c>
      <c r="AS44" s="245" t="str">
        <f>'Fiches Qualif'!BM47</f>
        <v/>
      </c>
    </row>
    <row r="45" spans="24:45" x14ac:dyDescent="0.2">
      <c r="X45" s="217">
        <v>2</v>
      </c>
      <c r="AB45" s="245">
        <f>'Fiches Qualif'!AV48</f>
        <v>16</v>
      </c>
      <c r="AC45" s="245" t="str">
        <f>'Fiches Qualif'!AW48</f>
        <v/>
      </c>
      <c r="AD45" s="245">
        <f>'Fiches Qualif'!AX48</f>
        <v>16</v>
      </c>
      <c r="AE45" s="245" t="str">
        <f>'Fiches Qualif'!AY48</f>
        <v/>
      </c>
      <c r="AF45" s="245">
        <f>'Fiches Qualif'!AZ48</f>
        <v>16</v>
      </c>
      <c r="AG45" s="245" t="str">
        <f>'Fiches Qualif'!BA48</f>
        <v/>
      </c>
      <c r="AH45" s="245">
        <f>'Fiches Qualif'!BB48</f>
        <v>16</v>
      </c>
      <c r="AI45" s="245" t="str">
        <f>'Fiches Qualif'!BC48</f>
        <v/>
      </c>
      <c r="AJ45" s="245">
        <f>'Fiches Qualif'!BD48</f>
        <v>16</v>
      </c>
      <c r="AK45" s="245" t="str">
        <f>'Fiches Qualif'!BE48</f>
        <v/>
      </c>
      <c r="AL45" s="245">
        <f>'Fiches Qualif'!BF48</f>
        <v>16</v>
      </c>
      <c r="AM45" s="245" t="str">
        <f>'Fiches Qualif'!BG48</f>
        <v/>
      </c>
      <c r="AN45" s="245">
        <f>'Fiches Qualif'!BH48</f>
        <v>16</v>
      </c>
      <c r="AO45" s="245" t="str">
        <f>'Fiches Qualif'!BI48</f>
        <v/>
      </c>
      <c r="AP45" s="245">
        <f>'Fiches Qualif'!BJ48</f>
        <v>16</v>
      </c>
      <c r="AQ45" s="245" t="str">
        <f>'Fiches Qualif'!BK48</f>
        <v/>
      </c>
      <c r="AR45" s="245">
        <f>'Fiches Qualif'!BL48</f>
        <v>16</v>
      </c>
      <c r="AS45" s="245" t="str">
        <f>'Fiches Qualif'!BM48</f>
        <v/>
      </c>
    </row>
    <row r="46" spans="24:45" x14ac:dyDescent="0.2">
      <c r="X46" s="217">
        <v>3</v>
      </c>
      <c r="AB46" s="245">
        <f>'Fiches Qualif'!AV49</f>
        <v>17</v>
      </c>
      <c r="AC46" s="245" t="str">
        <f>'Fiches Qualif'!AW49</f>
        <v/>
      </c>
      <c r="AD46" s="245">
        <f>'Fiches Qualif'!AX49</f>
        <v>17</v>
      </c>
      <c r="AE46" s="245" t="str">
        <f>'Fiches Qualif'!AY49</f>
        <v/>
      </c>
      <c r="AF46" s="245">
        <f>'Fiches Qualif'!AZ49</f>
        <v>17</v>
      </c>
      <c r="AG46" s="245" t="str">
        <f>'Fiches Qualif'!BA49</f>
        <v/>
      </c>
      <c r="AH46" s="245">
        <f>'Fiches Qualif'!BB49</f>
        <v>17</v>
      </c>
      <c r="AI46" s="245" t="str">
        <f>'Fiches Qualif'!BC49</f>
        <v/>
      </c>
      <c r="AJ46" s="245">
        <f>'Fiches Qualif'!BD49</f>
        <v>17</v>
      </c>
      <c r="AK46" s="245" t="str">
        <f>'Fiches Qualif'!BE49</f>
        <v/>
      </c>
      <c r="AL46" s="245">
        <f>'Fiches Qualif'!BF49</f>
        <v>17</v>
      </c>
      <c r="AM46" s="245" t="str">
        <f>'Fiches Qualif'!BG49</f>
        <v/>
      </c>
      <c r="AN46" s="245">
        <f>'Fiches Qualif'!BH49</f>
        <v>17</v>
      </c>
      <c r="AO46" s="245" t="str">
        <f>'Fiches Qualif'!BI49</f>
        <v/>
      </c>
      <c r="AP46" s="245">
        <f>'Fiches Qualif'!BJ49</f>
        <v>17</v>
      </c>
      <c r="AQ46" s="245" t="str">
        <f>'Fiches Qualif'!BK49</f>
        <v/>
      </c>
      <c r="AR46" s="245">
        <f>'Fiches Qualif'!BL49</f>
        <v>17</v>
      </c>
      <c r="AS46" s="245" t="str">
        <f>'Fiches Qualif'!BM49</f>
        <v/>
      </c>
    </row>
    <row r="47" spans="24:45" x14ac:dyDescent="0.2">
      <c r="X47" s="217">
        <v>4</v>
      </c>
      <c r="AB47" s="245">
        <f>'Fiches Qualif'!AV50</f>
        <v>18</v>
      </c>
      <c r="AC47" s="245" t="str">
        <f>'Fiches Qualif'!AW50</f>
        <v/>
      </c>
      <c r="AD47" s="245">
        <f>'Fiches Qualif'!AX50</f>
        <v>18</v>
      </c>
      <c r="AE47" s="245" t="str">
        <f>'Fiches Qualif'!AY50</f>
        <v/>
      </c>
      <c r="AF47" s="245">
        <f>'Fiches Qualif'!AZ50</f>
        <v>18</v>
      </c>
      <c r="AG47" s="245" t="str">
        <f>'Fiches Qualif'!BA50</f>
        <v/>
      </c>
      <c r="AH47" s="245">
        <f>'Fiches Qualif'!BB50</f>
        <v>18</v>
      </c>
      <c r="AI47" s="245" t="str">
        <f>'Fiches Qualif'!BC50</f>
        <v/>
      </c>
      <c r="AJ47" s="245">
        <f>'Fiches Qualif'!BD50</f>
        <v>18</v>
      </c>
      <c r="AK47" s="245" t="str">
        <f>'Fiches Qualif'!BE50</f>
        <v/>
      </c>
      <c r="AL47" s="245">
        <f>'Fiches Qualif'!BF50</f>
        <v>18</v>
      </c>
      <c r="AM47" s="245" t="str">
        <f>'Fiches Qualif'!BG50</f>
        <v/>
      </c>
      <c r="AN47" s="245">
        <f>'Fiches Qualif'!BH50</f>
        <v>18</v>
      </c>
      <c r="AO47" s="245" t="str">
        <f>'Fiches Qualif'!BI50</f>
        <v/>
      </c>
      <c r="AP47" s="245">
        <f>'Fiches Qualif'!BJ50</f>
        <v>18</v>
      </c>
      <c r="AQ47" s="245" t="str">
        <f>'Fiches Qualif'!BK50</f>
        <v/>
      </c>
      <c r="AR47" s="245">
        <f>'Fiches Qualif'!BL50</f>
        <v>18</v>
      </c>
      <c r="AS47" s="245" t="str">
        <f>'Fiches Qualif'!BM50</f>
        <v/>
      </c>
    </row>
    <row r="48" spans="24:45" x14ac:dyDescent="0.2">
      <c r="X48" s="217">
        <v>5</v>
      </c>
      <c r="AB48" s="245">
        <f>'Fiches Qualif'!AV51</f>
        <v>19</v>
      </c>
      <c r="AC48" s="245" t="str">
        <f>'Fiches Qualif'!AW51</f>
        <v/>
      </c>
      <c r="AD48" s="245">
        <f>'Fiches Qualif'!AX51</f>
        <v>19</v>
      </c>
      <c r="AE48" s="245" t="str">
        <f>'Fiches Qualif'!AY51</f>
        <v/>
      </c>
      <c r="AF48" s="245">
        <f>'Fiches Qualif'!AZ51</f>
        <v>19</v>
      </c>
      <c r="AG48" s="245" t="str">
        <f>'Fiches Qualif'!BA51</f>
        <v/>
      </c>
      <c r="AH48" s="245">
        <f>'Fiches Qualif'!BB51</f>
        <v>19</v>
      </c>
      <c r="AI48" s="245" t="str">
        <f>'Fiches Qualif'!BC51</f>
        <v/>
      </c>
      <c r="AJ48" s="245">
        <f>'Fiches Qualif'!BD51</f>
        <v>19</v>
      </c>
      <c r="AK48" s="245" t="str">
        <f>'Fiches Qualif'!BE51</f>
        <v/>
      </c>
      <c r="AL48" s="245">
        <f>'Fiches Qualif'!BF51</f>
        <v>19</v>
      </c>
      <c r="AM48" s="245" t="str">
        <f>'Fiches Qualif'!BG51</f>
        <v/>
      </c>
      <c r="AN48" s="245">
        <f>'Fiches Qualif'!BH51</f>
        <v>19</v>
      </c>
      <c r="AO48" s="245" t="str">
        <f>'Fiches Qualif'!BI51</f>
        <v/>
      </c>
      <c r="AP48" s="245">
        <f>'Fiches Qualif'!BJ51</f>
        <v>19</v>
      </c>
      <c r="AQ48" s="245" t="str">
        <f>'Fiches Qualif'!BK51</f>
        <v/>
      </c>
      <c r="AR48" s="245">
        <f>'Fiches Qualif'!BL51</f>
        <v>19</v>
      </c>
      <c r="AS48" s="245" t="str">
        <f>'Fiches Qualif'!BM51</f>
        <v/>
      </c>
    </row>
    <row r="49" spans="24:45" x14ac:dyDescent="0.2">
      <c r="X49" s="217">
        <v>6</v>
      </c>
      <c r="AB49" s="245">
        <f>'Fiches Qualif'!AV52</f>
        <v>20</v>
      </c>
      <c r="AC49" s="245" t="str">
        <f>'Fiches Qualif'!AW52</f>
        <v/>
      </c>
      <c r="AD49" s="245">
        <f>'Fiches Qualif'!AX52</f>
        <v>20</v>
      </c>
      <c r="AE49" s="245" t="str">
        <f>'Fiches Qualif'!AY52</f>
        <v/>
      </c>
      <c r="AF49" s="245">
        <f>'Fiches Qualif'!AZ52</f>
        <v>20</v>
      </c>
      <c r="AG49" s="245" t="str">
        <f>'Fiches Qualif'!BA52</f>
        <v/>
      </c>
      <c r="AH49" s="245">
        <f>'Fiches Qualif'!BB52</f>
        <v>20</v>
      </c>
      <c r="AI49" s="245" t="str">
        <f>'Fiches Qualif'!BC52</f>
        <v/>
      </c>
      <c r="AJ49" s="245">
        <f>'Fiches Qualif'!BD52</f>
        <v>20</v>
      </c>
      <c r="AK49" s="245" t="str">
        <f>'Fiches Qualif'!BE52</f>
        <v/>
      </c>
      <c r="AL49" s="245">
        <f>'Fiches Qualif'!BF52</f>
        <v>20</v>
      </c>
      <c r="AM49" s="245" t="str">
        <f>'Fiches Qualif'!BG52</f>
        <v/>
      </c>
      <c r="AN49" s="245">
        <f>'Fiches Qualif'!BH52</f>
        <v>20</v>
      </c>
      <c r="AO49" s="245" t="str">
        <f>'Fiches Qualif'!BI52</f>
        <v/>
      </c>
      <c r="AP49" s="245">
        <f>'Fiches Qualif'!BJ52</f>
        <v>20</v>
      </c>
      <c r="AQ49" s="245" t="str">
        <f>'Fiches Qualif'!BK52</f>
        <v/>
      </c>
      <c r="AR49" s="245">
        <f>'Fiches Qualif'!BL52</f>
        <v>20</v>
      </c>
      <c r="AS49" s="245" t="str">
        <f>'Fiches Qualif'!BM52</f>
        <v/>
      </c>
    </row>
    <row r="50" spans="24:45" x14ac:dyDescent="0.2">
      <c r="X50" s="217">
        <v>7</v>
      </c>
      <c r="AB50" s="245">
        <f>'Fiches Qualif'!AV53</f>
        <v>21</v>
      </c>
      <c r="AC50" s="245" t="str">
        <f>'Fiches Qualif'!AW53</f>
        <v/>
      </c>
      <c r="AD50" s="245">
        <f>'Fiches Qualif'!AX53</f>
        <v>21</v>
      </c>
      <c r="AE50" s="245" t="str">
        <f>'Fiches Qualif'!AY53</f>
        <v/>
      </c>
      <c r="AF50" s="245">
        <f>'Fiches Qualif'!AZ53</f>
        <v>21</v>
      </c>
      <c r="AG50" s="245" t="str">
        <f>'Fiches Qualif'!BA53</f>
        <v/>
      </c>
      <c r="AH50" s="245">
        <f>'Fiches Qualif'!BB53</f>
        <v>21</v>
      </c>
      <c r="AI50" s="245" t="str">
        <f>'Fiches Qualif'!BC53</f>
        <v/>
      </c>
      <c r="AJ50" s="245">
        <f>'Fiches Qualif'!BD53</f>
        <v>21</v>
      </c>
      <c r="AK50" s="245" t="str">
        <f>'Fiches Qualif'!BE53</f>
        <v/>
      </c>
      <c r="AL50" s="245">
        <f>'Fiches Qualif'!BF53</f>
        <v>21</v>
      </c>
      <c r="AM50" s="245" t="str">
        <f>'Fiches Qualif'!BG53</f>
        <v/>
      </c>
      <c r="AN50" s="245">
        <f>'Fiches Qualif'!BH53</f>
        <v>21</v>
      </c>
      <c r="AO50" s="245" t="str">
        <f>'Fiches Qualif'!BI53</f>
        <v/>
      </c>
      <c r="AP50" s="245">
        <f>'Fiches Qualif'!BJ53</f>
        <v>21</v>
      </c>
      <c r="AQ50" s="245" t="str">
        <f>'Fiches Qualif'!BK53</f>
        <v/>
      </c>
      <c r="AR50" s="245">
        <f>'Fiches Qualif'!BL53</f>
        <v>21</v>
      </c>
      <c r="AS50" s="245" t="str">
        <f>'Fiches Qualif'!BM53</f>
        <v/>
      </c>
    </row>
    <row r="51" spans="24:45" x14ac:dyDescent="0.2">
      <c r="X51" s="217">
        <v>8</v>
      </c>
      <c r="AB51" s="245">
        <f>'Fiches Qualif'!AV54</f>
        <v>22</v>
      </c>
      <c r="AC51" s="245" t="str">
        <f>'Fiches Qualif'!AW54</f>
        <v/>
      </c>
      <c r="AD51" s="245">
        <f>'Fiches Qualif'!AX54</f>
        <v>22</v>
      </c>
      <c r="AE51" s="245" t="str">
        <f>'Fiches Qualif'!AY54</f>
        <v/>
      </c>
      <c r="AF51" s="245">
        <f>'Fiches Qualif'!AZ54</f>
        <v>22</v>
      </c>
      <c r="AG51" s="245" t="str">
        <f>'Fiches Qualif'!BA54</f>
        <v/>
      </c>
      <c r="AH51" s="245">
        <f>'Fiches Qualif'!BB54</f>
        <v>22</v>
      </c>
      <c r="AI51" s="245" t="str">
        <f>'Fiches Qualif'!BC54</f>
        <v/>
      </c>
      <c r="AJ51" s="245">
        <f>'Fiches Qualif'!BD54</f>
        <v>22</v>
      </c>
      <c r="AK51" s="245" t="str">
        <f>'Fiches Qualif'!BE54</f>
        <v/>
      </c>
      <c r="AL51" s="245">
        <f>'Fiches Qualif'!BF54</f>
        <v>22</v>
      </c>
      <c r="AM51" s="245" t="str">
        <f>'Fiches Qualif'!BG54</f>
        <v/>
      </c>
      <c r="AN51" s="245">
        <f>'Fiches Qualif'!BH54</f>
        <v>22</v>
      </c>
      <c r="AO51" s="245" t="str">
        <f>'Fiches Qualif'!BI54</f>
        <v/>
      </c>
      <c r="AP51" s="245">
        <f>'Fiches Qualif'!BJ54</f>
        <v>22</v>
      </c>
      <c r="AQ51" s="245" t="str">
        <f>'Fiches Qualif'!BK54</f>
        <v/>
      </c>
      <c r="AR51" s="245">
        <f>'Fiches Qualif'!BL54</f>
        <v>22</v>
      </c>
      <c r="AS51" s="245" t="str">
        <f>'Fiches Qualif'!BM54</f>
        <v/>
      </c>
    </row>
    <row r="52" spans="24:45" x14ac:dyDescent="0.2">
      <c r="X52" s="217">
        <v>9</v>
      </c>
      <c r="AB52" s="245">
        <f>'Fiches Qualif'!AV55</f>
        <v>23</v>
      </c>
      <c r="AC52" s="245" t="str">
        <f>'Fiches Qualif'!AW55</f>
        <v/>
      </c>
      <c r="AD52" s="245">
        <f>'Fiches Qualif'!AX55</f>
        <v>23</v>
      </c>
      <c r="AE52" s="245" t="str">
        <f>'Fiches Qualif'!AY55</f>
        <v/>
      </c>
      <c r="AF52" s="245">
        <f>'Fiches Qualif'!AZ55</f>
        <v>23</v>
      </c>
      <c r="AG52" s="245" t="str">
        <f>'Fiches Qualif'!BA55</f>
        <v/>
      </c>
      <c r="AH52" s="245">
        <f>'Fiches Qualif'!BB55</f>
        <v>23</v>
      </c>
      <c r="AI52" s="245" t="str">
        <f>'Fiches Qualif'!BC55</f>
        <v/>
      </c>
      <c r="AJ52" s="245">
        <f>'Fiches Qualif'!BD55</f>
        <v>23</v>
      </c>
      <c r="AK52" s="245" t="str">
        <f>'Fiches Qualif'!BE55</f>
        <v/>
      </c>
      <c r="AL52" s="245">
        <f>'Fiches Qualif'!BF55</f>
        <v>23</v>
      </c>
      <c r="AM52" s="245" t="str">
        <f>'Fiches Qualif'!BG55</f>
        <v/>
      </c>
      <c r="AN52" s="245">
        <f>'Fiches Qualif'!BH55</f>
        <v>23</v>
      </c>
      <c r="AO52" s="245" t="str">
        <f>'Fiches Qualif'!BI55</f>
        <v/>
      </c>
      <c r="AP52" s="245">
        <f>'Fiches Qualif'!BJ55</f>
        <v>23</v>
      </c>
      <c r="AQ52" s="245" t="str">
        <f>'Fiches Qualif'!BK55</f>
        <v/>
      </c>
      <c r="AR52" s="245">
        <f>'Fiches Qualif'!BL55</f>
        <v>23</v>
      </c>
      <c r="AS52" s="245" t="str">
        <f>'Fiches Qualif'!BM55</f>
        <v/>
      </c>
    </row>
    <row r="53" spans="24:45" x14ac:dyDescent="0.2">
      <c r="X53" s="217">
        <v>10</v>
      </c>
      <c r="AB53" s="245">
        <f>'Fiches Qualif'!AV56</f>
        <v>24</v>
      </c>
      <c r="AC53" s="245" t="str">
        <f>'Fiches Qualif'!AW56</f>
        <v/>
      </c>
      <c r="AD53" s="245">
        <f>'Fiches Qualif'!AX56</f>
        <v>24</v>
      </c>
      <c r="AE53" s="245" t="str">
        <f>'Fiches Qualif'!AY56</f>
        <v/>
      </c>
      <c r="AF53" s="245">
        <f>'Fiches Qualif'!AZ56</f>
        <v>24</v>
      </c>
      <c r="AG53" s="245" t="str">
        <f>'Fiches Qualif'!BA56</f>
        <v/>
      </c>
      <c r="AH53" s="245">
        <f>'Fiches Qualif'!BB56</f>
        <v>24</v>
      </c>
      <c r="AI53" s="245" t="str">
        <f>'Fiches Qualif'!BC56</f>
        <v/>
      </c>
      <c r="AJ53" s="245">
        <f>'Fiches Qualif'!BD56</f>
        <v>24</v>
      </c>
      <c r="AK53" s="245" t="str">
        <f>'Fiches Qualif'!BE56</f>
        <v/>
      </c>
      <c r="AL53" s="245">
        <f>'Fiches Qualif'!BF56</f>
        <v>24</v>
      </c>
      <c r="AM53" s="245" t="str">
        <f>'Fiches Qualif'!BG56</f>
        <v/>
      </c>
      <c r="AN53" s="245">
        <f>'Fiches Qualif'!BH56</f>
        <v>24</v>
      </c>
      <c r="AO53" s="245" t="str">
        <f>'Fiches Qualif'!BI56</f>
        <v/>
      </c>
      <c r="AP53" s="245">
        <f>'Fiches Qualif'!BJ56</f>
        <v>24</v>
      </c>
      <c r="AQ53" s="245" t="str">
        <f>'Fiches Qualif'!BK56</f>
        <v/>
      </c>
      <c r="AR53" s="245">
        <f>'Fiches Qualif'!BL56</f>
        <v>24</v>
      </c>
      <c r="AS53" s="245" t="str">
        <f>'Fiches Qualif'!BM56</f>
        <v/>
      </c>
    </row>
    <row r="54" spans="24:45" x14ac:dyDescent="0.2">
      <c r="X54" s="217">
        <v>11</v>
      </c>
      <c r="AB54" s="245">
        <f>'Fiches Qualif'!AV57</f>
        <v>25</v>
      </c>
      <c r="AC54" s="245" t="str">
        <f>'Fiches Qualif'!AW57</f>
        <v/>
      </c>
      <c r="AD54" s="245">
        <f>'Fiches Qualif'!AX57</f>
        <v>25</v>
      </c>
      <c r="AE54" s="245" t="str">
        <f>'Fiches Qualif'!AY57</f>
        <v/>
      </c>
      <c r="AF54" s="245">
        <f>'Fiches Qualif'!AZ57</f>
        <v>25</v>
      </c>
      <c r="AG54" s="245" t="str">
        <f>'Fiches Qualif'!BA57</f>
        <v/>
      </c>
      <c r="AH54" s="245">
        <f>'Fiches Qualif'!BB57</f>
        <v>25</v>
      </c>
      <c r="AI54" s="245" t="str">
        <f>'Fiches Qualif'!BC57</f>
        <v/>
      </c>
      <c r="AJ54" s="245">
        <f>'Fiches Qualif'!BD57</f>
        <v>25</v>
      </c>
      <c r="AK54" s="245" t="str">
        <f>'Fiches Qualif'!BE57</f>
        <v/>
      </c>
      <c r="AL54" s="245">
        <f>'Fiches Qualif'!BF57</f>
        <v>25</v>
      </c>
      <c r="AM54" s="245" t="str">
        <f>'Fiches Qualif'!BG57</f>
        <v/>
      </c>
      <c r="AN54" s="245">
        <f>'Fiches Qualif'!BH57</f>
        <v>25</v>
      </c>
      <c r="AO54" s="245" t="str">
        <f>'Fiches Qualif'!BI57</f>
        <v/>
      </c>
      <c r="AP54" s="245">
        <f>'Fiches Qualif'!BJ57</f>
        <v>25</v>
      </c>
      <c r="AQ54" s="245" t="str">
        <f>'Fiches Qualif'!BK57</f>
        <v/>
      </c>
      <c r="AR54" s="245">
        <f>'Fiches Qualif'!BL57</f>
        <v>25</v>
      </c>
      <c r="AS54" s="245" t="str">
        <f>'Fiches Qualif'!BM57</f>
        <v/>
      </c>
    </row>
    <row r="55" spans="24:45" x14ac:dyDescent="0.2">
      <c r="AB55" s="245">
        <f>'Fiches Qualif'!AV58</f>
        <v>26</v>
      </c>
      <c r="AC55" s="245" t="str">
        <f>'Fiches Qualif'!AW58</f>
        <v/>
      </c>
      <c r="AD55" s="245">
        <f>'Fiches Qualif'!AX58</f>
        <v>26</v>
      </c>
      <c r="AE55" s="245" t="str">
        <f>'Fiches Qualif'!AY58</f>
        <v/>
      </c>
      <c r="AF55" s="245">
        <f>'Fiches Qualif'!AZ58</f>
        <v>26</v>
      </c>
      <c r="AG55" s="245" t="str">
        <f>'Fiches Qualif'!BA58</f>
        <v/>
      </c>
      <c r="AH55" s="245">
        <f>'Fiches Qualif'!BB58</f>
        <v>26</v>
      </c>
      <c r="AI55" s="245" t="str">
        <f>'Fiches Qualif'!BC58</f>
        <v/>
      </c>
      <c r="AJ55" s="245">
        <f>'Fiches Qualif'!BD58</f>
        <v>26</v>
      </c>
      <c r="AK55" s="245" t="str">
        <f>'Fiches Qualif'!BE58</f>
        <v/>
      </c>
      <c r="AL55" s="245">
        <f>'Fiches Qualif'!BF58</f>
        <v>26</v>
      </c>
      <c r="AM55" s="245" t="str">
        <f>'Fiches Qualif'!BG58</f>
        <v/>
      </c>
      <c r="AN55" s="245">
        <f>'Fiches Qualif'!BH58</f>
        <v>26</v>
      </c>
      <c r="AO55" s="245" t="str">
        <f>'Fiches Qualif'!BI58</f>
        <v/>
      </c>
      <c r="AP55" s="245">
        <f>'Fiches Qualif'!BJ58</f>
        <v>26</v>
      </c>
      <c r="AQ55" s="245" t="str">
        <f>'Fiches Qualif'!BK58</f>
        <v/>
      </c>
      <c r="AR55" s="245">
        <f>'Fiches Qualif'!BL58</f>
        <v>26</v>
      </c>
      <c r="AS55" s="245" t="str">
        <f>'Fiches Qualif'!BM58</f>
        <v/>
      </c>
    </row>
    <row r="56" spans="24:45" x14ac:dyDescent="0.2">
      <c r="AB56" s="245">
        <f>'Fiches Qualif'!AV59</f>
        <v>27</v>
      </c>
      <c r="AC56" s="245" t="str">
        <f>'Fiches Qualif'!AW59</f>
        <v/>
      </c>
      <c r="AD56" s="245">
        <f>'Fiches Qualif'!AX59</f>
        <v>27</v>
      </c>
      <c r="AE56" s="245" t="str">
        <f>'Fiches Qualif'!AY59</f>
        <v/>
      </c>
      <c r="AF56" s="245">
        <f>'Fiches Qualif'!AZ59</f>
        <v>27</v>
      </c>
      <c r="AG56" s="245" t="str">
        <f>'Fiches Qualif'!BA59</f>
        <v/>
      </c>
      <c r="AH56" s="245">
        <f>'Fiches Qualif'!BB59</f>
        <v>27</v>
      </c>
      <c r="AI56" s="245" t="str">
        <f>'Fiches Qualif'!BC59</f>
        <v/>
      </c>
      <c r="AJ56" s="245">
        <f>'Fiches Qualif'!BD59</f>
        <v>27</v>
      </c>
      <c r="AK56" s="245" t="str">
        <f>'Fiches Qualif'!BE59</f>
        <v/>
      </c>
      <c r="AL56" s="245">
        <f>'Fiches Qualif'!BF59</f>
        <v>27</v>
      </c>
      <c r="AM56" s="245" t="str">
        <f>'Fiches Qualif'!BG59</f>
        <v/>
      </c>
      <c r="AN56" s="245">
        <f>'Fiches Qualif'!BH59</f>
        <v>27</v>
      </c>
      <c r="AO56" s="245" t="str">
        <f>'Fiches Qualif'!BI59</f>
        <v/>
      </c>
      <c r="AP56" s="245">
        <f>'Fiches Qualif'!BJ59</f>
        <v>27</v>
      </c>
      <c r="AQ56" s="245" t="str">
        <f>'Fiches Qualif'!BK59</f>
        <v/>
      </c>
      <c r="AR56" s="245">
        <f>'Fiches Qualif'!BL59</f>
        <v>27</v>
      </c>
      <c r="AS56" s="245" t="str">
        <f>'Fiches Qualif'!BM59</f>
        <v/>
      </c>
    </row>
    <row r="57" spans="24:45" x14ac:dyDescent="0.2">
      <c r="AB57" s="245">
        <f>'Fiches Qualif'!AV60</f>
        <v>28</v>
      </c>
      <c r="AC57" s="245" t="str">
        <f>'Fiches Qualif'!AW60</f>
        <v/>
      </c>
      <c r="AD57" s="245">
        <f>'Fiches Qualif'!AX60</f>
        <v>28</v>
      </c>
      <c r="AE57" s="245" t="str">
        <f>'Fiches Qualif'!AY60</f>
        <v/>
      </c>
      <c r="AF57" s="245">
        <f>'Fiches Qualif'!AZ60</f>
        <v>28</v>
      </c>
      <c r="AG57" s="245" t="str">
        <f>'Fiches Qualif'!BA60</f>
        <v/>
      </c>
      <c r="AH57" s="245">
        <f>'Fiches Qualif'!BB60</f>
        <v>28</v>
      </c>
      <c r="AI57" s="245" t="str">
        <f>'Fiches Qualif'!BC60</f>
        <v/>
      </c>
      <c r="AJ57" s="245">
        <f>'Fiches Qualif'!BD60</f>
        <v>28</v>
      </c>
      <c r="AK57" s="245" t="str">
        <f>'Fiches Qualif'!BE60</f>
        <v/>
      </c>
      <c r="AL57" s="245">
        <f>'Fiches Qualif'!BF60</f>
        <v>28</v>
      </c>
      <c r="AM57" s="245" t="str">
        <f>'Fiches Qualif'!BG60</f>
        <v/>
      </c>
      <c r="AN57" s="245">
        <f>'Fiches Qualif'!BH60</f>
        <v>28</v>
      </c>
      <c r="AO57" s="245" t="str">
        <f>'Fiches Qualif'!BI60</f>
        <v/>
      </c>
      <c r="AP57" s="245">
        <f>'Fiches Qualif'!BJ60</f>
        <v>28</v>
      </c>
      <c r="AQ57" s="245" t="str">
        <f>'Fiches Qualif'!BK60</f>
        <v/>
      </c>
      <c r="AR57" s="245">
        <f>'Fiches Qualif'!BL60</f>
        <v>28</v>
      </c>
      <c r="AS57" s="245" t="str">
        <f>'Fiches Qualif'!BM60</f>
        <v/>
      </c>
    </row>
    <row r="58" spans="24:45" x14ac:dyDescent="0.2">
      <c r="AB58" s="245">
        <f>'Fiches Qualif'!AV61</f>
        <v>29</v>
      </c>
      <c r="AC58" s="245" t="str">
        <f>'Fiches Qualif'!AW61</f>
        <v/>
      </c>
      <c r="AD58" s="245">
        <f>'Fiches Qualif'!AX61</f>
        <v>29</v>
      </c>
      <c r="AE58" s="245" t="str">
        <f>'Fiches Qualif'!AY61</f>
        <v/>
      </c>
      <c r="AF58" s="245">
        <f>'Fiches Qualif'!AZ61</f>
        <v>29</v>
      </c>
      <c r="AG58" s="245" t="str">
        <f>'Fiches Qualif'!BA61</f>
        <v/>
      </c>
      <c r="AH58" s="245">
        <f>'Fiches Qualif'!BB61</f>
        <v>29</v>
      </c>
      <c r="AI58" s="245" t="str">
        <f>'Fiches Qualif'!BC61</f>
        <v/>
      </c>
      <c r="AJ58" s="245">
        <f>'Fiches Qualif'!BD61</f>
        <v>29</v>
      </c>
      <c r="AK58" s="245" t="str">
        <f>'Fiches Qualif'!BE61</f>
        <v/>
      </c>
      <c r="AL58" s="245">
        <f>'Fiches Qualif'!BF61</f>
        <v>29</v>
      </c>
      <c r="AM58" s="245" t="str">
        <f>'Fiches Qualif'!BG61</f>
        <v/>
      </c>
      <c r="AN58" s="245">
        <f>'Fiches Qualif'!BH61</f>
        <v>29</v>
      </c>
      <c r="AO58" s="245" t="str">
        <f>'Fiches Qualif'!BI61</f>
        <v/>
      </c>
      <c r="AP58" s="245">
        <f>'Fiches Qualif'!BJ61</f>
        <v>29</v>
      </c>
      <c r="AQ58" s="245" t="str">
        <f>'Fiches Qualif'!BK61</f>
        <v/>
      </c>
      <c r="AR58" s="245">
        <f>'Fiches Qualif'!BL61</f>
        <v>29</v>
      </c>
      <c r="AS58" s="245" t="str">
        <f>'Fiches Qualif'!BM61</f>
        <v/>
      </c>
    </row>
    <row r="59" spans="24:45" x14ac:dyDescent="0.2">
      <c r="AB59" s="245">
        <f>'Fiches Qualif'!AV62</f>
        <v>30</v>
      </c>
      <c r="AC59" s="245" t="str">
        <f>'Fiches Qualif'!AW62</f>
        <v/>
      </c>
      <c r="AD59" s="245">
        <f>'Fiches Qualif'!AX62</f>
        <v>30</v>
      </c>
      <c r="AE59" s="245" t="str">
        <f>'Fiches Qualif'!AY62</f>
        <v/>
      </c>
      <c r="AF59" s="245">
        <f>'Fiches Qualif'!AZ62</f>
        <v>30</v>
      </c>
      <c r="AG59" s="245" t="str">
        <f>'Fiches Qualif'!BA62</f>
        <v/>
      </c>
      <c r="AH59" s="245">
        <f>'Fiches Qualif'!BB62</f>
        <v>30</v>
      </c>
      <c r="AI59" s="245" t="str">
        <f>'Fiches Qualif'!BC62</f>
        <v/>
      </c>
      <c r="AJ59" s="245">
        <f>'Fiches Qualif'!BD62</f>
        <v>30</v>
      </c>
      <c r="AK59" s="245" t="str">
        <f>'Fiches Qualif'!BE62</f>
        <v/>
      </c>
      <c r="AL59" s="245">
        <f>'Fiches Qualif'!BF62</f>
        <v>30</v>
      </c>
      <c r="AM59" s="245" t="str">
        <f>'Fiches Qualif'!BG62</f>
        <v/>
      </c>
      <c r="AN59" s="245">
        <f>'Fiches Qualif'!BH62</f>
        <v>30</v>
      </c>
      <c r="AO59" s="245" t="str">
        <f>'Fiches Qualif'!BI62</f>
        <v/>
      </c>
      <c r="AP59" s="245">
        <f>'Fiches Qualif'!BJ62</f>
        <v>30</v>
      </c>
      <c r="AQ59" s="245" t="str">
        <f>'Fiches Qualif'!BK62</f>
        <v/>
      </c>
      <c r="AR59" s="245">
        <f>'Fiches Qualif'!BL62</f>
        <v>30</v>
      </c>
      <c r="AS59" s="245" t="str">
        <f>'Fiches Qualif'!BM62</f>
        <v/>
      </c>
    </row>
    <row r="60" spans="24:45" x14ac:dyDescent="0.2">
      <c r="AB60" s="245">
        <f>'Fiches Qualif'!AV63</f>
        <v>31</v>
      </c>
      <c r="AC60" s="245" t="str">
        <f>'Fiches Qualif'!AW63</f>
        <v/>
      </c>
      <c r="AD60" s="245">
        <f>'Fiches Qualif'!AX63</f>
        <v>31</v>
      </c>
      <c r="AE60" s="245" t="str">
        <f>'Fiches Qualif'!AY63</f>
        <v/>
      </c>
      <c r="AF60" s="245">
        <f>'Fiches Qualif'!AZ63</f>
        <v>31</v>
      </c>
      <c r="AG60" s="245" t="str">
        <f>'Fiches Qualif'!BA63</f>
        <v/>
      </c>
      <c r="AH60" s="245">
        <f>'Fiches Qualif'!BB63</f>
        <v>31</v>
      </c>
      <c r="AI60" s="245" t="str">
        <f>'Fiches Qualif'!BC63</f>
        <v/>
      </c>
      <c r="AJ60" s="245">
        <f>'Fiches Qualif'!BD63</f>
        <v>31</v>
      </c>
      <c r="AK60" s="245" t="str">
        <f>'Fiches Qualif'!BE63</f>
        <v/>
      </c>
      <c r="AL60" s="245">
        <f>'Fiches Qualif'!BF63</f>
        <v>31</v>
      </c>
      <c r="AM60" s="245" t="str">
        <f>'Fiches Qualif'!BG63</f>
        <v/>
      </c>
      <c r="AN60" s="245">
        <f>'Fiches Qualif'!BH63</f>
        <v>31</v>
      </c>
      <c r="AO60" s="245" t="str">
        <f>'Fiches Qualif'!BI63</f>
        <v/>
      </c>
      <c r="AP60" s="245">
        <f>'Fiches Qualif'!BJ63</f>
        <v>31</v>
      </c>
      <c r="AQ60" s="245" t="str">
        <f>'Fiches Qualif'!BK63</f>
        <v/>
      </c>
      <c r="AR60" s="245">
        <f>'Fiches Qualif'!BL63</f>
        <v>31</v>
      </c>
      <c r="AS60" s="245" t="str">
        <f>'Fiches Qualif'!BM63</f>
        <v/>
      </c>
    </row>
    <row r="61" spans="24:45" x14ac:dyDescent="0.2">
      <c r="AB61" s="245">
        <f>'Fiches Qualif'!AV64</f>
        <v>32</v>
      </c>
      <c r="AC61" s="245" t="str">
        <f>'Fiches Qualif'!AW64</f>
        <v/>
      </c>
      <c r="AD61" s="245">
        <f>'Fiches Qualif'!AX64</f>
        <v>32</v>
      </c>
      <c r="AE61" s="245" t="str">
        <f>'Fiches Qualif'!AY64</f>
        <v/>
      </c>
      <c r="AF61" s="245">
        <f>'Fiches Qualif'!AZ64</f>
        <v>32</v>
      </c>
      <c r="AG61" s="245" t="str">
        <f>'Fiches Qualif'!BA64</f>
        <v/>
      </c>
      <c r="AH61" s="245">
        <f>'Fiches Qualif'!BB64</f>
        <v>32</v>
      </c>
      <c r="AI61" s="245" t="str">
        <f>'Fiches Qualif'!BC64</f>
        <v/>
      </c>
      <c r="AJ61" s="245">
        <f>'Fiches Qualif'!BD64</f>
        <v>32</v>
      </c>
      <c r="AK61" s="245" t="str">
        <f>'Fiches Qualif'!BE64</f>
        <v/>
      </c>
      <c r="AL61" s="245">
        <f>'Fiches Qualif'!BF64</f>
        <v>32</v>
      </c>
      <c r="AM61" s="245" t="str">
        <f>'Fiches Qualif'!BG64</f>
        <v/>
      </c>
      <c r="AN61" s="245">
        <f>'Fiches Qualif'!BH64</f>
        <v>32</v>
      </c>
      <c r="AO61" s="245" t="str">
        <f>'Fiches Qualif'!BI64</f>
        <v/>
      </c>
      <c r="AP61" s="245">
        <f>'Fiches Qualif'!BJ64</f>
        <v>32</v>
      </c>
      <c r="AQ61" s="245" t="str">
        <f>'Fiches Qualif'!BK64</f>
        <v/>
      </c>
      <c r="AR61" s="245">
        <f>'Fiches Qualif'!BL64</f>
        <v>32</v>
      </c>
      <c r="AS61" s="245" t="str">
        <f>'Fiches Qualif'!BM64</f>
        <v/>
      </c>
    </row>
    <row r="62" spans="24:45" x14ac:dyDescent="0.2">
      <c r="AB62" s="245">
        <f>'Fiches Qualif'!AV65</f>
        <v>33</v>
      </c>
      <c r="AC62" s="245" t="str">
        <f>'Fiches Qualif'!AW65</f>
        <v/>
      </c>
      <c r="AD62" s="245">
        <f>'Fiches Qualif'!AX65</f>
        <v>33</v>
      </c>
      <c r="AE62" s="245" t="str">
        <f>'Fiches Qualif'!AY65</f>
        <v/>
      </c>
      <c r="AF62" s="245">
        <f>'Fiches Qualif'!AZ65</f>
        <v>33</v>
      </c>
      <c r="AG62" s="245" t="str">
        <f>'Fiches Qualif'!BA65</f>
        <v/>
      </c>
      <c r="AH62" s="245">
        <f>'Fiches Qualif'!BB65</f>
        <v>33</v>
      </c>
      <c r="AI62" s="245" t="str">
        <f>'Fiches Qualif'!BC65</f>
        <v/>
      </c>
      <c r="AJ62" s="245">
        <f>'Fiches Qualif'!BD65</f>
        <v>33</v>
      </c>
      <c r="AK62" s="245" t="str">
        <f>'Fiches Qualif'!BE65</f>
        <v/>
      </c>
      <c r="AL62" s="245">
        <f>'Fiches Qualif'!BF65</f>
        <v>33</v>
      </c>
      <c r="AM62" s="245" t="str">
        <f>'Fiches Qualif'!BG65</f>
        <v/>
      </c>
      <c r="AN62" s="245">
        <f>'Fiches Qualif'!BH65</f>
        <v>33</v>
      </c>
      <c r="AO62" s="245" t="str">
        <f>'Fiches Qualif'!BI65</f>
        <v/>
      </c>
      <c r="AP62" s="245">
        <f>'Fiches Qualif'!BJ65</f>
        <v>33</v>
      </c>
      <c r="AQ62" s="245" t="str">
        <f>'Fiches Qualif'!BK65</f>
        <v/>
      </c>
      <c r="AR62" s="245">
        <f>'Fiches Qualif'!BL65</f>
        <v>33</v>
      </c>
      <c r="AS62" s="245" t="str">
        <f>'Fiches Qualif'!BM65</f>
        <v/>
      </c>
    </row>
    <row r="63" spans="24:45" x14ac:dyDescent="0.2">
      <c r="AB63" s="245">
        <f>'Fiches Qualif'!AV66</f>
        <v>34</v>
      </c>
      <c r="AC63" s="245" t="str">
        <f>'Fiches Qualif'!AW66</f>
        <v/>
      </c>
      <c r="AD63" s="245">
        <f>'Fiches Qualif'!AX66</f>
        <v>34</v>
      </c>
      <c r="AE63" s="245" t="str">
        <f>'Fiches Qualif'!AY66</f>
        <v/>
      </c>
      <c r="AF63" s="245">
        <f>'Fiches Qualif'!AZ66</f>
        <v>34</v>
      </c>
      <c r="AG63" s="245" t="str">
        <f>'Fiches Qualif'!BA66</f>
        <v/>
      </c>
      <c r="AH63" s="245">
        <f>'Fiches Qualif'!BB66</f>
        <v>34</v>
      </c>
      <c r="AI63" s="245" t="str">
        <f>'Fiches Qualif'!BC66</f>
        <v/>
      </c>
      <c r="AJ63" s="245">
        <f>'Fiches Qualif'!BD66</f>
        <v>34</v>
      </c>
      <c r="AK63" s="245" t="str">
        <f>'Fiches Qualif'!BE66</f>
        <v/>
      </c>
      <c r="AL63" s="245">
        <f>'Fiches Qualif'!BF66</f>
        <v>34</v>
      </c>
      <c r="AM63" s="245" t="str">
        <f>'Fiches Qualif'!BG66</f>
        <v/>
      </c>
      <c r="AN63" s="245">
        <f>'Fiches Qualif'!BH66</f>
        <v>34</v>
      </c>
      <c r="AO63" s="245" t="str">
        <f>'Fiches Qualif'!BI66</f>
        <v/>
      </c>
      <c r="AP63" s="245">
        <f>'Fiches Qualif'!BJ66</f>
        <v>34</v>
      </c>
      <c r="AQ63" s="245" t="str">
        <f>'Fiches Qualif'!BK66</f>
        <v/>
      </c>
      <c r="AR63" s="245">
        <f>'Fiches Qualif'!BL66</f>
        <v>34</v>
      </c>
      <c r="AS63" s="245" t="str">
        <f>'Fiches Qualif'!BM66</f>
        <v/>
      </c>
    </row>
    <row r="64" spans="24:45" x14ac:dyDescent="0.2">
      <c r="AB64" s="245">
        <f>'Fiches Qualif'!AV67</f>
        <v>35</v>
      </c>
      <c r="AC64" s="245" t="str">
        <f>'Fiches Qualif'!AW67</f>
        <v/>
      </c>
      <c r="AD64" s="245">
        <f>'Fiches Qualif'!AX67</f>
        <v>35</v>
      </c>
      <c r="AE64" s="245" t="str">
        <f>'Fiches Qualif'!AY67</f>
        <v/>
      </c>
      <c r="AF64" s="245">
        <f>'Fiches Qualif'!AZ67</f>
        <v>35</v>
      </c>
      <c r="AG64" s="245" t="str">
        <f>'Fiches Qualif'!BA67</f>
        <v/>
      </c>
      <c r="AH64" s="245">
        <f>'Fiches Qualif'!BB67</f>
        <v>35</v>
      </c>
      <c r="AI64" s="245" t="str">
        <f>'Fiches Qualif'!BC67</f>
        <v/>
      </c>
      <c r="AJ64" s="245">
        <f>'Fiches Qualif'!BD67</f>
        <v>35</v>
      </c>
      <c r="AK64" s="245" t="str">
        <f>'Fiches Qualif'!BE67</f>
        <v/>
      </c>
      <c r="AL64" s="245">
        <f>'Fiches Qualif'!BF67</f>
        <v>35</v>
      </c>
      <c r="AM64" s="245" t="str">
        <f>'Fiches Qualif'!BG67</f>
        <v/>
      </c>
      <c r="AN64" s="245">
        <f>'Fiches Qualif'!BH67</f>
        <v>35</v>
      </c>
      <c r="AO64" s="245" t="str">
        <f>'Fiches Qualif'!BI67</f>
        <v/>
      </c>
      <c r="AP64" s="245">
        <f>'Fiches Qualif'!BJ67</f>
        <v>35</v>
      </c>
      <c r="AQ64" s="245" t="str">
        <f>'Fiches Qualif'!BK67</f>
        <v/>
      </c>
      <c r="AR64" s="245">
        <f>'Fiches Qualif'!BL67</f>
        <v>35</v>
      </c>
      <c r="AS64" s="245" t="str">
        <f>'Fiches Qualif'!BM67</f>
        <v/>
      </c>
    </row>
    <row r="65" spans="28:45" x14ac:dyDescent="0.2">
      <c r="AB65" s="245">
        <f>'Fiches Qualif'!AV68</f>
        <v>36</v>
      </c>
      <c r="AC65" s="245" t="str">
        <f>'Fiches Qualif'!AW68</f>
        <v/>
      </c>
      <c r="AD65" s="245">
        <f>'Fiches Qualif'!AX68</f>
        <v>36</v>
      </c>
      <c r="AE65" s="245" t="str">
        <f>'Fiches Qualif'!AY68</f>
        <v/>
      </c>
      <c r="AF65" s="245">
        <f>'Fiches Qualif'!AZ68</f>
        <v>36</v>
      </c>
      <c r="AG65" s="245" t="str">
        <f>'Fiches Qualif'!BA68</f>
        <v/>
      </c>
      <c r="AH65" s="245">
        <f>'Fiches Qualif'!BB68</f>
        <v>36</v>
      </c>
      <c r="AI65" s="245" t="str">
        <f>'Fiches Qualif'!BC68</f>
        <v/>
      </c>
      <c r="AJ65" s="245">
        <f>'Fiches Qualif'!BD68</f>
        <v>36</v>
      </c>
      <c r="AK65" s="245" t="str">
        <f>'Fiches Qualif'!BE68</f>
        <v/>
      </c>
      <c r="AL65" s="245">
        <f>'Fiches Qualif'!BF68</f>
        <v>36</v>
      </c>
      <c r="AM65" s="245" t="str">
        <f>'Fiches Qualif'!BG68</f>
        <v/>
      </c>
      <c r="AN65" s="245">
        <f>'Fiches Qualif'!BH68</f>
        <v>36</v>
      </c>
      <c r="AO65" s="245" t="str">
        <f>'Fiches Qualif'!BI68</f>
        <v/>
      </c>
      <c r="AP65" s="245">
        <f>'Fiches Qualif'!BJ68</f>
        <v>36</v>
      </c>
      <c r="AQ65" s="245" t="str">
        <f>'Fiches Qualif'!BK68</f>
        <v/>
      </c>
      <c r="AR65" s="245">
        <f>'Fiches Qualif'!BL68</f>
        <v>36</v>
      </c>
      <c r="AS65" s="245" t="str">
        <f>'Fiches Qualif'!BM68</f>
        <v/>
      </c>
    </row>
    <row r="66" spans="28:45" x14ac:dyDescent="0.2">
      <c r="AB66" s="245">
        <f>'Fiches Qualif'!AV69</f>
        <v>37</v>
      </c>
      <c r="AC66" s="245" t="str">
        <f>'Fiches Qualif'!AW69</f>
        <v/>
      </c>
      <c r="AD66" s="245">
        <f>'Fiches Qualif'!AX69</f>
        <v>37</v>
      </c>
      <c r="AE66" s="245" t="str">
        <f>'Fiches Qualif'!AY69</f>
        <v/>
      </c>
      <c r="AF66" s="245">
        <f>'Fiches Qualif'!AZ69</f>
        <v>37</v>
      </c>
      <c r="AG66" s="245" t="str">
        <f>'Fiches Qualif'!BA69</f>
        <v/>
      </c>
      <c r="AH66" s="245">
        <f>'Fiches Qualif'!BB69</f>
        <v>37</v>
      </c>
      <c r="AI66" s="245" t="str">
        <f>'Fiches Qualif'!BC69</f>
        <v/>
      </c>
      <c r="AJ66" s="245">
        <f>'Fiches Qualif'!BD69</f>
        <v>37</v>
      </c>
      <c r="AK66" s="245" t="str">
        <f>'Fiches Qualif'!BE69</f>
        <v/>
      </c>
      <c r="AL66" s="245">
        <f>'Fiches Qualif'!BF69</f>
        <v>37</v>
      </c>
      <c r="AM66" s="245" t="str">
        <f>'Fiches Qualif'!BG69</f>
        <v/>
      </c>
      <c r="AN66" s="245">
        <f>'Fiches Qualif'!BH69</f>
        <v>37</v>
      </c>
      <c r="AO66" s="245" t="str">
        <f>'Fiches Qualif'!BI69</f>
        <v/>
      </c>
      <c r="AP66" s="245">
        <f>'Fiches Qualif'!BJ69</f>
        <v>37</v>
      </c>
      <c r="AQ66" s="245" t="str">
        <f>'Fiches Qualif'!BK69</f>
        <v/>
      </c>
      <c r="AR66" s="245">
        <f>'Fiches Qualif'!BL69</f>
        <v>37</v>
      </c>
      <c r="AS66" s="245" t="str">
        <f>'Fiches Qualif'!BM69</f>
        <v/>
      </c>
    </row>
    <row r="67" spans="28:45" x14ac:dyDescent="0.2">
      <c r="AB67" s="245">
        <f>'Fiches Qualif'!AV70</f>
        <v>38</v>
      </c>
      <c r="AC67" s="245" t="str">
        <f>'Fiches Qualif'!AW70</f>
        <v/>
      </c>
      <c r="AD67" s="245">
        <f>'Fiches Qualif'!AX70</f>
        <v>38</v>
      </c>
      <c r="AE67" s="245" t="str">
        <f>'Fiches Qualif'!AY70</f>
        <v/>
      </c>
      <c r="AF67" s="245">
        <f>'Fiches Qualif'!AZ70</f>
        <v>38</v>
      </c>
      <c r="AG67" s="245" t="str">
        <f>'Fiches Qualif'!BA70</f>
        <v/>
      </c>
      <c r="AH67" s="245">
        <f>'Fiches Qualif'!BB70</f>
        <v>38</v>
      </c>
      <c r="AI67" s="245" t="str">
        <f>'Fiches Qualif'!BC70</f>
        <v/>
      </c>
      <c r="AJ67" s="245">
        <f>'Fiches Qualif'!BD70</f>
        <v>38</v>
      </c>
      <c r="AK67" s="245" t="str">
        <f>'Fiches Qualif'!BE70</f>
        <v/>
      </c>
      <c r="AL67" s="245">
        <f>'Fiches Qualif'!BF70</f>
        <v>38</v>
      </c>
      <c r="AM67" s="245" t="str">
        <f>'Fiches Qualif'!BG70</f>
        <v/>
      </c>
      <c r="AN67" s="245">
        <f>'Fiches Qualif'!BH70</f>
        <v>38</v>
      </c>
      <c r="AO67" s="245" t="str">
        <f>'Fiches Qualif'!BI70</f>
        <v/>
      </c>
      <c r="AP67" s="245">
        <f>'Fiches Qualif'!BJ70</f>
        <v>38</v>
      </c>
      <c r="AQ67" s="245" t="str">
        <f>'Fiches Qualif'!BK70</f>
        <v/>
      </c>
      <c r="AR67" s="245">
        <f>'Fiches Qualif'!BL70</f>
        <v>38</v>
      </c>
      <c r="AS67" s="245" t="str">
        <f>'Fiches Qualif'!BM70</f>
        <v/>
      </c>
    </row>
    <row r="68" spans="28:45" x14ac:dyDescent="0.2">
      <c r="AB68" s="245">
        <f>'Fiches Qualif'!AV71</f>
        <v>39</v>
      </c>
      <c r="AC68" s="245" t="str">
        <f>'Fiches Qualif'!AW71</f>
        <v/>
      </c>
      <c r="AD68" s="245">
        <f>'Fiches Qualif'!AX71</f>
        <v>39</v>
      </c>
      <c r="AE68" s="245" t="str">
        <f>'Fiches Qualif'!AY71</f>
        <v/>
      </c>
      <c r="AF68" s="245">
        <f>'Fiches Qualif'!AZ71</f>
        <v>39</v>
      </c>
      <c r="AG68" s="245" t="str">
        <f>'Fiches Qualif'!BA71</f>
        <v/>
      </c>
      <c r="AH68" s="245">
        <f>'Fiches Qualif'!BB71</f>
        <v>39</v>
      </c>
      <c r="AI68" s="245" t="str">
        <f>'Fiches Qualif'!BC71</f>
        <v/>
      </c>
      <c r="AJ68" s="245">
        <f>'Fiches Qualif'!BD71</f>
        <v>39</v>
      </c>
      <c r="AK68" s="245" t="str">
        <f>'Fiches Qualif'!BE71</f>
        <v/>
      </c>
      <c r="AL68" s="245">
        <f>'Fiches Qualif'!BF71</f>
        <v>39</v>
      </c>
      <c r="AM68" s="245" t="str">
        <f>'Fiches Qualif'!BG71</f>
        <v/>
      </c>
      <c r="AN68" s="245">
        <f>'Fiches Qualif'!BH71</f>
        <v>39</v>
      </c>
      <c r="AO68" s="245" t="str">
        <f>'Fiches Qualif'!BI71</f>
        <v/>
      </c>
      <c r="AP68" s="245">
        <f>'Fiches Qualif'!BJ71</f>
        <v>39</v>
      </c>
      <c r="AQ68" s="245" t="str">
        <f>'Fiches Qualif'!BK71</f>
        <v/>
      </c>
      <c r="AR68" s="245">
        <f>'Fiches Qualif'!BL71</f>
        <v>39</v>
      </c>
      <c r="AS68" s="245" t="str">
        <f>'Fiches Qualif'!BM71</f>
        <v/>
      </c>
    </row>
    <row r="69" spans="28:45" x14ac:dyDescent="0.2">
      <c r="AB69" s="245">
        <f>'Fiches Qualif'!AV72</f>
        <v>40</v>
      </c>
      <c r="AC69" s="245" t="str">
        <f>'Fiches Qualif'!AW72</f>
        <v/>
      </c>
      <c r="AD69" s="245">
        <f>'Fiches Qualif'!AX72</f>
        <v>40</v>
      </c>
      <c r="AE69" s="245" t="str">
        <f>'Fiches Qualif'!AY72</f>
        <v/>
      </c>
      <c r="AF69" s="245">
        <f>'Fiches Qualif'!AZ72</f>
        <v>40</v>
      </c>
      <c r="AG69" s="245" t="str">
        <f>'Fiches Qualif'!BA72</f>
        <v/>
      </c>
      <c r="AH69" s="245">
        <f>'Fiches Qualif'!BB72</f>
        <v>40</v>
      </c>
      <c r="AI69" s="245" t="str">
        <f>'Fiches Qualif'!BC72</f>
        <v/>
      </c>
      <c r="AJ69" s="245">
        <f>'Fiches Qualif'!BD72</f>
        <v>40</v>
      </c>
      <c r="AK69" s="245" t="str">
        <f>'Fiches Qualif'!BE72</f>
        <v/>
      </c>
      <c r="AL69" s="245">
        <f>'Fiches Qualif'!BF72</f>
        <v>40</v>
      </c>
      <c r="AM69" s="245" t="str">
        <f>'Fiches Qualif'!BG72</f>
        <v/>
      </c>
      <c r="AN69" s="245">
        <f>'Fiches Qualif'!BH72</f>
        <v>40</v>
      </c>
      <c r="AO69" s="245" t="str">
        <f>'Fiches Qualif'!BI72</f>
        <v/>
      </c>
      <c r="AP69" s="245">
        <f>'Fiches Qualif'!BJ72</f>
        <v>40</v>
      </c>
      <c r="AQ69" s="245" t="str">
        <f>'Fiches Qualif'!BK72</f>
        <v/>
      </c>
      <c r="AR69" s="245">
        <f>'Fiches Qualif'!BL72</f>
        <v>40</v>
      </c>
      <c r="AS69" s="245" t="str">
        <f>'Fiches Qualif'!BM72</f>
        <v/>
      </c>
    </row>
    <row r="70" spans="28:45" x14ac:dyDescent="0.2">
      <c r="AB70" s="245">
        <f>'Fiches Qualif'!AV73</f>
        <v>41</v>
      </c>
      <c r="AC70" s="245" t="str">
        <f>'Fiches Qualif'!AW73</f>
        <v/>
      </c>
      <c r="AD70" s="245">
        <f>'Fiches Qualif'!AX73</f>
        <v>41</v>
      </c>
      <c r="AE70" s="245" t="str">
        <f>'Fiches Qualif'!AY73</f>
        <v/>
      </c>
      <c r="AF70" s="245">
        <f>'Fiches Qualif'!AZ73</f>
        <v>41</v>
      </c>
      <c r="AG70" s="245" t="str">
        <f>'Fiches Qualif'!BA73</f>
        <v/>
      </c>
      <c r="AH70" s="245">
        <f>'Fiches Qualif'!BB73</f>
        <v>41</v>
      </c>
      <c r="AI70" s="245" t="str">
        <f>'Fiches Qualif'!BC73</f>
        <v/>
      </c>
      <c r="AJ70" s="245">
        <f>'Fiches Qualif'!BD73</f>
        <v>41</v>
      </c>
      <c r="AK70" s="245" t="str">
        <f>'Fiches Qualif'!BE73</f>
        <v/>
      </c>
      <c r="AL70" s="245">
        <f>'Fiches Qualif'!BF73</f>
        <v>41</v>
      </c>
      <c r="AM70" s="245" t="str">
        <f>'Fiches Qualif'!BG73</f>
        <v/>
      </c>
      <c r="AN70" s="245">
        <f>'Fiches Qualif'!BH73</f>
        <v>41</v>
      </c>
      <c r="AO70" s="245" t="str">
        <f>'Fiches Qualif'!BI73</f>
        <v/>
      </c>
      <c r="AP70" s="245">
        <f>'Fiches Qualif'!BJ73</f>
        <v>41</v>
      </c>
      <c r="AQ70" s="245" t="str">
        <f>'Fiches Qualif'!BK73</f>
        <v/>
      </c>
      <c r="AR70" s="245">
        <f>'Fiches Qualif'!BL73</f>
        <v>41</v>
      </c>
      <c r="AS70" s="245" t="str">
        <f>'Fiches Qualif'!BM73</f>
        <v/>
      </c>
    </row>
    <row r="71" spans="28:45" x14ac:dyDescent="0.2">
      <c r="AB71" s="245">
        <f>'Fiches Qualif'!AV74</f>
        <v>42</v>
      </c>
      <c r="AC71" s="245" t="str">
        <f>'Fiches Qualif'!AW74</f>
        <v/>
      </c>
      <c r="AD71" s="245">
        <f>'Fiches Qualif'!AX74</f>
        <v>42</v>
      </c>
      <c r="AE71" s="245" t="str">
        <f>'Fiches Qualif'!AY74</f>
        <v/>
      </c>
      <c r="AF71" s="245">
        <f>'Fiches Qualif'!AZ74</f>
        <v>42</v>
      </c>
      <c r="AG71" s="245" t="str">
        <f>'Fiches Qualif'!BA74</f>
        <v/>
      </c>
      <c r="AH71" s="245">
        <f>'Fiches Qualif'!BB74</f>
        <v>42</v>
      </c>
      <c r="AI71" s="245" t="str">
        <f>'Fiches Qualif'!BC74</f>
        <v/>
      </c>
      <c r="AJ71" s="245">
        <f>'Fiches Qualif'!BD74</f>
        <v>42</v>
      </c>
      <c r="AK71" s="245" t="str">
        <f>'Fiches Qualif'!BE74</f>
        <v/>
      </c>
      <c r="AL71" s="245">
        <f>'Fiches Qualif'!BF74</f>
        <v>42</v>
      </c>
      <c r="AM71" s="245" t="str">
        <f>'Fiches Qualif'!BG74</f>
        <v/>
      </c>
      <c r="AN71" s="245">
        <f>'Fiches Qualif'!BH74</f>
        <v>42</v>
      </c>
      <c r="AO71" s="245" t="str">
        <f>'Fiches Qualif'!BI74</f>
        <v/>
      </c>
      <c r="AP71" s="245">
        <f>'Fiches Qualif'!BJ74</f>
        <v>42</v>
      </c>
      <c r="AQ71" s="245" t="str">
        <f>'Fiches Qualif'!BK74</f>
        <v/>
      </c>
      <c r="AR71" s="245">
        <f>'Fiches Qualif'!BL74</f>
        <v>42</v>
      </c>
      <c r="AS71" s="245" t="str">
        <f>'Fiches Qualif'!BM74</f>
        <v/>
      </c>
    </row>
    <row r="72" spans="28:45" x14ac:dyDescent="0.2">
      <c r="AB72" s="245">
        <f>'Fiches Qualif'!AV75</f>
        <v>43</v>
      </c>
      <c r="AC72" s="245" t="str">
        <f>'Fiches Qualif'!AW75</f>
        <v/>
      </c>
      <c r="AD72" s="245">
        <f>'Fiches Qualif'!AX75</f>
        <v>43</v>
      </c>
      <c r="AE72" s="245" t="str">
        <f>'Fiches Qualif'!AY75</f>
        <v/>
      </c>
      <c r="AF72" s="245">
        <f>'Fiches Qualif'!AZ75</f>
        <v>43</v>
      </c>
      <c r="AG72" s="245" t="str">
        <f>'Fiches Qualif'!BA75</f>
        <v/>
      </c>
      <c r="AH72" s="245">
        <f>'Fiches Qualif'!BB75</f>
        <v>43</v>
      </c>
      <c r="AI72" s="245" t="str">
        <f>'Fiches Qualif'!BC75</f>
        <v/>
      </c>
      <c r="AJ72" s="245">
        <f>'Fiches Qualif'!BD75</f>
        <v>43</v>
      </c>
      <c r="AK72" s="245" t="str">
        <f>'Fiches Qualif'!BE75</f>
        <v/>
      </c>
      <c r="AL72" s="245">
        <f>'Fiches Qualif'!BF75</f>
        <v>43</v>
      </c>
      <c r="AM72" s="245" t="str">
        <f>'Fiches Qualif'!BG75</f>
        <v/>
      </c>
      <c r="AN72" s="245">
        <f>'Fiches Qualif'!BH75</f>
        <v>43</v>
      </c>
      <c r="AO72" s="245" t="str">
        <f>'Fiches Qualif'!BI75</f>
        <v/>
      </c>
      <c r="AP72" s="245">
        <f>'Fiches Qualif'!BJ75</f>
        <v>43</v>
      </c>
      <c r="AQ72" s="245" t="str">
        <f>'Fiches Qualif'!BK75</f>
        <v/>
      </c>
      <c r="AR72" s="245">
        <f>'Fiches Qualif'!BL75</f>
        <v>43</v>
      </c>
      <c r="AS72" s="245" t="str">
        <f>'Fiches Qualif'!BM75</f>
        <v/>
      </c>
    </row>
    <row r="73" spans="28:45" x14ac:dyDescent="0.2">
      <c r="AB73" s="245">
        <f>'Fiches Qualif'!AV76</f>
        <v>44</v>
      </c>
      <c r="AC73" s="245" t="str">
        <f>'Fiches Qualif'!AW76</f>
        <v/>
      </c>
      <c r="AD73" s="245">
        <f>'Fiches Qualif'!AX76</f>
        <v>44</v>
      </c>
      <c r="AE73" s="245" t="str">
        <f>'Fiches Qualif'!AY76</f>
        <v/>
      </c>
      <c r="AF73" s="245">
        <f>'Fiches Qualif'!AZ76</f>
        <v>44</v>
      </c>
      <c r="AG73" s="245" t="str">
        <f>'Fiches Qualif'!BA76</f>
        <v/>
      </c>
      <c r="AH73" s="245">
        <f>'Fiches Qualif'!BB76</f>
        <v>44</v>
      </c>
      <c r="AI73" s="245" t="str">
        <f>'Fiches Qualif'!BC76</f>
        <v/>
      </c>
      <c r="AJ73" s="245">
        <f>'Fiches Qualif'!BD76</f>
        <v>44</v>
      </c>
      <c r="AK73" s="245" t="str">
        <f>'Fiches Qualif'!BE76</f>
        <v/>
      </c>
      <c r="AL73" s="245">
        <f>'Fiches Qualif'!BF76</f>
        <v>44</v>
      </c>
      <c r="AM73" s="245" t="str">
        <f>'Fiches Qualif'!BG76</f>
        <v/>
      </c>
      <c r="AN73" s="245">
        <f>'Fiches Qualif'!BH76</f>
        <v>44</v>
      </c>
      <c r="AO73" s="245" t="str">
        <f>'Fiches Qualif'!BI76</f>
        <v/>
      </c>
      <c r="AP73" s="245">
        <f>'Fiches Qualif'!BJ76</f>
        <v>44</v>
      </c>
      <c r="AQ73" s="245" t="str">
        <f>'Fiches Qualif'!BK76</f>
        <v/>
      </c>
      <c r="AR73" s="245">
        <f>'Fiches Qualif'!BL76</f>
        <v>44</v>
      </c>
      <c r="AS73" s="245" t="str">
        <f>'Fiches Qualif'!BM76</f>
        <v/>
      </c>
    </row>
    <row r="74" spans="28:45" x14ac:dyDescent="0.2">
      <c r="AB74" s="245">
        <f>'Fiches Qualif'!AV77</f>
        <v>45</v>
      </c>
      <c r="AC74" s="245" t="str">
        <f>'Fiches Qualif'!AW77</f>
        <v/>
      </c>
      <c r="AD74" s="245">
        <f>'Fiches Qualif'!AX77</f>
        <v>45</v>
      </c>
      <c r="AE74" s="245" t="str">
        <f>'Fiches Qualif'!AY77</f>
        <v/>
      </c>
      <c r="AF74" s="245">
        <f>'Fiches Qualif'!AZ77</f>
        <v>45</v>
      </c>
      <c r="AG74" s="245" t="str">
        <f>'Fiches Qualif'!BA77</f>
        <v/>
      </c>
      <c r="AH74" s="245">
        <f>'Fiches Qualif'!BB77</f>
        <v>45</v>
      </c>
      <c r="AI74" s="245" t="str">
        <f>'Fiches Qualif'!BC77</f>
        <v/>
      </c>
      <c r="AJ74" s="245">
        <f>'Fiches Qualif'!BD77</f>
        <v>45</v>
      </c>
      <c r="AK74" s="245" t="str">
        <f>'Fiches Qualif'!BE77</f>
        <v/>
      </c>
      <c r="AL74" s="245">
        <f>'Fiches Qualif'!BF77</f>
        <v>45</v>
      </c>
      <c r="AM74" s="245" t="str">
        <f>'Fiches Qualif'!BG77</f>
        <v/>
      </c>
      <c r="AN74" s="245">
        <f>'Fiches Qualif'!BH77</f>
        <v>45</v>
      </c>
      <c r="AO74" s="245" t="str">
        <f>'Fiches Qualif'!BI77</f>
        <v/>
      </c>
      <c r="AP74" s="245">
        <f>'Fiches Qualif'!BJ77</f>
        <v>45</v>
      </c>
      <c r="AQ74" s="245" t="str">
        <f>'Fiches Qualif'!BK77</f>
        <v/>
      </c>
      <c r="AR74" s="245">
        <f>'Fiches Qualif'!BL77</f>
        <v>45</v>
      </c>
      <c r="AS74" s="245" t="str">
        <f>'Fiches Qualif'!BM77</f>
        <v/>
      </c>
    </row>
    <row r="75" spans="28:45" x14ac:dyDescent="0.2">
      <c r="AB75" s="245">
        <f>'Fiches Qualif'!AV78</f>
        <v>46</v>
      </c>
      <c r="AC75" s="245" t="str">
        <f>'Fiches Qualif'!AW78</f>
        <v/>
      </c>
      <c r="AD75" s="245">
        <f>'Fiches Qualif'!AX78</f>
        <v>46</v>
      </c>
      <c r="AE75" s="245" t="str">
        <f>'Fiches Qualif'!AY78</f>
        <v/>
      </c>
      <c r="AF75" s="245">
        <f>'Fiches Qualif'!AZ78</f>
        <v>46</v>
      </c>
      <c r="AG75" s="245" t="str">
        <f>'Fiches Qualif'!BA78</f>
        <v/>
      </c>
      <c r="AH75" s="245">
        <f>'Fiches Qualif'!BB78</f>
        <v>46</v>
      </c>
      <c r="AI75" s="245" t="str">
        <f>'Fiches Qualif'!BC78</f>
        <v/>
      </c>
      <c r="AJ75" s="245">
        <f>'Fiches Qualif'!BD78</f>
        <v>46</v>
      </c>
      <c r="AK75" s="245" t="str">
        <f>'Fiches Qualif'!BE78</f>
        <v/>
      </c>
      <c r="AL75" s="245">
        <f>'Fiches Qualif'!BF78</f>
        <v>46</v>
      </c>
      <c r="AM75" s="245" t="str">
        <f>'Fiches Qualif'!BG78</f>
        <v/>
      </c>
      <c r="AN75" s="245">
        <f>'Fiches Qualif'!BH78</f>
        <v>46</v>
      </c>
      <c r="AO75" s="245" t="str">
        <f>'Fiches Qualif'!BI78</f>
        <v/>
      </c>
      <c r="AP75" s="245">
        <f>'Fiches Qualif'!BJ78</f>
        <v>46</v>
      </c>
      <c r="AQ75" s="245" t="str">
        <f>'Fiches Qualif'!BK78</f>
        <v/>
      </c>
      <c r="AR75" s="245">
        <f>'Fiches Qualif'!BL78</f>
        <v>46</v>
      </c>
      <c r="AS75" s="245" t="str">
        <f>'Fiches Qualif'!BM78</f>
        <v/>
      </c>
    </row>
    <row r="76" spans="28:45" x14ac:dyDescent="0.2">
      <c r="AB76" s="245">
        <f>'Fiches Qualif'!AV79</f>
        <v>47</v>
      </c>
      <c r="AC76" s="245" t="str">
        <f>'Fiches Qualif'!AW79</f>
        <v/>
      </c>
      <c r="AD76" s="245">
        <f>'Fiches Qualif'!AX79</f>
        <v>47</v>
      </c>
      <c r="AE76" s="245" t="str">
        <f>'Fiches Qualif'!AY79</f>
        <v/>
      </c>
      <c r="AF76" s="245">
        <f>'Fiches Qualif'!AZ79</f>
        <v>47</v>
      </c>
      <c r="AG76" s="245" t="str">
        <f>'Fiches Qualif'!BA79</f>
        <v/>
      </c>
      <c r="AH76" s="245">
        <f>'Fiches Qualif'!BB79</f>
        <v>47</v>
      </c>
      <c r="AI76" s="245" t="str">
        <f>'Fiches Qualif'!BC79</f>
        <v/>
      </c>
      <c r="AJ76" s="245">
        <f>'Fiches Qualif'!BD79</f>
        <v>47</v>
      </c>
      <c r="AK76" s="245" t="str">
        <f>'Fiches Qualif'!BE79</f>
        <v/>
      </c>
      <c r="AL76" s="245">
        <f>'Fiches Qualif'!BF79</f>
        <v>47</v>
      </c>
      <c r="AM76" s="245" t="str">
        <f>'Fiches Qualif'!BG79</f>
        <v/>
      </c>
      <c r="AN76" s="245">
        <f>'Fiches Qualif'!BH79</f>
        <v>47</v>
      </c>
      <c r="AO76" s="245" t="str">
        <f>'Fiches Qualif'!BI79</f>
        <v/>
      </c>
      <c r="AP76" s="245">
        <f>'Fiches Qualif'!BJ79</f>
        <v>47</v>
      </c>
      <c r="AQ76" s="245" t="str">
        <f>'Fiches Qualif'!BK79</f>
        <v/>
      </c>
      <c r="AR76" s="245">
        <f>'Fiches Qualif'!BL79</f>
        <v>47</v>
      </c>
      <c r="AS76" s="245" t="str">
        <f>'Fiches Qualif'!BM79</f>
        <v/>
      </c>
    </row>
    <row r="77" spans="28:45" x14ac:dyDescent="0.2">
      <c r="AB77" s="245">
        <f>'Fiches Qualif'!AV80</f>
        <v>48</v>
      </c>
      <c r="AC77" s="245" t="str">
        <f>'Fiches Qualif'!AW80</f>
        <v/>
      </c>
      <c r="AD77" s="245">
        <f>'Fiches Qualif'!AX80</f>
        <v>48</v>
      </c>
      <c r="AE77" s="245" t="str">
        <f>'Fiches Qualif'!AY80</f>
        <v/>
      </c>
      <c r="AF77" s="245">
        <f>'Fiches Qualif'!AZ80</f>
        <v>48</v>
      </c>
      <c r="AG77" s="245" t="str">
        <f>'Fiches Qualif'!BA80</f>
        <v/>
      </c>
      <c r="AH77" s="245">
        <f>'Fiches Qualif'!BB80</f>
        <v>48</v>
      </c>
      <c r="AI77" s="245" t="str">
        <f>'Fiches Qualif'!BC80</f>
        <v/>
      </c>
      <c r="AJ77" s="245">
        <f>'Fiches Qualif'!BD80</f>
        <v>48</v>
      </c>
      <c r="AK77" s="245" t="str">
        <f>'Fiches Qualif'!BE80</f>
        <v/>
      </c>
      <c r="AL77" s="245">
        <f>'Fiches Qualif'!BF80</f>
        <v>48</v>
      </c>
      <c r="AM77" s="245" t="str">
        <f>'Fiches Qualif'!BG80</f>
        <v/>
      </c>
      <c r="AN77" s="245">
        <f>'Fiches Qualif'!BH80</f>
        <v>48</v>
      </c>
      <c r="AO77" s="245" t="str">
        <f>'Fiches Qualif'!BI80</f>
        <v/>
      </c>
      <c r="AP77" s="245">
        <f>'Fiches Qualif'!BJ80</f>
        <v>48</v>
      </c>
      <c r="AQ77" s="245" t="str">
        <f>'Fiches Qualif'!BK80</f>
        <v/>
      </c>
      <c r="AR77" s="245">
        <f>'Fiches Qualif'!BL80</f>
        <v>48</v>
      </c>
      <c r="AS77" s="245" t="str">
        <f>'Fiches Qualif'!BM80</f>
        <v/>
      </c>
    </row>
    <row r="78" spans="28:45" x14ac:dyDescent="0.2">
      <c r="AB78" s="245">
        <f>'Fiches Qualif'!AV81</f>
        <v>49</v>
      </c>
      <c r="AC78" s="245" t="str">
        <f>'Fiches Qualif'!AW81</f>
        <v/>
      </c>
      <c r="AD78" s="245">
        <f>'Fiches Qualif'!AX81</f>
        <v>49</v>
      </c>
      <c r="AE78" s="245" t="str">
        <f>'Fiches Qualif'!AY81</f>
        <v/>
      </c>
      <c r="AF78" s="245">
        <f>'Fiches Qualif'!AZ81</f>
        <v>49</v>
      </c>
      <c r="AG78" s="245" t="str">
        <f>'Fiches Qualif'!BA81</f>
        <v/>
      </c>
      <c r="AH78" s="245">
        <f>'Fiches Qualif'!BB81</f>
        <v>49</v>
      </c>
      <c r="AI78" s="245" t="str">
        <f>'Fiches Qualif'!BC81</f>
        <v/>
      </c>
      <c r="AJ78" s="245">
        <f>'Fiches Qualif'!BD81</f>
        <v>49</v>
      </c>
      <c r="AK78" s="245" t="str">
        <f>'Fiches Qualif'!BE81</f>
        <v/>
      </c>
      <c r="AL78" s="245">
        <f>'Fiches Qualif'!BF81</f>
        <v>49</v>
      </c>
      <c r="AM78" s="245" t="str">
        <f>'Fiches Qualif'!BG81</f>
        <v/>
      </c>
      <c r="AN78" s="245">
        <f>'Fiches Qualif'!BH81</f>
        <v>49</v>
      </c>
      <c r="AO78" s="245" t="str">
        <f>'Fiches Qualif'!BI81</f>
        <v/>
      </c>
      <c r="AP78" s="245">
        <f>'Fiches Qualif'!BJ81</f>
        <v>49</v>
      </c>
      <c r="AQ78" s="245" t="str">
        <f>'Fiches Qualif'!BK81</f>
        <v/>
      </c>
      <c r="AR78" s="245">
        <f>'Fiches Qualif'!BL81</f>
        <v>49</v>
      </c>
      <c r="AS78" s="245" t="str">
        <f>'Fiches Qualif'!BM81</f>
        <v/>
      </c>
    </row>
    <row r="79" spans="28:45" x14ac:dyDescent="0.2">
      <c r="AB79" s="245">
        <f>'Fiches Qualif'!AV82</f>
        <v>50</v>
      </c>
      <c r="AC79" s="245" t="str">
        <f>'Fiches Qualif'!AW82</f>
        <v/>
      </c>
      <c r="AD79" s="245">
        <f>'Fiches Qualif'!AX82</f>
        <v>50</v>
      </c>
      <c r="AE79" s="245" t="str">
        <f>'Fiches Qualif'!AY82</f>
        <v/>
      </c>
      <c r="AF79" s="245">
        <f>'Fiches Qualif'!AZ82</f>
        <v>50</v>
      </c>
      <c r="AG79" s="245" t="str">
        <f>'Fiches Qualif'!BA82</f>
        <v/>
      </c>
      <c r="AH79" s="245">
        <f>'Fiches Qualif'!BB82</f>
        <v>50</v>
      </c>
      <c r="AI79" s="245" t="str">
        <f>'Fiches Qualif'!BC82</f>
        <v/>
      </c>
      <c r="AJ79" s="245">
        <f>'Fiches Qualif'!BD82</f>
        <v>50</v>
      </c>
      <c r="AK79" s="245" t="str">
        <f>'Fiches Qualif'!BE82</f>
        <v/>
      </c>
      <c r="AL79" s="245">
        <f>'Fiches Qualif'!BF82</f>
        <v>50</v>
      </c>
      <c r="AM79" s="245" t="str">
        <f>'Fiches Qualif'!BG82</f>
        <v/>
      </c>
      <c r="AN79" s="245">
        <f>'Fiches Qualif'!BH82</f>
        <v>50</v>
      </c>
      <c r="AO79" s="245" t="str">
        <f>'Fiches Qualif'!BI82</f>
        <v/>
      </c>
      <c r="AP79" s="245">
        <f>'Fiches Qualif'!BJ82</f>
        <v>50</v>
      </c>
      <c r="AQ79" s="245" t="str">
        <f>'Fiches Qualif'!BK82</f>
        <v/>
      </c>
      <c r="AR79" s="245">
        <f>'Fiches Qualif'!BL82</f>
        <v>50</v>
      </c>
      <c r="AS79" s="245" t="str">
        <f>'Fiches Qualif'!BM82</f>
        <v/>
      </c>
    </row>
    <row r="80" spans="28:45" x14ac:dyDescent="0.2">
      <c r="AB80" s="245">
        <f>'Fiches Qualif'!AV83</f>
        <v>51</v>
      </c>
      <c r="AC80" s="245" t="str">
        <f>'Fiches Qualif'!AW83</f>
        <v/>
      </c>
      <c r="AD80" s="245">
        <f>'Fiches Qualif'!AX83</f>
        <v>51</v>
      </c>
      <c r="AE80" s="245" t="str">
        <f>'Fiches Qualif'!AY83</f>
        <v/>
      </c>
      <c r="AF80" s="245">
        <f>'Fiches Qualif'!AZ83</f>
        <v>51</v>
      </c>
      <c r="AG80" s="245" t="str">
        <f>'Fiches Qualif'!BA83</f>
        <v/>
      </c>
      <c r="AH80" s="245">
        <f>'Fiches Qualif'!BB83</f>
        <v>51</v>
      </c>
      <c r="AI80" s="245" t="str">
        <f>'Fiches Qualif'!BC83</f>
        <v/>
      </c>
      <c r="AJ80" s="245">
        <f>'Fiches Qualif'!BD83</f>
        <v>51</v>
      </c>
      <c r="AK80" s="245" t="str">
        <f>'Fiches Qualif'!BE83</f>
        <v/>
      </c>
      <c r="AL80" s="245">
        <f>'Fiches Qualif'!BF83</f>
        <v>51</v>
      </c>
      <c r="AM80" s="245" t="str">
        <f>'Fiches Qualif'!BG83</f>
        <v/>
      </c>
      <c r="AN80" s="245">
        <f>'Fiches Qualif'!BH83</f>
        <v>51</v>
      </c>
      <c r="AO80" s="245" t="str">
        <f>'Fiches Qualif'!BI83</f>
        <v/>
      </c>
      <c r="AP80" s="245">
        <f>'Fiches Qualif'!BJ83</f>
        <v>51</v>
      </c>
      <c r="AQ80" s="245" t="str">
        <f>'Fiches Qualif'!BK83</f>
        <v/>
      </c>
      <c r="AR80" s="245">
        <f>'Fiches Qualif'!BL83</f>
        <v>51</v>
      </c>
      <c r="AS80" s="245" t="str">
        <f>'Fiches Qualif'!BM83</f>
        <v/>
      </c>
    </row>
    <row r="81" spans="28:45" x14ac:dyDescent="0.2">
      <c r="AB81" s="245">
        <f>'Fiches Qualif'!AV84</f>
        <v>52</v>
      </c>
      <c r="AC81" s="245" t="str">
        <f>'Fiches Qualif'!AW84</f>
        <v/>
      </c>
      <c r="AD81" s="245">
        <f>'Fiches Qualif'!AX84</f>
        <v>52</v>
      </c>
      <c r="AE81" s="245" t="str">
        <f>'Fiches Qualif'!AY84</f>
        <v/>
      </c>
      <c r="AF81" s="245">
        <f>'Fiches Qualif'!AZ84</f>
        <v>52</v>
      </c>
      <c r="AG81" s="245" t="str">
        <f>'Fiches Qualif'!BA84</f>
        <v/>
      </c>
      <c r="AH81" s="245">
        <f>'Fiches Qualif'!BB84</f>
        <v>52</v>
      </c>
      <c r="AI81" s="245" t="str">
        <f>'Fiches Qualif'!BC84</f>
        <v/>
      </c>
      <c r="AJ81" s="245">
        <f>'Fiches Qualif'!BD84</f>
        <v>52</v>
      </c>
      <c r="AK81" s="245" t="str">
        <f>'Fiches Qualif'!BE84</f>
        <v/>
      </c>
      <c r="AL81" s="245">
        <f>'Fiches Qualif'!BF84</f>
        <v>52</v>
      </c>
      <c r="AM81" s="245" t="str">
        <f>'Fiches Qualif'!BG84</f>
        <v/>
      </c>
      <c r="AN81" s="245">
        <f>'Fiches Qualif'!BH84</f>
        <v>52</v>
      </c>
      <c r="AO81" s="245" t="str">
        <f>'Fiches Qualif'!BI84</f>
        <v/>
      </c>
      <c r="AP81" s="245">
        <f>'Fiches Qualif'!BJ84</f>
        <v>52</v>
      </c>
      <c r="AQ81" s="245" t="str">
        <f>'Fiches Qualif'!BK84</f>
        <v/>
      </c>
      <c r="AR81" s="245">
        <f>'Fiches Qualif'!BL84</f>
        <v>52</v>
      </c>
      <c r="AS81" s="245" t="str">
        <f>'Fiches Qualif'!BM84</f>
        <v/>
      </c>
    </row>
    <row r="82" spans="28:45" x14ac:dyDescent="0.2">
      <c r="AB82" s="245">
        <f>'Fiches Qualif'!AV85</f>
        <v>53</v>
      </c>
      <c r="AC82" s="245" t="str">
        <f>'Fiches Qualif'!AW85</f>
        <v/>
      </c>
      <c r="AD82" s="245">
        <f>'Fiches Qualif'!AX85</f>
        <v>53</v>
      </c>
      <c r="AE82" s="245" t="str">
        <f>'Fiches Qualif'!AY85</f>
        <v/>
      </c>
      <c r="AF82" s="245">
        <f>'Fiches Qualif'!AZ85</f>
        <v>53</v>
      </c>
      <c r="AG82" s="245" t="str">
        <f>'Fiches Qualif'!BA85</f>
        <v/>
      </c>
      <c r="AH82" s="245">
        <f>'Fiches Qualif'!BB85</f>
        <v>53</v>
      </c>
      <c r="AI82" s="245" t="str">
        <f>'Fiches Qualif'!BC85</f>
        <v/>
      </c>
      <c r="AJ82" s="245">
        <f>'Fiches Qualif'!BD85</f>
        <v>53</v>
      </c>
      <c r="AK82" s="245" t="str">
        <f>'Fiches Qualif'!BE85</f>
        <v/>
      </c>
      <c r="AL82" s="245">
        <f>'Fiches Qualif'!BF85</f>
        <v>53</v>
      </c>
      <c r="AM82" s="245" t="str">
        <f>'Fiches Qualif'!BG85</f>
        <v/>
      </c>
      <c r="AN82" s="245">
        <f>'Fiches Qualif'!BH85</f>
        <v>53</v>
      </c>
      <c r="AO82" s="245" t="str">
        <f>'Fiches Qualif'!BI85</f>
        <v/>
      </c>
      <c r="AP82" s="245">
        <f>'Fiches Qualif'!BJ85</f>
        <v>53</v>
      </c>
      <c r="AQ82" s="245" t="str">
        <f>'Fiches Qualif'!BK85</f>
        <v/>
      </c>
      <c r="AR82" s="245">
        <f>'Fiches Qualif'!BL85</f>
        <v>53</v>
      </c>
      <c r="AS82" s="245" t="str">
        <f>'Fiches Qualif'!BM85</f>
        <v/>
      </c>
    </row>
    <row r="83" spans="28:45" x14ac:dyDescent="0.2">
      <c r="AB83" s="245">
        <f>'Fiches Qualif'!AV86</f>
        <v>54</v>
      </c>
      <c r="AC83" s="245" t="str">
        <f>'Fiches Qualif'!AW86</f>
        <v/>
      </c>
      <c r="AD83" s="245">
        <f>'Fiches Qualif'!AX86</f>
        <v>54</v>
      </c>
      <c r="AE83" s="245" t="str">
        <f>'Fiches Qualif'!AY86</f>
        <v/>
      </c>
      <c r="AF83" s="245">
        <f>'Fiches Qualif'!AZ86</f>
        <v>54</v>
      </c>
      <c r="AG83" s="245" t="str">
        <f>'Fiches Qualif'!BA86</f>
        <v/>
      </c>
      <c r="AH83" s="245">
        <f>'Fiches Qualif'!BB86</f>
        <v>54</v>
      </c>
      <c r="AI83" s="245" t="str">
        <f>'Fiches Qualif'!BC86</f>
        <v/>
      </c>
      <c r="AJ83" s="245">
        <f>'Fiches Qualif'!BD86</f>
        <v>54</v>
      </c>
      <c r="AK83" s="245" t="str">
        <f>'Fiches Qualif'!BE86</f>
        <v/>
      </c>
      <c r="AL83" s="245">
        <f>'Fiches Qualif'!BF86</f>
        <v>54</v>
      </c>
      <c r="AM83" s="245" t="str">
        <f>'Fiches Qualif'!BG86</f>
        <v/>
      </c>
      <c r="AN83" s="245">
        <f>'Fiches Qualif'!BH86</f>
        <v>54</v>
      </c>
      <c r="AO83" s="245" t="str">
        <f>'Fiches Qualif'!BI86</f>
        <v/>
      </c>
      <c r="AP83" s="245">
        <f>'Fiches Qualif'!BJ86</f>
        <v>54</v>
      </c>
      <c r="AQ83" s="245" t="str">
        <f>'Fiches Qualif'!BK86</f>
        <v/>
      </c>
      <c r="AR83" s="245">
        <f>'Fiches Qualif'!BL86</f>
        <v>54</v>
      </c>
      <c r="AS83" s="245" t="str">
        <f>'Fiches Qualif'!BM86</f>
        <v/>
      </c>
    </row>
    <row r="84" spans="28:45" x14ac:dyDescent="0.2">
      <c r="AB84" s="245">
        <f>'Fiches Qualif'!AV87</f>
        <v>55</v>
      </c>
      <c r="AC84" s="245" t="str">
        <f>'Fiches Qualif'!AW87</f>
        <v/>
      </c>
      <c r="AD84" s="245">
        <f>'Fiches Qualif'!AX87</f>
        <v>55</v>
      </c>
      <c r="AE84" s="245" t="str">
        <f>'Fiches Qualif'!AY87</f>
        <v/>
      </c>
      <c r="AF84" s="245">
        <f>'Fiches Qualif'!AZ87</f>
        <v>55</v>
      </c>
      <c r="AG84" s="245" t="str">
        <f>'Fiches Qualif'!BA87</f>
        <v/>
      </c>
      <c r="AH84" s="245">
        <f>'Fiches Qualif'!BB87</f>
        <v>55</v>
      </c>
      <c r="AI84" s="245" t="str">
        <f>'Fiches Qualif'!BC87</f>
        <v/>
      </c>
      <c r="AJ84" s="245">
        <f>'Fiches Qualif'!BD87</f>
        <v>55</v>
      </c>
      <c r="AK84" s="245" t="str">
        <f>'Fiches Qualif'!BE87</f>
        <v/>
      </c>
      <c r="AL84" s="245">
        <f>'Fiches Qualif'!BF87</f>
        <v>55</v>
      </c>
      <c r="AM84" s="245" t="str">
        <f>'Fiches Qualif'!BG87</f>
        <v/>
      </c>
      <c r="AN84" s="245">
        <f>'Fiches Qualif'!BH87</f>
        <v>55</v>
      </c>
      <c r="AO84" s="245" t="str">
        <f>'Fiches Qualif'!BI87</f>
        <v/>
      </c>
      <c r="AP84" s="245">
        <f>'Fiches Qualif'!BJ87</f>
        <v>55</v>
      </c>
      <c r="AQ84" s="245" t="str">
        <f>'Fiches Qualif'!BK87</f>
        <v/>
      </c>
      <c r="AR84" s="245">
        <f>'Fiches Qualif'!BL87</f>
        <v>55</v>
      </c>
      <c r="AS84" s="245" t="str">
        <f>'Fiches Qualif'!BM87</f>
        <v/>
      </c>
    </row>
    <row r="85" spans="28:45" x14ac:dyDescent="0.2">
      <c r="AB85" s="245">
        <f>'Fiches Qualif'!AV88</f>
        <v>56</v>
      </c>
      <c r="AC85" s="245" t="str">
        <f>'Fiches Qualif'!AW88</f>
        <v/>
      </c>
      <c r="AD85" s="245">
        <f>'Fiches Qualif'!AX88</f>
        <v>56</v>
      </c>
      <c r="AE85" s="245" t="str">
        <f>'Fiches Qualif'!AY88</f>
        <v/>
      </c>
      <c r="AF85" s="245">
        <f>'Fiches Qualif'!AZ88</f>
        <v>56</v>
      </c>
      <c r="AG85" s="245" t="str">
        <f>'Fiches Qualif'!BA88</f>
        <v/>
      </c>
      <c r="AH85" s="245">
        <f>'Fiches Qualif'!BB88</f>
        <v>56</v>
      </c>
      <c r="AI85" s="245" t="str">
        <f>'Fiches Qualif'!BC88</f>
        <v/>
      </c>
      <c r="AJ85" s="245">
        <f>'Fiches Qualif'!BD88</f>
        <v>56</v>
      </c>
      <c r="AK85" s="245" t="str">
        <f>'Fiches Qualif'!BE88</f>
        <v/>
      </c>
      <c r="AL85" s="245">
        <f>'Fiches Qualif'!BF88</f>
        <v>56</v>
      </c>
      <c r="AM85" s="245" t="str">
        <f>'Fiches Qualif'!BG88</f>
        <v/>
      </c>
      <c r="AN85" s="245">
        <f>'Fiches Qualif'!BH88</f>
        <v>56</v>
      </c>
      <c r="AO85" s="245" t="str">
        <f>'Fiches Qualif'!BI88</f>
        <v/>
      </c>
      <c r="AP85" s="245">
        <f>'Fiches Qualif'!BJ88</f>
        <v>56</v>
      </c>
      <c r="AQ85" s="245" t="str">
        <f>'Fiches Qualif'!BK88</f>
        <v/>
      </c>
      <c r="AR85" s="245">
        <f>'Fiches Qualif'!BL88</f>
        <v>56</v>
      </c>
      <c r="AS85" s="245" t="str">
        <f>'Fiches Qualif'!BM88</f>
        <v/>
      </c>
    </row>
    <row r="86" spans="28:45" x14ac:dyDescent="0.2">
      <c r="AB86" s="245">
        <f>'Fiches Qualif'!AV89</f>
        <v>57</v>
      </c>
      <c r="AC86" s="245" t="str">
        <f>'Fiches Qualif'!AW89</f>
        <v/>
      </c>
      <c r="AD86" s="245">
        <f>'Fiches Qualif'!AX89</f>
        <v>57</v>
      </c>
      <c r="AE86" s="245" t="str">
        <f>'Fiches Qualif'!AY89</f>
        <v/>
      </c>
      <c r="AF86" s="245">
        <f>'Fiches Qualif'!AZ89</f>
        <v>57</v>
      </c>
      <c r="AG86" s="245" t="str">
        <f>'Fiches Qualif'!BA89</f>
        <v/>
      </c>
      <c r="AH86" s="245">
        <f>'Fiches Qualif'!BB89</f>
        <v>57</v>
      </c>
      <c r="AI86" s="245" t="str">
        <f>'Fiches Qualif'!BC89</f>
        <v/>
      </c>
      <c r="AJ86" s="245">
        <f>'Fiches Qualif'!BD89</f>
        <v>57</v>
      </c>
      <c r="AK86" s="245" t="str">
        <f>'Fiches Qualif'!BE89</f>
        <v/>
      </c>
      <c r="AL86" s="245">
        <f>'Fiches Qualif'!BF89</f>
        <v>57</v>
      </c>
      <c r="AM86" s="245" t="str">
        <f>'Fiches Qualif'!BG89</f>
        <v/>
      </c>
      <c r="AN86" s="245">
        <f>'Fiches Qualif'!BH89</f>
        <v>57</v>
      </c>
      <c r="AO86" s="245" t="str">
        <f>'Fiches Qualif'!BI89</f>
        <v/>
      </c>
      <c r="AP86" s="245">
        <f>'Fiches Qualif'!BJ89</f>
        <v>57</v>
      </c>
      <c r="AQ86" s="245" t="str">
        <f>'Fiches Qualif'!BK89</f>
        <v/>
      </c>
      <c r="AR86" s="245">
        <f>'Fiches Qualif'!BL89</f>
        <v>57</v>
      </c>
      <c r="AS86" s="245" t="str">
        <f>'Fiches Qualif'!BM89</f>
        <v/>
      </c>
    </row>
    <row r="87" spans="28:45" x14ac:dyDescent="0.2">
      <c r="AB87" s="245">
        <f>'Fiches Qualif'!AV90</f>
        <v>58</v>
      </c>
      <c r="AC87" s="245" t="str">
        <f>'Fiches Qualif'!AW90</f>
        <v/>
      </c>
      <c r="AD87" s="245">
        <f>'Fiches Qualif'!AX90</f>
        <v>58</v>
      </c>
      <c r="AE87" s="245" t="str">
        <f>'Fiches Qualif'!AY90</f>
        <v/>
      </c>
      <c r="AF87" s="245">
        <f>'Fiches Qualif'!AZ90</f>
        <v>58</v>
      </c>
      <c r="AG87" s="245" t="str">
        <f>'Fiches Qualif'!BA90</f>
        <v/>
      </c>
      <c r="AH87" s="245">
        <f>'Fiches Qualif'!BB90</f>
        <v>58</v>
      </c>
      <c r="AI87" s="245" t="str">
        <f>'Fiches Qualif'!BC90</f>
        <v/>
      </c>
      <c r="AJ87" s="245">
        <f>'Fiches Qualif'!BD90</f>
        <v>58</v>
      </c>
      <c r="AK87" s="245" t="str">
        <f>'Fiches Qualif'!BE90</f>
        <v/>
      </c>
      <c r="AL87" s="245">
        <f>'Fiches Qualif'!BF90</f>
        <v>58</v>
      </c>
      <c r="AM87" s="245" t="str">
        <f>'Fiches Qualif'!BG90</f>
        <v/>
      </c>
      <c r="AN87" s="245">
        <f>'Fiches Qualif'!BH90</f>
        <v>58</v>
      </c>
      <c r="AO87" s="245" t="str">
        <f>'Fiches Qualif'!BI90</f>
        <v/>
      </c>
      <c r="AP87" s="245">
        <f>'Fiches Qualif'!BJ90</f>
        <v>58</v>
      </c>
      <c r="AQ87" s="245" t="str">
        <f>'Fiches Qualif'!BK90</f>
        <v/>
      </c>
      <c r="AR87" s="245">
        <f>'Fiches Qualif'!BL90</f>
        <v>58</v>
      </c>
      <c r="AS87" s="245" t="str">
        <f>'Fiches Qualif'!BM90</f>
        <v/>
      </c>
    </row>
    <row r="88" spans="28:45" x14ac:dyDescent="0.2">
      <c r="AB88" s="245">
        <f>'Fiches Qualif'!AV91</f>
        <v>59</v>
      </c>
      <c r="AC88" s="245" t="str">
        <f>'Fiches Qualif'!AW91</f>
        <v/>
      </c>
      <c r="AD88" s="245">
        <f>'Fiches Qualif'!AX91</f>
        <v>59</v>
      </c>
      <c r="AE88" s="245" t="str">
        <f>'Fiches Qualif'!AY91</f>
        <v/>
      </c>
      <c r="AF88" s="245">
        <f>'Fiches Qualif'!AZ91</f>
        <v>59</v>
      </c>
      <c r="AG88" s="245" t="str">
        <f>'Fiches Qualif'!BA91</f>
        <v/>
      </c>
      <c r="AH88" s="245">
        <f>'Fiches Qualif'!BB91</f>
        <v>59</v>
      </c>
      <c r="AI88" s="245" t="str">
        <f>'Fiches Qualif'!BC91</f>
        <v/>
      </c>
      <c r="AJ88" s="245">
        <f>'Fiches Qualif'!BD91</f>
        <v>59</v>
      </c>
      <c r="AK88" s="245" t="str">
        <f>'Fiches Qualif'!BE91</f>
        <v/>
      </c>
      <c r="AL88" s="245">
        <f>'Fiches Qualif'!BF91</f>
        <v>59</v>
      </c>
      <c r="AM88" s="245" t="str">
        <f>'Fiches Qualif'!BG91</f>
        <v/>
      </c>
      <c r="AN88" s="245">
        <f>'Fiches Qualif'!BH91</f>
        <v>59</v>
      </c>
      <c r="AO88" s="245" t="str">
        <f>'Fiches Qualif'!BI91</f>
        <v/>
      </c>
      <c r="AP88" s="245">
        <f>'Fiches Qualif'!BJ91</f>
        <v>59</v>
      </c>
      <c r="AQ88" s="245" t="str">
        <f>'Fiches Qualif'!BK91</f>
        <v/>
      </c>
      <c r="AR88" s="245">
        <f>'Fiches Qualif'!BL91</f>
        <v>59</v>
      </c>
      <c r="AS88" s="245" t="str">
        <f>'Fiches Qualif'!BM91</f>
        <v/>
      </c>
    </row>
    <row r="89" spans="28:45" x14ac:dyDescent="0.2">
      <c r="AB89" s="245">
        <f>'Fiches Qualif'!AV92</f>
        <v>60</v>
      </c>
      <c r="AC89" s="245" t="str">
        <f>'Fiches Qualif'!AW92</f>
        <v/>
      </c>
      <c r="AD89" s="245">
        <f>'Fiches Qualif'!AX92</f>
        <v>60</v>
      </c>
      <c r="AE89" s="245" t="str">
        <f>'Fiches Qualif'!AY92</f>
        <v/>
      </c>
      <c r="AF89" s="245">
        <f>'Fiches Qualif'!AZ92</f>
        <v>60</v>
      </c>
      <c r="AG89" s="245" t="str">
        <f>'Fiches Qualif'!BA92</f>
        <v/>
      </c>
      <c r="AH89" s="245">
        <f>'Fiches Qualif'!BB92</f>
        <v>60</v>
      </c>
      <c r="AI89" s="245" t="str">
        <f>'Fiches Qualif'!BC92</f>
        <v/>
      </c>
      <c r="AJ89" s="245">
        <f>'Fiches Qualif'!BD92</f>
        <v>60</v>
      </c>
      <c r="AK89" s="245" t="str">
        <f>'Fiches Qualif'!BE92</f>
        <v/>
      </c>
      <c r="AL89" s="245">
        <f>'Fiches Qualif'!BF92</f>
        <v>60</v>
      </c>
      <c r="AM89" s="245" t="str">
        <f>'Fiches Qualif'!BG92</f>
        <v/>
      </c>
      <c r="AN89" s="245">
        <f>'Fiches Qualif'!BH92</f>
        <v>60</v>
      </c>
      <c r="AO89" s="245" t="str">
        <f>'Fiches Qualif'!BI92</f>
        <v/>
      </c>
      <c r="AP89" s="245">
        <f>'Fiches Qualif'!BJ92</f>
        <v>60</v>
      </c>
      <c r="AQ89" s="245" t="str">
        <f>'Fiches Qualif'!BK92</f>
        <v/>
      </c>
      <c r="AR89" s="245">
        <f>'Fiches Qualif'!BL92</f>
        <v>60</v>
      </c>
      <c r="AS89" s="245" t="str">
        <f>'Fiches Qualif'!BM92</f>
        <v/>
      </c>
    </row>
    <row r="90" spans="28:45" x14ac:dyDescent="0.2">
      <c r="AB90" s="245">
        <f>'Fiches Qualif'!AV93</f>
        <v>61</v>
      </c>
      <c r="AC90" s="245" t="str">
        <f>'Fiches Qualif'!AW93</f>
        <v/>
      </c>
      <c r="AD90" s="245">
        <f>'Fiches Qualif'!AX93</f>
        <v>61</v>
      </c>
      <c r="AE90" s="245" t="str">
        <f>'Fiches Qualif'!AY93</f>
        <v/>
      </c>
      <c r="AF90" s="245">
        <f>'Fiches Qualif'!AZ93</f>
        <v>61</v>
      </c>
      <c r="AG90" s="245" t="str">
        <f>'Fiches Qualif'!BA93</f>
        <v/>
      </c>
      <c r="AH90" s="245">
        <f>'Fiches Qualif'!BB93</f>
        <v>61</v>
      </c>
      <c r="AI90" s="245" t="str">
        <f>'Fiches Qualif'!BC93</f>
        <v/>
      </c>
      <c r="AJ90" s="245">
        <f>'Fiches Qualif'!BD93</f>
        <v>61</v>
      </c>
      <c r="AK90" s="245" t="str">
        <f>'Fiches Qualif'!BE93</f>
        <v/>
      </c>
      <c r="AL90" s="245">
        <f>'Fiches Qualif'!BF93</f>
        <v>61</v>
      </c>
      <c r="AM90" s="245" t="str">
        <f>'Fiches Qualif'!BG93</f>
        <v/>
      </c>
      <c r="AN90" s="245">
        <f>'Fiches Qualif'!BH93</f>
        <v>61</v>
      </c>
      <c r="AO90" s="245" t="str">
        <f>'Fiches Qualif'!BI93</f>
        <v/>
      </c>
      <c r="AP90" s="245">
        <f>'Fiches Qualif'!BJ93</f>
        <v>61</v>
      </c>
      <c r="AQ90" s="245" t="str">
        <f>'Fiches Qualif'!BK93</f>
        <v/>
      </c>
      <c r="AR90" s="245">
        <f>'Fiches Qualif'!BL93</f>
        <v>61</v>
      </c>
      <c r="AS90" s="245" t="str">
        <f>'Fiches Qualif'!BM93</f>
        <v/>
      </c>
    </row>
    <row r="91" spans="28:45" x14ac:dyDescent="0.2">
      <c r="AB91" s="245">
        <f>'Fiches Qualif'!AV94</f>
        <v>62</v>
      </c>
      <c r="AC91" s="245" t="str">
        <f>'Fiches Qualif'!AW94</f>
        <v/>
      </c>
      <c r="AD91" s="245">
        <f>'Fiches Qualif'!AX94</f>
        <v>62</v>
      </c>
      <c r="AE91" s="245" t="str">
        <f>'Fiches Qualif'!AY94</f>
        <v/>
      </c>
      <c r="AF91" s="245">
        <f>'Fiches Qualif'!AZ94</f>
        <v>62</v>
      </c>
      <c r="AG91" s="245" t="str">
        <f>'Fiches Qualif'!BA94</f>
        <v/>
      </c>
      <c r="AH91" s="245">
        <f>'Fiches Qualif'!BB94</f>
        <v>62</v>
      </c>
      <c r="AI91" s="245" t="str">
        <f>'Fiches Qualif'!BC94</f>
        <v/>
      </c>
      <c r="AJ91" s="245">
        <f>'Fiches Qualif'!BD94</f>
        <v>62</v>
      </c>
      <c r="AK91" s="245" t="str">
        <f>'Fiches Qualif'!BE94</f>
        <v/>
      </c>
      <c r="AL91" s="245">
        <f>'Fiches Qualif'!BF94</f>
        <v>62</v>
      </c>
      <c r="AM91" s="245" t="str">
        <f>'Fiches Qualif'!BG94</f>
        <v/>
      </c>
      <c r="AN91" s="245">
        <f>'Fiches Qualif'!BH94</f>
        <v>62</v>
      </c>
      <c r="AO91" s="245" t="str">
        <f>'Fiches Qualif'!BI94</f>
        <v/>
      </c>
      <c r="AP91" s="245">
        <f>'Fiches Qualif'!BJ94</f>
        <v>62</v>
      </c>
      <c r="AQ91" s="245" t="str">
        <f>'Fiches Qualif'!BK94</f>
        <v/>
      </c>
      <c r="AR91" s="245">
        <f>'Fiches Qualif'!BL94</f>
        <v>62</v>
      </c>
      <c r="AS91" s="245" t="str">
        <f>'Fiches Qualif'!BM94</f>
        <v/>
      </c>
    </row>
    <row r="92" spans="28:45" x14ac:dyDescent="0.2">
      <c r="AB92" s="245">
        <f>'Fiches Qualif'!AV95</f>
        <v>63</v>
      </c>
      <c r="AC92" s="245" t="str">
        <f>'Fiches Qualif'!AW95</f>
        <v/>
      </c>
      <c r="AD92" s="245">
        <f>'Fiches Qualif'!AX95</f>
        <v>63</v>
      </c>
      <c r="AE92" s="245" t="str">
        <f>'Fiches Qualif'!AY95</f>
        <v/>
      </c>
      <c r="AF92" s="245">
        <f>'Fiches Qualif'!AZ95</f>
        <v>63</v>
      </c>
      <c r="AG92" s="245" t="str">
        <f>'Fiches Qualif'!BA95</f>
        <v/>
      </c>
      <c r="AH92" s="245">
        <f>'Fiches Qualif'!BB95</f>
        <v>63</v>
      </c>
      <c r="AI92" s="245" t="str">
        <f>'Fiches Qualif'!BC95</f>
        <v/>
      </c>
      <c r="AJ92" s="245">
        <f>'Fiches Qualif'!BD95</f>
        <v>63</v>
      </c>
      <c r="AK92" s="245" t="str">
        <f>'Fiches Qualif'!BE95</f>
        <v/>
      </c>
      <c r="AL92" s="245">
        <f>'Fiches Qualif'!BF95</f>
        <v>63</v>
      </c>
      <c r="AM92" s="245" t="str">
        <f>'Fiches Qualif'!BG95</f>
        <v/>
      </c>
      <c r="AN92" s="245">
        <f>'Fiches Qualif'!BH95</f>
        <v>63</v>
      </c>
      <c r="AO92" s="245" t="str">
        <f>'Fiches Qualif'!BI95</f>
        <v/>
      </c>
      <c r="AP92" s="245">
        <f>'Fiches Qualif'!BJ95</f>
        <v>63</v>
      </c>
      <c r="AQ92" s="245" t="str">
        <f>'Fiches Qualif'!BK95</f>
        <v/>
      </c>
      <c r="AR92" s="245">
        <f>'Fiches Qualif'!BL95</f>
        <v>63</v>
      </c>
      <c r="AS92" s="245" t="str">
        <f>'Fiches Qualif'!BM95</f>
        <v/>
      </c>
    </row>
    <row r="93" spans="28:45" x14ac:dyDescent="0.2">
      <c r="AB93" s="245">
        <f>'Fiches Qualif'!AV96</f>
        <v>64</v>
      </c>
      <c r="AC93" s="245" t="str">
        <f>'Fiches Qualif'!AW96</f>
        <v/>
      </c>
      <c r="AD93" s="245">
        <f>'Fiches Qualif'!AX96</f>
        <v>64</v>
      </c>
      <c r="AE93" s="245" t="str">
        <f>'Fiches Qualif'!AY96</f>
        <v/>
      </c>
      <c r="AF93" s="245">
        <f>'Fiches Qualif'!AZ96</f>
        <v>64</v>
      </c>
      <c r="AG93" s="245" t="str">
        <f>'Fiches Qualif'!BA96</f>
        <v/>
      </c>
      <c r="AH93" s="245">
        <f>'Fiches Qualif'!BB96</f>
        <v>64</v>
      </c>
      <c r="AI93" s="245" t="str">
        <f>'Fiches Qualif'!BC96</f>
        <v/>
      </c>
      <c r="AJ93" s="245">
        <f>'Fiches Qualif'!BD96</f>
        <v>64</v>
      </c>
      <c r="AK93" s="245" t="str">
        <f>'Fiches Qualif'!BE96</f>
        <v/>
      </c>
      <c r="AL93" s="245">
        <f>'Fiches Qualif'!BF96</f>
        <v>64</v>
      </c>
      <c r="AM93" s="245" t="str">
        <f>'Fiches Qualif'!BG96</f>
        <v/>
      </c>
      <c r="AN93" s="245">
        <f>'Fiches Qualif'!BH96</f>
        <v>64</v>
      </c>
      <c r="AO93" s="245" t="str">
        <f>'Fiches Qualif'!BI96</f>
        <v/>
      </c>
      <c r="AP93" s="245">
        <f>'Fiches Qualif'!BJ96</f>
        <v>64</v>
      </c>
      <c r="AQ93" s="245" t="str">
        <f>'Fiches Qualif'!BK96</f>
        <v/>
      </c>
      <c r="AR93" s="245">
        <f>'Fiches Qualif'!BL96</f>
        <v>64</v>
      </c>
      <c r="AS93" s="245" t="str">
        <f>'Fiches Qualif'!BM96</f>
        <v/>
      </c>
    </row>
    <row r="94" spans="28:45" x14ac:dyDescent="0.2">
      <c r="AB94" s="245">
        <f>'Fiches Qualif'!AV97</f>
        <v>65</v>
      </c>
      <c r="AC94" s="245" t="str">
        <f>'Fiches Qualif'!AW97</f>
        <v/>
      </c>
      <c r="AD94" s="245">
        <f>'Fiches Qualif'!AX97</f>
        <v>65</v>
      </c>
      <c r="AE94" s="245" t="str">
        <f>'Fiches Qualif'!AY97</f>
        <v/>
      </c>
      <c r="AF94" s="245">
        <f>'Fiches Qualif'!AZ97</f>
        <v>65</v>
      </c>
      <c r="AG94" s="245" t="str">
        <f>'Fiches Qualif'!BA97</f>
        <v/>
      </c>
      <c r="AH94" s="245">
        <f>'Fiches Qualif'!BB97</f>
        <v>65</v>
      </c>
      <c r="AI94" s="245" t="str">
        <f>'Fiches Qualif'!BC97</f>
        <v/>
      </c>
      <c r="AJ94" s="245">
        <f>'Fiches Qualif'!BD97</f>
        <v>65</v>
      </c>
      <c r="AK94" s="245" t="str">
        <f>'Fiches Qualif'!BE97</f>
        <v/>
      </c>
      <c r="AL94" s="245">
        <f>'Fiches Qualif'!BF97</f>
        <v>65</v>
      </c>
      <c r="AM94" s="245" t="str">
        <f>'Fiches Qualif'!BG97</f>
        <v/>
      </c>
      <c r="AN94" s="245">
        <f>'Fiches Qualif'!BH97</f>
        <v>65</v>
      </c>
      <c r="AO94" s="245" t="str">
        <f>'Fiches Qualif'!BI97</f>
        <v/>
      </c>
      <c r="AP94" s="245">
        <f>'Fiches Qualif'!BJ97</f>
        <v>65</v>
      </c>
      <c r="AQ94" s="245" t="str">
        <f>'Fiches Qualif'!BK97</f>
        <v/>
      </c>
      <c r="AR94" s="245">
        <f>'Fiches Qualif'!BL97</f>
        <v>65</v>
      </c>
      <c r="AS94" s="245" t="str">
        <f>'Fiches Qualif'!BM97</f>
        <v/>
      </c>
    </row>
    <row r="95" spans="28:45" x14ac:dyDescent="0.2">
      <c r="AB95" s="245">
        <f>'Fiches Qualif'!AV98</f>
        <v>66</v>
      </c>
      <c r="AC95" s="245" t="str">
        <f>'Fiches Qualif'!AW98</f>
        <v/>
      </c>
      <c r="AD95" s="245">
        <f>'Fiches Qualif'!AX98</f>
        <v>66</v>
      </c>
      <c r="AE95" s="245" t="str">
        <f>'Fiches Qualif'!AY98</f>
        <v/>
      </c>
      <c r="AF95" s="245">
        <f>'Fiches Qualif'!AZ98</f>
        <v>66</v>
      </c>
      <c r="AG95" s="245" t="str">
        <f>'Fiches Qualif'!BA98</f>
        <v/>
      </c>
      <c r="AH95" s="245">
        <f>'Fiches Qualif'!BB98</f>
        <v>66</v>
      </c>
      <c r="AI95" s="245" t="str">
        <f>'Fiches Qualif'!BC98</f>
        <v/>
      </c>
      <c r="AJ95" s="245">
        <f>'Fiches Qualif'!BD98</f>
        <v>66</v>
      </c>
      <c r="AK95" s="245" t="str">
        <f>'Fiches Qualif'!BE98</f>
        <v/>
      </c>
      <c r="AL95" s="245">
        <f>'Fiches Qualif'!BF98</f>
        <v>66</v>
      </c>
      <c r="AM95" s="245" t="str">
        <f>'Fiches Qualif'!BG98</f>
        <v/>
      </c>
      <c r="AN95" s="245">
        <f>'Fiches Qualif'!BH98</f>
        <v>66</v>
      </c>
      <c r="AO95" s="245" t="str">
        <f>'Fiches Qualif'!BI98</f>
        <v/>
      </c>
      <c r="AP95" s="245">
        <f>'Fiches Qualif'!BJ98</f>
        <v>66</v>
      </c>
      <c r="AQ95" s="245" t="str">
        <f>'Fiches Qualif'!BK98</f>
        <v/>
      </c>
      <c r="AR95" s="245">
        <f>'Fiches Qualif'!BL98</f>
        <v>66</v>
      </c>
      <c r="AS95" s="245" t="str">
        <f>'Fiches Qualif'!BM98</f>
        <v/>
      </c>
    </row>
    <row r="96" spans="28:45" x14ac:dyDescent="0.2">
      <c r="AB96" s="245">
        <f>'Fiches Qualif'!AV99</f>
        <v>67</v>
      </c>
      <c r="AC96" s="245" t="str">
        <f>'Fiches Qualif'!AW99</f>
        <v/>
      </c>
      <c r="AD96" s="245">
        <f>'Fiches Qualif'!AX99</f>
        <v>67</v>
      </c>
      <c r="AE96" s="245" t="str">
        <f>'Fiches Qualif'!AY99</f>
        <v/>
      </c>
      <c r="AF96" s="245">
        <f>'Fiches Qualif'!AZ99</f>
        <v>67</v>
      </c>
      <c r="AG96" s="245" t="str">
        <f>'Fiches Qualif'!BA99</f>
        <v/>
      </c>
      <c r="AH96" s="245">
        <f>'Fiches Qualif'!BB99</f>
        <v>67</v>
      </c>
      <c r="AI96" s="245" t="str">
        <f>'Fiches Qualif'!BC99</f>
        <v/>
      </c>
      <c r="AJ96" s="245">
        <f>'Fiches Qualif'!BD99</f>
        <v>67</v>
      </c>
      <c r="AK96" s="245" t="str">
        <f>'Fiches Qualif'!BE99</f>
        <v/>
      </c>
      <c r="AL96" s="245">
        <f>'Fiches Qualif'!BF99</f>
        <v>67</v>
      </c>
      <c r="AM96" s="245" t="str">
        <f>'Fiches Qualif'!BG99</f>
        <v/>
      </c>
      <c r="AN96" s="245">
        <f>'Fiches Qualif'!BH99</f>
        <v>67</v>
      </c>
      <c r="AO96" s="245" t="str">
        <f>'Fiches Qualif'!BI99</f>
        <v/>
      </c>
      <c r="AP96" s="245">
        <f>'Fiches Qualif'!BJ99</f>
        <v>67</v>
      </c>
      <c r="AQ96" s="245" t="str">
        <f>'Fiches Qualif'!BK99</f>
        <v/>
      </c>
      <c r="AR96" s="245">
        <f>'Fiches Qualif'!BL99</f>
        <v>67</v>
      </c>
      <c r="AS96" s="245" t="str">
        <f>'Fiches Qualif'!BM99</f>
        <v/>
      </c>
    </row>
    <row r="97" spans="28:45" x14ac:dyDescent="0.2">
      <c r="AB97" s="245">
        <f>'Fiches Qualif'!AV100</f>
        <v>68</v>
      </c>
      <c r="AC97" s="245" t="str">
        <f>'Fiches Qualif'!AW100</f>
        <v/>
      </c>
      <c r="AD97" s="245">
        <f>'Fiches Qualif'!AX100</f>
        <v>68</v>
      </c>
      <c r="AE97" s="245" t="str">
        <f>'Fiches Qualif'!AY100</f>
        <v/>
      </c>
      <c r="AF97" s="245">
        <f>'Fiches Qualif'!AZ100</f>
        <v>68</v>
      </c>
      <c r="AG97" s="245" t="str">
        <f>'Fiches Qualif'!BA100</f>
        <v/>
      </c>
      <c r="AH97" s="245">
        <f>'Fiches Qualif'!BB100</f>
        <v>68</v>
      </c>
      <c r="AI97" s="245" t="str">
        <f>'Fiches Qualif'!BC100</f>
        <v/>
      </c>
      <c r="AJ97" s="245">
        <f>'Fiches Qualif'!BD100</f>
        <v>68</v>
      </c>
      <c r="AK97" s="245" t="str">
        <f>'Fiches Qualif'!BE100</f>
        <v/>
      </c>
      <c r="AL97" s="245">
        <f>'Fiches Qualif'!BF100</f>
        <v>68</v>
      </c>
      <c r="AM97" s="245" t="str">
        <f>'Fiches Qualif'!BG100</f>
        <v/>
      </c>
      <c r="AN97" s="245">
        <f>'Fiches Qualif'!BH100</f>
        <v>68</v>
      </c>
      <c r="AO97" s="245" t="str">
        <f>'Fiches Qualif'!BI100</f>
        <v/>
      </c>
      <c r="AP97" s="245">
        <f>'Fiches Qualif'!BJ100</f>
        <v>68</v>
      </c>
      <c r="AQ97" s="245" t="str">
        <f>'Fiches Qualif'!BK100</f>
        <v/>
      </c>
      <c r="AR97" s="245">
        <f>'Fiches Qualif'!BL100</f>
        <v>68</v>
      </c>
      <c r="AS97" s="245" t="str">
        <f>'Fiches Qualif'!BM100</f>
        <v/>
      </c>
    </row>
    <row r="98" spans="28:45" x14ac:dyDescent="0.2">
      <c r="AB98" s="245">
        <f>'Fiches Qualif'!AV101</f>
        <v>69</v>
      </c>
      <c r="AC98" s="245" t="str">
        <f>'Fiches Qualif'!AW101</f>
        <v/>
      </c>
      <c r="AD98" s="245">
        <f>'Fiches Qualif'!AX101</f>
        <v>69</v>
      </c>
      <c r="AE98" s="245" t="str">
        <f>'Fiches Qualif'!AY101</f>
        <v/>
      </c>
      <c r="AF98" s="245">
        <f>'Fiches Qualif'!AZ101</f>
        <v>69</v>
      </c>
      <c r="AG98" s="245" t="str">
        <f>'Fiches Qualif'!BA101</f>
        <v/>
      </c>
      <c r="AH98" s="245">
        <f>'Fiches Qualif'!BB101</f>
        <v>69</v>
      </c>
      <c r="AI98" s="245" t="str">
        <f>'Fiches Qualif'!BC101</f>
        <v/>
      </c>
      <c r="AJ98" s="245">
        <f>'Fiches Qualif'!BD101</f>
        <v>69</v>
      </c>
      <c r="AK98" s="245" t="str">
        <f>'Fiches Qualif'!BE101</f>
        <v/>
      </c>
      <c r="AL98" s="245">
        <f>'Fiches Qualif'!BF101</f>
        <v>69</v>
      </c>
      <c r="AM98" s="245" t="str">
        <f>'Fiches Qualif'!BG101</f>
        <v/>
      </c>
      <c r="AN98" s="245">
        <f>'Fiches Qualif'!BH101</f>
        <v>69</v>
      </c>
      <c r="AO98" s="245" t="str">
        <f>'Fiches Qualif'!BI101</f>
        <v/>
      </c>
      <c r="AP98" s="245">
        <f>'Fiches Qualif'!BJ101</f>
        <v>69</v>
      </c>
      <c r="AQ98" s="245" t="str">
        <f>'Fiches Qualif'!BK101</f>
        <v/>
      </c>
      <c r="AR98" s="245">
        <f>'Fiches Qualif'!BL101</f>
        <v>69</v>
      </c>
      <c r="AS98" s="245" t="str">
        <f>'Fiches Qualif'!BM101</f>
        <v/>
      </c>
    </row>
    <row r="99" spans="28:45" x14ac:dyDescent="0.2">
      <c r="AB99" s="245">
        <f>'Fiches Qualif'!AV102</f>
        <v>70</v>
      </c>
      <c r="AC99" s="245" t="str">
        <f>'Fiches Qualif'!AW102</f>
        <v/>
      </c>
      <c r="AD99" s="245">
        <f>'Fiches Qualif'!AX102</f>
        <v>70</v>
      </c>
      <c r="AE99" s="245" t="str">
        <f>'Fiches Qualif'!AY102</f>
        <v/>
      </c>
      <c r="AF99" s="245">
        <f>'Fiches Qualif'!AZ102</f>
        <v>70</v>
      </c>
      <c r="AG99" s="245" t="str">
        <f>'Fiches Qualif'!BA102</f>
        <v/>
      </c>
      <c r="AH99" s="245">
        <f>'Fiches Qualif'!BB102</f>
        <v>70</v>
      </c>
      <c r="AI99" s="245" t="str">
        <f>'Fiches Qualif'!BC102</f>
        <v/>
      </c>
      <c r="AJ99" s="245">
        <f>'Fiches Qualif'!BD102</f>
        <v>70</v>
      </c>
      <c r="AK99" s="245" t="str">
        <f>'Fiches Qualif'!BE102</f>
        <v/>
      </c>
      <c r="AL99" s="245">
        <f>'Fiches Qualif'!BF102</f>
        <v>70</v>
      </c>
      <c r="AM99" s="245" t="str">
        <f>'Fiches Qualif'!BG102</f>
        <v/>
      </c>
      <c r="AN99" s="245">
        <f>'Fiches Qualif'!BH102</f>
        <v>70</v>
      </c>
      <c r="AO99" s="245" t="str">
        <f>'Fiches Qualif'!BI102</f>
        <v/>
      </c>
      <c r="AP99" s="245">
        <f>'Fiches Qualif'!BJ102</f>
        <v>70</v>
      </c>
      <c r="AQ99" s="245" t="str">
        <f>'Fiches Qualif'!BK102</f>
        <v/>
      </c>
      <c r="AR99" s="245">
        <f>'Fiches Qualif'!BL102</f>
        <v>70</v>
      </c>
      <c r="AS99" s="245" t="str">
        <f>'Fiches Qualif'!BM102</f>
        <v/>
      </c>
    </row>
    <row r="100" spans="28:45" x14ac:dyDescent="0.2">
      <c r="AB100" s="245">
        <f>'Fiches Qualif'!AV103</f>
        <v>71</v>
      </c>
      <c r="AC100" s="245" t="str">
        <f>'Fiches Qualif'!AW103</f>
        <v/>
      </c>
      <c r="AD100" s="245">
        <f>'Fiches Qualif'!AX103</f>
        <v>71</v>
      </c>
      <c r="AE100" s="245" t="str">
        <f>'Fiches Qualif'!AY103</f>
        <v/>
      </c>
      <c r="AF100" s="245">
        <f>'Fiches Qualif'!AZ103</f>
        <v>71</v>
      </c>
      <c r="AG100" s="245" t="str">
        <f>'Fiches Qualif'!BA103</f>
        <v/>
      </c>
      <c r="AH100" s="245">
        <f>'Fiches Qualif'!BB103</f>
        <v>71</v>
      </c>
      <c r="AI100" s="245" t="str">
        <f>'Fiches Qualif'!BC103</f>
        <v/>
      </c>
      <c r="AJ100" s="245">
        <f>'Fiches Qualif'!BD103</f>
        <v>71</v>
      </c>
      <c r="AK100" s="245" t="str">
        <f>'Fiches Qualif'!BE103</f>
        <v/>
      </c>
      <c r="AL100" s="245">
        <f>'Fiches Qualif'!BF103</f>
        <v>71</v>
      </c>
      <c r="AM100" s="245" t="str">
        <f>'Fiches Qualif'!BG103</f>
        <v/>
      </c>
      <c r="AN100" s="245">
        <f>'Fiches Qualif'!BH103</f>
        <v>71</v>
      </c>
      <c r="AO100" s="245" t="str">
        <f>'Fiches Qualif'!BI103</f>
        <v/>
      </c>
      <c r="AP100" s="245">
        <f>'Fiches Qualif'!BJ103</f>
        <v>71</v>
      </c>
      <c r="AQ100" s="245" t="str">
        <f>'Fiches Qualif'!BK103</f>
        <v/>
      </c>
      <c r="AR100" s="245">
        <f>'Fiches Qualif'!BL103</f>
        <v>71</v>
      </c>
      <c r="AS100" s="245" t="str">
        <f>'Fiches Qualif'!BM103</f>
        <v/>
      </c>
    </row>
    <row r="101" spans="28:45" x14ac:dyDescent="0.2">
      <c r="AB101" s="245">
        <f>'Fiches Qualif'!AV104</f>
        <v>72</v>
      </c>
      <c r="AC101" s="245" t="str">
        <f>'Fiches Qualif'!AW104</f>
        <v/>
      </c>
      <c r="AD101" s="245">
        <f>'Fiches Qualif'!AX104</f>
        <v>72</v>
      </c>
      <c r="AE101" s="245" t="str">
        <f>'Fiches Qualif'!AY104</f>
        <v/>
      </c>
      <c r="AF101" s="245">
        <f>'Fiches Qualif'!AZ104</f>
        <v>72</v>
      </c>
      <c r="AG101" s="245" t="str">
        <f>'Fiches Qualif'!BA104</f>
        <v/>
      </c>
      <c r="AH101" s="245">
        <f>'Fiches Qualif'!BB104</f>
        <v>72</v>
      </c>
      <c r="AI101" s="245" t="str">
        <f>'Fiches Qualif'!BC104</f>
        <v/>
      </c>
      <c r="AJ101" s="245">
        <f>'Fiches Qualif'!BD104</f>
        <v>72</v>
      </c>
      <c r="AK101" s="245" t="str">
        <f>'Fiches Qualif'!BE104</f>
        <v/>
      </c>
      <c r="AL101" s="245">
        <f>'Fiches Qualif'!BF104</f>
        <v>72</v>
      </c>
      <c r="AM101" s="245" t="str">
        <f>'Fiches Qualif'!BG104</f>
        <v/>
      </c>
      <c r="AN101" s="245">
        <f>'Fiches Qualif'!BH104</f>
        <v>72</v>
      </c>
      <c r="AO101" s="245" t="str">
        <f>'Fiches Qualif'!BI104</f>
        <v/>
      </c>
      <c r="AP101" s="245">
        <f>'Fiches Qualif'!BJ104</f>
        <v>72</v>
      </c>
      <c r="AQ101" s="245" t="str">
        <f>'Fiches Qualif'!BK104</f>
        <v/>
      </c>
      <c r="AR101" s="245">
        <f>'Fiches Qualif'!BL104</f>
        <v>72</v>
      </c>
      <c r="AS101" s="245" t="str">
        <f>'Fiches Qualif'!BM104</f>
        <v/>
      </c>
    </row>
    <row r="102" spans="28:45" x14ac:dyDescent="0.2">
      <c r="AB102" s="245">
        <f>'Fiches Qualif'!AV105</f>
        <v>73</v>
      </c>
      <c r="AC102" s="217" t="str">
        <f>'Fiches Qualif'!AW105</f>
        <v/>
      </c>
      <c r="AD102" s="245">
        <f>'Fiches Qualif'!AX105</f>
        <v>73</v>
      </c>
      <c r="AE102" s="217" t="str">
        <f>'Fiches Qualif'!AY105</f>
        <v/>
      </c>
      <c r="AF102" s="245">
        <f>'Fiches Qualif'!AZ105</f>
        <v>73</v>
      </c>
      <c r="AG102" s="217" t="str">
        <f>'Fiches Qualif'!BA105</f>
        <v/>
      </c>
      <c r="AH102" s="245">
        <f>'Fiches Qualif'!BB105</f>
        <v>73</v>
      </c>
      <c r="AI102" s="217" t="str">
        <f>'Fiches Qualif'!BC105</f>
        <v/>
      </c>
      <c r="AJ102" s="245">
        <f>'Fiches Qualif'!BD105</f>
        <v>73</v>
      </c>
      <c r="AK102" s="217" t="str">
        <f>'Fiches Qualif'!BE105</f>
        <v/>
      </c>
      <c r="AL102" s="245">
        <f>'Fiches Qualif'!BF105</f>
        <v>73</v>
      </c>
      <c r="AM102" s="217" t="str">
        <f>'Fiches Qualif'!BG105</f>
        <v/>
      </c>
      <c r="AN102" s="245">
        <f>'Fiches Qualif'!BH105</f>
        <v>73</v>
      </c>
      <c r="AO102" s="217" t="str">
        <f>'Fiches Qualif'!BI105</f>
        <v/>
      </c>
      <c r="AP102" s="245">
        <f>'Fiches Qualif'!BJ105</f>
        <v>73</v>
      </c>
      <c r="AQ102" s="217" t="str">
        <f>'Fiches Qualif'!BK105</f>
        <v/>
      </c>
      <c r="AR102" s="245">
        <f>'Fiches Qualif'!BL105</f>
        <v>73</v>
      </c>
      <c r="AS102" s="245" t="str">
        <f>'Fiches Qualif'!BM105</f>
        <v/>
      </c>
    </row>
    <row r="103" spans="28:45" x14ac:dyDescent="0.2">
      <c r="AB103" s="245">
        <f>'Fiches Qualif'!AV106</f>
        <v>74</v>
      </c>
      <c r="AC103" s="217" t="str">
        <f>'Fiches Qualif'!AW106</f>
        <v/>
      </c>
      <c r="AD103" s="245">
        <f>'Fiches Qualif'!AX106</f>
        <v>74</v>
      </c>
      <c r="AE103" s="217" t="str">
        <f>'Fiches Qualif'!AY106</f>
        <v/>
      </c>
      <c r="AF103" s="245">
        <f>'Fiches Qualif'!AZ106</f>
        <v>74</v>
      </c>
      <c r="AG103" s="217" t="str">
        <f>'Fiches Qualif'!BA106</f>
        <v/>
      </c>
      <c r="AH103" s="245">
        <f>'Fiches Qualif'!BB106</f>
        <v>74</v>
      </c>
      <c r="AI103" s="217" t="str">
        <f>'Fiches Qualif'!BC106</f>
        <v/>
      </c>
      <c r="AJ103" s="245">
        <f>'Fiches Qualif'!BD106</f>
        <v>74</v>
      </c>
      <c r="AK103" s="217" t="str">
        <f>'Fiches Qualif'!BE106</f>
        <v/>
      </c>
      <c r="AL103" s="245">
        <f>'Fiches Qualif'!BF106</f>
        <v>74</v>
      </c>
      <c r="AM103" s="217" t="str">
        <f>'Fiches Qualif'!BG106</f>
        <v/>
      </c>
      <c r="AN103" s="245">
        <f>'Fiches Qualif'!BH106</f>
        <v>74</v>
      </c>
      <c r="AO103" s="217" t="str">
        <f>'Fiches Qualif'!BI106</f>
        <v/>
      </c>
      <c r="AP103" s="245">
        <f>'Fiches Qualif'!BJ106</f>
        <v>74</v>
      </c>
      <c r="AQ103" s="217" t="str">
        <f>'Fiches Qualif'!BK106</f>
        <v/>
      </c>
      <c r="AR103" s="245">
        <f>'Fiches Qualif'!BL106</f>
        <v>74</v>
      </c>
      <c r="AS103" s="245" t="str">
        <f>'Fiches Qualif'!BM106</f>
        <v/>
      </c>
    </row>
    <row r="104" spans="28:45" x14ac:dyDescent="0.2">
      <c r="AB104" s="245">
        <f>'Fiches Qualif'!AV107</f>
        <v>75</v>
      </c>
      <c r="AC104" s="217" t="str">
        <f>'Fiches Qualif'!AW107</f>
        <v/>
      </c>
      <c r="AD104" s="245">
        <f>'Fiches Qualif'!AX107</f>
        <v>75</v>
      </c>
      <c r="AE104" s="217" t="str">
        <f>'Fiches Qualif'!AY107</f>
        <v/>
      </c>
      <c r="AF104" s="245">
        <f>'Fiches Qualif'!AZ107</f>
        <v>75</v>
      </c>
      <c r="AG104" s="217" t="str">
        <f>'Fiches Qualif'!BA107</f>
        <v/>
      </c>
      <c r="AH104" s="245">
        <f>'Fiches Qualif'!BB107</f>
        <v>75</v>
      </c>
      <c r="AI104" s="217" t="str">
        <f>'Fiches Qualif'!BC107</f>
        <v/>
      </c>
      <c r="AJ104" s="245">
        <f>'Fiches Qualif'!BD107</f>
        <v>75</v>
      </c>
      <c r="AK104" s="217" t="str">
        <f>'Fiches Qualif'!BE107</f>
        <v/>
      </c>
      <c r="AL104" s="245">
        <f>'Fiches Qualif'!BF107</f>
        <v>75</v>
      </c>
      <c r="AM104" s="217" t="str">
        <f>'Fiches Qualif'!BG107</f>
        <v/>
      </c>
      <c r="AN104" s="245">
        <f>'Fiches Qualif'!BH107</f>
        <v>75</v>
      </c>
      <c r="AO104" s="217" t="str">
        <f>'Fiches Qualif'!BI107</f>
        <v/>
      </c>
      <c r="AP104" s="245">
        <f>'Fiches Qualif'!BJ107</f>
        <v>75</v>
      </c>
      <c r="AQ104" s="217" t="str">
        <f>'Fiches Qualif'!BK107</f>
        <v/>
      </c>
      <c r="AR104" s="245">
        <f>'Fiches Qualif'!BL107</f>
        <v>75</v>
      </c>
      <c r="AS104" s="245" t="str">
        <f>'Fiches Qualif'!BM107</f>
        <v/>
      </c>
    </row>
    <row r="105" spans="28:45" x14ac:dyDescent="0.2">
      <c r="AB105" s="245">
        <f>'Fiches Qualif'!AV108</f>
        <v>76</v>
      </c>
      <c r="AC105" s="217" t="str">
        <f>'Fiches Qualif'!AW108</f>
        <v/>
      </c>
      <c r="AD105" s="245">
        <f>'Fiches Qualif'!AX108</f>
        <v>76</v>
      </c>
      <c r="AE105" s="217" t="str">
        <f>'Fiches Qualif'!AY108</f>
        <v/>
      </c>
      <c r="AF105" s="245">
        <f>'Fiches Qualif'!AZ108</f>
        <v>76</v>
      </c>
      <c r="AG105" s="217" t="str">
        <f>'Fiches Qualif'!BA108</f>
        <v/>
      </c>
      <c r="AH105" s="245">
        <f>'Fiches Qualif'!BB108</f>
        <v>76</v>
      </c>
      <c r="AI105" s="217" t="str">
        <f>'Fiches Qualif'!BC108</f>
        <v/>
      </c>
      <c r="AJ105" s="245">
        <f>'Fiches Qualif'!BD108</f>
        <v>76</v>
      </c>
      <c r="AK105" s="217" t="str">
        <f>'Fiches Qualif'!BE108</f>
        <v/>
      </c>
      <c r="AL105" s="245">
        <f>'Fiches Qualif'!BF108</f>
        <v>76</v>
      </c>
      <c r="AM105" s="217" t="str">
        <f>'Fiches Qualif'!BG108</f>
        <v/>
      </c>
      <c r="AN105" s="245">
        <f>'Fiches Qualif'!BH108</f>
        <v>76</v>
      </c>
      <c r="AO105" s="217" t="str">
        <f>'Fiches Qualif'!BI108</f>
        <v/>
      </c>
      <c r="AP105" s="245">
        <f>'Fiches Qualif'!BJ108</f>
        <v>76</v>
      </c>
      <c r="AQ105" s="217" t="str">
        <f>'Fiches Qualif'!BK108</f>
        <v/>
      </c>
      <c r="AR105" s="245">
        <f>'Fiches Qualif'!BL108</f>
        <v>76</v>
      </c>
      <c r="AS105" s="245" t="str">
        <f>'Fiches Qualif'!BM108</f>
        <v/>
      </c>
    </row>
    <row r="106" spans="28:45" x14ac:dyDescent="0.2">
      <c r="AB106" s="245">
        <f>'Fiches Qualif'!AV109</f>
        <v>77</v>
      </c>
      <c r="AC106" s="217" t="str">
        <f>'Fiches Qualif'!AW109</f>
        <v/>
      </c>
      <c r="AD106" s="245">
        <f>'Fiches Qualif'!AX109</f>
        <v>77</v>
      </c>
      <c r="AE106" s="217" t="str">
        <f>'Fiches Qualif'!AY109</f>
        <v/>
      </c>
      <c r="AF106" s="245">
        <f>'Fiches Qualif'!AZ109</f>
        <v>77</v>
      </c>
      <c r="AG106" s="217" t="str">
        <f>'Fiches Qualif'!BA109</f>
        <v/>
      </c>
      <c r="AH106" s="245">
        <f>'Fiches Qualif'!BB109</f>
        <v>77</v>
      </c>
      <c r="AI106" s="217" t="str">
        <f>'Fiches Qualif'!BC109</f>
        <v/>
      </c>
      <c r="AJ106" s="245">
        <f>'Fiches Qualif'!BD109</f>
        <v>77</v>
      </c>
      <c r="AK106" s="217" t="str">
        <f>'Fiches Qualif'!BE109</f>
        <v/>
      </c>
      <c r="AL106" s="245">
        <f>'Fiches Qualif'!BF109</f>
        <v>77</v>
      </c>
      <c r="AM106" s="217" t="str">
        <f>'Fiches Qualif'!BG109</f>
        <v/>
      </c>
      <c r="AN106" s="245">
        <f>'Fiches Qualif'!BH109</f>
        <v>77</v>
      </c>
      <c r="AO106" s="217" t="str">
        <f>'Fiches Qualif'!BI109</f>
        <v/>
      </c>
      <c r="AP106" s="245">
        <f>'Fiches Qualif'!BJ109</f>
        <v>77</v>
      </c>
      <c r="AQ106" s="217" t="str">
        <f>'Fiches Qualif'!BK109</f>
        <v/>
      </c>
      <c r="AR106" s="245">
        <f>'Fiches Qualif'!BL109</f>
        <v>77</v>
      </c>
      <c r="AS106" s="245" t="str">
        <f>'Fiches Qualif'!BM109</f>
        <v/>
      </c>
    </row>
    <row r="107" spans="28:45" x14ac:dyDescent="0.2">
      <c r="AB107" s="245">
        <f>'Fiches Qualif'!AV110</f>
        <v>78</v>
      </c>
      <c r="AC107" s="217" t="str">
        <f>'Fiches Qualif'!AW110</f>
        <v/>
      </c>
      <c r="AD107" s="245">
        <f>'Fiches Qualif'!AX110</f>
        <v>78</v>
      </c>
      <c r="AE107" s="217" t="str">
        <f>'Fiches Qualif'!AY110</f>
        <v/>
      </c>
      <c r="AF107" s="245">
        <f>'Fiches Qualif'!AZ110</f>
        <v>78</v>
      </c>
      <c r="AG107" s="217" t="str">
        <f>'Fiches Qualif'!BA110</f>
        <v/>
      </c>
      <c r="AH107" s="245">
        <f>'Fiches Qualif'!BB110</f>
        <v>78</v>
      </c>
      <c r="AI107" s="217" t="str">
        <f>'Fiches Qualif'!BC110</f>
        <v/>
      </c>
      <c r="AJ107" s="245">
        <f>'Fiches Qualif'!BD110</f>
        <v>78</v>
      </c>
      <c r="AK107" s="217" t="str">
        <f>'Fiches Qualif'!BE110</f>
        <v/>
      </c>
      <c r="AL107" s="245">
        <f>'Fiches Qualif'!BF110</f>
        <v>78</v>
      </c>
      <c r="AM107" s="217" t="str">
        <f>'Fiches Qualif'!BG110</f>
        <v/>
      </c>
      <c r="AN107" s="245">
        <f>'Fiches Qualif'!BH110</f>
        <v>78</v>
      </c>
      <c r="AO107" s="217" t="str">
        <f>'Fiches Qualif'!BI110</f>
        <v/>
      </c>
      <c r="AP107" s="245">
        <f>'Fiches Qualif'!BJ110</f>
        <v>78</v>
      </c>
      <c r="AQ107" s="217" t="str">
        <f>'Fiches Qualif'!BK110</f>
        <v/>
      </c>
      <c r="AR107" s="245">
        <f>'Fiches Qualif'!BL110</f>
        <v>78</v>
      </c>
      <c r="AS107" s="245" t="str">
        <f>'Fiches Qualif'!BM110</f>
        <v/>
      </c>
    </row>
    <row r="108" spans="28:45" x14ac:dyDescent="0.2">
      <c r="AB108" s="245">
        <f>'Fiches Qualif'!AV111</f>
        <v>79</v>
      </c>
      <c r="AC108" s="217" t="str">
        <f>'Fiches Qualif'!AW111</f>
        <v/>
      </c>
      <c r="AD108" s="245">
        <f>'Fiches Qualif'!AX111</f>
        <v>79</v>
      </c>
      <c r="AE108" s="217" t="str">
        <f>'Fiches Qualif'!AY111</f>
        <v/>
      </c>
      <c r="AF108" s="245">
        <f>'Fiches Qualif'!AZ111</f>
        <v>79</v>
      </c>
      <c r="AG108" s="217" t="str">
        <f>'Fiches Qualif'!BA111</f>
        <v/>
      </c>
      <c r="AH108" s="245">
        <f>'Fiches Qualif'!BB111</f>
        <v>79</v>
      </c>
      <c r="AI108" s="217" t="str">
        <f>'Fiches Qualif'!BC111</f>
        <v/>
      </c>
      <c r="AJ108" s="245">
        <f>'Fiches Qualif'!BD111</f>
        <v>79</v>
      </c>
      <c r="AK108" s="217" t="str">
        <f>'Fiches Qualif'!BE111</f>
        <v/>
      </c>
      <c r="AL108" s="245">
        <f>'Fiches Qualif'!BF111</f>
        <v>79</v>
      </c>
      <c r="AM108" s="217" t="str">
        <f>'Fiches Qualif'!BG111</f>
        <v/>
      </c>
      <c r="AN108" s="245">
        <f>'Fiches Qualif'!BH111</f>
        <v>79</v>
      </c>
      <c r="AO108" s="217" t="str">
        <f>'Fiches Qualif'!BI111</f>
        <v/>
      </c>
      <c r="AP108" s="245">
        <f>'Fiches Qualif'!BJ111</f>
        <v>79</v>
      </c>
      <c r="AQ108" s="217" t="str">
        <f>'Fiches Qualif'!BK111</f>
        <v/>
      </c>
      <c r="AR108" s="245">
        <f>'Fiches Qualif'!BL111</f>
        <v>79</v>
      </c>
      <c r="AS108" s="245" t="str">
        <f>'Fiches Qualif'!BM111</f>
        <v/>
      </c>
    </row>
    <row r="109" spans="28:45" x14ac:dyDescent="0.2">
      <c r="AB109" s="245">
        <f>'Fiches Qualif'!AV112</f>
        <v>80</v>
      </c>
      <c r="AC109" s="217" t="str">
        <f>'Fiches Qualif'!AW112</f>
        <v/>
      </c>
      <c r="AD109" s="245">
        <f>'Fiches Qualif'!AX112</f>
        <v>80</v>
      </c>
      <c r="AE109" s="217" t="str">
        <f>'Fiches Qualif'!AY112</f>
        <v/>
      </c>
      <c r="AF109" s="245">
        <f>'Fiches Qualif'!AZ112</f>
        <v>80</v>
      </c>
      <c r="AG109" s="217" t="str">
        <f>'Fiches Qualif'!BA112</f>
        <v/>
      </c>
      <c r="AH109" s="245">
        <f>'Fiches Qualif'!BB112</f>
        <v>80</v>
      </c>
      <c r="AI109" s="217" t="str">
        <f>'Fiches Qualif'!BC112</f>
        <v/>
      </c>
      <c r="AJ109" s="245">
        <f>'Fiches Qualif'!BD112</f>
        <v>80</v>
      </c>
      <c r="AK109" s="217" t="str">
        <f>'Fiches Qualif'!BE112</f>
        <v/>
      </c>
      <c r="AL109" s="245">
        <f>'Fiches Qualif'!BF112</f>
        <v>80</v>
      </c>
      <c r="AM109" s="217" t="str">
        <f>'Fiches Qualif'!BG112</f>
        <v/>
      </c>
      <c r="AN109" s="245">
        <f>'Fiches Qualif'!BH112</f>
        <v>80</v>
      </c>
      <c r="AO109" s="217" t="str">
        <f>'Fiches Qualif'!BI112</f>
        <v/>
      </c>
      <c r="AP109" s="245">
        <f>'Fiches Qualif'!BJ112</f>
        <v>80</v>
      </c>
      <c r="AQ109" s="217" t="str">
        <f>'Fiches Qualif'!BK112</f>
        <v/>
      </c>
      <c r="AR109" s="245">
        <f>'Fiches Qualif'!BL112</f>
        <v>80</v>
      </c>
      <c r="AS109" s="245" t="str">
        <f>'Fiches Qualif'!BM112</f>
        <v/>
      </c>
    </row>
    <row r="110" spans="28:45" x14ac:dyDescent="0.2">
      <c r="AB110" s="245">
        <f>'Fiches Qualif'!AV113</f>
        <v>81</v>
      </c>
      <c r="AC110" s="217" t="str">
        <f>'Fiches Qualif'!AW113</f>
        <v/>
      </c>
      <c r="AD110" s="245">
        <f>'Fiches Qualif'!AX113</f>
        <v>81</v>
      </c>
      <c r="AE110" s="217" t="str">
        <f>'Fiches Qualif'!AY113</f>
        <v/>
      </c>
      <c r="AF110" s="245">
        <f>'Fiches Qualif'!AZ113</f>
        <v>81</v>
      </c>
      <c r="AG110" s="217" t="str">
        <f>'Fiches Qualif'!BA113</f>
        <v/>
      </c>
      <c r="AH110" s="245">
        <f>'Fiches Qualif'!BB113</f>
        <v>81</v>
      </c>
      <c r="AI110" s="217" t="str">
        <f>'Fiches Qualif'!BC113</f>
        <v/>
      </c>
      <c r="AJ110" s="245">
        <f>'Fiches Qualif'!BD113</f>
        <v>81</v>
      </c>
      <c r="AK110" s="217" t="str">
        <f>'Fiches Qualif'!BE113</f>
        <v/>
      </c>
      <c r="AL110" s="245">
        <f>'Fiches Qualif'!BF113</f>
        <v>81</v>
      </c>
      <c r="AM110" s="217" t="str">
        <f>'Fiches Qualif'!BG113</f>
        <v/>
      </c>
      <c r="AN110" s="245">
        <f>'Fiches Qualif'!BH113</f>
        <v>81</v>
      </c>
      <c r="AO110" s="217" t="str">
        <f>'Fiches Qualif'!BI113</f>
        <v/>
      </c>
      <c r="AP110" s="245">
        <f>'Fiches Qualif'!BJ113</f>
        <v>81</v>
      </c>
      <c r="AQ110" s="217" t="str">
        <f>'Fiches Qualif'!BK113</f>
        <v/>
      </c>
      <c r="AR110" s="245">
        <f>'Fiches Qualif'!BL113</f>
        <v>81</v>
      </c>
      <c r="AS110" s="245" t="str">
        <f>'Fiches Qualif'!BM113</f>
        <v/>
      </c>
    </row>
    <row r="111" spans="28:45" x14ac:dyDescent="0.2">
      <c r="AB111" s="245">
        <f>'Fiches Qualif'!AV114</f>
        <v>82</v>
      </c>
      <c r="AC111" s="217" t="str">
        <f>'Fiches Qualif'!AW114</f>
        <v/>
      </c>
      <c r="AD111" s="245">
        <f>'Fiches Qualif'!AX114</f>
        <v>82</v>
      </c>
      <c r="AE111" s="217" t="str">
        <f>'Fiches Qualif'!AY114</f>
        <v/>
      </c>
      <c r="AF111" s="245">
        <f>'Fiches Qualif'!AZ114</f>
        <v>82</v>
      </c>
      <c r="AG111" s="217" t="str">
        <f>'Fiches Qualif'!BA114</f>
        <v/>
      </c>
      <c r="AH111" s="245">
        <f>'Fiches Qualif'!BB114</f>
        <v>82</v>
      </c>
      <c r="AI111" s="217" t="str">
        <f>'Fiches Qualif'!BC114</f>
        <v/>
      </c>
      <c r="AJ111" s="245">
        <f>'Fiches Qualif'!BD114</f>
        <v>82</v>
      </c>
      <c r="AK111" s="217" t="str">
        <f>'Fiches Qualif'!BE114</f>
        <v/>
      </c>
      <c r="AL111" s="245">
        <f>'Fiches Qualif'!BF114</f>
        <v>82</v>
      </c>
      <c r="AM111" s="217" t="str">
        <f>'Fiches Qualif'!BG114</f>
        <v/>
      </c>
      <c r="AN111" s="245">
        <f>'Fiches Qualif'!BH114</f>
        <v>82</v>
      </c>
      <c r="AO111" s="217" t="str">
        <f>'Fiches Qualif'!BI114</f>
        <v/>
      </c>
      <c r="AP111" s="245">
        <f>'Fiches Qualif'!BJ114</f>
        <v>82</v>
      </c>
      <c r="AQ111" s="217" t="str">
        <f>'Fiches Qualif'!BK114</f>
        <v/>
      </c>
      <c r="AR111" s="245">
        <f>'Fiches Qualif'!BL114</f>
        <v>82</v>
      </c>
      <c r="AS111" s="245" t="str">
        <f>'Fiches Qualif'!BM114</f>
        <v/>
      </c>
    </row>
    <row r="112" spans="28:45" x14ac:dyDescent="0.2">
      <c r="AB112" s="245">
        <f>'Fiches Qualif'!AV115</f>
        <v>83</v>
      </c>
      <c r="AC112" s="217" t="str">
        <f>'Fiches Qualif'!AW115</f>
        <v/>
      </c>
      <c r="AD112" s="245">
        <f>'Fiches Qualif'!AX115</f>
        <v>83</v>
      </c>
      <c r="AE112" s="217" t="str">
        <f>'Fiches Qualif'!AY115</f>
        <v/>
      </c>
      <c r="AF112" s="245">
        <f>'Fiches Qualif'!AZ115</f>
        <v>83</v>
      </c>
      <c r="AG112" s="217" t="str">
        <f>'Fiches Qualif'!BA115</f>
        <v/>
      </c>
      <c r="AH112" s="245">
        <f>'Fiches Qualif'!BB115</f>
        <v>83</v>
      </c>
      <c r="AI112" s="217" t="str">
        <f>'Fiches Qualif'!BC115</f>
        <v/>
      </c>
      <c r="AJ112" s="245">
        <f>'Fiches Qualif'!BD115</f>
        <v>83</v>
      </c>
      <c r="AK112" s="217" t="str">
        <f>'Fiches Qualif'!BE115</f>
        <v/>
      </c>
      <c r="AL112" s="245">
        <f>'Fiches Qualif'!BF115</f>
        <v>83</v>
      </c>
      <c r="AM112" s="217" t="str">
        <f>'Fiches Qualif'!BG115</f>
        <v/>
      </c>
      <c r="AN112" s="245">
        <f>'Fiches Qualif'!BH115</f>
        <v>83</v>
      </c>
      <c r="AO112" s="217" t="str">
        <f>'Fiches Qualif'!BI115</f>
        <v/>
      </c>
      <c r="AP112" s="245">
        <f>'Fiches Qualif'!BJ115</f>
        <v>83</v>
      </c>
      <c r="AQ112" s="217" t="str">
        <f>'Fiches Qualif'!BK115</f>
        <v/>
      </c>
      <c r="AR112" s="245">
        <f>'Fiches Qualif'!BL115</f>
        <v>83</v>
      </c>
      <c r="AS112" s="245" t="str">
        <f>'Fiches Qualif'!BM115</f>
        <v/>
      </c>
    </row>
    <row r="113" spans="28:45" x14ac:dyDescent="0.2">
      <c r="AB113" s="245">
        <f>'Fiches Qualif'!AV116</f>
        <v>84</v>
      </c>
      <c r="AC113" s="217" t="str">
        <f>'Fiches Qualif'!AW116</f>
        <v/>
      </c>
      <c r="AD113" s="245">
        <f>'Fiches Qualif'!AX116</f>
        <v>84</v>
      </c>
      <c r="AE113" s="217" t="str">
        <f>'Fiches Qualif'!AY116</f>
        <v/>
      </c>
      <c r="AF113" s="245">
        <f>'Fiches Qualif'!AZ116</f>
        <v>84</v>
      </c>
      <c r="AG113" s="217" t="str">
        <f>'Fiches Qualif'!BA116</f>
        <v/>
      </c>
      <c r="AH113" s="245">
        <f>'Fiches Qualif'!BB116</f>
        <v>84</v>
      </c>
      <c r="AI113" s="217" t="str">
        <f>'Fiches Qualif'!BC116</f>
        <v/>
      </c>
      <c r="AJ113" s="245">
        <f>'Fiches Qualif'!BD116</f>
        <v>84</v>
      </c>
      <c r="AK113" s="217" t="str">
        <f>'Fiches Qualif'!BE116</f>
        <v/>
      </c>
      <c r="AL113" s="245">
        <f>'Fiches Qualif'!BF116</f>
        <v>84</v>
      </c>
      <c r="AM113" s="217" t="str">
        <f>'Fiches Qualif'!BG116</f>
        <v/>
      </c>
      <c r="AN113" s="245">
        <f>'Fiches Qualif'!BH116</f>
        <v>84</v>
      </c>
      <c r="AO113" s="217" t="str">
        <f>'Fiches Qualif'!BI116</f>
        <v/>
      </c>
      <c r="AP113" s="245">
        <f>'Fiches Qualif'!BJ116</f>
        <v>84</v>
      </c>
      <c r="AQ113" s="217" t="str">
        <f>'Fiches Qualif'!BK116</f>
        <v/>
      </c>
      <c r="AR113" s="245">
        <f>'Fiches Qualif'!BL116</f>
        <v>84</v>
      </c>
      <c r="AS113" s="245" t="str">
        <f>'Fiches Qualif'!BM116</f>
        <v/>
      </c>
    </row>
    <row r="114" spans="28:45" x14ac:dyDescent="0.2">
      <c r="AB114" s="245">
        <f>'Fiches Qualif'!AV117</f>
        <v>85</v>
      </c>
      <c r="AC114" s="217" t="str">
        <f>'Fiches Qualif'!AW117</f>
        <v/>
      </c>
      <c r="AD114" s="245">
        <f>'Fiches Qualif'!AX117</f>
        <v>85</v>
      </c>
      <c r="AE114" s="217" t="str">
        <f>'Fiches Qualif'!AY117</f>
        <v/>
      </c>
      <c r="AF114" s="245">
        <f>'Fiches Qualif'!AZ117</f>
        <v>85</v>
      </c>
      <c r="AG114" s="217" t="str">
        <f>'Fiches Qualif'!BA117</f>
        <v/>
      </c>
      <c r="AH114" s="245">
        <f>'Fiches Qualif'!BB117</f>
        <v>85</v>
      </c>
      <c r="AI114" s="217" t="str">
        <f>'Fiches Qualif'!BC117</f>
        <v/>
      </c>
      <c r="AJ114" s="245">
        <f>'Fiches Qualif'!BD117</f>
        <v>85</v>
      </c>
      <c r="AK114" s="217" t="str">
        <f>'Fiches Qualif'!BE117</f>
        <v/>
      </c>
      <c r="AL114" s="245">
        <f>'Fiches Qualif'!BF117</f>
        <v>85</v>
      </c>
      <c r="AM114" s="217" t="str">
        <f>'Fiches Qualif'!BG117</f>
        <v/>
      </c>
      <c r="AN114" s="245">
        <f>'Fiches Qualif'!BH117</f>
        <v>85</v>
      </c>
      <c r="AO114" s="217" t="str">
        <f>'Fiches Qualif'!BI117</f>
        <v/>
      </c>
      <c r="AP114" s="245">
        <f>'Fiches Qualif'!BJ117</f>
        <v>85</v>
      </c>
      <c r="AQ114" s="217" t="str">
        <f>'Fiches Qualif'!BK117</f>
        <v/>
      </c>
      <c r="AR114" s="245">
        <f>'Fiches Qualif'!BL117</f>
        <v>85</v>
      </c>
      <c r="AS114" s="245" t="str">
        <f>'Fiches Qualif'!BM117</f>
        <v/>
      </c>
    </row>
    <row r="115" spans="28:45" x14ac:dyDescent="0.2">
      <c r="AB115" s="245">
        <f>'Fiches Qualif'!AV118</f>
        <v>86</v>
      </c>
      <c r="AC115" s="217" t="str">
        <f>'Fiches Qualif'!AW118</f>
        <v/>
      </c>
      <c r="AD115" s="245">
        <f>'Fiches Qualif'!AX118</f>
        <v>86</v>
      </c>
      <c r="AE115" s="217" t="str">
        <f>'Fiches Qualif'!AY118</f>
        <v/>
      </c>
      <c r="AF115" s="245">
        <f>'Fiches Qualif'!AZ118</f>
        <v>86</v>
      </c>
      <c r="AG115" s="217" t="str">
        <f>'Fiches Qualif'!BA118</f>
        <v/>
      </c>
      <c r="AH115" s="245">
        <f>'Fiches Qualif'!BB118</f>
        <v>86</v>
      </c>
      <c r="AI115" s="217" t="str">
        <f>'Fiches Qualif'!BC118</f>
        <v/>
      </c>
      <c r="AJ115" s="245">
        <f>'Fiches Qualif'!BD118</f>
        <v>86</v>
      </c>
      <c r="AK115" s="217" t="str">
        <f>'Fiches Qualif'!BE118</f>
        <v/>
      </c>
      <c r="AL115" s="245">
        <f>'Fiches Qualif'!BF118</f>
        <v>86</v>
      </c>
      <c r="AM115" s="217" t="str">
        <f>'Fiches Qualif'!BG118</f>
        <v/>
      </c>
      <c r="AN115" s="245">
        <f>'Fiches Qualif'!BH118</f>
        <v>86</v>
      </c>
      <c r="AO115" s="217" t="str">
        <f>'Fiches Qualif'!BI118</f>
        <v/>
      </c>
      <c r="AP115" s="245">
        <f>'Fiches Qualif'!BJ118</f>
        <v>86</v>
      </c>
      <c r="AQ115" s="217" t="str">
        <f>'Fiches Qualif'!BK118</f>
        <v/>
      </c>
      <c r="AR115" s="245">
        <f>'Fiches Qualif'!BL118</f>
        <v>86</v>
      </c>
      <c r="AS115" s="245" t="str">
        <f>'Fiches Qualif'!BM118</f>
        <v/>
      </c>
    </row>
    <row r="116" spans="28:45" x14ac:dyDescent="0.2">
      <c r="AB116" s="245">
        <f>'Fiches Qualif'!AV119</f>
        <v>87</v>
      </c>
      <c r="AC116" s="217" t="str">
        <f>'Fiches Qualif'!AW119</f>
        <v/>
      </c>
      <c r="AD116" s="245">
        <f>'Fiches Qualif'!AX119</f>
        <v>87</v>
      </c>
      <c r="AE116" s="217" t="str">
        <f>'Fiches Qualif'!AY119</f>
        <v/>
      </c>
      <c r="AF116" s="245">
        <f>'Fiches Qualif'!AZ119</f>
        <v>87</v>
      </c>
      <c r="AG116" s="217" t="str">
        <f>'Fiches Qualif'!BA119</f>
        <v/>
      </c>
      <c r="AH116" s="245">
        <f>'Fiches Qualif'!BB119</f>
        <v>87</v>
      </c>
      <c r="AI116" s="217" t="str">
        <f>'Fiches Qualif'!BC119</f>
        <v/>
      </c>
      <c r="AJ116" s="245">
        <f>'Fiches Qualif'!BD119</f>
        <v>87</v>
      </c>
      <c r="AK116" s="217" t="str">
        <f>'Fiches Qualif'!BE119</f>
        <v/>
      </c>
      <c r="AL116" s="245">
        <f>'Fiches Qualif'!BF119</f>
        <v>87</v>
      </c>
      <c r="AM116" s="217" t="str">
        <f>'Fiches Qualif'!BG119</f>
        <v/>
      </c>
      <c r="AN116" s="245">
        <f>'Fiches Qualif'!BH119</f>
        <v>87</v>
      </c>
      <c r="AO116" s="217" t="str">
        <f>'Fiches Qualif'!BI119</f>
        <v/>
      </c>
      <c r="AP116" s="245">
        <f>'Fiches Qualif'!BJ119</f>
        <v>87</v>
      </c>
      <c r="AQ116" s="217" t="str">
        <f>'Fiches Qualif'!BK119</f>
        <v/>
      </c>
      <c r="AR116" s="245">
        <f>'Fiches Qualif'!BL119</f>
        <v>87</v>
      </c>
      <c r="AS116" s="245" t="str">
        <f>'Fiches Qualif'!BM119</f>
        <v/>
      </c>
    </row>
    <row r="117" spans="28:45" x14ac:dyDescent="0.2">
      <c r="AB117" s="245">
        <f>'Fiches Qualif'!AV120</f>
        <v>88</v>
      </c>
      <c r="AC117" s="217" t="str">
        <f>'Fiches Qualif'!AW120</f>
        <v/>
      </c>
      <c r="AD117" s="245">
        <f>'Fiches Qualif'!AX120</f>
        <v>88</v>
      </c>
      <c r="AE117" s="217" t="str">
        <f>'Fiches Qualif'!AY120</f>
        <v/>
      </c>
      <c r="AF117" s="245">
        <f>'Fiches Qualif'!AZ120</f>
        <v>88</v>
      </c>
      <c r="AG117" s="217" t="str">
        <f>'Fiches Qualif'!BA120</f>
        <v/>
      </c>
      <c r="AH117" s="245">
        <f>'Fiches Qualif'!BB120</f>
        <v>88</v>
      </c>
      <c r="AI117" s="217" t="str">
        <f>'Fiches Qualif'!BC120</f>
        <v/>
      </c>
      <c r="AJ117" s="245">
        <f>'Fiches Qualif'!BD120</f>
        <v>88</v>
      </c>
      <c r="AK117" s="217" t="str">
        <f>'Fiches Qualif'!BE120</f>
        <v/>
      </c>
      <c r="AL117" s="245">
        <f>'Fiches Qualif'!BF120</f>
        <v>88</v>
      </c>
      <c r="AM117" s="217" t="str">
        <f>'Fiches Qualif'!BG120</f>
        <v/>
      </c>
      <c r="AN117" s="245">
        <f>'Fiches Qualif'!BH120</f>
        <v>88</v>
      </c>
      <c r="AO117" s="217" t="str">
        <f>'Fiches Qualif'!BI120</f>
        <v/>
      </c>
      <c r="AP117" s="245">
        <f>'Fiches Qualif'!BJ120</f>
        <v>88</v>
      </c>
      <c r="AQ117" s="217" t="str">
        <f>'Fiches Qualif'!BK120</f>
        <v/>
      </c>
      <c r="AR117" s="245">
        <f>'Fiches Qualif'!BL120</f>
        <v>88</v>
      </c>
      <c r="AS117" s="245" t="str">
        <f>'Fiches Qualif'!BM120</f>
        <v/>
      </c>
    </row>
    <row r="122" spans="28:45" x14ac:dyDescent="0.2">
      <c r="AB122" s="241" t="s">
        <v>573</v>
      </c>
      <c r="AE122" s="241" t="s">
        <v>574</v>
      </c>
    </row>
    <row r="123" spans="28:45" x14ac:dyDescent="0.2">
      <c r="AB123" s="217">
        <f>Etab!A3</f>
        <v>1</v>
      </c>
      <c r="AC123" s="217">
        <f>Etab!B3</f>
        <v>0</v>
      </c>
      <c r="AE123" s="217">
        <f>FicheD3!AB123</f>
        <v>1</v>
      </c>
      <c r="AF123" s="217" t="str">
        <f>Etab!D3</f>
        <v>CRETEIL</v>
      </c>
    </row>
    <row r="124" spans="28:45" x14ac:dyDescent="0.2">
      <c r="AB124" s="217">
        <f>Etab!A4</f>
        <v>2</v>
      </c>
      <c r="AC124" s="217">
        <f>Etab!B4</f>
        <v>0</v>
      </c>
      <c r="AE124" s="217">
        <f>FicheD3!AB124</f>
        <v>2</v>
      </c>
      <c r="AF124" s="217" t="str">
        <f>Etab!D4</f>
        <v>NANTES</v>
      </c>
    </row>
    <row r="125" spans="28:45" x14ac:dyDescent="0.2">
      <c r="AB125" s="217">
        <f>Etab!A5</f>
        <v>3</v>
      </c>
      <c r="AC125" s="217">
        <f>Etab!B5</f>
        <v>0</v>
      </c>
      <c r="AE125" s="217">
        <f>FicheD3!AB125</f>
        <v>3</v>
      </c>
      <c r="AF125" s="217" t="str">
        <f>Etab!D5</f>
        <v>TOULOUSE</v>
      </c>
    </row>
    <row r="126" spans="28:45" x14ac:dyDescent="0.2">
      <c r="AB126" s="217">
        <f>Etab!A6</f>
        <v>4</v>
      </c>
      <c r="AC126" s="217">
        <f>Etab!B6</f>
        <v>0</v>
      </c>
      <c r="AE126" s="217">
        <f>FicheD3!AB126</f>
        <v>4</v>
      </c>
      <c r="AF126" s="217" t="str">
        <f>Etab!D6</f>
        <v>PARIS</v>
      </c>
    </row>
    <row r="127" spans="28:45" x14ac:dyDescent="0.2">
      <c r="AB127" s="217">
        <f>Etab!A7</f>
        <v>5</v>
      </c>
      <c r="AC127" s="217">
        <f>Etab!B7</f>
        <v>0</v>
      </c>
      <c r="AE127" s="217">
        <f>FicheD3!AB127</f>
        <v>5</v>
      </c>
      <c r="AF127" s="217" t="str">
        <f>Etab!D7</f>
        <v>LIMOGES</v>
      </c>
    </row>
    <row r="128" spans="28:45" x14ac:dyDescent="0.2">
      <c r="AB128" s="217">
        <f>Etab!A8</f>
        <v>6</v>
      </c>
      <c r="AC128" s="217">
        <f>Etab!B8</f>
        <v>0</v>
      </c>
      <c r="AE128" s="217">
        <f>FicheD3!AB128</f>
        <v>6</v>
      </c>
      <c r="AF128" s="217" t="str">
        <f>Etab!D8</f>
        <v>CLERMONT-FERRAND</v>
      </c>
    </row>
    <row r="129" spans="28:32" x14ac:dyDescent="0.2">
      <c r="AB129" s="217">
        <f>Etab!A9</f>
        <v>7</v>
      </c>
      <c r="AC129" s="217">
        <f>Etab!B9</f>
        <v>0</v>
      </c>
      <c r="AE129" s="217">
        <f>FicheD3!AB129</f>
        <v>7</v>
      </c>
      <c r="AF129" s="217" t="str">
        <f>Etab!D9</f>
        <v>NANCY-METZ</v>
      </c>
    </row>
    <row r="130" spans="28:32" x14ac:dyDescent="0.2">
      <c r="AB130" s="217">
        <f>Etab!A10</f>
        <v>8</v>
      </c>
      <c r="AC130" s="217">
        <f>Etab!B10</f>
        <v>0</v>
      </c>
      <c r="AE130" s="217">
        <f>FicheD3!AB130</f>
        <v>8</v>
      </c>
      <c r="AF130" s="217" t="str">
        <f>Etab!D10</f>
        <v>DIJON</v>
      </c>
    </row>
    <row r="131" spans="28:32" x14ac:dyDescent="0.2">
      <c r="AB131" s="217">
        <f>Etab!A11</f>
        <v>9</v>
      </c>
      <c r="AC131" s="217">
        <f>Etab!B11</f>
        <v>0</v>
      </c>
      <c r="AE131" s="217">
        <f>FicheD3!AB131</f>
        <v>9</v>
      </c>
      <c r="AF131" s="217" t="str">
        <f>Etab!D11</f>
        <v>AMIENS</v>
      </c>
    </row>
    <row r="132" spans="28:32" x14ac:dyDescent="0.2">
      <c r="AB132" s="217">
        <f>Etab!A12</f>
        <v>10</v>
      </c>
      <c r="AC132" s="217">
        <f>Etab!B12</f>
        <v>0</v>
      </c>
      <c r="AE132" s="217">
        <f>FicheD3!AB132</f>
        <v>10</v>
      </c>
      <c r="AF132" s="217" t="str">
        <f>Etab!D12</f>
        <v>LILLE</v>
      </c>
    </row>
    <row r="133" spans="28:32" x14ac:dyDescent="0.2">
      <c r="AB133" s="217">
        <f>Etab!A13</f>
        <v>11</v>
      </c>
      <c r="AC133" s="217">
        <f>Etab!B13</f>
        <v>0</v>
      </c>
      <c r="AE133" s="217">
        <f>FicheD3!AB133</f>
        <v>11</v>
      </c>
      <c r="AF133" s="217" t="str">
        <f>Etab!D13</f>
        <v>REIMS</v>
      </c>
    </row>
    <row r="134" spans="28:32" x14ac:dyDescent="0.2">
      <c r="AB134" s="217">
        <f>Etab!A14</f>
        <v>12</v>
      </c>
      <c r="AC134" s="217">
        <f>Etab!B14</f>
        <v>0</v>
      </c>
      <c r="AE134" s="217">
        <f>FicheD3!AB134</f>
        <v>12</v>
      </c>
      <c r="AF134" s="217" t="str">
        <f>Etab!D14</f>
        <v>POITIERS</v>
      </c>
    </row>
    <row r="135" spans="28:32" x14ac:dyDescent="0.2">
      <c r="AB135" s="217">
        <f>Etab!A15</f>
        <v>13</v>
      </c>
      <c r="AC135" s="217">
        <f>Etab!B15</f>
        <v>0</v>
      </c>
      <c r="AE135" s="217">
        <f>FicheD3!AB135</f>
        <v>13</v>
      </c>
      <c r="AF135" s="217" t="str">
        <f>Etab!D15</f>
        <v>ORLEANS-TOURS</v>
      </c>
    </row>
    <row r="136" spans="28:32" x14ac:dyDescent="0.2">
      <c r="AB136" s="217">
        <f>Etab!A16</f>
        <v>14</v>
      </c>
      <c r="AC136" s="217" t="str">
        <f>Etab!B16</f>
        <v>COL Collège des Gorges de la Loire 1</v>
      </c>
      <c r="AE136" s="217">
        <f>FicheD3!AB136</f>
        <v>14</v>
      </c>
      <c r="AF136" s="217" t="str">
        <f>Etab!D16</f>
        <v>CLERMONT-FERRAND</v>
      </c>
    </row>
    <row r="137" spans="28:32" x14ac:dyDescent="0.2">
      <c r="AB137" s="217">
        <f>Etab!A17</f>
        <v>15</v>
      </c>
      <c r="AC137" s="217" t="str">
        <f>Etab!B17</f>
        <v>EEA Etablissement régional d'enseignement adapté Joël Jeannot 1</v>
      </c>
      <c r="AE137" s="217">
        <f>FicheD3!AB137</f>
        <v>15</v>
      </c>
      <c r="AF137" s="217" t="str">
        <f>Etab!D17</f>
        <v>BORDEAUX</v>
      </c>
    </row>
    <row r="138" spans="28:32" x14ac:dyDescent="0.2">
      <c r="AB138" s="217">
        <f>Etab!A18</f>
        <v>16</v>
      </c>
      <c r="AC138" s="217" t="str">
        <f>Etab!B18</f>
        <v>LPO Lycée Catherine et Raymond Janot 1</v>
      </c>
      <c r="AE138" s="217">
        <f>FicheD3!AB138</f>
        <v>16</v>
      </c>
      <c r="AF138" s="217" t="str">
        <f>Etab!D18</f>
        <v>DIJON</v>
      </c>
    </row>
    <row r="139" spans="28:32" x14ac:dyDescent="0.2">
      <c r="AB139" s="217">
        <f>Etab!A19</f>
        <v>17</v>
      </c>
      <c r="AC139" s="217" t="str">
        <f>Etab!B19</f>
        <v>LP Lycée professionnel Maréchal Leclerc de Hauteclocque 1</v>
      </c>
      <c r="AE139" s="217">
        <f>FicheD3!AB139</f>
        <v>17</v>
      </c>
      <c r="AF139" s="217" t="str">
        <f>Etab!D19</f>
        <v>NANTES</v>
      </c>
    </row>
    <row r="140" spans="28:32" x14ac:dyDescent="0.2">
      <c r="AB140" s="217">
        <f>Etab!A20</f>
        <v>18</v>
      </c>
      <c r="AC140" s="217" t="str">
        <f>Etab!B20</f>
        <v>LP Lycée professionnel Roz Glas 1</v>
      </c>
      <c r="AE140" s="217">
        <f>FicheD3!AB140</f>
        <v>18</v>
      </c>
      <c r="AF140" s="217" t="str">
        <f>Etab!D20</f>
        <v>RENNES</v>
      </c>
    </row>
    <row r="141" spans="28:32" x14ac:dyDescent="0.2">
      <c r="AB141" s="217">
        <f>Etab!A21</f>
        <v>19</v>
      </c>
      <c r="AC141" s="217">
        <f>Etab!B21</f>
        <v>0</v>
      </c>
      <c r="AE141" s="217">
        <f>FicheD3!AB141</f>
        <v>19</v>
      </c>
      <c r="AF141" s="217">
        <f>Etab!D21</f>
        <v>0</v>
      </c>
    </row>
    <row r="142" spans="28:32" x14ac:dyDescent="0.2">
      <c r="AB142" s="217">
        <f>Etab!A22</f>
        <v>20</v>
      </c>
      <c r="AC142" s="217">
        <f>Etab!B22</f>
        <v>0</v>
      </c>
      <c r="AE142" s="217">
        <f>FicheD3!AB142</f>
        <v>20</v>
      </c>
      <c r="AF142" s="217">
        <f>Etab!D22</f>
        <v>0</v>
      </c>
    </row>
    <row r="143" spans="28:32" x14ac:dyDescent="0.2">
      <c r="AB143" s="217">
        <f>Etab!A23</f>
        <v>21</v>
      </c>
      <c r="AC143" s="217">
        <f>Etab!B23</f>
        <v>0</v>
      </c>
      <c r="AE143" s="217">
        <f>FicheD3!AB143</f>
        <v>21</v>
      </c>
      <c r="AF143" s="217">
        <f>Etab!D23</f>
        <v>0</v>
      </c>
    </row>
    <row r="144" spans="28:32" x14ac:dyDescent="0.2">
      <c r="AB144" s="217">
        <f>Etab!A24</f>
        <v>22</v>
      </c>
      <c r="AC144" s="217">
        <f>Etab!B24</f>
        <v>0</v>
      </c>
      <c r="AE144" s="217">
        <f>FicheD3!AB144</f>
        <v>22</v>
      </c>
      <c r="AF144" s="217">
        <f>Etab!D24</f>
        <v>0</v>
      </c>
    </row>
  </sheetData>
  <mergeCells count="39">
    <mergeCell ref="P14:R14"/>
    <mergeCell ref="AB17:AB20"/>
    <mergeCell ref="A2:B2"/>
    <mergeCell ref="B3:H3"/>
    <mergeCell ref="I3:L3"/>
    <mergeCell ref="O3:U3"/>
    <mergeCell ref="V3:Y3"/>
    <mergeCell ref="M4:N4"/>
    <mergeCell ref="P13:T13"/>
    <mergeCell ref="U13:Y13"/>
    <mergeCell ref="U14:W14"/>
    <mergeCell ref="A6:E6"/>
    <mergeCell ref="F13:J13"/>
    <mergeCell ref="K13:O13"/>
    <mergeCell ref="F14:H14"/>
    <mergeCell ref="K14:M14"/>
    <mergeCell ref="F27:H28"/>
    <mergeCell ref="V27:V28"/>
    <mergeCell ref="A7:E7"/>
    <mergeCell ref="G7:H7"/>
    <mergeCell ref="I7:K7"/>
    <mergeCell ref="M7:N7"/>
    <mergeCell ref="A14:E14"/>
    <mergeCell ref="F19:H19"/>
    <mergeCell ref="K19:M19"/>
    <mergeCell ref="P19:R19"/>
    <mergeCell ref="U19:W19"/>
    <mergeCell ref="B22:L22"/>
    <mergeCell ref="O22:Y22"/>
    <mergeCell ref="K20:M20"/>
    <mergeCell ref="P20:R20"/>
    <mergeCell ref="U20:W20"/>
    <mergeCell ref="I26:O26"/>
    <mergeCell ref="P26:T26"/>
    <mergeCell ref="U26:W26"/>
    <mergeCell ref="B23:H23"/>
    <mergeCell ref="I23:L23"/>
    <mergeCell ref="O23:U23"/>
    <mergeCell ref="V23:Y23"/>
  </mergeCells>
  <phoneticPr fontId="22" type="noConversion"/>
  <dataValidations count="4">
    <dataValidation type="list" allowBlank="1" showInputMessage="1" showErrorMessage="1" sqref="AA7:AA10" xr:uid="{00000000-0002-0000-1800-000000000000}">
      <formula1>$AB$30:$AB$117</formula1>
    </dataValidation>
    <dataValidation type="list" allowBlank="1" showInputMessage="1" showErrorMessage="1" sqref="AC2" xr:uid="{00000000-0002-0000-1800-000001000000}">
      <formula1>$X$44:$X$54</formula1>
    </dataValidation>
    <dataValidation type="list" allowBlank="1" showInputMessage="1" showErrorMessage="1" sqref="AA14" xr:uid="{00000000-0002-0000-1800-000002000000}">
      <formula1>$AB$123:$AB$144</formula1>
    </dataValidation>
    <dataValidation type="list" allowBlank="1" showInputMessage="1" showErrorMessage="1" sqref="AD17:AD20" xr:uid="{00000000-0002-0000-1800-000003000000}">
      <formula1>$AB$30:$AB$69</formula1>
    </dataValidation>
  </dataValidations>
  <pageMargins left="0.27" right="0.32" top="0.98425196850393704" bottom="0.98425196850393704" header="0.51181102362204722" footer="0.51181102362204722"/>
  <pageSetup paperSize="9" scale="84" fitToWidth="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602" r:id="rId4" name="Button 2">
              <controlPr defaultSize="0" print="0" autoFill="0" autoPict="0" macro="[0]!fiche_D1_QuandClic">
                <anchor moveWithCells="1" sizeWithCells="1">
                  <from>
                    <xdr:col>26</xdr:col>
                    <xdr:colOff>152400</xdr:colOff>
                    <xdr:row>22</xdr:row>
                    <xdr:rowOff>38100</xdr:rowOff>
                  </from>
                  <to>
                    <xdr:col>30</xdr:col>
                    <xdr:colOff>371475</xdr:colOff>
                    <xdr:row>23</xdr:row>
                    <xdr:rowOff>104775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25">
    <tabColor rgb="FF00FF00"/>
  </sheetPr>
  <dimension ref="A1:AG695"/>
  <sheetViews>
    <sheetView zoomScale="90" zoomScaleNormal="90" workbookViewId="0">
      <selection activeCell="AD2" sqref="AD2:AF26"/>
    </sheetView>
  </sheetViews>
  <sheetFormatPr baseColWidth="10" defaultRowHeight="12.75" x14ac:dyDescent="0.2"/>
  <cols>
    <col min="1" max="1" width="12.42578125" style="217" customWidth="1"/>
    <col min="2" max="8" width="5.28515625" style="217" customWidth="1"/>
    <col min="9" max="9" width="3.7109375" style="217" customWidth="1"/>
    <col min="10" max="10" width="7.7109375" style="217" customWidth="1"/>
    <col min="11" max="13" width="5.28515625" style="217" customWidth="1"/>
    <col min="14" max="14" width="3.7109375" style="217" customWidth="1"/>
    <col min="15" max="15" width="7.7109375" style="217" customWidth="1"/>
    <col min="16" max="18" width="5.28515625" style="217" customWidth="1"/>
    <col min="19" max="19" width="3.7109375" style="217" customWidth="1"/>
    <col min="20" max="20" width="7.7109375" style="217" customWidth="1"/>
    <col min="21" max="23" width="5.28515625" style="217" customWidth="1"/>
    <col min="24" max="24" width="3.7109375" style="217" customWidth="1"/>
    <col min="25" max="25" width="12.42578125" style="217" customWidth="1"/>
    <col min="26" max="26" width="3.140625" style="217" customWidth="1"/>
    <col min="27" max="16384" width="11.42578125" style="217"/>
  </cols>
  <sheetData>
    <row r="1" spans="1:33" ht="6.75" customHeight="1" x14ac:dyDescent="0.2"/>
    <row r="2" spans="1:33" s="218" customFormat="1" ht="23.25" customHeight="1" x14ac:dyDescent="0.2">
      <c r="A2" s="1072" t="s">
        <v>546</v>
      </c>
      <c r="B2" s="1073"/>
      <c r="C2" s="402" t="str">
        <f>LEFT(AD2,2)</f>
        <v>D1</v>
      </c>
      <c r="D2" s="1098" t="s">
        <v>628</v>
      </c>
      <c r="E2" s="1072"/>
      <c r="F2" s="1072"/>
      <c r="G2" s="1103">
        <f ca="1">INDIRECT("AD"&amp;V2)</f>
        <v>1</v>
      </c>
      <c r="H2" s="1104"/>
      <c r="J2" s="218" t="str">
        <f>CATEG_IMPORTEE</f>
        <v>Collèges Mixtes Etablissement</v>
      </c>
      <c r="T2" s="500" t="s">
        <v>793</v>
      </c>
      <c r="U2" s="520" t="str">
        <f ca="1">INDIRECT("AE"&amp;V2)</f>
        <v>C1-Coll1Ville1</v>
      </c>
      <c r="V2" s="500">
        <f>Y2+2</f>
        <v>3</v>
      </c>
      <c r="W2" s="501" t="str">
        <f ca="1">INDIRECT("AF"&amp;V2)</f>
        <v>C8-Coll8Ville8</v>
      </c>
      <c r="X2" s="502" t="s">
        <v>849</v>
      </c>
      <c r="Y2" s="503">
        <v>1</v>
      </c>
      <c r="AD2" s="683" t="s">
        <v>839</v>
      </c>
      <c r="AE2" s="555" t="s">
        <v>840</v>
      </c>
      <c r="AF2" s="555" t="s">
        <v>841</v>
      </c>
      <c r="AG2" s="218" t="s">
        <v>779</v>
      </c>
    </row>
    <row r="3" spans="1:33" ht="27" customHeight="1" thickBot="1" x14ac:dyDescent="0.25">
      <c r="A3" s="1093" t="s">
        <v>0</v>
      </c>
      <c r="B3" s="1093"/>
      <c r="C3" s="1093"/>
      <c r="D3" s="1093"/>
      <c r="E3" s="1093"/>
      <c r="F3" s="1093"/>
      <c r="G3" s="1093"/>
      <c r="H3" s="1093" t="s">
        <v>374</v>
      </c>
      <c r="I3" s="1093"/>
      <c r="J3" s="1093"/>
      <c r="K3" s="1093"/>
      <c r="L3" s="1093"/>
      <c r="O3" s="1069" t="s">
        <v>0</v>
      </c>
      <c r="P3" s="1069"/>
      <c r="Q3" s="1069"/>
      <c r="R3" s="1069"/>
      <c r="S3" s="1069"/>
      <c r="T3" s="1069"/>
      <c r="U3" s="1069"/>
      <c r="V3" s="1069" t="s">
        <v>374</v>
      </c>
      <c r="W3" s="1069"/>
      <c r="X3" s="1069"/>
      <c r="Y3" s="1069"/>
      <c r="AD3" s="553">
        <v>1</v>
      </c>
      <c r="AE3" s="554" t="s">
        <v>1333</v>
      </c>
      <c r="AF3" s="554" t="s">
        <v>1334</v>
      </c>
      <c r="AG3" s="217">
        <f>AD3</f>
        <v>1</v>
      </c>
    </row>
    <row r="4" spans="1:33" ht="24" customHeight="1" thickBot="1" x14ac:dyDescent="0.25">
      <c r="A4" s="504" t="str">
        <f ca="1">IFERROR(VLOOKUP(U2,Num_AS,2,FALSE),"")</f>
        <v/>
      </c>
      <c r="B4" s="505"/>
      <c r="C4" s="505"/>
      <c r="D4" s="505"/>
      <c r="E4" s="505"/>
      <c r="F4" s="505"/>
      <c r="G4" s="505"/>
      <c r="H4" s="507" t="str">
        <f ca="1">IFERROR(VLOOKUP(U2,Num_AS,4,FALSE),"")</f>
        <v/>
      </c>
      <c r="I4" s="220"/>
      <c r="J4" s="220"/>
      <c r="K4" s="220"/>
      <c r="L4" s="738"/>
      <c r="M4" s="1074" t="s">
        <v>547</v>
      </c>
      <c r="N4" s="1071"/>
      <c r="O4" s="740" t="str">
        <f ca="1">IFERROR(VLOOKUP(W2,Num_AS,2,FALSE),"")</f>
        <v/>
      </c>
      <c r="P4" s="505"/>
      <c r="Q4" s="505"/>
      <c r="R4" s="505"/>
      <c r="S4" s="505"/>
      <c r="T4" s="505"/>
      <c r="U4" s="522"/>
      <c r="V4" s="739" t="str">
        <f ca="1">IFERROR(VLOOKUP(W2,Num_AS,4,FALSE),"")</f>
        <v/>
      </c>
      <c r="W4" s="220"/>
      <c r="X4" s="220"/>
      <c r="Y4" s="221"/>
      <c r="AD4" s="553">
        <v>2</v>
      </c>
      <c r="AE4" s="554" t="s">
        <v>1334</v>
      </c>
      <c r="AF4" s="554" t="s">
        <v>1333</v>
      </c>
      <c r="AG4" s="217">
        <f t="shared" ref="AG4:AG26" si="0">AD4</f>
        <v>2</v>
      </c>
    </row>
    <row r="5" spans="1:33" ht="15" customHeight="1" x14ac:dyDescent="0.2">
      <c r="A5" s="736" t="str">
        <f ca="1">IFERROR(VLOOKUP(U2,Num_AS,3,FALSE),"")</f>
        <v/>
      </c>
      <c r="B5" s="736"/>
      <c r="C5" s="736"/>
      <c r="D5" s="736"/>
      <c r="E5" s="736"/>
      <c r="F5" s="736"/>
      <c r="G5" s="736"/>
      <c r="H5" s="737"/>
      <c r="U5" s="520"/>
      <c r="AD5" s="553">
        <v>3</v>
      </c>
      <c r="AE5" s="554" t="s">
        <v>1335</v>
      </c>
      <c r="AF5" s="554" t="s">
        <v>1336</v>
      </c>
      <c r="AG5" s="217">
        <f t="shared" si="0"/>
        <v>3</v>
      </c>
    </row>
    <row r="6" spans="1:33" ht="20.100000000000001" customHeight="1" x14ac:dyDescent="0.2">
      <c r="A6" s="1074" t="s">
        <v>548</v>
      </c>
      <c r="B6" s="1074"/>
      <c r="C6" s="1074"/>
      <c r="D6" s="1074"/>
      <c r="E6" s="1074"/>
      <c r="Q6" s="508" t="str">
        <f>Championnat</f>
        <v>Championnat de France de Tir à l'ARC</v>
      </c>
      <c r="U6" s="520"/>
      <c r="AD6" s="553">
        <v>4</v>
      </c>
      <c r="AE6" s="554" t="s">
        <v>1336</v>
      </c>
      <c r="AF6" s="554" t="s">
        <v>1335</v>
      </c>
      <c r="AG6" s="217">
        <f t="shared" si="0"/>
        <v>4</v>
      </c>
    </row>
    <row r="7" spans="1:33" ht="20.100000000000001" customHeight="1" x14ac:dyDescent="0.2">
      <c r="A7" s="1075" t="s">
        <v>549</v>
      </c>
      <c r="B7" s="1075"/>
      <c r="C7" s="1075"/>
      <c r="D7" s="1075"/>
      <c r="E7" s="1075"/>
      <c r="G7" s="1076" t="s">
        <v>480</v>
      </c>
      <c r="H7" s="1076"/>
      <c r="I7" s="1077" t="s">
        <v>550</v>
      </c>
      <c r="J7" s="1077"/>
      <c r="K7" s="1077"/>
      <c r="L7" s="252" t="s">
        <v>551</v>
      </c>
      <c r="M7" s="1078" t="s">
        <v>552</v>
      </c>
      <c r="N7" s="1078"/>
      <c r="O7" s="251"/>
      <c r="Q7" s="217" t="str">
        <f>LIEU&amp;" du "&amp;DATE</f>
        <v>L’Isle sur la Sorgue du 27 au 31 mars 2023</v>
      </c>
      <c r="U7" s="520"/>
      <c r="AD7" s="553">
        <v>5</v>
      </c>
      <c r="AE7" s="554" t="s">
        <v>1337</v>
      </c>
      <c r="AF7" s="554" t="s">
        <v>1338</v>
      </c>
      <c r="AG7" s="217">
        <f t="shared" si="0"/>
        <v>5</v>
      </c>
    </row>
    <row r="8" spans="1:33" ht="24" customHeight="1" x14ac:dyDescent="0.2">
      <c r="A8" s="509" t="str">
        <f ca="1">IFERROR(VLOOKUP(U2,Num_AS,6,FALSE),"")</f>
        <v/>
      </c>
      <c r="B8" s="223"/>
      <c r="C8" s="510" t="str">
        <f ca="1">IFERROR(VLOOKUP(U2,Num_AS,7,FALSE),"")</f>
        <v/>
      </c>
      <c r="D8" s="223"/>
      <c r="E8" s="224"/>
      <c r="F8" s="219"/>
      <c r="G8" s="511" t="str">
        <f ca="1">IFERROR(VLOOKUP(U2,Num_AS,10,FALSE),"")</f>
        <v/>
      </c>
      <c r="H8" s="224"/>
      <c r="I8" s="222"/>
      <c r="J8" s="512" t="str">
        <f ca="1">IFERROR(VLOOKUP(U2,Num_AS,9,FALSE),"")</f>
        <v/>
      </c>
      <c r="K8" s="224"/>
      <c r="L8" s="222" t="str">
        <f ca="1">IFERROR(VLOOKUP(U2,Num_AS,11,FALSE),"")</f>
        <v/>
      </c>
      <c r="M8" s="287">
        <f ca="1">G2</f>
        <v>1</v>
      </c>
      <c r="N8" s="288"/>
      <c r="O8" s="249"/>
      <c r="R8" s="254"/>
      <c r="S8" s="254"/>
      <c r="T8" s="254"/>
      <c r="U8" s="520"/>
      <c r="V8" s="254"/>
      <c r="W8" s="254"/>
      <c r="X8" s="254"/>
      <c r="Y8" s="254"/>
      <c r="AD8" s="553">
        <v>6</v>
      </c>
      <c r="AE8" s="554" t="s">
        <v>1338</v>
      </c>
      <c r="AF8" s="554" t="s">
        <v>1337</v>
      </c>
      <c r="AG8" s="217">
        <f t="shared" si="0"/>
        <v>6</v>
      </c>
    </row>
    <row r="9" spans="1:33" ht="24" customHeight="1" x14ac:dyDescent="0.2">
      <c r="A9" s="509" t="str">
        <f ca="1">IFERROR(VLOOKUP(U2,Num_AS,12,FALSE),"")</f>
        <v/>
      </c>
      <c r="B9" s="223"/>
      <c r="C9" s="510" t="str">
        <f ca="1">IFERROR(VLOOKUP(U2,Num_AS,13,FALSE),"")</f>
        <v/>
      </c>
      <c r="D9" s="223"/>
      <c r="E9" s="224"/>
      <c r="F9" s="219"/>
      <c r="G9" s="511" t="str">
        <f ca="1">IFERROR(VLOOKUP(U2,Num_AS,16,FALSE),"")</f>
        <v/>
      </c>
      <c r="H9" s="224"/>
      <c r="I9" s="222"/>
      <c r="J9" s="512" t="str">
        <f ca="1">IFERROR(VLOOKUP(U2,Num_AS,15,FALSE),"")</f>
        <v/>
      </c>
      <c r="K9" s="224"/>
      <c r="L9" s="222" t="str">
        <f ca="1">IFERROR(VLOOKUP(U2,Num_AS,17,FALSE),"")</f>
        <v/>
      </c>
      <c r="M9" s="287">
        <f ca="1">G2</f>
        <v>1</v>
      </c>
      <c r="N9" s="288"/>
      <c r="O9" s="249"/>
      <c r="Q9" s="254"/>
      <c r="R9" s="254"/>
      <c r="S9" s="254"/>
      <c r="T9" s="254"/>
      <c r="U9" s="520"/>
      <c r="V9" s="254"/>
      <c r="W9" s="254"/>
      <c r="X9" s="254"/>
      <c r="Y9" s="254"/>
      <c r="AD9" s="553">
        <v>7</v>
      </c>
      <c r="AE9" s="554" t="s">
        <v>1339</v>
      </c>
      <c r="AF9" s="554" t="s">
        <v>1340</v>
      </c>
      <c r="AG9" s="217">
        <f t="shared" si="0"/>
        <v>7</v>
      </c>
    </row>
    <row r="10" spans="1:33" ht="24" customHeight="1" x14ac:dyDescent="0.2">
      <c r="A10" s="509" t="str">
        <f ca="1">IFERROR(VLOOKUP(U2,Num_AS,18,FALSE),"")</f>
        <v/>
      </c>
      <c r="B10" s="223"/>
      <c r="C10" s="510" t="str">
        <f ca="1">IFERROR(VLOOKUP(U2,Num_AS,19,FALSE),"")</f>
        <v/>
      </c>
      <c r="D10" s="223"/>
      <c r="E10" s="224"/>
      <c r="F10" s="219"/>
      <c r="G10" s="511" t="str">
        <f ca="1">IFERROR(VLOOKUP(U2,Num_AS,22,FALSE),"")</f>
        <v/>
      </c>
      <c r="H10" s="224"/>
      <c r="I10" s="222"/>
      <c r="J10" s="512" t="str">
        <f ca="1">IFERROR(VLOOKUP(U2,Num_AS,21,FALSE),"")</f>
        <v/>
      </c>
      <c r="K10" s="224"/>
      <c r="L10" s="222" t="str">
        <f ca="1">IFERROR(VLOOKUP(U2,Num_AS,23,FALSE),"")</f>
        <v/>
      </c>
      <c r="M10" s="287">
        <f ca="1">G2</f>
        <v>1</v>
      </c>
      <c r="N10" s="288"/>
      <c r="O10" s="249"/>
      <c r="Q10" s="254"/>
      <c r="R10" s="254"/>
      <c r="S10" s="254"/>
      <c r="T10" s="254"/>
      <c r="U10" s="520"/>
      <c r="V10" s="254"/>
      <c r="W10" s="254"/>
      <c r="X10" s="254"/>
      <c r="Y10" s="254"/>
      <c r="AD10" s="553">
        <v>8</v>
      </c>
      <c r="AE10" s="554" t="s">
        <v>1340</v>
      </c>
      <c r="AF10" s="554" t="s">
        <v>1339</v>
      </c>
      <c r="AG10" s="217">
        <f t="shared" si="0"/>
        <v>8</v>
      </c>
    </row>
    <row r="11" spans="1:33" ht="24" customHeight="1" x14ac:dyDescent="0.2">
      <c r="A11" s="509" t="str">
        <f ca="1">IFERROR(VLOOKUP(U2,Num_AS,24,FALSE),"")</f>
        <v/>
      </c>
      <c r="B11" s="223"/>
      <c r="C11" s="510" t="str">
        <f ca="1">IFERROR(VLOOKUP(U2,Num_AS,25,FALSE),"")</f>
        <v/>
      </c>
      <c r="D11" s="223"/>
      <c r="E11" s="224"/>
      <c r="F11" s="219"/>
      <c r="G11" s="511" t="str">
        <f ca="1">IFERROR(VLOOKUP(U2,Num_AS,28,FALSE),"")</f>
        <v/>
      </c>
      <c r="H11" s="224"/>
      <c r="I11" s="222"/>
      <c r="J11" s="512" t="str">
        <f ca="1">IFERROR(VLOOKUP(U2,Num_AS,27,FALSE),"")</f>
        <v/>
      </c>
      <c r="K11" s="224"/>
      <c r="L11" s="222" t="str">
        <f ca="1">IFERROR(VLOOKUP(U2,Num_AS,29,FALSE),"")</f>
        <v/>
      </c>
      <c r="M11" s="289">
        <f ca="1">G2</f>
        <v>1</v>
      </c>
      <c r="N11" s="290"/>
      <c r="O11" s="249"/>
      <c r="U11" s="520"/>
      <c r="AD11" s="553">
        <v>9</v>
      </c>
      <c r="AE11" s="554" t="s">
        <v>1341</v>
      </c>
      <c r="AF11" s="554" t="s">
        <v>1326</v>
      </c>
      <c r="AG11" s="217">
        <f t="shared" si="0"/>
        <v>9</v>
      </c>
    </row>
    <row r="12" spans="1:33" ht="15" customHeight="1" thickBot="1" x14ac:dyDescent="0.25">
      <c r="U12" s="520"/>
      <c r="AD12" s="553">
        <v>10</v>
      </c>
      <c r="AE12" s="554" t="s">
        <v>1342</v>
      </c>
      <c r="AF12" s="554" t="s">
        <v>1343</v>
      </c>
      <c r="AG12" s="217">
        <f t="shared" si="0"/>
        <v>10</v>
      </c>
    </row>
    <row r="13" spans="1:33" ht="20.100000000000001" customHeight="1" x14ac:dyDescent="0.2">
      <c r="F13" s="1081" t="s">
        <v>555</v>
      </c>
      <c r="G13" s="1082"/>
      <c r="H13" s="1082"/>
      <c r="I13" s="1082"/>
      <c r="J13" s="1083"/>
      <c r="K13" s="1081" t="s">
        <v>556</v>
      </c>
      <c r="L13" s="1082"/>
      <c r="M13" s="1082"/>
      <c r="N13" s="1082"/>
      <c r="O13" s="1083"/>
      <c r="P13" s="1081" t="s">
        <v>557</v>
      </c>
      <c r="Q13" s="1082"/>
      <c r="R13" s="1082"/>
      <c r="S13" s="1082"/>
      <c r="T13" s="1083"/>
      <c r="U13" s="1081" t="s">
        <v>558</v>
      </c>
      <c r="V13" s="1082"/>
      <c r="W13" s="1082"/>
      <c r="X13" s="1082"/>
      <c r="Y13" s="1083"/>
      <c r="AD13" s="553">
        <v>11</v>
      </c>
      <c r="AE13" s="554" t="s">
        <v>1343</v>
      </c>
      <c r="AF13" s="554" t="s">
        <v>1342</v>
      </c>
      <c r="AG13" s="217">
        <f t="shared" si="0"/>
        <v>11</v>
      </c>
    </row>
    <row r="14" spans="1:33" ht="20.100000000000001" customHeight="1" x14ac:dyDescent="0.2">
      <c r="A14" s="1075" t="s">
        <v>559</v>
      </c>
      <c r="B14" s="1075"/>
      <c r="C14" s="1075"/>
      <c r="D14" s="1075"/>
      <c r="E14" s="1075"/>
      <c r="F14" s="1090" t="s">
        <v>560</v>
      </c>
      <c r="G14" s="1075"/>
      <c r="H14" s="1075"/>
      <c r="J14" s="225" t="s">
        <v>7</v>
      </c>
      <c r="K14" s="1090" t="s">
        <v>560</v>
      </c>
      <c r="L14" s="1075"/>
      <c r="M14" s="1075"/>
      <c r="O14" s="225" t="s">
        <v>7</v>
      </c>
      <c r="P14" s="1090" t="s">
        <v>560</v>
      </c>
      <c r="Q14" s="1075"/>
      <c r="R14" s="1075"/>
      <c r="T14" s="225" t="s">
        <v>7</v>
      </c>
      <c r="U14" s="1090" t="s">
        <v>560</v>
      </c>
      <c r="V14" s="1075"/>
      <c r="W14" s="1075"/>
      <c r="Y14" s="225" t="s">
        <v>7</v>
      </c>
      <c r="AD14" s="553">
        <v>12</v>
      </c>
      <c r="AE14" s="554" t="s">
        <v>1345</v>
      </c>
      <c r="AF14" s="554" t="s">
        <v>1344</v>
      </c>
      <c r="AG14" s="217">
        <f t="shared" si="0"/>
        <v>12</v>
      </c>
    </row>
    <row r="15" spans="1:33" ht="24" customHeight="1" x14ac:dyDescent="0.2">
      <c r="A15" s="513" t="str">
        <f ca="1">A8</f>
        <v/>
      </c>
      <c r="B15" s="227"/>
      <c r="C15" s="514" t="str">
        <f ca="1">C8</f>
        <v/>
      </c>
      <c r="D15" s="227"/>
      <c r="E15" s="741"/>
      <c r="F15" s="228"/>
      <c r="G15" s="742"/>
      <c r="H15" s="742"/>
      <c r="I15" s="230" t="s">
        <v>561</v>
      </c>
      <c r="J15" s="231"/>
      <c r="K15" s="228"/>
      <c r="L15" s="229"/>
      <c r="M15" s="229"/>
      <c r="N15" s="230" t="s">
        <v>561</v>
      </c>
      <c r="O15" s="231"/>
      <c r="P15" s="228"/>
      <c r="Q15" s="229"/>
      <c r="R15" s="229"/>
      <c r="S15" s="230" t="s">
        <v>561</v>
      </c>
      <c r="T15" s="231"/>
      <c r="U15" s="228"/>
      <c r="V15" s="229"/>
      <c r="W15" s="229"/>
      <c r="X15" s="230" t="s">
        <v>561</v>
      </c>
      <c r="Y15" s="231"/>
      <c r="AD15" s="553">
        <v>13</v>
      </c>
      <c r="AE15" s="554" t="s">
        <v>1344</v>
      </c>
      <c r="AF15" s="554" t="s">
        <v>1345</v>
      </c>
      <c r="AG15" s="217">
        <f t="shared" si="0"/>
        <v>13</v>
      </c>
    </row>
    <row r="16" spans="1:33" ht="24" customHeight="1" x14ac:dyDescent="0.2">
      <c r="A16" s="513" t="str">
        <f ca="1">A9</f>
        <v/>
      </c>
      <c r="B16" s="227"/>
      <c r="C16" s="514" t="str">
        <f ca="1">C9</f>
        <v/>
      </c>
      <c r="D16" s="227"/>
      <c r="E16" s="741"/>
      <c r="F16" s="228"/>
      <c r="G16" s="742"/>
      <c r="H16" s="742"/>
      <c r="I16" s="230" t="s">
        <v>561</v>
      </c>
      <c r="J16" s="231"/>
      <c r="K16" s="228"/>
      <c r="L16" s="229"/>
      <c r="M16" s="229"/>
      <c r="N16" s="230" t="s">
        <v>561</v>
      </c>
      <c r="O16" s="231"/>
      <c r="P16" s="228"/>
      <c r="Q16" s="229"/>
      <c r="R16" s="229"/>
      <c r="S16" s="230" t="s">
        <v>561</v>
      </c>
      <c r="T16" s="231"/>
      <c r="U16" s="228"/>
      <c r="V16" s="229"/>
      <c r="W16" s="229"/>
      <c r="X16" s="230" t="s">
        <v>561</v>
      </c>
      <c r="Y16" s="231"/>
      <c r="AD16" s="553"/>
      <c r="AE16" s="554"/>
      <c r="AF16" s="554"/>
      <c r="AG16" s="217">
        <f t="shared" si="0"/>
        <v>0</v>
      </c>
    </row>
    <row r="17" spans="1:33" ht="24" customHeight="1" x14ac:dyDescent="0.2">
      <c r="A17" s="513" t="str">
        <f ca="1">A10</f>
        <v/>
      </c>
      <c r="B17" s="227"/>
      <c r="C17" s="514" t="str">
        <f ca="1">C10</f>
        <v/>
      </c>
      <c r="D17" s="227"/>
      <c r="E17" s="741"/>
      <c r="F17" s="228"/>
      <c r="G17" s="742"/>
      <c r="H17" s="742"/>
      <c r="I17" s="230" t="s">
        <v>561</v>
      </c>
      <c r="J17" s="231"/>
      <c r="K17" s="228"/>
      <c r="L17" s="229"/>
      <c r="M17" s="229"/>
      <c r="N17" s="230" t="s">
        <v>561</v>
      </c>
      <c r="O17" s="231"/>
      <c r="P17" s="228"/>
      <c r="Q17" s="229"/>
      <c r="R17" s="229"/>
      <c r="S17" s="230" t="s">
        <v>561</v>
      </c>
      <c r="T17" s="231"/>
      <c r="U17" s="228"/>
      <c r="V17" s="229"/>
      <c r="W17" s="229"/>
      <c r="X17" s="230" t="s">
        <v>561</v>
      </c>
      <c r="Y17" s="231"/>
      <c r="AD17" s="553"/>
      <c r="AE17" s="554"/>
      <c r="AF17" s="554"/>
      <c r="AG17" s="217">
        <f t="shared" si="0"/>
        <v>0</v>
      </c>
    </row>
    <row r="18" spans="1:33" ht="24" customHeight="1" x14ac:dyDescent="0.2">
      <c r="A18" s="513" t="str">
        <f ca="1">A11</f>
        <v/>
      </c>
      <c r="B18" s="227"/>
      <c r="C18" s="514" t="str">
        <f ca="1">C11</f>
        <v/>
      </c>
      <c r="D18" s="227"/>
      <c r="E18" s="741"/>
      <c r="F18" s="228"/>
      <c r="G18" s="742"/>
      <c r="H18" s="742"/>
      <c r="I18" s="230" t="s">
        <v>561</v>
      </c>
      <c r="J18" s="743"/>
      <c r="K18" s="228"/>
      <c r="L18" s="229"/>
      <c r="M18" s="229"/>
      <c r="N18" s="230" t="s">
        <v>561</v>
      </c>
      <c r="O18" s="232"/>
      <c r="P18" s="228"/>
      <c r="Q18" s="229"/>
      <c r="R18" s="229"/>
      <c r="S18" s="230" t="s">
        <v>561</v>
      </c>
      <c r="T18" s="232"/>
      <c r="U18" s="228"/>
      <c r="V18" s="229"/>
      <c r="W18" s="229"/>
      <c r="X18" s="230" t="s">
        <v>561</v>
      </c>
      <c r="Y18" s="232"/>
      <c r="AD18" s="553"/>
      <c r="AE18" s="554"/>
      <c r="AF18" s="554"/>
      <c r="AG18" s="217">
        <f t="shared" si="0"/>
        <v>0</v>
      </c>
    </row>
    <row r="19" spans="1:33" ht="24" customHeight="1" thickBot="1" x14ac:dyDescent="0.25">
      <c r="F19" s="1105" t="s">
        <v>909</v>
      </c>
      <c r="G19" s="1106"/>
      <c r="H19" s="1106"/>
      <c r="I19" s="230" t="s">
        <v>561</v>
      </c>
      <c r="J19" s="743"/>
      <c r="K19" s="1099" t="s">
        <v>910</v>
      </c>
      <c r="L19" s="1080"/>
      <c r="M19" s="1080"/>
      <c r="N19" s="230" t="s">
        <v>561</v>
      </c>
      <c r="O19" s="232"/>
      <c r="P19" s="1099" t="s">
        <v>911</v>
      </c>
      <c r="Q19" s="1080"/>
      <c r="R19" s="1080"/>
      <c r="S19" s="230" t="s">
        <v>561</v>
      </c>
      <c r="T19" s="232"/>
      <c r="U19" s="1099" t="s">
        <v>912</v>
      </c>
      <c r="V19" s="1080"/>
      <c r="W19" s="1080"/>
      <c r="X19" s="230" t="s">
        <v>561</v>
      </c>
      <c r="Y19" s="232"/>
      <c r="AD19" s="553"/>
      <c r="AE19" s="554"/>
      <c r="AF19" s="554"/>
      <c r="AG19" s="217">
        <f t="shared" si="0"/>
        <v>0</v>
      </c>
    </row>
    <row r="20" spans="1:33" ht="24" customHeight="1" thickBot="1" x14ac:dyDescent="0.25">
      <c r="A20" s="508" t="s">
        <v>1013</v>
      </c>
      <c r="B20" s="508"/>
      <c r="D20" s="1094">
        <f ca="1">VLOOKUP(A4&amp;A5,PTS_SP,2,FALSE)</f>
        <v>0</v>
      </c>
      <c r="E20" s="1095"/>
      <c r="F20" s="745" t="s">
        <v>1014</v>
      </c>
      <c r="G20" s="670"/>
      <c r="H20" s="744"/>
      <c r="I20" s="1096"/>
      <c r="J20" s="1097"/>
      <c r="K20" s="1100" t="s">
        <v>1015</v>
      </c>
      <c r="L20" s="1101"/>
      <c r="M20" s="1102"/>
      <c r="N20" s="1096"/>
      <c r="O20" s="1097"/>
      <c r="P20" s="1100" t="s">
        <v>1016</v>
      </c>
      <c r="Q20" s="1101"/>
      <c r="R20" s="1102"/>
      <c r="S20" s="1096"/>
      <c r="T20" s="1097"/>
      <c r="U20" s="1100" t="s">
        <v>1017</v>
      </c>
      <c r="V20" s="1101"/>
      <c r="W20" s="1102"/>
      <c r="X20" s="1096"/>
      <c r="Y20" s="1097"/>
      <c r="AD20" s="553"/>
      <c r="AE20" s="554"/>
      <c r="AF20" s="554"/>
      <c r="AG20" s="217">
        <f t="shared" si="0"/>
        <v>0</v>
      </c>
    </row>
    <row r="21" spans="1:33" ht="12.75" customHeight="1" x14ac:dyDescent="0.2">
      <c r="U21" s="520"/>
      <c r="Y21" s="240" t="s">
        <v>570</v>
      </c>
      <c r="AD21" s="553"/>
      <c r="AE21" s="554"/>
      <c r="AF21" s="554"/>
      <c r="AG21" s="217">
        <f t="shared" si="0"/>
        <v>0</v>
      </c>
    </row>
    <row r="22" spans="1:33" ht="15.75" customHeight="1" x14ac:dyDescent="0.2">
      <c r="B22" s="1091" t="s">
        <v>851</v>
      </c>
      <c r="C22" s="1091"/>
      <c r="D22" s="1091"/>
      <c r="E22" s="1091"/>
      <c r="F22" s="1091"/>
      <c r="G22" s="1091"/>
      <c r="H22" s="1091"/>
      <c r="I22" s="1091"/>
      <c r="J22" s="1091"/>
      <c r="K22" s="1091"/>
      <c r="L22" s="1091"/>
      <c r="O22" s="1091" t="s">
        <v>522</v>
      </c>
      <c r="P22" s="1091"/>
      <c r="Q22" s="1091"/>
      <c r="R22" s="1091"/>
      <c r="S22" s="1091"/>
      <c r="T22" s="1091"/>
      <c r="U22" s="1091"/>
      <c r="V22" s="1091"/>
      <c r="W22" s="1091"/>
      <c r="X22" s="1091"/>
      <c r="Y22" s="1091"/>
      <c r="AD22" s="553"/>
      <c r="AE22" s="554"/>
      <c r="AF22" s="554"/>
      <c r="AG22" s="217">
        <f t="shared" si="0"/>
        <v>0</v>
      </c>
    </row>
    <row r="23" spans="1:33" ht="13.5" customHeight="1" x14ac:dyDescent="0.2">
      <c r="B23" s="1086" t="s">
        <v>1</v>
      </c>
      <c r="C23" s="1087"/>
      <c r="D23" s="1087"/>
      <c r="E23" s="1087"/>
      <c r="F23" s="1087"/>
      <c r="G23" s="1087"/>
      <c r="H23" s="1088"/>
      <c r="I23" s="1086" t="s">
        <v>520</v>
      </c>
      <c r="J23" s="1087"/>
      <c r="K23" s="1087"/>
      <c r="L23" s="1088"/>
      <c r="N23" s="241"/>
      <c r="O23" s="1086" t="s">
        <v>1</v>
      </c>
      <c r="P23" s="1087"/>
      <c r="Q23" s="1087"/>
      <c r="R23" s="1087"/>
      <c r="S23" s="1087"/>
      <c r="T23" s="1087"/>
      <c r="U23" s="1088"/>
      <c r="V23" s="1086" t="s">
        <v>520</v>
      </c>
      <c r="W23" s="1087"/>
      <c r="X23" s="1087"/>
      <c r="Y23" s="1088"/>
      <c r="AD23" s="553"/>
      <c r="AE23" s="554"/>
      <c r="AF23" s="554"/>
      <c r="AG23" s="217">
        <f t="shared" si="0"/>
        <v>0</v>
      </c>
    </row>
    <row r="24" spans="1:33" ht="21.75" customHeight="1" x14ac:dyDescent="0.2">
      <c r="B24" s="242"/>
      <c r="C24" s="243"/>
      <c r="D24" s="243"/>
      <c r="E24" s="243"/>
      <c r="F24" s="243"/>
      <c r="G24" s="243"/>
      <c r="H24" s="243"/>
      <c r="I24" s="242"/>
      <c r="J24" s="243"/>
      <c r="K24" s="243"/>
      <c r="L24" s="244"/>
      <c r="N24" s="241"/>
      <c r="O24" s="242"/>
      <c r="P24" s="243"/>
      <c r="Q24" s="243"/>
      <c r="R24" s="243"/>
      <c r="S24" s="243"/>
      <c r="T24" s="243"/>
      <c r="U24" s="243"/>
      <c r="V24" s="242"/>
      <c r="W24" s="243"/>
      <c r="X24" s="243"/>
      <c r="Y24" s="244"/>
      <c r="AD24" s="553"/>
      <c r="AE24" s="554"/>
      <c r="AF24" s="554"/>
      <c r="AG24" s="217">
        <f t="shared" si="0"/>
        <v>0</v>
      </c>
    </row>
    <row r="25" spans="1:33" ht="13.5" customHeight="1" x14ac:dyDescent="0.2">
      <c r="U25" s="520"/>
      <c r="AD25" s="553"/>
      <c r="AE25" s="554"/>
      <c r="AF25" s="554"/>
      <c r="AG25" s="217">
        <f t="shared" si="0"/>
        <v>0</v>
      </c>
    </row>
    <row r="26" spans="1:33" ht="14.25" customHeight="1" thickBot="1" x14ac:dyDescent="0.25">
      <c r="A26" s="241"/>
      <c r="G26" s="305"/>
      <c r="H26" s="305"/>
      <c r="I26" s="1069" t="s">
        <v>0</v>
      </c>
      <c r="J26" s="1069"/>
      <c r="K26" s="1069"/>
      <c r="L26" s="1069"/>
      <c r="M26" s="1069"/>
      <c r="N26" s="1069"/>
      <c r="O26" s="1069"/>
      <c r="P26" s="1069" t="s">
        <v>374</v>
      </c>
      <c r="Q26" s="1069"/>
      <c r="R26" s="1069"/>
      <c r="S26" s="1069"/>
      <c r="T26" s="1069"/>
      <c r="U26" s="520" t="s">
        <v>571</v>
      </c>
      <c r="V26" s="520"/>
      <c r="W26" s="520"/>
      <c r="X26" s="305"/>
      <c r="Y26" s="305"/>
      <c r="AD26" s="553"/>
      <c r="AE26" s="554"/>
      <c r="AF26" s="554"/>
      <c r="AG26" s="217">
        <f t="shared" si="0"/>
        <v>0</v>
      </c>
    </row>
    <row r="27" spans="1:33" ht="20.25" customHeight="1" x14ac:dyDescent="0.2">
      <c r="A27" s="241"/>
      <c r="F27" s="1074" t="s">
        <v>584</v>
      </c>
      <c r="G27" s="1074"/>
      <c r="H27" s="1074"/>
      <c r="I27" s="316"/>
      <c r="J27" s="306"/>
      <c r="K27" s="306"/>
      <c r="L27" s="306"/>
      <c r="M27" s="306"/>
      <c r="N27" s="306"/>
      <c r="O27" s="306"/>
      <c r="P27" s="312"/>
      <c r="Q27" s="306"/>
      <c r="R27" s="307"/>
      <c r="S27" s="304"/>
      <c r="T27" s="313"/>
      <c r="U27" s="310"/>
      <c r="V27" s="1084" t="s">
        <v>495</v>
      </c>
      <c r="W27" s="308"/>
    </row>
    <row r="28" spans="1:33" ht="13.5" thickBot="1" x14ac:dyDescent="0.25">
      <c r="F28" s="1074"/>
      <c r="G28" s="1074"/>
      <c r="H28" s="1074"/>
      <c r="I28" s="303"/>
      <c r="J28" s="235"/>
      <c r="K28" s="235"/>
      <c r="L28" s="235"/>
      <c r="M28" s="235"/>
      <c r="N28" s="235"/>
      <c r="O28" s="235"/>
      <c r="P28" s="314"/>
      <c r="Q28" s="235"/>
      <c r="R28" s="234"/>
      <c r="S28" s="234"/>
      <c r="T28" s="315"/>
      <c r="U28" s="311"/>
      <c r="V28" s="1085"/>
      <c r="W28" s="309"/>
    </row>
    <row r="29" spans="1:33" x14ac:dyDescent="0.2">
      <c r="U29" s="520"/>
    </row>
    <row r="30" spans="1:33" ht="6.75" customHeight="1" x14ac:dyDescent="0.2">
      <c r="U30" s="520"/>
    </row>
    <row r="31" spans="1:33" s="218" customFormat="1" ht="23.25" customHeight="1" x14ac:dyDescent="0.2">
      <c r="A31" s="1072" t="s">
        <v>546</v>
      </c>
      <c r="B31" s="1073"/>
      <c r="C31" s="499" t="str">
        <f>C2</f>
        <v>D1</v>
      </c>
      <c r="D31" s="1098" t="s">
        <v>628</v>
      </c>
      <c r="E31" s="1072"/>
      <c r="F31" s="1072"/>
      <c r="G31" s="1103">
        <f ca="1">INDIRECT("AD"&amp;V31)</f>
        <v>2</v>
      </c>
      <c r="H31" s="1104"/>
      <c r="J31" s="218" t="str">
        <f>CATEG_IMPORTEE</f>
        <v>Collèges Mixtes Etablissement</v>
      </c>
      <c r="T31" s="500"/>
      <c r="U31" s="520" t="str">
        <f ca="1">INDIRECT("AE"&amp;V31)</f>
        <v>C8-Coll8Ville8</v>
      </c>
      <c r="V31" s="500">
        <f>Y31+2</f>
        <v>4</v>
      </c>
      <c r="W31" s="501" t="str">
        <f ca="1">INDIRECT("AF"&amp;V31)</f>
        <v>C1-Coll1Ville1</v>
      </c>
      <c r="X31" s="502" t="s">
        <v>849</v>
      </c>
      <c r="Y31" s="503">
        <f>Y2+1</f>
        <v>2</v>
      </c>
    </row>
    <row r="32" spans="1:33" ht="27" customHeight="1" thickBot="1" x14ac:dyDescent="0.25">
      <c r="A32" s="1093" t="s">
        <v>0</v>
      </c>
      <c r="B32" s="1093"/>
      <c r="C32" s="1093"/>
      <c r="D32" s="1093"/>
      <c r="E32" s="1093"/>
      <c r="F32" s="1093"/>
      <c r="G32" s="1093"/>
      <c r="H32" s="1093" t="s">
        <v>374</v>
      </c>
      <c r="I32" s="1093"/>
      <c r="J32" s="1093"/>
      <c r="K32" s="1093"/>
      <c r="L32" s="1093"/>
      <c r="O32" s="1069" t="s">
        <v>0</v>
      </c>
      <c r="P32" s="1069"/>
      <c r="Q32" s="1069"/>
      <c r="R32" s="1069"/>
      <c r="S32" s="1069"/>
      <c r="T32" s="1069"/>
      <c r="U32" s="1069"/>
      <c r="V32" s="1069" t="s">
        <v>374</v>
      </c>
      <c r="W32" s="1069"/>
      <c r="X32" s="1069"/>
      <c r="Y32" s="1069"/>
    </row>
    <row r="33" spans="1:25" ht="24" customHeight="1" thickBot="1" x14ac:dyDescent="0.25">
      <c r="A33" s="504" t="str">
        <f ca="1">IFERROR(VLOOKUP(U31,Num_AS,2,FALSE),"")</f>
        <v/>
      </c>
      <c r="B33" s="505"/>
      <c r="C33" s="505"/>
      <c r="D33" s="505"/>
      <c r="E33" s="505"/>
      <c r="F33" s="505"/>
      <c r="G33" s="506"/>
      <c r="H33" s="507" t="str">
        <f ca="1">IFERROR(VLOOKUP(U31,Num_AS,4,FALSE),"")</f>
        <v/>
      </c>
      <c r="I33" s="220"/>
      <c r="J33" s="220"/>
      <c r="K33" s="220"/>
      <c r="L33" s="738"/>
      <c r="M33" s="1074" t="s">
        <v>547</v>
      </c>
      <c r="N33" s="1071"/>
      <c r="O33" s="504" t="str">
        <f ca="1">IFERROR(VLOOKUP(W31,Num_AS,2,FALSE),"")</f>
        <v/>
      </c>
      <c r="P33" s="505"/>
      <c r="Q33" s="505"/>
      <c r="R33" s="505"/>
      <c r="S33" s="505"/>
      <c r="T33" s="505"/>
      <c r="U33" s="522"/>
      <c r="V33" s="507" t="str">
        <f ca="1">IFERROR(VLOOKUP(W31,Num_AS,4,FALSE),"")</f>
        <v/>
      </c>
      <c r="W33" s="220"/>
      <c r="X33" s="220"/>
      <c r="Y33" s="221"/>
    </row>
    <row r="34" spans="1:25" ht="15" customHeight="1" x14ac:dyDescent="0.2">
      <c r="A34" s="736" t="str">
        <f ca="1">IFERROR(VLOOKUP(U31,Num_AS,3,FALSE),"")</f>
        <v/>
      </c>
      <c r="B34" s="736"/>
      <c r="C34" s="736"/>
      <c r="D34" s="736"/>
      <c r="E34" s="736"/>
      <c r="F34" s="736"/>
      <c r="G34" s="736"/>
      <c r="H34" s="737"/>
      <c r="U34" s="520"/>
    </row>
    <row r="35" spans="1:25" ht="20.100000000000001" customHeight="1" x14ac:dyDescent="0.2">
      <c r="A35" s="1074" t="s">
        <v>548</v>
      </c>
      <c r="B35" s="1074"/>
      <c r="C35" s="1074"/>
      <c r="D35" s="1074"/>
      <c r="E35" s="1074"/>
      <c r="Q35" s="508" t="str">
        <f>Championnat</f>
        <v>Championnat de France de Tir à l'ARC</v>
      </c>
      <c r="U35" s="520"/>
    </row>
    <row r="36" spans="1:25" ht="20.100000000000001" customHeight="1" x14ac:dyDescent="0.2">
      <c r="A36" s="1075" t="s">
        <v>549</v>
      </c>
      <c r="B36" s="1075"/>
      <c r="C36" s="1075"/>
      <c r="D36" s="1075"/>
      <c r="E36" s="1075"/>
      <c r="G36" s="1076" t="s">
        <v>480</v>
      </c>
      <c r="H36" s="1076"/>
      <c r="I36" s="1077" t="s">
        <v>550</v>
      </c>
      <c r="J36" s="1077"/>
      <c r="K36" s="1077"/>
      <c r="L36" s="252" t="s">
        <v>551</v>
      </c>
      <c r="M36" s="1078" t="s">
        <v>552</v>
      </c>
      <c r="N36" s="1078"/>
      <c r="O36" s="251"/>
      <c r="Q36" s="217" t="str">
        <f>Q7</f>
        <v>L’Isle sur la Sorgue du 27 au 31 mars 2023</v>
      </c>
      <c r="U36" s="520"/>
    </row>
    <row r="37" spans="1:25" ht="24" customHeight="1" x14ac:dyDescent="0.2">
      <c r="A37" s="509" t="str">
        <f ca="1">IFERROR(VLOOKUP(U31,Num_AS,6,FALSE),"")</f>
        <v/>
      </c>
      <c r="B37" s="223"/>
      <c r="C37" s="510" t="str">
        <f ca="1">IFERROR(VLOOKUP(U31,Num_AS,7,FALSE),"")</f>
        <v/>
      </c>
      <c r="D37" s="223"/>
      <c r="E37" s="224"/>
      <c r="F37" s="219"/>
      <c r="G37" s="511" t="str">
        <f ca="1">IFERROR(VLOOKUP(U31,Num_AS,10,FALSE),"")</f>
        <v/>
      </c>
      <c r="H37" s="224"/>
      <c r="I37" s="222"/>
      <c r="J37" s="512" t="str">
        <f ca="1">IFERROR(VLOOKUP(U31,Num_AS,9,FALSE),"")</f>
        <v/>
      </c>
      <c r="K37" s="224"/>
      <c r="L37" s="222" t="str">
        <f ca="1">IFERROR(VLOOKUP(U31,Num_AS,11,FALSE),"")</f>
        <v/>
      </c>
      <c r="M37" s="287">
        <f ca="1">G31</f>
        <v>2</v>
      </c>
      <c r="N37" s="288"/>
      <c r="O37" s="249"/>
      <c r="R37" s="254"/>
      <c r="S37" s="254"/>
      <c r="T37" s="254"/>
      <c r="U37" s="520"/>
      <c r="V37" s="254"/>
      <c r="W37" s="254"/>
      <c r="X37" s="254"/>
      <c r="Y37" s="254"/>
    </row>
    <row r="38" spans="1:25" ht="24" customHeight="1" x14ac:dyDescent="0.2">
      <c r="A38" s="509" t="str">
        <f ca="1">IFERROR(VLOOKUP(U31,Num_AS,12,FALSE),"")</f>
        <v/>
      </c>
      <c r="B38" s="223"/>
      <c r="C38" s="510" t="str">
        <f ca="1">IFERROR(VLOOKUP(U31,Num_AS,13,FALSE),"")</f>
        <v/>
      </c>
      <c r="D38" s="223"/>
      <c r="E38" s="224"/>
      <c r="F38" s="219"/>
      <c r="G38" s="511" t="str">
        <f ca="1">IFERROR(VLOOKUP(U31,Num_AS,16,FALSE),"")</f>
        <v/>
      </c>
      <c r="H38" s="224"/>
      <c r="I38" s="222"/>
      <c r="J38" s="512" t="str">
        <f ca="1">IFERROR(VLOOKUP(U31,Num_AS,15,FALSE),"")</f>
        <v/>
      </c>
      <c r="K38" s="224"/>
      <c r="L38" s="222" t="str">
        <f ca="1">IFERROR(VLOOKUP(U31,Num_AS,17,FALSE),"")</f>
        <v/>
      </c>
      <c r="M38" s="287">
        <f ca="1">G31</f>
        <v>2</v>
      </c>
      <c r="N38" s="288"/>
      <c r="O38" s="249"/>
      <c r="Q38" s="254"/>
      <c r="R38" s="254"/>
      <c r="S38" s="254"/>
      <c r="T38" s="254"/>
      <c r="U38" s="520"/>
      <c r="V38" s="254"/>
      <c r="W38" s="254"/>
      <c r="X38" s="254"/>
      <c r="Y38" s="254"/>
    </row>
    <row r="39" spans="1:25" ht="24" customHeight="1" x14ac:dyDescent="0.2">
      <c r="A39" s="509" t="str">
        <f ca="1">IFERROR(VLOOKUP(U31,Num_AS,18,FALSE),"")</f>
        <v/>
      </c>
      <c r="B39" s="223"/>
      <c r="C39" s="510" t="str">
        <f ca="1">IFERROR(VLOOKUP(U31,Num_AS,19,FALSE),"")</f>
        <v/>
      </c>
      <c r="D39" s="223"/>
      <c r="E39" s="224"/>
      <c r="F39" s="219"/>
      <c r="G39" s="511" t="str">
        <f ca="1">IFERROR(VLOOKUP(U31,Num_AS,22,FALSE),"")</f>
        <v/>
      </c>
      <c r="H39" s="224"/>
      <c r="I39" s="222"/>
      <c r="J39" s="512" t="str">
        <f ca="1">IFERROR(VLOOKUP(U31,Num_AS,21,FALSE),"")</f>
        <v/>
      </c>
      <c r="K39" s="224"/>
      <c r="L39" s="222" t="str">
        <f ca="1">IFERROR(VLOOKUP(U31,Num_AS,23,FALSE),"")</f>
        <v/>
      </c>
      <c r="M39" s="287">
        <f ca="1">G31</f>
        <v>2</v>
      </c>
      <c r="N39" s="288"/>
      <c r="O39" s="249"/>
      <c r="Q39" s="254"/>
      <c r="R39" s="254"/>
      <c r="S39" s="254"/>
      <c r="T39" s="254"/>
      <c r="U39" s="520"/>
      <c r="V39" s="254"/>
      <c r="W39" s="254"/>
      <c r="X39" s="254"/>
      <c r="Y39" s="254"/>
    </row>
    <row r="40" spans="1:25" ht="24" customHeight="1" x14ac:dyDescent="0.2">
      <c r="A40" s="509" t="str">
        <f ca="1">IFERROR(VLOOKUP(U31,Num_AS,24,FALSE),"")</f>
        <v/>
      </c>
      <c r="B40" s="223"/>
      <c r="C40" s="510" t="str">
        <f ca="1">IFERROR(VLOOKUP(U31,Num_AS,25,FALSE),"")</f>
        <v/>
      </c>
      <c r="D40" s="223"/>
      <c r="E40" s="224"/>
      <c r="F40" s="219"/>
      <c r="G40" s="511" t="str">
        <f ca="1">IFERROR(VLOOKUP(U31,Num_AS,28,FALSE),"")</f>
        <v/>
      </c>
      <c r="H40" s="224"/>
      <c r="I40" s="222"/>
      <c r="J40" s="512" t="str">
        <f ca="1">IFERROR(VLOOKUP(U31,Num_AS,27,FALSE),"")</f>
        <v/>
      </c>
      <c r="K40" s="224"/>
      <c r="L40" s="222" t="str">
        <f ca="1">IFERROR(VLOOKUP(U31,Num_AS,29,FALSE),"")</f>
        <v/>
      </c>
      <c r="M40" s="289">
        <f ca="1">G31</f>
        <v>2</v>
      </c>
      <c r="N40" s="290"/>
      <c r="O40" s="249"/>
      <c r="U40" s="520"/>
    </row>
    <row r="41" spans="1:25" ht="15" customHeight="1" thickBot="1" x14ac:dyDescent="0.25">
      <c r="U41" s="520"/>
    </row>
    <row r="42" spans="1:25" ht="20.100000000000001" customHeight="1" x14ac:dyDescent="0.2">
      <c r="F42" s="1081" t="s">
        <v>555</v>
      </c>
      <c r="G42" s="1082"/>
      <c r="H42" s="1082"/>
      <c r="I42" s="1082"/>
      <c r="J42" s="1083"/>
      <c r="K42" s="1081" t="s">
        <v>556</v>
      </c>
      <c r="L42" s="1082"/>
      <c r="M42" s="1082"/>
      <c r="N42" s="1082"/>
      <c r="O42" s="1083"/>
      <c r="P42" s="1081" t="s">
        <v>557</v>
      </c>
      <c r="Q42" s="1082"/>
      <c r="R42" s="1082"/>
      <c r="S42" s="1082"/>
      <c r="T42" s="1083"/>
      <c r="U42" s="1081" t="s">
        <v>558</v>
      </c>
      <c r="V42" s="1082"/>
      <c r="W42" s="1082"/>
      <c r="X42" s="1082"/>
      <c r="Y42" s="1083"/>
    </row>
    <row r="43" spans="1:25" ht="20.100000000000001" customHeight="1" x14ac:dyDescent="0.2">
      <c r="A43" s="1075" t="s">
        <v>559</v>
      </c>
      <c r="B43" s="1075"/>
      <c r="C43" s="1075"/>
      <c r="D43" s="1075"/>
      <c r="E43" s="1089"/>
      <c r="F43" s="1090" t="s">
        <v>560</v>
      </c>
      <c r="G43" s="1075"/>
      <c r="H43" s="1075"/>
      <c r="J43" s="225" t="s">
        <v>7</v>
      </c>
      <c r="K43" s="1090" t="s">
        <v>560</v>
      </c>
      <c r="L43" s="1075"/>
      <c r="M43" s="1075"/>
      <c r="O43" s="225" t="s">
        <v>7</v>
      </c>
      <c r="P43" s="1090" t="s">
        <v>560</v>
      </c>
      <c r="Q43" s="1075"/>
      <c r="R43" s="1075"/>
      <c r="T43" s="225" t="s">
        <v>7</v>
      </c>
      <c r="U43" s="1090" t="s">
        <v>560</v>
      </c>
      <c r="V43" s="1075"/>
      <c r="W43" s="1075"/>
      <c r="Y43" s="225" t="s">
        <v>7</v>
      </c>
    </row>
    <row r="44" spans="1:25" ht="24" customHeight="1" x14ac:dyDescent="0.2">
      <c r="A44" s="513" t="str">
        <f ca="1">A37</f>
        <v/>
      </c>
      <c r="B44" s="227"/>
      <c r="C44" s="514" t="str">
        <f ca="1">C37</f>
        <v/>
      </c>
      <c r="D44" s="227"/>
      <c r="E44" s="227"/>
      <c r="F44" s="228"/>
      <c r="G44" s="229"/>
      <c r="H44" s="229"/>
      <c r="I44" s="230" t="s">
        <v>561</v>
      </c>
      <c r="J44" s="231"/>
      <c r="K44" s="228"/>
      <c r="L44" s="229"/>
      <c r="M44" s="229"/>
      <c r="N44" s="230" t="s">
        <v>561</v>
      </c>
      <c r="O44" s="231"/>
      <c r="P44" s="228"/>
      <c r="Q44" s="229"/>
      <c r="R44" s="229"/>
      <c r="S44" s="230" t="s">
        <v>561</v>
      </c>
      <c r="T44" s="231"/>
      <c r="U44" s="228"/>
      <c r="V44" s="229"/>
      <c r="W44" s="229"/>
      <c r="X44" s="230" t="s">
        <v>561</v>
      </c>
      <c r="Y44" s="231"/>
    </row>
    <row r="45" spans="1:25" ht="24" customHeight="1" x14ac:dyDescent="0.2">
      <c r="A45" s="513" t="str">
        <f ca="1">A38</f>
        <v/>
      </c>
      <c r="B45" s="227"/>
      <c r="C45" s="514" t="str">
        <f ca="1">C38</f>
        <v/>
      </c>
      <c r="D45" s="227"/>
      <c r="E45" s="227"/>
      <c r="F45" s="228"/>
      <c r="G45" s="229"/>
      <c r="H45" s="229"/>
      <c r="I45" s="230" t="s">
        <v>561</v>
      </c>
      <c r="J45" s="231"/>
      <c r="K45" s="228"/>
      <c r="L45" s="229"/>
      <c r="M45" s="229"/>
      <c r="N45" s="230" t="s">
        <v>561</v>
      </c>
      <c r="O45" s="231"/>
      <c r="P45" s="228"/>
      <c r="Q45" s="229"/>
      <c r="R45" s="229"/>
      <c r="S45" s="230" t="s">
        <v>561</v>
      </c>
      <c r="T45" s="231"/>
      <c r="U45" s="228"/>
      <c r="V45" s="229"/>
      <c r="W45" s="229"/>
      <c r="X45" s="230" t="s">
        <v>561</v>
      </c>
      <c r="Y45" s="231"/>
    </row>
    <row r="46" spans="1:25" ht="24" customHeight="1" x14ac:dyDescent="0.2">
      <c r="A46" s="513" t="str">
        <f ca="1">A39</f>
        <v/>
      </c>
      <c r="B46" s="227"/>
      <c r="C46" s="514" t="str">
        <f ca="1">C39</f>
        <v/>
      </c>
      <c r="D46" s="227"/>
      <c r="E46" s="227"/>
      <c r="F46" s="228"/>
      <c r="G46" s="229"/>
      <c r="H46" s="229"/>
      <c r="I46" s="230" t="s">
        <v>561</v>
      </c>
      <c r="J46" s="231"/>
      <c r="K46" s="228"/>
      <c r="L46" s="229"/>
      <c r="M46" s="229"/>
      <c r="N46" s="230" t="s">
        <v>561</v>
      </c>
      <c r="O46" s="231"/>
      <c r="P46" s="228"/>
      <c r="Q46" s="229"/>
      <c r="R46" s="229"/>
      <c r="S46" s="230" t="s">
        <v>561</v>
      </c>
      <c r="T46" s="231"/>
      <c r="U46" s="228"/>
      <c r="V46" s="229"/>
      <c r="W46" s="229"/>
      <c r="X46" s="230" t="s">
        <v>561</v>
      </c>
      <c r="Y46" s="231"/>
    </row>
    <row r="47" spans="1:25" ht="24" customHeight="1" x14ac:dyDescent="0.2">
      <c r="A47" s="513" t="str">
        <f ca="1">A40</f>
        <v/>
      </c>
      <c r="B47" s="227"/>
      <c r="C47" s="514" t="str">
        <f ca="1">C40</f>
        <v/>
      </c>
      <c r="D47" s="227"/>
      <c r="E47" s="227"/>
      <c r="F47" s="228"/>
      <c r="G47" s="229"/>
      <c r="H47" s="229"/>
      <c r="I47" s="230" t="s">
        <v>561</v>
      </c>
      <c r="J47" s="232"/>
      <c r="K47" s="228"/>
      <c r="L47" s="229"/>
      <c r="M47" s="229"/>
      <c r="N47" s="230" t="s">
        <v>561</v>
      </c>
      <c r="O47" s="232"/>
      <c r="P47" s="228"/>
      <c r="Q47" s="229"/>
      <c r="R47" s="229"/>
      <c r="S47" s="230" t="s">
        <v>561</v>
      </c>
      <c r="T47" s="232"/>
      <c r="U47" s="228"/>
      <c r="V47" s="229"/>
      <c r="W47" s="229"/>
      <c r="X47" s="230" t="s">
        <v>561</v>
      </c>
      <c r="Y47" s="232"/>
    </row>
    <row r="48" spans="1:25" ht="24" customHeight="1" thickBot="1" x14ac:dyDescent="0.25">
      <c r="F48" s="1079" t="s">
        <v>562</v>
      </c>
      <c r="G48" s="1080"/>
      <c r="H48" s="1080"/>
      <c r="I48" s="230" t="s">
        <v>561</v>
      </c>
      <c r="J48" s="231"/>
      <c r="K48" s="1079" t="s">
        <v>563</v>
      </c>
      <c r="L48" s="1080"/>
      <c r="M48" s="1080"/>
      <c r="N48" s="230" t="s">
        <v>561</v>
      </c>
      <c r="O48" s="232"/>
      <c r="P48" s="1079" t="s">
        <v>564</v>
      </c>
      <c r="Q48" s="1080"/>
      <c r="R48" s="1080"/>
      <c r="S48" s="230" t="s">
        <v>561</v>
      </c>
      <c r="T48" s="232"/>
      <c r="U48" s="1079" t="s">
        <v>565</v>
      </c>
      <c r="V48" s="1080"/>
      <c r="W48" s="1080"/>
      <c r="X48" s="230" t="s">
        <v>561</v>
      </c>
      <c r="Y48" s="232"/>
    </row>
    <row r="49" spans="1:25" ht="24" customHeight="1" thickBot="1" x14ac:dyDescent="0.25">
      <c r="A49" s="508" t="s">
        <v>1013</v>
      </c>
      <c r="B49" s="508"/>
      <c r="D49" s="1094">
        <f ca="1">VLOOKUP(A33&amp;A34,PTS_SP,2,FALSE)</f>
        <v>0</v>
      </c>
      <c r="E49" s="1095"/>
      <c r="F49" s="745" t="s">
        <v>1014</v>
      </c>
      <c r="G49" s="670"/>
      <c r="H49" s="744"/>
      <c r="I49" s="1096"/>
      <c r="J49" s="1097"/>
      <c r="K49" s="1100" t="s">
        <v>1015</v>
      </c>
      <c r="L49" s="1101"/>
      <c r="M49" s="1102"/>
      <c r="N49" s="1096"/>
      <c r="O49" s="1097"/>
      <c r="P49" s="1100" t="s">
        <v>1016</v>
      </c>
      <c r="Q49" s="1101"/>
      <c r="R49" s="1102"/>
      <c r="S49" s="1096"/>
      <c r="T49" s="1097"/>
      <c r="U49" s="1100" t="s">
        <v>1017</v>
      </c>
      <c r="V49" s="1101"/>
      <c r="W49" s="1102"/>
      <c r="X49" s="1096"/>
      <c r="Y49" s="1097"/>
    </row>
    <row r="50" spans="1:25" ht="12.75" customHeight="1" x14ac:dyDescent="0.2">
      <c r="U50" s="520"/>
      <c r="Y50" s="240" t="s">
        <v>570</v>
      </c>
    </row>
    <row r="51" spans="1:25" ht="15.75" customHeight="1" x14ac:dyDescent="0.2">
      <c r="B51" s="1091" t="s">
        <v>851</v>
      </c>
      <c r="C51" s="1091"/>
      <c r="D51" s="1091"/>
      <c r="E51" s="1091"/>
      <c r="F51" s="1091"/>
      <c r="G51" s="1091"/>
      <c r="H51" s="1091"/>
      <c r="I51" s="1091"/>
      <c r="J51" s="1091"/>
      <c r="K51" s="1091"/>
      <c r="L51" s="1091"/>
      <c r="O51" s="1091" t="s">
        <v>522</v>
      </c>
      <c r="P51" s="1091"/>
      <c r="Q51" s="1091"/>
      <c r="R51" s="1091"/>
      <c r="S51" s="1091"/>
      <c r="T51" s="1091"/>
      <c r="U51" s="1091"/>
      <c r="V51" s="1091"/>
      <c r="W51" s="1091"/>
      <c r="X51" s="1091"/>
      <c r="Y51" s="1091"/>
    </row>
    <row r="52" spans="1:25" ht="13.5" customHeight="1" x14ac:dyDescent="0.2">
      <c r="B52" s="1086" t="s">
        <v>1</v>
      </c>
      <c r="C52" s="1087"/>
      <c r="D52" s="1087"/>
      <c r="E52" s="1087"/>
      <c r="F52" s="1087"/>
      <c r="G52" s="1087"/>
      <c r="H52" s="1088"/>
      <c r="I52" s="1086" t="s">
        <v>520</v>
      </c>
      <c r="J52" s="1087"/>
      <c r="K52" s="1087"/>
      <c r="L52" s="1088"/>
      <c r="N52" s="241"/>
      <c r="O52" s="1086" t="s">
        <v>1</v>
      </c>
      <c r="P52" s="1087"/>
      <c r="Q52" s="1087"/>
      <c r="R52" s="1087"/>
      <c r="S52" s="1087"/>
      <c r="T52" s="1087"/>
      <c r="U52" s="1088"/>
      <c r="V52" s="1086" t="s">
        <v>520</v>
      </c>
      <c r="W52" s="1087"/>
      <c r="X52" s="1087"/>
      <c r="Y52" s="1088"/>
    </row>
    <row r="53" spans="1:25" ht="21.75" customHeight="1" x14ac:dyDescent="0.2">
      <c r="B53" s="242"/>
      <c r="C53" s="243"/>
      <c r="D53" s="243"/>
      <c r="E53" s="243"/>
      <c r="F53" s="243"/>
      <c r="G53" s="243"/>
      <c r="H53" s="243"/>
      <c r="I53" s="242"/>
      <c r="J53" s="243"/>
      <c r="K53" s="243"/>
      <c r="L53" s="244"/>
      <c r="N53" s="241"/>
      <c r="O53" s="242"/>
      <c r="P53" s="243"/>
      <c r="Q53" s="243"/>
      <c r="R53" s="243"/>
      <c r="S53" s="243"/>
      <c r="T53" s="243"/>
      <c r="U53" s="243"/>
      <c r="V53" s="242"/>
      <c r="W53" s="243"/>
      <c r="X53" s="243"/>
      <c r="Y53" s="244"/>
    </row>
    <row r="54" spans="1:25" ht="13.5" customHeight="1" x14ac:dyDescent="0.2"/>
    <row r="55" spans="1:25" ht="14.25" customHeight="1" thickBot="1" x14ac:dyDescent="0.25">
      <c r="A55" s="241"/>
      <c r="G55" s="305"/>
      <c r="H55" s="305"/>
      <c r="I55" s="1069" t="s">
        <v>0</v>
      </c>
      <c r="J55" s="1069"/>
      <c r="K55" s="1069"/>
      <c r="L55" s="1069"/>
      <c r="M55" s="1069"/>
      <c r="N55" s="1069"/>
      <c r="O55" s="1069"/>
      <c r="P55" s="1069" t="s">
        <v>374</v>
      </c>
      <c r="Q55" s="1069"/>
      <c r="R55" s="1069"/>
      <c r="S55" s="1069"/>
      <c r="T55" s="1069"/>
      <c r="U55" s="1069" t="s">
        <v>571</v>
      </c>
      <c r="V55" s="1069"/>
      <c r="W55" s="1069"/>
      <c r="X55" s="305"/>
      <c r="Y55" s="305"/>
    </row>
    <row r="56" spans="1:25" ht="20.25" customHeight="1" x14ac:dyDescent="0.2">
      <c r="A56" s="241"/>
      <c r="F56" s="1074" t="s">
        <v>584</v>
      </c>
      <c r="G56" s="1074"/>
      <c r="H56" s="1074"/>
      <c r="I56" s="316"/>
      <c r="J56" s="306"/>
      <c r="K56" s="306"/>
      <c r="L56" s="306"/>
      <c r="M56" s="306"/>
      <c r="N56" s="306"/>
      <c r="O56" s="306"/>
      <c r="P56" s="312"/>
      <c r="Q56" s="306"/>
      <c r="R56" s="307"/>
      <c r="S56" s="304"/>
      <c r="T56" s="313"/>
      <c r="U56" s="310"/>
      <c r="V56" s="1084" t="s">
        <v>495</v>
      </c>
      <c r="W56" s="308"/>
    </row>
    <row r="57" spans="1:25" ht="13.5" thickBot="1" x14ac:dyDescent="0.25">
      <c r="F57" s="1074"/>
      <c r="G57" s="1074"/>
      <c r="H57" s="1074"/>
      <c r="I57" s="303"/>
      <c r="J57" s="235"/>
      <c r="K57" s="235"/>
      <c r="L57" s="235"/>
      <c r="M57" s="235"/>
      <c r="N57" s="235"/>
      <c r="O57" s="235"/>
      <c r="P57" s="314"/>
      <c r="Q57" s="235"/>
      <c r="R57" s="234"/>
      <c r="S57" s="234"/>
      <c r="T57" s="315"/>
      <c r="U57" s="311"/>
      <c r="V57" s="1085"/>
      <c r="W57" s="309"/>
    </row>
    <row r="59" spans="1:25" ht="6.75" customHeight="1" x14ac:dyDescent="0.2"/>
    <row r="60" spans="1:25" s="218" customFormat="1" ht="23.25" customHeight="1" x14ac:dyDescent="0.2">
      <c r="A60" s="1072" t="s">
        <v>546</v>
      </c>
      <c r="B60" s="1073"/>
      <c r="C60" s="499" t="str">
        <f>C31</f>
        <v>D1</v>
      </c>
      <c r="D60" s="1098" t="s">
        <v>628</v>
      </c>
      <c r="E60" s="1072"/>
      <c r="F60" s="1072"/>
      <c r="G60" s="1103">
        <f ca="1">INDIRECT("AD"&amp;V60)</f>
        <v>3</v>
      </c>
      <c r="H60" s="1104"/>
      <c r="J60" s="218" t="str">
        <f>CATEG_IMPORTEE</f>
        <v>Collèges Mixtes Etablissement</v>
      </c>
      <c r="T60" s="500"/>
      <c r="U60" s="520" t="str">
        <f ca="1">INDIRECT("AE"&amp;V60)</f>
        <v>C4-Coll4Ville4</v>
      </c>
      <c r="V60" s="500">
        <f>Y60+2</f>
        <v>5</v>
      </c>
      <c r="W60" s="501" t="str">
        <f ca="1">INDIRECT("AF"&amp;V60)</f>
        <v>C5-Coll5Ville5</v>
      </c>
      <c r="X60" s="502" t="s">
        <v>849</v>
      </c>
      <c r="Y60" s="503">
        <f>Y31+1</f>
        <v>3</v>
      </c>
    </row>
    <row r="61" spans="1:25" ht="27" customHeight="1" thickBot="1" x14ac:dyDescent="0.25">
      <c r="A61" s="1093" t="s">
        <v>0</v>
      </c>
      <c r="B61" s="1093"/>
      <c r="C61" s="1093"/>
      <c r="D61" s="1093"/>
      <c r="E61" s="1093"/>
      <c r="F61" s="1093"/>
      <c r="G61" s="1093"/>
      <c r="H61" s="1093" t="s">
        <v>374</v>
      </c>
      <c r="I61" s="1093"/>
      <c r="J61" s="1093"/>
      <c r="K61" s="1093"/>
      <c r="L61" s="1093"/>
      <c r="O61" s="1069" t="s">
        <v>0</v>
      </c>
      <c r="P61" s="1069"/>
      <c r="Q61" s="1069"/>
      <c r="R61" s="1069"/>
      <c r="S61" s="1069"/>
      <c r="T61" s="1069"/>
      <c r="U61" s="1069"/>
      <c r="V61" s="1069" t="s">
        <v>374</v>
      </c>
      <c r="W61" s="1069"/>
      <c r="X61" s="1069"/>
      <c r="Y61" s="1069"/>
    </row>
    <row r="62" spans="1:25" ht="24" customHeight="1" thickBot="1" x14ac:dyDescent="0.25">
      <c r="A62" s="504" t="str">
        <f ca="1">IFERROR(VLOOKUP(U60,Num_AS,2,FALSE),"")</f>
        <v/>
      </c>
      <c r="B62" s="505"/>
      <c r="C62" s="505"/>
      <c r="D62" s="505"/>
      <c r="E62" s="505"/>
      <c r="F62" s="505"/>
      <c r="G62" s="506"/>
      <c r="H62" s="507" t="str">
        <f ca="1">IFERROR(VLOOKUP(U60,Num_AS,4,FALSE),"")</f>
        <v/>
      </c>
      <c r="I62" s="220"/>
      <c r="J62" s="220"/>
      <c r="K62" s="220"/>
      <c r="L62" s="738"/>
      <c r="M62" s="1070" t="s">
        <v>547</v>
      </c>
      <c r="N62" s="1071"/>
      <c r="O62" s="504" t="str">
        <f ca="1">IFERROR(VLOOKUP(W60,Num_AS,2,FALSE),"")</f>
        <v/>
      </c>
      <c r="P62" s="505"/>
      <c r="Q62" s="505"/>
      <c r="R62" s="505"/>
      <c r="S62" s="505"/>
      <c r="T62" s="505"/>
      <c r="U62" s="506"/>
      <c r="V62" s="507" t="str">
        <f ca="1">IFERROR(VLOOKUP(W60,Num_AS,4,FALSE),"")</f>
        <v/>
      </c>
      <c r="W62" s="220"/>
      <c r="X62" s="220"/>
      <c r="Y62" s="221"/>
    </row>
    <row r="63" spans="1:25" ht="15" customHeight="1" x14ac:dyDescent="0.2">
      <c r="A63" s="736" t="str">
        <f ca="1">IFERROR(VLOOKUP(U60,Num_AS,3,FALSE),"")</f>
        <v/>
      </c>
      <c r="B63" s="736"/>
      <c r="C63" s="736"/>
      <c r="D63" s="736"/>
      <c r="E63" s="736"/>
      <c r="F63" s="736"/>
      <c r="G63" s="736"/>
      <c r="H63" s="737"/>
    </row>
    <row r="64" spans="1:25" ht="20.100000000000001" customHeight="1" x14ac:dyDescent="0.2">
      <c r="A64" s="1074" t="s">
        <v>548</v>
      </c>
      <c r="B64" s="1074"/>
      <c r="C64" s="1074"/>
      <c r="D64" s="1074"/>
      <c r="E64" s="1074"/>
      <c r="Q64" s="217" t="str">
        <f>Q35</f>
        <v>Championnat de France de Tir à l'ARC</v>
      </c>
    </row>
    <row r="65" spans="1:25" ht="20.100000000000001" customHeight="1" x14ac:dyDescent="0.2">
      <c r="A65" s="1075" t="s">
        <v>549</v>
      </c>
      <c r="B65" s="1075"/>
      <c r="C65" s="1075"/>
      <c r="D65" s="1075"/>
      <c r="E65" s="1075"/>
      <c r="G65" s="1076" t="s">
        <v>480</v>
      </c>
      <c r="H65" s="1076"/>
      <c r="I65" s="1077" t="s">
        <v>550</v>
      </c>
      <c r="J65" s="1077"/>
      <c r="K65" s="1077"/>
      <c r="L65" s="252" t="s">
        <v>551</v>
      </c>
      <c r="M65" s="1078" t="s">
        <v>552</v>
      </c>
      <c r="N65" s="1078"/>
      <c r="O65" s="251"/>
      <c r="Q65" s="217" t="str">
        <f>Q36</f>
        <v>L’Isle sur la Sorgue du 27 au 31 mars 2023</v>
      </c>
    </row>
    <row r="66" spans="1:25" ht="24" customHeight="1" x14ac:dyDescent="0.2">
      <c r="A66" s="509" t="str">
        <f ca="1">IFERROR(VLOOKUP(U60,Num_AS,6,FALSE),"")</f>
        <v/>
      </c>
      <c r="B66" s="223"/>
      <c r="C66" s="510" t="str">
        <f ca="1">IFERROR(VLOOKUP(U60,Num_AS,7,FALSE),"")</f>
        <v/>
      </c>
      <c r="D66" s="223"/>
      <c r="E66" s="224"/>
      <c r="F66" s="219"/>
      <c r="G66" s="511" t="str">
        <f ca="1">IFERROR(VLOOKUP(U60,Num_AS,10,FALSE),"")</f>
        <v/>
      </c>
      <c r="H66" s="224"/>
      <c r="I66" s="222"/>
      <c r="J66" s="512" t="str">
        <f ca="1">IFERROR(VLOOKUP(U60,Num_AS,9,FALSE),"")</f>
        <v/>
      </c>
      <c r="K66" s="224"/>
      <c r="L66" s="222" t="str">
        <f ca="1">IFERROR(VLOOKUP(U60,Num_AS,11,FALSE),"")</f>
        <v/>
      </c>
      <c r="M66" s="287">
        <f ca="1">G60</f>
        <v>3</v>
      </c>
      <c r="N66" s="288"/>
      <c r="O66" s="249"/>
      <c r="R66" s="254"/>
      <c r="S66" s="254"/>
      <c r="T66" s="254"/>
      <c r="U66" s="254"/>
      <c r="V66" s="254"/>
      <c r="W66" s="254"/>
      <c r="X66" s="254"/>
      <c r="Y66" s="254"/>
    </row>
    <row r="67" spans="1:25" ht="24" customHeight="1" x14ac:dyDescent="0.2">
      <c r="A67" s="509" t="str">
        <f ca="1">IFERROR(VLOOKUP(U60,Num_AS,12,FALSE),"")</f>
        <v/>
      </c>
      <c r="B67" s="223"/>
      <c r="C67" s="510" t="str">
        <f ca="1">IFERROR(VLOOKUP(U60,Num_AS,13,FALSE),"")</f>
        <v/>
      </c>
      <c r="D67" s="223"/>
      <c r="E67" s="224"/>
      <c r="F67" s="219"/>
      <c r="G67" s="511" t="str">
        <f ca="1">IFERROR(VLOOKUP(U60,Num_AS,16,FALSE),"")</f>
        <v/>
      </c>
      <c r="H67" s="224"/>
      <c r="I67" s="222"/>
      <c r="J67" s="512" t="str">
        <f ca="1">IFERROR(VLOOKUP(U60,Num_AS,15,FALSE),"")</f>
        <v/>
      </c>
      <c r="K67" s="224"/>
      <c r="L67" s="222" t="str">
        <f ca="1">IFERROR(VLOOKUP(U60,Num_AS,17,FALSE),"")</f>
        <v/>
      </c>
      <c r="M67" s="287">
        <f ca="1">G60</f>
        <v>3</v>
      </c>
      <c r="N67" s="288"/>
      <c r="O67" s="249"/>
      <c r="Q67" s="254"/>
      <c r="R67" s="254"/>
      <c r="S67" s="254"/>
      <c r="T67" s="254"/>
      <c r="U67" s="254"/>
      <c r="V67" s="254"/>
      <c r="W67" s="254"/>
      <c r="X67" s="254"/>
      <c r="Y67" s="254"/>
    </row>
    <row r="68" spans="1:25" ht="24" customHeight="1" x14ac:dyDescent="0.2">
      <c r="A68" s="509" t="str">
        <f ca="1">IFERROR(VLOOKUP(U60,Num_AS,18,FALSE),"")</f>
        <v/>
      </c>
      <c r="B68" s="223"/>
      <c r="C68" s="510" t="str">
        <f ca="1">IFERROR(VLOOKUP(U60,Num_AS,19,FALSE),"")</f>
        <v/>
      </c>
      <c r="D68" s="223"/>
      <c r="E68" s="224"/>
      <c r="F68" s="219"/>
      <c r="G68" s="511" t="str">
        <f ca="1">IFERROR(VLOOKUP(U60,Num_AS,22,FALSE),"")</f>
        <v/>
      </c>
      <c r="H68" s="224"/>
      <c r="I68" s="222"/>
      <c r="J68" s="512" t="str">
        <f ca="1">IFERROR(VLOOKUP(U60,Num_AS,21,FALSE),"")</f>
        <v/>
      </c>
      <c r="K68" s="224"/>
      <c r="L68" s="222" t="str">
        <f ca="1">IFERROR(VLOOKUP(U60,Num_AS,23,FALSE),"")</f>
        <v/>
      </c>
      <c r="M68" s="287">
        <f ca="1">G60</f>
        <v>3</v>
      </c>
      <c r="N68" s="288"/>
      <c r="O68" s="249"/>
      <c r="Q68" s="254"/>
      <c r="R68" s="254"/>
      <c r="S68" s="254"/>
      <c r="T68" s="254"/>
      <c r="U68" s="254"/>
      <c r="V68" s="254"/>
      <c r="W68" s="254"/>
      <c r="X68" s="254"/>
      <c r="Y68" s="254"/>
    </row>
    <row r="69" spans="1:25" ht="24" customHeight="1" x14ac:dyDescent="0.2">
      <c r="A69" s="509" t="str">
        <f ca="1">IFERROR(VLOOKUP(U60,Num_AS,24,FALSE),"")</f>
        <v/>
      </c>
      <c r="B69" s="223"/>
      <c r="C69" s="510" t="str">
        <f ca="1">IFERROR(VLOOKUP(U60,Num_AS,25,FALSE),"")</f>
        <v/>
      </c>
      <c r="D69" s="223"/>
      <c r="E69" s="224"/>
      <c r="F69" s="219"/>
      <c r="G69" s="511" t="str">
        <f ca="1">IFERROR(VLOOKUP(U60,Num_AS,28,FALSE),"")</f>
        <v/>
      </c>
      <c r="H69" s="224"/>
      <c r="I69" s="222"/>
      <c r="J69" s="512" t="str">
        <f ca="1">IFERROR(VLOOKUP(U60,Num_AS,27,FALSE),"")</f>
        <v/>
      </c>
      <c r="K69" s="224"/>
      <c r="L69" s="222" t="str">
        <f ca="1">IFERROR(VLOOKUP(U60,Num_AS,29,FALSE),"")</f>
        <v/>
      </c>
      <c r="M69" s="289">
        <f ca="1">G60</f>
        <v>3</v>
      </c>
      <c r="N69" s="290"/>
      <c r="O69" s="249"/>
    </row>
    <row r="70" spans="1:25" ht="15" customHeight="1" thickBot="1" x14ac:dyDescent="0.25"/>
    <row r="71" spans="1:25" ht="20.100000000000001" customHeight="1" x14ac:dyDescent="0.2">
      <c r="F71" s="1081" t="s">
        <v>555</v>
      </c>
      <c r="G71" s="1082"/>
      <c r="H71" s="1082"/>
      <c r="I71" s="1082"/>
      <c r="J71" s="1083"/>
      <c r="K71" s="1081" t="s">
        <v>556</v>
      </c>
      <c r="L71" s="1082"/>
      <c r="M71" s="1082"/>
      <c r="N71" s="1082"/>
      <c r="O71" s="1083"/>
      <c r="P71" s="1081" t="s">
        <v>557</v>
      </c>
      <c r="Q71" s="1082"/>
      <c r="R71" s="1082"/>
      <c r="S71" s="1082"/>
      <c r="T71" s="1083"/>
      <c r="U71" s="1081" t="s">
        <v>558</v>
      </c>
      <c r="V71" s="1082"/>
      <c r="W71" s="1082"/>
      <c r="X71" s="1082"/>
      <c r="Y71" s="1083"/>
    </row>
    <row r="72" spans="1:25" ht="20.100000000000001" customHeight="1" x14ac:dyDescent="0.2">
      <c r="A72" s="1075" t="s">
        <v>559</v>
      </c>
      <c r="B72" s="1075"/>
      <c r="C72" s="1075"/>
      <c r="D72" s="1075"/>
      <c r="E72" s="1089"/>
      <c r="F72" s="1090" t="s">
        <v>560</v>
      </c>
      <c r="G72" s="1075"/>
      <c r="H72" s="1075"/>
      <c r="J72" s="225" t="s">
        <v>7</v>
      </c>
      <c r="K72" s="1090" t="s">
        <v>560</v>
      </c>
      <c r="L72" s="1075"/>
      <c r="M72" s="1075"/>
      <c r="O72" s="225" t="s">
        <v>7</v>
      </c>
      <c r="P72" s="1090" t="s">
        <v>560</v>
      </c>
      <c r="Q72" s="1075"/>
      <c r="R72" s="1075"/>
      <c r="T72" s="225" t="s">
        <v>7</v>
      </c>
      <c r="U72" s="1090" t="s">
        <v>560</v>
      </c>
      <c r="V72" s="1075"/>
      <c r="W72" s="1075"/>
      <c r="Y72" s="225" t="s">
        <v>7</v>
      </c>
    </row>
    <row r="73" spans="1:25" ht="24" customHeight="1" x14ac:dyDescent="0.2">
      <c r="A73" s="513" t="str">
        <f ca="1">A66</f>
        <v/>
      </c>
      <c r="B73" s="227"/>
      <c r="C73" s="514" t="str">
        <f ca="1">C66</f>
        <v/>
      </c>
      <c r="D73" s="227"/>
      <c r="E73" s="227"/>
      <c r="F73" s="228"/>
      <c r="G73" s="229"/>
      <c r="H73" s="229"/>
      <c r="I73" s="230" t="s">
        <v>561</v>
      </c>
      <c r="J73" s="231"/>
      <c r="K73" s="228"/>
      <c r="L73" s="229"/>
      <c r="M73" s="229"/>
      <c r="N73" s="230" t="s">
        <v>561</v>
      </c>
      <c r="O73" s="231"/>
      <c r="P73" s="228"/>
      <c r="Q73" s="229"/>
      <c r="R73" s="229"/>
      <c r="S73" s="230" t="s">
        <v>561</v>
      </c>
      <c r="T73" s="231"/>
      <c r="U73" s="228"/>
      <c r="V73" s="229"/>
      <c r="W73" s="229"/>
      <c r="X73" s="230" t="s">
        <v>561</v>
      </c>
      <c r="Y73" s="231"/>
    </row>
    <row r="74" spans="1:25" ht="24" customHeight="1" x14ac:dyDescent="0.2">
      <c r="A74" s="513" t="str">
        <f ca="1">A67</f>
        <v/>
      </c>
      <c r="B74" s="227"/>
      <c r="C74" s="514" t="str">
        <f ca="1">C67</f>
        <v/>
      </c>
      <c r="D74" s="227"/>
      <c r="E74" s="227"/>
      <c r="F74" s="228"/>
      <c r="G74" s="229"/>
      <c r="H74" s="229"/>
      <c r="I74" s="230" t="s">
        <v>561</v>
      </c>
      <c r="J74" s="231"/>
      <c r="K74" s="228"/>
      <c r="L74" s="229"/>
      <c r="M74" s="229"/>
      <c r="N74" s="230" t="s">
        <v>561</v>
      </c>
      <c r="O74" s="231"/>
      <c r="P74" s="228"/>
      <c r="Q74" s="229"/>
      <c r="R74" s="229"/>
      <c r="S74" s="230" t="s">
        <v>561</v>
      </c>
      <c r="T74" s="231"/>
      <c r="U74" s="228"/>
      <c r="V74" s="229"/>
      <c r="W74" s="229"/>
      <c r="X74" s="230" t="s">
        <v>561</v>
      </c>
      <c r="Y74" s="231"/>
    </row>
    <row r="75" spans="1:25" ht="24" customHeight="1" x14ac:dyDescent="0.2">
      <c r="A75" s="513" t="str">
        <f ca="1">A68</f>
        <v/>
      </c>
      <c r="B75" s="227"/>
      <c r="C75" s="514" t="str">
        <f ca="1">C68</f>
        <v/>
      </c>
      <c r="D75" s="227"/>
      <c r="E75" s="227"/>
      <c r="F75" s="228"/>
      <c r="G75" s="229"/>
      <c r="H75" s="229"/>
      <c r="I75" s="230" t="s">
        <v>561</v>
      </c>
      <c r="J75" s="231"/>
      <c r="K75" s="228"/>
      <c r="L75" s="229"/>
      <c r="M75" s="229"/>
      <c r="N75" s="230" t="s">
        <v>561</v>
      </c>
      <c r="O75" s="231"/>
      <c r="P75" s="228"/>
      <c r="Q75" s="229"/>
      <c r="R75" s="229"/>
      <c r="S75" s="230" t="s">
        <v>561</v>
      </c>
      <c r="T75" s="231"/>
      <c r="U75" s="228"/>
      <c r="V75" s="229"/>
      <c r="W75" s="229"/>
      <c r="X75" s="230" t="s">
        <v>561</v>
      </c>
      <c r="Y75" s="231"/>
    </row>
    <row r="76" spans="1:25" ht="24" customHeight="1" x14ac:dyDescent="0.2">
      <c r="A76" s="513" t="str">
        <f ca="1">A69</f>
        <v/>
      </c>
      <c r="B76" s="227"/>
      <c r="C76" s="514" t="str">
        <f ca="1">C69</f>
        <v/>
      </c>
      <c r="D76" s="227"/>
      <c r="E76" s="227"/>
      <c r="F76" s="228"/>
      <c r="G76" s="229"/>
      <c r="H76" s="229"/>
      <c r="I76" s="230" t="s">
        <v>561</v>
      </c>
      <c r="J76" s="232"/>
      <c r="K76" s="228"/>
      <c r="L76" s="229"/>
      <c r="M76" s="229"/>
      <c r="N76" s="230" t="s">
        <v>561</v>
      </c>
      <c r="O76" s="232"/>
      <c r="P76" s="228"/>
      <c r="Q76" s="229"/>
      <c r="R76" s="229"/>
      <c r="S76" s="230" t="s">
        <v>561</v>
      </c>
      <c r="T76" s="232"/>
      <c r="U76" s="228"/>
      <c r="V76" s="229"/>
      <c r="W76" s="229"/>
      <c r="X76" s="230" t="s">
        <v>561</v>
      </c>
      <c r="Y76" s="232"/>
    </row>
    <row r="77" spans="1:25" ht="24" customHeight="1" thickBot="1" x14ac:dyDescent="0.25">
      <c r="F77" s="1079" t="s">
        <v>562</v>
      </c>
      <c r="G77" s="1080"/>
      <c r="H77" s="1080"/>
      <c r="I77" s="230" t="s">
        <v>561</v>
      </c>
      <c r="J77" s="231"/>
      <c r="K77" s="1079" t="s">
        <v>563</v>
      </c>
      <c r="L77" s="1080"/>
      <c r="M77" s="1080"/>
      <c r="N77" s="230" t="s">
        <v>561</v>
      </c>
      <c r="O77" s="232"/>
      <c r="P77" s="1079" t="s">
        <v>564</v>
      </c>
      <c r="Q77" s="1080"/>
      <c r="R77" s="1080"/>
      <c r="S77" s="230" t="s">
        <v>561</v>
      </c>
      <c r="T77" s="232"/>
      <c r="U77" s="1079" t="s">
        <v>565</v>
      </c>
      <c r="V77" s="1080"/>
      <c r="W77" s="1080"/>
      <c r="X77" s="230" t="s">
        <v>561</v>
      </c>
      <c r="Y77" s="232"/>
    </row>
    <row r="78" spans="1:25" ht="24" customHeight="1" thickBot="1" x14ac:dyDescent="0.25">
      <c r="A78" s="508" t="s">
        <v>1013</v>
      </c>
      <c r="B78" s="508"/>
      <c r="D78" s="1094">
        <f ca="1">VLOOKUP(A62&amp;A63,PTS_SP,2,FALSE)</f>
        <v>0</v>
      </c>
      <c r="E78" s="1095"/>
      <c r="F78" s="745" t="s">
        <v>1014</v>
      </c>
      <c r="G78" s="670"/>
      <c r="H78" s="744"/>
      <c r="I78" s="1096"/>
      <c r="J78" s="1097"/>
      <c r="K78" s="1100" t="s">
        <v>1015</v>
      </c>
      <c r="L78" s="1101"/>
      <c r="M78" s="1102"/>
      <c r="N78" s="1096"/>
      <c r="O78" s="1097"/>
      <c r="P78" s="1100" t="s">
        <v>1016</v>
      </c>
      <c r="Q78" s="1101"/>
      <c r="R78" s="1102"/>
      <c r="S78" s="1096"/>
      <c r="T78" s="1097"/>
      <c r="U78" s="1100" t="s">
        <v>1017</v>
      </c>
      <c r="V78" s="1101"/>
      <c r="W78" s="1102"/>
      <c r="X78" s="1096"/>
      <c r="Y78" s="1097"/>
    </row>
    <row r="79" spans="1:25" ht="12.75" customHeight="1" x14ac:dyDescent="0.2">
      <c r="Y79" s="240" t="s">
        <v>570</v>
      </c>
    </row>
    <row r="80" spans="1:25" ht="15.75" customHeight="1" x14ac:dyDescent="0.2">
      <c r="B80" s="1091" t="s">
        <v>851</v>
      </c>
      <c r="C80" s="1091"/>
      <c r="D80" s="1091"/>
      <c r="E80" s="1091"/>
      <c r="F80" s="1091"/>
      <c r="G80" s="1091"/>
      <c r="H80" s="1091"/>
      <c r="I80" s="1091"/>
      <c r="J80" s="1091"/>
      <c r="K80" s="1091"/>
      <c r="L80" s="1091"/>
      <c r="O80" s="1091" t="s">
        <v>522</v>
      </c>
      <c r="P80" s="1091"/>
      <c r="Q80" s="1091"/>
      <c r="R80" s="1091"/>
      <c r="S80" s="1091"/>
      <c r="T80" s="1091"/>
      <c r="U80" s="1091"/>
      <c r="V80" s="1091"/>
      <c r="W80" s="1091"/>
      <c r="X80" s="1091"/>
      <c r="Y80" s="1091"/>
    </row>
    <row r="81" spans="1:25" ht="13.5" customHeight="1" x14ac:dyDescent="0.2">
      <c r="B81" s="1086" t="s">
        <v>1</v>
      </c>
      <c r="C81" s="1087"/>
      <c r="D81" s="1087"/>
      <c r="E81" s="1087"/>
      <c r="F81" s="1087"/>
      <c r="G81" s="1087"/>
      <c r="H81" s="1088"/>
      <c r="I81" s="1086" t="s">
        <v>520</v>
      </c>
      <c r="J81" s="1087"/>
      <c r="K81" s="1087"/>
      <c r="L81" s="1088"/>
      <c r="N81" s="241"/>
      <c r="O81" s="1086" t="s">
        <v>1</v>
      </c>
      <c r="P81" s="1087"/>
      <c r="Q81" s="1087"/>
      <c r="R81" s="1087"/>
      <c r="S81" s="1087"/>
      <c r="T81" s="1087"/>
      <c r="U81" s="1088"/>
      <c r="V81" s="1086" t="s">
        <v>520</v>
      </c>
      <c r="W81" s="1087"/>
      <c r="X81" s="1087"/>
      <c r="Y81" s="1088"/>
    </row>
    <row r="82" spans="1:25" ht="21.75" customHeight="1" x14ac:dyDescent="0.2">
      <c r="B82" s="242"/>
      <c r="C82" s="243"/>
      <c r="D82" s="243"/>
      <c r="E82" s="243"/>
      <c r="F82" s="243"/>
      <c r="G82" s="243"/>
      <c r="H82" s="243"/>
      <c r="I82" s="242"/>
      <c r="J82" s="243"/>
      <c r="K82" s="243"/>
      <c r="L82" s="244"/>
      <c r="N82" s="241"/>
      <c r="O82" s="242"/>
      <c r="P82" s="243"/>
      <c r="Q82" s="243"/>
      <c r="R82" s="243"/>
      <c r="S82" s="243"/>
      <c r="T82" s="243"/>
      <c r="U82" s="243"/>
      <c r="V82" s="242"/>
      <c r="W82" s="243"/>
      <c r="X82" s="243"/>
      <c r="Y82" s="244"/>
    </row>
    <row r="83" spans="1:25" ht="13.5" customHeight="1" x14ac:dyDescent="0.2"/>
    <row r="84" spans="1:25" ht="14.25" customHeight="1" thickBot="1" x14ac:dyDescent="0.25">
      <c r="A84" s="241"/>
      <c r="G84" s="305"/>
      <c r="H84" s="305"/>
      <c r="I84" s="1069" t="s">
        <v>0</v>
      </c>
      <c r="J84" s="1069"/>
      <c r="K84" s="1069"/>
      <c r="L84" s="1069"/>
      <c r="M84" s="1069"/>
      <c r="N84" s="1069"/>
      <c r="O84" s="1069"/>
      <c r="P84" s="1069" t="s">
        <v>374</v>
      </c>
      <c r="Q84" s="1069"/>
      <c r="R84" s="1069"/>
      <c r="S84" s="1069"/>
      <c r="T84" s="1069"/>
      <c r="U84" s="1069" t="s">
        <v>571</v>
      </c>
      <c r="V84" s="1069"/>
      <c r="W84" s="1069"/>
      <c r="X84" s="305"/>
      <c r="Y84" s="305"/>
    </row>
    <row r="85" spans="1:25" ht="20.25" customHeight="1" x14ac:dyDescent="0.2">
      <c r="A85" s="241"/>
      <c r="F85" s="1074" t="s">
        <v>584</v>
      </c>
      <c r="G85" s="1074"/>
      <c r="H85" s="1074"/>
      <c r="I85" s="316"/>
      <c r="J85" s="306"/>
      <c r="K85" s="306"/>
      <c r="L85" s="306"/>
      <c r="M85" s="306"/>
      <c r="N85" s="306"/>
      <c r="O85" s="306"/>
      <c r="P85" s="312"/>
      <c r="Q85" s="306"/>
      <c r="R85" s="307"/>
      <c r="S85" s="304"/>
      <c r="T85" s="313"/>
      <c r="U85" s="310"/>
      <c r="V85" s="1084" t="s">
        <v>495</v>
      </c>
      <c r="W85" s="308"/>
    </row>
    <row r="86" spans="1:25" ht="13.5" thickBot="1" x14ac:dyDescent="0.25">
      <c r="F86" s="1074"/>
      <c r="G86" s="1074"/>
      <c r="H86" s="1074"/>
      <c r="I86" s="303"/>
      <c r="J86" s="235"/>
      <c r="K86" s="235"/>
      <c r="L86" s="235"/>
      <c r="M86" s="235"/>
      <c r="N86" s="235"/>
      <c r="O86" s="235"/>
      <c r="P86" s="314"/>
      <c r="Q86" s="235"/>
      <c r="R86" s="234"/>
      <c r="S86" s="234"/>
      <c r="T86" s="315"/>
      <c r="U86" s="311"/>
      <c r="V86" s="1085"/>
      <c r="W86" s="309"/>
    </row>
    <row r="88" spans="1:25" ht="6.75" customHeight="1" x14ac:dyDescent="0.2"/>
    <row r="89" spans="1:25" s="218" customFormat="1" ht="23.25" customHeight="1" x14ac:dyDescent="0.2">
      <c r="A89" s="1072" t="s">
        <v>546</v>
      </c>
      <c r="B89" s="1073"/>
      <c r="C89" s="499" t="str">
        <f>C60</f>
        <v>D1</v>
      </c>
      <c r="D89" s="1098" t="s">
        <v>628</v>
      </c>
      <c r="E89" s="1072"/>
      <c r="F89" s="1072"/>
      <c r="G89" s="1103">
        <f ca="1">INDIRECT("AD"&amp;V89)</f>
        <v>4</v>
      </c>
      <c r="H89" s="1104"/>
      <c r="J89" s="218" t="str">
        <f>CATEG_IMPORTEE</f>
        <v>Collèges Mixtes Etablissement</v>
      </c>
      <c r="T89" s="500"/>
      <c r="U89" s="520" t="str">
        <f ca="1">INDIRECT("AE"&amp;V89)</f>
        <v>C5-Coll5Ville5</v>
      </c>
      <c r="V89" s="500">
        <f>Y89+2</f>
        <v>6</v>
      </c>
      <c r="W89" s="501" t="str">
        <f ca="1">INDIRECT("AF"&amp;V89)</f>
        <v>C4-Coll4Ville4</v>
      </c>
      <c r="X89" s="502" t="s">
        <v>849</v>
      </c>
      <c r="Y89" s="503">
        <f>Y60+1</f>
        <v>4</v>
      </c>
    </row>
    <row r="90" spans="1:25" ht="27" customHeight="1" thickBot="1" x14ac:dyDescent="0.25">
      <c r="A90" s="1093" t="s">
        <v>0</v>
      </c>
      <c r="B90" s="1093"/>
      <c r="C90" s="1093"/>
      <c r="D90" s="1093"/>
      <c r="E90" s="1093"/>
      <c r="F90" s="1093"/>
      <c r="G90" s="1093"/>
      <c r="H90" s="1093" t="s">
        <v>374</v>
      </c>
      <c r="I90" s="1093"/>
      <c r="J90" s="1093"/>
      <c r="K90" s="1093"/>
      <c r="L90" s="1093"/>
      <c r="O90" s="1069" t="s">
        <v>0</v>
      </c>
      <c r="P90" s="1069"/>
      <c r="Q90" s="1069"/>
      <c r="R90" s="1069"/>
      <c r="S90" s="1069"/>
      <c r="T90" s="1069"/>
      <c r="U90" s="1069"/>
      <c r="V90" s="1069" t="s">
        <v>374</v>
      </c>
      <c r="W90" s="1069"/>
      <c r="X90" s="1069"/>
      <c r="Y90" s="1069"/>
    </row>
    <row r="91" spans="1:25" ht="24" customHeight="1" thickBot="1" x14ac:dyDescent="0.25">
      <c r="A91" s="504" t="str">
        <f ca="1">IFERROR(VLOOKUP(U89,Num_AS,2,FALSE),"")</f>
        <v/>
      </c>
      <c r="B91" s="505"/>
      <c r="C91" s="505"/>
      <c r="D91" s="505"/>
      <c r="E91" s="505"/>
      <c r="F91" s="505"/>
      <c r="G91" s="506"/>
      <c r="H91" s="507" t="str">
        <f ca="1">IFERROR(VLOOKUP(U89,Num_AS,4,FALSE),"")</f>
        <v/>
      </c>
      <c r="I91" s="220"/>
      <c r="J91" s="220"/>
      <c r="K91" s="220"/>
      <c r="L91" s="738"/>
      <c r="M91" s="1070" t="s">
        <v>547</v>
      </c>
      <c r="N91" s="1071"/>
      <c r="O91" s="504" t="str">
        <f ca="1">IFERROR(VLOOKUP(W89,Num_AS,2,FALSE),"")</f>
        <v/>
      </c>
      <c r="P91" s="505"/>
      <c r="Q91" s="505"/>
      <c r="R91" s="505"/>
      <c r="S91" s="505"/>
      <c r="T91" s="505"/>
      <c r="U91" s="506"/>
      <c r="V91" s="507" t="str">
        <f ca="1">IFERROR(VLOOKUP(W89,Num_AS,4,FALSE),"")</f>
        <v/>
      </c>
      <c r="W91" s="220"/>
      <c r="X91" s="220"/>
      <c r="Y91" s="221"/>
    </row>
    <row r="92" spans="1:25" ht="15" customHeight="1" x14ac:dyDescent="0.2">
      <c r="A92" s="736" t="str">
        <f ca="1">IFERROR(VLOOKUP(U89,Num_AS,3,FALSE),"")</f>
        <v/>
      </c>
      <c r="B92" s="736"/>
      <c r="C92" s="736"/>
      <c r="D92" s="736"/>
      <c r="E92" s="736"/>
      <c r="F92" s="736"/>
      <c r="G92" s="736"/>
      <c r="H92" s="737"/>
    </row>
    <row r="93" spans="1:25" ht="20.100000000000001" customHeight="1" x14ac:dyDescent="0.2">
      <c r="A93" s="1074" t="s">
        <v>548</v>
      </c>
      <c r="B93" s="1074"/>
      <c r="C93" s="1074"/>
      <c r="D93" s="1074"/>
      <c r="E93" s="1074"/>
      <c r="Q93" s="217" t="str">
        <f>Q64</f>
        <v>Championnat de France de Tir à l'ARC</v>
      </c>
    </row>
    <row r="94" spans="1:25" ht="20.100000000000001" customHeight="1" x14ac:dyDescent="0.2">
      <c r="A94" s="1075" t="s">
        <v>549</v>
      </c>
      <c r="B94" s="1075"/>
      <c r="C94" s="1075"/>
      <c r="D94" s="1075"/>
      <c r="E94" s="1075"/>
      <c r="G94" s="1076" t="s">
        <v>480</v>
      </c>
      <c r="H94" s="1076"/>
      <c r="I94" s="1077" t="s">
        <v>550</v>
      </c>
      <c r="J94" s="1077"/>
      <c r="K94" s="1077"/>
      <c r="L94" s="252" t="s">
        <v>551</v>
      </c>
      <c r="M94" s="1078" t="s">
        <v>552</v>
      </c>
      <c r="N94" s="1078"/>
      <c r="O94" s="251"/>
      <c r="Q94" s="217" t="str">
        <f>Q65</f>
        <v>L’Isle sur la Sorgue du 27 au 31 mars 2023</v>
      </c>
    </row>
    <row r="95" spans="1:25" ht="24" customHeight="1" x14ac:dyDescent="0.2">
      <c r="A95" s="509" t="str">
        <f ca="1">IFERROR(VLOOKUP(U89,Num_AS,6,FALSE),"")</f>
        <v/>
      </c>
      <c r="B95" s="223"/>
      <c r="C95" s="510" t="str">
        <f ca="1">IFERROR(VLOOKUP(U89,Num_AS,7,FALSE),"")</f>
        <v/>
      </c>
      <c r="D95" s="223"/>
      <c r="E95" s="224"/>
      <c r="F95" s="219"/>
      <c r="G95" s="511" t="str">
        <f ca="1">IFERROR(VLOOKUP(U89,Num_AS,10,FALSE),"")</f>
        <v/>
      </c>
      <c r="H95" s="224"/>
      <c r="I95" s="222"/>
      <c r="J95" s="512" t="str">
        <f ca="1">IFERROR(VLOOKUP(U89,Num_AS,9,FALSE),"")</f>
        <v/>
      </c>
      <c r="K95" s="224"/>
      <c r="L95" s="222" t="str">
        <f ca="1">IFERROR(VLOOKUP(U89,Num_AS,11,FALSE),"")</f>
        <v/>
      </c>
      <c r="M95" s="287">
        <f ca="1">G89</f>
        <v>4</v>
      </c>
      <c r="N95" s="288"/>
      <c r="O95" s="249"/>
      <c r="R95" s="254"/>
      <c r="S95" s="254"/>
      <c r="T95" s="254"/>
      <c r="U95" s="254"/>
      <c r="V95" s="254"/>
      <c r="W95" s="254"/>
      <c r="X95" s="254"/>
      <c r="Y95" s="254"/>
    </row>
    <row r="96" spans="1:25" ht="24" customHeight="1" x14ac:dyDescent="0.2">
      <c r="A96" s="509" t="str">
        <f ca="1">IFERROR(VLOOKUP(U89,Num_AS,12,FALSE),"")</f>
        <v/>
      </c>
      <c r="B96" s="223"/>
      <c r="C96" s="510" t="str">
        <f ca="1">IFERROR(VLOOKUP(U89,Num_AS,13,FALSE),"")</f>
        <v/>
      </c>
      <c r="D96" s="223"/>
      <c r="E96" s="224"/>
      <c r="F96" s="219"/>
      <c r="G96" s="511" t="str">
        <f ca="1">IFERROR(VLOOKUP(U89,Num_AS,16,FALSE),"")</f>
        <v/>
      </c>
      <c r="H96" s="224"/>
      <c r="I96" s="222"/>
      <c r="J96" s="512" t="str">
        <f ca="1">IFERROR(VLOOKUP(U89,Num_AS,15,FALSE),"")</f>
        <v/>
      </c>
      <c r="K96" s="224"/>
      <c r="L96" s="222" t="str">
        <f ca="1">IFERROR(VLOOKUP(U89,Num_AS,17,FALSE),"")</f>
        <v/>
      </c>
      <c r="M96" s="287">
        <f ca="1">G89</f>
        <v>4</v>
      </c>
      <c r="N96" s="288"/>
      <c r="O96" s="249"/>
      <c r="Q96" s="254"/>
      <c r="R96" s="254"/>
      <c r="S96" s="254"/>
      <c r="T96" s="254"/>
      <c r="U96" s="254"/>
      <c r="V96" s="254"/>
      <c r="W96" s="254"/>
      <c r="X96" s="254"/>
      <c r="Y96" s="254"/>
    </row>
    <row r="97" spans="1:25" ht="24" customHeight="1" x14ac:dyDescent="0.2">
      <c r="A97" s="509" t="str">
        <f ca="1">IFERROR(VLOOKUP(U89,Num_AS,18,FALSE),"")</f>
        <v/>
      </c>
      <c r="B97" s="223"/>
      <c r="C97" s="510" t="str">
        <f ca="1">IFERROR(VLOOKUP(U89,Num_AS,19,FALSE),"")</f>
        <v/>
      </c>
      <c r="D97" s="223"/>
      <c r="E97" s="224"/>
      <c r="F97" s="219"/>
      <c r="G97" s="511" t="str">
        <f ca="1">IFERROR(VLOOKUP(U89,Num_AS,22,FALSE),"")</f>
        <v/>
      </c>
      <c r="H97" s="224"/>
      <c r="I97" s="222"/>
      <c r="J97" s="512" t="str">
        <f ca="1">IFERROR(VLOOKUP(U89,Num_AS,21,FALSE),"")</f>
        <v/>
      </c>
      <c r="K97" s="224"/>
      <c r="L97" s="222" t="str">
        <f ca="1">IFERROR(VLOOKUP(U89,Num_AS,23,FALSE),"")</f>
        <v/>
      </c>
      <c r="M97" s="287">
        <f ca="1">G89</f>
        <v>4</v>
      </c>
      <c r="N97" s="288"/>
      <c r="O97" s="249"/>
      <c r="Q97" s="254"/>
      <c r="R97" s="254"/>
      <c r="S97" s="254"/>
      <c r="T97" s="254"/>
      <c r="U97" s="254"/>
      <c r="V97" s="254"/>
      <c r="W97" s="254"/>
      <c r="X97" s="254"/>
      <c r="Y97" s="254"/>
    </row>
    <row r="98" spans="1:25" ht="24" customHeight="1" x14ac:dyDescent="0.2">
      <c r="A98" s="509" t="str">
        <f ca="1">IFERROR(VLOOKUP(U89,Num_AS,24,FALSE),"")</f>
        <v/>
      </c>
      <c r="B98" s="223"/>
      <c r="C98" s="510" t="str">
        <f ca="1">IFERROR(VLOOKUP(U89,Num_AS,25,FALSE),"")</f>
        <v/>
      </c>
      <c r="D98" s="223"/>
      <c r="E98" s="224"/>
      <c r="F98" s="219"/>
      <c r="G98" s="511" t="str">
        <f ca="1">IFERROR(VLOOKUP(U89,Num_AS,28,FALSE),"")</f>
        <v/>
      </c>
      <c r="H98" s="224"/>
      <c r="I98" s="222"/>
      <c r="J98" s="512" t="str">
        <f ca="1">IFERROR(VLOOKUP(U89,Num_AS,27,FALSE),"")</f>
        <v/>
      </c>
      <c r="K98" s="224"/>
      <c r="L98" s="222" t="str">
        <f ca="1">IFERROR(VLOOKUP(U89,Num_AS,29,FALSE),"")</f>
        <v/>
      </c>
      <c r="M98" s="289">
        <f ca="1">G89</f>
        <v>4</v>
      </c>
      <c r="N98" s="290"/>
      <c r="O98" s="249"/>
    </row>
    <row r="99" spans="1:25" ht="15" customHeight="1" thickBot="1" x14ac:dyDescent="0.25"/>
    <row r="100" spans="1:25" ht="20.100000000000001" customHeight="1" x14ac:dyDescent="0.2">
      <c r="F100" s="1081" t="s">
        <v>555</v>
      </c>
      <c r="G100" s="1082"/>
      <c r="H100" s="1082"/>
      <c r="I100" s="1082"/>
      <c r="J100" s="1083"/>
      <c r="K100" s="1081" t="s">
        <v>556</v>
      </c>
      <c r="L100" s="1082"/>
      <c r="M100" s="1082"/>
      <c r="N100" s="1082"/>
      <c r="O100" s="1083"/>
      <c r="P100" s="1081" t="s">
        <v>557</v>
      </c>
      <c r="Q100" s="1082"/>
      <c r="R100" s="1082"/>
      <c r="S100" s="1082"/>
      <c r="T100" s="1083"/>
      <c r="U100" s="1081" t="s">
        <v>558</v>
      </c>
      <c r="V100" s="1082"/>
      <c r="W100" s="1082"/>
      <c r="X100" s="1082"/>
      <c r="Y100" s="1083"/>
    </row>
    <row r="101" spans="1:25" ht="20.100000000000001" customHeight="1" x14ac:dyDescent="0.2">
      <c r="A101" s="1075" t="s">
        <v>559</v>
      </c>
      <c r="B101" s="1075"/>
      <c r="C101" s="1075"/>
      <c r="D101" s="1075"/>
      <c r="E101" s="1089"/>
      <c r="F101" s="1090" t="s">
        <v>560</v>
      </c>
      <c r="G101" s="1075"/>
      <c r="H101" s="1075"/>
      <c r="J101" s="225" t="s">
        <v>7</v>
      </c>
      <c r="K101" s="1090" t="s">
        <v>560</v>
      </c>
      <c r="L101" s="1075"/>
      <c r="M101" s="1075"/>
      <c r="O101" s="225" t="s">
        <v>7</v>
      </c>
      <c r="P101" s="1090" t="s">
        <v>560</v>
      </c>
      <c r="Q101" s="1075"/>
      <c r="R101" s="1075"/>
      <c r="T101" s="225" t="s">
        <v>7</v>
      </c>
      <c r="U101" s="1090" t="s">
        <v>560</v>
      </c>
      <c r="V101" s="1075"/>
      <c r="W101" s="1075"/>
      <c r="Y101" s="225" t="s">
        <v>7</v>
      </c>
    </row>
    <row r="102" spans="1:25" ht="24" customHeight="1" x14ac:dyDescent="0.2">
      <c r="A102" s="513" t="str">
        <f ca="1">A95</f>
        <v/>
      </c>
      <c r="B102" s="227"/>
      <c r="C102" s="514" t="str">
        <f ca="1">C95</f>
        <v/>
      </c>
      <c r="D102" s="227"/>
      <c r="E102" s="227"/>
      <c r="F102" s="228"/>
      <c r="G102" s="229"/>
      <c r="H102" s="229"/>
      <c r="I102" s="230" t="s">
        <v>561</v>
      </c>
      <c r="J102" s="231"/>
      <c r="K102" s="228"/>
      <c r="L102" s="229"/>
      <c r="M102" s="229"/>
      <c r="N102" s="230" t="s">
        <v>561</v>
      </c>
      <c r="O102" s="231"/>
      <c r="P102" s="228"/>
      <c r="Q102" s="229"/>
      <c r="R102" s="229"/>
      <c r="S102" s="230" t="s">
        <v>561</v>
      </c>
      <c r="T102" s="231"/>
      <c r="U102" s="228"/>
      <c r="V102" s="229"/>
      <c r="W102" s="229"/>
      <c r="X102" s="230" t="s">
        <v>561</v>
      </c>
      <c r="Y102" s="231"/>
    </row>
    <row r="103" spans="1:25" ht="24" customHeight="1" x14ac:dyDescent="0.2">
      <c r="A103" s="513" t="str">
        <f ca="1">A96</f>
        <v/>
      </c>
      <c r="B103" s="227"/>
      <c r="C103" s="514" t="str">
        <f ca="1">C96</f>
        <v/>
      </c>
      <c r="D103" s="227"/>
      <c r="E103" s="227"/>
      <c r="F103" s="228"/>
      <c r="G103" s="229"/>
      <c r="H103" s="229"/>
      <c r="I103" s="230" t="s">
        <v>561</v>
      </c>
      <c r="J103" s="231"/>
      <c r="K103" s="228"/>
      <c r="L103" s="229"/>
      <c r="M103" s="229"/>
      <c r="N103" s="230" t="s">
        <v>561</v>
      </c>
      <c r="O103" s="231"/>
      <c r="P103" s="228"/>
      <c r="Q103" s="229"/>
      <c r="R103" s="229"/>
      <c r="S103" s="230" t="s">
        <v>561</v>
      </c>
      <c r="T103" s="231"/>
      <c r="U103" s="228"/>
      <c r="V103" s="229"/>
      <c r="W103" s="229"/>
      <c r="X103" s="230" t="s">
        <v>561</v>
      </c>
      <c r="Y103" s="231"/>
    </row>
    <row r="104" spans="1:25" ht="24" customHeight="1" x14ac:dyDescent="0.2">
      <c r="A104" s="513" t="str">
        <f ca="1">A97</f>
        <v/>
      </c>
      <c r="B104" s="227"/>
      <c r="C104" s="514" t="str">
        <f ca="1">C97</f>
        <v/>
      </c>
      <c r="D104" s="227"/>
      <c r="E104" s="227"/>
      <c r="F104" s="228"/>
      <c r="G104" s="229"/>
      <c r="H104" s="229"/>
      <c r="I104" s="230" t="s">
        <v>561</v>
      </c>
      <c r="J104" s="231"/>
      <c r="K104" s="228"/>
      <c r="L104" s="229"/>
      <c r="M104" s="229"/>
      <c r="N104" s="230" t="s">
        <v>561</v>
      </c>
      <c r="O104" s="231"/>
      <c r="P104" s="228"/>
      <c r="Q104" s="229"/>
      <c r="R104" s="229"/>
      <c r="S104" s="230" t="s">
        <v>561</v>
      </c>
      <c r="T104" s="231"/>
      <c r="U104" s="228"/>
      <c r="V104" s="229"/>
      <c r="W104" s="229"/>
      <c r="X104" s="230" t="s">
        <v>561</v>
      </c>
      <c r="Y104" s="231"/>
    </row>
    <row r="105" spans="1:25" ht="24" customHeight="1" x14ac:dyDescent="0.2">
      <c r="A105" s="513" t="str">
        <f ca="1">A98</f>
        <v/>
      </c>
      <c r="B105" s="227"/>
      <c r="C105" s="514" t="str">
        <f ca="1">C98</f>
        <v/>
      </c>
      <c r="D105" s="227"/>
      <c r="E105" s="227"/>
      <c r="F105" s="228"/>
      <c r="G105" s="229"/>
      <c r="H105" s="229"/>
      <c r="I105" s="230" t="s">
        <v>561</v>
      </c>
      <c r="J105" s="232"/>
      <c r="K105" s="228"/>
      <c r="L105" s="229"/>
      <c r="M105" s="229"/>
      <c r="N105" s="230" t="s">
        <v>561</v>
      </c>
      <c r="O105" s="232"/>
      <c r="P105" s="228"/>
      <c r="Q105" s="229"/>
      <c r="R105" s="229"/>
      <c r="S105" s="230" t="s">
        <v>561</v>
      </c>
      <c r="T105" s="232"/>
      <c r="U105" s="228"/>
      <c r="V105" s="229"/>
      <c r="W105" s="229"/>
      <c r="X105" s="230" t="s">
        <v>561</v>
      </c>
      <c r="Y105" s="232"/>
    </row>
    <row r="106" spans="1:25" ht="24" customHeight="1" thickBot="1" x14ac:dyDescent="0.25">
      <c r="F106" s="1079" t="s">
        <v>562</v>
      </c>
      <c r="G106" s="1080"/>
      <c r="H106" s="1080"/>
      <c r="I106" s="230" t="s">
        <v>561</v>
      </c>
      <c r="J106" s="231"/>
      <c r="K106" s="1079" t="s">
        <v>563</v>
      </c>
      <c r="L106" s="1080"/>
      <c r="M106" s="1080"/>
      <c r="N106" s="230" t="s">
        <v>561</v>
      </c>
      <c r="O106" s="232"/>
      <c r="P106" s="1079" t="s">
        <v>564</v>
      </c>
      <c r="Q106" s="1080"/>
      <c r="R106" s="1080"/>
      <c r="S106" s="230" t="s">
        <v>561</v>
      </c>
      <c r="T106" s="232"/>
      <c r="U106" s="1079" t="s">
        <v>565</v>
      </c>
      <c r="V106" s="1080"/>
      <c r="W106" s="1080"/>
      <c r="X106" s="230" t="s">
        <v>561</v>
      </c>
      <c r="Y106" s="232"/>
    </row>
    <row r="107" spans="1:25" ht="24" customHeight="1" thickBot="1" x14ac:dyDescent="0.25">
      <c r="A107" s="508" t="s">
        <v>1013</v>
      </c>
      <c r="B107" s="508"/>
      <c r="D107" s="1094">
        <f ca="1">VLOOKUP(A91&amp;A92,PTS_SP,2,FALSE)</f>
        <v>0</v>
      </c>
      <c r="E107" s="1095"/>
      <c r="F107" s="745" t="s">
        <v>1014</v>
      </c>
      <c r="G107" s="670"/>
      <c r="H107" s="744"/>
      <c r="I107" s="1096"/>
      <c r="J107" s="1097"/>
      <c r="K107" s="1100" t="s">
        <v>1015</v>
      </c>
      <c r="L107" s="1101"/>
      <c r="M107" s="1102"/>
      <c r="N107" s="1096"/>
      <c r="O107" s="1097"/>
      <c r="P107" s="1100" t="s">
        <v>1016</v>
      </c>
      <c r="Q107" s="1101"/>
      <c r="R107" s="1102"/>
      <c r="S107" s="1096"/>
      <c r="T107" s="1097"/>
      <c r="U107" s="1100" t="s">
        <v>1017</v>
      </c>
      <c r="V107" s="1101"/>
      <c r="W107" s="1102"/>
      <c r="X107" s="1096"/>
      <c r="Y107" s="1097"/>
    </row>
    <row r="108" spans="1:25" ht="12.75" customHeight="1" x14ac:dyDescent="0.2">
      <c r="Y108" s="240" t="s">
        <v>570</v>
      </c>
    </row>
    <row r="109" spans="1:25" ht="15.75" customHeight="1" x14ac:dyDescent="0.2">
      <c r="B109" s="1091" t="s">
        <v>851</v>
      </c>
      <c r="C109" s="1091"/>
      <c r="D109" s="1091"/>
      <c r="E109" s="1091"/>
      <c r="F109" s="1091"/>
      <c r="G109" s="1091"/>
      <c r="H109" s="1091"/>
      <c r="I109" s="1091"/>
      <c r="J109" s="1091"/>
      <c r="K109" s="1091"/>
      <c r="L109" s="1091"/>
      <c r="O109" s="1091" t="s">
        <v>522</v>
      </c>
      <c r="P109" s="1091"/>
      <c r="Q109" s="1091"/>
      <c r="R109" s="1091"/>
      <c r="S109" s="1091"/>
      <c r="T109" s="1091"/>
      <c r="U109" s="1091"/>
      <c r="V109" s="1091"/>
      <c r="W109" s="1091"/>
      <c r="X109" s="1091"/>
      <c r="Y109" s="1091"/>
    </row>
    <row r="110" spans="1:25" ht="13.5" customHeight="1" x14ac:dyDescent="0.2">
      <c r="B110" s="1086" t="s">
        <v>1</v>
      </c>
      <c r="C110" s="1087"/>
      <c r="D110" s="1087"/>
      <c r="E110" s="1087"/>
      <c r="F110" s="1087"/>
      <c r="G110" s="1087"/>
      <c r="H110" s="1088"/>
      <c r="I110" s="1086" t="s">
        <v>520</v>
      </c>
      <c r="J110" s="1087"/>
      <c r="K110" s="1087"/>
      <c r="L110" s="1088"/>
      <c r="N110" s="241"/>
      <c r="O110" s="1086" t="s">
        <v>1</v>
      </c>
      <c r="P110" s="1087"/>
      <c r="Q110" s="1087"/>
      <c r="R110" s="1087"/>
      <c r="S110" s="1087"/>
      <c r="T110" s="1087"/>
      <c r="U110" s="1088"/>
      <c r="V110" s="1086" t="s">
        <v>520</v>
      </c>
      <c r="W110" s="1087"/>
      <c r="X110" s="1087"/>
      <c r="Y110" s="1088"/>
    </row>
    <row r="111" spans="1:25" ht="21.75" customHeight="1" x14ac:dyDescent="0.2">
      <c r="B111" s="242"/>
      <c r="C111" s="243"/>
      <c r="D111" s="243"/>
      <c r="E111" s="243"/>
      <c r="F111" s="243"/>
      <c r="G111" s="243"/>
      <c r="H111" s="243"/>
      <c r="I111" s="242"/>
      <c r="J111" s="243"/>
      <c r="K111" s="243"/>
      <c r="L111" s="244"/>
      <c r="N111" s="241"/>
      <c r="O111" s="242"/>
      <c r="P111" s="243"/>
      <c r="Q111" s="243"/>
      <c r="R111" s="243"/>
      <c r="S111" s="243"/>
      <c r="T111" s="243"/>
      <c r="U111" s="243"/>
      <c r="V111" s="242"/>
      <c r="W111" s="243"/>
      <c r="X111" s="243"/>
      <c r="Y111" s="244"/>
    </row>
    <row r="112" spans="1:25" ht="13.5" customHeight="1" x14ac:dyDescent="0.2"/>
    <row r="113" spans="1:25" ht="14.25" customHeight="1" thickBot="1" x14ac:dyDescent="0.25">
      <c r="A113" s="241"/>
      <c r="G113" s="305"/>
      <c r="H113" s="305"/>
      <c r="I113" s="1069" t="s">
        <v>0</v>
      </c>
      <c r="J113" s="1069"/>
      <c r="K113" s="1069"/>
      <c r="L113" s="1069"/>
      <c r="M113" s="1069"/>
      <c r="N113" s="1069"/>
      <c r="O113" s="1069"/>
      <c r="P113" s="1069" t="s">
        <v>374</v>
      </c>
      <c r="Q113" s="1069"/>
      <c r="R113" s="1069"/>
      <c r="S113" s="1069"/>
      <c r="T113" s="1069"/>
      <c r="U113" s="1069" t="s">
        <v>571</v>
      </c>
      <c r="V113" s="1069"/>
      <c r="W113" s="1069"/>
      <c r="X113" s="305"/>
      <c r="Y113" s="305"/>
    </row>
    <row r="114" spans="1:25" ht="20.25" customHeight="1" x14ac:dyDescent="0.2">
      <c r="A114" s="241"/>
      <c r="F114" s="1074" t="s">
        <v>584</v>
      </c>
      <c r="G114" s="1074"/>
      <c r="H114" s="1074"/>
      <c r="I114" s="316"/>
      <c r="J114" s="306"/>
      <c r="K114" s="306"/>
      <c r="L114" s="306"/>
      <c r="M114" s="306"/>
      <c r="N114" s="306"/>
      <c r="O114" s="306"/>
      <c r="P114" s="312"/>
      <c r="Q114" s="306"/>
      <c r="R114" s="307"/>
      <c r="S114" s="304"/>
      <c r="T114" s="313"/>
      <c r="U114" s="310"/>
      <c r="V114" s="1084" t="s">
        <v>495</v>
      </c>
      <c r="W114" s="308"/>
    </row>
    <row r="115" spans="1:25" ht="13.5" thickBot="1" x14ac:dyDescent="0.25">
      <c r="F115" s="1074"/>
      <c r="G115" s="1074"/>
      <c r="H115" s="1074"/>
      <c r="I115" s="303"/>
      <c r="J115" s="235"/>
      <c r="K115" s="235"/>
      <c r="L115" s="235"/>
      <c r="M115" s="235"/>
      <c r="N115" s="235"/>
      <c r="O115" s="235"/>
      <c r="P115" s="314"/>
      <c r="Q115" s="235"/>
      <c r="R115" s="234"/>
      <c r="S115" s="234"/>
      <c r="T115" s="315"/>
      <c r="U115" s="311"/>
      <c r="V115" s="1085"/>
      <c r="W115" s="309"/>
    </row>
    <row r="117" spans="1:25" ht="6.75" customHeight="1" x14ac:dyDescent="0.2"/>
    <row r="118" spans="1:25" s="218" customFormat="1" ht="23.25" customHeight="1" x14ac:dyDescent="0.2">
      <c r="A118" s="1072" t="s">
        <v>546</v>
      </c>
      <c r="B118" s="1073"/>
      <c r="C118" s="499" t="str">
        <f>C89</f>
        <v>D1</v>
      </c>
      <c r="D118" s="1098" t="s">
        <v>628</v>
      </c>
      <c r="E118" s="1072"/>
      <c r="F118" s="1072"/>
      <c r="G118" s="1103">
        <f ca="1">INDIRECT("AD"&amp;V118)</f>
        <v>5</v>
      </c>
      <c r="H118" s="1104"/>
      <c r="J118" s="218" t="str">
        <f>CATEG_IMPORTEE</f>
        <v>Collèges Mixtes Etablissement</v>
      </c>
      <c r="T118" s="500"/>
      <c r="U118" s="520" t="str">
        <f ca="1">INDIRECT("AE"&amp;V118)</f>
        <v>C3-Coll3Ville3</v>
      </c>
      <c r="V118" s="500">
        <f>Y118+2</f>
        <v>7</v>
      </c>
      <c r="W118" s="501" t="str">
        <f ca="1">INDIRECT("AF"&amp;V118)</f>
        <v>C6-Coll6Ville6</v>
      </c>
      <c r="X118" s="502" t="s">
        <v>849</v>
      </c>
      <c r="Y118" s="503">
        <f>Y89+1</f>
        <v>5</v>
      </c>
    </row>
    <row r="119" spans="1:25" ht="27" customHeight="1" thickBot="1" x14ac:dyDescent="0.25">
      <c r="A119" s="1093" t="s">
        <v>0</v>
      </c>
      <c r="B119" s="1093"/>
      <c r="C119" s="1093"/>
      <c r="D119" s="1093"/>
      <c r="E119" s="1093"/>
      <c r="F119" s="1093"/>
      <c r="G119" s="1093"/>
      <c r="H119" s="1093" t="s">
        <v>374</v>
      </c>
      <c r="I119" s="1093"/>
      <c r="J119" s="1093"/>
      <c r="K119" s="1093"/>
      <c r="L119" s="1093"/>
      <c r="O119" s="1069" t="s">
        <v>0</v>
      </c>
      <c r="P119" s="1069"/>
      <c r="Q119" s="1069"/>
      <c r="R119" s="1069"/>
      <c r="S119" s="1069"/>
      <c r="T119" s="1069"/>
      <c r="U119" s="1069"/>
      <c r="V119" s="1069" t="s">
        <v>374</v>
      </c>
      <c r="W119" s="1069"/>
      <c r="X119" s="1069"/>
      <c r="Y119" s="1069"/>
    </row>
    <row r="120" spans="1:25" ht="24" customHeight="1" thickBot="1" x14ac:dyDescent="0.25">
      <c r="A120" s="504" t="str">
        <f ca="1">IFERROR(VLOOKUP(U118,Num_AS,2,FALSE),"")</f>
        <v/>
      </c>
      <c r="B120" s="505"/>
      <c r="C120" s="505"/>
      <c r="D120" s="505"/>
      <c r="E120" s="505"/>
      <c r="F120" s="505"/>
      <c r="G120" s="506"/>
      <c r="H120" s="507" t="str">
        <f ca="1">IFERROR(VLOOKUP(U118,Num_AS,4,FALSE),"")</f>
        <v/>
      </c>
      <c r="I120" s="220"/>
      <c r="J120" s="220"/>
      <c r="K120" s="220"/>
      <c r="L120" s="738"/>
      <c r="M120" s="1070" t="s">
        <v>547</v>
      </c>
      <c r="N120" s="1071"/>
      <c r="O120" s="504" t="str">
        <f ca="1">IFERROR(VLOOKUP(W118,Num_AS,2,FALSE),"")</f>
        <v/>
      </c>
      <c r="P120" s="505"/>
      <c r="Q120" s="505"/>
      <c r="R120" s="505"/>
      <c r="S120" s="505"/>
      <c r="T120" s="505"/>
      <c r="U120" s="506"/>
      <c r="V120" s="507" t="str">
        <f ca="1">IFERROR(VLOOKUP(W118,Num_AS,4,FALSE),"")</f>
        <v/>
      </c>
      <c r="W120" s="220"/>
      <c r="X120" s="220"/>
      <c r="Y120" s="221"/>
    </row>
    <row r="121" spans="1:25" ht="15" customHeight="1" x14ac:dyDescent="0.2">
      <c r="A121" s="736" t="str">
        <f ca="1">IFERROR(VLOOKUP(U118,Num_AS,3,FALSE),"")</f>
        <v/>
      </c>
      <c r="B121" s="736"/>
      <c r="C121" s="736"/>
      <c r="D121" s="736"/>
      <c r="E121" s="736"/>
      <c r="F121" s="736"/>
      <c r="G121" s="736"/>
      <c r="H121" s="737"/>
    </row>
    <row r="122" spans="1:25" ht="20.100000000000001" customHeight="1" x14ac:dyDescent="0.2">
      <c r="A122" s="1074" t="s">
        <v>548</v>
      </c>
      <c r="B122" s="1074"/>
      <c r="C122" s="1074"/>
      <c r="D122" s="1074"/>
      <c r="E122" s="1074"/>
      <c r="Q122" s="217" t="str">
        <f>Q93</f>
        <v>Championnat de France de Tir à l'ARC</v>
      </c>
    </row>
    <row r="123" spans="1:25" ht="20.100000000000001" customHeight="1" x14ac:dyDescent="0.2">
      <c r="A123" s="1075" t="s">
        <v>549</v>
      </c>
      <c r="B123" s="1075"/>
      <c r="C123" s="1075"/>
      <c r="D123" s="1075"/>
      <c r="E123" s="1075"/>
      <c r="G123" s="1076" t="s">
        <v>480</v>
      </c>
      <c r="H123" s="1076"/>
      <c r="I123" s="1077" t="s">
        <v>550</v>
      </c>
      <c r="J123" s="1077"/>
      <c r="K123" s="1077"/>
      <c r="L123" s="252" t="s">
        <v>551</v>
      </c>
      <c r="M123" s="1078" t="s">
        <v>552</v>
      </c>
      <c r="N123" s="1078"/>
      <c r="O123" s="251"/>
      <c r="Q123" s="217" t="str">
        <f>Q94</f>
        <v>L’Isle sur la Sorgue du 27 au 31 mars 2023</v>
      </c>
    </row>
    <row r="124" spans="1:25" ht="24" customHeight="1" x14ac:dyDescent="0.2">
      <c r="A124" s="509" t="str">
        <f ca="1">IFERROR(VLOOKUP(U118,Num_AS,6,FALSE),"")</f>
        <v/>
      </c>
      <c r="B124" s="223"/>
      <c r="C124" s="510" t="str">
        <f ca="1">IFERROR(VLOOKUP(U118,Num_AS,7,FALSE),"")</f>
        <v/>
      </c>
      <c r="D124" s="223"/>
      <c r="E124" s="224"/>
      <c r="F124" s="219"/>
      <c r="G124" s="511" t="str">
        <f ca="1">IFERROR(VLOOKUP(U118,Num_AS,10,FALSE),"")</f>
        <v/>
      </c>
      <c r="H124" s="224"/>
      <c r="I124" s="222"/>
      <c r="J124" s="512" t="str">
        <f ca="1">IFERROR(VLOOKUP(U118,Num_AS,9,FALSE),"")</f>
        <v/>
      </c>
      <c r="K124" s="224"/>
      <c r="L124" s="222" t="str">
        <f ca="1">IFERROR(VLOOKUP(U118,Num_AS,11,FALSE),"")</f>
        <v/>
      </c>
      <c r="M124" s="287">
        <f ca="1">G118</f>
        <v>5</v>
      </c>
      <c r="N124" s="288"/>
      <c r="O124" s="249"/>
      <c r="R124" s="254"/>
      <c r="S124" s="254"/>
      <c r="T124" s="254"/>
      <c r="U124" s="254"/>
      <c r="V124" s="254"/>
      <c r="W124" s="254"/>
      <c r="X124" s="254"/>
      <c r="Y124" s="254"/>
    </row>
    <row r="125" spans="1:25" ht="24" customHeight="1" x14ac:dyDescent="0.2">
      <c r="A125" s="509" t="str">
        <f ca="1">IFERROR(VLOOKUP(U118,Num_AS,12,FALSE),"")</f>
        <v/>
      </c>
      <c r="B125" s="223"/>
      <c r="C125" s="510" t="str">
        <f ca="1">IFERROR(VLOOKUP(U118,Num_AS,13,FALSE),"")</f>
        <v/>
      </c>
      <c r="D125" s="223"/>
      <c r="E125" s="224"/>
      <c r="F125" s="219"/>
      <c r="G125" s="511" t="str">
        <f ca="1">IFERROR(VLOOKUP(U118,Num_AS,16,FALSE),"")</f>
        <v/>
      </c>
      <c r="H125" s="224"/>
      <c r="I125" s="222"/>
      <c r="J125" s="512" t="str">
        <f ca="1">IFERROR(VLOOKUP(U118,Num_AS,15,FALSE),"")</f>
        <v/>
      </c>
      <c r="K125" s="224"/>
      <c r="L125" s="222" t="str">
        <f ca="1">IFERROR(VLOOKUP(U118,Num_AS,17,FALSE),"")</f>
        <v/>
      </c>
      <c r="M125" s="287">
        <f ca="1">G118</f>
        <v>5</v>
      </c>
      <c r="N125" s="288"/>
      <c r="O125" s="249"/>
      <c r="Q125" s="254"/>
      <c r="R125" s="254"/>
      <c r="S125" s="254"/>
      <c r="T125" s="254"/>
      <c r="U125" s="254"/>
      <c r="V125" s="254"/>
      <c r="W125" s="254"/>
      <c r="X125" s="254"/>
      <c r="Y125" s="254"/>
    </row>
    <row r="126" spans="1:25" ht="24" customHeight="1" x14ac:dyDescent="0.2">
      <c r="A126" s="509" t="str">
        <f ca="1">IFERROR(VLOOKUP(U118,Num_AS,18,FALSE),"")</f>
        <v/>
      </c>
      <c r="B126" s="223"/>
      <c r="C126" s="510" t="str">
        <f ca="1">IFERROR(VLOOKUP(U118,Num_AS,19,FALSE),"")</f>
        <v/>
      </c>
      <c r="D126" s="223"/>
      <c r="E126" s="224"/>
      <c r="F126" s="219"/>
      <c r="G126" s="511" t="str">
        <f ca="1">IFERROR(VLOOKUP(U118,Num_AS,22,FALSE),"")</f>
        <v/>
      </c>
      <c r="H126" s="224"/>
      <c r="I126" s="222"/>
      <c r="J126" s="512" t="str">
        <f ca="1">IFERROR(VLOOKUP(U118,Num_AS,21,FALSE),"")</f>
        <v/>
      </c>
      <c r="K126" s="224"/>
      <c r="L126" s="222" t="str">
        <f ca="1">IFERROR(VLOOKUP(U118,Num_AS,23,FALSE),"")</f>
        <v/>
      </c>
      <c r="M126" s="287">
        <f ca="1">G118</f>
        <v>5</v>
      </c>
      <c r="N126" s="288"/>
      <c r="O126" s="249"/>
      <c r="Q126" s="254"/>
      <c r="R126" s="254"/>
      <c r="S126" s="254"/>
      <c r="T126" s="254"/>
      <c r="U126" s="254"/>
      <c r="V126" s="254"/>
      <c r="W126" s="254"/>
      <c r="X126" s="254"/>
      <c r="Y126" s="254"/>
    </row>
    <row r="127" spans="1:25" ht="24" customHeight="1" x14ac:dyDescent="0.2">
      <c r="A127" s="509" t="str">
        <f ca="1">IFERROR(VLOOKUP(U118,Num_AS,24,FALSE),"")</f>
        <v/>
      </c>
      <c r="B127" s="223"/>
      <c r="C127" s="510" t="str">
        <f ca="1">IFERROR(VLOOKUP(U118,Num_AS,25,FALSE),"")</f>
        <v/>
      </c>
      <c r="D127" s="223"/>
      <c r="E127" s="224"/>
      <c r="F127" s="219"/>
      <c r="G127" s="511" t="str">
        <f ca="1">IFERROR(VLOOKUP(U118,Num_AS,28,FALSE),"")</f>
        <v/>
      </c>
      <c r="H127" s="224"/>
      <c r="I127" s="222"/>
      <c r="J127" s="512" t="str">
        <f ca="1">IFERROR(VLOOKUP(U118,Num_AS,27,FALSE),"")</f>
        <v/>
      </c>
      <c r="K127" s="224"/>
      <c r="L127" s="222" t="str">
        <f ca="1">IFERROR(VLOOKUP(U118,Num_AS,29,FALSE),"")</f>
        <v/>
      </c>
      <c r="M127" s="289">
        <f ca="1">G118</f>
        <v>5</v>
      </c>
      <c r="N127" s="290"/>
      <c r="O127" s="249"/>
    </row>
    <row r="128" spans="1:25" ht="15" customHeight="1" thickBot="1" x14ac:dyDescent="0.25"/>
    <row r="129" spans="1:25" ht="20.100000000000001" customHeight="1" x14ac:dyDescent="0.2">
      <c r="F129" s="1081" t="s">
        <v>555</v>
      </c>
      <c r="G129" s="1082"/>
      <c r="H129" s="1082"/>
      <c r="I129" s="1082"/>
      <c r="J129" s="1083"/>
      <c r="K129" s="1081" t="s">
        <v>556</v>
      </c>
      <c r="L129" s="1082"/>
      <c r="M129" s="1082"/>
      <c r="N129" s="1082"/>
      <c r="O129" s="1083"/>
      <c r="P129" s="1081" t="s">
        <v>557</v>
      </c>
      <c r="Q129" s="1082"/>
      <c r="R129" s="1082"/>
      <c r="S129" s="1082"/>
      <c r="T129" s="1083"/>
      <c r="U129" s="1081" t="s">
        <v>558</v>
      </c>
      <c r="V129" s="1082"/>
      <c r="W129" s="1082"/>
      <c r="X129" s="1082"/>
      <c r="Y129" s="1083"/>
    </row>
    <row r="130" spans="1:25" ht="20.100000000000001" customHeight="1" x14ac:dyDescent="0.2">
      <c r="A130" s="1075" t="s">
        <v>559</v>
      </c>
      <c r="B130" s="1075"/>
      <c r="C130" s="1075"/>
      <c r="D130" s="1075"/>
      <c r="E130" s="1089"/>
      <c r="F130" s="1090" t="s">
        <v>560</v>
      </c>
      <c r="G130" s="1075"/>
      <c r="H130" s="1075"/>
      <c r="J130" s="225" t="s">
        <v>7</v>
      </c>
      <c r="K130" s="1090" t="s">
        <v>560</v>
      </c>
      <c r="L130" s="1075"/>
      <c r="M130" s="1075"/>
      <c r="O130" s="225" t="s">
        <v>7</v>
      </c>
      <c r="P130" s="1090" t="s">
        <v>560</v>
      </c>
      <c r="Q130" s="1075"/>
      <c r="R130" s="1075"/>
      <c r="T130" s="225" t="s">
        <v>7</v>
      </c>
      <c r="U130" s="1090" t="s">
        <v>560</v>
      </c>
      <c r="V130" s="1075"/>
      <c r="W130" s="1075"/>
      <c r="Y130" s="225" t="s">
        <v>7</v>
      </c>
    </row>
    <row r="131" spans="1:25" ht="24" customHeight="1" x14ac:dyDescent="0.2">
      <c r="A131" s="513" t="str">
        <f ca="1">A124</f>
        <v/>
      </c>
      <c r="B131" s="227"/>
      <c r="C131" s="514" t="str">
        <f ca="1">C124</f>
        <v/>
      </c>
      <c r="D131" s="227"/>
      <c r="E131" s="227"/>
      <c r="F131" s="228"/>
      <c r="G131" s="229"/>
      <c r="H131" s="229"/>
      <c r="I131" s="230" t="s">
        <v>561</v>
      </c>
      <c r="J131" s="231"/>
      <c r="K131" s="228"/>
      <c r="L131" s="229"/>
      <c r="M131" s="229"/>
      <c r="N131" s="230" t="s">
        <v>561</v>
      </c>
      <c r="O131" s="231"/>
      <c r="P131" s="228"/>
      <c r="Q131" s="229"/>
      <c r="R131" s="229"/>
      <c r="S131" s="230" t="s">
        <v>561</v>
      </c>
      <c r="T131" s="231"/>
      <c r="U131" s="228"/>
      <c r="V131" s="229"/>
      <c r="W131" s="229"/>
      <c r="X131" s="230" t="s">
        <v>561</v>
      </c>
      <c r="Y131" s="231"/>
    </row>
    <row r="132" spans="1:25" ht="24" customHeight="1" x14ac:dyDescent="0.2">
      <c r="A132" s="513" t="str">
        <f ca="1">A125</f>
        <v/>
      </c>
      <c r="B132" s="227"/>
      <c r="C132" s="514" t="str">
        <f ca="1">C125</f>
        <v/>
      </c>
      <c r="D132" s="227"/>
      <c r="E132" s="227"/>
      <c r="F132" s="228"/>
      <c r="G132" s="229"/>
      <c r="H132" s="229"/>
      <c r="I132" s="230" t="s">
        <v>561</v>
      </c>
      <c r="J132" s="231"/>
      <c r="K132" s="228"/>
      <c r="L132" s="229"/>
      <c r="M132" s="229"/>
      <c r="N132" s="230" t="s">
        <v>561</v>
      </c>
      <c r="O132" s="231"/>
      <c r="P132" s="228"/>
      <c r="Q132" s="229"/>
      <c r="R132" s="229"/>
      <c r="S132" s="230" t="s">
        <v>561</v>
      </c>
      <c r="T132" s="231"/>
      <c r="U132" s="228"/>
      <c r="V132" s="229"/>
      <c r="W132" s="229"/>
      <c r="X132" s="230" t="s">
        <v>561</v>
      </c>
      <c r="Y132" s="231"/>
    </row>
    <row r="133" spans="1:25" ht="24" customHeight="1" x14ac:dyDescent="0.2">
      <c r="A133" s="513" t="str">
        <f ca="1">A126</f>
        <v/>
      </c>
      <c r="B133" s="227"/>
      <c r="C133" s="514" t="str">
        <f ca="1">C126</f>
        <v/>
      </c>
      <c r="D133" s="227"/>
      <c r="E133" s="227"/>
      <c r="F133" s="228"/>
      <c r="G133" s="229"/>
      <c r="H133" s="229"/>
      <c r="I133" s="230" t="s">
        <v>561</v>
      </c>
      <c r="J133" s="231"/>
      <c r="K133" s="228"/>
      <c r="L133" s="229"/>
      <c r="M133" s="229"/>
      <c r="N133" s="230" t="s">
        <v>561</v>
      </c>
      <c r="O133" s="231"/>
      <c r="P133" s="228"/>
      <c r="Q133" s="229"/>
      <c r="R133" s="229"/>
      <c r="S133" s="230" t="s">
        <v>561</v>
      </c>
      <c r="T133" s="231"/>
      <c r="U133" s="228"/>
      <c r="V133" s="229"/>
      <c r="W133" s="229"/>
      <c r="X133" s="230" t="s">
        <v>561</v>
      </c>
      <c r="Y133" s="231"/>
    </row>
    <row r="134" spans="1:25" ht="24" customHeight="1" x14ac:dyDescent="0.2">
      <c r="A134" s="513" t="str">
        <f ca="1">A127</f>
        <v/>
      </c>
      <c r="B134" s="227"/>
      <c r="C134" s="514" t="str">
        <f ca="1">C127</f>
        <v/>
      </c>
      <c r="D134" s="227"/>
      <c r="E134" s="227"/>
      <c r="F134" s="228"/>
      <c r="G134" s="229"/>
      <c r="H134" s="229"/>
      <c r="I134" s="230" t="s">
        <v>561</v>
      </c>
      <c r="J134" s="232"/>
      <c r="K134" s="228"/>
      <c r="L134" s="229"/>
      <c r="M134" s="229"/>
      <c r="N134" s="230" t="s">
        <v>561</v>
      </c>
      <c r="O134" s="232"/>
      <c r="P134" s="228"/>
      <c r="Q134" s="229"/>
      <c r="R134" s="229"/>
      <c r="S134" s="230" t="s">
        <v>561</v>
      </c>
      <c r="T134" s="232"/>
      <c r="U134" s="228"/>
      <c r="V134" s="229"/>
      <c r="W134" s="229"/>
      <c r="X134" s="230" t="s">
        <v>561</v>
      </c>
      <c r="Y134" s="232"/>
    </row>
    <row r="135" spans="1:25" ht="24" customHeight="1" thickBot="1" x14ac:dyDescent="0.25">
      <c r="F135" s="1079" t="s">
        <v>562</v>
      </c>
      <c r="G135" s="1080"/>
      <c r="H135" s="1080"/>
      <c r="I135" s="230" t="s">
        <v>561</v>
      </c>
      <c r="J135" s="231"/>
      <c r="K135" s="1079" t="s">
        <v>563</v>
      </c>
      <c r="L135" s="1080"/>
      <c r="M135" s="1080"/>
      <c r="N135" s="230" t="s">
        <v>561</v>
      </c>
      <c r="O135" s="232"/>
      <c r="P135" s="1079" t="s">
        <v>564</v>
      </c>
      <c r="Q135" s="1080"/>
      <c r="R135" s="1080"/>
      <c r="S135" s="230" t="s">
        <v>561</v>
      </c>
      <c r="T135" s="232"/>
      <c r="U135" s="1079" t="s">
        <v>565</v>
      </c>
      <c r="V135" s="1080"/>
      <c r="W135" s="1080"/>
      <c r="X135" s="230" t="s">
        <v>561</v>
      </c>
      <c r="Y135" s="232"/>
    </row>
    <row r="136" spans="1:25" ht="24" customHeight="1" thickBot="1" x14ac:dyDescent="0.25">
      <c r="A136" s="508" t="s">
        <v>1013</v>
      </c>
      <c r="B136" s="508"/>
      <c r="D136" s="1094">
        <f ca="1">VLOOKUP(A120&amp;A121,PTS_SP,2,FALSE)</f>
        <v>0</v>
      </c>
      <c r="E136" s="1095"/>
      <c r="F136" s="745" t="s">
        <v>1014</v>
      </c>
      <c r="G136" s="670"/>
      <c r="H136" s="744"/>
      <c r="I136" s="1096"/>
      <c r="J136" s="1097"/>
      <c r="K136" s="1100" t="s">
        <v>1015</v>
      </c>
      <c r="L136" s="1101"/>
      <c r="M136" s="1102"/>
      <c r="N136" s="1096"/>
      <c r="O136" s="1097"/>
      <c r="P136" s="1100" t="s">
        <v>1016</v>
      </c>
      <c r="Q136" s="1101"/>
      <c r="R136" s="1102"/>
      <c r="S136" s="1096"/>
      <c r="T136" s="1097"/>
      <c r="U136" s="1100" t="s">
        <v>1017</v>
      </c>
      <c r="V136" s="1101"/>
      <c r="W136" s="1102"/>
      <c r="X136" s="1096"/>
      <c r="Y136" s="1097"/>
    </row>
    <row r="137" spans="1:25" ht="12.75" customHeight="1" x14ac:dyDescent="0.2">
      <c r="Y137" s="240" t="s">
        <v>570</v>
      </c>
    </row>
    <row r="138" spans="1:25" ht="15.75" customHeight="1" x14ac:dyDescent="0.2">
      <c r="B138" s="1091" t="s">
        <v>851</v>
      </c>
      <c r="C138" s="1091"/>
      <c r="D138" s="1091"/>
      <c r="E138" s="1091"/>
      <c r="F138" s="1091"/>
      <c r="G138" s="1091"/>
      <c r="H138" s="1091"/>
      <c r="I138" s="1091"/>
      <c r="J138" s="1091"/>
      <c r="K138" s="1091"/>
      <c r="L138" s="1091"/>
      <c r="O138" s="1091" t="s">
        <v>522</v>
      </c>
      <c r="P138" s="1091"/>
      <c r="Q138" s="1091"/>
      <c r="R138" s="1091"/>
      <c r="S138" s="1091"/>
      <c r="T138" s="1091"/>
      <c r="U138" s="1091"/>
      <c r="V138" s="1091"/>
      <c r="W138" s="1091"/>
      <c r="X138" s="1091"/>
      <c r="Y138" s="1091"/>
    </row>
    <row r="139" spans="1:25" ht="13.5" customHeight="1" x14ac:dyDescent="0.2">
      <c r="B139" s="1086" t="s">
        <v>1</v>
      </c>
      <c r="C139" s="1087"/>
      <c r="D139" s="1087"/>
      <c r="E139" s="1087"/>
      <c r="F139" s="1087"/>
      <c r="G139" s="1087"/>
      <c r="H139" s="1088"/>
      <c r="I139" s="1086" t="s">
        <v>520</v>
      </c>
      <c r="J139" s="1087"/>
      <c r="K139" s="1087"/>
      <c r="L139" s="1088"/>
      <c r="N139" s="241"/>
      <c r="O139" s="1086" t="s">
        <v>1</v>
      </c>
      <c r="P139" s="1087"/>
      <c r="Q139" s="1087"/>
      <c r="R139" s="1087"/>
      <c r="S139" s="1087"/>
      <c r="T139" s="1087"/>
      <c r="U139" s="1088"/>
      <c r="V139" s="1086" t="s">
        <v>520</v>
      </c>
      <c r="W139" s="1087"/>
      <c r="X139" s="1087"/>
      <c r="Y139" s="1088"/>
    </row>
    <row r="140" spans="1:25" ht="21.75" customHeight="1" x14ac:dyDescent="0.2">
      <c r="B140" s="242"/>
      <c r="C140" s="243"/>
      <c r="D140" s="243"/>
      <c r="E140" s="243"/>
      <c r="F140" s="243"/>
      <c r="G140" s="243"/>
      <c r="H140" s="243"/>
      <c r="I140" s="242"/>
      <c r="J140" s="243"/>
      <c r="K140" s="243"/>
      <c r="L140" s="244"/>
      <c r="N140" s="241"/>
      <c r="O140" s="242"/>
      <c r="P140" s="243"/>
      <c r="Q140" s="243"/>
      <c r="R140" s="243"/>
      <c r="S140" s="243"/>
      <c r="T140" s="243"/>
      <c r="U140" s="243"/>
      <c r="V140" s="242"/>
      <c r="W140" s="243"/>
      <c r="X140" s="243"/>
      <c r="Y140" s="244"/>
    </row>
    <row r="141" spans="1:25" ht="13.5" customHeight="1" x14ac:dyDescent="0.2"/>
    <row r="142" spans="1:25" ht="14.25" customHeight="1" thickBot="1" x14ac:dyDescent="0.25">
      <c r="A142" s="241"/>
      <c r="G142" s="305"/>
      <c r="H142" s="305"/>
      <c r="I142" s="1069" t="s">
        <v>0</v>
      </c>
      <c r="J142" s="1069"/>
      <c r="K142" s="1069"/>
      <c r="L142" s="1069"/>
      <c r="M142" s="1069"/>
      <c r="N142" s="1069"/>
      <c r="O142" s="1069"/>
      <c r="P142" s="1069" t="s">
        <v>374</v>
      </c>
      <c r="Q142" s="1069"/>
      <c r="R142" s="1069"/>
      <c r="S142" s="1069"/>
      <c r="T142" s="1069"/>
      <c r="U142" s="1069" t="s">
        <v>571</v>
      </c>
      <c r="V142" s="1069"/>
      <c r="W142" s="1069"/>
      <c r="X142" s="305"/>
      <c r="Y142" s="305"/>
    </row>
    <row r="143" spans="1:25" ht="20.25" customHeight="1" x14ac:dyDescent="0.2">
      <c r="A143" s="241"/>
      <c r="F143" s="1074" t="s">
        <v>584</v>
      </c>
      <c r="G143" s="1074"/>
      <c r="H143" s="1074"/>
      <c r="I143" s="316"/>
      <c r="J143" s="306"/>
      <c r="K143" s="306"/>
      <c r="L143" s="306"/>
      <c r="M143" s="306"/>
      <c r="N143" s="306"/>
      <c r="O143" s="306"/>
      <c r="P143" s="312"/>
      <c r="Q143" s="306"/>
      <c r="R143" s="307"/>
      <c r="S143" s="304"/>
      <c r="T143" s="313"/>
      <c r="U143" s="310"/>
      <c r="V143" s="1084" t="s">
        <v>495</v>
      </c>
      <c r="W143" s="308"/>
    </row>
    <row r="144" spans="1:25" ht="13.5" thickBot="1" x14ac:dyDescent="0.25">
      <c r="F144" s="1074"/>
      <c r="G144" s="1074"/>
      <c r="H144" s="1074"/>
      <c r="I144" s="303"/>
      <c r="J144" s="235"/>
      <c r="K144" s="235"/>
      <c r="L144" s="235"/>
      <c r="M144" s="235"/>
      <c r="N144" s="235"/>
      <c r="O144" s="235"/>
      <c r="P144" s="314"/>
      <c r="Q144" s="235"/>
      <c r="R144" s="234"/>
      <c r="S144" s="234"/>
      <c r="T144" s="315"/>
      <c r="U144" s="311"/>
      <c r="V144" s="1085"/>
      <c r="W144" s="309"/>
    </row>
    <row r="146" spans="1:25" ht="6.75" customHeight="1" x14ac:dyDescent="0.2"/>
    <row r="147" spans="1:25" s="218" customFormat="1" ht="23.25" customHeight="1" x14ac:dyDescent="0.2">
      <c r="A147" s="1072" t="s">
        <v>546</v>
      </c>
      <c r="B147" s="1073"/>
      <c r="C147" s="499" t="str">
        <f>C118</f>
        <v>D1</v>
      </c>
      <c r="D147" s="1098" t="s">
        <v>628</v>
      </c>
      <c r="E147" s="1072"/>
      <c r="F147" s="1072"/>
      <c r="G147" s="1103">
        <f ca="1">INDIRECT("AD"&amp;V147)</f>
        <v>6</v>
      </c>
      <c r="H147" s="1104"/>
      <c r="J147" s="218" t="str">
        <f>CATEG_IMPORTEE</f>
        <v>Collèges Mixtes Etablissement</v>
      </c>
      <c r="T147" s="500"/>
      <c r="U147" s="520" t="str">
        <f ca="1">INDIRECT("AE"&amp;V147)</f>
        <v>C6-Coll6Ville6</v>
      </c>
      <c r="V147" s="500">
        <f>Y147+2</f>
        <v>8</v>
      </c>
      <c r="W147" s="501" t="str">
        <f ca="1">INDIRECT("AF"&amp;V147)</f>
        <v>C3-Coll3Ville3</v>
      </c>
      <c r="X147" s="502" t="s">
        <v>849</v>
      </c>
      <c r="Y147" s="503">
        <f>Y118+1</f>
        <v>6</v>
      </c>
    </row>
    <row r="148" spans="1:25" ht="27" customHeight="1" thickBot="1" x14ac:dyDescent="0.25">
      <c r="A148" s="1093" t="s">
        <v>0</v>
      </c>
      <c r="B148" s="1093"/>
      <c r="C148" s="1093"/>
      <c r="D148" s="1093"/>
      <c r="E148" s="1093"/>
      <c r="F148" s="1093"/>
      <c r="G148" s="1093"/>
      <c r="H148" s="1093" t="s">
        <v>374</v>
      </c>
      <c r="I148" s="1093"/>
      <c r="J148" s="1093"/>
      <c r="K148" s="1093"/>
      <c r="L148" s="1093"/>
      <c r="O148" s="1069" t="s">
        <v>0</v>
      </c>
      <c r="P148" s="1069"/>
      <c r="Q148" s="1069"/>
      <c r="R148" s="1069"/>
      <c r="S148" s="1069"/>
      <c r="T148" s="1069"/>
      <c r="U148" s="1069"/>
      <c r="V148" s="1069" t="s">
        <v>374</v>
      </c>
      <c r="W148" s="1069"/>
      <c r="X148" s="1069"/>
      <c r="Y148" s="1069"/>
    </row>
    <row r="149" spans="1:25" ht="24" customHeight="1" thickBot="1" x14ac:dyDescent="0.25">
      <c r="A149" s="504" t="str">
        <f ca="1">IFERROR(VLOOKUP(U147,Num_AS,2,FALSE),"")</f>
        <v/>
      </c>
      <c r="B149" s="505"/>
      <c r="C149" s="505"/>
      <c r="D149" s="505"/>
      <c r="E149" s="505"/>
      <c r="F149" s="505"/>
      <c r="G149" s="506"/>
      <c r="H149" s="507" t="str">
        <f ca="1">IFERROR(VLOOKUP(U147,Num_AS,4,FALSE),"")</f>
        <v/>
      </c>
      <c r="I149" s="220"/>
      <c r="J149" s="220"/>
      <c r="K149" s="220"/>
      <c r="L149" s="738"/>
      <c r="M149" s="1070" t="s">
        <v>547</v>
      </c>
      <c r="N149" s="1071"/>
      <c r="O149" s="504" t="str">
        <f ca="1">IFERROR(VLOOKUP(W147,Num_AS,2,FALSE),"")</f>
        <v/>
      </c>
      <c r="P149" s="505"/>
      <c r="Q149" s="505"/>
      <c r="R149" s="505"/>
      <c r="S149" s="505"/>
      <c r="T149" s="505"/>
      <c r="U149" s="506"/>
      <c r="V149" s="507" t="str">
        <f ca="1">IFERROR(VLOOKUP(W147,Num_AS,4,FALSE),"")</f>
        <v/>
      </c>
      <c r="W149" s="220"/>
      <c r="X149" s="220"/>
      <c r="Y149" s="221"/>
    </row>
    <row r="150" spans="1:25" ht="15" customHeight="1" x14ac:dyDescent="0.2">
      <c r="A150" s="736" t="str">
        <f ca="1">IFERROR(VLOOKUP(U147,Num_AS,3,FALSE),"")</f>
        <v/>
      </c>
      <c r="B150" s="736"/>
      <c r="C150" s="736"/>
      <c r="D150" s="736"/>
      <c r="E150" s="736"/>
      <c r="F150" s="736"/>
      <c r="G150" s="736"/>
      <c r="H150" s="737"/>
    </row>
    <row r="151" spans="1:25" ht="20.100000000000001" customHeight="1" x14ac:dyDescent="0.2">
      <c r="A151" s="1074" t="s">
        <v>548</v>
      </c>
      <c r="B151" s="1074"/>
      <c r="C151" s="1074"/>
      <c r="D151" s="1074"/>
      <c r="E151" s="1074"/>
      <c r="Q151" s="217" t="str">
        <f>Q122</f>
        <v>Championnat de France de Tir à l'ARC</v>
      </c>
    </row>
    <row r="152" spans="1:25" ht="20.100000000000001" customHeight="1" x14ac:dyDescent="0.2">
      <c r="A152" s="1075" t="s">
        <v>549</v>
      </c>
      <c r="B152" s="1075"/>
      <c r="C152" s="1075"/>
      <c r="D152" s="1075"/>
      <c r="E152" s="1075"/>
      <c r="G152" s="1076" t="s">
        <v>480</v>
      </c>
      <c r="H152" s="1076"/>
      <c r="I152" s="1077" t="s">
        <v>550</v>
      </c>
      <c r="J152" s="1077"/>
      <c r="K152" s="1077"/>
      <c r="L152" s="252" t="s">
        <v>551</v>
      </c>
      <c r="M152" s="1078" t="s">
        <v>552</v>
      </c>
      <c r="N152" s="1078"/>
      <c r="O152" s="251"/>
      <c r="Q152" s="217" t="str">
        <f>Q123</f>
        <v>L’Isle sur la Sorgue du 27 au 31 mars 2023</v>
      </c>
    </row>
    <row r="153" spans="1:25" ht="24" customHeight="1" x14ac:dyDescent="0.2">
      <c r="A153" s="509" t="str">
        <f ca="1">IFERROR(VLOOKUP(U147,Num_AS,6,FALSE),"")</f>
        <v/>
      </c>
      <c r="B153" s="223"/>
      <c r="C153" s="510" t="str">
        <f ca="1">IFERROR(VLOOKUP(U147,Num_AS,7,FALSE),"")</f>
        <v/>
      </c>
      <c r="D153" s="223"/>
      <c r="E153" s="224"/>
      <c r="F153" s="219"/>
      <c r="G153" s="511" t="str">
        <f ca="1">IFERROR(VLOOKUP(U147,Num_AS,10,FALSE),"")</f>
        <v/>
      </c>
      <c r="H153" s="224"/>
      <c r="I153" s="222"/>
      <c r="J153" s="512" t="str">
        <f ca="1">IFERROR(VLOOKUP(U147,Num_AS,9,FALSE),"")</f>
        <v/>
      </c>
      <c r="K153" s="224"/>
      <c r="L153" s="222" t="str">
        <f ca="1">IFERROR(VLOOKUP(U147,Num_AS,11,FALSE),"")</f>
        <v/>
      </c>
      <c r="M153" s="287">
        <f ca="1">G147</f>
        <v>6</v>
      </c>
      <c r="N153" s="288"/>
      <c r="O153" s="249"/>
      <c r="R153" s="254"/>
      <c r="S153" s="254"/>
      <c r="T153" s="254"/>
      <c r="U153" s="254"/>
      <c r="V153" s="254"/>
      <c r="W153" s="254"/>
      <c r="X153" s="254"/>
      <c r="Y153" s="254"/>
    </row>
    <row r="154" spans="1:25" ht="24" customHeight="1" x14ac:dyDescent="0.2">
      <c r="A154" s="509" t="str">
        <f ca="1">IFERROR(VLOOKUP(U147,Num_AS,12,FALSE),"")</f>
        <v/>
      </c>
      <c r="B154" s="223"/>
      <c r="C154" s="510" t="str">
        <f ca="1">IFERROR(VLOOKUP(U147,Num_AS,13,FALSE),"")</f>
        <v/>
      </c>
      <c r="D154" s="223"/>
      <c r="E154" s="224"/>
      <c r="F154" s="219"/>
      <c r="G154" s="511" t="str">
        <f ca="1">IFERROR(VLOOKUP(U147,Num_AS,16,FALSE),"")</f>
        <v/>
      </c>
      <c r="H154" s="224"/>
      <c r="I154" s="222"/>
      <c r="J154" s="512" t="str">
        <f ca="1">IFERROR(VLOOKUP(U147,Num_AS,15,FALSE),"")</f>
        <v/>
      </c>
      <c r="K154" s="224"/>
      <c r="L154" s="222" t="str">
        <f ca="1">IFERROR(VLOOKUP(U147,Num_AS,17,FALSE),"")</f>
        <v/>
      </c>
      <c r="M154" s="287">
        <f ca="1">G147</f>
        <v>6</v>
      </c>
      <c r="N154" s="288"/>
      <c r="O154" s="249"/>
      <c r="Q154" s="254"/>
      <c r="R154" s="254"/>
      <c r="S154" s="254"/>
      <c r="T154" s="254"/>
      <c r="U154" s="254"/>
      <c r="V154" s="254"/>
      <c r="W154" s="254"/>
      <c r="X154" s="254"/>
      <c r="Y154" s="254"/>
    </row>
    <row r="155" spans="1:25" ht="24" customHeight="1" x14ac:dyDescent="0.2">
      <c r="A155" s="509" t="str">
        <f ca="1">IFERROR(VLOOKUP(U147,Num_AS,18,FALSE),"")</f>
        <v/>
      </c>
      <c r="B155" s="223"/>
      <c r="C155" s="510" t="str">
        <f ca="1">IFERROR(VLOOKUP(U147,Num_AS,19,FALSE),"")</f>
        <v/>
      </c>
      <c r="D155" s="223"/>
      <c r="E155" s="224"/>
      <c r="F155" s="219"/>
      <c r="G155" s="511" t="str">
        <f ca="1">IFERROR(VLOOKUP(U147,Num_AS,22,FALSE),"")</f>
        <v/>
      </c>
      <c r="H155" s="224"/>
      <c r="I155" s="222"/>
      <c r="J155" s="512" t="str">
        <f ca="1">IFERROR(VLOOKUP(U147,Num_AS,21,FALSE),"")</f>
        <v/>
      </c>
      <c r="K155" s="224"/>
      <c r="L155" s="222" t="str">
        <f ca="1">IFERROR(VLOOKUP(U147,Num_AS,23,FALSE),"")</f>
        <v/>
      </c>
      <c r="M155" s="287">
        <f ca="1">G147</f>
        <v>6</v>
      </c>
      <c r="N155" s="288"/>
      <c r="O155" s="249"/>
      <c r="Q155" s="254"/>
      <c r="R155" s="254"/>
      <c r="S155" s="254"/>
      <c r="T155" s="254"/>
      <c r="U155" s="254"/>
      <c r="V155" s="254"/>
      <c r="W155" s="254"/>
      <c r="X155" s="254"/>
      <c r="Y155" s="254"/>
    </row>
    <row r="156" spans="1:25" ht="24" customHeight="1" x14ac:dyDescent="0.2">
      <c r="A156" s="509" t="str">
        <f ca="1">IFERROR(VLOOKUP(U147,Num_AS,24,FALSE),"")</f>
        <v/>
      </c>
      <c r="B156" s="223"/>
      <c r="C156" s="510" t="str">
        <f ca="1">IFERROR(VLOOKUP(U147,Num_AS,25,FALSE),"")</f>
        <v/>
      </c>
      <c r="D156" s="223"/>
      <c r="E156" s="224"/>
      <c r="F156" s="219"/>
      <c r="G156" s="511" t="str">
        <f ca="1">IFERROR(VLOOKUP(U147,Num_AS,28,FALSE),"")</f>
        <v/>
      </c>
      <c r="H156" s="224"/>
      <c r="I156" s="222"/>
      <c r="J156" s="512" t="str">
        <f ca="1">IFERROR(VLOOKUP(U147,Num_AS,27,FALSE),"")</f>
        <v/>
      </c>
      <c r="K156" s="224"/>
      <c r="L156" s="222" t="str">
        <f ca="1">IFERROR(VLOOKUP(U147,Num_AS,29,FALSE),"")</f>
        <v/>
      </c>
      <c r="M156" s="289">
        <f ca="1">G147</f>
        <v>6</v>
      </c>
      <c r="N156" s="290"/>
      <c r="O156" s="249"/>
    </row>
    <row r="157" spans="1:25" ht="15" customHeight="1" thickBot="1" x14ac:dyDescent="0.25"/>
    <row r="158" spans="1:25" ht="20.100000000000001" customHeight="1" x14ac:dyDescent="0.2">
      <c r="F158" s="1081" t="s">
        <v>555</v>
      </c>
      <c r="G158" s="1082"/>
      <c r="H158" s="1082"/>
      <c r="I158" s="1082"/>
      <c r="J158" s="1083"/>
      <c r="K158" s="1081" t="s">
        <v>556</v>
      </c>
      <c r="L158" s="1082"/>
      <c r="M158" s="1082"/>
      <c r="N158" s="1082"/>
      <c r="O158" s="1083"/>
      <c r="P158" s="1081" t="s">
        <v>557</v>
      </c>
      <c r="Q158" s="1082"/>
      <c r="R158" s="1082"/>
      <c r="S158" s="1082"/>
      <c r="T158" s="1083"/>
      <c r="U158" s="1081" t="s">
        <v>558</v>
      </c>
      <c r="V158" s="1082"/>
      <c r="W158" s="1082"/>
      <c r="X158" s="1082"/>
      <c r="Y158" s="1083"/>
    </row>
    <row r="159" spans="1:25" ht="20.100000000000001" customHeight="1" x14ac:dyDescent="0.2">
      <c r="A159" s="1075" t="s">
        <v>559</v>
      </c>
      <c r="B159" s="1075"/>
      <c r="C159" s="1075"/>
      <c r="D159" s="1075"/>
      <c r="E159" s="1089"/>
      <c r="F159" s="1090" t="s">
        <v>560</v>
      </c>
      <c r="G159" s="1075"/>
      <c r="H159" s="1075"/>
      <c r="J159" s="225" t="s">
        <v>7</v>
      </c>
      <c r="K159" s="1090" t="s">
        <v>560</v>
      </c>
      <c r="L159" s="1075"/>
      <c r="M159" s="1075"/>
      <c r="O159" s="225" t="s">
        <v>7</v>
      </c>
      <c r="P159" s="1090" t="s">
        <v>560</v>
      </c>
      <c r="Q159" s="1075"/>
      <c r="R159" s="1075"/>
      <c r="T159" s="225" t="s">
        <v>7</v>
      </c>
      <c r="U159" s="1090" t="s">
        <v>560</v>
      </c>
      <c r="V159" s="1075"/>
      <c r="W159" s="1075"/>
      <c r="Y159" s="225" t="s">
        <v>7</v>
      </c>
    </row>
    <row r="160" spans="1:25" ht="24" customHeight="1" x14ac:dyDescent="0.2">
      <c r="A160" s="513" t="str">
        <f ca="1">A153</f>
        <v/>
      </c>
      <c r="B160" s="227"/>
      <c r="C160" s="514" t="str">
        <f ca="1">C153</f>
        <v/>
      </c>
      <c r="D160" s="227"/>
      <c r="E160" s="227"/>
      <c r="F160" s="228"/>
      <c r="G160" s="229"/>
      <c r="H160" s="229"/>
      <c r="I160" s="230" t="s">
        <v>561</v>
      </c>
      <c r="J160" s="231"/>
      <c r="K160" s="228"/>
      <c r="L160" s="229"/>
      <c r="M160" s="229"/>
      <c r="N160" s="230" t="s">
        <v>561</v>
      </c>
      <c r="O160" s="231"/>
      <c r="P160" s="228"/>
      <c r="Q160" s="229"/>
      <c r="R160" s="229"/>
      <c r="S160" s="230" t="s">
        <v>561</v>
      </c>
      <c r="T160" s="231"/>
      <c r="U160" s="228"/>
      <c r="V160" s="229"/>
      <c r="W160" s="229"/>
      <c r="X160" s="230" t="s">
        <v>561</v>
      </c>
      <c r="Y160" s="231"/>
    </row>
    <row r="161" spans="1:25" ht="24" customHeight="1" x14ac:dyDescent="0.2">
      <c r="A161" s="513" t="str">
        <f ca="1">A154</f>
        <v/>
      </c>
      <c r="B161" s="227"/>
      <c r="C161" s="514" t="str">
        <f ca="1">C154</f>
        <v/>
      </c>
      <c r="D161" s="227"/>
      <c r="E161" s="227"/>
      <c r="F161" s="228"/>
      <c r="G161" s="229"/>
      <c r="H161" s="229"/>
      <c r="I161" s="230" t="s">
        <v>561</v>
      </c>
      <c r="J161" s="231"/>
      <c r="K161" s="228"/>
      <c r="L161" s="229"/>
      <c r="M161" s="229"/>
      <c r="N161" s="230" t="s">
        <v>561</v>
      </c>
      <c r="O161" s="231"/>
      <c r="P161" s="228"/>
      <c r="Q161" s="229"/>
      <c r="R161" s="229"/>
      <c r="S161" s="230" t="s">
        <v>561</v>
      </c>
      <c r="T161" s="231"/>
      <c r="U161" s="228"/>
      <c r="V161" s="229"/>
      <c r="W161" s="229"/>
      <c r="X161" s="230" t="s">
        <v>561</v>
      </c>
      <c r="Y161" s="231"/>
    </row>
    <row r="162" spans="1:25" ht="24" customHeight="1" x14ac:dyDescent="0.2">
      <c r="A162" s="513" t="str">
        <f ca="1">A155</f>
        <v/>
      </c>
      <c r="B162" s="227"/>
      <c r="C162" s="514" t="str">
        <f ca="1">C155</f>
        <v/>
      </c>
      <c r="D162" s="227"/>
      <c r="E162" s="227"/>
      <c r="F162" s="228"/>
      <c r="G162" s="229"/>
      <c r="H162" s="229"/>
      <c r="I162" s="230" t="s">
        <v>561</v>
      </c>
      <c r="J162" s="231"/>
      <c r="K162" s="228"/>
      <c r="L162" s="229"/>
      <c r="M162" s="229"/>
      <c r="N162" s="230" t="s">
        <v>561</v>
      </c>
      <c r="O162" s="231"/>
      <c r="P162" s="228"/>
      <c r="Q162" s="229"/>
      <c r="R162" s="229"/>
      <c r="S162" s="230" t="s">
        <v>561</v>
      </c>
      <c r="T162" s="231"/>
      <c r="U162" s="228"/>
      <c r="V162" s="229"/>
      <c r="W162" s="229"/>
      <c r="X162" s="230" t="s">
        <v>561</v>
      </c>
      <c r="Y162" s="231"/>
    </row>
    <row r="163" spans="1:25" ht="24" customHeight="1" x14ac:dyDescent="0.2">
      <c r="A163" s="513" t="str">
        <f ca="1">A156</f>
        <v/>
      </c>
      <c r="B163" s="227"/>
      <c r="C163" s="514" t="str">
        <f ca="1">C156</f>
        <v/>
      </c>
      <c r="D163" s="227"/>
      <c r="E163" s="227"/>
      <c r="F163" s="228"/>
      <c r="G163" s="229"/>
      <c r="H163" s="229"/>
      <c r="I163" s="230" t="s">
        <v>561</v>
      </c>
      <c r="J163" s="232"/>
      <c r="K163" s="228"/>
      <c r="L163" s="229"/>
      <c r="M163" s="229"/>
      <c r="N163" s="230" t="s">
        <v>561</v>
      </c>
      <c r="O163" s="232"/>
      <c r="P163" s="228"/>
      <c r="Q163" s="229"/>
      <c r="R163" s="229"/>
      <c r="S163" s="230" t="s">
        <v>561</v>
      </c>
      <c r="T163" s="232"/>
      <c r="U163" s="228"/>
      <c r="V163" s="229"/>
      <c r="W163" s="229"/>
      <c r="X163" s="230" t="s">
        <v>561</v>
      </c>
      <c r="Y163" s="232"/>
    </row>
    <row r="164" spans="1:25" ht="24" customHeight="1" thickBot="1" x14ac:dyDescent="0.25">
      <c r="F164" s="1079" t="s">
        <v>562</v>
      </c>
      <c r="G164" s="1080"/>
      <c r="H164" s="1080"/>
      <c r="I164" s="230" t="s">
        <v>561</v>
      </c>
      <c r="J164" s="231"/>
      <c r="K164" s="1079" t="s">
        <v>563</v>
      </c>
      <c r="L164" s="1080"/>
      <c r="M164" s="1080"/>
      <c r="N164" s="230" t="s">
        <v>561</v>
      </c>
      <c r="O164" s="232"/>
      <c r="P164" s="1079" t="s">
        <v>564</v>
      </c>
      <c r="Q164" s="1080"/>
      <c r="R164" s="1080"/>
      <c r="S164" s="230" t="s">
        <v>561</v>
      </c>
      <c r="T164" s="232"/>
      <c r="U164" s="1079" t="s">
        <v>565</v>
      </c>
      <c r="V164" s="1080"/>
      <c r="W164" s="1080"/>
      <c r="X164" s="230" t="s">
        <v>561</v>
      </c>
      <c r="Y164" s="232"/>
    </row>
    <row r="165" spans="1:25" ht="24" customHeight="1" thickBot="1" x14ac:dyDescent="0.25">
      <c r="A165" s="508" t="s">
        <v>1013</v>
      </c>
      <c r="B165" s="508"/>
      <c r="D165" s="1094">
        <f ca="1">VLOOKUP(A149&amp;A150,PTS_SP,2,FALSE)</f>
        <v>0</v>
      </c>
      <c r="E165" s="1095"/>
      <c r="F165" s="745" t="s">
        <v>1014</v>
      </c>
      <c r="G165" s="670"/>
      <c r="H165" s="744"/>
      <c r="I165" s="1096"/>
      <c r="J165" s="1097"/>
      <c r="K165" s="1100" t="s">
        <v>1015</v>
      </c>
      <c r="L165" s="1101"/>
      <c r="M165" s="1102"/>
      <c r="N165" s="1096"/>
      <c r="O165" s="1097"/>
      <c r="P165" s="1100" t="s">
        <v>1016</v>
      </c>
      <c r="Q165" s="1101"/>
      <c r="R165" s="1102"/>
      <c r="S165" s="1096"/>
      <c r="T165" s="1097"/>
      <c r="U165" s="1100" t="s">
        <v>1017</v>
      </c>
      <c r="V165" s="1101"/>
      <c r="W165" s="1102"/>
      <c r="X165" s="1096"/>
      <c r="Y165" s="1097"/>
    </row>
    <row r="166" spans="1:25" ht="12.75" customHeight="1" x14ac:dyDescent="0.2">
      <c r="Y166" s="240" t="s">
        <v>570</v>
      </c>
    </row>
    <row r="167" spans="1:25" ht="15.75" customHeight="1" x14ac:dyDescent="0.2">
      <c r="B167" s="1091" t="s">
        <v>851</v>
      </c>
      <c r="C167" s="1091"/>
      <c r="D167" s="1091"/>
      <c r="E167" s="1091"/>
      <c r="F167" s="1091"/>
      <c r="G167" s="1091"/>
      <c r="H167" s="1091"/>
      <c r="I167" s="1091"/>
      <c r="J167" s="1091"/>
      <c r="K167" s="1091"/>
      <c r="L167" s="1091"/>
      <c r="O167" s="1091" t="s">
        <v>522</v>
      </c>
      <c r="P167" s="1091"/>
      <c r="Q167" s="1091"/>
      <c r="R167" s="1091"/>
      <c r="S167" s="1091"/>
      <c r="T167" s="1091"/>
      <c r="U167" s="1091"/>
      <c r="V167" s="1091"/>
      <c r="W167" s="1091"/>
      <c r="X167" s="1091"/>
      <c r="Y167" s="1091"/>
    </row>
    <row r="168" spans="1:25" ht="13.5" customHeight="1" x14ac:dyDescent="0.2">
      <c r="B168" s="1086" t="s">
        <v>1</v>
      </c>
      <c r="C168" s="1087"/>
      <c r="D168" s="1087"/>
      <c r="E168" s="1087"/>
      <c r="F168" s="1087"/>
      <c r="G168" s="1087"/>
      <c r="H168" s="1088"/>
      <c r="I168" s="1086" t="s">
        <v>520</v>
      </c>
      <c r="J168" s="1087"/>
      <c r="K168" s="1087"/>
      <c r="L168" s="1088"/>
      <c r="N168" s="241"/>
      <c r="O168" s="1086" t="s">
        <v>1</v>
      </c>
      <c r="P168" s="1087"/>
      <c r="Q168" s="1087"/>
      <c r="R168" s="1087"/>
      <c r="S168" s="1087"/>
      <c r="T168" s="1087"/>
      <c r="U168" s="1088"/>
      <c r="V168" s="1086" t="s">
        <v>520</v>
      </c>
      <c r="W168" s="1087"/>
      <c r="X168" s="1087"/>
      <c r="Y168" s="1088"/>
    </row>
    <row r="169" spans="1:25" ht="21.75" customHeight="1" x14ac:dyDescent="0.2">
      <c r="B169" s="242"/>
      <c r="C169" s="243"/>
      <c r="D169" s="243"/>
      <c r="E169" s="243"/>
      <c r="F169" s="243"/>
      <c r="G169" s="243"/>
      <c r="H169" s="243"/>
      <c r="I169" s="242"/>
      <c r="J169" s="243"/>
      <c r="K169" s="243"/>
      <c r="L169" s="244"/>
      <c r="N169" s="241"/>
      <c r="O169" s="242"/>
      <c r="P169" s="243"/>
      <c r="Q169" s="243"/>
      <c r="R169" s="243"/>
      <c r="S169" s="243"/>
      <c r="T169" s="243"/>
      <c r="U169" s="243"/>
      <c r="V169" s="242"/>
      <c r="W169" s="243"/>
      <c r="X169" s="243"/>
      <c r="Y169" s="244"/>
    </row>
    <row r="170" spans="1:25" ht="13.5" customHeight="1" x14ac:dyDescent="0.2"/>
    <row r="171" spans="1:25" ht="14.25" customHeight="1" thickBot="1" x14ac:dyDescent="0.25">
      <c r="A171" s="241"/>
      <c r="G171" s="305"/>
      <c r="H171" s="305"/>
      <c r="I171" s="1069" t="s">
        <v>0</v>
      </c>
      <c r="J171" s="1069"/>
      <c r="K171" s="1069"/>
      <c r="L171" s="1069"/>
      <c r="M171" s="1069"/>
      <c r="N171" s="1069"/>
      <c r="O171" s="1069"/>
      <c r="P171" s="1069" t="s">
        <v>374</v>
      </c>
      <c r="Q171" s="1069"/>
      <c r="R171" s="1069"/>
      <c r="S171" s="1069"/>
      <c r="T171" s="1069"/>
      <c r="U171" s="1069" t="s">
        <v>571</v>
      </c>
      <c r="V171" s="1069"/>
      <c r="W171" s="1069"/>
      <c r="X171" s="305"/>
      <c r="Y171" s="305"/>
    </row>
    <row r="172" spans="1:25" ht="20.25" customHeight="1" x14ac:dyDescent="0.2">
      <c r="A172" s="241"/>
      <c r="F172" s="1074" t="s">
        <v>584</v>
      </c>
      <c r="G172" s="1074"/>
      <c r="H172" s="1074"/>
      <c r="I172" s="316"/>
      <c r="J172" s="306"/>
      <c r="K172" s="306"/>
      <c r="L172" s="306"/>
      <c r="M172" s="306"/>
      <c r="N172" s="306"/>
      <c r="O172" s="306"/>
      <c r="P172" s="312"/>
      <c r="Q172" s="306"/>
      <c r="R172" s="307"/>
      <c r="S172" s="304"/>
      <c r="T172" s="313"/>
      <c r="U172" s="310"/>
      <c r="V172" s="1084" t="s">
        <v>495</v>
      </c>
      <c r="W172" s="308"/>
    </row>
    <row r="173" spans="1:25" ht="13.5" thickBot="1" x14ac:dyDescent="0.25">
      <c r="F173" s="1074"/>
      <c r="G173" s="1074"/>
      <c r="H173" s="1074"/>
      <c r="I173" s="303"/>
      <c r="J173" s="235"/>
      <c r="K173" s="235"/>
      <c r="L173" s="235"/>
      <c r="M173" s="235"/>
      <c r="N173" s="235"/>
      <c r="O173" s="235"/>
      <c r="P173" s="314"/>
      <c r="Q173" s="235"/>
      <c r="R173" s="234"/>
      <c r="S173" s="234"/>
      <c r="T173" s="315"/>
      <c r="U173" s="311"/>
      <c r="V173" s="1085"/>
      <c r="W173" s="309"/>
    </row>
    <row r="175" spans="1:25" ht="6.75" customHeight="1" x14ac:dyDescent="0.2"/>
    <row r="176" spans="1:25" s="218" customFormat="1" ht="23.25" customHeight="1" x14ac:dyDescent="0.2">
      <c r="A176" s="1072" t="s">
        <v>546</v>
      </c>
      <c r="B176" s="1073"/>
      <c r="C176" s="499" t="str">
        <f>C147</f>
        <v>D1</v>
      </c>
      <c r="D176" s="1098" t="s">
        <v>628</v>
      </c>
      <c r="E176" s="1072"/>
      <c r="F176" s="1072"/>
      <c r="G176" s="1103">
        <f ca="1">INDIRECT("AD"&amp;V176)</f>
        <v>7</v>
      </c>
      <c r="H176" s="1104"/>
      <c r="J176" s="218" t="str">
        <f>CATEG_IMPORTEE</f>
        <v>Collèges Mixtes Etablissement</v>
      </c>
      <c r="T176" s="500"/>
      <c r="U176" s="520" t="str">
        <f ca="1">INDIRECT("AE"&amp;V176)</f>
        <v>C2-Coll2Ville2</v>
      </c>
      <c r="V176" s="500">
        <f>Y176+2</f>
        <v>9</v>
      </c>
      <c r="W176" s="501" t="str">
        <f ca="1">INDIRECT("AF"&amp;V176)</f>
        <v>C7-Coll7Ville7</v>
      </c>
      <c r="X176" s="502" t="s">
        <v>849</v>
      </c>
      <c r="Y176" s="503">
        <f>Y147+1</f>
        <v>7</v>
      </c>
    </row>
    <row r="177" spans="1:25" ht="27" customHeight="1" thickBot="1" x14ac:dyDescent="0.25">
      <c r="A177" s="1093" t="s">
        <v>0</v>
      </c>
      <c r="B177" s="1093"/>
      <c r="C177" s="1093"/>
      <c r="D177" s="1093"/>
      <c r="E177" s="1093"/>
      <c r="F177" s="1093"/>
      <c r="G177" s="1093"/>
      <c r="H177" s="1093" t="s">
        <v>374</v>
      </c>
      <c r="I177" s="1093"/>
      <c r="J177" s="1093"/>
      <c r="K177" s="1093"/>
      <c r="L177" s="1093"/>
      <c r="O177" s="1069" t="s">
        <v>0</v>
      </c>
      <c r="P177" s="1069"/>
      <c r="Q177" s="1069"/>
      <c r="R177" s="1069"/>
      <c r="S177" s="1069"/>
      <c r="T177" s="1069"/>
      <c r="U177" s="1069"/>
      <c r="V177" s="1069" t="s">
        <v>374</v>
      </c>
      <c r="W177" s="1069"/>
      <c r="X177" s="1069"/>
      <c r="Y177" s="1069"/>
    </row>
    <row r="178" spans="1:25" ht="24" customHeight="1" thickBot="1" x14ac:dyDescent="0.25">
      <c r="A178" s="504" t="str">
        <f ca="1">IFERROR(VLOOKUP(U176,Num_AS,2,FALSE),"")</f>
        <v/>
      </c>
      <c r="B178" s="505"/>
      <c r="C178" s="505"/>
      <c r="D178" s="505"/>
      <c r="E178" s="505"/>
      <c r="F178" s="505"/>
      <c r="G178" s="506"/>
      <c r="H178" s="507" t="str">
        <f ca="1">IFERROR(VLOOKUP(U176,Num_AS,4,FALSE),"")</f>
        <v/>
      </c>
      <c r="I178" s="220"/>
      <c r="J178" s="220"/>
      <c r="K178" s="220"/>
      <c r="L178" s="738"/>
      <c r="M178" s="1070" t="s">
        <v>547</v>
      </c>
      <c r="N178" s="1071"/>
      <c r="O178" s="504" t="str">
        <f ca="1">IFERROR(VLOOKUP(W176,Num_AS,2,FALSE),"")</f>
        <v/>
      </c>
      <c r="P178" s="505"/>
      <c r="Q178" s="505"/>
      <c r="R178" s="505"/>
      <c r="S178" s="505"/>
      <c r="T178" s="505"/>
      <c r="U178" s="506"/>
      <c r="V178" s="507" t="str">
        <f ca="1">IFERROR(VLOOKUP(W176,Num_AS,4,FALSE),"")</f>
        <v/>
      </c>
      <c r="W178" s="220"/>
      <c r="X178" s="220"/>
      <c r="Y178" s="221"/>
    </row>
    <row r="179" spans="1:25" ht="15" customHeight="1" x14ac:dyDescent="0.2">
      <c r="A179" s="736" t="str">
        <f ca="1">IFERROR(VLOOKUP(U176,Num_AS,3,FALSE),"")</f>
        <v/>
      </c>
      <c r="B179" s="736"/>
      <c r="C179" s="736"/>
      <c r="D179" s="736"/>
      <c r="E179" s="736"/>
      <c r="F179" s="736"/>
      <c r="G179" s="736"/>
      <c r="H179" s="737"/>
    </row>
    <row r="180" spans="1:25" ht="20.100000000000001" customHeight="1" x14ac:dyDescent="0.2">
      <c r="A180" s="1074" t="s">
        <v>548</v>
      </c>
      <c r="B180" s="1074"/>
      <c r="C180" s="1074"/>
      <c r="D180" s="1074"/>
      <c r="E180" s="1074"/>
      <c r="Q180" s="217" t="str">
        <f>Q151</f>
        <v>Championnat de France de Tir à l'ARC</v>
      </c>
    </row>
    <row r="181" spans="1:25" ht="20.100000000000001" customHeight="1" x14ac:dyDescent="0.2">
      <c r="A181" s="1075" t="s">
        <v>549</v>
      </c>
      <c r="B181" s="1075"/>
      <c r="C181" s="1075"/>
      <c r="D181" s="1075"/>
      <c r="E181" s="1075"/>
      <c r="G181" s="1076" t="s">
        <v>480</v>
      </c>
      <c r="H181" s="1076"/>
      <c r="I181" s="1077" t="s">
        <v>550</v>
      </c>
      <c r="J181" s="1077"/>
      <c r="K181" s="1077"/>
      <c r="L181" s="252" t="s">
        <v>551</v>
      </c>
      <c r="M181" s="1078" t="s">
        <v>552</v>
      </c>
      <c r="N181" s="1078"/>
      <c r="O181" s="251"/>
      <c r="Q181" s="217" t="str">
        <f>Q152</f>
        <v>L’Isle sur la Sorgue du 27 au 31 mars 2023</v>
      </c>
    </row>
    <row r="182" spans="1:25" ht="24" customHeight="1" x14ac:dyDescent="0.2">
      <c r="A182" s="509" t="str">
        <f ca="1">IFERROR(VLOOKUP(U176,Num_AS,6,FALSE),"")</f>
        <v/>
      </c>
      <c r="B182" s="223"/>
      <c r="C182" s="510" t="str">
        <f ca="1">IFERROR(VLOOKUP(U176,Num_AS,7,FALSE),"")</f>
        <v/>
      </c>
      <c r="D182" s="223"/>
      <c r="E182" s="224"/>
      <c r="F182" s="219"/>
      <c r="G182" s="511" t="str">
        <f ca="1">IFERROR(VLOOKUP(U176,Num_AS,10,FALSE),"")</f>
        <v/>
      </c>
      <c r="H182" s="224"/>
      <c r="I182" s="222"/>
      <c r="J182" s="512" t="str">
        <f ca="1">IFERROR(VLOOKUP(U176,Num_AS,9,FALSE),"")</f>
        <v/>
      </c>
      <c r="K182" s="224"/>
      <c r="L182" s="222" t="str">
        <f ca="1">IFERROR(VLOOKUP(U176,Num_AS,11,FALSE),"")</f>
        <v/>
      </c>
      <c r="M182" s="287">
        <f ca="1">G176</f>
        <v>7</v>
      </c>
      <c r="N182" s="288"/>
      <c r="O182" s="249"/>
      <c r="R182" s="254"/>
      <c r="S182" s="254"/>
      <c r="T182" s="254"/>
      <c r="U182" s="254"/>
      <c r="V182" s="254"/>
      <c r="W182" s="254"/>
      <c r="X182" s="254"/>
      <c r="Y182" s="254"/>
    </row>
    <row r="183" spans="1:25" ht="24" customHeight="1" x14ac:dyDescent="0.2">
      <c r="A183" s="509" t="str">
        <f ca="1">IFERROR(VLOOKUP(U176,Num_AS,12,FALSE),"")</f>
        <v/>
      </c>
      <c r="B183" s="223"/>
      <c r="C183" s="510" t="str">
        <f ca="1">IFERROR(VLOOKUP(U176,Num_AS,13,FALSE),"")</f>
        <v/>
      </c>
      <c r="D183" s="223"/>
      <c r="E183" s="224"/>
      <c r="F183" s="219"/>
      <c r="G183" s="511" t="str">
        <f ca="1">IFERROR(VLOOKUP(U176,Num_AS,16,FALSE),"")</f>
        <v/>
      </c>
      <c r="H183" s="224"/>
      <c r="I183" s="222"/>
      <c r="J183" s="512" t="str">
        <f ca="1">IFERROR(VLOOKUP(U176,Num_AS,15,FALSE),"")</f>
        <v/>
      </c>
      <c r="K183" s="224"/>
      <c r="L183" s="222" t="str">
        <f ca="1">IFERROR(VLOOKUP(U176,Num_AS,17,FALSE),"")</f>
        <v/>
      </c>
      <c r="M183" s="287">
        <f ca="1">G176</f>
        <v>7</v>
      </c>
      <c r="N183" s="288"/>
      <c r="O183" s="249"/>
      <c r="Q183" s="254"/>
      <c r="R183" s="254"/>
      <c r="S183" s="254"/>
      <c r="T183" s="254"/>
      <c r="U183" s="254"/>
      <c r="V183" s="254"/>
      <c r="W183" s="254"/>
      <c r="X183" s="254"/>
      <c r="Y183" s="254"/>
    </row>
    <row r="184" spans="1:25" ht="24" customHeight="1" x14ac:dyDescent="0.2">
      <c r="A184" s="509" t="str">
        <f ca="1">IFERROR(VLOOKUP(U176,Num_AS,18,FALSE),"")</f>
        <v/>
      </c>
      <c r="B184" s="223"/>
      <c r="C184" s="510" t="str">
        <f ca="1">IFERROR(VLOOKUP(U176,Num_AS,19,FALSE),"")</f>
        <v/>
      </c>
      <c r="D184" s="223"/>
      <c r="E184" s="224"/>
      <c r="F184" s="219"/>
      <c r="G184" s="511" t="str">
        <f ca="1">IFERROR(VLOOKUP(U176,Num_AS,22,FALSE),"")</f>
        <v/>
      </c>
      <c r="H184" s="224"/>
      <c r="I184" s="222"/>
      <c r="J184" s="512" t="str">
        <f ca="1">IFERROR(VLOOKUP(U176,Num_AS,21,FALSE),"")</f>
        <v/>
      </c>
      <c r="K184" s="224"/>
      <c r="L184" s="222" t="str">
        <f ca="1">IFERROR(VLOOKUP(U176,Num_AS,23,FALSE),"")</f>
        <v/>
      </c>
      <c r="M184" s="287">
        <f ca="1">G176</f>
        <v>7</v>
      </c>
      <c r="N184" s="288"/>
      <c r="O184" s="249"/>
      <c r="Q184" s="254"/>
      <c r="R184" s="254"/>
      <c r="S184" s="254"/>
      <c r="T184" s="254"/>
      <c r="U184" s="254"/>
      <c r="V184" s="254"/>
      <c r="W184" s="254"/>
      <c r="X184" s="254"/>
      <c r="Y184" s="254"/>
    </row>
    <row r="185" spans="1:25" ht="24" customHeight="1" x14ac:dyDescent="0.2">
      <c r="A185" s="509" t="str">
        <f ca="1">IFERROR(VLOOKUP(U176,Num_AS,24,FALSE),"")</f>
        <v/>
      </c>
      <c r="B185" s="223"/>
      <c r="C185" s="510" t="str">
        <f ca="1">IFERROR(VLOOKUP(U176,Num_AS,25,FALSE),"")</f>
        <v/>
      </c>
      <c r="D185" s="223"/>
      <c r="E185" s="224"/>
      <c r="F185" s="219"/>
      <c r="G185" s="511" t="str">
        <f ca="1">IFERROR(VLOOKUP(U176,Num_AS,28,FALSE),"")</f>
        <v/>
      </c>
      <c r="H185" s="224"/>
      <c r="I185" s="222"/>
      <c r="J185" s="512" t="str">
        <f ca="1">IFERROR(VLOOKUP(U176,Num_AS,27,FALSE),"")</f>
        <v/>
      </c>
      <c r="K185" s="224"/>
      <c r="L185" s="222" t="str">
        <f ca="1">IFERROR(VLOOKUP(U176,Num_AS,29,FALSE),"")</f>
        <v/>
      </c>
      <c r="M185" s="289">
        <f ca="1">G176</f>
        <v>7</v>
      </c>
      <c r="N185" s="290"/>
      <c r="O185" s="249"/>
    </row>
    <row r="186" spans="1:25" ht="15" customHeight="1" thickBot="1" x14ac:dyDescent="0.25"/>
    <row r="187" spans="1:25" ht="20.100000000000001" customHeight="1" x14ac:dyDescent="0.2">
      <c r="F187" s="1081" t="s">
        <v>555</v>
      </c>
      <c r="G187" s="1082"/>
      <c r="H187" s="1082"/>
      <c r="I187" s="1082"/>
      <c r="J187" s="1083"/>
      <c r="K187" s="1081" t="s">
        <v>556</v>
      </c>
      <c r="L187" s="1082"/>
      <c r="M187" s="1082"/>
      <c r="N187" s="1082"/>
      <c r="O187" s="1083"/>
      <c r="P187" s="1081" t="s">
        <v>557</v>
      </c>
      <c r="Q187" s="1082"/>
      <c r="R187" s="1082"/>
      <c r="S187" s="1082"/>
      <c r="T187" s="1083"/>
      <c r="U187" s="1081" t="s">
        <v>558</v>
      </c>
      <c r="V187" s="1082"/>
      <c r="W187" s="1082"/>
      <c r="X187" s="1082"/>
      <c r="Y187" s="1083"/>
    </row>
    <row r="188" spans="1:25" ht="20.100000000000001" customHeight="1" x14ac:dyDescent="0.2">
      <c r="A188" s="1075" t="s">
        <v>559</v>
      </c>
      <c r="B188" s="1075"/>
      <c r="C188" s="1075"/>
      <c r="D188" s="1075"/>
      <c r="E188" s="1089"/>
      <c r="F188" s="1090" t="s">
        <v>560</v>
      </c>
      <c r="G188" s="1075"/>
      <c r="H188" s="1075"/>
      <c r="J188" s="225" t="s">
        <v>7</v>
      </c>
      <c r="K188" s="1090" t="s">
        <v>560</v>
      </c>
      <c r="L188" s="1075"/>
      <c r="M188" s="1075"/>
      <c r="O188" s="225" t="s">
        <v>7</v>
      </c>
      <c r="P188" s="1090" t="s">
        <v>560</v>
      </c>
      <c r="Q188" s="1075"/>
      <c r="R188" s="1075"/>
      <c r="T188" s="225" t="s">
        <v>7</v>
      </c>
      <c r="U188" s="1090" t="s">
        <v>560</v>
      </c>
      <c r="V188" s="1075"/>
      <c r="W188" s="1075"/>
      <c r="Y188" s="225" t="s">
        <v>7</v>
      </c>
    </row>
    <row r="189" spans="1:25" ht="24" customHeight="1" x14ac:dyDescent="0.2">
      <c r="A189" s="513" t="str">
        <f ca="1">A182</f>
        <v/>
      </c>
      <c r="B189" s="227"/>
      <c r="C189" s="514" t="str">
        <f ca="1">C182</f>
        <v/>
      </c>
      <c r="D189" s="227"/>
      <c r="E189" s="227"/>
      <c r="F189" s="228"/>
      <c r="G189" s="229"/>
      <c r="H189" s="229"/>
      <c r="I189" s="230" t="s">
        <v>561</v>
      </c>
      <c r="J189" s="231"/>
      <c r="K189" s="228"/>
      <c r="L189" s="229"/>
      <c r="M189" s="229"/>
      <c r="N189" s="230" t="s">
        <v>561</v>
      </c>
      <c r="O189" s="231"/>
      <c r="P189" s="228"/>
      <c r="Q189" s="229"/>
      <c r="R189" s="229"/>
      <c r="S189" s="230" t="s">
        <v>561</v>
      </c>
      <c r="T189" s="231"/>
      <c r="U189" s="228"/>
      <c r="V189" s="229"/>
      <c r="W189" s="229"/>
      <c r="X189" s="230" t="s">
        <v>561</v>
      </c>
      <c r="Y189" s="231"/>
    </row>
    <row r="190" spans="1:25" ht="24" customHeight="1" x14ac:dyDescent="0.2">
      <c r="A190" s="513" t="str">
        <f ca="1">A183</f>
        <v/>
      </c>
      <c r="B190" s="227"/>
      <c r="C190" s="514" t="str">
        <f ca="1">C183</f>
        <v/>
      </c>
      <c r="D190" s="227"/>
      <c r="E190" s="227"/>
      <c r="F190" s="228"/>
      <c r="G190" s="229"/>
      <c r="H190" s="229"/>
      <c r="I190" s="230" t="s">
        <v>561</v>
      </c>
      <c r="J190" s="231"/>
      <c r="K190" s="228"/>
      <c r="L190" s="229"/>
      <c r="M190" s="229"/>
      <c r="N190" s="230" t="s">
        <v>561</v>
      </c>
      <c r="O190" s="231"/>
      <c r="P190" s="228"/>
      <c r="Q190" s="229"/>
      <c r="R190" s="229"/>
      <c r="S190" s="230" t="s">
        <v>561</v>
      </c>
      <c r="T190" s="231"/>
      <c r="U190" s="228"/>
      <c r="V190" s="229"/>
      <c r="W190" s="229"/>
      <c r="X190" s="230" t="s">
        <v>561</v>
      </c>
      <c r="Y190" s="231"/>
    </row>
    <row r="191" spans="1:25" ht="24" customHeight="1" x14ac:dyDescent="0.2">
      <c r="A191" s="513" t="str">
        <f ca="1">A184</f>
        <v/>
      </c>
      <c r="B191" s="227"/>
      <c r="C191" s="514" t="str">
        <f ca="1">C184</f>
        <v/>
      </c>
      <c r="D191" s="227"/>
      <c r="E191" s="227"/>
      <c r="F191" s="228"/>
      <c r="G191" s="229"/>
      <c r="H191" s="229"/>
      <c r="I191" s="230" t="s">
        <v>561</v>
      </c>
      <c r="J191" s="231"/>
      <c r="K191" s="228"/>
      <c r="L191" s="229"/>
      <c r="M191" s="229"/>
      <c r="N191" s="230" t="s">
        <v>561</v>
      </c>
      <c r="O191" s="231"/>
      <c r="P191" s="228"/>
      <c r="Q191" s="229"/>
      <c r="R191" s="229"/>
      <c r="S191" s="230" t="s">
        <v>561</v>
      </c>
      <c r="T191" s="231"/>
      <c r="U191" s="228"/>
      <c r="V191" s="229"/>
      <c r="W191" s="229"/>
      <c r="X191" s="230" t="s">
        <v>561</v>
      </c>
      <c r="Y191" s="231"/>
    </row>
    <row r="192" spans="1:25" ht="24" customHeight="1" x14ac:dyDescent="0.2">
      <c r="A192" s="513" t="str">
        <f ca="1">A185</f>
        <v/>
      </c>
      <c r="B192" s="227"/>
      <c r="C192" s="514" t="str">
        <f ca="1">C185</f>
        <v/>
      </c>
      <c r="D192" s="227"/>
      <c r="E192" s="227"/>
      <c r="F192" s="228"/>
      <c r="G192" s="229"/>
      <c r="H192" s="229"/>
      <c r="I192" s="230" t="s">
        <v>561</v>
      </c>
      <c r="J192" s="232"/>
      <c r="K192" s="228"/>
      <c r="L192" s="229"/>
      <c r="M192" s="229"/>
      <c r="N192" s="230" t="s">
        <v>561</v>
      </c>
      <c r="O192" s="232"/>
      <c r="P192" s="228"/>
      <c r="Q192" s="229"/>
      <c r="R192" s="229"/>
      <c r="S192" s="230" t="s">
        <v>561</v>
      </c>
      <c r="T192" s="232"/>
      <c r="U192" s="228"/>
      <c r="V192" s="229"/>
      <c r="W192" s="229"/>
      <c r="X192" s="230" t="s">
        <v>561</v>
      </c>
      <c r="Y192" s="232"/>
    </row>
    <row r="193" spans="1:25" ht="24" customHeight="1" thickBot="1" x14ac:dyDescent="0.25">
      <c r="F193" s="1079" t="s">
        <v>562</v>
      </c>
      <c r="G193" s="1080"/>
      <c r="H193" s="1080"/>
      <c r="I193" s="230" t="s">
        <v>561</v>
      </c>
      <c r="J193" s="231"/>
      <c r="K193" s="1079" t="s">
        <v>563</v>
      </c>
      <c r="L193" s="1080"/>
      <c r="M193" s="1080"/>
      <c r="N193" s="230" t="s">
        <v>561</v>
      </c>
      <c r="O193" s="232"/>
      <c r="P193" s="1079" t="s">
        <v>564</v>
      </c>
      <c r="Q193" s="1080"/>
      <c r="R193" s="1080"/>
      <c r="S193" s="230" t="s">
        <v>561</v>
      </c>
      <c r="T193" s="232"/>
      <c r="U193" s="1079" t="s">
        <v>565</v>
      </c>
      <c r="V193" s="1080"/>
      <c r="W193" s="1080"/>
      <c r="X193" s="230" t="s">
        <v>561</v>
      </c>
      <c r="Y193" s="232"/>
    </row>
    <row r="194" spans="1:25" ht="24" customHeight="1" thickBot="1" x14ac:dyDescent="0.25">
      <c r="A194" s="508" t="s">
        <v>1013</v>
      </c>
      <c r="B194" s="508"/>
      <c r="D194" s="1094">
        <f ca="1">VLOOKUP(A178&amp;A179,PTS_SP,2,FALSE)</f>
        <v>0</v>
      </c>
      <c r="E194" s="1095"/>
      <c r="F194" s="745" t="s">
        <v>1014</v>
      </c>
      <c r="G194" s="670"/>
      <c r="H194" s="744"/>
      <c r="I194" s="1096"/>
      <c r="J194" s="1097"/>
      <c r="K194" s="1100" t="s">
        <v>1015</v>
      </c>
      <c r="L194" s="1101"/>
      <c r="M194" s="1102"/>
      <c r="N194" s="1096"/>
      <c r="O194" s="1097"/>
      <c r="P194" s="1100" t="s">
        <v>1016</v>
      </c>
      <c r="Q194" s="1101"/>
      <c r="R194" s="1102"/>
      <c r="S194" s="1096"/>
      <c r="T194" s="1097"/>
      <c r="U194" s="1100" t="s">
        <v>1017</v>
      </c>
      <c r="V194" s="1101"/>
      <c r="W194" s="1102"/>
      <c r="X194" s="1096"/>
      <c r="Y194" s="1097"/>
    </row>
    <row r="195" spans="1:25" ht="12.75" customHeight="1" x14ac:dyDescent="0.2">
      <c r="Y195" s="240" t="s">
        <v>570</v>
      </c>
    </row>
    <row r="196" spans="1:25" ht="15.75" customHeight="1" x14ac:dyDescent="0.2">
      <c r="B196" s="1091" t="s">
        <v>851</v>
      </c>
      <c r="C196" s="1091"/>
      <c r="D196" s="1091"/>
      <c r="E196" s="1091"/>
      <c r="F196" s="1091"/>
      <c r="G196" s="1091"/>
      <c r="H196" s="1091"/>
      <c r="I196" s="1091"/>
      <c r="J196" s="1091"/>
      <c r="K196" s="1091"/>
      <c r="L196" s="1091"/>
      <c r="O196" s="1091" t="s">
        <v>522</v>
      </c>
      <c r="P196" s="1091"/>
      <c r="Q196" s="1091"/>
      <c r="R196" s="1091"/>
      <c r="S196" s="1091"/>
      <c r="T196" s="1091"/>
      <c r="U196" s="1091"/>
      <c r="V196" s="1091"/>
      <c r="W196" s="1091"/>
      <c r="X196" s="1091"/>
      <c r="Y196" s="1091"/>
    </row>
    <row r="197" spans="1:25" ht="13.5" customHeight="1" x14ac:dyDescent="0.2">
      <c r="B197" s="1086" t="s">
        <v>1</v>
      </c>
      <c r="C197" s="1087"/>
      <c r="D197" s="1087"/>
      <c r="E197" s="1087"/>
      <c r="F197" s="1087"/>
      <c r="G197" s="1087"/>
      <c r="H197" s="1088"/>
      <c r="I197" s="1086" t="s">
        <v>520</v>
      </c>
      <c r="J197" s="1087"/>
      <c r="K197" s="1087"/>
      <c r="L197" s="1088"/>
      <c r="N197" s="241"/>
      <c r="O197" s="1086" t="s">
        <v>1</v>
      </c>
      <c r="P197" s="1087"/>
      <c r="Q197" s="1087"/>
      <c r="R197" s="1087"/>
      <c r="S197" s="1087"/>
      <c r="T197" s="1087"/>
      <c r="U197" s="1088"/>
      <c r="V197" s="1086" t="s">
        <v>520</v>
      </c>
      <c r="W197" s="1087"/>
      <c r="X197" s="1087"/>
      <c r="Y197" s="1088"/>
    </row>
    <row r="198" spans="1:25" ht="21.75" customHeight="1" x14ac:dyDescent="0.2">
      <c r="B198" s="242"/>
      <c r="C198" s="243"/>
      <c r="D198" s="243"/>
      <c r="E198" s="243"/>
      <c r="F198" s="243"/>
      <c r="G198" s="243"/>
      <c r="H198" s="243"/>
      <c r="I198" s="242"/>
      <c r="J198" s="243"/>
      <c r="K198" s="243"/>
      <c r="L198" s="244"/>
      <c r="N198" s="241"/>
      <c r="O198" s="242"/>
      <c r="P198" s="243"/>
      <c r="Q198" s="243"/>
      <c r="R198" s="243"/>
      <c r="S198" s="243"/>
      <c r="T198" s="243"/>
      <c r="U198" s="243"/>
      <c r="V198" s="242"/>
      <c r="W198" s="243"/>
      <c r="X198" s="243"/>
      <c r="Y198" s="244"/>
    </row>
    <row r="199" spans="1:25" ht="13.5" customHeight="1" x14ac:dyDescent="0.2"/>
    <row r="200" spans="1:25" ht="14.25" customHeight="1" thickBot="1" x14ac:dyDescent="0.25">
      <c r="A200" s="241"/>
      <c r="G200" s="305"/>
      <c r="H200" s="305"/>
      <c r="I200" s="1069" t="s">
        <v>0</v>
      </c>
      <c r="J200" s="1069"/>
      <c r="K200" s="1069"/>
      <c r="L200" s="1069"/>
      <c r="M200" s="1069"/>
      <c r="N200" s="1069"/>
      <c r="O200" s="1069"/>
      <c r="P200" s="1069" t="s">
        <v>374</v>
      </c>
      <c r="Q200" s="1069"/>
      <c r="R200" s="1069"/>
      <c r="S200" s="1069"/>
      <c r="T200" s="1069"/>
      <c r="U200" s="1069" t="s">
        <v>571</v>
      </c>
      <c r="V200" s="1069"/>
      <c r="W200" s="1069"/>
      <c r="X200" s="305"/>
      <c r="Y200" s="305"/>
    </row>
    <row r="201" spans="1:25" ht="20.25" customHeight="1" x14ac:dyDescent="0.2">
      <c r="A201" s="241"/>
      <c r="F201" s="1074" t="s">
        <v>584</v>
      </c>
      <c r="G201" s="1074"/>
      <c r="H201" s="1074"/>
      <c r="I201" s="316"/>
      <c r="J201" s="306"/>
      <c r="K201" s="306"/>
      <c r="L201" s="306"/>
      <c r="M201" s="306"/>
      <c r="N201" s="306"/>
      <c r="O201" s="306"/>
      <c r="P201" s="312"/>
      <c r="Q201" s="306"/>
      <c r="R201" s="307"/>
      <c r="S201" s="304"/>
      <c r="T201" s="313"/>
      <c r="U201" s="310"/>
      <c r="V201" s="1084" t="s">
        <v>495</v>
      </c>
      <c r="W201" s="308"/>
    </row>
    <row r="202" spans="1:25" ht="13.5" thickBot="1" x14ac:dyDescent="0.25">
      <c r="F202" s="1074"/>
      <c r="G202" s="1074"/>
      <c r="H202" s="1074"/>
      <c r="I202" s="303"/>
      <c r="J202" s="235"/>
      <c r="K202" s="235"/>
      <c r="L202" s="235"/>
      <c r="M202" s="235"/>
      <c r="N202" s="235"/>
      <c r="O202" s="235"/>
      <c r="P202" s="314"/>
      <c r="Q202" s="235"/>
      <c r="R202" s="234"/>
      <c r="S202" s="234"/>
      <c r="T202" s="315"/>
      <c r="U202" s="311"/>
      <c r="V202" s="1085"/>
      <c r="W202" s="309"/>
    </row>
    <row r="204" spans="1:25" ht="6.75" customHeight="1" x14ac:dyDescent="0.2"/>
    <row r="205" spans="1:25" s="218" customFormat="1" ht="23.25" customHeight="1" x14ac:dyDescent="0.2">
      <c r="A205" s="1072" t="s">
        <v>546</v>
      </c>
      <c r="B205" s="1073"/>
      <c r="C205" s="499" t="str">
        <f>C176</f>
        <v>D1</v>
      </c>
      <c r="D205" s="1098" t="s">
        <v>628</v>
      </c>
      <c r="E205" s="1072"/>
      <c r="F205" s="1072"/>
      <c r="G205" s="1103">
        <f ca="1">INDIRECT("AD"&amp;V205)</f>
        <v>8</v>
      </c>
      <c r="H205" s="1104"/>
      <c r="J205" s="218" t="str">
        <f>CATEG_IMPORTEE</f>
        <v>Collèges Mixtes Etablissement</v>
      </c>
      <c r="T205" s="500"/>
      <c r="U205" s="501" t="str">
        <f ca="1">INDIRECT("AE"&amp;V205)</f>
        <v>C7-Coll7Ville7</v>
      </c>
      <c r="V205" s="500">
        <f>Y205+2</f>
        <v>10</v>
      </c>
      <c r="W205" s="501" t="str">
        <f ca="1">INDIRECT("AF"&amp;V205)</f>
        <v>C2-Coll2Ville2</v>
      </c>
      <c r="X205" s="502" t="s">
        <v>849</v>
      </c>
      <c r="Y205" s="503">
        <f>Y176+1</f>
        <v>8</v>
      </c>
    </row>
    <row r="206" spans="1:25" ht="27" customHeight="1" thickBot="1" x14ac:dyDescent="0.25">
      <c r="A206" s="1093" t="s">
        <v>0</v>
      </c>
      <c r="B206" s="1093"/>
      <c r="C206" s="1093"/>
      <c r="D206" s="1093"/>
      <c r="E206" s="1093"/>
      <c r="F206" s="1093"/>
      <c r="G206" s="1093"/>
      <c r="H206" s="1093" t="s">
        <v>374</v>
      </c>
      <c r="I206" s="1093"/>
      <c r="J206" s="1093"/>
      <c r="K206" s="1093"/>
      <c r="L206" s="1093"/>
      <c r="O206" s="1069" t="s">
        <v>0</v>
      </c>
      <c r="P206" s="1069"/>
      <c r="Q206" s="1069"/>
      <c r="R206" s="1069"/>
      <c r="S206" s="1069"/>
      <c r="T206" s="1069"/>
      <c r="U206" s="1069"/>
      <c r="V206" s="1069" t="s">
        <v>374</v>
      </c>
      <c r="W206" s="1069"/>
      <c r="X206" s="1069"/>
      <c r="Y206" s="1069"/>
    </row>
    <row r="207" spans="1:25" ht="24" customHeight="1" thickBot="1" x14ac:dyDescent="0.25">
      <c r="A207" s="504" t="str">
        <f ca="1">IFERROR(VLOOKUP(U205,Num_AS,2,FALSE),"")</f>
        <v/>
      </c>
      <c r="B207" s="505"/>
      <c r="C207" s="505"/>
      <c r="D207" s="505"/>
      <c r="E207" s="505"/>
      <c r="F207" s="505"/>
      <c r="G207" s="506"/>
      <c r="H207" s="507" t="str">
        <f ca="1">IFERROR(VLOOKUP(U205,Num_AS,4,FALSE),"")</f>
        <v/>
      </c>
      <c r="I207" s="220"/>
      <c r="J207" s="220"/>
      <c r="K207" s="220"/>
      <c r="L207" s="738"/>
      <c r="M207" s="1070" t="s">
        <v>547</v>
      </c>
      <c r="N207" s="1071"/>
      <c r="O207" s="504" t="str">
        <f ca="1">IFERROR(VLOOKUP(W205,Num_AS,2,FALSE),"")</f>
        <v/>
      </c>
      <c r="P207" s="505"/>
      <c r="Q207" s="505"/>
      <c r="R207" s="505"/>
      <c r="S207" s="505"/>
      <c r="T207" s="505"/>
      <c r="U207" s="506"/>
      <c r="V207" s="507" t="str">
        <f ca="1">IFERROR(VLOOKUP(W205,Num_AS,4,FALSE),"")</f>
        <v/>
      </c>
      <c r="W207" s="220"/>
      <c r="X207" s="220"/>
      <c r="Y207" s="221"/>
    </row>
    <row r="208" spans="1:25" ht="15" customHeight="1" x14ac:dyDescent="0.2">
      <c r="A208" s="736" t="str">
        <f ca="1">IFERROR(VLOOKUP(U205,Num_AS,3,FALSE),"")</f>
        <v/>
      </c>
      <c r="B208" s="736"/>
      <c r="C208" s="736"/>
      <c r="D208" s="736"/>
      <c r="E208" s="736"/>
      <c r="F208" s="736"/>
      <c r="G208" s="736"/>
      <c r="H208" s="737"/>
    </row>
    <row r="209" spans="1:25" ht="20.100000000000001" customHeight="1" x14ac:dyDescent="0.2">
      <c r="A209" s="1074" t="s">
        <v>548</v>
      </c>
      <c r="B209" s="1074"/>
      <c r="C209" s="1074"/>
      <c r="D209" s="1074"/>
      <c r="E209" s="1074"/>
      <c r="Q209" s="217" t="str">
        <f>Q180</f>
        <v>Championnat de France de Tir à l'ARC</v>
      </c>
    </row>
    <row r="210" spans="1:25" ht="20.100000000000001" customHeight="1" x14ac:dyDescent="0.2">
      <c r="A210" s="1075" t="s">
        <v>549</v>
      </c>
      <c r="B210" s="1075"/>
      <c r="C210" s="1075"/>
      <c r="D210" s="1075"/>
      <c r="E210" s="1075"/>
      <c r="G210" s="1076" t="s">
        <v>480</v>
      </c>
      <c r="H210" s="1076"/>
      <c r="I210" s="1077" t="s">
        <v>550</v>
      </c>
      <c r="J210" s="1077"/>
      <c r="K210" s="1077"/>
      <c r="L210" s="252" t="s">
        <v>551</v>
      </c>
      <c r="M210" s="1078" t="s">
        <v>552</v>
      </c>
      <c r="N210" s="1078"/>
      <c r="O210" s="251"/>
      <c r="Q210" s="217" t="str">
        <f>Q181</f>
        <v>L’Isle sur la Sorgue du 27 au 31 mars 2023</v>
      </c>
    </row>
    <row r="211" spans="1:25" ht="24" customHeight="1" x14ac:dyDescent="0.2">
      <c r="A211" s="509" t="str">
        <f ca="1">IFERROR(VLOOKUP(U205,Num_AS,6,FALSE),"")</f>
        <v/>
      </c>
      <c r="B211" s="223"/>
      <c r="C211" s="510" t="str">
        <f ca="1">IFERROR(VLOOKUP(U205,Num_AS,7,FALSE),"")</f>
        <v/>
      </c>
      <c r="D211" s="223"/>
      <c r="E211" s="224"/>
      <c r="F211" s="219"/>
      <c r="G211" s="511" t="str">
        <f ca="1">IFERROR(VLOOKUP(U205,Num_AS,10,FALSE),"")</f>
        <v/>
      </c>
      <c r="H211" s="224"/>
      <c r="I211" s="222"/>
      <c r="J211" s="512" t="str">
        <f ca="1">IFERROR(VLOOKUP(U205,Num_AS,9,FALSE),"")</f>
        <v/>
      </c>
      <c r="K211" s="224"/>
      <c r="L211" s="222" t="str">
        <f ca="1">IFERROR(VLOOKUP(U205,Num_AS,11,FALSE),"")</f>
        <v/>
      </c>
      <c r="M211" s="287">
        <f ca="1">G205</f>
        <v>8</v>
      </c>
      <c r="N211" s="288"/>
      <c r="O211" s="249"/>
      <c r="R211" s="254"/>
      <c r="S211" s="254"/>
      <c r="T211" s="254"/>
      <c r="U211" s="254"/>
      <c r="V211" s="254"/>
      <c r="W211" s="254"/>
      <c r="X211" s="254"/>
      <c r="Y211" s="254"/>
    </row>
    <row r="212" spans="1:25" ht="24" customHeight="1" x14ac:dyDescent="0.2">
      <c r="A212" s="509" t="str">
        <f ca="1">IFERROR(VLOOKUP(U205,Num_AS,12,FALSE),"")</f>
        <v/>
      </c>
      <c r="B212" s="223"/>
      <c r="C212" s="510" t="str">
        <f ca="1">IFERROR(VLOOKUP(U205,Num_AS,13,FALSE),"")</f>
        <v/>
      </c>
      <c r="D212" s="223"/>
      <c r="E212" s="224"/>
      <c r="F212" s="219"/>
      <c r="G212" s="511" t="str">
        <f ca="1">IFERROR(VLOOKUP(U205,Num_AS,16,FALSE),"")</f>
        <v/>
      </c>
      <c r="H212" s="224"/>
      <c r="I212" s="222"/>
      <c r="J212" s="512" t="str">
        <f ca="1">IFERROR(VLOOKUP(U205,Num_AS,15,FALSE),"")</f>
        <v/>
      </c>
      <c r="K212" s="224"/>
      <c r="L212" s="222" t="str">
        <f ca="1">IFERROR(VLOOKUP(U205,Num_AS,17,FALSE),"")</f>
        <v/>
      </c>
      <c r="M212" s="287">
        <f ca="1">G205</f>
        <v>8</v>
      </c>
      <c r="N212" s="288"/>
      <c r="O212" s="249"/>
      <c r="Q212" s="254"/>
      <c r="R212" s="254"/>
      <c r="S212" s="254"/>
      <c r="T212" s="254"/>
      <c r="U212" s="254"/>
      <c r="V212" s="254"/>
      <c r="W212" s="254"/>
      <c r="X212" s="254"/>
      <c r="Y212" s="254"/>
    </row>
    <row r="213" spans="1:25" ht="24" customHeight="1" x14ac:dyDescent="0.2">
      <c r="A213" s="509" t="str">
        <f ca="1">IFERROR(VLOOKUP(U205,Num_AS,18,FALSE),"")</f>
        <v/>
      </c>
      <c r="B213" s="223"/>
      <c r="C213" s="510" t="str">
        <f ca="1">IFERROR(VLOOKUP(U205,Num_AS,19,FALSE),"")</f>
        <v/>
      </c>
      <c r="D213" s="223"/>
      <c r="E213" s="224"/>
      <c r="F213" s="219"/>
      <c r="G213" s="511" t="str">
        <f ca="1">IFERROR(VLOOKUP(U205,Num_AS,22,FALSE),"")</f>
        <v/>
      </c>
      <c r="H213" s="224"/>
      <c r="I213" s="222"/>
      <c r="J213" s="512" t="str">
        <f ca="1">IFERROR(VLOOKUP(U205,Num_AS,21,FALSE),"")</f>
        <v/>
      </c>
      <c r="K213" s="224"/>
      <c r="L213" s="222" t="str">
        <f ca="1">IFERROR(VLOOKUP(U205,Num_AS,23,FALSE),"")</f>
        <v/>
      </c>
      <c r="M213" s="287">
        <f ca="1">G205</f>
        <v>8</v>
      </c>
      <c r="N213" s="288"/>
      <c r="O213" s="249"/>
      <c r="Q213" s="254"/>
      <c r="R213" s="254"/>
      <c r="S213" s="254"/>
      <c r="T213" s="254"/>
      <c r="U213" s="254"/>
      <c r="V213" s="254"/>
      <c r="W213" s="254"/>
      <c r="X213" s="254"/>
      <c r="Y213" s="254"/>
    </row>
    <row r="214" spans="1:25" ht="24" customHeight="1" x14ac:dyDescent="0.2">
      <c r="A214" s="509" t="str">
        <f ca="1">IFERROR(VLOOKUP(U205,Num_AS,24,FALSE),"")</f>
        <v/>
      </c>
      <c r="B214" s="223"/>
      <c r="C214" s="510" t="str">
        <f ca="1">IFERROR(VLOOKUP(U205,Num_AS,25,FALSE),"")</f>
        <v/>
      </c>
      <c r="D214" s="223"/>
      <c r="E214" s="224"/>
      <c r="F214" s="219"/>
      <c r="G214" s="511" t="str">
        <f ca="1">IFERROR(VLOOKUP(U205,Num_AS,28,FALSE),"")</f>
        <v/>
      </c>
      <c r="H214" s="224"/>
      <c r="I214" s="222"/>
      <c r="J214" s="512" t="str">
        <f ca="1">IFERROR(VLOOKUP(U205,Num_AS,27,FALSE),"")</f>
        <v/>
      </c>
      <c r="K214" s="224"/>
      <c r="L214" s="222" t="str">
        <f ca="1">IFERROR(VLOOKUP(U205,Num_AS,29,FALSE),"")</f>
        <v/>
      </c>
      <c r="M214" s="289">
        <f ca="1">G205</f>
        <v>8</v>
      </c>
      <c r="N214" s="290"/>
      <c r="O214" s="249"/>
    </row>
    <row r="215" spans="1:25" ht="15" customHeight="1" thickBot="1" x14ac:dyDescent="0.25"/>
    <row r="216" spans="1:25" ht="20.100000000000001" customHeight="1" x14ac:dyDescent="0.2">
      <c r="F216" s="1081" t="s">
        <v>555</v>
      </c>
      <c r="G216" s="1082"/>
      <c r="H216" s="1082"/>
      <c r="I216" s="1082"/>
      <c r="J216" s="1083"/>
      <c r="K216" s="1081" t="s">
        <v>556</v>
      </c>
      <c r="L216" s="1082"/>
      <c r="M216" s="1082"/>
      <c r="N216" s="1082"/>
      <c r="O216" s="1083"/>
      <c r="P216" s="1081" t="s">
        <v>557</v>
      </c>
      <c r="Q216" s="1082"/>
      <c r="R216" s="1082"/>
      <c r="S216" s="1082"/>
      <c r="T216" s="1083"/>
      <c r="U216" s="1081" t="s">
        <v>558</v>
      </c>
      <c r="V216" s="1082"/>
      <c r="W216" s="1082"/>
      <c r="X216" s="1082"/>
      <c r="Y216" s="1083"/>
    </row>
    <row r="217" spans="1:25" ht="20.100000000000001" customHeight="1" x14ac:dyDescent="0.2">
      <c r="A217" s="1075" t="s">
        <v>559</v>
      </c>
      <c r="B217" s="1075"/>
      <c r="C217" s="1075"/>
      <c r="D217" s="1075"/>
      <c r="E217" s="1089"/>
      <c r="F217" s="1090" t="s">
        <v>560</v>
      </c>
      <c r="G217" s="1075"/>
      <c r="H217" s="1075"/>
      <c r="J217" s="225" t="s">
        <v>7</v>
      </c>
      <c r="K217" s="1090" t="s">
        <v>560</v>
      </c>
      <c r="L217" s="1075"/>
      <c r="M217" s="1075"/>
      <c r="O217" s="225" t="s">
        <v>7</v>
      </c>
      <c r="P217" s="1090" t="s">
        <v>560</v>
      </c>
      <c r="Q217" s="1075"/>
      <c r="R217" s="1075"/>
      <c r="T217" s="225" t="s">
        <v>7</v>
      </c>
      <c r="U217" s="1090" t="s">
        <v>560</v>
      </c>
      <c r="V217" s="1075"/>
      <c r="W217" s="1075"/>
      <c r="Y217" s="225" t="s">
        <v>7</v>
      </c>
    </row>
    <row r="218" spans="1:25" ht="24" customHeight="1" x14ac:dyDescent="0.2">
      <c r="A218" s="513" t="str">
        <f ca="1">A211</f>
        <v/>
      </c>
      <c r="B218" s="227"/>
      <c r="C218" s="514" t="str">
        <f ca="1">C211</f>
        <v/>
      </c>
      <c r="D218" s="227"/>
      <c r="E218" s="227"/>
      <c r="F218" s="228"/>
      <c r="G218" s="229"/>
      <c r="H218" s="229"/>
      <c r="I218" s="230" t="s">
        <v>561</v>
      </c>
      <c r="J218" s="231"/>
      <c r="K218" s="228"/>
      <c r="L218" s="229"/>
      <c r="M218" s="229"/>
      <c r="N218" s="230" t="s">
        <v>561</v>
      </c>
      <c r="O218" s="231"/>
      <c r="P218" s="228"/>
      <c r="Q218" s="229"/>
      <c r="R218" s="229"/>
      <c r="S218" s="230" t="s">
        <v>561</v>
      </c>
      <c r="T218" s="231"/>
      <c r="U218" s="228"/>
      <c r="V218" s="229"/>
      <c r="W218" s="229"/>
      <c r="X218" s="230" t="s">
        <v>561</v>
      </c>
      <c r="Y218" s="231"/>
    </row>
    <row r="219" spans="1:25" ht="24" customHeight="1" x14ac:dyDescent="0.2">
      <c r="A219" s="513" t="str">
        <f ca="1">A212</f>
        <v/>
      </c>
      <c r="B219" s="227"/>
      <c r="C219" s="514" t="str">
        <f ca="1">C212</f>
        <v/>
      </c>
      <c r="D219" s="227"/>
      <c r="E219" s="227"/>
      <c r="F219" s="228"/>
      <c r="G219" s="229"/>
      <c r="H219" s="229"/>
      <c r="I219" s="230" t="s">
        <v>561</v>
      </c>
      <c r="J219" s="231"/>
      <c r="K219" s="228"/>
      <c r="L219" s="229"/>
      <c r="M219" s="229"/>
      <c r="N219" s="230" t="s">
        <v>561</v>
      </c>
      <c r="O219" s="231"/>
      <c r="P219" s="228"/>
      <c r="Q219" s="229"/>
      <c r="R219" s="229"/>
      <c r="S219" s="230" t="s">
        <v>561</v>
      </c>
      <c r="T219" s="231"/>
      <c r="U219" s="228"/>
      <c r="V219" s="229"/>
      <c r="W219" s="229"/>
      <c r="X219" s="230" t="s">
        <v>561</v>
      </c>
      <c r="Y219" s="231"/>
    </row>
    <row r="220" spans="1:25" ht="24" customHeight="1" x14ac:dyDescent="0.2">
      <c r="A220" s="513" t="str">
        <f ca="1">A213</f>
        <v/>
      </c>
      <c r="B220" s="227"/>
      <c r="C220" s="514" t="str">
        <f ca="1">C213</f>
        <v/>
      </c>
      <c r="D220" s="227"/>
      <c r="E220" s="227"/>
      <c r="F220" s="228"/>
      <c r="G220" s="229"/>
      <c r="H220" s="229"/>
      <c r="I220" s="230" t="s">
        <v>561</v>
      </c>
      <c r="J220" s="231"/>
      <c r="K220" s="228"/>
      <c r="L220" s="229"/>
      <c r="M220" s="229"/>
      <c r="N220" s="230" t="s">
        <v>561</v>
      </c>
      <c r="O220" s="231"/>
      <c r="P220" s="228"/>
      <c r="Q220" s="229"/>
      <c r="R220" s="229"/>
      <c r="S220" s="230" t="s">
        <v>561</v>
      </c>
      <c r="T220" s="231"/>
      <c r="U220" s="228"/>
      <c r="V220" s="229"/>
      <c r="W220" s="229"/>
      <c r="X220" s="230" t="s">
        <v>561</v>
      </c>
      <c r="Y220" s="231"/>
    </row>
    <row r="221" spans="1:25" ht="24" customHeight="1" x14ac:dyDescent="0.2">
      <c r="A221" s="513" t="str">
        <f ca="1">A214</f>
        <v/>
      </c>
      <c r="B221" s="227"/>
      <c r="C221" s="514" t="str">
        <f ca="1">C214</f>
        <v/>
      </c>
      <c r="D221" s="227"/>
      <c r="E221" s="227"/>
      <c r="F221" s="228"/>
      <c r="G221" s="229"/>
      <c r="H221" s="229"/>
      <c r="I221" s="230" t="s">
        <v>561</v>
      </c>
      <c r="J221" s="232"/>
      <c r="K221" s="228"/>
      <c r="L221" s="229"/>
      <c r="M221" s="229"/>
      <c r="N221" s="230" t="s">
        <v>561</v>
      </c>
      <c r="O221" s="232"/>
      <c r="P221" s="228"/>
      <c r="Q221" s="229"/>
      <c r="R221" s="229"/>
      <c r="S221" s="230" t="s">
        <v>561</v>
      </c>
      <c r="T221" s="232"/>
      <c r="U221" s="228"/>
      <c r="V221" s="229"/>
      <c r="W221" s="229"/>
      <c r="X221" s="230" t="s">
        <v>561</v>
      </c>
      <c r="Y221" s="232"/>
    </row>
    <row r="222" spans="1:25" ht="24" customHeight="1" thickBot="1" x14ac:dyDescent="0.25">
      <c r="F222" s="1079" t="s">
        <v>562</v>
      </c>
      <c r="G222" s="1080"/>
      <c r="H222" s="1080"/>
      <c r="I222" s="230" t="s">
        <v>561</v>
      </c>
      <c r="J222" s="231"/>
      <c r="K222" s="1079" t="s">
        <v>563</v>
      </c>
      <c r="L222" s="1080"/>
      <c r="M222" s="1080"/>
      <c r="N222" s="230" t="s">
        <v>561</v>
      </c>
      <c r="O222" s="232"/>
      <c r="P222" s="1079" t="s">
        <v>564</v>
      </c>
      <c r="Q222" s="1080"/>
      <c r="R222" s="1080"/>
      <c r="S222" s="230" t="s">
        <v>561</v>
      </c>
      <c r="T222" s="232"/>
      <c r="U222" s="1079" t="s">
        <v>565</v>
      </c>
      <c r="V222" s="1080"/>
      <c r="W222" s="1080"/>
      <c r="X222" s="230" t="s">
        <v>561</v>
      </c>
      <c r="Y222" s="232"/>
    </row>
    <row r="223" spans="1:25" ht="24" customHeight="1" thickBot="1" x14ac:dyDescent="0.25">
      <c r="A223" s="508" t="s">
        <v>1013</v>
      </c>
      <c r="B223" s="508"/>
      <c r="D223" s="1094">
        <f ca="1">VLOOKUP(A207&amp;A208,PTS_SP,2,FALSE)</f>
        <v>0</v>
      </c>
      <c r="E223" s="1095"/>
      <c r="F223" s="745" t="s">
        <v>1014</v>
      </c>
      <c r="G223" s="670"/>
      <c r="H223" s="744"/>
      <c r="I223" s="1096"/>
      <c r="J223" s="1097"/>
      <c r="K223" s="1100" t="s">
        <v>1015</v>
      </c>
      <c r="L223" s="1101"/>
      <c r="M223" s="1102"/>
      <c r="N223" s="1096"/>
      <c r="O223" s="1097"/>
      <c r="P223" s="1100" t="s">
        <v>1016</v>
      </c>
      <c r="Q223" s="1101"/>
      <c r="R223" s="1102"/>
      <c r="S223" s="1096"/>
      <c r="T223" s="1097"/>
      <c r="U223" s="1100" t="s">
        <v>1017</v>
      </c>
      <c r="V223" s="1101"/>
      <c r="W223" s="1102"/>
      <c r="X223" s="1096"/>
      <c r="Y223" s="1097"/>
    </row>
    <row r="224" spans="1:25" ht="12.75" customHeight="1" x14ac:dyDescent="0.2">
      <c r="Y224" s="240" t="s">
        <v>570</v>
      </c>
    </row>
    <row r="225" spans="1:25" ht="15.75" customHeight="1" x14ac:dyDescent="0.2">
      <c r="B225" s="1091" t="s">
        <v>851</v>
      </c>
      <c r="C225" s="1091"/>
      <c r="D225" s="1091"/>
      <c r="E225" s="1091"/>
      <c r="F225" s="1091"/>
      <c r="G225" s="1091"/>
      <c r="H225" s="1091"/>
      <c r="I225" s="1091"/>
      <c r="J225" s="1091"/>
      <c r="K225" s="1091"/>
      <c r="L225" s="1091"/>
      <c r="O225" s="1091" t="s">
        <v>522</v>
      </c>
      <c r="P225" s="1091"/>
      <c r="Q225" s="1091"/>
      <c r="R225" s="1091"/>
      <c r="S225" s="1091"/>
      <c r="T225" s="1091"/>
      <c r="U225" s="1091"/>
      <c r="V225" s="1091"/>
      <c r="W225" s="1091"/>
      <c r="X225" s="1091"/>
      <c r="Y225" s="1091"/>
    </row>
    <row r="226" spans="1:25" ht="13.5" customHeight="1" x14ac:dyDescent="0.2">
      <c r="B226" s="1086" t="s">
        <v>1</v>
      </c>
      <c r="C226" s="1087"/>
      <c r="D226" s="1087"/>
      <c r="E226" s="1087"/>
      <c r="F226" s="1087"/>
      <c r="G226" s="1087"/>
      <c r="H226" s="1088"/>
      <c r="I226" s="1086" t="s">
        <v>520</v>
      </c>
      <c r="J226" s="1087"/>
      <c r="K226" s="1087"/>
      <c r="L226" s="1088"/>
      <c r="N226" s="241"/>
      <c r="O226" s="1086" t="s">
        <v>1</v>
      </c>
      <c r="P226" s="1087"/>
      <c r="Q226" s="1087"/>
      <c r="R226" s="1087"/>
      <c r="S226" s="1087"/>
      <c r="T226" s="1087"/>
      <c r="U226" s="1088"/>
      <c r="V226" s="1086" t="s">
        <v>520</v>
      </c>
      <c r="W226" s="1087"/>
      <c r="X226" s="1087"/>
      <c r="Y226" s="1088"/>
    </row>
    <row r="227" spans="1:25" ht="21.75" customHeight="1" x14ac:dyDescent="0.2">
      <c r="B227" s="242"/>
      <c r="C227" s="243"/>
      <c r="D227" s="243"/>
      <c r="E227" s="243"/>
      <c r="F227" s="243"/>
      <c r="G227" s="243"/>
      <c r="H227" s="243"/>
      <c r="I227" s="242"/>
      <c r="J227" s="243"/>
      <c r="K227" s="243"/>
      <c r="L227" s="244"/>
      <c r="N227" s="241"/>
      <c r="O227" s="242"/>
      <c r="P227" s="243"/>
      <c r="Q227" s="243"/>
      <c r="R227" s="243"/>
      <c r="S227" s="243"/>
      <c r="T227" s="243"/>
      <c r="U227" s="243"/>
      <c r="V227" s="242"/>
      <c r="W227" s="243"/>
      <c r="X227" s="243"/>
      <c r="Y227" s="244"/>
    </row>
    <row r="228" spans="1:25" ht="13.5" customHeight="1" x14ac:dyDescent="0.2"/>
    <row r="229" spans="1:25" ht="14.25" customHeight="1" thickBot="1" x14ac:dyDescent="0.25">
      <c r="A229" s="241"/>
      <c r="G229" s="305"/>
      <c r="H229" s="305"/>
      <c r="I229" s="1069" t="s">
        <v>0</v>
      </c>
      <c r="J229" s="1069"/>
      <c r="K229" s="1069"/>
      <c r="L229" s="1069"/>
      <c r="M229" s="1069"/>
      <c r="N229" s="1069"/>
      <c r="O229" s="1069"/>
      <c r="P229" s="1069" t="s">
        <v>374</v>
      </c>
      <c r="Q229" s="1069"/>
      <c r="R229" s="1069"/>
      <c r="S229" s="1069"/>
      <c r="T229" s="1069"/>
      <c r="U229" s="1069" t="s">
        <v>571</v>
      </c>
      <c r="V229" s="1069"/>
      <c r="W229" s="1069"/>
      <c r="X229" s="305"/>
      <c r="Y229" s="305"/>
    </row>
    <row r="230" spans="1:25" ht="20.25" customHeight="1" x14ac:dyDescent="0.2">
      <c r="A230" s="241"/>
      <c r="F230" s="1074" t="s">
        <v>584</v>
      </c>
      <c r="G230" s="1074"/>
      <c r="H230" s="1074"/>
      <c r="I230" s="316"/>
      <c r="J230" s="306"/>
      <c r="K230" s="306"/>
      <c r="L230" s="306"/>
      <c r="M230" s="306"/>
      <c r="N230" s="306"/>
      <c r="O230" s="306"/>
      <c r="P230" s="312"/>
      <c r="Q230" s="306"/>
      <c r="R230" s="307"/>
      <c r="S230" s="304"/>
      <c r="T230" s="313"/>
      <c r="U230" s="310"/>
      <c r="V230" s="1084" t="s">
        <v>495</v>
      </c>
      <c r="W230" s="308"/>
    </row>
    <row r="231" spans="1:25" ht="13.5" thickBot="1" x14ac:dyDescent="0.25">
      <c r="F231" s="1074"/>
      <c r="G231" s="1074"/>
      <c r="H231" s="1074"/>
      <c r="I231" s="303"/>
      <c r="J231" s="235"/>
      <c r="K231" s="235"/>
      <c r="L231" s="235"/>
      <c r="M231" s="235"/>
      <c r="N231" s="235"/>
      <c r="O231" s="235"/>
      <c r="P231" s="314"/>
      <c r="Q231" s="235"/>
      <c r="R231" s="234"/>
      <c r="S231" s="234"/>
      <c r="T231" s="315"/>
      <c r="U231" s="311"/>
      <c r="V231" s="1085"/>
      <c r="W231" s="309"/>
    </row>
    <row r="233" spans="1:25" ht="6.75" customHeight="1" x14ac:dyDescent="0.2"/>
    <row r="234" spans="1:25" s="218" customFormat="1" ht="23.25" customHeight="1" x14ac:dyDescent="0.2">
      <c r="A234" s="1072" t="s">
        <v>546</v>
      </c>
      <c r="B234" s="1073"/>
      <c r="C234" s="499" t="str">
        <f>C205</f>
        <v>D1</v>
      </c>
      <c r="D234" s="1098" t="s">
        <v>628</v>
      </c>
      <c r="E234" s="1072"/>
      <c r="F234" s="1072"/>
      <c r="G234" s="1103">
        <f ca="1">INDIRECT("AD"&amp;V234)</f>
        <v>9</v>
      </c>
      <c r="H234" s="1104"/>
      <c r="J234" s="218" t="str">
        <f>CATEG_IMPORTEE</f>
        <v>Collèges Mixtes Etablissement</v>
      </c>
      <c r="T234" s="500"/>
      <c r="U234" s="501" t="str">
        <f ca="1">INDIRECT("AE"&amp;V234)</f>
        <v>C9-Coll9Ville9</v>
      </c>
      <c r="V234" s="500">
        <f>Y234+2</f>
        <v>11</v>
      </c>
      <c r="W234" s="501" t="str">
        <f ca="1">INDIRECT("AF"&amp;V234)</f>
        <v>VIDE</v>
      </c>
      <c r="X234" s="502" t="s">
        <v>849</v>
      </c>
      <c r="Y234" s="503">
        <f>Y205+1</f>
        <v>9</v>
      </c>
    </row>
    <row r="235" spans="1:25" ht="27" customHeight="1" thickBot="1" x14ac:dyDescent="0.25">
      <c r="A235" s="1093" t="s">
        <v>0</v>
      </c>
      <c r="B235" s="1093"/>
      <c r="C235" s="1093"/>
      <c r="D235" s="1093"/>
      <c r="E235" s="1093"/>
      <c r="F235" s="1093"/>
      <c r="G235" s="1093"/>
      <c r="H235" s="1093" t="s">
        <v>374</v>
      </c>
      <c r="I235" s="1093"/>
      <c r="J235" s="1093"/>
      <c r="K235" s="1093"/>
      <c r="L235" s="1093"/>
      <c r="O235" s="1069" t="s">
        <v>0</v>
      </c>
      <c r="P235" s="1069"/>
      <c r="Q235" s="1069"/>
      <c r="R235" s="1069"/>
      <c r="S235" s="1069"/>
      <c r="T235" s="1069"/>
      <c r="U235" s="1069"/>
      <c r="V235" s="1069" t="s">
        <v>374</v>
      </c>
      <c r="W235" s="1069"/>
      <c r="X235" s="1069"/>
      <c r="Y235" s="1069"/>
    </row>
    <row r="236" spans="1:25" ht="24" customHeight="1" thickBot="1" x14ac:dyDescent="0.25">
      <c r="A236" s="504" t="str">
        <f ca="1">IFERROR(VLOOKUP(U234,Num_AS,2,FALSE),"")</f>
        <v/>
      </c>
      <c r="B236" s="505"/>
      <c r="C236" s="505"/>
      <c r="D236" s="505"/>
      <c r="E236" s="505"/>
      <c r="F236" s="505"/>
      <c r="G236" s="506"/>
      <c r="H236" s="507" t="str">
        <f ca="1">IFERROR(VLOOKUP(U234,Num_AS,4,FALSE),"")</f>
        <v/>
      </c>
      <c r="I236" s="220"/>
      <c r="J236" s="220"/>
      <c r="K236" s="220"/>
      <c r="L236" s="738"/>
      <c r="M236" s="1070" t="s">
        <v>547</v>
      </c>
      <c r="N236" s="1071"/>
      <c r="O236" s="504" t="str">
        <f ca="1">IFERROR(VLOOKUP(W234,Num_AS,2,FALSE),"")</f>
        <v/>
      </c>
      <c r="P236" s="505"/>
      <c r="Q236" s="505"/>
      <c r="R236" s="505"/>
      <c r="S236" s="505"/>
      <c r="T236" s="505"/>
      <c r="U236" s="506"/>
      <c r="V236" s="507" t="str">
        <f ca="1">IFERROR(VLOOKUP(W234,Num_AS,4,FALSE),"")</f>
        <v/>
      </c>
      <c r="W236" s="220"/>
      <c r="X236" s="220"/>
      <c r="Y236" s="221"/>
    </row>
    <row r="237" spans="1:25" ht="15" customHeight="1" x14ac:dyDescent="0.2">
      <c r="A237" s="736" t="str">
        <f ca="1">IFERROR(VLOOKUP(U234,Num_AS,3,FALSE),"")</f>
        <v/>
      </c>
      <c r="B237" s="736"/>
      <c r="C237" s="736"/>
      <c r="D237" s="736"/>
      <c r="E237" s="736"/>
      <c r="F237" s="736"/>
      <c r="G237" s="736"/>
      <c r="H237" s="737"/>
    </row>
    <row r="238" spans="1:25" ht="20.100000000000001" customHeight="1" x14ac:dyDescent="0.2">
      <c r="A238" s="1074" t="s">
        <v>548</v>
      </c>
      <c r="B238" s="1074"/>
      <c r="C238" s="1074"/>
      <c r="D238" s="1074"/>
      <c r="E238" s="1074"/>
      <c r="Q238" s="217" t="str">
        <f>Q209</f>
        <v>Championnat de France de Tir à l'ARC</v>
      </c>
    </row>
    <row r="239" spans="1:25" ht="20.100000000000001" customHeight="1" x14ac:dyDescent="0.2">
      <c r="A239" s="1075" t="s">
        <v>549</v>
      </c>
      <c r="B239" s="1075"/>
      <c r="C239" s="1075"/>
      <c r="D239" s="1075"/>
      <c r="E239" s="1075"/>
      <c r="G239" s="1076" t="s">
        <v>480</v>
      </c>
      <c r="H239" s="1076"/>
      <c r="I239" s="1077" t="s">
        <v>550</v>
      </c>
      <c r="J239" s="1077"/>
      <c r="K239" s="1077"/>
      <c r="L239" s="252" t="s">
        <v>551</v>
      </c>
      <c r="M239" s="1078" t="s">
        <v>552</v>
      </c>
      <c r="N239" s="1078"/>
      <c r="O239" s="251"/>
      <c r="Q239" s="217" t="str">
        <f>Q210</f>
        <v>L’Isle sur la Sorgue du 27 au 31 mars 2023</v>
      </c>
    </row>
    <row r="240" spans="1:25" ht="24" customHeight="1" x14ac:dyDescent="0.2">
      <c r="A240" s="509" t="str">
        <f ca="1">IFERROR(VLOOKUP(U234,Num_AS,6,FALSE),"")</f>
        <v/>
      </c>
      <c r="B240" s="223"/>
      <c r="C240" s="510" t="str">
        <f ca="1">IFERROR(VLOOKUP(U234,Num_AS,7,FALSE),"")</f>
        <v/>
      </c>
      <c r="D240" s="223"/>
      <c r="E240" s="224"/>
      <c r="F240" s="219"/>
      <c r="G240" s="511" t="str">
        <f ca="1">IFERROR(VLOOKUP(U234,Num_AS,10,FALSE),"")</f>
        <v/>
      </c>
      <c r="H240" s="224"/>
      <c r="I240" s="222"/>
      <c r="J240" s="512" t="str">
        <f ca="1">IFERROR(VLOOKUP(U234,Num_AS,9,FALSE),"")</f>
        <v/>
      </c>
      <c r="K240" s="224"/>
      <c r="L240" s="222" t="str">
        <f ca="1">IFERROR(VLOOKUP(U234,Num_AS,11,FALSE),"")</f>
        <v/>
      </c>
      <c r="M240" s="287">
        <f ca="1">G234</f>
        <v>9</v>
      </c>
      <c r="N240" s="288"/>
      <c r="O240" s="249"/>
      <c r="R240" s="254"/>
      <c r="S240" s="254"/>
      <c r="T240" s="254"/>
      <c r="U240" s="254"/>
      <c r="V240" s="254"/>
      <c r="W240" s="254"/>
      <c r="X240" s="254"/>
      <c r="Y240" s="254"/>
    </row>
    <row r="241" spans="1:25" ht="24" customHeight="1" x14ac:dyDescent="0.2">
      <c r="A241" s="509" t="str">
        <f ca="1">IFERROR(VLOOKUP(U234,Num_AS,12,FALSE),"")</f>
        <v/>
      </c>
      <c r="B241" s="223"/>
      <c r="C241" s="510" t="str">
        <f ca="1">IFERROR(VLOOKUP(U234,Num_AS,13,FALSE),"")</f>
        <v/>
      </c>
      <c r="D241" s="223"/>
      <c r="E241" s="224"/>
      <c r="F241" s="219"/>
      <c r="G241" s="511" t="str">
        <f ca="1">IFERROR(VLOOKUP(U234,Num_AS,16,FALSE),"")</f>
        <v/>
      </c>
      <c r="H241" s="224"/>
      <c r="I241" s="222"/>
      <c r="J241" s="512" t="str">
        <f ca="1">IFERROR(VLOOKUP(U234,Num_AS,15,FALSE),"")</f>
        <v/>
      </c>
      <c r="K241" s="224"/>
      <c r="L241" s="222" t="str">
        <f ca="1">IFERROR(VLOOKUP(U234,Num_AS,17,FALSE),"")</f>
        <v/>
      </c>
      <c r="M241" s="287">
        <f ca="1">G234</f>
        <v>9</v>
      </c>
      <c r="N241" s="288"/>
      <c r="O241" s="249"/>
      <c r="Q241" s="254"/>
      <c r="R241" s="254"/>
      <c r="S241" s="254"/>
      <c r="T241" s="254"/>
      <c r="U241" s="254"/>
      <c r="V241" s="254"/>
      <c r="W241" s="254"/>
      <c r="X241" s="254"/>
      <c r="Y241" s="254"/>
    </row>
    <row r="242" spans="1:25" ht="24" customHeight="1" x14ac:dyDescent="0.2">
      <c r="A242" s="509" t="str">
        <f ca="1">IFERROR(VLOOKUP(U234,Num_AS,18,FALSE),"")</f>
        <v/>
      </c>
      <c r="B242" s="223"/>
      <c r="C242" s="510" t="str">
        <f ca="1">IFERROR(VLOOKUP(U234,Num_AS,19,FALSE),"")</f>
        <v/>
      </c>
      <c r="D242" s="223"/>
      <c r="E242" s="224"/>
      <c r="F242" s="219"/>
      <c r="G242" s="511" t="str">
        <f ca="1">IFERROR(VLOOKUP(U234,Num_AS,22,FALSE),"")</f>
        <v/>
      </c>
      <c r="H242" s="224"/>
      <c r="I242" s="222"/>
      <c r="J242" s="512" t="str">
        <f ca="1">IFERROR(VLOOKUP(U234,Num_AS,21,FALSE),"")</f>
        <v/>
      </c>
      <c r="K242" s="224"/>
      <c r="L242" s="222" t="str">
        <f ca="1">IFERROR(VLOOKUP(U234,Num_AS,23,FALSE),"")</f>
        <v/>
      </c>
      <c r="M242" s="287">
        <f ca="1">G234</f>
        <v>9</v>
      </c>
      <c r="N242" s="288"/>
      <c r="O242" s="249"/>
      <c r="Q242" s="254"/>
      <c r="R242" s="254"/>
      <c r="S242" s="254"/>
      <c r="T242" s="254"/>
      <c r="U242" s="254"/>
      <c r="V242" s="254"/>
      <c r="W242" s="254"/>
      <c r="X242" s="254"/>
      <c r="Y242" s="254"/>
    </row>
    <row r="243" spans="1:25" ht="24" customHeight="1" x14ac:dyDescent="0.2">
      <c r="A243" s="509" t="str">
        <f ca="1">IFERROR(VLOOKUP(U234,Num_AS,24,FALSE),"")</f>
        <v/>
      </c>
      <c r="B243" s="223"/>
      <c r="C243" s="510" t="str">
        <f ca="1">IFERROR(VLOOKUP(U234,Num_AS,25,FALSE),"")</f>
        <v/>
      </c>
      <c r="D243" s="223"/>
      <c r="E243" s="224"/>
      <c r="F243" s="219"/>
      <c r="G243" s="511" t="str">
        <f ca="1">IFERROR(VLOOKUP(U234,Num_AS,28,FALSE),"")</f>
        <v/>
      </c>
      <c r="H243" s="224"/>
      <c r="I243" s="222"/>
      <c r="J243" s="512" t="str">
        <f ca="1">IFERROR(VLOOKUP(U234,Num_AS,27,FALSE),"")</f>
        <v/>
      </c>
      <c r="K243" s="224"/>
      <c r="L243" s="222" t="str">
        <f ca="1">IFERROR(VLOOKUP(U234,Num_AS,29,FALSE),"")</f>
        <v/>
      </c>
      <c r="M243" s="289">
        <f ca="1">G234</f>
        <v>9</v>
      </c>
      <c r="N243" s="290"/>
      <c r="O243" s="249"/>
    </row>
    <row r="244" spans="1:25" ht="15" customHeight="1" thickBot="1" x14ac:dyDescent="0.25"/>
    <row r="245" spans="1:25" ht="20.100000000000001" customHeight="1" x14ac:dyDescent="0.2">
      <c r="F245" s="1081" t="s">
        <v>555</v>
      </c>
      <c r="G245" s="1082"/>
      <c r="H245" s="1082"/>
      <c r="I245" s="1082"/>
      <c r="J245" s="1083"/>
      <c r="K245" s="1081" t="s">
        <v>556</v>
      </c>
      <c r="L245" s="1082"/>
      <c r="M245" s="1082"/>
      <c r="N245" s="1082"/>
      <c r="O245" s="1083"/>
      <c r="P245" s="1081" t="s">
        <v>557</v>
      </c>
      <c r="Q245" s="1082"/>
      <c r="R245" s="1082"/>
      <c r="S245" s="1082"/>
      <c r="T245" s="1083"/>
      <c r="U245" s="1081" t="s">
        <v>558</v>
      </c>
      <c r="V245" s="1082"/>
      <c r="W245" s="1082"/>
      <c r="X245" s="1082"/>
      <c r="Y245" s="1083"/>
    </row>
    <row r="246" spans="1:25" ht="20.100000000000001" customHeight="1" x14ac:dyDescent="0.2">
      <c r="A246" s="1075" t="s">
        <v>559</v>
      </c>
      <c r="B246" s="1075"/>
      <c r="C246" s="1075"/>
      <c r="D246" s="1075"/>
      <c r="E246" s="1089"/>
      <c r="F246" s="1090" t="s">
        <v>560</v>
      </c>
      <c r="G246" s="1075"/>
      <c r="H246" s="1075"/>
      <c r="J246" s="225" t="s">
        <v>7</v>
      </c>
      <c r="K246" s="1090" t="s">
        <v>560</v>
      </c>
      <c r="L246" s="1075"/>
      <c r="M246" s="1075"/>
      <c r="O246" s="225" t="s">
        <v>7</v>
      </c>
      <c r="P246" s="1090" t="s">
        <v>560</v>
      </c>
      <c r="Q246" s="1075"/>
      <c r="R246" s="1075"/>
      <c r="T246" s="225" t="s">
        <v>7</v>
      </c>
      <c r="U246" s="1090" t="s">
        <v>560</v>
      </c>
      <c r="V246" s="1075"/>
      <c r="W246" s="1075"/>
      <c r="Y246" s="225" t="s">
        <v>7</v>
      </c>
    </row>
    <row r="247" spans="1:25" ht="24" customHeight="1" x14ac:dyDescent="0.2">
      <c r="A247" s="513" t="str">
        <f ca="1">A240</f>
        <v/>
      </c>
      <c r="B247" s="227"/>
      <c r="C247" s="514" t="str">
        <f ca="1">C240</f>
        <v/>
      </c>
      <c r="D247" s="227"/>
      <c r="E247" s="227"/>
      <c r="F247" s="228"/>
      <c r="G247" s="229"/>
      <c r="H247" s="229"/>
      <c r="I247" s="230" t="s">
        <v>561</v>
      </c>
      <c r="J247" s="231"/>
      <c r="K247" s="228"/>
      <c r="L247" s="229"/>
      <c r="M247" s="229"/>
      <c r="N247" s="230" t="s">
        <v>561</v>
      </c>
      <c r="O247" s="231"/>
      <c r="P247" s="228"/>
      <c r="Q247" s="229"/>
      <c r="R247" s="229"/>
      <c r="S247" s="230" t="s">
        <v>561</v>
      </c>
      <c r="T247" s="231"/>
      <c r="U247" s="228"/>
      <c r="V247" s="229"/>
      <c r="W247" s="229"/>
      <c r="X247" s="230" t="s">
        <v>561</v>
      </c>
      <c r="Y247" s="231"/>
    </row>
    <row r="248" spans="1:25" ht="24" customHeight="1" x14ac:dyDescent="0.2">
      <c r="A248" s="513" t="str">
        <f ca="1">A241</f>
        <v/>
      </c>
      <c r="B248" s="227"/>
      <c r="C248" s="514" t="str">
        <f ca="1">C241</f>
        <v/>
      </c>
      <c r="D248" s="227"/>
      <c r="E248" s="227"/>
      <c r="F248" s="228"/>
      <c r="G248" s="229"/>
      <c r="H248" s="229"/>
      <c r="I248" s="230" t="s">
        <v>561</v>
      </c>
      <c r="J248" s="231"/>
      <c r="K248" s="228"/>
      <c r="L248" s="229"/>
      <c r="M248" s="229"/>
      <c r="N248" s="230" t="s">
        <v>561</v>
      </c>
      <c r="O248" s="231"/>
      <c r="P248" s="228"/>
      <c r="Q248" s="229"/>
      <c r="R248" s="229"/>
      <c r="S248" s="230" t="s">
        <v>561</v>
      </c>
      <c r="T248" s="231"/>
      <c r="U248" s="228"/>
      <c r="V248" s="229"/>
      <c r="W248" s="229"/>
      <c r="X248" s="230" t="s">
        <v>561</v>
      </c>
      <c r="Y248" s="231"/>
    </row>
    <row r="249" spans="1:25" ht="24" customHeight="1" x14ac:dyDescent="0.2">
      <c r="A249" s="513" t="str">
        <f ca="1">A242</f>
        <v/>
      </c>
      <c r="B249" s="227"/>
      <c r="C249" s="514" t="str">
        <f ca="1">C242</f>
        <v/>
      </c>
      <c r="D249" s="227"/>
      <c r="E249" s="227"/>
      <c r="F249" s="228"/>
      <c r="G249" s="229"/>
      <c r="H249" s="229"/>
      <c r="I249" s="230" t="s">
        <v>561</v>
      </c>
      <c r="J249" s="231"/>
      <c r="K249" s="228"/>
      <c r="L249" s="229"/>
      <c r="M249" s="229"/>
      <c r="N249" s="230" t="s">
        <v>561</v>
      </c>
      <c r="O249" s="231"/>
      <c r="P249" s="228"/>
      <c r="Q249" s="229"/>
      <c r="R249" s="229"/>
      <c r="S249" s="230" t="s">
        <v>561</v>
      </c>
      <c r="T249" s="231"/>
      <c r="U249" s="228"/>
      <c r="V249" s="229"/>
      <c r="W249" s="229"/>
      <c r="X249" s="230" t="s">
        <v>561</v>
      </c>
      <c r="Y249" s="231"/>
    </row>
    <row r="250" spans="1:25" ht="24" customHeight="1" x14ac:dyDescent="0.2">
      <c r="A250" s="513" t="str">
        <f ca="1">A243</f>
        <v/>
      </c>
      <c r="B250" s="227"/>
      <c r="C250" s="514" t="str">
        <f ca="1">C243</f>
        <v/>
      </c>
      <c r="D250" s="227"/>
      <c r="E250" s="227"/>
      <c r="F250" s="228"/>
      <c r="G250" s="229"/>
      <c r="H250" s="229"/>
      <c r="I250" s="230" t="s">
        <v>561</v>
      </c>
      <c r="J250" s="232"/>
      <c r="K250" s="228"/>
      <c r="L250" s="229"/>
      <c r="M250" s="229"/>
      <c r="N250" s="230" t="s">
        <v>561</v>
      </c>
      <c r="O250" s="232"/>
      <c r="P250" s="228"/>
      <c r="Q250" s="229"/>
      <c r="R250" s="229"/>
      <c r="S250" s="230" t="s">
        <v>561</v>
      </c>
      <c r="T250" s="232"/>
      <c r="U250" s="228"/>
      <c r="V250" s="229"/>
      <c r="W250" s="229"/>
      <c r="X250" s="230" t="s">
        <v>561</v>
      </c>
      <c r="Y250" s="232"/>
    </row>
    <row r="251" spans="1:25" ht="24" customHeight="1" thickBot="1" x14ac:dyDescent="0.25">
      <c r="F251" s="1079" t="s">
        <v>562</v>
      </c>
      <c r="G251" s="1080"/>
      <c r="H251" s="1080"/>
      <c r="I251" s="230" t="s">
        <v>561</v>
      </c>
      <c r="J251" s="231"/>
      <c r="K251" s="1079" t="s">
        <v>563</v>
      </c>
      <c r="L251" s="1080"/>
      <c r="M251" s="1080"/>
      <c r="N251" s="230" t="s">
        <v>561</v>
      </c>
      <c r="O251" s="232"/>
      <c r="P251" s="1079" t="s">
        <v>564</v>
      </c>
      <c r="Q251" s="1080"/>
      <c r="R251" s="1080"/>
      <c r="S251" s="230" t="s">
        <v>561</v>
      </c>
      <c r="T251" s="232"/>
      <c r="U251" s="1079" t="s">
        <v>565</v>
      </c>
      <c r="V251" s="1080"/>
      <c r="W251" s="1080"/>
      <c r="X251" s="230" t="s">
        <v>561</v>
      </c>
      <c r="Y251" s="232"/>
    </row>
    <row r="252" spans="1:25" ht="24" customHeight="1" thickBot="1" x14ac:dyDescent="0.25">
      <c r="A252" s="508" t="s">
        <v>1013</v>
      </c>
      <c r="B252" s="508"/>
      <c r="D252" s="1094">
        <f ca="1">VLOOKUP(A236&amp;A237,PTS_SP,2,FALSE)</f>
        <v>0</v>
      </c>
      <c r="E252" s="1095"/>
      <c r="F252" s="745" t="s">
        <v>1014</v>
      </c>
      <c r="G252" s="670"/>
      <c r="H252" s="744"/>
      <c r="I252" s="1096"/>
      <c r="J252" s="1097"/>
      <c r="K252" s="1100" t="s">
        <v>1015</v>
      </c>
      <c r="L252" s="1101"/>
      <c r="M252" s="1102"/>
      <c r="N252" s="1096"/>
      <c r="O252" s="1097"/>
      <c r="P252" s="1100" t="s">
        <v>1016</v>
      </c>
      <c r="Q252" s="1101"/>
      <c r="R252" s="1102"/>
      <c r="S252" s="1096"/>
      <c r="T252" s="1097"/>
      <c r="U252" s="1100" t="s">
        <v>1017</v>
      </c>
      <c r="V252" s="1101"/>
      <c r="W252" s="1102"/>
      <c r="X252" s="1096"/>
      <c r="Y252" s="1097"/>
    </row>
    <row r="253" spans="1:25" ht="12.75" customHeight="1" x14ac:dyDescent="0.2">
      <c r="Y253" s="240" t="s">
        <v>570</v>
      </c>
    </row>
    <row r="254" spans="1:25" ht="15.75" customHeight="1" x14ac:dyDescent="0.2">
      <c r="B254" s="1091" t="s">
        <v>851</v>
      </c>
      <c r="C254" s="1091"/>
      <c r="D254" s="1091"/>
      <c r="E254" s="1091"/>
      <c r="F254" s="1091"/>
      <c r="G254" s="1091"/>
      <c r="H254" s="1091"/>
      <c r="I254" s="1091"/>
      <c r="J254" s="1091"/>
      <c r="K254" s="1091"/>
      <c r="L254" s="1091"/>
      <c r="O254" s="1091" t="s">
        <v>522</v>
      </c>
      <c r="P254" s="1091"/>
      <c r="Q254" s="1091"/>
      <c r="R254" s="1091"/>
      <c r="S254" s="1091"/>
      <c r="T254" s="1091"/>
      <c r="U254" s="1091"/>
      <c r="V254" s="1091"/>
      <c r="W254" s="1091"/>
      <c r="X254" s="1091"/>
      <c r="Y254" s="1091"/>
    </row>
    <row r="255" spans="1:25" ht="13.5" customHeight="1" x14ac:dyDescent="0.2">
      <c r="B255" s="1086" t="s">
        <v>1</v>
      </c>
      <c r="C255" s="1087"/>
      <c r="D255" s="1087"/>
      <c r="E255" s="1087"/>
      <c r="F255" s="1087"/>
      <c r="G255" s="1087"/>
      <c r="H255" s="1088"/>
      <c r="I255" s="1086" t="s">
        <v>520</v>
      </c>
      <c r="J255" s="1087"/>
      <c r="K255" s="1087"/>
      <c r="L255" s="1088"/>
      <c r="N255" s="241"/>
      <c r="O255" s="1086" t="s">
        <v>1</v>
      </c>
      <c r="P255" s="1087"/>
      <c r="Q255" s="1087"/>
      <c r="R255" s="1087"/>
      <c r="S255" s="1087"/>
      <c r="T255" s="1087"/>
      <c r="U255" s="1088"/>
      <c r="V255" s="1086" t="s">
        <v>520</v>
      </c>
      <c r="W255" s="1087"/>
      <c r="X255" s="1087"/>
      <c r="Y255" s="1088"/>
    </row>
    <row r="256" spans="1:25" ht="21.75" customHeight="1" x14ac:dyDescent="0.2">
      <c r="B256" s="242"/>
      <c r="C256" s="243"/>
      <c r="D256" s="243"/>
      <c r="E256" s="243"/>
      <c r="F256" s="243"/>
      <c r="G256" s="243"/>
      <c r="H256" s="243"/>
      <c r="I256" s="242"/>
      <c r="J256" s="243"/>
      <c r="K256" s="243"/>
      <c r="L256" s="244"/>
      <c r="N256" s="241"/>
      <c r="O256" s="242"/>
      <c r="P256" s="243"/>
      <c r="Q256" s="243"/>
      <c r="R256" s="243"/>
      <c r="S256" s="243"/>
      <c r="T256" s="243"/>
      <c r="U256" s="243"/>
      <c r="V256" s="242"/>
      <c r="W256" s="243"/>
      <c r="X256" s="243"/>
      <c r="Y256" s="244"/>
    </row>
    <row r="257" spans="1:25" ht="13.5" customHeight="1" x14ac:dyDescent="0.2"/>
    <row r="258" spans="1:25" ht="14.25" customHeight="1" thickBot="1" x14ac:dyDescent="0.25">
      <c r="A258" s="241"/>
      <c r="G258" s="305"/>
      <c r="H258" s="305"/>
      <c r="I258" s="1069" t="s">
        <v>0</v>
      </c>
      <c r="J258" s="1069"/>
      <c r="K258" s="1069"/>
      <c r="L258" s="1069"/>
      <c r="M258" s="1069"/>
      <c r="N258" s="1069"/>
      <c r="O258" s="1069"/>
      <c r="P258" s="1069" t="s">
        <v>374</v>
      </c>
      <c r="Q258" s="1069"/>
      <c r="R258" s="1069"/>
      <c r="S258" s="1069"/>
      <c r="T258" s="1069"/>
      <c r="U258" s="1069" t="s">
        <v>571</v>
      </c>
      <c r="V258" s="1069"/>
      <c r="W258" s="1069"/>
      <c r="X258" s="305"/>
      <c r="Y258" s="305"/>
    </row>
    <row r="259" spans="1:25" ht="20.25" customHeight="1" x14ac:dyDescent="0.2">
      <c r="A259" s="241"/>
      <c r="F259" s="1074" t="s">
        <v>584</v>
      </c>
      <c r="G259" s="1074"/>
      <c r="H259" s="1074"/>
      <c r="I259" s="316"/>
      <c r="J259" s="306"/>
      <c r="K259" s="306"/>
      <c r="L259" s="306"/>
      <c r="M259" s="306"/>
      <c r="N259" s="306"/>
      <c r="O259" s="306"/>
      <c r="P259" s="312"/>
      <c r="Q259" s="306"/>
      <c r="R259" s="307"/>
      <c r="S259" s="304"/>
      <c r="T259" s="313"/>
      <c r="U259" s="310"/>
      <c r="V259" s="1084" t="s">
        <v>495</v>
      </c>
      <c r="W259" s="308"/>
    </row>
    <row r="260" spans="1:25" ht="13.5" thickBot="1" x14ac:dyDescent="0.25">
      <c r="F260" s="1074"/>
      <c r="G260" s="1074"/>
      <c r="H260" s="1074"/>
      <c r="I260" s="303"/>
      <c r="J260" s="235"/>
      <c r="K260" s="235"/>
      <c r="L260" s="235"/>
      <c r="M260" s="235"/>
      <c r="N260" s="235"/>
      <c r="O260" s="235"/>
      <c r="P260" s="314"/>
      <c r="Q260" s="235"/>
      <c r="R260" s="234"/>
      <c r="S260" s="234"/>
      <c r="T260" s="315"/>
      <c r="U260" s="311"/>
      <c r="V260" s="1085"/>
      <c r="W260" s="309"/>
    </row>
    <row r="262" spans="1:25" ht="6.75" customHeight="1" x14ac:dyDescent="0.2"/>
    <row r="263" spans="1:25" s="218" customFormat="1" ht="23.25" customHeight="1" x14ac:dyDescent="0.2">
      <c r="A263" s="1072" t="s">
        <v>546</v>
      </c>
      <c r="B263" s="1073"/>
      <c r="C263" s="499" t="str">
        <f>C234</f>
        <v>D1</v>
      </c>
      <c r="D263" s="1098" t="s">
        <v>628</v>
      </c>
      <c r="E263" s="1072"/>
      <c r="F263" s="1072"/>
      <c r="G263" s="1103">
        <f ca="1">INDIRECT("AD"&amp;V263)</f>
        <v>10</v>
      </c>
      <c r="H263" s="1104"/>
      <c r="J263" s="218" t="str">
        <f>CATEG_IMPORTEE</f>
        <v>Collèges Mixtes Etablissement</v>
      </c>
      <c r="T263" s="500"/>
      <c r="U263" s="520" t="str">
        <f ca="1">INDIRECT("AE"&amp;V263)</f>
        <v>C12-Coll12Ville12</v>
      </c>
      <c r="V263" s="500">
        <f>Y263+2</f>
        <v>12</v>
      </c>
      <c r="W263" s="501" t="str">
        <f ca="1">INDIRECT("AF"&amp;V263)</f>
        <v>C13-Coll13Ville13</v>
      </c>
      <c r="X263" s="502" t="s">
        <v>849</v>
      </c>
      <c r="Y263" s="503">
        <f>Y234+1</f>
        <v>10</v>
      </c>
    </row>
    <row r="264" spans="1:25" ht="27" customHeight="1" thickBot="1" x14ac:dyDescent="0.25">
      <c r="A264" s="1093" t="s">
        <v>0</v>
      </c>
      <c r="B264" s="1093"/>
      <c r="C264" s="1093"/>
      <c r="D264" s="1093"/>
      <c r="E264" s="1093"/>
      <c r="F264" s="1093"/>
      <c r="G264" s="1093"/>
      <c r="H264" s="1093" t="s">
        <v>374</v>
      </c>
      <c r="I264" s="1093"/>
      <c r="J264" s="1093"/>
      <c r="K264" s="1093"/>
      <c r="L264" s="1093"/>
      <c r="O264" s="1069" t="s">
        <v>0</v>
      </c>
      <c r="P264" s="1069"/>
      <c r="Q264" s="1069"/>
      <c r="R264" s="1069"/>
      <c r="S264" s="1069"/>
      <c r="T264" s="1069"/>
      <c r="U264" s="1069"/>
      <c r="V264" s="1069" t="s">
        <v>374</v>
      </c>
      <c r="W264" s="1069"/>
      <c r="X264" s="1069"/>
      <c r="Y264" s="1069"/>
    </row>
    <row r="265" spans="1:25" ht="24" customHeight="1" thickBot="1" x14ac:dyDescent="0.25">
      <c r="A265" s="504" t="str">
        <f ca="1">IFERROR(VLOOKUP(U263,Num_AS,2,FALSE),"")</f>
        <v/>
      </c>
      <c r="B265" s="505"/>
      <c r="C265" s="505"/>
      <c r="D265" s="505"/>
      <c r="E265" s="505"/>
      <c r="F265" s="505"/>
      <c r="G265" s="506"/>
      <c r="H265" s="507" t="str">
        <f ca="1">IFERROR(VLOOKUP(U263,Num_AS,4,FALSE),"")</f>
        <v/>
      </c>
      <c r="I265" s="220"/>
      <c r="J265" s="220"/>
      <c r="K265" s="220"/>
      <c r="L265" s="738"/>
      <c r="M265" s="1070" t="s">
        <v>547</v>
      </c>
      <c r="N265" s="1071"/>
      <c r="O265" s="504" t="str">
        <f ca="1">IFERROR(VLOOKUP(W263,Num_AS,2,FALSE),"")</f>
        <v/>
      </c>
      <c r="P265" s="505"/>
      <c r="Q265" s="505"/>
      <c r="R265" s="505"/>
      <c r="S265" s="505"/>
      <c r="T265" s="505"/>
      <c r="U265" s="506"/>
      <c r="V265" s="507" t="str">
        <f ca="1">IFERROR(VLOOKUP(W263,Num_AS,4,FALSE),"")</f>
        <v/>
      </c>
      <c r="W265" s="220"/>
      <c r="X265" s="220"/>
      <c r="Y265" s="221"/>
    </row>
    <row r="266" spans="1:25" ht="15" customHeight="1" x14ac:dyDescent="0.2">
      <c r="A266" s="736" t="str">
        <f ca="1">IFERROR(VLOOKUP(U263,Num_AS,3,FALSE),"")</f>
        <v/>
      </c>
      <c r="B266" s="736"/>
      <c r="C266" s="736"/>
      <c r="D266" s="736"/>
      <c r="E266" s="736"/>
      <c r="F266" s="736"/>
      <c r="G266" s="736"/>
      <c r="H266" s="737"/>
    </row>
    <row r="267" spans="1:25" ht="20.100000000000001" customHeight="1" x14ac:dyDescent="0.2">
      <c r="A267" s="1074" t="s">
        <v>548</v>
      </c>
      <c r="B267" s="1074"/>
      <c r="C267" s="1074"/>
      <c r="D267" s="1074"/>
      <c r="E267" s="1074"/>
      <c r="Q267" s="217" t="str">
        <f>Q238</f>
        <v>Championnat de France de Tir à l'ARC</v>
      </c>
    </row>
    <row r="268" spans="1:25" ht="20.100000000000001" customHeight="1" x14ac:dyDescent="0.2">
      <c r="A268" s="1075" t="s">
        <v>549</v>
      </c>
      <c r="B268" s="1075"/>
      <c r="C268" s="1075"/>
      <c r="D268" s="1075"/>
      <c r="E268" s="1075"/>
      <c r="G268" s="1076" t="s">
        <v>480</v>
      </c>
      <c r="H268" s="1076"/>
      <c r="I268" s="1077" t="s">
        <v>550</v>
      </c>
      <c r="J268" s="1077"/>
      <c r="K268" s="1077"/>
      <c r="L268" s="252" t="s">
        <v>551</v>
      </c>
      <c r="M268" s="1078" t="s">
        <v>552</v>
      </c>
      <c r="N268" s="1078"/>
      <c r="O268" s="251"/>
      <c r="Q268" s="217" t="str">
        <f>Q239</f>
        <v>L’Isle sur la Sorgue du 27 au 31 mars 2023</v>
      </c>
    </row>
    <row r="269" spans="1:25" ht="24" customHeight="1" x14ac:dyDescent="0.2">
      <c r="A269" s="509" t="str">
        <f ca="1">IFERROR(VLOOKUP(U263,Num_AS,6,FALSE),"")</f>
        <v/>
      </c>
      <c r="B269" s="223"/>
      <c r="C269" s="510" t="str">
        <f ca="1">IFERROR(VLOOKUP(U263,Num_AS,7,FALSE),"")</f>
        <v/>
      </c>
      <c r="D269" s="223"/>
      <c r="E269" s="224"/>
      <c r="F269" s="219"/>
      <c r="G269" s="511" t="str">
        <f ca="1">IFERROR(VLOOKUP(U263,Num_AS,10,FALSE),"")</f>
        <v/>
      </c>
      <c r="H269" s="224"/>
      <c r="I269" s="222"/>
      <c r="J269" s="512" t="str">
        <f ca="1">IFERROR(VLOOKUP(U263,Num_AS,9,FALSE),"")</f>
        <v/>
      </c>
      <c r="K269" s="224"/>
      <c r="L269" s="222" t="str">
        <f ca="1">IFERROR(VLOOKUP(U263,Num_AS,11,FALSE),"")</f>
        <v/>
      </c>
      <c r="M269" s="287">
        <f ca="1">G263</f>
        <v>10</v>
      </c>
      <c r="N269" s="288"/>
      <c r="O269" s="249"/>
      <c r="R269" s="254"/>
      <c r="S269" s="254"/>
      <c r="T269" s="254"/>
      <c r="U269" s="254"/>
      <c r="V269" s="254"/>
      <c r="W269" s="254"/>
      <c r="X269" s="254"/>
      <c r="Y269" s="254"/>
    </row>
    <row r="270" spans="1:25" ht="24" customHeight="1" x14ac:dyDescent="0.2">
      <c r="A270" s="509" t="str">
        <f ca="1">IFERROR(VLOOKUP(U263,Num_AS,12,FALSE),"")</f>
        <v/>
      </c>
      <c r="B270" s="223"/>
      <c r="C270" s="510" t="str">
        <f ca="1">IFERROR(VLOOKUP(U263,Num_AS,13,FALSE),"")</f>
        <v/>
      </c>
      <c r="D270" s="223"/>
      <c r="E270" s="224"/>
      <c r="F270" s="219"/>
      <c r="G270" s="511" t="str">
        <f ca="1">IFERROR(VLOOKUP(U263,Num_AS,16,FALSE),"")</f>
        <v/>
      </c>
      <c r="H270" s="224"/>
      <c r="I270" s="222"/>
      <c r="J270" s="512" t="str">
        <f ca="1">IFERROR(VLOOKUP(U263,Num_AS,15,FALSE),"")</f>
        <v/>
      </c>
      <c r="K270" s="224"/>
      <c r="L270" s="222" t="str">
        <f ca="1">IFERROR(VLOOKUP(U263,Num_AS,17,FALSE),"")</f>
        <v/>
      </c>
      <c r="M270" s="287">
        <f ca="1">G263</f>
        <v>10</v>
      </c>
      <c r="N270" s="288"/>
      <c r="O270" s="249"/>
      <c r="Q270" s="254"/>
      <c r="R270" s="254"/>
      <c r="S270" s="254"/>
      <c r="T270" s="254"/>
      <c r="U270" s="254"/>
      <c r="V270" s="254"/>
      <c r="W270" s="254"/>
      <c r="X270" s="254"/>
      <c r="Y270" s="254"/>
    </row>
    <row r="271" spans="1:25" ht="24" customHeight="1" x14ac:dyDescent="0.2">
      <c r="A271" s="509" t="str">
        <f ca="1">IFERROR(VLOOKUP(U263,Num_AS,18,FALSE),"")</f>
        <v/>
      </c>
      <c r="B271" s="223"/>
      <c r="C271" s="510" t="str">
        <f ca="1">IFERROR(VLOOKUP(U263,Num_AS,19,FALSE),"")</f>
        <v/>
      </c>
      <c r="D271" s="223"/>
      <c r="E271" s="224"/>
      <c r="F271" s="219"/>
      <c r="G271" s="511" t="str">
        <f ca="1">IFERROR(VLOOKUP(U263,Num_AS,22,FALSE),"")</f>
        <v/>
      </c>
      <c r="H271" s="224"/>
      <c r="I271" s="222"/>
      <c r="J271" s="512" t="str">
        <f ca="1">IFERROR(VLOOKUP(U263,Num_AS,21,FALSE),"")</f>
        <v/>
      </c>
      <c r="K271" s="224"/>
      <c r="L271" s="222" t="str">
        <f ca="1">IFERROR(VLOOKUP(U263,Num_AS,23,FALSE),"")</f>
        <v/>
      </c>
      <c r="M271" s="287">
        <f ca="1">G263</f>
        <v>10</v>
      </c>
      <c r="N271" s="288"/>
      <c r="O271" s="249"/>
      <c r="Q271" s="254"/>
      <c r="R271" s="254"/>
      <c r="S271" s="254"/>
      <c r="T271" s="254"/>
      <c r="U271" s="254"/>
      <c r="V271" s="254"/>
      <c r="W271" s="254"/>
      <c r="X271" s="254"/>
      <c r="Y271" s="254"/>
    </row>
    <row r="272" spans="1:25" ht="24" customHeight="1" x14ac:dyDescent="0.2">
      <c r="A272" s="509" t="str">
        <f ca="1">IFERROR(VLOOKUP(U263,Num_AS,24,FALSE),"")</f>
        <v/>
      </c>
      <c r="B272" s="223"/>
      <c r="C272" s="510" t="str">
        <f ca="1">IFERROR(VLOOKUP(U263,Num_AS,25,FALSE),"")</f>
        <v/>
      </c>
      <c r="D272" s="223"/>
      <c r="E272" s="224"/>
      <c r="F272" s="219"/>
      <c r="G272" s="511" t="str">
        <f ca="1">IFERROR(VLOOKUP(U263,Num_AS,28,FALSE),"")</f>
        <v/>
      </c>
      <c r="H272" s="224"/>
      <c r="I272" s="222"/>
      <c r="J272" s="512" t="str">
        <f ca="1">IFERROR(VLOOKUP(U263,Num_AS,27,FALSE),"")</f>
        <v/>
      </c>
      <c r="K272" s="224"/>
      <c r="L272" s="222" t="str">
        <f ca="1">IFERROR(VLOOKUP(U263,Num_AS,29,FALSE),"")</f>
        <v/>
      </c>
      <c r="M272" s="289">
        <f ca="1">G263</f>
        <v>10</v>
      </c>
      <c r="N272" s="290"/>
      <c r="O272" s="249"/>
    </row>
    <row r="273" spans="1:25" ht="15" customHeight="1" thickBot="1" x14ac:dyDescent="0.25"/>
    <row r="274" spans="1:25" ht="20.100000000000001" customHeight="1" x14ac:dyDescent="0.2">
      <c r="F274" s="1081" t="s">
        <v>555</v>
      </c>
      <c r="G274" s="1082"/>
      <c r="H274" s="1082"/>
      <c r="I274" s="1082"/>
      <c r="J274" s="1083"/>
      <c r="K274" s="1081" t="s">
        <v>556</v>
      </c>
      <c r="L274" s="1082"/>
      <c r="M274" s="1082"/>
      <c r="N274" s="1082"/>
      <c r="O274" s="1083"/>
      <c r="P274" s="1081" t="s">
        <v>557</v>
      </c>
      <c r="Q274" s="1082"/>
      <c r="R274" s="1082"/>
      <c r="S274" s="1082"/>
      <c r="T274" s="1083"/>
      <c r="U274" s="1081" t="s">
        <v>558</v>
      </c>
      <c r="V274" s="1082"/>
      <c r="W274" s="1082"/>
      <c r="X274" s="1082"/>
      <c r="Y274" s="1083"/>
    </row>
    <row r="275" spans="1:25" ht="20.100000000000001" customHeight="1" x14ac:dyDescent="0.2">
      <c r="A275" s="1075" t="s">
        <v>559</v>
      </c>
      <c r="B275" s="1075"/>
      <c r="C275" s="1075"/>
      <c r="D275" s="1075"/>
      <c r="E275" s="1089"/>
      <c r="F275" s="1090" t="s">
        <v>560</v>
      </c>
      <c r="G275" s="1075"/>
      <c r="H275" s="1075"/>
      <c r="J275" s="225" t="s">
        <v>7</v>
      </c>
      <c r="K275" s="1090" t="s">
        <v>560</v>
      </c>
      <c r="L275" s="1075"/>
      <c r="M275" s="1075"/>
      <c r="O275" s="225" t="s">
        <v>7</v>
      </c>
      <c r="P275" s="1090" t="s">
        <v>560</v>
      </c>
      <c r="Q275" s="1075"/>
      <c r="R275" s="1075"/>
      <c r="T275" s="225" t="s">
        <v>7</v>
      </c>
      <c r="U275" s="1090" t="s">
        <v>560</v>
      </c>
      <c r="V275" s="1075"/>
      <c r="W275" s="1075"/>
      <c r="Y275" s="225" t="s">
        <v>7</v>
      </c>
    </row>
    <row r="276" spans="1:25" ht="24" customHeight="1" x14ac:dyDescent="0.2">
      <c r="A276" s="513" t="str">
        <f ca="1">A269</f>
        <v/>
      </c>
      <c r="B276" s="227"/>
      <c r="C276" s="514" t="str">
        <f ca="1">C269</f>
        <v/>
      </c>
      <c r="D276" s="227"/>
      <c r="E276" s="227"/>
      <c r="F276" s="228"/>
      <c r="G276" s="229"/>
      <c r="H276" s="229"/>
      <c r="I276" s="230" t="s">
        <v>561</v>
      </c>
      <c r="J276" s="231"/>
      <c r="K276" s="228"/>
      <c r="L276" s="229"/>
      <c r="M276" s="229"/>
      <c r="N276" s="230" t="s">
        <v>561</v>
      </c>
      <c r="O276" s="231"/>
      <c r="P276" s="228"/>
      <c r="Q276" s="229"/>
      <c r="R276" s="229"/>
      <c r="S276" s="230" t="s">
        <v>561</v>
      </c>
      <c r="T276" s="231"/>
      <c r="U276" s="228"/>
      <c r="V276" s="229"/>
      <c r="W276" s="229"/>
      <c r="X276" s="230" t="s">
        <v>561</v>
      </c>
      <c r="Y276" s="231"/>
    </row>
    <row r="277" spans="1:25" ht="24" customHeight="1" x14ac:dyDescent="0.2">
      <c r="A277" s="513" t="str">
        <f ca="1">A270</f>
        <v/>
      </c>
      <c r="B277" s="227"/>
      <c r="C277" s="514" t="str">
        <f ca="1">C270</f>
        <v/>
      </c>
      <c r="D277" s="227"/>
      <c r="E277" s="227"/>
      <c r="F277" s="228"/>
      <c r="G277" s="229"/>
      <c r="H277" s="229"/>
      <c r="I277" s="230" t="s">
        <v>561</v>
      </c>
      <c r="J277" s="231"/>
      <c r="K277" s="228"/>
      <c r="L277" s="229"/>
      <c r="M277" s="229"/>
      <c r="N277" s="230" t="s">
        <v>561</v>
      </c>
      <c r="O277" s="231"/>
      <c r="P277" s="228"/>
      <c r="Q277" s="229"/>
      <c r="R277" s="229"/>
      <c r="S277" s="230" t="s">
        <v>561</v>
      </c>
      <c r="T277" s="231"/>
      <c r="U277" s="228"/>
      <c r="V277" s="229"/>
      <c r="W277" s="229"/>
      <c r="X277" s="230" t="s">
        <v>561</v>
      </c>
      <c r="Y277" s="231"/>
    </row>
    <row r="278" spans="1:25" ht="24" customHeight="1" x14ac:dyDescent="0.2">
      <c r="A278" s="513" t="str">
        <f ca="1">A271</f>
        <v/>
      </c>
      <c r="B278" s="227"/>
      <c r="C278" s="514" t="str">
        <f ca="1">C271</f>
        <v/>
      </c>
      <c r="D278" s="227"/>
      <c r="E278" s="227"/>
      <c r="F278" s="228"/>
      <c r="G278" s="229"/>
      <c r="H278" s="229"/>
      <c r="I278" s="230" t="s">
        <v>561</v>
      </c>
      <c r="J278" s="231"/>
      <c r="K278" s="228"/>
      <c r="L278" s="229"/>
      <c r="M278" s="229"/>
      <c r="N278" s="230" t="s">
        <v>561</v>
      </c>
      <c r="O278" s="231"/>
      <c r="P278" s="228"/>
      <c r="Q278" s="229"/>
      <c r="R278" s="229"/>
      <c r="S278" s="230" t="s">
        <v>561</v>
      </c>
      <c r="T278" s="231"/>
      <c r="U278" s="228"/>
      <c r="V278" s="229"/>
      <c r="W278" s="229"/>
      <c r="X278" s="230" t="s">
        <v>561</v>
      </c>
      <c r="Y278" s="231"/>
    </row>
    <row r="279" spans="1:25" ht="24" customHeight="1" x14ac:dyDescent="0.2">
      <c r="A279" s="513" t="str">
        <f ca="1">A272</f>
        <v/>
      </c>
      <c r="B279" s="227"/>
      <c r="C279" s="514" t="str">
        <f ca="1">C272</f>
        <v/>
      </c>
      <c r="D279" s="227"/>
      <c r="E279" s="227"/>
      <c r="F279" s="228"/>
      <c r="G279" s="229"/>
      <c r="H279" s="229"/>
      <c r="I279" s="230" t="s">
        <v>561</v>
      </c>
      <c r="J279" s="232"/>
      <c r="K279" s="228"/>
      <c r="L279" s="229"/>
      <c r="M279" s="229"/>
      <c r="N279" s="230" t="s">
        <v>561</v>
      </c>
      <c r="O279" s="232"/>
      <c r="P279" s="228"/>
      <c r="Q279" s="229"/>
      <c r="R279" s="229"/>
      <c r="S279" s="230" t="s">
        <v>561</v>
      </c>
      <c r="T279" s="232"/>
      <c r="U279" s="228"/>
      <c r="V279" s="229"/>
      <c r="W279" s="229"/>
      <c r="X279" s="230" t="s">
        <v>561</v>
      </c>
      <c r="Y279" s="232"/>
    </row>
    <row r="280" spans="1:25" ht="24" customHeight="1" thickBot="1" x14ac:dyDescent="0.25">
      <c r="F280" s="1079" t="s">
        <v>562</v>
      </c>
      <c r="G280" s="1080"/>
      <c r="H280" s="1080"/>
      <c r="I280" s="230" t="s">
        <v>561</v>
      </c>
      <c r="J280" s="231"/>
      <c r="K280" s="1079" t="s">
        <v>563</v>
      </c>
      <c r="L280" s="1080"/>
      <c r="M280" s="1080"/>
      <c r="N280" s="230" t="s">
        <v>561</v>
      </c>
      <c r="O280" s="232"/>
      <c r="P280" s="1079" t="s">
        <v>564</v>
      </c>
      <c r="Q280" s="1080"/>
      <c r="R280" s="1080"/>
      <c r="S280" s="230" t="s">
        <v>561</v>
      </c>
      <c r="T280" s="232"/>
      <c r="U280" s="1079" t="s">
        <v>565</v>
      </c>
      <c r="V280" s="1080"/>
      <c r="W280" s="1080"/>
      <c r="X280" s="230" t="s">
        <v>561</v>
      </c>
      <c r="Y280" s="232"/>
    </row>
    <row r="281" spans="1:25" ht="24" customHeight="1" thickBot="1" x14ac:dyDescent="0.25">
      <c r="A281" s="508" t="s">
        <v>1013</v>
      </c>
      <c r="B281" s="508"/>
      <c r="D281" s="1094">
        <f ca="1">VLOOKUP(A265&amp;A266,PTS_SP,2,FALSE)</f>
        <v>0</v>
      </c>
      <c r="E281" s="1095"/>
      <c r="F281" s="745" t="s">
        <v>1014</v>
      </c>
      <c r="G281" s="670"/>
      <c r="H281" s="744"/>
      <c r="I281" s="1096"/>
      <c r="J281" s="1097"/>
      <c r="K281" s="1100" t="s">
        <v>1015</v>
      </c>
      <c r="L281" s="1101"/>
      <c r="M281" s="1102"/>
      <c r="N281" s="1096"/>
      <c r="O281" s="1097"/>
      <c r="P281" s="1100" t="s">
        <v>1016</v>
      </c>
      <c r="Q281" s="1101"/>
      <c r="R281" s="1102"/>
      <c r="S281" s="1096"/>
      <c r="T281" s="1097"/>
      <c r="U281" s="1100" t="s">
        <v>1017</v>
      </c>
      <c r="V281" s="1101"/>
      <c r="W281" s="1102"/>
      <c r="X281" s="1096"/>
      <c r="Y281" s="1097"/>
    </row>
    <row r="282" spans="1:25" ht="12.75" customHeight="1" x14ac:dyDescent="0.2">
      <c r="Y282" s="240" t="s">
        <v>570</v>
      </c>
    </row>
    <row r="283" spans="1:25" ht="15.75" customHeight="1" x14ac:dyDescent="0.2">
      <c r="B283" s="1091" t="s">
        <v>851</v>
      </c>
      <c r="C283" s="1091"/>
      <c r="D283" s="1091"/>
      <c r="E283" s="1091"/>
      <c r="F283" s="1091"/>
      <c r="G283" s="1091"/>
      <c r="H283" s="1091"/>
      <c r="I283" s="1091"/>
      <c r="J283" s="1091"/>
      <c r="K283" s="1091"/>
      <c r="L283" s="1091"/>
      <c r="O283" s="1091" t="s">
        <v>522</v>
      </c>
      <c r="P283" s="1091"/>
      <c r="Q283" s="1091"/>
      <c r="R283" s="1091"/>
      <c r="S283" s="1091"/>
      <c r="T283" s="1091"/>
      <c r="U283" s="1091"/>
      <c r="V283" s="1091"/>
      <c r="W283" s="1091"/>
      <c r="X283" s="1091"/>
      <c r="Y283" s="1091"/>
    </row>
    <row r="284" spans="1:25" ht="13.5" customHeight="1" x14ac:dyDescent="0.2">
      <c r="B284" s="1086" t="s">
        <v>1</v>
      </c>
      <c r="C284" s="1087"/>
      <c r="D284" s="1087"/>
      <c r="E284" s="1087"/>
      <c r="F284" s="1087"/>
      <c r="G284" s="1087"/>
      <c r="H284" s="1088"/>
      <c r="I284" s="1086" t="s">
        <v>520</v>
      </c>
      <c r="J284" s="1087"/>
      <c r="K284" s="1087"/>
      <c r="L284" s="1088"/>
      <c r="N284" s="241"/>
      <c r="O284" s="1086" t="s">
        <v>1</v>
      </c>
      <c r="P284" s="1087"/>
      <c r="Q284" s="1087"/>
      <c r="R284" s="1087"/>
      <c r="S284" s="1087"/>
      <c r="T284" s="1087"/>
      <c r="U284" s="1088"/>
      <c r="V284" s="1086" t="s">
        <v>520</v>
      </c>
      <c r="W284" s="1087"/>
      <c r="X284" s="1087"/>
      <c r="Y284" s="1088"/>
    </row>
    <row r="285" spans="1:25" ht="21.75" customHeight="1" x14ac:dyDescent="0.2">
      <c r="B285" s="242"/>
      <c r="C285" s="243"/>
      <c r="D285" s="243"/>
      <c r="E285" s="243"/>
      <c r="F285" s="243"/>
      <c r="G285" s="243"/>
      <c r="H285" s="243"/>
      <c r="I285" s="242"/>
      <c r="J285" s="243"/>
      <c r="K285" s="243"/>
      <c r="L285" s="244"/>
      <c r="N285" s="241"/>
      <c r="O285" s="242"/>
      <c r="P285" s="243"/>
      <c r="Q285" s="243"/>
      <c r="R285" s="243"/>
      <c r="S285" s="243"/>
      <c r="T285" s="243"/>
      <c r="U285" s="243"/>
      <c r="V285" s="242"/>
      <c r="W285" s="243"/>
      <c r="X285" s="243"/>
      <c r="Y285" s="244"/>
    </row>
    <row r="286" spans="1:25" ht="13.5" customHeight="1" x14ac:dyDescent="0.2"/>
    <row r="287" spans="1:25" ht="14.25" customHeight="1" thickBot="1" x14ac:dyDescent="0.25">
      <c r="A287" s="241"/>
      <c r="G287" s="305"/>
      <c r="H287" s="305"/>
      <c r="I287" s="1069" t="s">
        <v>0</v>
      </c>
      <c r="J287" s="1069"/>
      <c r="K287" s="1069"/>
      <c r="L287" s="1069"/>
      <c r="M287" s="1069"/>
      <c r="N287" s="1069"/>
      <c r="O287" s="1069"/>
      <c r="P287" s="1069" t="s">
        <v>374</v>
      </c>
      <c r="Q287" s="1069"/>
      <c r="R287" s="1069"/>
      <c r="S287" s="1069"/>
      <c r="T287" s="1069"/>
      <c r="U287" s="1069" t="s">
        <v>571</v>
      </c>
      <c r="V287" s="1069"/>
      <c r="W287" s="1069"/>
      <c r="X287" s="305"/>
      <c r="Y287" s="305"/>
    </row>
    <row r="288" spans="1:25" ht="20.25" customHeight="1" x14ac:dyDescent="0.2">
      <c r="A288" s="241"/>
      <c r="F288" s="1074" t="s">
        <v>584</v>
      </c>
      <c r="G288" s="1074"/>
      <c r="H288" s="1074"/>
      <c r="I288" s="316"/>
      <c r="J288" s="306"/>
      <c r="K288" s="306"/>
      <c r="L288" s="306"/>
      <c r="M288" s="306"/>
      <c r="N288" s="306"/>
      <c r="O288" s="306"/>
      <c r="P288" s="312"/>
      <c r="Q288" s="306"/>
      <c r="R288" s="307"/>
      <c r="S288" s="304"/>
      <c r="T288" s="313"/>
      <c r="U288" s="310"/>
      <c r="V288" s="1084" t="s">
        <v>495</v>
      </c>
      <c r="W288" s="308"/>
    </row>
    <row r="289" spans="1:25" ht="13.5" thickBot="1" x14ac:dyDescent="0.25">
      <c r="F289" s="1074"/>
      <c r="G289" s="1074"/>
      <c r="H289" s="1074"/>
      <c r="I289" s="303"/>
      <c r="J289" s="235"/>
      <c r="K289" s="235"/>
      <c r="L289" s="235"/>
      <c r="M289" s="235"/>
      <c r="N289" s="235"/>
      <c r="O289" s="235"/>
      <c r="P289" s="314"/>
      <c r="Q289" s="235"/>
      <c r="R289" s="234"/>
      <c r="S289" s="234"/>
      <c r="T289" s="315"/>
      <c r="U289" s="311"/>
      <c r="V289" s="1085"/>
      <c r="W289" s="309"/>
    </row>
    <row r="291" spans="1:25" ht="6.75" customHeight="1" x14ac:dyDescent="0.2"/>
    <row r="292" spans="1:25" s="218" customFormat="1" ht="23.25" customHeight="1" x14ac:dyDescent="0.2">
      <c r="A292" s="1072" t="s">
        <v>546</v>
      </c>
      <c r="B292" s="1073"/>
      <c r="C292" s="499" t="str">
        <f>C263</f>
        <v>D1</v>
      </c>
      <c r="D292" s="1098" t="s">
        <v>628</v>
      </c>
      <c r="E292" s="1072"/>
      <c r="F292" s="1072"/>
      <c r="G292" s="1103">
        <f ca="1">INDIRECT("AD"&amp;V292)</f>
        <v>11</v>
      </c>
      <c r="H292" s="1104"/>
      <c r="J292" s="218" t="str">
        <f>CATEG_IMPORTEE</f>
        <v>Collèges Mixtes Etablissement</v>
      </c>
      <c r="T292" s="500"/>
      <c r="U292" s="520" t="str">
        <f ca="1">INDIRECT("AE"&amp;V292)</f>
        <v>C13-Coll13Ville13</v>
      </c>
      <c r="V292" s="500">
        <f>Y292+2</f>
        <v>13</v>
      </c>
      <c r="W292" s="501" t="str">
        <f ca="1">INDIRECT("AF"&amp;V292)</f>
        <v>C12-Coll12Ville12</v>
      </c>
      <c r="X292" s="502" t="s">
        <v>849</v>
      </c>
      <c r="Y292" s="503">
        <f>Y263+1</f>
        <v>11</v>
      </c>
    </row>
    <row r="293" spans="1:25" ht="27" customHeight="1" thickBot="1" x14ac:dyDescent="0.25">
      <c r="A293" s="1093" t="s">
        <v>0</v>
      </c>
      <c r="B293" s="1093"/>
      <c r="C293" s="1093"/>
      <c r="D293" s="1093"/>
      <c r="E293" s="1093"/>
      <c r="F293" s="1093"/>
      <c r="G293" s="1093"/>
      <c r="H293" s="1093" t="s">
        <v>374</v>
      </c>
      <c r="I293" s="1093"/>
      <c r="J293" s="1093"/>
      <c r="K293" s="1093"/>
      <c r="L293" s="1093"/>
      <c r="O293" s="1069" t="s">
        <v>0</v>
      </c>
      <c r="P293" s="1069"/>
      <c r="Q293" s="1069"/>
      <c r="R293" s="1069"/>
      <c r="S293" s="1069"/>
      <c r="T293" s="1069"/>
      <c r="U293" s="1069"/>
      <c r="V293" s="1069" t="s">
        <v>374</v>
      </c>
      <c r="W293" s="1069"/>
      <c r="X293" s="1069"/>
      <c r="Y293" s="1069"/>
    </row>
    <row r="294" spans="1:25" ht="24" customHeight="1" thickBot="1" x14ac:dyDescent="0.25">
      <c r="A294" s="504" t="str">
        <f ca="1">IFERROR(VLOOKUP(U292,Num_AS,2,FALSE),"")</f>
        <v/>
      </c>
      <c r="B294" s="505"/>
      <c r="C294" s="505"/>
      <c r="D294" s="505"/>
      <c r="E294" s="505"/>
      <c r="F294" s="505"/>
      <c r="G294" s="506"/>
      <c r="H294" s="507" t="str">
        <f ca="1">IFERROR(VLOOKUP(U292,Num_AS,4,FALSE),"")</f>
        <v/>
      </c>
      <c r="I294" s="220"/>
      <c r="J294" s="220"/>
      <c r="K294" s="220"/>
      <c r="L294" s="738"/>
      <c r="M294" s="1070" t="s">
        <v>547</v>
      </c>
      <c r="N294" s="1071"/>
      <c r="O294" s="504" t="str">
        <f ca="1">IFERROR(VLOOKUP(W292,Num_AS,2,FALSE),"")</f>
        <v/>
      </c>
      <c r="P294" s="505"/>
      <c r="Q294" s="505"/>
      <c r="R294" s="505"/>
      <c r="S294" s="505"/>
      <c r="T294" s="505"/>
      <c r="U294" s="506"/>
      <c r="V294" s="507" t="str">
        <f ca="1">IFERROR(VLOOKUP(W292,Num_AS,4,FALSE),"")</f>
        <v/>
      </c>
      <c r="W294" s="220"/>
      <c r="X294" s="220"/>
      <c r="Y294" s="221"/>
    </row>
    <row r="295" spans="1:25" ht="15" customHeight="1" x14ac:dyDescent="0.2">
      <c r="A295" s="736" t="str">
        <f ca="1">IFERROR(VLOOKUP(U292,Num_AS,3,FALSE),"")</f>
        <v/>
      </c>
      <c r="B295" s="736"/>
      <c r="C295" s="736"/>
      <c r="D295" s="736"/>
      <c r="E295" s="736"/>
      <c r="F295" s="736"/>
      <c r="G295" s="736"/>
      <c r="H295" s="737"/>
    </row>
    <row r="296" spans="1:25" ht="20.100000000000001" customHeight="1" x14ac:dyDescent="0.2">
      <c r="A296" s="1074" t="s">
        <v>548</v>
      </c>
      <c r="B296" s="1074"/>
      <c r="C296" s="1074"/>
      <c r="D296" s="1074"/>
      <c r="E296" s="1074"/>
      <c r="Q296" s="217" t="str">
        <f>Q267</f>
        <v>Championnat de France de Tir à l'ARC</v>
      </c>
    </row>
    <row r="297" spans="1:25" ht="20.100000000000001" customHeight="1" x14ac:dyDescent="0.2">
      <c r="A297" s="1075" t="s">
        <v>549</v>
      </c>
      <c r="B297" s="1075"/>
      <c r="C297" s="1075"/>
      <c r="D297" s="1075"/>
      <c r="E297" s="1075"/>
      <c r="G297" s="1076" t="s">
        <v>480</v>
      </c>
      <c r="H297" s="1076"/>
      <c r="I297" s="1077" t="s">
        <v>550</v>
      </c>
      <c r="J297" s="1077"/>
      <c r="K297" s="1077"/>
      <c r="L297" s="252" t="s">
        <v>551</v>
      </c>
      <c r="M297" s="1078" t="s">
        <v>552</v>
      </c>
      <c r="N297" s="1078"/>
      <c r="O297" s="251"/>
      <c r="Q297" s="217" t="str">
        <f>Q268</f>
        <v>L’Isle sur la Sorgue du 27 au 31 mars 2023</v>
      </c>
    </row>
    <row r="298" spans="1:25" ht="24" customHeight="1" x14ac:dyDescent="0.2">
      <c r="A298" s="509" t="str">
        <f ca="1">IFERROR(VLOOKUP(U292,Num_AS,6,FALSE),"")</f>
        <v/>
      </c>
      <c r="B298" s="223"/>
      <c r="C298" s="510" t="str">
        <f ca="1">IFERROR(VLOOKUP(U292,Num_AS,7,FALSE),"")</f>
        <v/>
      </c>
      <c r="D298" s="223"/>
      <c r="E298" s="224"/>
      <c r="F298" s="219"/>
      <c r="G298" s="511" t="str">
        <f ca="1">IFERROR(VLOOKUP(U292,Num_AS,10,FALSE),"")</f>
        <v/>
      </c>
      <c r="H298" s="224"/>
      <c r="I298" s="222"/>
      <c r="J298" s="512" t="str">
        <f ca="1">IFERROR(VLOOKUP(U292,Num_AS,9,FALSE),"")</f>
        <v/>
      </c>
      <c r="K298" s="224"/>
      <c r="L298" s="222" t="str">
        <f ca="1">IFERROR(VLOOKUP(U292,Num_AS,11,FALSE),"")</f>
        <v/>
      </c>
      <c r="M298" s="287">
        <f ca="1">G292</f>
        <v>11</v>
      </c>
      <c r="N298" s="288"/>
      <c r="O298" s="249"/>
      <c r="R298" s="254"/>
      <c r="S298" s="254"/>
      <c r="T298" s="254"/>
      <c r="U298" s="254"/>
      <c r="V298" s="254"/>
      <c r="W298" s="254"/>
      <c r="X298" s="254"/>
      <c r="Y298" s="254"/>
    </row>
    <row r="299" spans="1:25" ht="24" customHeight="1" x14ac:dyDescent="0.2">
      <c r="A299" s="509" t="str">
        <f ca="1">IFERROR(VLOOKUP(U292,Num_AS,12,FALSE),"")</f>
        <v/>
      </c>
      <c r="B299" s="223"/>
      <c r="C299" s="510" t="str">
        <f ca="1">IFERROR(VLOOKUP(U292,Num_AS,13,FALSE),"")</f>
        <v/>
      </c>
      <c r="D299" s="223"/>
      <c r="E299" s="224"/>
      <c r="F299" s="219"/>
      <c r="G299" s="511" t="str">
        <f ca="1">IFERROR(VLOOKUP(U292,Num_AS,16,FALSE),"")</f>
        <v/>
      </c>
      <c r="H299" s="224"/>
      <c r="I299" s="222"/>
      <c r="J299" s="512" t="str">
        <f ca="1">IFERROR(VLOOKUP(U292,Num_AS,15,FALSE),"")</f>
        <v/>
      </c>
      <c r="K299" s="224"/>
      <c r="L299" s="222" t="str">
        <f ca="1">IFERROR(VLOOKUP(U292,Num_AS,17,FALSE),"")</f>
        <v/>
      </c>
      <c r="M299" s="287">
        <f ca="1">G292</f>
        <v>11</v>
      </c>
      <c r="N299" s="288"/>
      <c r="O299" s="249"/>
      <c r="Q299" s="254"/>
      <c r="R299" s="254"/>
      <c r="S299" s="254"/>
      <c r="T299" s="254"/>
      <c r="U299" s="254"/>
      <c r="V299" s="254"/>
      <c r="W299" s="254"/>
      <c r="X299" s="254"/>
      <c r="Y299" s="254"/>
    </row>
    <row r="300" spans="1:25" ht="24" customHeight="1" x14ac:dyDescent="0.2">
      <c r="A300" s="509" t="str">
        <f ca="1">IFERROR(VLOOKUP(U292,Num_AS,18,FALSE),"")</f>
        <v/>
      </c>
      <c r="B300" s="223"/>
      <c r="C300" s="510" t="str">
        <f ca="1">IFERROR(VLOOKUP(U292,Num_AS,19,FALSE),"")</f>
        <v/>
      </c>
      <c r="D300" s="223"/>
      <c r="E300" s="224"/>
      <c r="F300" s="219"/>
      <c r="G300" s="511" t="str">
        <f ca="1">IFERROR(VLOOKUP(U292,Num_AS,22,FALSE),"")</f>
        <v/>
      </c>
      <c r="H300" s="224"/>
      <c r="I300" s="222"/>
      <c r="J300" s="512" t="str">
        <f ca="1">IFERROR(VLOOKUP(U292,Num_AS,21,FALSE),"")</f>
        <v/>
      </c>
      <c r="K300" s="224"/>
      <c r="L300" s="222" t="str">
        <f ca="1">IFERROR(VLOOKUP(U292,Num_AS,23,FALSE),"")</f>
        <v/>
      </c>
      <c r="M300" s="287">
        <f ca="1">G292</f>
        <v>11</v>
      </c>
      <c r="N300" s="288"/>
      <c r="O300" s="249"/>
      <c r="Q300" s="254"/>
      <c r="R300" s="254"/>
      <c r="S300" s="254"/>
      <c r="T300" s="254"/>
      <c r="U300" s="254"/>
      <c r="V300" s="254"/>
      <c r="W300" s="254"/>
      <c r="X300" s="254"/>
      <c r="Y300" s="254"/>
    </row>
    <row r="301" spans="1:25" ht="24" customHeight="1" x14ac:dyDescent="0.2">
      <c r="A301" s="509" t="str">
        <f ca="1">IFERROR(VLOOKUP(U292,Num_AS,24,FALSE),"")</f>
        <v/>
      </c>
      <c r="B301" s="223"/>
      <c r="C301" s="510" t="str">
        <f ca="1">IFERROR(VLOOKUP(U292,Num_AS,25,FALSE),"")</f>
        <v/>
      </c>
      <c r="D301" s="223"/>
      <c r="E301" s="224"/>
      <c r="F301" s="219"/>
      <c r="G301" s="511" t="str">
        <f ca="1">IFERROR(VLOOKUP(U292,Num_AS,28,FALSE),"")</f>
        <v/>
      </c>
      <c r="H301" s="224"/>
      <c r="I301" s="222"/>
      <c r="J301" s="512" t="str">
        <f ca="1">IFERROR(VLOOKUP(U292,Num_AS,27,FALSE),"")</f>
        <v/>
      </c>
      <c r="K301" s="224"/>
      <c r="L301" s="222" t="str">
        <f ca="1">IFERROR(VLOOKUP(U292,Num_AS,29,FALSE),"")</f>
        <v/>
      </c>
      <c r="M301" s="289">
        <f ca="1">G292</f>
        <v>11</v>
      </c>
      <c r="N301" s="290"/>
      <c r="O301" s="249"/>
    </row>
    <row r="302" spans="1:25" ht="15" customHeight="1" thickBot="1" x14ac:dyDescent="0.25"/>
    <row r="303" spans="1:25" ht="20.100000000000001" customHeight="1" x14ac:dyDescent="0.2">
      <c r="F303" s="1081" t="s">
        <v>555</v>
      </c>
      <c r="G303" s="1082"/>
      <c r="H303" s="1082"/>
      <c r="I303" s="1082"/>
      <c r="J303" s="1083"/>
      <c r="K303" s="1081" t="s">
        <v>556</v>
      </c>
      <c r="L303" s="1082"/>
      <c r="M303" s="1082"/>
      <c r="N303" s="1082"/>
      <c r="O303" s="1083"/>
      <c r="P303" s="1081" t="s">
        <v>557</v>
      </c>
      <c r="Q303" s="1082"/>
      <c r="R303" s="1082"/>
      <c r="S303" s="1082"/>
      <c r="T303" s="1083"/>
      <c r="U303" s="1081" t="s">
        <v>558</v>
      </c>
      <c r="V303" s="1082"/>
      <c r="W303" s="1082"/>
      <c r="X303" s="1082"/>
      <c r="Y303" s="1083"/>
    </row>
    <row r="304" spans="1:25" ht="20.100000000000001" customHeight="1" x14ac:dyDescent="0.2">
      <c r="A304" s="1075" t="s">
        <v>559</v>
      </c>
      <c r="B304" s="1075"/>
      <c r="C304" s="1075"/>
      <c r="D304" s="1075"/>
      <c r="E304" s="1089"/>
      <c r="F304" s="1090" t="s">
        <v>560</v>
      </c>
      <c r="G304" s="1075"/>
      <c r="H304" s="1075"/>
      <c r="J304" s="225" t="s">
        <v>7</v>
      </c>
      <c r="K304" s="1090" t="s">
        <v>560</v>
      </c>
      <c r="L304" s="1075"/>
      <c r="M304" s="1075"/>
      <c r="O304" s="225" t="s">
        <v>7</v>
      </c>
      <c r="P304" s="1090" t="s">
        <v>560</v>
      </c>
      <c r="Q304" s="1075"/>
      <c r="R304" s="1075"/>
      <c r="T304" s="225" t="s">
        <v>7</v>
      </c>
      <c r="U304" s="1090" t="s">
        <v>560</v>
      </c>
      <c r="V304" s="1075"/>
      <c r="W304" s="1075"/>
      <c r="Y304" s="225" t="s">
        <v>7</v>
      </c>
    </row>
    <row r="305" spans="1:25" ht="24" customHeight="1" x14ac:dyDescent="0.2">
      <c r="A305" s="513" t="str">
        <f ca="1">A298</f>
        <v/>
      </c>
      <c r="B305" s="227"/>
      <c r="C305" s="514" t="str">
        <f ca="1">C298</f>
        <v/>
      </c>
      <c r="D305" s="227"/>
      <c r="E305" s="227"/>
      <c r="F305" s="228"/>
      <c r="G305" s="229"/>
      <c r="H305" s="229"/>
      <c r="I305" s="230" t="s">
        <v>561</v>
      </c>
      <c r="J305" s="231"/>
      <c r="K305" s="228"/>
      <c r="L305" s="229"/>
      <c r="M305" s="229"/>
      <c r="N305" s="230" t="s">
        <v>561</v>
      </c>
      <c r="O305" s="231"/>
      <c r="P305" s="228"/>
      <c r="Q305" s="229"/>
      <c r="R305" s="229"/>
      <c r="S305" s="230" t="s">
        <v>561</v>
      </c>
      <c r="T305" s="231"/>
      <c r="U305" s="228"/>
      <c r="V305" s="229"/>
      <c r="W305" s="229"/>
      <c r="X305" s="230" t="s">
        <v>561</v>
      </c>
      <c r="Y305" s="231"/>
    </row>
    <row r="306" spans="1:25" ht="24" customHeight="1" x14ac:dyDescent="0.2">
      <c r="A306" s="513" t="str">
        <f ca="1">A299</f>
        <v/>
      </c>
      <c r="B306" s="227"/>
      <c r="C306" s="514" t="str">
        <f ca="1">C299</f>
        <v/>
      </c>
      <c r="D306" s="227"/>
      <c r="E306" s="227"/>
      <c r="F306" s="228"/>
      <c r="G306" s="229"/>
      <c r="H306" s="229"/>
      <c r="I306" s="230" t="s">
        <v>561</v>
      </c>
      <c r="J306" s="231"/>
      <c r="K306" s="228"/>
      <c r="L306" s="229"/>
      <c r="M306" s="229"/>
      <c r="N306" s="230" t="s">
        <v>561</v>
      </c>
      <c r="O306" s="231"/>
      <c r="P306" s="228"/>
      <c r="Q306" s="229"/>
      <c r="R306" s="229"/>
      <c r="S306" s="230" t="s">
        <v>561</v>
      </c>
      <c r="T306" s="231"/>
      <c r="U306" s="228"/>
      <c r="V306" s="229"/>
      <c r="W306" s="229"/>
      <c r="X306" s="230" t="s">
        <v>561</v>
      </c>
      <c r="Y306" s="231"/>
    </row>
    <row r="307" spans="1:25" ht="24" customHeight="1" x14ac:dyDescent="0.2">
      <c r="A307" s="513" t="str">
        <f ca="1">A300</f>
        <v/>
      </c>
      <c r="B307" s="227"/>
      <c r="C307" s="514" t="str">
        <f ca="1">C300</f>
        <v/>
      </c>
      <c r="D307" s="227"/>
      <c r="E307" s="227"/>
      <c r="F307" s="228"/>
      <c r="G307" s="229"/>
      <c r="H307" s="229"/>
      <c r="I307" s="230" t="s">
        <v>561</v>
      </c>
      <c r="J307" s="231"/>
      <c r="K307" s="228"/>
      <c r="L307" s="229"/>
      <c r="M307" s="229"/>
      <c r="N307" s="230" t="s">
        <v>561</v>
      </c>
      <c r="O307" s="231"/>
      <c r="P307" s="228"/>
      <c r="Q307" s="229"/>
      <c r="R307" s="229"/>
      <c r="S307" s="230" t="s">
        <v>561</v>
      </c>
      <c r="T307" s="231"/>
      <c r="U307" s="228"/>
      <c r="V307" s="229"/>
      <c r="W307" s="229"/>
      <c r="X307" s="230" t="s">
        <v>561</v>
      </c>
      <c r="Y307" s="231"/>
    </row>
    <row r="308" spans="1:25" ht="24" customHeight="1" x14ac:dyDescent="0.2">
      <c r="A308" s="513" t="str">
        <f ca="1">A301</f>
        <v/>
      </c>
      <c r="B308" s="227"/>
      <c r="C308" s="514" t="str">
        <f ca="1">C301</f>
        <v/>
      </c>
      <c r="D308" s="227"/>
      <c r="E308" s="227"/>
      <c r="F308" s="228"/>
      <c r="G308" s="229"/>
      <c r="H308" s="229"/>
      <c r="I308" s="230" t="s">
        <v>561</v>
      </c>
      <c r="J308" s="232"/>
      <c r="K308" s="228"/>
      <c r="L308" s="229"/>
      <c r="M308" s="229"/>
      <c r="N308" s="230" t="s">
        <v>561</v>
      </c>
      <c r="O308" s="232"/>
      <c r="P308" s="228"/>
      <c r="Q308" s="229"/>
      <c r="R308" s="229"/>
      <c r="S308" s="230" t="s">
        <v>561</v>
      </c>
      <c r="T308" s="232"/>
      <c r="U308" s="228"/>
      <c r="V308" s="229"/>
      <c r="W308" s="229"/>
      <c r="X308" s="230" t="s">
        <v>561</v>
      </c>
      <c r="Y308" s="232"/>
    </row>
    <row r="309" spans="1:25" ht="24" customHeight="1" thickBot="1" x14ac:dyDescent="0.25">
      <c r="F309" s="1079" t="s">
        <v>562</v>
      </c>
      <c r="G309" s="1080"/>
      <c r="H309" s="1080"/>
      <c r="I309" s="230" t="s">
        <v>561</v>
      </c>
      <c r="J309" s="231"/>
      <c r="K309" s="1079" t="s">
        <v>563</v>
      </c>
      <c r="L309" s="1080"/>
      <c r="M309" s="1080"/>
      <c r="N309" s="230" t="s">
        <v>561</v>
      </c>
      <c r="O309" s="232"/>
      <c r="P309" s="1079" t="s">
        <v>564</v>
      </c>
      <c r="Q309" s="1080"/>
      <c r="R309" s="1080"/>
      <c r="S309" s="230" t="s">
        <v>561</v>
      </c>
      <c r="T309" s="232"/>
      <c r="U309" s="1079" t="s">
        <v>565</v>
      </c>
      <c r="V309" s="1080"/>
      <c r="W309" s="1080"/>
      <c r="X309" s="230" t="s">
        <v>561</v>
      </c>
      <c r="Y309" s="232"/>
    </row>
    <row r="310" spans="1:25" ht="24" customHeight="1" thickBot="1" x14ac:dyDescent="0.25">
      <c r="A310" s="508" t="s">
        <v>1013</v>
      </c>
      <c r="B310" s="508"/>
      <c r="D310" s="1094">
        <f ca="1">VLOOKUP(A294&amp;A295,PTS_SP,2,FALSE)</f>
        <v>0</v>
      </c>
      <c r="E310" s="1095"/>
      <c r="F310" s="745" t="s">
        <v>1014</v>
      </c>
      <c r="G310" s="670"/>
      <c r="H310" s="744"/>
      <c r="I310" s="1096"/>
      <c r="J310" s="1097"/>
      <c r="K310" s="1100" t="s">
        <v>1015</v>
      </c>
      <c r="L310" s="1101"/>
      <c r="M310" s="1102"/>
      <c r="N310" s="1096"/>
      <c r="O310" s="1097"/>
      <c r="P310" s="1100" t="s">
        <v>1016</v>
      </c>
      <c r="Q310" s="1101"/>
      <c r="R310" s="1102"/>
      <c r="S310" s="1096"/>
      <c r="T310" s="1097"/>
      <c r="U310" s="1100" t="s">
        <v>1017</v>
      </c>
      <c r="V310" s="1101"/>
      <c r="W310" s="1102"/>
      <c r="X310" s="1096"/>
      <c r="Y310" s="1097"/>
    </row>
    <row r="311" spans="1:25" ht="12.75" customHeight="1" x14ac:dyDescent="0.2">
      <c r="Y311" s="240" t="s">
        <v>570</v>
      </c>
    </row>
    <row r="312" spans="1:25" ht="15.75" customHeight="1" x14ac:dyDescent="0.2">
      <c r="B312" s="1091" t="s">
        <v>851</v>
      </c>
      <c r="C312" s="1091"/>
      <c r="D312" s="1091"/>
      <c r="E312" s="1091"/>
      <c r="F312" s="1091"/>
      <c r="G312" s="1091"/>
      <c r="H312" s="1091"/>
      <c r="I312" s="1091"/>
      <c r="J312" s="1091"/>
      <c r="K312" s="1091"/>
      <c r="L312" s="1091"/>
      <c r="O312" s="1091" t="s">
        <v>522</v>
      </c>
      <c r="P312" s="1091"/>
      <c r="Q312" s="1091"/>
      <c r="R312" s="1091"/>
      <c r="S312" s="1091"/>
      <c r="T312" s="1091"/>
      <c r="U312" s="1091"/>
      <c r="V312" s="1091"/>
      <c r="W312" s="1091"/>
      <c r="X312" s="1091"/>
      <c r="Y312" s="1091"/>
    </row>
    <row r="313" spans="1:25" ht="13.5" customHeight="1" x14ac:dyDescent="0.2">
      <c r="B313" s="1086" t="s">
        <v>1</v>
      </c>
      <c r="C313" s="1087"/>
      <c r="D313" s="1087"/>
      <c r="E313" s="1087"/>
      <c r="F313" s="1087"/>
      <c r="G313" s="1087"/>
      <c r="H313" s="1088"/>
      <c r="I313" s="1086" t="s">
        <v>520</v>
      </c>
      <c r="J313" s="1087"/>
      <c r="K313" s="1087"/>
      <c r="L313" s="1088"/>
      <c r="N313" s="241"/>
      <c r="O313" s="1086" t="s">
        <v>1</v>
      </c>
      <c r="P313" s="1087"/>
      <c r="Q313" s="1087"/>
      <c r="R313" s="1087"/>
      <c r="S313" s="1087"/>
      <c r="T313" s="1087"/>
      <c r="U313" s="1088"/>
      <c r="V313" s="1086" t="s">
        <v>520</v>
      </c>
      <c r="W313" s="1087"/>
      <c r="X313" s="1087"/>
      <c r="Y313" s="1088"/>
    </row>
    <row r="314" spans="1:25" ht="21.75" customHeight="1" x14ac:dyDescent="0.2">
      <c r="B314" s="242"/>
      <c r="C314" s="243"/>
      <c r="D314" s="243"/>
      <c r="E314" s="243"/>
      <c r="F314" s="243"/>
      <c r="G314" s="243"/>
      <c r="H314" s="243"/>
      <c r="I314" s="242"/>
      <c r="J314" s="243"/>
      <c r="K314" s="243"/>
      <c r="L314" s="244"/>
      <c r="N314" s="241"/>
      <c r="O314" s="242"/>
      <c r="P314" s="243"/>
      <c r="Q314" s="243"/>
      <c r="R314" s="243"/>
      <c r="S314" s="243"/>
      <c r="T314" s="243"/>
      <c r="U314" s="243"/>
      <c r="V314" s="242"/>
      <c r="W314" s="243"/>
      <c r="X314" s="243"/>
      <c r="Y314" s="244"/>
    </row>
    <row r="315" spans="1:25" ht="13.5" customHeight="1" x14ac:dyDescent="0.2"/>
    <row r="316" spans="1:25" ht="14.25" customHeight="1" thickBot="1" x14ac:dyDescent="0.25">
      <c r="A316" s="241"/>
      <c r="G316" s="305"/>
      <c r="H316" s="305"/>
      <c r="I316" s="1069" t="s">
        <v>0</v>
      </c>
      <c r="J316" s="1069"/>
      <c r="K316" s="1069"/>
      <c r="L316" s="1069"/>
      <c r="M316" s="1069"/>
      <c r="N316" s="1069"/>
      <c r="O316" s="1069"/>
      <c r="P316" s="1069" t="s">
        <v>374</v>
      </c>
      <c r="Q316" s="1069"/>
      <c r="R316" s="1069"/>
      <c r="S316" s="1069"/>
      <c r="T316" s="1069"/>
      <c r="U316" s="1069" t="s">
        <v>571</v>
      </c>
      <c r="V316" s="1069"/>
      <c r="W316" s="1069"/>
      <c r="X316" s="305"/>
      <c r="Y316" s="305"/>
    </row>
    <row r="317" spans="1:25" ht="20.25" customHeight="1" x14ac:dyDescent="0.2">
      <c r="A317" s="241"/>
      <c r="F317" s="1074" t="s">
        <v>584</v>
      </c>
      <c r="G317" s="1074"/>
      <c r="H317" s="1074"/>
      <c r="I317" s="316"/>
      <c r="J317" s="306"/>
      <c r="K317" s="306"/>
      <c r="L317" s="306"/>
      <c r="M317" s="306"/>
      <c r="N317" s="306"/>
      <c r="O317" s="306"/>
      <c r="P317" s="312"/>
      <c r="Q317" s="306"/>
      <c r="R317" s="307"/>
      <c r="S317" s="304"/>
      <c r="T317" s="313"/>
      <c r="U317" s="310"/>
      <c r="V317" s="1084" t="s">
        <v>495</v>
      </c>
      <c r="W317" s="308"/>
    </row>
    <row r="318" spans="1:25" ht="13.5" thickBot="1" x14ac:dyDescent="0.25">
      <c r="F318" s="1074"/>
      <c r="G318" s="1074"/>
      <c r="H318" s="1074"/>
      <c r="I318" s="303"/>
      <c r="J318" s="235"/>
      <c r="K318" s="235"/>
      <c r="L318" s="235"/>
      <c r="M318" s="235"/>
      <c r="N318" s="235"/>
      <c r="O318" s="235"/>
      <c r="P318" s="314"/>
      <c r="Q318" s="235"/>
      <c r="R318" s="234"/>
      <c r="S318" s="234"/>
      <c r="T318" s="315"/>
      <c r="U318" s="311"/>
      <c r="V318" s="1085"/>
      <c r="W318" s="309"/>
    </row>
    <row r="320" spans="1:25" ht="6.75" customHeight="1" x14ac:dyDescent="0.2"/>
    <row r="321" spans="1:25" s="218" customFormat="1" ht="23.25" customHeight="1" x14ac:dyDescent="0.2">
      <c r="A321" s="1072" t="s">
        <v>546</v>
      </c>
      <c r="B321" s="1073"/>
      <c r="C321" s="499" t="str">
        <f>C292</f>
        <v>D1</v>
      </c>
      <c r="D321" s="1098" t="s">
        <v>628</v>
      </c>
      <c r="E321" s="1072"/>
      <c r="F321" s="1072"/>
      <c r="G321" s="1103">
        <f ca="1">INDIRECT("AD"&amp;V321)</f>
        <v>12</v>
      </c>
      <c r="H321" s="1104"/>
      <c r="J321" s="218" t="str">
        <f>CATEG_IMPORTEE</f>
        <v>Collèges Mixtes Etablissement</v>
      </c>
      <c r="T321" s="500"/>
      <c r="U321" s="520" t="str">
        <f ca="1">INDIRECT("AE"&amp;V321)</f>
        <v>C10-Coll10Ville10</v>
      </c>
      <c r="V321" s="500">
        <f>Y321+2</f>
        <v>14</v>
      </c>
      <c r="W321" s="501" t="str">
        <f ca="1">INDIRECT("AF"&amp;V321)</f>
        <v>C11-Coll11Ville11</v>
      </c>
      <c r="X321" s="502" t="s">
        <v>849</v>
      </c>
      <c r="Y321" s="503">
        <f>Y292+1</f>
        <v>12</v>
      </c>
    </row>
    <row r="322" spans="1:25" ht="27" customHeight="1" thickBot="1" x14ac:dyDescent="0.25">
      <c r="A322" s="1093" t="s">
        <v>0</v>
      </c>
      <c r="B322" s="1093"/>
      <c r="C322" s="1093"/>
      <c r="D322" s="1093"/>
      <c r="E322" s="1093"/>
      <c r="F322" s="1093"/>
      <c r="G322" s="1093"/>
      <c r="H322" s="1093" t="s">
        <v>374</v>
      </c>
      <c r="I322" s="1093"/>
      <c r="J322" s="1093"/>
      <c r="K322" s="1093"/>
      <c r="L322" s="1093"/>
      <c r="O322" s="1069" t="s">
        <v>0</v>
      </c>
      <c r="P322" s="1069"/>
      <c r="Q322" s="1069"/>
      <c r="R322" s="1069"/>
      <c r="S322" s="1069"/>
      <c r="T322" s="1069"/>
      <c r="U322" s="1069"/>
      <c r="V322" s="1069" t="s">
        <v>374</v>
      </c>
      <c r="W322" s="1069"/>
      <c r="X322" s="1069"/>
      <c r="Y322" s="1069"/>
    </row>
    <row r="323" spans="1:25" ht="24" customHeight="1" thickBot="1" x14ac:dyDescent="0.25">
      <c r="A323" s="504" t="str">
        <f ca="1">IFERROR(VLOOKUP(U321,Num_AS,2,FALSE),"")</f>
        <v/>
      </c>
      <c r="B323" s="505"/>
      <c r="C323" s="505"/>
      <c r="D323" s="505"/>
      <c r="E323" s="505"/>
      <c r="F323" s="505"/>
      <c r="G323" s="506"/>
      <c r="H323" s="507" t="str">
        <f ca="1">IFERROR(VLOOKUP(U321,Num_AS,4,FALSE),"")</f>
        <v/>
      </c>
      <c r="I323" s="220"/>
      <c r="J323" s="220"/>
      <c r="K323" s="220"/>
      <c r="L323" s="738"/>
      <c r="M323" s="1070" t="s">
        <v>547</v>
      </c>
      <c r="N323" s="1071"/>
      <c r="O323" s="504" t="str">
        <f ca="1">IFERROR(VLOOKUP(W321,Num_AS,2,FALSE),"")</f>
        <v/>
      </c>
      <c r="P323" s="505"/>
      <c r="Q323" s="505"/>
      <c r="R323" s="505"/>
      <c r="S323" s="505"/>
      <c r="T323" s="505"/>
      <c r="U323" s="506"/>
      <c r="V323" s="507" t="str">
        <f ca="1">IFERROR(VLOOKUP(W321,Num_AS,4,FALSE),"")</f>
        <v/>
      </c>
      <c r="W323" s="220"/>
      <c r="X323" s="220"/>
      <c r="Y323" s="221"/>
    </row>
    <row r="324" spans="1:25" ht="15" customHeight="1" x14ac:dyDescent="0.2">
      <c r="A324" s="736" t="str">
        <f ca="1">IFERROR(VLOOKUP(U321,Num_AS,3,FALSE),"")</f>
        <v/>
      </c>
      <c r="B324" s="736"/>
      <c r="C324" s="736"/>
      <c r="D324" s="736"/>
      <c r="E324" s="736"/>
      <c r="F324" s="736"/>
      <c r="G324" s="736"/>
      <c r="H324" s="737"/>
    </row>
    <row r="325" spans="1:25" ht="20.100000000000001" customHeight="1" x14ac:dyDescent="0.2">
      <c r="A325" s="1074" t="s">
        <v>548</v>
      </c>
      <c r="B325" s="1074"/>
      <c r="C325" s="1074"/>
      <c r="D325" s="1074"/>
      <c r="E325" s="1074"/>
      <c r="Q325" s="217" t="str">
        <f>Q296</f>
        <v>Championnat de France de Tir à l'ARC</v>
      </c>
    </row>
    <row r="326" spans="1:25" ht="20.100000000000001" customHeight="1" x14ac:dyDescent="0.2">
      <c r="A326" s="1075" t="s">
        <v>549</v>
      </c>
      <c r="B326" s="1075"/>
      <c r="C326" s="1075"/>
      <c r="D326" s="1075"/>
      <c r="E326" s="1075"/>
      <c r="G326" s="1076" t="s">
        <v>480</v>
      </c>
      <c r="H326" s="1076"/>
      <c r="I326" s="1077" t="s">
        <v>550</v>
      </c>
      <c r="J326" s="1077"/>
      <c r="K326" s="1077"/>
      <c r="L326" s="252" t="s">
        <v>551</v>
      </c>
      <c r="M326" s="1078" t="s">
        <v>552</v>
      </c>
      <c r="N326" s="1078"/>
      <c r="O326" s="251"/>
      <c r="Q326" s="217" t="str">
        <f>Q297</f>
        <v>L’Isle sur la Sorgue du 27 au 31 mars 2023</v>
      </c>
    </row>
    <row r="327" spans="1:25" ht="24" customHeight="1" x14ac:dyDescent="0.2">
      <c r="A327" s="509" t="str">
        <f ca="1">IFERROR(VLOOKUP(U321,Num_AS,6,FALSE),"")</f>
        <v/>
      </c>
      <c r="B327" s="223"/>
      <c r="C327" s="510" t="str">
        <f ca="1">IFERROR(VLOOKUP(U321,Num_AS,7,FALSE),"")</f>
        <v/>
      </c>
      <c r="D327" s="223"/>
      <c r="E327" s="224"/>
      <c r="F327" s="219"/>
      <c r="G327" s="511" t="str">
        <f ca="1">IFERROR(VLOOKUP(U321,Num_AS,10,FALSE),"")</f>
        <v/>
      </c>
      <c r="H327" s="224"/>
      <c r="I327" s="222"/>
      <c r="J327" s="512" t="str">
        <f ca="1">IFERROR(VLOOKUP(U321,Num_AS,9,FALSE),"")</f>
        <v/>
      </c>
      <c r="K327" s="224"/>
      <c r="L327" s="222" t="str">
        <f ca="1">IFERROR(VLOOKUP(U321,Num_AS,11,FALSE),"")</f>
        <v/>
      </c>
      <c r="M327" s="287">
        <f ca="1">G321</f>
        <v>12</v>
      </c>
      <c r="N327" s="288"/>
      <c r="O327" s="249"/>
      <c r="R327" s="254"/>
      <c r="S327" s="254"/>
      <c r="T327" s="254"/>
      <c r="U327" s="254"/>
      <c r="V327" s="254"/>
      <c r="W327" s="254"/>
      <c r="X327" s="254"/>
      <c r="Y327" s="254"/>
    </row>
    <row r="328" spans="1:25" ht="24" customHeight="1" x14ac:dyDescent="0.2">
      <c r="A328" s="509" t="str">
        <f ca="1">IFERROR(VLOOKUP(U321,Num_AS,12,FALSE),"")</f>
        <v/>
      </c>
      <c r="B328" s="223"/>
      <c r="C328" s="510" t="str">
        <f ca="1">IFERROR(VLOOKUP(U321,Num_AS,13,FALSE),"")</f>
        <v/>
      </c>
      <c r="D328" s="223"/>
      <c r="E328" s="224"/>
      <c r="F328" s="219"/>
      <c r="G328" s="511" t="str">
        <f ca="1">IFERROR(VLOOKUP(U321,Num_AS,16,FALSE),"")</f>
        <v/>
      </c>
      <c r="H328" s="224"/>
      <c r="I328" s="222"/>
      <c r="J328" s="512" t="str">
        <f ca="1">IFERROR(VLOOKUP(U321,Num_AS,15,FALSE),"")</f>
        <v/>
      </c>
      <c r="K328" s="224"/>
      <c r="L328" s="222" t="str">
        <f ca="1">IFERROR(VLOOKUP(U321,Num_AS,17,FALSE),"")</f>
        <v/>
      </c>
      <c r="M328" s="287">
        <f ca="1">G321</f>
        <v>12</v>
      </c>
      <c r="N328" s="288"/>
      <c r="O328" s="249"/>
      <c r="Q328" s="254"/>
      <c r="R328" s="254"/>
      <c r="S328" s="254"/>
      <c r="T328" s="254"/>
      <c r="U328" s="254"/>
      <c r="V328" s="254"/>
      <c r="W328" s="254"/>
      <c r="X328" s="254"/>
      <c r="Y328" s="254"/>
    </row>
    <row r="329" spans="1:25" ht="24" customHeight="1" x14ac:dyDescent="0.2">
      <c r="A329" s="509" t="str">
        <f ca="1">IFERROR(VLOOKUP(U321,Num_AS,18,FALSE),"")</f>
        <v/>
      </c>
      <c r="B329" s="223"/>
      <c r="C329" s="510" t="str">
        <f ca="1">IFERROR(VLOOKUP(U321,Num_AS,19,FALSE),"")</f>
        <v/>
      </c>
      <c r="D329" s="223"/>
      <c r="E329" s="224"/>
      <c r="F329" s="219"/>
      <c r="G329" s="511" t="str">
        <f ca="1">IFERROR(VLOOKUP(U321,Num_AS,22,FALSE),"")</f>
        <v/>
      </c>
      <c r="H329" s="224"/>
      <c r="I329" s="222"/>
      <c r="J329" s="512" t="str">
        <f ca="1">IFERROR(VLOOKUP(U321,Num_AS,21,FALSE),"")</f>
        <v/>
      </c>
      <c r="K329" s="224"/>
      <c r="L329" s="222" t="str">
        <f ca="1">IFERROR(VLOOKUP(U321,Num_AS,23,FALSE),"")</f>
        <v/>
      </c>
      <c r="M329" s="287">
        <f ca="1">G321</f>
        <v>12</v>
      </c>
      <c r="N329" s="288"/>
      <c r="O329" s="249"/>
      <c r="Q329" s="254"/>
      <c r="R329" s="254"/>
      <c r="S329" s="254"/>
      <c r="T329" s="254"/>
      <c r="U329" s="254"/>
      <c r="V329" s="254"/>
      <c r="W329" s="254"/>
      <c r="X329" s="254"/>
      <c r="Y329" s="254"/>
    </row>
    <row r="330" spans="1:25" ht="24" customHeight="1" x14ac:dyDescent="0.2">
      <c r="A330" s="509" t="str">
        <f ca="1">IFERROR(VLOOKUP(U321,Num_AS,24,FALSE),"")</f>
        <v/>
      </c>
      <c r="B330" s="223"/>
      <c r="C330" s="510" t="str">
        <f ca="1">IFERROR(VLOOKUP(U321,Num_AS,25,FALSE),"")</f>
        <v/>
      </c>
      <c r="D330" s="223"/>
      <c r="E330" s="224"/>
      <c r="F330" s="219"/>
      <c r="G330" s="511" t="str">
        <f ca="1">IFERROR(VLOOKUP(U321,Num_AS,28,FALSE),"")</f>
        <v/>
      </c>
      <c r="H330" s="224"/>
      <c r="I330" s="222"/>
      <c r="J330" s="512" t="str">
        <f ca="1">IFERROR(VLOOKUP(U321,Num_AS,27,FALSE),"")</f>
        <v/>
      </c>
      <c r="K330" s="224"/>
      <c r="L330" s="222" t="str">
        <f ca="1">IFERROR(VLOOKUP(U321,Num_AS,29,FALSE),"")</f>
        <v/>
      </c>
      <c r="M330" s="289">
        <f ca="1">G321</f>
        <v>12</v>
      </c>
      <c r="N330" s="290"/>
      <c r="O330" s="249"/>
    </row>
    <row r="331" spans="1:25" ht="15" customHeight="1" thickBot="1" x14ac:dyDescent="0.25"/>
    <row r="332" spans="1:25" ht="20.100000000000001" customHeight="1" x14ac:dyDescent="0.2">
      <c r="F332" s="1081" t="s">
        <v>555</v>
      </c>
      <c r="G332" s="1082"/>
      <c r="H332" s="1082"/>
      <c r="I332" s="1082"/>
      <c r="J332" s="1083"/>
      <c r="K332" s="1081" t="s">
        <v>556</v>
      </c>
      <c r="L332" s="1082"/>
      <c r="M332" s="1082"/>
      <c r="N332" s="1082"/>
      <c r="O332" s="1083"/>
      <c r="P332" s="1081" t="s">
        <v>557</v>
      </c>
      <c r="Q332" s="1082"/>
      <c r="R332" s="1082"/>
      <c r="S332" s="1082"/>
      <c r="T332" s="1083"/>
      <c r="U332" s="1081" t="s">
        <v>558</v>
      </c>
      <c r="V332" s="1082"/>
      <c r="W332" s="1082"/>
      <c r="X332" s="1082"/>
      <c r="Y332" s="1083"/>
    </row>
    <row r="333" spans="1:25" ht="20.100000000000001" customHeight="1" x14ac:dyDescent="0.2">
      <c r="A333" s="1075" t="s">
        <v>559</v>
      </c>
      <c r="B333" s="1075"/>
      <c r="C333" s="1075"/>
      <c r="D333" s="1075"/>
      <c r="E333" s="1089"/>
      <c r="F333" s="1090" t="s">
        <v>560</v>
      </c>
      <c r="G333" s="1075"/>
      <c r="H333" s="1075"/>
      <c r="J333" s="225" t="s">
        <v>7</v>
      </c>
      <c r="K333" s="1090" t="s">
        <v>560</v>
      </c>
      <c r="L333" s="1075"/>
      <c r="M333" s="1075"/>
      <c r="O333" s="225" t="s">
        <v>7</v>
      </c>
      <c r="P333" s="1090" t="s">
        <v>560</v>
      </c>
      <c r="Q333" s="1075"/>
      <c r="R333" s="1075"/>
      <c r="T333" s="225" t="s">
        <v>7</v>
      </c>
      <c r="U333" s="1090" t="s">
        <v>560</v>
      </c>
      <c r="V333" s="1075"/>
      <c r="W333" s="1075"/>
      <c r="Y333" s="225" t="s">
        <v>7</v>
      </c>
    </row>
    <row r="334" spans="1:25" ht="24" customHeight="1" x14ac:dyDescent="0.2">
      <c r="A334" s="513" t="str">
        <f ca="1">A327</f>
        <v/>
      </c>
      <c r="B334" s="227"/>
      <c r="C334" s="514" t="str">
        <f ca="1">C327</f>
        <v/>
      </c>
      <c r="D334" s="227"/>
      <c r="E334" s="227"/>
      <c r="F334" s="228"/>
      <c r="G334" s="229"/>
      <c r="H334" s="229"/>
      <c r="I334" s="230" t="s">
        <v>561</v>
      </c>
      <c r="J334" s="231"/>
      <c r="K334" s="228"/>
      <c r="L334" s="229"/>
      <c r="M334" s="229"/>
      <c r="N334" s="230" t="s">
        <v>561</v>
      </c>
      <c r="O334" s="231"/>
      <c r="P334" s="228"/>
      <c r="Q334" s="229"/>
      <c r="R334" s="229"/>
      <c r="S334" s="230" t="s">
        <v>561</v>
      </c>
      <c r="T334" s="231"/>
      <c r="U334" s="228"/>
      <c r="V334" s="229"/>
      <c r="W334" s="229"/>
      <c r="X334" s="230" t="s">
        <v>561</v>
      </c>
      <c r="Y334" s="231"/>
    </row>
    <row r="335" spans="1:25" ht="24" customHeight="1" x14ac:dyDescent="0.2">
      <c r="A335" s="513" t="str">
        <f ca="1">A328</f>
        <v/>
      </c>
      <c r="B335" s="227"/>
      <c r="C335" s="514" t="str">
        <f ca="1">C328</f>
        <v/>
      </c>
      <c r="D335" s="227"/>
      <c r="E335" s="227"/>
      <c r="F335" s="228"/>
      <c r="G335" s="229"/>
      <c r="H335" s="229"/>
      <c r="I335" s="230" t="s">
        <v>561</v>
      </c>
      <c r="J335" s="231"/>
      <c r="K335" s="228"/>
      <c r="L335" s="229"/>
      <c r="M335" s="229"/>
      <c r="N335" s="230" t="s">
        <v>561</v>
      </c>
      <c r="O335" s="231"/>
      <c r="P335" s="228"/>
      <c r="Q335" s="229"/>
      <c r="R335" s="229"/>
      <c r="S335" s="230" t="s">
        <v>561</v>
      </c>
      <c r="T335" s="231"/>
      <c r="U335" s="228"/>
      <c r="V335" s="229"/>
      <c r="W335" s="229"/>
      <c r="X335" s="230" t="s">
        <v>561</v>
      </c>
      <c r="Y335" s="231"/>
    </row>
    <row r="336" spans="1:25" ht="24" customHeight="1" x14ac:dyDescent="0.2">
      <c r="A336" s="513" t="str">
        <f ca="1">A329</f>
        <v/>
      </c>
      <c r="B336" s="227"/>
      <c r="C336" s="514" t="str">
        <f ca="1">C329</f>
        <v/>
      </c>
      <c r="D336" s="227"/>
      <c r="E336" s="227"/>
      <c r="F336" s="228"/>
      <c r="G336" s="229"/>
      <c r="H336" s="229"/>
      <c r="I336" s="230" t="s">
        <v>561</v>
      </c>
      <c r="J336" s="231"/>
      <c r="K336" s="228"/>
      <c r="L336" s="229"/>
      <c r="M336" s="229"/>
      <c r="N336" s="230" t="s">
        <v>561</v>
      </c>
      <c r="O336" s="231"/>
      <c r="P336" s="228"/>
      <c r="Q336" s="229"/>
      <c r="R336" s="229"/>
      <c r="S336" s="230" t="s">
        <v>561</v>
      </c>
      <c r="T336" s="231"/>
      <c r="U336" s="228"/>
      <c r="V336" s="229"/>
      <c r="W336" s="229"/>
      <c r="X336" s="230" t="s">
        <v>561</v>
      </c>
      <c r="Y336" s="231"/>
    </row>
    <row r="337" spans="1:25" ht="24" customHeight="1" x14ac:dyDescent="0.2">
      <c r="A337" s="513" t="str">
        <f ca="1">A330</f>
        <v/>
      </c>
      <c r="B337" s="227"/>
      <c r="C337" s="514" t="str">
        <f ca="1">C330</f>
        <v/>
      </c>
      <c r="D337" s="227"/>
      <c r="E337" s="227"/>
      <c r="F337" s="228"/>
      <c r="G337" s="229"/>
      <c r="H337" s="229"/>
      <c r="I337" s="230" t="s">
        <v>561</v>
      </c>
      <c r="J337" s="232"/>
      <c r="K337" s="228"/>
      <c r="L337" s="229"/>
      <c r="M337" s="229"/>
      <c r="N337" s="230" t="s">
        <v>561</v>
      </c>
      <c r="O337" s="232"/>
      <c r="P337" s="228"/>
      <c r="Q337" s="229"/>
      <c r="R337" s="229"/>
      <c r="S337" s="230" t="s">
        <v>561</v>
      </c>
      <c r="T337" s="232"/>
      <c r="U337" s="228"/>
      <c r="V337" s="229"/>
      <c r="W337" s="229"/>
      <c r="X337" s="230" t="s">
        <v>561</v>
      </c>
      <c r="Y337" s="232"/>
    </row>
    <row r="338" spans="1:25" ht="24" customHeight="1" thickBot="1" x14ac:dyDescent="0.25">
      <c r="F338" s="1079" t="s">
        <v>562</v>
      </c>
      <c r="G338" s="1080"/>
      <c r="H338" s="1080"/>
      <c r="I338" s="230" t="s">
        <v>561</v>
      </c>
      <c r="J338" s="231"/>
      <c r="K338" s="1079" t="s">
        <v>563</v>
      </c>
      <c r="L338" s="1080"/>
      <c r="M338" s="1080"/>
      <c r="N338" s="230" t="s">
        <v>561</v>
      </c>
      <c r="O338" s="232"/>
      <c r="P338" s="1079" t="s">
        <v>564</v>
      </c>
      <c r="Q338" s="1080"/>
      <c r="R338" s="1080"/>
      <c r="S338" s="230" t="s">
        <v>561</v>
      </c>
      <c r="T338" s="232"/>
      <c r="U338" s="1079" t="s">
        <v>565</v>
      </c>
      <c r="V338" s="1080"/>
      <c r="W338" s="1080"/>
      <c r="X338" s="230" t="s">
        <v>561</v>
      </c>
      <c r="Y338" s="232"/>
    </row>
    <row r="339" spans="1:25" ht="24" customHeight="1" thickBot="1" x14ac:dyDescent="0.25">
      <c r="A339" s="508" t="s">
        <v>1013</v>
      </c>
      <c r="B339" s="508"/>
      <c r="D339" s="1094">
        <f ca="1">VLOOKUP(A323&amp;A324,PTS_SP,2,FALSE)</f>
        <v>0</v>
      </c>
      <c r="E339" s="1095"/>
      <c r="F339" s="745" t="s">
        <v>1014</v>
      </c>
      <c r="G339" s="670"/>
      <c r="H339" s="744"/>
      <c r="I339" s="1096"/>
      <c r="J339" s="1097"/>
      <c r="K339" s="1100" t="s">
        <v>1015</v>
      </c>
      <c r="L339" s="1101"/>
      <c r="M339" s="1102"/>
      <c r="N339" s="1096"/>
      <c r="O339" s="1097"/>
      <c r="P339" s="1100" t="s">
        <v>1016</v>
      </c>
      <c r="Q339" s="1101"/>
      <c r="R339" s="1102"/>
      <c r="S339" s="1096"/>
      <c r="T339" s="1097"/>
      <c r="U339" s="1100" t="s">
        <v>1017</v>
      </c>
      <c r="V339" s="1101"/>
      <c r="W339" s="1102"/>
      <c r="X339" s="1096"/>
      <c r="Y339" s="1097"/>
    </row>
    <row r="340" spans="1:25" ht="12.75" customHeight="1" x14ac:dyDescent="0.2">
      <c r="Y340" s="240" t="s">
        <v>570</v>
      </c>
    </row>
    <row r="341" spans="1:25" ht="15.75" customHeight="1" x14ac:dyDescent="0.2">
      <c r="B341" s="1091" t="s">
        <v>851</v>
      </c>
      <c r="C341" s="1091"/>
      <c r="D341" s="1091"/>
      <c r="E341" s="1091"/>
      <c r="F341" s="1091"/>
      <c r="G341" s="1091"/>
      <c r="H341" s="1091"/>
      <c r="I341" s="1091"/>
      <c r="J341" s="1091"/>
      <c r="K341" s="1091"/>
      <c r="L341" s="1091"/>
      <c r="O341" s="1091" t="s">
        <v>522</v>
      </c>
      <c r="P341" s="1091"/>
      <c r="Q341" s="1091"/>
      <c r="R341" s="1091"/>
      <c r="S341" s="1091"/>
      <c r="T341" s="1091"/>
      <c r="U341" s="1091"/>
      <c r="V341" s="1091"/>
      <c r="W341" s="1091"/>
      <c r="X341" s="1091"/>
      <c r="Y341" s="1091"/>
    </row>
    <row r="342" spans="1:25" ht="13.5" customHeight="1" x14ac:dyDescent="0.2">
      <c r="B342" s="1086" t="s">
        <v>1</v>
      </c>
      <c r="C342" s="1087"/>
      <c r="D342" s="1087"/>
      <c r="E342" s="1087"/>
      <c r="F342" s="1087"/>
      <c r="G342" s="1087"/>
      <c r="H342" s="1088"/>
      <c r="I342" s="1086" t="s">
        <v>520</v>
      </c>
      <c r="J342" s="1087"/>
      <c r="K342" s="1087"/>
      <c r="L342" s="1088"/>
      <c r="N342" s="241"/>
      <c r="O342" s="1086" t="s">
        <v>1</v>
      </c>
      <c r="P342" s="1087"/>
      <c r="Q342" s="1087"/>
      <c r="R342" s="1087"/>
      <c r="S342" s="1087"/>
      <c r="T342" s="1087"/>
      <c r="U342" s="1088"/>
      <c r="V342" s="1086" t="s">
        <v>520</v>
      </c>
      <c r="W342" s="1087"/>
      <c r="X342" s="1087"/>
      <c r="Y342" s="1088"/>
    </row>
    <row r="343" spans="1:25" ht="21.75" customHeight="1" x14ac:dyDescent="0.2">
      <c r="B343" s="242"/>
      <c r="C343" s="243"/>
      <c r="D343" s="243"/>
      <c r="E343" s="243"/>
      <c r="F343" s="243"/>
      <c r="G343" s="243"/>
      <c r="H343" s="243"/>
      <c r="I343" s="242"/>
      <c r="J343" s="243"/>
      <c r="K343" s="243"/>
      <c r="L343" s="244"/>
      <c r="N343" s="241"/>
      <c r="O343" s="242"/>
      <c r="P343" s="243"/>
      <c r="Q343" s="243"/>
      <c r="R343" s="243"/>
      <c r="S343" s="243"/>
      <c r="T343" s="243"/>
      <c r="U343" s="243"/>
      <c r="V343" s="242"/>
      <c r="W343" s="243"/>
      <c r="X343" s="243"/>
      <c r="Y343" s="244"/>
    </row>
    <row r="344" spans="1:25" ht="13.5" customHeight="1" x14ac:dyDescent="0.2"/>
    <row r="345" spans="1:25" ht="14.25" customHeight="1" thickBot="1" x14ac:dyDescent="0.25">
      <c r="A345" s="241"/>
      <c r="G345" s="305"/>
      <c r="H345" s="305"/>
      <c r="I345" s="1069" t="s">
        <v>0</v>
      </c>
      <c r="J345" s="1069"/>
      <c r="K345" s="1069"/>
      <c r="L345" s="1069"/>
      <c r="M345" s="1069"/>
      <c r="N345" s="1069"/>
      <c r="O345" s="1069"/>
      <c r="P345" s="1069" t="s">
        <v>374</v>
      </c>
      <c r="Q345" s="1069"/>
      <c r="R345" s="1069"/>
      <c r="S345" s="1069"/>
      <c r="T345" s="1069"/>
      <c r="U345" s="1069" t="s">
        <v>571</v>
      </c>
      <c r="V345" s="1069"/>
      <c r="W345" s="1069"/>
      <c r="X345" s="305"/>
      <c r="Y345" s="305"/>
    </row>
    <row r="346" spans="1:25" ht="20.25" customHeight="1" x14ac:dyDescent="0.2">
      <c r="A346" s="241"/>
      <c r="F346" s="1074" t="s">
        <v>584</v>
      </c>
      <c r="G346" s="1074"/>
      <c r="H346" s="1074"/>
      <c r="I346" s="316"/>
      <c r="J346" s="306"/>
      <c r="K346" s="306"/>
      <c r="L346" s="306"/>
      <c r="M346" s="306"/>
      <c r="N346" s="306"/>
      <c r="O346" s="306"/>
      <c r="P346" s="312"/>
      <c r="Q346" s="306"/>
      <c r="R346" s="307"/>
      <c r="S346" s="304"/>
      <c r="T346" s="313"/>
      <c r="U346" s="310"/>
      <c r="V346" s="1084" t="s">
        <v>495</v>
      </c>
      <c r="W346" s="308"/>
    </row>
    <row r="347" spans="1:25" ht="13.5" thickBot="1" x14ac:dyDescent="0.25">
      <c r="F347" s="1074"/>
      <c r="G347" s="1074"/>
      <c r="H347" s="1074"/>
      <c r="I347" s="303"/>
      <c r="J347" s="235"/>
      <c r="K347" s="235"/>
      <c r="L347" s="235"/>
      <c r="M347" s="235"/>
      <c r="N347" s="235"/>
      <c r="O347" s="235"/>
      <c r="P347" s="314"/>
      <c r="Q347" s="235"/>
      <c r="R347" s="234"/>
      <c r="S347" s="234"/>
      <c r="T347" s="315"/>
      <c r="U347" s="311"/>
      <c r="V347" s="1085"/>
      <c r="W347" s="309"/>
    </row>
    <row r="349" spans="1:25" ht="6.75" customHeight="1" x14ac:dyDescent="0.2"/>
    <row r="350" spans="1:25" s="218" customFormat="1" ht="23.25" customHeight="1" x14ac:dyDescent="0.2">
      <c r="A350" s="1072" t="s">
        <v>546</v>
      </c>
      <c r="B350" s="1073"/>
      <c r="C350" s="499" t="str">
        <f>C321</f>
        <v>D1</v>
      </c>
      <c r="D350" s="1098" t="s">
        <v>628</v>
      </c>
      <c r="E350" s="1072"/>
      <c r="F350" s="1072"/>
      <c r="G350" s="1103">
        <f ca="1">INDIRECT("AD"&amp;V350)</f>
        <v>13</v>
      </c>
      <c r="H350" s="1104"/>
      <c r="J350" s="218" t="str">
        <f>CATEG_IMPORTEE</f>
        <v>Collèges Mixtes Etablissement</v>
      </c>
      <c r="T350" s="500"/>
      <c r="U350" s="520" t="str">
        <f ca="1">INDIRECT("AE"&amp;V350)</f>
        <v>C11-Coll11Ville11</v>
      </c>
      <c r="V350" s="500">
        <f>Y350+2</f>
        <v>15</v>
      </c>
      <c r="W350" s="501" t="str">
        <f ca="1">INDIRECT("AF"&amp;V350)</f>
        <v>C10-Coll10Ville10</v>
      </c>
      <c r="X350" s="502" t="s">
        <v>849</v>
      </c>
      <c r="Y350" s="503">
        <f>Y321+1</f>
        <v>13</v>
      </c>
    </row>
    <row r="351" spans="1:25" ht="27" customHeight="1" thickBot="1" x14ac:dyDescent="0.25">
      <c r="A351" s="1093" t="s">
        <v>0</v>
      </c>
      <c r="B351" s="1093"/>
      <c r="C351" s="1093"/>
      <c r="D351" s="1093"/>
      <c r="E351" s="1093"/>
      <c r="F351" s="1093"/>
      <c r="G351" s="1093"/>
      <c r="H351" s="1093" t="s">
        <v>374</v>
      </c>
      <c r="I351" s="1093"/>
      <c r="J351" s="1093"/>
      <c r="K351" s="1093"/>
      <c r="L351" s="1093"/>
      <c r="O351" s="1069" t="s">
        <v>0</v>
      </c>
      <c r="P351" s="1069"/>
      <c r="Q351" s="1069"/>
      <c r="R351" s="1069"/>
      <c r="S351" s="1069"/>
      <c r="T351" s="1069"/>
      <c r="U351" s="1069"/>
      <c r="V351" s="1069" t="s">
        <v>374</v>
      </c>
      <c r="W351" s="1069"/>
      <c r="X351" s="1069"/>
      <c r="Y351" s="1069"/>
    </row>
    <row r="352" spans="1:25" ht="24" customHeight="1" thickBot="1" x14ac:dyDescent="0.25">
      <c r="A352" s="504" t="str">
        <f ca="1">IFERROR(VLOOKUP(U350,Num_AS,2,FALSE),"")</f>
        <v/>
      </c>
      <c r="B352" s="505"/>
      <c r="C352" s="505"/>
      <c r="D352" s="505"/>
      <c r="E352" s="505"/>
      <c r="F352" s="505"/>
      <c r="G352" s="506"/>
      <c r="H352" s="507" t="str">
        <f ca="1">IFERROR(VLOOKUP(U350,Num_AS,4,FALSE),"")</f>
        <v/>
      </c>
      <c r="I352" s="220"/>
      <c r="J352" s="220"/>
      <c r="K352" s="220"/>
      <c r="L352" s="738"/>
      <c r="M352" s="1070" t="s">
        <v>547</v>
      </c>
      <c r="N352" s="1071"/>
      <c r="O352" s="504" t="str">
        <f ca="1">IFERROR(VLOOKUP(W350,Num_AS,2,FALSE),"")</f>
        <v/>
      </c>
      <c r="P352" s="505"/>
      <c r="Q352" s="505"/>
      <c r="R352" s="505"/>
      <c r="S352" s="505"/>
      <c r="T352" s="505"/>
      <c r="U352" s="506"/>
      <c r="V352" s="507" t="str">
        <f ca="1">IFERROR(VLOOKUP(W350,Num_AS,4,FALSE),"")</f>
        <v/>
      </c>
      <c r="W352" s="220"/>
      <c r="X352" s="220"/>
      <c r="Y352" s="221"/>
    </row>
    <row r="353" spans="1:25" ht="15" customHeight="1" x14ac:dyDescent="0.2">
      <c r="A353" s="736" t="str">
        <f ca="1">IFERROR(VLOOKUP(U350,Num_AS,3,FALSE),"")</f>
        <v/>
      </c>
      <c r="B353" s="736"/>
      <c r="C353" s="736"/>
      <c r="D353" s="736"/>
      <c r="E353" s="736"/>
      <c r="F353" s="736"/>
      <c r="G353" s="736"/>
      <c r="H353" s="737"/>
    </row>
    <row r="354" spans="1:25" ht="20.100000000000001" customHeight="1" x14ac:dyDescent="0.2">
      <c r="A354" s="1074" t="s">
        <v>548</v>
      </c>
      <c r="B354" s="1074"/>
      <c r="C354" s="1074"/>
      <c r="D354" s="1074"/>
      <c r="E354" s="1074"/>
      <c r="Q354" s="217" t="str">
        <f>Q325</f>
        <v>Championnat de France de Tir à l'ARC</v>
      </c>
    </row>
    <row r="355" spans="1:25" ht="20.100000000000001" customHeight="1" x14ac:dyDescent="0.2">
      <c r="A355" s="1075" t="s">
        <v>549</v>
      </c>
      <c r="B355" s="1075"/>
      <c r="C355" s="1075"/>
      <c r="D355" s="1075"/>
      <c r="E355" s="1075"/>
      <c r="G355" s="1076" t="s">
        <v>480</v>
      </c>
      <c r="H355" s="1076"/>
      <c r="I355" s="1077" t="s">
        <v>550</v>
      </c>
      <c r="J355" s="1077"/>
      <c r="K355" s="1077"/>
      <c r="L355" s="252" t="s">
        <v>551</v>
      </c>
      <c r="M355" s="1078" t="s">
        <v>552</v>
      </c>
      <c r="N355" s="1078"/>
      <c r="O355" s="251"/>
      <c r="Q355" s="217" t="str">
        <f>Q326</f>
        <v>L’Isle sur la Sorgue du 27 au 31 mars 2023</v>
      </c>
    </row>
    <row r="356" spans="1:25" ht="24" customHeight="1" x14ac:dyDescent="0.2">
      <c r="A356" s="509" t="str">
        <f ca="1">IFERROR(VLOOKUP(U350,Num_AS,6,FALSE),"")</f>
        <v/>
      </c>
      <c r="B356" s="223"/>
      <c r="C356" s="510" t="str">
        <f ca="1">IFERROR(VLOOKUP(U350,Num_AS,7,FALSE),"")</f>
        <v/>
      </c>
      <c r="D356" s="223"/>
      <c r="E356" s="224"/>
      <c r="F356" s="219"/>
      <c r="G356" s="511" t="str">
        <f ca="1">IFERROR(VLOOKUP(U350,Num_AS,10,FALSE),"")</f>
        <v/>
      </c>
      <c r="H356" s="224"/>
      <c r="I356" s="222"/>
      <c r="J356" s="512" t="str">
        <f ca="1">IFERROR(VLOOKUP(U350,Num_AS,9,FALSE),"")</f>
        <v/>
      </c>
      <c r="K356" s="224"/>
      <c r="L356" s="222" t="str">
        <f ca="1">IFERROR(VLOOKUP(U350,Num_AS,11,FALSE),"")</f>
        <v/>
      </c>
      <c r="M356" s="287">
        <f ca="1">G350</f>
        <v>13</v>
      </c>
      <c r="N356" s="288"/>
      <c r="O356" s="249"/>
      <c r="R356" s="254"/>
      <c r="S356" s="254"/>
      <c r="T356" s="254"/>
      <c r="U356" s="254"/>
      <c r="V356" s="254"/>
      <c r="W356" s="254"/>
      <c r="X356" s="254"/>
      <c r="Y356" s="254"/>
    </row>
    <row r="357" spans="1:25" ht="24" customHeight="1" x14ac:dyDescent="0.2">
      <c r="A357" s="509" t="str">
        <f ca="1">IFERROR(VLOOKUP(U350,Num_AS,12,FALSE),"")</f>
        <v/>
      </c>
      <c r="B357" s="223"/>
      <c r="C357" s="510" t="str">
        <f ca="1">IFERROR(VLOOKUP(U350,Num_AS,13,FALSE),"")</f>
        <v/>
      </c>
      <c r="D357" s="223"/>
      <c r="E357" s="224"/>
      <c r="F357" s="219"/>
      <c r="G357" s="511" t="str">
        <f ca="1">IFERROR(VLOOKUP(U350,Num_AS,16,FALSE),"")</f>
        <v/>
      </c>
      <c r="H357" s="224"/>
      <c r="I357" s="222"/>
      <c r="J357" s="512" t="str">
        <f ca="1">IFERROR(VLOOKUP(U350,Num_AS,15,FALSE),"")</f>
        <v/>
      </c>
      <c r="K357" s="224"/>
      <c r="L357" s="222" t="str">
        <f ca="1">IFERROR(VLOOKUP(U350,Num_AS,17,FALSE),"")</f>
        <v/>
      </c>
      <c r="M357" s="287">
        <f ca="1">G350</f>
        <v>13</v>
      </c>
      <c r="N357" s="288"/>
      <c r="O357" s="249"/>
      <c r="Q357" s="254"/>
      <c r="R357" s="254"/>
      <c r="S357" s="254"/>
      <c r="T357" s="254"/>
      <c r="U357" s="254"/>
      <c r="V357" s="254"/>
      <c r="W357" s="254"/>
      <c r="X357" s="254"/>
      <c r="Y357" s="254"/>
    </row>
    <row r="358" spans="1:25" ht="24" customHeight="1" x14ac:dyDescent="0.2">
      <c r="A358" s="509" t="str">
        <f ca="1">IFERROR(VLOOKUP(U350,Num_AS,18,FALSE),"")</f>
        <v/>
      </c>
      <c r="B358" s="223"/>
      <c r="C358" s="510" t="str">
        <f ca="1">IFERROR(VLOOKUP(U350,Num_AS,19,FALSE),"")</f>
        <v/>
      </c>
      <c r="D358" s="223"/>
      <c r="E358" s="224"/>
      <c r="F358" s="219"/>
      <c r="G358" s="511" t="str">
        <f ca="1">IFERROR(VLOOKUP(U350,Num_AS,22,FALSE),"")</f>
        <v/>
      </c>
      <c r="H358" s="224"/>
      <c r="I358" s="222"/>
      <c r="J358" s="512" t="str">
        <f ca="1">IFERROR(VLOOKUP(U350,Num_AS,21,FALSE),"")</f>
        <v/>
      </c>
      <c r="K358" s="224"/>
      <c r="L358" s="222" t="str">
        <f ca="1">IFERROR(VLOOKUP(U350,Num_AS,23,FALSE),"")</f>
        <v/>
      </c>
      <c r="M358" s="287">
        <f ca="1">G350</f>
        <v>13</v>
      </c>
      <c r="N358" s="288"/>
      <c r="O358" s="249"/>
      <c r="Q358" s="254"/>
      <c r="R358" s="254"/>
      <c r="S358" s="254"/>
      <c r="T358" s="254"/>
      <c r="U358" s="254"/>
      <c r="V358" s="254"/>
      <c r="W358" s="254"/>
      <c r="X358" s="254"/>
      <c r="Y358" s="254"/>
    </row>
    <row r="359" spans="1:25" ht="24" customHeight="1" x14ac:dyDescent="0.2">
      <c r="A359" s="509" t="str">
        <f ca="1">IFERROR(VLOOKUP(U350,Num_AS,24,FALSE),"")</f>
        <v/>
      </c>
      <c r="B359" s="223"/>
      <c r="C359" s="510" t="str">
        <f ca="1">IFERROR(VLOOKUP(U350,Num_AS,25,FALSE),"")</f>
        <v/>
      </c>
      <c r="D359" s="223"/>
      <c r="E359" s="224"/>
      <c r="F359" s="219"/>
      <c r="G359" s="511" t="str">
        <f ca="1">IFERROR(VLOOKUP(U350,Num_AS,28,FALSE),"")</f>
        <v/>
      </c>
      <c r="H359" s="224"/>
      <c r="I359" s="222"/>
      <c r="J359" s="512" t="str">
        <f ca="1">IFERROR(VLOOKUP(U350,Num_AS,27,FALSE),"")</f>
        <v/>
      </c>
      <c r="K359" s="224"/>
      <c r="L359" s="222" t="str">
        <f ca="1">IFERROR(VLOOKUP(U350,Num_AS,29,FALSE),"")</f>
        <v/>
      </c>
      <c r="M359" s="289">
        <f ca="1">G350</f>
        <v>13</v>
      </c>
      <c r="N359" s="290"/>
      <c r="O359" s="249"/>
    </row>
    <row r="360" spans="1:25" ht="15" customHeight="1" thickBot="1" x14ac:dyDescent="0.25"/>
    <row r="361" spans="1:25" ht="20.100000000000001" customHeight="1" x14ac:dyDescent="0.2">
      <c r="F361" s="1081" t="s">
        <v>555</v>
      </c>
      <c r="G361" s="1082"/>
      <c r="H361" s="1082"/>
      <c r="I361" s="1082"/>
      <c r="J361" s="1083"/>
      <c r="K361" s="1081" t="s">
        <v>556</v>
      </c>
      <c r="L361" s="1082"/>
      <c r="M361" s="1082"/>
      <c r="N361" s="1082"/>
      <c r="O361" s="1083"/>
      <c r="P361" s="1081" t="s">
        <v>557</v>
      </c>
      <c r="Q361" s="1082"/>
      <c r="R361" s="1082"/>
      <c r="S361" s="1082"/>
      <c r="T361" s="1083"/>
      <c r="U361" s="1081" t="s">
        <v>558</v>
      </c>
      <c r="V361" s="1082"/>
      <c r="W361" s="1082"/>
      <c r="X361" s="1082"/>
      <c r="Y361" s="1083"/>
    </row>
    <row r="362" spans="1:25" ht="20.100000000000001" customHeight="1" x14ac:dyDescent="0.2">
      <c r="A362" s="1075" t="s">
        <v>559</v>
      </c>
      <c r="B362" s="1075"/>
      <c r="C362" s="1075"/>
      <c r="D362" s="1075"/>
      <c r="E362" s="1089"/>
      <c r="F362" s="1090" t="s">
        <v>560</v>
      </c>
      <c r="G362" s="1075"/>
      <c r="H362" s="1075"/>
      <c r="J362" s="225" t="s">
        <v>7</v>
      </c>
      <c r="K362" s="1090" t="s">
        <v>560</v>
      </c>
      <c r="L362" s="1075"/>
      <c r="M362" s="1075"/>
      <c r="O362" s="225" t="s">
        <v>7</v>
      </c>
      <c r="P362" s="1090" t="s">
        <v>560</v>
      </c>
      <c r="Q362" s="1075"/>
      <c r="R362" s="1075"/>
      <c r="T362" s="225" t="s">
        <v>7</v>
      </c>
      <c r="U362" s="1090" t="s">
        <v>560</v>
      </c>
      <c r="V362" s="1075"/>
      <c r="W362" s="1075"/>
      <c r="Y362" s="225" t="s">
        <v>7</v>
      </c>
    </row>
    <row r="363" spans="1:25" ht="24" customHeight="1" x14ac:dyDescent="0.2">
      <c r="A363" s="513" t="str">
        <f ca="1">A356</f>
        <v/>
      </c>
      <c r="B363" s="227"/>
      <c r="C363" s="514" t="str">
        <f ca="1">C356</f>
        <v/>
      </c>
      <c r="D363" s="227"/>
      <c r="E363" s="227"/>
      <c r="F363" s="228"/>
      <c r="G363" s="229"/>
      <c r="H363" s="229"/>
      <c r="I363" s="230" t="s">
        <v>561</v>
      </c>
      <c r="J363" s="231"/>
      <c r="K363" s="228"/>
      <c r="L363" s="229"/>
      <c r="M363" s="229"/>
      <c r="N363" s="230" t="s">
        <v>561</v>
      </c>
      <c r="O363" s="231"/>
      <c r="P363" s="228"/>
      <c r="Q363" s="229"/>
      <c r="R363" s="229"/>
      <c r="S363" s="230" t="s">
        <v>561</v>
      </c>
      <c r="T363" s="231"/>
      <c r="U363" s="228"/>
      <c r="V363" s="229"/>
      <c r="W363" s="229"/>
      <c r="X363" s="230" t="s">
        <v>561</v>
      </c>
      <c r="Y363" s="231"/>
    </row>
    <row r="364" spans="1:25" ht="24" customHeight="1" x14ac:dyDescent="0.2">
      <c r="A364" s="513" t="str">
        <f ca="1">A357</f>
        <v/>
      </c>
      <c r="B364" s="227"/>
      <c r="C364" s="514" t="str">
        <f ca="1">C357</f>
        <v/>
      </c>
      <c r="D364" s="227"/>
      <c r="E364" s="227"/>
      <c r="F364" s="228"/>
      <c r="G364" s="229"/>
      <c r="H364" s="229"/>
      <c r="I364" s="230" t="s">
        <v>561</v>
      </c>
      <c r="J364" s="231"/>
      <c r="K364" s="228"/>
      <c r="L364" s="229"/>
      <c r="M364" s="229"/>
      <c r="N364" s="230" t="s">
        <v>561</v>
      </c>
      <c r="O364" s="231"/>
      <c r="P364" s="228"/>
      <c r="Q364" s="229"/>
      <c r="R364" s="229"/>
      <c r="S364" s="230" t="s">
        <v>561</v>
      </c>
      <c r="T364" s="231"/>
      <c r="U364" s="228"/>
      <c r="V364" s="229"/>
      <c r="W364" s="229"/>
      <c r="X364" s="230" t="s">
        <v>561</v>
      </c>
      <c r="Y364" s="231"/>
    </row>
    <row r="365" spans="1:25" ht="24" customHeight="1" x14ac:dyDescent="0.2">
      <c r="A365" s="513" t="str">
        <f ca="1">A358</f>
        <v/>
      </c>
      <c r="B365" s="227"/>
      <c r="C365" s="514" t="str">
        <f ca="1">C358</f>
        <v/>
      </c>
      <c r="D365" s="227"/>
      <c r="E365" s="227"/>
      <c r="F365" s="228"/>
      <c r="G365" s="229"/>
      <c r="H365" s="229"/>
      <c r="I365" s="230" t="s">
        <v>561</v>
      </c>
      <c r="J365" s="231"/>
      <c r="K365" s="228"/>
      <c r="L365" s="229"/>
      <c r="M365" s="229"/>
      <c r="N365" s="230" t="s">
        <v>561</v>
      </c>
      <c r="O365" s="231"/>
      <c r="P365" s="228"/>
      <c r="Q365" s="229"/>
      <c r="R365" s="229"/>
      <c r="S365" s="230" t="s">
        <v>561</v>
      </c>
      <c r="T365" s="231"/>
      <c r="U365" s="228"/>
      <c r="V365" s="229"/>
      <c r="W365" s="229"/>
      <c r="X365" s="230" t="s">
        <v>561</v>
      </c>
      <c r="Y365" s="231"/>
    </row>
    <row r="366" spans="1:25" ht="24" customHeight="1" x14ac:dyDescent="0.2">
      <c r="A366" s="513" t="str">
        <f ca="1">A359</f>
        <v/>
      </c>
      <c r="B366" s="227"/>
      <c r="C366" s="514" t="str">
        <f ca="1">C359</f>
        <v/>
      </c>
      <c r="D366" s="227"/>
      <c r="E366" s="227"/>
      <c r="F366" s="228"/>
      <c r="G366" s="229"/>
      <c r="H366" s="229"/>
      <c r="I366" s="230" t="s">
        <v>561</v>
      </c>
      <c r="J366" s="232"/>
      <c r="K366" s="228"/>
      <c r="L366" s="229"/>
      <c r="M366" s="229"/>
      <c r="N366" s="230" t="s">
        <v>561</v>
      </c>
      <c r="O366" s="232"/>
      <c r="P366" s="228"/>
      <c r="Q366" s="229"/>
      <c r="R366" s="229"/>
      <c r="S366" s="230" t="s">
        <v>561</v>
      </c>
      <c r="T366" s="232"/>
      <c r="U366" s="228"/>
      <c r="V366" s="229"/>
      <c r="W366" s="229"/>
      <c r="X366" s="230" t="s">
        <v>561</v>
      </c>
      <c r="Y366" s="232"/>
    </row>
    <row r="367" spans="1:25" ht="24" customHeight="1" thickBot="1" x14ac:dyDescent="0.25">
      <c r="F367" s="1079" t="s">
        <v>562</v>
      </c>
      <c r="G367" s="1080"/>
      <c r="H367" s="1080"/>
      <c r="I367" s="230" t="s">
        <v>561</v>
      </c>
      <c r="J367" s="231"/>
      <c r="K367" s="1079" t="s">
        <v>563</v>
      </c>
      <c r="L367" s="1080"/>
      <c r="M367" s="1080"/>
      <c r="N367" s="230" t="s">
        <v>561</v>
      </c>
      <c r="O367" s="232"/>
      <c r="P367" s="1079" t="s">
        <v>564</v>
      </c>
      <c r="Q367" s="1080"/>
      <c r="R367" s="1080"/>
      <c r="S367" s="230" t="s">
        <v>561</v>
      </c>
      <c r="T367" s="232"/>
      <c r="U367" s="1079" t="s">
        <v>565</v>
      </c>
      <c r="V367" s="1080"/>
      <c r="W367" s="1080"/>
      <c r="X367" s="230" t="s">
        <v>561</v>
      </c>
      <c r="Y367" s="232"/>
    </row>
    <row r="368" spans="1:25" ht="24" customHeight="1" thickBot="1" x14ac:dyDescent="0.25">
      <c r="A368" s="508" t="s">
        <v>1013</v>
      </c>
      <c r="B368" s="508"/>
      <c r="D368" s="1094">
        <f ca="1">VLOOKUP(A352&amp;A353,PTS_SP,2,FALSE)</f>
        <v>0</v>
      </c>
      <c r="E368" s="1095"/>
      <c r="F368" s="745" t="s">
        <v>1014</v>
      </c>
      <c r="G368" s="670"/>
      <c r="H368" s="744"/>
      <c r="I368" s="1096"/>
      <c r="J368" s="1097"/>
      <c r="K368" s="1100" t="s">
        <v>1015</v>
      </c>
      <c r="L368" s="1101"/>
      <c r="M368" s="1102"/>
      <c r="N368" s="1096"/>
      <c r="O368" s="1097"/>
      <c r="P368" s="1100" t="s">
        <v>1016</v>
      </c>
      <c r="Q368" s="1101"/>
      <c r="R368" s="1102"/>
      <c r="S368" s="1096"/>
      <c r="T368" s="1097"/>
      <c r="U368" s="1100" t="s">
        <v>1017</v>
      </c>
      <c r="V368" s="1101"/>
      <c r="W368" s="1102"/>
      <c r="X368" s="1096"/>
      <c r="Y368" s="1097"/>
    </row>
    <row r="369" spans="1:25" ht="12.75" customHeight="1" x14ac:dyDescent="0.2">
      <c r="Y369" s="240" t="s">
        <v>570</v>
      </c>
    </row>
    <row r="370" spans="1:25" ht="15.75" customHeight="1" x14ac:dyDescent="0.2">
      <c r="B370" s="1091" t="s">
        <v>851</v>
      </c>
      <c r="C370" s="1091"/>
      <c r="D370" s="1091"/>
      <c r="E370" s="1091"/>
      <c r="F370" s="1091"/>
      <c r="G370" s="1091"/>
      <c r="H370" s="1091"/>
      <c r="I370" s="1091"/>
      <c r="J370" s="1091"/>
      <c r="K370" s="1091"/>
      <c r="L370" s="1091"/>
      <c r="O370" s="1091" t="s">
        <v>522</v>
      </c>
      <c r="P370" s="1091"/>
      <c r="Q370" s="1091"/>
      <c r="R370" s="1091"/>
      <c r="S370" s="1091"/>
      <c r="T370" s="1091"/>
      <c r="U370" s="1091"/>
      <c r="V370" s="1091"/>
      <c r="W370" s="1091"/>
      <c r="X370" s="1091"/>
      <c r="Y370" s="1091"/>
    </row>
    <row r="371" spans="1:25" ht="13.5" customHeight="1" x14ac:dyDescent="0.2">
      <c r="B371" s="1086" t="s">
        <v>1</v>
      </c>
      <c r="C371" s="1087"/>
      <c r="D371" s="1087"/>
      <c r="E371" s="1087"/>
      <c r="F371" s="1087"/>
      <c r="G371" s="1087"/>
      <c r="H371" s="1088"/>
      <c r="I371" s="1086" t="s">
        <v>520</v>
      </c>
      <c r="J371" s="1087"/>
      <c r="K371" s="1087"/>
      <c r="L371" s="1088"/>
      <c r="N371" s="241"/>
      <c r="O371" s="1086" t="s">
        <v>1</v>
      </c>
      <c r="P371" s="1087"/>
      <c r="Q371" s="1087"/>
      <c r="R371" s="1087"/>
      <c r="S371" s="1087"/>
      <c r="T371" s="1087"/>
      <c r="U371" s="1088"/>
      <c r="V371" s="1086" t="s">
        <v>520</v>
      </c>
      <c r="W371" s="1087"/>
      <c r="X371" s="1087"/>
      <c r="Y371" s="1088"/>
    </row>
    <row r="372" spans="1:25" ht="21.75" customHeight="1" x14ac:dyDescent="0.2">
      <c r="B372" s="242"/>
      <c r="C372" s="243"/>
      <c r="D372" s="243"/>
      <c r="E372" s="243"/>
      <c r="F372" s="243"/>
      <c r="G372" s="243"/>
      <c r="H372" s="243"/>
      <c r="I372" s="242"/>
      <c r="J372" s="243"/>
      <c r="K372" s="243"/>
      <c r="L372" s="244"/>
      <c r="N372" s="241"/>
      <c r="O372" s="242"/>
      <c r="P372" s="243"/>
      <c r="Q372" s="243"/>
      <c r="R372" s="243"/>
      <c r="S372" s="243"/>
      <c r="T372" s="243"/>
      <c r="U372" s="243"/>
      <c r="V372" s="242"/>
      <c r="W372" s="243"/>
      <c r="X372" s="243"/>
      <c r="Y372" s="244"/>
    </row>
    <row r="373" spans="1:25" ht="13.5" customHeight="1" x14ac:dyDescent="0.2"/>
    <row r="374" spans="1:25" ht="14.25" customHeight="1" thickBot="1" x14ac:dyDescent="0.25">
      <c r="A374" s="241"/>
      <c r="G374" s="305"/>
      <c r="H374" s="305"/>
      <c r="I374" s="1069" t="s">
        <v>0</v>
      </c>
      <c r="J374" s="1069"/>
      <c r="K374" s="1069"/>
      <c r="L374" s="1069"/>
      <c r="M374" s="1069"/>
      <c r="N374" s="1069"/>
      <c r="O374" s="1069"/>
      <c r="P374" s="1069" t="s">
        <v>374</v>
      </c>
      <c r="Q374" s="1069"/>
      <c r="R374" s="1069"/>
      <c r="S374" s="1069"/>
      <c r="T374" s="1069"/>
      <c r="U374" s="1069" t="s">
        <v>571</v>
      </c>
      <c r="V374" s="1069"/>
      <c r="W374" s="1069"/>
      <c r="X374" s="305"/>
      <c r="Y374" s="305"/>
    </row>
    <row r="375" spans="1:25" ht="20.25" customHeight="1" x14ac:dyDescent="0.2">
      <c r="A375" s="241"/>
      <c r="F375" s="1074" t="s">
        <v>584</v>
      </c>
      <c r="G375" s="1074"/>
      <c r="H375" s="1074"/>
      <c r="I375" s="316"/>
      <c r="J375" s="306"/>
      <c r="K375" s="306"/>
      <c r="L375" s="306"/>
      <c r="M375" s="306"/>
      <c r="N375" s="306"/>
      <c r="O375" s="306"/>
      <c r="P375" s="312"/>
      <c r="Q375" s="306"/>
      <c r="R375" s="307"/>
      <c r="S375" s="304"/>
      <c r="T375" s="313"/>
      <c r="U375" s="310"/>
      <c r="V375" s="1084" t="s">
        <v>495</v>
      </c>
      <c r="W375" s="308"/>
    </row>
    <row r="376" spans="1:25" ht="13.5" thickBot="1" x14ac:dyDescent="0.25">
      <c r="F376" s="1074"/>
      <c r="G376" s="1074"/>
      <c r="H376" s="1074"/>
      <c r="I376" s="303"/>
      <c r="J376" s="235"/>
      <c r="K376" s="235"/>
      <c r="L376" s="235"/>
      <c r="M376" s="235"/>
      <c r="N376" s="235"/>
      <c r="O376" s="235"/>
      <c r="P376" s="314"/>
      <c r="Q376" s="235"/>
      <c r="R376" s="234"/>
      <c r="S376" s="234"/>
      <c r="T376" s="315"/>
      <c r="U376" s="311"/>
      <c r="V376" s="1085"/>
      <c r="W376" s="309"/>
    </row>
    <row r="378" spans="1:25" ht="6.75" customHeight="1" x14ac:dyDescent="0.2"/>
    <row r="379" spans="1:25" s="218" customFormat="1" ht="23.25" customHeight="1" x14ac:dyDescent="0.2">
      <c r="A379" s="1072" t="s">
        <v>546</v>
      </c>
      <c r="B379" s="1073"/>
      <c r="C379" s="499" t="str">
        <f>C350</f>
        <v>D1</v>
      </c>
      <c r="D379" s="1098" t="s">
        <v>628</v>
      </c>
      <c r="E379" s="1072"/>
      <c r="F379" s="1072"/>
      <c r="G379" s="1103">
        <f ca="1">INDIRECT("AD"&amp;V379)</f>
        <v>0</v>
      </c>
      <c r="H379" s="1104"/>
      <c r="J379" s="218" t="str">
        <f>CATEG_IMPORTEE</f>
        <v>Collèges Mixtes Etablissement</v>
      </c>
      <c r="T379" s="500"/>
      <c r="U379" s="520">
        <f ca="1">INDIRECT("AE"&amp;V379)</f>
        <v>0</v>
      </c>
      <c r="V379" s="500">
        <f>Y379+2</f>
        <v>16</v>
      </c>
      <c r="W379" s="501">
        <f ca="1">INDIRECT("AF"&amp;V379)</f>
        <v>0</v>
      </c>
      <c r="X379" s="502" t="s">
        <v>849</v>
      </c>
      <c r="Y379" s="503">
        <f>Y350+1</f>
        <v>14</v>
      </c>
    </row>
    <row r="380" spans="1:25" ht="27" customHeight="1" thickBot="1" x14ac:dyDescent="0.25">
      <c r="A380" s="1093" t="s">
        <v>0</v>
      </c>
      <c r="B380" s="1093"/>
      <c r="C380" s="1093"/>
      <c r="D380" s="1093"/>
      <c r="E380" s="1093"/>
      <c r="F380" s="1093"/>
      <c r="G380" s="1093"/>
      <c r="H380" s="1093" t="s">
        <v>374</v>
      </c>
      <c r="I380" s="1093"/>
      <c r="J380" s="1093"/>
      <c r="K380" s="1093"/>
      <c r="L380" s="1093"/>
      <c r="O380" s="1069" t="s">
        <v>0</v>
      </c>
      <c r="P380" s="1069"/>
      <c r="Q380" s="1069"/>
      <c r="R380" s="1069"/>
      <c r="S380" s="1069"/>
      <c r="T380" s="1069"/>
      <c r="U380" s="1069"/>
      <c r="V380" s="1069" t="s">
        <v>374</v>
      </c>
      <c r="W380" s="1069"/>
      <c r="X380" s="1069"/>
      <c r="Y380" s="1069"/>
    </row>
    <row r="381" spans="1:25" ht="24" customHeight="1" thickBot="1" x14ac:dyDescent="0.25">
      <c r="A381" s="504" t="str">
        <f ca="1">IFERROR(VLOOKUP(U379,Num_AS,2,FALSE),"")</f>
        <v/>
      </c>
      <c r="B381" s="505"/>
      <c r="C381" s="505"/>
      <c r="D381" s="505"/>
      <c r="E381" s="505"/>
      <c r="F381" s="505"/>
      <c r="G381" s="506"/>
      <c r="H381" s="507" t="str">
        <f ca="1">IFERROR(VLOOKUP(U379,Num_AS,4,FALSE),"")</f>
        <v/>
      </c>
      <c r="I381" s="220"/>
      <c r="J381" s="220"/>
      <c r="K381" s="220"/>
      <c r="L381" s="738"/>
      <c r="M381" s="1070" t="s">
        <v>547</v>
      </c>
      <c r="N381" s="1071"/>
      <c r="O381" s="504" t="str">
        <f ca="1">IFERROR(VLOOKUP(W379,Num_AS,2,FALSE),"")</f>
        <v/>
      </c>
      <c r="P381" s="505"/>
      <c r="Q381" s="505"/>
      <c r="R381" s="505"/>
      <c r="S381" s="505"/>
      <c r="T381" s="505"/>
      <c r="U381" s="506"/>
      <c r="V381" s="507" t="str">
        <f ca="1">IFERROR(VLOOKUP(W379,Num_AS,4,FALSE),"")</f>
        <v/>
      </c>
      <c r="W381" s="220"/>
      <c r="X381" s="220"/>
      <c r="Y381" s="221"/>
    </row>
    <row r="382" spans="1:25" ht="15" customHeight="1" x14ac:dyDescent="0.2">
      <c r="A382" s="736" t="str">
        <f ca="1">IFERROR(VLOOKUP(U379,Num_AS,3,FALSE),"")</f>
        <v/>
      </c>
      <c r="B382" s="736"/>
      <c r="C382" s="736"/>
      <c r="D382" s="736"/>
      <c r="E382" s="736"/>
      <c r="F382" s="736"/>
      <c r="G382" s="736"/>
      <c r="H382" s="737"/>
    </row>
    <row r="383" spans="1:25" ht="20.100000000000001" customHeight="1" x14ac:dyDescent="0.2">
      <c r="A383" s="1074" t="s">
        <v>548</v>
      </c>
      <c r="B383" s="1074"/>
      <c r="C383" s="1074"/>
      <c r="D383" s="1074"/>
      <c r="E383" s="1074"/>
      <c r="Q383" s="217" t="str">
        <f>Q354</f>
        <v>Championnat de France de Tir à l'ARC</v>
      </c>
    </row>
    <row r="384" spans="1:25" ht="20.100000000000001" customHeight="1" x14ac:dyDescent="0.2">
      <c r="A384" s="1075" t="s">
        <v>549</v>
      </c>
      <c r="B384" s="1075"/>
      <c r="C384" s="1075"/>
      <c r="D384" s="1075"/>
      <c r="E384" s="1075"/>
      <c r="G384" s="1076" t="s">
        <v>480</v>
      </c>
      <c r="H384" s="1076"/>
      <c r="I384" s="1077" t="s">
        <v>550</v>
      </c>
      <c r="J384" s="1077"/>
      <c r="K384" s="1077"/>
      <c r="L384" s="252" t="s">
        <v>551</v>
      </c>
      <c r="M384" s="1078" t="s">
        <v>552</v>
      </c>
      <c r="N384" s="1078"/>
      <c r="O384" s="251"/>
      <c r="Q384" s="217" t="str">
        <f>Q355</f>
        <v>L’Isle sur la Sorgue du 27 au 31 mars 2023</v>
      </c>
    </row>
    <row r="385" spans="1:25" ht="24" customHeight="1" x14ac:dyDescent="0.2">
      <c r="A385" s="509" t="str">
        <f ca="1">IFERROR(VLOOKUP(U379,Num_AS,6,FALSE),"")</f>
        <v/>
      </c>
      <c r="B385" s="223"/>
      <c r="C385" s="510" t="str">
        <f ca="1">IFERROR(VLOOKUP(U379,Num_AS,7,FALSE),"")</f>
        <v/>
      </c>
      <c r="D385" s="223"/>
      <c r="E385" s="224"/>
      <c r="F385" s="219"/>
      <c r="G385" s="511" t="str">
        <f ca="1">IFERROR(VLOOKUP(U379,Num_AS,10,FALSE),"")</f>
        <v/>
      </c>
      <c r="H385" s="224"/>
      <c r="I385" s="222"/>
      <c r="J385" s="512" t="str">
        <f ca="1">IFERROR(VLOOKUP(U379,Num_AS,9,FALSE),"")</f>
        <v/>
      </c>
      <c r="K385" s="224"/>
      <c r="L385" s="222" t="str">
        <f ca="1">IFERROR(VLOOKUP(U379,Num_AS,11,FALSE),"")</f>
        <v/>
      </c>
      <c r="M385" s="287">
        <f ca="1">G379</f>
        <v>0</v>
      </c>
      <c r="N385" s="288"/>
      <c r="O385" s="249"/>
      <c r="R385" s="254"/>
      <c r="S385" s="254"/>
      <c r="T385" s="254"/>
      <c r="U385" s="254"/>
      <c r="V385" s="254"/>
      <c r="W385" s="254"/>
      <c r="X385" s="254"/>
      <c r="Y385" s="254"/>
    </row>
    <row r="386" spans="1:25" ht="24" customHeight="1" x14ac:dyDescent="0.2">
      <c r="A386" s="509" t="str">
        <f ca="1">IFERROR(VLOOKUP(U379,Num_AS,12,FALSE),"")</f>
        <v/>
      </c>
      <c r="B386" s="223"/>
      <c r="C386" s="510" t="str">
        <f ca="1">IFERROR(VLOOKUP(U379,Num_AS,13,FALSE),"")</f>
        <v/>
      </c>
      <c r="D386" s="223"/>
      <c r="E386" s="224"/>
      <c r="F386" s="219"/>
      <c r="G386" s="511" t="str">
        <f ca="1">IFERROR(VLOOKUP(U379,Num_AS,16,FALSE),"")</f>
        <v/>
      </c>
      <c r="H386" s="224"/>
      <c r="I386" s="222"/>
      <c r="J386" s="512" t="str">
        <f ca="1">IFERROR(VLOOKUP(U379,Num_AS,15,FALSE),"")</f>
        <v/>
      </c>
      <c r="K386" s="224"/>
      <c r="L386" s="222" t="str">
        <f ca="1">IFERROR(VLOOKUP(U379,Num_AS,17,FALSE),"")</f>
        <v/>
      </c>
      <c r="M386" s="287">
        <f ca="1">G379</f>
        <v>0</v>
      </c>
      <c r="N386" s="288"/>
      <c r="O386" s="249"/>
      <c r="Q386" s="254"/>
      <c r="R386" s="254"/>
      <c r="S386" s="254"/>
      <c r="T386" s="254"/>
      <c r="U386" s="254"/>
      <c r="V386" s="254"/>
      <c r="W386" s="254"/>
      <c r="X386" s="254"/>
      <c r="Y386" s="254"/>
    </row>
    <row r="387" spans="1:25" ht="24" customHeight="1" x14ac:dyDescent="0.2">
      <c r="A387" s="509" t="str">
        <f ca="1">IFERROR(VLOOKUP(U379,Num_AS,18,FALSE),"")</f>
        <v/>
      </c>
      <c r="B387" s="223"/>
      <c r="C387" s="510" t="str">
        <f ca="1">IFERROR(VLOOKUP(U379,Num_AS,19,FALSE),"")</f>
        <v/>
      </c>
      <c r="D387" s="223"/>
      <c r="E387" s="224"/>
      <c r="F387" s="219"/>
      <c r="G387" s="511" t="str">
        <f ca="1">IFERROR(VLOOKUP(U379,Num_AS,22,FALSE),"")</f>
        <v/>
      </c>
      <c r="H387" s="224"/>
      <c r="I387" s="222"/>
      <c r="J387" s="512" t="str">
        <f ca="1">IFERROR(VLOOKUP(U379,Num_AS,21,FALSE),"")</f>
        <v/>
      </c>
      <c r="K387" s="224"/>
      <c r="L387" s="222" t="str">
        <f ca="1">IFERROR(VLOOKUP(U379,Num_AS,23,FALSE),"")</f>
        <v/>
      </c>
      <c r="M387" s="287">
        <f ca="1">G379</f>
        <v>0</v>
      </c>
      <c r="N387" s="288"/>
      <c r="O387" s="249"/>
      <c r="Q387" s="254"/>
      <c r="R387" s="254"/>
      <c r="S387" s="254"/>
      <c r="T387" s="254"/>
      <c r="U387" s="254"/>
      <c r="V387" s="254"/>
      <c r="W387" s="254"/>
      <c r="X387" s="254"/>
      <c r="Y387" s="254"/>
    </row>
    <row r="388" spans="1:25" ht="24" customHeight="1" x14ac:dyDescent="0.2">
      <c r="A388" s="509" t="str">
        <f ca="1">IFERROR(VLOOKUP(U379,Num_AS,24,FALSE),"")</f>
        <v/>
      </c>
      <c r="B388" s="223"/>
      <c r="C388" s="510" t="str">
        <f ca="1">IFERROR(VLOOKUP(U379,Num_AS,25,FALSE),"")</f>
        <v/>
      </c>
      <c r="D388" s="223"/>
      <c r="E388" s="224"/>
      <c r="F388" s="219"/>
      <c r="G388" s="511" t="str">
        <f ca="1">IFERROR(VLOOKUP(U379,Num_AS,28,FALSE),"")</f>
        <v/>
      </c>
      <c r="H388" s="224"/>
      <c r="I388" s="222"/>
      <c r="J388" s="512" t="str">
        <f ca="1">IFERROR(VLOOKUP(U379,Num_AS,27,FALSE),"")</f>
        <v/>
      </c>
      <c r="K388" s="224"/>
      <c r="L388" s="222" t="str">
        <f ca="1">IFERROR(VLOOKUP(U379,Num_AS,29,FALSE),"")</f>
        <v/>
      </c>
      <c r="M388" s="289">
        <f ca="1">G379</f>
        <v>0</v>
      </c>
      <c r="N388" s="290"/>
      <c r="O388" s="249"/>
    </row>
    <row r="389" spans="1:25" ht="15" customHeight="1" thickBot="1" x14ac:dyDescent="0.25"/>
    <row r="390" spans="1:25" ht="20.100000000000001" customHeight="1" x14ac:dyDescent="0.2">
      <c r="F390" s="1081" t="s">
        <v>555</v>
      </c>
      <c r="G390" s="1082"/>
      <c r="H390" s="1082"/>
      <c r="I390" s="1082"/>
      <c r="J390" s="1083"/>
      <c r="K390" s="1081" t="s">
        <v>556</v>
      </c>
      <c r="L390" s="1082"/>
      <c r="M390" s="1082"/>
      <c r="N390" s="1082"/>
      <c r="O390" s="1083"/>
      <c r="P390" s="1081" t="s">
        <v>557</v>
      </c>
      <c r="Q390" s="1082"/>
      <c r="R390" s="1082"/>
      <c r="S390" s="1082"/>
      <c r="T390" s="1083"/>
      <c r="U390" s="1081" t="s">
        <v>558</v>
      </c>
      <c r="V390" s="1082"/>
      <c r="W390" s="1082"/>
      <c r="X390" s="1082"/>
      <c r="Y390" s="1083"/>
    </row>
    <row r="391" spans="1:25" ht="20.100000000000001" customHeight="1" x14ac:dyDescent="0.2">
      <c r="A391" s="1075" t="s">
        <v>559</v>
      </c>
      <c r="B391" s="1075"/>
      <c r="C391" s="1075"/>
      <c r="D391" s="1075"/>
      <c r="E391" s="1089"/>
      <c r="F391" s="1090" t="s">
        <v>560</v>
      </c>
      <c r="G391" s="1075"/>
      <c r="H391" s="1075"/>
      <c r="J391" s="225" t="s">
        <v>7</v>
      </c>
      <c r="K391" s="1090" t="s">
        <v>560</v>
      </c>
      <c r="L391" s="1075"/>
      <c r="M391" s="1075"/>
      <c r="O391" s="225" t="s">
        <v>7</v>
      </c>
      <c r="P391" s="1090" t="s">
        <v>560</v>
      </c>
      <c r="Q391" s="1075"/>
      <c r="R391" s="1075"/>
      <c r="T391" s="225" t="s">
        <v>7</v>
      </c>
      <c r="U391" s="1090" t="s">
        <v>560</v>
      </c>
      <c r="V391" s="1075"/>
      <c r="W391" s="1075"/>
      <c r="Y391" s="225" t="s">
        <v>7</v>
      </c>
    </row>
    <row r="392" spans="1:25" ht="24" customHeight="1" x14ac:dyDescent="0.2">
      <c r="A392" s="513" t="str">
        <f ca="1">A385</f>
        <v/>
      </c>
      <c r="B392" s="227"/>
      <c r="C392" s="514" t="str">
        <f ca="1">C385</f>
        <v/>
      </c>
      <c r="D392" s="227"/>
      <c r="E392" s="227"/>
      <c r="F392" s="228"/>
      <c r="G392" s="229"/>
      <c r="H392" s="229"/>
      <c r="I392" s="230" t="s">
        <v>561</v>
      </c>
      <c r="J392" s="231"/>
      <c r="K392" s="228"/>
      <c r="L392" s="229"/>
      <c r="M392" s="229"/>
      <c r="N392" s="230" t="s">
        <v>561</v>
      </c>
      <c r="O392" s="231"/>
      <c r="P392" s="228"/>
      <c r="Q392" s="229"/>
      <c r="R392" s="229"/>
      <c r="S392" s="230" t="s">
        <v>561</v>
      </c>
      <c r="T392" s="231"/>
      <c r="U392" s="228"/>
      <c r="V392" s="229"/>
      <c r="W392" s="229"/>
      <c r="X392" s="230" t="s">
        <v>561</v>
      </c>
      <c r="Y392" s="231"/>
    </row>
    <row r="393" spans="1:25" ht="24" customHeight="1" x14ac:dyDescent="0.2">
      <c r="A393" s="513" t="str">
        <f ca="1">A386</f>
        <v/>
      </c>
      <c r="B393" s="227"/>
      <c r="C393" s="514" t="str">
        <f ca="1">C386</f>
        <v/>
      </c>
      <c r="D393" s="227"/>
      <c r="E393" s="227"/>
      <c r="F393" s="228"/>
      <c r="G393" s="229"/>
      <c r="H393" s="229"/>
      <c r="I393" s="230" t="s">
        <v>561</v>
      </c>
      <c r="J393" s="231"/>
      <c r="K393" s="228"/>
      <c r="L393" s="229"/>
      <c r="M393" s="229"/>
      <c r="N393" s="230" t="s">
        <v>561</v>
      </c>
      <c r="O393" s="231"/>
      <c r="P393" s="228"/>
      <c r="Q393" s="229"/>
      <c r="R393" s="229"/>
      <c r="S393" s="230" t="s">
        <v>561</v>
      </c>
      <c r="T393" s="231"/>
      <c r="U393" s="228"/>
      <c r="V393" s="229"/>
      <c r="W393" s="229"/>
      <c r="X393" s="230" t="s">
        <v>561</v>
      </c>
      <c r="Y393" s="231"/>
    </row>
    <row r="394" spans="1:25" ht="24" customHeight="1" x14ac:dyDescent="0.2">
      <c r="A394" s="513" t="str">
        <f ca="1">A387</f>
        <v/>
      </c>
      <c r="B394" s="227"/>
      <c r="C394" s="514" t="str">
        <f ca="1">C387</f>
        <v/>
      </c>
      <c r="D394" s="227"/>
      <c r="E394" s="227"/>
      <c r="F394" s="228"/>
      <c r="G394" s="229"/>
      <c r="H394" s="229"/>
      <c r="I394" s="230" t="s">
        <v>561</v>
      </c>
      <c r="J394" s="231"/>
      <c r="K394" s="228"/>
      <c r="L394" s="229"/>
      <c r="M394" s="229"/>
      <c r="N394" s="230" t="s">
        <v>561</v>
      </c>
      <c r="O394" s="231"/>
      <c r="P394" s="228"/>
      <c r="Q394" s="229"/>
      <c r="R394" s="229"/>
      <c r="S394" s="230" t="s">
        <v>561</v>
      </c>
      <c r="T394" s="231"/>
      <c r="U394" s="228"/>
      <c r="V394" s="229"/>
      <c r="W394" s="229"/>
      <c r="X394" s="230" t="s">
        <v>561</v>
      </c>
      <c r="Y394" s="231"/>
    </row>
    <row r="395" spans="1:25" ht="24" customHeight="1" x14ac:dyDescent="0.2">
      <c r="A395" s="513" t="str">
        <f ca="1">A388</f>
        <v/>
      </c>
      <c r="B395" s="227"/>
      <c r="C395" s="514" t="str">
        <f ca="1">C388</f>
        <v/>
      </c>
      <c r="D395" s="227"/>
      <c r="E395" s="227"/>
      <c r="F395" s="228"/>
      <c r="G395" s="229"/>
      <c r="H395" s="229"/>
      <c r="I395" s="230" t="s">
        <v>561</v>
      </c>
      <c r="J395" s="232"/>
      <c r="K395" s="228"/>
      <c r="L395" s="229"/>
      <c r="M395" s="229"/>
      <c r="N395" s="230" t="s">
        <v>561</v>
      </c>
      <c r="O395" s="232"/>
      <c r="P395" s="228"/>
      <c r="Q395" s="229"/>
      <c r="R395" s="229"/>
      <c r="S395" s="230" t="s">
        <v>561</v>
      </c>
      <c r="T395" s="232"/>
      <c r="U395" s="228"/>
      <c r="V395" s="229"/>
      <c r="W395" s="229"/>
      <c r="X395" s="230" t="s">
        <v>561</v>
      </c>
      <c r="Y395" s="232"/>
    </row>
    <row r="396" spans="1:25" ht="24" customHeight="1" thickBot="1" x14ac:dyDescent="0.25">
      <c r="F396" s="1079" t="s">
        <v>562</v>
      </c>
      <c r="G396" s="1080"/>
      <c r="H396" s="1080"/>
      <c r="I396" s="230" t="s">
        <v>561</v>
      </c>
      <c r="J396" s="231"/>
      <c r="K396" s="1079" t="s">
        <v>563</v>
      </c>
      <c r="L396" s="1080"/>
      <c r="M396" s="1080"/>
      <c r="N396" s="230" t="s">
        <v>561</v>
      </c>
      <c r="O396" s="232"/>
      <c r="P396" s="1079" t="s">
        <v>564</v>
      </c>
      <c r="Q396" s="1080"/>
      <c r="R396" s="1080"/>
      <c r="S396" s="230" t="s">
        <v>561</v>
      </c>
      <c r="T396" s="232"/>
      <c r="U396" s="1079" t="s">
        <v>565</v>
      </c>
      <c r="V396" s="1080"/>
      <c r="W396" s="1080"/>
      <c r="X396" s="230" t="s">
        <v>561</v>
      </c>
      <c r="Y396" s="232"/>
    </row>
    <row r="397" spans="1:25" ht="24" customHeight="1" thickBot="1" x14ac:dyDescent="0.25">
      <c r="A397" s="508" t="s">
        <v>1013</v>
      </c>
      <c r="B397" s="508"/>
      <c r="D397" s="1094">
        <f ca="1">VLOOKUP(A381&amp;A382,PTS_SP,2,FALSE)</f>
        <v>0</v>
      </c>
      <c r="E397" s="1095"/>
      <c r="F397" s="745" t="s">
        <v>1014</v>
      </c>
      <c r="G397" s="670"/>
      <c r="H397" s="744"/>
      <c r="I397" s="1096"/>
      <c r="J397" s="1097"/>
      <c r="K397" s="1100" t="s">
        <v>1015</v>
      </c>
      <c r="L397" s="1101"/>
      <c r="M397" s="1102"/>
      <c r="N397" s="1096"/>
      <c r="O397" s="1097"/>
      <c r="P397" s="1100" t="s">
        <v>1016</v>
      </c>
      <c r="Q397" s="1101"/>
      <c r="R397" s="1102"/>
      <c r="S397" s="1096"/>
      <c r="T397" s="1097"/>
      <c r="U397" s="1100" t="s">
        <v>1017</v>
      </c>
      <c r="V397" s="1101"/>
      <c r="W397" s="1102"/>
      <c r="X397" s="1096"/>
      <c r="Y397" s="1097"/>
    </row>
    <row r="398" spans="1:25" ht="12.75" customHeight="1" x14ac:dyDescent="0.2">
      <c r="Y398" s="240" t="s">
        <v>570</v>
      </c>
    </row>
    <row r="399" spans="1:25" ht="15.75" customHeight="1" x14ac:dyDescent="0.2">
      <c r="B399" s="1091" t="s">
        <v>851</v>
      </c>
      <c r="C399" s="1091"/>
      <c r="D399" s="1091"/>
      <c r="E399" s="1091"/>
      <c r="F399" s="1091"/>
      <c r="G399" s="1091"/>
      <c r="H399" s="1091"/>
      <c r="I399" s="1091"/>
      <c r="J399" s="1091"/>
      <c r="K399" s="1091"/>
      <c r="L399" s="1091"/>
      <c r="O399" s="1091" t="s">
        <v>522</v>
      </c>
      <c r="P399" s="1091"/>
      <c r="Q399" s="1091"/>
      <c r="R399" s="1091"/>
      <c r="S399" s="1091"/>
      <c r="T399" s="1091"/>
      <c r="U399" s="1091"/>
      <c r="V399" s="1091"/>
      <c r="W399" s="1091"/>
      <c r="X399" s="1091"/>
      <c r="Y399" s="1091"/>
    </row>
    <row r="400" spans="1:25" ht="13.5" customHeight="1" x14ac:dyDescent="0.2">
      <c r="B400" s="1086" t="s">
        <v>1</v>
      </c>
      <c r="C400" s="1087"/>
      <c r="D400" s="1087"/>
      <c r="E400" s="1087"/>
      <c r="F400" s="1087"/>
      <c r="G400" s="1087"/>
      <c r="H400" s="1088"/>
      <c r="I400" s="1086" t="s">
        <v>520</v>
      </c>
      <c r="J400" s="1087"/>
      <c r="K400" s="1087"/>
      <c r="L400" s="1088"/>
      <c r="N400" s="241"/>
      <c r="O400" s="1086" t="s">
        <v>1</v>
      </c>
      <c r="P400" s="1087"/>
      <c r="Q400" s="1087"/>
      <c r="R400" s="1087"/>
      <c r="S400" s="1087"/>
      <c r="T400" s="1087"/>
      <c r="U400" s="1088"/>
      <c r="V400" s="1086" t="s">
        <v>520</v>
      </c>
      <c r="W400" s="1087"/>
      <c r="X400" s="1087"/>
      <c r="Y400" s="1088"/>
    </row>
    <row r="401" spans="1:25" ht="21.75" customHeight="1" x14ac:dyDescent="0.2">
      <c r="B401" s="242"/>
      <c r="C401" s="243"/>
      <c r="D401" s="243"/>
      <c r="E401" s="243"/>
      <c r="F401" s="243"/>
      <c r="G401" s="243"/>
      <c r="H401" s="243"/>
      <c r="I401" s="242"/>
      <c r="J401" s="243"/>
      <c r="K401" s="243"/>
      <c r="L401" s="244"/>
      <c r="N401" s="241"/>
      <c r="O401" s="242"/>
      <c r="P401" s="243"/>
      <c r="Q401" s="243"/>
      <c r="R401" s="243"/>
      <c r="S401" s="243"/>
      <c r="T401" s="243"/>
      <c r="U401" s="243"/>
      <c r="V401" s="242"/>
      <c r="W401" s="243"/>
      <c r="X401" s="243"/>
      <c r="Y401" s="244"/>
    </row>
    <row r="402" spans="1:25" ht="13.5" customHeight="1" x14ac:dyDescent="0.2"/>
    <row r="403" spans="1:25" ht="14.25" customHeight="1" thickBot="1" x14ac:dyDescent="0.25">
      <c r="A403" s="241"/>
      <c r="G403" s="305"/>
      <c r="H403" s="305"/>
      <c r="I403" s="1069" t="s">
        <v>0</v>
      </c>
      <c r="J403" s="1069"/>
      <c r="K403" s="1069"/>
      <c r="L403" s="1069"/>
      <c r="M403" s="1069"/>
      <c r="N403" s="1069"/>
      <c r="O403" s="1069"/>
      <c r="P403" s="1069" t="s">
        <v>374</v>
      </c>
      <c r="Q403" s="1069"/>
      <c r="R403" s="1069"/>
      <c r="S403" s="1069"/>
      <c r="T403" s="1069"/>
      <c r="U403" s="1069" t="s">
        <v>571</v>
      </c>
      <c r="V403" s="1069"/>
      <c r="W403" s="1069"/>
      <c r="X403" s="305"/>
      <c r="Y403" s="305"/>
    </row>
    <row r="404" spans="1:25" ht="20.25" customHeight="1" x14ac:dyDescent="0.2">
      <c r="A404" s="241"/>
      <c r="F404" s="1074" t="s">
        <v>584</v>
      </c>
      <c r="G404" s="1074"/>
      <c r="H404" s="1074"/>
      <c r="I404" s="316"/>
      <c r="J404" s="306"/>
      <c r="K404" s="306"/>
      <c r="L404" s="306"/>
      <c r="M404" s="306"/>
      <c r="N404" s="306"/>
      <c r="O404" s="306"/>
      <c r="P404" s="312"/>
      <c r="Q404" s="306"/>
      <c r="R404" s="307"/>
      <c r="S404" s="304"/>
      <c r="T404" s="313"/>
      <c r="U404" s="310"/>
      <c r="V404" s="1084" t="s">
        <v>495</v>
      </c>
      <c r="W404" s="308"/>
    </row>
    <row r="405" spans="1:25" ht="13.5" thickBot="1" x14ac:dyDescent="0.25">
      <c r="F405" s="1074"/>
      <c r="G405" s="1074"/>
      <c r="H405" s="1074"/>
      <c r="I405" s="303"/>
      <c r="J405" s="235"/>
      <c r="K405" s="235"/>
      <c r="L405" s="235"/>
      <c r="M405" s="235"/>
      <c r="N405" s="235"/>
      <c r="O405" s="235"/>
      <c r="P405" s="314"/>
      <c r="Q405" s="235"/>
      <c r="R405" s="234"/>
      <c r="S405" s="234"/>
      <c r="T405" s="315"/>
      <c r="U405" s="311"/>
      <c r="V405" s="1085"/>
      <c r="W405" s="309"/>
    </row>
    <row r="407" spans="1:25" ht="6.75" customHeight="1" x14ac:dyDescent="0.2"/>
    <row r="408" spans="1:25" s="218" customFormat="1" ht="23.25" customHeight="1" x14ac:dyDescent="0.2">
      <c r="A408" s="1072" t="s">
        <v>546</v>
      </c>
      <c r="B408" s="1073"/>
      <c r="C408" s="499" t="str">
        <f>C379</f>
        <v>D1</v>
      </c>
      <c r="D408" s="1098" t="s">
        <v>628</v>
      </c>
      <c r="E408" s="1072"/>
      <c r="F408" s="1072"/>
      <c r="G408" s="1103">
        <f ca="1">INDIRECT("AD"&amp;V408)</f>
        <v>0</v>
      </c>
      <c r="H408" s="1104"/>
      <c r="J408" s="218" t="str">
        <f>CATEG_IMPORTEE</f>
        <v>Collèges Mixtes Etablissement</v>
      </c>
      <c r="T408" s="500"/>
      <c r="U408" s="520">
        <f ca="1">INDIRECT("AE"&amp;V408)</f>
        <v>0</v>
      </c>
      <c r="V408" s="500">
        <f>Y408+2</f>
        <v>17</v>
      </c>
      <c r="W408" s="501">
        <f ca="1">INDIRECT("AF"&amp;V408)</f>
        <v>0</v>
      </c>
      <c r="X408" s="502" t="s">
        <v>849</v>
      </c>
      <c r="Y408" s="503">
        <f>Y379+1</f>
        <v>15</v>
      </c>
    </row>
    <row r="409" spans="1:25" ht="27" customHeight="1" thickBot="1" x14ac:dyDescent="0.25">
      <c r="A409" s="1093" t="s">
        <v>0</v>
      </c>
      <c r="B409" s="1093"/>
      <c r="C409" s="1093"/>
      <c r="D409" s="1093"/>
      <c r="E409" s="1093"/>
      <c r="F409" s="1093"/>
      <c r="G409" s="1093"/>
      <c r="H409" s="1093" t="s">
        <v>374</v>
      </c>
      <c r="I409" s="1093"/>
      <c r="J409" s="1093"/>
      <c r="K409" s="1093"/>
      <c r="L409" s="1093"/>
      <c r="O409" s="1069" t="s">
        <v>0</v>
      </c>
      <c r="P409" s="1069"/>
      <c r="Q409" s="1069"/>
      <c r="R409" s="1069"/>
      <c r="S409" s="1069"/>
      <c r="T409" s="1069"/>
      <c r="U409" s="1069"/>
      <c r="V409" s="1069" t="s">
        <v>374</v>
      </c>
      <c r="W409" s="1069"/>
      <c r="X409" s="1069"/>
      <c r="Y409" s="1069"/>
    </row>
    <row r="410" spans="1:25" ht="24" customHeight="1" thickBot="1" x14ac:dyDescent="0.25">
      <c r="A410" s="504" t="str">
        <f ca="1">IFERROR(VLOOKUP(U408,Num_AS,2,FALSE),"")</f>
        <v/>
      </c>
      <c r="B410" s="505"/>
      <c r="C410" s="505"/>
      <c r="D410" s="505"/>
      <c r="E410" s="505"/>
      <c r="F410" s="505"/>
      <c r="G410" s="506"/>
      <c r="H410" s="507" t="str">
        <f ca="1">IFERROR(VLOOKUP(U408,Num_AS,4,FALSE),"")</f>
        <v/>
      </c>
      <c r="I410" s="220"/>
      <c r="J410" s="220"/>
      <c r="K410" s="220"/>
      <c r="L410" s="738"/>
      <c r="M410" s="1070" t="s">
        <v>547</v>
      </c>
      <c r="N410" s="1071"/>
      <c r="O410" s="504" t="str">
        <f ca="1">IFERROR(VLOOKUP(W408,Num_AS,2,FALSE),"")</f>
        <v/>
      </c>
      <c r="P410" s="505"/>
      <c r="Q410" s="505"/>
      <c r="R410" s="505"/>
      <c r="S410" s="505"/>
      <c r="T410" s="505"/>
      <c r="U410" s="506"/>
      <c r="V410" s="507" t="str">
        <f ca="1">IFERROR(VLOOKUP(W408,Num_AS,4,FALSE),"")</f>
        <v/>
      </c>
      <c r="W410" s="220"/>
      <c r="X410" s="220"/>
      <c r="Y410" s="221"/>
    </row>
    <row r="411" spans="1:25" ht="15" customHeight="1" x14ac:dyDescent="0.2">
      <c r="A411" s="736" t="str">
        <f ca="1">IFERROR(VLOOKUP(U408,Num_AS,3,FALSE),"")</f>
        <v/>
      </c>
      <c r="B411" s="736"/>
      <c r="C411" s="736"/>
      <c r="D411" s="736"/>
      <c r="E411" s="736"/>
      <c r="F411" s="736"/>
      <c r="G411" s="736"/>
      <c r="H411" s="737"/>
    </row>
    <row r="412" spans="1:25" ht="20.100000000000001" customHeight="1" x14ac:dyDescent="0.2">
      <c r="A412" s="1074" t="s">
        <v>548</v>
      </c>
      <c r="B412" s="1074"/>
      <c r="C412" s="1074"/>
      <c r="D412" s="1074"/>
      <c r="E412" s="1074"/>
      <c r="Q412" s="217" t="str">
        <f>Q383</f>
        <v>Championnat de France de Tir à l'ARC</v>
      </c>
    </row>
    <row r="413" spans="1:25" ht="20.100000000000001" customHeight="1" x14ac:dyDescent="0.2">
      <c r="A413" s="1075" t="s">
        <v>549</v>
      </c>
      <c r="B413" s="1075"/>
      <c r="C413" s="1075"/>
      <c r="D413" s="1075"/>
      <c r="E413" s="1075"/>
      <c r="G413" s="1076" t="s">
        <v>480</v>
      </c>
      <c r="H413" s="1076"/>
      <c r="I413" s="1077" t="s">
        <v>550</v>
      </c>
      <c r="J413" s="1077"/>
      <c r="K413" s="1077"/>
      <c r="L413" s="252" t="s">
        <v>551</v>
      </c>
      <c r="M413" s="1078" t="s">
        <v>552</v>
      </c>
      <c r="N413" s="1078"/>
      <c r="O413" s="251"/>
      <c r="Q413" s="217" t="str">
        <f>Q384</f>
        <v>L’Isle sur la Sorgue du 27 au 31 mars 2023</v>
      </c>
    </row>
    <row r="414" spans="1:25" ht="24" customHeight="1" x14ac:dyDescent="0.2">
      <c r="A414" s="509" t="str">
        <f ca="1">IFERROR(VLOOKUP(U408,Num_AS,6,FALSE),"")</f>
        <v/>
      </c>
      <c r="B414" s="223"/>
      <c r="C414" s="510" t="str">
        <f ca="1">IFERROR(VLOOKUP(U408,Num_AS,7,FALSE),"")</f>
        <v/>
      </c>
      <c r="D414" s="223"/>
      <c r="E414" s="224"/>
      <c r="F414" s="219"/>
      <c r="G414" s="511" t="str">
        <f ca="1">IFERROR(VLOOKUP(U408,Num_AS,10,FALSE),"")</f>
        <v/>
      </c>
      <c r="H414" s="224"/>
      <c r="I414" s="222"/>
      <c r="J414" s="512" t="str">
        <f ca="1">IFERROR(VLOOKUP(U408,Num_AS,9,FALSE),"")</f>
        <v/>
      </c>
      <c r="K414" s="224"/>
      <c r="L414" s="222" t="str">
        <f ca="1">IFERROR(VLOOKUP(U408,Num_AS,11,FALSE),"")</f>
        <v/>
      </c>
      <c r="M414" s="287">
        <f ca="1">G408</f>
        <v>0</v>
      </c>
      <c r="N414" s="288"/>
      <c r="O414" s="249"/>
      <c r="R414" s="254"/>
      <c r="S414" s="254"/>
      <c r="T414" s="254"/>
      <c r="U414" s="254"/>
      <c r="V414" s="254"/>
      <c r="W414" s="254"/>
      <c r="X414" s="254"/>
      <c r="Y414" s="254"/>
    </row>
    <row r="415" spans="1:25" ht="24" customHeight="1" x14ac:dyDescent="0.2">
      <c r="A415" s="509" t="str">
        <f ca="1">IFERROR(VLOOKUP(U408,Num_AS,12,FALSE),"")</f>
        <v/>
      </c>
      <c r="B415" s="223"/>
      <c r="C415" s="510" t="str">
        <f ca="1">IFERROR(VLOOKUP(U408,Num_AS,13,FALSE),"")</f>
        <v/>
      </c>
      <c r="D415" s="223"/>
      <c r="E415" s="224"/>
      <c r="F415" s="219"/>
      <c r="G415" s="511" t="str">
        <f ca="1">IFERROR(VLOOKUP(U408,Num_AS,16,FALSE),"")</f>
        <v/>
      </c>
      <c r="H415" s="224"/>
      <c r="I415" s="222"/>
      <c r="J415" s="512" t="str">
        <f ca="1">IFERROR(VLOOKUP(U408,Num_AS,15,FALSE),"")</f>
        <v/>
      </c>
      <c r="K415" s="224"/>
      <c r="L415" s="222" t="str">
        <f ca="1">IFERROR(VLOOKUP(U408,Num_AS,17,FALSE),"")</f>
        <v/>
      </c>
      <c r="M415" s="287">
        <f ca="1">G408</f>
        <v>0</v>
      </c>
      <c r="N415" s="288"/>
      <c r="O415" s="249"/>
      <c r="Q415" s="254"/>
      <c r="R415" s="254"/>
      <c r="S415" s="254"/>
      <c r="T415" s="254"/>
      <c r="U415" s="254"/>
      <c r="V415" s="254"/>
      <c r="W415" s="254"/>
      <c r="X415" s="254"/>
      <c r="Y415" s="254"/>
    </row>
    <row r="416" spans="1:25" ht="24" customHeight="1" x14ac:dyDescent="0.2">
      <c r="A416" s="509" t="str">
        <f ca="1">IFERROR(VLOOKUP(U408,Num_AS,18,FALSE),"")</f>
        <v/>
      </c>
      <c r="B416" s="223"/>
      <c r="C416" s="510" t="str">
        <f ca="1">IFERROR(VLOOKUP(U408,Num_AS,19,FALSE),"")</f>
        <v/>
      </c>
      <c r="D416" s="223"/>
      <c r="E416" s="224"/>
      <c r="F416" s="219"/>
      <c r="G416" s="511" t="str">
        <f ca="1">IFERROR(VLOOKUP(U408,Num_AS,22,FALSE),"")</f>
        <v/>
      </c>
      <c r="H416" s="224"/>
      <c r="I416" s="222"/>
      <c r="J416" s="512" t="str">
        <f ca="1">IFERROR(VLOOKUP(U408,Num_AS,21,FALSE),"")</f>
        <v/>
      </c>
      <c r="K416" s="224"/>
      <c r="L416" s="222" t="str">
        <f ca="1">IFERROR(VLOOKUP(U408,Num_AS,23,FALSE),"")</f>
        <v/>
      </c>
      <c r="M416" s="287">
        <f ca="1">G408</f>
        <v>0</v>
      </c>
      <c r="N416" s="288"/>
      <c r="O416" s="249"/>
      <c r="Q416" s="254"/>
      <c r="R416" s="254"/>
      <c r="S416" s="254"/>
      <c r="T416" s="254"/>
      <c r="U416" s="254"/>
      <c r="V416" s="254"/>
      <c r="W416" s="254"/>
      <c r="X416" s="254"/>
      <c r="Y416" s="254"/>
    </row>
    <row r="417" spans="1:25" ht="24" customHeight="1" x14ac:dyDescent="0.2">
      <c r="A417" s="509" t="str">
        <f ca="1">IFERROR(VLOOKUP(U408,Num_AS,24,FALSE),"")</f>
        <v/>
      </c>
      <c r="B417" s="223"/>
      <c r="C417" s="510" t="str">
        <f ca="1">IFERROR(VLOOKUP(U408,Num_AS,25,FALSE),"")</f>
        <v/>
      </c>
      <c r="D417" s="223"/>
      <c r="E417" s="224"/>
      <c r="F417" s="219"/>
      <c r="G417" s="511" t="str">
        <f ca="1">IFERROR(VLOOKUP(U408,Num_AS,28,FALSE),"")</f>
        <v/>
      </c>
      <c r="H417" s="224"/>
      <c r="I417" s="222"/>
      <c r="J417" s="512" t="str">
        <f ca="1">IFERROR(VLOOKUP(U408,Num_AS,27,FALSE),"")</f>
        <v/>
      </c>
      <c r="K417" s="224"/>
      <c r="L417" s="222" t="str">
        <f ca="1">IFERROR(VLOOKUP(U408,Num_AS,29,FALSE),"")</f>
        <v/>
      </c>
      <c r="M417" s="289">
        <f ca="1">G408</f>
        <v>0</v>
      </c>
      <c r="N417" s="290"/>
      <c r="O417" s="249"/>
    </row>
    <row r="418" spans="1:25" ht="15" customHeight="1" thickBot="1" x14ac:dyDescent="0.25"/>
    <row r="419" spans="1:25" ht="20.100000000000001" customHeight="1" x14ac:dyDescent="0.2">
      <c r="F419" s="1081" t="s">
        <v>555</v>
      </c>
      <c r="G419" s="1082"/>
      <c r="H419" s="1082"/>
      <c r="I419" s="1082"/>
      <c r="J419" s="1083"/>
      <c r="K419" s="1081" t="s">
        <v>556</v>
      </c>
      <c r="L419" s="1082"/>
      <c r="M419" s="1082"/>
      <c r="N419" s="1082"/>
      <c r="O419" s="1083"/>
      <c r="P419" s="1081" t="s">
        <v>557</v>
      </c>
      <c r="Q419" s="1082"/>
      <c r="R419" s="1082"/>
      <c r="S419" s="1082"/>
      <c r="T419" s="1083"/>
      <c r="U419" s="1081" t="s">
        <v>558</v>
      </c>
      <c r="V419" s="1082"/>
      <c r="W419" s="1082"/>
      <c r="X419" s="1082"/>
      <c r="Y419" s="1083"/>
    </row>
    <row r="420" spans="1:25" ht="20.100000000000001" customHeight="1" x14ac:dyDescent="0.2">
      <c r="A420" s="1075" t="s">
        <v>559</v>
      </c>
      <c r="B420" s="1075"/>
      <c r="C420" s="1075"/>
      <c r="D420" s="1075"/>
      <c r="E420" s="1089"/>
      <c r="F420" s="1090" t="s">
        <v>560</v>
      </c>
      <c r="G420" s="1075"/>
      <c r="H420" s="1075"/>
      <c r="J420" s="225" t="s">
        <v>7</v>
      </c>
      <c r="K420" s="1090" t="s">
        <v>560</v>
      </c>
      <c r="L420" s="1075"/>
      <c r="M420" s="1075"/>
      <c r="O420" s="225" t="s">
        <v>7</v>
      </c>
      <c r="P420" s="1090" t="s">
        <v>560</v>
      </c>
      <c r="Q420" s="1075"/>
      <c r="R420" s="1075"/>
      <c r="T420" s="225" t="s">
        <v>7</v>
      </c>
      <c r="U420" s="1090" t="s">
        <v>560</v>
      </c>
      <c r="V420" s="1075"/>
      <c r="W420" s="1075"/>
      <c r="Y420" s="225" t="s">
        <v>7</v>
      </c>
    </row>
    <row r="421" spans="1:25" ht="24" customHeight="1" x14ac:dyDescent="0.2">
      <c r="A421" s="513" t="str">
        <f ca="1">A414</f>
        <v/>
      </c>
      <c r="B421" s="227"/>
      <c r="C421" s="514" t="str">
        <f ca="1">C414</f>
        <v/>
      </c>
      <c r="D421" s="227"/>
      <c r="E421" s="227"/>
      <c r="F421" s="228"/>
      <c r="G421" s="229"/>
      <c r="H421" s="229"/>
      <c r="I421" s="230" t="s">
        <v>561</v>
      </c>
      <c r="J421" s="231"/>
      <c r="K421" s="228"/>
      <c r="L421" s="229"/>
      <c r="M421" s="229"/>
      <c r="N421" s="230" t="s">
        <v>561</v>
      </c>
      <c r="O421" s="231"/>
      <c r="P421" s="228"/>
      <c r="Q421" s="229"/>
      <c r="R421" s="229"/>
      <c r="S421" s="230" t="s">
        <v>561</v>
      </c>
      <c r="T421" s="231"/>
      <c r="U421" s="228"/>
      <c r="V421" s="229"/>
      <c r="W421" s="229"/>
      <c r="X421" s="230" t="s">
        <v>561</v>
      </c>
      <c r="Y421" s="231"/>
    </row>
    <row r="422" spans="1:25" ht="24" customHeight="1" x14ac:dyDescent="0.2">
      <c r="A422" s="513" t="str">
        <f ca="1">A415</f>
        <v/>
      </c>
      <c r="B422" s="227"/>
      <c r="C422" s="514" t="str">
        <f ca="1">C415</f>
        <v/>
      </c>
      <c r="D422" s="227"/>
      <c r="E422" s="227"/>
      <c r="F422" s="228"/>
      <c r="G422" s="229"/>
      <c r="H422" s="229"/>
      <c r="I422" s="230" t="s">
        <v>561</v>
      </c>
      <c r="J422" s="231"/>
      <c r="K422" s="228"/>
      <c r="L422" s="229"/>
      <c r="M422" s="229"/>
      <c r="N422" s="230" t="s">
        <v>561</v>
      </c>
      <c r="O422" s="231"/>
      <c r="P422" s="228"/>
      <c r="Q422" s="229"/>
      <c r="R422" s="229"/>
      <c r="S422" s="230" t="s">
        <v>561</v>
      </c>
      <c r="T422" s="231"/>
      <c r="U422" s="228"/>
      <c r="V422" s="229"/>
      <c r="W422" s="229"/>
      <c r="X422" s="230" t="s">
        <v>561</v>
      </c>
      <c r="Y422" s="231"/>
    </row>
    <row r="423" spans="1:25" ht="24" customHeight="1" x14ac:dyDescent="0.2">
      <c r="A423" s="513" t="str">
        <f ca="1">A416</f>
        <v/>
      </c>
      <c r="B423" s="227"/>
      <c r="C423" s="514" t="str">
        <f ca="1">C416</f>
        <v/>
      </c>
      <c r="D423" s="227"/>
      <c r="E423" s="227"/>
      <c r="F423" s="228"/>
      <c r="G423" s="229"/>
      <c r="H423" s="229"/>
      <c r="I423" s="230" t="s">
        <v>561</v>
      </c>
      <c r="J423" s="231"/>
      <c r="K423" s="228"/>
      <c r="L423" s="229"/>
      <c r="M423" s="229"/>
      <c r="N423" s="230" t="s">
        <v>561</v>
      </c>
      <c r="O423" s="231"/>
      <c r="P423" s="228"/>
      <c r="Q423" s="229"/>
      <c r="R423" s="229"/>
      <c r="S423" s="230" t="s">
        <v>561</v>
      </c>
      <c r="T423" s="231"/>
      <c r="U423" s="228"/>
      <c r="V423" s="229"/>
      <c r="W423" s="229"/>
      <c r="X423" s="230" t="s">
        <v>561</v>
      </c>
      <c r="Y423" s="231"/>
    </row>
    <row r="424" spans="1:25" ht="24" customHeight="1" x14ac:dyDescent="0.2">
      <c r="A424" s="513" t="str">
        <f ca="1">A417</f>
        <v/>
      </c>
      <c r="B424" s="227"/>
      <c r="C424" s="514" t="str">
        <f ca="1">C417</f>
        <v/>
      </c>
      <c r="D424" s="227"/>
      <c r="E424" s="227"/>
      <c r="F424" s="228"/>
      <c r="G424" s="229"/>
      <c r="H424" s="229"/>
      <c r="I424" s="230" t="s">
        <v>561</v>
      </c>
      <c r="J424" s="232"/>
      <c r="K424" s="228"/>
      <c r="L424" s="229"/>
      <c r="M424" s="229"/>
      <c r="N424" s="230" t="s">
        <v>561</v>
      </c>
      <c r="O424" s="232"/>
      <c r="P424" s="228"/>
      <c r="Q424" s="229"/>
      <c r="R424" s="229"/>
      <c r="S424" s="230" t="s">
        <v>561</v>
      </c>
      <c r="T424" s="232"/>
      <c r="U424" s="228"/>
      <c r="V424" s="229"/>
      <c r="W424" s="229"/>
      <c r="X424" s="230" t="s">
        <v>561</v>
      </c>
      <c r="Y424" s="232"/>
    </row>
    <row r="425" spans="1:25" ht="24" customHeight="1" thickBot="1" x14ac:dyDescent="0.25">
      <c r="F425" s="1079" t="s">
        <v>562</v>
      </c>
      <c r="G425" s="1080"/>
      <c r="H425" s="1080"/>
      <c r="I425" s="230" t="s">
        <v>561</v>
      </c>
      <c r="J425" s="231"/>
      <c r="K425" s="1079" t="s">
        <v>563</v>
      </c>
      <c r="L425" s="1080"/>
      <c r="M425" s="1080"/>
      <c r="N425" s="230" t="s">
        <v>561</v>
      </c>
      <c r="O425" s="232"/>
      <c r="P425" s="1079" t="s">
        <v>564</v>
      </c>
      <c r="Q425" s="1080"/>
      <c r="R425" s="1080"/>
      <c r="S425" s="230" t="s">
        <v>561</v>
      </c>
      <c r="T425" s="232"/>
      <c r="U425" s="1079" t="s">
        <v>565</v>
      </c>
      <c r="V425" s="1080"/>
      <c r="W425" s="1080"/>
      <c r="X425" s="230" t="s">
        <v>561</v>
      </c>
      <c r="Y425" s="232"/>
    </row>
    <row r="426" spans="1:25" ht="24" customHeight="1" thickBot="1" x14ac:dyDescent="0.25">
      <c r="A426" s="508" t="s">
        <v>1013</v>
      </c>
      <c r="B426" s="508"/>
      <c r="D426" s="1094">
        <f ca="1">VLOOKUP(A410&amp;A411,PTS_SP,2,FALSE)</f>
        <v>0</v>
      </c>
      <c r="E426" s="1095"/>
      <c r="F426" s="745" t="s">
        <v>1014</v>
      </c>
      <c r="G426" s="670"/>
      <c r="H426" s="744"/>
      <c r="I426" s="1096"/>
      <c r="J426" s="1097"/>
      <c r="K426" s="1100" t="s">
        <v>1015</v>
      </c>
      <c r="L426" s="1101"/>
      <c r="M426" s="1102"/>
      <c r="N426" s="1096"/>
      <c r="O426" s="1097"/>
      <c r="P426" s="1100" t="s">
        <v>1016</v>
      </c>
      <c r="Q426" s="1101"/>
      <c r="R426" s="1102"/>
      <c r="S426" s="1096"/>
      <c r="T426" s="1097"/>
      <c r="U426" s="1100" t="s">
        <v>1017</v>
      </c>
      <c r="V426" s="1101"/>
      <c r="W426" s="1102"/>
      <c r="X426" s="1096"/>
      <c r="Y426" s="1097"/>
    </row>
    <row r="427" spans="1:25" ht="12.75" customHeight="1" x14ac:dyDescent="0.2">
      <c r="Y427" s="240" t="s">
        <v>570</v>
      </c>
    </row>
    <row r="428" spans="1:25" ht="15.75" customHeight="1" x14ac:dyDescent="0.2">
      <c r="B428" s="1091" t="s">
        <v>851</v>
      </c>
      <c r="C428" s="1091"/>
      <c r="D428" s="1091"/>
      <c r="E428" s="1091"/>
      <c r="F428" s="1091"/>
      <c r="G428" s="1091"/>
      <c r="H428" s="1091"/>
      <c r="I428" s="1091"/>
      <c r="J428" s="1091"/>
      <c r="K428" s="1091"/>
      <c r="L428" s="1091"/>
      <c r="O428" s="1091" t="s">
        <v>522</v>
      </c>
      <c r="P428" s="1091"/>
      <c r="Q428" s="1091"/>
      <c r="R428" s="1091"/>
      <c r="S428" s="1091"/>
      <c r="T428" s="1091"/>
      <c r="U428" s="1091"/>
      <c r="V428" s="1091"/>
      <c r="W428" s="1091"/>
      <c r="X428" s="1091"/>
      <c r="Y428" s="1091"/>
    </row>
    <row r="429" spans="1:25" ht="13.5" customHeight="1" x14ac:dyDescent="0.2">
      <c r="B429" s="1086" t="s">
        <v>1</v>
      </c>
      <c r="C429" s="1087"/>
      <c r="D429" s="1087"/>
      <c r="E429" s="1087"/>
      <c r="F429" s="1087"/>
      <c r="G429" s="1087"/>
      <c r="H429" s="1088"/>
      <c r="I429" s="1086" t="s">
        <v>520</v>
      </c>
      <c r="J429" s="1087"/>
      <c r="K429" s="1087"/>
      <c r="L429" s="1088"/>
      <c r="N429" s="241"/>
      <c r="O429" s="1086" t="s">
        <v>1</v>
      </c>
      <c r="P429" s="1087"/>
      <c r="Q429" s="1087"/>
      <c r="R429" s="1087"/>
      <c r="S429" s="1087"/>
      <c r="T429" s="1087"/>
      <c r="U429" s="1088"/>
      <c r="V429" s="1086" t="s">
        <v>520</v>
      </c>
      <c r="W429" s="1087"/>
      <c r="X429" s="1087"/>
      <c r="Y429" s="1088"/>
    </row>
    <row r="430" spans="1:25" ht="21.75" customHeight="1" x14ac:dyDescent="0.2">
      <c r="B430" s="242"/>
      <c r="C430" s="243"/>
      <c r="D430" s="243"/>
      <c r="E430" s="243"/>
      <c r="F430" s="243"/>
      <c r="G430" s="243"/>
      <c r="H430" s="243"/>
      <c r="I430" s="242"/>
      <c r="J430" s="243"/>
      <c r="K430" s="243"/>
      <c r="L430" s="244"/>
      <c r="N430" s="241"/>
      <c r="O430" s="242"/>
      <c r="P430" s="243"/>
      <c r="Q430" s="243"/>
      <c r="R430" s="243"/>
      <c r="S430" s="243"/>
      <c r="T430" s="243"/>
      <c r="U430" s="243"/>
      <c r="V430" s="242"/>
      <c r="W430" s="243"/>
      <c r="X430" s="243"/>
      <c r="Y430" s="244"/>
    </row>
    <row r="431" spans="1:25" ht="13.5" customHeight="1" x14ac:dyDescent="0.2"/>
    <row r="432" spans="1:25" ht="14.25" customHeight="1" thickBot="1" x14ac:dyDescent="0.25">
      <c r="A432" s="241"/>
      <c r="G432" s="305"/>
      <c r="H432" s="305"/>
      <c r="I432" s="1069" t="s">
        <v>0</v>
      </c>
      <c r="J432" s="1069"/>
      <c r="K432" s="1069"/>
      <c r="L432" s="1069"/>
      <c r="M432" s="1069"/>
      <c r="N432" s="1069"/>
      <c r="O432" s="1069"/>
      <c r="P432" s="1069" t="s">
        <v>374</v>
      </c>
      <c r="Q432" s="1069"/>
      <c r="R432" s="1069"/>
      <c r="S432" s="1069"/>
      <c r="T432" s="1069"/>
      <c r="U432" s="1069" t="s">
        <v>571</v>
      </c>
      <c r="V432" s="1069"/>
      <c r="W432" s="1069"/>
      <c r="X432" s="305"/>
      <c r="Y432" s="305"/>
    </row>
    <row r="433" spans="1:25" ht="20.25" customHeight="1" x14ac:dyDescent="0.2">
      <c r="A433" s="241"/>
      <c r="F433" s="1074" t="s">
        <v>584</v>
      </c>
      <c r="G433" s="1074"/>
      <c r="H433" s="1074"/>
      <c r="I433" s="316"/>
      <c r="J433" s="306"/>
      <c r="K433" s="306"/>
      <c r="L433" s="306"/>
      <c r="M433" s="306"/>
      <c r="N433" s="306"/>
      <c r="O433" s="306"/>
      <c r="P433" s="312"/>
      <c r="Q433" s="306"/>
      <c r="R433" s="307"/>
      <c r="S433" s="304"/>
      <c r="T433" s="313"/>
      <c r="U433" s="310"/>
      <c r="V433" s="1084" t="s">
        <v>495</v>
      </c>
      <c r="W433" s="308"/>
    </row>
    <row r="434" spans="1:25" ht="13.5" thickBot="1" x14ac:dyDescent="0.25">
      <c r="F434" s="1074"/>
      <c r="G434" s="1074"/>
      <c r="H434" s="1074"/>
      <c r="I434" s="303"/>
      <c r="J434" s="235"/>
      <c r="K434" s="235"/>
      <c r="L434" s="235"/>
      <c r="M434" s="235"/>
      <c r="N434" s="235"/>
      <c r="O434" s="235"/>
      <c r="P434" s="314"/>
      <c r="Q434" s="235"/>
      <c r="R434" s="234"/>
      <c r="S434" s="234"/>
      <c r="T434" s="315"/>
      <c r="U434" s="311"/>
      <c r="V434" s="1085"/>
      <c r="W434" s="309"/>
    </row>
    <row r="436" spans="1:25" ht="6.75" customHeight="1" x14ac:dyDescent="0.2"/>
    <row r="437" spans="1:25" s="218" customFormat="1" ht="23.25" customHeight="1" x14ac:dyDescent="0.2">
      <c r="A437" s="1072" t="s">
        <v>546</v>
      </c>
      <c r="B437" s="1073"/>
      <c r="C437" s="499" t="str">
        <f>C408</f>
        <v>D1</v>
      </c>
      <c r="D437" s="1098" t="s">
        <v>628</v>
      </c>
      <c r="E437" s="1072"/>
      <c r="F437" s="1072"/>
      <c r="G437" s="1103">
        <f ca="1">INDIRECT("AD"&amp;V437)</f>
        <v>0</v>
      </c>
      <c r="H437" s="1104"/>
      <c r="J437" s="218" t="str">
        <f>CATEG_IMPORTEE</f>
        <v>Collèges Mixtes Etablissement</v>
      </c>
      <c r="T437" s="500"/>
      <c r="U437" s="520">
        <f ca="1">INDIRECT("AE"&amp;V437)</f>
        <v>0</v>
      </c>
      <c r="V437" s="500">
        <f>Y437+2</f>
        <v>18</v>
      </c>
      <c r="W437" s="501">
        <f ca="1">INDIRECT("AF"&amp;V437)</f>
        <v>0</v>
      </c>
      <c r="X437" s="502" t="s">
        <v>849</v>
      </c>
      <c r="Y437" s="503">
        <f>Y408+1</f>
        <v>16</v>
      </c>
    </row>
    <row r="438" spans="1:25" ht="27" customHeight="1" thickBot="1" x14ac:dyDescent="0.25">
      <c r="A438" s="1093" t="s">
        <v>0</v>
      </c>
      <c r="B438" s="1093"/>
      <c r="C438" s="1093"/>
      <c r="D438" s="1093"/>
      <c r="E438" s="1093"/>
      <c r="F438" s="1093"/>
      <c r="G438" s="1093"/>
      <c r="H438" s="1093" t="s">
        <v>374</v>
      </c>
      <c r="I438" s="1093"/>
      <c r="J438" s="1093"/>
      <c r="K438" s="1093"/>
      <c r="L438" s="1093"/>
      <c r="O438" s="1069" t="s">
        <v>0</v>
      </c>
      <c r="P438" s="1069"/>
      <c r="Q438" s="1069"/>
      <c r="R438" s="1069"/>
      <c r="S438" s="1069"/>
      <c r="T438" s="1069"/>
      <c r="U438" s="1069"/>
      <c r="V438" s="1069" t="s">
        <v>374</v>
      </c>
      <c r="W438" s="1069"/>
      <c r="X438" s="1069"/>
      <c r="Y438" s="1069"/>
    </row>
    <row r="439" spans="1:25" ht="24" customHeight="1" thickBot="1" x14ac:dyDescent="0.25">
      <c r="A439" s="504" t="str">
        <f ca="1">IFERROR(VLOOKUP(U437,Num_AS,2,FALSE),"")</f>
        <v/>
      </c>
      <c r="B439" s="505"/>
      <c r="C439" s="505"/>
      <c r="D439" s="505"/>
      <c r="E439" s="505"/>
      <c r="F439" s="505"/>
      <c r="G439" s="506"/>
      <c r="H439" s="507" t="str">
        <f ca="1">IFERROR(VLOOKUP(U437,Num_AS,4,FALSE),"")</f>
        <v/>
      </c>
      <c r="I439" s="220"/>
      <c r="J439" s="220"/>
      <c r="K439" s="220"/>
      <c r="L439" s="738"/>
      <c r="M439" s="1070" t="s">
        <v>547</v>
      </c>
      <c r="N439" s="1071"/>
      <c r="O439" s="504" t="str">
        <f ca="1">IFERROR(VLOOKUP(W437,Num_AS,2,FALSE),"")</f>
        <v/>
      </c>
      <c r="P439" s="505"/>
      <c r="Q439" s="505"/>
      <c r="R439" s="505"/>
      <c r="S439" s="505"/>
      <c r="T439" s="505"/>
      <c r="U439" s="506"/>
      <c r="V439" s="507" t="str">
        <f ca="1">IFERROR(VLOOKUP(W437,Num_AS,4,FALSE),"")</f>
        <v/>
      </c>
      <c r="W439" s="220"/>
      <c r="X439" s="220"/>
      <c r="Y439" s="221"/>
    </row>
    <row r="440" spans="1:25" ht="15" customHeight="1" x14ac:dyDescent="0.2">
      <c r="A440" s="736" t="str">
        <f ca="1">IFERROR(VLOOKUP(U437,Num_AS,3,FALSE),"")</f>
        <v/>
      </c>
      <c r="B440" s="736"/>
      <c r="C440" s="736"/>
      <c r="D440" s="736"/>
      <c r="E440" s="736"/>
      <c r="F440" s="736"/>
      <c r="G440" s="736"/>
      <c r="H440" s="737"/>
    </row>
    <row r="441" spans="1:25" ht="20.100000000000001" customHeight="1" x14ac:dyDescent="0.2">
      <c r="A441" s="1074" t="s">
        <v>548</v>
      </c>
      <c r="B441" s="1074"/>
      <c r="C441" s="1074"/>
      <c r="D441" s="1074"/>
      <c r="E441" s="1074"/>
      <c r="Q441" s="217" t="str">
        <f>Q412</f>
        <v>Championnat de France de Tir à l'ARC</v>
      </c>
    </row>
    <row r="442" spans="1:25" ht="20.100000000000001" customHeight="1" x14ac:dyDescent="0.2">
      <c r="A442" s="1075" t="s">
        <v>549</v>
      </c>
      <c r="B442" s="1075"/>
      <c r="C442" s="1075"/>
      <c r="D442" s="1075"/>
      <c r="E442" s="1075"/>
      <c r="G442" s="1076" t="s">
        <v>480</v>
      </c>
      <c r="H442" s="1076"/>
      <c r="I442" s="1077" t="s">
        <v>550</v>
      </c>
      <c r="J442" s="1077"/>
      <c r="K442" s="1077"/>
      <c r="L442" s="252" t="s">
        <v>551</v>
      </c>
      <c r="M442" s="1078" t="s">
        <v>552</v>
      </c>
      <c r="N442" s="1078"/>
      <c r="O442" s="251"/>
      <c r="Q442" s="217" t="str">
        <f>Q413</f>
        <v>L’Isle sur la Sorgue du 27 au 31 mars 2023</v>
      </c>
    </row>
    <row r="443" spans="1:25" ht="24" customHeight="1" x14ac:dyDescent="0.2">
      <c r="A443" s="509" t="str">
        <f ca="1">IFERROR(VLOOKUP(U437,Num_AS,6,FALSE),"")</f>
        <v/>
      </c>
      <c r="B443" s="223"/>
      <c r="C443" s="510" t="str">
        <f ca="1">IFERROR(VLOOKUP(U437,Num_AS,7,FALSE),"")</f>
        <v/>
      </c>
      <c r="D443" s="223"/>
      <c r="E443" s="224"/>
      <c r="F443" s="219"/>
      <c r="G443" s="511" t="str">
        <f ca="1">IFERROR(VLOOKUP(U437,Num_AS,10,FALSE),"")</f>
        <v/>
      </c>
      <c r="H443" s="224"/>
      <c r="I443" s="222"/>
      <c r="J443" s="512" t="str">
        <f ca="1">IFERROR(VLOOKUP(U437,Num_AS,9,FALSE),"")</f>
        <v/>
      </c>
      <c r="K443" s="224"/>
      <c r="L443" s="222" t="str">
        <f ca="1">IFERROR(VLOOKUP(U437,Num_AS,11,FALSE),"")</f>
        <v/>
      </c>
      <c r="M443" s="287">
        <f ca="1">G437</f>
        <v>0</v>
      </c>
      <c r="N443" s="288"/>
      <c r="O443" s="249"/>
      <c r="R443" s="254"/>
      <c r="S443" s="254"/>
      <c r="T443" s="254"/>
      <c r="U443" s="254"/>
      <c r="V443" s="254"/>
      <c r="W443" s="254"/>
      <c r="X443" s="254"/>
      <c r="Y443" s="254"/>
    </row>
    <row r="444" spans="1:25" ht="24" customHeight="1" x14ac:dyDescent="0.2">
      <c r="A444" s="509" t="str">
        <f ca="1">IFERROR(VLOOKUP(U437,Num_AS,12,FALSE),"")</f>
        <v/>
      </c>
      <c r="B444" s="223"/>
      <c r="C444" s="510" t="str">
        <f ca="1">IFERROR(VLOOKUP(U437,Num_AS,13,FALSE),"")</f>
        <v/>
      </c>
      <c r="D444" s="223"/>
      <c r="E444" s="224"/>
      <c r="F444" s="219"/>
      <c r="G444" s="511" t="str">
        <f ca="1">IFERROR(VLOOKUP(U437,Num_AS,16,FALSE),"")</f>
        <v/>
      </c>
      <c r="H444" s="224"/>
      <c r="I444" s="222"/>
      <c r="J444" s="512" t="str">
        <f ca="1">IFERROR(VLOOKUP(U437,Num_AS,15,FALSE),"")</f>
        <v/>
      </c>
      <c r="K444" s="224"/>
      <c r="L444" s="222" t="str">
        <f ca="1">IFERROR(VLOOKUP(U437,Num_AS,17,FALSE),"")</f>
        <v/>
      </c>
      <c r="M444" s="287">
        <f ca="1">G437</f>
        <v>0</v>
      </c>
      <c r="N444" s="288"/>
      <c r="O444" s="249"/>
      <c r="Q444" s="254"/>
      <c r="R444" s="254"/>
      <c r="S444" s="254"/>
      <c r="T444" s="254"/>
      <c r="U444" s="254"/>
      <c r="V444" s="254"/>
      <c r="W444" s="254"/>
      <c r="X444" s="254"/>
      <c r="Y444" s="254"/>
    </row>
    <row r="445" spans="1:25" ht="24" customHeight="1" x14ac:dyDescent="0.2">
      <c r="A445" s="509" t="str">
        <f ca="1">IFERROR(VLOOKUP(U437,Num_AS,18,FALSE),"")</f>
        <v/>
      </c>
      <c r="B445" s="223"/>
      <c r="C445" s="510" t="str">
        <f ca="1">IFERROR(VLOOKUP(U437,Num_AS,19,FALSE),"")</f>
        <v/>
      </c>
      <c r="D445" s="223"/>
      <c r="E445" s="224"/>
      <c r="F445" s="219"/>
      <c r="G445" s="511" t="str">
        <f ca="1">IFERROR(VLOOKUP(U437,Num_AS,22,FALSE),"")</f>
        <v/>
      </c>
      <c r="H445" s="224"/>
      <c r="I445" s="222"/>
      <c r="J445" s="512" t="str">
        <f ca="1">IFERROR(VLOOKUP(U437,Num_AS,21,FALSE),"")</f>
        <v/>
      </c>
      <c r="K445" s="224"/>
      <c r="L445" s="222" t="str">
        <f ca="1">IFERROR(VLOOKUP(U437,Num_AS,23,FALSE),"")</f>
        <v/>
      </c>
      <c r="M445" s="287">
        <f ca="1">G437</f>
        <v>0</v>
      </c>
      <c r="N445" s="288"/>
      <c r="O445" s="249"/>
      <c r="Q445" s="254"/>
      <c r="R445" s="254"/>
      <c r="S445" s="254"/>
      <c r="T445" s="254"/>
      <c r="U445" s="254"/>
      <c r="V445" s="254"/>
      <c r="W445" s="254"/>
      <c r="X445" s="254"/>
      <c r="Y445" s="254"/>
    </row>
    <row r="446" spans="1:25" ht="24" customHeight="1" x14ac:dyDescent="0.2">
      <c r="A446" s="509" t="str">
        <f ca="1">IFERROR(VLOOKUP(U437,Num_AS,24,FALSE),"")</f>
        <v/>
      </c>
      <c r="B446" s="223"/>
      <c r="C446" s="510" t="str">
        <f ca="1">IFERROR(VLOOKUP(U437,Num_AS,25,FALSE),"")</f>
        <v/>
      </c>
      <c r="D446" s="223"/>
      <c r="E446" s="224"/>
      <c r="F446" s="219"/>
      <c r="G446" s="511" t="str">
        <f ca="1">IFERROR(VLOOKUP(U437,Num_AS,28,FALSE),"")</f>
        <v/>
      </c>
      <c r="H446" s="224"/>
      <c r="I446" s="222"/>
      <c r="J446" s="512" t="str">
        <f ca="1">IFERROR(VLOOKUP(U437,Num_AS,27,FALSE),"")</f>
        <v/>
      </c>
      <c r="K446" s="224"/>
      <c r="L446" s="222" t="str">
        <f ca="1">IFERROR(VLOOKUP(U437,Num_AS,29,FALSE),"")</f>
        <v/>
      </c>
      <c r="M446" s="289">
        <f ca="1">G437</f>
        <v>0</v>
      </c>
      <c r="N446" s="290"/>
      <c r="O446" s="249"/>
    </row>
    <row r="447" spans="1:25" ht="15" customHeight="1" thickBot="1" x14ac:dyDescent="0.25"/>
    <row r="448" spans="1:25" ht="20.100000000000001" customHeight="1" x14ac:dyDescent="0.2">
      <c r="F448" s="1081" t="s">
        <v>555</v>
      </c>
      <c r="G448" s="1082"/>
      <c r="H448" s="1082"/>
      <c r="I448" s="1082"/>
      <c r="J448" s="1083"/>
      <c r="K448" s="1081" t="s">
        <v>556</v>
      </c>
      <c r="L448" s="1082"/>
      <c r="M448" s="1082"/>
      <c r="N448" s="1082"/>
      <c r="O448" s="1083"/>
      <c r="P448" s="1081" t="s">
        <v>557</v>
      </c>
      <c r="Q448" s="1082"/>
      <c r="R448" s="1082"/>
      <c r="S448" s="1082"/>
      <c r="T448" s="1083"/>
      <c r="U448" s="1081" t="s">
        <v>558</v>
      </c>
      <c r="V448" s="1082"/>
      <c r="W448" s="1082"/>
      <c r="X448" s="1082"/>
      <c r="Y448" s="1083"/>
    </row>
    <row r="449" spans="1:25" ht="20.100000000000001" customHeight="1" x14ac:dyDescent="0.2">
      <c r="A449" s="1075" t="s">
        <v>559</v>
      </c>
      <c r="B449" s="1075"/>
      <c r="C449" s="1075"/>
      <c r="D449" s="1075"/>
      <c r="E449" s="1089"/>
      <c r="F449" s="1090" t="s">
        <v>560</v>
      </c>
      <c r="G449" s="1075"/>
      <c r="H449" s="1075"/>
      <c r="J449" s="225" t="s">
        <v>7</v>
      </c>
      <c r="K449" s="1090" t="s">
        <v>560</v>
      </c>
      <c r="L449" s="1075"/>
      <c r="M449" s="1075"/>
      <c r="O449" s="225" t="s">
        <v>7</v>
      </c>
      <c r="P449" s="1090" t="s">
        <v>560</v>
      </c>
      <c r="Q449" s="1075"/>
      <c r="R449" s="1075"/>
      <c r="T449" s="225" t="s">
        <v>7</v>
      </c>
      <c r="U449" s="1090" t="s">
        <v>560</v>
      </c>
      <c r="V449" s="1075"/>
      <c r="W449" s="1075"/>
      <c r="Y449" s="225" t="s">
        <v>7</v>
      </c>
    </row>
    <row r="450" spans="1:25" ht="24" customHeight="1" x14ac:dyDescent="0.2">
      <c r="A450" s="513" t="str">
        <f ca="1">A443</f>
        <v/>
      </c>
      <c r="B450" s="227"/>
      <c r="C450" s="514" t="str">
        <f ca="1">C443</f>
        <v/>
      </c>
      <c r="D450" s="227"/>
      <c r="E450" s="227"/>
      <c r="F450" s="228"/>
      <c r="G450" s="229"/>
      <c r="H450" s="229"/>
      <c r="I450" s="230" t="s">
        <v>561</v>
      </c>
      <c r="J450" s="231"/>
      <c r="K450" s="228"/>
      <c r="L450" s="229"/>
      <c r="M450" s="229"/>
      <c r="N450" s="230" t="s">
        <v>561</v>
      </c>
      <c r="O450" s="231"/>
      <c r="P450" s="228"/>
      <c r="Q450" s="229"/>
      <c r="R450" s="229"/>
      <c r="S450" s="230" t="s">
        <v>561</v>
      </c>
      <c r="T450" s="231"/>
      <c r="U450" s="228"/>
      <c r="V450" s="229"/>
      <c r="W450" s="229"/>
      <c r="X450" s="230" t="s">
        <v>561</v>
      </c>
      <c r="Y450" s="231"/>
    </row>
    <row r="451" spans="1:25" ht="24" customHeight="1" x14ac:dyDescent="0.2">
      <c r="A451" s="513" t="str">
        <f ca="1">A444</f>
        <v/>
      </c>
      <c r="B451" s="227"/>
      <c r="C451" s="514" t="str">
        <f ca="1">C444</f>
        <v/>
      </c>
      <c r="D451" s="227"/>
      <c r="E451" s="227"/>
      <c r="F451" s="228"/>
      <c r="G451" s="229"/>
      <c r="H451" s="229"/>
      <c r="I451" s="230" t="s">
        <v>561</v>
      </c>
      <c r="J451" s="231"/>
      <c r="K451" s="228"/>
      <c r="L451" s="229"/>
      <c r="M451" s="229"/>
      <c r="N451" s="230" t="s">
        <v>561</v>
      </c>
      <c r="O451" s="231"/>
      <c r="P451" s="228"/>
      <c r="Q451" s="229"/>
      <c r="R451" s="229"/>
      <c r="S451" s="230" t="s">
        <v>561</v>
      </c>
      <c r="T451" s="231"/>
      <c r="U451" s="228"/>
      <c r="V451" s="229"/>
      <c r="W451" s="229"/>
      <c r="X451" s="230" t="s">
        <v>561</v>
      </c>
      <c r="Y451" s="231"/>
    </row>
    <row r="452" spans="1:25" ht="24" customHeight="1" x14ac:dyDescent="0.2">
      <c r="A452" s="513" t="str">
        <f ca="1">A445</f>
        <v/>
      </c>
      <c r="B452" s="227"/>
      <c r="C452" s="514" t="str">
        <f ca="1">C445</f>
        <v/>
      </c>
      <c r="D452" s="227"/>
      <c r="E452" s="227"/>
      <c r="F452" s="228"/>
      <c r="G452" s="229"/>
      <c r="H452" s="229"/>
      <c r="I452" s="230" t="s">
        <v>561</v>
      </c>
      <c r="J452" s="231"/>
      <c r="K452" s="228"/>
      <c r="L452" s="229"/>
      <c r="M452" s="229"/>
      <c r="N452" s="230" t="s">
        <v>561</v>
      </c>
      <c r="O452" s="231"/>
      <c r="P452" s="228"/>
      <c r="Q452" s="229"/>
      <c r="R452" s="229"/>
      <c r="S452" s="230" t="s">
        <v>561</v>
      </c>
      <c r="T452" s="231"/>
      <c r="U452" s="228"/>
      <c r="V452" s="229"/>
      <c r="W452" s="229"/>
      <c r="X452" s="230" t="s">
        <v>561</v>
      </c>
      <c r="Y452" s="231"/>
    </row>
    <row r="453" spans="1:25" ht="24" customHeight="1" x14ac:dyDescent="0.2">
      <c r="A453" s="513" t="str">
        <f ca="1">A446</f>
        <v/>
      </c>
      <c r="B453" s="227"/>
      <c r="C453" s="514" t="str">
        <f ca="1">C446</f>
        <v/>
      </c>
      <c r="D453" s="227"/>
      <c r="E453" s="227"/>
      <c r="F453" s="228"/>
      <c r="G453" s="229"/>
      <c r="H453" s="229"/>
      <c r="I453" s="230" t="s">
        <v>561</v>
      </c>
      <c r="J453" s="232"/>
      <c r="K453" s="228"/>
      <c r="L453" s="229"/>
      <c r="M453" s="229"/>
      <c r="N453" s="230" t="s">
        <v>561</v>
      </c>
      <c r="O453" s="232"/>
      <c r="P453" s="228"/>
      <c r="Q453" s="229"/>
      <c r="R453" s="229"/>
      <c r="S453" s="230" t="s">
        <v>561</v>
      </c>
      <c r="T453" s="232"/>
      <c r="U453" s="228"/>
      <c r="V453" s="229"/>
      <c r="W453" s="229"/>
      <c r="X453" s="230" t="s">
        <v>561</v>
      </c>
      <c r="Y453" s="232"/>
    </row>
    <row r="454" spans="1:25" ht="24" customHeight="1" thickBot="1" x14ac:dyDescent="0.25">
      <c r="F454" s="1079" t="s">
        <v>562</v>
      </c>
      <c r="G454" s="1080"/>
      <c r="H454" s="1080"/>
      <c r="I454" s="230" t="s">
        <v>561</v>
      </c>
      <c r="J454" s="231"/>
      <c r="K454" s="1079" t="s">
        <v>563</v>
      </c>
      <c r="L454" s="1080"/>
      <c r="M454" s="1080"/>
      <c r="N454" s="230" t="s">
        <v>561</v>
      </c>
      <c r="O454" s="232"/>
      <c r="P454" s="1079" t="s">
        <v>564</v>
      </c>
      <c r="Q454" s="1080"/>
      <c r="R454" s="1080"/>
      <c r="S454" s="230" t="s">
        <v>561</v>
      </c>
      <c r="T454" s="232"/>
      <c r="U454" s="1079" t="s">
        <v>565</v>
      </c>
      <c r="V454" s="1080"/>
      <c r="W454" s="1080"/>
      <c r="X454" s="230" t="s">
        <v>561</v>
      </c>
      <c r="Y454" s="232"/>
    </row>
    <row r="455" spans="1:25" ht="24" customHeight="1" thickBot="1" x14ac:dyDescent="0.25">
      <c r="A455" s="508" t="s">
        <v>1013</v>
      </c>
      <c r="B455" s="508"/>
      <c r="D455" s="1094">
        <f ca="1">VLOOKUP(A439&amp;A440,PTS_SP,2,FALSE)</f>
        <v>0</v>
      </c>
      <c r="E455" s="1095"/>
      <c r="F455" s="745" t="s">
        <v>1014</v>
      </c>
      <c r="G455" s="670"/>
      <c r="H455" s="744"/>
      <c r="I455" s="1096"/>
      <c r="J455" s="1097"/>
      <c r="K455" s="1100" t="s">
        <v>1015</v>
      </c>
      <c r="L455" s="1101"/>
      <c r="M455" s="1102"/>
      <c r="N455" s="1096"/>
      <c r="O455" s="1097"/>
      <c r="P455" s="1100" t="s">
        <v>1016</v>
      </c>
      <c r="Q455" s="1101"/>
      <c r="R455" s="1102"/>
      <c r="S455" s="1096"/>
      <c r="T455" s="1097"/>
      <c r="U455" s="1100" t="s">
        <v>1017</v>
      </c>
      <c r="V455" s="1101"/>
      <c r="W455" s="1102"/>
      <c r="X455" s="1096"/>
      <c r="Y455" s="1097"/>
    </row>
    <row r="456" spans="1:25" ht="12.75" customHeight="1" x14ac:dyDescent="0.2">
      <c r="Y456" s="240" t="s">
        <v>570</v>
      </c>
    </row>
    <row r="457" spans="1:25" ht="15.75" customHeight="1" x14ac:dyDescent="0.2">
      <c r="B457" s="1091" t="s">
        <v>851</v>
      </c>
      <c r="C457" s="1091"/>
      <c r="D457" s="1091"/>
      <c r="E457" s="1091"/>
      <c r="F457" s="1091"/>
      <c r="G457" s="1091"/>
      <c r="H457" s="1091"/>
      <c r="I457" s="1091"/>
      <c r="J457" s="1091"/>
      <c r="K457" s="1091"/>
      <c r="L457" s="1091"/>
      <c r="O457" s="1091" t="s">
        <v>522</v>
      </c>
      <c r="P457" s="1091"/>
      <c r="Q457" s="1091"/>
      <c r="R457" s="1091"/>
      <c r="S457" s="1091"/>
      <c r="T457" s="1091"/>
      <c r="U457" s="1091"/>
      <c r="V457" s="1091"/>
      <c r="W457" s="1091"/>
      <c r="X457" s="1091"/>
      <c r="Y457" s="1091"/>
    </row>
    <row r="458" spans="1:25" ht="13.5" customHeight="1" x14ac:dyDescent="0.2">
      <c r="B458" s="1086" t="s">
        <v>1</v>
      </c>
      <c r="C458" s="1087"/>
      <c r="D458" s="1087"/>
      <c r="E458" s="1087"/>
      <c r="F458" s="1087"/>
      <c r="G458" s="1087"/>
      <c r="H458" s="1088"/>
      <c r="I458" s="1086" t="s">
        <v>520</v>
      </c>
      <c r="J458" s="1087"/>
      <c r="K458" s="1087"/>
      <c r="L458" s="1088"/>
      <c r="N458" s="241"/>
      <c r="O458" s="1086" t="s">
        <v>1</v>
      </c>
      <c r="P458" s="1087"/>
      <c r="Q458" s="1087"/>
      <c r="R458" s="1087"/>
      <c r="S458" s="1087"/>
      <c r="T458" s="1087"/>
      <c r="U458" s="1088"/>
      <c r="V458" s="1086" t="s">
        <v>520</v>
      </c>
      <c r="W458" s="1087"/>
      <c r="X458" s="1087"/>
      <c r="Y458" s="1088"/>
    </row>
    <row r="459" spans="1:25" ht="21.75" customHeight="1" x14ac:dyDescent="0.2">
      <c r="B459" s="242"/>
      <c r="C459" s="243"/>
      <c r="D459" s="243"/>
      <c r="E459" s="243"/>
      <c r="F459" s="243"/>
      <c r="G459" s="243"/>
      <c r="H459" s="243"/>
      <c r="I459" s="242"/>
      <c r="J459" s="243"/>
      <c r="K459" s="243"/>
      <c r="L459" s="244"/>
      <c r="N459" s="241"/>
      <c r="O459" s="242"/>
      <c r="P459" s="243"/>
      <c r="Q459" s="243"/>
      <c r="R459" s="243"/>
      <c r="S459" s="243"/>
      <c r="T459" s="243"/>
      <c r="U459" s="243"/>
      <c r="V459" s="242"/>
      <c r="W459" s="243"/>
      <c r="X459" s="243"/>
      <c r="Y459" s="244"/>
    </row>
    <row r="460" spans="1:25" ht="13.5" customHeight="1" x14ac:dyDescent="0.2"/>
    <row r="461" spans="1:25" ht="14.25" customHeight="1" thickBot="1" x14ac:dyDescent="0.25">
      <c r="A461" s="241"/>
      <c r="G461" s="305"/>
      <c r="H461" s="305"/>
      <c r="I461" s="1069" t="s">
        <v>0</v>
      </c>
      <c r="J461" s="1069"/>
      <c r="K461" s="1069"/>
      <c r="L461" s="1069"/>
      <c r="M461" s="1069"/>
      <c r="N461" s="1069"/>
      <c r="O461" s="1069"/>
      <c r="P461" s="1069" t="s">
        <v>374</v>
      </c>
      <c r="Q461" s="1069"/>
      <c r="R461" s="1069"/>
      <c r="S461" s="1069"/>
      <c r="T461" s="1069"/>
      <c r="U461" s="1069" t="s">
        <v>571</v>
      </c>
      <c r="V461" s="1069"/>
      <c r="W461" s="1069"/>
      <c r="X461" s="305"/>
      <c r="Y461" s="305"/>
    </row>
    <row r="462" spans="1:25" ht="20.25" customHeight="1" x14ac:dyDescent="0.2">
      <c r="A462" s="241"/>
      <c r="F462" s="1074" t="s">
        <v>584</v>
      </c>
      <c r="G462" s="1074"/>
      <c r="H462" s="1074"/>
      <c r="I462" s="316"/>
      <c r="J462" s="306"/>
      <c r="K462" s="306"/>
      <c r="L462" s="306"/>
      <c r="M462" s="306"/>
      <c r="N462" s="306"/>
      <c r="O462" s="306"/>
      <c r="P462" s="312"/>
      <c r="Q462" s="306"/>
      <c r="R462" s="307"/>
      <c r="S462" s="304"/>
      <c r="T462" s="313"/>
      <c r="U462" s="310"/>
      <c r="V462" s="1084" t="s">
        <v>495</v>
      </c>
      <c r="W462" s="308"/>
    </row>
    <row r="463" spans="1:25" ht="13.5" thickBot="1" x14ac:dyDescent="0.25">
      <c r="F463" s="1074"/>
      <c r="G463" s="1074"/>
      <c r="H463" s="1074"/>
      <c r="I463" s="303"/>
      <c r="J463" s="235"/>
      <c r="K463" s="235"/>
      <c r="L463" s="235"/>
      <c r="M463" s="235"/>
      <c r="N463" s="235"/>
      <c r="O463" s="235"/>
      <c r="P463" s="314"/>
      <c r="Q463" s="235"/>
      <c r="R463" s="234"/>
      <c r="S463" s="234"/>
      <c r="T463" s="315"/>
      <c r="U463" s="311"/>
      <c r="V463" s="1085"/>
      <c r="W463" s="309"/>
    </row>
    <row r="465" spans="1:25" ht="6.75" customHeight="1" x14ac:dyDescent="0.2"/>
    <row r="466" spans="1:25" s="218" customFormat="1" ht="23.25" customHeight="1" x14ac:dyDescent="0.2">
      <c r="A466" s="1072" t="s">
        <v>546</v>
      </c>
      <c r="B466" s="1073"/>
      <c r="C466" s="499" t="str">
        <f>C437</f>
        <v>D1</v>
      </c>
      <c r="D466" s="1098" t="s">
        <v>628</v>
      </c>
      <c r="E466" s="1072"/>
      <c r="F466" s="1072"/>
      <c r="G466" s="1103">
        <f ca="1">INDIRECT("AD"&amp;V466)</f>
        <v>0</v>
      </c>
      <c r="H466" s="1104"/>
      <c r="J466" s="218" t="str">
        <f>CATEG_IMPORTEE</f>
        <v>Collèges Mixtes Etablissement</v>
      </c>
      <c r="T466" s="500"/>
      <c r="U466" s="520">
        <f ca="1">INDIRECT("AE"&amp;V466)</f>
        <v>0</v>
      </c>
      <c r="V466" s="500">
        <f>Y466+2</f>
        <v>19</v>
      </c>
      <c r="W466" s="501">
        <f ca="1">INDIRECT("AF"&amp;V466)</f>
        <v>0</v>
      </c>
      <c r="X466" s="502" t="s">
        <v>849</v>
      </c>
      <c r="Y466" s="503">
        <f>Y437+1</f>
        <v>17</v>
      </c>
    </row>
    <row r="467" spans="1:25" ht="27" customHeight="1" thickBot="1" x14ac:dyDescent="0.25">
      <c r="A467" s="1093" t="s">
        <v>0</v>
      </c>
      <c r="B467" s="1093"/>
      <c r="C467" s="1093"/>
      <c r="D467" s="1093"/>
      <c r="E467" s="1093"/>
      <c r="F467" s="1093"/>
      <c r="G467" s="1093"/>
      <c r="H467" s="1093" t="s">
        <v>374</v>
      </c>
      <c r="I467" s="1093"/>
      <c r="J467" s="1093"/>
      <c r="K467" s="1093"/>
      <c r="L467" s="1093"/>
      <c r="O467" s="1069" t="s">
        <v>0</v>
      </c>
      <c r="P467" s="1069"/>
      <c r="Q467" s="1069"/>
      <c r="R467" s="1069"/>
      <c r="S467" s="1069"/>
      <c r="T467" s="1069"/>
      <c r="U467" s="1069"/>
      <c r="V467" s="1069" t="s">
        <v>374</v>
      </c>
      <c r="W467" s="1069"/>
      <c r="X467" s="1069"/>
      <c r="Y467" s="1069"/>
    </row>
    <row r="468" spans="1:25" ht="24" customHeight="1" thickBot="1" x14ac:dyDescent="0.25">
      <c r="A468" s="504" t="str">
        <f ca="1">IFERROR(VLOOKUP(U466,Num_AS,2,FALSE),"")</f>
        <v/>
      </c>
      <c r="B468" s="505"/>
      <c r="C468" s="505"/>
      <c r="D468" s="505"/>
      <c r="E468" s="505"/>
      <c r="F468" s="505"/>
      <c r="G468" s="506"/>
      <c r="H468" s="507" t="str">
        <f ca="1">IFERROR(VLOOKUP(U466,Num_AS,4,FALSE),"")</f>
        <v/>
      </c>
      <c r="I468" s="220"/>
      <c r="J468" s="220"/>
      <c r="K468" s="220"/>
      <c r="L468" s="738"/>
      <c r="M468" s="1070" t="s">
        <v>547</v>
      </c>
      <c r="N468" s="1071"/>
      <c r="O468" s="504" t="str">
        <f ca="1">IFERROR(VLOOKUP(W466,Num_AS,2,FALSE),"")</f>
        <v/>
      </c>
      <c r="P468" s="505"/>
      <c r="Q468" s="505"/>
      <c r="R468" s="505"/>
      <c r="S468" s="505"/>
      <c r="T468" s="505"/>
      <c r="U468" s="506"/>
      <c r="V468" s="507" t="str">
        <f ca="1">IFERROR(VLOOKUP(W466,Num_AS,4,FALSE),"")</f>
        <v/>
      </c>
      <c r="W468" s="220"/>
      <c r="X468" s="220"/>
      <c r="Y468" s="221"/>
    </row>
    <row r="469" spans="1:25" ht="15" customHeight="1" x14ac:dyDescent="0.2">
      <c r="A469" s="736" t="str">
        <f ca="1">IFERROR(VLOOKUP(U466,Num_AS,3,FALSE),"")</f>
        <v/>
      </c>
      <c r="B469" s="736"/>
      <c r="C469" s="736"/>
      <c r="D469" s="736"/>
      <c r="E469" s="736"/>
      <c r="F469" s="736"/>
      <c r="G469" s="736"/>
      <c r="H469" s="737"/>
    </row>
    <row r="470" spans="1:25" ht="20.100000000000001" customHeight="1" x14ac:dyDescent="0.2">
      <c r="A470" s="1074" t="s">
        <v>548</v>
      </c>
      <c r="B470" s="1074"/>
      <c r="C470" s="1074"/>
      <c r="D470" s="1074"/>
      <c r="E470" s="1074"/>
      <c r="Q470" s="217" t="str">
        <f>Q441</f>
        <v>Championnat de France de Tir à l'ARC</v>
      </c>
    </row>
    <row r="471" spans="1:25" ht="20.100000000000001" customHeight="1" x14ac:dyDescent="0.2">
      <c r="A471" s="1075" t="s">
        <v>549</v>
      </c>
      <c r="B471" s="1075"/>
      <c r="C471" s="1075"/>
      <c r="D471" s="1075"/>
      <c r="E471" s="1075"/>
      <c r="G471" s="1076" t="s">
        <v>480</v>
      </c>
      <c r="H471" s="1076"/>
      <c r="I471" s="1077" t="s">
        <v>550</v>
      </c>
      <c r="J471" s="1077"/>
      <c r="K471" s="1077"/>
      <c r="L471" s="252" t="s">
        <v>551</v>
      </c>
      <c r="M471" s="1078" t="s">
        <v>552</v>
      </c>
      <c r="N471" s="1078"/>
      <c r="O471" s="251"/>
      <c r="Q471" s="217" t="str">
        <f>Q442</f>
        <v>L’Isle sur la Sorgue du 27 au 31 mars 2023</v>
      </c>
    </row>
    <row r="472" spans="1:25" ht="24" customHeight="1" x14ac:dyDescent="0.2">
      <c r="A472" s="509" t="str">
        <f ca="1">IFERROR(VLOOKUP(U466,Num_AS,6,FALSE),"")</f>
        <v/>
      </c>
      <c r="B472" s="223"/>
      <c r="C472" s="510" t="str">
        <f ca="1">IFERROR(VLOOKUP(U466,Num_AS,7,FALSE),"")</f>
        <v/>
      </c>
      <c r="D472" s="223"/>
      <c r="E472" s="224"/>
      <c r="F472" s="219"/>
      <c r="G472" s="511" t="str">
        <f ca="1">IFERROR(VLOOKUP(U466,Num_AS,10,FALSE),"")</f>
        <v/>
      </c>
      <c r="H472" s="224"/>
      <c r="I472" s="222"/>
      <c r="J472" s="512" t="str">
        <f ca="1">IFERROR(VLOOKUP(U466,Num_AS,9,FALSE),"")</f>
        <v/>
      </c>
      <c r="K472" s="224"/>
      <c r="L472" s="222" t="str">
        <f ca="1">IFERROR(VLOOKUP(U466,Num_AS,11,FALSE),"")</f>
        <v/>
      </c>
      <c r="M472" s="287">
        <f ca="1">G466</f>
        <v>0</v>
      </c>
      <c r="N472" s="288"/>
      <c r="O472" s="249"/>
      <c r="R472" s="254"/>
      <c r="S472" s="254"/>
      <c r="T472" s="254"/>
      <c r="U472" s="254"/>
      <c r="V472" s="254"/>
      <c r="W472" s="254"/>
      <c r="X472" s="254"/>
      <c r="Y472" s="254"/>
    </row>
    <row r="473" spans="1:25" ht="24" customHeight="1" x14ac:dyDescent="0.2">
      <c r="A473" s="509" t="str">
        <f ca="1">IFERROR(VLOOKUP(U466,Num_AS,12,FALSE),"")</f>
        <v/>
      </c>
      <c r="B473" s="223"/>
      <c r="C473" s="510" t="str">
        <f ca="1">IFERROR(VLOOKUP(U466,Num_AS,13,FALSE),"")</f>
        <v/>
      </c>
      <c r="D473" s="223"/>
      <c r="E473" s="224"/>
      <c r="F473" s="219"/>
      <c r="G473" s="511" t="str">
        <f ca="1">IFERROR(VLOOKUP(U466,Num_AS,16,FALSE),"")</f>
        <v/>
      </c>
      <c r="H473" s="224"/>
      <c r="I473" s="222"/>
      <c r="J473" s="512" t="str">
        <f ca="1">IFERROR(VLOOKUP(U466,Num_AS,15,FALSE),"")</f>
        <v/>
      </c>
      <c r="K473" s="224"/>
      <c r="L473" s="222" t="str">
        <f ca="1">IFERROR(VLOOKUP(U466,Num_AS,17,FALSE),"")</f>
        <v/>
      </c>
      <c r="M473" s="287">
        <f ca="1">G466</f>
        <v>0</v>
      </c>
      <c r="N473" s="288"/>
      <c r="O473" s="249"/>
      <c r="Q473" s="254"/>
      <c r="R473" s="254"/>
      <c r="S473" s="254"/>
      <c r="T473" s="254"/>
      <c r="U473" s="254"/>
      <c r="V473" s="254"/>
      <c r="W473" s="254"/>
      <c r="X473" s="254"/>
      <c r="Y473" s="254"/>
    </row>
    <row r="474" spans="1:25" ht="24" customHeight="1" x14ac:dyDescent="0.2">
      <c r="A474" s="509" t="str">
        <f ca="1">IFERROR(VLOOKUP(U466,Num_AS,18,FALSE),"")</f>
        <v/>
      </c>
      <c r="B474" s="223"/>
      <c r="C474" s="510" t="str">
        <f ca="1">IFERROR(VLOOKUP(U466,Num_AS,19,FALSE),"")</f>
        <v/>
      </c>
      <c r="D474" s="223"/>
      <c r="E474" s="224"/>
      <c r="F474" s="219"/>
      <c r="G474" s="511" t="str">
        <f ca="1">IFERROR(VLOOKUP(U466,Num_AS,22,FALSE),"")</f>
        <v/>
      </c>
      <c r="H474" s="224"/>
      <c r="I474" s="222"/>
      <c r="J474" s="512" t="str">
        <f ca="1">IFERROR(VLOOKUP(U466,Num_AS,21,FALSE),"")</f>
        <v/>
      </c>
      <c r="K474" s="224"/>
      <c r="L474" s="222" t="str">
        <f ca="1">IFERROR(VLOOKUP(U466,Num_AS,23,FALSE),"")</f>
        <v/>
      </c>
      <c r="M474" s="287">
        <f ca="1">G466</f>
        <v>0</v>
      </c>
      <c r="N474" s="288"/>
      <c r="O474" s="249"/>
      <c r="Q474" s="254"/>
      <c r="R474" s="254"/>
      <c r="S474" s="254"/>
      <c r="T474" s="254"/>
      <c r="U474" s="254"/>
      <c r="V474" s="254"/>
      <c r="W474" s="254"/>
      <c r="X474" s="254"/>
      <c r="Y474" s="254"/>
    </row>
    <row r="475" spans="1:25" ht="24" customHeight="1" x14ac:dyDescent="0.2">
      <c r="A475" s="509" t="str">
        <f ca="1">IFERROR(VLOOKUP(U466,Num_AS,24,FALSE),"")</f>
        <v/>
      </c>
      <c r="B475" s="223"/>
      <c r="C475" s="510" t="str">
        <f ca="1">IFERROR(VLOOKUP(U466,Num_AS,25,FALSE),"")</f>
        <v/>
      </c>
      <c r="D475" s="223"/>
      <c r="E475" s="224"/>
      <c r="F475" s="219"/>
      <c r="G475" s="511" t="str">
        <f ca="1">IFERROR(VLOOKUP(U466,Num_AS,28,FALSE),"")</f>
        <v/>
      </c>
      <c r="H475" s="224"/>
      <c r="I475" s="222"/>
      <c r="J475" s="512" t="str">
        <f ca="1">IFERROR(VLOOKUP(U466,Num_AS,27,FALSE),"")</f>
        <v/>
      </c>
      <c r="K475" s="224"/>
      <c r="L475" s="222" t="str">
        <f ca="1">IFERROR(VLOOKUP(U466,Num_AS,29,FALSE),"")</f>
        <v/>
      </c>
      <c r="M475" s="289">
        <f ca="1">G466</f>
        <v>0</v>
      </c>
      <c r="N475" s="290"/>
      <c r="O475" s="249"/>
    </row>
    <row r="476" spans="1:25" ht="15" customHeight="1" thickBot="1" x14ac:dyDescent="0.25"/>
    <row r="477" spans="1:25" ht="20.100000000000001" customHeight="1" x14ac:dyDescent="0.2">
      <c r="F477" s="1081" t="s">
        <v>555</v>
      </c>
      <c r="G477" s="1082"/>
      <c r="H477" s="1082"/>
      <c r="I477" s="1082"/>
      <c r="J477" s="1083"/>
      <c r="K477" s="1081" t="s">
        <v>556</v>
      </c>
      <c r="L477" s="1082"/>
      <c r="M477" s="1082"/>
      <c r="N477" s="1082"/>
      <c r="O477" s="1083"/>
      <c r="P477" s="1081" t="s">
        <v>557</v>
      </c>
      <c r="Q477" s="1082"/>
      <c r="R477" s="1082"/>
      <c r="S477" s="1082"/>
      <c r="T477" s="1083"/>
      <c r="U477" s="1081" t="s">
        <v>558</v>
      </c>
      <c r="V477" s="1082"/>
      <c r="W477" s="1082"/>
      <c r="X477" s="1082"/>
      <c r="Y477" s="1083"/>
    </row>
    <row r="478" spans="1:25" ht="20.100000000000001" customHeight="1" x14ac:dyDescent="0.2">
      <c r="A478" s="1075" t="s">
        <v>559</v>
      </c>
      <c r="B478" s="1075"/>
      <c r="C478" s="1075"/>
      <c r="D478" s="1075"/>
      <c r="E478" s="1089"/>
      <c r="F478" s="1090" t="s">
        <v>560</v>
      </c>
      <c r="G478" s="1075"/>
      <c r="H478" s="1075"/>
      <c r="J478" s="225" t="s">
        <v>7</v>
      </c>
      <c r="K478" s="1090" t="s">
        <v>560</v>
      </c>
      <c r="L478" s="1075"/>
      <c r="M478" s="1075"/>
      <c r="O478" s="225" t="s">
        <v>7</v>
      </c>
      <c r="P478" s="1090" t="s">
        <v>560</v>
      </c>
      <c r="Q478" s="1075"/>
      <c r="R478" s="1075"/>
      <c r="T478" s="225" t="s">
        <v>7</v>
      </c>
      <c r="U478" s="1090" t="s">
        <v>560</v>
      </c>
      <c r="V478" s="1075"/>
      <c r="W478" s="1075"/>
      <c r="Y478" s="225" t="s">
        <v>7</v>
      </c>
    </row>
    <row r="479" spans="1:25" ht="24" customHeight="1" x14ac:dyDescent="0.2">
      <c r="A479" s="513" t="str">
        <f ca="1">A472</f>
        <v/>
      </c>
      <c r="B479" s="227"/>
      <c r="C479" s="514" t="str">
        <f ca="1">C472</f>
        <v/>
      </c>
      <c r="D479" s="227"/>
      <c r="E479" s="227"/>
      <c r="F479" s="228"/>
      <c r="G479" s="229"/>
      <c r="H479" s="229"/>
      <c r="I479" s="230" t="s">
        <v>561</v>
      </c>
      <c r="J479" s="231"/>
      <c r="K479" s="228"/>
      <c r="L479" s="229"/>
      <c r="M479" s="229"/>
      <c r="N479" s="230" t="s">
        <v>561</v>
      </c>
      <c r="O479" s="231"/>
      <c r="P479" s="228"/>
      <c r="Q479" s="229"/>
      <c r="R479" s="229"/>
      <c r="S479" s="230" t="s">
        <v>561</v>
      </c>
      <c r="T479" s="231"/>
      <c r="U479" s="228"/>
      <c r="V479" s="229"/>
      <c r="W479" s="229"/>
      <c r="X479" s="230" t="s">
        <v>561</v>
      </c>
      <c r="Y479" s="231"/>
    </row>
    <row r="480" spans="1:25" ht="24" customHeight="1" x14ac:dyDescent="0.2">
      <c r="A480" s="513" t="str">
        <f ca="1">A473</f>
        <v/>
      </c>
      <c r="B480" s="227"/>
      <c r="C480" s="514" t="str">
        <f ca="1">C473</f>
        <v/>
      </c>
      <c r="D480" s="227"/>
      <c r="E480" s="227"/>
      <c r="F480" s="228"/>
      <c r="G480" s="229"/>
      <c r="H480" s="229"/>
      <c r="I480" s="230" t="s">
        <v>561</v>
      </c>
      <c r="J480" s="231"/>
      <c r="K480" s="228"/>
      <c r="L480" s="229"/>
      <c r="M480" s="229"/>
      <c r="N480" s="230" t="s">
        <v>561</v>
      </c>
      <c r="O480" s="231"/>
      <c r="P480" s="228"/>
      <c r="Q480" s="229"/>
      <c r="R480" s="229"/>
      <c r="S480" s="230" t="s">
        <v>561</v>
      </c>
      <c r="T480" s="231"/>
      <c r="U480" s="228"/>
      <c r="V480" s="229"/>
      <c r="W480" s="229"/>
      <c r="X480" s="230" t="s">
        <v>561</v>
      </c>
      <c r="Y480" s="231"/>
    </row>
    <row r="481" spans="1:25" ht="24" customHeight="1" x14ac:dyDescent="0.2">
      <c r="A481" s="513" t="str">
        <f ca="1">A474</f>
        <v/>
      </c>
      <c r="B481" s="227"/>
      <c r="C481" s="514" t="str">
        <f ca="1">C474</f>
        <v/>
      </c>
      <c r="D481" s="227"/>
      <c r="E481" s="227"/>
      <c r="F481" s="228"/>
      <c r="G481" s="229"/>
      <c r="H481" s="229"/>
      <c r="I481" s="230" t="s">
        <v>561</v>
      </c>
      <c r="J481" s="231"/>
      <c r="K481" s="228"/>
      <c r="L481" s="229"/>
      <c r="M481" s="229"/>
      <c r="N481" s="230" t="s">
        <v>561</v>
      </c>
      <c r="O481" s="231"/>
      <c r="P481" s="228"/>
      <c r="Q481" s="229"/>
      <c r="R481" s="229"/>
      <c r="S481" s="230" t="s">
        <v>561</v>
      </c>
      <c r="T481" s="231"/>
      <c r="U481" s="228"/>
      <c r="V481" s="229"/>
      <c r="W481" s="229"/>
      <c r="X481" s="230" t="s">
        <v>561</v>
      </c>
      <c r="Y481" s="231"/>
    </row>
    <row r="482" spans="1:25" ht="24" customHeight="1" x14ac:dyDescent="0.2">
      <c r="A482" s="513" t="str">
        <f ca="1">A475</f>
        <v/>
      </c>
      <c r="B482" s="227"/>
      <c r="C482" s="514" t="str">
        <f ca="1">C475</f>
        <v/>
      </c>
      <c r="D482" s="227"/>
      <c r="E482" s="227"/>
      <c r="F482" s="228"/>
      <c r="G482" s="229"/>
      <c r="H482" s="229"/>
      <c r="I482" s="230" t="s">
        <v>561</v>
      </c>
      <c r="J482" s="232"/>
      <c r="K482" s="228"/>
      <c r="L482" s="229"/>
      <c r="M482" s="229"/>
      <c r="N482" s="230" t="s">
        <v>561</v>
      </c>
      <c r="O482" s="232"/>
      <c r="P482" s="228"/>
      <c r="Q482" s="229"/>
      <c r="R482" s="229"/>
      <c r="S482" s="230" t="s">
        <v>561</v>
      </c>
      <c r="T482" s="232"/>
      <c r="U482" s="228"/>
      <c r="V482" s="229"/>
      <c r="W482" s="229"/>
      <c r="X482" s="230" t="s">
        <v>561</v>
      </c>
      <c r="Y482" s="232"/>
    </row>
    <row r="483" spans="1:25" ht="24" customHeight="1" thickBot="1" x14ac:dyDescent="0.25">
      <c r="F483" s="1079" t="s">
        <v>562</v>
      </c>
      <c r="G483" s="1080"/>
      <c r="H483" s="1080"/>
      <c r="I483" s="230" t="s">
        <v>561</v>
      </c>
      <c r="J483" s="231"/>
      <c r="K483" s="1079" t="s">
        <v>563</v>
      </c>
      <c r="L483" s="1080"/>
      <c r="M483" s="1080"/>
      <c r="N483" s="230" t="s">
        <v>561</v>
      </c>
      <c r="O483" s="232"/>
      <c r="P483" s="1079" t="s">
        <v>564</v>
      </c>
      <c r="Q483" s="1080"/>
      <c r="R483" s="1080"/>
      <c r="S483" s="230" t="s">
        <v>561</v>
      </c>
      <c r="T483" s="232"/>
      <c r="U483" s="1079" t="s">
        <v>565</v>
      </c>
      <c r="V483" s="1080"/>
      <c r="W483" s="1080"/>
      <c r="X483" s="230" t="s">
        <v>561</v>
      </c>
      <c r="Y483" s="232"/>
    </row>
    <row r="484" spans="1:25" ht="24" customHeight="1" thickBot="1" x14ac:dyDescent="0.25">
      <c r="A484" s="508" t="s">
        <v>1013</v>
      </c>
      <c r="B484" s="508"/>
      <c r="D484" s="1094">
        <f ca="1">VLOOKUP(A468&amp;A469,PTS_SP,2,FALSE)</f>
        <v>0</v>
      </c>
      <c r="E484" s="1095"/>
      <c r="F484" s="745" t="s">
        <v>1014</v>
      </c>
      <c r="G484" s="670"/>
      <c r="H484" s="744"/>
      <c r="I484" s="1096"/>
      <c r="J484" s="1097"/>
      <c r="K484" s="1100" t="s">
        <v>1015</v>
      </c>
      <c r="L484" s="1101"/>
      <c r="M484" s="1102"/>
      <c r="N484" s="1096"/>
      <c r="O484" s="1097"/>
      <c r="P484" s="1100" t="s">
        <v>1016</v>
      </c>
      <c r="Q484" s="1101"/>
      <c r="R484" s="1102"/>
      <c r="S484" s="1096"/>
      <c r="T484" s="1097"/>
      <c r="U484" s="1100" t="s">
        <v>1017</v>
      </c>
      <c r="V484" s="1101"/>
      <c r="W484" s="1102"/>
      <c r="X484" s="1096"/>
      <c r="Y484" s="1097"/>
    </row>
    <row r="485" spans="1:25" ht="12.75" customHeight="1" x14ac:dyDescent="0.2">
      <c r="Y485" s="240" t="s">
        <v>570</v>
      </c>
    </row>
    <row r="486" spans="1:25" ht="15.75" customHeight="1" x14ac:dyDescent="0.2">
      <c r="B486" s="1091" t="s">
        <v>851</v>
      </c>
      <c r="C486" s="1091"/>
      <c r="D486" s="1091"/>
      <c r="E486" s="1091"/>
      <c r="F486" s="1091"/>
      <c r="G486" s="1091"/>
      <c r="H486" s="1091"/>
      <c r="I486" s="1091"/>
      <c r="J486" s="1091"/>
      <c r="K486" s="1091"/>
      <c r="L486" s="1091"/>
      <c r="O486" s="1091" t="s">
        <v>522</v>
      </c>
      <c r="P486" s="1091"/>
      <c r="Q486" s="1091"/>
      <c r="R486" s="1091"/>
      <c r="S486" s="1091"/>
      <c r="T486" s="1091"/>
      <c r="U486" s="1091"/>
      <c r="V486" s="1091"/>
      <c r="W486" s="1091"/>
      <c r="X486" s="1091"/>
      <c r="Y486" s="1091"/>
    </row>
    <row r="487" spans="1:25" ht="13.5" customHeight="1" x14ac:dyDescent="0.2">
      <c r="B487" s="1086" t="s">
        <v>1</v>
      </c>
      <c r="C487" s="1087"/>
      <c r="D487" s="1087"/>
      <c r="E487" s="1087"/>
      <c r="F487" s="1087"/>
      <c r="G487" s="1087"/>
      <c r="H487" s="1088"/>
      <c r="I487" s="1086" t="s">
        <v>520</v>
      </c>
      <c r="J487" s="1087"/>
      <c r="K487" s="1087"/>
      <c r="L487" s="1088"/>
      <c r="N487" s="241"/>
      <c r="O487" s="1086" t="s">
        <v>1</v>
      </c>
      <c r="P487" s="1087"/>
      <c r="Q487" s="1087"/>
      <c r="R487" s="1087"/>
      <c r="S487" s="1087"/>
      <c r="T487" s="1087"/>
      <c r="U487" s="1088"/>
      <c r="V487" s="1086" t="s">
        <v>520</v>
      </c>
      <c r="W487" s="1087"/>
      <c r="X487" s="1087"/>
      <c r="Y487" s="1088"/>
    </row>
    <row r="488" spans="1:25" ht="21.75" customHeight="1" x14ac:dyDescent="0.2">
      <c r="B488" s="242"/>
      <c r="C488" s="243"/>
      <c r="D488" s="243"/>
      <c r="E488" s="243"/>
      <c r="F488" s="243"/>
      <c r="G488" s="243"/>
      <c r="H488" s="243"/>
      <c r="I488" s="242"/>
      <c r="J488" s="243"/>
      <c r="K488" s="243"/>
      <c r="L488" s="244"/>
      <c r="N488" s="241"/>
      <c r="O488" s="242"/>
      <c r="P488" s="243"/>
      <c r="Q488" s="243"/>
      <c r="R488" s="243"/>
      <c r="S488" s="243"/>
      <c r="T488" s="243"/>
      <c r="U488" s="243"/>
      <c r="V488" s="242"/>
      <c r="W488" s="243"/>
      <c r="X488" s="243"/>
      <c r="Y488" s="244"/>
    </row>
    <row r="489" spans="1:25" ht="13.5" customHeight="1" x14ac:dyDescent="0.2"/>
    <row r="490" spans="1:25" ht="14.25" customHeight="1" thickBot="1" x14ac:dyDescent="0.25">
      <c r="A490" s="241"/>
      <c r="G490" s="305"/>
      <c r="H490" s="305"/>
      <c r="I490" s="1069" t="s">
        <v>0</v>
      </c>
      <c r="J490" s="1069"/>
      <c r="K490" s="1069"/>
      <c r="L490" s="1069"/>
      <c r="M490" s="1069"/>
      <c r="N490" s="1069"/>
      <c r="O490" s="1069"/>
      <c r="P490" s="1069" t="s">
        <v>374</v>
      </c>
      <c r="Q490" s="1069"/>
      <c r="R490" s="1069"/>
      <c r="S490" s="1069"/>
      <c r="T490" s="1069"/>
      <c r="U490" s="1069" t="s">
        <v>571</v>
      </c>
      <c r="V490" s="1069"/>
      <c r="W490" s="1069"/>
      <c r="X490" s="305"/>
      <c r="Y490" s="305"/>
    </row>
    <row r="491" spans="1:25" ht="20.25" customHeight="1" x14ac:dyDescent="0.2">
      <c r="A491" s="241"/>
      <c r="F491" s="1074" t="s">
        <v>584</v>
      </c>
      <c r="G491" s="1074"/>
      <c r="H491" s="1074"/>
      <c r="I491" s="316"/>
      <c r="J491" s="306"/>
      <c r="K491" s="306"/>
      <c r="L491" s="306"/>
      <c r="M491" s="306"/>
      <c r="N491" s="306"/>
      <c r="O491" s="306"/>
      <c r="P491" s="312"/>
      <c r="Q491" s="306"/>
      <c r="R491" s="307"/>
      <c r="S491" s="304"/>
      <c r="T491" s="313"/>
      <c r="U491" s="310"/>
      <c r="V491" s="1084" t="s">
        <v>495</v>
      </c>
      <c r="W491" s="308"/>
    </row>
    <row r="492" spans="1:25" ht="13.5" thickBot="1" x14ac:dyDescent="0.25">
      <c r="F492" s="1074"/>
      <c r="G492" s="1074"/>
      <c r="H492" s="1074"/>
      <c r="I492" s="303"/>
      <c r="J492" s="235"/>
      <c r="K492" s="235"/>
      <c r="L492" s="235"/>
      <c r="M492" s="235"/>
      <c r="N492" s="235"/>
      <c r="O492" s="235"/>
      <c r="P492" s="314"/>
      <c r="Q492" s="235"/>
      <c r="R492" s="234"/>
      <c r="S492" s="234"/>
      <c r="T492" s="315"/>
      <c r="U492" s="311"/>
      <c r="V492" s="1085"/>
      <c r="W492" s="309"/>
    </row>
    <row r="494" spans="1:25" ht="6.75" customHeight="1" x14ac:dyDescent="0.2"/>
    <row r="495" spans="1:25" s="218" customFormat="1" ht="23.25" customHeight="1" x14ac:dyDescent="0.2">
      <c r="A495" s="1072" t="s">
        <v>546</v>
      </c>
      <c r="B495" s="1073"/>
      <c r="C495" s="499" t="str">
        <f>C466</f>
        <v>D1</v>
      </c>
      <c r="D495" s="1098" t="s">
        <v>628</v>
      </c>
      <c r="E495" s="1072"/>
      <c r="F495" s="1072"/>
      <c r="G495" s="1103">
        <f ca="1">INDIRECT("AD"&amp;V495)</f>
        <v>0</v>
      </c>
      <c r="H495" s="1104"/>
      <c r="J495" s="218" t="str">
        <f>CATEG_IMPORTEE</f>
        <v>Collèges Mixtes Etablissement</v>
      </c>
      <c r="T495" s="500"/>
      <c r="U495" s="520">
        <f ca="1">INDIRECT("AE"&amp;V495)</f>
        <v>0</v>
      </c>
      <c r="V495" s="500">
        <f>Y495+2</f>
        <v>20</v>
      </c>
      <c r="W495" s="501">
        <f ca="1">INDIRECT("AF"&amp;V495)</f>
        <v>0</v>
      </c>
      <c r="X495" s="502" t="s">
        <v>849</v>
      </c>
      <c r="Y495" s="503">
        <f>Y466+1</f>
        <v>18</v>
      </c>
    </row>
    <row r="496" spans="1:25" ht="27" customHeight="1" thickBot="1" x14ac:dyDescent="0.25">
      <c r="A496" s="1093" t="s">
        <v>0</v>
      </c>
      <c r="B496" s="1093"/>
      <c r="C496" s="1093"/>
      <c r="D496" s="1093"/>
      <c r="E496" s="1093"/>
      <c r="F496" s="1093"/>
      <c r="G496" s="1093"/>
      <c r="H496" s="1093" t="s">
        <v>374</v>
      </c>
      <c r="I496" s="1093"/>
      <c r="J496" s="1093"/>
      <c r="K496" s="1093"/>
      <c r="L496" s="1093"/>
      <c r="O496" s="1069" t="s">
        <v>0</v>
      </c>
      <c r="P496" s="1069"/>
      <c r="Q496" s="1069"/>
      <c r="R496" s="1069"/>
      <c r="S496" s="1069"/>
      <c r="T496" s="1069"/>
      <c r="U496" s="1069"/>
      <c r="V496" s="1069" t="s">
        <v>374</v>
      </c>
      <c r="W496" s="1069"/>
      <c r="X496" s="1069"/>
      <c r="Y496" s="1069"/>
    </row>
    <row r="497" spans="1:25" ht="24" customHeight="1" thickBot="1" x14ac:dyDescent="0.25">
      <c r="A497" s="504" t="str">
        <f ca="1">IFERROR(VLOOKUP(U495,Num_AS,2,FALSE),"")</f>
        <v/>
      </c>
      <c r="B497" s="505"/>
      <c r="C497" s="505"/>
      <c r="D497" s="505"/>
      <c r="E497" s="505"/>
      <c r="F497" s="505"/>
      <c r="G497" s="506"/>
      <c r="H497" s="507" t="str">
        <f ca="1">IFERROR(VLOOKUP(U495,Num_AS,4,FALSE),"")</f>
        <v/>
      </c>
      <c r="I497" s="220"/>
      <c r="J497" s="220"/>
      <c r="K497" s="220"/>
      <c r="L497" s="738"/>
      <c r="M497" s="1070" t="s">
        <v>547</v>
      </c>
      <c r="N497" s="1071"/>
      <c r="O497" s="504" t="str">
        <f ca="1">IFERROR(VLOOKUP(W495,Num_AS,2,FALSE),"")</f>
        <v/>
      </c>
      <c r="P497" s="505"/>
      <c r="Q497" s="505"/>
      <c r="R497" s="505"/>
      <c r="S497" s="505"/>
      <c r="T497" s="505"/>
      <c r="U497" s="506"/>
      <c r="V497" s="507" t="str">
        <f ca="1">IFERROR(VLOOKUP(W495,Num_AS,4,FALSE),"")</f>
        <v/>
      </c>
      <c r="W497" s="220"/>
      <c r="X497" s="220"/>
      <c r="Y497" s="221"/>
    </row>
    <row r="498" spans="1:25" ht="15" customHeight="1" x14ac:dyDescent="0.2">
      <c r="A498" s="736" t="str">
        <f ca="1">IFERROR(VLOOKUP(U495,Num_AS,3,FALSE),"")</f>
        <v/>
      </c>
      <c r="B498" s="736"/>
      <c r="C498" s="736"/>
      <c r="D498" s="736"/>
      <c r="E498" s="736"/>
      <c r="F498" s="736"/>
      <c r="G498" s="736"/>
      <c r="H498" s="737"/>
    </row>
    <row r="499" spans="1:25" ht="20.100000000000001" customHeight="1" x14ac:dyDescent="0.2">
      <c r="A499" s="1074" t="s">
        <v>548</v>
      </c>
      <c r="B499" s="1074"/>
      <c r="C499" s="1074"/>
      <c r="D499" s="1074"/>
      <c r="E499" s="1074"/>
      <c r="Q499" s="217" t="str">
        <f>Q470</f>
        <v>Championnat de France de Tir à l'ARC</v>
      </c>
    </row>
    <row r="500" spans="1:25" ht="20.100000000000001" customHeight="1" x14ac:dyDescent="0.2">
      <c r="A500" s="1075" t="s">
        <v>549</v>
      </c>
      <c r="B500" s="1075"/>
      <c r="C500" s="1075"/>
      <c r="D500" s="1075"/>
      <c r="E500" s="1075"/>
      <c r="G500" s="1076" t="s">
        <v>480</v>
      </c>
      <c r="H500" s="1076"/>
      <c r="I500" s="1077" t="s">
        <v>550</v>
      </c>
      <c r="J500" s="1077"/>
      <c r="K500" s="1077"/>
      <c r="L500" s="252" t="s">
        <v>551</v>
      </c>
      <c r="M500" s="1078" t="s">
        <v>552</v>
      </c>
      <c r="N500" s="1078"/>
      <c r="O500" s="251"/>
      <c r="Q500" s="217" t="str">
        <f>Q471</f>
        <v>L’Isle sur la Sorgue du 27 au 31 mars 2023</v>
      </c>
    </row>
    <row r="501" spans="1:25" ht="24" customHeight="1" x14ac:dyDescent="0.2">
      <c r="A501" s="509" t="str">
        <f ca="1">IFERROR(VLOOKUP(U495,Num_AS,6,FALSE),"")</f>
        <v/>
      </c>
      <c r="B501" s="223"/>
      <c r="C501" s="510" t="str">
        <f ca="1">IFERROR(VLOOKUP(U495,Num_AS,7,FALSE),"")</f>
        <v/>
      </c>
      <c r="D501" s="223"/>
      <c r="E501" s="224"/>
      <c r="F501" s="219"/>
      <c r="G501" s="511" t="str">
        <f ca="1">IFERROR(VLOOKUP(U495,Num_AS,10,FALSE),"")</f>
        <v/>
      </c>
      <c r="H501" s="224"/>
      <c r="I501" s="222"/>
      <c r="J501" s="512" t="str">
        <f ca="1">IFERROR(VLOOKUP(U495,Num_AS,9,FALSE),"")</f>
        <v/>
      </c>
      <c r="K501" s="224"/>
      <c r="L501" s="222" t="str">
        <f ca="1">IFERROR(VLOOKUP(U495,Num_AS,11,FALSE),"")</f>
        <v/>
      </c>
      <c r="M501" s="287">
        <f ca="1">G495</f>
        <v>0</v>
      </c>
      <c r="N501" s="288"/>
      <c r="O501" s="249"/>
      <c r="R501" s="254"/>
      <c r="S501" s="254"/>
      <c r="T501" s="254"/>
      <c r="U501" s="254"/>
      <c r="V501" s="254"/>
      <c r="W501" s="254"/>
      <c r="X501" s="254"/>
      <c r="Y501" s="254"/>
    </row>
    <row r="502" spans="1:25" ht="24" customHeight="1" x14ac:dyDescent="0.2">
      <c r="A502" s="509" t="str">
        <f ca="1">IFERROR(VLOOKUP(U495,Num_AS,12,FALSE),"")</f>
        <v/>
      </c>
      <c r="B502" s="223"/>
      <c r="C502" s="510" t="str">
        <f ca="1">IFERROR(VLOOKUP(U495,Num_AS,13,FALSE),"")</f>
        <v/>
      </c>
      <c r="D502" s="223"/>
      <c r="E502" s="224"/>
      <c r="F502" s="219"/>
      <c r="G502" s="511" t="str">
        <f ca="1">IFERROR(VLOOKUP(U495,Num_AS,16,FALSE),"")</f>
        <v/>
      </c>
      <c r="H502" s="224"/>
      <c r="I502" s="222"/>
      <c r="J502" s="512" t="str">
        <f ca="1">IFERROR(VLOOKUP(U495,Num_AS,15,FALSE),"")</f>
        <v/>
      </c>
      <c r="K502" s="224"/>
      <c r="L502" s="222" t="str">
        <f ca="1">IFERROR(VLOOKUP(U495,Num_AS,17,FALSE),"")</f>
        <v/>
      </c>
      <c r="M502" s="287">
        <f ca="1">G495</f>
        <v>0</v>
      </c>
      <c r="N502" s="288"/>
      <c r="O502" s="249"/>
      <c r="Q502" s="254"/>
      <c r="R502" s="254"/>
      <c r="S502" s="254"/>
      <c r="T502" s="254"/>
      <c r="U502" s="254"/>
      <c r="V502" s="254"/>
      <c r="W502" s="254"/>
      <c r="X502" s="254"/>
      <c r="Y502" s="254"/>
    </row>
    <row r="503" spans="1:25" ht="24" customHeight="1" x14ac:dyDescent="0.2">
      <c r="A503" s="509" t="str">
        <f ca="1">IFERROR(VLOOKUP(U495,Num_AS,18,FALSE),"")</f>
        <v/>
      </c>
      <c r="B503" s="223"/>
      <c r="C503" s="510" t="str">
        <f ca="1">IFERROR(VLOOKUP(U495,Num_AS,19,FALSE),"")</f>
        <v/>
      </c>
      <c r="D503" s="223"/>
      <c r="E503" s="224"/>
      <c r="F503" s="219"/>
      <c r="G503" s="511" t="str">
        <f ca="1">IFERROR(VLOOKUP(U495,Num_AS,22,FALSE),"")</f>
        <v/>
      </c>
      <c r="H503" s="224"/>
      <c r="I503" s="222"/>
      <c r="J503" s="512" t="str">
        <f ca="1">IFERROR(VLOOKUP(U495,Num_AS,21,FALSE),"")</f>
        <v/>
      </c>
      <c r="K503" s="224"/>
      <c r="L503" s="222" t="str">
        <f ca="1">IFERROR(VLOOKUP(U495,Num_AS,23,FALSE),"")</f>
        <v/>
      </c>
      <c r="M503" s="287">
        <f ca="1">G495</f>
        <v>0</v>
      </c>
      <c r="N503" s="288"/>
      <c r="O503" s="249"/>
      <c r="Q503" s="254"/>
      <c r="R503" s="254"/>
      <c r="S503" s="254"/>
      <c r="T503" s="254"/>
      <c r="U503" s="254"/>
      <c r="V503" s="254"/>
      <c r="W503" s="254"/>
      <c r="X503" s="254"/>
      <c r="Y503" s="254"/>
    </row>
    <row r="504" spans="1:25" ht="24" customHeight="1" x14ac:dyDescent="0.2">
      <c r="A504" s="509" t="str">
        <f ca="1">IFERROR(VLOOKUP(U495,Num_AS,24,FALSE),"")</f>
        <v/>
      </c>
      <c r="B504" s="223"/>
      <c r="C504" s="510" t="str">
        <f ca="1">IFERROR(VLOOKUP(U495,Num_AS,25,FALSE),"")</f>
        <v/>
      </c>
      <c r="D504" s="223"/>
      <c r="E504" s="224"/>
      <c r="F504" s="219"/>
      <c r="G504" s="511" t="str">
        <f ca="1">IFERROR(VLOOKUP(U495,Num_AS,28,FALSE),"")</f>
        <v/>
      </c>
      <c r="H504" s="224"/>
      <c r="I504" s="222"/>
      <c r="J504" s="512" t="str">
        <f ca="1">IFERROR(VLOOKUP(U495,Num_AS,27,FALSE),"")</f>
        <v/>
      </c>
      <c r="K504" s="224"/>
      <c r="L504" s="222" t="str">
        <f ca="1">IFERROR(VLOOKUP(U495,Num_AS,29,FALSE),"")</f>
        <v/>
      </c>
      <c r="M504" s="289">
        <f ca="1">G495</f>
        <v>0</v>
      </c>
      <c r="N504" s="290"/>
      <c r="O504" s="249"/>
    </row>
    <row r="505" spans="1:25" ht="15" customHeight="1" thickBot="1" x14ac:dyDescent="0.25"/>
    <row r="506" spans="1:25" ht="20.100000000000001" customHeight="1" x14ac:dyDescent="0.2">
      <c r="F506" s="1081" t="s">
        <v>555</v>
      </c>
      <c r="G506" s="1082"/>
      <c r="H506" s="1082"/>
      <c r="I506" s="1082"/>
      <c r="J506" s="1083"/>
      <c r="K506" s="1081" t="s">
        <v>556</v>
      </c>
      <c r="L506" s="1082"/>
      <c r="M506" s="1082"/>
      <c r="N506" s="1082"/>
      <c r="O506" s="1083"/>
      <c r="P506" s="1081" t="s">
        <v>557</v>
      </c>
      <c r="Q506" s="1082"/>
      <c r="R506" s="1082"/>
      <c r="S506" s="1082"/>
      <c r="T506" s="1083"/>
      <c r="U506" s="1081" t="s">
        <v>558</v>
      </c>
      <c r="V506" s="1082"/>
      <c r="W506" s="1082"/>
      <c r="X506" s="1082"/>
      <c r="Y506" s="1083"/>
    </row>
    <row r="507" spans="1:25" ht="20.100000000000001" customHeight="1" x14ac:dyDescent="0.2">
      <c r="A507" s="1075" t="s">
        <v>559</v>
      </c>
      <c r="B507" s="1075"/>
      <c r="C507" s="1075"/>
      <c r="D507" s="1075"/>
      <c r="E507" s="1089"/>
      <c r="F507" s="1090" t="s">
        <v>560</v>
      </c>
      <c r="G507" s="1075"/>
      <c r="H507" s="1075"/>
      <c r="J507" s="225" t="s">
        <v>7</v>
      </c>
      <c r="K507" s="1090" t="s">
        <v>560</v>
      </c>
      <c r="L507" s="1075"/>
      <c r="M507" s="1075"/>
      <c r="O507" s="225" t="s">
        <v>7</v>
      </c>
      <c r="P507" s="1090" t="s">
        <v>560</v>
      </c>
      <c r="Q507" s="1075"/>
      <c r="R507" s="1075"/>
      <c r="T507" s="225" t="s">
        <v>7</v>
      </c>
      <c r="U507" s="1090" t="s">
        <v>560</v>
      </c>
      <c r="V507" s="1075"/>
      <c r="W507" s="1075"/>
      <c r="Y507" s="225" t="s">
        <v>7</v>
      </c>
    </row>
    <row r="508" spans="1:25" ht="24" customHeight="1" x14ac:dyDescent="0.2">
      <c r="A508" s="513" t="str">
        <f ca="1">A501</f>
        <v/>
      </c>
      <c r="B508" s="227"/>
      <c r="C508" s="514" t="str">
        <f ca="1">C501</f>
        <v/>
      </c>
      <c r="D508" s="227"/>
      <c r="E508" s="227"/>
      <c r="F508" s="228"/>
      <c r="G508" s="229"/>
      <c r="H508" s="229"/>
      <c r="I508" s="230" t="s">
        <v>561</v>
      </c>
      <c r="J508" s="231"/>
      <c r="K508" s="228"/>
      <c r="L508" s="229"/>
      <c r="M508" s="229"/>
      <c r="N508" s="230" t="s">
        <v>561</v>
      </c>
      <c r="O508" s="231"/>
      <c r="P508" s="228"/>
      <c r="Q508" s="229"/>
      <c r="R508" s="229"/>
      <c r="S508" s="230" t="s">
        <v>561</v>
      </c>
      <c r="T508" s="231"/>
      <c r="U508" s="228"/>
      <c r="V508" s="229"/>
      <c r="W508" s="229"/>
      <c r="X508" s="230" t="s">
        <v>561</v>
      </c>
      <c r="Y508" s="231"/>
    </row>
    <row r="509" spans="1:25" ht="24" customHeight="1" x14ac:dyDescent="0.2">
      <c r="A509" s="513" t="str">
        <f ca="1">A502</f>
        <v/>
      </c>
      <c r="B509" s="227"/>
      <c r="C509" s="514" t="str">
        <f ca="1">C502</f>
        <v/>
      </c>
      <c r="D509" s="227"/>
      <c r="E509" s="227"/>
      <c r="F509" s="228"/>
      <c r="G509" s="229"/>
      <c r="H509" s="229"/>
      <c r="I509" s="230" t="s">
        <v>561</v>
      </c>
      <c r="J509" s="231"/>
      <c r="K509" s="228"/>
      <c r="L509" s="229"/>
      <c r="M509" s="229"/>
      <c r="N509" s="230" t="s">
        <v>561</v>
      </c>
      <c r="O509" s="231"/>
      <c r="P509" s="228"/>
      <c r="Q509" s="229"/>
      <c r="R509" s="229"/>
      <c r="S509" s="230" t="s">
        <v>561</v>
      </c>
      <c r="T509" s="231"/>
      <c r="U509" s="228"/>
      <c r="V509" s="229"/>
      <c r="W509" s="229"/>
      <c r="X509" s="230" t="s">
        <v>561</v>
      </c>
      <c r="Y509" s="231"/>
    </row>
    <row r="510" spans="1:25" ht="24" customHeight="1" x14ac:dyDescent="0.2">
      <c r="A510" s="513" t="str">
        <f ca="1">A503</f>
        <v/>
      </c>
      <c r="B510" s="227"/>
      <c r="C510" s="514" t="str">
        <f ca="1">C503</f>
        <v/>
      </c>
      <c r="D510" s="227"/>
      <c r="E510" s="227"/>
      <c r="F510" s="228"/>
      <c r="G510" s="229"/>
      <c r="H510" s="229"/>
      <c r="I510" s="230" t="s">
        <v>561</v>
      </c>
      <c r="J510" s="231"/>
      <c r="K510" s="228"/>
      <c r="L510" s="229"/>
      <c r="M510" s="229"/>
      <c r="N510" s="230" t="s">
        <v>561</v>
      </c>
      <c r="O510" s="231"/>
      <c r="P510" s="228"/>
      <c r="Q510" s="229"/>
      <c r="R510" s="229"/>
      <c r="S510" s="230" t="s">
        <v>561</v>
      </c>
      <c r="T510" s="231"/>
      <c r="U510" s="228"/>
      <c r="V510" s="229"/>
      <c r="W510" s="229"/>
      <c r="X510" s="230" t="s">
        <v>561</v>
      </c>
      <c r="Y510" s="231"/>
    </row>
    <row r="511" spans="1:25" ht="24" customHeight="1" x14ac:dyDescent="0.2">
      <c r="A511" s="513" t="str">
        <f ca="1">A504</f>
        <v/>
      </c>
      <c r="B511" s="227"/>
      <c r="C511" s="514" t="str">
        <f ca="1">C504</f>
        <v/>
      </c>
      <c r="D511" s="227"/>
      <c r="E511" s="227"/>
      <c r="F511" s="228"/>
      <c r="G511" s="229"/>
      <c r="H511" s="229"/>
      <c r="I511" s="230" t="s">
        <v>561</v>
      </c>
      <c r="J511" s="232"/>
      <c r="K511" s="228"/>
      <c r="L511" s="229"/>
      <c r="M511" s="229"/>
      <c r="N511" s="230" t="s">
        <v>561</v>
      </c>
      <c r="O511" s="232"/>
      <c r="P511" s="228"/>
      <c r="Q511" s="229"/>
      <c r="R511" s="229"/>
      <c r="S511" s="230" t="s">
        <v>561</v>
      </c>
      <c r="T511" s="232"/>
      <c r="U511" s="228"/>
      <c r="V511" s="229"/>
      <c r="W511" s="229"/>
      <c r="X511" s="230" t="s">
        <v>561</v>
      </c>
      <c r="Y511" s="232"/>
    </row>
    <row r="512" spans="1:25" ht="24" customHeight="1" thickBot="1" x14ac:dyDescent="0.25">
      <c r="F512" s="1079" t="s">
        <v>562</v>
      </c>
      <c r="G512" s="1080"/>
      <c r="H512" s="1080"/>
      <c r="I512" s="230" t="s">
        <v>561</v>
      </c>
      <c r="J512" s="231"/>
      <c r="K512" s="1079" t="s">
        <v>563</v>
      </c>
      <c r="L512" s="1080"/>
      <c r="M512" s="1080"/>
      <c r="N512" s="230" t="s">
        <v>561</v>
      </c>
      <c r="O512" s="232"/>
      <c r="P512" s="1079" t="s">
        <v>564</v>
      </c>
      <c r="Q512" s="1080"/>
      <c r="R512" s="1080"/>
      <c r="S512" s="230" t="s">
        <v>561</v>
      </c>
      <c r="T512" s="232"/>
      <c r="U512" s="1079" t="s">
        <v>565</v>
      </c>
      <c r="V512" s="1080"/>
      <c r="W512" s="1080"/>
      <c r="X512" s="230" t="s">
        <v>561</v>
      </c>
      <c r="Y512" s="232"/>
    </row>
    <row r="513" spans="1:25" ht="24" customHeight="1" thickBot="1" x14ac:dyDescent="0.25">
      <c r="A513" s="508" t="s">
        <v>1013</v>
      </c>
      <c r="B513" s="508"/>
      <c r="D513" s="1094">
        <f ca="1">VLOOKUP(A497&amp;A498,PTS_SP,2,FALSE)</f>
        <v>0</v>
      </c>
      <c r="E513" s="1095"/>
      <c r="F513" s="745" t="s">
        <v>1014</v>
      </c>
      <c r="G513" s="670"/>
      <c r="H513" s="744"/>
      <c r="I513" s="1096"/>
      <c r="J513" s="1097"/>
      <c r="K513" s="1100" t="s">
        <v>1015</v>
      </c>
      <c r="L513" s="1101"/>
      <c r="M513" s="1102"/>
      <c r="N513" s="1096"/>
      <c r="O513" s="1097"/>
      <c r="P513" s="1100" t="s">
        <v>1016</v>
      </c>
      <c r="Q513" s="1101"/>
      <c r="R513" s="1102"/>
      <c r="S513" s="1096"/>
      <c r="T513" s="1097"/>
      <c r="U513" s="1100" t="s">
        <v>1017</v>
      </c>
      <c r="V513" s="1101"/>
      <c r="W513" s="1102"/>
      <c r="X513" s="1096"/>
      <c r="Y513" s="1097"/>
    </row>
    <row r="514" spans="1:25" ht="12.75" customHeight="1" x14ac:dyDescent="0.2">
      <c r="Y514" s="240" t="s">
        <v>570</v>
      </c>
    </row>
    <row r="515" spans="1:25" ht="15.75" customHeight="1" x14ac:dyDescent="0.2">
      <c r="B515" s="1091" t="s">
        <v>851</v>
      </c>
      <c r="C515" s="1091"/>
      <c r="D515" s="1091"/>
      <c r="E515" s="1091"/>
      <c r="F515" s="1091"/>
      <c r="G515" s="1091"/>
      <c r="H515" s="1091"/>
      <c r="I515" s="1091"/>
      <c r="J515" s="1091"/>
      <c r="K515" s="1091"/>
      <c r="L515" s="1091"/>
      <c r="O515" s="1091" t="s">
        <v>522</v>
      </c>
      <c r="P515" s="1091"/>
      <c r="Q515" s="1091"/>
      <c r="R515" s="1091"/>
      <c r="S515" s="1091"/>
      <c r="T515" s="1091"/>
      <c r="U515" s="1091"/>
      <c r="V515" s="1091"/>
      <c r="W515" s="1091"/>
      <c r="X515" s="1091"/>
      <c r="Y515" s="1091"/>
    </row>
    <row r="516" spans="1:25" ht="13.5" customHeight="1" x14ac:dyDescent="0.2">
      <c r="B516" s="1086" t="s">
        <v>1</v>
      </c>
      <c r="C516" s="1087"/>
      <c r="D516" s="1087"/>
      <c r="E516" s="1087"/>
      <c r="F516" s="1087"/>
      <c r="G516" s="1087"/>
      <c r="H516" s="1088"/>
      <c r="I516" s="1086" t="s">
        <v>520</v>
      </c>
      <c r="J516" s="1087"/>
      <c r="K516" s="1087"/>
      <c r="L516" s="1088"/>
      <c r="N516" s="241"/>
      <c r="O516" s="1086" t="s">
        <v>1</v>
      </c>
      <c r="P516" s="1087"/>
      <c r="Q516" s="1087"/>
      <c r="R516" s="1087"/>
      <c r="S516" s="1087"/>
      <c r="T516" s="1087"/>
      <c r="U516" s="1088"/>
      <c r="V516" s="1086" t="s">
        <v>520</v>
      </c>
      <c r="W516" s="1087"/>
      <c r="X516" s="1087"/>
      <c r="Y516" s="1088"/>
    </row>
    <row r="517" spans="1:25" ht="21.75" customHeight="1" x14ac:dyDescent="0.2">
      <c r="B517" s="242"/>
      <c r="C517" s="243"/>
      <c r="D517" s="243"/>
      <c r="E517" s="243"/>
      <c r="F517" s="243"/>
      <c r="G517" s="243"/>
      <c r="H517" s="243"/>
      <c r="I517" s="242"/>
      <c r="J517" s="243"/>
      <c r="K517" s="243"/>
      <c r="L517" s="244"/>
      <c r="N517" s="241"/>
      <c r="O517" s="242"/>
      <c r="P517" s="243"/>
      <c r="Q517" s="243"/>
      <c r="R517" s="243"/>
      <c r="S517" s="243"/>
      <c r="T517" s="243"/>
      <c r="U517" s="243"/>
      <c r="V517" s="242"/>
      <c r="W517" s="243"/>
      <c r="X517" s="243"/>
      <c r="Y517" s="244"/>
    </row>
    <row r="518" spans="1:25" ht="13.5" customHeight="1" x14ac:dyDescent="0.2"/>
    <row r="519" spans="1:25" ht="14.25" customHeight="1" thickBot="1" x14ac:dyDescent="0.25">
      <c r="A519" s="241"/>
      <c r="G519" s="305"/>
      <c r="H519" s="305"/>
      <c r="I519" s="1069" t="s">
        <v>0</v>
      </c>
      <c r="J519" s="1069"/>
      <c r="K519" s="1069"/>
      <c r="L519" s="1069"/>
      <c r="M519" s="1069"/>
      <c r="N519" s="1069"/>
      <c r="O519" s="1069"/>
      <c r="P519" s="1069" t="s">
        <v>374</v>
      </c>
      <c r="Q519" s="1069"/>
      <c r="R519" s="1069"/>
      <c r="S519" s="1069"/>
      <c r="T519" s="1069"/>
      <c r="U519" s="1069" t="s">
        <v>571</v>
      </c>
      <c r="V519" s="1069"/>
      <c r="W519" s="1069"/>
      <c r="X519" s="305"/>
      <c r="Y519" s="305"/>
    </row>
    <row r="520" spans="1:25" ht="20.25" customHeight="1" x14ac:dyDescent="0.2">
      <c r="A520" s="241"/>
      <c r="F520" s="1074" t="s">
        <v>584</v>
      </c>
      <c r="G520" s="1074"/>
      <c r="H520" s="1074"/>
      <c r="I520" s="316"/>
      <c r="J520" s="306"/>
      <c r="K520" s="306"/>
      <c r="L520" s="306"/>
      <c r="M520" s="306"/>
      <c r="N520" s="306"/>
      <c r="O520" s="306"/>
      <c r="P520" s="312"/>
      <c r="Q520" s="306"/>
      <c r="R520" s="307"/>
      <c r="S520" s="304"/>
      <c r="T520" s="313"/>
      <c r="U520" s="310"/>
      <c r="V520" s="1084" t="s">
        <v>495</v>
      </c>
      <c r="W520" s="308"/>
    </row>
    <row r="521" spans="1:25" ht="13.5" thickBot="1" x14ac:dyDescent="0.25">
      <c r="F521" s="1074"/>
      <c r="G521" s="1074"/>
      <c r="H521" s="1074"/>
      <c r="I521" s="303"/>
      <c r="J521" s="235"/>
      <c r="K521" s="235"/>
      <c r="L521" s="235"/>
      <c r="M521" s="235"/>
      <c r="N521" s="235"/>
      <c r="O521" s="235"/>
      <c r="P521" s="314"/>
      <c r="Q521" s="235"/>
      <c r="R521" s="234"/>
      <c r="S521" s="234"/>
      <c r="T521" s="315"/>
      <c r="U521" s="311"/>
      <c r="V521" s="1085"/>
      <c r="W521" s="309"/>
    </row>
    <row r="523" spans="1:25" ht="6.75" customHeight="1" x14ac:dyDescent="0.2"/>
    <row r="524" spans="1:25" s="218" customFormat="1" ht="23.25" customHeight="1" x14ac:dyDescent="0.2">
      <c r="A524" s="1072" t="s">
        <v>546</v>
      </c>
      <c r="B524" s="1073"/>
      <c r="C524" s="499" t="str">
        <f>C495</f>
        <v>D1</v>
      </c>
      <c r="D524" s="1098" t="s">
        <v>628</v>
      </c>
      <c r="E524" s="1072"/>
      <c r="F524" s="1072"/>
      <c r="G524" s="1103">
        <f ca="1">INDIRECT("AD"&amp;V524)</f>
        <v>0</v>
      </c>
      <c r="H524" s="1104"/>
      <c r="J524" s="218" t="str">
        <f>CATEG_IMPORTEE</f>
        <v>Collèges Mixtes Etablissement</v>
      </c>
      <c r="T524" s="500"/>
      <c r="U524" s="520">
        <f ca="1">INDIRECT("AE"&amp;V524)</f>
        <v>0</v>
      </c>
      <c r="V524" s="500">
        <f>Y524+2</f>
        <v>21</v>
      </c>
      <c r="W524" s="501">
        <f ca="1">INDIRECT("AF"&amp;V524)</f>
        <v>0</v>
      </c>
      <c r="X524" s="502" t="s">
        <v>849</v>
      </c>
      <c r="Y524" s="503">
        <f>Y495+1</f>
        <v>19</v>
      </c>
    </row>
    <row r="525" spans="1:25" ht="27" customHeight="1" thickBot="1" x14ac:dyDescent="0.25">
      <c r="A525" s="1093" t="s">
        <v>0</v>
      </c>
      <c r="B525" s="1093"/>
      <c r="C525" s="1093"/>
      <c r="D525" s="1093"/>
      <c r="E525" s="1093"/>
      <c r="F525" s="1093"/>
      <c r="G525" s="1093"/>
      <c r="H525" s="1093" t="s">
        <v>374</v>
      </c>
      <c r="I525" s="1093"/>
      <c r="J525" s="1093"/>
      <c r="K525" s="1093"/>
      <c r="L525" s="1093"/>
      <c r="O525" s="1069" t="s">
        <v>0</v>
      </c>
      <c r="P525" s="1069"/>
      <c r="Q525" s="1069"/>
      <c r="R525" s="1069"/>
      <c r="S525" s="1069"/>
      <c r="T525" s="1069"/>
      <c r="U525" s="1069"/>
      <c r="V525" s="1069" t="s">
        <v>374</v>
      </c>
      <c r="W525" s="1069"/>
      <c r="X525" s="1069"/>
      <c r="Y525" s="1069"/>
    </row>
    <row r="526" spans="1:25" ht="24" customHeight="1" thickBot="1" x14ac:dyDescent="0.25">
      <c r="A526" s="504" t="str">
        <f ca="1">IFERROR(VLOOKUP(U524,Num_AS,2,FALSE),"")</f>
        <v/>
      </c>
      <c r="B526" s="505"/>
      <c r="C526" s="505"/>
      <c r="D526" s="505"/>
      <c r="E526" s="505"/>
      <c r="F526" s="505"/>
      <c r="G526" s="506"/>
      <c r="H526" s="507" t="str">
        <f ca="1">IFERROR(VLOOKUP(U524,Num_AS,4,FALSE),"")</f>
        <v/>
      </c>
      <c r="I526" s="220"/>
      <c r="J526" s="220"/>
      <c r="K526" s="220"/>
      <c r="L526" s="738"/>
      <c r="M526" s="1070" t="s">
        <v>547</v>
      </c>
      <c r="N526" s="1071"/>
      <c r="O526" s="504" t="str">
        <f ca="1">IFERROR(VLOOKUP(W524,Num_AS,2,FALSE),"")</f>
        <v/>
      </c>
      <c r="P526" s="505"/>
      <c r="Q526" s="505"/>
      <c r="R526" s="505"/>
      <c r="S526" s="505"/>
      <c r="T526" s="505"/>
      <c r="U526" s="506"/>
      <c r="V526" s="507" t="str">
        <f ca="1">IFERROR(VLOOKUP(W524,Num_AS,4,FALSE),"")</f>
        <v/>
      </c>
      <c r="W526" s="220"/>
      <c r="X526" s="220"/>
      <c r="Y526" s="221"/>
    </row>
    <row r="527" spans="1:25" ht="15" customHeight="1" x14ac:dyDescent="0.2">
      <c r="A527" s="736" t="str">
        <f ca="1">IFERROR(VLOOKUP(U524,Num_AS,3,FALSE),"")</f>
        <v/>
      </c>
      <c r="B527" s="736"/>
      <c r="C527" s="736"/>
      <c r="D527" s="736"/>
      <c r="E527" s="736"/>
      <c r="F527" s="736"/>
      <c r="G527" s="736"/>
      <c r="H527" s="737"/>
    </row>
    <row r="528" spans="1:25" ht="20.100000000000001" customHeight="1" x14ac:dyDescent="0.2">
      <c r="A528" s="1074" t="s">
        <v>548</v>
      </c>
      <c r="B528" s="1074"/>
      <c r="C528" s="1074"/>
      <c r="D528" s="1074"/>
      <c r="E528" s="1074"/>
      <c r="Q528" s="217" t="str">
        <f>Q499</f>
        <v>Championnat de France de Tir à l'ARC</v>
      </c>
    </row>
    <row r="529" spans="1:25" ht="20.100000000000001" customHeight="1" x14ac:dyDescent="0.2">
      <c r="A529" s="1075" t="s">
        <v>549</v>
      </c>
      <c r="B529" s="1075"/>
      <c r="C529" s="1075"/>
      <c r="D529" s="1075"/>
      <c r="E529" s="1075"/>
      <c r="G529" s="1076" t="s">
        <v>480</v>
      </c>
      <c r="H529" s="1076"/>
      <c r="I529" s="1077" t="s">
        <v>550</v>
      </c>
      <c r="J529" s="1077"/>
      <c r="K529" s="1077"/>
      <c r="L529" s="252" t="s">
        <v>551</v>
      </c>
      <c r="M529" s="1078" t="s">
        <v>552</v>
      </c>
      <c r="N529" s="1078"/>
      <c r="O529" s="251"/>
      <c r="Q529" s="217" t="str">
        <f>Q500</f>
        <v>L’Isle sur la Sorgue du 27 au 31 mars 2023</v>
      </c>
    </row>
    <row r="530" spans="1:25" ht="24" customHeight="1" x14ac:dyDescent="0.2">
      <c r="A530" s="509" t="str">
        <f ca="1">IFERROR(VLOOKUP(U524,Num_AS,6,FALSE),"")</f>
        <v/>
      </c>
      <c r="B530" s="223"/>
      <c r="C530" s="510" t="str">
        <f ca="1">IFERROR(VLOOKUP(U524,Num_AS,7,FALSE),"")</f>
        <v/>
      </c>
      <c r="D530" s="223"/>
      <c r="E530" s="224"/>
      <c r="F530" s="219"/>
      <c r="G530" s="511" t="str">
        <f ca="1">IFERROR(VLOOKUP(U524,Num_AS,10,FALSE),"")</f>
        <v/>
      </c>
      <c r="H530" s="224"/>
      <c r="I530" s="222"/>
      <c r="J530" s="512" t="str">
        <f ca="1">IFERROR(VLOOKUP(U524,Num_AS,9,FALSE),"")</f>
        <v/>
      </c>
      <c r="K530" s="224"/>
      <c r="L530" s="222" t="str">
        <f ca="1">IFERROR(VLOOKUP(U524,Num_AS,11,FALSE),"")</f>
        <v/>
      </c>
      <c r="M530" s="287">
        <f ca="1">G524</f>
        <v>0</v>
      </c>
      <c r="N530" s="288"/>
      <c r="O530" s="249"/>
      <c r="R530" s="254"/>
      <c r="S530" s="254"/>
      <c r="T530" s="254"/>
      <c r="U530" s="254"/>
      <c r="V530" s="254"/>
      <c r="W530" s="254"/>
      <c r="X530" s="254"/>
      <c r="Y530" s="254"/>
    </row>
    <row r="531" spans="1:25" ht="24" customHeight="1" x14ac:dyDescent="0.2">
      <c r="A531" s="509" t="str">
        <f ca="1">IFERROR(VLOOKUP(U524,Num_AS,12,FALSE),"")</f>
        <v/>
      </c>
      <c r="B531" s="223"/>
      <c r="C531" s="510" t="str">
        <f ca="1">IFERROR(VLOOKUP(U524,Num_AS,13,FALSE),"")</f>
        <v/>
      </c>
      <c r="D531" s="223"/>
      <c r="E531" s="224"/>
      <c r="F531" s="219"/>
      <c r="G531" s="511" t="str">
        <f ca="1">IFERROR(VLOOKUP(U524,Num_AS,16,FALSE),"")</f>
        <v/>
      </c>
      <c r="H531" s="224"/>
      <c r="I531" s="222"/>
      <c r="J531" s="512" t="str">
        <f ca="1">IFERROR(VLOOKUP(U524,Num_AS,15,FALSE),"")</f>
        <v/>
      </c>
      <c r="K531" s="224"/>
      <c r="L531" s="222" t="str">
        <f ca="1">IFERROR(VLOOKUP(U524,Num_AS,17,FALSE),"")</f>
        <v/>
      </c>
      <c r="M531" s="287">
        <f ca="1">G524</f>
        <v>0</v>
      </c>
      <c r="N531" s="288"/>
      <c r="O531" s="249"/>
      <c r="Q531" s="254"/>
      <c r="R531" s="254"/>
      <c r="S531" s="254"/>
      <c r="T531" s="254"/>
      <c r="U531" s="254"/>
      <c r="V531" s="254"/>
      <c r="W531" s="254"/>
      <c r="X531" s="254"/>
      <c r="Y531" s="254"/>
    </row>
    <row r="532" spans="1:25" ht="24" customHeight="1" x14ac:dyDescent="0.2">
      <c r="A532" s="509" t="str">
        <f ca="1">IFERROR(VLOOKUP(U524,Num_AS,18,FALSE),"")</f>
        <v/>
      </c>
      <c r="B532" s="223"/>
      <c r="C532" s="510" t="str">
        <f ca="1">IFERROR(VLOOKUP(U524,Num_AS,19,FALSE),"")</f>
        <v/>
      </c>
      <c r="D532" s="223"/>
      <c r="E532" s="224"/>
      <c r="F532" s="219"/>
      <c r="G532" s="511" t="str">
        <f ca="1">IFERROR(VLOOKUP(U524,Num_AS,22,FALSE),"")</f>
        <v/>
      </c>
      <c r="H532" s="224"/>
      <c r="I532" s="222"/>
      <c r="J532" s="512" t="str">
        <f ca="1">IFERROR(VLOOKUP(U524,Num_AS,21,FALSE),"")</f>
        <v/>
      </c>
      <c r="K532" s="224"/>
      <c r="L532" s="222" t="str">
        <f ca="1">IFERROR(VLOOKUP(U524,Num_AS,23,FALSE),"")</f>
        <v/>
      </c>
      <c r="M532" s="287">
        <f ca="1">G524</f>
        <v>0</v>
      </c>
      <c r="N532" s="288"/>
      <c r="O532" s="249"/>
      <c r="Q532" s="254"/>
      <c r="R532" s="254"/>
      <c r="S532" s="254"/>
      <c r="T532" s="254"/>
      <c r="U532" s="254"/>
      <c r="V532" s="254"/>
      <c r="W532" s="254"/>
      <c r="X532" s="254"/>
      <c r="Y532" s="254"/>
    </row>
    <row r="533" spans="1:25" ht="24" customHeight="1" x14ac:dyDescent="0.2">
      <c r="A533" s="509" t="str">
        <f ca="1">IFERROR(VLOOKUP(U524,Num_AS,24,FALSE),"")</f>
        <v/>
      </c>
      <c r="B533" s="223"/>
      <c r="C533" s="510" t="str">
        <f ca="1">IFERROR(VLOOKUP(U524,Num_AS,25,FALSE),"")</f>
        <v/>
      </c>
      <c r="D533" s="223"/>
      <c r="E533" s="224"/>
      <c r="F533" s="219"/>
      <c r="G533" s="511" t="str">
        <f ca="1">IFERROR(VLOOKUP(U524,Num_AS,28,FALSE),"")</f>
        <v/>
      </c>
      <c r="H533" s="224"/>
      <c r="I533" s="222"/>
      <c r="J533" s="512" t="str">
        <f ca="1">IFERROR(VLOOKUP(U524,Num_AS,27,FALSE),"")</f>
        <v/>
      </c>
      <c r="K533" s="224"/>
      <c r="L533" s="222" t="str">
        <f ca="1">IFERROR(VLOOKUP(U524,Num_AS,29,FALSE),"")</f>
        <v/>
      </c>
      <c r="M533" s="289">
        <f ca="1">G524</f>
        <v>0</v>
      </c>
      <c r="N533" s="290"/>
      <c r="O533" s="249"/>
    </row>
    <row r="534" spans="1:25" ht="15" customHeight="1" thickBot="1" x14ac:dyDescent="0.25"/>
    <row r="535" spans="1:25" ht="20.100000000000001" customHeight="1" x14ac:dyDescent="0.2">
      <c r="F535" s="1081" t="s">
        <v>555</v>
      </c>
      <c r="G535" s="1082"/>
      <c r="H535" s="1082"/>
      <c r="I535" s="1082"/>
      <c r="J535" s="1083"/>
      <c r="K535" s="1081" t="s">
        <v>556</v>
      </c>
      <c r="L535" s="1082"/>
      <c r="M535" s="1082"/>
      <c r="N535" s="1082"/>
      <c r="O535" s="1083"/>
      <c r="P535" s="1081" t="s">
        <v>557</v>
      </c>
      <c r="Q535" s="1082"/>
      <c r="R535" s="1082"/>
      <c r="S535" s="1082"/>
      <c r="T535" s="1083"/>
      <c r="U535" s="1081" t="s">
        <v>558</v>
      </c>
      <c r="V535" s="1082"/>
      <c r="W535" s="1082"/>
      <c r="X535" s="1082"/>
      <c r="Y535" s="1083"/>
    </row>
    <row r="536" spans="1:25" ht="20.100000000000001" customHeight="1" x14ac:dyDescent="0.2">
      <c r="A536" s="1075" t="s">
        <v>559</v>
      </c>
      <c r="B536" s="1075"/>
      <c r="C536" s="1075"/>
      <c r="D536" s="1075"/>
      <c r="E536" s="1089"/>
      <c r="F536" s="1090" t="s">
        <v>560</v>
      </c>
      <c r="G536" s="1075"/>
      <c r="H536" s="1075"/>
      <c r="J536" s="225" t="s">
        <v>7</v>
      </c>
      <c r="K536" s="1090" t="s">
        <v>560</v>
      </c>
      <c r="L536" s="1075"/>
      <c r="M536" s="1075"/>
      <c r="O536" s="225" t="s">
        <v>7</v>
      </c>
      <c r="P536" s="1090" t="s">
        <v>560</v>
      </c>
      <c r="Q536" s="1075"/>
      <c r="R536" s="1075"/>
      <c r="T536" s="225" t="s">
        <v>7</v>
      </c>
      <c r="U536" s="1090" t="s">
        <v>560</v>
      </c>
      <c r="V536" s="1075"/>
      <c r="W536" s="1075"/>
      <c r="Y536" s="225" t="s">
        <v>7</v>
      </c>
    </row>
    <row r="537" spans="1:25" ht="24" customHeight="1" x14ac:dyDescent="0.2">
      <c r="A537" s="513" t="str">
        <f ca="1">A530</f>
        <v/>
      </c>
      <c r="B537" s="227"/>
      <c r="C537" s="514" t="str">
        <f ca="1">C530</f>
        <v/>
      </c>
      <c r="D537" s="227"/>
      <c r="E537" s="227"/>
      <c r="F537" s="228"/>
      <c r="G537" s="229"/>
      <c r="H537" s="229"/>
      <c r="I537" s="230" t="s">
        <v>561</v>
      </c>
      <c r="J537" s="231"/>
      <c r="K537" s="228"/>
      <c r="L537" s="229"/>
      <c r="M537" s="229"/>
      <c r="N537" s="230" t="s">
        <v>561</v>
      </c>
      <c r="O537" s="231"/>
      <c r="P537" s="228"/>
      <c r="Q537" s="229"/>
      <c r="R537" s="229"/>
      <c r="S537" s="230" t="s">
        <v>561</v>
      </c>
      <c r="T537" s="231"/>
      <c r="U537" s="228"/>
      <c r="V537" s="229"/>
      <c r="W537" s="229"/>
      <c r="X537" s="230" t="s">
        <v>561</v>
      </c>
      <c r="Y537" s="231"/>
    </row>
    <row r="538" spans="1:25" ht="24" customHeight="1" x14ac:dyDescent="0.2">
      <c r="A538" s="513" t="str">
        <f ca="1">A531</f>
        <v/>
      </c>
      <c r="B538" s="227"/>
      <c r="C538" s="514" t="str">
        <f ca="1">C531</f>
        <v/>
      </c>
      <c r="D538" s="227"/>
      <c r="E538" s="227"/>
      <c r="F538" s="228"/>
      <c r="G538" s="229"/>
      <c r="H538" s="229"/>
      <c r="I538" s="230" t="s">
        <v>561</v>
      </c>
      <c r="J538" s="231"/>
      <c r="K538" s="228"/>
      <c r="L538" s="229"/>
      <c r="M538" s="229"/>
      <c r="N538" s="230" t="s">
        <v>561</v>
      </c>
      <c r="O538" s="231"/>
      <c r="P538" s="228"/>
      <c r="Q538" s="229"/>
      <c r="R538" s="229"/>
      <c r="S538" s="230" t="s">
        <v>561</v>
      </c>
      <c r="T538" s="231"/>
      <c r="U538" s="228"/>
      <c r="V538" s="229"/>
      <c r="W538" s="229"/>
      <c r="X538" s="230" t="s">
        <v>561</v>
      </c>
      <c r="Y538" s="231"/>
    </row>
    <row r="539" spans="1:25" ht="24" customHeight="1" x14ac:dyDescent="0.2">
      <c r="A539" s="513" t="str">
        <f ca="1">A532</f>
        <v/>
      </c>
      <c r="B539" s="227"/>
      <c r="C539" s="514" t="str">
        <f ca="1">C532</f>
        <v/>
      </c>
      <c r="D539" s="227"/>
      <c r="E539" s="227"/>
      <c r="F539" s="228"/>
      <c r="G539" s="229"/>
      <c r="H539" s="229"/>
      <c r="I539" s="230" t="s">
        <v>561</v>
      </c>
      <c r="J539" s="231"/>
      <c r="K539" s="228"/>
      <c r="L539" s="229"/>
      <c r="M539" s="229"/>
      <c r="N539" s="230" t="s">
        <v>561</v>
      </c>
      <c r="O539" s="231"/>
      <c r="P539" s="228"/>
      <c r="Q539" s="229"/>
      <c r="R539" s="229"/>
      <c r="S539" s="230" t="s">
        <v>561</v>
      </c>
      <c r="T539" s="231"/>
      <c r="U539" s="228"/>
      <c r="V539" s="229"/>
      <c r="W539" s="229"/>
      <c r="X539" s="230" t="s">
        <v>561</v>
      </c>
      <c r="Y539" s="231"/>
    </row>
    <row r="540" spans="1:25" ht="24" customHeight="1" x14ac:dyDescent="0.2">
      <c r="A540" s="513" t="str">
        <f ca="1">A533</f>
        <v/>
      </c>
      <c r="B540" s="227"/>
      <c r="C540" s="514" t="str">
        <f ca="1">C533</f>
        <v/>
      </c>
      <c r="D540" s="227"/>
      <c r="E540" s="227"/>
      <c r="F540" s="228"/>
      <c r="G540" s="229"/>
      <c r="H540" s="229"/>
      <c r="I540" s="230" t="s">
        <v>561</v>
      </c>
      <c r="J540" s="232"/>
      <c r="K540" s="228"/>
      <c r="L540" s="229"/>
      <c r="M540" s="229"/>
      <c r="N540" s="230" t="s">
        <v>561</v>
      </c>
      <c r="O540" s="232"/>
      <c r="P540" s="228"/>
      <c r="Q540" s="229"/>
      <c r="R540" s="229"/>
      <c r="S540" s="230" t="s">
        <v>561</v>
      </c>
      <c r="T540" s="232"/>
      <c r="U540" s="228"/>
      <c r="V540" s="229"/>
      <c r="W540" s="229"/>
      <c r="X540" s="230" t="s">
        <v>561</v>
      </c>
      <c r="Y540" s="232"/>
    </row>
    <row r="541" spans="1:25" ht="24" customHeight="1" thickBot="1" x14ac:dyDescent="0.25">
      <c r="F541" s="1079" t="s">
        <v>562</v>
      </c>
      <c r="G541" s="1080"/>
      <c r="H541" s="1080"/>
      <c r="I541" s="230" t="s">
        <v>561</v>
      </c>
      <c r="J541" s="231"/>
      <c r="K541" s="1079" t="s">
        <v>563</v>
      </c>
      <c r="L541" s="1080"/>
      <c r="M541" s="1080"/>
      <c r="N541" s="230" t="s">
        <v>561</v>
      </c>
      <c r="O541" s="232"/>
      <c r="P541" s="1079" t="s">
        <v>564</v>
      </c>
      <c r="Q541" s="1080"/>
      <c r="R541" s="1080"/>
      <c r="S541" s="230" t="s">
        <v>561</v>
      </c>
      <c r="T541" s="232"/>
      <c r="U541" s="1079" t="s">
        <v>565</v>
      </c>
      <c r="V541" s="1080"/>
      <c r="W541" s="1080"/>
      <c r="X541" s="230" t="s">
        <v>561</v>
      </c>
      <c r="Y541" s="232"/>
    </row>
    <row r="542" spans="1:25" ht="24" customHeight="1" thickBot="1" x14ac:dyDescent="0.25">
      <c r="A542" s="508" t="s">
        <v>1013</v>
      </c>
      <c r="B542" s="508"/>
      <c r="D542" s="1094">
        <f ca="1">VLOOKUP(A526&amp;A527,PTS_SP,2,FALSE)</f>
        <v>0</v>
      </c>
      <c r="E542" s="1095"/>
      <c r="F542" s="745" t="s">
        <v>1014</v>
      </c>
      <c r="G542" s="670"/>
      <c r="H542" s="744"/>
      <c r="I542" s="1096"/>
      <c r="J542" s="1097"/>
      <c r="K542" s="1100" t="s">
        <v>1015</v>
      </c>
      <c r="L542" s="1101"/>
      <c r="M542" s="1102"/>
      <c r="N542" s="1096"/>
      <c r="O542" s="1097"/>
      <c r="P542" s="1100" t="s">
        <v>1016</v>
      </c>
      <c r="Q542" s="1101"/>
      <c r="R542" s="1102"/>
      <c r="S542" s="1096"/>
      <c r="T542" s="1097"/>
      <c r="U542" s="1100" t="s">
        <v>1017</v>
      </c>
      <c r="V542" s="1101"/>
      <c r="W542" s="1102"/>
      <c r="X542" s="1096"/>
      <c r="Y542" s="1097"/>
    </row>
    <row r="543" spans="1:25" ht="12.75" customHeight="1" x14ac:dyDescent="0.2">
      <c r="Y543" s="240" t="s">
        <v>570</v>
      </c>
    </row>
    <row r="544" spans="1:25" ht="15.75" customHeight="1" x14ac:dyDescent="0.2">
      <c r="B544" s="1091" t="s">
        <v>851</v>
      </c>
      <c r="C544" s="1091"/>
      <c r="D544" s="1091"/>
      <c r="E544" s="1091"/>
      <c r="F544" s="1091"/>
      <c r="G544" s="1091"/>
      <c r="H544" s="1091"/>
      <c r="I544" s="1091"/>
      <c r="J544" s="1091"/>
      <c r="K544" s="1091"/>
      <c r="L544" s="1091"/>
      <c r="O544" s="1091" t="s">
        <v>522</v>
      </c>
      <c r="P544" s="1091"/>
      <c r="Q544" s="1091"/>
      <c r="R544" s="1091"/>
      <c r="S544" s="1091"/>
      <c r="T544" s="1091"/>
      <c r="U544" s="1091"/>
      <c r="V544" s="1091"/>
      <c r="W544" s="1091"/>
      <c r="X544" s="1091"/>
      <c r="Y544" s="1091"/>
    </row>
    <row r="545" spans="1:25" ht="13.5" customHeight="1" x14ac:dyDescent="0.2">
      <c r="B545" s="1086" t="s">
        <v>1</v>
      </c>
      <c r="C545" s="1087"/>
      <c r="D545" s="1087"/>
      <c r="E545" s="1087"/>
      <c r="F545" s="1087"/>
      <c r="G545" s="1087"/>
      <c r="H545" s="1088"/>
      <c r="I545" s="1086" t="s">
        <v>520</v>
      </c>
      <c r="J545" s="1087"/>
      <c r="K545" s="1087"/>
      <c r="L545" s="1088"/>
      <c r="N545" s="241"/>
      <c r="O545" s="1086" t="s">
        <v>1</v>
      </c>
      <c r="P545" s="1087"/>
      <c r="Q545" s="1087"/>
      <c r="R545" s="1087"/>
      <c r="S545" s="1087"/>
      <c r="T545" s="1087"/>
      <c r="U545" s="1088"/>
      <c r="V545" s="1086" t="s">
        <v>520</v>
      </c>
      <c r="W545" s="1087"/>
      <c r="X545" s="1087"/>
      <c r="Y545" s="1088"/>
    </row>
    <row r="546" spans="1:25" ht="21.75" customHeight="1" x14ac:dyDescent="0.2">
      <c r="B546" s="242"/>
      <c r="C546" s="243"/>
      <c r="D546" s="243"/>
      <c r="E546" s="243"/>
      <c r="F546" s="243"/>
      <c r="G546" s="243"/>
      <c r="H546" s="243"/>
      <c r="I546" s="242"/>
      <c r="J546" s="243"/>
      <c r="K546" s="243"/>
      <c r="L546" s="244"/>
      <c r="N546" s="241"/>
      <c r="O546" s="242"/>
      <c r="P546" s="243"/>
      <c r="Q546" s="243"/>
      <c r="R546" s="243"/>
      <c r="S546" s="243"/>
      <c r="T546" s="243"/>
      <c r="U546" s="243"/>
      <c r="V546" s="242"/>
      <c r="W546" s="243"/>
      <c r="X546" s="243"/>
      <c r="Y546" s="244"/>
    </row>
    <row r="547" spans="1:25" ht="13.5" customHeight="1" x14ac:dyDescent="0.2"/>
    <row r="548" spans="1:25" ht="14.25" customHeight="1" thickBot="1" x14ac:dyDescent="0.25">
      <c r="A548" s="241"/>
      <c r="G548" s="305"/>
      <c r="H548" s="305"/>
      <c r="I548" s="1069" t="s">
        <v>0</v>
      </c>
      <c r="J548" s="1069"/>
      <c r="K548" s="1069"/>
      <c r="L548" s="1069"/>
      <c r="M548" s="1069"/>
      <c r="N548" s="1069"/>
      <c r="O548" s="1069"/>
      <c r="P548" s="1069" t="s">
        <v>374</v>
      </c>
      <c r="Q548" s="1069"/>
      <c r="R548" s="1069"/>
      <c r="S548" s="1069"/>
      <c r="T548" s="1069"/>
      <c r="U548" s="1069" t="s">
        <v>571</v>
      </c>
      <c r="V548" s="1069"/>
      <c r="W548" s="1069"/>
      <c r="X548" s="305"/>
      <c r="Y548" s="305"/>
    </row>
    <row r="549" spans="1:25" ht="20.25" customHeight="1" x14ac:dyDescent="0.2">
      <c r="A549" s="241"/>
      <c r="F549" s="1074" t="s">
        <v>584</v>
      </c>
      <c r="G549" s="1074"/>
      <c r="H549" s="1074"/>
      <c r="I549" s="316"/>
      <c r="J549" s="306"/>
      <c r="K549" s="306"/>
      <c r="L549" s="306"/>
      <c r="M549" s="306"/>
      <c r="N549" s="306"/>
      <c r="O549" s="306"/>
      <c r="P549" s="312"/>
      <c r="Q549" s="306"/>
      <c r="R549" s="307"/>
      <c r="S549" s="304"/>
      <c r="T549" s="313"/>
      <c r="U549" s="310"/>
      <c r="V549" s="1084" t="s">
        <v>495</v>
      </c>
      <c r="W549" s="308"/>
    </row>
    <row r="550" spans="1:25" ht="13.5" thickBot="1" x14ac:dyDescent="0.25">
      <c r="F550" s="1074"/>
      <c r="G550" s="1074"/>
      <c r="H550" s="1074"/>
      <c r="I550" s="303"/>
      <c r="J550" s="235"/>
      <c r="K550" s="235"/>
      <c r="L550" s="235"/>
      <c r="M550" s="235"/>
      <c r="N550" s="235"/>
      <c r="O550" s="235"/>
      <c r="P550" s="314"/>
      <c r="Q550" s="235"/>
      <c r="R550" s="234"/>
      <c r="S550" s="234"/>
      <c r="T550" s="315"/>
      <c r="U550" s="311"/>
      <c r="V550" s="1085"/>
      <c r="W550" s="309"/>
    </row>
    <row r="552" spans="1:25" ht="6.75" customHeight="1" x14ac:dyDescent="0.2"/>
    <row r="553" spans="1:25" s="218" customFormat="1" ht="23.25" customHeight="1" x14ac:dyDescent="0.2">
      <c r="A553" s="1072" t="s">
        <v>546</v>
      </c>
      <c r="B553" s="1073"/>
      <c r="C553" s="499" t="str">
        <f>C524</f>
        <v>D1</v>
      </c>
      <c r="D553" s="1098" t="s">
        <v>628</v>
      </c>
      <c r="E553" s="1072"/>
      <c r="F553" s="1072"/>
      <c r="G553" s="1103">
        <f ca="1">INDIRECT("AD"&amp;V553)</f>
        <v>0</v>
      </c>
      <c r="H553" s="1104"/>
      <c r="J553" s="218" t="str">
        <f>CATEG_IMPORTEE</f>
        <v>Collèges Mixtes Etablissement</v>
      </c>
      <c r="T553" s="500"/>
      <c r="U553" s="520">
        <f ca="1">INDIRECT("AE"&amp;V553)</f>
        <v>0</v>
      </c>
      <c r="V553" s="500">
        <f>Y553+2</f>
        <v>22</v>
      </c>
      <c r="W553" s="501">
        <f ca="1">INDIRECT("AF"&amp;V553)</f>
        <v>0</v>
      </c>
      <c r="X553" s="502" t="s">
        <v>849</v>
      </c>
      <c r="Y553" s="503">
        <f>Y524+1</f>
        <v>20</v>
      </c>
    </row>
    <row r="554" spans="1:25" ht="27" customHeight="1" thickBot="1" x14ac:dyDescent="0.25">
      <c r="A554" s="1093" t="s">
        <v>0</v>
      </c>
      <c r="B554" s="1093"/>
      <c r="C554" s="1093"/>
      <c r="D554" s="1093"/>
      <c r="E554" s="1093"/>
      <c r="F554" s="1093"/>
      <c r="G554" s="1093"/>
      <c r="H554" s="1093" t="s">
        <v>374</v>
      </c>
      <c r="I554" s="1093"/>
      <c r="J554" s="1093"/>
      <c r="K554" s="1093"/>
      <c r="L554" s="1093"/>
      <c r="O554" s="1069" t="s">
        <v>0</v>
      </c>
      <c r="P554" s="1069"/>
      <c r="Q554" s="1069"/>
      <c r="R554" s="1069"/>
      <c r="S554" s="1069"/>
      <c r="T554" s="1069"/>
      <c r="U554" s="1069"/>
      <c r="V554" s="1069" t="s">
        <v>374</v>
      </c>
      <c r="W554" s="1069"/>
      <c r="X554" s="1069"/>
      <c r="Y554" s="1069"/>
    </row>
    <row r="555" spans="1:25" ht="24" customHeight="1" thickBot="1" x14ac:dyDescent="0.25">
      <c r="A555" s="504" t="str">
        <f ca="1">IFERROR(VLOOKUP(U553,Num_AS,2,FALSE),"")</f>
        <v/>
      </c>
      <c r="B555" s="505"/>
      <c r="C555" s="505"/>
      <c r="D555" s="505"/>
      <c r="E555" s="505"/>
      <c r="F555" s="505"/>
      <c r="G555" s="506"/>
      <c r="H555" s="507" t="str">
        <f ca="1">IFERROR(VLOOKUP(U553,Num_AS,4,FALSE),"")</f>
        <v/>
      </c>
      <c r="I555" s="220"/>
      <c r="J555" s="220"/>
      <c r="K555" s="220"/>
      <c r="L555" s="738"/>
      <c r="M555" s="1070" t="s">
        <v>547</v>
      </c>
      <c r="N555" s="1071"/>
      <c r="O555" s="504" t="str">
        <f ca="1">IFERROR(VLOOKUP(W553,Num_AS,2,FALSE),"")</f>
        <v/>
      </c>
      <c r="P555" s="505"/>
      <c r="Q555" s="505"/>
      <c r="R555" s="505"/>
      <c r="S555" s="505"/>
      <c r="T555" s="505"/>
      <c r="U555" s="506"/>
      <c r="V555" s="507" t="str">
        <f ca="1">IFERROR(VLOOKUP(W553,Num_AS,4,FALSE),"")</f>
        <v/>
      </c>
      <c r="W555" s="220"/>
      <c r="X555" s="220"/>
      <c r="Y555" s="221"/>
    </row>
    <row r="556" spans="1:25" ht="15" customHeight="1" x14ac:dyDescent="0.2">
      <c r="A556" s="736" t="str">
        <f ca="1">IFERROR(VLOOKUP(U553,Num_AS,3,FALSE),"")</f>
        <v/>
      </c>
      <c r="B556" s="736"/>
      <c r="C556" s="736"/>
      <c r="D556" s="736"/>
      <c r="E556" s="736"/>
      <c r="F556" s="736"/>
      <c r="G556" s="736"/>
      <c r="H556" s="737"/>
    </row>
    <row r="557" spans="1:25" ht="20.100000000000001" customHeight="1" x14ac:dyDescent="0.2">
      <c r="A557" s="1074" t="s">
        <v>548</v>
      </c>
      <c r="B557" s="1074"/>
      <c r="C557" s="1074"/>
      <c r="D557" s="1074"/>
      <c r="E557" s="1074"/>
      <c r="Q557" s="217" t="str">
        <f>Q528</f>
        <v>Championnat de France de Tir à l'ARC</v>
      </c>
    </row>
    <row r="558" spans="1:25" ht="20.100000000000001" customHeight="1" x14ac:dyDescent="0.2">
      <c r="A558" s="1075" t="s">
        <v>549</v>
      </c>
      <c r="B558" s="1075"/>
      <c r="C558" s="1075"/>
      <c r="D558" s="1075"/>
      <c r="E558" s="1075"/>
      <c r="G558" s="1076" t="s">
        <v>480</v>
      </c>
      <c r="H558" s="1076"/>
      <c r="I558" s="1077" t="s">
        <v>550</v>
      </c>
      <c r="J558" s="1077"/>
      <c r="K558" s="1077"/>
      <c r="L558" s="252" t="s">
        <v>551</v>
      </c>
      <c r="M558" s="1078" t="s">
        <v>552</v>
      </c>
      <c r="N558" s="1078"/>
      <c r="O558" s="251"/>
      <c r="Q558" s="217" t="str">
        <f>Q529</f>
        <v>L’Isle sur la Sorgue du 27 au 31 mars 2023</v>
      </c>
    </row>
    <row r="559" spans="1:25" ht="24" customHeight="1" x14ac:dyDescent="0.2">
      <c r="A559" s="509" t="str">
        <f ca="1">IFERROR(VLOOKUP(U553,Num_AS,6,FALSE),"")</f>
        <v/>
      </c>
      <c r="B559" s="223"/>
      <c r="C559" s="510" t="str">
        <f ca="1">IFERROR(VLOOKUP(U553,Num_AS,7,FALSE),"")</f>
        <v/>
      </c>
      <c r="D559" s="223"/>
      <c r="E559" s="224"/>
      <c r="F559" s="219"/>
      <c r="G559" s="511" t="str">
        <f ca="1">IFERROR(VLOOKUP(U553,Num_AS,10,FALSE),"")</f>
        <v/>
      </c>
      <c r="H559" s="224"/>
      <c r="I559" s="222"/>
      <c r="J559" s="512" t="str">
        <f ca="1">IFERROR(VLOOKUP(U553,Num_AS,9,FALSE),"")</f>
        <v/>
      </c>
      <c r="K559" s="224"/>
      <c r="L559" s="222" t="str">
        <f ca="1">IFERROR(VLOOKUP(U553,Num_AS,11,FALSE),"")</f>
        <v/>
      </c>
      <c r="M559" s="287">
        <f ca="1">G553</f>
        <v>0</v>
      </c>
      <c r="N559" s="288"/>
      <c r="O559" s="249"/>
      <c r="R559" s="254"/>
      <c r="S559" s="254"/>
      <c r="T559" s="254"/>
      <c r="U559" s="254"/>
      <c r="V559" s="254"/>
      <c r="W559" s="254"/>
      <c r="X559" s="254"/>
      <c r="Y559" s="254"/>
    </row>
    <row r="560" spans="1:25" ht="24" customHeight="1" x14ac:dyDescent="0.2">
      <c r="A560" s="509" t="str">
        <f ca="1">IFERROR(VLOOKUP(U553,Num_AS,12,FALSE),"")</f>
        <v/>
      </c>
      <c r="B560" s="223"/>
      <c r="C560" s="510" t="str">
        <f ca="1">IFERROR(VLOOKUP(U553,Num_AS,13,FALSE),"")</f>
        <v/>
      </c>
      <c r="D560" s="223"/>
      <c r="E560" s="224"/>
      <c r="F560" s="219"/>
      <c r="G560" s="511" t="str">
        <f ca="1">IFERROR(VLOOKUP(U553,Num_AS,16,FALSE),"")</f>
        <v/>
      </c>
      <c r="H560" s="224"/>
      <c r="I560" s="222"/>
      <c r="J560" s="512" t="str">
        <f ca="1">IFERROR(VLOOKUP(U553,Num_AS,15,FALSE),"")</f>
        <v/>
      </c>
      <c r="K560" s="224"/>
      <c r="L560" s="222" t="str">
        <f ca="1">IFERROR(VLOOKUP(U553,Num_AS,17,FALSE),"")</f>
        <v/>
      </c>
      <c r="M560" s="287">
        <f ca="1">G553</f>
        <v>0</v>
      </c>
      <c r="N560" s="288"/>
      <c r="O560" s="249"/>
      <c r="Q560" s="254"/>
      <c r="R560" s="254"/>
      <c r="S560" s="254"/>
      <c r="T560" s="254"/>
      <c r="U560" s="254"/>
      <c r="V560" s="254"/>
      <c r="W560" s="254"/>
      <c r="X560" s="254"/>
      <c r="Y560" s="254"/>
    </row>
    <row r="561" spans="1:25" ht="24" customHeight="1" x14ac:dyDescent="0.2">
      <c r="A561" s="509" t="str">
        <f ca="1">IFERROR(VLOOKUP(U553,Num_AS,18,FALSE),"")</f>
        <v/>
      </c>
      <c r="B561" s="223"/>
      <c r="C561" s="510" t="str">
        <f ca="1">IFERROR(VLOOKUP(U553,Num_AS,19,FALSE),"")</f>
        <v/>
      </c>
      <c r="D561" s="223"/>
      <c r="E561" s="224"/>
      <c r="F561" s="219"/>
      <c r="G561" s="511" t="str">
        <f ca="1">IFERROR(VLOOKUP(U553,Num_AS,22,FALSE),"")</f>
        <v/>
      </c>
      <c r="H561" s="224"/>
      <c r="I561" s="222"/>
      <c r="J561" s="512" t="str">
        <f ca="1">IFERROR(VLOOKUP(U553,Num_AS,21,FALSE),"")</f>
        <v/>
      </c>
      <c r="K561" s="224"/>
      <c r="L561" s="222" t="str">
        <f ca="1">IFERROR(VLOOKUP(U553,Num_AS,23,FALSE),"")</f>
        <v/>
      </c>
      <c r="M561" s="287">
        <f ca="1">G553</f>
        <v>0</v>
      </c>
      <c r="N561" s="288"/>
      <c r="O561" s="249"/>
      <c r="Q561" s="254"/>
      <c r="R561" s="254"/>
      <c r="S561" s="254"/>
      <c r="T561" s="254"/>
      <c r="U561" s="254"/>
      <c r="V561" s="254"/>
      <c r="W561" s="254"/>
      <c r="X561" s="254"/>
      <c r="Y561" s="254"/>
    </row>
    <row r="562" spans="1:25" ht="24" customHeight="1" x14ac:dyDescent="0.2">
      <c r="A562" s="509" t="str">
        <f ca="1">IFERROR(VLOOKUP(U553,Num_AS,24,FALSE),"")</f>
        <v/>
      </c>
      <c r="B562" s="223"/>
      <c r="C562" s="510" t="str">
        <f ca="1">IFERROR(VLOOKUP(U553,Num_AS,25,FALSE),"")</f>
        <v/>
      </c>
      <c r="D562" s="223"/>
      <c r="E562" s="224"/>
      <c r="F562" s="219"/>
      <c r="G562" s="511" t="str">
        <f ca="1">IFERROR(VLOOKUP(U553,Num_AS,28,FALSE),"")</f>
        <v/>
      </c>
      <c r="H562" s="224"/>
      <c r="I562" s="222"/>
      <c r="J562" s="512" t="str">
        <f ca="1">IFERROR(VLOOKUP(U553,Num_AS,27,FALSE),"")</f>
        <v/>
      </c>
      <c r="K562" s="224"/>
      <c r="L562" s="222" t="str">
        <f ca="1">IFERROR(VLOOKUP(U553,Num_AS,29,FALSE),"")</f>
        <v/>
      </c>
      <c r="M562" s="289">
        <f ca="1">G553</f>
        <v>0</v>
      </c>
      <c r="N562" s="290"/>
      <c r="O562" s="249"/>
    </row>
    <row r="563" spans="1:25" ht="15" customHeight="1" thickBot="1" x14ac:dyDescent="0.25"/>
    <row r="564" spans="1:25" ht="20.100000000000001" customHeight="1" x14ac:dyDescent="0.2">
      <c r="F564" s="1081" t="s">
        <v>555</v>
      </c>
      <c r="G564" s="1082"/>
      <c r="H564" s="1082"/>
      <c r="I564" s="1082"/>
      <c r="J564" s="1083"/>
      <c r="K564" s="1081" t="s">
        <v>556</v>
      </c>
      <c r="L564" s="1082"/>
      <c r="M564" s="1082"/>
      <c r="N564" s="1082"/>
      <c r="O564" s="1083"/>
      <c r="P564" s="1081" t="s">
        <v>557</v>
      </c>
      <c r="Q564" s="1082"/>
      <c r="R564" s="1082"/>
      <c r="S564" s="1082"/>
      <c r="T564" s="1083"/>
      <c r="U564" s="1081" t="s">
        <v>558</v>
      </c>
      <c r="V564" s="1082"/>
      <c r="W564" s="1082"/>
      <c r="X564" s="1082"/>
      <c r="Y564" s="1083"/>
    </row>
    <row r="565" spans="1:25" ht="20.100000000000001" customHeight="1" x14ac:dyDescent="0.2">
      <c r="A565" s="1075" t="s">
        <v>559</v>
      </c>
      <c r="B565" s="1075"/>
      <c r="C565" s="1075"/>
      <c r="D565" s="1075"/>
      <c r="E565" s="1089"/>
      <c r="F565" s="1090" t="s">
        <v>560</v>
      </c>
      <c r="G565" s="1075"/>
      <c r="H565" s="1075"/>
      <c r="J565" s="225" t="s">
        <v>7</v>
      </c>
      <c r="K565" s="1090" t="s">
        <v>560</v>
      </c>
      <c r="L565" s="1075"/>
      <c r="M565" s="1075"/>
      <c r="O565" s="225" t="s">
        <v>7</v>
      </c>
      <c r="P565" s="1090" t="s">
        <v>560</v>
      </c>
      <c r="Q565" s="1075"/>
      <c r="R565" s="1075"/>
      <c r="T565" s="225" t="s">
        <v>7</v>
      </c>
      <c r="U565" s="1090" t="s">
        <v>560</v>
      </c>
      <c r="V565" s="1075"/>
      <c r="W565" s="1075"/>
      <c r="Y565" s="225" t="s">
        <v>7</v>
      </c>
    </row>
    <row r="566" spans="1:25" ht="24" customHeight="1" x14ac:dyDescent="0.2">
      <c r="A566" s="513" t="str">
        <f ca="1">A559</f>
        <v/>
      </c>
      <c r="B566" s="227"/>
      <c r="C566" s="514" t="str">
        <f ca="1">C559</f>
        <v/>
      </c>
      <c r="D566" s="227"/>
      <c r="E566" s="227"/>
      <c r="F566" s="228"/>
      <c r="G566" s="229"/>
      <c r="H566" s="229"/>
      <c r="I566" s="230" t="s">
        <v>561</v>
      </c>
      <c r="J566" s="231"/>
      <c r="K566" s="228"/>
      <c r="L566" s="229"/>
      <c r="M566" s="229"/>
      <c r="N566" s="230" t="s">
        <v>561</v>
      </c>
      <c r="O566" s="231"/>
      <c r="P566" s="228"/>
      <c r="Q566" s="229"/>
      <c r="R566" s="229"/>
      <c r="S566" s="230" t="s">
        <v>561</v>
      </c>
      <c r="T566" s="231"/>
      <c r="U566" s="228"/>
      <c r="V566" s="229"/>
      <c r="W566" s="229"/>
      <c r="X566" s="230" t="s">
        <v>561</v>
      </c>
      <c r="Y566" s="231"/>
    </row>
    <row r="567" spans="1:25" ht="24" customHeight="1" x14ac:dyDescent="0.2">
      <c r="A567" s="513" t="str">
        <f ca="1">A560</f>
        <v/>
      </c>
      <c r="B567" s="227"/>
      <c r="C567" s="514" t="str">
        <f ca="1">C560</f>
        <v/>
      </c>
      <c r="D567" s="227"/>
      <c r="E567" s="227"/>
      <c r="F567" s="228"/>
      <c r="G567" s="229"/>
      <c r="H567" s="229"/>
      <c r="I567" s="230" t="s">
        <v>561</v>
      </c>
      <c r="J567" s="231"/>
      <c r="K567" s="228"/>
      <c r="L567" s="229"/>
      <c r="M567" s="229"/>
      <c r="N567" s="230" t="s">
        <v>561</v>
      </c>
      <c r="O567" s="231"/>
      <c r="P567" s="228"/>
      <c r="Q567" s="229"/>
      <c r="R567" s="229"/>
      <c r="S567" s="230" t="s">
        <v>561</v>
      </c>
      <c r="T567" s="231"/>
      <c r="U567" s="228"/>
      <c r="V567" s="229"/>
      <c r="W567" s="229"/>
      <c r="X567" s="230" t="s">
        <v>561</v>
      </c>
      <c r="Y567" s="231"/>
    </row>
    <row r="568" spans="1:25" ht="24" customHeight="1" x14ac:dyDescent="0.2">
      <c r="A568" s="513" t="str">
        <f ca="1">A561</f>
        <v/>
      </c>
      <c r="B568" s="227"/>
      <c r="C568" s="514" t="str">
        <f ca="1">C561</f>
        <v/>
      </c>
      <c r="D568" s="227"/>
      <c r="E568" s="227"/>
      <c r="F568" s="228"/>
      <c r="G568" s="229"/>
      <c r="H568" s="229"/>
      <c r="I568" s="230" t="s">
        <v>561</v>
      </c>
      <c r="J568" s="231"/>
      <c r="K568" s="228"/>
      <c r="L568" s="229"/>
      <c r="M568" s="229"/>
      <c r="N568" s="230" t="s">
        <v>561</v>
      </c>
      <c r="O568" s="231"/>
      <c r="P568" s="228"/>
      <c r="Q568" s="229"/>
      <c r="R568" s="229"/>
      <c r="S568" s="230" t="s">
        <v>561</v>
      </c>
      <c r="T568" s="231"/>
      <c r="U568" s="228"/>
      <c r="V568" s="229"/>
      <c r="W568" s="229"/>
      <c r="X568" s="230" t="s">
        <v>561</v>
      </c>
      <c r="Y568" s="231"/>
    </row>
    <row r="569" spans="1:25" ht="24" customHeight="1" x14ac:dyDescent="0.2">
      <c r="A569" s="513" t="str">
        <f ca="1">A562</f>
        <v/>
      </c>
      <c r="B569" s="227"/>
      <c r="C569" s="514" t="str">
        <f ca="1">C562</f>
        <v/>
      </c>
      <c r="D569" s="227"/>
      <c r="E569" s="227"/>
      <c r="F569" s="228"/>
      <c r="G569" s="229"/>
      <c r="H569" s="229"/>
      <c r="I569" s="230" t="s">
        <v>561</v>
      </c>
      <c r="J569" s="232"/>
      <c r="K569" s="228"/>
      <c r="L569" s="229"/>
      <c r="M569" s="229"/>
      <c r="N569" s="230" t="s">
        <v>561</v>
      </c>
      <c r="O569" s="232"/>
      <c r="P569" s="228"/>
      <c r="Q569" s="229"/>
      <c r="R569" s="229"/>
      <c r="S569" s="230" t="s">
        <v>561</v>
      </c>
      <c r="T569" s="232"/>
      <c r="U569" s="228"/>
      <c r="V569" s="229"/>
      <c r="W569" s="229"/>
      <c r="X569" s="230" t="s">
        <v>561</v>
      </c>
      <c r="Y569" s="232"/>
    </row>
    <row r="570" spans="1:25" ht="24" customHeight="1" thickBot="1" x14ac:dyDescent="0.25">
      <c r="F570" s="1079" t="s">
        <v>562</v>
      </c>
      <c r="G570" s="1080"/>
      <c r="H570" s="1080"/>
      <c r="I570" s="230" t="s">
        <v>561</v>
      </c>
      <c r="J570" s="231"/>
      <c r="K570" s="1079" t="s">
        <v>563</v>
      </c>
      <c r="L570" s="1080"/>
      <c r="M570" s="1080"/>
      <c r="N570" s="230" t="s">
        <v>561</v>
      </c>
      <c r="O570" s="232"/>
      <c r="P570" s="1079" t="s">
        <v>564</v>
      </c>
      <c r="Q570" s="1080"/>
      <c r="R570" s="1080"/>
      <c r="S570" s="230" t="s">
        <v>561</v>
      </c>
      <c r="T570" s="232"/>
      <c r="U570" s="1079" t="s">
        <v>565</v>
      </c>
      <c r="V570" s="1080"/>
      <c r="W570" s="1080"/>
      <c r="X570" s="230" t="s">
        <v>561</v>
      </c>
      <c r="Y570" s="232"/>
    </row>
    <row r="571" spans="1:25" ht="24" customHeight="1" thickBot="1" x14ac:dyDescent="0.25">
      <c r="A571" s="508" t="s">
        <v>1013</v>
      </c>
      <c r="B571" s="508"/>
      <c r="D571" s="1094">
        <f ca="1">VLOOKUP(A555&amp;A556,PTS_SP,2,FALSE)</f>
        <v>0</v>
      </c>
      <c r="E571" s="1095"/>
      <c r="F571" s="745" t="s">
        <v>1014</v>
      </c>
      <c r="G571" s="670"/>
      <c r="H571" s="744"/>
      <c r="I571" s="1096"/>
      <c r="J571" s="1097"/>
      <c r="K571" s="1100" t="s">
        <v>1015</v>
      </c>
      <c r="L571" s="1101"/>
      <c r="M571" s="1102"/>
      <c r="N571" s="1096"/>
      <c r="O571" s="1097"/>
      <c r="P571" s="1100" t="s">
        <v>1016</v>
      </c>
      <c r="Q571" s="1101"/>
      <c r="R571" s="1102"/>
      <c r="S571" s="1096"/>
      <c r="T571" s="1097"/>
      <c r="U571" s="1100" t="s">
        <v>1017</v>
      </c>
      <c r="V571" s="1101"/>
      <c r="W571" s="1102"/>
      <c r="X571" s="1096"/>
      <c r="Y571" s="1097"/>
    </row>
    <row r="572" spans="1:25" ht="12.75" customHeight="1" x14ac:dyDescent="0.2">
      <c r="Y572" s="240" t="s">
        <v>570</v>
      </c>
    </row>
    <row r="573" spans="1:25" ht="15.75" customHeight="1" x14ac:dyDescent="0.2">
      <c r="B573" s="1091" t="s">
        <v>851</v>
      </c>
      <c r="C573" s="1091"/>
      <c r="D573" s="1091"/>
      <c r="E573" s="1091"/>
      <c r="F573" s="1091"/>
      <c r="G573" s="1091"/>
      <c r="H573" s="1091"/>
      <c r="I573" s="1091"/>
      <c r="J573" s="1091"/>
      <c r="K573" s="1091"/>
      <c r="L573" s="1091"/>
      <c r="O573" s="1091" t="s">
        <v>522</v>
      </c>
      <c r="P573" s="1091"/>
      <c r="Q573" s="1091"/>
      <c r="R573" s="1091"/>
      <c r="S573" s="1091"/>
      <c r="T573" s="1091"/>
      <c r="U573" s="1091"/>
      <c r="V573" s="1091"/>
      <c r="W573" s="1091"/>
      <c r="X573" s="1091"/>
      <c r="Y573" s="1091"/>
    </row>
    <row r="574" spans="1:25" ht="13.5" customHeight="1" x14ac:dyDescent="0.2">
      <c r="B574" s="1086" t="s">
        <v>1</v>
      </c>
      <c r="C574" s="1087"/>
      <c r="D574" s="1087"/>
      <c r="E574" s="1087"/>
      <c r="F574" s="1087"/>
      <c r="G574" s="1087"/>
      <c r="H574" s="1088"/>
      <c r="I574" s="1086" t="s">
        <v>520</v>
      </c>
      <c r="J574" s="1087"/>
      <c r="K574" s="1087"/>
      <c r="L574" s="1088"/>
      <c r="N574" s="241"/>
      <c r="O574" s="1086" t="s">
        <v>1</v>
      </c>
      <c r="P574" s="1087"/>
      <c r="Q574" s="1087"/>
      <c r="R574" s="1087"/>
      <c r="S574" s="1087"/>
      <c r="T574" s="1087"/>
      <c r="U574" s="1088"/>
      <c r="V574" s="1086" t="s">
        <v>520</v>
      </c>
      <c r="W574" s="1087"/>
      <c r="X574" s="1087"/>
      <c r="Y574" s="1088"/>
    </row>
    <row r="575" spans="1:25" ht="21.75" customHeight="1" x14ac:dyDescent="0.2">
      <c r="B575" s="242"/>
      <c r="C575" s="243"/>
      <c r="D575" s="243"/>
      <c r="E575" s="243"/>
      <c r="F575" s="243"/>
      <c r="G575" s="243"/>
      <c r="H575" s="243"/>
      <c r="I575" s="242"/>
      <c r="J575" s="243"/>
      <c r="K575" s="243"/>
      <c r="L575" s="244"/>
      <c r="N575" s="241"/>
      <c r="O575" s="242"/>
      <c r="P575" s="243"/>
      <c r="Q575" s="243"/>
      <c r="R575" s="243"/>
      <c r="S575" s="243"/>
      <c r="T575" s="243"/>
      <c r="U575" s="243"/>
      <c r="V575" s="242"/>
      <c r="W575" s="243"/>
      <c r="X575" s="243"/>
      <c r="Y575" s="244"/>
    </row>
    <row r="576" spans="1:25" ht="13.5" customHeight="1" x14ac:dyDescent="0.2"/>
    <row r="577" spans="1:25" ht="14.25" customHeight="1" thickBot="1" x14ac:dyDescent="0.25">
      <c r="A577" s="241"/>
      <c r="G577" s="305"/>
      <c r="H577" s="305"/>
      <c r="I577" s="1069" t="s">
        <v>0</v>
      </c>
      <c r="J577" s="1069"/>
      <c r="K577" s="1069"/>
      <c r="L577" s="1069"/>
      <c r="M577" s="1069"/>
      <c r="N577" s="1069"/>
      <c r="O577" s="1069"/>
      <c r="P577" s="1069" t="s">
        <v>374</v>
      </c>
      <c r="Q577" s="1069"/>
      <c r="R577" s="1069"/>
      <c r="S577" s="1069"/>
      <c r="T577" s="1069"/>
      <c r="U577" s="1069" t="s">
        <v>571</v>
      </c>
      <c r="V577" s="1069"/>
      <c r="W577" s="1069"/>
      <c r="X577" s="305"/>
      <c r="Y577" s="305"/>
    </row>
    <row r="578" spans="1:25" ht="20.25" customHeight="1" x14ac:dyDescent="0.2">
      <c r="A578" s="241"/>
      <c r="F578" s="1074" t="s">
        <v>584</v>
      </c>
      <c r="G578" s="1074"/>
      <c r="H578" s="1074"/>
      <c r="I578" s="316"/>
      <c r="J578" s="306"/>
      <c r="K578" s="306"/>
      <c r="L578" s="306"/>
      <c r="M578" s="306"/>
      <c r="N578" s="306"/>
      <c r="O578" s="306"/>
      <c r="P578" s="312"/>
      <c r="Q578" s="306"/>
      <c r="R578" s="307"/>
      <c r="S578" s="304"/>
      <c r="T578" s="313"/>
      <c r="U578" s="310"/>
      <c r="V578" s="1084" t="s">
        <v>495</v>
      </c>
      <c r="W578" s="308"/>
    </row>
    <row r="579" spans="1:25" ht="13.5" thickBot="1" x14ac:dyDescent="0.25">
      <c r="F579" s="1074"/>
      <c r="G579" s="1074"/>
      <c r="H579" s="1074"/>
      <c r="I579" s="303"/>
      <c r="J579" s="235"/>
      <c r="K579" s="235"/>
      <c r="L579" s="235"/>
      <c r="M579" s="235"/>
      <c r="N579" s="235"/>
      <c r="O579" s="235"/>
      <c r="P579" s="314"/>
      <c r="Q579" s="235"/>
      <c r="R579" s="234"/>
      <c r="S579" s="234"/>
      <c r="T579" s="315"/>
      <c r="U579" s="311"/>
      <c r="V579" s="1085"/>
      <c r="W579" s="309"/>
    </row>
    <row r="581" spans="1:25" ht="6.75" customHeight="1" x14ac:dyDescent="0.2"/>
    <row r="582" spans="1:25" s="218" customFormat="1" ht="23.25" customHeight="1" x14ac:dyDescent="0.2">
      <c r="A582" s="1072" t="s">
        <v>546</v>
      </c>
      <c r="B582" s="1073"/>
      <c r="C582" s="499" t="str">
        <f>C553</f>
        <v>D1</v>
      </c>
      <c r="D582" s="1098" t="s">
        <v>628</v>
      </c>
      <c r="E582" s="1072"/>
      <c r="F582" s="1072"/>
      <c r="G582" s="1103">
        <f ca="1">INDIRECT("AD"&amp;V582)</f>
        <v>0</v>
      </c>
      <c r="H582" s="1104"/>
      <c r="J582" s="218" t="str">
        <f>CATEG_IMPORTEE</f>
        <v>Collèges Mixtes Etablissement</v>
      </c>
      <c r="T582" s="500"/>
      <c r="U582" s="520">
        <f ca="1">INDIRECT("AE"&amp;V582)</f>
        <v>0</v>
      </c>
      <c r="V582" s="500">
        <f>Y582+2</f>
        <v>23</v>
      </c>
      <c r="W582" s="501">
        <f ca="1">INDIRECT("AF"&amp;V582)</f>
        <v>0</v>
      </c>
      <c r="X582" s="502" t="s">
        <v>849</v>
      </c>
      <c r="Y582" s="503">
        <f>Y553+1</f>
        <v>21</v>
      </c>
    </row>
    <row r="583" spans="1:25" ht="27" customHeight="1" thickBot="1" x14ac:dyDescent="0.25">
      <c r="A583" s="1093" t="s">
        <v>0</v>
      </c>
      <c r="B583" s="1093"/>
      <c r="C583" s="1093"/>
      <c r="D583" s="1093"/>
      <c r="E583" s="1093"/>
      <c r="F583" s="1093"/>
      <c r="G583" s="1093"/>
      <c r="H583" s="1093" t="s">
        <v>374</v>
      </c>
      <c r="I583" s="1093"/>
      <c r="J583" s="1093"/>
      <c r="K583" s="1093"/>
      <c r="L583" s="1093"/>
      <c r="O583" s="1069" t="s">
        <v>0</v>
      </c>
      <c r="P583" s="1069"/>
      <c r="Q583" s="1069"/>
      <c r="R583" s="1069"/>
      <c r="S583" s="1069"/>
      <c r="T583" s="1069"/>
      <c r="U583" s="1069"/>
      <c r="V583" s="1069" t="s">
        <v>374</v>
      </c>
      <c r="W583" s="1069"/>
      <c r="X583" s="1069"/>
      <c r="Y583" s="1069"/>
    </row>
    <row r="584" spans="1:25" ht="24" customHeight="1" thickBot="1" x14ac:dyDescent="0.25">
      <c r="A584" s="504" t="str">
        <f ca="1">IFERROR(VLOOKUP(U582,Num_AS,2,FALSE),"")</f>
        <v/>
      </c>
      <c r="B584" s="505"/>
      <c r="C584" s="505"/>
      <c r="D584" s="505"/>
      <c r="E584" s="505"/>
      <c r="F584" s="505"/>
      <c r="G584" s="506"/>
      <c r="H584" s="507" t="str">
        <f ca="1">IFERROR(VLOOKUP(U582,Num_AS,4,FALSE),"")</f>
        <v/>
      </c>
      <c r="I584" s="220"/>
      <c r="J584" s="220"/>
      <c r="K584" s="220"/>
      <c r="L584" s="738"/>
      <c r="M584" s="1070" t="s">
        <v>547</v>
      </c>
      <c r="N584" s="1071"/>
      <c r="O584" s="504" t="str">
        <f ca="1">IFERROR(VLOOKUP(W582,Num_AS,2,FALSE),"")</f>
        <v/>
      </c>
      <c r="P584" s="505"/>
      <c r="Q584" s="505"/>
      <c r="R584" s="505"/>
      <c r="S584" s="505"/>
      <c r="T584" s="505"/>
      <c r="U584" s="506"/>
      <c r="V584" s="507" t="str">
        <f ca="1">IFERROR(VLOOKUP(W582,Num_AS,4,FALSE),"")</f>
        <v/>
      </c>
      <c r="W584" s="220"/>
      <c r="X584" s="220"/>
      <c r="Y584" s="221"/>
    </row>
    <row r="585" spans="1:25" ht="15" customHeight="1" x14ac:dyDescent="0.2">
      <c r="A585" s="736" t="str">
        <f ca="1">IFERROR(VLOOKUP(U582,Num_AS,3,FALSE),"")</f>
        <v/>
      </c>
      <c r="B585" s="736"/>
      <c r="C585" s="736"/>
      <c r="D585" s="736"/>
      <c r="E585" s="736"/>
      <c r="F585" s="736"/>
      <c r="G585" s="736"/>
      <c r="H585" s="737"/>
    </row>
    <row r="586" spans="1:25" ht="20.100000000000001" customHeight="1" x14ac:dyDescent="0.2">
      <c r="A586" s="1074" t="s">
        <v>548</v>
      </c>
      <c r="B586" s="1074"/>
      <c r="C586" s="1074"/>
      <c r="D586" s="1074"/>
      <c r="E586" s="1074"/>
      <c r="Q586" s="217" t="str">
        <f>Q557</f>
        <v>Championnat de France de Tir à l'ARC</v>
      </c>
    </row>
    <row r="587" spans="1:25" ht="20.100000000000001" customHeight="1" x14ac:dyDescent="0.2">
      <c r="A587" s="1075" t="s">
        <v>549</v>
      </c>
      <c r="B587" s="1075"/>
      <c r="C587" s="1075"/>
      <c r="D587" s="1075"/>
      <c r="E587" s="1075"/>
      <c r="G587" s="1076" t="s">
        <v>480</v>
      </c>
      <c r="H587" s="1076"/>
      <c r="I587" s="1077" t="s">
        <v>550</v>
      </c>
      <c r="J587" s="1077"/>
      <c r="K587" s="1077"/>
      <c r="L587" s="252" t="s">
        <v>551</v>
      </c>
      <c r="M587" s="1078" t="s">
        <v>552</v>
      </c>
      <c r="N587" s="1078"/>
      <c r="O587" s="251"/>
      <c r="Q587" s="217" t="str">
        <f>Q558</f>
        <v>L’Isle sur la Sorgue du 27 au 31 mars 2023</v>
      </c>
    </row>
    <row r="588" spans="1:25" ht="24" customHeight="1" x14ac:dyDescent="0.2">
      <c r="A588" s="509" t="str">
        <f ca="1">IFERROR(VLOOKUP(U582,Num_AS,6,FALSE),"")</f>
        <v/>
      </c>
      <c r="B588" s="223"/>
      <c r="C588" s="510" t="str">
        <f ca="1">IFERROR(VLOOKUP(U582,Num_AS,7,FALSE),"")</f>
        <v/>
      </c>
      <c r="D588" s="223"/>
      <c r="E588" s="224"/>
      <c r="F588" s="219"/>
      <c r="G588" s="511" t="str">
        <f ca="1">IFERROR(VLOOKUP(U582,Num_AS,10,FALSE),"")</f>
        <v/>
      </c>
      <c r="H588" s="224"/>
      <c r="I588" s="222"/>
      <c r="J588" s="512" t="str">
        <f ca="1">IFERROR(VLOOKUP(U582,Num_AS,9,FALSE),"")</f>
        <v/>
      </c>
      <c r="K588" s="224"/>
      <c r="L588" s="222" t="str">
        <f ca="1">IFERROR(VLOOKUP(U582,Num_AS,11,FALSE),"")</f>
        <v/>
      </c>
      <c r="M588" s="287">
        <f ca="1">G582</f>
        <v>0</v>
      </c>
      <c r="N588" s="288"/>
      <c r="O588" s="249"/>
      <c r="R588" s="254"/>
      <c r="S588" s="254"/>
      <c r="T588" s="254"/>
      <c r="U588" s="254"/>
      <c r="V588" s="254"/>
      <c r="W588" s="254"/>
      <c r="X588" s="254"/>
      <c r="Y588" s="254"/>
    </row>
    <row r="589" spans="1:25" ht="24" customHeight="1" x14ac:dyDescent="0.2">
      <c r="A589" s="509" t="str">
        <f ca="1">IFERROR(VLOOKUP(U582,Num_AS,12,FALSE),"")</f>
        <v/>
      </c>
      <c r="B589" s="223"/>
      <c r="C589" s="510" t="str">
        <f ca="1">IFERROR(VLOOKUP(U582,Num_AS,13,FALSE),"")</f>
        <v/>
      </c>
      <c r="D589" s="223"/>
      <c r="E589" s="224"/>
      <c r="F589" s="219"/>
      <c r="G589" s="511" t="str">
        <f ca="1">IFERROR(VLOOKUP(U582,Num_AS,16,FALSE),"")</f>
        <v/>
      </c>
      <c r="H589" s="224"/>
      <c r="I589" s="222"/>
      <c r="J589" s="512" t="str">
        <f ca="1">IFERROR(VLOOKUP(U582,Num_AS,15,FALSE),"")</f>
        <v/>
      </c>
      <c r="K589" s="224"/>
      <c r="L589" s="222" t="str">
        <f ca="1">IFERROR(VLOOKUP(U582,Num_AS,17,FALSE),"")</f>
        <v/>
      </c>
      <c r="M589" s="287">
        <f ca="1">G582</f>
        <v>0</v>
      </c>
      <c r="N589" s="288"/>
      <c r="O589" s="249"/>
      <c r="Q589" s="254"/>
      <c r="R589" s="254"/>
      <c r="S589" s="254"/>
      <c r="T589" s="254"/>
      <c r="U589" s="254"/>
      <c r="V589" s="254"/>
      <c r="W589" s="254"/>
      <c r="X589" s="254"/>
      <c r="Y589" s="254"/>
    </row>
    <row r="590" spans="1:25" ht="24" customHeight="1" x14ac:dyDescent="0.2">
      <c r="A590" s="509" t="str">
        <f ca="1">IFERROR(VLOOKUP(U582,Num_AS,18,FALSE),"")</f>
        <v/>
      </c>
      <c r="B590" s="223"/>
      <c r="C590" s="510" t="str">
        <f ca="1">IFERROR(VLOOKUP(U582,Num_AS,19,FALSE),"")</f>
        <v/>
      </c>
      <c r="D590" s="223"/>
      <c r="E590" s="224"/>
      <c r="F590" s="219"/>
      <c r="G590" s="511" t="str">
        <f ca="1">IFERROR(VLOOKUP(U582,Num_AS,22,FALSE),"")</f>
        <v/>
      </c>
      <c r="H590" s="224"/>
      <c r="I590" s="222"/>
      <c r="J590" s="512" t="str">
        <f ca="1">IFERROR(VLOOKUP(U582,Num_AS,21,FALSE),"")</f>
        <v/>
      </c>
      <c r="K590" s="224"/>
      <c r="L590" s="222" t="str">
        <f ca="1">IFERROR(VLOOKUP(U582,Num_AS,23,FALSE),"")</f>
        <v/>
      </c>
      <c r="M590" s="287">
        <f ca="1">G582</f>
        <v>0</v>
      </c>
      <c r="N590" s="288"/>
      <c r="O590" s="249"/>
      <c r="Q590" s="254"/>
      <c r="R590" s="254"/>
      <c r="S590" s="254"/>
      <c r="T590" s="254"/>
      <c r="U590" s="254"/>
      <c r="V590" s="254"/>
      <c r="W590" s="254"/>
      <c r="X590" s="254"/>
      <c r="Y590" s="254"/>
    </row>
    <row r="591" spans="1:25" ht="24" customHeight="1" x14ac:dyDescent="0.2">
      <c r="A591" s="509" t="str">
        <f ca="1">IFERROR(VLOOKUP(U582,Num_AS,24,FALSE),"")</f>
        <v/>
      </c>
      <c r="B591" s="223"/>
      <c r="C591" s="510" t="str">
        <f ca="1">IFERROR(VLOOKUP(U582,Num_AS,25,FALSE),"")</f>
        <v/>
      </c>
      <c r="D591" s="223"/>
      <c r="E591" s="224"/>
      <c r="F591" s="219"/>
      <c r="G591" s="511" t="str">
        <f ca="1">IFERROR(VLOOKUP(U582,Num_AS,28,FALSE),"")</f>
        <v/>
      </c>
      <c r="H591" s="224"/>
      <c r="I591" s="222"/>
      <c r="J591" s="512" t="str">
        <f ca="1">IFERROR(VLOOKUP(U582,Num_AS,27,FALSE),"")</f>
        <v/>
      </c>
      <c r="K591" s="224"/>
      <c r="L591" s="222" t="str">
        <f ca="1">IFERROR(VLOOKUP(U582,Num_AS,29,FALSE),"")</f>
        <v/>
      </c>
      <c r="M591" s="289">
        <f ca="1">G582</f>
        <v>0</v>
      </c>
      <c r="N591" s="290"/>
      <c r="O591" s="249"/>
    </row>
    <row r="592" spans="1:25" ht="15" customHeight="1" thickBot="1" x14ac:dyDescent="0.25"/>
    <row r="593" spans="1:25" ht="20.100000000000001" customHeight="1" x14ac:dyDescent="0.2">
      <c r="F593" s="1081" t="s">
        <v>555</v>
      </c>
      <c r="G593" s="1082"/>
      <c r="H593" s="1082"/>
      <c r="I593" s="1082"/>
      <c r="J593" s="1083"/>
      <c r="K593" s="1081" t="s">
        <v>556</v>
      </c>
      <c r="L593" s="1082"/>
      <c r="M593" s="1082"/>
      <c r="N593" s="1082"/>
      <c r="O593" s="1083"/>
      <c r="P593" s="1081" t="s">
        <v>557</v>
      </c>
      <c r="Q593" s="1082"/>
      <c r="R593" s="1082"/>
      <c r="S593" s="1082"/>
      <c r="T593" s="1083"/>
      <c r="U593" s="1081" t="s">
        <v>558</v>
      </c>
      <c r="V593" s="1082"/>
      <c r="W593" s="1082"/>
      <c r="X593" s="1082"/>
      <c r="Y593" s="1083"/>
    </row>
    <row r="594" spans="1:25" ht="20.100000000000001" customHeight="1" x14ac:dyDescent="0.2">
      <c r="A594" s="1075" t="s">
        <v>559</v>
      </c>
      <c r="B594" s="1075"/>
      <c r="C594" s="1075"/>
      <c r="D594" s="1075"/>
      <c r="E594" s="1089"/>
      <c r="F594" s="1090" t="s">
        <v>560</v>
      </c>
      <c r="G594" s="1075"/>
      <c r="H594" s="1075"/>
      <c r="J594" s="225" t="s">
        <v>7</v>
      </c>
      <c r="K594" s="1090" t="s">
        <v>560</v>
      </c>
      <c r="L594" s="1075"/>
      <c r="M594" s="1075"/>
      <c r="O594" s="225" t="s">
        <v>7</v>
      </c>
      <c r="P594" s="1090" t="s">
        <v>560</v>
      </c>
      <c r="Q594" s="1075"/>
      <c r="R594" s="1075"/>
      <c r="T594" s="225" t="s">
        <v>7</v>
      </c>
      <c r="U594" s="1090" t="s">
        <v>560</v>
      </c>
      <c r="V594" s="1075"/>
      <c r="W594" s="1075"/>
      <c r="Y594" s="225" t="s">
        <v>7</v>
      </c>
    </row>
    <row r="595" spans="1:25" ht="24" customHeight="1" x14ac:dyDescent="0.2">
      <c r="A595" s="513" t="str">
        <f ca="1">A588</f>
        <v/>
      </c>
      <c r="B595" s="227"/>
      <c r="C595" s="514" t="str">
        <f ca="1">C588</f>
        <v/>
      </c>
      <c r="D595" s="227"/>
      <c r="E595" s="227"/>
      <c r="F595" s="228"/>
      <c r="G595" s="229"/>
      <c r="H595" s="229"/>
      <c r="I595" s="230" t="s">
        <v>561</v>
      </c>
      <c r="J595" s="231"/>
      <c r="K595" s="228"/>
      <c r="L595" s="229"/>
      <c r="M595" s="229"/>
      <c r="N595" s="230" t="s">
        <v>561</v>
      </c>
      <c r="O595" s="231"/>
      <c r="P595" s="228"/>
      <c r="Q595" s="229"/>
      <c r="R595" s="229"/>
      <c r="S595" s="230" t="s">
        <v>561</v>
      </c>
      <c r="T595" s="231"/>
      <c r="U595" s="228"/>
      <c r="V595" s="229"/>
      <c r="W595" s="229"/>
      <c r="X595" s="230" t="s">
        <v>561</v>
      </c>
      <c r="Y595" s="231"/>
    </row>
    <row r="596" spans="1:25" ht="24" customHeight="1" x14ac:dyDescent="0.2">
      <c r="A596" s="513" t="str">
        <f ca="1">A589</f>
        <v/>
      </c>
      <c r="B596" s="227"/>
      <c r="C596" s="514" t="str">
        <f ca="1">C589</f>
        <v/>
      </c>
      <c r="D596" s="227"/>
      <c r="E596" s="227"/>
      <c r="F596" s="228"/>
      <c r="G596" s="229"/>
      <c r="H596" s="229"/>
      <c r="I596" s="230" t="s">
        <v>561</v>
      </c>
      <c r="J596" s="231"/>
      <c r="K596" s="228"/>
      <c r="L596" s="229"/>
      <c r="M596" s="229"/>
      <c r="N596" s="230" t="s">
        <v>561</v>
      </c>
      <c r="O596" s="231"/>
      <c r="P596" s="228"/>
      <c r="Q596" s="229"/>
      <c r="R596" s="229"/>
      <c r="S596" s="230" t="s">
        <v>561</v>
      </c>
      <c r="T596" s="231"/>
      <c r="U596" s="228"/>
      <c r="V596" s="229"/>
      <c r="W596" s="229"/>
      <c r="X596" s="230" t="s">
        <v>561</v>
      </c>
      <c r="Y596" s="231"/>
    </row>
    <row r="597" spans="1:25" ht="24" customHeight="1" x14ac:dyDescent="0.2">
      <c r="A597" s="513" t="str">
        <f ca="1">A590</f>
        <v/>
      </c>
      <c r="B597" s="227"/>
      <c r="C597" s="514" t="str">
        <f ca="1">C590</f>
        <v/>
      </c>
      <c r="D597" s="227"/>
      <c r="E597" s="227"/>
      <c r="F597" s="228"/>
      <c r="G597" s="229"/>
      <c r="H597" s="229"/>
      <c r="I597" s="230" t="s">
        <v>561</v>
      </c>
      <c r="J597" s="231"/>
      <c r="K597" s="228"/>
      <c r="L597" s="229"/>
      <c r="M597" s="229"/>
      <c r="N597" s="230" t="s">
        <v>561</v>
      </c>
      <c r="O597" s="231"/>
      <c r="P597" s="228"/>
      <c r="Q597" s="229"/>
      <c r="R597" s="229"/>
      <c r="S597" s="230" t="s">
        <v>561</v>
      </c>
      <c r="T597" s="231"/>
      <c r="U597" s="228"/>
      <c r="V597" s="229"/>
      <c r="W597" s="229"/>
      <c r="X597" s="230" t="s">
        <v>561</v>
      </c>
      <c r="Y597" s="231"/>
    </row>
    <row r="598" spans="1:25" ht="24" customHeight="1" x14ac:dyDescent="0.2">
      <c r="A598" s="513" t="str">
        <f ca="1">A591</f>
        <v/>
      </c>
      <c r="B598" s="227"/>
      <c r="C598" s="514" t="str">
        <f ca="1">C591</f>
        <v/>
      </c>
      <c r="D598" s="227"/>
      <c r="E598" s="227"/>
      <c r="F598" s="228"/>
      <c r="G598" s="229"/>
      <c r="H598" s="229"/>
      <c r="I598" s="230" t="s">
        <v>561</v>
      </c>
      <c r="J598" s="232"/>
      <c r="K598" s="228"/>
      <c r="L598" s="229"/>
      <c r="M598" s="229"/>
      <c r="N598" s="230" t="s">
        <v>561</v>
      </c>
      <c r="O598" s="232"/>
      <c r="P598" s="228"/>
      <c r="Q598" s="229"/>
      <c r="R598" s="229"/>
      <c r="S598" s="230" t="s">
        <v>561</v>
      </c>
      <c r="T598" s="232"/>
      <c r="U598" s="228"/>
      <c r="V598" s="229"/>
      <c r="W598" s="229"/>
      <c r="X598" s="230" t="s">
        <v>561</v>
      </c>
      <c r="Y598" s="232"/>
    </row>
    <row r="599" spans="1:25" ht="24" customHeight="1" thickBot="1" x14ac:dyDescent="0.25">
      <c r="F599" s="1079" t="s">
        <v>562</v>
      </c>
      <c r="G599" s="1080"/>
      <c r="H599" s="1080"/>
      <c r="I599" s="230" t="s">
        <v>561</v>
      </c>
      <c r="J599" s="231"/>
      <c r="K599" s="1079" t="s">
        <v>563</v>
      </c>
      <c r="L599" s="1080"/>
      <c r="M599" s="1080"/>
      <c r="N599" s="230" t="s">
        <v>561</v>
      </c>
      <c r="O599" s="232"/>
      <c r="P599" s="1079" t="s">
        <v>564</v>
      </c>
      <c r="Q599" s="1080"/>
      <c r="R599" s="1080"/>
      <c r="S599" s="230" t="s">
        <v>561</v>
      </c>
      <c r="T599" s="232"/>
      <c r="U599" s="1079" t="s">
        <v>565</v>
      </c>
      <c r="V599" s="1080"/>
      <c r="W599" s="1080"/>
      <c r="X599" s="230" t="s">
        <v>561</v>
      </c>
      <c r="Y599" s="232"/>
    </row>
    <row r="600" spans="1:25" ht="24" customHeight="1" thickBot="1" x14ac:dyDescent="0.25">
      <c r="A600" s="508" t="s">
        <v>1013</v>
      </c>
      <c r="B600" s="508"/>
      <c r="D600" s="1094">
        <f ca="1">VLOOKUP(A584&amp;A585,PTS_SP,2,FALSE)</f>
        <v>0</v>
      </c>
      <c r="E600" s="1095"/>
      <c r="F600" s="745" t="s">
        <v>1014</v>
      </c>
      <c r="G600" s="670"/>
      <c r="H600" s="744"/>
      <c r="I600" s="1096"/>
      <c r="J600" s="1097"/>
      <c r="K600" s="1100" t="s">
        <v>1015</v>
      </c>
      <c r="L600" s="1101"/>
      <c r="M600" s="1102"/>
      <c r="N600" s="1096"/>
      <c r="O600" s="1097"/>
      <c r="P600" s="1100" t="s">
        <v>1016</v>
      </c>
      <c r="Q600" s="1101"/>
      <c r="R600" s="1102"/>
      <c r="S600" s="1096"/>
      <c r="T600" s="1097"/>
      <c r="U600" s="1100" t="s">
        <v>1017</v>
      </c>
      <c r="V600" s="1101"/>
      <c r="W600" s="1102"/>
      <c r="X600" s="1096"/>
      <c r="Y600" s="1097"/>
    </row>
    <row r="601" spans="1:25" ht="12.75" customHeight="1" x14ac:dyDescent="0.2">
      <c r="Y601" s="240" t="s">
        <v>570</v>
      </c>
    </row>
    <row r="602" spans="1:25" ht="15.75" customHeight="1" x14ac:dyDescent="0.2">
      <c r="B602" s="1091" t="s">
        <v>851</v>
      </c>
      <c r="C602" s="1091"/>
      <c r="D602" s="1091"/>
      <c r="E602" s="1091"/>
      <c r="F602" s="1091"/>
      <c r="G602" s="1091"/>
      <c r="H602" s="1091"/>
      <c r="I602" s="1091"/>
      <c r="J602" s="1091"/>
      <c r="K602" s="1091"/>
      <c r="L602" s="1091"/>
      <c r="O602" s="1091" t="s">
        <v>522</v>
      </c>
      <c r="P602" s="1091"/>
      <c r="Q602" s="1091"/>
      <c r="R602" s="1091"/>
      <c r="S602" s="1091"/>
      <c r="T602" s="1091"/>
      <c r="U602" s="1091"/>
      <c r="V602" s="1091"/>
      <c r="W602" s="1091"/>
      <c r="X602" s="1091"/>
      <c r="Y602" s="1091"/>
    </row>
    <row r="603" spans="1:25" ht="13.5" customHeight="1" x14ac:dyDescent="0.2">
      <c r="B603" s="1086" t="s">
        <v>1</v>
      </c>
      <c r="C603" s="1087"/>
      <c r="D603" s="1087"/>
      <c r="E603" s="1087"/>
      <c r="F603" s="1087"/>
      <c r="G603" s="1087"/>
      <c r="H603" s="1088"/>
      <c r="I603" s="1086" t="s">
        <v>520</v>
      </c>
      <c r="J603" s="1087"/>
      <c r="K603" s="1087"/>
      <c r="L603" s="1088"/>
      <c r="N603" s="241"/>
      <c r="O603" s="1086" t="s">
        <v>1</v>
      </c>
      <c r="P603" s="1087"/>
      <c r="Q603" s="1087"/>
      <c r="R603" s="1087"/>
      <c r="S603" s="1087"/>
      <c r="T603" s="1087"/>
      <c r="U603" s="1088"/>
      <c r="V603" s="1086" t="s">
        <v>520</v>
      </c>
      <c r="W603" s="1087"/>
      <c r="X603" s="1087"/>
      <c r="Y603" s="1088"/>
    </row>
    <row r="604" spans="1:25" ht="21.75" customHeight="1" x14ac:dyDescent="0.2">
      <c r="B604" s="242"/>
      <c r="C604" s="243"/>
      <c r="D604" s="243"/>
      <c r="E604" s="243"/>
      <c r="F604" s="243"/>
      <c r="G604" s="243"/>
      <c r="H604" s="243"/>
      <c r="I604" s="242"/>
      <c r="J604" s="243"/>
      <c r="K604" s="243"/>
      <c r="L604" s="244"/>
      <c r="N604" s="241"/>
      <c r="O604" s="242"/>
      <c r="P604" s="243"/>
      <c r="Q604" s="243"/>
      <c r="R604" s="243"/>
      <c r="S604" s="243"/>
      <c r="T604" s="243"/>
      <c r="U604" s="243"/>
      <c r="V604" s="242"/>
      <c r="W604" s="243"/>
      <c r="X604" s="243"/>
      <c r="Y604" s="244"/>
    </row>
    <row r="605" spans="1:25" ht="13.5" customHeight="1" x14ac:dyDescent="0.2"/>
    <row r="606" spans="1:25" ht="14.25" customHeight="1" thickBot="1" x14ac:dyDescent="0.25">
      <c r="A606" s="241"/>
      <c r="G606" s="305"/>
      <c r="H606" s="305"/>
      <c r="I606" s="1069" t="s">
        <v>0</v>
      </c>
      <c r="J606" s="1069"/>
      <c r="K606" s="1069"/>
      <c r="L606" s="1069"/>
      <c r="M606" s="1069"/>
      <c r="N606" s="1069"/>
      <c r="O606" s="1069"/>
      <c r="P606" s="1069" t="s">
        <v>374</v>
      </c>
      <c r="Q606" s="1069"/>
      <c r="R606" s="1069"/>
      <c r="S606" s="1069"/>
      <c r="T606" s="1069"/>
      <c r="U606" s="1069" t="s">
        <v>571</v>
      </c>
      <c r="V606" s="1069"/>
      <c r="W606" s="1069"/>
      <c r="X606" s="305"/>
      <c r="Y606" s="305"/>
    </row>
    <row r="607" spans="1:25" ht="20.25" customHeight="1" x14ac:dyDescent="0.2">
      <c r="A607" s="241"/>
      <c r="F607" s="1074" t="s">
        <v>584</v>
      </c>
      <c r="G607" s="1074"/>
      <c r="H607" s="1074"/>
      <c r="I607" s="316"/>
      <c r="J607" s="306"/>
      <c r="K607" s="306"/>
      <c r="L607" s="306"/>
      <c r="M607" s="306"/>
      <c r="N607" s="306"/>
      <c r="O607" s="306"/>
      <c r="P607" s="312"/>
      <c r="Q607" s="306"/>
      <c r="R607" s="307"/>
      <c r="S607" s="304"/>
      <c r="T607" s="313"/>
      <c r="U607" s="310"/>
      <c r="V607" s="1084" t="s">
        <v>495</v>
      </c>
      <c r="W607" s="308"/>
    </row>
    <row r="608" spans="1:25" ht="13.5" thickBot="1" x14ac:dyDescent="0.25">
      <c r="F608" s="1074"/>
      <c r="G608" s="1074"/>
      <c r="H608" s="1074"/>
      <c r="I608" s="303"/>
      <c r="J608" s="235"/>
      <c r="K608" s="235"/>
      <c r="L608" s="235"/>
      <c r="M608" s="235"/>
      <c r="N608" s="235"/>
      <c r="O608" s="235"/>
      <c r="P608" s="314"/>
      <c r="Q608" s="235"/>
      <c r="R608" s="234"/>
      <c r="S608" s="234"/>
      <c r="T608" s="315"/>
      <c r="U608" s="311"/>
      <c r="V608" s="1085"/>
      <c r="W608" s="309"/>
    </row>
    <row r="610" spans="1:25" ht="6.75" customHeight="1" x14ac:dyDescent="0.2"/>
    <row r="611" spans="1:25" s="218" customFormat="1" ht="23.25" customHeight="1" x14ac:dyDescent="0.2">
      <c r="A611" s="1072" t="s">
        <v>546</v>
      </c>
      <c r="B611" s="1073"/>
      <c r="C611" s="499" t="str">
        <f>C582</f>
        <v>D1</v>
      </c>
      <c r="D611" s="1098" t="s">
        <v>628</v>
      </c>
      <c r="E611" s="1072"/>
      <c r="F611" s="1072"/>
      <c r="G611" s="1103">
        <f ca="1">INDIRECT("AD"&amp;V611)</f>
        <v>0</v>
      </c>
      <c r="H611" s="1104"/>
      <c r="J611" s="218" t="str">
        <f>CATEG_IMPORTEE</f>
        <v>Collèges Mixtes Etablissement</v>
      </c>
      <c r="T611" s="500"/>
      <c r="U611" s="520">
        <f ca="1">INDIRECT("AE"&amp;V611)</f>
        <v>0</v>
      </c>
      <c r="V611" s="500">
        <f>Y611+2</f>
        <v>24</v>
      </c>
      <c r="W611" s="501">
        <f ca="1">INDIRECT("AF"&amp;V611)</f>
        <v>0</v>
      </c>
      <c r="X611" s="502" t="s">
        <v>849</v>
      </c>
      <c r="Y611" s="503">
        <f>Y582+1</f>
        <v>22</v>
      </c>
    </row>
    <row r="612" spans="1:25" ht="27" customHeight="1" thickBot="1" x14ac:dyDescent="0.25">
      <c r="A612" s="1093" t="s">
        <v>0</v>
      </c>
      <c r="B612" s="1093"/>
      <c r="C612" s="1093"/>
      <c r="D612" s="1093"/>
      <c r="E612" s="1093"/>
      <c r="F612" s="1093"/>
      <c r="G612" s="1093"/>
      <c r="H612" s="1093" t="s">
        <v>374</v>
      </c>
      <c r="I612" s="1093"/>
      <c r="J612" s="1093"/>
      <c r="K612" s="1093"/>
      <c r="L612" s="1093"/>
      <c r="O612" s="1069" t="s">
        <v>0</v>
      </c>
      <c r="P612" s="1069"/>
      <c r="Q612" s="1069"/>
      <c r="R612" s="1069"/>
      <c r="S612" s="1069"/>
      <c r="T612" s="1069"/>
      <c r="U612" s="1069"/>
      <c r="V612" s="1069" t="s">
        <v>374</v>
      </c>
      <c r="W612" s="1069"/>
      <c r="X612" s="1069"/>
      <c r="Y612" s="1069"/>
    </row>
    <row r="613" spans="1:25" ht="24" customHeight="1" thickBot="1" x14ac:dyDescent="0.25">
      <c r="A613" s="504" t="str">
        <f ca="1">IFERROR(VLOOKUP(U611,Num_AS,2,FALSE),"")</f>
        <v/>
      </c>
      <c r="B613" s="505"/>
      <c r="C613" s="505"/>
      <c r="D613" s="505"/>
      <c r="E613" s="505"/>
      <c r="F613" s="505"/>
      <c r="G613" s="506"/>
      <c r="H613" s="507" t="str">
        <f ca="1">IFERROR(VLOOKUP(U611,Num_AS,4,FALSE),"")</f>
        <v/>
      </c>
      <c r="I613" s="220"/>
      <c r="J613" s="220"/>
      <c r="K613" s="220"/>
      <c r="L613" s="738"/>
      <c r="M613" s="1070" t="s">
        <v>547</v>
      </c>
      <c r="N613" s="1071"/>
      <c r="O613" s="504" t="str">
        <f ca="1">IFERROR(VLOOKUP(W611,Num_AS,2,FALSE),"")</f>
        <v/>
      </c>
      <c r="P613" s="505"/>
      <c r="Q613" s="505"/>
      <c r="R613" s="505"/>
      <c r="S613" s="505"/>
      <c r="T613" s="505"/>
      <c r="U613" s="506"/>
      <c r="V613" s="507" t="str">
        <f ca="1">IFERROR(VLOOKUP(W611,Num_AS,4,FALSE),"")</f>
        <v/>
      </c>
      <c r="W613" s="220"/>
      <c r="X613" s="220"/>
      <c r="Y613" s="221"/>
    </row>
    <row r="614" spans="1:25" ht="15" customHeight="1" x14ac:dyDescent="0.2">
      <c r="A614" s="736" t="str">
        <f ca="1">IFERROR(VLOOKUP(U611,Num_AS,3,FALSE),"")</f>
        <v/>
      </c>
      <c r="B614" s="736"/>
      <c r="C614" s="736"/>
      <c r="D614" s="736"/>
      <c r="E614" s="736"/>
      <c r="F614" s="736"/>
      <c r="G614" s="736"/>
      <c r="H614" s="737"/>
    </row>
    <row r="615" spans="1:25" ht="20.100000000000001" customHeight="1" x14ac:dyDescent="0.2">
      <c r="A615" s="1074" t="s">
        <v>548</v>
      </c>
      <c r="B615" s="1074"/>
      <c r="C615" s="1074"/>
      <c r="D615" s="1074"/>
      <c r="E615" s="1074"/>
      <c r="Q615" s="217" t="str">
        <f>Q586</f>
        <v>Championnat de France de Tir à l'ARC</v>
      </c>
    </row>
    <row r="616" spans="1:25" ht="20.100000000000001" customHeight="1" x14ac:dyDescent="0.2">
      <c r="A616" s="1075" t="s">
        <v>549</v>
      </c>
      <c r="B616" s="1075"/>
      <c r="C616" s="1075"/>
      <c r="D616" s="1075"/>
      <c r="E616" s="1075"/>
      <c r="G616" s="1076" t="s">
        <v>480</v>
      </c>
      <c r="H616" s="1076"/>
      <c r="I616" s="1077" t="s">
        <v>550</v>
      </c>
      <c r="J616" s="1077"/>
      <c r="K616" s="1077"/>
      <c r="L616" s="252" t="s">
        <v>551</v>
      </c>
      <c r="M616" s="1078" t="s">
        <v>552</v>
      </c>
      <c r="N616" s="1078"/>
      <c r="O616" s="251"/>
      <c r="Q616" s="217" t="str">
        <f>Q587</f>
        <v>L’Isle sur la Sorgue du 27 au 31 mars 2023</v>
      </c>
    </row>
    <row r="617" spans="1:25" ht="24" customHeight="1" x14ac:dyDescent="0.2">
      <c r="A617" s="509" t="str">
        <f ca="1">IFERROR(VLOOKUP(U611,Num_AS,6,FALSE),"")</f>
        <v/>
      </c>
      <c r="B617" s="223"/>
      <c r="C617" s="510" t="str">
        <f ca="1">IFERROR(VLOOKUP(U611,Num_AS,7,FALSE),"")</f>
        <v/>
      </c>
      <c r="D617" s="223"/>
      <c r="E617" s="224"/>
      <c r="F617" s="219"/>
      <c r="G617" s="511" t="str">
        <f ca="1">IFERROR(VLOOKUP(U611,Num_AS,10,FALSE),"")</f>
        <v/>
      </c>
      <c r="H617" s="224"/>
      <c r="I617" s="222"/>
      <c r="J617" s="512" t="str">
        <f ca="1">IFERROR(VLOOKUP(U611,Num_AS,9,FALSE),"")</f>
        <v/>
      </c>
      <c r="K617" s="224"/>
      <c r="L617" s="222" t="str">
        <f ca="1">IFERROR(VLOOKUP(U611,Num_AS,11,FALSE),"")</f>
        <v/>
      </c>
      <c r="M617" s="287">
        <f ca="1">G611</f>
        <v>0</v>
      </c>
      <c r="N617" s="288"/>
      <c r="O617" s="249"/>
      <c r="R617" s="254"/>
      <c r="S617" s="254"/>
      <c r="T617" s="254"/>
      <c r="U617" s="254"/>
      <c r="V617" s="254"/>
      <c r="W617" s="254"/>
      <c r="X617" s="254"/>
      <c r="Y617" s="254"/>
    </row>
    <row r="618" spans="1:25" ht="24" customHeight="1" x14ac:dyDescent="0.2">
      <c r="A618" s="509" t="str">
        <f ca="1">IFERROR(VLOOKUP(U611,Num_AS,12,FALSE),"")</f>
        <v/>
      </c>
      <c r="B618" s="223"/>
      <c r="C618" s="510" t="str">
        <f ca="1">IFERROR(VLOOKUP(U611,Num_AS,13,FALSE),"")</f>
        <v/>
      </c>
      <c r="D618" s="223"/>
      <c r="E618" s="224"/>
      <c r="F618" s="219"/>
      <c r="G618" s="511" t="str">
        <f ca="1">IFERROR(VLOOKUP(U611,Num_AS,16,FALSE),"")</f>
        <v/>
      </c>
      <c r="H618" s="224"/>
      <c r="I618" s="222"/>
      <c r="J618" s="512" t="str">
        <f ca="1">IFERROR(VLOOKUP(U611,Num_AS,15,FALSE),"")</f>
        <v/>
      </c>
      <c r="K618" s="224"/>
      <c r="L618" s="222" t="str">
        <f ca="1">IFERROR(VLOOKUP(U611,Num_AS,17,FALSE),"")</f>
        <v/>
      </c>
      <c r="M618" s="287">
        <f ca="1">G611</f>
        <v>0</v>
      </c>
      <c r="N618" s="288"/>
      <c r="O618" s="249"/>
      <c r="Q618" s="254"/>
      <c r="R618" s="254"/>
      <c r="S618" s="254"/>
      <c r="T618" s="254"/>
      <c r="U618" s="254"/>
      <c r="V618" s="254"/>
      <c r="W618" s="254"/>
      <c r="X618" s="254"/>
      <c r="Y618" s="254"/>
    </row>
    <row r="619" spans="1:25" ht="24" customHeight="1" x14ac:dyDescent="0.2">
      <c r="A619" s="509" t="str">
        <f ca="1">IFERROR(VLOOKUP(U611,Num_AS,18,FALSE),"")</f>
        <v/>
      </c>
      <c r="B619" s="223"/>
      <c r="C619" s="510" t="str">
        <f ca="1">IFERROR(VLOOKUP(U611,Num_AS,19,FALSE),"")</f>
        <v/>
      </c>
      <c r="D619" s="223"/>
      <c r="E619" s="224"/>
      <c r="F619" s="219"/>
      <c r="G619" s="511" t="str">
        <f ca="1">IFERROR(VLOOKUP(U611,Num_AS,22,FALSE),"")</f>
        <v/>
      </c>
      <c r="H619" s="224"/>
      <c r="I619" s="222"/>
      <c r="J619" s="512" t="str">
        <f ca="1">IFERROR(VLOOKUP(U611,Num_AS,21,FALSE),"")</f>
        <v/>
      </c>
      <c r="K619" s="224"/>
      <c r="L619" s="222" t="str">
        <f ca="1">IFERROR(VLOOKUP(U611,Num_AS,23,FALSE),"")</f>
        <v/>
      </c>
      <c r="M619" s="287">
        <f ca="1">G611</f>
        <v>0</v>
      </c>
      <c r="N619" s="288"/>
      <c r="O619" s="249"/>
      <c r="Q619" s="254"/>
      <c r="R619" s="254"/>
      <c r="S619" s="254"/>
      <c r="T619" s="254"/>
      <c r="U619" s="254"/>
      <c r="V619" s="254"/>
      <c r="W619" s="254"/>
      <c r="X619" s="254"/>
      <c r="Y619" s="254"/>
    </row>
    <row r="620" spans="1:25" ht="24" customHeight="1" x14ac:dyDescent="0.2">
      <c r="A620" s="509" t="str">
        <f ca="1">IFERROR(VLOOKUP(U611,Num_AS,24,FALSE),"")</f>
        <v/>
      </c>
      <c r="B620" s="223"/>
      <c r="C620" s="510" t="str">
        <f ca="1">IFERROR(VLOOKUP(U611,Num_AS,25,FALSE),"")</f>
        <v/>
      </c>
      <c r="D620" s="223"/>
      <c r="E620" s="224"/>
      <c r="F620" s="219"/>
      <c r="G620" s="511" t="str">
        <f ca="1">IFERROR(VLOOKUP(U611,Num_AS,28,FALSE),"")</f>
        <v/>
      </c>
      <c r="H620" s="224"/>
      <c r="I620" s="222"/>
      <c r="J620" s="512" t="str">
        <f ca="1">IFERROR(VLOOKUP(U611,Num_AS,27,FALSE),"")</f>
        <v/>
      </c>
      <c r="K620" s="224"/>
      <c r="L620" s="222" t="str">
        <f ca="1">IFERROR(VLOOKUP(U611,Num_AS,29,FALSE),"")</f>
        <v/>
      </c>
      <c r="M620" s="289">
        <f ca="1">G611</f>
        <v>0</v>
      </c>
      <c r="N620" s="290"/>
      <c r="O620" s="249"/>
    </row>
    <row r="621" spans="1:25" ht="15" customHeight="1" thickBot="1" x14ac:dyDescent="0.25"/>
    <row r="622" spans="1:25" ht="20.100000000000001" customHeight="1" x14ac:dyDescent="0.2">
      <c r="F622" s="1081" t="s">
        <v>555</v>
      </c>
      <c r="G622" s="1082"/>
      <c r="H622" s="1082"/>
      <c r="I622" s="1082"/>
      <c r="J622" s="1083"/>
      <c r="K622" s="1081" t="s">
        <v>556</v>
      </c>
      <c r="L622" s="1082"/>
      <c r="M622" s="1082"/>
      <c r="N622" s="1082"/>
      <c r="O622" s="1083"/>
      <c r="P622" s="1081" t="s">
        <v>557</v>
      </c>
      <c r="Q622" s="1082"/>
      <c r="R622" s="1082"/>
      <c r="S622" s="1082"/>
      <c r="T622" s="1083"/>
      <c r="U622" s="1081" t="s">
        <v>558</v>
      </c>
      <c r="V622" s="1082"/>
      <c r="W622" s="1082"/>
      <c r="X622" s="1082"/>
      <c r="Y622" s="1083"/>
    </row>
    <row r="623" spans="1:25" ht="20.100000000000001" customHeight="1" x14ac:dyDescent="0.2">
      <c r="A623" s="1075" t="s">
        <v>559</v>
      </c>
      <c r="B623" s="1075"/>
      <c r="C623" s="1075"/>
      <c r="D623" s="1075"/>
      <c r="E623" s="1089"/>
      <c r="F623" s="1090" t="s">
        <v>560</v>
      </c>
      <c r="G623" s="1075"/>
      <c r="H623" s="1075"/>
      <c r="J623" s="225" t="s">
        <v>7</v>
      </c>
      <c r="K623" s="1090" t="s">
        <v>560</v>
      </c>
      <c r="L623" s="1075"/>
      <c r="M623" s="1075"/>
      <c r="O623" s="225" t="s">
        <v>7</v>
      </c>
      <c r="P623" s="1090" t="s">
        <v>560</v>
      </c>
      <c r="Q623" s="1075"/>
      <c r="R623" s="1075"/>
      <c r="T623" s="225" t="s">
        <v>7</v>
      </c>
      <c r="U623" s="1090" t="s">
        <v>560</v>
      </c>
      <c r="V623" s="1075"/>
      <c r="W623" s="1075"/>
      <c r="Y623" s="225" t="s">
        <v>7</v>
      </c>
    </row>
    <row r="624" spans="1:25" ht="24" customHeight="1" x14ac:dyDescent="0.2">
      <c r="A624" s="513" t="str">
        <f ca="1">A617</f>
        <v/>
      </c>
      <c r="B624" s="227"/>
      <c r="C624" s="514" t="str">
        <f ca="1">C617</f>
        <v/>
      </c>
      <c r="D624" s="227"/>
      <c r="E624" s="227"/>
      <c r="F624" s="228"/>
      <c r="G624" s="229"/>
      <c r="H624" s="229"/>
      <c r="I624" s="230" t="s">
        <v>561</v>
      </c>
      <c r="J624" s="231"/>
      <c r="K624" s="228"/>
      <c r="L624" s="229"/>
      <c r="M624" s="229"/>
      <c r="N624" s="230" t="s">
        <v>561</v>
      </c>
      <c r="O624" s="231"/>
      <c r="P624" s="228"/>
      <c r="Q624" s="229"/>
      <c r="R624" s="229"/>
      <c r="S624" s="230" t="s">
        <v>561</v>
      </c>
      <c r="T624" s="231"/>
      <c r="U624" s="228"/>
      <c r="V624" s="229"/>
      <c r="W624" s="229"/>
      <c r="X624" s="230" t="s">
        <v>561</v>
      </c>
      <c r="Y624" s="231"/>
    </row>
    <row r="625" spans="1:25" ht="24" customHeight="1" x14ac:dyDescent="0.2">
      <c r="A625" s="513" t="str">
        <f ca="1">A618</f>
        <v/>
      </c>
      <c r="B625" s="227"/>
      <c r="C625" s="514" t="str">
        <f ca="1">C618</f>
        <v/>
      </c>
      <c r="D625" s="227"/>
      <c r="E625" s="227"/>
      <c r="F625" s="228"/>
      <c r="G625" s="229"/>
      <c r="H625" s="229"/>
      <c r="I625" s="230" t="s">
        <v>561</v>
      </c>
      <c r="J625" s="231"/>
      <c r="K625" s="228"/>
      <c r="L625" s="229"/>
      <c r="M625" s="229"/>
      <c r="N625" s="230" t="s">
        <v>561</v>
      </c>
      <c r="O625" s="231"/>
      <c r="P625" s="228"/>
      <c r="Q625" s="229"/>
      <c r="R625" s="229"/>
      <c r="S625" s="230" t="s">
        <v>561</v>
      </c>
      <c r="T625" s="231"/>
      <c r="U625" s="228"/>
      <c r="V625" s="229"/>
      <c r="W625" s="229"/>
      <c r="X625" s="230" t="s">
        <v>561</v>
      </c>
      <c r="Y625" s="231"/>
    </row>
    <row r="626" spans="1:25" ht="24" customHeight="1" x14ac:dyDescent="0.2">
      <c r="A626" s="513" t="str">
        <f ca="1">A619</f>
        <v/>
      </c>
      <c r="B626" s="227"/>
      <c r="C626" s="514" t="str">
        <f ca="1">C619</f>
        <v/>
      </c>
      <c r="D626" s="227"/>
      <c r="E626" s="227"/>
      <c r="F626" s="228"/>
      <c r="G626" s="229"/>
      <c r="H626" s="229"/>
      <c r="I626" s="230" t="s">
        <v>561</v>
      </c>
      <c r="J626" s="231"/>
      <c r="K626" s="228"/>
      <c r="L626" s="229"/>
      <c r="M626" s="229"/>
      <c r="N626" s="230" t="s">
        <v>561</v>
      </c>
      <c r="O626" s="231"/>
      <c r="P626" s="228"/>
      <c r="Q626" s="229"/>
      <c r="R626" s="229"/>
      <c r="S626" s="230" t="s">
        <v>561</v>
      </c>
      <c r="T626" s="231"/>
      <c r="U626" s="228"/>
      <c r="V626" s="229"/>
      <c r="W626" s="229"/>
      <c r="X626" s="230" t="s">
        <v>561</v>
      </c>
      <c r="Y626" s="231"/>
    </row>
    <row r="627" spans="1:25" ht="24" customHeight="1" x14ac:dyDescent="0.2">
      <c r="A627" s="513" t="str">
        <f ca="1">A620</f>
        <v/>
      </c>
      <c r="B627" s="227"/>
      <c r="C627" s="514" t="str">
        <f ca="1">C620</f>
        <v/>
      </c>
      <c r="D627" s="227"/>
      <c r="E627" s="227"/>
      <c r="F627" s="228"/>
      <c r="G627" s="229"/>
      <c r="H627" s="229"/>
      <c r="I627" s="230" t="s">
        <v>561</v>
      </c>
      <c r="J627" s="232"/>
      <c r="K627" s="228"/>
      <c r="L627" s="229"/>
      <c r="M627" s="229"/>
      <c r="N627" s="230" t="s">
        <v>561</v>
      </c>
      <c r="O627" s="232"/>
      <c r="P627" s="228"/>
      <c r="Q627" s="229"/>
      <c r="R627" s="229"/>
      <c r="S627" s="230" t="s">
        <v>561</v>
      </c>
      <c r="T627" s="232"/>
      <c r="U627" s="228"/>
      <c r="V627" s="229"/>
      <c r="W627" s="229"/>
      <c r="X627" s="230" t="s">
        <v>561</v>
      </c>
      <c r="Y627" s="232"/>
    </row>
    <row r="628" spans="1:25" ht="24" customHeight="1" thickBot="1" x14ac:dyDescent="0.25">
      <c r="F628" s="1079" t="s">
        <v>562</v>
      </c>
      <c r="G628" s="1080"/>
      <c r="H628" s="1080"/>
      <c r="I628" s="230" t="s">
        <v>561</v>
      </c>
      <c r="J628" s="231"/>
      <c r="K628" s="1079" t="s">
        <v>563</v>
      </c>
      <c r="L628" s="1080"/>
      <c r="M628" s="1080"/>
      <c r="N628" s="230" t="s">
        <v>561</v>
      </c>
      <c r="O628" s="232"/>
      <c r="P628" s="1079" t="s">
        <v>564</v>
      </c>
      <c r="Q628" s="1080"/>
      <c r="R628" s="1080"/>
      <c r="S628" s="230" t="s">
        <v>561</v>
      </c>
      <c r="T628" s="232"/>
      <c r="U628" s="1079" t="s">
        <v>565</v>
      </c>
      <c r="V628" s="1080"/>
      <c r="W628" s="1080"/>
      <c r="X628" s="230" t="s">
        <v>561</v>
      </c>
      <c r="Y628" s="232"/>
    </row>
    <row r="629" spans="1:25" ht="24" customHeight="1" thickBot="1" x14ac:dyDescent="0.25">
      <c r="A629" s="508" t="s">
        <v>1013</v>
      </c>
      <c r="B629" s="508"/>
      <c r="D629" s="1094">
        <f ca="1">VLOOKUP(A613&amp;A614,PTS_SP,2,FALSE)</f>
        <v>0</v>
      </c>
      <c r="E629" s="1095"/>
      <c r="F629" s="745" t="s">
        <v>1014</v>
      </c>
      <c r="G629" s="670"/>
      <c r="H629" s="744"/>
      <c r="I629" s="1096"/>
      <c r="J629" s="1097"/>
      <c r="K629" s="1100" t="s">
        <v>1015</v>
      </c>
      <c r="L629" s="1101"/>
      <c r="M629" s="1102"/>
      <c r="N629" s="1096"/>
      <c r="O629" s="1097"/>
      <c r="P629" s="1100" t="s">
        <v>1016</v>
      </c>
      <c r="Q629" s="1101"/>
      <c r="R629" s="1102"/>
      <c r="S629" s="1096"/>
      <c r="T629" s="1097"/>
      <c r="U629" s="1100" t="s">
        <v>1017</v>
      </c>
      <c r="V629" s="1101"/>
      <c r="W629" s="1102"/>
      <c r="X629" s="1096"/>
      <c r="Y629" s="1097"/>
    </row>
    <row r="630" spans="1:25" ht="12.75" customHeight="1" x14ac:dyDescent="0.2">
      <c r="Y630" s="240" t="s">
        <v>570</v>
      </c>
    </row>
    <row r="631" spans="1:25" ht="15.75" customHeight="1" x14ac:dyDescent="0.2">
      <c r="B631" s="1091" t="s">
        <v>851</v>
      </c>
      <c r="C631" s="1091"/>
      <c r="D631" s="1091"/>
      <c r="E631" s="1091"/>
      <c r="F631" s="1091"/>
      <c r="G631" s="1091"/>
      <c r="H631" s="1091"/>
      <c r="I631" s="1091"/>
      <c r="J631" s="1091"/>
      <c r="K631" s="1091"/>
      <c r="L631" s="1091"/>
      <c r="O631" s="1091" t="s">
        <v>522</v>
      </c>
      <c r="P631" s="1091"/>
      <c r="Q631" s="1091"/>
      <c r="R631" s="1091"/>
      <c r="S631" s="1091"/>
      <c r="T631" s="1091"/>
      <c r="U631" s="1091"/>
      <c r="V631" s="1091"/>
      <c r="W631" s="1091"/>
      <c r="X631" s="1091"/>
      <c r="Y631" s="1091"/>
    </row>
    <row r="632" spans="1:25" ht="13.5" customHeight="1" x14ac:dyDescent="0.2">
      <c r="B632" s="1086" t="s">
        <v>1</v>
      </c>
      <c r="C632" s="1087"/>
      <c r="D632" s="1087"/>
      <c r="E632" s="1087"/>
      <c r="F632" s="1087"/>
      <c r="G632" s="1087"/>
      <c r="H632" s="1088"/>
      <c r="I632" s="1086" t="s">
        <v>520</v>
      </c>
      <c r="J632" s="1087"/>
      <c r="K632" s="1087"/>
      <c r="L632" s="1088"/>
      <c r="N632" s="241"/>
      <c r="O632" s="1086" t="s">
        <v>1</v>
      </c>
      <c r="P632" s="1087"/>
      <c r="Q632" s="1087"/>
      <c r="R632" s="1087"/>
      <c r="S632" s="1087"/>
      <c r="T632" s="1087"/>
      <c r="U632" s="1088"/>
      <c r="V632" s="1086" t="s">
        <v>520</v>
      </c>
      <c r="W632" s="1087"/>
      <c r="X632" s="1087"/>
      <c r="Y632" s="1088"/>
    </row>
    <row r="633" spans="1:25" ht="21.75" customHeight="1" x14ac:dyDescent="0.2">
      <c r="B633" s="242"/>
      <c r="C633" s="243"/>
      <c r="D633" s="243"/>
      <c r="E633" s="243"/>
      <c r="F633" s="243"/>
      <c r="G633" s="243"/>
      <c r="H633" s="243"/>
      <c r="I633" s="242"/>
      <c r="J633" s="243"/>
      <c r="K633" s="243"/>
      <c r="L633" s="244"/>
      <c r="N633" s="241"/>
      <c r="O633" s="242"/>
      <c r="P633" s="243"/>
      <c r="Q633" s="243"/>
      <c r="R633" s="243"/>
      <c r="S633" s="243"/>
      <c r="T633" s="243"/>
      <c r="U633" s="243"/>
      <c r="V633" s="242"/>
      <c r="W633" s="243"/>
      <c r="X633" s="243"/>
      <c r="Y633" s="244"/>
    </row>
    <row r="634" spans="1:25" ht="13.5" customHeight="1" x14ac:dyDescent="0.2"/>
    <row r="635" spans="1:25" ht="14.25" customHeight="1" thickBot="1" x14ac:dyDescent="0.25">
      <c r="A635" s="241"/>
      <c r="G635" s="305"/>
      <c r="H635" s="305"/>
      <c r="I635" s="1069" t="s">
        <v>0</v>
      </c>
      <c r="J635" s="1069"/>
      <c r="K635" s="1069"/>
      <c r="L635" s="1069"/>
      <c r="M635" s="1069"/>
      <c r="N635" s="1069"/>
      <c r="O635" s="1069"/>
      <c r="P635" s="1069" t="s">
        <v>374</v>
      </c>
      <c r="Q635" s="1069"/>
      <c r="R635" s="1069"/>
      <c r="S635" s="1069"/>
      <c r="T635" s="1069"/>
      <c r="U635" s="1069" t="s">
        <v>571</v>
      </c>
      <c r="V635" s="1069"/>
      <c r="W635" s="1069"/>
      <c r="X635" s="305"/>
      <c r="Y635" s="305"/>
    </row>
    <row r="636" spans="1:25" ht="20.25" customHeight="1" x14ac:dyDescent="0.2">
      <c r="A636" s="241"/>
      <c r="F636" s="1074" t="s">
        <v>584</v>
      </c>
      <c r="G636" s="1074"/>
      <c r="H636" s="1074"/>
      <c r="I636" s="316"/>
      <c r="J636" s="306"/>
      <c r="K636" s="306"/>
      <c r="L636" s="306"/>
      <c r="M636" s="306"/>
      <c r="N636" s="306"/>
      <c r="O636" s="306"/>
      <c r="P636" s="312"/>
      <c r="Q636" s="306"/>
      <c r="R636" s="307"/>
      <c r="S636" s="304"/>
      <c r="T636" s="313"/>
      <c r="U636" s="310"/>
      <c r="V636" s="1084" t="s">
        <v>495</v>
      </c>
      <c r="W636" s="308"/>
    </row>
    <row r="637" spans="1:25" ht="13.5" thickBot="1" x14ac:dyDescent="0.25">
      <c r="F637" s="1074"/>
      <c r="G637" s="1074"/>
      <c r="H637" s="1074"/>
      <c r="I637" s="303"/>
      <c r="J637" s="235"/>
      <c r="K637" s="235"/>
      <c r="L637" s="235"/>
      <c r="M637" s="235"/>
      <c r="N637" s="235"/>
      <c r="O637" s="235"/>
      <c r="P637" s="314"/>
      <c r="Q637" s="235"/>
      <c r="R637" s="234"/>
      <c r="S637" s="234"/>
      <c r="T637" s="315"/>
      <c r="U637" s="311"/>
      <c r="V637" s="1085"/>
      <c r="W637" s="309"/>
    </row>
    <row r="639" spans="1:25" ht="6.75" customHeight="1" x14ac:dyDescent="0.2"/>
    <row r="640" spans="1:25" s="218" customFormat="1" ht="23.25" customHeight="1" x14ac:dyDescent="0.2">
      <c r="A640" s="1072" t="s">
        <v>546</v>
      </c>
      <c r="B640" s="1073"/>
      <c r="C640" s="499" t="str">
        <f>C611</f>
        <v>D1</v>
      </c>
      <c r="D640" s="1098" t="s">
        <v>628</v>
      </c>
      <c r="E640" s="1072"/>
      <c r="F640" s="1072"/>
      <c r="G640" s="1103">
        <f ca="1">INDIRECT("AD"&amp;V640)</f>
        <v>0</v>
      </c>
      <c r="H640" s="1104"/>
      <c r="J640" s="218" t="str">
        <f>CATEG_IMPORTEE</f>
        <v>Collèges Mixtes Etablissement</v>
      </c>
      <c r="T640" s="500"/>
      <c r="U640" s="520">
        <f ca="1">INDIRECT("AE"&amp;V640)</f>
        <v>0</v>
      </c>
      <c r="V640" s="500">
        <f>Y640+2</f>
        <v>25</v>
      </c>
      <c r="W640" s="501">
        <f ca="1">INDIRECT("AF"&amp;V640)</f>
        <v>0</v>
      </c>
      <c r="X640" s="502" t="s">
        <v>849</v>
      </c>
      <c r="Y640" s="503">
        <f>Y611+1</f>
        <v>23</v>
      </c>
    </row>
    <row r="641" spans="1:25" ht="27" customHeight="1" thickBot="1" x14ac:dyDescent="0.25">
      <c r="A641" s="1093" t="s">
        <v>0</v>
      </c>
      <c r="B641" s="1093"/>
      <c r="C641" s="1093"/>
      <c r="D641" s="1093"/>
      <c r="E641" s="1093"/>
      <c r="F641" s="1093"/>
      <c r="G641" s="1093"/>
      <c r="H641" s="1093" t="s">
        <v>374</v>
      </c>
      <c r="I641" s="1093"/>
      <c r="J641" s="1093"/>
      <c r="K641" s="1093"/>
      <c r="L641" s="1093"/>
      <c r="O641" s="1069" t="s">
        <v>0</v>
      </c>
      <c r="P641" s="1069"/>
      <c r="Q641" s="1069"/>
      <c r="R641" s="1069"/>
      <c r="S641" s="1069"/>
      <c r="T641" s="1069"/>
      <c r="U641" s="1069"/>
      <c r="V641" s="1069" t="s">
        <v>374</v>
      </c>
      <c r="W641" s="1069"/>
      <c r="X641" s="1069"/>
      <c r="Y641" s="1069"/>
    </row>
    <row r="642" spans="1:25" ht="24" customHeight="1" thickBot="1" x14ac:dyDescent="0.25">
      <c r="A642" s="504" t="str">
        <f ca="1">IFERROR(VLOOKUP(U640,Num_AS,2,FALSE),"")</f>
        <v/>
      </c>
      <c r="B642" s="505"/>
      <c r="C642" s="505"/>
      <c r="D642" s="505"/>
      <c r="E642" s="505"/>
      <c r="F642" s="505"/>
      <c r="G642" s="506"/>
      <c r="H642" s="507" t="str">
        <f ca="1">IFERROR(VLOOKUP(U640,Num_AS,4,FALSE),"")</f>
        <v/>
      </c>
      <c r="I642" s="220"/>
      <c r="J642" s="220"/>
      <c r="K642" s="220"/>
      <c r="L642" s="738"/>
      <c r="M642" s="1070" t="s">
        <v>547</v>
      </c>
      <c r="N642" s="1071"/>
      <c r="O642" s="504" t="str">
        <f ca="1">IFERROR(VLOOKUP(W640,Num_AS,2,FALSE),"")</f>
        <v/>
      </c>
      <c r="P642" s="505"/>
      <c r="Q642" s="505"/>
      <c r="R642" s="505"/>
      <c r="S642" s="505"/>
      <c r="T642" s="505"/>
      <c r="U642" s="506"/>
      <c r="V642" s="507" t="str">
        <f ca="1">IFERROR(VLOOKUP(W640,Num_AS,4,FALSE),"")</f>
        <v/>
      </c>
      <c r="W642" s="220"/>
      <c r="X642" s="220"/>
      <c r="Y642" s="221"/>
    </row>
    <row r="643" spans="1:25" ht="15" customHeight="1" x14ac:dyDescent="0.2">
      <c r="A643" s="736" t="str">
        <f ca="1">IFERROR(VLOOKUP(U640,Num_AS,3,FALSE),"")</f>
        <v/>
      </c>
      <c r="B643" s="736"/>
      <c r="C643" s="736"/>
      <c r="D643" s="736"/>
      <c r="E643" s="736"/>
      <c r="F643" s="736"/>
      <c r="G643" s="736"/>
      <c r="H643" s="737"/>
    </row>
    <row r="644" spans="1:25" ht="20.100000000000001" customHeight="1" x14ac:dyDescent="0.2">
      <c r="A644" s="1074" t="s">
        <v>548</v>
      </c>
      <c r="B644" s="1074"/>
      <c r="C644" s="1074"/>
      <c r="D644" s="1074"/>
      <c r="E644" s="1074"/>
      <c r="Q644" s="217" t="str">
        <f>Q615</f>
        <v>Championnat de France de Tir à l'ARC</v>
      </c>
    </row>
    <row r="645" spans="1:25" ht="20.100000000000001" customHeight="1" x14ac:dyDescent="0.2">
      <c r="A645" s="1075" t="s">
        <v>549</v>
      </c>
      <c r="B645" s="1075"/>
      <c r="C645" s="1075"/>
      <c r="D645" s="1075"/>
      <c r="E645" s="1075"/>
      <c r="G645" s="1076" t="s">
        <v>480</v>
      </c>
      <c r="H645" s="1076"/>
      <c r="I645" s="1077" t="s">
        <v>550</v>
      </c>
      <c r="J645" s="1077"/>
      <c r="K645" s="1077"/>
      <c r="L645" s="252" t="s">
        <v>551</v>
      </c>
      <c r="M645" s="1078" t="s">
        <v>552</v>
      </c>
      <c r="N645" s="1078"/>
      <c r="O645" s="251"/>
      <c r="Q645" s="217" t="str">
        <f>Q616</f>
        <v>L’Isle sur la Sorgue du 27 au 31 mars 2023</v>
      </c>
    </row>
    <row r="646" spans="1:25" ht="24" customHeight="1" x14ac:dyDescent="0.2">
      <c r="A646" s="509" t="str">
        <f ca="1">IFERROR(VLOOKUP(U640,Num_AS,6,FALSE),"")</f>
        <v/>
      </c>
      <c r="B646" s="223"/>
      <c r="C646" s="510" t="str">
        <f ca="1">IFERROR(VLOOKUP(U640,Num_AS,7,FALSE),"")</f>
        <v/>
      </c>
      <c r="D646" s="223"/>
      <c r="E646" s="224"/>
      <c r="F646" s="219"/>
      <c r="G646" s="511" t="str">
        <f ca="1">IFERROR(VLOOKUP(U640,Num_AS,10,FALSE),"")</f>
        <v/>
      </c>
      <c r="H646" s="224"/>
      <c r="I646" s="222"/>
      <c r="J646" s="512" t="str">
        <f ca="1">IFERROR(VLOOKUP(U640,Num_AS,9,FALSE),"")</f>
        <v/>
      </c>
      <c r="K646" s="224"/>
      <c r="L646" s="222" t="str">
        <f ca="1">IFERROR(VLOOKUP(U640,Num_AS,11,FALSE),"")</f>
        <v/>
      </c>
      <c r="M646" s="287">
        <f ca="1">G640</f>
        <v>0</v>
      </c>
      <c r="N646" s="288"/>
      <c r="O646" s="249"/>
      <c r="R646" s="254"/>
      <c r="S646" s="254"/>
      <c r="T646" s="254"/>
      <c r="U646" s="254"/>
      <c r="V646" s="254"/>
      <c r="W646" s="254"/>
      <c r="X646" s="254"/>
      <c r="Y646" s="254"/>
    </row>
    <row r="647" spans="1:25" ht="24" customHeight="1" x14ac:dyDescent="0.2">
      <c r="A647" s="509" t="str">
        <f ca="1">IFERROR(VLOOKUP(U640,Num_AS,12,FALSE),"")</f>
        <v/>
      </c>
      <c r="B647" s="223"/>
      <c r="C647" s="510" t="str">
        <f ca="1">IFERROR(VLOOKUP(U640,Num_AS,13,FALSE),"")</f>
        <v/>
      </c>
      <c r="D647" s="223"/>
      <c r="E647" s="224"/>
      <c r="F647" s="219"/>
      <c r="G647" s="511" t="str">
        <f ca="1">IFERROR(VLOOKUP(U640,Num_AS,16,FALSE),"")</f>
        <v/>
      </c>
      <c r="H647" s="224"/>
      <c r="I647" s="222"/>
      <c r="J647" s="512" t="str">
        <f ca="1">IFERROR(VLOOKUP(U640,Num_AS,15,FALSE),"")</f>
        <v/>
      </c>
      <c r="K647" s="224"/>
      <c r="L647" s="222" t="str">
        <f ca="1">IFERROR(VLOOKUP(U640,Num_AS,17,FALSE),"")</f>
        <v/>
      </c>
      <c r="M647" s="287">
        <f ca="1">G640</f>
        <v>0</v>
      </c>
      <c r="N647" s="288"/>
      <c r="O647" s="249"/>
      <c r="Q647" s="254"/>
      <c r="R647" s="254"/>
      <c r="S647" s="254"/>
      <c r="T647" s="254"/>
      <c r="U647" s="254"/>
      <c r="V647" s="254"/>
      <c r="W647" s="254"/>
      <c r="X647" s="254"/>
      <c r="Y647" s="254"/>
    </row>
    <row r="648" spans="1:25" ht="24" customHeight="1" x14ac:dyDescent="0.2">
      <c r="A648" s="509" t="str">
        <f ca="1">IFERROR(VLOOKUP(U640,Num_AS,18,FALSE),"")</f>
        <v/>
      </c>
      <c r="B648" s="223"/>
      <c r="C648" s="510" t="str">
        <f ca="1">IFERROR(VLOOKUP(U640,Num_AS,19,FALSE),"")</f>
        <v/>
      </c>
      <c r="D648" s="223"/>
      <c r="E648" s="224"/>
      <c r="F648" s="219"/>
      <c r="G648" s="511" t="str">
        <f ca="1">IFERROR(VLOOKUP(U640,Num_AS,22,FALSE),"")</f>
        <v/>
      </c>
      <c r="H648" s="224"/>
      <c r="I648" s="222"/>
      <c r="J648" s="512" t="str">
        <f ca="1">IFERROR(VLOOKUP(U640,Num_AS,21,FALSE),"")</f>
        <v/>
      </c>
      <c r="K648" s="224"/>
      <c r="L648" s="222" t="str">
        <f ca="1">IFERROR(VLOOKUP(U640,Num_AS,23,FALSE),"")</f>
        <v/>
      </c>
      <c r="M648" s="287">
        <f ca="1">G640</f>
        <v>0</v>
      </c>
      <c r="N648" s="288"/>
      <c r="O648" s="249"/>
      <c r="Q648" s="254"/>
      <c r="R648" s="254"/>
      <c r="S648" s="254"/>
      <c r="T648" s="254"/>
      <c r="U648" s="254"/>
      <c r="V648" s="254"/>
      <c r="W648" s="254"/>
      <c r="X648" s="254"/>
      <c r="Y648" s="254"/>
    </row>
    <row r="649" spans="1:25" ht="24" customHeight="1" x14ac:dyDescent="0.2">
      <c r="A649" s="509" t="str">
        <f ca="1">IFERROR(VLOOKUP(U640,Num_AS,24,FALSE),"")</f>
        <v/>
      </c>
      <c r="B649" s="223"/>
      <c r="C649" s="510" t="str">
        <f ca="1">IFERROR(VLOOKUP(U640,Num_AS,25,FALSE),"")</f>
        <v/>
      </c>
      <c r="D649" s="223"/>
      <c r="E649" s="224"/>
      <c r="F649" s="219"/>
      <c r="G649" s="511" t="str">
        <f ca="1">IFERROR(VLOOKUP(U640,Num_AS,28,FALSE),"")</f>
        <v/>
      </c>
      <c r="H649" s="224"/>
      <c r="I649" s="222"/>
      <c r="J649" s="512" t="str">
        <f ca="1">IFERROR(VLOOKUP(U640,Num_AS,27,FALSE),"")</f>
        <v/>
      </c>
      <c r="K649" s="224"/>
      <c r="L649" s="222" t="str">
        <f ca="1">IFERROR(VLOOKUP(U640,Num_AS,29,FALSE),"")</f>
        <v/>
      </c>
      <c r="M649" s="289">
        <f ca="1">G640</f>
        <v>0</v>
      </c>
      <c r="N649" s="290"/>
      <c r="O649" s="249"/>
    </row>
    <row r="650" spans="1:25" ht="15" customHeight="1" thickBot="1" x14ac:dyDescent="0.25"/>
    <row r="651" spans="1:25" ht="20.100000000000001" customHeight="1" x14ac:dyDescent="0.2">
      <c r="F651" s="1081" t="s">
        <v>555</v>
      </c>
      <c r="G651" s="1082"/>
      <c r="H651" s="1082"/>
      <c r="I651" s="1082"/>
      <c r="J651" s="1083"/>
      <c r="K651" s="1081" t="s">
        <v>556</v>
      </c>
      <c r="L651" s="1082"/>
      <c r="M651" s="1082"/>
      <c r="N651" s="1082"/>
      <c r="O651" s="1083"/>
      <c r="P651" s="1081" t="s">
        <v>557</v>
      </c>
      <c r="Q651" s="1082"/>
      <c r="R651" s="1082"/>
      <c r="S651" s="1082"/>
      <c r="T651" s="1083"/>
      <c r="U651" s="1081" t="s">
        <v>558</v>
      </c>
      <c r="V651" s="1082"/>
      <c r="W651" s="1082"/>
      <c r="X651" s="1082"/>
      <c r="Y651" s="1083"/>
    </row>
    <row r="652" spans="1:25" ht="20.100000000000001" customHeight="1" x14ac:dyDescent="0.2">
      <c r="A652" s="1075" t="s">
        <v>559</v>
      </c>
      <c r="B652" s="1075"/>
      <c r="C652" s="1075"/>
      <c r="D652" s="1075"/>
      <c r="E652" s="1089"/>
      <c r="F652" s="1090" t="s">
        <v>560</v>
      </c>
      <c r="G652" s="1075"/>
      <c r="H652" s="1075"/>
      <c r="J652" s="225" t="s">
        <v>7</v>
      </c>
      <c r="K652" s="1090" t="s">
        <v>560</v>
      </c>
      <c r="L652" s="1075"/>
      <c r="M652" s="1075"/>
      <c r="O652" s="225" t="s">
        <v>7</v>
      </c>
      <c r="P652" s="1090" t="s">
        <v>560</v>
      </c>
      <c r="Q652" s="1075"/>
      <c r="R652" s="1075"/>
      <c r="T652" s="225" t="s">
        <v>7</v>
      </c>
      <c r="U652" s="1090" t="s">
        <v>560</v>
      </c>
      <c r="V652" s="1075"/>
      <c r="W652" s="1075"/>
      <c r="Y652" s="225" t="s">
        <v>7</v>
      </c>
    </row>
    <row r="653" spans="1:25" ht="24" customHeight="1" x14ac:dyDescent="0.2">
      <c r="A653" s="513" t="str">
        <f ca="1">A646</f>
        <v/>
      </c>
      <c r="B653" s="227"/>
      <c r="C653" s="514" t="str">
        <f ca="1">C646</f>
        <v/>
      </c>
      <c r="D653" s="227"/>
      <c r="E653" s="227"/>
      <c r="F653" s="228"/>
      <c r="G653" s="229"/>
      <c r="H653" s="229"/>
      <c r="I653" s="230" t="s">
        <v>561</v>
      </c>
      <c r="J653" s="231"/>
      <c r="K653" s="228"/>
      <c r="L653" s="229"/>
      <c r="M653" s="229"/>
      <c r="N653" s="230" t="s">
        <v>561</v>
      </c>
      <c r="O653" s="231"/>
      <c r="P653" s="228"/>
      <c r="Q653" s="229"/>
      <c r="R653" s="229"/>
      <c r="S653" s="230" t="s">
        <v>561</v>
      </c>
      <c r="T653" s="231"/>
      <c r="U653" s="228"/>
      <c r="V653" s="229"/>
      <c r="W653" s="229"/>
      <c r="X653" s="230" t="s">
        <v>561</v>
      </c>
      <c r="Y653" s="231"/>
    </row>
    <row r="654" spans="1:25" ht="24" customHeight="1" x14ac:dyDescent="0.2">
      <c r="A654" s="513" t="str">
        <f ca="1">A647</f>
        <v/>
      </c>
      <c r="B654" s="227"/>
      <c r="C654" s="514" t="str">
        <f ca="1">C647</f>
        <v/>
      </c>
      <c r="D654" s="227"/>
      <c r="E654" s="227"/>
      <c r="F654" s="228"/>
      <c r="G654" s="229"/>
      <c r="H654" s="229"/>
      <c r="I654" s="230" t="s">
        <v>561</v>
      </c>
      <c r="J654" s="231"/>
      <c r="K654" s="228"/>
      <c r="L654" s="229"/>
      <c r="M654" s="229"/>
      <c r="N654" s="230" t="s">
        <v>561</v>
      </c>
      <c r="O654" s="231"/>
      <c r="P654" s="228"/>
      <c r="Q654" s="229"/>
      <c r="R654" s="229"/>
      <c r="S654" s="230" t="s">
        <v>561</v>
      </c>
      <c r="T654" s="231"/>
      <c r="U654" s="228"/>
      <c r="V654" s="229"/>
      <c r="W654" s="229"/>
      <c r="X654" s="230" t="s">
        <v>561</v>
      </c>
      <c r="Y654" s="231"/>
    </row>
    <row r="655" spans="1:25" ht="24" customHeight="1" x14ac:dyDescent="0.2">
      <c r="A655" s="513" t="str">
        <f ca="1">A648</f>
        <v/>
      </c>
      <c r="B655" s="227"/>
      <c r="C655" s="514" t="str">
        <f ca="1">C648</f>
        <v/>
      </c>
      <c r="D655" s="227"/>
      <c r="E655" s="227"/>
      <c r="F655" s="228"/>
      <c r="G655" s="229"/>
      <c r="H655" s="229"/>
      <c r="I655" s="230" t="s">
        <v>561</v>
      </c>
      <c r="J655" s="231"/>
      <c r="K655" s="228"/>
      <c r="L655" s="229"/>
      <c r="M655" s="229"/>
      <c r="N655" s="230" t="s">
        <v>561</v>
      </c>
      <c r="O655" s="231"/>
      <c r="P655" s="228"/>
      <c r="Q655" s="229"/>
      <c r="R655" s="229"/>
      <c r="S655" s="230" t="s">
        <v>561</v>
      </c>
      <c r="T655" s="231"/>
      <c r="U655" s="228"/>
      <c r="V655" s="229"/>
      <c r="W655" s="229"/>
      <c r="X655" s="230" t="s">
        <v>561</v>
      </c>
      <c r="Y655" s="231"/>
    </row>
    <row r="656" spans="1:25" ht="24" customHeight="1" x14ac:dyDescent="0.2">
      <c r="A656" s="513" t="str">
        <f ca="1">A649</f>
        <v/>
      </c>
      <c r="B656" s="227"/>
      <c r="C656" s="514" t="str">
        <f ca="1">C649</f>
        <v/>
      </c>
      <c r="D656" s="227"/>
      <c r="E656" s="227"/>
      <c r="F656" s="228"/>
      <c r="G656" s="229"/>
      <c r="H656" s="229"/>
      <c r="I656" s="230" t="s">
        <v>561</v>
      </c>
      <c r="J656" s="232"/>
      <c r="K656" s="228"/>
      <c r="L656" s="229"/>
      <c r="M656" s="229"/>
      <c r="N656" s="230" t="s">
        <v>561</v>
      </c>
      <c r="O656" s="232"/>
      <c r="P656" s="228"/>
      <c r="Q656" s="229"/>
      <c r="R656" s="229"/>
      <c r="S656" s="230" t="s">
        <v>561</v>
      </c>
      <c r="T656" s="232"/>
      <c r="U656" s="228"/>
      <c r="V656" s="229"/>
      <c r="W656" s="229"/>
      <c r="X656" s="230" t="s">
        <v>561</v>
      </c>
      <c r="Y656" s="232"/>
    </row>
    <row r="657" spans="1:25" ht="24" customHeight="1" thickBot="1" x14ac:dyDescent="0.25">
      <c r="F657" s="1079" t="s">
        <v>562</v>
      </c>
      <c r="G657" s="1080"/>
      <c r="H657" s="1080"/>
      <c r="I657" s="230" t="s">
        <v>561</v>
      </c>
      <c r="J657" s="231"/>
      <c r="K657" s="1079" t="s">
        <v>563</v>
      </c>
      <c r="L657" s="1080"/>
      <c r="M657" s="1080"/>
      <c r="N657" s="230" t="s">
        <v>561</v>
      </c>
      <c r="O657" s="232"/>
      <c r="P657" s="1079" t="s">
        <v>564</v>
      </c>
      <c r="Q657" s="1080"/>
      <c r="R657" s="1080"/>
      <c r="S657" s="230" t="s">
        <v>561</v>
      </c>
      <c r="T657" s="232"/>
      <c r="U657" s="1079" t="s">
        <v>565</v>
      </c>
      <c r="V657" s="1080"/>
      <c r="W657" s="1080"/>
      <c r="X657" s="230" t="s">
        <v>561</v>
      </c>
      <c r="Y657" s="232"/>
    </row>
    <row r="658" spans="1:25" ht="24" customHeight="1" thickBot="1" x14ac:dyDescent="0.25">
      <c r="A658" s="508" t="s">
        <v>1013</v>
      </c>
      <c r="B658" s="508"/>
      <c r="D658" s="1094">
        <f ca="1">VLOOKUP(A642&amp;A643,PTS_SP,2,FALSE)</f>
        <v>0</v>
      </c>
      <c r="E658" s="1095"/>
      <c r="F658" s="745" t="s">
        <v>1014</v>
      </c>
      <c r="G658" s="670"/>
      <c r="H658" s="744"/>
      <c r="I658" s="1096"/>
      <c r="J658" s="1097"/>
      <c r="K658" s="1100" t="s">
        <v>1015</v>
      </c>
      <c r="L658" s="1101"/>
      <c r="M658" s="1102"/>
      <c r="N658" s="1096"/>
      <c r="O658" s="1097"/>
      <c r="P658" s="1100" t="s">
        <v>1016</v>
      </c>
      <c r="Q658" s="1101"/>
      <c r="R658" s="1102"/>
      <c r="S658" s="1096"/>
      <c r="T658" s="1097"/>
      <c r="U658" s="1100" t="s">
        <v>1017</v>
      </c>
      <c r="V658" s="1101"/>
      <c r="W658" s="1102"/>
      <c r="X658" s="1096"/>
      <c r="Y658" s="1097"/>
    </row>
    <row r="659" spans="1:25" ht="12.75" customHeight="1" x14ac:dyDescent="0.2">
      <c r="Y659" s="240" t="s">
        <v>570</v>
      </c>
    </row>
    <row r="660" spans="1:25" ht="15.75" customHeight="1" x14ac:dyDescent="0.2">
      <c r="B660" s="1091" t="s">
        <v>851</v>
      </c>
      <c r="C660" s="1091"/>
      <c r="D660" s="1091"/>
      <c r="E660" s="1091"/>
      <c r="F660" s="1091"/>
      <c r="G660" s="1091"/>
      <c r="H660" s="1091"/>
      <c r="I660" s="1091"/>
      <c r="J660" s="1091"/>
      <c r="K660" s="1091"/>
      <c r="L660" s="1091"/>
      <c r="O660" s="1091" t="s">
        <v>522</v>
      </c>
      <c r="P660" s="1091"/>
      <c r="Q660" s="1091"/>
      <c r="R660" s="1091"/>
      <c r="S660" s="1091"/>
      <c r="T660" s="1091"/>
      <c r="U660" s="1091"/>
      <c r="V660" s="1091"/>
      <c r="W660" s="1091"/>
      <c r="X660" s="1091"/>
      <c r="Y660" s="1091"/>
    </row>
    <row r="661" spans="1:25" ht="13.5" customHeight="1" x14ac:dyDescent="0.2">
      <c r="B661" s="1086" t="s">
        <v>1</v>
      </c>
      <c r="C661" s="1087"/>
      <c r="D661" s="1087"/>
      <c r="E661" s="1087"/>
      <c r="F661" s="1087"/>
      <c r="G661" s="1087"/>
      <c r="H661" s="1088"/>
      <c r="I661" s="1086" t="s">
        <v>520</v>
      </c>
      <c r="J661" s="1087"/>
      <c r="K661" s="1087"/>
      <c r="L661" s="1088"/>
      <c r="N661" s="241"/>
      <c r="O661" s="1086" t="s">
        <v>1</v>
      </c>
      <c r="P661" s="1087"/>
      <c r="Q661" s="1087"/>
      <c r="R661" s="1087"/>
      <c r="S661" s="1087"/>
      <c r="T661" s="1087"/>
      <c r="U661" s="1088"/>
      <c r="V661" s="1086" t="s">
        <v>520</v>
      </c>
      <c r="W661" s="1087"/>
      <c r="X661" s="1087"/>
      <c r="Y661" s="1088"/>
    </row>
    <row r="662" spans="1:25" ht="21.75" customHeight="1" x14ac:dyDescent="0.2">
      <c r="B662" s="242"/>
      <c r="C662" s="243"/>
      <c r="D662" s="243"/>
      <c r="E662" s="243"/>
      <c r="F662" s="243"/>
      <c r="G662" s="243"/>
      <c r="H662" s="243"/>
      <c r="I662" s="242"/>
      <c r="J662" s="243"/>
      <c r="K662" s="243"/>
      <c r="L662" s="244"/>
      <c r="N662" s="241"/>
      <c r="O662" s="242"/>
      <c r="P662" s="243"/>
      <c r="Q662" s="243"/>
      <c r="R662" s="243"/>
      <c r="S662" s="243"/>
      <c r="T662" s="243"/>
      <c r="U662" s="243"/>
      <c r="V662" s="242"/>
      <c r="W662" s="243"/>
      <c r="X662" s="243"/>
      <c r="Y662" s="244"/>
    </row>
    <row r="663" spans="1:25" ht="13.5" customHeight="1" x14ac:dyDescent="0.2"/>
    <row r="664" spans="1:25" ht="14.25" customHeight="1" thickBot="1" x14ac:dyDescent="0.25">
      <c r="A664" s="241"/>
      <c r="G664" s="305"/>
      <c r="H664" s="305"/>
      <c r="I664" s="1069" t="s">
        <v>0</v>
      </c>
      <c r="J664" s="1069"/>
      <c r="K664" s="1069"/>
      <c r="L664" s="1069"/>
      <c r="M664" s="1069"/>
      <c r="N664" s="1069"/>
      <c r="O664" s="1069"/>
      <c r="P664" s="1069" t="s">
        <v>374</v>
      </c>
      <c r="Q664" s="1069"/>
      <c r="R664" s="1069"/>
      <c r="S664" s="1069"/>
      <c r="T664" s="1069"/>
      <c r="U664" s="1069" t="s">
        <v>571</v>
      </c>
      <c r="V664" s="1069"/>
      <c r="W664" s="1069"/>
      <c r="X664" s="305"/>
      <c r="Y664" s="305"/>
    </row>
    <row r="665" spans="1:25" ht="20.25" customHeight="1" x14ac:dyDescent="0.2">
      <c r="A665" s="241"/>
      <c r="F665" s="1074" t="s">
        <v>584</v>
      </c>
      <c r="G665" s="1074"/>
      <c r="H665" s="1074"/>
      <c r="I665" s="316"/>
      <c r="J665" s="306"/>
      <c r="K665" s="306"/>
      <c r="L665" s="306"/>
      <c r="M665" s="306"/>
      <c r="N665" s="306"/>
      <c r="O665" s="306"/>
      <c r="P665" s="312"/>
      <c r="Q665" s="306"/>
      <c r="R665" s="307"/>
      <c r="S665" s="304"/>
      <c r="T665" s="313"/>
      <c r="U665" s="310"/>
      <c r="V665" s="1084" t="s">
        <v>495</v>
      </c>
      <c r="W665" s="308"/>
    </row>
    <row r="666" spans="1:25" ht="13.5" thickBot="1" x14ac:dyDescent="0.25">
      <c r="F666" s="1074"/>
      <c r="G666" s="1074"/>
      <c r="H666" s="1074"/>
      <c r="I666" s="303"/>
      <c r="J666" s="235"/>
      <c r="K666" s="235"/>
      <c r="L666" s="235"/>
      <c r="M666" s="235"/>
      <c r="N666" s="235"/>
      <c r="O666" s="235"/>
      <c r="P666" s="314"/>
      <c r="Q666" s="235"/>
      <c r="R666" s="234"/>
      <c r="S666" s="234"/>
      <c r="T666" s="315"/>
      <c r="U666" s="311"/>
      <c r="V666" s="1085"/>
      <c r="W666" s="309"/>
    </row>
    <row r="668" spans="1:25" ht="6.75" customHeight="1" x14ac:dyDescent="0.2"/>
    <row r="669" spans="1:25" s="218" customFormat="1" ht="23.25" customHeight="1" x14ac:dyDescent="0.2">
      <c r="A669" s="1072" t="s">
        <v>546</v>
      </c>
      <c r="B669" s="1073"/>
      <c r="C669" s="499" t="str">
        <f>C640</f>
        <v>D1</v>
      </c>
      <c r="D669" s="1098" t="s">
        <v>628</v>
      </c>
      <c r="E669" s="1072"/>
      <c r="F669" s="1072"/>
      <c r="G669" s="1103">
        <f ca="1">INDIRECT("AD"&amp;V669)</f>
        <v>0</v>
      </c>
      <c r="H669" s="1104"/>
      <c r="J669" s="218" t="str">
        <f>CATEG_IMPORTEE</f>
        <v>Collèges Mixtes Etablissement</v>
      </c>
      <c r="T669" s="500"/>
      <c r="U669" s="520">
        <f ca="1">INDIRECT("AE"&amp;V669)</f>
        <v>0</v>
      </c>
      <c r="V669" s="500">
        <f>Y669+2</f>
        <v>26</v>
      </c>
      <c r="W669" s="501">
        <f ca="1">INDIRECT("AF"&amp;V669)</f>
        <v>0</v>
      </c>
      <c r="X669" s="502" t="s">
        <v>849</v>
      </c>
      <c r="Y669" s="503">
        <f>Y640+1</f>
        <v>24</v>
      </c>
    </row>
    <row r="670" spans="1:25" ht="27" customHeight="1" thickBot="1" x14ac:dyDescent="0.25">
      <c r="A670" s="1093" t="s">
        <v>0</v>
      </c>
      <c r="B670" s="1093"/>
      <c r="C670" s="1093"/>
      <c r="D670" s="1093"/>
      <c r="E670" s="1093"/>
      <c r="F670" s="1093"/>
      <c r="G670" s="1093"/>
      <c r="H670" s="1093" t="s">
        <v>374</v>
      </c>
      <c r="I670" s="1093"/>
      <c r="J670" s="1093"/>
      <c r="K670" s="1093"/>
      <c r="L670" s="1093"/>
      <c r="O670" s="1069" t="s">
        <v>0</v>
      </c>
      <c r="P670" s="1069"/>
      <c r="Q670" s="1069"/>
      <c r="R670" s="1069"/>
      <c r="S670" s="1069"/>
      <c r="T670" s="1069"/>
      <c r="U670" s="1069"/>
      <c r="V670" s="1069" t="s">
        <v>374</v>
      </c>
      <c r="W670" s="1069"/>
      <c r="X670" s="1069"/>
      <c r="Y670" s="1069"/>
    </row>
    <row r="671" spans="1:25" ht="24" customHeight="1" thickBot="1" x14ac:dyDescent="0.25">
      <c r="A671" s="504" t="str">
        <f ca="1">IFERROR(VLOOKUP(U669,Num_AS,2,FALSE),"")</f>
        <v/>
      </c>
      <c r="B671" s="505"/>
      <c r="C671" s="505"/>
      <c r="D671" s="505"/>
      <c r="E671" s="505"/>
      <c r="F671" s="505"/>
      <c r="G671" s="506"/>
      <c r="H671" s="507" t="str">
        <f ca="1">IFERROR(VLOOKUP(U669,Num_AS,4,FALSE),"")</f>
        <v/>
      </c>
      <c r="I671" s="220"/>
      <c r="J671" s="220"/>
      <c r="K671" s="220"/>
      <c r="L671" s="738"/>
      <c r="M671" s="1070" t="s">
        <v>547</v>
      </c>
      <c r="N671" s="1071"/>
      <c r="O671" s="504" t="str">
        <f ca="1">IFERROR(VLOOKUP(W669,Num_AS,2,FALSE),"")</f>
        <v/>
      </c>
      <c r="P671" s="505"/>
      <c r="Q671" s="505"/>
      <c r="R671" s="505"/>
      <c r="S671" s="505"/>
      <c r="T671" s="505"/>
      <c r="U671" s="506"/>
      <c r="V671" s="507" t="str">
        <f ca="1">IFERROR(VLOOKUP(W669,Num_AS,4,FALSE),"")</f>
        <v/>
      </c>
      <c r="W671" s="220"/>
      <c r="X671" s="220"/>
      <c r="Y671" s="221"/>
    </row>
    <row r="672" spans="1:25" ht="15" customHeight="1" x14ac:dyDescent="0.2">
      <c r="A672" s="736" t="str">
        <f ca="1">IFERROR(VLOOKUP(U669,Num_AS,3,FALSE),"")</f>
        <v/>
      </c>
      <c r="B672" s="736"/>
      <c r="C672" s="736"/>
      <c r="D672" s="736"/>
      <c r="E672" s="736"/>
      <c r="F672" s="736"/>
      <c r="G672" s="736"/>
      <c r="H672" s="737"/>
    </row>
    <row r="673" spans="1:25" ht="20.100000000000001" customHeight="1" x14ac:dyDescent="0.2">
      <c r="A673" s="1074" t="s">
        <v>548</v>
      </c>
      <c r="B673" s="1074"/>
      <c r="C673" s="1074"/>
      <c r="D673" s="1074"/>
      <c r="E673" s="1074"/>
      <c r="Q673" s="217" t="str">
        <f>Q644</f>
        <v>Championnat de France de Tir à l'ARC</v>
      </c>
    </row>
    <row r="674" spans="1:25" ht="20.100000000000001" customHeight="1" x14ac:dyDescent="0.2">
      <c r="A674" s="1075" t="s">
        <v>549</v>
      </c>
      <c r="B674" s="1075"/>
      <c r="C674" s="1075"/>
      <c r="D674" s="1075"/>
      <c r="E674" s="1075"/>
      <c r="G674" s="1076" t="s">
        <v>480</v>
      </c>
      <c r="H674" s="1076"/>
      <c r="I674" s="1077" t="s">
        <v>550</v>
      </c>
      <c r="J674" s="1077"/>
      <c r="K674" s="1077"/>
      <c r="L674" s="252" t="s">
        <v>551</v>
      </c>
      <c r="M674" s="1078" t="s">
        <v>552</v>
      </c>
      <c r="N674" s="1078"/>
      <c r="O674" s="251"/>
      <c r="Q674" s="217" t="str">
        <f>Q645</f>
        <v>L’Isle sur la Sorgue du 27 au 31 mars 2023</v>
      </c>
    </row>
    <row r="675" spans="1:25" ht="24" customHeight="1" x14ac:dyDescent="0.2">
      <c r="A675" s="509" t="str">
        <f ca="1">IFERROR(VLOOKUP(U669,Num_AS,6,FALSE),"")</f>
        <v/>
      </c>
      <c r="B675" s="223"/>
      <c r="C675" s="510" t="str">
        <f ca="1">IFERROR(VLOOKUP(U669,Num_AS,7,FALSE),"")</f>
        <v/>
      </c>
      <c r="D675" s="223"/>
      <c r="E675" s="224"/>
      <c r="F675" s="219"/>
      <c r="G675" s="511" t="str">
        <f ca="1">IFERROR(VLOOKUP(U669,Num_AS,10,FALSE),"")</f>
        <v/>
      </c>
      <c r="H675" s="224"/>
      <c r="I675" s="222"/>
      <c r="J675" s="512" t="str">
        <f ca="1">IFERROR(VLOOKUP(U669,Num_AS,9,FALSE),"")</f>
        <v/>
      </c>
      <c r="K675" s="224"/>
      <c r="L675" s="222" t="str">
        <f ca="1">IFERROR(VLOOKUP(U669,Num_AS,11,FALSE),"")</f>
        <v/>
      </c>
      <c r="M675" s="287">
        <f ca="1">G669</f>
        <v>0</v>
      </c>
      <c r="N675" s="288"/>
      <c r="O675" s="249"/>
      <c r="R675" s="254"/>
      <c r="S675" s="254"/>
      <c r="T675" s="254"/>
      <c r="U675" s="254"/>
      <c r="V675" s="254"/>
      <c r="W675" s="254"/>
      <c r="X675" s="254"/>
      <c r="Y675" s="254"/>
    </row>
    <row r="676" spans="1:25" ht="24" customHeight="1" x14ac:dyDescent="0.2">
      <c r="A676" s="509" t="str">
        <f ca="1">IFERROR(VLOOKUP(U669,Num_AS,12,FALSE),"")</f>
        <v/>
      </c>
      <c r="B676" s="223"/>
      <c r="C676" s="510" t="str">
        <f ca="1">IFERROR(VLOOKUP(U669,Num_AS,13,FALSE),"")</f>
        <v/>
      </c>
      <c r="D676" s="223"/>
      <c r="E676" s="224"/>
      <c r="F676" s="219"/>
      <c r="G676" s="511" t="str">
        <f ca="1">IFERROR(VLOOKUP(U669,Num_AS,16,FALSE),"")</f>
        <v/>
      </c>
      <c r="H676" s="224"/>
      <c r="I676" s="222"/>
      <c r="J676" s="512" t="str">
        <f ca="1">IFERROR(VLOOKUP(U669,Num_AS,15,FALSE),"")</f>
        <v/>
      </c>
      <c r="K676" s="224"/>
      <c r="L676" s="222" t="str">
        <f ca="1">IFERROR(VLOOKUP(U669,Num_AS,17,FALSE),"")</f>
        <v/>
      </c>
      <c r="M676" s="287">
        <f ca="1">G669</f>
        <v>0</v>
      </c>
      <c r="N676" s="288"/>
      <c r="O676" s="249"/>
      <c r="Q676" s="254"/>
      <c r="R676" s="254"/>
      <c r="S676" s="254"/>
      <c r="T676" s="254"/>
      <c r="U676" s="254"/>
      <c r="V676" s="254"/>
      <c r="W676" s="254"/>
      <c r="X676" s="254"/>
      <c r="Y676" s="254"/>
    </row>
    <row r="677" spans="1:25" ht="24" customHeight="1" x14ac:dyDescent="0.2">
      <c r="A677" s="509" t="str">
        <f ca="1">IFERROR(VLOOKUP(U669,Num_AS,18,FALSE),"")</f>
        <v/>
      </c>
      <c r="B677" s="223"/>
      <c r="C677" s="510" t="str">
        <f ca="1">IFERROR(VLOOKUP(U669,Num_AS,19,FALSE),"")</f>
        <v/>
      </c>
      <c r="D677" s="223"/>
      <c r="E677" s="224"/>
      <c r="F677" s="219"/>
      <c r="G677" s="511" t="str">
        <f ca="1">IFERROR(VLOOKUP(U669,Num_AS,22,FALSE),"")</f>
        <v/>
      </c>
      <c r="H677" s="224"/>
      <c r="I677" s="222"/>
      <c r="J677" s="512" t="str">
        <f ca="1">IFERROR(VLOOKUP(U669,Num_AS,21,FALSE),"")</f>
        <v/>
      </c>
      <c r="K677" s="224"/>
      <c r="L677" s="222" t="str">
        <f ca="1">IFERROR(VLOOKUP(U669,Num_AS,23,FALSE),"")</f>
        <v/>
      </c>
      <c r="M677" s="287">
        <f ca="1">G669</f>
        <v>0</v>
      </c>
      <c r="N677" s="288"/>
      <c r="O677" s="249"/>
      <c r="Q677" s="254"/>
      <c r="R677" s="254"/>
      <c r="S677" s="254"/>
      <c r="T677" s="254"/>
      <c r="U677" s="254"/>
      <c r="V677" s="254"/>
      <c r="W677" s="254"/>
      <c r="X677" s="254"/>
      <c r="Y677" s="254"/>
    </row>
    <row r="678" spans="1:25" ht="24" customHeight="1" x14ac:dyDescent="0.2">
      <c r="A678" s="509" t="str">
        <f ca="1">IFERROR(VLOOKUP(U669,Num_AS,24,FALSE),"")</f>
        <v/>
      </c>
      <c r="B678" s="223"/>
      <c r="C678" s="510" t="str">
        <f ca="1">IFERROR(VLOOKUP(U669,Num_AS,25,FALSE),"")</f>
        <v/>
      </c>
      <c r="D678" s="223"/>
      <c r="E678" s="224"/>
      <c r="F678" s="219"/>
      <c r="G678" s="511" t="str">
        <f ca="1">IFERROR(VLOOKUP(U669,Num_AS,28,FALSE),"")</f>
        <v/>
      </c>
      <c r="H678" s="224"/>
      <c r="I678" s="222"/>
      <c r="J678" s="512" t="str">
        <f ca="1">IFERROR(VLOOKUP(U669,Num_AS,27,FALSE),"")</f>
        <v/>
      </c>
      <c r="K678" s="224"/>
      <c r="L678" s="222" t="str">
        <f ca="1">IFERROR(VLOOKUP(U669,Num_AS,29,FALSE),"")</f>
        <v/>
      </c>
      <c r="M678" s="289">
        <f ca="1">G669</f>
        <v>0</v>
      </c>
      <c r="N678" s="290"/>
      <c r="O678" s="249"/>
    </row>
    <row r="679" spans="1:25" ht="15" customHeight="1" thickBot="1" x14ac:dyDescent="0.25"/>
    <row r="680" spans="1:25" ht="20.100000000000001" customHeight="1" x14ac:dyDescent="0.2">
      <c r="F680" s="1081" t="s">
        <v>555</v>
      </c>
      <c r="G680" s="1082"/>
      <c r="H680" s="1082"/>
      <c r="I680" s="1082"/>
      <c r="J680" s="1083"/>
      <c r="K680" s="1081" t="s">
        <v>556</v>
      </c>
      <c r="L680" s="1082"/>
      <c r="M680" s="1082"/>
      <c r="N680" s="1082"/>
      <c r="O680" s="1083"/>
      <c r="P680" s="1081" t="s">
        <v>557</v>
      </c>
      <c r="Q680" s="1082"/>
      <c r="R680" s="1082"/>
      <c r="S680" s="1082"/>
      <c r="T680" s="1083"/>
      <c r="U680" s="1081" t="s">
        <v>558</v>
      </c>
      <c r="V680" s="1082"/>
      <c r="W680" s="1082"/>
      <c r="X680" s="1082"/>
      <c r="Y680" s="1083"/>
    </row>
    <row r="681" spans="1:25" ht="20.100000000000001" customHeight="1" x14ac:dyDescent="0.2">
      <c r="A681" s="1075" t="s">
        <v>559</v>
      </c>
      <c r="B681" s="1075"/>
      <c r="C681" s="1075"/>
      <c r="D681" s="1075"/>
      <c r="E681" s="1089"/>
      <c r="F681" s="1090" t="s">
        <v>560</v>
      </c>
      <c r="G681" s="1075"/>
      <c r="H681" s="1075"/>
      <c r="J681" s="225" t="s">
        <v>7</v>
      </c>
      <c r="K681" s="1090" t="s">
        <v>560</v>
      </c>
      <c r="L681" s="1075"/>
      <c r="M681" s="1075"/>
      <c r="O681" s="225" t="s">
        <v>7</v>
      </c>
      <c r="P681" s="1090" t="s">
        <v>560</v>
      </c>
      <c r="Q681" s="1075"/>
      <c r="R681" s="1075"/>
      <c r="T681" s="225" t="s">
        <v>7</v>
      </c>
      <c r="U681" s="1090" t="s">
        <v>560</v>
      </c>
      <c r="V681" s="1075"/>
      <c r="W681" s="1075"/>
      <c r="Y681" s="225" t="s">
        <v>7</v>
      </c>
    </row>
    <row r="682" spans="1:25" ht="24" customHeight="1" x14ac:dyDescent="0.2">
      <c r="A682" s="513" t="str">
        <f ca="1">A675</f>
        <v/>
      </c>
      <c r="B682" s="227"/>
      <c r="C682" s="514" t="str">
        <f ca="1">C675</f>
        <v/>
      </c>
      <c r="D682" s="227"/>
      <c r="E682" s="227"/>
      <c r="F682" s="228"/>
      <c r="G682" s="229"/>
      <c r="H682" s="229"/>
      <c r="I682" s="230" t="s">
        <v>561</v>
      </c>
      <c r="J682" s="231"/>
      <c r="K682" s="228"/>
      <c r="L682" s="229"/>
      <c r="M682" s="229"/>
      <c r="N682" s="230" t="s">
        <v>561</v>
      </c>
      <c r="O682" s="231"/>
      <c r="P682" s="228"/>
      <c r="Q682" s="229"/>
      <c r="R682" s="229"/>
      <c r="S682" s="230" t="s">
        <v>561</v>
      </c>
      <c r="T682" s="231"/>
      <c r="U682" s="228"/>
      <c r="V682" s="229"/>
      <c r="W682" s="229"/>
      <c r="X682" s="230" t="s">
        <v>561</v>
      </c>
      <c r="Y682" s="231"/>
    </row>
    <row r="683" spans="1:25" ht="24" customHeight="1" x14ac:dyDescent="0.2">
      <c r="A683" s="513" t="str">
        <f ca="1">A676</f>
        <v/>
      </c>
      <c r="B683" s="227"/>
      <c r="C683" s="514" t="str">
        <f ca="1">C676</f>
        <v/>
      </c>
      <c r="D683" s="227"/>
      <c r="E683" s="227"/>
      <c r="F683" s="228"/>
      <c r="G683" s="229"/>
      <c r="H683" s="229"/>
      <c r="I683" s="230" t="s">
        <v>561</v>
      </c>
      <c r="J683" s="231"/>
      <c r="K683" s="228"/>
      <c r="L683" s="229"/>
      <c r="M683" s="229"/>
      <c r="N683" s="230" t="s">
        <v>561</v>
      </c>
      <c r="O683" s="231"/>
      <c r="P683" s="228"/>
      <c r="Q683" s="229"/>
      <c r="R683" s="229"/>
      <c r="S683" s="230" t="s">
        <v>561</v>
      </c>
      <c r="T683" s="231"/>
      <c r="U683" s="228"/>
      <c r="V683" s="229"/>
      <c r="W683" s="229"/>
      <c r="X683" s="230" t="s">
        <v>561</v>
      </c>
      <c r="Y683" s="231"/>
    </row>
    <row r="684" spans="1:25" ht="24" customHeight="1" x14ac:dyDescent="0.2">
      <c r="A684" s="513" t="str">
        <f ca="1">A677</f>
        <v/>
      </c>
      <c r="B684" s="227"/>
      <c r="C684" s="514" t="str">
        <f ca="1">C677</f>
        <v/>
      </c>
      <c r="D684" s="227"/>
      <c r="E684" s="227"/>
      <c r="F684" s="228"/>
      <c r="G684" s="229"/>
      <c r="H684" s="229"/>
      <c r="I684" s="230" t="s">
        <v>561</v>
      </c>
      <c r="J684" s="231"/>
      <c r="K684" s="228"/>
      <c r="L684" s="229"/>
      <c r="M684" s="229"/>
      <c r="N684" s="230" t="s">
        <v>561</v>
      </c>
      <c r="O684" s="231"/>
      <c r="P684" s="228"/>
      <c r="Q684" s="229"/>
      <c r="R684" s="229"/>
      <c r="S684" s="230" t="s">
        <v>561</v>
      </c>
      <c r="T684" s="231"/>
      <c r="U684" s="228"/>
      <c r="V684" s="229"/>
      <c r="W684" s="229"/>
      <c r="X684" s="230" t="s">
        <v>561</v>
      </c>
      <c r="Y684" s="231"/>
    </row>
    <row r="685" spans="1:25" ht="24" customHeight="1" x14ac:dyDescent="0.2">
      <c r="A685" s="513" t="str">
        <f ca="1">A678</f>
        <v/>
      </c>
      <c r="B685" s="227"/>
      <c r="C685" s="514" t="str">
        <f ca="1">C678</f>
        <v/>
      </c>
      <c r="D685" s="227"/>
      <c r="E685" s="227"/>
      <c r="F685" s="228"/>
      <c r="G685" s="229"/>
      <c r="H685" s="229"/>
      <c r="I685" s="230" t="s">
        <v>561</v>
      </c>
      <c r="J685" s="232"/>
      <c r="K685" s="228"/>
      <c r="L685" s="229"/>
      <c r="M685" s="229"/>
      <c r="N685" s="230" t="s">
        <v>561</v>
      </c>
      <c r="O685" s="232"/>
      <c r="P685" s="228"/>
      <c r="Q685" s="229"/>
      <c r="R685" s="229"/>
      <c r="S685" s="230" t="s">
        <v>561</v>
      </c>
      <c r="T685" s="232"/>
      <c r="U685" s="228"/>
      <c r="V685" s="229"/>
      <c r="W685" s="229"/>
      <c r="X685" s="230" t="s">
        <v>561</v>
      </c>
      <c r="Y685" s="232"/>
    </row>
    <row r="686" spans="1:25" ht="24" customHeight="1" thickBot="1" x14ac:dyDescent="0.25">
      <c r="F686" s="1079" t="s">
        <v>562</v>
      </c>
      <c r="G686" s="1080"/>
      <c r="H686" s="1080"/>
      <c r="I686" s="230" t="s">
        <v>561</v>
      </c>
      <c r="J686" s="231"/>
      <c r="K686" s="1079" t="s">
        <v>563</v>
      </c>
      <c r="L686" s="1080"/>
      <c r="M686" s="1080"/>
      <c r="N686" s="230" t="s">
        <v>561</v>
      </c>
      <c r="O686" s="232"/>
      <c r="P686" s="1079" t="s">
        <v>564</v>
      </c>
      <c r="Q686" s="1080"/>
      <c r="R686" s="1080"/>
      <c r="S686" s="230" t="s">
        <v>561</v>
      </c>
      <c r="T686" s="232"/>
      <c r="U686" s="1079" t="s">
        <v>565</v>
      </c>
      <c r="V686" s="1080"/>
      <c r="W686" s="1080"/>
      <c r="X686" s="230" t="s">
        <v>561</v>
      </c>
      <c r="Y686" s="232"/>
    </row>
    <row r="687" spans="1:25" ht="24" customHeight="1" thickBot="1" x14ac:dyDescent="0.25">
      <c r="A687" s="508" t="s">
        <v>1013</v>
      </c>
      <c r="B687" s="508"/>
      <c r="D687" s="1094">
        <f ca="1">VLOOKUP(A671&amp;A672,PTS_SP,2,FALSE)</f>
        <v>0</v>
      </c>
      <c r="E687" s="1095"/>
      <c r="F687" s="745" t="s">
        <v>1014</v>
      </c>
      <c r="G687" s="670"/>
      <c r="H687" s="744"/>
      <c r="I687" s="1096"/>
      <c r="J687" s="1097"/>
      <c r="K687" s="1100" t="s">
        <v>1015</v>
      </c>
      <c r="L687" s="1101"/>
      <c r="M687" s="1102"/>
      <c r="N687" s="1096"/>
      <c r="O687" s="1097"/>
      <c r="P687" s="1100" t="s">
        <v>1016</v>
      </c>
      <c r="Q687" s="1101"/>
      <c r="R687" s="1102"/>
      <c r="S687" s="1096"/>
      <c r="T687" s="1097"/>
      <c r="U687" s="1100" t="s">
        <v>1017</v>
      </c>
      <c r="V687" s="1101"/>
      <c r="W687" s="1102"/>
      <c r="X687" s="1096"/>
      <c r="Y687" s="1097"/>
    </row>
    <row r="688" spans="1:25" ht="12.75" customHeight="1" x14ac:dyDescent="0.2">
      <c r="Y688" s="240" t="s">
        <v>570</v>
      </c>
    </row>
    <row r="689" spans="1:25" ht="15.75" customHeight="1" x14ac:dyDescent="0.2">
      <c r="B689" s="1091" t="s">
        <v>851</v>
      </c>
      <c r="C689" s="1091"/>
      <c r="D689" s="1091"/>
      <c r="E689" s="1091"/>
      <c r="F689" s="1091"/>
      <c r="G689" s="1091"/>
      <c r="H689" s="1091"/>
      <c r="I689" s="1091"/>
      <c r="J689" s="1091"/>
      <c r="K689" s="1091"/>
      <c r="L689" s="1091"/>
      <c r="O689" s="1091" t="s">
        <v>522</v>
      </c>
      <c r="P689" s="1091"/>
      <c r="Q689" s="1091"/>
      <c r="R689" s="1091"/>
      <c r="S689" s="1091"/>
      <c r="T689" s="1091"/>
      <c r="U689" s="1091"/>
      <c r="V689" s="1091"/>
      <c r="W689" s="1091"/>
      <c r="X689" s="1091"/>
      <c r="Y689" s="1091"/>
    </row>
    <row r="690" spans="1:25" ht="13.5" customHeight="1" x14ac:dyDescent="0.2">
      <c r="B690" s="1086" t="s">
        <v>1</v>
      </c>
      <c r="C690" s="1087"/>
      <c r="D690" s="1087"/>
      <c r="E690" s="1087"/>
      <c r="F690" s="1087"/>
      <c r="G690" s="1087"/>
      <c r="H690" s="1088"/>
      <c r="I690" s="1086" t="s">
        <v>520</v>
      </c>
      <c r="J690" s="1087"/>
      <c r="K690" s="1087"/>
      <c r="L690" s="1088"/>
      <c r="N690" s="241"/>
      <c r="O690" s="1086" t="s">
        <v>1</v>
      </c>
      <c r="P690" s="1087"/>
      <c r="Q690" s="1087"/>
      <c r="R690" s="1087"/>
      <c r="S690" s="1087"/>
      <c r="T690" s="1087"/>
      <c r="U690" s="1088"/>
      <c r="V690" s="1086" t="s">
        <v>520</v>
      </c>
      <c r="W690" s="1087"/>
      <c r="X690" s="1087"/>
      <c r="Y690" s="1088"/>
    </row>
    <row r="691" spans="1:25" ht="21.75" customHeight="1" x14ac:dyDescent="0.2">
      <c r="B691" s="242"/>
      <c r="C691" s="243"/>
      <c r="D691" s="243"/>
      <c r="E691" s="243"/>
      <c r="F691" s="243"/>
      <c r="G691" s="243"/>
      <c r="H691" s="243"/>
      <c r="I691" s="242"/>
      <c r="J691" s="243"/>
      <c r="K691" s="243"/>
      <c r="L691" s="244"/>
      <c r="N691" s="241"/>
      <c r="O691" s="242"/>
      <c r="P691" s="243"/>
      <c r="Q691" s="243"/>
      <c r="R691" s="243"/>
      <c r="S691" s="243"/>
      <c r="T691" s="243"/>
      <c r="U691" s="243"/>
      <c r="V691" s="242"/>
      <c r="W691" s="243"/>
      <c r="X691" s="243"/>
      <c r="Y691" s="244"/>
    </row>
    <row r="692" spans="1:25" ht="13.5" customHeight="1" x14ac:dyDescent="0.2"/>
    <row r="693" spans="1:25" ht="14.25" customHeight="1" thickBot="1" x14ac:dyDescent="0.25">
      <c r="A693" s="241"/>
      <c r="G693" s="305"/>
      <c r="H693" s="305"/>
      <c r="I693" s="1069" t="s">
        <v>0</v>
      </c>
      <c r="J693" s="1069"/>
      <c r="K693" s="1069"/>
      <c r="L693" s="1069"/>
      <c r="M693" s="1069"/>
      <c r="N693" s="1069"/>
      <c r="O693" s="1069"/>
      <c r="P693" s="1069" t="s">
        <v>374</v>
      </c>
      <c r="Q693" s="1069"/>
      <c r="R693" s="1069"/>
      <c r="S693" s="1069"/>
      <c r="T693" s="1069"/>
      <c r="U693" s="1069" t="s">
        <v>571</v>
      </c>
      <c r="V693" s="1069"/>
      <c r="W693" s="1069"/>
      <c r="X693" s="305"/>
      <c r="Y693" s="305"/>
    </row>
    <row r="694" spans="1:25" ht="20.25" customHeight="1" x14ac:dyDescent="0.2">
      <c r="A694" s="241"/>
      <c r="F694" s="1074" t="s">
        <v>584</v>
      </c>
      <c r="G694" s="1074"/>
      <c r="H694" s="1074"/>
      <c r="I694" s="316"/>
      <c r="J694" s="306"/>
      <c r="K694" s="306"/>
      <c r="L694" s="306"/>
      <c r="M694" s="306"/>
      <c r="N694" s="306"/>
      <c r="O694" s="306"/>
      <c r="P694" s="312"/>
      <c r="Q694" s="306"/>
      <c r="R694" s="307"/>
      <c r="S694" s="304"/>
      <c r="T694" s="313"/>
      <c r="U694" s="310"/>
      <c r="V694" s="1084" t="s">
        <v>495</v>
      </c>
      <c r="W694" s="308"/>
    </row>
    <row r="695" spans="1:25" ht="13.5" thickBot="1" x14ac:dyDescent="0.25">
      <c r="F695" s="1074"/>
      <c r="G695" s="1074"/>
      <c r="H695" s="1074"/>
      <c r="I695" s="303"/>
      <c r="J695" s="235"/>
      <c r="K695" s="235"/>
      <c r="L695" s="235"/>
      <c r="M695" s="235"/>
      <c r="N695" s="235"/>
      <c r="O695" s="235"/>
      <c r="P695" s="314"/>
      <c r="Q695" s="235"/>
      <c r="R695" s="234"/>
      <c r="S695" s="234"/>
      <c r="T695" s="315"/>
      <c r="U695" s="311"/>
      <c r="V695" s="1085"/>
      <c r="W695" s="309"/>
    </row>
  </sheetData>
  <sheetProtection selectLockedCells="1"/>
  <mergeCells count="1079">
    <mergeCell ref="A681:E681"/>
    <mergeCell ref="F681:H681"/>
    <mergeCell ref="K681:M681"/>
    <mergeCell ref="P681:R681"/>
    <mergeCell ref="U681:W681"/>
    <mergeCell ref="F686:H686"/>
    <mergeCell ref="K686:M686"/>
    <mergeCell ref="P686:R686"/>
    <mergeCell ref="U686:W686"/>
    <mergeCell ref="I693:O693"/>
    <mergeCell ref="P693:T693"/>
    <mergeCell ref="U693:W693"/>
    <mergeCell ref="F694:H695"/>
    <mergeCell ref="V694:V695"/>
    <mergeCell ref="K687:M687"/>
    <mergeCell ref="P687:R687"/>
    <mergeCell ref="U687:W687"/>
    <mergeCell ref="B689:L689"/>
    <mergeCell ref="O689:Y689"/>
    <mergeCell ref="B690:H690"/>
    <mergeCell ref="I690:L690"/>
    <mergeCell ref="O690:U690"/>
    <mergeCell ref="V690:Y690"/>
    <mergeCell ref="D687:E687"/>
    <mergeCell ref="I687:J687"/>
    <mergeCell ref="N687:O687"/>
    <mergeCell ref="S687:T687"/>
    <mergeCell ref="X687:Y687"/>
    <mergeCell ref="F665:H666"/>
    <mergeCell ref="V665:V666"/>
    <mergeCell ref="A669:B669"/>
    <mergeCell ref="D669:F669"/>
    <mergeCell ref="G669:H669"/>
    <mergeCell ref="O670:U670"/>
    <mergeCell ref="V670:Y670"/>
    <mergeCell ref="M671:N671"/>
    <mergeCell ref="A673:E673"/>
    <mergeCell ref="A674:E674"/>
    <mergeCell ref="G674:H674"/>
    <mergeCell ref="I674:K674"/>
    <mergeCell ref="M674:N674"/>
    <mergeCell ref="F680:J680"/>
    <mergeCell ref="K680:O680"/>
    <mergeCell ref="P680:T680"/>
    <mergeCell ref="U680:Y680"/>
    <mergeCell ref="K658:M658"/>
    <mergeCell ref="P658:R658"/>
    <mergeCell ref="U658:W658"/>
    <mergeCell ref="B660:L660"/>
    <mergeCell ref="O660:Y660"/>
    <mergeCell ref="B661:H661"/>
    <mergeCell ref="I661:L661"/>
    <mergeCell ref="O661:U661"/>
    <mergeCell ref="V661:Y661"/>
    <mergeCell ref="D658:E658"/>
    <mergeCell ref="I658:J658"/>
    <mergeCell ref="N658:O658"/>
    <mergeCell ref="S658:T658"/>
    <mergeCell ref="X658:Y658"/>
    <mergeCell ref="I664:O664"/>
    <mergeCell ref="P664:T664"/>
    <mergeCell ref="U664:W664"/>
    <mergeCell ref="A644:E644"/>
    <mergeCell ref="A645:E645"/>
    <mergeCell ref="G645:H645"/>
    <mergeCell ref="I645:K645"/>
    <mergeCell ref="M645:N645"/>
    <mergeCell ref="F651:J651"/>
    <mergeCell ref="K651:O651"/>
    <mergeCell ref="P651:T651"/>
    <mergeCell ref="U651:Y651"/>
    <mergeCell ref="A652:E652"/>
    <mergeCell ref="F652:H652"/>
    <mergeCell ref="K652:M652"/>
    <mergeCell ref="P652:R652"/>
    <mergeCell ref="U652:W652"/>
    <mergeCell ref="F657:H657"/>
    <mergeCell ref="K657:M657"/>
    <mergeCell ref="P657:R657"/>
    <mergeCell ref="U657:W657"/>
    <mergeCell ref="A640:B640"/>
    <mergeCell ref="D640:F640"/>
    <mergeCell ref="G640:H640"/>
    <mergeCell ref="A31:B31"/>
    <mergeCell ref="D31:F31"/>
    <mergeCell ref="G31:H31"/>
    <mergeCell ref="K49:M49"/>
    <mergeCell ref="B52:H52"/>
    <mergeCell ref="I52:L52"/>
    <mergeCell ref="A72:E72"/>
    <mergeCell ref="F72:H72"/>
    <mergeCell ref="K72:M72"/>
    <mergeCell ref="B80:L80"/>
    <mergeCell ref="A89:B89"/>
    <mergeCell ref="O641:U641"/>
    <mergeCell ref="V641:Y641"/>
    <mergeCell ref="M642:N642"/>
    <mergeCell ref="B51:L51"/>
    <mergeCell ref="A36:E36"/>
    <mergeCell ref="G36:H36"/>
    <mergeCell ref="I36:K36"/>
    <mergeCell ref="M36:N36"/>
    <mergeCell ref="F42:J42"/>
    <mergeCell ref="K42:O42"/>
    <mergeCell ref="P42:T42"/>
    <mergeCell ref="A43:E43"/>
    <mergeCell ref="F43:H43"/>
    <mergeCell ref="K43:M43"/>
    <mergeCell ref="P43:R43"/>
    <mergeCell ref="O51:Y51"/>
    <mergeCell ref="M33:N33"/>
    <mergeCell ref="A35:E35"/>
    <mergeCell ref="D2:F2"/>
    <mergeCell ref="G2:H2"/>
    <mergeCell ref="B22:L22"/>
    <mergeCell ref="B23:H23"/>
    <mergeCell ref="I23:L23"/>
    <mergeCell ref="V23:Y23"/>
    <mergeCell ref="F19:H19"/>
    <mergeCell ref="K19:M19"/>
    <mergeCell ref="P19:R19"/>
    <mergeCell ref="K20:M20"/>
    <mergeCell ref="P20:R20"/>
    <mergeCell ref="F13:J13"/>
    <mergeCell ref="K13:O13"/>
    <mergeCell ref="P13:T13"/>
    <mergeCell ref="A14:E14"/>
    <mergeCell ref="F14:H14"/>
    <mergeCell ref="K14:M14"/>
    <mergeCell ref="P14:R14"/>
    <mergeCell ref="A2:B2"/>
    <mergeCell ref="V3:Y3"/>
    <mergeCell ref="M4:N4"/>
    <mergeCell ref="A6:E6"/>
    <mergeCell ref="A7:E7"/>
    <mergeCell ref="G7:H7"/>
    <mergeCell ref="I7:K7"/>
    <mergeCell ref="M7:N7"/>
    <mergeCell ref="D20:E20"/>
    <mergeCell ref="I20:J20"/>
    <mergeCell ref="N20:O20"/>
    <mergeCell ref="S20:T20"/>
    <mergeCell ref="O22:Y22"/>
    <mergeCell ref="O3:U3"/>
    <mergeCell ref="I26:O26"/>
    <mergeCell ref="P26:T26"/>
    <mergeCell ref="F27:H28"/>
    <mergeCell ref="V27:V28"/>
    <mergeCell ref="F48:H48"/>
    <mergeCell ref="K48:M48"/>
    <mergeCell ref="P48:R48"/>
    <mergeCell ref="U42:Y42"/>
    <mergeCell ref="U43:W43"/>
    <mergeCell ref="U48:W48"/>
    <mergeCell ref="O61:U61"/>
    <mergeCell ref="V61:Y61"/>
    <mergeCell ref="M62:N62"/>
    <mergeCell ref="A64:E64"/>
    <mergeCell ref="A65:E65"/>
    <mergeCell ref="G65:H65"/>
    <mergeCell ref="I65:K65"/>
    <mergeCell ref="M65:N65"/>
    <mergeCell ref="D49:E49"/>
    <mergeCell ref="I49:J49"/>
    <mergeCell ref="N49:O49"/>
    <mergeCell ref="S49:T49"/>
    <mergeCell ref="A32:G32"/>
    <mergeCell ref="H32:L32"/>
    <mergeCell ref="O32:U32"/>
    <mergeCell ref="U49:W49"/>
    <mergeCell ref="F71:J71"/>
    <mergeCell ref="K71:O71"/>
    <mergeCell ref="P71:T71"/>
    <mergeCell ref="U71:Y71"/>
    <mergeCell ref="O52:U52"/>
    <mergeCell ref="V52:Y52"/>
    <mergeCell ref="I55:O55"/>
    <mergeCell ref="P55:T55"/>
    <mergeCell ref="U55:W55"/>
    <mergeCell ref="F56:H57"/>
    <mergeCell ref="V56:V57"/>
    <mergeCell ref="A60:B60"/>
    <mergeCell ref="D60:F60"/>
    <mergeCell ref="G60:H60"/>
    <mergeCell ref="O80:Y80"/>
    <mergeCell ref="B81:H81"/>
    <mergeCell ref="I81:L81"/>
    <mergeCell ref="O81:U81"/>
    <mergeCell ref="V81:Y81"/>
    <mergeCell ref="A61:G61"/>
    <mergeCell ref="H61:L61"/>
    <mergeCell ref="I84:O84"/>
    <mergeCell ref="P84:T84"/>
    <mergeCell ref="U84:W84"/>
    <mergeCell ref="F85:H86"/>
    <mergeCell ref="V85:V86"/>
    <mergeCell ref="P72:R72"/>
    <mergeCell ref="U72:W72"/>
    <mergeCell ref="F77:H77"/>
    <mergeCell ref="K77:M77"/>
    <mergeCell ref="P77:R77"/>
    <mergeCell ref="U77:W77"/>
    <mergeCell ref="K78:M78"/>
    <mergeCell ref="P78:R78"/>
    <mergeCell ref="U78:W78"/>
    <mergeCell ref="F100:J100"/>
    <mergeCell ref="K100:O100"/>
    <mergeCell ref="P100:T100"/>
    <mergeCell ref="U100:Y100"/>
    <mergeCell ref="A101:E101"/>
    <mergeCell ref="F101:H101"/>
    <mergeCell ref="K101:M101"/>
    <mergeCell ref="P101:R101"/>
    <mergeCell ref="U101:W101"/>
    <mergeCell ref="D89:F89"/>
    <mergeCell ref="G89:H89"/>
    <mergeCell ref="O90:U90"/>
    <mergeCell ref="V90:Y90"/>
    <mergeCell ref="M91:N91"/>
    <mergeCell ref="A93:E93"/>
    <mergeCell ref="A94:E94"/>
    <mergeCell ref="G94:H94"/>
    <mergeCell ref="I94:K94"/>
    <mergeCell ref="M94:N94"/>
    <mergeCell ref="A90:G90"/>
    <mergeCell ref="H90:L90"/>
    <mergeCell ref="G118:H118"/>
    <mergeCell ref="O119:U119"/>
    <mergeCell ref="V119:Y119"/>
    <mergeCell ref="M120:N120"/>
    <mergeCell ref="A122:E122"/>
    <mergeCell ref="A119:G119"/>
    <mergeCell ref="H119:L119"/>
    <mergeCell ref="B110:H110"/>
    <mergeCell ref="I110:L110"/>
    <mergeCell ref="O110:U110"/>
    <mergeCell ref="V110:Y110"/>
    <mergeCell ref="I113:O113"/>
    <mergeCell ref="P113:T113"/>
    <mergeCell ref="U113:W113"/>
    <mergeCell ref="F114:H115"/>
    <mergeCell ref="V114:V115"/>
    <mergeCell ref="F106:H106"/>
    <mergeCell ref="K106:M106"/>
    <mergeCell ref="P106:R106"/>
    <mergeCell ref="U106:W106"/>
    <mergeCell ref="K107:M107"/>
    <mergeCell ref="P107:R107"/>
    <mergeCell ref="U107:W107"/>
    <mergeCell ref="B109:L109"/>
    <mergeCell ref="O109:Y109"/>
    <mergeCell ref="B139:H139"/>
    <mergeCell ref="I139:L139"/>
    <mergeCell ref="O139:U139"/>
    <mergeCell ref="V139:Y139"/>
    <mergeCell ref="I142:O142"/>
    <mergeCell ref="P142:T142"/>
    <mergeCell ref="U142:W142"/>
    <mergeCell ref="F143:H144"/>
    <mergeCell ref="V143:V144"/>
    <mergeCell ref="F135:H135"/>
    <mergeCell ref="K135:M135"/>
    <mergeCell ref="P135:R135"/>
    <mergeCell ref="U135:W135"/>
    <mergeCell ref="K136:M136"/>
    <mergeCell ref="P136:R136"/>
    <mergeCell ref="U136:W136"/>
    <mergeCell ref="B138:L138"/>
    <mergeCell ref="O138:Y138"/>
    <mergeCell ref="A152:E152"/>
    <mergeCell ref="G152:H152"/>
    <mergeCell ref="I152:K152"/>
    <mergeCell ref="M152:N152"/>
    <mergeCell ref="F158:J158"/>
    <mergeCell ref="K158:O158"/>
    <mergeCell ref="P158:T158"/>
    <mergeCell ref="U158:Y158"/>
    <mergeCell ref="A159:E159"/>
    <mergeCell ref="F159:H159"/>
    <mergeCell ref="K159:M159"/>
    <mergeCell ref="P159:R159"/>
    <mergeCell ref="U159:W159"/>
    <mergeCell ref="A147:B147"/>
    <mergeCell ref="D147:F147"/>
    <mergeCell ref="G147:H147"/>
    <mergeCell ref="O148:U148"/>
    <mergeCell ref="V148:Y148"/>
    <mergeCell ref="M149:N149"/>
    <mergeCell ref="A151:E151"/>
    <mergeCell ref="A148:G148"/>
    <mergeCell ref="H148:L148"/>
    <mergeCell ref="B168:H168"/>
    <mergeCell ref="I168:L168"/>
    <mergeCell ref="O168:U168"/>
    <mergeCell ref="V168:Y168"/>
    <mergeCell ref="I171:O171"/>
    <mergeCell ref="P171:T171"/>
    <mergeCell ref="U171:W171"/>
    <mergeCell ref="F172:H173"/>
    <mergeCell ref="V172:V173"/>
    <mergeCell ref="F164:H164"/>
    <mergeCell ref="K164:M164"/>
    <mergeCell ref="P164:R164"/>
    <mergeCell ref="U164:W164"/>
    <mergeCell ref="K165:M165"/>
    <mergeCell ref="P165:R165"/>
    <mergeCell ref="U165:W165"/>
    <mergeCell ref="B167:L167"/>
    <mergeCell ref="O167:Y167"/>
    <mergeCell ref="D165:E165"/>
    <mergeCell ref="I165:J165"/>
    <mergeCell ref="N165:O165"/>
    <mergeCell ref="S165:T165"/>
    <mergeCell ref="X165:Y165"/>
    <mergeCell ref="A181:E181"/>
    <mergeCell ref="G181:H181"/>
    <mergeCell ref="I181:K181"/>
    <mergeCell ref="M181:N181"/>
    <mergeCell ref="F187:J187"/>
    <mergeCell ref="K187:O187"/>
    <mergeCell ref="P187:T187"/>
    <mergeCell ref="U187:Y187"/>
    <mergeCell ref="A188:E188"/>
    <mergeCell ref="F188:H188"/>
    <mergeCell ref="K188:M188"/>
    <mergeCell ref="P188:R188"/>
    <mergeCell ref="U188:W188"/>
    <mergeCell ref="A176:B176"/>
    <mergeCell ref="D176:F176"/>
    <mergeCell ref="G176:H176"/>
    <mergeCell ref="O177:U177"/>
    <mergeCell ref="V177:Y177"/>
    <mergeCell ref="M178:N178"/>
    <mergeCell ref="A180:E180"/>
    <mergeCell ref="A177:G177"/>
    <mergeCell ref="H177:L177"/>
    <mergeCell ref="B197:H197"/>
    <mergeCell ref="I197:L197"/>
    <mergeCell ref="O197:U197"/>
    <mergeCell ref="V197:Y197"/>
    <mergeCell ref="I200:O200"/>
    <mergeCell ref="P200:T200"/>
    <mergeCell ref="U200:W200"/>
    <mergeCell ref="F201:H202"/>
    <mergeCell ref="V201:V202"/>
    <mergeCell ref="F193:H193"/>
    <mergeCell ref="K193:M193"/>
    <mergeCell ref="P193:R193"/>
    <mergeCell ref="U193:W193"/>
    <mergeCell ref="K194:M194"/>
    <mergeCell ref="P194:R194"/>
    <mergeCell ref="U194:W194"/>
    <mergeCell ref="B196:L196"/>
    <mergeCell ref="O196:Y196"/>
    <mergeCell ref="D194:E194"/>
    <mergeCell ref="I194:J194"/>
    <mergeCell ref="N194:O194"/>
    <mergeCell ref="S194:T194"/>
    <mergeCell ref="X194:Y194"/>
    <mergeCell ref="A210:E210"/>
    <mergeCell ref="G210:H210"/>
    <mergeCell ref="I210:K210"/>
    <mergeCell ref="M210:N210"/>
    <mergeCell ref="F216:J216"/>
    <mergeCell ref="K216:O216"/>
    <mergeCell ref="P216:T216"/>
    <mergeCell ref="U216:Y216"/>
    <mergeCell ref="A217:E217"/>
    <mergeCell ref="F217:H217"/>
    <mergeCell ref="K217:M217"/>
    <mergeCell ref="P217:R217"/>
    <mergeCell ref="U217:W217"/>
    <mergeCell ref="A205:B205"/>
    <mergeCell ref="D205:F205"/>
    <mergeCell ref="G205:H205"/>
    <mergeCell ref="O206:U206"/>
    <mergeCell ref="V206:Y206"/>
    <mergeCell ref="M207:N207"/>
    <mergeCell ref="A209:E209"/>
    <mergeCell ref="A206:G206"/>
    <mergeCell ref="H206:L206"/>
    <mergeCell ref="B226:H226"/>
    <mergeCell ref="I226:L226"/>
    <mergeCell ref="O226:U226"/>
    <mergeCell ref="V226:Y226"/>
    <mergeCell ref="I229:O229"/>
    <mergeCell ref="P229:T229"/>
    <mergeCell ref="U229:W229"/>
    <mergeCell ref="F230:H231"/>
    <mergeCell ref="V230:V231"/>
    <mergeCell ref="F222:H222"/>
    <mergeCell ref="K222:M222"/>
    <mergeCell ref="P222:R222"/>
    <mergeCell ref="U222:W222"/>
    <mergeCell ref="K223:M223"/>
    <mergeCell ref="P223:R223"/>
    <mergeCell ref="U223:W223"/>
    <mergeCell ref="B225:L225"/>
    <mergeCell ref="O225:Y225"/>
    <mergeCell ref="D223:E223"/>
    <mergeCell ref="I223:J223"/>
    <mergeCell ref="N223:O223"/>
    <mergeCell ref="S223:T223"/>
    <mergeCell ref="X223:Y223"/>
    <mergeCell ref="A239:E239"/>
    <mergeCell ref="G239:H239"/>
    <mergeCell ref="I239:K239"/>
    <mergeCell ref="M239:N239"/>
    <mergeCell ref="F245:J245"/>
    <mergeCell ref="K245:O245"/>
    <mergeCell ref="P245:T245"/>
    <mergeCell ref="U245:Y245"/>
    <mergeCell ref="A246:E246"/>
    <mergeCell ref="F246:H246"/>
    <mergeCell ref="K246:M246"/>
    <mergeCell ref="P246:R246"/>
    <mergeCell ref="U246:W246"/>
    <mergeCell ref="A234:B234"/>
    <mergeCell ref="D234:F234"/>
    <mergeCell ref="G234:H234"/>
    <mergeCell ref="O235:U235"/>
    <mergeCell ref="V235:Y235"/>
    <mergeCell ref="M236:N236"/>
    <mergeCell ref="A238:E238"/>
    <mergeCell ref="A235:G235"/>
    <mergeCell ref="H235:L235"/>
    <mergeCell ref="B255:H255"/>
    <mergeCell ref="I255:L255"/>
    <mergeCell ref="O255:U255"/>
    <mergeCell ref="V255:Y255"/>
    <mergeCell ref="I258:O258"/>
    <mergeCell ref="P258:T258"/>
    <mergeCell ref="U258:W258"/>
    <mergeCell ref="F259:H260"/>
    <mergeCell ref="V259:V260"/>
    <mergeCell ref="F251:H251"/>
    <mergeCell ref="K251:M251"/>
    <mergeCell ref="P251:R251"/>
    <mergeCell ref="U251:W251"/>
    <mergeCell ref="K252:M252"/>
    <mergeCell ref="P252:R252"/>
    <mergeCell ref="U252:W252"/>
    <mergeCell ref="B254:L254"/>
    <mergeCell ref="O254:Y254"/>
    <mergeCell ref="D252:E252"/>
    <mergeCell ref="I252:J252"/>
    <mergeCell ref="N252:O252"/>
    <mergeCell ref="S252:T252"/>
    <mergeCell ref="X252:Y252"/>
    <mergeCell ref="A268:E268"/>
    <mergeCell ref="G268:H268"/>
    <mergeCell ref="I268:K268"/>
    <mergeCell ref="M268:N268"/>
    <mergeCell ref="F274:J274"/>
    <mergeCell ref="K274:O274"/>
    <mergeCell ref="P274:T274"/>
    <mergeCell ref="U274:Y274"/>
    <mergeCell ref="A275:E275"/>
    <mergeCell ref="F275:H275"/>
    <mergeCell ref="K275:M275"/>
    <mergeCell ref="P275:R275"/>
    <mergeCell ref="U275:W275"/>
    <mergeCell ref="A263:B263"/>
    <mergeCell ref="D263:F263"/>
    <mergeCell ref="G263:H263"/>
    <mergeCell ref="O264:U264"/>
    <mergeCell ref="V264:Y264"/>
    <mergeCell ref="M265:N265"/>
    <mergeCell ref="A267:E267"/>
    <mergeCell ref="A264:G264"/>
    <mergeCell ref="H264:L264"/>
    <mergeCell ref="B284:H284"/>
    <mergeCell ref="I284:L284"/>
    <mergeCell ref="O284:U284"/>
    <mergeCell ref="V284:Y284"/>
    <mergeCell ref="I287:O287"/>
    <mergeCell ref="P287:T287"/>
    <mergeCell ref="U287:W287"/>
    <mergeCell ref="F288:H289"/>
    <mergeCell ref="V288:V289"/>
    <mergeCell ref="F280:H280"/>
    <mergeCell ref="K280:M280"/>
    <mergeCell ref="P280:R280"/>
    <mergeCell ref="U280:W280"/>
    <mergeCell ref="K281:M281"/>
    <mergeCell ref="P281:R281"/>
    <mergeCell ref="U281:W281"/>
    <mergeCell ref="B283:L283"/>
    <mergeCell ref="O283:Y283"/>
    <mergeCell ref="D281:E281"/>
    <mergeCell ref="I281:J281"/>
    <mergeCell ref="N281:O281"/>
    <mergeCell ref="S281:T281"/>
    <mergeCell ref="X281:Y281"/>
    <mergeCell ref="A297:E297"/>
    <mergeCell ref="G297:H297"/>
    <mergeCell ref="I297:K297"/>
    <mergeCell ref="M297:N297"/>
    <mergeCell ref="F303:J303"/>
    <mergeCell ref="K303:O303"/>
    <mergeCell ref="P303:T303"/>
    <mergeCell ref="U303:Y303"/>
    <mergeCell ref="A304:E304"/>
    <mergeCell ref="F304:H304"/>
    <mergeCell ref="K304:M304"/>
    <mergeCell ref="P304:R304"/>
    <mergeCell ref="U304:W304"/>
    <mergeCell ref="A292:B292"/>
    <mergeCell ref="D292:F292"/>
    <mergeCell ref="G292:H292"/>
    <mergeCell ref="O293:U293"/>
    <mergeCell ref="V293:Y293"/>
    <mergeCell ref="M294:N294"/>
    <mergeCell ref="A296:E296"/>
    <mergeCell ref="A293:G293"/>
    <mergeCell ref="H293:L293"/>
    <mergeCell ref="B313:H313"/>
    <mergeCell ref="I313:L313"/>
    <mergeCell ref="O313:U313"/>
    <mergeCell ref="V313:Y313"/>
    <mergeCell ref="I316:O316"/>
    <mergeCell ref="P316:T316"/>
    <mergeCell ref="U316:W316"/>
    <mergeCell ref="F317:H318"/>
    <mergeCell ref="V317:V318"/>
    <mergeCell ref="F309:H309"/>
    <mergeCell ref="K309:M309"/>
    <mergeCell ref="P309:R309"/>
    <mergeCell ref="U309:W309"/>
    <mergeCell ref="K310:M310"/>
    <mergeCell ref="P310:R310"/>
    <mergeCell ref="U310:W310"/>
    <mergeCell ref="B312:L312"/>
    <mergeCell ref="O312:Y312"/>
    <mergeCell ref="D310:E310"/>
    <mergeCell ref="I310:J310"/>
    <mergeCell ref="N310:O310"/>
    <mergeCell ref="S310:T310"/>
    <mergeCell ref="X310:Y310"/>
    <mergeCell ref="A326:E326"/>
    <mergeCell ref="G326:H326"/>
    <mergeCell ref="I326:K326"/>
    <mergeCell ref="M326:N326"/>
    <mergeCell ref="F332:J332"/>
    <mergeCell ref="K332:O332"/>
    <mergeCell ref="P332:T332"/>
    <mergeCell ref="U332:Y332"/>
    <mergeCell ref="A333:E333"/>
    <mergeCell ref="F333:H333"/>
    <mergeCell ref="K333:M333"/>
    <mergeCell ref="P333:R333"/>
    <mergeCell ref="U333:W333"/>
    <mergeCell ref="A321:B321"/>
    <mergeCell ref="D321:F321"/>
    <mergeCell ref="G321:H321"/>
    <mergeCell ref="O322:U322"/>
    <mergeCell ref="V322:Y322"/>
    <mergeCell ref="M323:N323"/>
    <mergeCell ref="A325:E325"/>
    <mergeCell ref="A322:G322"/>
    <mergeCell ref="H322:L322"/>
    <mergeCell ref="B342:H342"/>
    <mergeCell ref="I342:L342"/>
    <mergeCell ref="O342:U342"/>
    <mergeCell ref="V342:Y342"/>
    <mergeCell ref="I345:O345"/>
    <mergeCell ref="P345:T345"/>
    <mergeCell ref="U345:W345"/>
    <mergeCell ref="F346:H347"/>
    <mergeCell ref="V346:V347"/>
    <mergeCell ref="F338:H338"/>
    <mergeCell ref="K338:M338"/>
    <mergeCell ref="P338:R338"/>
    <mergeCell ref="U338:W338"/>
    <mergeCell ref="K339:M339"/>
    <mergeCell ref="P339:R339"/>
    <mergeCell ref="U339:W339"/>
    <mergeCell ref="B341:L341"/>
    <mergeCell ref="O341:Y341"/>
    <mergeCell ref="D339:E339"/>
    <mergeCell ref="I339:J339"/>
    <mergeCell ref="N339:O339"/>
    <mergeCell ref="S339:T339"/>
    <mergeCell ref="X339:Y339"/>
    <mergeCell ref="A355:E355"/>
    <mergeCell ref="G355:H355"/>
    <mergeCell ref="I355:K355"/>
    <mergeCell ref="M355:N355"/>
    <mergeCell ref="F361:J361"/>
    <mergeCell ref="K361:O361"/>
    <mergeCell ref="P361:T361"/>
    <mergeCell ref="U361:Y361"/>
    <mergeCell ref="A362:E362"/>
    <mergeCell ref="F362:H362"/>
    <mergeCell ref="K362:M362"/>
    <mergeCell ref="P362:R362"/>
    <mergeCell ref="U362:W362"/>
    <mergeCell ref="A350:B350"/>
    <mergeCell ref="D350:F350"/>
    <mergeCell ref="G350:H350"/>
    <mergeCell ref="O351:U351"/>
    <mergeCell ref="V351:Y351"/>
    <mergeCell ref="M352:N352"/>
    <mergeCell ref="A354:E354"/>
    <mergeCell ref="A351:G351"/>
    <mergeCell ref="H351:L351"/>
    <mergeCell ref="B371:H371"/>
    <mergeCell ref="I371:L371"/>
    <mergeCell ref="O371:U371"/>
    <mergeCell ref="V371:Y371"/>
    <mergeCell ref="I374:O374"/>
    <mergeCell ref="P374:T374"/>
    <mergeCell ref="U374:W374"/>
    <mergeCell ref="F375:H376"/>
    <mergeCell ref="V375:V376"/>
    <mergeCell ref="F367:H367"/>
    <mergeCell ref="K367:M367"/>
    <mergeCell ref="P367:R367"/>
    <mergeCell ref="U367:W367"/>
    <mergeCell ref="K368:M368"/>
    <mergeCell ref="P368:R368"/>
    <mergeCell ref="U368:W368"/>
    <mergeCell ref="B370:L370"/>
    <mergeCell ref="O370:Y370"/>
    <mergeCell ref="D368:E368"/>
    <mergeCell ref="I368:J368"/>
    <mergeCell ref="N368:O368"/>
    <mergeCell ref="S368:T368"/>
    <mergeCell ref="X368:Y368"/>
    <mergeCell ref="A384:E384"/>
    <mergeCell ref="G384:H384"/>
    <mergeCell ref="I384:K384"/>
    <mergeCell ref="M384:N384"/>
    <mergeCell ref="F390:J390"/>
    <mergeCell ref="K390:O390"/>
    <mergeCell ref="P390:T390"/>
    <mergeCell ref="U390:Y390"/>
    <mergeCell ref="A391:E391"/>
    <mergeCell ref="F391:H391"/>
    <mergeCell ref="K391:M391"/>
    <mergeCell ref="P391:R391"/>
    <mergeCell ref="U391:W391"/>
    <mergeCell ref="A379:B379"/>
    <mergeCell ref="D379:F379"/>
    <mergeCell ref="G379:H379"/>
    <mergeCell ref="O380:U380"/>
    <mergeCell ref="V380:Y380"/>
    <mergeCell ref="M381:N381"/>
    <mergeCell ref="A383:E383"/>
    <mergeCell ref="A380:G380"/>
    <mergeCell ref="H380:L380"/>
    <mergeCell ref="U403:W403"/>
    <mergeCell ref="F404:H405"/>
    <mergeCell ref="V404:V405"/>
    <mergeCell ref="F396:H396"/>
    <mergeCell ref="K396:M396"/>
    <mergeCell ref="P396:R396"/>
    <mergeCell ref="U396:W396"/>
    <mergeCell ref="K397:M397"/>
    <mergeCell ref="P397:R397"/>
    <mergeCell ref="U397:W397"/>
    <mergeCell ref="B399:L399"/>
    <mergeCell ref="O399:Y399"/>
    <mergeCell ref="D397:E397"/>
    <mergeCell ref="I397:J397"/>
    <mergeCell ref="N397:O397"/>
    <mergeCell ref="S397:T397"/>
    <mergeCell ref="X397:Y397"/>
    <mergeCell ref="A413:E413"/>
    <mergeCell ref="G413:H413"/>
    <mergeCell ref="I413:K413"/>
    <mergeCell ref="M413:N413"/>
    <mergeCell ref="F419:J419"/>
    <mergeCell ref="K419:O419"/>
    <mergeCell ref="P419:T419"/>
    <mergeCell ref="U419:Y419"/>
    <mergeCell ref="A420:E420"/>
    <mergeCell ref="F420:H420"/>
    <mergeCell ref="K420:M420"/>
    <mergeCell ref="P420:R420"/>
    <mergeCell ref="U420:W420"/>
    <mergeCell ref="A408:B408"/>
    <mergeCell ref="D408:F408"/>
    <mergeCell ref="G408:H408"/>
    <mergeCell ref="O409:U409"/>
    <mergeCell ref="V409:Y409"/>
    <mergeCell ref="M410:N410"/>
    <mergeCell ref="A412:E412"/>
    <mergeCell ref="H409:L409"/>
    <mergeCell ref="A409:G409"/>
    <mergeCell ref="B429:H429"/>
    <mergeCell ref="I429:L429"/>
    <mergeCell ref="O429:U429"/>
    <mergeCell ref="V429:Y429"/>
    <mergeCell ref="I432:O432"/>
    <mergeCell ref="P432:T432"/>
    <mergeCell ref="U432:W432"/>
    <mergeCell ref="F433:H434"/>
    <mergeCell ref="V433:V434"/>
    <mergeCell ref="F425:H425"/>
    <mergeCell ref="K425:M425"/>
    <mergeCell ref="P425:R425"/>
    <mergeCell ref="U425:W425"/>
    <mergeCell ref="K426:M426"/>
    <mergeCell ref="P426:R426"/>
    <mergeCell ref="U426:W426"/>
    <mergeCell ref="B428:L428"/>
    <mergeCell ref="O428:Y428"/>
    <mergeCell ref="D426:E426"/>
    <mergeCell ref="I426:J426"/>
    <mergeCell ref="N426:O426"/>
    <mergeCell ref="S426:T426"/>
    <mergeCell ref="X426:Y426"/>
    <mergeCell ref="A442:E442"/>
    <mergeCell ref="G442:H442"/>
    <mergeCell ref="I442:K442"/>
    <mergeCell ref="M442:N442"/>
    <mergeCell ref="F448:J448"/>
    <mergeCell ref="K448:O448"/>
    <mergeCell ref="P448:T448"/>
    <mergeCell ref="U448:Y448"/>
    <mergeCell ref="A449:E449"/>
    <mergeCell ref="F449:H449"/>
    <mergeCell ref="K449:M449"/>
    <mergeCell ref="P449:R449"/>
    <mergeCell ref="U449:W449"/>
    <mergeCell ref="A437:B437"/>
    <mergeCell ref="D437:F437"/>
    <mergeCell ref="G437:H437"/>
    <mergeCell ref="O438:U438"/>
    <mergeCell ref="V438:Y438"/>
    <mergeCell ref="M439:N439"/>
    <mergeCell ref="A441:E441"/>
    <mergeCell ref="H438:L438"/>
    <mergeCell ref="B458:H458"/>
    <mergeCell ref="I458:L458"/>
    <mergeCell ref="O458:U458"/>
    <mergeCell ref="V458:Y458"/>
    <mergeCell ref="I461:O461"/>
    <mergeCell ref="P461:T461"/>
    <mergeCell ref="U461:W461"/>
    <mergeCell ref="F462:H463"/>
    <mergeCell ref="V462:V463"/>
    <mergeCell ref="F454:H454"/>
    <mergeCell ref="K454:M454"/>
    <mergeCell ref="P454:R454"/>
    <mergeCell ref="U454:W454"/>
    <mergeCell ref="K455:M455"/>
    <mergeCell ref="P455:R455"/>
    <mergeCell ref="U455:W455"/>
    <mergeCell ref="B457:L457"/>
    <mergeCell ref="O457:Y457"/>
    <mergeCell ref="D455:E455"/>
    <mergeCell ref="I455:J455"/>
    <mergeCell ref="N455:O455"/>
    <mergeCell ref="S455:T455"/>
    <mergeCell ref="X455:Y455"/>
    <mergeCell ref="A471:E471"/>
    <mergeCell ref="G471:H471"/>
    <mergeCell ref="I471:K471"/>
    <mergeCell ref="M471:N471"/>
    <mergeCell ref="F477:J477"/>
    <mergeCell ref="K477:O477"/>
    <mergeCell ref="P477:T477"/>
    <mergeCell ref="U477:Y477"/>
    <mergeCell ref="A478:E478"/>
    <mergeCell ref="F478:H478"/>
    <mergeCell ref="K478:M478"/>
    <mergeCell ref="P478:R478"/>
    <mergeCell ref="U478:W478"/>
    <mergeCell ref="A466:B466"/>
    <mergeCell ref="D466:F466"/>
    <mergeCell ref="G466:H466"/>
    <mergeCell ref="O467:U467"/>
    <mergeCell ref="V467:Y467"/>
    <mergeCell ref="M468:N468"/>
    <mergeCell ref="A470:E470"/>
    <mergeCell ref="B487:H487"/>
    <mergeCell ref="I487:L487"/>
    <mergeCell ref="O487:U487"/>
    <mergeCell ref="V487:Y487"/>
    <mergeCell ref="I490:O490"/>
    <mergeCell ref="P490:T490"/>
    <mergeCell ref="U490:W490"/>
    <mergeCell ref="F491:H492"/>
    <mergeCell ref="V491:V492"/>
    <mergeCell ref="F483:H483"/>
    <mergeCell ref="K483:M483"/>
    <mergeCell ref="P483:R483"/>
    <mergeCell ref="U483:W483"/>
    <mergeCell ref="K484:M484"/>
    <mergeCell ref="P484:R484"/>
    <mergeCell ref="U484:W484"/>
    <mergeCell ref="B486:L486"/>
    <mergeCell ref="O486:Y486"/>
    <mergeCell ref="D484:E484"/>
    <mergeCell ref="I484:J484"/>
    <mergeCell ref="N484:O484"/>
    <mergeCell ref="S484:T484"/>
    <mergeCell ref="X484:Y484"/>
    <mergeCell ref="A500:E500"/>
    <mergeCell ref="G500:H500"/>
    <mergeCell ref="I500:K500"/>
    <mergeCell ref="M500:N500"/>
    <mergeCell ref="F506:J506"/>
    <mergeCell ref="K506:O506"/>
    <mergeCell ref="P506:T506"/>
    <mergeCell ref="U506:Y506"/>
    <mergeCell ref="A507:E507"/>
    <mergeCell ref="F507:H507"/>
    <mergeCell ref="K507:M507"/>
    <mergeCell ref="P507:R507"/>
    <mergeCell ref="U507:W507"/>
    <mergeCell ref="A495:B495"/>
    <mergeCell ref="D495:F495"/>
    <mergeCell ref="G495:H495"/>
    <mergeCell ref="O496:U496"/>
    <mergeCell ref="V496:Y496"/>
    <mergeCell ref="M497:N497"/>
    <mergeCell ref="A499:E499"/>
    <mergeCell ref="B516:H516"/>
    <mergeCell ref="I516:L516"/>
    <mergeCell ref="O516:U516"/>
    <mergeCell ref="V516:Y516"/>
    <mergeCell ref="I519:O519"/>
    <mergeCell ref="P519:T519"/>
    <mergeCell ref="U519:W519"/>
    <mergeCell ref="F520:H521"/>
    <mergeCell ref="V520:V521"/>
    <mergeCell ref="F512:H512"/>
    <mergeCell ref="K512:M512"/>
    <mergeCell ref="P512:R512"/>
    <mergeCell ref="U512:W512"/>
    <mergeCell ref="K513:M513"/>
    <mergeCell ref="P513:R513"/>
    <mergeCell ref="U513:W513"/>
    <mergeCell ref="B515:L515"/>
    <mergeCell ref="O515:Y515"/>
    <mergeCell ref="D513:E513"/>
    <mergeCell ref="I513:J513"/>
    <mergeCell ref="N513:O513"/>
    <mergeCell ref="S513:T513"/>
    <mergeCell ref="X513:Y513"/>
    <mergeCell ref="A529:E529"/>
    <mergeCell ref="G529:H529"/>
    <mergeCell ref="I529:K529"/>
    <mergeCell ref="M529:N529"/>
    <mergeCell ref="F535:J535"/>
    <mergeCell ref="K535:O535"/>
    <mergeCell ref="P535:T535"/>
    <mergeCell ref="U535:Y535"/>
    <mergeCell ref="A536:E536"/>
    <mergeCell ref="F536:H536"/>
    <mergeCell ref="K536:M536"/>
    <mergeCell ref="P536:R536"/>
    <mergeCell ref="U536:W536"/>
    <mergeCell ref="A524:B524"/>
    <mergeCell ref="D524:F524"/>
    <mergeCell ref="G524:H524"/>
    <mergeCell ref="O525:U525"/>
    <mergeCell ref="V525:Y525"/>
    <mergeCell ref="M526:N526"/>
    <mergeCell ref="A528:E528"/>
    <mergeCell ref="B545:H545"/>
    <mergeCell ref="I545:L545"/>
    <mergeCell ref="O545:U545"/>
    <mergeCell ref="V545:Y545"/>
    <mergeCell ref="I548:O548"/>
    <mergeCell ref="P548:T548"/>
    <mergeCell ref="U548:W548"/>
    <mergeCell ref="F549:H550"/>
    <mergeCell ref="V549:V550"/>
    <mergeCell ref="F541:H541"/>
    <mergeCell ref="K541:M541"/>
    <mergeCell ref="P541:R541"/>
    <mergeCell ref="U541:W541"/>
    <mergeCell ref="K542:M542"/>
    <mergeCell ref="P542:R542"/>
    <mergeCell ref="U542:W542"/>
    <mergeCell ref="B544:L544"/>
    <mergeCell ref="O544:Y544"/>
    <mergeCell ref="D542:E542"/>
    <mergeCell ref="I542:J542"/>
    <mergeCell ref="N542:O542"/>
    <mergeCell ref="S542:T542"/>
    <mergeCell ref="X542:Y542"/>
    <mergeCell ref="M558:N558"/>
    <mergeCell ref="F564:J564"/>
    <mergeCell ref="K564:O564"/>
    <mergeCell ref="P564:T564"/>
    <mergeCell ref="U564:Y564"/>
    <mergeCell ref="A565:E565"/>
    <mergeCell ref="F565:H565"/>
    <mergeCell ref="K565:M565"/>
    <mergeCell ref="P565:R565"/>
    <mergeCell ref="U565:W565"/>
    <mergeCell ref="A553:B553"/>
    <mergeCell ref="D553:F553"/>
    <mergeCell ref="G553:H553"/>
    <mergeCell ref="O554:U554"/>
    <mergeCell ref="V554:Y554"/>
    <mergeCell ref="M555:N555"/>
    <mergeCell ref="A557:E557"/>
    <mergeCell ref="A558:E558"/>
    <mergeCell ref="G558:H558"/>
    <mergeCell ref="I558:K558"/>
    <mergeCell ref="O574:U574"/>
    <mergeCell ref="V574:Y574"/>
    <mergeCell ref="I577:O577"/>
    <mergeCell ref="P577:T577"/>
    <mergeCell ref="U577:W577"/>
    <mergeCell ref="F578:H579"/>
    <mergeCell ref="V578:V579"/>
    <mergeCell ref="F570:H570"/>
    <mergeCell ref="K570:M570"/>
    <mergeCell ref="P570:R570"/>
    <mergeCell ref="U570:W570"/>
    <mergeCell ref="K571:M571"/>
    <mergeCell ref="P571:R571"/>
    <mergeCell ref="U571:W571"/>
    <mergeCell ref="B573:L573"/>
    <mergeCell ref="O573:Y573"/>
    <mergeCell ref="D571:E571"/>
    <mergeCell ref="I571:J571"/>
    <mergeCell ref="N571:O571"/>
    <mergeCell ref="S571:T571"/>
    <mergeCell ref="X571:Y571"/>
    <mergeCell ref="B574:H574"/>
    <mergeCell ref="I574:L574"/>
    <mergeCell ref="M587:N587"/>
    <mergeCell ref="F593:J593"/>
    <mergeCell ref="K593:O593"/>
    <mergeCell ref="P593:T593"/>
    <mergeCell ref="U593:Y593"/>
    <mergeCell ref="A594:E594"/>
    <mergeCell ref="F594:H594"/>
    <mergeCell ref="K594:M594"/>
    <mergeCell ref="P594:R594"/>
    <mergeCell ref="U594:W594"/>
    <mergeCell ref="A582:B582"/>
    <mergeCell ref="D582:F582"/>
    <mergeCell ref="G582:H582"/>
    <mergeCell ref="O583:U583"/>
    <mergeCell ref="V583:Y583"/>
    <mergeCell ref="M584:N584"/>
    <mergeCell ref="A586:E586"/>
    <mergeCell ref="A587:E587"/>
    <mergeCell ref="G587:H587"/>
    <mergeCell ref="I587:K587"/>
    <mergeCell ref="O603:U603"/>
    <mergeCell ref="V603:Y603"/>
    <mergeCell ref="I606:O606"/>
    <mergeCell ref="P606:T606"/>
    <mergeCell ref="U606:W606"/>
    <mergeCell ref="F607:H608"/>
    <mergeCell ref="V607:V608"/>
    <mergeCell ref="F599:H599"/>
    <mergeCell ref="K599:M599"/>
    <mergeCell ref="P599:R599"/>
    <mergeCell ref="U599:W599"/>
    <mergeCell ref="K600:M600"/>
    <mergeCell ref="P600:R600"/>
    <mergeCell ref="U600:W600"/>
    <mergeCell ref="B602:L602"/>
    <mergeCell ref="O602:Y602"/>
    <mergeCell ref="D600:E600"/>
    <mergeCell ref="I600:J600"/>
    <mergeCell ref="N600:O600"/>
    <mergeCell ref="S600:T600"/>
    <mergeCell ref="X600:Y600"/>
    <mergeCell ref="B603:H603"/>
    <mergeCell ref="I603:L603"/>
    <mergeCell ref="M616:N616"/>
    <mergeCell ref="F622:J622"/>
    <mergeCell ref="K622:O622"/>
    <mergeCell ref="P622:T622"/>
    <mergeCell ref="U622:Y622"/>
    <mergeCell ref="A623:E623"/>
    <mergeCell ref="F623:H623"/>
    <mergeCell ref="K623:M623"/>
    <mergeCell ref="P623:R623"/>
    <mergeCell ref="U623:W623"/>
    <mergeCell ref="A611:B611"/>
    <mergeCell ref="D611:F611"/>
    <mergeCell ref="G611:H611"/>
    <mergeCell ref="O612:U612"/>
    <mergeCell ref="V612:Y612"/>
    <mergeCell ref="M613:N613"/>
    <mergeCell ref="A615:E615"/>
    <mergeCell ref="A616:E616"/>
    <mergeCell ref="G616:H616"/>
    <mergeCell ref="I616:K616"/>
    <mergeCell ref="V636:V637"/>
    <mergeCell ref="B631:L631"/>
    <mergeCell ref="O631:Y631"/>
    <mergeCell ref="B632:H632"/>
    <mergeCell ref="I632:L632"/>
    <mergeCell ref="O632:U632"/>
    <mergeCell ref="V632:Y632"/>
    <mergeCell ref="F628:H628"/>
    <mergeCell ref="K628:M628"/>
    <mergeCell ref="P628:R628"/>
    <mergeCell ref="U628:W628"/>
    <mergeCell ref="K629:M629"/>
    <mergeCell ref="P629:R629"/>
    <mergeCell ref="U629:W629"/>
    <mergeCell ref="I635:O635"/>
    <mergeCell ref="P635:T635"/>
    <mergeCell ref="U635:W635"/>
    <mergeCell ref="D629:E629"/>
    <mergeCell ref="I629:J629"/>
    <mergeCell ref="N629:O629"/>
    <mergeCell ref="S629:T629"/>
    <mergeCell ref="X629:Y629"/>
    <mergeCell ref="F636:H637"/>
    <mergeCell ref="U13:Y13"/>
    <mergeCell ref="U14:W14"/>
    <mergeCell ref="U19:W19"/>
    <mergeCell ref="U20:W20"/>
    <mergeCell ref="O23:U23"/>
    <mergeCell ref="P49:R49"/>
    <mergeCell ref="V32:Y32"/>
    <mergeCell ref="X20:Y20"/>
    <mergeCell ref="X49:Y49"/>
    <mergeCell ref="B400:H400"/>
    <mergeCell ref="I400:L400"/>
    <mergeCell ref="O400:U400"/>
    <mergeCell ref="V400:Y400"/>
    <mergeCell ref="I403:O403"/>
    <mergeCell ref="P403:T403"/>
    <mergeCell ref="A670:G670"/>
    <mergeCell ref="H670:L670"/>
    <mergeCell ref="A641:G641"/>
    <mergeCell ref="H641:L641"/>
    <mergeCell ref="A612:G612"/>
    <mergeCell ref="H612:L612"/>
    <mergeCell ref="A583:G583"/>
    <mergeCell ref="H583:L583"/>
    <mergeCell ref="A554:G554"/>
    <mergeCell ref="H554:L554"/>
    <mergeCell ref="A525:G525"/>
    <mergeCell ref="H525:L525"/>
    <mergeCell ref="A496:G496"/>
    <mergeCell ref="H496:L496"/>
    <mergeCell ref="A467:G467"/>
    <mergeCell ref="H467:L467"/>
    <mergeCell ref="A438:G438"/>
    <mergeCell ref="A3:G3"/>
    <mergeCell ref="H3:L3"/>
    <mergeCell ref="D107:E107"/>
    <mergeCell ref="I107:J107"/>
    <mergeCell ref="N107:O107"/>
    <mergeCell ref="S107:T107"/>
    <mergeCell ref="X107:Y107"/>
    <mergeCell ref="D136:E136"/>
    <mergeCell ref="I136:J136"/>
    <mergeCell ref="N136:O136"/>
    <mergeCell ref="S136:T136"/>
    <mergeCell ref="X136:Y136"/>
    <mergeCell ref="D78:E78"/>
    <mergeCell ref="I78:J78"/>
    <mergeCell ref="N78:O78"/>
    <mergeCell ref="S78:T78"/>
    <mergeCell ref="X78:Y78"/>
    <mergeCell ref="A123:E123"/>
    <mergeCell ref="G123:H123"/>
    <mergeCell ref="I123:K123"/>
    <mergeCell ref="M123:N123"/>
    <mergeCell ref="F129:J129"/>
    <mergeCell ref="K129:O129"/>
    <mergeCell ref="P129:T129"/>
    <mergeCell ref="U129:Y129"/>
    <mergeCell ref="A130:E130"/>
    <mergeCell ref="F130:H130"/>
    <mergeCell ref="K130:M130"/>
    <mergeCell ref="P130:R130"/>
    <mergeCell ref="U130:W130"/>
    <mergeCell ref="A118:B118"/>
    <mergeCell ref="D118:F118"/>
  </mergeCells>
  <printOptions horizontalCentered="1" verticalCentered="1"/>
  <pageMargins left="0.23622047244094502" right="0.23622047244094502" top="0.74803149606299202" bottom="0.74803149606299202" header="0.31496062992126" footer="0.31496062992126"/>
  <pageSetup paperSize="9" scale="84" fitToHeight="24" orientation="landscape" cellComments="atEnd" r:id="rId1"/>
  <rowBreaks count="23" manualBreakCount="23">
    <brk id="30" max="24" man="1"/>
    <brk id="59" max="24" man="1"/>
    <brk id="88" max="24" man="1"/>
    <brk id="117" max="24" man="1"/>
    <brk id="146" max="24" man="1"/>
    <brk id="175" max="24" man="1"/>
    <brk id="204" max="24" man="1"/>
    <brk id="233" max="24" man="1"/>
    <brk id="262" max="24" man="1"/>
    <brk id="291" max="24" man="1"/>
    <brk id="320" max="24" man="1"/>
    <brk id="349" max="24" man="1"/>
    <brk id="378" max="24" man="1"/>
    <brk id="407" max="24" man="1"/>
    <brk id="436" max="24" man="1"/>
    <brk id="465" max="24" man="1"/>
    <brk id="494" max="24" man="1"/>
    <brk id="523" max="24" man="1"/>
    <brk id="552" max="24" man="1"/>
    <brk id="581" max="24" man="1"/>
    <brk id="610" max="24" man="1"/>
    <brk id="639" max="24" man="1"/>
    <brk id="668" max="24"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37">
    <tabColor rgb="FF00FF00"/>
  </sheetPr>
  <dimension ref="A1:AH744"/>
  <sheetViews>
    <sheetView view="pageBreakPreview" zoomScale="70" zoomScaleNormal="60" zoomScaleSheetLayoutView="70" workbookViewId="0"/>
  </sheetViews>
  <sheetFormatPr baseColWidth="10" defaultRowHeight="12.75" x14ac:dyDescent="0.2"/>
  <cols>
    <col min="1" max="1" width="12.42578125" style="217" customWidth="1"/>
    <col min="2" max="2" width="12.85546875" style="217" customWidth="1"/>
    <col min="3" max="3" width="12.5703125" style="217" customWidth="1"/>
    <col min="4" max="4" width="5.28515625" style="217" customWidth="1"/>
    <col min="5" max="5" width="12.5703125" style="217" customWidth="1"/>
    <col min="6" max="6" width="13.28515625" style="217" customWidth="1"/>
    <col min="7" max="7" width="12.5703125" style="217" customWidth="1"/>
    <col min="8" max="8" width="12.140625" style="217" customWidth="1"/>
    <col min="9" max="10" width="12.5703125" style="217" customWidth="1"/>
    <col min="11" max="13" width="12.7109375" style="217" customWidth="1"/>
    <col min="14" max="16" width="12.42578125" style="217" customWidth="1"/>
    <col min="17" max="17" width="11.42578125" style="217" customWidth="1"/>
    <col min="18" max="18" width="12.28515625" style="217" customWidth="1"/>
    <col min="19" max="19" width="3.7109375" style="217" customWidth="1"/>
    <col min="20" max="20" width="7.7109375" style="217" customWidth="1"/>
    <col min="21" max="21" width="8.7109375" style="217" customWidth="1"/>
    <col min="22" max="23" width="5.28515625" style="217" customWidth="1"/>
    <col min="24" max="24" width="3.7109375" style="217" customWidth="1"/>
    <col min="25" max="25" width="7.7109375" style="217" customWidth="1"/>
    <col min="26" max="26" width="3.140625" style="217" customWidth="1"/>
    <col min="27" max="16384" width="11.42578125" style="217"/>
  </cols>
  <sheetData>
    <row r="1" spans="1:33" ht="19.5" customHeight="1" thickBot="1" x14ac:dyDescent="0.25">
      <c r="M1" s="500"/>
      <c r="N1" s="680" t="str">
        <f ca="1">INDIRECT("AE"&amp;O1)</f>
        <v>Collège Henri MartineauCoulonges-sur-l'Autize</v>
      </c>
      <c r="O1" s="873">
        <f>P2+2</f>
        <v>3</v>
      </c>
      <c r="P1" s="874" t="str">
        <f ca="1">INDIRECT("AF"&amp;O1)</f>
        <v>Collège Philippe CousteauBrienon-sur-Armançon</v>
      </c>
      <c r="Q1" s="873"/>
      <c r="R1" s="873"/>
      <c r="S1" s="679"/>
      <c r="T1" s="679"/>
      <c r="U1" s="679"/>
      <c r="V1" s="679"/>
      <c r="W1" s="679"/>
      <c r="X1" s="679"/>
      <c r="Y1" s="679"/>
      <c r="Z1" s="679"/>
      <c r="AA1" s="679"/>
      <c r="AB1" s="679"/>
    </row>
    <row r="2" spans="1:33" s="218" customFormat="1" ht="36" thickBot="1" x14ac:dyDescent="0.25">
      <c r="A2" s="576" t="s">
        <v>546</v>
      </c>
      <c r="B2" s="402" t="str">
        <f>LEFT(AD2,2)</f>
        <v>D3</v>
      </c>
      <c r="D2" s="661" t="s">
        <v>628</v>
      </c>
      <c r="E2" s="660">
        <f ca="1">INDIRECT("AD"&amp;O1)</f>
        <v>14</v>
      </c>
      <c r="F2" s="705" t="str">
        <f>"   "&amp;Championnat</f>
        <v xml:space="preserve">   Championnat de France de Tir à l'ARC</v>
      </c>
      <c r="O2" s="502" t="s">
        <v>849</v>
      </c>
      <c r="P2" s="503">
        <v>1</v>
      </c>
      <c r="R2" s="254"/>
      <c r="S2" s="254"/>
      <c r="T2" s="681"/>
      <c r="U2" s="680"/>
      <c r="V2" s="681"/>
      <c r="X2" s="662"/>
      <c r="Y2" s="662"/>
      <c r="Z2" s="662"/>
      <c r="AA2" s="662"/>
      <c r="AB2" s="662"/>
      <c r="AD2" s="683" t="s">
        <v>845</v>
      </c>
      <c r="AE2" s="555" t="s">
        <v>846</v>
      </c>
      <c r="AF2" s="555" t="s">
        <v>847</v>
      </c>
      <c r="AG2" s="218" t="s">
        <v>779</v>
      </c>
    </row>
    <row r="3" spans="1:33" ht="35.25" x14ac:dyDescent="0.2">
      <c r="A3" s="706" t="str">
        <f>CATEG_IMPORTEE</f>
        <v>Collèges Mixtes Etablissement</v>
      </c>
      <c r="J3" s="592" t="str">
        <f>LIEU&amp;" du "&amp;DATE</f>
        <v>L’Isle sur la Sorgue du 27 au 31 mars 2023</v>
      </c>
      <c r="R3" s="254"/>
      <c r="S3" s="254"/>
      <c r="T3" s="681"/>
      <c r="U3" s="680"/>
      <c r="V3" s="681"/>
      <c r="W3" s="679"/>
      <c r="X3" s="679"/>
      <c r="Y3" s="679"/>
      <c r="Z3" s="679"/>
      <c r="AA3" s="679"/>
      <c r="AB3" s="679"/>
      <c r="AD3" s="553">
        <v>14</v>
      </c>
      <c r="AE3" s="554" t="s">
        <v>1269</v>
      </c>
      <c r="AF3" s="554" t="s">
        <v>1275</v>
      </c>
      <c r="AG3" s="217">
        <f>AD3</f>
        <v>14</v>
      </c>
    </row>
    <row r="4" spans="1:33" ht="24" customHeight="1" thickBot="1" x14ac:dyDescent="0.25">
      <c r="A4" s="648" t="s">
        <v>0</v>
      </c>
      <c r="B4" s="648"/>
      <c r="C4" s="648"/>
      <c r="D4" s="648"/>
      <c r="F4" s="1124" t="s">
        <v>1006</v>
      </c>
      <c r="G4" s="1125"/>
      <c r="H4" s="1125"/>
      <c r="J4" s="648" t="s">
        <v>0</v>
      </c>
      <c r="O4" s="1093" t="s">
        <v>1005</v>
      </c>
      <c r="P4" s="1093"/>
      <c r="R4" s="254"/>
      <c r="S4" s="254"/>
      <c r="T4" s="681"/>
      <c r="U4" s="680"/>
      <c r="V4" s="681"/>
      <c r="W4" s="679"/>
      <c r="X4" s="679"/>
      <c r="Y4" s="679"/>
      <c r="Z4" s="679"/>
      <c r="AA4" s="679"/>
      <c r="AB4" s="679"/>
      <c r="AD4" s="553">
        <v>15</v>
      </c>
      <c r="AE4" s="554" t="s">
        <v>1275</v>
      </c>
      <c r="AF4" s="554" t="s">
        <v>1269</v>
      </c>
      <c r="AG4" s="217">
        <f t="shared" ref="AG4:AG26" si="0">AD4</f>
        <v>15</v>
      </c>
    </row>
    <row r="5" spans="1:33" ht="23.25" customHeight="1" thickBot="1" x14ac:dyDescent="0.25">
      <c r="A5" s="657" t="str">
        <f ca="1">IFERROR(VLOOKUP(N1,Num_AS,2,FALSE),"")</f>
        <v/>
      </c>
      <c r="B5" s="658"/>
      <c r="C5" s="658"/>
      <c r="D5" s="658"/>
      <c r="E5" s="658"/>
      <c r="F5" s="1117" t="str">
        <f ca="1">IFERROR(VLOOKUP(N1,Num_AS,3,FALSE),"")</f>
        <v/>
      </c>
      <c r="G5" s="1118"/>
      <c r="H5" s="1119"/>
      <c r="I5" s="219" t="s">
        <v>547</v>
      </c>
      <c r="J5" s="678" t="str">
        <f ca="1">IFERROR(VLOOKUP(P1,Num_AS,2,FALSE),"")</f>
        <v/>
      </c>
      <c r="K5" s="664"/>
      <c r="L5" s="664"/>
      <c r="M5" s="664"/>
      <c r="N5" s="1120" t="str">
        <f ca="1">IFERROR(VLOOKUP(P1,Num_AS,3,FALSE),"")</f>
        <v/>
      </c>
      <c r="O5" s="1121"/>
      <c r="P5" s="1122"/>
      <c r="R5" s="254"/>
      <c r="S5" s="254"/>
      <c r="T5" s="681"/>
      <c r="U5" s="680"/>
      <c r="V5" s="681"/>
      <c r="W5" s="679"/>
      <c r="X5" s="679"/>
      <c r="Y5" s="679"/>
      <c r="Z5" s="679"/>
      <c r="AA5" s="679"/>
      <c r="AB5" s="679"/>
      <c r="AD5" s="553">
        <v>16</v>
      </c>
      <c r="AE5" s="554" t="s">
        <v>1271</v>
      </c>
      <c r="AF5" s="554" t="s">
        <v>1274</v>
      </c>
      <c r="AG5" s="217">
        <f t="shared" si="0"/>
        <v>16</v>
      </c>
    </row>
    <row r="6" spans="1:33" ht="20.100000000000001" customHeight="1" thickBot="1" x14ac:dyDescent="0.25">
      <c r="E6" s="219"/>
      <c r="F6" s="1107" t="str">
        <f ca="1">IFERROR(VLOOKUP(N1,Num_AS,4,FALSE),"")</f>
        <v/>
      </c>
      <c r="G6" s="1108"/>
      <c r="H6" s="1109"/>
      <c r="N6" s="1110" t="str">
        <f ca="1">IFERROR(VLOOKUP(P1,Num_AS,4,FALSE),"")</f>
        <v/>
      </c>
      <c r="O6" s="1111"/>
      <c r="P6" s="1112"/>
      <c r="R6" s="254"/>
      <c r="S6" s="254"/>
      <c r="T6" s="681"/>
      <c r="U6" s="680"/>
      <c r="V6" s="681"/>
      <c r="W6" s="679"/>
      <c r="X6" s="679"/>
      <c r="Y6" s="679"/>
      <c r="Z6" s="679"/>
      <c r="AA6" s="679"/>
      <c r="AB6" s="679"/>
      <c r="AD6" s="553">
        <v>17</v>
      </c>
      <c r="AE6" s="554" t="s">
        <v>1274</v>
      </c>
      <c r="AF6" s="554" t="s">
        <v>1271</v>
      </c>
      <c r="AG6" s="217">
        <f t="shared" si="0"/>
        <v>17</v>
      </c>
    </row>
    <row r="7" spans="1:33" ht="18" customHeight="1" thickBot="1" x14ac:dyDescent="0.25">
      <c r="A7" s="1123" t="s">
        <v>548</v>
      </c>
      <c r="B7" s="1123"/>
      <c r="C7" s="1123"/>
      <c r="D7" s="1123"/>
      <c r="E7" s="219"/>
      <c r="F7" s="219"/>
      <c r="G7" s="219"/>
      <c r="H7" s="219"/>
      <c r="I7" s="219"/>
      <c r="J7" s="219"/>
      <c r="K7" s="219"/>
      <c r="L7" s="219"/>
      <c r="M7" s="219"/>
      <c r="N7" s="219"/>
      <c r="O7" s="219"/>
      <c r="P7" s="219"/>
      <c r="R7" s="254"/>
      <c r="S7" s="254"/>
      <c r="T7" s="681"/>
      <c r="U7" s="680"/>
      <c r="V7" s="681"/>
      <c r="W7" s="679"/>
      <c r="X7" s="679"/>
      <c r="Y7" s="679"/>
      <c r="Z7" s="679"/>
      <c r="AA7" s="679"/>
      <c r="AB7" s="679"/>
      <c r="AD7" s="553">
        <v>2</v>
      </c>
      <c r="AE7" s="554" t="s">
        <v>1272</v>
      </c>
      <c r="AF7" s="554" t="s">
        <v>1276</v>
      </c>
      <c r="AG7" s="217">
        <f t="shared" si="0"/>
        <v>2</v>
      </c>
    </row>
    <row r="8" spans="1:33" ht="24" customHeight="1" thickTop="1" thickBot="1" x14ac:dyDescent="0.25">
      <c r="A8" s="1126" t="s">
        <v>549</v>
      </c>
      <c r="B8" s="1127"/>
      <c r="C8" s="1127"/>
      <c r="D8" s="1128"/>
      <c r="E8" s="685" t="s">
        <v>480</v>
      </c>
      <c r="F8" s="685" t="s">
        <v>550</v>
      </c>
      <c r="G8" s="686" t="s">
        <v>551</v>
      </c>
      <c r="H8" s="687" t="s">
        <v>779</v>
      </c>
      <c r="J8" s="702" t="s">
        <v>549</v>
      </c>
      <c r="K8" s="703"/>
      <c r="L8" s="703"/>
      <c r="M8" s="704"/>
      <c r="N8" s="685" t="s">
        <v>480</v>
      </c>
      <c r="O8" s="685" t="s">
        <v>550</v>
      </c>
      <c r="P8" s="686" t="s">
        <v>551</v>
      </c>
      <c r="Q8" s="687" t="s">
        <v>779</v>
      </c>
      <c r="R8" s="254"/>
      <c r="S8" s="254"/>
      <c r="T8" s="681"/>
      <c r="U8" s="680"/>
      <c r="V8" s="681"/>
      <c r="W8" s="679"/>
      <c r="X8" s="679"/>
      <c r="Y8" s="679"/>
      <c r="Z8" s="679"/>
      <c r="AA8" s="679"/>
      <c r="AB8" s="679"/>
      <c r="AD8" s="553">
        <v>3</v>
      </c>
      <c r="AE8" s="554" t="s">
        <v>1276</v>
      </c>
      <c r="AF8" s="554" t="s">
        <v>1272</v>
      </c>
      <c r="AG8" s="217">
        <f t="shared" si="0"/>
        <v>3</v>
      </c>
    </row>
    <row r="9" spans="1:33" ht="24.75" customHeight="1" x14ac:dyDescent="0.2">
      <c r="A9" s="659" t="str">
        <f ca="1">IFERROR(VLOOKUP(N1,Num_AS,6,FALSE),"")</f>
        <v/>
      </c>
      <c r="B9" s="588"/>
      <c r="C9" s="653" t="str">
        <f ca="1">IFERROR(VLOOKUP(N1,Num_AS,7,FALSE),"")</f>
        <v/>
      </c>
      <c r="D9" s="652"/>
      <c r="E9" s="654" t="str">
        <f ca="1">IFERROR(VLOOKUP(N1,Num_AS,10,FALSE),"")</f>
        <v/>
      </c>
      <c r="F9" s="654" t="str">
        <f ca="1">IFERROR(VLOOKUP(N1,Num_AS,9,FALSE),"")</f>
        <v/>
      </c>
      <c r="G9" s="655" t="str">
        <f ca="1">IFERROR(VLOOKUP(N1,Num_AS,11,FALSE),"")</f>
        <v/>
      </c>
      <c r="H9" s="688">
        <f ca="1">E2</f>
        <v>14</v>
      </c>
      <c r="J9" s="659" t="str">
        <f ca="1">IFERROR(VLOOKUP(N1,Num_AS,18,FALSE),"")</f>
        <v/>
      </c>
      <c r="K9" s="588"/>
      <c r="L9" s="653" t="str">
        <f ca="1">IFERROR(VLOOKUP(N1,Num_AS,19,FALSE),"")</f>
        <v/>
      </c>
      <c r="M9" s="647"/>
      <c r="N9" s="656" t="str">
        <f ca="1">IFERROR(VLOOKUP(N1,Num_AS,22,FALSE),"")</f>
        <v/>
      </c>
      <c r="O9" s="654" t="str">
        <f ca="1">IFERROR(VLOOKUP(N1,Num_AS,21,FALSE),"")</f>
        <v/>
      </c>
      <c r="P9" s="682" t="str">
        <f ca="1">IFERROR(VLOOKUP(N1,Num_AS,23,FALSE),"")</f>
        <v/>
      </c>
      <c r="Q9" s="688">
        <f ca="1">E2</f>
        <v>14</v>
      </c>
      <c r="R9" s="254"/>
      <c r="S9" s="254"/>
      <c r="T9" s="681"/>
      <c r="U9" s="680"/>
      <c r="V9" s="681"/>
      <c r="W9" s="679"/>
      <c r="X9" s="679"/>
      <c r="Y9" s="679"/>
      <c r="Z9" s="679"/>
      <c r="AA9" s="679"/>
      <c r="AB9" s="679"/>
      <c r="AD9" s="553">
        <v>4</v>
      </c>
      <c r="AE9" s="554" t="s">
        <v>1270</v>
      </c>
      <c r="AF9" s="554" t="s">
        <v>1273</v>
      </c>
      <c r="AG9" s="217">
        <f t="shared" si="0"/>
        <v>4</v>
      </c>
    </row>
    <row r="10" spans="1:33" ht="24.75" customHeight="1" thickBot="1" x14ac:dyDescent="0.25">
      <c r="A10" s="689" t="str">
        <f ca="1">IFERROR(VLOOKUP(N1,Num_AS,12,FALSE),"")</f>
        <v/>
      </c>
      <c r="B10" s="690"/>
      <c r="C10" s="691" t="str">
        <f ca="1">IFERROR(VLOOKUP(N1,Num_AS,13,FALSE),"")</f>
        <v/>
      </c>
      <c r="D10" s="692"/>
      <c r="E10" s="693" t="str">
        <f ca="1">IFERROR(VLOOKUP(N1,Num_AS,16,FALSE),"")</f>
        <v/>
      </c>
      <c r="F10" s="694" t="str">
        <f ca="1">IFERROR(VLOOKUP(N1,Num_AS,15,FALSE),"")</f>
        <v/>
      </c>
      <c r="G10" s="695" t="str">
        <f ca="1">IFERROR(VLOOKUP(N1,Num_AS,17,FALSE),"")</f>
        <v/>
      </c>
      <c r="H10" s="700">
        <f ca="1">E2</f>
        <v>14</v>
      </c>
      <c r="J10" s="689" t="str">
        <f ca="1">IFERROR(VLOOKUP(N1,Num_AS,24,FALSE),"")</f>
        <v/>
      </c>
      <c r="K10" s="690"/>
      <c r="L10" s="691" t="str">
        <f ca="1">IFERROR(VLOOKUP(N1,Num_AS,25,FALSE),"")</f>
        <v/>
      </c>
      <c r="M10" s="697"/>
      <c r="N10" s="698" t="str">
        <f ca="1">IFERROR(VLOOKUP(N1,Num_AS,28,FALSE),"")</f>
        <v/>
      </c>
      <c r="O10" s="694" t="str">
        <f ca="1">IFERROR(VLOOKUP(N1,Num_AS,27,FALSE),"")</f>
        <v/>
      </c>
      <c r="P10" s="699" t="str">
        <f ca="1">IFERROR(VLOOKUP(N1,Num_AS,29,FALSE),"")</f>
        <v/>
      </c>
      <c r="Q10" s="700">
        <f ca="1">E2</f>
        <v>14</v>
      </c>
      <c r="R10" s="254"/>
      <c r="S10" s="254"/>
      <c r="T10" s="681"/>
      <c r="U10" s="680"/>
      <c r="V10" s="681"/>
      <c r="W10" s="681"/>
      <c r="X10" s="681"/>
      <c r="Y10" s="681"/>
      <c r="Z10" s="679"/>
      <c r="AA10" s="679"/>
      <c r="AB10" s="679"/>
      <c r="AD10" s="553">
        <v>5</v>
      </c>
      <c r="AE10" s="554" t="s">
        <v>1273</v>
      </c>
      <c r="AF10" s="554" t="s">
        <v>1270</v>
      </c>
      <c r="AG10" s="217">
        <f t="shared" si="0"/>
        <v>5</v>
      </c>
    </row>
    <row r="11" spans="1:33" ht="12.75" customHeight="1" thickTop="1" x14ac:dyDescent="0.2">
      <c r="A11" s="701"/>
      <c r="B11" s="249"/>
      <c r="C11" s="701"/>
      <c r="D11" s="701"/>
      <c r="E11" s="196"/>
      <c r="F11" s="196"/>
      <c r="G11" s="249"/>
      <c r="H11" s="219"/>
      <c r="I11" s="701"/>
      <c r="J11" s="249"/>
      <c r="K11" s="701"/>
      <c r="L11" s="249"/>
      <c r="M11" s="196"/>
      <c r="N11" s="196"/>
      <c r="O11" s="249"/>
      <c r="P11" s="219"/>
      <c r="R11" s="254"/>
      <c r="S11" s="254"/>
      <c r="T11" s="681"/>
      <c r="U11" s="680"/>
      <c r="V11" s="681"/>
      <c r="W11" s="681"/>
      <c r="X11" s="681"/>
      <c r="Y11" s="681"/>
      <c r="Z11" s="679"/>
      <c r="AA11" s="679"/>
      <c r="AB11" s="679"/>
      <c r="AD11" s="553">
        <v>6</v>
      </c>
      <c r="AE11" s="554" t="s">
        <v>1278</v>
      </c>
      <c r="AF11" s="554" t="s">
        <v>1277</v>
      </c>
      <c r="AG11" s="217">
        <f t="shared" si="0"/>
        <v>6</v>
      </c>
    </row>
    <row r="12" spans="1:33" ht="37.5" customHeight="1" x14ac:dyDescent="0.2">
      <c r="A12" s="1113" t="s">
        <v>909</v>
      </c>
      <c r="B12" s="1113"/>
      <c r="C12" s="1113"/>
      <c r="F12" s="1113" t="s">
        <v>910</v>
      </c>
      <c r="G12" s="1113"/>
      <c r="H12" s="1113"/>
      <c r="J12" s="1113" t="s">
        <v>911</v>
      </c>
      <c r="K12" s="1113"/>
      <c r="L12" s="1113"/>
      <c r="N12" s="1113" t="s">
        <v>912</v>
      </c>
      <c r="O12" s="1113"/>
      <c r="P12" s="1113"/>
      <c r="R12" s="254"/>
      <c r="S12" s="254"/>
      <c r="T12" s="681"/>
      <c r="U12" s="680"/>
      <c r="V12" s="679"/>
      <c r="W12" s="679"/>
      <c r="X12" s="679"/>
      <c r="Y12" s="679"/>
      <c r="Z12" s="679"/>
      <c r="AA12" s="679"/>
      <c r="AB12" s="679"/>
      <c r="AD12" s="553">
        <v>7</v>
      </c>
      <c r="AE12" s="554" t="s">
        <v>1277</v>
      </c>
      <c r="AF12" s="554" t="s">
        <v>1278</v>
      </c>
      <c r="AG12" s="217">
        <f t="shared" si="0"/>
        <v>7</v>
      </c>
    </row>
    <row r="13" spans="1:33" ht="37.5" customHeight="1" x14ac:dyDescent="0.25">
      <c r="A13" s="629" t="s">
        <v>980</v>
      </c>
      <c r="B13" s="629" t="s">
        <v>981</v>
      </c>
      <c r="C13" s="636" t="s">
        <v>780</v>
      </c>
      <c r="D13" s="649"/>
      <c r="F13" s="629" t="s">
        <v>980</v>
      </c>
      <c r="G13" s="629" t="s">
        <v>981</v>
      </c>
      <c r="H13" s="636" t="s">
        <v>780</v>
      </c>
      <c r="J13" s="629" t="s">
        <v>980</v>
      </c>
      <c r="K13" s="629" t="s">
        <v>981</v>
      </c>
      <c r="L13" s="636" t="s">
        <v>780</v>
      </c>
      <c r="M13" s="649"/>
      <c r="N13" s="629" t="s">
        <v>980</v>
      </c>
      <c r="O13" s="629" t="s">
        <v>981</v>
      </c>
      <c r="P13" s="636" t="s">
        <v>780</v>
      </c>
      <c r="T13" s="679"/>
      <c r="U13" s="680"/>
      <c r="V13" s="679"/>
      <c r="W13" s="679"/>
      <c r="X13" s="679"/>
      <c r="Y13" s="679"/>
      <c r="Z13" s="679"/>
      <c r="AA13" s="679"/>
      <c r="AB13" s="679"/>
      <c r="AD13" s="553">
        <v>8</v>
      </c>
      <c r="AE13" s="554" t="s">
        <v>1280</v>
      </c>
      <c r="AF13" s="554" t="s">
        <v>381</v>
      </c>
      <c r="AG13" s="217">
        <f t="shared" si="0"/>
        <v>8</v>
      </c>
    </row>
    <row r="14" spans="1:33" ht="32.25" customHeight="1" x14ac:dyDescent="0.25">
      <c r="A14" s="666">
        <v>10</v>
      </c>
      <c r="B14" s="636"/>
      <c r="C14" s="636"/>
      <c r="D14" s="649"/>
      <c r="F14" s="666">
        <v>10</v>
      </c>
      <c r="G14" s="636"/>
      <c r="H14" s="636"/>
      <c r="J14" s="666">
        <v>10</v>
      </c>
      <c r="K14" s="636"/>
      <c r="L14" s="636"/>
      <c r="M14" s="649"/>
      <c r="N14" s="666">
        <v>10</v>
      </c>
      <c r="O14" s="636"/>
      <c r="P14" s="636"/>
      <c r="T14" s="679"/>
      <c r="U14" s="680"/>
      <c r="V14" s="679"/>
      <c r="W14" s="679"/>
      <c r="X14" s="679"/>
      <c r="Y14" s="679"/>
      <c r="Z14" s="679"/>
      <c r="AA14" s="679"/>
      <c r="AB14" s="679"/>
      <c r="AD14" s="553">
        <v>9</v>
      </c>
      <c r="AE14" s="554" t="s">
        <v>1279</v>
      </c>
      <c r="AF14" s="554" t="s">
        <v>381</v>
      </c>
      <c r="AG14" s="217">
        <f t="shared" si="0"/>
        <v>9</v>
      </c>
    </row>
    <row r="15" spans="1:33" ht="32.25" customHeight="1" x14ac:dyDescent="0.25">
      <c r="A15" s="666">
        <v>9</v>
      </c>
      <c r="B15" s="636"/>
      <c r="C15" s="636"/>
      <c r="D15" s="649"/>
      <c r="F15" s="666">
        <v>9</v>
      </c>
      <c r="G15" s="636"/>
      <c r="H15" s="636"/>
      <c r="J15" s="666">
        <v>9</v>
      </c>
      <c r="K15" s="636"/>
      <c r="L15" s="636"/>
      <c r="M15" s="649"/>
      <c r="N15" s="666">
        <v>9</v>
      </c>
      <c r="O15" s="636"/>
      <c r="P15" s="636"/>
      <c r="T15" s="679"/>
      <c r="U15" s="680"/>
      <c r="V15" s="679"/>
      <c r="W15" s="679"/>
      <c r="X15" s="679"/>
      <c r="Y15" s="679"/>
      <c r="Z15" s="679"/>
      <c r="AA15" s="679"/>
      <c r="AB15" s="679"/>
      <c r="AD15" s="553">
        <v>10</v>
      </c>
      <c r="AE15" s="554" t="s">
        <v>1281</v>
      </c>
      <c r="AF15" s="554" t="s">
        <v>381</v>
      </c>
      <c r="AG15" s="217">
        <f t="shared" si="0"/>
        <v>10</v>
      </c>
    </row>
    <row r="16" spans="1:33" ht="32.25" customHeight="1" x14ac:dyDescent="0.25">
      <c r="A16" s="666">
        <v>8</v>
      </c>
      <c r="B16" s="636"/>
      <c r="C16" s="636"/>
      <c r="D16" s="649"/>
      <c r="F16" s="666">
        <v>8</v>
      </c>
      <c r="G16" s="636"/>
      <c r="H16" s="636"/>
      <c r="J16" s="666">
        <v>8</v>
      </c>
      <c r="K16" s="636"/>
      <c r="L16" s="636"/>
      <c r="M16" s="649"/>
      <c r="N16" s="666">
        <v>8</v>
      </c>
      <c r="O16" s="636"/>
      <c r="P16" s="636"/>
      <c r="T16" s="679"/>
      <c r="U16" s="680"/>
      <c r="V16" s="679"/>
      <c r="W16" s="679"/>
      <c r="X16" s="679"/>
      <c r="Y16" s="679"/>
      <c r="Z16" s="679"/>
      <c r="AA16" s="679"/>
      <c r="AB16" s="679"/>
      <c r="AD16" s="553"/>
      <c r="AE16" s="554"/>
      <c r="AF16" s="554"/>
      <c r="AG16" s="217">
        <f t="shared" si="0"/>
        <v>0</v>
      </c>
    </row>
    <row r="17" spans="1:34" ht="32.25" customHeight="1" x14ac:dyDescent="0.25">
      <c r="A17" s="666">
        <v>7</v>
      </c>
      <c r="B17" s="636"/>
      <c r="C17" s="636"/>
      <c r="D17" s="649"/>
      <c r="F17" s="666">
        <v>7</v>
      </c>
      <c r="G17" s="636"/>
      <c r="H17" s="636"/>
      <c r="J17" s="666">
        <v>7</v>
      </c>
      <c r="K17" s="636"/>
      <c r="L17" s="636"/>
      <c r="M17" s="649"/>
      <c r="N17" s="666">
        <v>7</v>
      </c>
      <c r="O17" s="636"/>
      <c r="P17" s="636"/>
      <c r="T17" s="679"/>
      <c r="U17" s="680"/>
      <c r="V17" s="679"/>
      <c r="W17" s="679"/>
      <c r="X17" s="679"/>
      <c r="Y17" s="679"/>
      <c r="Z17" s="679"/>
      <c r="AD17" s="553"/>
      <c r="AE17" s="554"/>
      <c r="AF17" s="554"/>
      <c r="AG17" s="217">
        <f t="shared" si="0"/>
        <v>0</v>
      </c>
    </row>
    <row r="18" spans="1:34" ht="32.25" customHeight="1" x14ac:dyDescent="0.25">
      <c r="A18" s="666">
        <v>6</v>
      </c>
      <c r="B18" s="636"/>
      <c r="C18" s="636"/>
      <c r="D18" s="649"/>
      <c r="F18" s="666">
        <v>6</v>
      </c>
      <c r="G18" s="636"/>
      <c r="H18" s="636"/>
      <c r="J18" s="666">
        <v>6</v>
      </c>
      <c r="K18" s="636"/>
      <c r="L18" s="636"/>
      <c r="M18" s="649"/>
      <c r="N18" s="666">
        <v>6</v>
      </c>
      <c r="O18" s="636"/>
      <c r="P18" s="636"/>
      <c r="T18" s="679"/>
      <c r="U18" s="680"/>
      <c r="AD18" s="553"/>
      <c r="AE18" s="554"/>
      <c r="AF18" s="554"/>
      <c r="AG18" s="217">
        <f t="shared" si="0"/>
        <v>0</v>
      </c>
    </row>
    <row r="19" spans="1:34" ht="32.25" customHeight="1" x14ac:dyDescent="0.25">
      <c r="A19" s="666">
        <v>5</v>
      </c>
      <c r="B19" s="636"/>
      <c r="C19" s="636"/>
      <c r="D19" s="649"/>
      <c r="F19" s="666">
        <v>5</v>
      </c>
      <c r="G19" s="636"/>
      <c r="H19" s="636"/>
      <c r="J19" s="666">
        <v>5</v>
      </c>
      <c r="K19" s="636"/>
      <c r="L19" s="636"/>
      <c r="M19" s="649"/>
      <c r="N19" s="666">
        <v>5</v>
      </c>
      <c r="O19" s="636"/>
      <c r="P19" s="636"/>
      <c r="U19" s="520"/>
      <c r="AD19" s="553"/>
      <c r="AE19" s="554"/>
      <c r="AF19" s="554"/>
      <c r="AG19" s="217">
        <f t="shared" si="0"/>
        <v>0</v>
      </c>
    </row>
    <row r="20" spans="1:34" ht="32.25" customHeight="1" x14ac:dyDescent="0.25">
      <c r="A20" s="666">
        <v>4</v>
      </c>
      <c r="B20" s="636"/>
      <c r="C20" s="636"/>
      <c r="D20" s="649"/>
      <c r="F20" s="666">
        <v>4</v>
      </c>
      <c r="G20" s="636"/>
      <c r="H20" s="636"/>
      <c r="J20" s="666">
        <v>4</v>
      </c>
      <c r="K20" s="636"/>
      <c r="L20" s="636"/>
      <c r="M20" s="649"/>
      <c r="N20" s="666">
        <v>4</v>
      </c>
      <c r="O20" s="636"/>
      <c r="P20" s="636"/>
      <c r="U20" s="520"/>
      <c r="AD20" s="553"/>
      <c r="AE20" s="554"/>
      <c r="AF20" s="554"/>
      <c r="AG20" s="217">
        <f t="shared" si="0"/>
        <v>0</v>
      </c>
    </row>
    <row r="21" spans="1:34" ht="32.25" customHeight="1" x14ac:dyDescent="0.25">
      <c r="A21" s="666">
        <v>3</v>
      </c>
      <c r="B21" s="636"/>
      <c r="C21" s="636"/>
      <c r="D21" s="649"/>
      <c r="F21" s="666">
        <v>3</v>
      </c>
      <c r="G21" s="636"/>
      <c r="H21" s="636"/>
      <c r="J21" s="666">
        <v>3</v>
      </c>
      <c r="K21" s="636"/>
      <c r="L21" s="636"/>
      <c r="M21" s="649"/>
      <c r="N21" s="666">
        <v>3</v>
      </c>
      <c r="O21" s="636"/>
      <c r="P21" s="636"/>
      <c r="U21" s="520"/>
      <c r="AD21" s="553"/>
      <c r="AE21" s="554"/>
      <c r="AF21" s="554"/>
      <c r="AG21" s="217">
        <f t="shared" si="0"/>
        <v>0</v>
      </c>
    </row>
    <row r="22" spans="1:34" ht="32.25" customHeight="1" x14ac:dyDescent="0.25">
      <c r="A22" s="666">
        <v>2</v>
      </c>
      <c r="B22" s="636"/>
      <c r="C22" s="636"/>
      <c r="D22" s="649"/>
      <c r="F22" s="666">
        <v>2</v>
      </c>
      <c r="G22" s="636"/>
      <c r="H22" s="636"/>
      <c r="J22" s="666">
        <v>2</v>
      </c>
      <c r="K22" s="636"/>
      <c r="L22" s="636"/>
      <c r="M22" s="649"/>
      <c r="N22" s="666">
        <v>2</v>
      </c>
      <c r="O22" s="636"/>
      <c r="P22" s="636"/>
      <c r="U22" s="520"/>
      <c r="AD22" s="553"/>
      <c r="AE22" s="554"/>
      <c r="AF22" s="554"/>
      <c r="AG22" s="217">
        <f t="shared" si="0"/>
        <v>0</v>
      </c>
    </row>
    <row r="23" spans="1:34" ht="32.25" customHeight="1" x14ac:dyDescent="0.25">
      <c r="A23" s="666">
        <v>1</v>
      </c>
      <c r="B23" s="636"/>
      <c r="C23" s="636"/>
      <c r="D23" s="649"/>
      <c r="F23" s="666">
        <v>1</v>
      </c>
      <c r="G23" s="636"/>
      <c r="H23" s="636"/>
      <c r="J23" s="666">
        <v>1</v>
      </c>
      <c r="K23" s="636"/>
      <c r="L23" s="636"/>
      <c r="M23" s="649"/>
      <c r="N23" s="666">
        <v>1</v>
      </c>
      <c r="O23" s="636"/>
      <c r="P23" s="636"/>
      <c r="U23" s="520"/>
      <c r="AD23" s="553"/>
      <c r="AE23" s="554"/>
      <c r="AF23" s="554"/>
      <c r="AG23" s="217">
        <f t="shared" si="0"/>
        <v>0</v>
      </c>
    </row>
    <row r="24" spans="1:34" ht="32.25" customHeight="1" x14ac:dyDescent="0.25">
      <c r="A24" s="666" t="s">
        <v>982</v>
      </c>
      <c r="B24" s="636"/>
      <c r="C24" s="636"/>
      <c r="D24" s="649"/>
      <c r="F24" s="666" t="s">
        <v>982</v>
      </c>
      <c r="G24" s="636"/>
      <c r="H24" s="636"/>
      <c r="J24" s="666" t="s">
        <v>982</v>
      </c>
      <c r="K24" s="636"/>
      <c r="L24" s="636"/>
      <c r="M24" s="649"/>
      <c r="N24" s="666" t="s">
        <v>982</v>
      </c>
      <c r="O24" s="636"/>
      <c r="P24" s="636"/>
      <c r="U24" s="520"/>
      <c r="AD24" s="553"/>
      <c r="AE24" s="554"/>
      <c r="AF24" s="554"/>
      <c r="AG24" s="217">
        <f t="shared" si="0"/>
        <v>0</v>
      </c>
    </row>
    <row r="25" spans="1:34" ht="32.25" customHeight="1" x14ac:dyDescent="0.25">
      <c r="A25" s="629" t="s">
        <v>981</v>
      </c>
      <c r="B25" s="650"/>
      <c r="C25" s="651" t="s">
        <v>996</v>
      </c>
      <c r="D25" s="649"/>
      <c r="F25" s="629" t="s">
        <v>981</v>
      </c>
      <c r="G25" s="650"/>
      <c r="H25" s="651" t="s">
        <v>996</v>
      </c>
      <c r="J25" s="629" t="s">
        <v>981</v>
      </c>
      <c r="K25" s="650"/>
      <c r="L25" s="651" t="s">
        <v>996</v>
      </c>
      <c r="M25" s="649"/>
      <c r="N25" s="629" t="s">
        <v>981</v>
      </c>
      <c r="O25" s="650"/>
      <c r="P25" s="651" t="s">
        <v>996</v>
      </c>
      <c r="Q25" s="649"/>
      <c r="U25" s="520"/>
      <c r="AD25" s="553"/>
      <c r="AE25" s="554"/>
      <c r="AF25" s="554"/>
      <c r="AG25" s="217">
        <f t="shared" si="0"/>
        <v>0</v>
      </c>
    </row>
    <row r="26" spans="1:34" ht="32.25" customHeight="1" thickBot="1" x14ac:dyDescent="0.3">
      <c r="A26" s="649"/>
      <c r="B26" s="629" t="s">
        <v>983</v>
      </c>
      <c r="C26" s="665"/>
      <c r="D26" s="649"/>
      <c r="F26" s="637" t="s">
        <v>985</v>
      </c>
      <c r="G26" s="629" t="s">
        <v>983</v>
      </c>
      <c r="H26" s="636"/>
      <c r="J26" s="637" t="s">
        <v>985</v>
      </c>
      <c r="K26" s="629" t="s">
        <v>983</v>
      </c>
      <c r="L26" s="636"/>
      <c r="M26" s="649"/>
      <c r="N26" s="637" t="s">
        <v>985</v>
      </c>
      <c r="O26" s="629" t="s">
        <v>983</v>
      </c>
      <c r="P26" s="636"/>
      <c r="Q26" s="649"/>
      <c r="U26" s="520"/>
      <c r="AD26" s="553"/>
      <c r="AE26" s="554"/>
      <c r="AF26" s="554"/>
      <c r="AG26" s="217">
        <f t="shared" si="0"/>
        <v>0</v>
      </c>
    </row>
    <row r="27" spans="1:34" ht="41.25" customHeight="1" thickBot="1" x14ac:dyDescent="0.3">
      <c r="A27" s="1114" t="s">
        <v>1001</v>
      </c>
      <c r="B27" s="1114"/>
      <c r="C27" s="734">
        <f ca="1">VLOOKUP(A5&amp;F5,PTS_SP,2,FALSE)</f>
        <v>0</v>
      </c>
      <c r="D27" s="649"/>
      <c r="F27" s="1115" t="s">
        <v>986</v>
      </c>
      <c r="G27" s="1116"/>
      <c r="H27" s="636"/>
      <c r="I27" s="1115" t="s">
        <v>986</v>
      </c>
      <c r="J27" s="1115"/>
      <c r="K27" s="636"/>
      <c r="L27" s="649"/>
      <c r="O27" s="634" t="s">
        <v>987</v>
      </c>
      <c r="P27" s="636"/>
      <c r="Q27" s="649"/>
      <c r="U27" s="520"/>
    </row>
    <row r="28" spans="1:34" ht="47.25" customHeight="1" thickBot="1" x14ac:dyDescent="0.3">
      <c r="A28" s="1115" t="s">
        <v>986</v>
      </c>
      <c r="B28" s="1116"/>
      <c r="C28" s="644"/>
      <c r="D28" s="649"/>
      <c r="E28" s="649"/>
      <c r="F28" s="649"/>
      <c r="G28" s="649"/>
      <c r="H28" s="649"/>
      <c r="I28" s="649"/>
      <c r="J28" s="649"/>
      <c r="K28" s="649"/>
      <c r="L28" s="649"/>
      <c r="N28" s="634"/>
      <c r="O28" s="634" t="s">
        <v>997</v>
      </c>
      <c r="P28" s="673"/>
      <c r="Q28" s="674"/>
      <c r="R28" s="663" t="s">
        <v>998</v>
      </c>
      <c r="U28" s="520"/>
    </row>
    <row r="29" spans="1:34" ht="36" customHeight="1" thickBot="1" x14ac:dyDescent="0.3">
      <c r="A29" s="649"/>
      <c r="B29" s="649"/>
      <c r="C29" s="649"/>
      <c r="D29" s="649"/>
      <c r="E29" s="672" t="s">
        <v>1002</v>
      </c>
      <c r="F29" s="667"/>
      <c r="G29" s="667"/>
      <c r="H29" s="668"/>
      <c r="I29" s="649"/>
      <c r="J29" s="672" t="s">
        <v>1003</v>
      </c>
      <c r="K29" s="667"/>
      <c r="L29" s="667"/>
      <c r="M29" s="668"/>
      <c r="O29" s="675" t="s">
        <v>1004</v>
      </c>
      <c r="P29" s="676" t="s">
        <v>999</v>
      </c>
      <c r="Q29" s="677" t="s">
        <v>1000</v>
      </c>
      <c r="R29" s="649"/>
      <c r="U29" s="520"/>
    </row>
    <row r="30" spans="1:34" ht="36" customHeight="1" thickBot="1" x14ac:dyDescent="0.25">
      <c r="E30" s="669"/>
      <c r="F30" s="670"/>
      <c r="G30" s="670"/>
      <c r="H30" s="671"/>
      <c r="J30" s="669"/>
      <c r="K30" s="670"/>
      <c r="L30" s="670"/>
      <c r="M30" s="671"/>
      <c r="U30" s="520"/>
      <c r="AA30" s="679"/>
      <c r="AB30" s="679"/>
    </row>
    <row r="31" spans="1:34" s="218" customFormat="1" ht="23.25" customHeight="1" x14ac:dyDescent="0.2">
      <c r="A31" s="217"/>
      <c r="B31" s="217"/>
      <c r="C31" s="217"/>
      <c r="D31" s="217"/>
      <c r="E31" s="217"/>
      <c r="F31" s="217"/>
      <c r="G31" s="217"/>
      <c r="H31" s="217"/>
      <c r="I31" s="217"/>
      <c r="J31" s="217"/>
      <c r="K31" s="217"/>
      <c r="L31" s="217"/>
      <c r="M31" s="217"/>
      <c r="N31" s="684"/>
      <c r="O31" s="684"/>
      <c r="P31" s="684"/>
      <c r="Q31" s="684"/>
      <c r="R31" s="217"/>
      <c r="S31" s="217"/>
      <c r="T31" s="217"/>
      <c r="U31" s="520"/>
      <c r="V31" s="679"/>
      <c r="W31" s="679"/>
      <c r="X31" s="679"/>
      <c r="Y31" s="679"/>
      <c r="Z31" s="679"/>
      <c r="AA31" s="662"/>
      <c r="AB31" s="662"/>
      <c r="AD31" s="217"/>
      <c r="AE31" s="217"/>
      <c r="AF31" s="217"/>
      <c r="AG31" s="217"/>
    </row>
    <row r="32" spans="1:34" ht="19.5" customHeight="1" thickBot="1" x14ac:dyDescent="0.25">
      <c r="M32" s="873"/>
      <c r="N32" s="680" t="str">
        <f ca="1">INDIRECT("AE"&amp;O32)</f>
        <v>Collège Philippe CousteauBrienon-sur-Armançon</v>
      </c>
      <c r="O32" s="873">
        <f>P33+2</f>
        <v>4</v>
      </c>
      <c r="P32" s="874" t="str">
        <f ca="1">INDIRECT("AF"&amp;O32)</f>
        <v>Collège Henri MartineauCoulonges-sur-l'Autize</v>
      </c>
      <c r="Q32" s="500"/>
      <c r="R32" s="500"/>
      <c r="T32" s="679"/>
      <c r="U32" s="679"/>
      <c r="V32" s="679"/>
      <c r="W32" s="679"/>
      <c r="X32" s="679"/>
      <c r="Y32" s="679"/>
      <c r="Z32" s="679"/>
      <c r="AA32" s="679"/>
      <c r="AB32" s="679"/>
      <c r="AC32" s="218"/>
      <c r="AH32" s="218"/>
    </row>
    <row r="33" spans="1:34" s="218" customFormat="1" ht="36" thickBot="1" x14ac:dyDescent="0.25">
      <c r="A33" s="576" t="s">
        <v>546</v>
      </c>
      <c r="B33" s="402" t="str">
        <f>B2</f>
        <v>D3</v>
      </c>
      <c r="D33" s="661" t="s">
        <v>628</v>
      </c>
      <c r="E33" s="660">
        <f ca="1">INDIRECT("AD"&amp;O32)</f>
        <v>15</v>
      </c>
      <c r="F33" s="705" t="str">
        <f>"   "&amp;Championnat</f>
        <v xml:space="preserve">   Championnat de France de Tir à l'ARC</v>
      </c>
      <c r="O33" s="502" t="s">
        <v>849</v>
      </c>
      <c r="P33" s="503">
        <f>P2+1</f>
        <v>2</v>
      </c>
      <c r="R33" s="254"/>
      <c r="S33" s="254"/>
      <c r="T33" s="681"/>
      <c r="U33" s="680"/>
      <c r="V33" s="681"/>
      <c r="X33" s="662"/>
      <c r="Y33" s="662"/>
      <c r="Z33" s="662"/>
      <c r="AA33" s="662"/>
      <c r="AB33" s="662"/>
      <c r="AD33" s="217"/>
      <c r="AE33" s="217"/>
      <c r="AF33" s="217"/>
      <c r="AG33" s="217"/>
    </row>
    <row r="34" spans="1:34" ht="35.25" x14ac:dyDescent="0.2">
      <c r="A34" s="706" t="str">
        <f>CATEG_IMPORTEE</f>
        <v>Collèges Mixtes Etablissement</v>
      </c>
      <c r="J34" s="592" t="str">
        <f>LIEU&amp;" du "&amp;DATE</f>
        <v>L’Isle sur la Sorgue du 27 au 31 mars 2023</v>
      </c>
      <c r="R34" s="254"/>
      <c r="S34" s="254"/>
      <c r="T34" s="681"/>
      <c r="U34" s="680"/>
      <c r="V34" s="681"/>
      <c r="W34" s="679"/>
      <c r="X34" s="679"/>
      <c r="Y34" s="679"/>
      <c r="Z34" s="679"/>
      <c r="AA34" s="679"/>
      <c r="AB34" s="679"/>
      <c r="AC34" s="218"/>
      <c r="AH34" s="218"/>
    </row>
    <row r="35" spans="1:34" ht="24" customHeight="1" thickBot="1" x14ac:dyDescent="0.25">
      <c r="A35" s="648" t="s">
        <v>0</v>
      </c>
      <c r="B35" s="648"/>
      <c r="C35" s="648"/>
      <c r="D35" s="648"/>
      <c r="F35" s="1124" t="s">
        <v>1006</v>
      </c>
      <c r="G35" s="1125"/>
      <c r="H35" s="1125"/>
      <c r="J35" s="648" t="s">
        <v>0</v>
      </c>
      <c r="O35" s="1093" t="s">
        <v>1005</v>
      </c>
      <c r="P35" s="1093"/>
      <c r="R35" s="254"/>
      <c r="S35" s="254"/>
      <c r="T35" s="681"/>
      <c r="U35" s="680"/>
      <c r="V35" s="681"/>
      <c r="W35" s="679"/>
      <c r="X35" s="679"/>
      <c r="Y35" s="679"/>
      <c r="Z35" s="679"/>
      <c r="AA35" s="679"/>
      <c r="AB35" s="679"/>
      <c r="AC35" s="218"/>
      <c r="AH35" s="218"/>
    </row>
    <row r="36" spans="1:34" ht="23.25" customHeight="1" thickBot="1" x14ac:dyDescent="0.25">
      <c r="A36" s="657" t="str">
        <f ca="1">IFERROR(VLOOKUP(N32,Num_AS,2,FALSE),"")</f>
        <v/>
      </c>
      <c r="B36" s="658"/>
      <c r="C36" s="658"/>
      <c r="D36" s="658"/>
      <c r="E36" s="658"/>
      <c r="F36" s="1117" t="str">
        <f ca="1">IFERROR(VLOOKUP(N32,Num_AS,3,FALSE),"")</f>
        <v/>
      </c>
      <c r="G36" s="1118"/>
      <c r="H36" s="1119"/>
      <c r="I36" s="219" t="s">
        <v>547</v>
      </c>
      <c r="J36" s="678" t="str">
        <f ca="1">IFERROR(VLOOKUP(P32,Num_AS,2,FALSE),"")</f>
        <v/>
      </c>
      <c r="K36" s="664"/>
      <c r="L36" s="664"/>
      <c r="M36" s="664"/>
      <c r="N36" s="1120" t="str">
        <f ca="1">IFERROR(VLOOKUP(P32,Num_AS,3,FALSE),"")</f>
        <v/>
      </c>
      <c r="O36" s="1121"/>
      <c r="P36" s="1122"/>
      <c r="R36" s="254"/>
      <c r="S36" s="254"/>
      <c r="T36" s="681"/>
      <c r="U36" s="680"/>
      <c r="V36" s="681"/>
      <c r="W36" s="679"/>
      <c r="X36" s="679"/>
      <c r="Y36" s="679"/>
      <c r="Z36" s="679"/>
      <c r="AA36" s="679"/>
      <c r="AB36" s="679"/>
      <c r="AC36" s="218"/>
      <c r="AH36" s="218"/>
    </row>
    <row r="37" spans="1:34" ht="20.100000000000001" customHeight="1" thickBot="1" x14ac:dyDescent="0.25">
      <c r="E37" s="219"/>
      <c r="F37" s="1107" t="str">
        <f ca="1">IFERROR(VLOOKUP(N32,Num_AS,4,FALSE),"")</f>
        <v/>
      </c>
      <c r="G37" s="1108"/>
      <c r="H37" s="1109"/>
      <c r="N37" s="1110" t="str">
        <f ca="1">IFERROR(VLOOKUP(P32,Num_AS,4,FALSE),"")</f>
        <v/>
      </c>
      <c r="O37" s="1111"/>
      <c r="P37" s="1112"/>
      <c r="R37" s="254"/>
      <c r="S37" s="254"/>
      <c r="T37" s="681"/>
      <c r="U37" s="680"/>
      <c r="V37" s="681"/>
      <c r="W37" s="679"/>
      <c r="X37" s="679"/>
      <c r="Y37" s="679"/>
      <c r="Z37" s="679"/>
      <c r="AA37" s="679"/>
      <c r="AB37" s="679"/>
      <c r="AC37" s="218"/>
      <c r="AH37" s="218"/>
    </row>
    <row r="38" spans="1:34" ht="18" customHeight="1" thickBot="1" x14ac:dyDescent="0.25">
      <c r="A38" s="1123" t="s">
        <v>548</v>
      </c>
      <c r="B38" s="1123"/>
      <c r="C38" s="1123"/>
      <c r="D38" s="1123"/>
      <c r="E38" s="219"/>
      <c r="F38" s="219"/>
      <c r="G38" s="219"/>
      <c r="H38" s="219"/>
      <c r="I38" s="219"/>
      <c r="J38" s="219"/>
      <c r="K38" s="219"/>
      <c r="L38" s="219"/>
      <c r="M38" s="219"/>
      <c r="N38" s="219"/>
      <c r="O38" s="219"/>
      <c r="P38" s="219"/>
      <c r="R38" s="254"/>
      <c r="S38" s="254"/>
      <c r="T38" s="681"/>
      <c r="U38" s="680"/>
      <c r="V38" s="681"/>
      <c r="W38" s="679"/>
      <c r="X38" s="679"/>
      <c r="Y38" s="679"/>
      <c r="Z38" s="679"/>
      <c r="AA38" s="679"/>
      <c r="AB38" s="679"/>
      <c r="AC38" s="218"/>
      <c r="AH38" s="218"/>
    </row>
    <row r="39" spans="1:34" ht="24" customHeight="1" thickTop="1" thickBot="1" x14ac:dyDescent="0.25">
      <c r="A39" s="1126" t="s">
        <v>549</v>
      </c>
      <c r="B39" s="1127"/>
      <c r="C39" s="1127"/>
      <c r="D39" s="1128"/>
      <c r="E39" s="685" t="s">
        <v>480</v>
      </c>
      <c r="F39" s="685" t="s">
        <v>550</v>
      </c>
      <c r="G39" s="686" t="s">
        <v>551</v>
      </c>
      <c r="H39" s="687" t="s">
        <v>779</v>
      </c>
      <c r="J39" s="702" t="s">
        <v>549</v>
      </c>
      <c r="K39" s="703"/>
      <c r="L39" s="703"/>
      <c r="M39" s="704"/>
      <c r="N39" s="685" t="s">
        <v>480</v>
      </c>
      <c r="O39" s="685" t="s">
        <v>550</v>
      </c>
      <c r="P39" s="686" t="s">
        <v>551</v>
      </c>
      <c r="Q39" s="687" t="s">
        <v>779</v>
      </c>
      <c r="R39" s="254"/>
      <c r="S39" s="254"/>
      <c r="T39" s="681"/>
      <c r="U39" s="680"/>
      <c r="V39" s="681"/>
      <c r="W39" s="679"/>
      <c r="X39" s="679"/>
      <c r="Y39" s="679"/>
      <c r="Z39" s="679"/>
      <c r="AA39" s="679"/>
      <c r="AB39" s="679"/>
      <c r="AC39" s="218"/>
      <c r="AH39" s="218"/>
    </row>
    <row r="40" spans="1:34" ht="24.75" customHeight="1" x14ac:dyDescent="0.2">
      <c r="A40" s="659" t="str">
        <f ca="1">IFERROR(VLOOKUP(N32,Num_AS,6,FALSE),"")</f>
        <v/>
      </c>
      <c r="B40" s="588"/>
      <c r="C40" s="653" t="str">
        <f ca="1">IFERROR(VLOOKUP(N32,Num_AS,7,FALSE),"")</f>
        <v/>
      </c>
      <c r="D40" s="652"/>
      <c r="E40" s="654" t="str">
        <f ca="1">IFERROR(VLOOKUP(N32,Num_AS,10,FALSE),"")</f>
        <v/>
      </c>
      <c r="F40" s="654" t="str">
        <f ca="1">IFERROR(VLOOKUP(N32,Num_AS,9,FALSE),"")</f>
        <v/>
      </c>
      <c r="G40" s="655" t="str">
        <f ca="1">IFERROR(VLOOKUP(N32,Num_AS,11,FALSE),"")</f>
        <v/>
      </c>
      <c r="H40" s="688">
        <f ca="1">E33</f>
        <v>15</v>
      </c>
      <c r="J40" s="659" t="str">
        <f ca="1">IFERROR(VLOOKUP(N32,Num_AS,18,FALSE),"")</f>
        <v/>
      </c>
      <c r="K40" s="588"/>
      <c r="L40" s="653" t="str">
        <f ca="1">IFERROR(VLOOKUP(N32,Num_AS,19,FALSE),"")</f>
        <v/>
      </c>
      <c r="M40" s="647"/>
      <c r="N40" s="656" t="str">
        <f ca="1">IFERROR(VLOOKUP(N32,Num_AS,22,FALSE),"")</f>
        <v/>
      </c>
      <c r="O40" s="654" t="str">
        <f ca="1">IFERROR(VLOOKUP(N32,Num_AS,21,FALSE),"")</f>
        <v/>
      </c>
      <c r="P40" s="682" t="str">
        <f ca="1">IFERROR(VLOOKUP(N32,Num_AS,23,FALSE),"")</f>
        <v/>
      </c>
      <c r="Q40" s="688">
        <f ca="1">E33</f>
        <v>15</v>
      </c>
      <c r="R40" s="254"/>
      <c r="S40" s="254"/>
      <c r="T40" s="681"/>
      <c r="U40" s="680"/>
      <c r="V40" s="681"/>
      <c r="W40" s="679"/>
      <c r="X40" s="679"/>
      <c r="Y40" s="679"/>
      <c r="Z40" s="679"/>
      <c r="AA40" s="679"/>
      <c r="AB40" s="679"/>
      <c r="AC40" s="218"/>
      <c r="AH40" s="218"/>
    </row>
    <row r="41" spans="1:34" ht="24.75" customHeight="1" thickBot="1" x14ac:dyDescent="0.25">
      <c r="A41" s="689" t="str">
        <f ca="1">IFERROR(VLOOKUP(N32,Num_AS,12,FALSE),"")</f>
        <v/>
      </c>
      <c r="B41" s="690"/>
      <c r="C41" s="691" t="str">
        <f ca="1">IFERROR(VLOOKUP(N32,Num_AS,13,FALSE),"")</f>
        <v/>
      </c>
      <c r="D41" s="692"/>
      <c r="E41" s="693" t="str">
        <f ca="1">IFERROR(VLOOKUP(N32,Num_AS,16,FALSE),"")</f>
        <v/>
      </c>
      <c r="F41" s="694" t="str">
        <f ca="1">IFERROR(VLOOKUP(N32,Num_AS,15,FALSE),"")</f>
        <v/>
      </c>
      <c r="G41" s="695" t="str">
        <f ca="1">IFERROR(VLOOKUP(N32,Num_AS,17,FALSE),"")</f>
        <v/>
      </c>
      <c r="H41" s="700">
        <f ca="1">E33</f>
        <v>15</v>
      </c>
      <c r="J41" s="689" t="str">
        <f ca="1">IFERROR(VLOOKUP(N32,Num_AS,24,FALSE),"")</f>
        <v/>
      </c>
      <c r="K41" s="690"/>
      <c r="L41" s="691" t="str">
        <f ca="1">IFERROR(VLOOKUP(N32,Num_AS,25,FALSE),"")</f>
        <v/>
      </c>
      <c r="M41" s="697"/>
      <c r="N41" s="698" t="str">
        <f ca="1">IFERROR(VLOOKUP(N32,Num_AS,28,FALSE),"")</f>
        <v/>
      </c>
      <c r="O41" s="694" t="str">
        <f ca="1">IFERROR(VLOOKUP(N32,Num_AS,27,FALSE),"")</f>
        <v/>
      </c>
      <c r="P41" s="699" t="str">
        <f ca="1">IFERROR(VLOOKUP(N32,Num_AS,29,FALSE),"")</f>
        <v/>
      </c>
      <c r="Q41" s="700">
        <f ca="1">E33</f>
        <v>15</v>
      </c>
      <c r="R41" s="254"/>
      <c r="S41" s="254"/>
      <c r="T41" s="681"/>
      <c r="U41" s="680"/>
      <c r="V41" s="681"/>
      <c r="W41" s="681"/>
      <c r="X41" s="681"/>
      <c r="Y41" s="681"/>
      <c r="Z41" s="679"/>
      <c r="AA41" s="679"/>
      <c r="AB41" s="679"/>
      <c r="AC41" s="218"/>
      <c r="AH41" s="218"/>
    </row>
    <row r="42" spans="1:34" ht="12.75" customHeight="1" thickTop="1" x14ac:dyDescent="0.2">
      <c r="A42" s="701"/>
      <c r="B42" s="249"/>
      <c r="C42" s="701"/>
      <c r="D42" s="701"/>
      <c r="E42" s="196"/>
      <c r="F42" s="196"/>
      <c r="G42" s="249"/>
      <c r="H42" s="219"/>
      <c r="I42" s="701"/>
      <c r="J42" s="249"/>
      <c r="K42" s="701"/>
      <c r="L42" s="249"/>
      <c r="M42" s="196"/>
      <c r="N42" s="196"/>
      <c r="O42" s="249"/>
      <c r="P42" s="219"/>
      <c r="R42" s="254"/>
      <c r="S42" s="254"/>
      <c r="T42" s="681"/>
      <c r="U42" s="680"/>
      <c r="V42" s="681"/>
      <c r="W42" s="681"/>
      <c r="X42" s="681"/>
      <c r="Y42" s="681"/>
      <c r="Z42" s="679"/>
      <c r="AA42" s="679"/>
      <c r="AB42" s="679"/>
      <c r="AC42" s="218"/>
      <c r="AH42" s="218"/>
    </row>
    <row r="43" spans="1:34" ht="37.5" customHeight="1" x14ac:dyDescent="0.2">
      <c r="A43" s="1113" t="s">
        <v>909</v>
      </c>
      <c r="B43" s="1113"/>
      <c r="C43" s="1113"/>
      <c r="F43" s="1113" t="s">
        <v>910</v>
      </c>
      <c r="G43" s="1113"/>
      <c r="H43" s="1113"/>
      <c r="J43" s="1113" t="s">
        <v>911</v>
      </c>
      <c r="K43" s="1113"/>
      <c r="L43" s="1113"/>
      <c r="N43" s="1113" t="s">
        <v>912</v>
      </c>
      <c r="O43" s="1113"/>
      <c r="P43" s="1113"/>
      <c r="R43" s="254"/>
      <c r="S43" s="254"/>
      <c r="T43" s="681"/>
      <c r="U43" s="680"/>
      <c r="V43" s="679"/>
      <c r="W43" s="679"/>
      <c r="X43" s="679"/>
      <c r="Y43" s="679"/>
      <c r="Z43" s="679"/>
      <c r="AA43" s="679"/>
      <c r="AB43" s="679"/>
      <c r="AC43" s="218"/>
      <c r="AH43" s="218"/>
    </row>
    <row r="44" spans="1:34" ht="37.5" customHeight="1" x14ac:dyDescent="0.25">
      <c r="A44" s="629" t="s">
        <v>980</v>
      </c>
      <c r="B44" s="629" t="s">
        <v>981</v>
      </c>
      <c r="C44" s="636" t="s">
        <v>780</v>
      </c>
      <c r="D44" s="649"/>
      <c r="F44" s="629" t="s">
        <v>980</v>
      </c>
      <c r="G44" s="629" t="s">
        <v>981</v>
      </c>
      <c r="H44" s="636" t="s">
        <v>780</v>
      </c>
      <c r="J44" s="629" t="s">
        <v>980</v>
      </c>
      <c r="K44" s="629" t="s">
        <v>981</v>
      </c>
      <c r="L44" s="636" t="s">
        <v>780</v>
      </c>
      <c r="M44" s="649"/>
      <c r="N44" s="629" t="s">
        <v>980</v>
      </c>
      <c r="O44" s="629" t="s">
        <v>981</v>
      </c>
      <c r="P44" s="636" t="s">
        <v>780</v>
      </c>
      <c r="T44" s="679"/>
      <c r="U44" s="680"/>
      <c r="V44" s="679"/>
      <c r="W44" s="679"/>
      <c r="X44" s="679"/>
      <c r="Y44" s="679"/>
      <c r="Z44" s="679"/>
      <c r="AA44" s="679"/>
      <c r="AB44" s="679"/>
      <c r="AC44" s="218"/>
      <c r="AH44" s="218"/>
    </row>
    <row r="45" spans="1:34" ht="32.25" customHeight="1" x14ac:dyDescent="0.25">
      <c r="A45" s="666">
        <v>10</v>
      </c>
      <c r="B45" s="636"/>
      <c r="C45" s="636"/>
      <c r="D45" s="649"/>
      <c r="F45" s="666">
        <v>10</v>
      </c>
      <c r="G45" s="636"/>
      <c r="H45" s="636"/>
      <c r="J45" s="666">
        <v>10</v>
      </c>
      <c r="K45" s="636"/>
      <c r="L45" s="636"/>
      <c r="M45" s="649"/>
      <c r="N45" s="666">
        <v>10</v>
      </c>
      <c r="O45" s="636"/>
      <c r="P45" s="636"/>
      <c r="T45" s="679"/>
      <c r="U45" s="680"/>
      <c r="V45" s="679"/>
      <c r="W45" s="679"/>
      <c r="X45" s="679"/>
      <c r="Y45" s="679"/>
      <c r="Z45" s="679"/>
      <c r="AA45" s="679"/>
      <c r="AB45" s="679"/>
      <c r="AC45" s="218"/>
      <c r="AH45" s="218"/>
    </row>
    <row r="46" spans="1:34" ht="32.25" customHeight="1" x14ac:dyDescent="0.25">
      <c r="A46" s="666">
        <v>9</v>
      </c>
      <c r="B46" s="636"/>
      <c r="C46" s="636"/>
      <c r="D46" s="649"/>
      <c r="F46" s="666">
        <v>9</v>
      </c>
      <c r="G46" s="636"/>
      <c r="H46" s="636"/>
      <c r="J46" s="666">
        <v>9</v>
      </c>
      <c r="K46" s="636"/>
      <c r="L46" s="636"/>
      <c r="M46" s="649"/>
      <c r="N46" s="666">
        <v>9</v>
      </c>
      <c r="O46" s="636"/>
      <c r="P46" s="636"/>
      <c r="T46" s="679"/>
      <c r="U46" s="680"/>
      <c r="V46" s="679"/>
      <c r="W46" s="679"/>
      <c r="X46" s="679"/>
      <c r="Y46" s="679"/>
      <c r="Z46" s="679"/>
      <c r="AA46" s="679"/>
      <c r="AB46" s="679"/>
      <c r="AC46" s="218"/>
      <c r="AH46" s="218"/>
    </row>
    <row r="47" spans="1:34" ht="32.25" customHeight="1" x14ac:dyDescent="0.25">
      <c r="A47" s="666">
        <v>8</v>
      </c>
      <c r="B47" s="636"/>
      <c r="C47" s="636"/>
      <c r="D47" s="649"/>
      <c r="F47" s="666">
        <v>8</v>
      </c>
      <c r="G47" s="636"/>
      <c r="H47" s="636"/>
      <c r="J47" s="666">
        <v>8</v>
      </c>
      <c r="K47" s="636"/>
      <c r="L47" s="636"/>
      <c r="M47" s="649"/>
      <c r="N47" s="666">
        <v>8</v>
      </c>
      <c r="O47" s="636"/>
      <c r="P47" s="636"/>
      <c r="T47" s="679"/>
      <c r="U47" s="680"/>
      <c r="V47" s="679"/>
      <c r="W47" s="679"/>
      <c r="X47" s="679"/>
      <c r="Y47" s="679"/>
      <c r="Z47" s="679"/>
      <c r="AA47" s="679"/>
      <c r="AB47" s="679"/>
      <c r="AC47" s="218"/>
      <c r="AH47" s="218"/>
    </row>
    <row r="48" spans="1:34" ht="32.25" customHeight="1" x14ac:dyDescent="0.25">
      <c r="A48" s="666">
        <v>7</v>
      </c>
      <c r="B48" s="636"/>
      <c r="C48" s="636"/>
      <c r="D48" s="649"/>
      <c r="F48" s="666">
        <v>7</v>
      </c>
      <c r="G48" s="636"/>
      <c r="H48" s="636"/>
      <c r="J48" s="666">
        <v>7</v>
      </c>
      <c r="K48" s="636"/>
      <c r="L48" s="636"/>
      <c r="M48" s="649"/>
      <c r="N48" s="666">
        <v>7</v>
      </c>
      <c r="O48" s="636"/>
      <c r="P48" s="636"/>
      <c r="T48" s="679"/>
      <c r="U48" s="680"/>
      <c r="V48" s="679"/>
      <c r="W48" s="679"/>
      <c r="X48" s="679"/>
      <c r="Y48" s="679"/>
      <c r="Z48" s="679"/>
      <c r="AC48" s="218"/>
      <c r="AH48" s="218"/>
    </row>
    <row r="49" spans="1:34" ht="32.25" customHeight="1" x14ac:dyDescent="0.25">
      <c r="A49" s="666">
        <v>6</v>
      </c>
      <c r="B49" s="636"/>
      <c r="C49" s="636"/>
      <c r="D49" s="649"/>
      <c r="F49" s="666">
        <v>6</v>
      </c>
      <c r="G49" s="636"/>
      <c r="H49" s="636"/>
      <c r="J49" s="666">
        <v>6</v>
      </c>
      <c r="K49" s="636"/>
      <c r="L49" s="636"/>
      <c r="M49" s="649"/>
      <c r="N49" s="666">
        <v>6</v>
      </c>
      <c r="O49" s="636"/>
      <c r="P49" s="636"/>
      <c r="T49" s="679"/>
      <c r="U49" s="680"/>
      <c r="AC49" s="218"/>
      <c r="AH49" s="218"/>
    </row>
    <row r="50" spans="1:34" ht="32.25" customHeight="1" x14ac:dyDescent="0.25">
      <c r="A50" s="666">
        <v>5</v>
      </c>
      <c r="B50" s="636"/>
      <c r="C50" s="636"/>
      <c r="D50" s="649"/>
      <c r="F50" s="666">
        <v>5</v>
      </c>
      <c r="G50" s="636"/>
      <c r="H50" s="636"/>
      <c r="J50" s="666">
        <v>5</v>
      </c>
      <c r="K50" s="636"/>
      <c r="L50" s="636"/>
      <c r="M50" s="649"/>
      <c r="N50" s="666">
        <v>5</v>
      </c>
      <c r="O50" s="636"/>
      <c r="P50" s="636"/>
      <c r="U50" s="520"/>
      <c r="AC50" s="218"/>
      <c r="AH50" s="218"/>
    </row>
    <row r="51" spans="1:34" ht="32.25" customHeight="1" x14ac:dyDescent="0.25">
      <c r="A51" s="666">
        <v>4</v>
      </c>
      <c r="B51" s="636"/>
      <c r="C51" s="636"/>
      <c r="D51" s="649"/>
      <c r="F51" s="666">
        <v>4</v>
      </c>
      <c r="G51" s="636"/>
      <c r="H51" s="636"/>
      <c r="J51" s="666">
        <v>4</v>
      </c>
      <c r="K51" s="636"/>
      <c r="L51" s="636"/>
      <c r="M51" s="649"/>
      <c r="N51" s="666">
        <v>4</v>
      </c>
      <c r="O51" s="636"/>
      <c r="P51" s="636"/>
      <c r="U51" s="520"/>
      <c r="AC51" s="218"/>
      <c r="AH51" s="218"/>
    </row>
    <row r="52" spans="1:34" ht="32.25" customHeight="1" x14ac:dyDescent="0.25">
      <c r="A52" s="666">
        <v>3</v>
      </c>
      <c r="B52" s="636"/>
      <c r="C52" s="636"/>
      <c r="D52" s="649"/>
      <c r="F52" s="666">
        <v>3</v>
      </c>
      <c r="G52" s="636"/>
      <c r="H52" s="636"/>
      <c r="J52" s="666">
        <v>3</v>
      </c>
      <c r="K52" s="636"/>
      <c r="L52" s="636"/>
      <c r="M52" s="649"/>
      <c r="N52" s="666">
        <v>3</v>
      </c>
      <c r="O52" s="636"/>
      <c r="P52" s="636"/>
      <c r="U52" s="520"/>
      <c r="AC52" s="218"/>
      <c r="AH52" s="218"/>
    </row>
    <row r="53" spans="1:34" ht="32.25" customHeight="1" x14ac:dyDescent="0.25">
      <c r="A53" s="666">
        <v>2</v>
      </c>
      <c r="B53" s="636"/>
      <c r="C53" s="636"/>
      <c r="D53" s="649"/>
      <c r="F53" s="666">
        <v>2</v>
      </c>
      <c r="G53" s="636"/>
      <c r="H53" s="636"/>
      <c r="J53" s="666">
        <v>2</v>
      </c>
      <c r="K53" s="636"/>
      <c r="L53" s="636"/>
      <c r="M53" s="649"/>
      <c r="N53" s="666">
        <v>2</v>
      </c>
      <c r="O53" s="636"/>
      <c r="P53" s="636"/>
      <c r="U53" s="520"/>
      <c r="AC53" s="218"/>
      <c r="AH53" s="218"/>
    </row>
    <row r="54" spans="1:34" ht="32.25" customHeight="1" x14ac:dyDescent="0.25">
      <c r="A54" s="666">
        <v>1</v>
      </c>
      <c r="B54" s="636"/>
      <c r="C54" s="636"/>
      <c r="D54" s="649"/>
      <c r="F54" s="666">
        <v>1</v>
      </c>
      <c r="G54" s="636"/>
      <c r="H54" s="636"/>
      <c r="J54" s="666">
        <v>1</v>
      </c>
      <c r="K54" s="636"/>
      <c r="L54" s="636"/>
      <c r="M54" s="649"/>
      <c r="N54" s="666">
        <v>1</v>
      </c>
      <c r="O54" s="636"/>
      <c r="P54" s="636"/>
      <c r="U54" s="520"/>
      <c r="AC54" s="218"/>
      <c r="AH54" s="218"/>
    </row>
    <row r="55" spans="1:34" ht="32.25" customHeight="1" x14ac:dyDescent="0.25">
      <c r="A55" s="666" t="s">
        <v>982</v>
      </c>
      <c r="B55" s="636"/>
      <c r="C55" s="636"/>
      <c r="D55" s="649"/>
      <c r="F55" s="666" t="s">
        <v>982</v>
      </c>
      <c r="G55" s="636"/>
      <c r="H55" s="636"/>
      <c r="J55" s="666" t="s">
        <v>982</v>
      </c>
      <c r="K55" s="636"/>
      <c r="L55" s="636"/>
      <c r="M55" s="649"/>
      <c r="N55" s="666" t="s">
        <v>982</v>
      </c>
      <c r="O55" s="636"/>
      <c r="P55" s="636"/>
      <c r="U55" s="520"/>
      <c r="AC55" s="218"/>
      <c r="AH55" s="218"/>
    </row>
    <row r="56" spans="1:34" ht="32.25" customHeight="1" x14ac:dyDescent="0.25">
      <c r="A56" s="629" t="s">
        <v>981</v>
      </c>
      <c r="B56" s="650"/>
      <c r="C56" s="651" t="s">
        <v>996</v>
      </c>
      <c r="D56" s="649"/>
      <c r="F56" s="629" t="s">
        <v>981</v>
      </c>
      <c r="G56" s="650"/>
      <c r="H56" s="651" t="s">
        <v>996</v>
      </c>
      <c r="J56" s="629" t="s">
        <v>981</v>
      </c>
      <c r="K56" s="650"/>
      <c r="L56" s="651" t="s">
        <v>996</v>
      </c>
      <c r="M56" s="649"/>
      <c r="N56" s="629" t="s">
        <v>981</v>
      </c>
      <c r="O56" s="650"/>
      <c r="P56" s="651" t="s">
        <v>996</v>
      </c>
      <c r="Q56" s="649"/>
      <c r="U56" s="520"/>
      <c r="AC56" s="218"/>
      <c r="AH56" s="218"/>
    </row>
    <row r="57" spans="1:34" ht="32.25" customHeight="1" thickBot="1" x14ac:dyDescent="0.3">
      <c r="A57" s="649"/>
      <c r="B57" s="629" t="s">
        <v>983</v>
      </c>
      <c r="C57" s="665"/>
      <c r="D57" s="649"/>
      <c r="F57" s="637" t="s">
        <v>985</v>
      </c>
      <c r="G57" s="629" t="s">
        <v>983</v>
      </c>
      <c r="H57" s="636"/>
      <c r="J57" s="637" t="s">
        <v>985</v>
      </c>
      <c r="K57" s="629" t="s">
        <v>983</v>
      </c>
      <c r="L57" s="636"/>
      <c r="M57" s="649"/>
      <c r="N57" s="637" t="s">
        <v>985</v>
      </c>
      <c r="O57" s="629" t="s">
        <v>983</v>
      </c>
      <c r="P57" s="636"/>
      <c r="Q57" s="649"/>
      <c r="U57" s="520"/>
      <c r="AC57" s="218"/>
      <c r="AH57" s="218"/>
    </row>
    <row r="58" spans="1:34" ht="41.25" customHeight="1" thickBot="1" x14ac:dyDescent="0.3">
      <c r="A58" s="1114" t="s">
        <v>1001</v>
      </c>
      <c r="B58" s="1114"/>
      <c r="C58" s="734">
        <f ca="1">VLOOKUP(A36&amp;F36,PTS_SP,2,FALSE)</f>
        <v>0</v>
      </c>
      <c r="D58" s="649"/>
      <c r="F58" s="1115" t="s">
        <v>986</v>
      </c>
      <c r="G58" s="1116"/>
      <c r="H58" s="636"/>
      <c r="I58" s="1115" t="s">
        <v>986</v>
      </c>
      <c r="J58" s="1115"/>
      <c r="K58" s="636"/>
      <c r="L58" s="649"/>
      <c r="O58" s="634" t="s">
        <v>987</v>
      </c>
      <c r="P58" s="636"/>
      <c r="Q58" s="649"/>
      <c r="U58" s="520"/>
      <c r="AC58" s="218"/>
      <c r="AH58" s="218"/>
    </row>
    <row r="59" spans="1:34" ht="47.25" customHeight="1" thickBot="1" x14ac:dyDescent="0.3">
      <c r="A59" s="1115" t="s">
        <v>986</v>
      </c>
      <c r="B59" s="1116"/>
      <c r="C59" s="644"/>
      <c r="D59" s="649"/>
      <c r="E59" s="649"/>
      <c r="F59" s="649"/>
      <c r="G59" s="649"/>
      <c r="H59" s="649"/>
      <c r="I59" s="649"/>
      <c r="J59" s="649"/>
      <c r="K59" s="649"/>
      <c r="L59" s="649"/>
      <c r="N59" s="634"/>
      <c r="O59" s="634" t="s">
        <v>997</v>
      </c>
      <c r="P59" s="673"/>
      <c r="Q59" s="674"/>
      <c r="R59" s="663" t="s">
        <v>998</v>
      </c>
      <c r="U59" s="520"/>
      <c r="AC59" s="218"/>
      <c r="AH59" s="218"/>
    </row>
    <row r="60" spans="1:34" ht="36" customHeight="1" thickBot="1" x14ac:dyDescent="0.3">
      <c r="A60" s="649"/>
      <c r="B60" s="649"/>
      <c r="C60" s="649"/>
      <c r="D60" s="649"/>
      <c r="E60" s="672" t="s">
        <v>1002</v>
      </c>
      <c r="F60" s="667"/>
      <c r="G60" s="667"/>
      <c r="H60" s="668"/>
      <c r="I60" s="649"/>
      <c r="J60" s="672" t="s">
        <v>1003</v>
      </c>
      <c r="K60" s="667"/>
      <c r="L60" s="667"/>
      <c r="M60" s="668"/>
      <c r="O60" s="675" t="s">
        <v>1004</v>
      </c>
      <c r="P60" s="676" t="s">
        <v>999</v>
      </c>
      <c r="Q60" s="677" t="s">
        <v>1000</v>
      </c>
      <c r="R60" s="649"/>
      <c r="U60" s="520"/>
      <c r="AC60" s="218"/>
      <c r="AH60" s="218"/>
    </row>
    <row r="61" spans="1:34" ht="36" customHeight="1" thickBot="1" x14ac:dyDescent="0.25">
      <c r="E61" s="669"/>
      <c r="F61" s="670"/>
      <c r="G61" s="670"/>
      <c r="H61" s="671"/>
      <c r="J61" s="669"/>
      <c r="K61" s="670"/>
      <c r="L61" s="670"/>
      <c r="M61" s="671"/>
      <c r="U61" s="520"/>
      <c r="AA61" s="679"/>
      <c r="AB61" s="679"/>
      <c r="AC61" s="218"/>
      <c r="AH61" s="218"/>
    </row>
    <row r="62" spans="1:34" s="218" customFormat="1" ht="23.25" customHeight="1" x14ac:dyDescent="0.2">
      <c r="A62" s="217"/>
      <c r="B62" s="217"/>
      <c r="C62" s="217"/>
      <c r="D62" s="217"/>
      <c r="E62" s="217"/>
      <c r="F62" s="217"/>
      <c r="G62" s="217"/>
      <c r="H62" s="217"/>
      <c r="I62" s="217"/>
      <c r="J62" s="217"/>
      <c r="K62" s="217"/>
      <c r="L62" s="217"/>
      <c r="M62" s="217"/>
      <c r="N62" s="684"/>
      <c r="O62" s="684"/>
      <c r="P62" s="684"/>
      <c r="Q62" s="684"/>
      <c r="R62" s="217"/>
      <c r="S62" s="217"/>
      <c r="T62" s="217"/>
      <c r="U62" s="520"/>
      <c r="V62" s="679"/>
      <c r="W62" s="679"/>
      <c r="X62" s="679"/>
      <c r="Y62" s="679"/>
      <c r="Z62" s="679"/>
      <c r="AA62" s="662"/>
      <c r="AB62" s="662"/>
      <c r="AD62" s="217"/>
      <c r="AE62" s="217"/>
      <c r="AF62" s="217"/>
      <c r="AG62" s="217"/>
    </row>
    <row r="63" spans="1:34" ht="19.5" customHeight="1" thickBot="1" x14ac:dyDescent="0.25">
      <c r="M63" s="500"/>
      <c r="N63" s="520" t="str">
        <f ca="1">INDIRECT("AE"&amp;O63)</f>
        <v>Collège Jacques DecourParis 9e</v>
      </c>
      <c r="O63" s="500">
        <f>P64+2</f>
        <v>5</v>
      </c>
      <c r="P63" s="501" t="str">
        <f ca="1">INDIRECT("AF"&amp;O63)</f>
        <v>Collège Louis BlancSaint-Maur-des-Fossés</v>
      </c>
      <c r="Q63" s="500"/>
      <c r="R63" s="500"/>
      <c r="T63" s="679"/>
      <c r="U63" s="679"/>
      <c r="V63" s="679"/>
      <c r="W63" s="679"/>
      <c r="X63" s="679"/>
      <c r="Y63" s="679"/>
      <c r="Z63" s="679"/>
      <c r="AA63" s="679"/>
      <c r="AB63" s="679"/>
      <c r="AC63" s="218"/>
      <c r="AH63" s="218"/>
    </row>
    <row r="64" spans="1:34" s="218" customFormat="1" ht="36" thickBot="1" x14ac:dyDescent="0.25">
      <c r="A64" s="576" t="s">
        <v>546</v>
      </c>
      <c r="B64" s="402" t="str">
        <f>B33</f>
        <v>D3</v>
      </c>
      <c r="D64" s="661" t="s">
        <v>628</v>
      </c>
      <c r="E64" s="660">
        <f ca="1">INDIRECT("AD"&amp;O63)</f>
        <v>16</v>
      </c>
      <c r="F64" s="705" t="str">
        <f>"   "&amp;Championnat</f>
        <v xml:space="preserve">   Championnat de France de Tir à l'ARC</v>
      </c>
      <c r="O64" s="502" t="s">
        <v>849</v>
      </c>
      <c r="P64" s="503">
        <f>P33+1</f>
        <v>3</v>
      </c>
      <c r="R64" s="254"/>
      <c r="S64" s="254"/>
      <c r="T64" s="681"/>
      <c r="U64" s="680"/>
      <c r="V64" s="681"/>
      <c r="X64" s="662"/>
      <c r="Y64" s="662"/>
      <c r="Z64" s="662"/>
      <c r="AA64" s="662"/>
      <c r="AB64" s="662"/>
      <c r="AD64" s="217"/>
      <c r="AE64" s="217"/>
      <c r="AF64" s="217"/>
      <c r="AG64" s="217"/>
    </row>
    <row r="65" spans="1:34" ht="35.25" x14ac:dyDescent="0.2">
      <c r="A65" s="706" t="str">
        <f>CATEG_IMPORTEE</f>
        <v>Collèges Mixtes Etablissement</v>
      </c>
      <c r="J65" s="592" t="str">
        <f>LIEU&amp;" du "&amp;DATE</f>
        <v>L’Isle sur la Sorgue du 27 au 31 mars 2023</v>
      </c>
      <c r="R65" s="254"/>
      <c r="S65" s="254"/>
      <c r="T65" s="681"/>
      <c r="U65" s="680"/>
      <c r="V65" s="681"/>
      <c r="W65" s="679"/>
      <c r="X65" s="679"/>
      <c r="Y65" s="679"/>
      <c r="Z65" s="679"/>
      <c r="AA65" s="679"/>
      <c r="AB65" s="679"/>
      <c r="AC65" s="218"/>
      <c r="AH65" s="218"/>
    </row>
    <row r="66" spans="1:34" ht="24" customHeight="1" thickBot="1" x14ac:dyDescent="0.25">
      <c r="A66" s="648" t="s">
        <v>0</v>
      </c>
      <c r="B66" s="648"/>
      <c r="C66" s="648"/>
      <c r="D66" s="648"/>
      <c r="F66" s="1124" t="s">
        <v>1006</v>
      </c>
      <c r="G66" s="1125"/>
      <c r="H66" s="1125"/>
      <c r="J66" s="648" t="s">
        <v>0</v>
      </c>
      <c r="O66" s="1093" t="s">
        <v>1005</v>
      </c>
      <c r="P66" s="1093"/>
      <c r="R66" s="254"/>
      <c r="S66" s="254"/>
      <c r="T66" s="681"/>
      <c r="U66" s="680"/>
      <c r="V66" s="681"/>
      <c r="W66" s="679"/>
      <c r="X66" s="679"/>
      <c r="Y66" s="679"/>
      <c r="Z66" s="679"/>
      <c r="AA66" s="679"/>
      <c r="AB66" s="679"/>
      <c r="AC66" s="218"/>
      <c r="AH66" s="218"/>
    </row>
    <row r="67" spans="1:34" ht="23.25" customHeight="1" thickBot="1" x14ac:dyDescent="0.25">
      <c r="A67" s="657" t="str">
        <f ca="1">IFERROR(VLOOKUP(N63,Num_AS,2,FALSE),"")</f>
        <v/>
      </c>
      <c r="B67" s="658"/>
      <c r="C67" s="658"/>
      <c r="D67" s="658"/>
      <c r="E67" s="658"/>
      <c r="F67" s="1117" t="str">
        <f ca="1">IFERROR(VLOOKUP(N63,Num_AS,3,FALSE),"")</f>
        <v/>
      </c>
      <c r="G67" s="1118"/>
      <c r="H67" s="1119"/>
      <c r="I67" s="219" t="s">
        <v>547</v>
      </c>
      <c r="J67" s="678" t="str">
        <f ca="1">IFERROR(VLOOKUP(P63,Num_AS,2,FALSE),"")</f>
        <v/>
      </c>
      <c r="K67" s="664"/>
      <c r="L67" s="664"/>
      <c r="M67" s="664"/>
      <c r="N67" s="1120" t="str">
        <f ca="1">IFERROR(VLOOKUP(P63,Num_AS,3,FALSE),"")</f>
        <v/>
      </c>
      <c r="O67" s="1121"/>
      <c r="P67" s="1122"/>
      <c r="R67" s="254"/>
      <c r="S67" s="254"/>
      <c r="T67" s="681"/>
      <c r="U67" s="680"/>
      <c r="V67" s="681"/>
      <c r="W67" s="679"/>
      <c r="X67" s="679"/>
      <c r="Y67" s="679"/>
      <c r="Z67" s="679"/>
      <c r="AA67" s="679"/>
      <c r="AB67" s="679"/>
      <c r="AC67" s="218"/>
      <c r="AH67" s="218"/>
    </row>
    <row r="68" spans="1:34" ht="20.100000000000001" customHeight="1" thickBot="1" x14ac:dyDescent="0.25">
      <c r="E68" s="219"/>
      <c r="F68" s="1107" t="str">
        <f ca="1">IFERROR(VLOOKUP(N63,Num_AS,4,FALSE),"")</f>
        <v/>
      </c>
      <c r="G68" s="1108"/>
      <c r="H68" s="1109"/>
      <c r="N68" s="1110" t="str">
        <f ca="1">IFERROR(VLOOKUP(P63,Num_AS,4,FALSE),"")</f>
        <v/>
      </c>
      <c r="O68" s="1111"/>
      <c r="P68" s="1112"/>
      <c r="R68" s="254"/>
      <c r="S68" s="254"/>
      <c r="T68" s="681"/>
      <c r="U68" s="680"/>
      <c r="V68" s="681"/>
      <c r="W68" s="679"/>
      <c r="X68" s="679"/>
      <c r="Y68" s="679"/>
      <c r="Z68" s="679"/>
      <c r="AA68" s="679"/>
      <c r="AB68" s="679"/>
      <c r="AC68" s="218"/>
      <c r="AH68" s="218"/>
    </row>
    <row r="69" spans="1:34" ht="18" customHeight="1" thickBot="1" x14ac:dyDescent="0.25">
      <c r="A69" s="1123" t="s">
        <v>548</v>
      </c>
      <c r="B69" s="1123"/>
      <c r="C69" s="1123"/>
      <c r="D69" s="1123"/>
      <c r="E69" s="219"/>
      <c r="F69" s="219"/>
      <c r="G69" s="219"/>
      <c r="H69" s="219"/>
      <c r="I69" s="219"/>
      <c r="J69" s="219"/>
      <c r="K69" s="219"/>
      <c r="L69" s="219"/>
      <c r="M69" s="219"/>
      <c r="N69" s="219"/>
      <c r="O69" s="219"/>
      <c r="P69" s="219"/>
      <c r="R69" s="254"/>
      <c r="S69" s="254"/>
      <c r="T69" s="681"/>
      <c r="U69" s="680"/>
      <c r="V69" s="681"/>
      <c r="W69" s="679"/>
      <c r="X69" s="679"/>
      <c r="Y69" s="679"/>
      <c r="Z69" s="679"/>
      <c r="AA69" s="679"/>
      <c r="AB69" s="679"/>
      <c r="AC69" s="218"/>
      <c r="AH69" s="218"/>
    </row>
    <row r="70" spans="1:34" ht="24" customHeight="1" thickTop="1" thickBot="1" x14ac:dyDescent="0.25">
      <c r="A70" s="1126" t="s">
        <v>549</v>
      </c>
      <c r="B70" s="1127"/>
      <c r="C70" s="1127"/>
      <c r="D70" s="1128"/>
      <c r="E70" s="685" t="s">
        <v>480</v>
      </c>
      <c r="F70" s="685" t="s">
        <v>550</v>
      </c>
      <c r="G70" s="686" t="s">
        <v>551</v>
      </c>
      <c r="H70" s="687" t="s">
        <v>779</v>
      </c>
      <c r="J70" s="702" t="s">
        <v>549</v>
      </c>
      <c r="K70" s="703"/>
      <c r="L70" s="703"/>
      <c r="M70" s="704"/>
      <c r="N70" s="685" t="s">
        <v>480</v>
      </c>
      <c r="O70" s="685" t="s">
        <v>550</v>
      </c>
      <c r="P70" s="686" t="s">
        <v>551</v>
      </c>
      <c r="Q70" s="687" t="s">
        <v>779</v>
      </c>
      <c r="R70" s="254"/>
      <c r="S70" s="254"/>
      <c r="T70" s="681"/>
      <c r="U70" s="680"/>
      <c r="V70" s="681"/>
      <c r="W70" s="679"/>
      <c r="X70" s="679"/>
      <c r="Y70" s="679"/>
      <c r="Z70" s="679"/>
      <c r="AA70" s="679"/>
      <c r="AB70" s="679"/>
      <c r="AC70" s="218"/>
      <c r="AH70" s="218"/>
    </row>
    <row r="71" spans="1:34" ht="24.75" customHeight="1" x14ac:dyDescent="0.2">
      <c r="A71" s="659" t="str">
        <f ca="1">IFERROR(VLOOKUP(N63,Num_AS,6,FALSE),"")</f>
        <v/>
      </c>
      <c r="B71" s="588"/>
      <c r="C71" s="653" t="str">
        <f ca="1">IFERROR(VLOOKUP(N63,Num_AS,7,FALSE),"")</f>
        <v/>
      </c>
      <c r="D71" s="652"/>
      <c r="E71" s="654" t="str">
        <f ca="1">IFERROR(VLOOKUP(N63,Num_AS,10,FALSE),"")</f>
        <v/>
      </c>
      <c r="F71" s="654" t="str">
        <f ca="1">IFERROR(VLOOKUP(N63,Num_AS,9,FALSE),"")</f>
        <v/>
      </c>
      <c r="G71" s="655" t="str">
        <f ca="1">IFERROR(VLOOKUP(N63,Num_AS,11,FALSE),"")</f>
        <v/>
      </c>
      <c r="H71" s="688">
        <f ca="1">E64</f>
        <v>16</v>
      </c>
      <c r="J71" s="659" t="str">
        <f ca="1">IFERROR(VLOOKUP(N63,Num_AS,18,FALSE),"")</f>
        <v/>
      </c>
      <c r="K71" s="588"/>
      <c r="L71" s="653" t="str">
        <f ca="1">IFERROR(VLOOKUP(N63,Num_AS,19,FALSE),"")</f>
        <v/>
      </c>
      <c r="M71" s="647"/>
      <c r="N71" s="656" t="str">
        <f ca="1">IFERROR(VLOOKUP(N63,Num_AS,22,FALSE),"")</f>
        <v/>
      </c>
      <c r="O71" s="654" t="str">
        <f ca="1">IFERROR(VLOOKUP(N63,Num_AS,21,FALSE),"")</f>
        <v/>
      </c>
      <c r="P71" s="682" t="str">
        <f ca="1">IFERROR(VLOOKUP(N63,Num_AS,23,FALSE),"")</f>
        <v/>
      </c>
      <c r="Q71" s="688">
        <f ca="1">E64</f>
        <v>16</v>
      </c>
      <c r="R71" s="254"/>
      <c r="S71" s="254"/>
      <c r="T71" s="681"/>
      <c r="U71" s="680"/>
      <c r="V71" s="681"/>
      <c r="W71" s="679"/>
      <c r="X71" s="679"/>
      <c r="Y71" s="679"/>
      <c r="Z71" s="679"/>
      <c r="AA71" s="679"/>
      <c r="AB71" s="679"/>
      <c r="AC71" s="218"/>
      <c r="AH71" s="218"/>
    </row>
    <row r="72" spans="1:34" ht="24.75" customHeight="1" thickBot="1" x14ac:dyDescent="0.25">
      <c r="A72" s="689" t="str">
        <f ca="1">IFERROR(VLOOKUP(N63,Num_AS,12,FALSE),"")</f>
        <v/>
      </c>
      <c r="B72" s="690"/>
      <c r="C72" s="691" t="str">
        <f ca="1">IFERROR(VLOOKUP(N63,Num_AS,13,FALSE),"")</f>
        <v/>
      </c>
      <c r="D72" s="692"/>
      <c r="E72" s="693" t="str">
        <f ca="1">IFERROR(VLOOKUP(N63,Num_AS,16,FALSE),"")</f>
        <v/>
      </c>
      <c r="F72" s="694" t="str">
        <f ca="1">IFERROR(VLOOKUP(N63,Num_AS,15,FALSE),"")</f>
        <v/>
      </c>
      <c r="G72" s="695" t="str">
        <f ca="1">IFERROR(VLOOKUP(N63,Num_AS,17,FALSE),"")</f>
        <v/>
      </c>
      <c r="H72" s="700">
        <f ca="1">E64</f>
        <v>16</v>
      </c>
      <c r="J72" s="689" t="str">
        <f ca="1">IFERROR(VLOOKUP(N63,Num_AS,24,FALSE),"")</f>
        <v/>
      </c>
      <c r="K72" s="690"/>
      <c r="L72" s="691" t="str">
        <f ca="1">IFERROR(VLOOKUP(N63,Num_AS,25,FALSE),"")</f>
        <v/>
      </c>
      <c r="M72" s="697"/>
      <c r="N72" s="698" t="str">
        <f ca="1">IFERROR(VLOOKUP(N63,Num_AS,28,FALSE),"")</f>
        <v/>
      </c>
      <c r="O72" s="694" t="str">
        <f ca="1">IFERROR(VLOOKUP(N63,Num_AS,27,FALSE),"")</f>
        <v/>
      </c>
      <c r="P72" s="699" t="str">
        <f ca="1">IFERROR(VLOOKUP(N63,Num_AS,29,FALSE),"")</f>
        <v/>
      </c>
      <c r="Q72" s="700">
        <f ca="1">E64</f>
        <v>16</v>
      </c>
      <c r="R72" s="254"/>
      <c r="S72" s="254"/>
      <c r="T72" s="681"/>
      <c r="U72" s="680"/>
      <c r="V72" s="681"/>
      <c r="W72" s="681"/>
      <c r="X72" s="681"/>
      <c r="Y72" s="681"/>
      <c r="Z72" s="679"/>
      <c r="AA72" s="679"/>
      <c r="AB72" s="679"/>
      <c r="AC72" s="218"/>
      <c r="AH72" s="218"/>
    </row>
    <row r="73" spans="1:34" ht="12.75" customHeight="1" thickTop="1" x14ac:dyDescent="0.2">
      <c r="A73" s="701"/>
      <c r="B73" s="249"/>
      <c r="C73" s="701"/>
      <c r="D73" s="701"/>
      <c r="E73" s="196"/>
      <c r="F73" s="196"/>
      <c r="G73" s="249"/>
      <c r="H73" s="219"/>
      <c r="I73" s="701"/>
      <c r="J73" s="249"/>
      <c r="K73" s="701"/>
      <c r="L73" s="249"/>
      <c r="M73" s="196"/>
      <c r="N73" s="196"/>
      <c r="O73" s="249"/>
      <c r="P73" s="219"/>
      <c r="R73" s="254"/>
      <c r="S73" s="254"/>
      <c r="T73" s="681"/>
      <c r="U73" s="680"/>
      <c r="V73" s="681"/>
      <c r="W73" s="681"/>
      <c r="X73" s="681"/>
      <c r="Y73" s="681"/>
      <c r="Z73" s="679"/>
      <c r="AA73" s="679"/>
      <c r="AB73" s="679"/>
      <c r="AC73" s="218"/>
      <c r="AH73" s="218"/>
    </row>
    <row r="74" spans="1:34" ht="37.5" customHeight="1" x14ac:dyDescent="0.2">
      <c r="A74" s="1113" t="s">
        <v>909</v>
      </c>
      <c r="B74" s="1113"/>
      <c r="C74" s="1113"/>
      <c r="F74" s="1113" t="s">
        <v>910</v>
      </c>
      <c r="G74" s="1113"/>
      <c r="H74" s="1113"/>
      <c r="J74" s="1113" t="s">
        <v>911</v>
      </c>
      <c r="K74" s="1113"/>
      <c r="L74" s="1113"/>
      <c r="N74" s="1113" t="s">
        <v>912</v>
      </c>
      <c r="O74" s="1113"/>
      <c r="P74" s="1113"/>
      <c r="R74" s="254"/>
      <c r="S74" s="254"/>
      <c r="T74" s="681"/>
      <c r="U74" s="680"/>
      <c r="V74" s="679"/>
      <c r="W74" s="679"/>
      <c r="X74" s="679"/>
      <c r="Y74" s="679"/>
      <c r="Z74" s="679"/>
      <c r="AA74" s="679"/>
      <c r="AB74" s="679"/>
      <c r="AC74" s="218"/>
      <c r="AH74" s="218"/>
    </row>
    <row r="75" spans="1:34" ht="37.5" customHeight="1" x14ac:dyDescent="0.25">
      <c r="A75" s="629" t="s">
        <v>980</v>
      </c>
      <c r="B75" s="629" t="s">
        <v>981</v>
      </c>
      <c r="C75" s="636" t="s">
        <v>780</v>
      </c>
      <c r="D75" s="649"/>
      <c r="F75" s="629" t="s">
        <v>980</v>
      </c>
      <c r="G75" s="629" t="s">
        <v>981</v>
      </c>
      <c r="H75" s="636" t="s">
        <v>780</v>
      </c>
      <c r="J75" s="629" t="s">
        <v>980</v>
      </c>
      <c r="K75" s="629" t="s">
        <v>981</v>
      </c>
      <c r="L75" s="636" t="s">
        <v>780</v>
      </c>
      <c r="M75" s="649"/>
      <c r="N75" s="629" t="s">
        <v>980</v>
      </c>
      <c r="O75" s="629" t="s">
        <v>981</v>
      </c>
      <c r="P75" s="636" t="s">
        <v>780</v>
      </c>
      <c r="T75" s="679"/>
      <c r="U75" s="680"/>
      <c r="V75" s="679"/>
      <c r="W75" s="679"/>
      <c r="X75" s="679"/>
      <c r="Y75" s="679"/>
      <c r="Z75" s="679"/>
      <c r="AA75" s="679"/>
      <c r="AB75" s="679"/>
      <c r="AC75" s="218"/>
      <c r="AH75" s="218"/>
    </row>
    <row r="76" spans="1:34" ht="32.25" customHeight="1" x14ac:dyDescent="0.25">
      <c r="A76" s="666">
        <v>10</v>
      </c>
      <c r="B76" s="636"/>
      <c r="C76" s="636"/>
      <c r="D76" s="649"/>
      <c r="F76" s="666">
        <v>10</v>
      </c>
      <c r="G76" s="636"/>
      <c r="H76" s="636"/>
      <c r="J76" s="666">
        <v>10</v>
      </c>
      <c r="K76" s="636"/>
      <c r="L76" s="636"/>
      <c r="M76" s="649"/>
      <c r="N76" s="666">
        <v>10</v>
      </c>
      <c r="O76" s="636"/>
      <c r="P76" s="636"/>
      <c r="T76" s="679"/>
      <c r="U76" s="680"/>
      <c r="V76" s="679"/>
      <c r="W76" s="679"/>
      <c r="X76" s="679"/>
      <c r="Y76" s="679"/>
      <c r="Z76" s="679"/>
      <c r="AA76" s="679"/>
      <c r="AB76" s="679"/>
      <c r="AC76" s="218"/>
      <c r="AH76" s="218"/>
    </row>
    <row r="77" spans="1:34" ht="32.25" customHeight="1" x14ac:dyDescent="0.25">
      <c r="A77" s="666">
        <v>9</v>
      </c>
      <c r="B77" s="636"/>
      <c r="C77" s="636"/>
      <c r="D77" s="649"/>
      <c r="F77" s="666">
        <v>9</v>
      </c>
      <c r="G77" s="636"/>
      <c r="H77" s="636"/>
      <c r="J77" s="666">
        <v>9</v>
      </c>
      <c r="K77" s="636"/>
      <c r="L77" s="636"/>
      <c r="M77" s="649"/>
      <c r="N77" s="666">
        <v>9</v>
      </c>
      <c r="O77" s="636"/>
      <c r="P77" s="636"/>
      <c r="T77" s="679"/>
      <c r="U77" s="680"/>
      <c r="V77" s="679"/>
      <c r="W77" s="679"/>
      <c r="X77" s="679"/>
      <c r="Y77" s="679"/>
      <c r="Z77" s="679"/>
      <c r="AA77" s="679"/>
      <c r="AB77" s="679"/>
      <c r="AC77" s="218"/>
      <c r="AH77" s="218"/>
    </row>
    <row r="78" spans="1:34" ht="32.25" customHeight="1" x14ac:dyDescent="0.25">
      <c r="A78" s="666">
        <v>8</v>
      </c>
      <c r="B78" s="636"/>
      <c r="C78" s="636"/>
      <c r="D78" s="649"/>
      <c r="F78" s="666">
        <v>8</v>
      </c>
      <c r="G78" s="636"/>
      <c r="H78" s="636"/>
      <c r="J78" s="666">
        <v>8</v>
      </c>
      <c r="K78" s="636"/>
      <c r="L78" s="636"/>
      <c r="M78" s="649"/>
      <c r="N78" s="666">
        <v>8</v>
      </c>
      <c r="O78" s="636"/>
      <c r="P78" s="636"/>
      <c r="T78" s="679"/>
      <c r="U78" s="680"/>
      <c r="V78" s="679"/>
      <c r="W78" s="679"/>
      <c r="X78" s="679"/>
      <c r="Y78" s="679"/>
      <c r="Z78" s="679"/>
      <c r="AA78" s="679"/>
      <c r="AB78" s="679"/>
      <c r="AC78" s="218"/>
      <c r="AH78" s="218"/>
    </row>
    <row r="79" spans="1:34" ht="32.25" customHeight="1" x14ac:dyDescent="0.25">
      <c r="A79" s="666">
        <v>7</v>
      </c>
      <c r="B79" s="636"/>
      <c r="C79" s="636"/>
      <c r="D79" s="649"/>
      <c r="F79" s="666">
        <v>7</v>
      </c>
      <c r="G79" s="636"/>
      <c r="H79" s="636"/>
      <c r="J79" s="666">
        <v>7</v>
      </c>
      <c r="K79" s="636"/>
      <c r="L79" s="636"/>
      <c r="M79" s="649"/>
      <c r="N79" s="666">
        <v>7</v>
      </c>
      <c r="O79" s="636"/>
      <c r="P79" s="636"/>
      <c r="T79" s="679"/>
      <c r="U79" s="680"/>
      <c r="V79" s="679"/>
      <c r="W79" s="679"/>
      <c r="X79" s="679"/>
      <c r="Y79" s="679"/>
      <c r="Z79" s="679"/>
      <c r="AC79" s="218"/>
      <c r="AH79" s="218"/>
    </row>
    <row r="80" spans="1:34" ht="32.25" customHeight="1" x14ac:dyDescent="0.25">
      <c r="A80" s="666">
        <v>6</v>
      </c>
      <c r="B80" s="636"/>
      <c r="C80" s="636"/>
      <c r="D80" s="649"/>
      <c r="F80" s="666">
        <v>6</v>
      </c>
      <c r="G80" s="636"/>
      <c r="H80" s="636"/>
      <c r="J80" s="666">
        <v>6</v>
      </c>
      <c r="K80" s="636"/>
      <c r="L80" s="636"/>
      <c r="M80" s="649"/>
      <c r="N80" s="666">
        <v>6</v>
      </c>
      <c r="O80" s="636"/>
      <c r="P80" s="636"/>
      <c r="T80" s="679"/>
      <c r="U80" s="680"/>
      <c r="AC80" s="218"/>
      <c r="AH80" s="218"/>
    </row>
    <row r="81" spans="1:34" ht="32.25" customHeight="1" x14ac:dyDescent="0.25">
      <c r="A81" s="666">
        <v>5</v>
      </c>
      <c r="B81" s="636"/>
      <c r="C81" s="636"/>
      <c r="D81" s="649"/>
      <c r="F81" s="666">
        <v>5</v>
      </c>
      <c r="G81" s="636"/>
      <c r="H81" s="636"/>
      <c r="J81" s="666">
        <v>5</v>
      </c>
      <c r="K81" s="636"/>
      <c r="L81" s="636"/>
      <c r="M81" s="649"/>
      <c r="N81" s="666">
        <v>5</v>
      </c>
      <c r="O81" s="636"/>
      <c r="P81" s="636"/>
      <c r="U81" s="520"/>
      <c r="AC81" s="218"/>
      <c r="AH81" s="218"/>
    </row>
    <row r="82" spans="1:34" ht="32.25" customHeight="1" x14ac:dyDescent="0.25">
      <c r="A82" s="666">
        <v>4</v>
      </c>
      <c r="B82" s="636"/>
      <c r="C82" s="636"/>
      <c r="D82" s="649"/>
      <c r="F82" s="666">
        <v>4</v>
      </c>
      <c r="G82" s="636"/>
      <c r="H82" s="636"/>
      <c r="J82" s="666">
        <v>4</v>
      </c>
      <c r="K82" s="636"/>
      <c r="L82" s="636"/>
      <c r="M82" s="649"/>
      <c r="N82" s="666">
        <v>4</v>
      </c>
      <c r="O82" s="636"/>
      <c r="P82" s="636"/>
      <c r="U82" s="520"/>
      <c r="AC82" s="218"/>
      <c r="AH82" s="218"/>
    </row>
    <row r="83" spans="1:34" ht="32.25" customHeight="1" x14ac:dyDescent="0.25">
      <c r="A83" s="666">
        <v>3</v>
      </c>
      <c r="B83" s="636"/>
      <c r="C83" s="636"/>
      <c r="D83" s="649"/>
      <c r="F83" s="666">
        <v>3</v>
      </c>
      <c r="G83" s="636"/>
      <c r="H83" s="636"/>
      <c r="J83" s="666">
        <v>3</v>
      </c>
      <c r="K83" s="636"/>
      <c r="L83" s="636"/>
      <c r="M83" s="649"/>
      <c r="N83" s="666">
        <v>3</v>
      </c>
      <c r="O83" s="636"/>
      <c r="P83" s="636"/>
      <c r="U83" s="520"/>
      <c r="AC83" s="218"/>
      <c r="AH83" s="218"/>
    </row>
    <row r="84" spans="1:34" ht="32.25" customHeight="1" x14ac:dyDescent="0.25">
      <c r="A84" s="666">
        <v>2</v>
      </c>
      <c r="B84" s="636"/>
      <c r="C84" s="636"/>
      <c r="D84" s="649"/>
      <c r="F84" s="666">
        <v>2</v>
      </c>
      <c r="G84" s="636"/>
      <c r="H84" s="636"/>
      <c r="J84" s="666">
        <v>2</v>
      </c>
      <c r="K84" s="636"/>
      <c r="L84" s="636"/>
      <c r="M84" s="649"/>
      <c r="N84" s="666">
        <v>2</v>
      </c>
      <c r="O84" s="636"/>
      <c r="P84" s="636"/>
      <c r="U84" s="520"/>
      <c r="AC84" s="218"/>
      <c r="AH84" s="218"/>
    </row>
    <row r="85" spans="1:34" ht="32.25" customHeight="1" x14ac:dyDescent="0.25">
      <c r="A85" s="666">
        <v>1</v>
      </c>
      <c r="B85" s="636"/>
      <c r="C85" s="636"/>
      <c r="D85" s="649"/>
      <c r="F85" s="666">
        <v>1</v>
      </c>
      <c r="G85" s="636"/>
      <c r="H85" s="636"/>
      <c r="J85" s="666">
        <v>1</v>
      </c>
      <c r="K85" s="636"/>
      <c r="L85" s="636"/>
      <c r="M85" s="649"/>
      <c r="N85" s="666">
        <v>1</v>
      </c>
      <c r="O85" s="636"/>
      <c r="P85" s="636"/>
      <c r="U85" s="520"/>
      <c r="AC85" s="218"/>
      <c r="AH85" s="218"/>
    </row>
    <row r="86" spans="1:34" ht="32.25" customHeight="1" x14ac:dyDescent="0.25">
      <c r="A86" s="666" t="s">
        <v>982</v>
      </c>
      <c r="B86" s="636"/>
      <c r="C86" s="636"/>
      <c r="D86" s="649"/>
      <c r="F86" s="666" t="s">
        <v>982</v>
      </c>
      <c r="G86" s="636"/>
      <c r="H86" s="636"/>
      <c r="J86" s="666" t="s">
        <v>982</v>
      </c>
      <c r="K86" s="636"/>
      <c r="L86" s="636"/>
      <c r="M86" s="649"/>
      <c r="N86" s="666" t="s">
        <v>982</v>
      </c>
      <c r="O86" s="636"/>
      <c r="P86" s="636"/>
      <c r="U86" s="520"/>
      <c r="AC86" s="218"/>
      <c r="AH86" s="218"/>
    </row>
    <row r="87" spans="1:34" ht="32.25" customHeight="1" x14ac:dyDescent="0.25">
      <c r="A87" s="629" t="s">
        <v>981</v>
      </c>
      <c r="B87" s="650"/>
      <c r="C87" s="651" t="s">
        <v>996</v>
      </c>
      <c r="D87" s="649"/>
      <c r="F87" s="629" t="s">
        <v>981</v>
      </c>
      <c r="G87" s="650"/>
      <c r="H87" s="651" t="s">
        <v>996</v>
      </c>
      <c r="J87" s="629" t="s">
        <v>981</v>
      </c>
      <c r="K87" s="650"/>
      <c r="L87" s="651" t="s">
        <v>996</v>
      </c>
      <c r="M87" s="649"/>
      <c r="N87" s="629" t="s">
        <v>981</v>
      </c>
      <c r="O87" s="650"/>
      <c r="P87" s="651" t="s">
        <v>996</v>
      </c>
      <c r="Q87" s="649"/>
      <c r="U87" s="520"/>
      <c r="AC87" s="218"/>
      <c r="AH87" s="218"/>
    </row>
    <row r="88" spans="1:34" ht="32.25" customHeight="1" thickBot="1" x14ac:dyDescent="0.3">
      <c r="A88" s="649"/>
      <c r="B88" s="629" t="s">
        <v>983</v>
      </c>
      <c r="C88" s="665"/>
      <c r="D88" s="649"/>
      <c r="F88" s="637" t="s">
        <v>985</v>
      </c>
      <c r="G88" s="629" t="s">
        <v>983</v>
      </c>
      <c r="H88" s="636"/>
      <c r="J88" s="637" t="s">
        <v>985</v>
      </c>
      <c r="K88" s="629" t="s">
        <v>983</v>
      </c>
      <c r="L88" s="636"/>
      <c r="M88" s="649"/>
      <c r="N88" s="637" t="s">
        <v>985</v>
      </c>
      <c r="O88" s="629" t="s">
        <v>983</v>
      </c>
      <c r="P88" s="636"/>
      <c r="Q88" s="649"/>
      <c r="U88" s="520"/>
      <c r="AC88" s="218"/>
      <c r="AH88" s="218"/>
    </row>
    <row r="89" spans="1:34" ht="41.25" customHeight="1" thickBot="1" x14ac:dyDescent="0.3">
      <c r="A89" s="1114" t="s">
        <v>1001</v>
      </c>
      <c r="B89" s="1114"/>
      <c r="C89" s="734">
        <f ca="1">VLOOKUP(A67&amp;F67,PTS_SP,2,FALSE)</f>
        <v>0</v>
      </c>
      <c r="D89" s="649"/>
      <c r="F89" s="1115" t="s">
        <v>986</v>
      </c>
      <c r="G89" s="1116"/>
      <c r="H89" s="636"/>
      <c r="I89" s="1115" t="s">
        <v>986</v>
      </c>
      <c r="J89" s="1115"/>
      <c r="K89" s="636"/>
      <c r="L89" s="649"/>
      <c r="O89" s="634" t="s">
        <v>987</v>
      </c>
      <c r="P89" s="636"/>
      <c r="Q89" s="649"/>
      <c r="U89" s="520"/>
      <c r="AC89" s="218"/>
      <c r="AH89" s="218"/>
    </row>
    <row r="90" spans="1:34" ht="47.25" customHeight="1" thickBot="1" x14ac:dyDescent="0.3">
      <c r="A90" s="1115" t="s">
        <v>986</v>
      </c>
      <c r="B90" s="1116"/>
      <c r="C90" s="644"/>
      <c r="D90" s="649"/>
      <c r="E90" s="649"/>
      <c r="F90" s="649"/>
      <c r="G90" s="649"/>
      <c r="H90" s="649"/>
      <c r="I90" s="649"/>
      <c r="J90" s="649"/>
      <c r="K90" s="649"/>
      <c r="L90" s="649"/>
      <c r="N90" s="634"/>
      <c r="O90" s="634" t="s">
        <v>997</v>
      </c>
      <c r="P90" s="673"/>
      <c r="Q90" s="674"/>
      <c r="R90" s="663" t="s">
        <v>998</v>
      </c>
      <c r="U90" s="520"/>
      <c r="AC90" s="218"/>
      <c r="AH90" s="218"/>
    </row>
    <row r="91" spans="1:34" ht="36" customHeight="1" thickBot="1" x14ac:dyDescent="0.3">
      <c r="A91" s="649"/>
      <c r="B91" s="649"/>
      <c r="C91" s="649"/>
      <c r="D91" s="649"/>
      <c r="E91" s="672" t="s">
        <v>1002</v>
      </c>
      <c r="F91" s="667"/>
      <c r="G91" s="667"/>
      <c r="H91" s="668"/>
      <c r="I91" s="649"/>
      <c r="J91" s="672" t="s">
        <v>1003</v>
      </c>
      <c r="K91" s="667"/>
      <c r="L91" s="667"/>
      <c r="M91" s="668"/>
      <c r="O91" s="675" t="s">
        <v>1004</v>
      </c>
      <c r="P91" s="676" t="s">
        <v>999</v>
      </c>
      <c r="Q91" s="677" t="s">
        <v>1000</v>
      </c>
      <c r="R91" s="649"/>
      <c r="U91" s="520"/>
      <c r="AC91" s="218"/>
      <c r="AH91" s="218"/>
    </row>
    <row r="92" spans="1:34" ht="36" customHeight="1" thickBot="1" x14ac:dyDescent="0.25">
      <c r="E92" s="669"/>
      <c r="F92" s="670"/>
      <c r="G92" s="670"/>
      <c r="H92" s="671"/>
      <c r="J92" s="669"/>
      <c r="K92" s="670"/>
      <c r="L92" s="670"/>
      <c r="M92" s="671"/>
      <c r="U92" s="520"/>
      <c r="AA92" s="679"/>
      <c r="AB92" s="679"/>
      <c r="AC92" s="218"/>
      <c r="AH92" s="218"/>
    </row>
    <row r="93" spans="1:34" s="218" customFormat="1" ht="23.25" customHeight="1" x14ac:dyDescent="0.2">
      <c r="A93" s="217"/>
      <c r="B93" s="217"/>
      <c r="C93" s="217"/>
      <c r="D93" s="217"/>
      <c r="E93" s="217"/>
      <c r="F93" s="217"/>
      <c r="G93" s="217"/>
      <c r="H93" s="217"/>
      <c r="I93" s="217"/>
      <c r="J93" s="217"/>
      <c r="K93" s="217"/>
      <c r="L93" s="217"/>
      <c r="M93" s="217"/>
      <c r="N93" s="684"/>
      <c r="O93" s="684"/>
      <c r="P93" s="684"/>
      <c r="Q93" s="684"/>
      <c r="R93" s="217"/>
      <c r="S93" s="217"/>
      <c r="T93" s="217"/>
      <c r="U93" s="520"/>
      <c r="V93" s="679"/>
      <c r="W93" s="679"/>
      <c r="X93" s="679"/>
      <c r="Y93" s="679"/>
      <c r="Z93" s="679"/>
      <c r="AA93" s="662"/>
      <c r="AB93" s="662"/>
      <c r="AD93" s="217"/>
      <c r="AE93" s="217"/>
      <c r="AF93" s="217"/>
      <c r="AG93" s="217"/>
    </row>
    <row r="94" spans="1:34" ht="19.5" customHeight="1" thickBot="1" x14ac:dyDescent="0.25">
      <c r="M94" s="500"/>
      <c r="N94" s="520" t="str">
        <f ca="1">INDIRECT("AE"&amp;O94)</f>
        <v>Collège Louis BlancSaint-Maur-des-Fossés</v>
      </c>
      <c r="O94" s="500">
        <f>P95+2</f>
        <v>6</v>
      </c>
      <c r="P94" s="501" t="str">
        <f ca="1">INDIRECT("AF"&amp;O94)</f>
        <v>Collège Jacques DecourParis 9e</v>
      </c>
      <c r="Q94" s="500"/>
      <c r="R94" s="500"/>
      <c r="T94" s="679"/>
      <c r="U94" s="679"/>
      <c r="V94" s="679"/>
      <c r="W94" s="679"/>
      <c r="X94" s="679"/>
      <c r="Y94" s="679"/>
      <c r="Z94" s="679"/>
      <c r="AA94" s="679"/>
      <c r="AB94" s="679"/>
      <c r="AC94" s="218"/>
      <c r="AH94" s="218"/>
    </row>
    <row r="95" spans="1:34" s="218" customFormat="1" ht="36" thickBot="1" x14ac:dyDescent="0.25">
      <c r="A95" s="576" t="s">
        <v>546</v>
      </c>
      <c r="B95" s="402" t="str">
        <f>B64</f>
        <v>D3</v>
      </c>
      <c r="D95" s="661" t="s">
        <v>628</v>
      </c>
      <c r="E95" s="660">
        <f ca="1">INDIRECT("AD"&amp;O94)</f>
        <v>17</v>
      </c>
      <c r="F95" s="705" t="str">
        <f>"   "&amp;Championnat</f>
        <v xml:space="preserve">   Championnat de France de Tir à l'ARC</v>
      </c>
      <c r="O95" s="502" t="s">
        <v>849</v>
      </c>
      <c r="P95" s="503">
        <f>P64+1</f>
        <v>4</v>
      </c>
      <c r="R95" s="254"/>
      <c r="S95" s="254"/>
      <c r="T95" s="681"/>
      <c r="U95" s="680"/>
      <c r="V95" s="681"/>
      <c r="X95" s="662"/>
      <c r="Y95" s="662"/>
      <c r="Z95" s="662"/>
      <c r="AA95" s="662"/>
      <c r="AB95" s="662"/>
      <c r="AD95" s="217"/>
      <c r="AE95" s="217"/>
      <c r="AF95" s="217"/>
      <c r="AG95" s="217"/>
    </row>
    <row r="96" spans="1:34" ht="35.25" x14ac:dyDescent="0.2">
      <c r="A96" s="706" t="str">
        <f>CATEG_IMPORTEE</f>
        <v>Collèges Mixtes Etablissement</v>
      </c>
      <c r="J96" s="592" t="str">
        <f>LIEU&amp;" du "&amp;DATE</f>
        <v>L’Isle sur la Sorgue du 27 au 31 mars 2023</v>
      </c>
      <c r="R96" s="254"/>
      <c r="S96" s="254"/>
      <c r="T96" s="681"/>
      <c r="U96" s="680"/>
      <c r="V96" s="681"/>
      <c r="W96" s="679"/>
      <c r="X96" s="679"/>
      <c r="Y96" s="679"/>
      <c r="Z96" s="679"/>
      <c r="AA96" s="679"/>
      <c r="AB96" s="679"/>
      <c r="AC96" s="218"/>
      <c r="AH96" s="218"/>
    </row>
    <row r="97" spans="1:34" ht="24" customHeight="1" thickBot="1" x14ac:dyDescent="0.25">
      <c r="A97" s="648" t="s">
        <v>0</v>
      </c>
      <c r="B97" s="648"/>
      <c r="C97" s="648"/>
      <c r="D97" s="648"/>
      <c r="F97" s="1124" t="s">
        <v>1006</v>
      </c>
      <c r="G97" s="1125"/>
      <c r="H97" s="1125"/>
      <c r="J97" s="648" t="s">
        <v>0</v>
      </c>
      <c r="O97" s="1093" t="s">
        <v>1005</v>
      </c>
      <c r="P97" s="1093"/>
      <c r="R97" s="254"/>
      <c r="S97" s="254"/>
      <c r="T97" s="681"/>
      <c r="U97" s="680"/>
      <c r="V97" s="681"/>
      <c r="W97" s="679"/>
      <c r="X97" s="679"/>
      <c r="Y97" s="679"/>
      <c r="Z97" s="679"/>
      <c r="AA97" s="679"/>
      <c r="AB97" s="679"/>
      <c r="AC97" s="218"/>
      <c r="AH97" s="218"/>
    </row>
    <row r="98" spans="1:34" ht="23.25" customHeight="1" thickBot="1" x14ac:dyDescent="0.25">
      <c r="A98" s="657" t="str">
        <f ca="1">IFERROR(VLOOKUP(N94,Num_AS,2,FALSE),"")</f>
        <v/>
      </c>
      <c r="B98" s="658"/>
      <c r="C98" s="658"/>
      <c r="D98" s="658"/>
      <c r="E98" s="658"/>
      <c r="F98" s="1117" t="str">
        <f ca="1">IFERROR(VLOOKUP(N94,Num_AS,3,FALSE),"")</f>
        <v/>
      </c>
      <c r="G98" s="1118"/>
      <c r="H98" s="1119"/>
      <c r="I98" s="219" t="s">
        <v>547</v>
      </c>
      <c r="J98" s="678" t="str">
        <f ca="1">IFERROR(VLOOKUP(P94,Num_AS,2,FALSE),"")</f>
        <v/>
      </c>
      <c r="K98" s="664"/>
      <c r="L98" s="664"/>
      <c r="M98" s="664"/>
      <c r="N98" s="1120" t="str">
        <f ca="1">IFERROR(VLOOKUP(P94,Num_AS,3,FALSE),"")</f>
        <v/>
      </c>
      <c r="O98" s="1121"/>
      <c r="P98" s="1122"/>
      <c r="R98" s="254"/>
      <c r="S98" s="254"/>
      <c r="T98" s="681"/>
      <c r="U98" s="680"/>
      <c r="V98" s="681"/>
      <c r="W98" s="679"/>
      <c r="X98" s="679"/>
      <c r="Y98" s="679"/>
      <c r="Z98" s="679"/>
      <c r="AA98" s="679"/>
      <c r="AB98" s="679"/>
      <c r="AC98" s="218"/>
      <c r="AH98" s="218"/>
    </row>
    <row r="99" spans="1:34" ht="20.100000000000001" customHeight="1" thickBot="1" x14ac:dyDescent="0.25">
      <c r="E99" s="219"/>
      <c r="F99" s="1107" t="str">
        <f ca="1">IFERROR(VLOOKUP(N94,Num_AS,4,FALSE),"")</f>
        <v/>
      </c>
      <c r="G99" s="1108"/>
      <c r="H99" s="1109"/>
      <c r="N99" s="1110" t="str">
        <f ca="1">IFERROR(VLOOKUP(P94,Num_AS,4,FALSE),"")</f>
        <v/>
      </c>
      <c r="O99" s="1111"/>
      <c r="P99" s="1112"/>
      <c r="R99" s="254"/>
      <c r="S99" s="254"/>
      <c r="T99" s="681"/>
      <c r="U99" s="680"/>
      <c r="V99" s="681"/>
      <c r="W99" s="679"/>
      <c r="X99" s="679"/>
      <c r="Y99" s="679"/>
      <c r="Z99" s="679"/>
      <c r="AA99" s="679"/>
      <c r="AB99" s="679"/>
      <c r="AC99" s="218"/>
      <c r="AH99" s="218"/>
    </row>
    <row r="100" spans="1:34" ht="18" customHeight="1" thickBot="1" x14ac:dyDescent="0.25">
      <c r="A100" s="1123" t="s">
        <v>548</v>
      </c>
      <c r="B100" s="1123"/>
      <c r="C100" s="1123"/>
      <c r="D100" s="1123"/>
      <c r="E100" s="219"/>
      <c r="F100" s="219"/>
      <c r="G100" s="219"/>
      <c r="H100" s="219"/>
      <c r="I100" s="219"/>
      <c r="J100" s="219"/>
      <c r="K100" s="219"/>
      <c r="L100" s="219"/>
      <c r="M100" s="219"/>
      <c r="N100" s="219"/>
      <c r="O100" s="219"/>
      <c r="P100" s="219"/>
      <c r="R100" s="254"/>
      <c r="S100" s="254"/>
      <c r="T100" s="681"/>
      <c r="U100" s="680"/>
      <c r="V100" s="681"/>
      <c r="W100" s="679"/>
      <c r="X100" s="679"/>
      <c r="Y100" s="679"/>
      <c r="Z100" s="679"/>
      <c r="AA100" s="679"/>
      <c r="AB100" s="679"/>
      <c r="AC100" s="218"/>
      <c r="AH100" s="218"/>
    </row>
    <row r="101" spans="1:34" ht="24" customHeight="1" thickTop="1" thickBot="1" x14ac:dyDescent="0.25">
      <c r="A101" s="1126" t="s">
        <v>549</v>
      </c>
      <c r="B101" s="1127"/>
      <c r="C101" s="1127"/>
      <c r="D101" s="1128"/>
      <c r="E101" s="685" t="s">
        <v>480</v>
      </c>
      <c r="F101" s="685" t="s">
        <v>550</v>
      </c>
      <c r="G101" s="686" t="s">
        <v>551</v>
      </c>
      <c r="H101" s="687" t="s">
        <v>779</v>
      </c>
      <c r="J101" s="702" t="s">
        <v>549</v>
      </c>
      <c r="K101" s="703"/>
      <c r="L101" s="703"/>
      <c r="M101" s="704"/>
      <c r="N101" s="685" t="s">
        <v>480</v>
      </c>
      <c r="O101" s="685" t="s">
        <v>550</v>
      </c>
      <c r="P101" s="686" t="s">
        <v>551</v>
      </c>
      <c r="Q101" s="687" t="s">
        <v>779</v>
      </c>
      <c r="R101" s="254"/>
      <c r="S101" s="254"/>
      <c r="T101" s="681"/>
      <c r="U101" s="680"/>
      <c r="V101" s="681"/>
      <c r="W101" s="679"/>
      <c r="X101" s="679"/>
      <c r="Y101" s="679"/>
      <c r="Z101" s="679"/>
      <c r="AA101" s="679"/>
      <c r="AB101" s="679"/>
      <c r="AC101" s="218"/>
      <c r="AH101" s="218"/>
    </row>
    <row r="102" spans="1:34" ht="24.75" customHeight="1" x14ac:dyDescent="0.2">
      <c r="A102" s="659" t="str">
        <f ca="1">IFERROR(VLOOKUP(N94,Num_AS,6,FALSE),"")</f>
        <v/>
      </c>
      <c r="B102" s="588"/>
      <c r="C102" s="653" t="str">
        <f ca="1">IFERROR(VLOOKUP(N94,Num_AS,7,FALSE),"")</f>
        <v/>
      </c>
      <c r="D102" s="652"/>
      <c r="E102" s="654" t="str">
        <f ca="1">IFERROR(VLOOKUP(N94,Num_AS,10,FALSE),"")</f>
        <v/>
      </c>
      <c r="F102" s="654" t="str">
        <f ca="1">IFERROR(VLOOKUP(N94,Num_AS,9,FALSE),"")</f>
        <v/>
      </c>
      <c r="G102" s="655" t="str">
        <f ca="1">IFERROR(VLOOKUP(N94,Num_AS,11,FALSE),"")</f>
        <v/>
      </c>
      <c r="H102" s="688">
        <f ca="1">E95</f>
        <v>17</v>
      </c>
      <c r="J102" s="659" t="str">
        <f ca="1">IFERROR(VLOOKUP(N94,Num_AS,18,FALSE),"")</f>
        <v/>
      </c>
      <c r="K102" s="588"/>
      <c r="L102" s="653" t="str">
        <f ca="1">IFERROR(VLOOKUP(N94,Num_AS,19,FALSE),"")</f>
        <v/>
      </c>
      <c r="M102" s="647"/>
      <c r="N102" s="656" t="str">
        <f ca="1">IFERROR(VLOOKUP(N94,Num_AS,22,FALSE),"")</f>
        <v/>
      </c>
      <c r="O102" s="654" t="str">
        <f ca="1">IFERROR(VLOOKUP(N94,Num_AS,21,FALSE),"")</f>
        <v/>
      </c>
      <c r="P102" s="682" t="str">
        <f ca="1">IFERROR(VLOOKUP(N94,Num_AS,23,FALSE),"")</f>
        <v/>
      </c>
      <c r="Q102" s="688">
        <f ca="1">E95</f>
        <v>17</v>
      </c>
      <c r="R102" s="254"/>
      <c r="S102" s="254"/>
      <c r="T102" s="681"/>
      <c r="U102" s="680"/>
      <c r="V102" s="681"/>
      <c r="W102" s="679"/>
      <c r="X102" s="679"/>
      <c r="Y102" s="679"/>
      <c r="Z102" s="679"/>
      <c r="AA102" s="679"/>
      <c r="AB102" s="679"/>
      <c r="AC102" s="218"/>
      <c r="AH102" s="218"/>
    </row>
    <row r="103" spans="1:34" ht="24.75" customHeight="1" thickBot="1" x14ac:dyDescent="0.25">
      <c r="A103" s="689" t="str">
        <f ca="1">IFERROR(VLOOKUP(N94,Num_AS,12,FALSE),"")</f>
        <v/>
      </c>
      <c r="B103" s="690"/>
      <c r="C103" s="691" t="str">
        <f ca="1">IFERROR(VLOOKUP(N94,Num_AS,13,FALSE),"")</f>
        <v/>
      </c>
      <c r="D103" s="692"/>
      <c r="E103" s="693" t="str">
        <f ca="1">IFERROR(VLOOKUP(N94,Num_AS,16,FALSE),"")</f>
        <v/>
      </c>
      <c r="F103" s="694" t="str">
        <f ca="1">IFERROR(VLOOKUP(N94,Num_AS,15,FALSE),"")</f>
        <v/>
      </c>
      <c r="G103" s="695" t="str">
        <f ca="1">IFERROR(VLOOKUP(N94,Num_AS,17,FALSE),"")</f>
        <v/>
      </c>
      <c r="H103" s="700">
        <f ca="1">E95</f>
        <v>17</v>
      </c>
      <c r="J103" s="689" t="str">
        <f ca="1">IFERROR(VLOOKUP(N94,Num_AS,24,FALSE),"")</f>
        <v/>
      </c>
      <c r="K103" s="690"/>
      <c r="L103" s="691" t="str">
        <f ca="1">IFERROR(VLOOKUP(N94,Num_AS,25,FALSE),"")</f>
        <v/>
      </c>
      <c r="M103" s="697"/>
      <c r="N103" s="698" t="str">
        <f ca="1">IFERROR(VLOOKUP(N94,Num_AS,28,FALSE),"")</f>
        <v/>
      </c>
      <c r="O103" s="694" t="str">
        <f ca="1">IFERROR(VLOOKUP(N94,Num_AS,27,FALSE),"")</f>
        <v/>
      </c>
      <c r="P103" s="699" t="str">
        <f ca="1">IFERROR(VLOOKUP(N94,Num_AS,29,FALSE),"")</f>
        <v/>
      </c>
      <c r="Q103" s="700">
        <f ca="1">E95</f>
        <v>17</v>
      </c>
      <c r="R103" s="254"/>
      <c r="S103" s="254"/>
      <c r="T103" s="681"/>
      <c r="U103" s="680"/>
      <c r="V103" s="681"/>
      <c r="W103" s="681"/>
      <c r="X103" s="681"/>
      <c r="Y103" s="681"/>
      <c r="Z103" s="679"/>
      <c r="AA103" s="679"/>
      <c r="AB103" s="679"/>
      <c r="AC103" s="218"/>
      <c r="AH103" s="218"/>
    </row>
    <row r="104" spans="1:34" ht="12.75" customHeight="1" thickTop="1" x14ac:dyDescent="0.2">
      <c r="A104" s="701"/>
      <c r="B104" s="249"/>
      <c r="C104" s="701"/>
      <c r="D104" s="701"/>
      <c r="E104" s="196"/>
      <c r="F104" s="196"/>
      <c r="G104" s="249"/>
      <c r="H104" s="219"/>
      <c r="I104" s="701"/>
      <c r="J104" s="249"/>
      <c r="K104" s="701"/>
      <c r="L104" s="249"/>
      <c r="M104" s="196"/>
      <c r="N104" s="196"/>
      <c r="O104" s="249"/>
      <c r="P104" s="219"/>
      <c r="R104" s="254"/>
      <c r="S104" s="254"/>
      <c r="T104" s="681"/>
      <c r="U104" s="680"/>
      <c r="V104" s="681"/>
      <c r="W104" s="681"/>
      <c r="X104" s="681"/>
      <c r="Y104" s="681"/>
      <c r="Z104" s="679"/>
      <c r="AA104" s="679"/>
      <c r="AB104" s="679"/>
      <c r="AC104" s="218"/>
      <c r="AH104" s="218"/>
    </row>
    <row r="105" spans="1:34" ht="37.5" customHeight="1" x14ac:dyDescent="0.2">
      <c r="A105" s="1113" t="s">
        <v>909</v>
      </c>
      <c r="B105" s="1113"/>
      <c r="C105" s="1113"/>
      <c r="F105" s="1113" t="s">
        <v>910</v>
      </c>
      <c r="G105" s="1113"/>
      <c r="H105" s="1113"/>
      <c r="J105" s="1113" t="s">
        <v>911</v>
      </c>
      <c r="K105" s="1113"/>
      <c r="L105" s="1113"/>
      <c r="N105" s="1113" t="s">
        <v>912</v>
      </c>
      <c r="O105" s="1113"/>
      <c r="P105" s="1113"/>
      <c r="R105" s="254"/>
      <c r="S105" s="254"/>
      <c r="T105" s="681"/>
      <c r="U105" s="680"/>
      <c r="V105" s="679"/>
      <c r="W105" s="679"/>
      <c r="X105" s="679"/>
      <c r="Y105" s="679"/>
      <c r="Z105" s="679"/>
      <c r="AA105" s="679"/>
      <c r="AB105" s="679"/>
      <c r="AC105" s="218"/>
      <c r="AH105" s="218"/>
    </row>
    <row r="106" spans="1:34" ht="37.5" customHeight="1" x14ac:dyDescent="0.25">
      <c r="A106" s="629" t="s">
        <v>980</v>
      </c>
      <c r="B106" s="629" t="s">
        <v>981</v>
      </c>
      <c r="C106" s="636" t="s">
        <v>780</v>
      </c>
      <c r="D106" s="649"/>
      <c r="F106" s="629" t="s">
        <v>980</v>
      </c>
      <c r="G106" s="629" t="s">
        <v>981</v>
      </c>
      <c r="H106" s="636" t="s">
        <v>780</v>
      </c>
      <c r="J106" s="629" t="s">
        <v>980</v>
      </c>
      <c r="K106" s="629" t="s">
        <v>981</v>
      </c>
      <c r="L106" s="636" t="s">
        <v>780</v>
      </c>
      <c r="M106" s="649"/>
      <c r="N106" s="629" t="s">
        <v>980</v>
      </c>
      <c r="O106" s="629" t="s">
        <v>981</v>
      </c>
      <c r="P106" s="636" t="s">
        <v>780</v>
      </c>
      <c r="T106" s="679"/>
      <c r="U106" s="680"/>
      <c r="V106" s="679"/>
      <c r="W106" s="679"/>
      <c r="X106" s="679"/>
      <c r="Y106" s="679"/>
      <c r="Z106" s="679"/>
      <c r="AA106" s="679"/>
      <c r="AB106" s="679"/>
      <c r="AC106" s="218"/>
      <c r="AH106" s="218"/>
    </row>
    <row r="107" spans="1:34" ht="32.25" customHeight="1" x14ac:dyDescent="0.25">
      <c r="A107" s="666">
        <v>10</v>
      </c>
      <c r="B107" s="636"/>
      <c r="C107" s="636"/>
      <c r="D107" s="649"/>
      <c r="F107" s="666">
        <v>10</v>
      </c>
      <c r="G107" s="636"/>
      <c r="H107" s="636"/>
      <c r="J107" s="666">
        <v>10</v>
      </c>
      <c r="K107" s="636"/>
      <c r="L107" s="636"/>
      <c r="M107" s="649"/>
      <c r="N107" s="666">
        <v>10</v>
      </c>
      <c r="O107" s="636"/>
      <c r="P107" s="636"/>
      <c r="T107" s="679"/>
      <c r="U107" s="680"/>
      <c r="V107" s="679"/>
      <c r="W107" s="679"/>
      <c r="X107" s="679"/>
      <c r="Y107" s="679"/>
      <c r="Z107" s="679"/>
      <c r="AA107" s="679"/>
      <c r="AB107" s="679"/>
      <c r="AC107" s="218"/>
      <c r="AH107" s="218"/>
    </row>
    <row r="108" spans="1:34" ht="32.25" customHeight="1" x14ac:dyDescent="0.25">
      <c r="A108" s="666">
        <v>9</v>
      </c>
      <c r="B108" s="636"/>
      <c r="C108" s="636"/>
      <c r="D108" s="649"/>
      <c r="F108" s="666">
        <v>9</v>
      </c>
      <c r="G108" s="636"/>
      <c r="H108" s="636"/>
      <c r="J108" s="666">
        <v>9</v>
      </c>
      <c r="K108" s="636"/>
      <c r="L108" s="636"/>
      <c r="M108" s="649"/>
      <c r="N108" s="666">
        <v>9</v>
      </c>
      <c r="O108" s="636"/>
      <c r="P108" s="636"/>
      <c r="T108" s="679"/>
      <c r="U108" s="680"/>
      <c r="V108" s="679"/>
      <c r="W108" s="679"/>
      <c r="X108" s="679"/>
      <c r="Y108" s="679"/>
      <c r="Z108" s="679"/>
      <c r="AA108" s="679"/>
      <c r="AB108" s="679"/>
      <c r="AC108" s="218"/>
      <c r="AH108" s="218"/>
    </row>
    <row r="109" spans="1:34" ht="32.25" customHeight="1" x14ac:dyDescent="0.25">
      <c r="A109" s="666">
        <v>8</v>
      </c>
      <c r="B109" s="636"/>
      <c r="C109" s="636"/>
      <c r="D109" s="649"/>
      <c r="F109" s="666">
        <v>8</v>
      </c>
      <c r="G109" s="636"/>
      <c r="H109" s="636"/>
      <c r="J109" s="666">
        <v>8</v>
      </c>
      <c r="K109" s="636"/>
      <c r="L109" s="636"/>
      <c r="M109" s="649"/>
      <c r="N109" s="666">
        <v>8</v>
      </c>
      <c r="O109" s="636"/>
      <c r="P109" s="636"/>
      <c r="T109" s="679"/>
      <c r="U109" s="680"/>
      <c r="V109" s="679"/>
      <c r="W109" s="679"/>
      <c r="X109" s="679"/>
      <c r="Y109" s="679"/>
      <c r="Z109" s="679"/>
      <c r="AA109" s="679"/>
      <c r="AB109" s="679"/>
      <c r="AC109" s="218"/>
      <c r="AH109" s="218"/>
    </row>
    <row r="110" spans="1:34" ht="32.25" customHeight="1" x14ac:dyDescent="0.25">
      <c r="A110" s="666">
        <v>7</v>
      </c>
      <c r="B110" s="636"/>
      <c r="C110" s="636"/>
      <c r="D110" s="649"/>
      <c r="F110" s="666">
        <v>7</v>
      </c>
      <c r="G110" s="636"/>
      <c r="H110" s="636"/>
      <c r="J110" s="666">
        <v>7</v>
      </c>
      <c r="K110" s="636"/>
      <c r="L110" s="636"/>
      <c r="M110" s="649"/>
      <c r="N110" s="666">
        <v>7</v>
      </c>
      <c r="O110" s="636"/>
      <c r="P110" s="636"/>
      <c r="T110" s="679"/>
      <c r="U110" s="680"/>
      <c r="V110" s="679"/>
      <c r="W110" s="679"/>
      <c r="X110" s="679"/>
      <c r="Y110" s="679"/>
      <c r="Z110" s="679"/>
      <c r="AC110" s="218"/>
      <c r="AH110" s="218"/>
    </row>
    <row r="111" spans="1:34" ht="32.25" customHeight="1" x14ac:dyDescent="0.25">
      <c r="A111" s="666">
        <v>6</v>
      </c>
      <c r="B111" s="636"/>
      <c r="C111" s="636"/>
      <c r="D111" s="649"/>
      <c r="F111" s="666">
        <v>6</v>
      </c>
      <c r="G111" s="636"/>
      <c r="H111" s="636"/>
      <c r="J111" s="666">
        <v>6</v>
      </c>
      <c r="K111" s="636"/>
      <c r="L111" s="636"/>
      <c r="M111" s="649"/>
      <c r="N111" s="666">
        <v>6</v>
      </c>
      <c r="O111" s="636"/>
      <c r="P111" s="636"/>
      <c r="T111" s="679"/>
      <c r="U111" s="680"/>
      <c r="AC111" s="218"/>
      <c r="AH111" s="218"/>
    </row>
    <row r="112" spans="1:34" ht="32.25" customHeight="1" x14ac:dyDescent="0.25">
      <c r="A112" s="666">
        <v>5</v>
      </c>
      <c r="B112" s="636"/>
      <c r="C112" s="636"/>
      <c r="D112" s="649"/>
      <c r="F112" s="666">
        <v>5</v>
      </c>
      <c r="G112" s="636"/>
      <c r="H112" s="636"/>
      <c r="J112" s="666">
        <v>5</v>
      </c>
      <c r="K112" s="636"/>
      <c r="L112" s="636"/>
      <c r="M112" s="649"/>
      <c r="N112" s="666">
        <v>5</v>
      </c>
      <c r="O112" s="636"/>
      <c r="P112" s="636"/>
      <c r="U112" s="520"/>
      <c r="AC112" s="218"/>
      <c r="AH112" s="218"/>
    </row>
    <row r="113" spans="1:34" ht="32.25" customHeight="1" x14ac:dyDescent="0.25">
      <c r="A113" s="666">
        <v>4</v>
      </c>
      <c r="B113" s="636"/>
      <c r="C113" s="636"/>
      <c r="D113" s="649"/>
      <c r="F113" s="666">
        <v>4</v>
      </c>
      <c r="G113" s="636"/>
      <c r="H113" s="636"/>
      <c r="J113" s="666">
        <v>4</v>
      </c>
      <c r="K113" s="636"/>
      <c r="L113" s="636"/>
      <c r="M113" s="649"/>
      <c r="N113" s="666">
        <v>4</v>
      </c>
      <c r="O113" s="636"/>
      <c r="P113" s="636"/>
      <c r="U113" s="520"/>
      <c r="AC113" s="218"/>
      <c r="AH113" s="218"/>
    </row>
    <row r="114" spans="1:34" ht="32.25" customHeight="1" x14ac:dyDescent="0.25">
      <c r="A114" s="666">
        <v>3</v>
      </c>
      <c r="B114" s="636"/>
      <c r="C114" s="636"/>
      <c r="D114" s="649"/>
      <c r="F114" s="666">
        <v>3</v>
      </c>
      <c r="G114" s="636"/>
      <c r="H114" s="636"/>
      <c r="J114" s="666">
        <v>3</v>
      </c>
      <c r="K114" s="636"/>
      <c r="L114" s="636"/>
      <c r="M114" s="649"/>
      <c r="N114" s="666">
        <v>3</v>
      </c>
      <c r="O114" s="636"/>
      <c r="P114" s="636"/>
      <c r="U114" s="520"/>
      <c r="AC114" s="218"/>
      <c r="AH114" s="218"/>
    </row>
    <row r="115" spans="1:34" ht="32.25" customHeight="1" x14ac:dyDescent="0.25">
      <c r="A115" s="666">
        <v>2</v>
      </c>
      <c r="B115" s="636"/>
      <c r="C115" s="636"/>
      <c r="D115" s="649"/>
      <c r="F115" s="666">
        <v>2</v>
      </c>
      <c r="G115" s="636"/>
      <c r="H115" s="636"/>
      <c r="J115" s="666">
        <v>2</v>
      </c>
      <c r="K115" s="636"/>
      <c r="L115" s="636"/>
      <c r="M115" s="649"/>
      <c r="N115" s="666">
        <v>2</v>
      </c>
      <c r="O115" s="636"/>
      <c r="P115" s="636"/>
      <c r="U115" s="520"/>
      <c r="AC115" s="218"/>
      <c r="AH115" s="218"/>
    </row>
    <row r="116" spans="1:34" ht="32.25" customHeight="1" x14ac:dyDescent="0.25">
      <c r="A116" s="666">
        <v>1</v>
      </c>
      <c r="B116" s="636"/>
      <c r="C116" s="636"/>
      <c r="D116" s="649"/>
      <c r="F116" s="666">
        <v>1</v>
      </c>
      <c r="G116" s="636"/>
      <c r="H116" s="636"/>
      <c r="J116" s="666">
        <v>1</v>
      </c>
      <c r="K116" s="636"/>
      <c r="L116" s="636"/>
      <c r="M116" s="649"/>
      <c r="N116" s="666">
        <v>1</v>
      </c>
      <c r="O116" s="636"/>
      <c r="P116" s="636"/>
      <c r="U116" s="520"/>
      <c r="AC116" s="218"/>
      <c r="AH116" s="218"/>
    </row>
    <row r="117" spans="1:34" ht="32.25" customHeight="1" x14ac:dyDescent="0.25">
      <c r="A117" s="666" t="s">
        <v>982</v>
      </c>
      <c r="B117" s="636"/>
      <c r="C117" s="636"/>
      <c r="D117" s="649"/>
      <c r="F117" s="666" t="s">
        <v>982</v>
      </c>
      <c r="G117" s="636"/>
      <c r="H117" s="636"/>
      <c r="J117" s="666" t="s">
        <v>982</v>
      </c>
      <c r="K117" s="636"/>
      <c r="L117" s="636"/>
      <c r="M117" s="649"/>
      <c r="N117" s="666" t="s">
        <v>982</v>
      </c>
      <c r="O117" s="636"/>
      <c r="P117" s="636"/>
      <c r="U117" s="520"/>
      <c r="AC117" s="218"/>
      <c r="AH117" s="218"/>
    </row>
    <row r="118" spans="1:34" ht="32.25" customHeight="1" x14ac:dyDescent="0.25">
      <c r="A118" s="629" t="s">
        <v>981</v>
      </c>
      <c r="B118" s="650"/>
      <c r="C118" s="651" t="s">
        <v>996</v>
      </c>
      <c r="D118" s="649"/>
      <c r="F118" s="629" t="s">
        <v>981</v>
      </c>
      <c r="G118" s="650"/>
      <c r="H118" s="651" t="s">
        <v>996</v>
      </c>
      <c r="J118" s="629" t="s">
        <v>981</v>
      </c>
      <c r="K118" s="650"/>
      <c r="L118" s="651" t="s">
        <v>996</v>
      </c>
      <c r="M118" s="649"/>
      <c r="N118" s="629" t="s">
        <v>981</v>
      </c>
      <c r="O118" s="650"/>
      <c r="P118" s="651" t="s">
        <v>996</v>
      </c>
      <c r="Q118" s="649"/>
      <c r="U118" s="520"/>
      <c r="AC118" s="218"/>
      <c r="AH118" s="218"/>
    </row>
    <row r="119" spans="1:34" ht="32.25" customHeight="1" thickBot="1" x14ac:dyDescent="0.3">
      <c r="A119" s="649"/>
      <c r="B119" s="629" t="s">
        <v>983</v>
      </c>
      <c r="C119" s="665"/>
      <c r="D119" s="649"/>
      <c r="F119" s="637" t="s">
        <v>985</v>
      </c>
      <c r="G119" s="629" t="s">
        <v>983</v>
      </c>
      <c r="H119" s="636"/>
      <c r="J119" s="637" t="s">
        <v>985</v>
      </c>
      <c r="K119" s="629" t="s">
        <v>983</v>
      </c>
      <c r="L119" s="636"/>
      <c r="M119" s="649"/>
      <c r="N119" s="637" t="s">
        <v>985</v>
      </c>
      <c r="O119" s="629" t="s">
        <v>983</v>
      </c>
      <c r="P119" s="636"/>
      <c r="Q119" s="649"/>
      <c r="U119" s="520"/>
      <c r="AC119" s="218"/>
      <c r="AH119" s="218"/>
    </row>
    <row r="120" spans="1:34" ht="41.25" customHeight="1" thickBot="1" x14ac:dyDescent="0.3">
      <c r="A120" s="1114" t="s">
        <v>1001</v>
      </c>
      <c r="B120" s="1114"/>
      <c r="C120" s="734">
        <f ca="1">VLOOKUP(A98&amp;F98,PTS_SP,2,FALSE)</f>
        <v>0</v>
      </c>
      <c r="D120" s="649"/>
      <c r="F120" s="1115" t="s">
        <v>986</v>
      </c>
      <c r="G120" s="1116"/>
      <c r="H120" s="636"/>
      <c r="I120" s="1115" t="s">
        <v>986</v>
      </c>
      <c r="J120" s="1115"/>
      <c r="K120" s="636"/>
      <c r="L120" s="649"/>
      <c r="O120" s="634" t="s">
        <v>987</v>
      </c>
      <c r="P120" s="636"/>
      <c r="Q120" s="649"/>
      <c r="U120" s="520"/>
      <c r="AC120" s="218"/>
      <c r="AH120" s="218"/>
    </row>
    <row r="121" spans="1:34" ht="47.25" customHeight="1" thickBot="1" x14ac:dyDescent="0.3">
      <c r="A121" s="1115" t="s">
        <v>986</v>
      </c>
      <c r="B121" s="1116"/>
      <c r="C121" s="644"/>
      <c r="D121" s="649"/>
      <c r="E121" s="649"/>
      <c r="F121" s="649"/>
      <c r="G121" s="649"/>
      <c r="H121" s="649"/>
      <c r="I121" s="649"/>
      <c r="J121" s="649"/>
      <c r="K121" s="649"/>
      <c r="L121" s="649"/>
      <c r="N121" s="634"/>
      <c r="O121" s="634" t="s">
        <v>997</v>
      </c>
      <c r="P121" s="673"/>
      <c r="Q121" s="674"/>
      <c r="R121" s="663" t="s">
        <v>998</v>
      </c>
      <c r="U121" s="520"/>
      <c r="AC121" s="218"/>
      <c r="AH121" s="218"/>
    </row>
    <row r="122" spans="1:34" ht="36" customHeight="1" thickBot="1" x14ac:dyDescent="0.3">
      <c r="A122" s="649"/>
      <c r="B122" s="649"/>
      <c r="C122" s="649"/>
      <c r="D122" s="649"/>
      <c r="E122" s="672" t="s">
        <v>1002</v>
      </c>
      <c r="F122" s="667"/>
      <c r="G122" s="667"/>
      <c r="H122" s="668"/>
      <c r="I122" s="649"/>
      <c r="J122" s="672" t="s">
        <v>1003</v>
      </c>
      <c r="K122" s="667"/>
      <c r="L122" s="667"/>
      <c r="M122" s="668"/>
      <c r="O122" s="675" t="s">
        <v>1004</v>
      </c>
      <c r="P122" s="676" t="s">
        <v>999</v>
      </c>
      <c r="Q122" s="677" t="s">
        <v>1000</v>
      </c>
      <c r="R122" s="649"/>
      <c r="U122" s="520"/>
      <c r="AC122" s="218"/>
      <c r="AH122" s="218"/>
    </row>
    <row r="123" spans="1:34" ht="36" customHeight="1" thickBot="1" x14ac:dyDescent="0.25">
      <c r="E123" s="669"/>
      <c r="F123" s="670"/>
      <c r="G123" s="670"/>
      <c r="H123" s="671"/>
      <c r="J123" s="669"/>
      <c r="K123" s="670"/>
      <c r="L123" s="670"/>
      <c r="M123" s="671"/>
      <c r="U123" s="520"/>
      <c r="AA123" s="679"/>
      <c r="AB123" s="679"/>
      <c r="AC123" s="218"/>
      <c r="AH123" s="218"/>
    </row>
    <row r="124" spans="1:34" s="218" customFormat="1" ht="23.25" customHeight="1" x14ac:dyDescent="0.2">
      <c r="A124" s="217"/>
      <c r="B124" s="217"/>
      <c r="C124" s="217"/>
      <c r="D124" s="217"/>
      <c r="E124" s="217"/>
      <c r="F124" s="217"/>
      <c r="G124" s="217"/>
      <c r="H124" s="217"/>
      <c r="I124" s="217"/>
      <c r="J124" s="217"/>
      <c r="K124" s="217"/>
      <c r="L124" s="217"/>
      <c r="M124" s="217"/>
      <c r="N124" s="684"/>
      <c r="O124" s="684"/>
      <c r="P124" s="684"/>
      <c r="Q124" s="684"/>
      <c r="R124" s="217"/>
      <c r="S124" s="217"/>
      <c r="T124" s="217"/>
      <c r="U124" s="520"/>
      <c r="V124" s="679"/>
      <c r="W124" s="679"/>
      <c r="X124" s="679"/>
      <c r="Y124" s="679"/>
      <c r="Z124" s="679"/>
      <c r="AA124" s="662"/>
      <c r="AB124" s="662"/>
      <c r="AD124" s="217"/>
      <c r="AE124" s="217"/>
      <c r="AF124" s="217"/>
      <c r="AG124" s="217"/>
    </row>
    <row r="125" spans="1:34" ht="19.5" customHeight="1" thickBot="1" x14ac:dyDescent="0.25">
      <c r="M125" s="500"/>
      <c r="N125" s="520" t="str">
        <f ca="1">INDIRECT("AE"&amp;O125)</f>
        <v>Collège le RéflessoirBléré</v>
      </c>
      <c r="O125" s="500">
        <f>P126+2</f>
        <v>7</v>
      </c>
      <c r="P125" s="501" t="str">
        <f ca="1">INDIRECT("AF"&amp;O125)</f>
        <v>Collège Charles DelaunayLusigny-sur-Barse</v>
      </c>
      <c r="Q125" s="500"/>
      <c r="R125" s="500"/>
      <c r="T125" s="679"/>
      <c r="U125" s="679"/>
      <c r="V125" s="679"/>
      <c r="W125" s="679"/>
      <c r="X125" s="679"/>
      <c r="Y125" s="679"/>
      <c r="Z125" s="679"/>
      <c r="AA125" s="679"/>
      <c r="AB125" s="679"/>
      <c r="AC125" s="218"/>
      <c r="AH125" s="218"/>
    </row>
    <row r="126" spans="1:34" s="218" customFormat="1" ht="36" thickBot="1" x14ac:dyDescent="0.25">
      <c r="A126" s="576" t="s">
        <v>546</v>
      </c>
      <c r="B126" s="402" t="str">
        <f>B95</f>
        <v>D3</v>
      </c>
      <c r="D126" s="661" t="s">
        <v>628</v>
      </c>
      <c r="E126" s="660">
        <f ca="1">INDIRECT("AD"&amp;O125)</f>
        <v>2</v>
      </c>
      <c r="F126" s="705" t="str">
        <f>"   "&amp;Championnat</f>
        <v xml:space="preserve">   Championnat de France de Tir à l'ARC</v>
      </c>
      <c r="O126" s="502" t="s">
        <v>849</v>
      </c>
      <c r="P126" s="503">
        <f>P95+1</f>
        <v>5</v>
      </c>
      <c r="R126" s="254"/>
      <c r="S126" s="254"/>
      <c r="T126" s="681"/>
      <c r="U126" s="680"/>
      <c r="V126" s="681"/>
      <c r="X126" s="662"/>
      <c r="Y126" s="662"/>
      <c r="Z126" s="662"/>
      <c r="AA126" s="662"/>
      <c r="AB126" s="662"/>
      <c r="AD126" s="217"/>
      <c r="AE126" s="217"/>
      <c r="AF126" s="217"/>
      <c r="AG126" s="217"/>
    </row>
    <row r="127" spans="1:34" ht="35.25" x14ac:dyDescent="0.2">
      <c r="A127" s="706" t="str">
        <f>CATEG_IMPORTEE</f>
        <v>Collèges Mixtes Etablissement</v>
      </c>
      <c r="J127" s="592" t="str">
        <f>LIEU&amp;" du "&amp;DATE</f>
        <v>L’Isle sur la Sorgue du 27 au 31 mars 2023</v>
      </c>
      <c r="R127" s="254"/>
      <c r="S127" s="254"/>
      <c r="T127" s="681"/>
      <c r="U127" s="680"/>
      <c r="V127" s="681"/>
      <c r="W127" s="679"/>
      <c r="X127" s="679"/>
      <c r="Y127" s="679"/>
      <c r="Z127" s="679"/>
      <c r="AA127" s="679"/>
      <c r="AB127" s="679"/>
      <c r="AC127" s="218"/>
      <c r="AH127" s="218"/>
    </row>
    <row r="128" spans="1:34" ht="24" customHeight="1" thickBot="1" x14ac:dyDescent="0.25">
      <c r="A128" s="648" t="s">
        <v>0</v>
      </c>
      <c r="B128" s="648"/>
      <c r="C128" s="648"/>
      <c r="D128" s="648"/>
      <c r="F128" s="1124" t="s">
        <v>1006</v>
      </c>
      <c r="G128" s="1125"/>
      <c r="H128" s="1125"/>
      <c r="J128" s="648" t="s">
        <v>0</v>
      </c>
      <c r="O128" s="1093" t="s">
        <v>1005</v>
      </c>
      <c r="P128" s="1093"/>
      <c r="R128" s="254"/>
      <c r="S128" s="254"/>
      <c r="T128" s="681"/>
      <c r="U128" s="680"/>
      <c r="V128" s="681"/>
      <c r="W128" s="679"/>
      <c r="X128" s="679"/>
      <c r="Y128" s="679"/>
      <c r="Z128" s="679"/>
      <c r="AA128" s="679"/>
      <c r="AB128" s="679"/>
      <c r="AC128" s="218"/>
      <c r="AH128" s="218"/>
    </row>
    <row r="129" spans="1:34" ht="23.25" customHeight="1" thickBot="1" x14ac:dyDescent="0.25">
      <c r="A129" s="657" t="str">
        <f ca="1">IFERROR(VLOOKUP(N125,Num_AS,2,FALSE),"")</f>
        <v/>
      </c>
      <c r="B129" s="658"/>
      <c r="C129" s="658"/>
      <c r="D129" s="658"/>
      <c r="E129" s="658"/>
      <c r="F129" s="1117" t="str">
        <f ca="1">IFERROR(VLOOKUP(N125,Num_AS,3,FALSE),"")</f>
        <v/>
      </c>
      <c r="G129" s="1118"/>
      <c r="H129" s="1119"/>
      <c r="I129" s="219" t="s">
        <v>547</v>
      </c>
      <c r="J129" s="678" t="str">
        <f ca="1">IFERROR(VLOOKUP(P125,Num_AS,2,FALSE),"")</f>
        <v/>
      </c>
      <c r="K129" s="664"/>
      <c r="L129" s="664"/>
      <c r="M129" s="664"/>
      <c r="N129" s="1120" t="str">
        <f ca="1">IFERROR(VLOOKUP(P125,Num_AS,3,FALSE),"")</f>
        <v/>
      </c>
      <c r="O129" s="1121"/>
      <c r="P129" s="1122"/>
      <c r="R129" s="254"/>
      <c r="S129" s="254"/>
      <c r="T129" s="681"/>
      <c r="U129" s="680"/>
      <c r="V129" s="681"/>
      <c r="W129" s="679"/>
      <c r="X129" s="679"/>
      <c r="Y129" s="679"/>
      <c r="Z129" s="679"/>
      <c r="AA129" s="679"/>
      <c r="AB129" s="679"/>
      <c r="AC129" s="218"/>
      <c r="AH129" s="218"/>
    </row>
    <row r="130" spans="1:34" ht="20.100000000000001" customHeight="1" thickBot="1" x14ac:dyDescent="0.25">
      <c r="E130" s="219"/>
      <c r="F130" s="1107" t="str">
        <f ca="1">IFERROR(VLOOKUP(N125,Num_AS,4,FALSE),"")</f>
        <v/>
      </c>
      <c r="G130" s="1108"/>
      <c r="H130" s="1109"/>
      <c r="N130" s="1110" t="str">
        <f ca="1">IFERROR(VLOOKUP(P125,Num_AS,4,FALSE),"")</f>
        <v/>
      </c>
      <c r="O130" s="1111"/>
      <c r="P130" s="1112"/>
      <c r="R130" s="254"/>
      <c r="S130" s="254"/>
      <c r="T130" s="681"/>
      <c r="U130" s="680"/>
      <c r="V130" s="681"/>
      <c r="W130" s="679"/>
      <c r="X130" s="679"/>
      <c r="Y130" s="679"/>
      <c r="Z130" s="679"/>
      <c r="AA130" s="679"/>
      <c r="AB130" s="679"/>
      <c r="AC130" s="218"/>
      <c r="AH130" s="218"/>
    </row>
    <row r="131" spans="1:34" ht="18" customHeight="1" thickBot="1" x14ac:dyDescent="0.25">
      <c r="A131" s="1123" t="s">
        <v>548</v>
      </c>
      <c r="B131" s="1123"/>
      <c r="C131" s="1123"/>
      <c r="D131" s="1123"/>
      <c r="E131" s="219"/>
      <c r="F131" s="219"/>
      <c r="G131" s="219"/>
      <c r="H131" s="219"/>
      <c r="I131" s="219"/>
      <c r="J131" s="219"/>
      <c r="K131" s="219"/>
      <c r="L131" s="219"/>
      <c r="M131" s="219"/>
      <c r="N131" s="219"/>
      <c r="O131" s="219"/>
      <c r="P131" s="219"/>
      <c r="R131" s="254"/>
      <c r="S131" s="254"/>
      <c r="T131" s="681"/>
      <c r="U131" s="680"/>
      <c r="V131" s="681"/>
      <c r="W131" s="679"/>
      <c r="X131" s="679"/>
      <c r="Y131" s="679"/>
      <c r="Z131" s="679"/>
      <c r="AA131" s="679"/>
      <c r="AB131" s="679"/>
      <c r="AC131" s="218"/>
      <c r="AH131" s="218"/>
    </row>
    <row r="132" spans="1:34" ht="24" customHeight="1" thickTop="1" thickBot="1" x14ac:dyDescent="0.25">
      <c r="A132" s="1126" t="s">
        <v>549</v>
      </c>
      <c r="B132" s="1127"/>
      <c r="C132" s="1127"/>
      <c r="D132" s="1128"/>
      <c r="E132" s="685" t="s">
        <v>480</v>
      </c>
      <c r="F132" s="685" t="s">
        <v>550</v>
      </c>
      <c r="G132" s="686" t="s">
        <v>551</v>
      </c>
      <c r="H132" s="687" t="s">
        <v>779</v>
      </c>
      <c r="J132" s="702" t="s">
        <v>549</v>
      </c>
      <c r="K132" s="703"/>
      <c r="L132" s="703"/>
      <c r="M132" s="704"/>
      <c r="N132" s="685" t="s">
        <v>480</v>
      </c>
      <c r="O132" s="685" t="s">
        <v>550</v>
      </c>
      <c r="P132" s="686" t="s">
        <v>551</v>
      </c>
      <c r="Q132" s="687" t="s">
        <v>779</v>
      </c>
      <c r="R132" s="254"/>
      <c r="S132" s="254"/>
      <c r="T132" s="681"/>
      <c r="U132" s="680"/>
      <c r="V132" s="681"/>
      <c r="W132" s="679"/>
      <c r="X132" s="679"/>
      <c r="Y132" s="679"/>
      <c r="Z132" s="679"/>
      <c r="AA132" s="679"/>
      <c r="AB132" s="679"/>
      <c r="AC132" s="218"/>
      <c r="AH132" s="218"/>
    </row>
    <row r="133" spans="1:34" ht="24.75" customHeight="1" x14ac:dyDescent="0.2">
      <c r="A133" s="659" t="str">
        <f ca="1">IFERROR(VLOOKUP(N125,Num_AS,6,FALSE),"")</f>
        <v/>
      </c>
      <c r="B133" s="588"/>
      <c r="C133" s="653" t="str">
        <f ca="1">IFERROR(VLOOKUP(N125,Num_AS,7,FALSE),"")</f>
        <v/>
      </c>
      <c r="D133" s="652"/>
      <c r="E133" s="654" t="str">
        <f ca="1">IFERROR(VLOOKUP(N125,Num_AS,10,FALSE),"")</f>
        <v/>
      </c>
      <c r="F133" s="654" t="str">
        <f ca="1">IFERROR(VLOOKUP(N125,Num_AS,9,FALSE),"")</f>
        <v/>
      </c>
      <c r="G133" s="655" t="str">
        <f ca="1">IFERROR(VLOOKUP(N125,Num_AS,11,FALSE),"")</f>
        <v/>
      </c>
      <c r="H133" s="688">
        <f ca="1">E126</f>
        <v>2</v>
      </c>
      <c r="J133" s="659" t="str">
        <f ca="1">IFERROR(VLOOKUP(N125,Num_AS,18,FALSE),"")</f>
        <v/>
      </c>
      <c r="K133" s="588"/>
      <c r="L133" s="653" t="str">
        <f ca="1">IFERROR(VLOOKUP(N125,Num_AS,19,FALSE),"")</f>
        <v/>
      </c>
      <c r="M133" s="647"/>
      <c r="N133" s="656" t="str">
        <f ca="1">IFERROR(VLOOKUP(N125,Num_AS,22,FALSE),"")</f>
        <v/>
      </c>
      <c r="O133" s="654" t="str">
        <f ca="1">IFERROR(VLOOKUP(N125,Num_AS,21,FALSE),"")</f>
        <v/>
      </c>
      <c r="P133" s="682" t="str">
        <f ca="1">IFERROR(VLOOKUP(N125,Num_AS,23,FALSE),"")</f>
        <v/>
      </c>
      <c r="Q133" s="688">
        <f ca="1">E126</f>
        <v>2</v>
      </c>
      <c r="R133" s="254"/>
      <c r="S133" s="254"/>
      <c r="T133" s="681"/>
      <c r="U133" s="680"/>
      <c r="V133" s="681"/>
      <c r="W133" s="679"/>
      <c r="X133" s="679"/>
      <c r="Y133" s="679"/>
      <c r="Z133" s="679"/>
      <c r="AA133" s="679"/>
      <c r="AB133" s="679"/>
      <c r="AC133" s="218"/>
      <c r="AH133" s="218"/>
    </row>
    <row r="134" spans="1:34" ht="24.75" customHeight="1" thickBot="1" x14ac:dyDescent="0.25">
      <c r="A134" s="689" t="str">
        <f ca="1">IFERROR(VLOOKUP(N125,Num_AS,12,FALSE),"")</f>
        <v/>
      </c>
      <c r="B134" s="690"/>
      <c r="C134" s="691" t="str">
        <f ca="1">IFERROR(VLOOKUP(N125,Num_AS,13,FALSE),"")</f>
        <v/>
      </c>
      <c r="D134" s="692"/>
      <c r="E134" s="693" t="str">
        <f ca="1">IFERROR(VLOOKUP(N125,Num_AS,16,FALSE),"")</f>
        <v/>
      </c>
      <c r="F134" s="694" t="str">
        <f ca="1">IFERROR(VLOOKUP(N125,Num_AS,15,FALSE),"")</f>
        <v/>
      </c>
      <c r="G134" s="695" t="str">
        <f ca="1">IFERROR(VLOOKUP(N125,Num_AS,17,FALSE),"")</f>
        <v/>
      </c>
      <c r="H134" s="700">
        <f ca="1">E126</f>
        <v>2</v>
      </c>
      <c r="J134" s="689" t="str">
        <f ca="1">IFERROR(VLOOKUP(N125,Num_AS,24,FALSE),"")</f>
        <v/>
      </c>
      <c r="K134" s="690"/>
      <c r="L134" s="691" t="str">
        <f ca="1">IFERROR(VLOOKUP(N125,Num_AS,25,FALSE),"")</f>
        <v/>
      </c>
      <c r="M134" s="697"/>
      <c r="N134" s="698" t="str">
        <f ca="1">IFERROR(VLOOKUP(N125,Num_AS,28,FALSE),"")</f>
        <v/>
      </c>
      <c r="O134" s="694" t="str">
        <f ca="1">IFERROR(VLOOKUP(N125,Num_AS,27,FALSE),"")</f>
        <v/>
      </c>
      <c r="P134" s="699" t="str">
        <f ca="1">IFERROR(VLOOKUP(N125,Num_AS,29,FALSE),"")</f>
        <v/>
      </c>
      <c r="Q134" s="700">
        <f ca="1">E126</f>
        <v>2</v>
      </c>
      <c r="R134" s="254"/>
      <c r="S134" s="254"/>
      <c r="T134" s="681"/>
      <c r="U134" s="680"/>
      <c r="V134" s="681"/>
      <c r="W134" s="681"/>
      <c r="X134" s="681"/>
      <c r="Y134" s="681"/>
      <c r="Z134" s="679"/>
      <c r="AA134" s="679"/>
      <c r="AB134" s="679"/>
      <c r="AC134" s="218"/>
      <c r="AH134" s="218"/>
    </row>
    <row r="135" spans="1:34" ht="12.75" customHeight="1" thickTop="1" x14ac:dyDescent="0.2">
      <c r="A135" s="701"/>
      <c r="B135" s="249"/>
      <c r="C135" s="701"/>
      <c r="D135" s="701"/>
      <c r="E135" s="196"/>
      <c r="F135" s="196"/>
      <c r="G135" s="249"/>
      <c r="H135" s="219"/>
      <c r="I135" s="701"/>
      <c r="J135" s="249"/>
      <c r="K135" s="701"/>
      <c r="L135" s="249"/>
      <c r="M135" s="196"/>
      <c r="N135" s="196"/>
      <c r="O135" s="249"/>
      <c r="P135" s="219"/>
      <c r="R135" s="254"/>
      <c r="S135" s="254"/>
      <c r="T135" s="681"/>
      <c r="U135" s="680"/>
      <c r="V135" s="681"/>
      <c r="W135" s="681"/>
      <c r="X135" s="681"/>
      <c r="Y135" s="681"/>
      <c r="Z135" s="679"/>
      <c r="AA135" s="679"/>
      <c r="AB135" s="679"/>
      <c r="AC135" s="218"/>
      <c r="AH135" s="218"/>
    </row>
    <row r="136" spans="1:34" ht="37.5" customHeight="1" x14ac:dyDescent="0.2">
      <c r="A136" s="1113" t="s">
        <v>909</v>
      </c>
      <c r="B136" s="1113"/>
      <c r="C136" s="1113"/>
      <c r="F136" s="1113" t="s">
        <v>910</v>
      </c>
      <c r="G136" s="1113"/>
      <c r="H136" s="1113"/>
      <c r="J136" s="1113" t="s">
        <v>911</v>
      </c>
      <c r="K136" s="1113"/>
      <c r="L136" s="1113"/>
      <c r="N136" s="1113" t="s">
        <v>912</v>
      </c>
      <c r="O136" s="1113"/>
      <c r="P136" s="1113"/>
      <c r="R136" s="254"/>
      <c r="S136" s="254"/>
      <c r="T136" s="681"/>
      <c r="U136" s="680"/>
      <c r="V136" s="679"/>
      <c r="W136" s="679"/>
      <c r="X136" s="679"/>
      <c r="Y136" s="679"/>
      <c r="Z136" s="679"/>
      <c r="AA136" s="679"/>
      <c r="AB136" s="679"/>
      <c r="AC136" s="218"/>
      <c r="AH136" s="218"/>
    </row>
    <row r="137" spans="1:34" ht="37.5" customHeight="1" x14ac:dyDescent="0.25">
      <c r="A137" s="629" t="s">
        <v>980</v>
      </c>
      <c r="B137" s="629" t="s">
        <v>981</v>
      </c>
      <c r="C137" s="636" t="s">
        <v>780</v>
      </c>
      <c r="D137" s="649"/>
      <c r="F137" s="629" t="s">
        <v>980</v>
      </c>
      <c r="G137" s="629" t="s">
        <v>981</v>
      </c>
      <c r="H137" s="636" t="s">
        <v>780</v>
      </c>
      <c r="J137" s="629" t="s">
        <v>980</v>
      </c>
      <c r="K137" s="629" t="s">
        <v>981</v>
      </c>
      <c r="L137" s="636" t="s">
        <v>780</v>
      </c>
      <c r="M137" s="649"/>
      <c r="N137" s="629" t="s">
        <v>980</v>
      </c>
      <c r="O137" s="629" t="s">
        <v>981</v>
      </c>
      <c r="P137" s="636" t="s">
        <v>780</v>
      </c>
      <c r="T137" s="679"/>
      <c r="U137" s="680"/>
      <c r="V137" s="679"/>
      <c r="W137" s="679"/>
      <c r="X137" s="679"/>
      <c r="Y137" s="679"/>
      <c r="Z137" s="679"/>
      <c r="AA137" s="679"/>
      <c r="AB137" s="679"/>
      <c r="AC137" s="218"/>
      <c r="AH137" s="218"/>
    </row>
    <row r="138" spans="1:34" ht="32.25" customHeight="1" x14ac:dyDescent="0.25">
      <c r="A138" s="666">
        <v>10</v>
      </c>
      <c r="B138" s="636"/>
      <c r="C138" s="636"/>
      <c r="D138" s="649"/>
      <c r="F138" s="666">
        <v>10</v>
      </c>
      <c r="G138" s="636"/>
      <c r="H138" s="636"/>
      <c r="J138" s="666">
        <v>10</v>
      </c>
      <c r="K138" s="636"/>
      <c r="L138" s="636"/>
      <c r="M138" s="649"/>
      <c r="N138" s="666">
        <v>10</v>
      </c>
      <c r="O138" s="636"/>
      <c r="P138" s="636"/>
      <c r="T138" s="679"/>
      <c r="U138" s="680"/>
      <c r="V138" s="679"/>
      <c r="W138" s="679"/>
      <c r="X138" s="679"/>
      <c r="Y138" s="679"/>
      <c r="Z138" s="679"/>
      <c r="AA138" s="679"/>
      <c r="AB138" s="679"/>
      <c r="AC138" s="218"/>
      <c r="AH138" s="218"/>
    </row>
    <row r="139" spans="1:34" ht="32.25" customHeight="1" x14ac:dyDescent="0.25">
      <c r="A139" s="666">
        <v>9</v>
      </c>
      <c r="B139" s="636"/>
      <c r="C139" s="636"/>
      <c r="D139" s="649"/>
      <c r="F139" s="666">
        <v>9</v>
      </c>
      <c r="G139" s="636"/>
      <c r="H139" s="636"/>
      <c r="J139" s="666">
        <v>9</v>
      </c>
      <c r="K139" s="636"/>
      <c r="L139" s="636"/>
      <c r="M139" s="649"/>
      <c r="N139" s="666">
        <v>9</v>
      </c>
      <c r="O139" s="636"/>
      <c r="P139" s="636"/>
      <c r="T139" s="679"/>
      <c r="U139" s="680"/>
      <c r="V139" s="679"/>
      <c r="W139" s="679"/>
      <c r="X139" s="679"/>
      <c r="Y139" s="679"/>
      <c r="Z139" s="679"/>
      <c r="AA139" s="679"/>
      <c r="AB139" s="679"/>
      <c r="AC139" s="218"/>
      <c r="AH139" s="218"/>
    </row>
    <row r="140" spans="1:34" ht="32.25" customHeight="1" x14ac:dyDescent="0.25">
      <c r="A140" s="666">
        <v>8</v>
      </c>
      <c r="B140" s="636"/>
      <c r="C140" s="636"/>
      <c r="D140" s="649"/>
      <c r="F140" s="666">
        <v>8</v>
      </c>
      <c r="G140" s="636"/>
      <c r="H140" s="636"/>
      <c r="J140" s="666">
        <v>8</v>
      </c>
      <c r="K140" s="636"/>
      <c r="L140" s="636"/>
      <c r="M140" s="649"/>
      <c r="N140" s="666">
        <v>8</v>
      </c>
      <c r="O140" s="636"/>
      <c r="P140" s="636"/>
      <c r="T140" s="679"/>
      <c r="U140" s="680"/>
      <c r="V140" s="679"/>
      <c r="W140" s="679"/>
      <c r="X140" s="679"/>
      <c r="Y140" s="679"/>
      <c r="Z140" s="679"/>
      <c r="AA140" s="679"/>
      <c r="AB140" s="679"/>
      <c r="AC140" s="218"/>
      <c r="AH140" s="218"/>
    </row>
    <row r="141" spans="1:34" ht="32.25" customHeight="1" x14ac:dyDescent="0.25">
      <c r="A141" s="666">
        <v>7</v>
      </c>
      <c r="B141" s="636"/>
      <c r="C141" s="636"/>
      <c r="D141" s="649"/>
      <c r="F141" s="666">
        <v>7</v>
      </c>
      <c r="G141" s="636"/>
      <c r="H141" s="636"/>
      <c r="J141" s="666">
        <v>7</v>
      </c>
      <c r="K141" s="636"/>
      <c r="L141" s="636"/>
      <c r="M141" s="649"/>
      <c r="N141" s="666">
        <v>7</v>
      </c>
      <c r="O141" s="636"/>
      <c r="P141" s="636"/>
      <c r="T141" s="679"/>
      <c r="U141" s="680"/>
      <c r="V141" s="679"/>
      <c r="W141" s="679"/>
      <c r="X141" s="679"/>
      <c r="Y141" s="679"/>
      <c r="Z141" s="679"/>
      <c r="AC141" s="218"/>
      <c r="AH141" s="218"/>
    </row>
    <row r="142" spans="1:34" ht="32.25" customHeight="1" x14ac:dyDescent="0.25">
      <c r="A142" s="666">
        <v>6</v>
      </c>
      <c r="B142" s="636"/>
      <c r="C142" s="636"/>
      <c r="D142" s="649"/>
      <c r="F142" s="666">
        <v>6</v>
      </c>
      <c r="G142" s="636"/>
      <c r="H142" s="636"/>
      <c r="J142" s="666">
        <v>6</v>
      </c>
      <c r="K142" s="636"/>
      <c r="L142" s="636"/>
      <c r="M142" s="649"/>
      <c r="N142" s="666">
        <v>6</v>
      </c>
      <c r="O142" s="636"/>
      <c r="P142" s="636"/>
      <c r="T142" s="679"/>
      <c r="U142" s="680"/>
      <c r="AC142" s="218"/>
      <c r="AH142" s="218"/>
    </row>
    <row r="143" spans="1:34" ht="32.25" customHeight="1" x14ac:dyDescent="0.25">
      <c r="A143" s="666">
        <v>5</v>
      </c>
      <c r="B143" s="636"/>
      <c r="C143" s="636"/>
      <c r="D143" s="649"/>
      <c r="F143" s="666">
        <v>5</v>
      </c>
      <c r="G143" s="636"/>
      <c r="H143" s="636"/>
      <c r="J143" s="666">
        <v>5</v>
      </c>
      <c r="K143" s="636"/>
      <c r="L143" s="636"/>
      <c r="M143" s="649"/>
      <c r="N143" s="666">
        <v>5</v>
      </c>
      <c r="O143" s="636"/>
      <c r="P143" s="636"/>
      <c r="U143" s="520"/>
      <c r="AC143" s="218"/>
      <c r="AH143" s="218"/>
    </row>
    <row r="144" spans="1:34" ht="32.25" customHeight="1" x14ac:dyDescent="0.25">
      <c r="A144" s="666">
        <v>4</v>
      </c>
      <c r="B144" s="636"/>
      <c r="C144" s="636"/>
      <c r="D144" s="649"/>
      <c r="F144" s="666">
        <v>4</v>
      </c>
      <c r="G144" s="636"/>
      <c r="H144" s="636"/>
      <c r="J144" s="666">
        <v>4</v>
      </c>
      <c r="K144" s="636"/>
      <c r="L144" s="636"/>
      <c r="M144" s="649"/>
      <c r="N144" s="666">
        <v>4</v>
      </c>
      <c r="O144" s="636"/>
      <c r="P144" s="636"/>
      <c r="U144" s="520"/>
      <c r="AC144" s="218"/>
      <c r="AH144" s="218"/>
    </row>
    <row r="145" spans="1:34" ht="32.25" customHeight="1" x14ac:dyDescent="0.25">
      <c r="A145" s="666">
        <v>3</v>
      </c>
      <c r="B145" s="636"/>
      <c r="C145" s="636"/>
      <c r="D145" s="649"/>
      <c r="F145" s="666">
        <v>3</v>
      </c>
      <c r="G145" s="636"/>
      <c r="H145" s="636"/>
      <c r="J145" s="666">
        <v>3</v>
      </c>
      <c r="K145" s="636"/>
      <c r="L145" s="636"/>
      <c r="M145" s="649"/>
      <c r="N145" s="666">
        <v>3</v>
      </c>
      <c r="O145" s="636"/>
      <c r="P145" s="636"/>
      <c r="U145" s="520"/>
      <c r="AC145" s="218"/>
      <c r="AH145" s="218"/>
    </row>
    <row r="146" spans="1:34" ht="32.25" customHeight="1" x14ac:dyDescent="0.25">
      <c r="A146" s="666">
        <v>2</v>
      </c>
      <c r="B146" s="636"/>
      <c r="C146" s="636"/>
      <c r="D146" s="649"/>
      <c r="F146" s="666">
        <v>2</v>
      </c>
      <c r="G146" s="636"/>
      <c r="H146" s="636"/>
      <c r="J146" s="666">
        <v>2</v>
      </c>
      <c r="K146" s="636"/>
      <c r="L146" s="636"/>
      <c r="M146" s="649"/>
      <c r="N146" s="666">
        <v>2</v>
      </c>
      <c r="O146" s="636"/>
      <c r="P146" s="636"/>
      <c r="U146" s="520"/>
      <c r="AC146" s="218"/>
      <c r="AH146" s="218"/>
    </row>
    <row r="147" spans="1:34" ht="32.25" customHeight="1" x14ac:dyDescent="0.25">
      <c r="A147" s="666">
        <v>1</v>
      </c>
      <c r="B147" s="636"/>
      <c r="C147" s="636"/>
      <c r="D147" s="649"/>
      <c r="F147" s="666">
        <v>1</v>
      </c>
      <c r="G147" s="636"/>
      <c r="H147" s="636"/>
      <c r="J147" s="666">
        <v>1</v>
      </c>
      <c r="K147" s="636"/>
      <c r="L147" s="636"/>
      <c r="M147" s="649"/>
      <c r="N147" s="666">
        <v>1</v>
      </c>
      <c r="O147" s="636"/>
      <c r="P147" s="636"/>
      <c r="U147" s="520"/>
      <c r="AC147" s="218"/>
      <c r="AH147" s="218"/>
    </row>
    <row r="148" spans="1:34" ht="32.25" customHeight="1" x14ac:dyDescent="0.25">
      <c r="A148" s="666" t="s">
        <v>982</v>
      </c>
      <c r="B148" s="636"/>
      <c r="C148" s="636"/>
      <c r="D148" s="649"/>
      <c r="F148" s="666" t="s">
        <v>982</v>
      </c>
      <c r="G148" s="636"/>
      <c r="H148" s="636"/>
      <c r="J148" s="666" t="s">
        <v>982</v>
      </c>
      <c r="K148" s="636"/>
      <c r="L148" s="636"/>
      <c r="M148" s="649"/>
      <c r="N148" s="666" t="s">
        <v>982</v>
      </c>
      <c r="O148" s="636"/>
      <c r="P148" s="636"/>
      <c r="U148" s="520"/>
      <c r="AC148" s="218"/>
      <c r="AH148" s="218"/>
    </row>
    <row r="149" spans="1:34" ht="32.25" customHeight="1" x14ac:dyDescent="0.25">
      <c r="A149" s="629" t="s">
        <v>981</v>
      </c>
      <c r="B149" s="650"/>
      <c r="C149" s="651" t="s">
        <v>996</v>
      </c>
      <c r="D149" s="649"/>
      <c r="F149" s="629" t="s">
        <v>981</v>
      </c>
      <c r="G149" s="650"/>
      <c r="H149" s="651" t="s">
        <v>996</v>
      </c>
      <c r="J149" s="629" t="s">
        <v>981</v>
      </c>
      <c r="K149" s="650"/>
      <c r="L149" s="651" t="s">
        <v>996</v>
      </c>
      <c r="M149" s="649"/>
      <c r="N149" s="629" t="s">
        <v>981</v>
      </c>
      <c r="O149" s="650"/>
      <c r="P149" s="651" t="s">
        <v>996</v>
      </c>
      <c r="Q149" s="649"/>
      <c r="U149" s="520"/>
      <c r="AC149" s="218"/>
      <c r="AH149" s="218"/>
    </row>
    <row r="150" spans="1:34" ht="32.25" customHeight="1" thickBot="1" x14ac:dyDescent="0.3">
      <c r="A150" s="649"/>
      <c r="B150" s="629" t="s">
        <v>983</v>
      </c>
      <c r="C150" s="665"/>
      <c r="D150" s="649"/>
      <c r="F150" s="637" t="s">
        <v>985</v>
      </c>
      <c r="G150" s="629" t="s">
        <v>983</v>
      </c>
      <c r="H150" s="636"/>
      <c r="J150" s="637" t="s">
        <v>985</v>
      </c>
      <c r="K150" s="629" t="s">
        <v>983</v>
      </c>
      <c r="L150" s="636"/>
      <c r="M150" s="649"/>
      <c r="N150" s="637" t="s">
        <v>985</v>
      </c>
      <c r="O150" s="629" t="s">
        <v>983</v>
      </c>
      <c r="P150" s="636"/>
      <c r="Q150" s="649"/>
      <c r="U150" s="520"/>
      <c r="AC150" s="218"/>
      <c r="AH150" s="218"/>
    </row>
    <row r="151" spans="1:34" ht="41.25" customHeight="1" thickBot="1" x14ac:dyDescent="0.3">
      <c r="A151" s="1114" t="s">
        <v>1001</v>
      </c>
      <c r="B151" s="1114"/>
      <c r="C151" s="734">
        <f ca="1">VLOOKUP(A129&amp;F129,PTS_SP,2,FALSE)</f>
        <v>0</v>
      </c>
      <c r="D151" s="649"/>
      <c r="F151" s="1115" t="s">
        <v>986</v>
      </c>
      <c r="G151" s="1116"/>
      <c r="H151" s="636"/>
      <c r="I151" s="1115" t="s">
        <v>986</v>
      </c>
      <c r="J151" s="1115"/>
      <c r="K151" s="636"/>
      <c r="L151" s="649"/>
      <c r="O151" s="634" t="s">
        <v>987</v>
      </c>
      <c r="P151" s="636"/>
      <c r="Q151" s="649"/>
      <c r="U151" s="520"/>
      <c r="AC151" s="218"/>
      <c r="AH151" s="218"/>
    </row>
    <row r="152" spans="1:34" ht="47.25" customHeight="1" thickBot="1" x14ac:dyDescent="0.3">
      <c r="A152" s="1115" t="s">
        <v>986</v>
      </c>
      <c r="B152" s="1116"/>
      <c r="C152" s="644"/>
      <c r="D152" s="649"/>
      <c r="E152" s="649"/>
      <c r="F152" s="649"/>
      <c r="G152" s="649"/>
      <c r="H152" s="649"/>
      <c r="I152" s="649"/>
      <c r="J152" s="649"/>
      <c r="K152" s="649"/>
      <c r="L152" s="649"/>
      <c r="N152" s="634"/>
      <c r="O152" s="634" t="s">
        <v>997</v>
      </c>
      <c r="P152" s="673"/>
      <c r="Q152" s="674"/>
      <c r="R152" s="663" t="s">
        <v>998</v>
      </c>
      <c r="U152" s="520"/>
      <c r="AC152" s="218"/>
      <c r="AH152" s="218"/>
    </row>
    <row r="153" spans="1:34" ht="36" customHeight="1" thickBot="1" x14ac:dyDescent="0.3">
      <c r="A153" s="649"/>
      <c r="B153" s="649"/>
      <c r="C153" s="649"/>
      <c r="D153" s="649"/>
      <c r="E153" s="672" t="s">
        <v>1002</v>
      </c>
      <c r="F153" s="667"/>
      <c r="G153" s="667"/>
      <c r="H153" s="668"/>
      <c r="I153" s="649"/>
      <c r="J153" s="672" t="s">
        <v>1003</v>
      </c>
      <c r="K153" s="667"/>
      <c r="L153" s="667"/>
      <c r="M153" s="668"/>
      <c r="O153" s="675" t="s">
        <v>1004</v>
      </c>
      <c r="P153" s="676" t="s">
        <v>999</v>
      </c>
      <c r="Q153" s="677" t="s">
        <v>1000</v>
      </c>
      <c r="R153" s="649"/>
      <c r="U153" s="520"/>
      <c r="AC153" s="218"/>
      <c r="AH153" s="218"/>
    </row>
    <row r="154" spans="1:34" ht="36" customHeight="1" thickBot="1" x14ac:dyDescent="0.25">
      <c r="E154" s="669"/>
      <c r="F154" s="670"/>
      <c r="G154" s="670"/>
      <c r="H154" s="671"/>
      <c r="J154" s="669"/>
      <c r="K154" s="670"/>
      <c r="L154" s="670"/>
      <c r="M154" s="671"/>
      <c r="U154" s="520"/>
      <c r="AA154" s="679"/>
      <c r="AB154" s="679"/>
      <c r="AC154" s="218"/>
      <c r="AH154" s="218"/>
    </row>
    <row r="155" spans="1:34" s="218" customFormat="1" ht="23.25" customHeight="1" x14ac:dyDescent="0.2">
      <c r="A155" s="217"/>
      <c r="B155" s="217"/>
      <c r="C155" s="217"/>
      <c r="D155" s="217"/>
      <c r="E155" s="217"/>
      <c r="F155" s="217"/>
      <c r="G155" s="217"/>
      <c r="H155" s="217"/>
      <c r="I155" s="217"/>
      <c r="J155" s="217"/>
      <c r="K155" s="217"/>
      <c r="L155" s="217"/>
      <c r="M155" s="217"/>
      <c r="N155" s="684"/>
      <c r="O155" s="684"/>
      <c r="P155" s="684"/>
      <c r="Q155" s="684"/>
      <c r="R155" s="217"/>
      <c r="S155" s="217"/>
      <c r="T155" s="217"/>
      <c r="U155" s="520"/>
      <c r="V155" s="679"/>
      <c r="W155" s="679"/>
      <c r="X155" s="679"/>
      <c r="Y155" s="679"/>
      <c r="Z155" s="679"/>
      <c r="AA155" s="662"/>
      <c r="AB155" s="662"/>
      <c r="AD155" s="217"/>
      <c r="AE155" s="217"/>
      <c r="AF155" s="217"/>
      <c r="AG155" s="217"/>
    </row>
    <row r="156" spans="1:34" ht="19.5" customHeight="1" thickBot="1" x14ac:dyDescent="0.25">
      <c r="M156" s="500"/>
      <c r="N156" s="520" t="str">
        <f ca="1">INDIRECT("AE"&amp;O156)</f>
        <v>Collège Charles DelaunayLusigny-sur-Barse</v>
      </c>
      <c r="O156" s="500">
        <f>P157+2</f>
        <v>8</v>
      </c>
      <c r="P156" s="501" t="str">
        <f ca="1">INDIRECT("AF"&amp;O156)</f>
        <v>Collège le RéflessoirBléré</v>
      </c>
      <c r="Q156" s="500"/>
      <c r="R156" s="500"/>
      <c r="T156" s="679"/>
      <c r="U156" s="679"/>
      <c r="V156" s="679"/>
      <c r="W156" s="679"/>
      <c r="X156" s="679"/>
      <c r="Y156" s="679"/>
      <c r="Z156" s="679"/>
      <c r="AA156" s="679"/>
      <c r="AB156" s="679"/>
      <c r="AC156" s="218"/>
      <c r="AH156" s="218"/>
    </row>
    <row r="157" spans="1:34" s="218" customFormat="1" ht="36" thickBot="1" x14ac:dyDescent="0.25">
      <c r="A157" s="576" t="s">
        <v>546</v>
      </c>
      <c r="B157" s="402" t="str">
        <f>B126</f>
        <v>D3</v>
      </c>
      <c r="D157" s="661" t="s">
        <v>628</v>
      </c>
      <c r="E157" s="660">
        <f ca="1">INDIRECT("AD"&amp;O156)</f>
        <v>3</v>
      </c>
      <c r="F157" s="705" t="str">
        <f>"   "&amp;Championnat</f>
        <v xml:space="preserve">   Championnat de France de Tir à l'ARC</v>
      </c>
      <c r="O157" s="502" t="s">
        <v>849</v>
      </c>
      <c r="P157" s="503">
        <f>P126+1</f>
        <v>6</v>
      </c>
      <c r="R157" s="254"/>
      <c r="S157" s="254"/>
      <c r="T157" s="681"/>
      <c r="U157" s="680"/>
      <c r="V157" s="681"/>
      <c r="X157" s="662"/>
      <c r="Y157" s="662"/>
      <c r="Z157" s="662"/>
      <c r="AA157" s="662"/>
      <c r="AB157" s="662"/>
      <c r="AD157" s="217"/>
      <c r="AE157" s="217"/>
      <c r="AF157" s="217"/>
      <c r="AG157" s="217"/>
    </row>
    <row r="158" spans="1:34" ht="35.25" x14ac:dyDescent="0.2">
      <c r="A158" s="706" t="str">
        <f>CATEG_IMPORTEE</f>
        <v>Collèges Mixtes Etablissement</v>
      </c>
      <c r="J158" s="592" t="str">
        <f>LIEU&amp;" du "&amp;DATE</f>
        <v>L’Isle sur la Sorgue du 27 au 31 mars 2023</v>
      </c>
      <c r="R158" s="254"/>
      <c r="S158" s="254"/>
      <c r="T158" s="681"/>
      <c r="U158" s="680"/>
      <c r="V158" s="681"/>
      <c r="W158" s="679"/>
      <c r="X158" s="679"/>
      <c r="Y158" s="679"/>
      <c r="Z158" s="679"/>
      <c r="AA158" s="679"/>
      <c r="AB158" s="679"/>
      <c r="AC158" s="218"/>
      <c r="AH158" s="218"/>
    </row>
    <row r="159" spans="1:34" ht="24" customHeight="1" thickBot="1" x14ac:dyDescent="0.25">
      <c r="A159" s="648" t="s">
        <v>0</v>
      </c>
      <c r="B159" s="648"/>
      <c r="C159" s="648"/>
      <c r="D159" s="648"/>
      <c r="F159" s="1124" t="s">
        <v>1006</v>
      </c>
      <c r="G159" s="1125"/>
      <c r="H159" s="1125"/>
      <c r="J159" s="648" t="s">
        <v>0</v>
      </c>
      <c r="O159" s="1093" t="s">
        <v>1005</v>
      </c>
      <c r="P159" s="1093"/>
      <c r="R159" s="254"/>
      <c r="S159" s="254"/>
      <c r="T159" s="681"/>
      <c r="U159" s="680"/>
      <c r="V159" s="681"/>
      <c r="W159" s="679"/>
      <c r="X159" s="679"/>
      <c r="Y159" s="679"/>
      <c r="Z159" s="679"/>
      <c r="AA159" s="679"/>
      <c r="AB159" s="679"/>
      <c r="AC159" s="218"/>
      <c r="AH159" s="218"/>
    </row>
    <row r="160" spans="1:34" ht="23.25" customHeight="1" thickBot="1" x14ac:dyDescent="0.25">
      <c r="A160" s="657" t="str">
        <f ca="1">IFERROR(VLOOKUP(N156,Num_AS,2,FALSE),"")</f>
        <v/>
      </c>
      <c r="B160" s="658"/>
      <c r="C160" s="658"/>
      <c r="D160" s="658"/>
      <c r="E160" s="658"/>
      <c r="F160" s="1117" t="str">
        <f ca="1">IFERROR(VLOOKUP(N156,Num_AS,3,FALSE),"")</f>
        <v/>
      </c>
      <c r="G160" s="1118"/>
      <c r="H160" s="1119"/>
      <c r="I160" s="219" t="s">
        <v>547</v>
      </c>
      <c r="J160" s="678" t="str">
        <f ca="1">IFERROR(VLOOKUP(P156,Num_AS,2,FALSE),"")</f>
        <v/>
      </c>
      <c r="K160" s="664"/>
      <c r="L160" s="664"/>
      <c r="M160" s="664"/>
      <c r="N160" s="1120" t="str">
        <f ca="1">IFERROR(VLOOKUP(P156,Num_AS,3,FALSE),"")</f>
        <v/>
      </c>
      <c r="O160" s="1121"/>
      <c r="P160" s="1122"/>
      <c r="R160" s="254"/>
      <c r="S160" s="254"/>
      <c r="T160" s="681"/>
      <c r="U160" s="680"/>
      <c r="V160" s="681"/>
      <c r="W160" s="679"/>
      <c r="X160" s="679"/>
      <c r="Y160" s="679"/>
      <c r="Z160" s="679"/>
      <c r="AA160" s="679"/>
      <c r="AB160" s="679"/>
      <c r="AC160" s="218"/>
      <c r="AH160" s="218"/>
    </row>
    <row r="161" spans="1:34" ht="20.100000000000001" customHeight="1" thickBot="1" x14ac:dyDescent="0.25">
      <c r="E161" s="219"/>
      <c r="F161" s="1107" t="str">
        <f ca="1">IFERROR(VLOOKUP(N156,Num_AS,4,FALSE),"")</f>
        <v/>
      </c>
      <c r="G161" s="1108"/>
      <c r="H161" s="1109"/>
      <c r="N161" s="1110" t="str">
        <f ca="1">IFERROR(VLOOKUP(P156,Num_AS,4,FALSE),"")</f>
        <v/>
      </c>
      <c r="O161" s="1111"/>
      <c r="P161" s="1112"/>
      <c r="R161" s="254"/>
      <c r="S161" s="254"/>
      <c r="T161" s="681"/>
      <c r="U161" s="680"/>
      <c r="V161" s="681"/>
      <c r="W161" s="679"/>
      <c r="X161" s="679"/>
      <c r="Y161" s="679"/>
      <c r="Z161" s="679"/>
      <c r="AA161" s="679"/>
      <c r="AB161" s="679"/>
      <c r="AC161" s="218"/>
      <c r="AH161" s="218"/>
    </row>
    <row r="162" spans="1:34" ht="18" customHeight="1" thickBot="1" x14ac:dyDescent="0.25">
      <c r="A162" s="1123" t="s">
        <v>548</v>
      </c>
      <c r="B162" s="1123"/>
      <c r="C162" s="1123"/>
      <c r="D162" s="1123"/>
      <c r="E162" s="219"/>
      <c r="F162" s="219"/>
      <c r="G162" s="219"/>
      <c r="H162" s="219"/>
      <c r="I162" s="219"/>
      <c r="J162" s="219"/>
      <c r="K162" s="219"/>
      <c r="L162" s="219"/>
      <c r="M162" s="219"/>
      <c r="N162" s="219"/>
      <c r="O162" s="219"/>
      <c r="P162" s="219"/>
      <c r="R162" s="254"/>
      <c r="S162" s="254"/>
      <c r="T162" s="681"/>
      <c r="U162" s="680"/>
      <c r="V162" s="681"/>
      <c r="W162" s="679"/>
      <c r="X162" s="679"/>
      <c r="Y162" s="679"/>
      <c r="Z162" s="679"/>
      <c r="AA162" s="679"/>
      <c r="AB162" s="679"/>
      <c r="AC162" s="218"/>
      <c r="AH162" s="218"/>
    </row>
    <row r="163" spans="1:34" ht="24" customHeight="1" thickTop="1" thickBot="1" x14ac:dyDescent="0.25">
      <c r="A163" s="1126" t="s">
        <v>549</v>
      </c>
      <c r="B163" s="1127"/>
      <c r="C163" s="1127"/>
      <c r="D163" s="1128"/>
      <c r="E163" s="685" t="s">
        <v>480</v>
      </c>
      <c r="F163" s="685" t="s">
        <v>550</v>
      </c>
      <c r="G163" s="686" t="s">
        <v>551</v>
      </c>
      <c r="H163" s="687" t="s">
        <v>779</v>
      </c>
      <c r="J163" s="702" t="s">
        <v>549</v>
      </c>
      <c r="K163" s="703"/>
      <c r="L163" s="703"/>
      <c r="M163" s="704"/>
      <c r="N163" s="685" t="s">
        <v>480</v>
      </c>
      <c r="O163" s="685" t="s">
        <v>550</v>
      </c>
      <c r="P163" s="686" t="s">
        <v>551</v>
      </c>
      <c r="Q163" s="687" t="s">
        <v>779</v>
      </c>
      <c r="R163" s="254"/>
      <c r="S163" s="254"/>
      <c r="T163" s="681"/>
      <c r="U163" s="680"/>
      <c r="V163" s="681"/>
      <c r="W163" s="679"/>
      <c r="X163" s="679"/>
      <c r="Y163" s="679"/>
      <c r="Z163" s="679"/>
      <c r="AA163" s="679"/>
      <c r="AB163" s="679"/>
      <c r="AC163" s="218"/>
      <c r="AH163" s="218"/>
    </row>
    <row r="164" spans="1:34" ht="24.75" customHeight="1" x14ac:dyDescent="0.2">
      <c r="A164" s="659" t="str">
        <f ca="1">IFERROR(VLOOKUP(N156,Num_AS,6,FALSE),"")</f>
        <v/>
      </c>
      <c r="B164" s="588"/>
      <c r="C164" s="653" t="str">
        <f ca="1">IFERROR(VLOOKUP(N156,Num_AS,7,FALSE),"")</f>
        <v/>
      </c>
      <c r="D164" s="652"/>
      <c r="E164" s="654" t="str">
        <f ca="1">IFERROR(VLOOKUP(N156,Num_AS,10,FALSE),"")</f>
        <v/>
      </c>
      <c r="F164" s="654" t="str">
        <f ca="1">IFERROR(VLOOKUP(N156,Num_AS,9,FALSE),"")</f>
        <v/>
      </c>
      <c r="G164" s="655" t="str">
        <f ca="1">IFERROR(VLOOKUP(N156,Num_AS,11,FALSE),"")</f>
        <v/>
      </c>
      <c r="H164" s="688">
        <f ca="1">E157</f>
        <v>3</v>
      </c>
      <c r="J164" s="659" t="str">
        <f ca="1">IFERROR(VLOOKUP(N156,Num_AS,18,FALSE),"")</f>
        <v/>
      </c>
      <c r="K164" s="588"/>
      <c r="L164" s="653" t="str">
        <f ca="1">IFERROR(VLOOKUP(N156,Num_AS,19,FALSE),"")</f>
        <v/>
      </c>
      <c r="M164" s="647"/>
      <c r="N164" s="656" t="str">
        <f ca="1">IFERROR(VLOOKUP(N156,Num_AS,22,FALSE),"")</f>
        <v/>
      </c>
      <c r="O164" s="654" t="str">
        <f ca="1">IFERROR(VLOOKUP(N156,Num_AS,21,FALSE),"")</f>
        <v/>
      </c>
      <c r="P164" s="682" t="str">
        <f ca="1">IFERROR(VLOOKUP(N156,Num_AS,23,FALSE),"")</f>
        <v/>
      </c>
      <c r="Q164" s="688">
        <f ca="1">E157</f>
        <v>3</v>
      </c>
      <c r="R164" s="254"/>
      <c r="S164" s="254"/>
      <c r="T164" s="681"/>
      <c r="U164" s="680"/>
      <c r="V164" s="681"/>
      <c r="W164" s="679"/>
      <c r="X164" s="679"/>
      <c r="Y164" s="679"/>
      <c r="Z164" s="679"/>
      <c r="AA164" s="679"/>
      <c r="AB164" s="679"/>
      <c r="AC164" s="218"/>
      <c r="AH164" s="218"/>
    </row>
    <row r="165" spans="1:34" ht="24.75" customHeight="1" thickBot="1" x14ac:dyDescent="0.25">
      <c r="A165" s="689" t="str">
        <f ca="1">IFERROR(VLOOKUP(N156,Num_AS,12,FALSE),"")</f>
        <v/>
      </c>
      <c r="B165" s="690"/>
      <c r="C165" s="691" t="str">
        <f ca="1">IFERROR(VLOOKUP(N156,Num_AS,13,FALSE),"")</f>
        <v/>
      </c>
      <c r="D165" s="692"/>
      <c r="E165" s="693" t="str">
        <f ca="1">IFERROR(VLOOKUP(N156,Num_AS,16,FALSE),"")</f>
        <v/>
      </c>
      <c r="F165" s="694" t="str">
        <f ca="1">IFERROR(VLOOKUP(N156,Num_AS,15,FALSE),"")</f>
        <v/>
      </c>
      <c r="G165" s="695" t="str">
        <f ca="1">IFERROR(VLOOKUP(N156,Num_AS,17,FALSE),"")</f>
        <v/>
      </c>
      <c r="H165" s="700">
        <f ca="1">E157</f>
        <v>3</v>
      </c>
      <c r="J165" s="689" t="str">
        <f ca="1">IFERROR(VLOOKUP(N156,Num_AS,24,FALSE),"")</f>
        <v/>
      </c>
      <c r="K165" s="690"/>
      <c r="L165" s="691" t="str">
        <f ca="1">IFERROR(VLOOKUP(N156,Num_AS,25,FALSE),"")</f>
        <v/>
      </c>
      <c r="M165" s="697"/>
      <c r="N165" s="698" t="str">
        <f ca="1">IFERROR(VLOOKUP(N156,Num_AS,28,FALSE),"")</f>
        <v/>
      </c>
      <c r="O165" s="694" t="str">
        <f ca="1">IFERROR(VLOOKUP(N156,Num_AS,27,FALSE),"")</f>
        <v/>
      </c>
      <c r="P165" s="699" t="str">
        <f ca="1">IFERROR(VLOOKUP(N156,Num_AS,29,FALSE),"")</f>
        <v/>
      </c>
      <c r="Q165" s="700">
        <f ca="1">E157</f>
        <v>3</v>
      </c>
      <c r="R165" s="254"/>
      <c r="S165" s="254"/>
      <c r="T165" s="681"/>
      <c r="U165" s="680"/>
      <c r="V165" s="681"/>
      <c r="W165" s="681"/>
      <c r="X165" s="681"/>
      <c r="Y165" s="681"/>
      <c r="Z165" s="679"/>
      <c r="AA165" s="679"/>
      <c r="AB165" s="679"/>
      <c r="AC165" s="218"/>
      <c r="AH165" s="218"/>
    </row>
    <row r="166" spans="1:34" ht="12.75" customHeight="1" thickTop="1" x14ac:dyDescent="0.2">
      <c r="A166" s="701"/>
      <c r="B166" s="249"/>
      <c r="C166" s="701"/>
      <c r="D166" s="701"/>
      <c r="E166" s="196"/>
      <c r="F166" s="196"/>
      <c r="G166" s="249"/>
      <c r="H166" s="219"/>
      <c r="I166" s="701"/>
      <c r="J166" s="249"/>
      <c r="K166" s="701"/>
      <c r="L166" s="249"/>
      <c r="M166" s="196"/>
      <c r="N166" s="196"/>
      <c r="O166" s="249"/>
      <c r="P166" s="219"/>
      <c r="R166" s="254"/>
      <c r="S166" s="254"/>
      <c r="T166" s="681"/>
      <c r="U166" s="680"/>
      <c r="V166" s="681"/>
      <c r="W166" s="681"/>
      <c r="X166" s="681"/>
      <c r="Y166" s="681"/>
      <c r="Z166" s="679"/>
      <c r="AA166" s="679"/>
      <c r="AB166" s="679"/>
      <c r="AC166" s="218"/>
      <c r="AH166" s="218"/>
    </row>
    <row r="167" spans="1:34" ht="37.5" customHeight="1" x14ac:dyDescent="0.2">
      <c r="A167" s="1113" t="s">
        <v>909</v>
      </c>
      <c r="B167" s="1113"/>
      <c r="C167" s="1113"/>
      <c r="F167" s="1113" t="s">
        <v>910</v>
      </c>
      <c r="G167" s="1113"/>
      <c r="H167" s="1113"/>
      <c r="J167" s="1113" t="s">
        <v>911</v>
      </c>
      <c r="K167" s="1113"/>
      <c r="L167" s="1113"/>
      <c r="N167" s="1113" t="s">
        <v>912</v>
      </c>
      <c r="O167" s="1113"/>
      <c r="P167" s="1113"/>
      <c r="R167" s="254"/>
      <c r="S167" s="254"/>
      <c r="T167" s="681"/>
      <c r="U167" s="680"/>
      <c r="V167" s="679"/>
      <c r="W167" s="679"/>
      <c r="X167" s="679"/>
      <c r="Y167" s="679"/>
      <c r="Z167" s="679"/>
      <c r="AA167" s="679"/>
      <c r="AB167" s="679"/>
      <c r="AC167" s="218"/>
      <c r="AH167" s="218"/>
    </row>
    <row r="168" spans="1:34" ht="37.5" customHeight="1" x14ac:dyDescent="0.25">
      <c r="A168" s="629" t="s">
        <v>980</v>
      </c>
      <c r="B168" s="629" t="s">
        <v>981</v>
      </c>
      <c r="C168" s="636" t="s">
        <v>780</v>
      </c>
      <c r="D168" s="649"/>
      <c r="F168" s="629" t="s">
        <v>980</v>
      </c>
      <c r="G168" s="629" t="s">
        <v>981</v>
      </c>
      <c r="H168" s="636" t="s">
        <v>780</v>
      </c>
      <c r="J168" s="629" t="s">
        <v>980</v>
      </c>
      <c r="K168" s="629" t="s">
        <v>981</v>
      </c>
      <c r="L168" s="636" t="s">
        <v>780</v>
      </c>
      <c r="M168" s="649"/>
      <c r="N168" s="629" t="s">
        <v>980</v>
      </c>
      <c r="O168" s="629" t="s">
        <v>981</v>
      </c>
      <c r="P168" s="636" t="s">
        <v>780</v>
      </c>
      <c r="T168" s="679"/>
      <c r="U168" s="680"/>
      <c r="V168" s="679"/>
      <c r="W168" s="679"/>
      <c r="X168" s="679"/>
      <c r="Y168" s="679"/>
      <c r="Z168" s="679"/>
      <c r="AA168" s="679"/>
      <c r="AB168" s="679"/>
      <c r="AC168" s="218"/>
      <c r="AH168" s="218"/>
    </row>
    <row r="169" spans="1:34" ht="32.25" customHeight="1" x14ac:dyDescent="0.25">
      <c r="A169" s="666">
        <v>10</v>
      </c>
      <c r="B169" s="636"/>
      <c r="C169" s="636"/>
      <c r="D169" s="649"/>
      <c r="F169" s="666">
        <v>10</v>
      </c>
      <c r="G169" s="636"/>
      <c r="H169" s="636"/>
      <c r="J169" s="666">
        <v>10</v>
      </c>
      <c r="K169" s="636"/>
      <c r="L169" s="636"/>
      <c r="M169" s="649"/>
      <c r="N169" s="666">
        <v>10</v>
      </c>
      <c r="O169" s="636"/>
      <c r="P169" s="636"/>
      <c r="T169" s="679"/>
      <c r="U169" s="680"/>
      <c r="V169" s="679"/>
      <c r="W169" s="679"/>
      <c r="X169" s="679"/>
      <c r="Y169" s="679"/>
      <c r="Z169" s="679"/>
      <c r="AA169" s="679"/>
      <c r="AB169" s="679"/>
      <c r="AC169" s="218"/>
      <c r="AH169" s="218"/>
    </row>
    <row r="170" spans="1:34" ht="32.25" customHeight="1" x14ac:dyDescent="0.25">
      <c r="A170" s="666">
        <v>9</v>
      </c>
      <c r="B170" s="636"/>
      <c r="C170" s="636"/>
      <c r="D170" s="649"/>
      <c r="F170" s="666">
        <v>9</v>
      </c>
      <c r="G170" s="636"/>
      <c r="H170" s="636"/>
      <c r="J170" s="666">
        <v>9</v>
      </c>
      <c r="K170" s="636"/>
      <c r="L170" s="636"/>
      <c r="M170" s="649"/>
      <c r="N170" s="666">
        <v>9</v>
      </c>
      <c r="O170" s="636"/>
      <c r="P170" s="636"/>
      <c r="T170" s="679"/>
      <c r="U170" s="680"/>
      <c r="V170" s="679"/>
      <c r="W170" s="679"/>
      <c r="X170" s="679"/>
      <c r="Y170" s="679"/>
      <c r="Z170" s="679"/>
      <c r="AA170" s="679"/>
      <c r="AB170" s="679"/>
      <c r="AC170" s="218"/>
      <c r="AH170" s="218"/>
    </row>
    <row r="171" spans="1:34" ht="32.25" customHeight="1" x14ac:dyDescent="0.25">
      <c r="A171" s="666">
        <v>8</v>
      </c>
      <c r="B171" s="636"/>
      <c r="C171" s="636"/>
      <c r="D171" s="649"/>
      <c r="F171" s="666">
        <v>8</v>
      </c>
      <c r="G171" s="636"/>
      <c r="H171" s="636"/>
      <c r="J171" s="666">
        <v>8</v>
      </c>
      <c r="K171" s="636"/>
      <c r="L171" s="636"/>
      <c r="M171" s="649"/>
      <c r="N171" s="666">
        <v>8</v>
      </c>
      <c r="O171" s="636"/>
      <c r="P171" s="636"/>
      <c r="T171" s="679"/>
      <c r="U171" s="680"/>
      <c r="V171" s="679"/>
      <c r="W171" s="679"/>
      <c r="X171" s="679"/>
      <c r="Y171" s="679"/>
      <c r="Z171" s="679"/>
      <c r="AA171" s="679"/>
      <c r="AB171" s="679"/>
      <c r="AC171" s="218"/>
      <c r="AH171" s="218"/>
    </row>
    <row r="172" spans="1:34" ht="32.25" customHeight="1" x14ac:dyDescent="0.25">
      <c r="A172" s="666">
        <v>7</v>
      </c>
      <c r="B172" s="636"/>
      <c r="C172" s="636"/>
      <c r="D172" s="649"/>
      <c r="F172" s="666">
        <v>7</v>
      </c>
      <c r="G172" s="636"/>
      <c r="H172" s="636"/>
      <c r="J172" s="666">
        <v>7</v>
      </c>
      <c r="K172" s="636"/>
      <c r="L172" s="636"/>
      <c r="M172" s="649"/>
      <c r="N172" s="666">
        <v>7</v>
      </c>
      <c r="O172" s="636"/>
      <c r="P172" s="636"/>
      <c r="T172" s="679"/>
      <c r="U172" s="680"/>
      <c r="V172" s="679"/>
      <c r="W172" s="679"/>
      <c r="X172" s="679"/>
      <c r="Y172" s="679"/>
      <c r="Z172" s="679"/>
      <c r="AC172" s="218"/>
      <c r="AH172" s="218"/>
    </row>
    <row r="173" spans="1:34" ht="32.25" customHeight="1" x14ac:dyDescent="0.25">
      <c r="A173" s="666">
        <v>6</v>
      </c>
      <c r="B173" s="636"/>
      <c r="C173" s="636"/>
      <c r="D173" s="649"/>
      <c r="F173" s="666">
        <v>6</v>
      </c>
      <c r="G173" s="636"/>
      <c r="H173" s="636"/>
      <c r="J173" s="666">
        <v>6</v>
      </c>
      <c r="K173" s="636"/>
      <c r="L173" s="636"/>
      <c r="M173" s="649"/>
      <c r="N173" s="666">
        <v>6</v>
      </c>
      <c r="O173" s="636"/>
      <c r="P173" s="636"/>
      <c r="T173" s="679"/>
      <c r="U173" s="680"/>
      <c r="AC173" s="218"/>
      <c r="AH173" s="218"/>
    </row>
    <row r="174" spans="1:34" ht="32.25" customHeight="1" x14ac:dyDescent="0.25">
      <c r="A174" s="666">
        <v>5</v>
      </c>
      <c r="B174" s="636"/>
      <c r="C174" s="636"/>
      <c r="D174" s="649"/>
      <c r="F174" s="666">
        <v>5</v>
      </c>
      <c r="G174" s="636"/>
      <c r="H174" s="636"/>
      <c r="J174" s="666">
        <v>5</v>
      </c>
      <c r="K174" s="636"/>
      <c r="L174" s="636"/>
      <c r="M174" s="649"/>
      <c r="N174" s="666">
        <v>5</v>
      </c>
      <c r="O174" s="636"/>
      <c r="P174" s="636"/>
      <c r="U174" s="520"/>
      <c r="AC174" s="218"/>
      <c r="AH174" s="218"/>
    </row>
    <row r="175" spans="1:34" ht="32.25" customHeight="1" x14ac:dyDescent="0.25">
      <c r="A175" s="666">
        <v>4</v>
      </c>
      <c r="B175" s="636"/>
      <c r="C175" s="636"/>
      <c r="D175" s="649"/>
      <c r="F175" s="666">
        <v>4</v>
      </c>
      <c r="G175" s="636"/>
      <c r="H175" s="636"/>
      <c r="J175" s="666">
        <v>4</v>
      </c>
      <c r="K175" s="636"/>
      <c r="L175" s="636"/>
      <c r="M175" s="649"/>
      <c r="N175" s="666">
        <v>4</v>
      </c>
      <c r="O175" s="636"/>
      <c r="P175" s="636"/>
      <c r="U175" s="520"/>
      <c r="AC175" s="218"/>
      <c r="AH175" s="218"/>
    </row>
    <row r="176" spans="1:34" ht="32.25" customHeight="1" x14ac:dyDescent="0.25">
      <c r="A176" s="666">
        <v>3</v>
      </c>
      <c r="B176" s="636"/>
      <c r="C176" s="636"/>
      <c r="D176" s="649"/>
      <c r="F176" s="666">
        <v>3</v>
      </c>
      <c r="G176" s="636"/>
      <c r="H176" s="636"/>
      <c r="J176" s="666">
        <v>3</v>
      </c>
      <c r="K176" s="636"/>
      <c r="L176" s="636"/>
      <c r="M176" s="649"/>
      <c r="N176" s="666">
        <v>3</v>
      </c>
      <c r="O176" s="636"/>
      <c r="P176" s="636"/>
      <c r="U176" s="520"/>
      <c r="AC176" s="218"/>
      <c r="AH176" s="218"/>
    </row>
    <row r="177" spans="1:34" ht="32.25" customHeight="1" x14ac:dyDescent="0.25">
      <c r="A177" s="666">
        <v>2</v>
      </c>
      <c r="B177" s="636"/>
      <c r="C177" s="636"/>
      <c r="D177" s="649"/>
      <c r="F177" s="666">
        <v>2</v>
      </c>
      <c r="G177" s="636"/>
      <c r="H177" s="636"/>
      <c r="J177" s="666">
        <v>2</v>
      </c>
      <c r="K177" s="636"/>
      <c r="L177" s="636"/>
      <c r="M177" s="649"/>
      <c r="N177" s="666">
        <v>2</v>
      </c>
      <c r="O177" s="636"/>
      <c r="P177" s="636"/>
      <c r="U177" s="520"/>
      <c r="AC177" s="218"/>
      <c r="AH177" s="218"/>
    </row>
    <row r="178" spans="1:34" ht="32.25" customHeight="1" x14ac:dyDescent="0.25">
      <c r="A178" s="666">
        <v>1</v>
      </c>
      <c r="B178" s="636"/>
      <c r="C178" s="636"/>
      <c r="D178" s="649"/>
      <c r="F178" s="666">
        <v>1</v>
      </c>
      <c r="G178" s="636"/>
      <c r="H178" s="636"/>
      <c r="J178" s="666">
        <v>1</v>
      </c>
      <c r="K178" s="636"/>
      <c r="L178" s="636"/>
      <c r="M178" s="649"/>
      <c r="N178" s="666">
        <v>1</v>
      </c>
      <c r="O178" s="636"/>
      <c r="P178" s="636"/>
      <c r="U178" s="520"/>
      <c r="AC178" s="218"/>
      <c r="AH178" s="218"/>
    </row>
    <row r="179" spans="1:34" ht="32.25" customHeight="1" x14ac:dyDescent="0.25">
      <c r="A179" s="666" t="s">
        <v>982</v>
      </c>
      <c r="B179" s="636"/>
      <c r="C179" s="636"/>
      <c r="D179" s="649"/>
      <c r="F179" s="666" t="s">
        <v>982</v>
      </c>
      <c r="G179" s="636"/>
      <c r="H179" s="636"/>
      <c r="J179" s="666" t="s">
        <v>982</v>
      </c>
      <c r="K179" s="636"/>
      <c r="L179" s="636"/>
      <c r="M179" s="649"/>
      <c r="N179" s="666" t="s">
        <v>982</v>
      </c>
      <c r="O179" s="636"/>
      <c r="P179" s="636"/>
      <c r="U179" s="520"/>
      <c r="AC179" s="218"/>
      <c r="AH179" s="218"/>
    </row>
    <row r="180" spans="1:34" ht="32.25" customHeight="1" x14ac:dyDescent="0.25">
      <c r="A180" s="629" t="s">
        <v>981</v>
      </c>
      <c r="B180" s="650"/>
      <c r="C180" s="651" t="s">
        <v>996</v>
      </c>
      <c r="D180" s="649"/>
      <c r="F180" s="629" t="s">
        <v>981</v>
      </c>
      <c r="G180" s="650"/>
      <c r="H180" s="651" t="s">
        <v>996</v>
      </c>
      <c r="J180" s="629" t="s">
        <v>981</v>
      </c>
      <c r="K180" s="650"/>
      <c r="L180" s="651" t="s">
        <v>996</v>
      </c>
      <c r="M180" s="649"/>
      <c r="N180" s="629" t="s">
        <v>981</v>
      </c>
      <c r="O180" s="650"/>
      <c r="P180" s="651" t="s">
        <v>996</v>
      </c>
      <c r="Q180" s="649"/>
      <c r="U180" s="520"/>
      <c r="AC180" s="218"/>
      <c r="AH180" s="218"/>
    </row>
    <row r="181" spans="1:34" ht="32.25" customHeight="1" thickBot="1" x14ac:dyDescent="0.3">
      <c r="A181" s="649"/>
      <c r="B181" s="629" t="s">
        <v>983</v>
      </c>
      <c r="C181" s="665"/>
      <c r="D181" s="649"/>
      <c r="F181" s="637" t="s">
        <v>985</v>
      </c>
      <c r="G181" s="629" t="s">
        <v>983</v>
      </c>
      <c r="H181" s="636"/>
      <c r="J181" s="637" t="s">
        <v>985</v>
      </c>
      <c r="K181" s="629" t="s">
        <v>983</v>
      </c>
      <c r="L181" s="636"/>
      <c r="M181" s="649"/>
      <c r="N181" s="637" t="s">
        <v>985</v>
      </c>
      <c r="O181" s="629" t="s">
        <v>983</v>
      </c>
      <c r="P181" s="636"/>
      <c r="Q181" s="649"/>
      <c r="U181" s="520"/>
      <c r="AC181" s="218"/>
      <c r="AH181" s="218"/>
    </row>
    <row r="182" spans="1:34" ht="41.25" customHeight="1" thickBot="1" x14ac:dyDescent="0.3">
      <c r="A182" s="1114" t="s">
        <v>1001</v>
      </c>
      <c r="B182" s="1114"/>
      <c r="C182" s="734">
        <f ca="1">VLOOKUP(A160&amp;F160,PTS_SP,2,FALSE)</f>
        <v>0</v>
      </c>
      <c r="D182" s="649"/>
      <c r="F182" s="1115" t="s">
        <v>986</v>
      </c>
      <c r="G182" s="1116"/>
      <c r="H182" s="636"/>
      <c r="I182" s="1115" t="s">
        <v>986</v>
      </c>
      <c r="J182" s="1115"/>
      <c r="K182" s="636"/>
      <c r="L182" s="649"/>
      <c r="O182" s="634" t="s">
        <v>987</v>
      </c>
      <c r="P182" s="636"/>
      <c r="Q182" s="649"/>
      <c r="U182" s="520"/>
      <c r="AC182" s="218"/>
      <c r="AH182" s="218"/>
    </row>
    <row r="183" spans="1:34" ht="47.25" customHeight="1" thickBot="1" x14ac:dyDescent="0.3">
      <c r="A183" s="1115" t="s">
        <v>986</v>
      </c>
      <c r="B183" s="1116"/>
      <c r="C183" s="644"/>
      <c r="D183" s="649"/>
      <c r="E183" s="649"/>
      <c r="F183" s="649"/>
      <c r="G183" s="649"/>
      <c r="H183" s="649"/>
      <c r="I183" s="649"/>
      <c r="J183" s="649"/>
      <c r="K183" s="649"/>
      <c r="L183" s="649"/>
      <c r="N183" s="634"/>
      <c r="O183" s="634" t="s">
        <v>997</v>
      </c>
      <c r="P183" s="673"/>
      <c r="Q183" s="674"/>
      <c r="R183" s="663" t="s">
        <v>998</v>
      </c>
      <c r="U183" s="520"/>
      <c r="AC183" s="218"/>
      <c r="AH183" s="218"/>
    </row>
    <row r="184" spans="1:34" ht="36" customHeight="1" thickBot="1" x14ac:dyDescent="0.3">
      <c r="A184" s="649"/>
      <c r="B184" s="649"/>
      <c r="C184" s="649"/>
      <c r="D184" s="649"/>
      <c r="E184" s="672" t="s">
        <v>1002</v>
      </c>
      <c r="F184" s="667"/>
      <c r="G184" s="667"/>
      <c r="H184" s="668"/>
      <c r="I184" s="649"/>
      <c r="J184" s="672" t="s">
        <v>1003</v>
      </c>
      <c r="K184" s="667"/>
      <c r="L184" s="667"/>
      <c r="M184" s="668"/>
      <c r="O184" s="675" t="s">
        <v>1004</v>
      </c>
      <c r="P184" s="676" t="s">
        <v>999</v>
      </c>
      <c r="Q184" s="677" t="s">
        <v>1000</v>
      </c>
      <c r="R184" s="649"/>
      <c r="U184" s="520"/>
      <c r="AC184" s="218"/>
      <c r="AH184" s="218"/>
    </row>
    <row r="185" spans="1:34" ht="36" customHeight="1" thickBot="1" x14ac:dyDescent="0.25">
      <c r="E185" s="669"/>
      <c r="F185" s="670"/>
      <c r="G185" s="670"/>
      <c r="H185" s="671"/>
      <c r="J185" s="669"/>
      <c r="K185" s="670"/>
      <c r="L185" s="670"/>
      <c r="M185" s="671"/>
      <c r="U185" s="520"/>
      <c r="AA185" s="679"/>
      <c r="AB185" s="679"/>
      <c r="AC185" s="218"/>
      <c r="AH185" s="218"/>
    </row>
    <row r="186" spans="1:34" s="218" customFormat="1" ht="23.25" customHeight="1" x14ac:dyDescent="0.2">
      <c r="A186" s="217"/>
      <c r="B186" s="217"/>
      <c r="C186" s="217"/>
      <c r="D186" s="217"/>
      <c r="E186" s="217"/>
      <c r="F186" s="217"/>
      <c r="G186" s="217"/>
      <c r="H186" s="217"/>
      <c r="I186" s="217"/>
      <c r="J186" s="217"/>
      <c r="K186" s="217"/>
      <c r="L186" s="217"/>
      <c r="M186" s="217"/>
      <c r="N186" s="684"/>
      <c r="O186" s="684"/>
      <c r="P186" s="684"/>
      <c r="Q186" s="684"/>
      <c r="R186" s="217"/>
      <c r="S186" s="217"/>
      <c r="T186" s="217"/>
      <c r="U186" s="520"/>
      <c r="V186" s="679"/>
      <c r="W186" s="679"/>
      <c r="X186" s="679"/>
      <c r="Y186" s="679"/>
      <c r="Z186" s="679"/>
      <c r="AA186" s="662"/>
      <c r="AB186" s="662"/>
      <c r="AD186" s="217"/>
      <c r="AE186" s="217"/>
      <c r="AF186" s="217"/>
      <c r="AG186" s="217"/>
    </row>
    <row r="187" spans="1:34" ht="19.5" customHeight="1" thickBot="1" x14ac:dyDescent="0.25">
      <c r="M187" s="500"/>
      <c r="N187" s="520" t="str">
        <f ca="1">INDIRECT("AE"&amp;O187)</f>
        <v>Collège Pierre Mendès FranceVic-en-Bigorre</v>
      </c>
      <c r="O187" s="500">
        <f>P188+2</f>
        <v>9</v>
      </c>
      <c r="P187" s="501" t="str">
        <f ca="1">INDIRECT("AF"&amp;O187)</f>
        <v>Collège les MûriersLe Mans</v>
      </c>
      <c r="Q187" s="500"/>
      <c r="R187" s="500"/>
      <c r="T187" s="679"/>
      <c r="U187" s="679"/>
      <c r="V187" s="679"/>
      <c r="W187" s="679"/>
      <c r="X187" s="679"/>
      <c r="Y187" s="679"/>
      <c r="Z187" s="679"/>
      <c r="AA187" s="679"/>
      <c r="AB187" s="679"/>
      <c r="AC187" s="218"/>
      <c r="AH187" s="218"/>
    </row>
    <row r="188" spans="1:34" s="218" customFormat="1" ht="36" thickBot="1" x14ac:dyDescent="0.25">
      <c r="A188" s="576" t="s">
        <v>546</v>
      </c>
      <c r="B188" s="402" t="str">
        <f>B157</f>
        <v>D3</v>
      </c>
      <c r="D188" s="661" t="s">
        <v>628</v>
      </c>
      <c r="E188" s="660">
        <f ca="1">INDIRECT("AD"&amp;O187)</f>
        <v>4</v>
      </c>
      <c r="F188" s="705" t="str">
        <f>"   "&amp;Championnat</f>
        <v xml:space="preserve">   Championnat de France de Tir à l'ARC</v>
      </c>
      <c r="O188" s="502" t="s">
        <v>849</v>
      </c>
      <c r="P188" s="503">
        <f>P157+1</f>
        <v>7</v>
      </c>
      <c r="R188" s="254"/>
      <c r="S188" s="254"/>
      <c r="T188" s="681"/>
      <c r="U188" s="680"/>
      <c r="V188" s="681"/>
      <c r="X188" s="662"/>
      <c r="Y188" s="662"/>
      <c r="Z188" s="662"/>
      <c r="AA188" s="662"/>
      <c r="AB188" s="662"/>
      <c r="AD188" s="217"/>
      <c r="AE188" s="217"/>
      <c r="AF188" s="217"/>
      <c r="AG188" s="217"/>
    </row>
    <row r="189" spans="1:34" ht="35.25" x14ac:dyDescent="0.2">
      <c r="A189" s="706" t="str">
        <f>CATEG_IMPORTEE</f>
        <v>Collèges Mixtes Etablissement</v>
      </c>
      <c r="J189" s="592" t="str">
        <f>LIEU&amp;" du "&amp;DATE</f>
        <v>L’Isle sur la Sorgue du 27 au 31 mars 2023</v>
      </c>
      <c r="R189" s="254"/>
      <c r="S189" s="254"/>
      <c r="T189" s="681"/>
      <c r="U189" s="680"/>
      <c r="V189" s="681"/>
      <c r="W189" s="679"/>
      <c r="X189" s="679"/>
      <c r="Y189" s="679"/>
      <c r="Z189" s="679"/>
      <c r="AA189" s="679"/>
      <c r="AB189" s="679"/>
      <c r="AC189" s="218"/>
      <c r="AH189" s="218"/>
    </row>
    <row r="190" spans="1:34" ht="24" customHeight="1" thickBot="1" x14ac:dyDescent="0.25">
      <c r="A190" s="648" t="s">
        <v>0</v>
      </c>
      <c r="B190" s="648"/>
      <c r="C190" s="648"/>
      <c r="D190" s="648"/>
      <c r="F190" s="1124" t="s">
        <v>1006</v>
      </c>
      <c r="G190" s="1125"/>
      <c r="H190" s="1125"/>
      <c r="J190" s="648" t="s">
        <v>0</v>
      </c>
      <c r="O190" s="1093" t="s">
        <v>1005</v>
      </c>
      <c r="P190" s="1093"/>
      <c r="R190" s="254"/>
      <c r="S190" s="254"/>
      <c r="T190" s="681"/>
      <c r="U190" s="680"/>
      <c r="V190" s="681"/>
      <c r="W190" s="679"/>
      <c r="X190" s="679"/>
      <c r="Y190" s="679"/>
      <c r="Z190" s="679"/>
      <c r="AA190" s="679"/>
      <c r="AB190" s="679"/>
      <c r="AC190" s="218"/>
      <c r="AH190" s="218"/>
    </row>
    <row r="191" spans="1:34" ht="23.25" customHeight="1" thickBot="1" x14ac:dyDescent="0.25">
      <c r="A191" s="657" t="str">
        <f ca="1">IFERROR(VLOOKUP(N187,Num_AS,2,FALSE),"")</f>
        <v/>
      </c>
      <c r="B191" s="658"/>
      <c r="C191" s="658"/>
      <c r="D191" s="658"/>
      <c r="E191" s="658"/>
      <c r="F191" s="1117" t="str">
        <f ca="1">IFERROR(VLOOKUP(N187,Num_AS,3,FALSE),"")</f>
        <v/>
      </c>
      <c r="G191" s="1118"/>
      <c r="H191" s="1119"/>
      <c r="I191" s="219" t="s">
        <v>547</v>
      </c>
      <c r="J191" s="678" t="str">
        <f ca="1">IFERROR(VLOOKUP(P187,Num_AS,2,FALSE),"")</f>
        <v/>
      </c>
      <c r="K191" s="664"/>
      <c r="L191" s="664"/>
      <c r="M191" s="664"/>
      <c r="N191" s="1120" t="str">
        <f ca="1">IFERROR(VLOOKUP(P187,Num_AS,3,FALSE),"")</f>
        <v/>
      </c>
      <c r="O191" s="1121"/>
      <c r="P191" s="1122"/>
      <c r="R191" s="254"/>
      <c r="S191" s="254"/>
      <c r="T191" s="681"/>
      <c r="U191" s="680"/>
      <c r="V191" s="681"/>
      <c r="W191" s="679"/>
      <c r="X191" s="679"/>
      <c r="Y191" s="679"/>
      <c r="Z191" s="679"/>
      <c r="AA191" s="679"/>
      <c r="AB191" s="679"/>
      <c r="AC191" s="218"/>
      <c r="AH191" s="218"/>
    </row>
    <row r="192" spans="1:34" ht="20.100000000000001" customHeight="1" thickBot="1" x14ac:dyDescent="0.25">
      <c r="E192" s="219"/>
      <c r="F192" s="1107" t="str">
        <f ca="1">IFERROR(VLOOKUP(N187,Num_AS,4,FALSE),"")</f>
        <v/>
      </c>
      <c r="G192" s="1108"/>
      <c r="H192" s="1109"/>
      <c r="N192" s="1110" t="str">
        <f ca="1">IFERROR(VLOOKUP(P187,Num_AS,4,FALSE),"")</f>
        <v/>
      </c>
      <c r="O192" s="1111"/>
      <c r="P192" s="1112"/>
      <c r="R192" s="254"/>
      <c r="S192" s="254"/>
      <c r="T192" s="681"/>
      <c r="U192" s="680"/>
      <c r="V192" s="681"/>
      <c r="W192" s="679"/>
      <c r="X192" s="679"/>
      <c r="Y192" s="679"/>
      <c r="Z192" s="679"/>
      <c r="AA192" s="679"/>
      <c r="AB192" s="679"/>
      <c r="AC192" s="218"/>
      <c r="AH192" s="218"/>
    </row>
    <row r="193" spans="1:34" ht="18" customHeight="1" thickBot="1" x14ac:dyDescent="0.25">
      <c r="A193" s="1123" t="s">
        <v>548</v>
      </c>
      <c r="B193" s="1123"/>
      <c r="C193" s="1123"/>
      <c r="D193" s="1123"/>
      <c r="E193" s="219"/>
      <c r="F193" s="219"/>
      <c r="G193" s="219"/>
      <c r="H193" s="219"/>
      <c r="I193" s="219"/>
      <c r="J193" s="219"/>
      <c r="K193" s="219"/>
      <c r="L193" s="219"/>
      <c r="M193" s="219"/>
      <c r="N193" s="219"/>
      <c r="O193" s="219"/>
      <c r="P193" s="219"/>
      <c r="R193" s="254"/>
      <c r="S193" s="254"/>
      <c r="T193" s="681"/>
      <c r="U193" s="680"/>
      <c r="V193" s="681"/>
      <c r="W193" s="679"/>
      <c r="X193" s="679"/>
      <c r="Y193" s="679"/>
      <c r="Z193" s="679"/>
      <c r="AA193" s="679"/>
      <c r="AB193" s="679"/>
      <c r="AC193" s="218"/>
      <c r="AH193" s="218"/>
    </row>
    <row r="194" spans="1:34" ht="24" customHeight="1" thickTop="1" thickBot="1" x14ac:dyDescent="0.25">
      <c r="A194" s="1126" t="s">
        <v>549</v>
      </c>
      <c r="B194" s="1127"/>
      <c r="C194" s="1127"/>
      <c r="D194" s="1128"/>
      <c r="E194" s="685" t="s">
        <v>480</v>
      </c>
      <c r="F194" s="685" t="s">
        <v>550</v>
      </c>
      <c r="G194" s="686" t="s">
        <v>551</v>
      </c>
      <c r="H194" s="687" t="s">
        <v>779</v>
      </c>
      <c r="J194" s="702" t="s">
        <v>549</v>
      </c>
      <c r="K194" s="703"/>
      <c r="L194" s="703"/>
      <c r="M194" s="704"/>
      <c r="N194" s="685" t="s">
        <v>480</v>
      </c>
      <c r="O194" s="685" t="s">
        <v>550</v>
      </c>
      <c r="P194" s="686" t="s">
        <v>551</v>
      </c>
      <c r="Q194" s="687" t="s">
        <v>779</v>
      </c>
      <c r="R194" s="254"/>
      <c r="S194" s="254"/>
      <c r="T194" s="681"/>
      <c r="U194" s="680"/>
      <c r="V194" s="681"/>
      <c r="W194" s="679"/>
      <c r="X194" s="679"/>
      <c r="Y194" s="679"/>
      <c r="Z194" s="679"/>
      <c r="AA194" s="679"/>
      <c r="AB194" s="679"/>
      <c r="AC194" s="218"/>
      <c r="AH194" s="218"/>
    </row>
    <row r="195" spans="1:34" ht="24.75" customHeight="1" x14ac:dyDescent="0.2">
      <c r="A195" s="659" t="str">
        <f ca="1">IFERROR(VLOOKUP(N187,Num_AS,6,FALSE),"")</f>
        <v/>
      </c>
      <c r="B195" s="588"/>
      <c r="C195" s="653" t="str">
        <f ca="1">IFERROR(VLOOKUP(N187,Num_AS,7,FALSE),"")</f>
        <v/>
      </c>
      <c r="D195" s="652"/>
      <c r="E195" s="654" t="str">
        <f ca="1">IFERROR(VLOOKUP(N187,Num_AS,10,FALSE),"")</f>
        <v/>
      </c>
      <c r="F195" s="654" t="str">
        <f ca="1">IFERROR(VLOOKUP(N187,Num_AS,9,FALSE),"")</f>
        <v/>
      </c>
      <c r="G195" s="655" t="str">
        <f ca="1">IFERROR(VLOOKUP(N187,Num_AS,11,FALSE),"")</f>
        <v/>
      </c>
      <c r="H195" s="688">
        <f ca="1">E188</f>
        <v>4</v>
      </c>
      <c r="J195" s="659" t="str">
        <f ca="1">IFERROR(VLOOKUP(N187,Num_AS,18,FALSE),"")</f>
        <v/>
      </c>
      <c r="K195" s="588"/>
      <c r="L195" s="653" t="str">
        <f ca="1">IFERROR(VLOOKUP(N187,Num_AS,19,FALSE),"")</f>
        <v/>
      </c>
      <c r="M195" s="647"/>
      <c r="N195" s="656" t="str">
        <f ca="1">IFERROR(VLOOKUP(N187,Num_AS,22,FALSE),"")</f>
        <v/>
      </c>
      <c r="O195" s="654" t="str">
        <f ca="1">IFERROR(VLOOKUP(N187,Num_AS,21,FALSE),"")</f>
        <v/>
      </c>
      <c r="P195" s="682" t="str">
        <f ca="1">IFERROR(VLOOKUP(N187,Num_AS,23,FALSE),"")</f>
        <v/>
      </c>
      <c r="Q195" s="688">
        <f ca="1">E188</f>
        <v>4</v>
      </c>
      <c r="R195" s="254"/>
      <c r="S195" s="254"/>
      <c r="T195" s="681"/>
      <c r="U195" s="680"/>
      <c r="V195" s="681"/>
      <c r="W195" s="679"/>
      <c r="X195" s="679"/>
      <c r="Y195" s="679"/>
      <c r="Z195" s="679"/>
      <c r="AA195" s="679"/>
      <c r="AB195" s="679"/>
      <c r="AC195" s="218"/>
      <c r="AH195" s="218"/>
    </row>
    <row r="196" spans="1:34" ht="24.75" customHeight="1" thickBot="1" x14ac:dyDescent="0.25">
      <c r="A196" s="689" t="str">
        <f ca="1">IFERROR(VLOOKUP(N187,Num_AS,12,FALSE),"")</f>
        <v/>
      </c>
      <c r="B196" s="690"/>
      <c r="C196" s="691" t="str">
        <f ca="1">IFERROR(VLOOKUP(N187,Num_AS,13,FALSE),"")</f>
        <v/>
      </c>
      <c r="D196" s="692"/>
      <c r="E196" s="693" t="str">
        <f ca="1">IFERROR(VLOOKUP(N187,Num_AS,16,FALSE),"")</f>
        <v/>
      </c>
      <c r="F196" s="694" t="str">
        <f ca="1">IFERROR(VLOOKUP(N187,Num_AS,15,FALSE),"")</f>
        <v/>
      </c>
      <c r="G196" s="695" t="str">
        <f ca="1">IFERROR(VLOOKUP(N187,Num_AS,17,FALSE),"")</f>
        <v/>
      </c>
      <c r="H196" s="700">
        <f ca="1">E188</f>
        <v>4</v>
      </c>
      <c r="J196" s="689" t="str">
        <f ca="1">IFERROR(VLOOKUP(N187,Num_AS,24,FALSE),"")</f>
        <v/>
      </c>
      <c r="K196" s="690"/>
      <c r="L196" s="691" t="str">
        <f ca="1">IFERROR(VLOOKUP(N187,Num_AS,25,FALSE),"")</f>
        <v/>
      </c>
      <c r="M196" s="697"/>
      <c r="N196" s="698" t="str">
        <f ca="1">IFERROR(VLOOKUP(N187,Num_AS,28,FALSE),"")</f>
        <v/>
      </c>
      <c r="O196" s="694" t="str">
        <f ca="1">IFERROR(VLOOKUP(N187,Num_AS,27,FALSE),"")</f>
        <v/>
      </c>
      <c r="P196" s="699" t="str">
        <f ca="1">IFERROR(VLOOKUP(N187,Num_AS,29,FALSE),"")</f>
        <v/>
      </c>
      <c r="Q196" s="700">
        <f ca="1">E188</f>
        <v>4</v>
      </c>
      <c r="R196" s="254"/>
      <c r="S196" s="254"/>
      <c r="T196" s="681"/>
      <c r="U196" s="680"/>
      <c r="V196" s="681"/>
      <c r="W196" s="681"/>
      <c r="X196" s="681"/>
      <c r="Y196" s="681"/>
      <c r="Z196" s="679"/>
      <c r="AA196" s="679"/>
      <c r="AB196" s="679"/>
      <c r="AC196" s="218"/>
      <c r="AH196" s="218"/>
    </row>
    <row r="197" spans="1:34" ht="12.75" customHeight="1" thickTop="1" x14ac:dyDescent="0.2">
      <c r="A197" s="701"/>
      <c r="B197" s="249"/>
      <c r="C197" s="701"/>
      <c r="D197" s="701"/>
      <c r="E197" s="196"/>
      <c r="F197" s="196"/>
      <c r="G197" s="249"/>
      <c r="H197" s="219"/>
      <c r="I197" s="701"/>
      <c r="J197" s="249"/>
      <c r="K197" s="701"/>
      <c r="L197" s="249"/>
      <c r="M197" s="196"/>
      <c r="N197" s="196"/>
      <c r="O197" s="249"/>
      <c r="P197" s="219"/>
      <c r="R197" s="254"/>
      <c r="S197" s="254"/>
      <c r="T197" s="681"/>
      <c r="U197" s="680"/>
      <c r="V197" s="681"/>
      <c r="W197" s="681"/>
      <c r="X197" s="681"/>
      <c r="Y197" s="681"/>
      <c r="Z197" s="679"/>
      <c r="AA197" s="679"/>
      <c r="AB197" s="679"/>
      <c r="AC197" s="218"/>
      <c r="AH197" s="218"/>
    </row>
    <row r="198" spans="1:34" ht="37.5" customHeight="1" x14ac:dyDescent="0.2">
      <c r="A198" s="1113" t="s">
        <v>909</v>
      </c>
      <c r="B198" s="1113"/>
      <c r="C198" s="1113"/>
      <c r="F198" s="1113" t="s">
        <v>910</v>
      </c>
      <c r="G198" s="1113"/>
      <c r="H198" s="1113"/>
      <c r="J198" s="1113" t="s">
        <v>911</v>
      </c>
      <c r="K198" s="1113"/>
      <c r="L198" s="1113"/>
      <c r="N198" s="1113" t="s">
        <v>912</v>
      </c>
      <c r="O198" s="1113"/>
      <c r="P198" s="1113"/>
      <c r="R198" s="254"/>
      <c r="S198" s="254"/>
      <c r="T198" s="681"/>
      <c r="U198" s="680"/>
      <c r="V198" s="679"/>
      <c r="W198" s="679"/>
      <c r="X198" s="679"/>
      <c r="Y198" s="679"/>
      <c r="Z198" s="679"/>
      <c r="AA198" s="679"/>
      <c r="AB198" s="679"/>
      <c r="AC198" s="218"/>
      <c r="AH198" s="218"/>
    </row>
    <row r="199" spans="1:34" ht="37.5" customHeight="1" x14ac:dyDescent="0.25">
      <c r="A199" s="629" t="s">
        <v>980</v>
      </c>
      <c r="B199" s="629" t="s">
        <v>981</v>
      </c>
      <c r="C199" s="636" t="s">
        <v>780</v>
      </c>
      <c r="D199" s="649"/>
      <c r="F199" s="629" t="s">
        <v>980</v>
      </c>
      <c r="G199" s="629" t="s">
        <v>981</v>
      </c>
      <c r="H199" s="636" t="s">
        <v>780</v>
      </c>
      <c r="J199" s="629" t="s">
        <v>980</v>
      </c>
      <c r="K199" s="629" t="s">
        <v>981</v>
      </c>
      <c r="L199" s="636" t="s">
        <v>780</v>
      </c>
      <c r="M199" s="649"/>
      <c r="N199" s="629" t="s">
        <v>980</v>
      </c>
      <c r="O199" s="629" t="s">
        <v>981</v>
      </c>
      <c r="P199" s="636" t="s">
        <v>780</v>
      </c>
      <c r="T199" s="679"/>
      <c r="U199" s="680"/>
      <c r="V199" s="679"/>
      <c r="W199" s="679"/>
      <c r="X199" s="679"/>
      <c r="Y199" s="679"/>
      <c r="Z199" s="679"/>
      <c r="AA199" s="679"/>
      <c r="AB199" s="679"/>
      <c r="AC199" s="218"/>
      <c r="AH199" s="218"/>
    </row>
    <row r="200" spans="1:34" ht="32.25" customHeight="1" x14ac:dyDescent="0.25">
      <c r="A200" s="666">
        <v>10</v>
      </c>
      <c r="B200" s="636"/>
      <c r="C200" s="636"/>
      <c r="D200" s="649"/>
      <c r="F200" s="666">
        <v>10</v>
      </c>
      <c r="G200" s="636"/>
      <c r="H200" s="636"/>
      <c r="J200" s="666">
        <v>10</v>
      </c>
      <c r="K200" s="636"/>
      <c r="L200" s="636"/>
      <c r="M200" s="649"/>
      <c r="N200" s="666">
        <v>10</v>
      </c>
      <c r="O200" s="636"/>
      <c r="P200" s="636"/>
      <c r="T200" s="679"/>
      <c r="U200" s="680"/>
      <c r="V200" s="679"/>
      <c r="W200" s="679"/>
      <c r="X200" s="679"/>
      <c r="Y200" s="679"/>
      <c r="Z200" s="679"/>
      <c r="AA200" s="679"/>
      <c r="AB200" s="679"/>
      <c r="AC200" s="218"/>
      <c r="AH200" s="218"/>
    </row>
    <row r="201" spans="1:34" ht="32.25" customHeight="1" x14ac:dyDescent="0.25">
      <c r="A201" s="666">
        <v>9</v>
      </c>
      <c r="B201" s="636"/>
      <c r="C201" s="636"/>
      <c r="D201" s="649"/>
      <c r="F201" s="666">
        <v>9</v>
      </c>
      <c r="G201" s="636"/>
      <c r="H201" s="636"/>
      <c r="J201" s="666">
        <v>9</v>
      </c>
      <c r="K201" s="636"/>
      <c r="L201" s="636"/>
      <c r="M201" s="649"/>
      <c r="N201" s="666">
        <v>9</v>
      </c>
      <c r="O201" s="636"/>
      <c r="P201" s="636"/>
      <c r="T201" s="679"/>
      <c r="U201" s="680"/>
      <c r="V201" s="679"/>
      <c r="W201" s="679"/>
      <c r="X201" s="679"/>
      <c r="Y201" s="679"/>
      <c r="Z201" s="679"/>
      <c r="AA201" s="679"/>
      <c r="AB201" s="679"/>
      <c r="AC201" s="218"/>
      <c r="AH201" s="218"/>
    </row>
    <row r="202" spans="1:34" ht="32.25" customHeight="1" x14ac:dyDescent="0.25">
      <c r="A202" s="666">
        <v>8</v>
      </c>
      <c r="B202" s="636"/>
      <c r="C202" s="636"/>
      <c r="D202" s="649"/>
      <c r="F202" s="666">
        <v>8</v>
      </c>
      <c r="G202" s="636"/>
      <c r="H202" s="636"/>
      <c r="J202" s="666">
        <v>8</v>
      </c>
      <c r="K202" s="636"/>
      <c r="L202" s="636"/>
      <c r="M202" s="649"/>
      <c r="N202" s="666">
        <v>8</v>
      </c>
      <c r="O202" s="636"/>
      <c r="P202" s="636"/>
      <c r="T202" s="679"/>
      <c r="U202" s="680"/>
      <c r="V202" s="679"/>
      <c r="W202" s="679"/>
      <c r="X202" s="679"/>
      <c r="Y202" s="679"/>
      <c r="Z202" s="679"/>
      <c r="AA202" s="679"/>
      <c r="AB202" s="679"/>
      <c r="AC202" s="218"/>
      <c r="AH202" s="218"/>
    </row>
    <row r="203" spans="1:34" ht="32.25" customHeight="1" x14ac:dyDescent="0.25">
      <c r="A203" s="666">
        <v>7</v>
      </c>
      <c r="B203" s="636"/>
      <c r="C203" s="636"/>
      <c r="D203" s="649"/>
      <c r="F203" s="666">
        <v>7</v>
      </c>
      <c r="G203" s="636"/>
      <c r="H203" s="636"/>
      <c r="J203" s="666">
        <v>7</v>
      </c>
      <c r="K203" s="636"/>
      <c r="L203" s="636"/>
      <c r="M203" s="649"/>
      <c r="N203" s="666">
        <v>7</v>
      </c>
      <c r="O203" s="636"/>
      <c r="P203" s="636"/>
      <c r="T203" s="679"/>
      <c r="U203" s="680"/>
      <c r="V203" s="679"/>
      <c r="W203" s="679"/>
      <c r="X203" s="679"/>
      <c r="Y203" s="679"/>
      <c r="Z203" s="679"/>
      <c r="AC203" s="218"/>
      <c r="AH203" s="218"/>
    </row>
    <row r="204" spans="1:34" ht="32.25" customHeight="1" x14ac:dyDescent="0.25">
      <c r="A204" s="666">
        <v>6</v>
      </c>
      <c r="B204" s="636"/>
      <c r="C204" s="636"/>
      <c r="D204" s="649"/>
      <c r="F204" s="666">
        <v>6</v>
      </c>
      <c r="G204" s="636"/>
      <c r="H204" s="636"/>
      <c r="J204" s="666">
        <v>6</v>
      </c>
      <c r="K204" s="636"/>
      <c r="L204" s="636"/>
      <c r="M204" s="649"/>
      <c r="N204" s="666">
        <v>6</v>
      </c>
      <c r="O204" s="636"/>
      <c r="P204" s="636"/>
      <c r="T204" s="679"/>
      <c r="U204" s="680"/>
      <c r="AC204" s="218"/>
      <c r="AH204" s="218"/>
    </row>
    <row r="205" spans="1:34" ht="32.25" customHeight="1" x14ac:dyDescent="0.25">
      <c r="A205" s="666">
        <v>5</v>
      </c>
      <c r="B205" s="636"/>
      <c r="C205" s="636"/>
      <c r="D205" s="649"/>
      <c r="F205" s="666">
        <v>5</v>
      </c>
      <c r="G205" s="636"/>
      <c r="H205" s="636"/>
      <c r="J205" s="666">
        <v>5</v>
      </c>
      <c r="K205" s="636"/>
      <c r="L205" s="636"/>
      <c r="M205" s="649"/>
      <c r="N205" s="666">
        <v>5</v>
      </c>
      <c r="O205" s="636"/>
      <c r="P205" s="636"/>
      <c r="U205" s="520"/>
      <c r="AC205" s="218"/>
      <c r="AH205" s="218"/>
    </row>
    <row r="206" spans="1:34" ht="32.25" customHeight="1" x14ac:dyDescent="0.25">
      <c r="A206" s="666">
        <v>4</v>
      </c>
      <c r="B206" s="636"/>
      <c r="C206" s="636"/>
      <c r="D206" s="649"/>
      <c r="F206" s="666">
        <v>4</v>
      </c>
      <c r="G206" s="636"/>
      <c r="H206" s="636"/>
      <c r="J206" s="666">
        <v>4</v>
      </c>
      <c r="K206" s="636"/>
      <c r="L206" s="636"/>
      <c r="M206" s="649"/>
      <c r="N206" s="666">
        <v>4</v>
      </c>
      <c r="O206" s="636"/>
      <c r="P206" s="636"/>
      <c r="U206" s="520"/>
      <c r="AC206" s="218"/>
      <c r="AH206" s="218"/>
    </row>
    <row r="207" spans="1:34" ht="32.25" customHeight="1" x14ac:dyDescent="0.25">
      <c r="A207" s="666">
        <v>3</v>
      </c>
      <c r="B207" s="636"/>
      <c r="C207" s="636"/>
      <c r="D207" s="649"/>
      <c r="F207" s="666">
        <v>3</v>
      </c>
      <c r="G207" s="636"/>
      <c r="H207" s="636"/>
      <c r="J207" s="666">
        <v>3</v>
      </c>
      <c r="K207" s="636"/>
      <c r="L207" s="636"/>
      <c r="M207" s="649"/>
      <c r="N207" s="666">
        <v>3</v>
      </c>
      <c r="O207" s="636"/>
      <c r="P207" s="636"/>
      <c r="U207" s="520"/>
      <c r="AC207" s="218"/>
      <c r="AH207" s="218"/>
    </row>
    <row r="208" spans="1:34" ht="32.25" customHeight="1" x14ac:dyDescent="0.25">
      <c r="A208" s="666">
        <v>2</v>
      </c>
      <c r="B208" s="636"/>
      <c r="C208" s="636"/>
      <c r="D208" s="649"/>
      <c r="F208" s="666">
        <v>2</v>
      </c>
      <c r="G208" s="636"/>
      <c r="H208" s="636"/>
      <c r="J208" s="666">
        <v>2</v>
      </c>
      <c r="K208" s="636"/>
      <c r="L208" s="636"/>
      <c r="M208" s="649"/>
      <c r="N208" s="666">
        <v>2</v>
      </c>
      <c r="O208" s="636"/>
      <c r="P208" s="636"/>
      <c r="U208" s="520"/>
      <c r="AC208" s="218"/>
      <c r="AH208" s="218"/>
    </row>
    <row r="209" spans="1:34" ht="32.25" customHeight="1" x14ac:dyDescent="0.25">
      <c r="A209" s="666">
        <v>1</v>
      </c>
      <c r="B209" s="636"/>
      <c r="C209" s="636"/>
      <c r="D209" s="649"/>
      <c r="F209" s="666">
        <v>1</v>
      </c>
      <c r="G209" s="636"/>
      <c r="H209" s="636"/>
      <c r="J209" s="666">
        <v>1</v>
      </c>
      <c r="K209" s="636"/>
      <c r="L209" s="636"/>
      <c r="M209" s="649"/>
      <c r="N209" s="666">
        <v>1</v>
      </c>
      <c r="O209" s="636"/>
      <c r="P209" s="636"/>
      <c r="U209" s="520"/>
      <c r="AC209" s="218"/>
      <c r="AH209" s="218"/>
    </row>
    <row r="210" spans="1:34" ht="32.25" customHeight="1" x14ac:dyDescent="0.25">
      <c r="A210" s="666" t="s">
        <v>982</v>
      </c>
      <c r="B210" s="636"/>
      <c r="C210" s="636"/>
      <c r="D210" s="649"/>
      <c r="F210" s="666" t="s">
        <v>982</v>
      </c>
      <c r="G210" s="636"/>
      <c r="H210" s="636"/>
      <c r="J210" s="666" t="s">
        <v>982</v>
      </c>
      <c r="K210" s="636"/>
      <c r="L210" s="636"/>
      <c r="M210" s="649"/>
      <c r="N210" s="666" t="s">
        <v>982</v>
      </c>
      <c r="O210" s="636"/>
      <c r="P210" s="636"/>
      <c r="U210" s="520"/>
      <c r="AC210" s="218"/>
      <c r="AH210" s="218"/>
    </row>
    <row r="211" spans="1:34" ht="32.25" customHeight="1" x14ac:dyDescent="0.25">
      <c r="A211" s="629" t="s">
        <v>981</v>
      </c>
      <c r="B211" s="650"/>
      <c r="C211" s="651" t="s">
        <v>996</v>
      </c>
      <c r="D211" s="649"/>
      <c r="F211" s="629" t="s">
        <v>981</v>
      </c>
      <c r="G211" s="650"/>
      <c r="H211" s="651" t="s">
        <v>996</v>
      </c>
      <c r="J211" s="629" t="s">
        <v>981</v>
      </c>
      <c r="K211" s="650"/>
      <c r="L211" s="651" t="s">
        <v>996</v>
      </c>
      <c r="M211" s="649"/>
      <c r="N211" s="629" t="s">
        <v>981</v>
      </c>
      <c r="O211" s="650"/>
      <c r="P211" s="651" t="s">
        <v>996</v>
      </c>
      <c r="Q211" s="649"/>
      <c r="U211" s="520"/>
      <c r="AC211" s="218"/>
      <c r="AH211" s="218"/>
    </row>
    <row r="212" spans="1:34" ht="32.25" customHeight="1" thickBot="1" x14ac:dyDescent="0.3">
      <c r="A212" s="649"/>
      <c r="B212" s="629" t="s">
        <v>983</v>
      </c>
      <c r="C212" s="665"/>
      <c r="D212" s="649"/>
      <c r="F212" s="637" t="s">
        <v>985</v>
      </c>
      <c r="G212" s="629" t="s">
        <v>983</v>
      </c>
      <c r="H212" s="636"/>
      <c r="J212" s="637" t="s">
        <v>985</v>
      </c>
      <c r="K212" s="629" t="s">
        <v>983</v>
      </c>
      <c r="L212" s="636"/>
      <c r="M212" s="649"/>
      <c r="N212" s="637" t="s">
        <v>985</v>
      </c>
      <c r="O212" s="629" t="s">
        <v>983</v>
      </c>
      <c r="P212" s="636"/>
      <c r="Q212" s="649"/>
      <c r="U212" s="520"/>
      <c r="AC212" s="218"/>
      <c r="AH212" s="218"/>
    </row>
    <row r="213" spans="1:34" ht="41.25" customHeight="1" thickBot="1" x14ac:dyDescent="0.3">
      <c r="A213" s="1114" t="s">
        <v>1001</v>
      </c>
      <c r="B213" s="1114"/>
      <c r="C213" s="734">
        <f ca="1">VLOOKUP(A191&amp;F191,PTS_SP,2,FALSE)</f>
        <v>0</v>
      </c>
      <c r="D213" s="649"/>
      <c r="F213" s="1115" t="s">
        <v>986</v>
      </c>
      <c r="G213" s="1116"/>
      <c r="H213" s="636"/>
      <c r="I213" s="1115" t="s">
        <v>986</v>
      </c>
      <c r="J213" s="1115"/>
      <c r="K213" s="636"/>
      <c r="L213" s="649"/>
      <c r="O213" s="634" t="s">
        <v>987</v>
      </c>
      <c r="P213" s="636"/>
      <c r="Q213" s="649"/>
      <c r="U213" s="520"/>
      <c r="AC213" s="218"/>
      <c r="AH213" s="218"/>
    </row>
    <row r="214" spans="1:34" ht="47.25" customHeight="1" thickBot="1" x14ac:dyDescent="0.3">
      <c r="A214" s="1115" t="s">
        <v>986</v>
      </c>
      <c r="B214" s="1116"/>
      <c r="C214" s="644"/>
      <c r="D214" s="649"/>
      <c r="E214" s="649"/>
      <c r="F214" s="649"/>
      <c r="G214" s="649"/>
      <c r="H214" s="649"/>
      <c r="I214" s="649"/>
      <c r="J214" s="649"/>
      <c r="K214" s="649"/>
      <c r="L214" s="649"/>
      <c r="N214" s="634"/>
      <c r="O214" s="634" t="s">
        <v>997</v>
      </c>
      <c r="P214" s="673"/>
      <c r="Q214" s="674"/>
      <c r="R214" s="663" t="s">
        <v>998</v>
      </c>
      <c r="U214" s="520"/>
      <c r="AC214" s="218"/>
      <c r="AH214" s="218"/>
    </row>
    <row r="215" spans="1:34" ht="36" customHeight="1" thickBot="1" x14ac:dyDescent="0.3">
      <c r="A215" s="649"/>
      <c r="B215" s="649"/>
      <c r="C215" s="649"/>
      <c r="D215" s="649"/>
      <c r="E215" s="672" t="s">
        <v>1002</v>
      </c>
      <c r="F215" s="667"/>
      <c r="G215" s="667"/>
      <c r="H215" s="668"/>
      <c r="I215" s="649"/>
      <c r="J215" s="672" t="s">
        <v>1003</v>
      </c>
      <c r="K215" s="667"/>
      <c r="L215" s="667"/>
      <c r="M215" s="668"/>
      <c r="O215" s="675" t="s">
        <v>1004</v>
      </c>
      <c r="P215" s="676" t="s">
        <v>999</v>
      </c>
      <c r="Q215" s="677" t="s">
        <v>1000</v>
      </c>
      <c r="R215" s="649"/>
      <c r="U215" s="520"/>
      <c r="AC215" s="218"/>
      <c r="AH215" s="218"/>
    </row>
    <row r="216" spans="1:34" ht="36" customHeight="1" thickBot="1" x14ac:dyDescent="0.25">
      <c r="E216" s="669"/>
      <c r="F216" s="670"/>
      <c r="G216" s="670"/>
      <c r="H216" s="671"/>
      <c r="J216" s="669"/>
      <c r="K216" s="670"/>
      <c r="L216" s="670"/>
      <c r="M216" s="671"/>
      <c r="U216" s="520"/>
      <c r="AA216" s="679"/>
      <c r="AB216" s="679"/>
      <c r="AC216" s="218"/>
      <c r="AH216" s="218"/>
    </row>
    <row r="217" spans="1:34" s="218" customFormat="1" ht="23.25" customHeight="1" x14ac:dyDescent="0.2">
      <c r="A217" s="217"/>
      <c r="B217" s="217"/>
      <c r="C217" s="217"/>
      <c r="D217" s="217"/>
      <c r="E217" s="217"/>
      <c r="F217" s="217"/>
      <c r="G217" s="217"/>
      <c r="H217" s="217"/>
      <c r="I217" s="217"/>
      <c r="J217" s="217"/>
      <c r="K217" s="217"/>
      <c r="L217" s="217"/>
      <c r="M217" s="217"/>
      <c r="N217" s="684"/>
      <c r="O217" s="684"/>
      <c r="P217" s="684"/>
      <c r="Q217" s="684"/>
      <c r="R217" s="217"/>
      <c r="S217" s="217"/>
      <c r="T217" s="217"/>
      <c r="U217" s="520"/>
      <c r="V217" s="679"/>
      <c r="W217" s="679"/>
      <c r="X217" s="679"/>
      <c r="Y217" s="679"/>
      <c r="Z217" s="679"/>
      <c r="AA217" s="662"/>
      <c r="AB217" s="662"/>
      <c r="AD217" s="217"/>
      <c r="AE217" s="217"/>
      <c r="AF217" s="217"/>
      <c r="AG217" s="217"/>
    </row>
    <row r="218" spans="1:34" ht="19.5" customHeight="1" thickBot="1" x14ac:dyDescent="0.25">
      <c r="M218" s="500"/>
      <c r="N218" s="520" t="str">
        <f ca="1">INDIRECT("AE"&amp;O218)</f>
        <v>Collège les MûriersLe Mans</v>
      </c>
      <c r="O218" s="500">
        <f>P219+2</f>
        <v>10</v>
      </c>
      <c r="P218" s="501" t="str">
        <f ca="1">INDIRECT("AF"&amp;O218)</f>
        <v>Collège Pierre Mendès FranceVic-en-Bigorre</v>
      </c>
      <c r="Q218" s="500"/>
      <c r="R218" s="500"/>
      <c r="T218" s="679"/>
      <c r="U218" s="679"/>
      <c r="V218" s="679"/>
      <c r="W218" s="679"/>
      <c r="X218" s="679"/>
      <c r="Y218" s="679"/>
      <c r="Z218" s="679"/>
      <c r="AA218" s="679"/>
      <c r="AB218" s="679"/>
      <c r="AC218" s="218"/>
      <c r="AH218" s="218"/>
    </row>
    <row r="219" spans="1:34" s="218" customFormat="1" ht="36" thickBot="1" x14ac:dyDescent="0.25">
      <c r="A219" s="576" t="s">
        <v>546</v>
      </c>
      <c r="B219" s="402" t="str">
        <f>B188</f>
        <v>D3</v>
      </c>
      <c r="D219" s="661" t="s">
        <v>628</v>
      </c>
      <c r="E219" s="660">
        <f ca="1">INDIRECT("AD"&amp;O218)</f>
        <v>5</v>
      </c>
      <c r="F219" s="705" t="str">
        <f>"   "&amp;Championnat</f>
        <v xml:space="preserve">   Championnat de France de Tir à l'ARC</v>
      </c>
      <c r="O219" s="502" t="s">
        <v>849</v>
      </c>
      <c r="P219" s="503">
        <f>P188+1</f>
        <v>8</v>
      </c>
      <c r="R219" s="254"/>
      <c r="S219" s="254"/>
      <c r="T219" s="681"/>
      <c r="U219" s="680"/>
      <c r="V219" s="681"/>
      <c r="X219" s="662"/>
      <c r="Y219" s="662"/>
      <c r="Z219" s="662"/>
      <c r="AA219" s="662"/>
      <c r="AB219" s="662"/>
      <c r="AD219" s="217"/>
      <c r="AE219" s="217"/>
      <c r="AF219" s="217"/>
      <c r="AG219" s="217"/>
    </row>
    <row r="220" spans="1:34" ht="35.25" x14ac:dyDescent="0.2">
      <c r="A220" s="706" t="str">
        <f>CATEG_IMPORTEE</f>
        <v>Collèges Mixtes Etablissement</v>
      </c>
      <c r="J220" s="592" t="str">
        <f>LIEU&amp;" du "&amp;DATE</f>
        <v>L’Isle sur la Sorgue du 27 au 31 mars 2023</v>
      </c>
      <c r="R220" s="254"/>
      <c r="S220" s="254"/>
      <c r="T220" s="681"/>
      <c r="U220" s="680"/>
      <c r="V220" s="681"/>
      <c r="W220" s="679"/>
      <c r="X220" s="679"/>
      <c r="Y220" s="679"/>
      <c r="Z220" s="679"/>
      <c r="AA220" s="679"/>
      <c r="AB220" s="679"/>
      <c r="AC220" s="218"/>
      <c r="AH220" s="218"/>
    </row>
    <row r="221" spans="1:34" ht="24" customHeight="1" thickBot="1" x14ac:dyDescent="0.25">
      <c r="A221" s="648" t="s">
        <v>0</v>
      </c>
      <c r="B221" s="648"/>
      <c r="C221" s="648"/>
      <c r="D221" s="648"/>
      <c r="F221" s="1124" t="s">
        <v>1006</v>
      </c>
      <c r="G221" s="1125"/>
      <c r="H221" s="1125"/>
      <c r="J221" s="648" t="s">
        <v>0</v>
      </c>
      <c r="O221" s="1093" t="s">
        <v>1005</v>
      </c>
      <c r="P221" s="1093"/>
      <c r="R221" s="254"/>
      <c r="S221" s="254"/>
      <c r="T221" s="681"/>
      <c r="U221" s="680"/>
      <c r="V221" s="681"/>
      <c r="W221" s="679"/>
      <c r="X221" s="679"/>
      <c r="Y221" s="679"/>
      <c r="Z221" s="679"/>
      <c r="AA221" s="679"/>
      <c r="AB221" s="679"/>
      <c r="AC221" s="218"/>
      <c r="AH221" s="218"/>
    </row>
    <row r="222" spans="1:34" ht="23.25" customHeight="1" thickBot="1" x14ac:dyDescent="0.25">
      <c r="A222" s="657" t="str">
        <f ca="1">IFERROR(VLOOKUP(N218,Num_AS,2,FALSE),"")</f>
        <v/>
      </c>
      <c r="B222" s="658"/>
      <c r="C222" s="658"/>
      <c r="D222" s="658"/>
      <c r="E222" s="658"/>
      <c r="F222" s="1117" t="str">
        <f ca="1">IFERROR(VLOOKUP(N218,Num_AS,3,FALSE),"")</f>
        <v/>
      </c>
      <c r="G222" s="1118"/>
      <c r="H222" s="1119"/>
      <c r="I222" s="219" t="s">
        <v>547</v>
      </c>
      <c r="J222" s="678" t="str">
        <f ca="1">IFERROR(VLOOKUP(P218,Num_AS,2,FALSE),"")</f>
        <v/>
      </c>
      <c r="K222" s="664"/>
      <c r="L222" s="664"/>
      <c r="M222" s="664"/>
      <c r="N222" s="1120" t="str">
        <f ca="1">IFERROR(VLOOKUP(P218,Num_AS,3,FALSE),"")</f>
        <v/>
      </c>
      <c r="O222" s="1121"/>
      <c r="P222" s="1122"/>
      <c r="R222" s="254"/>
      <c r="S222" s="254"/>
      <c r="T222" s="681"/>
      <c r="U222" s="680"/>
      <c r="V222" s="681"/>
      <c r="W222" s="679"/>
      <c r="X222" s="679"/>
      <c r="Y222" s="679"/>
      <c r="Z222" s="679"/>
      <c r="AA222" s="679"/>
      <c r="AB222" s="679"/>
      <c r="AC222" s="218"/>
      <c r="AH222" s="218"/>
    </row>
    <row r="223" spans="1:34" ht="20.100000000000001" customHeight="1" thickBot="1" x14ac:dyDescent="0.25">
      <c r="E223" s="219"/>
      <c r="F223" s="1107" t="str">
        <f ca="1">IFERROR(VLOOKUP(N218,Num_AS,4,FALSE),"")</f>
        <v/>
      </c>
      <c r="G223" s="1108"/>
      <c r="H223" s="1109"/>
      <c r="N223" s="1110" t="str">
        <f ca="1">IFERROR(VLOOKUP(P218,Num_AS,4,FALSE),"")</f>
        <v/>
      </c>
      <c r="O223" s="1111"/>
      <c r="P223" s="1112"/>
      <c r="R223" s="254"/>
      <c r="S223" s="254"/>
      <c r="T223" s="681"/>
      <c r="U223" s="680"/>
      <c r="V223" s="681"/>
      <c r="W223" s="679"/>
      <c r="X223" s="679"/>
      <c r="Y223" s="679"/>
      <c r="Z223" s="679"/>
      <c r="AA223" s="679"/>
      <c r="AB223" s="679"/>
      <c r="AC223" s="218"/>
      <c r="AH223" s="218"/>
    </row>
    <row r="224" spans="1:34" ht="18" customHeight="1" thickBot="1" x14ac:dyDescent="0.25">
      <c r="A224" s="1123" t="s">
        <v>548</v>
      </c>
      <c r="B224" s="1123"/>
      <c r="C224" s="1123"/>
      <c r="D224" s="1123"/>
      <c r="E224" s="219"/>
      <c r="F224" s="219"/>
      <c r="G224" s="219"/>
      <c r="H224" s="219"/>
      <c r="I224" s="219"/>
      <c r="J224" s="219"/>
      <c r="K224" s="219"/>
      <c r="L224" s="219"/>
      <c r="M224" s="219"/>
      <c r="N224" s="219"/>
      <c r="O224" s="219"/>
      <c r="P224" s="219"/>
      <c r="R224" s="254"/>
      <c r="S224" s="254"/>
      <c r="T224" s="681"/>
      <c r="U224" s="680"/>
      <c r="V224" s="681"/>
      <c r="W224" s="679"/>
      <c r="X224" s="679"/>
      <c r="Y224" s="679"/>
      <c r="Z224" s="679"/>
      <c r="AA224" s="679"/>
      <c r="AB224" s="679"/>
      <c r="AC224" s="218"/>
      <c r="AH224" s="218"/>
    </row>
    <row r="225" spans="1:34" ht="24" customHeight="1" thickTop="1" thickBot="1" x14ac:dyDescent="0.25">
      <c r="A225" s="1126" t="s">
        <v>549</v>
      </c>
      <c r="B225" s="1127"/>
      <c r="C225" s="1127"/>
      <c r="D225" s="1128"/>
      <c r="E225" s="685" t="s">
        <v>480</v>
      </c>
      <c r="F225" s="685" t="s">
        <v>550</v>
      </c>
      <c r="G225" s="686" t="s">
        <v>551</v>
      </c>
      <c r="H225" s="687" t="s">
        <v>779</v>
      </c>
      <c r="J225" s="702" t="s">
        <v>549</v>
      </c>
      <c r="K225" s="703"/>
      <c r="L225" s="703"/>
      <c r="M225" s="704"/>
      <c r="N225" s="685" t="s">
        <v>480</v>
      </c>
      <c r="O225" s="685" t="s">
        <v>550</v>
      </c>
      <c r="P225" s="686" t="s">
        <v>551</v>
      </c>
      <c r="Q225" s="687" t="s">
        <v>779</v>
      </c>
      <c r="R225" s="254"/>
      <c r="S225" s="254"/>
      <c r="T225" s="681"/>
      <c r="U225" s="680"/>
      <c r="V225" s="681"/>
      <c r="W225" s="679"/>
      <c r="X225" s="679"/>
      <c r="Y225" s="679"/>
      <c r="Z225" s="679"/>
      <c r="AA225" s="679"/>
      <c r="AB225" s="679"/>
      <c r="AC225" s="218"/>
      <c r="AH225" s="218"/>
    </row>
    <row r="226" spans="1:34" ht="24.75" customHeight="1" x14ac:dyDescent="0.2">
      <c r="A226" s="659" t="str">
        <f ca="1">IFERROR(VLOOKUP(N218,Num_AS,6,FALSE),"")</f>
        <v/>
      </c>
      <c r="B226" s="588"/>
      <c r="C226" s="653" t="str">
        <f ca="1">IFERROR(VLOOKUP(N218,Num_AS,7,FALSE),"")</f>
        <v/>
      </c>
      <c r="D226" s="652"/>
      <c r="E226" s="654" t="str">
        <f ca="1">IFERROR(VLOOKUP(N218,Num_AS,10,FALSE),"")</f>
        <v/>
      </c>
      <c r="F226" s="654" t="str">
        <f ca="1">IFERROR(VLOOKUP(N218,Num_AS,9,FALSE),"")</f>
        <v/>
      </c>
      <c r="G226" s="655" t="str">
        <f ca="1">IFERROR(VLOOKUP(N218,Num_AS,11,FALSE),"")</f>
        <v/>
      </c>
      <c r="H226" s="688">
        <f ca="1">E219</f>
        <v>5</v>
      </c>
      <c r="J226" s="659" t="str">
        <f ca="1">IFERROR(VLOOKUP(N218,Num_AS,18,FALSE),"")</f>
        <v/>
      </c>
      <c r="K226" s="588"/>
      <c r="L226" s="653" t="str">
        <f ca="1">IFERROR(VLOOKUP(N218,Num_AS,19,FALSE),"")</f>
        <v/>
      </c>
      <c r="M226" s="647"/>
      <c r="N226" s="656" t="str">
        <f ca="1">IFERROR(VLOOKUP(N218,Num_AS,22,FALSE),"")</f>
        <v/>
      </c>
      <c r="O226" s="654" t="str">
        <f ca="1">IFERROR(VLOOKUP(N218,Num_AS,21,FALSE),"")</f>
        <v/>
      </c>
      <c r="P226" s="682" t="str">
        <f ca="1">IFERROR(VLOOKUP(N218,Num_AS,23,FALSE),"")</f>
        <v/>
      </c>
      <c r="Q226" s="688">
        <f ca="1">E219</f>
        <v>5</v>
      </c>
      <c r="R226" s="254"/>
      <c r="S226" s="254"/>
      <c r="T226" s="681"/>
      <c r="U226" s="680"/>
      <c r="V226" s="681"/>
      <c r="W226" s="679"/>
      <c r="X226" s="679"/>
      <c r="Y226" s="679"/>
      <c r="Z226" s="679"/>
      <c r="AA226" s="679"/>
      <c r="AB226" s="679"/>
      <c r="AC226" s="218"/>
      <c r="AH226" s="218"/>
    </row>
    <row r="227" spans="1:34" ht="24.75" customHeight="1" thickBot="1" x14ac:dyDescent="0.25">
      <c r="A227" s="689" t="str">
        <f ca="1">IFERROR(VLOOKUP(N218,Num_AS,12,FALSE),"")</f>
        <v/>
      </c>
      <c r="B227" s="690"/>
      <c r="C227" s="691" t="str">
        <f ca="1">IFERROR(VLOOKUP(N218,Num_AS,13,FALSE),"")</f>
        <v/>
      </c>
      <c r="D227" s="692"/>
      <c r="E227" s="693" t="str">
        <f ca="1">IFERROR(VLOOKUP(N218,Num_AS,16,FALSE),"")</f>
        <v/>
      </c>
      <c r="F227" s="694" t="str">
        <f ca="1">IFERROR(VLOOKUP(N218,Num_AS,15,FALSE),"")</f>
        <v/>
      </c>
      <c r="G227" s="695" t="str">
        <f ca="1">IFERROR(VLOOKUP(N218,Num_AS,17,FALSE),"")</f>
        <v/>
      </c>
      <c r="H227" s="700">
        <f ca="1">E219</f>
        <v>5</v>
      </c>
      <c r="J227" s="689" t="str">
        <f ca="1">IFERROR(VLOOKUP(N218,Num_AS,24,FALSE),"")</f>
        <v/>
      </c>
      <c r="K227" s="690"/>
      <c r="L227" s="691" t="str">
        <f ca="1">IFERROR(VLOOKUP(N218,Num_AS,25,FALSE),"")</f>
        <v/>
      </c>
      <c r="M227" s="697"/>
      <c r="N227" s="698" t="str">
        <f ca="1">IFERROR(VLOOKUP(N218,Num_AS,28,FALSE),"")</f>
        <v/>
      </c>
      <c r="O227" s="694" t="str">
        <f ca="1">IFERROR(VLOOKUP(N218,Num_AS,27,FALSE),"")</f>
        <v/>
      </c>
      <c r="P227" s="699" t="str">
        <f ca="1">IFERROR(VLOOKUP(N218,Num_AS,29,FALSE),"")</f>
        <v/>
      </c>
      <c r="Q227" s="700">
        <f ca="1">E219</f>
        <v>5</v>
      </c>
      <c r="R227" s="254"/>
      <c r="S227" s="254"/>
      <c r="T227" s="681"/>
      <c r="U227" s="680"/>
      <c r="V227" s="681"/>
      <c r="W227" s="681"/>
      <c r="X227" s="681"/>
      <c r="Y227" s="681"/>
      <c r="Z227" s="679"/>
      <c r="AA227" s="679"/>
      <c r="AB227" s="679"/>
      <c r="AC227" s="218"/>
      <c r="AH227" s="218"/>
    </row>
    <row r="228" spans="1:34" ht="12.75" customHeight="1" thickTop="1" x14ac:dyDescent="0.2">
      <c r="A228" s="701"/>
      <c r="B228" s="249"/>
      <c r="C228" s="701"/>
      <c r="D228" s="701"/>
      <c r="E228" s="196"/>
      <c r="F228" s="196"/>
      <c r="G228" s="249"/>
      <c r="H228" s="219"/>
      <c r="I228" s="701"/>
      <c r="J228" s="249"/>
      <c r="K228" s="701"/>
      <c r="L228" s="249"/>
      <c r="M228" s="196"/>
      <c r="N228" s="196"/>
      <c r="O228" s="249"/>
      <c r="P228" s="219"/>
      <c r="R228" s="254"/>
      <c r="S228" s="254"/>
      <c r="T228" s="681"/>
      <c r="U228" s="680"/>
      <c r="V228" s="681"/>
      <c r="W228" s="681"/>
      <c r="X228" s="681"/>
      <c r="Y228" s="681"/>
      <c r="Z228" s="679"/>
      <c r="AA228" s="679"/>
      <c r="AB228" s="679"/>
      <c r="AC228" s="218"/>
      <c r="AH228" s="218"/>
    </row>
    <row r="229" spans="1:34" ht="37.5" customHeight="1" x14ac:dyDescent="0.2">
      <c r="A229" s="1113" t="s">
        <v>909</v>
      </c>
      <c r="B229" s="1113"/>
      <c r="C229" s="1113"/>
      <c r="F229" s="1113" t="s">
        <v>910</v>
      </c>
      <c r="G229" s="1113"/>
      <c r="H229" s="1113"/>
      <c r="J229" s="1113" t="s">
        <v>911</v>
      </c>
      <c r="K229" s="1113"/>
      <c r="L229" s="1113"/>
      <c r="N229" s="1113" t="s">
        <v>912</v>
      </c>
      <c r="O229" s="1113"/>
      <c r="P229" s="1113"/>
      <c r="R229" s="254"/>
      <c r="S229" s="254"/>
      <c r="T229" s="681"/>
      <c r="U229" s="680"/>
      <c r="V229" s="679"/>
      <c r="W229" s="679"/>
      <c r="X229" s="679"/>
      <c r="Y229" s="679"/>
      <c r="Z229" s="679"/>
      <c r="AA229" s="679"/>
      <c r="AB229" s="679"/>
      <c r="AC229" s="218"/>
      <c r="AH229" s="218"/>
    </row>
    <row r="230" spans="1:34" ht="37.5" customHeight="1" x14ac:dyDescent="0.25">
      <c r="A230" s="629" t="s">
        <v>980</v>
      </c>
      <c r="B230" s="629" t="s">
        <v>981</v>
      </c>
      <c r="C230" s="636" t="s">
        <v>780</v>
      </c>
      <c r="D230" s="649"/>
      <c r="F230" s="629" t="s">
        <v>980</v>
      </c>
      <c r="G230" s="629" t="s">
        <v>981</v>
      </c>
      <c r="H230" s="636" t="s">
        <v>780</v>
      </c>
      <c r="J230" s="629" t="s">
        <v>980</v>
      </c>
      <c r="K230" s="629" t="s">
        <v>981</v>
      </c>
      <c r="L230" s="636" t="s">
        <v>780</v>
      </c>
      <c r="M230" s="649"/>
      <c r="N230" s="629" t="s">
        <v>980</v>
      </c>
      <c r="O230" s="629" t="s">
        <v>981</v>
      </c>
      <c r="P230" s="636" t="s">
        <v>780</v>
      </c>
      <c r="T230" s="679"/>
      <c r="U230" s="680"/>
      <c r="V230" s="679"/>
      <c r="W230" s="679"/>
      <c r="X230" s="679"/>
      <c r="Y230" s="679"/>
      <c r="Z230" s="679"/>
      <c r="AA230" s="679"/>
      <c r="AB230" s="679"/>
      <c r="AC230" s="218"/>
      <c r="AH230" s="218"/>
    </row>
    <row r="231" spans="1:34" ht="32.25" customHeight="1" x14ac:dyDescent="0.25">
      <c r="A231" s="666">
        <v>10</v>
      </c>
      <c r="B231" s="636"/>
      <c r="C231" s="636"/>
      <c r="D231" s="649"/>
      <c r="F231" s="666">
        <v>10</v>
      </c>
      <c r="G231" s="636"/>
      <c r="H231" s="636"/>
      <c r="J231" s="666">
        <v>10</v>
      </c>
      <c r="K231" s="636"/>
      <c r="L231" s="636"/>
      <c r="M231" s="649"/>
      <c r="N231" s="666">
        <v>10</v>
      </c>
      <c r="O231" s="636"/>
      <c r="P231" s="636"/>
      <c r="T231" s="679"/>
      <c r="U231" s="680"/>
      <c r="V231" s="679"/>
      <c r="W231" s="679"/>
      <c r="X231" s="679"/>
      <c r="Y231" s="679"/>
      <c r="Z231" s="679"/>
      <c r="AA231" s="679"/>
      <c r="AB231" s="679"/>
      <c r="AC231" s="218"/>
      <c r="AH231" s="218"/>
    </row>
    <row r="232" spans="1:34" ht="32.25" customHeight="1" x14ac:dyDescent="0.25">
      <c r="A232" s="666">
        <v>9</v>
      </c>
      <c r="B232" s="636"/>
      <c r="C232" s="636"/>
      <c r="D232" s="649"/>
      <c r="F232" s="666">
        <v>9</v>
      </c>
      <c r="G232" s="636"/>
      <c r="H232" s="636"/>
      <c r="J232" s="666">
        <v>9</v>
      </c>
      <c r="K232" s="636"/>
      <c r="L232" s="636"/>
      <c r="M232" s="649"/>
      <c r="N232" s="666">
        <v>9</v>
      </c>
      <c r="O232" s="636"/>
      <c r="P232" s="636"/>
      <c r="T232" s="679"/>
      <c r="U232" s="680"/>
      <c r="V232" s="679"/>
      <c r="W232" s="679"/>
      <c r="X232" s="679"/>
      <c r="Y232" s="679"/>
      <c r="Z232" s="679"/>
      <c r="AA232" s="679"/>
      <c r="AB232" s="679"/>
      <c r="AC232" s="218"/>
      <c r="AH232" s="218"/>
    </row>
    <row r="233" spans="1:34" ht="32.25" customHeight="1" x14ac:dyDescent="0.25">
      <c r="A233" s="666">
        <v>8</v>
      </c>
      <c r="B233" s="636"/>
      <c r="C233" s="636"/>
      <c r="D233" s="649"/>
      <c r="F233" s="666">
        <v>8</v>
      </c>
      <c r="G233" s="636"/>
      <c r="H233" s="636"/>
      <c r="J233" s="666">
        <v>8</v>
      </c>
      <c r="K233" s="636"/>
      <c r="L233" s="636"/>
      <c r="M233" s="649"/>
      <c r="N233" s="666">
        <v>8</v>
      </c>
      <c r="O233" s="636"/>
      <c r="P233" s="636"/>
      <c r="T233" s="679"/>
      <c r="U233" s="680"/>
      <c r="V233" s="679"/>
      <c r="W233" s="679"/>
      <c r="X233" s="679"/>
      <c r="Y233" s="679"/>
      <c r="Z233" s="679"/>
      <c r="AA233" s="679"/>
      <c r="AB233" s="679"/>
      <c r="AC233" s="218"/>
      <c r="AH233" s="218"/>
    </row>
    <row r="234" spans="1:34" ht="32.25" customHeight="1" x14ac:dyDescent="0.25">
      <c r="A234" s="666">
        <v>7</v>
      </c>
      <c r="B234" s="636"/>
      <c r="C234" s="636"/>
      <c r="D234" s="649"/>
      <c r="F234" s="666">
        <v>7</v>
      </c>
      <c r="G234" s="636"/>
      <c r="H234" s="636"/>
      <c r="J234" s="666">
        <v>7</v>
      </c>
      <c r="K234" s="636"/>
      <c r="L234" s="636"/>
      <c r="M234" s="649"/>
      <c r="N234" s="666">
        <v>7</v>
      </c>
      <c r="O234" s="636"/>
      <c r="P234" s="636"/>
      <c r="T234" s="679"/>
      <c r="U234" s="680"/>
      <c r="V234" s="679"/>
      <c r="W234" s="679"/>
      <c r="X234" s="679"/>
      <c r="Y234" s="679"/>
      <c r="Z234" s="679"/>
      <c r="AC234" s="218"/>
      <c r="AH234" s="218"/>
    </row>
    <row r="235" spans="1:34" ht="32.25" customHeight="1" x14ac:dyDescent="0.25">
      <c r="A235" s="666">
        <v>6</v>
      </c>
      <c r="B235" s="636"/>
      <c r="C235" s="636"/>
      <c r="D235" s="649"/>
      <c r="F235" s="666">
        <v>6</v>
      </c>
      <c r="G235" s="636"/>
      <c r="H235" s="636"/>
      <c r="J235" s="666">
        <v>6</v>
      </c>
      <c r="K235" s="636"/>
      <c r="L235" s="636"/>
      <c r="M235" s="649"/>
      <c r="N235" s="666">
        <v>6</v>
      </c>
      <c r="O235" s="636"/>
      <c r="P235" s="636"/>
      <c r="T235" s="679"/>
      <c r="U235" s="680"/>
      <c r="AC235" s="218"/>
      <c r="AH235" s="218"/>
    </row>
    <row r="236" spans="1:34" ht="32.25" customHeight="1" x14ac:dyDescent="0.25">
      <c r="A236" s="666">
        <v>5</v>
      </c>
      <c r="B236" s="636"/>
      <c r="C236" s="636"/>
      <c r="D236" s="649"/>
      <c r="F236" s="666">
        <v>5</v>
      </c>
      <c r="G236" s="636"/>
      <c r="H236" s="636"/>
      <c r="J236" s="666">
        <v>5</v>
      </c>
      <c r="K236" s="636"/>
      <c r="L236" s="636"/>
      <c r="M236" s="649"/>
      <c r="N236" s="666">
        <v>5</v>
      </c>
      <c r="O236" s="636"/>
      <c r="P236" s="636"/>
      <c r="U236" s="520"/>
      <c r="AC236" s="218"/>
      <c r="AH236" s="218"/>
    </row>
    <row r="237" spans="1:34" ht="32.25" customHeight="1" x14ac:dyDescent="0.25">
      <c r="A237" s="666">
        <v>4</v>
      </c>
      <c r="B237" s="636"/>
      <c r="C237" s="636"/>
      <c r="D237" s="649"/>
      <c r="F237" s="666">
        <v>4</v>
      </c>
      <c r="G237" s="636"/>
      <c r="H237" s="636"/>
      <c r="J237" s="666">
        <v>4</v>
      </c>
      <c r="K237" s="636"/>
      <c r="L237" s="636"/>
      <c r="M237" s="649"/>
      <c r="N237" s="666">
        <v>4</v>
      </c>
      <c r="O237" s="636"/>
      <c r="P237" s="636"/>
      <c r="U237" s="520"/>
      <c r="AC237" s="218"/>
      <c r="AH237" s="218"/>
    </row>
    <row r="238" spans="1:34" ht="32.25" customHeight="1" x14ac:dyDescent="0.25">
      <c r="A238" s="666">
        <v>3</v>
      </c>
      <c r="B238" s="636"/>
      <c r="C238" s="636"/>
      <c r="D238" s="649"/>
      <c r="F238" s="666">
        <v>3</v>
      </c>
      <c r="G238" s="636"/>
      <c r="H238" s="636"/>
      <c r="J238" s="666">
        <v>3</v>
      </c>
      <c r="K238" s="636"/>
      <c r="L238" s="636"/>
      <c r="M238" s="649"/>
      <c r="N238" s="666">
        <v>3</v>
      </c>
      <c r="O238" s="636"/>
      <c r="P238" s="636"/>
      <c r="U238" s="520"/>
      <c r="AC238" s="218"/>
      <c r="AH238" s="218"/>
    </row>
    <row r="239" spans="1:34" ht="32.25" customHeight="1" x14ac:dyDescent="0.25">
      <c r="A239" s="666">
        <v>2</v>
      </c>
      <c r="B239" s="636"/>
      <c r="C239" s="636"/>
      <c r="D239" s="649"/>
      <c r="F239" s="666">
        <v>2</v>
      </c>
      <c r="G239" s="636"/>
      <c r="H239" s="636"/>
      <c r="J239" s="666">
        <v>2</v>
      </c>
      <c r="K239" s="636"/>
      <c r="L239" s="636"/>
      <c r="M239" s="649"/>
      <c r="N239" s="666">
        <v>2</v>
      </c>
      <c r="O239" s="636"/>
      <c r="P239" s="636"/>
      <c r="U239" s="520"/>
      <c r="AC239" s="218"/>
      <c r="AH239" s="218"/>
    </row>
    <row r="240" spans="1:34" ht="32.25" customHeight="1" x14ac:dyDescent="0.25">
      <c r="A240" s="666">
        <v>1</v>
      </c>
      <c r="B240" s="636"/>
      <c r="C240" s="636"/>
      <c r="D240" s="649"/>
      <c r="F240" s="666">
        <v>1</v>
      </c>
      <c r="G240" s="636"/>
      <c r="H240" s="636"/>
      <c r="J240" s="666">
        <v>1</v>
      </c>
      <c r="K240" s="636"/>
      <c r="L240" s="636"/>
      <c r="M240" s="649"/>
      <c r="N240" s="666">
        <v>1</v>
      </c>
      <c r="O240" s="636"/>
      <c r="P240" s="636"/>
      <c r="U240" s="520"/>
      <c r="AC240" s="218"/>
      <c r="AH240" s="218"/>
    </row>
    <row r="241" spans="1:34" ht="32.25" customHeight="1" x14ac:dyDescent="0.25">
      <c r="A241" s="666" t="s">
        <v>982</v>
      </c>
      <c r="B241" s="636"/>
      <c r="C241" s="636"/>
      <c r="D241" s="649"/>
      <c r="F241" s="666" t="s">
        <v>982</v>
      </c>
      <c r="G241" s="636"/>
      <c r="H241" s="636"/>
      <c r="J241" s="666" t="s">
        <v>982</v>
      </c>
      <c r="K241" s="636"/>
      <c r="L241" s="636"/>
      <c r="M241" s="649"/>
      <c r="N241" s="666" t="s">
        <v>982</v>
      </c>
      <c r="O241" s="636"/>
      <c r="P241" s="636"/>
      <c r="U241" s="520"/>
      <c r="AC241" s="218"/>
      <c r="AH241" s="218"/>
    </row>
    <row r="242" spans="1:34" ht="32.25" customHeight="1" x14ac:dyDescent="0.25">
      <c r="A242" s="629" t="s">
        <v>981</v>
      </c>
      <c r="B242" s="650"/>
      <c r="C242" s="651" t="s">
        <v>996</v>
      </c>
      <c r="D242" s="649"/>
      <c r="F242" s="629" t="s">
        <v>981</v>
      </c>
      <c r="G242" s="650"/>
      <c r="H242" s="651" t="s">
        <v>996</v>
      </c>
      <c r="J242" s="629" t="s">
        <v>981</v>
      </c>
      <c r="K242" s="650"/>
      <c r="L242" s="651" t="s">
        <v>996</v>
      </c>
      <c r="M242" s="649"/>
      <c r="N242" s="629" t="s">
        <v>981</v>
      </c>
      <c r="O242" s="650"/>
      <c r="P242" s="651" t="s">
        <v>996</v>
      </c>
      <c r="Q242" s="649"/>
      <c r="U242" s="520"/>
      <c r="AC242" s="218"/>
      <c r="AH242" s="218"/>
    </row>
    <row r="243" spans="1:34" ht="32.25" customHeight="1" thickBot="1" x14ac:dyDescent="0.3">
      <c r="A243" s="649"/>
      <c r="B243" s="629" t="s">
        <v>983</v>
      </c>
      <c r="C243" s="665"/>
      <c r="D243" s="649"/>
      <c r="F243" s="637" t="s">
        <v>985</v>
      </c>
      <c r="G243" s="629" t="s">
        <v>983</v>
      </c>
      <c r="H243" s="636"/>
      <c r="J243" s="637" t="s">
        <v>985</v>
      </c>
      <c r="K243" s="629" t="s">
        <v>983</v>
      </c>
      <c r="L243" s="636"/>
      <c r="M243" s="649"/>
      <c r="N243" s="637" t="s">
        <v>985</v>
      </c>
      <c r="O243" s="629" t="s">
        <v>983</v>
      </c>
      <c r="P243" s="636"/>
      <c r="Q243" s="649"/>
      <c r="U243" s="520"/>
      <c r="AC243" s="218"/>
      <c r="AH243" s="218"/>
    </row>
    <row r="244" spans="1:34" ht="41.25" customHeight="1" thickBot="1" x14ac:dyDescent="0.3">
      <c r="A244" s="1114" t="s">
        <v>1001</v>
      </c>
      <c r="B244" s="1114"/>
      <c r="C244" s="734">
        <f ca="1">VLOOKUP(A222&amp;F222,PTS_SP,2,FALSE)</f>
        <v>0</v>
      </c>
      <c r="D244" s="649"/>
      <c r="F244" s="1115" t="s">
        <v>986</v>
      </c>
      <c r="G244" s="1116"/>
      <c r="H244" s="636"/>
      <c r="I244" s="1115" t="s">
        <v>986</v>
      </c>
      <c r="J244" s="1115"/>
      <c r="K244" s="636"/>
      <c r="L244" s="649"/>
      <c r="O244" s="634" t="s">
        <v>987</v>
      </c>
      <c r="P244" s="636"/>
      <c r="Q244" s="649"/>
      <c r="U244" s="520"/>
      <c r="AC244" s="218"/>
      <c r="AH244" s="218"/>
    </row>
    <row r="245" spans="1:34" ht="47.25" customHeight="1" thickBot="1" x14ac:dyDescent="0.3">
      <c r="A245" s="1115" t="s">
        <v>986</v>
      </c>
      <c r="B245" s="1116"/>
      <c r="C245" s="644"/>
      <c r="D245" s="649"/>
      <c r="E245" s="649"/>
      <c r="F245" s="649"/>
      <c r="G245" s="649"/>
      <c r="H245" s="649"/>
      <c r="I245" s="649"/>
      <c r="J245" s="649"/>
      <c r="K245" s="649"/>
      <c r="L245" s="649"/>
      <c r="N245" s="634"/>
      <c r="O245" s="634" t="s">
        <v>997</v>
      </c>
      <c r="P245" s="673"/>
      <c r="Q245" s="674"/>
      <c r="R245" s="663" t="s">
        <v>998</v>
      </c>
      <c r="U245" s="520"/>
      <c r="AC245" s="218"/>
      <c r="AH245" s="218"/>
    </row>
    <row r="246" spans="1:34" ht="36" customHeight="1" thickBot="1" x14ac:dyDescent="0.3">
      <c r="A246" s="649"/>
      <c r="B246" s="649"/>
      <c r="C246" s="649"/>
      <c r="D246" s="649"/>
      <c r="E246" s="672" t="s">
        <v>1002</v>
      </c>
      <c r="F246" s="667"/>
      <c r="G246" s="667"/>
      <c r="H246" s="668"/>
      <c r="I246" s="649"/>
      <c r="J246" s="672" t="s">
        <v>1003</v>
      </c>
      <c r="K246" s="667"/>
      <c r="L246" s="667"/>
      <c r="M246" s="668"/>
      <c r="O246" s="675" t="s">
        <v>1004</v>
      </c>
      <c r="P246" s="676" t="s">
        <v>999</v>
      </c>
      <c r="Q246" s="677" t="s">
        <v>1000</v>
      </c>
      <c r="R246" s="649"/>
      <c r="U246" s="520"/>
      <c r="AC246" s="218"/>
      <c r="AH246" s="218"/>
    </row>
    <row r="247" spans="1:34" ht="36" customHeight="1" thickBot="1" x14ac:dyDescent="0.25">
      <c r="E247" s="669"/>
      <c r="F247" s="670"/>
      <c r="G247" s="670"/>
      <c r="H247" s="671"/>
      <c r="J247" s="669"/>
      <c r="K247" s="670"/>
      <c r="L247" s="670"/>
      <c r="M247" s="671"/>
      <c r="U247" s="520"/>
      <c r="AA247" s="679"/>
      <c r="AB247" s="679"/>
      <c r="AC247" s="218"/>
      <c r="AH247" s="218"/>
    </row>
    <row r="248" spans="1:34" s="218" customFormat="1" ht="23.25" customHeight="1" x14ac:dyDescent="0.2">
      <c r="A248" s="217"/>
      <c r="B248" s="217"/>
      <c r="C248" s="217"/>
      <c r="D248" s="217"/>
      <c r="E248" s="217"/>
      <c r="F248" s="217"/>
      <c r="G248" s="217"/>
      <c r="H248" s="217"/>
      <c r="I248" s="217"/>
      <c r="J248" s="217"/>
      <c r="K248" s="217"/>
      <c r="L248" s="217"/>
      <c r="M248" s="217"/>
      <c r="N248" s="684"/>
      <c r="O248" s="684"/>
      <c r="P248" s="684"/>
      <c r="Q248" s="684"/>
      <c r="R248" s="217"/>
      <c r="S248" s="217"/>
      <c r="T248" s="217"/>
      <c r="U248" s="520"/>
      <c r="V248" s="679"/>
      <c r="W248" s="679"/>
      <c r="X248" s="679"/>
      <c r="Y248" s="679"/>
      <c r="Z248" s="679"/>
      <c r="AA248" s="662"/>
      <c r="AB248" s="662"/>
      <c r="AD248" s="217"/>
      <c r="AE248" s="217"/>
      <c r="AF248" s="217"/>
      <c r="AG248" s="217"/>
    </row>
    <row r="249" spans="1:34" ht="19.5" customHeight="1" thickBot="1" x14ac:dyDescent="0.25">
      <c r="M249" s="500"/>
      <c r="N249" s="520" t="str">
        <f ca="1">INDIRECT("AE"&amp;O249)</f>
        <v>Collège Simone VeilWassigny</v>
      </c>
      <c r="O249" s="500">
        <f>P250+2</f>
        <v>11</v>
      </c>
      <c r="P249" s="501" t="str">
        <f ca="1">INDIRECT("AF"&amp;O249)</f>
        <v>Collège Croix de MetzToul</v>
      </c>
      <c r="Q249" s="500"/>
      <c r="R249" s="500"/>
      <c r="T249" s="679"/>
      <c r="U249" s="679"/>
      <c r="V249" s="679"/>
      <c r="W249" s="679"/>
      <c r="X249" s="679"/>
      <c r="Y249" s="679"/>
      <c r="Z249" s="679"/>
      <c r="AA249" s="679"/>
      <c r="AB249" s="679"/>
      <c r="AC249" s="218"/>
      <c r="AH249" s="218"/>
    </row>
    <row r="250" spans="1:34" s="218" customFormat="1" ht="36" thickBot="1" x14ac:dyDescent="0.25">
      <c r="A250" s="576" t="s">
        <v>546</v>
      </c>
      <c r="B250" s="402" t="str">
        <f>B219</f>
        <v>D3</v>
      </c>
      <c r="D250" s="661" t="s">
        <v>628</v>
      </c>
      <c r="E250" s="660">
        <f ca="1">INDIRECT("AD"&amp;O249)</f>
        <v>6</v>
      </c>
      <c r="F250" s="705" t="str">
        <f>"   "&amp;Championnat</f>
        <v xml:space="preserve">   Championnat de France de Tir à l'ARC</v>
      </c>
      <c r="O250" s="502" t="s">
        <v>849</v>
      </c>
      <c r="P250" s="503">
        <f>P219+1</f>
        <v>9</v>
      </c>
      <c r="R250" s="254"/>
      <c r="S250" s="254"/>
      <c r="T250" s="681"/>
      <c r="U250" s="680"/>
      <c r="V250" s="681"/>
      <c r="X250" s="662"/>
      <c r="Y250" s="662"/>
      <c r="Z250" s="662"/>
      <c r="AA250" s="662"/>
      <c r="AB250" s="662"/>
      <c r="AD250" s="217"/>
      <c r="AE250" s="217"/>
      <c r="AF250" s="217"/>
      <c r="AG250" s="217"/>
    </row>
    <row r="251" spans="1:34" ht="35.25" x14ac:dyDescent="0.2">
      <c r="A251" s="706" t="str">
        <f>CATEG_IMPORTEE</f>
        <v>Collèges Mixtes Etablissement</v>
      </c>
      <c r="J251" s="592" t="str">
        <f>LIEU&amp;" du "&amp;DATE</f>
        <v>L’Isle sur la Sorgue du 27 au 31 mars 2023</v>
      </c>
      <c r="R251" s="254"/>
      <c r="S251" s="254"/>
      <c r="T251" s="681"/>
      <c r="U251" s="680"/>
      <c r="V251" s="681"/>
      <c r="W251" s="679"/>
      <c r="X251" s="679"/>
      <c r="Y251" s="679"/>
      <c r="Z251" s="679"/>
      <c r="AA251" s="679"/>
      <c r="AB251" s="679"/>
      <c r="AC251" s="218"/>
      <c r="AH251" s="218"/>
    </row>
    <row r="252" spans="1:34" ht="24" customHeight="1" thickBot="1" x14ac:dyDescent="0.25">
      <c r="A252" s="648" t="s">
        <v>0</v>
      </c>
      <c r="B252" s="648"/>
      <c r="C252" s="648"/>
      <c r="D252" s="648"/>
      <c r="F252" s="1124" t="s">
        <v>1006</v>
      </c>
      <c r="G252" s="1125"/>
      <c r="H252" s="1125"/>
      <c r="J252" s="648" t="s">
        <v>0</v>
      </c>
      <c r="O252" s="1093" t="s">
        <v>1005</v>
      </c>
      <c r="P252" s="1093"/>
      <c r="R252" s="254"/>
      <c r="S252" s="254"/>
      <c r="T252" s="681"/>
      <c r="U252" s="680"/>
      <c r="V252" s="681"/>
      <c r="W252" s="679"/>
      <c r="X252" s="679"/>
      <c r="Y252" s="679"/>
      <c r="Z252" s="679"/>
      <c r="AA252" s="679"/>
      <c r="AB252" s="679"/>
      <c r="AC252" s="218"/>
      <c r="AH252" s="218"/>
    </row>
    <row r="253" spans="1:34" ht="23.25" customHeight="1" thickBot="1" x14ac:dyDescent="0.25">
      <c r="A253" s="657" t="str">
        <f ca="1">IFERROR(VLOOKUP(N249,Num_AS,2,FALSE),"")</f>
        <v/>
      </c>
      <c r="B253" s="658"/>
      <c r="C253" s="658"/>
      <c r="D253" s="658"/>
      <c r="E253" s="658"/>
      <c r="F253" s="1117" t="str">
        <f ca="1">IFERROR(VLOOKUP(N249,Num_AS,3,FALSE),"")</f>
        <v/>
      </c>
      <c r="G253" s="1118"/>
      <c r="H253" s="1119"/>
      <c r="I253" s="219" t="s">
        <v>547</v>
      </c>
      <c r="J253" s="678" t="str">
        <f ca="1">IFERROR(VLOOKUP(P249,Num_AS,2,FALSE),"")</f>
        <v/>
      </c>
      <c r="K253" s="664"/>
      <c r="L253" s="664"/>
      <c r="M253" s="664"/>
      <c r="N253" s="1120" t="str">
        <f ca="1">IFERROR(VLOOKUP(P249,Num_AS,3,FALSE),"")</f>
        <v/>
      </c>
      <c r="O253" s="1121"/>
      <c r="P253" s="1122"/>
      <c r="R253" s="254"/>
      <c r="S253" s="254"/>
      <c r="T253" s="681"/>
      <c r="U253" s="680"/>
      <c r="V253" s="681"/>
      <c r="W253" s="679"/>
      <c r="X253" s="679"/>
      <c r="Y253" s="679"/>
      <c r="Z253" s="679"/>
      <c r="AA253" s="679"/>
      <c r="AB253" s="679"/>
      <c r="AC253" s="218"/>
      <c r="AH253" s="218"/>
    </row>
    <row r="254" spans="1:34" ht="20.100000000000001" customHeight="1" thickBot="1" x14ac:dyDescent="0.25">
      <c r="E254" s="219"/>
      <c r="F254" s="1107" t="str">
        <f ca="1">IFERROR(VLOOKUP(N249,Num_AS,4,FALSE),"")</f>
        <v/>
      </c>
      <c r="G254" s="1108"/>
      <c r="H254" s="1109"/>
      <c r="N254" s="1110" t="str">
        <f ca="1">IFERROR(VLOOKUP(P249,Num_AS,4,FALSE),"")</f>
        <v/>
      </c>
      <c r="O254" s="1111"/>
      <c r="P254" s="1112"/>
      <c r="R254" s="254"/>
      <c r="S254" s="254"/>
      <c r="T254" s="681"/>
      <c r="U254" s="680"/>
      <c r="V254" s="681"/>
      <c r="W254" s="679"/>
      <c r="X254" s="679"/>
      <c r="Y254" s="679"/>
      <c r="Z254" s="679"/>
      <c r="AA254" s="679"/>
      <c r="AB254" s="679"/>
      <c r="AC254" s="218"/>
      <c r="AH254" s="218"/>
    </row>
    <row r="255" spans="1:34" ht="18" customHeight="1" thickBot="1" x14ac:dyDescent="0.25">
      <c r="A255" s="1123" t="s">
        <v>548</v>
      </c>
      <c r="B255" s="1123"/>
      <c r="C255" s="1123"/>
      <c r="D255" s="1123"/>
      <c r="E255" s="219"/>
      <c r="F255" s="219"/>
      <c r="G255" s="219"/>
      <c r="H255" s="219"/>
      <c r="I255" s="219"/>
      <c r="J255" s="219"/>
      <c r="K255" s="219"/>
      <c r="L255" s="219"/>
      <c r="M255" s="219"/>
      <c r="N255" s="219"/>
      <c r="O255" s="219"/>
      <c r="P255" s="219"/>
      <c r="R255" s="254"/>
      <c r="S255" s="254"/>
      <c r="T255" s="681"/>
      <c r="U255" s="680"/>
      <c r="V255" s="681"/>
      <c r="W255" s="679"/>
      <c r="X255" s="679"/>
      <c r="Y255" s="679"/>
      <c r="Z255" s="679"/>
      <c r="AA255" s="679"/>
      <c r="AB255" s="679"/>
      <c r="AC255" s="218"/>
      <c r="AH255" s="218"/>
    </row>
    <row r="256" spans="1:34" ht="24" customHeight="1" thickTop="1" thickBot="1" x14ac:dyDescent="0.25">
      <c r="A256" s="1126" t="s">
        <v>549</v>
      </c>
      <c r="B256" s="1127"/>
      <c r="C256" s="1127"/>
      <c r="D256" s="1128"/>
      <c r="E256" s="685" t="s">
        <v>480</v>
      </c>
      <c r="F256" s="685" t="s">
        <v>550</v>
      </c>
      <c r="G256" s="686" t="s">
        <v>551</v>
      </c>
      <c r="H256" s="687" t="s">
        <v>779</v>
      </c>
      <c r="J256" s="702" t="s">
        <v>549</v>
      </c>
      <c r="K256" s="703"/>
      <c r="L256" s="703"/>
      <c r="M256" s="704"/>
      <c r="N256" s="685" t="s">
        <v>480</v>
      </c>
      <c r="O256" s="685" t="s">
        <v>550</v>
      </c>
      <c r="P256" s="686" t="s">
        <v>551</v>
      </c>
      <c r="Q256" s="687" t="s">
        <v>779</v>
      </c>
      <c r="R256" s="254"/>
      <c r="S256" s="254"/>
      <c r="T256" s="681"/>
      <c r="U256" s="680"/>
      <c r="V256" s="681"/>
      <c r="W256" s="679"/>
      <c r="X256" s="679"/>
      <c r="Y256" s="679"/>
      <c r="Z256" s="679"/>
      <c r="AA256" s="679"/>
      <c r="AB256" s="679"/>
      <c r="AC256" s="218"/>
      <c r="AH256" s="218"/>
    </row>
    <row r="257" spans="1:34" ht="24.75" customHeight="1" x14ac:dyDescent="0.2">
      <c r="A257" s="659" t="str">
        <f ca="1">IFERROR(VLOOKUP(N249,Num_AS,6,FALSE),"")</f>
        <v/>
      </c>
      <c r="B257" s="588"/>
      <c r="C257" s="653" t="str">
        <f ca="1">IFERROR(VLOOKUP(N249,Num_AS,7,FALSE),"")</f>
        <v/>
      </c>
      <c r="D257" s="652"/>
      <c r="E257" s="654" t="str">
        <f ca="1">IFERROR(VLOOKUP(N249,Num_AS,10,FALSE),"")</f>
        <v/>
      </c>
      <c r="F257" s="654" t="str">
        <f ca="1">IFERROR(VLOOKUP(N249,Num_AS,9,FALSE),"")</f>
        <v/>
      </c>
      <c r="G257" s="655" t="str">
        <f ca="1">IFERROR(VLOOKUP(N249,Num_AS,11,FALSE),"")</f>
        <v/>
      </c>
      <c r="H257" s="688">
        <f ca="1">E250</f>
        <v>6</v>
      </c>
      <c r="J257" s="659" t="str">
        <f ca="1">IFERROR(VLOOKUP(N249,Num_AS,18,FALSE),"")</f>
        <v/>
      </c>
      <c r="K257" s="588"/>
      <c r="L257" s="653" t="str">
        <f ca="1">IFERROR(VLOOKUP(N249,Num_AS,19,FALSE),"")</f>
        <v/>
      </c>
      <c r="M257" s="647"/>
      <c r="N257" s="656" t="str">
        <f ca="1">IFERROR(VLOOKUP(N249,Num_AS,22,FALSE),"")</f>
        <v/>
      </c>
      <c r="O257" s="654" t="str">
        <f ca="1">IFERROR(VLOOKUP(N249,Num_AS,21,FALSE),"")</f>
        <v/>
      </c>
      <c r="P257" s="682" t="str">
        <f ca="1">IFERROR(VLOOKUP(N249,Num_AS,23,FALSE),"")</f>
        <v/>
      </c>
      <c r="Q257" s="688">
        <f ca="1">E250</f>
        <v>6</v>
      </c>
      <c r="R257" s="254"/>
      <c r="S257" s="254"/>
      <c r="T257" s="681"/>
      <c r="U257" s="680"/>
      <c r="V257" s="681"/>
      <c r="W257" s="679"/>
      <c r="X257" s="679"/>
      <c r="Y257" s="679"/>
      <c r="Z257" s="679"/>
      <c r="AA257" s="679"/>
      <c r="AB257" s="679"/>
      <c r="AC257" s="218"/>
      <c r="AH257" s="218"/>
    </row>
    <row r="258" spans="1:34" ht="24.75" customHeight="1" thickBot="1" x14ac:dyDescent="0.25">
      <c r="A258" s="689" t="str">
        <f ca="1">IFERROR(VLOOKUP(N249,Num_AS,12,FALSE),"")</f>
        <v/>
      </c>
      <c r="B258" s="690"/>
      <c r="C258" s="691" t="str">
        <f ca="1">IFERROR(VLOOKUP(N249,Num_AS,13,FALSE),"")</f>
        <v/>
      </c>
      <c r="D258" s="692"/>
      <c r="E258" s="693" t="str">
        <f ca="1">IFERROR(VLOOKUP(N249,Num_AS,16,FALSE),"")</f>
        <v/>
      </c>
      <c r="F258" s="694" t="str">
        <f ca="1">IFERROR(VLOOKUP(N249,Num_AS,15,FALSE),"")</f>
        <v/>
      </c>
      <c r="G258" s="695" t="str">
        <f ca="1">IFERROR(VLOOKUP(N249,Num_AS,17,FALSE),"")</f>
        <v/>
      </c>
      <c r="H258" s="700">
        <f ca="1">E250</f>
        <v>6</v>
      </c>
      <c r="J258" s="689" t="str">
        <f ca="1">IFERROR(VLOOKUP(N249,Num_AS,24,FALSE),"")</f>
        <v/>
      </c>
      <c r="K258" s="690"/>
      <c r="L258" s="691" t="str">
        <f ca="1">IFERROR(VLOOKUP(N249,Num_AS,25,FALSE),"")</f>
        <v/>
      </c>
      <c r="M258" s="697"/>
      <c r="N258" s="698" t="str">
        <f ca="1">IFERROR(VLOOKUP(N249,Num_AS,28,FALSE),"")</f>
        <v/>
      </c>
      <c r="O258" s="694" t="str">
        <f ca="1">IFERROR(VLOOKUP(N249,Num_AS,27,FALSE),"")</f>
        <v/>
      </c>
      <c r="P258" s="699" t="str">
        <f ca="1">IFERROR(VLOOKUP(N249,Num_AS,29,FALSE),"")</f>
        <v/>
      </c>
      <c r="Q258" s="700">
        <f ca="1">E250</f>
        <v>6</v>
      </c>
      <c r="R258" s="254"/>
      <c r="S258" s="254"/>
      <c r="T258" s="681"/>
      <c r="U258" s="680"/>
      <c r="V258" s="681"/>
      <c r="W258" s="681"/>
      <c r="X258" s="681"/>
      <c r="Y258" s="681"/>
      <c r="Z258" s="679"/>
      <c r="AA258" s="679"/>
      <c r="AB258" s="679"/>
      <c r="AC258" s="218"/>
      <c r="AH258" s="218"/>
    </row>
    <row r="259" spans="1:34" ht="12.75" customHeight="1" thickTop="1" x14ac:dyDescent="0.2">
      <c r="A259" s="701"/>
      <c r="B259" s="249"/>
      <c r="C259" s="701"/>
      <c r="D259" s="701"/>
      <c r="E259" s="196"/>
      <c r="F259" s="196"/>
      <c r="G259" s="249"/>
      <c r="H259" s="219"/>
      <c r="I259" s="701"/>
      <c r="J259" s="249"/>
      <c r="K259" s="701"/>
      <c r="L259" s="249"/>
      <c r="M259" s="196"/>
      <c r="N259" s="196"/>
      <c r="O259" s="249"/>
      <c r="P259" s="219"/>
      <c r="R259" s="254"/>
      <c r="S259" s="254"/>
      <c r="T259" s="681"/>
      <c r="U259" s="680"/>
      <c r="V259" s="681"/>
      <c r="W259" s="681"/>
      <c r="X259" s="681"/>
      <c r="Y259" s="681"/>
      <c r="Z259" s="679"/>
      <c r="AA259" s="679"/>
      <c r="AB259" s="679"/>
      <c r="AC259" s="218"/>
      <c r="AH259" s="218"/>
    </row>
    <row r="260" spans="1:34" ht="37.5" customHeight="1" x14ac:dyDescent="0.2">
      <c r="A260" s="1113" t="s">
        <v>909</v>
      </c>
      <c r="B260" s="1113"/>
      <c r="C260" s="1113"/>
      <c r="F260" s="1113" t="s">
        <v>910</v>
      </c>
      <c r="G260" s="1113"/>
      <c r="H260" s="1113"/>
      <c r="J260" s="1113" t="s">
        <v>911</v>
      </c>
      <c r="K260" s="1113"/>
      <c r="L260" s="1113"/>
      <c r="N260" s="1113" t="s">
        <v>912</v>
      </c>
      <c r="O260" s="1113"/>
      <c r="P260" s="1113"/>
      <c r="R260" s="254"/>
      <c r="S260" s="254"/>
      <c r="T260" s="681"/>
      <c r="U260" s="680"/>
      <c r="V260" s="679"/>
      <c r="W260" s="679"/>
      <c r="X260" s="679"/>
      <c r="Y260" s="679"/>
      <c r="Z260" s="679"/>
      <c r="AA260" s="679"/>
      <c r="AB260" s="679"/>
      <c r="AC260" s="218"/>
      <c r="AH260" s="218"/>
    </row>
    <row r="261" spans="1:34" ht="37.5" customHeight="1" x14ac:dyDescent="0.25">
      <c r="A261" s="629" t="s">
        <v>980</v>
      </c>
      <c r="B261" s="629" t="s">
        <v>981</v>
      </c>
      <c r="C261" s="636" t="s">
        <v>780</v>
      </c>
      <c r="D261" s="649"/>
      <c r="F261" s="629" t="s">
        <v>980</v>
      </c>
      <c r="G261" s="629" t="s">
        <v>981</v>
      </c>
      <c r="H261" s="636" t="s">
        <v>780</v>
      </c>
      <c r="J261" s="629" t="s">
        <v>980</v>
      </c>
      <c r="K261" s="629" t="s">
        <v>981</v>
      </c>
      <c r="L261" s="636" t="s">
        <v>780</v>
      </c>
      <c r="M261" s="649"/>
      <c r="N261" s="629" t="s">
        <v>980</v>
      </c>
      <c r="O261" s="629" t="s">
        <v>981</v>
      </c>
      <c r="P261" s="636" t="s">
        <v>780</v>
      </c>
      <c r="T261" s="679"/>
      <c r="U261" s="680"/>
      <c r="V261" s="679"/>
      <c r="W261" s="679"/>
      <c r="X261" s="679"/>
      <c r="Y261" s="679"/>
      <c r="Z261" s="679"/>
      <c r="AA261" s="679"/>
      <c r="AB261" s="679"/>
      <c r="AC261" s="218"/>
      <c r="AH261" s="218"/>
    </row>
    <row r="262" spans="1:34" ht="32.25" customHeight="1" x14ac:dyDescent="0.25">
      <c r="A262" s="666">
        <v>10</v>
      </c>
      <c r="B262" s="636"/>
      <c r="C262" s="636"/>
      <c r="D262" s="649"/>
      <c r="F262" s="666">
        <v>10</v>
      </c>
      <c r="G262" s="636"/>
      <c r="H262" s="636"/>
      <c r="J262" s="666">
        <v>10</v>
      </c>
      <c r="K262" s="636"/>
      <c r="L262" s="636"/>
      <c r="M262" s="649"/>
      <c r="N262" s="666">
        <v>10</v>
      </c>
      <c r="O262" s="636"/>
      <c r="P262" s="636"/>
      <c r="T262" s="679"/>
      <c r="U262" s="680"/>
      <c r="V262" s="679"/>
      <c r="W262" s="679"/>
      <c r="X262" s="679"/>
      <c r="Y262" s="679"/>
      <c r="Z262" s="679"/>
      <c r="AA262" s="679"/>
      <c r="AB262" s="679"/>
      <c r="AC262" s="218"/>
      <c r="AH262" s="218"/>
    </row>
    <row r="263" spans="1:34" ht="32.25" customHeight="1" x14ac:dyDescent="0.25">
      <c r="A263" s="666">
        <v>9</v>
      </c>
      <c r="B263" s="636"/>
      <c r="C263" s="636"/>
      <c r="D263" s="649"/>
      <c r="F263" s="666">
        <v>9</v>
      </c>
      <c r="G263" s="636"/>
      <c r="H263" s="636"/>
      <c r="J263" s="666">
        <v>9</v>
      </c>
      <c r="K263" s="636"/>
      <c r="L263" s="636"/>
      <c r="M263" s="649"/>
      <c r="N263" s="666">
        <v>9</v>
      </c>
      <c r="O263" s="636"/>
      <c r="P263" s="636"/>
      <c r="T263" s="679"/>
      <c r="U263" s="680"/>
      <c r="V263" s="679"/>
      <c r="W263" s="679"/>
      <c r="X263" s="679"/>
      <c r="Y263" s="679"/>
      <c r="Z263" s="679"/>
      <c r="AA263" s="679"/>
      <c r="AB263" s="679"/>
      <c r="AC263" s="218"/>
      <c r="AH263" s="218"/>
    </row>
    <row r="264" spans="1:34" ht="32.25" customHeight="1" x14ac:dyDescent="0.25">
      <c r="A264" s="666">
        <v>8</v>
      </c>
      <c r="B264" s="636"/>
      <c r="C264" s="636"/>
      <c r="D264" s="649"/>
      <c r="F264" s="666">
        <v>8</v>
      </c>
      <c r="G264" s="636"/>
      <c r="H264" s="636"/>
      <c r="J264" s="666">
        <v>8</v>
      </c>
      <c r="K264" s="636"/>
      <c r="L264" s="636"/>
      <c r="M264" s="649"/>
      <c r="N264" s="666">
        <v>8</v>
      </c>
      <c r="O264" s="636"/>
      <c r="P264" s="636"/>
      <c r="T264" s="679"/>
      <c r="U264" s="680"/>
      <c r="V264" s="679"/>
      <c r="W264" s="679"/>
      <c r="X264" s="679"/>
      <c r="Y264" s="679"/>
      <c r="Z264" s="679"/>
      <c r="AA264" s="679"/>
      <c r="AB264" s="679"/>
      <c r="AC264" s="218"/>
      <c r="AH264" s="218"/>
    </row>
    <row r="265" spans="1:34" ht="32.25" customHeight="1" x14ac:dyDescent="0.25">
      <c r="A265" s="666">
        <v>7</v>
      </c>
      <c r="B265" s="636"/>
      <c r="C265" s="636"/>
      <c r="D265" s="649"/>
      <c r="F265" s="666">
        <v>7</v>
      </c>
      <c r="G265" s="636"/>
      <c r="H265" s="636"/>
      <c r="J265" s="666">
        <v>7</v>
      </c>
      <c r="K265" s="636"/>
      <c r="L265" s="636"/>
      <c r="M265" s="649"/>
      <c r="N265" s="666">
        <v>7</v>
      </c>
      <c r="O265" s="636"/>
      <c r="P265" s="636"/>
      <c r="T265" s="679"/>
      <c r="U265" s="680"/>
      <c r="V265" s="679"/>
      <c r="W265" s="679"/>
      <c r="X265" s="679"/>
      <c r="Y265" s="679"/>
      <c r="Z265" s="679"/>
      <c r="AC265" s="218"/>
      <c r="AH265" s="218"/>
    </row>
    <row r="266" spans="1:34" ht="32.25" customHeight="1" x14ac:dyDescent="0.25">
      <c r="A266" s="666">
        <v>6</v>
      </c>
      <c r="B266" s="636"/>
      <c r="C266" s="636"/>
      <c r="D266" s="649"/>
      <c r="F266" s="666">
        <v>6</v>
      </c>
      <c r="G266" s="636"/>
      <c r="H266" s="636"/>
      <c r="J266" s="666">
        <v>6</v>
      </c>
      <c r="K266" s="636"/>
      <c r="L266" s="636"/>
      <c r="M266" s="649"/>
      <c r="N266" s="666">
        <v>6</v>
      </c>
      <c r="O266" s="636"/>
      <c r="P266" s="636"/>
      <c r="T266" s="679"/>
      <c r="U266" s="680"/>
      <c r="AC266" s="218"/>
      <c r="AH266" s="218"/>
    </row>
    <row r="267" spans="1:34" ht="32.25" customHeight="1" x14ac:dyDescent="0.25">
      <c r="A267" s="666">
        <v>5</v>
      </c>
      <c r="B267" s="636"/>
      <c r="C267" s="636"/>
      <c r="D267" s="649"/>
      <c r="F267" s="666">
        <v>5</v>
      </c>
      <c r="G267" s="636"/>
      <c r="H267" s="636"/>
      <c r="J267" s="666">
        <v>5</v>
      </c>
      <c r="K267" s="636"/>
      <c r="L267" s="636"/>
      <c r="M267" s="649"/>
      <c r="N267" s="666">
        <v>5</v>
      </c>
      <c r="O267" s="636"/>
      <c r="P267" s="636"/>
      <c r="U267" s="520"/>
      <c r="AC267" s="218"/>
      <c r="AH267" s="218"/>
    </row>
    <row r="268" spans="1:34" ht="32.25" customHeight="1" x14ac:dyDescent="0.25">
      <c r="A268" s="666">
        <v>4</v>
      </c>
      <c r="B268" s="636"/>
      <c r="C268" s="636"/>
      <c r="D268" s="649"/>
      <c r="F268" s="666">
        <v>4</v>
      </c>
      <c r="G268" s="636"/>
      <c r="H268" s="636"/>
      <c r="J268" s="666">
        <v>4</v>
      </c>
      <c r="K268" s="636"/>
      <c r="L268" s="636"/>
      <c r="M268" s="649"/>
      <c r="N268" s="666">
        <v>4</v>
      </c>
      <c r="O268" s="636"/>
      <c r="P268" s="636"/>
      <c r="U268" s="520"/>
      <c r="AC268" s="218"/>
      <c r="AH268" s="218"/>
    </row>
    <row r="269" spans="1:34" ht="32.25" customHeight="1" x14ac:dyDescent="0.25">
      <c r="A269" s="666">
        <v>3</v>
      </c>
      <c r="B269" s="636"/>
      <c r="C269" s="636"/>
      <c r="D269" s="649"/>
      <c r="F269" s="666">
        <v>3</v>
      </c>
      <c r="G269" s="636"/>
      <c r="H269" s="636"/>
      <c r="J269" s="666">
        <v>3</v>
      </c>
      <c r="K269" s="636"/>
      <c r="L269" s="636"/>
      <c r="M269" s="649"/>
      <c r="N269" s="666">
        <v>3</v>
      </c>
      <c r="O269" s="636"/>
      <c r="P269" s="636"/>
      <c r="U269" s="520"/>
      <c r="AC269" s="218"/>
      <c r="AH269" s="218"/>
    </row>
    <row r="270" spans="1:34" ht="32.25" customHeight="1" x14ac:dyDescent="0.25">
      <c r="A270" s="666">
        <v>2</v>
      </c>
      <c r="B270" s="636"/>
      <c r="C270" s="636"/>
      <c r="D270" s="649"/>
      <c r="F270" s="666">
        <v>2</v>
      </c>
      <c r="G270" s="636"/>
      <c r="H270" s="636"/>
      <c r="J270" s="666">
        <v>2</v>
      </c>
      <c r="K270" s="636"/>
      <c r="L270" s="636"/>
      <c r="M270" s="649"/>
      <c r="N270" s="666">
        <v>2</v>
      </c>
      <c r="O270" s="636"/>
      <c r="P270" s="636"/>
      <c r="U270" s="520"/>
      <c r="AC270" s="218"/>
      <c r="AH270" s="218"/>
    </row>
    <row r="271" spans="1:34" ht="32.25" customHeight="1" x14ac:dyDescent="0.25">
      <c r="A271" s="666">
        <v>1</v>
      </c>
      <c r="B271" s="636"/>
      <c r="C271" s="636"/>
      <c r="D271" s="649"/>
      <c r="F271" s="666">
        <v>1</v>
      </c>
      <c r="G271" s="636"/>
      <c r="H271" s="636"/>
      <c r="J271" s="666">
        <v>1</v>
      </c>
      <c r="K271" s="636"/>
      <c r="L271" s="636"/>
      <c r="M271" s="649"/>
      <c r="N271" s="666">
        <v>1</v>
      </c>
      <c r="O271" s="636"/>
      <c r="P271" s="636"/>
      <c r="U271" s="520"/>
      <c r="AC271" s="218"/>
      <c r="AH271" s="218"/>
    </row>
    <row r="272" spans="1:34" ht="32.25" customHeight="1" x14ac:dyDescent="0.25">
      <c r="A272" s="666" t="s">
        <v>982</v>
      </c>
      <c r="B272" s="636"/>
      <c r="C272" s="636"/>
      <c r="D272" s="649"/>
      <c r="F272" s="666" t="s">
        <v>982</v>
      </c>
      <c r="G272" s="636"/>
      <c r="H272" s="636"/>
      <c r="J272" s="666" t="s">
        <v>982</v>
      </c>
      <c r="K272" s="636"/>
      <c r="L272" s="636"/>
      <c r="M272" s="649"/>
      <c r="N272" s="666" t="s">
        <v>982</v>
      </c>
      <c r="O272" s="636"/>
      <c r="P272" s="636"/>
      <c r="U272" s="520"/>
      <c r="AC272" s="218"/>
      <c r="AH272" s="218"/>
    </row>
    <row r="273" spans="1:34" ht="32.25" customHeight="1" x14ac:dyDescent="0.25">
      <c r="A273" s="629" t="s">
        <v>981</v>
      </c>
      <c r="B273" s="650"/>
      <c r="C273" s="651" t="s">
        <v>996</v>
      </c>
      <c r="D273" s="649"/>
      <c r="F273" s="629" t="s">
        <v>981</v>
      </c>
      <c r="G273" s="650"/>
      <c r="H273" s="651" t="s">
        <v>996</v>
      </c>
      <c r="J273" s="629" t="s">
        <v>981</v>
      </c>
      <c r="K273" s="650"/>
      <c r="L273" s="651" t="s">
        <v>996</v>
      </c>
      <c r="M273" s="649"/>
      <c r="N273" s="629" t="s">
        <v>981</v>
      </c>
      <c r="O273" s="650"/>
      <c r="P273" s="651" t="s">
        <v>996</v>
      </c>
      <c r="Q273" s="649"/>
      <c r="U273" s="520"/>
      <c r="AC273" s="218"/>
      <c r="AH273" s="218"/>
    </row>
    <row r="274" spans="1:34" ht="32.25" customHeight="1" thickBot="1" x14ac:dyDescent="0.3">
      <c r="A274" s="649"/>
      <c r="B274" s="629" t="s">
        <v>983</v>
      </c>
      <c r="C274" s="665"/>
      <c r="D274" s="649"/>
      <c r="F274" s="637" t="s">
        <v>985</v>
      </c>
      <c r="G274" s="629" t="s">
        <v>983</v>
      </c>
      <c r="H274" s="636"/>
      <c r="J274" s="637" t="s">
        <v>985</v>
      </c>
      <c r="K274" s="629" t="s">
        <v>983</v>
      </c>
      <c r="L274" s="636"/>
      <c r="M274" s="649"/>
      <c r="N274" s="637" t="s">
        <v>985</v>
      </c>
      <c r="O274" s="629" t="s">
        <v>983</v>
      </c>
      <c r="P274" s="636"/>
      <c r="Q274" s="649"/>
      <c r="U274" s="520"/>
      <c r="AC274" s="218"/>
      <c r="AH274" s="218"/>
    </row>
    <row r="275" spans="1:34" ht="41.25" customHeight="1" thickBot="1" x14ac:dyDescent="0.3">
      <c r="A275" s="1114" t="s">
        <v>1001</v>
      </c>
      <c r="B275" s="1114"/>
      <c r="C275" s="734">
        <f ca="1">VLOOKUP(A253&amp;F253,PTS_SP,2,FALSE)</f>
        <v>0</v>
      </c>
      <c r="D275" s="649"/>
      <c r="F275" s="1115" t="s">
        <v>986</v>
      </c>
      <c r="G275" s="1116"/>
      <c r="H275" s="636"/>
      <c r="I275" s="1115" t="s">
        <v>986</v>
      </c>
      <c r="J275" s="1115"/>
      <c r="K275" s="636"/>
      <c r="L275" s="649"/>
      <c r="O275" s="634" t="s">
        <v>987</v>
      </c>
      <c r="P275" s="636"/>
      <c r="Q275" s="649"/>
      <c r="U275" s="520"/>
      <c r="AC275" s="218"/>
      <c r="AH275" s="218"/>
    </row>
    <row r="276" spans="1:34" ht="47.25" customHeight="1" thickBot="1" x14ac:dyDescent="0.3">
      <c r="A276" s="1115" t="s">
        <v>986</v>
      </c>
      <c r="B276" s="1116"/>
      <c r="C276" s="644"/>
      <c r="D276" s="649"/>
      <c r="E276" s="649"/>
      <c r="F276" s="649"/>
      <c r="G276" s="649"/>
      <c r="H276" s="649"/>
      <c r="I276" s="649"/>
      <c r="J276" s="649"/>
      <c r="K276" s="649"/>
      <c r="L276" s="649"/>
      <c r="N276" s="634"/>
      <c r="O276" s="634" t="s">
        <v>997</v>
      </c>
      <c r="P276" s="673"/>
      <c r="Q276" s="674"/>
      <c r="R276" s="663" t="s">
        <v>998</v>
      </c>
      <c r="U276" s="520"/>
      <c r="AC276" s="218"/>
      <c r="AH276" s="218"/>
    </row>
    <row r="277" spans="1:34" ht="36" customHeight="1" thickBot="1" x14ac:dyDescent="0.3">
      <c r="A277" s="649"/>
      <c r="B277" s="649"/>
      <c r="C277" s="649"/>
      <c r="D277" s="649"/>
      <c r="E277" s="672" t="s">
        <v>1002</v>
      </c>
      <c r="F277" s="667"/>
      <c r="G277" s="667"/>
      <c r="H277" s="668"/>
      <c r="I277" s="649"/>
      <c r="J277" s="672" t="s">
        <v>1003</v>
      </c>
      <c r="K277" s="667"/>
      <c r="L277" s="667"/>
      <c r="M277" s="668"/>
      <c r="O277" s="675" t="s">
        <v>1004</v>
      </c>
      <c r="P277" s="676" t="s">
        <v>999</v>
      </c>
      <c r="Q277" s="677" t="s">
        <v>1000</v>
      </c>
      <c r="R277" s="649"/>
      <c r="U277" s="520"/>
      <c r="AC277" s="218"/>
      <c r="AH277" s="218"/>
    </row>
    <row r="278" spans="1:34" ht="36" customHeight="1" thickBot="1" x14ac:dyDescent="0.25">
      <c r="E278" s="669"/>
      <c r="F278" s="670"/>
      <c r="G278" s="670"/>
      <c r="H278" s="671"/>
      <c r="J278" s="669"/>
      <c r="K278" s="670"/>
      <c r="L278" s="670"/>
      <c r="M278" s="671"/>
      <c r="U278" s="520"/>
      <c r="AA278" s="679"/>
      <c r="AB278" s="679"/>
      <c r="AC278" s="218"/>
      <c r="AH278" s="218"/>
    </row>
    <row r="279" spans="1:34" s="218" customFormat="1" ht="23.25" customHeight="1" x14ac:dyDescent="0.2">
      <c r="A279" s="217"/>
      <c r="B279" s="217"/>
      <c r="C279" s="217"/>
      <c r="D279" s="217"/>
      <c r="E279" s="217"/>
      <c r="F279" s="217"/>
      <c r="G279" s="217"/>
      <c r="H279" s="217"/>
      <c r="I279" s="217"/>
      <c r="J279" s="217"/>
      <c r="K279" s="217"/>
      <c r="L279" s="217"/>
      <c r="M279" s="217"/>
      <c r="N279" s="684"/>
      <c r="O279" s="684"/>
      <c r="P279" s="684"/>
      <c r="Q279" s="684"/>
      <c r="R279" s="217"/>
      <c r="S279" s="217"/>
      <c r="T279" s="217"/>
      <c r="U279" s="520"/>
      <c r="V279" s="679"/>
      <c r="W279" s="679"/>
      <c r="X279" s="679"/>
      <c r="Y279" s="679"/>
      <c r="Z279" s="679"/>
      <c r="AA279" s="662"/>
      <c r="AB279" s="662"/>
      <c r="AD279" s="217"/>
      <c r="AE279" s="217"/>
      <c r="AF279" s="217"/>
      <c r="AG279" s="217"/>
    </row>
    <row r="280" spans="1:34" ht="19.5" customHeight="1" thickBot="1" x14ac:dyDescent="0.25">
      <c r="M280" s="500"/>
      <c r="N280" s="520" t="str">
        <f ca="1">INDIRECT("AE"&amp;O280)</f>
        <v>Collège Croix de MetzToul</v>
      </c>
      <c r="O280" s="500">
        <f>P281+2</f>
        <v>12</v>
      </c>
      <c r="P280" s="501" t="str">
        <f ca="1">INDIRECT("AF"&amp;O280)</f>
        <v>Collège Simone VeilWassigny</v>
      </c>
      <c r="Q280" s="500"/>
      <c r="R280" s="500"/>
      <c r="T280" s="679"/>
      <c r="U280" s="679"/>
      <c r="V280" s="679"/>
      <c r="W280" s="679"/>
      <c r="X280" s="679"/>
      <c r="Y280" s="679"/>
      <c r="Z280" s="679"/>
      <c r="AA280" s="679"/>
      <c r="AB280" s="679"/>
      <c r="AC280" s="218"/>
      <c r="AH280" s="218"/>
    </row>
    <row r="281" spans="1:34" s="218" customFormat="1" ht="36" thickBot="1" x14ac:dyDescent="0.25">
      <c r="A281" s="576" t="s">
        <v>546</v>
      </c>
      <c r="B281" s="402" t="str">
        <f>B250</f>
        <v>D3</v>
      </c>
      <c r="D281" s="661" t="s">
        <v>628</v>
      </c>
      <c r="E281" s="660">
        <f ca="1">INDIRECT("AD"&amp;O280)</f>
        <v>7</v>
      </c>
      <c r="F281" s="705" t="str">
        <f>"   "&amp;Championnat</f>
        <v xml:space="preserve">   Championnat de France de Tir à l'ARC</v>
      </c>
      <c r="O281" s="502" t="s">
        <v>849</v>
      </c>
      <c r="P281" s="503">
        <f>P250+1</f>
        <v>10</v>
      </c>
      <c r="R281" s="254"/>
      <c r="S281" s="254"/>
      <c r="T281" s="681"/>
      <c r="U281" s="680"/>
      <c r="V281" s="681"/>
      <c r="X281" s="662"/>
      <c r="Y281" s="662"/>
      <c r="Z281" s="662"/>
      <c r="AA281" s="662"/>
      <c r="AB281" s="662"/>
      <c r="AD281" s="217"/>
      <c r="AE281" s="217"/>
      <c r="AF281" s="217"/>
      <c r="AG281" s="217"/>
    </row>
    <row r="282" spans="1:34" ht="35.25" x14ac:dyDescent="0.2">
      <c r="A282" s="706" t="str">
        <f>CATEG_IMPORTEE</f>
        <v>Collèges Mixtes Etablissement</v>
      </c>
      <c r="J282" s="592" t="str">
        <f>LIEU&amp;" du "&amp;DATE</f>
        <v>L’Isle sur la Sorgue du 27 au 31 mars 2023</v>
      </c>
      <c r="R282" s="254"/>
      <c r="S282" s="254"/>
      <c r="T282" s="681"/>
      <c r="U282" s="680"/>
      <c r="V282" s="681"/>
      <c r="W282" s="679"/>
      <c r="X282" s="679"/>
      <c r="Y282" s="679"/>
      <c r="Z282" s="679"/>
      <c r="AA282" s="679"/>
      <c r="AB282" s="679"/>
      <c r="AC282" s="218"/>
      <c r="AH282" s="218"/>
    </row>
    <row r="283" spans="1:34" ht="24" customHeight="1" thickBot="1" x14ac:dyDescent="0.25">
      <c r="A283" s="648" t="s">
        <v>0</v>
      </c>
      <c r="B283" s="648"/>
      <c r="C283" s="648"/>
      <c r="D283" s="648"/>
      <c r="F283" s="1124" t="s">
        <v>1006</v>
      </c>
      <c r="G283" s="1125"/>
      <c r="H283" s="1125"/>
      <c r="J283" s="648" t="s">
        <v>0</v>
      </c>
      <c r="O283" s="1093" t="s">
        <v>1005</v>
      </c>
      <c r="P283" s="1093"/>
      <c r="R283" s="254"/>
      <c r="S283" s="254"/>
      <c r="T283" s="681"/>
      <c r="U283" s="680"/>
      <c r="V283" s="681"/>
      <c r="W283" s="679"/>
      <c r="X283" s="679"/>
      <c r="Y283" s="679"/>
      <c r="Z283" s="679"/>
      <c r="AA283" s="679"/>
      <c r="AB283" s="679"/>
      <c r="AC283" s="218"/>
      <c r="AH283" s="218"/>
    </row>
    <row r="284" spans="1:34" ht="23.25" customHeight="1" thickBot="1" x14ac:dyDescent="0.25">
      <c r="A284" s="657" t="str">
        <f ca="1">IFERROR(VLOOKUP(N280,Num_AS,2,FALSE),"")</f>
        <v/>
      </c>
      <c r="B284" s="658"/>
      <c r="C284" s="658"/>
      <c r="D284" s="658"/>
      <c r="E284" s="658"/>
      <c r="F284" s="1117" t="str">
        <f ca="1">IFERROR(VLOOKUP(N280,Num_AS,3,FALSE),"")</f>
        <v/>
      </c>
      <c r="G284" s="1118"/>
      <c r="H284" s="1119"/>
      <c r="I284" s="219" t="s">
        <v>547</v>
      </c>
      <c r="J284" s="678" t="str">
        <f ca="1">IFERROR(VLOOKUP(P280,Num_AS,2,FALSE),"")</f>
        <v/>
      </c>
      <c r="K284" s="664"/>
      <c r="L284" s="664"/>
      <c r="M284" s="664"/>
      <c r="N284" s="1120" t="str">
        <f ca="1">IFERROR(VLOOKUP(P280,Num_AS,3,FALSE),"")</f>
        <v/>
      </c>
      <c r="O284" s="1121"/>
      <c r="P284" s="1122"/>
      <c r="R284" s="254"/>
      <c r="S284" s="254"/>
      <c r="T284" s="681"/>
      <c r="U284" s="680"/>
      <c r="V284" s="681"/>
      <c r="W284" s="679"/>
      <c r="X284" s="679"/>
      <c r="Y284" s="679"/>
      <c r="Z284" s="679"/>
      <c r="AA284" s="679"/>
      <c r="AB284" s="679"/>
      <c r="AC284" s="218"/>
      <c r="AH284" s="218"/>
    </row>
    <row r="285" spans="1:34" ht="20.100000000000001" customHeight="1" thickBot="1" x14ac:dyDescent="0.25">
      <c r="E285" s="219"/>
      <c r="F285" s="1107" t="str">
        <f ca="1">IFERROR(VLOOKUP(N280,Num_AS,4,FALSE),"")</f>
        <v/>
      </c>
      <c r="G285" s="1108"/>
      <c r="H285" s="1109"/>
      <c r="N285" s="1110" t="str">
        <f ca="1">IFERROR(VLOOKUP(P280,Num_AS,4,FALSE),"")</f>
        <v/>
      </c>
      <c r="O285" s="1111"/>
      <c r="P285" s="1112"/>
      <c r="R285" s="254"/>
      <c r="S285" s="254"/>
      <c r="T285" s="681"/>
      <c r="U285" s="680"/>
      <c r="V285" s="681"/>
      <c r="W285" s="679"/>
      <c r="X285" s="679"/>
      <c r="Y285" s="679"/>
      <c r="Z285" s="679"/>
      <c r="AA285" s="679"/>
      <c r="AB285" s="679"/>
      <c r="AC285" s="218"/>
      <c r="AH285" s="218"/>
    </row>
    <row r="286" spans="1:34" ht="18" customHeight="1" thickBot="1" x14ac:dyDescent="0.25">
      <c r="A286" s="1123" t="s">
        <v>548</v>
      </c>
      <c r="B286" s="1123"/>
      <c r="C286" s="1123"/>
      <c r="D286" s="1123"/>
      <c r="E286" s="219"/>
      <c r="F286" s="219"/>
      <c r="G286" s="219"/>
      <c r="H286" s="219"/>
      <c r="I286" s="219"/>
      <c r="J286" s="219"/>
      <c r="K286" s="219"/>
      <c r="L286" s="219"/>
      <c r="M286" s="219"/>
      <c r="N286" s="219"/>
      <c r="O286" s="219"/>
      <c r="P286" s="219"/>
      <c r="R286" s="254"/>
      <c r="S286" s="254"/>
      <c r="T286" s="681"/>
      <c r="U286" s="680"/>
      <c r="V286" s="681"/>
      <c r="W286" s="679"/>
      <c r="X286" s="679"/>
      <c r="Y286" s="679"/>
      <c r="Z286" s="679"/>
      <c r="AA286" s="679"/>
      <c r="AB286" s="679"/>
      <c r="AC286" s="218"/>
      <c r="AH286" s="218"/>
    </row>
    <row r="287" spans="1:34" ht="24" customHeight="1" thickTop="1" thickBot="1" x14ac:dyDescent="0.25">
      <c r="A287" s="1126" t="s">
        <v>549</v>
      </c>
      <c r="B287" s="1127"/>
      <c r="C287" s="1127"/>
      <c r="D287" s="1128"/>
      <c r="E287" s="685" t="s">
        <v>480</v>
      </c>
      <c r="F287" s="685" t="s">
        <v>550</v>
      </c>
      <c r="G287" s="686" t="s">
        <v>551</v>
      </c>
      <c r="H287" s="687" t="s">
        <v>779</v>
      </c>
      <c r="J287" s="702" t="s">
        <v>549</v>
      </c>
      <c r="K287" s="703"/>
      <c r="L287" s="703"/>
      <c r="M287" s="704"/>
      <c r="N287" s="685" t="s">
        <v>480</v>
      </c>
      <c r="O287" s="685" t="s">
        <v>550</v>
      </c>
      <c r="P287" s="686" t="s">
        <v>551</v>
      </c>
      <c r="Q287" s="687" t="s">
        <v>779</v>
      </c>
      <c r="R287" s="254"/>
      <c r="S287" s="254"/>
      <c r="T287" s="681"/>
      <c r="U287" s="680"/>
      <c r="V287" s="681"/>
      <c r="W287" s="679"/>
      <c r="X287" s="679"/>
      <c r="Y287" s="679"/>
      <c r="Z287" s="679"/>
      <c r="AA287" s="679"/>
      <c r="AB287" s="679"/>
      <c r="AC287" s="218"/>
      <c r="AH287" s="218"/>
    </row>
    <row r="288" spans="1:34" ht="24.75" customHeight="1" x14ac:dyDescent="0.2">
      <c r="A288" s="659" t="str">
        <f ca="1">IFERROR(VLOOKUP(N280,Num_AS,6,FALSE),"")</f>
        <v/>
      </c>
      <c r="B288" s="588"/>
      <c r="C288" s="653" t="str">
        <f ca="1">IFERROR(VLOOKUP(N280,Num_AS,7,FALSE),"")</f>
        <v/>
      </c>
      <c r="D288" s="652"/>
      <c r="E288" s="654" t="str">
        <f ca="1">IFERROR(VLOOKUP(N280,Num_AS,10,FALSE),"")</f>
        <v/>
      </c>
      <c r="F288" s="654" t="str">
        <f ca="1">IFERROR(VLOOKUP(N280,Num_AS,9,FALSE),"")</f>
        <v/>
      </c>
      <c r="G288" s="655" t="str">
        <f ca="1">IFERROR(VLOOKUP(N280,Num_AS,11,FALSE),"")</f>
        <v/>
      </c>
      <c r="H288" s="688">
        <f ca="1">E281</f>
        <v>7</v>
      </c>
      <c r="J288" s="659" t="str">
        <f ca="1">IFERROR(VLOOKUP(N280,Num_AS,18,FALSE),"")</f>
        <v/>
      </c>
      <c r="K288" s="588"/>
      <c r="L288" s="653" t="str">
        <f ca="1">IFERROR(VLOOKUP(N280,Num_AS,19,FALSE),"")</f>
        <v/>
      </c>
      <c r="M288" s="647"/>
      <c r="N288" s="656" t="str">
        <f ca="1">IFERROR(VLOOKUP(N280,Num_AS,22,FALSE),"")</f>
        <v/>
      </c>
      <c r="O288" s="654" t="str">
        <f ca="1">IFERROR(VLOOKUP(N280,Num_AS,21,FALSE),"")</f>
        <v/>
      </c>
      <c r="P288" s="682" t="str">
        <f ca="1">IFERROR(VLOOKUP(N280,Num_AS,23,FALSE),"")</f>
        <v/>
      </c>
      <c r="Q288" s="688">
        <f ca="1">E281</f>
        <v>7</v>
      </c>
      <c r="R288" s="254"/>
      <c r="S288" s="254"/>
      <c r="T288" s="681"/>
      <c r="U288" s="680"/>
      <c r="V288" s="681"/>
      <c r="W288" s="679"/>
      <c r="X288" s="679"/>
      <c r="Y288" s="679"/>
      <c r="Z288" s="679"/>
      <c r="AA288" s="679"/>
      <c r="AB288" s="679"/>
      <c r="AC288" s="218"/>
      <c r="AH288" s="218"/>
    </row>
    <row r="289" spans="1:34" ht="24.75" customHeight="1" thickBot="1" x14ac:dyDescent="0.25">
      <c r="A289" s="689" t="str">
        <f ca="1">IFERROR(VLOOKUP(N280,Num_AS,12,FALSE),"")</f>
        <v/>
      </c>
      <c r="B289" s="690"/>
      <c r="C289" s="691" t="str">
        <f ca="1">IFERROR(VLOOKUP(N280,Num_AS,13,FALSE),"")</f>
        <v/>
      </c>
      <c r="D289" s="692"/>
      <c r="E289" s="693" t="str">
        <f ca="1">IFERROR(VLOOKUP(N280,Num_AS,16,FALSE),"")</f>
        <v/>
      </c>
      <c r="F289" s="694" t="str">
        <f ca="1">IFERROR(VLOOKUP(N280,Num_AS,15,FALSE),"")</f>
        <v/>
      </c>
      <c r="G289" s="695" t="str">
        <f ca="1">IFERROR(VLOOKUP(N280,Num_AS,17,FALSE),"")</f>
        <v/>
      </c>
      <c r="H289" s="700">
        <f ca="1">E281</f>
        <v>7</v>
      </c>
      <c r="J289" s="689" t="str">
        <f ca="1">IFERROR(VLOOKUP(N280,Num_AS,24,FALSE),"")</f>
        <v/>
      </c>
      <c r="K289" s="690"/>
      <c r="L289" s="691" t="str">
        <f ca="1">IFERROR(VLOOKUP(N280,Num_AS,25,FALSE),"")</f>
        <v/>
      </c>
      <c r="M289" s="697"/>
      <c r="N289" s="698" t="str">
        <f ca="1">IFERROR(VLOOKUP(N280,Num_AS,28,FALSE),"")</f>
        <v/>
      </c>
      <c r="O289" s="694" t="str">
        <f ca="1">IFERROR(VLOOKUP(N280,Num_AS,27,FALSE),"")</f>
        <v/>
      </c>
      <c r="P289" s="699" t="str">
        <f ca="1">IFERROR(VLOOKUP(N280,Num_AS,29,FALSE),"")</f>
        <v/>
      </c>
      <c r="Q289" s="700">
        <f ca="1">E281</f>
        <v>7</v>
      </c>
      <c r="R289" s="254"/>
      <c r="S289" s="254"/>
      <c r="T289" s="681"/>
      <c r="U289" s="680"/>
      <c r="V289" s="681"/>
      <c r="W289" s="681"/>
      <c r="X289" s="681"/>
      <c r="Y289" s="681"/>
      <c r="Z289" s="679"/>
      <c r="AA289" s="679"/>
      <c r="AB289" s="679"/>
      <c r="AC289" s="218"/>
      <c r="AH289" s="218"/>
    </row>
    <row r="290" spans="1:34" ht="12.75" customHeight="1" thickTop="1" x14ac:dyDescent="0.2">
      <c r="A290" s="701"/>
      <c r="B290" s="249"/>
      <c r="C290" s="701"/>
      <c r="D290" s="701"/>
      <c r="E290" s="196"/>
      <c r="F290" s="196"/>
      <c r="G290" s="249"/>
      <c r="H290" s="219"/>
      <c r="I290" s="701"/>
      <c r="J290" s="249"/>
      <c r="K290" s="701"/>
      <c r="L290" s="249"/>
      <c r="M290" s="196"/>
      <c r="N290" s="196"/>
      <c r="O290" s="249"/>
      <c r="P290" s="219"/>
      <c r="R290" s="254"/>
      <c r="S290" s="254"/>
      <c r="T290" s="681"/>
      <c r="U290" s="680"/>
      <c r="V290" s="681"/>
      <c r="W290" s="681"/>
      <c r="X290" s="681"/>
      <c r="Y290" s="681"/>
      <c r="Z290" s="679"/>
      <c r="AA290" s="679"/>
      <c r="AB290" s="679"/>
      <c r="AC290" s="218"/>
      <c r="AH290" s="218"/>
    </row>
    <row r="291" spans="1:34" ht="37.5" customHeight="1" x14ac:dyDescent="0.2">
      <c r="A291" s="1113" t="s">
        <v>909</v>
      </c>
      <c r="B291" s="1113"/>
      <c r="C291" s="1113"/>
      <c r="F291" s="1113" t="s">
        <v>910</v>
      </c>
      <c r="G291" s="1113"/>
      <c r="H291" s="1113"/>
      <c r="J291" s="1113" t="s">
        <v>911</v>
      </c>
      <c r="K291" s="1113"/>
      <c r="L291" s="1113"/>
      <c r="N291" s="1113" t="s">
        <v>912</v>
      </c>
      <c r="O291" s="1113"/>
      <c r="P291" s="1113"/>
      <c r="R291" s="254"/>
      <c r="S291" s="254"/>
      <c r="T291" s="681"/>
      <c r="U291" s="680"/>
      <c r="V291" s="679"/>
      <c r="W291" s="679"/>
      <c r="X291" s="679"/>
      <c r="Y291" s="679"/>
      <c r="Z291" s="679"/>
      <c r="AA291" s="679"/>
      <c r="AB291" s="679"/>
      <c r="AC291" s="218"/>
      <c r="AH291" s="218"/>
    </row>
    <row r="292" spans="1:34" ht="37.5" customHeight="1" x14ac:dyDescent="0.25">
      <c r="A292" s="629" t="s">
        <v>980</v>
      </c>
      <c r="B292" s="629" t="s">
        <v>981</v>
      </c>
      <c r="C292" s="636" t="s">
        <v>780</v>
      </c>
      <c r="D292" s="649"/>
      <c r="F292" s="629" t="s">
        <v>980</v>
      </c>
      <c r="G292" s="629" t="s">
        <v>981</v>
      </c>
      <c r="H292" s="636" t="s">
        <v>780</v>
      </c>
      <c r="J292" s="629" t="s">
        <v>980</v>
      </c>
      <c r="K292" s="629" t="s">
        <v>981</v>
      </c>
      <c r="L292" s="636" t="s">
        <v>780</v>
      </c>
      <c r="M292" s="649"/>
      <c r="N292" s="629" t="s">
        <v>980</v>
      </c>
      <c r="O292" s="629" t="s">
        <v>981</v>
      </c>
      <c r="P292" s="636" t="s">
        <v>780</v>
      </c>
      <c r="T292" s="679"/>
      <c r="U292" s="680"/>
      <c r="V292" s="679"/>
      <c r="W292" s="679"/>
      <c r="X292" s="679"/>
      <c r="Y292" s="679"/>
      <c r="Z292" s="679"/>
      <c r="AA292" s="679"/>
      <c r="AB292" s="679"/>
      <c r="AC292" s="218"/>
      <c r="AH292" s="218"/>
    </row>
    <row r="293" spans="1:34" ht="32.25" customHeight="1" x14ac:dyDescent="0.25">
      <c r="A293" s="666">
        <v>10</v>
      </c>
      <c r="B293" s="636"/>
      <c r="C293" s="636"/>
      <c r="D293" s="649"/>
      <c r="F293" s="666">
        <v>10</v>
      </c>
      <c r="G293" s="636"/>
      <c r="H293" s="636"/>
      <c r="J293" s="666">
        <v>10</v>
      </c>
      <c r="K293" s="636"/>
      <c r="L293" s="636"/>
      <c r="M293" s="649"/>
      <c r="N293" s="666">
        <v>10</v>
      </c>
      <c r="O293" s="636"/>
      <c r="P293" s="636"/>
      <c r="T293" s="679"/>
      <c r="U293" s="680"/>
      <c r="V293" s="679"/>
      <c r="W293" s="679"/>
      <c r="X293" s="679"/>
      <c r="Y293" s="679"/>
      <c r="Z293" s="679"/>
      <c r="AA293" s="679"/>
      <c r="AB293" s="679"/>
      <c r="AC293" s="218"/>
      <c r="AH293" s="218"/>
    </row>
    <row r="294" spans="1:34" ht="32.25" customHeight="1" x14ac:dyDescent="0.25">
      <c r="A294" s="666">
        <v>9</v>
      </c>
      <c r="B294" s="636"/>
      <c r="C294" s="636"/>
      <c r="D294" s="649"/>
      <c r="F294" s="666">
        <v>9</v>
      </c>
      <c r="G294" s="636"/>
      <c r="H294" s="636"/>
      <c r="J294" s="666">
        <v>9</v>
      </c>
      <c r="K294" s="636"/>
      <c r="L294" s="636"/>
      <c r="M294" s="649"/>
      <c r="N294" s="666">
        <v>9</v>
      </c>
      <c r="O294" s="636"/>
      <c r="P294" s="636"/>
      <c r="T294" s="679"/>
      <c r="U294" s="680"/>
      <c r="V294" s="679"/>
      <c r="W294" s="679"/>
      <c r="X294" s="679"/>
      <c r="Y294" s="679"/>
      <c r="Z294" s="679"/>
      <c r="AA294" s="679"/>
      <c r="AB294" s="679"/>
      <c r="AC294" s="218"/>
      <c r="AH294" s="218"/>
    </row>
    <row r="295" spans="1:34" ht="32.25" customHeight="1" x14ac:dyDescent="0.25">
      <c r="A295" s="666">
        <v>8</v>
      </c>
      <c r="B295" s="636"/>
      <c r="C295" s="636"/>
      <c r="D295" s="649"/>
      <c r="F295" s="666">
        <v>8</v>
      </c>
      <c r="G295" s="636"/>
      <c r="H295" s="636"/>
      <c r="J295" s="666">
        <v>8</v>
      </c>
      <c r="K295" s="636"/>
      <c r="L295" s="636"/>
      <c r="M295" s="649"/>
      <c r="N295" s="666">
        <v>8</v>
      </c>
      <c r="O295" s="636"/>
      <c r="P295" s="636"/>
      <c r="T295" s="679"/>
      <c r="U295" s="680"/>
      <c r="V295" s="679"/>
      <c r="W295" s="679"/>
      <c r="X295" s="679"/>
      <c r="Y295" s="679"/>
      <c r="Z295" s="679"/>
      <c r="AA295" s="679"/>
      <c r="AB295" s="679"/>
      <c r="AC295" s="218"/>
      <c r="AH295" s="218"/>
    </row>
    <row r="296" spans="1:34" ht="32.25" customHeight="1" x14ac:dyDescent="0.25">
      <c r="A296" s="666">
        <v>7</v>
      </c>
      <c r="B296" s="636"/>
      <c r="C296" s="636"/>
      <c r="D296" s="649"/>
      <c r="F296" s="666">
        <v>7</v>
      </c>
      <c r="G296" s="636"/>
      <c r="H296" s="636"/>
      <c r="J296" s="666">
        <v>7</v>
      </c>
      <c r="K296" s="636"/>
      <c r="L296" s="636"/>
      <c r="M296" s="649"/>
      <c r="N296" s="666">
        <v>7</v>
      </c>
      <c r="O296" s="636"/>
      <c r="P296" s="636"/>
      <c r="T296" s="679"/>
      <c r="U296" s="680"/>
      <c r="V296" s="679"/>
      <c r="W296" s="679"/>
      <c r="X296" s="679"/>
      <c r="Y296" s="679"/>
      <c r="Z296" s="679"/>
      <c r="AC296" s="218"/>
      <c r="AH296" s="218"/>
    </row>
    <row r="297" spans="1:34" ht="32.25" customHeight="1" x14ac:dyDescent="0.25">
      <c r="A297" s="666">
        <v>6</v>
      </c>
      <c r="B297" s="636"/>
      <c r="C297" s="636"/>
      <c r="D297" s="649"/>
      <c r="F297" s="666">
        <v>6</v>
      </c>
      <c r="G297" s="636"/>
      <c r="H297" s="636"/>
      <c r="J297" s="666">
        <v>6</v>
      </c>
      <c r="K297" s="636"/>
      <c r="L297" s="636"/>
      <c r="M297" s="649"/>
      <c r="N297" s="666">
        <v>6</v>
      </c>
      <c r="O297" s="636"/>
      <c r="P297" s="636"/>
      <c r="T297" s="679"/>
      <c r="U297" s="680"/>
      <c r="AC297" s="218"/>
      <c r="AH297" s="218"/>
    </row>
    <row r="298" spans="1:34" ht="32.25" customHeight="1" x14ac:dyDescent="0.25">
      <c r="A298" s="666">
        <v>5</v>
      </c>
      <c r="B298" s="636"/>
      <c r="C298" s="636"/>
      <c r="D298" s="649"/>
      <c r="F298" s="666">
        <v>5</v>
      </c>
      <c r="G298" s="636"/>
      <c r="H298" s="636"/>
      <c r="J298" s="666">
        <v>5</v>
      </c>
      <c r="K298" s="636"/>
      <c r="L298" s="636"/>
      <c r="M298" s="649"/>
      <c r="N298" s="666">
        <v>5</v>
      </c>
      <c r="O298" s="636"/>
      <c r="P298" s="636"/>
      <c r="U298" s="520"/>
      <c r="AC298" s="218"/>
      <c r="AH298" s="218"/>
    </row>
    <row r="299" spans="1:34" ht="32.25" customHeight="1" x14ac:dyDescent="0.25">
      <c r="A299" s="666">
        <v>4</v>
      </c>
      <c r="B299" s="636"/>
      <c r="C299" s="636"/>
      <c r="D299" s="649"/>
      <c r="F299" s="666">
        <v>4</v>
      </c>
      <c r="G299" s="636"/>
      <c r="H299" s="636"/>
      <c r="J299" s="666">
        <v>4</v>
      </c>
      <c r="K299" s="636"/>
      <c r="L299" s="636"/>
      <c r="M299" s="649"/>
      <c r="N299" s="666">
        <v>4</v>
      </c>
      <c r="O299" s="636"/>
      <c r="P299" s="636"/>
      <c r="U299" s="520"/>
      <c r="AC299" s="218"/>
      <c r="AH299" s="218"/>
    </row>
    <row r="300" spans="1:34" ht="32.25" customHeight="1" x14ac:dyDescent="0.25">
      <c r="A300" s="666">
        <v>3</v>
      </c>
      <c r="B300" s="636"/>
      <c r="C300" s="636"/>
      <c r="D300" s="649"/>
      <c r="F300" s="666">
        <v>3</v>
      </c>
      <c r="G300" s="636"/>
      <c r="H300" s="636"/>
      <c r="J300" s="666">
        <v>3</v>
      </c>
      <c r="K300" s="636"/>
      <c r="L300" s="636"/>
      <c r="M300" s="649"/>
      <c r="N300" s="666">
        <v>3</v>
      </c>
      <c r="O300" s="636"/>
      <c r="P300" s="636"/>
      <c r="U300" s="520"/>
      <c r="AC300" s="218"/>
      <c r="AH300" s="218"/>
    </row>
    <row r="301" spans="1:34" ht="32.25" customHeight="1" x14ac:dyDescent="0.25">
      <c r="A301" s="666">
        <v>2</v>
      </c>
      <c r="B301" s="636"/>
      <c r="C301" s="636"/>
      <c r="D301" s="649"/>
      <c r="F301" s="666">
        <v>2</v>
      </c>
      <c r="G301" s="636"/>
      <c r="H301" s="636"/>
      <c r="J301" s="666">
        <v>2</v>
      </c>
      <c r="K301" s="636"/>
      <c r="L301" s="636"/>
      <c r="M301" s="649"/>
      <c r="N301" s="666">
        <v>2</v>
      </c>
      <c r="O301" s="636"/>
      <c r="P301" s="636"/>
      <c r="U301" s="520"/>
      <c r="AC301" s="218"/>
      <c r="AH301" s="218"/>
    </row>
    <row r="302" spans="1:34" ht="32.25" customHeight="1" x14ac:dyDescent="0.25">
      <c r="A302" s="666">
        <v>1</v>
      </c>
      <c r="B302" s="636"/>
      <c r="C302" s="636"/>
      <c r="D302" s="649"/>
      <c r="F302" s="666">
        <v>1</v>
      </c>
      <c r="G302" s="636"/>
      <c r="H302" s="636"/>
      <c r="J302" s="666">
        <v>1</v>
      </c>
      <c r="K302" s="636"/>
      <c r="L302" s="636"/>
      <c r="M302" s="649"/>
      <c r="N302" s="666">
        <v>1</v>
      </c>
      <c r="O302" s="636"/>
      <c r="P302" s="636"/>
      <c r="U302" s="520"/>
      <c r="AC302" s="218"/>
      <c r="AH302" s="218"/>
    </row>
    <row r="303" spans="1:34" ht="32.25" customHeight="1" x14ac:dyDescent="0.25">
      <c r="A303" s="666" t="s">
        <v>982</v>
      </c>
      <c r="B303" s="636"/>
      <c r="C303" s="636"/>
      <c r="D303" s="649"/>
      <c r="F303" s="666" t="s">
        <v>982</v>
      </c>
      <c r="G303" s="636"/>
      <c r="H303" s="636"/>
      <c r="J303" s="666" t="s">
        <v>982</v>
      </c>
      <c r="K303" s="636"/>
      <c r="L303" s="636"/>
      <c r="M303" s="649"/>
      <c r="N303" s="666" t="s">
        <v>982</v>
      </c>
      <c r="O303" s="636"/>
      <c r="P303" s="636"/>
      <c r="U303" s="520"/>
      <c r="AC303" s="218"/>
      <c r="AH303" s="218"/>
    </row>
    <row r="304" spans="1:34" ht="32.25" customHeight="1" x14ac:dyDescent="0.25">
      <c r="A304" s="629" t="s">
        <v>981</v>
      </c>
      <c r="B304" s="650"/>
      <c r="C304" s="651" t="s">
        <v>996</v>
      </c>
      <c r="D304" s="649"/>
      <c r="F304" s="629" t="s">
        <v>981</v>
      </c>
      <c r="G304" s="650"/>
      <c r="H304" s="651" t="s">
        <v>996</v>
      </c>
      <c r="J304" s="629" t="s">
        <v>981</v>
      </c>
      <c r="K304" s="650"/>
      <c r="L304" s="651" t="s">
        <v>996</v>
      </c>
      <c r="M304" s="649"/>
      <c r="N304" s="629" t="s">
        <v>981</v>
      </c>
      <c r="O304" s="650"/>
      <c r="P304" s="651" t="s">
        <v>996</v>
      </c>
      <c r="Q304" s="649"/>
      <c r="U304" s="520"/>
      <c r="AC304" s="218"/>
      <c r="AH304" s="218"/>
    </row>
    <row r="305" spans="1:34" ht="32.25" customHeight="1" thickBot="1" x14ac:dyDescent="0.3">
      <c r="A305" s="649"/>
      <c r="B305" s="629" t="s">
        <v>983</v>
      </c>
      <c r="C305" s="665"/>
      <c r="D305" s="649"/>
      <c r="F305" s="637" t="s">
        <v>985</v>
      </c>
      <c r="G305" s="629" t="s">
        <v>983</v>
      </c>
      <c r="H305" s="636"/>
      <c r="J305" s="637" t="s">
        <v>985</v>
      </c>
      <c r="K305" s="629" t="s">
        <v>983</v>
      </c>
      <c r="L305" s="636"/>
      <c r="M305" s="649"/>
      <c r="N305" s="637" t="s">
        <v>985</v>
      </c>
      <c r="O305" s="629" t="s">
        <v>983</v>
      </c>
      <c r="P305" s="636"/>
      <c r="Q305" s="649"/>
      <c r="U305" s="520"/>
      <c r="AC305" s="218"/>
      <c r="AH305" s="218"/>
    </row>
    <row r="306" spans="1:34" ht="41.25" customHeight="1" thickBot="1" x14ac:dyDescent="0.3">
      <c r="A306" s="1114" t="s">
        <v>1001</v>
      </c>
      <c r="B306" s="1114"/>
      <c r="C306" s="734">
        <f ca="1">VLOOKUP(A284&amp;F284,PTS_SP,2,FALSE)</f>
        <v>0</v>
      </c>
      <c r="D306" s="649"/>
      <c r="F306" s="1115" t="s">
        <v>986</v>
      </c>
      <c r="G306" s="1116"/>
      <c r="H306" s="636"/>
      <c r="I306" s="1115" t="s">
        <v>986</v>
      </c>
      <c r="J306" s="1115"/>
      <c r="K306" s="636"/>
      <c r="L306" s="649"/>
      <c r="O306" s="634" t="s">
        <v>987</v>
      </c>
      <c r="P306" s="636"/>
      <c r="Q306" s="649"/>
      <c r="U306" s="520"/>
      <c r="AC306" s="218"/>
      <c r="AH306" s="218"/>
    </row>
    <row r="307" spans="1:34" ht="47.25" customHeight="1" thickBot="1" x14ac:dyDescent="0.3">
      <c r="A307" s="1115" t="s">
        <v>986</v>
      </c>
      <c r="B307" s="1116"/>
      <c r="C307" s="644"/>
      <c r="D307" s="649"/>
      <c r="E307" s="649"/>
      <c r="F307" s="649"/>
      <c r="G307" s="649"/>
      <c r="H307" s="649"/>
      <c r="I307" s="649"/>
      <c r="J307" s="649"/>
      <c r="K307" s="649"/>
      <c r="L307" s="649"/>
      <c r="N307" s="634"/>
      <c r="O307" s="634" t="s">
        <v>997</v>
      </c>
      <c r="P307" s="673"/>
      <c r="Q307" s="674"/>
      <c r="R307" s="663" t="s">
        <v>998</v>
      </c>
      <c r="U307" s="520"/>
      <c r="AC307" s="218"/>
      <c r="AH307" s="218"/>
    </row>
    <row r="308" spans="1:34" ht="36" customHeight="1" thickBot="1" x14ac:dyDescent="0.3">
      <c r="A308" s="649"/>
      <c r="B308" s="649"/>
      <c r="C308" s="649"/>
      <c r="D308" s="649"/>
      <c r="E308" s="672" t="s">
        <v>1002</v>
      </c>
      <c r="F308" s="667"/>
      <c r="G308" s="667"/>
      <c r="H308" s="668"/>
      <c r="I308" s="649"/>
      <c r="J308" s="672" t="s">
        <v>1003</v>
      </c>
      <c r="K308" s="667"/>
      <c r="L308" s="667"/>
      <c r="M308" s="668"/>
      <c r="O308" s="675" t="s">
        <v>1004</v>
      </c>
      <c r="P308" s="676" t="s">
        <v>999</v>
      </c>
      <c r="Q308" s="677" t="s">
        <v>1000</v>
      </c>
      <c r="R308" s="649"/>
      <c r="U308" s="520"/>
      <c r="AC308" s="218"/>
      <c r="AH308" s="218"/>
    </row>
    <row r="309" spans="1:34" ht="36" customHeight="1" thickBot="1" x14ac:dyDescent="0.25">
      <c r="E309" s="669"/>
      <c r="F309" s="670"/>
      <c r="G309" s="670"/>
      <c r="H309" s="671"/>
      <c r="J309" s="669"/>
      <c r="K309" s="670"/>
      <c r="L309" s="670"/>
      <c r="M309" s="671"/>
      <c r="U309" s="520"/>
      <c r="AA309" s="679"/>
      <c r="AB309" s="679"/>
      <c r="AC309" s="218"/>
      <c r="AH309" s="218"/>
    </row>
    <row r="310" spans="1:34" s="218" customFormat="1" ht="23.25" customHeight="1" x14ac:dyDescent="0.2">
      <c r="A310" s="217"/>
      <c r="B310" s="217"/>
      <c r="C310" s="217"/>
      <c r="D310" s="217"/>
      <c r="E310" s="217"/>
      <c r="F310" s="217"/>
      <c r="G310" s="217"/>
      <c r="H310" s="217"/>
      <c r="I310" s="217"/>
      <c r="J310" s="217"/>
      <c r="K310" s="217"/>
      <c r="L310" s="217"/>
      <c r="M310" s="217"/>
      <c r="N310" s="684"/>
      <c r="O310" s="684"/>
      <c r="P310" s="684"/>
      <c r="Q310" s="684"/>
      <c r="R310" s="217"/>
      <c r="S310" s="217"/>
      <c r="T310" s="217"/>
      <c r="U310" s="520"/>
      <c r="V310" s="679"/>
      <c r="W310" s="679"/>
      <c r="X310" s="679"/>
      <c r="Y310" s="679"/>
      <c r="Z310" s="679"/>
      <c r="AA310" s="662"/>
      <c r="AB310" s="662"/>
      <c r="AD310" s="217"/>
      <c r="AE310" s="217"/>
      <c r="AF310" s="217"/>
      <c r="AG310" s="217"/>
    </row>
    <row r="311" spans="1:34" ht="19.5" customHeight="1" thickBot="1" x14ac:dyDescent="0.25">
      <c r="M311" s="500"/>
      <c r="N311" s="520" t="str">
        <f ca="1">INDIRECT("AE"&amp;O311)</f>
        <v>Collège des Gorges de la LoireAurec-sur-Loire</v>
      </c>
      <c r="O311" s="500">
        <f>P312+2</f>
        <v>13</v>
      </c>
      <c r="P311" s="501" t="str">
        <f ca="1">INDIRECT("AF"&amp;O311)</f>
        <v>classement</v>
      </c>
      <c r="Q311" s="500"/>
      <c r="R311" s="500"/>
      <c r="T311" s="679"/>
      <c r="U311" s="679"/>
      <c r="V311" s="679"/>
      <c r="W311" s="679"/>
      <c r="X311" s="679"/>
      <c r="Y311" s="679"/>
      <c r="Z311" s="679"/>
      <c r="AA311" s="679"/>
      <c r="AB311" s="679"/>
      <c r="AC311" s="218"/>
      <c r="AH311" s="218"/>
    </row>
    <row r="312" spans="1:34" s="218" customFormat="1" ht="36" thickBot="1" x14ac:dyDescent="0.25">
      <c r="A312" s="576" t="s">
        <v>546</v>
      </c>
      <c r="B312" s="402" t="str">
        <f>B281</f>
        <v>D3</v>
      </c>
      <c r="D312" s="661" t="s">
        <v>628</v>
      </c>
      <c r="E312" s="660">
        <f ca="1">INDIRECT("AD"&amp;O311)</f>
        <v>8</v>
      </c>
      <c r="F312" s="705" t="str">
        <f>"   "&amp;Championnat</f>
        <v xml:space="preserve">   Championnat de France de Tir à l'ARC</v>
      </c>
      <c r="O312" s="502" t="s">
        <v>849</v>
      </c>
      <c r="P312" s="503">
        <f>P281+1</f>
        <v>11</v>
      </c>
      <c r="R312" s="254"/>
      <c r="S312" s="254"/>
      <c r="T312" s="681"/>
      <c r="U312" s="680"/>
      <c r="V312" s="681"/>
      <c r="X312" s="662"/>
      <c r="Y312" s="662"/>
      <c r="Z312" s="662"/>
      <c r="AA312" s="662"/>
      <c r="AB312" s="662"/>
      <c r="AD312" s="217"/>
      <c r="AE312" s="217"/>
      <c r="AF312" s="217"/>
      <c r="AG312" s="217"/>
    </row>
    <row r="313" spans="1:34" ht="35.25" x14ac:dyDescent="0.2">
      <c r="A313" s="706" t="str">
        <f>CATEG_IMPORTEE</f>
        <v>Collèges Mixtes Etablissement</v>
      </c>
      <c r="J313" s="592" t="str">
        <f>LIEU&amp;" du "&amp;DATE</f>
        <v>L’Isle sur la Sorgue du 27 au 31 mars 2023</v>
      </c>
      <c r="R313" s="254"/>
      <c r="S313" s="254"/>
      <c r="T313" s="681"/>
      <c r="U313" s="680"/>
      <c r="V313" s="681"/>
      <c r="W313" s="679"/>
      <c r="X313" s="679"/>
      <c r="Y313" s="679"/>
      <c r="Z313" s="679"/>
      <c r="AA313" s="679"/>
      <c r="AB313" s="679"/>
      <c r="AC313" s="218"/>
      <c r="AH313" s="218"/>
    </row>
    <row r="314" spans="1:34" ht="24" customHeight="1" thickBot="1" x14ac:dyDescent="0.25">
      <c r="A314" s="648" t="s">
        <v>0</v>
      </c>
      <c r="B314" s="648"/>
      <c r="C314" s="648"/>
      <c r="D314" s="648"/>
      <c r="F314" s="1124" t="s">
        <v>1006</v>
      </c>
      <c r="G314" s="1125"/>
      <c r="H314" s="1125"/>
      <c r="J314" s="648" t="s">
        <v>0</v>
      </c>
      <c r="O314" s="1093" t="s">
        <v>1005</v>
      </c>
      <c r="P314" s="1093"/>
      <c r="R314" s="254"/>
      <c r="S314" s="254"/>
      <c r="T314" s="681"/>
      <c r="U314" s="680"/>
      <c r="V314" s="681"/>
      <c r="W314" s="679"/>
      <c r="X314" s="679"/>
      <c r="Y314" s="679"/>
      <c r="Z314" s="679"/>
      <c r="AA314" s="679"/>
      <c r="AB314" s="679"/>
      <c r="AC314" s="218"/>
      <c r="AH314" s="218"/>
    </row>
    <row r="315" spans="1:34" ht="23.25" customHeight="1" thickBot="1" x14ac:dyDescent="0.25">
      <c r="A315" s="657" t="str">
        <f ca="1">IFERROR(VLOOKUP(N311,Num_AS,2,FALSE),"")</f>
        <v/>
      </c>
      <c r="B315" s="658"/>
      <c r="C315" s="658"/>
      <c r="D315" s="658"/>
      <c r="E315" s="658"/>
      <c r="F315" s="1117" t="str">
        <f ca="1">IFERROR(VLOOKUP(N311,Num_AS,3,FALSE),"")</f>
        <v/>
      </c>
      <c r="G315" s="1118"/>
      <c r="H315" s="1119"/>
      <c r="I315" s="219" t="s">
        <v>547</v>
      </c>
      <c r="J315" s="678" t="str">
        <f ca="1">IFERROR(VLOOKUP(P311,Num_AS,2,FALSE),"")</f>
        <v/>
      </c>
      <c r="K315" s="664"/>
      <c r="L315" s="664"/>
      <c r="M315" s="664"/>
      <c r="N315" s="1120" t="str">
        <f ca="1">IFERROR(VLOOKUP(P311,Num_AS,3,FALSE),"")</f>
        <v/>
      </c>
      <c r="O315" s="1121"/>
      <c r="P315" s="1122"/>
      <c r="R315" s="254"/>
      <c r="S315" s="254"/>
      <c r="T315" s="681"/>
      <c r="U315" s="680"/>
      <c r="V315" s="681"/>
      <c r="W315" s="679"/>
      <c r="X315" s="679"/>
      <c r="Y315" s="679"/>
      <c r="Z315" s="679"/>
      <c r="AA315" s="679"/>
      <c r="AB315" s="679"/>
      <c r="AC315" s="218"/>
      <c r="AH315" s="218"/>
    </row>
    <row r="316" spans="1:34" ht="20.100000000000001" customHeight="1" thickBot="1" x14ac:dyDescent="0.25">
      <c r="E316" s="219"/>
      <c r="F316" s="1107" t="str">
        <f ca="1">IFERROR(VLOOKUP(N311,Num_AS,4,FALSE),"")</f>
        <v/>
      </c>
      <c r="G316" s="1108"/>
      <c r="H316" s="1109"/>
      <c r="N316" s="1110" t="str">
        <f ca="1">IFERROR(VLOOKUP(P311,Num_AS,4,FALSE),"")</f>
        <v/>
      </c>
      <c r="O316" s="1111"/>
      <c r="P316" s="1112"/>
      <c r="R316" s="254"/>
      <c r="S316" s="254"/>
      <c r="T316" s="681"/>
      <c r="U316" s="680"/>
      <c r="V316" s="681"/>
      <c r="W316" s="679"/>
      <c r="X316" s="679"/>
      <c r="Y316" s="679"/>
      <c r="Z316" s="679"/>
      <c r="AA316" s="679"/>
      <c r="AB316" s="679"/>
      <c r="AC316" s="218"/>
      <c r="AH316" s="218"/>
    </row>
    <row r="317" spans="1:34" ht="18" customHeight="1" thickBot="1" x14ac:dyDescent="0.25">
      <c r="A317" s="1123" t="s">
        <v>548</v>
      </c>
      <c r="B317" s="1123"/>
      <c r="C317" s="1123"/>
      <c r="D317" s="1123"/>
      <c r="E317" s="219"/>
      <c r="F317" s="219"/>
      <c r="G317" s="219"/>
      <c r="H317" s="219"/>
      <c r="I317" s="219"/>
      <c r="J317" s="219"/>
      <c r="K317" s="219"/>
      <c r="L317" s="219"/>
      <c r="M317" s="219"/>
      <c r="N317" s="219"/>
      <c r="O317" s="219"/>
      <c r="P317" s="219"/>
      <c r="R317" s="254"/>
      <c r="S317" s="254"/>
      <c r="T317" s="681"/>
      <c r="U317" s="680"/>
      <c r="V317" s="681"/>
      <c r="W317" s="679"/>
      <c r="X317" s="679"/>
      <c r="Y317" s="679"/>
      <c r="Z317" s="679"/>
      <c r="AA317" s="679"/>
      <c r="AB317" s="679"/>
      <c r="AC317" s="218"/>
      <c r="AH317" s="218"/>
    </row>
    <row r="318" spans="1:34" ht="24" customHeight="1" thickTop="1" thickBot="1" x14ac:dyDescent="0.25">
      <c r="A318" s="1126" t="s">
        <v>549</v>
      </c>
      <c r="B318" s="1127"/>
      <c r="C318" s="1127"/>
      <c r="D318" s="1128"/>
      <c r="E318" s="685" t="s">
        <v>480</v>
      </c>
      <c r="F318" s="685" t="s">
        <v>550</v>
      </c>
      <c r="G318" s="686" t="s">
        <v>551</v>
      </c>
      <c r="H318" s="687" t="s">
        <v>779</v>
      </c>
      <c r="J318" s="702" t="s">
        <v>549</v>
      </c>
      <c r="K318" s="703"/>
      <c r="L318" s="703"/>
      <c r="M318" s="704"/>
      <c r="N318" s="685" t="s">
        <v>480</v>
      </c>
      <c r="O318" s="685" t="s">
        <v>550</v>
      </c>
      <c r="P318" s="686" t="s">
        <v>551</v>
      </c>
      <c r="Q318" s="687" t="s">
        <v>779</v>
      </c>
      <c r="R318" s="254"/>
      <c r="S318" s="254"/>
      <c r="T318" s="681"/>
      <c r="U318" s="680"/>
      <c r="V318" s="681"/>
      <c r="W318" s="679"/>
      <c r="X318" s="679"/>
      <c r="Y318" s="679"/>
      <c r="Z318" s="679"/>
      <c r="AA318" s="679"/>
      <c r="AB318" s="679"/>
      <c r="AC318" s="218"/>
      <c r="AH318" s="218"/>
    </row>
    <row r="319" spans="1:34" ht="24.75" customHeight="1" x14ac:dyDescent="0.2">
      <c r="A319" s="659" t="str">
        <f ca="1">IFERROR(VLOOKUP(N311,Num_AS,6,FALSE),"")</f>
        <v/>
      </c>
      <c r="B319" s="588"/>
      <c r="C319" s="653" t="str">
        <f ca="1">IFERROR(VLOOKUP(N311,Num_AS,7,FALSE),"")</f>
        <v/>
      </c>
      <c r="D319" s="652"/>
      <c r="E319" s="654" t="str">
        <f ca="1">IFERROR(VLOOKUP(N311,Num_AS,10,FALSE),"")</f>
        <v/>
      </c>
      <c r="F319" s="654" t="str">
        <f ca="1">IFERROR(VLOOKUP(N311,Num_AS,9,FALSE),"")</f>
        <v/>
      </c>
      <c r="G319" s="655" t="str">
        <f ca="1">IFERROR(VLOOKUP(N311,Num_AS,11,FALSE),"")</f>
        <v/>
      </c>
      <c r="H319" s="688">
        <f ca="1">E312</f>
        <v>8</v>
      </c>
      <c r="J319" s="659" t="str">
        <f ca="1">IFERROR(VLOOKUP(N311,Num_AS,18,FALSE),"")</f>
        <v/>
      </c>
      <c r="K319" s="588"/>
      <c r="L319" s="653" t="str">
        <f ca="1">IFERROR(VLOOKUP(N311,Num_AS,19,FALSE),"")</f>
        <v/>
      </c>
      <c r="M319" s="647"/>
      <c r="N319" s="656" t="str">
        <f ca="1">IFERROR(VLOOKUP(N311,Num_AS,22,FALSE),"")</f>
        <v/>
      </c>
      <c r="O319" s="654" t="str">
        <f ca="1">IFERROR(VLOOKUP(N311,Num_AS,21,FALSE),"")</f>
        <v/>
      </c>
      <c r="P319" s="682" t="str">
        <f ca="1">IFERROR(VLOOKUP(N311,Num_AS,23,FALSE),"")</f>
        <v/>
      </c>
      <c r="Q319" s="688">
        <f ca="1">E312</f>
        <v>8</v>
      </c>
      <c r="R319" s="254"/>
      <c r="S319" s="254"/>
      <c r="T319" s="681"/>
      <c r="U319" s="680"/>
      <c r="V319" s="681"/>
      <c r="W319" s="679"/>
      <c r="X319" s="679"/>
      <c r="Y319" s="679"/>
      <c r="Z319" s="679"/>
      <c r="AA319" s="679"/>
      <c r="AB319" s="679"/>
      <c r="AC319" s="218"/>
      <c r="AH319" s="218"/>
    </row>
    <row r="320" spans="1:34" ht="24.75" customHeight="1" thickBot="1" x14ac:dyDescent="0.25">
      <c r="A320" s="689" t="str">
        <f ca="1">IFERROR(VLOOKUP(N311,Num_AS,12,FALSE),"")</f>
        <v/>
      </c>
      <c r="B320" s="690"/>
      <c r="C320" s="691" t="str">
        <f ca="1">IFERROR(VLOOKUP(N311,Num_AS,13,FALSE),"")</f>
        <v/>
      </c>
      <c r="D320" s="692"/>
      <c r="E320" s="693" t="str">
        <f ca="1">IFERROR(VLOOKUP(N311,Num_AS,16,FALSE),"")</f>
        <v/>
      </c>
      <c r="F320" s="694" t="str">
        <f ca="1">IFERROR(VLOOKUP(N311,Num_AS,15,FALSE),"")</f>
        <v/>
      </c>
      <c r="G320" s="695" t="str">
        <f ca="1">IFERROR(VLOOKUP(N311,Num_AS,17,FALSE),"")</f>
        <v/>
      </c>
      <c r="H320" s="700">
        <f ca="1">E312</f>
        <v>8</v>
      </c>
      <c r="J320" s="689" t="str">
        <f ca="1">IFERROR(VLOOKUP(N311,Num_AS,24,FALSE),"")</f>
        <v/>
      </c>
      <c r="K320" s="690"/>
      <c r="L320" s="691" t="str">
        <f ca="1">IFERROR(VLOOKUP(N311,Num_AS,25,FALSE),"")</f>
        <v/>
      </c>
      <c r="M320" s="697"/>
      <c r="N320" s="698" t="str">
        <f ca="1">IFERROR(VLOOKUP(N311,Num_AS,28,FALSE),"")</f>
        <v/>
      </c>
      <c r="O320" s="694" t="str">
        <f ca="1">IFERROR(VLOOKUP(N311,Num_AS,27,FALSE),"")</f>
        <v/>
      </c>
      <c r="P320" s="699" t="str">
        <f ca="1">IFERROR(VLOOKUP(N311,Num_AS,29,FALSE),"")</f>
        <v/>
      </c>
      <c r="Q320" s="700">
        <f ca="1">E312</f>
        <v>8</v>
      </c>
      <c r="R320" s="254"/>
      <c r="S320" s="254"/>
      <c r="T320" s="681"/>
      <c r="U320" s="680"/>
      <c r="V320" s="681"/>
      <c r="W320" s="681"/>
      <c r="X320" s="681"/>
      <c r="Y320" s="681"/>
      <c r="Z320" s="679"/>
      <c r="AA320" s="679"/>
      <c r="AB320" s="679"/>
      <c r="AC320" s="218"/>
      <c r="AH320" s="218"/>
    </row>
    <row r="321" spans="1:34" ht="12.75" customHeight="1" thickTop="1" x14ac:dyDescent="0.2">
      <c r="A321" s="701"/>
      <c r="B321" s="249"/>
      <c r="C321" s="701"/>
      <c r="D321" s="701"/>
      <c r="E321" s="196"/>
      <c r="F321" s="196"/>
      <c r="G321" s="249"/>
      <c r="H321" s="219"/>
      <c r="I321" s="701"/>
      <c r="J321" s="249"/>
      <c r="K321" s="701"/>
      <c r="L321" s="249"/>
      <c r="M321" s="196"/>
      <c r="N321" s="196"/>
      <c r="O321" s="249"/>
      <c r="P321" s="219"/>
      <c r="R321" s="254"/>
      <c r="S321" s="254"/>
      <c r="T321" s="681"/>
      <c r="U321" s="680"/>
      <c r="V321" s="681"/>
      <c r="W321" s="681"/>
      <c r="X321" s="681"/>
      <c r="Y321" s="681"/>
      <c r="Z321" s="679"/>
      <c r="AA321" s="679"/>
      <c r="AB321" s="679"/>
      <c r="AC321" s="218"/>
      <c r="AH321" s="218"/>
    </row>
    <row r="322" spans="1:34" ht="37.5" customHeight="1" x14ac:dyDescent="0.2">
      <c r="A322" s="1113" t="s">
        <v>909</v>
      </c>
      <c r="B322" s="1113"/>
      <c r="C322" s="1113"/>
      <c r="F322" s="1113" t="s">
        <v>910</v>
      </c>
      <c r="G322" s="1113"/>
      <c r="H322" s="1113"/>
      <c r="J322" s="1113" t="s">
        <v>911</v>
      </c>
      <c r="K322" s="1113"/>
      <c r="L322" s="1113"/>
      <c r="N322" s="1113" t="s">
        <v>912</v>
      </c>
      <c r="O322" s="1113"/>
      <c r="P322" s="1113"/>
      <c r="R322" s="254"/>
      <c r="S322" s="254"/>
      <c r="T322" s="681"/>
      <c r="U322" s="680"/>
      <c r="V322" s="679"/>
      <c r="W322" s="679"/>
      <c r="X322" s="679"/>
      <c r="Y322" s="679"/>
      <c r="Z322" s="679"/>
      <c r="AA322" s="679"/>
      <c r="AB322" s="679"/>
      <c r="AC322" s="218"/>
      <c r="AH322" s="218"/>
    </row>
    <row r="323" spans="1:34" ht="37.5" customHeight="1" x14ac:dyDescent="0.25">
      <c r="A323" s="629" t="s">
        <v>980</v>
      </c>
      <c r="B323" s="629" t="s">
        <v>981</v>
      </c>
      <c r="C323" s="636" t="s">
        <v>780</v>
      </c>
      <c r="D323" s="649"/>
      <c r="F323" s="629" t="s">
        <v>980</v>
      </c>
      <c r="G323" s="629" t="s">
        <v>981</v>
      </c>
      <c r="H323" s="636" t="s">
        <v>780</v>
      </c>
      <c r="J323" s="629" t="s">
        <v>980</v>
      </c>
      <c r="K323" s="629" t="s">
        <v>981</v>
      </c>
      <c r="L323" s="636" t="s">
        <v>780</v>
      </c>
      <c r="M323" s="649"/>
      <c r="N323" s="629" t="s">
        <v>980</v>
      </c>
      <c r="O323" s="629" t="s">
        <v>981</v>
      </c>
      <c r="P323" s="636" t="s">
        <v>780</v>
      </c>
      <c r="T323" s="679"/>
      <c r="U323" s="680"/>
      <c r="V323" s="679"/>
      <c r="W323" s="679"/>
      <c r="X323" s="679"/>
      <c r="Y323" s="679"/>
      <c r="Z323" s="679"/>
      <c r="AA323" s="679"/>
      <c r="AB323" s="679"/>
      <c r="AC323" s="218"/>
      <c r="AH323" s="218"/>
    </row>
    <row r="324" spans="1:34" ht="32.25" customHeight="1" x14ac:dyDescent="0.25">
      <c r="A324" s="666">
        <v>10</v>
      </c>
      <c r="B324" s="636"/>
      <c r="C324" s="636"/>
      <c r="D324" s="649"/>
      <c r="F324" s="666">
        <v>10</v>
      </c>
      <c r="G324" s="636"/>
      <c r="H324" s="636"/>
      <c r="J324" s="666">
        <v>10</v>
      </c>
      <c r="K324" s="636"/>
      <c r="L324" s="636"/>
      <c r="M324" s="649"/>
      <c r="N324" s="666">
        <v>10</v>
      </c>
      <c r="O324" s="636"/>
      <c r="P324" s="636"/>
      <c r="T324" s="679"/>
      <c r="U324" s="680"/>
      <c r="V324" s="679"/>
      <c r="W324" s="679"/>
      <c r="X324" s="679"/>
      <c r="Y324" s="679"/>
      <c r="Z324" s="679"/>
      <c r="AA324" s="679"/>
      <c r="AB324" s="679"/>
      <c r="AC324" s="218"/>
      <c r="AH324" s="218"/>
    </row>
    <row r="325" spans="1:34" ht="32.25" customHeight="1" x14ac:dyDescent="0.25">
      <c r="A325" s="666">
        <v>9</v>
      </c>
      <c r="B325" s="636"/>
      <c r="C325" s="636"/>
      <c r="D325" s="649"/>
      <c r="F325" s="666">
        <v>9</v>
      </c>
      <c r="G325" s="636"/>
      <c r="H325" s="636"/>
      <c r="J325" s="666">
        <v>9</v>
      </c>
      <c r="K325" s="636"/>
      <c r="L325" s="636"/>
      <c r="M325" s="649"/>
      <c r="N325" s="666">
        <v>9</v>
      </c>
      <c r="O325" s="636"/>
      <c r="P325" s="636"/>
      <c r="T325" s="679"/>
      <c r="U325" s="680"/>
      <c r="V325" s="679"/>
      <c r="W325" s="679"/>
      <c r="X325" s="679"/>
      <c r="Y325" s="679"/>
      <c r="Z325" s="679"/>
      <c r="AA325" s="679"/>
      <c r="AB325" s="679"/>
      <c r="AC325" s="218"/>
      <c r="AH325" s="218"/>
    </row>
    <row r="326" spans="1:34" ht="32.25" customHeight="1" x14ac:dyDescent="0.25">
      <c r="A326" s="666">
        <v>8</v>
      </c>
      <c r="B326" s="636"/>
      <c r="C326" s="636"/>
      <c r="D326" s="649"/>
      <c r="F326" s="666">
        <v>8</v>
      </c>
      <c r="G326" s="636"/>
      <c r="H326" s="636"/>
      <c r="J326" s="666">
        <v>8</v>
      </c>
      <c r="K326" s="636"/>
      <c r="L326" s="636"/>
      <c r="M326" s="649"/>
      <c r="N326" s="666">
        <v>8</v>
      </c>
      <c r="O326" s="636"/>
      <c r="P326" s="636"/>
      <c r="T326" s="679"/>
      <c r="U326" s="680"/>
      <c r="V326" s="679"/>
      <c r="W326" s="679"/>
      <c r="X326" s="679"/>
      <c r="Y326" s="679"/>
      <c r="Z326" s="679"/>
      <c r="AA326" s="679"/>
      <c r="AB326" s="679"/>
      <c r="AC326" s="218"/>
      <c r="AH326" s="218"/>
    </row>
    <row r="327" spans="1:34" ht="32.25" customHeight="1" x14ac:dyDescent="0.25">
      <c r="A327" s="666">
        <v>7</v>
      </c>
      <c r="B327" s="636"/>
      <c r="C327" s="636"/>
      <c r="D327" s="649"/>
      <c r="F327" s="666">
        <v>7</v>
      </c>
      <c r="G327" s="636"/>
      <c r="H327" s="636"/>
      <c r="J327" s="666">
        <v>7</v>
      </c>
      <c r="K327" s="636"/>
      <c r="L327" s="636"/>
      <c r="M327" s="649"/>
      <c r="N327" s="666">
        <v>7</v>
      </c>
      <c r="O327" s="636"/>
      <c r="P327" s="636"/>
      <c r="T327" s="679"/>
      <c r="U327" s="680"/>
      <c r="V327" s="679"/>
      <c r="W327" s="679"/>
      <c r="X327" s="679"/>
      <c r="Y327" s="679"/>
      <c r="Z327" s="679"/>
      <c r="AC327" s="218"/>
      <c r="AH327" s="218"/>
    </row>
    <row r="328" spans="1:34" ht="32.25" customHeight="1" x14ac:dyDescent="0.25">
      <c r="A328" s="666">
        <v>6</v>
      </c>
      <c r="B328" s="636"/>
      <c r="C328" s="636"/>
      <c r="D328" s="649"/>
      <c r="F328" s="666">
        <v>6</v>
      </c>
      <c r="G328" s="636"/>
      <c r="H328" s="636"/>
      <c r="J328" s="666">
        <v>6</v>
      </c>
      <c r="K328" s="636"/>
      <c r="L328" s="636"/>
      <c r="M328" s="649"/>
      <c r="N328" s="666">
        <v>6</v>
      </c>
      <c r="O328" s="636"/>
      <c r="P328" s="636"/>
      <c r="T328" s="679"/>
      <c r="U328" s="680"/>
      <c r="AC328" s="218"/>
      <c r="AH328" s="218"/>
    </row>
    <row r="329" spans="1:34" ht="32.25" customHeight="1" x14ac:dyDescent="0.25">
      <c r="A329" s="666">
        <v>5</v>
      </c>
      <c r="B329" s="636"/>
      <c r="C329" s="636"/>
      <c r="D329" s="649"/>
      <c r="F329" s="666">
        <v>5</v>
      </c>
      <c r="G329" s="636"/>
      <c r="H329" s="636"/>
      <c r="J329" s="666">
        <v>5</v>
      </c>
      <c r="K329" s="636"/>
      <c r="L329" s="636"/>
      <c r="M329" s="649"/>
      <c r="N329" s="666">
        <v>5</v>
      </c>
      <c r="O329" s="636"/>
      <c r="P329" s="636"/>
      <c r="U329" s="520"/>
      <c r="AC329" s="218"/>
      <c r="AH329" s="218"/>
    </row>
    <row r="330" spans="1:34" ht="32.25" customHeight="1" x14ac:dyDescent="0.25">
      <c r="A330" s="666">
        <v>4</v>
      </c>
      <c r="B330" s="636"/>
      <c r="C330" s="636"/>
      <c r="D330" s="649"/>
      <c r="F330" s="666">
        <v>4</v>
      </c>
      <c r="G330" s="636"/>
      <c r="H330" s="636"/>
      <c r="J330" s="666">
        <v>4</v>
      </c>
      <c r="K330" s="636"/>
      <c r="L330" s="636"/>
      <c r="M330" s="649"/>
      <c r="N330" s="666">
        <v>4</v>
      </c>
      <c r="O330" s="636"/>
      <c r="P330" s="636"/>
      <c r="U330" s="520"/>
      <c r="AC330" s="218"/>
      <c r="AH330" s="218"/>
    </row>
    <row r="331" spans="1:34" ht="32.25" customHeight="1" x14ac:dyDescent="0.25">
      <c r="A331" s="666">
        <v>3</v>
      </c>
      <c r="B331" s="636"/>
      <c r="C331" s="636"/>
      <c r="D331" s="649"/>
      <c r="F331" s="666">
        <v>3</v>
      </c>
      <c r="G331" s="636"/>
      <c r="H331" s="636"/>
      <c r="J331" s="666">
        <v>3</v>
      </c>
      <c r="K331" s="636"/>
      <c r="L331" s="636"/>
      <c r="M331" s="649"/>
      <c r="N331" s="666">
        <v>3</v>
      </c>
      <c r="O331" s="636"/>
      <c r="P331" s="636"/>
      <c r="U331" s="520"/>
      <c r="AC331" s="218"/>
      <c r="AH331" s="218"/>
    </row>
    <row r="332" spans="1:34" ht="32.25" customHeight="1" x14ac:dyDescent="0.25">
      <c r="A332" s="666">
        <v>2</v>
      </c>
      <c r="B332" s="636"/>
      <c r="C332" s="636"/>
      <c r="D332" s="649"/>
      <c r="F332" s="666">
        <v>2</v>
      </c>
      <c r="G332" s="636"/>
      <c r="H332" s="636"/>
      <c r="J332" s="666">
        <v>2</v>
      </c>
      <c r="K332" s="636"/>
      <c r="L332" s="636"/>
      <c r="M332" s="649"/>
      <c r="N332" s="666">
        <v>2</v>
      </c>
      <c r="O332" s="636"/>
      <c r="P332" s="636"/>
      <c r="U332" s="520"/>
      <c r="AC332" s="218"/>
      <c r="AH332" s="218"/>
    </row>
    <row r="333" spans="1:34" ht="32.25" customHeight="1" x14ac:dyDescent="0.25">
      <c r="A333" s="666">
        <v>1</v>
      </c>
      <c r="B333" s="636"/>
      <c r="C333" s="636"/>
      <c r="D333" s="649"/>
      <c r="F333" s="666">
        <v>1</v>
      </c>
      <c r="G333" s="636"/>
      <c r="H333" s="636"/>
      <c r="J333" s="666">
        <v>1</v>
      </c>
      <c r="K333" s="636"/>
      <c r="L333" s="636"/>
      <c r="M333" s="649"/>
      <c r="N333" s="666">
        <v>1</v>
      </c>
      <c r="O333" s="636"/>
      <c r="P333" s="636"/>
      <c r="U333" s="520"/>
      <c r="AC333" s="218"/>
      <c r="AH333" s="218"/>
    </row>
    <row r="334" spans="1:34" ht="32.25" customHeight="1" x14ac:dyDescent="0.25">
      <c r="A334" s="666" t="s">
        <v>982</v>
      </c>
      <c r="B334" s="636"/>
      <c r="C334" s="636"/>
      <c r="D334" s="649"/>
      <c r="F334" s="666" t="s">
        <v>982</v>
      </c>
      <c r="G334" s="636"/>
      <c r="H334" s="636"/>
      <c r="J334" s="666" t="s">
        <v>982</v>
      </c>
      <c r="K334" s="636"/>
      <c r="L334" s="636"/>
      <c r="M334" s="649"/>
      <c r="N334" s="666" t="s">
        <v>982</v>
      </c>
      <c r="O334" s="636"/>
      <c r="P334" s="636"/>
      <c r="U334" s="520"/>
      <c r="AC334" s="218"/>
      <c r="AH334" s="218"/>
    </row>
    <row r="335" spans="1:34" ht="32.25" customHeight="1" x14ac:dyDescent="0.25">
      <c r="A335" s="629" t="s">
        <v>981</v>
      </c>
      <c r="B335" s="650"/>
      <c r="C335" s="651" t="s">
        <v>996</v>
      </c>
      <c r="D335" s="649"/>
      <c r="F335" s="629" t="s">
        <v>981</v>
      </c>
      <c r="G335" s="650"/>
      <c r="H335" s="651" t="s">
        <v>996</v>
      </c>
      <c r="J335" s="629" t="s">
        <v>981</v>
      </c>
      <c r="K335" s="650"/>
      <c r="L335" s="651" t="s">
        <v>996</v>
      </c>
      <c r="M335" s="649"/>
      <c r="N335" s="629" t="s">
        <v>981</v>
      </c>
      <c r="O335" s="650"/>
      <c r="P335" s="651" t="s">
        <v>996</v>
      </c>
      <c r="Q335" s="649"/>
      <c r="U335" s="520"/>
      <c r="AC335" s="218"/>
      <c r="AH335" s="218"/>
    </row>
    <row r="336" spans="1:34" ht="32.25" customHeight="1" thickBot="1" x14ac:dyDescent="0.3">
      <c r="A336" s="649"/>
      <c r="B336" s="629" t="s">
        <v>983</v>
      </c>
      <c r="C336" s="665"/>
      <c r="D336" s="649"/>
      <c r="F336" s="637" t="s">
        <v>985</v>
      </c>
      <c r="G336" s="629" t="s">
        <v>983</v>
      </c>
      <c r="H336" s="636"/>
      <c r="J336" s="637" t="s">
        <v>985</v>
      </c>
      <c r="K336" s="629" t="s">
        <v>983</v>
      </c>
      <c r="L336" s="636"/>
      <c r="M336" s="649"/>
      <c r="N336" s="637" t="s">
        <v>985</v>
      </c>
      <c r="O336" s="629" t="s">
        <v>983</v>
      </c>
      <c r="P336" s="636"/>
      <c r="Q336" s="649"/>
      <c r="U336" s="520"/>
      <c r="AC336" s="218"/>
      <c r="AH336" s="218"/>
    </row>
    <row r="337" spans="1:34" ht="41.25" customHeight="1" thickBot="1" x14ac:dyDescent="0.3">
      <c r="A337" s="1114" t="s">
        <v>1001</v>
      </c>
      <c r="B337" s="1114"/>
      <c r="C337" s="734">
        <f ca="1">VLOOKUP(A315&amp;F315,PTS_SP,2,FALSE)</f>
        <v>0</v>
      </c>
      <c r="D337" s="649"/>
      <c r="F337" s="1115" t="s">
        <v>986</v>
      </c>
      <c r="G337" s="1116"/>
      <c r="H337" s="636"/>
      <c r="I337" s="1115" t="s">
        <v>986</v>
      </c>
      <c r="J337" s="1115"/>
      <c r="K337" s="636"/>
      <c r="L337" s="649"/>
      <c r="O337" s="634" t="s">
        <v>987</v>
      </c>
      <c r="P337" s="636"/>
      <c r="Q337" s="649"/>
      <c r="U337" s="520"/>
      <c r="AC337" s="218"/>
      <c r="AH337" s="218"/>
    </row>
    <row r="338" spans="1:34" ht="47.25" customHeight="1" thickBot="1" x14ac:dyDescent="0.3">
      <c r="A338" s="1115" t="s">
        <v>986</v>
      </c>
      <c r="B338" s="1116"/>
      <c r="C338" s="644"/>
      <c r="D338" s="649"/>
      <c r="E338" s="649"/>
      <c r="F338" s="649"/>
      <c r="G338" s="649"/>
      <c r="H338" s="649"/>
      <c r="I338" s="649"/>
      <c r="J338" s="649"/>
      <c r="K338" s="649"/>
      <c r="L338" s="649"/>
      <c r="N338" s="634"/>
      <c r="O338" s="634" t="s">
        <v>997</v>
      </c>
      <c r="P338" s="673"/>
      <c r="Q338" s="674"/>
      <c r="R338" s="663" t="s">
        <v>998</v>
      </c>
      <c r="U338" s="520"/>
      <c r="AC338" s="218"/>
      <c r="AH338" s="218"/>
    </row>
    <row r="339" spans="1:34" ht="36" customHeight="1" thickBot="1" x14ac:dyDescent="0.3">
      <c r="A339" s="649"/>
      <c r="B339" s="649"/>
      <c r="C339" s="649"/>
      <c r="D339" s="649"/>
      <c r="E339" s="672" t="s">
        <v>1002</v>
      </c>
      <c r="F339" s="667"/>
      <c r="G339" s="667"/>
      <c r="H339" s="668"/>
      <c r="I339" s="649"/>
      <c r="J339" s="672" t="s">
        <v>1003</v>
      </c>
      <c r="K339" s="667"/>
      <c r="L339" s="667"/>
      <c r="M339" s="668"/>
      <c r="O339" s="675" t="s">
        <v>1004</v>
      </c>
      <c r="P339" s="676" t="s">
        <v>999</v>
      </c>
      <c r="Q339" s="677" t="s">
        <v>1000</v>
      </c>
      <c r="R339" s="649"/>
      <c r="U339" s="520"/>
      <c r="AC339" s="218"/>
      <c r="AH339" s="218"/>
    </row>
    <row r="340" spans="1:34" ht="36" customHeight="1" thickBot="1" x14ac:dyDescent="0.25">
      <c r="E340" s="669"/>
      <c r="F340" s="670"/>
      <c r="G340" s="670"/>
      <c r="H340" s="671"/>
      <c r="J340" s="669"/>
      <c r="K340" s="670"/>
      <c r="L340" s="670"/>
      <c r="M340" s="671"/>
      <c r="U340" s="520"/>
      <c r="AA340" s="679"/>
      <c r="AB340" s="679"/>
      <c r="AC340" s="218"/>
      <c r="AH340" s="218"/>
    </row>
    <row r="341" spans="1:34" s="218" customFormat="1" ht="23.25" customHeight="1" x14ac:dyDescent="0.2">
      <c r="A341" s="217"/>
      <c r="B341" s="217"/>
      <c r="C341" s="217"/>
      <c r="D341" s="217"/>
      <c r="E341" s="217"/>
      <c r="F341" s="217"/>
      <c r="G341" s="217"/>
      <c r="H341" s="217"/>
      <c r="I341" s="217"/>
      <c r="J341" s="217"/>
      <c r="K341" s="217"/>
      <c r="L341" s="217"/>
      <c r="M341" s="217"/>
      <c r="N341" s="684"/>
      <c r="O341" s="684"/>
      <c r="P341" s="684"/>
      <c r="Q341" s="684"/>
      <c r="R341" s="217"/>
      <c r="S341" s="217"/>
      <c r="T341" s="217"/>
      <c r="U341" s="520"/>
      <c r="V341" s="679"/>
      <c r="W341" s="679"/>
      <c r="X341" s="679"/>
      <c r="Y341" s="679"/>
      <c r="Z341" s="679"/>
      <c r="AA341" s="662"/>
      <c r="AB341" s="662"/>
      <c r="AD341" s="217"/>
      <c r="AE341" s="217"/>
      <c r="AF341" s="217"/>
      <c r="AG341" s="217"/>
    </row>
    <row r="342" spans="1:34" ht="19.5" customHeight="1" thickBot="1" x14ac:dyDescent="0.25">
      <c r="M342" s="500"/>
      <c r="N342" s="520" t="str">
        <f ca="1">INDIRECT("AE"&amp;O342)</f>
        <v>Collège Wenceslas CobergherBergues</v>
      </c>
      <c r="O342" s="500">
        <f>P343+2</f>
        <v>14</v>
      </c>
      <c r="P342" s="501" t="str">
        <f ca="1">INDIRECT("AF"&amp;O342)</f>
        <v>classement</v>
      </c>
      <c r="Q342" s="500"/>
      <c r="R342" s="500"/>
      <c r="T342" s="679"/>
      <c r="U342" s="679"/>
      <c r="V342" s="679"/>
      <c r="W342" s="679"/>
      <c r="X342" s="679"/>
      <c r="Y342" s="679"/>
      <c r="Z342" s="679"/>
      <c r="AA342" s="679"/>
      <c r="AB342" s="679"/>
      <c r="AC342" s="218"/>
      <c r="AH342" s="218"/>
    </row>
    <row r="343" spans="1:34" s="218" customFormat="1" ht="36" thickBot="1" x14ac:dyDescent="0.25">
      <c r="A343" s="576" t="s">
        <v>546</v>
      </c>
      <c r="B343" s="402" t="str">
        <f>B312</f>
        <v>D3</v>
      </c>
      <c r="D343" s="661" t="s">
        <v>628</v>
      </c>
      <c r="E343" s="660">
        <f ca="1">INDIRECT("AD"&amp;O342)</f>
        <v>9</v>
      </c>
      <c r="F343" s="705" t="str">
        <f>"   "&amp;Championnat</f>
        <v xml:space="preserve">   Championnat de France de Tir à l'ARC</v>
      </c>
      <c r="O343" s="502" t="s">
        <v>849</v>
      </c>
      <c r="P343" s="503">
        <f>P312+1</f>
        <v>12</v>
      </c>
      <c r="R343" s="254"/>
      <c r="S343" s="254"/>
      <c r="T343" s="681"/>
      <c r="U343" s="680"/>
      <c r="V343" s="681"/>
      <c r="X343" s="662"/>
      <c r="Y343" s="662"/>
      <c r="Z343" s="662"/>
      <c r="AA343" s="662"/>
      <c r="AB343" s="662"/>
      <c r="AD343" s="217"/>
      <c r="AE343" s="217"/>
      <c r="AF343" s="217"/>
      <c r="AG343" s="217"/>
    </row>
    <row r="344" spans="1:34" ht="35.25" x14ac:dyDescent="0.2">
      <c r="A344" s="706" t="str">
        <f>CATEG_IMPORTEE</f>
        <v>Collèges Mixtes Etablissement</v>
      </c>
      <c r="J344" s="592" t="str">
        <f>LIEU&amp;" du "&amp;DATE</f>
        <v>L’Isle sur la Sorgue du 27 au 31 mars 2023</v>
      </c>
      <c r="R344" s="254"/>
      <c r="S344" s="254"/>
      <c r="T344" s="681"/>
      <c r="U344" s="680"/>
      <c r="V344" s="681"/>
      <c r="W344" s="679"/>
      <c r="X344" s="679"/>
      <c r="Y344" s="679"/>
      <c r="Z344" s="679"/>
      <c r="AA344" s="679"/>
      <c r="AB344" s="679"/>
      <c r="AC344" s="218"/>
      <c r="AH344" s="218"/>
    </row>
    <row r="345" spans="1:34" ht="24" customHeight="1" thickBot="1" x14ac:dyDescent="0.25">
      <c r="A345" s="648" t="s">
        <v>0</v>
      </c>
      <c r="B345" s="648"/>
      <c r="C345" s="648"/>
      <c r="D345" s="648"/>
      <c r="F345" s="1124" t="s">
        <v>1006</v>
      </c>
      <c r="G345" s="1125"/>
      <c r="H345" s="1125"/>
      <c r="J345" s="648" t="s">
        <v>0</v>
      </c>
      <c r="O345" s="1093" t="s">
        <v>1005</v>
      </c>
      <c r="P345" s="1093"/>
      <c r="R345" s="254"/>
      <c r="S345" s="254"/>
      <c r="T345" s="681"/>
      <c r="U345" s="680"/>
      <c r="V345" s="681"/>
      <c r="W345" s="679"/>
      <c r="X345" s="679"/>
      <c r="Y345" s="679"/>
      <c r="Z345" s="679"/>
      <c r="AA345" s="679"/>
      <c r="AB345" s="679"/>
      <c r="AC345" s="218"/>
      <c r="AH345" s="218"/>
    </row>
    <row r="346" spans="1:34" ht="23.25" customHeight="1" thickBot="1" x14ac:dyDescent="0.25">
      <c r="A346" s="657" t="str">
        <f ca="1">IFERROR(VLOOKUP(N342,Num_AS,2,FALSE),"")</f>
        <v/>
      </c>
      <c r="B346" s="658"/>
      <c r="C346" s="658"/>
      <c r="D346" s="658"/>
      <c r="E346" s="658"/>
      <c r="F346" s="1117" t="str">
        <f ca="1">IFERROR(VLOOKUP(N342,Num_AS,3,FALSE),"")</f>
        <v/>
      </c>
      <c r="G346" s="1118"/>
      <c r="H346" s="1119"/>
      <c r="I346" s="219" t="s">
        <v>547</v>
      </c>
      <c r="J346" s="678" t="str">
        <f ca="1">IFERROR(VLOOKUP(P342,Num_AS,2,FALSE),"")</f>
        <v/>
      </c>
      <c r="K346" s="664"/>
      <c r="L346" s="664"/>
      <c r="M346" s="664"/>
      <c r="N346" s="1120" t="str">
        <f ca="1">IFERROR(VLOOKUP(P342,Num_AS,3,FALSE),"")</f>
        <v/>
      </c>
      <c r="O346" s="1121"/>
      <c r="P346" s="1122"/>
      <c r="R346" s="254"/>
      <c r="S346" s="254"/>
      <c r="T346" s="681"/>
      <c r="U346" s="680"/>
      <c r="V346" s="681"/>
      <c r="W346" s="679"/>
      <c r="X346" s="679"/>
      <c r="Y346" s="679"/>
      <c r="Z346" s="679"/>
      <c r="AA346" s="679"/>
      <c r="AB346" s="679"/>
      <c r="AC346" s="218"/>
      <c r="AH346" s="218"/>
    </row>
    <row r="347" spans="1:34" ht="20.100000000000001" customHeight="1" thickBot="1" x14ac:dyDescent="0.25">
      <c r="E347" s="219"/>
      <c r="F347" s="1107" t="str">
        <f ca="1">IFERROR(VLOOKUP(N342,Num_AS,4,FALSE),"")</f>
        <v/>
      </c>
      <c r="G347" s="1108"/>
      <c r="H347" s="1109"/>
      <c r="N347" s="1110" t="str">
        <f ca="1">IFERROR(VLOOKUP(P342,Num_AS,4,FALSE),"")</f>
        <v/>
      </c>
      <c r="O347" s="1111"/>
      <c r="P347" s="1112"/>
      <c r="R347" s="254"/>
      <c r="S347" s="254"/>
      <c r="T347" s="681"/>
      <c r="U347" s="680"/>
      <c r="V347" s="681"/>
      <c r="W347" s="679"/>
      <c r="X347" s="679"/>
      <c r="Y347" s="679"/>
      <c r="Z347" s="679"/>
      <c r="AA347" s="679"/>
      <c r="AB347" s="679"/>
      <c r="AC347" s="218"/>
      <c r="AH347" s="218"/>
    </row>
    <row r="348" spans="1:34" ht="18" customHeight="1" thickBot="1" x14ac:dyDescent="0.25">
      <c r="A348" s="1123" t="s">
        <v>548</v>
      </c>
      <c r="B348" s="1123"/>
      <c r="C348" s="1123"/>
      <c r="D348" s="1123"/>
      <c r="E348" s="219"/>
      <c r="F348" s="219"/>
      <c r="G348" s="219"/>
      <c r="H348" s="219"/>
      <c r="I348" s="219"/>
      <c r="J348" s="219"/>
      <c r="K348" s="219"/>
      <c r="L348" s="219"/>
      <c r="M348" s="219"/>
      <c r="N348" s="219"/>
      <c r="O348" s="219"/>
      <c r="P348" s="219"/>
      <c r="R348" s="254"/>
      <c r="S348" s="254"/>
      <c r="T348" s="681"/>
      <c r="U348" s="680"/>
      <c r="V348" s="681"/>
      <c r="W348" s="679"/>
      <c r="X348" s="679"/>
      <c r="Y348" s="679"/>
      <c r="Z348" s="679"/>
      <c r="AA348" s="679"/>
      <c r="AB348" s="679"/>
      <c r="AC348" s="218"/>
      <c r="AH348" s="218"/>
    </row>
    <row r="349" spans="1:34" ht="24" customHeight="1" thickTop="1" thickBot="1" x14ac:dyDescent="0.25">
      <c r="A349" s="1126" t="s">
        <v>549</v>
      </c>
      <c r="B349" s="1127"/>
      <c r="C349" s="1127"/>
      <c r="D349" s="1128"/>
      <c r="E349" s="685" t="s">
        <v>480</v>
      </c>
      <c r="F349" s="685" t="s">
        <v>550</v>
      </c>
      <c r="G349" s="686" t="s">
        <v>551</v>
      </c>
      <c r="H349" s="687" t="s">
        <v>779</v>
      </c>
      <c r="J349" s="702" t="s">
        <v>549</v>
      </c>
      <c r="K349" s="703"/>
      <c r="L349" s="703"/>
      <c r="M349" s="704"/>
      <c r="N349" s="685" t="s">
        <v>480</v>
      </c>
      <c r="O349" s="685" t="s">
        <v>550</v>
      </c>
      <c r="P349" s="686" t="s">
        <v>551</v>
      </c>
      <c r="Q349" s="687" t="s">
        <v>779</v>
      </c>
      <c r="R349" s="254"/>
      <c r="S349" s="254"/>
      <c r="T349" s="681"/>
      <c r="U349" s="680"/>
      <c r="V349" s="681"/>
      <c r="W349" s="679"/>
      <c r="X349" s="679"/>
      <c r="Y349" s="679"/>
      <c r="Z349" s="679"/>
      <c r="AA349" s="679"/>
      <c r="AB349" s="679"/>
      <c r="AC349" s="218"/>
      <c r="AH349" s="218"/>
    </row>
    <row r="350" spans="1:34" ht="24.75" customHeight="1" x14ac:dyDescent="0.2">
      <c r="A350" s="659" t="str">
        <f ca="1">IFERROR(VLOOKUP(N342,Num_AS,6,FALSE),"")</f>
        <v/>
      </c>
      <c r="B350" s="588"/>
      <c r="C350" s="653" t="str">
        <f ca="1">IFERROR(VLOOKUP(N342,Num_AS,7,FALSE),"")</f>
        <v/>
      </c>
      <c r="D350" s="652"/>
      <c r="E350" s="654" t="str">
        <f ca="1">IFERROR(VLOOKUP(N342,Num_AS,10,FALSE),"")</f>
        <v/>
      </c>
      <c r="F350" s="654" t="str">
        <f ca="1">IFERROR(VLOOKUP(N342,Num_AS,9,FALSE),"")</f>
        <v/>
      </c>
      <c r="G350" s="655" t="str">
        <f ca="1">IFERROR(VLOOKUP(N342,Num_AS,11,FALSE),"")</f>
        <v/>
      </c>
      <c r="H350" s="688">
        <f ca="1">E343</f>
        <v>9</v>
      </c>
      <c r="J350" s="659" t="str">
        <f ca="1">IFERROR(VLOOKUP(N342,Num_AS,18,FALSE),"")</f>
        <v/>
      </c>
      <c r="K350" s="588"/>
      <c r="L350" s="653" t="str">
        <f ca="1">IFERROR(VLOOKUP(N342,Num_AS,19,FALSE),"")</f>
        <v/>
      </c>
      <c r="M350" s="647"/>
      <c r="N350" s="656" t="str">
        <f ca="1">IFERROR(VLOOKUP(N342,Num_AS,22,FALSE),"")</f>
        <v/>
      </c>
      <c r="O350" s="654" t="str">
        <f ca="1">IFERROR(VLOOKUP(N342,Num_AS,21,FALSE),"")</f>
        <v/>
      </c>
      <c r="P350" s="682" t="str">
        <f ca="1">IFERROR(VLOOKUP(N342,Num_AS,23,FALSE),"")</f>
        <v/>
      </c>
      <c r="Q350" s="688">
        <f ca="1">E343</f>
        <v>9</v>
      </c>
      <c r="R350" s="254"/>
      <c r="S350" s="254"/>
      <c r="T350" s="681"/>
      <c r="U350" s="680"/>
      <c r="V350" s="681"/>
      <c r="W350" s="679"/>
      <c r="X350" s="679"/>
      <c r="Y350" s="679"/>
      <c r="Z350" s="679"/>
      <c r="AA350" s="679"/>
      <c r="AB350" s="679"/>
      <c r="AC350" s="218"/>
      <c r="AH350" s="218"/>
    </row>
    <row r="351" spans="1:34" ht="24.75" customHeight="1" thickBot="1" x14ac:dyDescent="0.25">
      <c r="A351" s="689" t="str">
        <f ca="1">IFERROR(VLOOKUP(N342,Num_AS,12,FALSE),"")</f>
        <v/>
      </c>
      <c r="B351" s="690"/>
      <c r="C351" s="691" t="str">
        <f ca="1">IFERROR(VLOOKUP(N342,Num_AS,13,FALSE),"")</f>
        <v/>
      </c>
      <c r="D351" s="692"/>
      <c r="E351" s="693" t="str">
        <f ca="1">IFERROR(VLOOKUP(N342,Num_AS,16,FALSE),"")</f>
        <v/>
      </c>
      <c r="F351" s="694" t="str">
        <f ca="1">IFERROR(VLOOKUP(N342,Num_AS,15,FALSE),"")</f>
        <v/>
      </c>
      <c r="G351" s="695" t="str">
        <f ca="1">IFERROR(VLOOKUP(N342,Num_AS,17,FALSE),"")</f>
        <v/>
      </c>
      <c r="H351" s="700">
        <f ca="1">E343</f>
        <v>9</v>
      </c>
      <c r="J351" s="689" t="str">
        <f ca="1">IFERROR(VLOOKUP(N342,Num_AS,24,FALSE),"")</f>
        <v/>
      </c>
      <c r="K351" s="690"/>
      <c r="L351" s="691" t="str">
        <f ca="1">IFERROR(VLOOKUP(N342,Num_AS,25,FALSE),"")</f>
        <v/>
      </c>
      <c r="M351" s="697"/>
      <c r="N351" s="698" t="str">
        <f ca="1">IFERROR(VLOOKUP(N342,Num_AS,28,FALSE),"")</f>
        <v/>
      </c>
      <c r="O351" s="694" t="str">
        <f ca="1">IFERROR(VLOOKUP(N342,Num_AS,27,FALSE),"")</f>
        <v/>
      </c>
      <c r="P351" s="699" t="str">
        <f ca="1">IFERROR(VLOOKUP(N342,Num_AS,29,FALSE),"")</f>
        <v/>
      </c>
      <c r="Q351" s="700">
        <f ca="1">E343</f>
        <v>9</v>
      </c>
      <c r="R351" s="254"/>
      <c r="S351" s="254"/>
      <c r="T351" s="681"/>
      <c r="U351" s="680"/>
      <c r="V351" s="681"/>
      <c r="W351" s="681"/>
      <c r="X351" s="681"/>
      <c r="Y351" s="681"/>
      <c r="Z351" s="679"/>
      <c r="AA351" s="679"/>
      <c r="AB351" s="679"/>
      <c r="AC351" s="218"/>
      <c r="AH351" s="218"/>
    </row>
    <row r="352" spans="1:34" ht="12.75" customHeight="1" thickTop="1" x14ac:dyDescent="0.2">
      <c r="A352" s="701"/>
      <c r="B352" s="249"/>
      <c r="C352" s="701"/>
      <c r="D352" s="701"/>
      <c r="E352" s="196"/>
      <c r="F352" s="196"/>
      <c r="G352" s="249"/>
      <c r="H352" s="219"/>
      <c r="I352" s="701"/>
      <c r="J352" s="249"/>
      <c r="K352" s="701"/>
      <c r="L352" s="249"/>
      <c r="M352" s="196"/>
      <c r="N352" s="196"/>
      <c r="O352" s="249"/>
      <c r="P352" s="219"/>
      <c r="R352" s="254"/>
      <c r="S352" s="254"/>
      <c r="T352" s="681"/>
      <c r="U352" s="680"/>
      <c r="V352" s="681"/>
      <c r="W352" s="681"/>
      <c r="X352" s="681"/>
      <c r="Y352" s="681"/>
      <c r="Z352" s="679"/>
      <c r="AA352" s="679"/>
      <c r="AB352" s="679"/>
      <c r="AC352" s="218"/>
      <c r="AH352" s="218"/>
    </row>
    <row r="353" spans="1:34" ht="37.5" customHeight="1" x14ac:dyDescent="0.2">
      <c r="A353" s="1113" t="s">
        <v>909</v>
      </c>
      <c r="B353" s="1113"/>
      <c r="C353" s="1113"/>
      <c r="F353" s="1113" t="s">
        <v>910</v>
      </c>
      <c r="G353" s="1113"/>
      <c r="H353" s="1113"/>
      <c r="J353" s="1113" t="s">
        <v>911</v>
      </c>
      <c r="K353" s="1113"/>
      <c r="L353" s="1113"/>
      <c r="N353" s="1113" t="s">
        <v>912</v>
      </c>
      <c r="O353" s="1113"/>
      <c r="P353" s="1113"/>
      <c r="R353" s="254"/>
      <c r="S353" s="254"/>
      <c r="T353" s="681"/>
      <c r="U353" s="680"/>
      <c r="V353" s="679"/>
      <c r="W353" s="679"/>
      <c r="X353" s="679"/>
      <c r="Y353" s="679"/>
      <c r="Z353" s="679"/>
      <c r="AA353" s="679"/>
      <c r="AB353" s="679"/>
      <c r="AC353" s="218"/>
      <c r="AH353" s="218"/>
    </row>
    <row r="354" spans="1:34" ht="37.5" customHeight="1" x14ac:dyDescent="0.25">
      <c r="A354" s="629" t="s">
        <v>980</v>
      </c>
      <c r="B354" s="629" t="s">
        <v>981</v>
      </c>
      <c r="C354" s="636" t="s">
        <v>780</v>
      </c>
      <c r="D354" s="649"/>
      <c r="F354" s="629" t="s">
        <v>980</v>
      </c>
      <c r="G354" s="629" t="s">
        <v>981</v>
      </c>
      <c r="H354" s="636" t="s">
        <v>780</v>
      </c>
      <c r="J354" s="629" t="s">
        <v>980</v>
      </c>
      <c r="K354" s="629" t="s">
        <v>981</v>
      </c>
      <c r="L354" s="636" t="s">
        <v>780</v>
      </c>
      <c r="M354" s="649"/>
      <c r="N354" s="629" t="s">
        <v>980</v>
      </c>
      <c r="O354" s="629" t="s">
        <v>981</v>
      </c>
      <c r="P354" s="636" t="s">
        <v>780</v>
      </c>
      <c r="T354" s="679"/>
      <c r="U354" s="680"/>
      <c r="V354" s="679"/>
      <c r="W354" s="679"/>
      <c r="X354" s="679"/>
      <c r="Y354" s="679"/>
      <c r="Z354" s="679"/>
      <c r="AA354" s="679"/>
      <c r="AB354" s="679"/>
      <c r="AC354" s="218"/>
      <c r="AH354" s="218"/>
    </row>
    <row r="355" spans="1:34" ht="32.25" customHeight="1" x14ac:dyDescent="0.25">
      <c r="A355" s="666">
        <v>10</v>
      </c>
      <c r="B355" s="636"/>
      <c r="C355" s="636"/>
      <c r="D355" s="649"/>
      <c r="F355" s="666">
        <v>10</v>
      </c>
      <c r="G355" s="636"/>
      <c r="H355" s="636"/>
      <c r="J355" s="666">
        <v>10</v>
      </c>
      <c r="K355" s="636"/>
      <c r="L355" s="636"/>
      <c r="M355" s="649"/>
      <c r="N355" s="666">
        <v>10</v>
      </c>
      <c r="O355" s="636"/>
      <c r="P355" s="636"/>
      <c r="T355" s="679"/>
      <c r="U355" s="680"/>
      <c r="V355" s="679"/>
      <c r="W355" s="679"/>
      <c r="X355" s="679"/>
      <c r="Y355" s="679"/>
      <c r="Z355" s="679"/>
      <c r="AA355" s="679"/>
      <c r="AB355" s="679"/>
      <c r="AC355" s="218"/>
      <c r="AH355" s="218"/>
    </row>
    <row r="356" spans="1:34" ht="32.25" customHeight="1" x14ac:dyDescent="0.25">
      <c r="A356" s="666">
        <v>9</v>
      </c>
      <c r="B356" s="636"/>
      <c r="C356" s="636"/>
      <c r="D356" s="649"/>
      <c r="F356" s="666">
        <v>9</v>
      </c>
      <c r="G356" s="636"/>
      <c r="H356" s="636"/>
      <c r="J356" s="666">
        <v>9</v>
      </c>
      <c r="K356" s="636"/>
      <c r="L356" s="636"/>
      <c r="M356" s="649"/>
      <c r="N356" s="666">
        <v>9</v>
      </c>
      <c r="O356" s="636"/>
      <c r="P356" s="636"/>
      <c r="T356" s="679"/>
      <c r="U356" s="680"/>
      <c r="V356" s="679"/>
      <c r="W356" s="679"/>
      <c r="X356" s="679"/>
      <c r="Y356" s="679"/>
      <c r="Z356" s="679"/>
      <c r="AA356" s="679"/>
      <c r="AB356" s="679"/>
      <c r="AC356" s="218"/>
      <c r="AH356" s="218"/>
    </row>
    <row r="357" spans="1:34" ht="32.25" customHeight="1" x14ac:dyDescent="0.25">
      <c r="A357" s="666">
        <v>8</v>
      </c>
      <c r="B357" s="636"/>
      <c r="C357" s="636"/>
      <c r="D357" s="649"/>
      <c r="F357" s="666">
        <v>8</v>
      </c>
      <c r="G357" s="636"/>
      <c r="H357" s="636"/>
      <c r="J357" s="666">
        <v>8</v>
      </c>
      <c r="K357" s="636"/>
      <c r="L357" s="636"/>
      <c r="M357" s="649"/>
      <c r="N357" s="666">
        <v>8</v>
      </c>
      <c r="O357" s="636"/>
      <c r="P357" s="636"/>
      <c r="T357" s="679"/>
      <c r="U357" s="680"/>
      <c r="V357" s="679"/>
      <c r="W357" s="679"/>
      <c r="X357" s="679"/>
      <c r="Y357" s="679"/>
      <c r="Z357" s="679"/>
      <c r="AA357" s="679"/>
      <c r="AB357" s="679"/>
      <c r="AC357" s="218"/>
      <c r="AH357" s="218"/>
    </row>
    <row r="358" spans="1:34" ht="32.25" customHeight="1" x14ac:dyDescent="0.25">
      <c r="A358" s="666">
        <v>7</v>
      </c>
      <c r="B358" s="636"/>
      <c r="C358" s="636"/>
      <c r="D358" s="649"/>
      <c r="F358" s="666">
        <v>7</v>
      </c>
      <c r="G358" s="636"/>
      <c r="H358" s="636"/>
      <c r="J358" s="666">
        <v>7</v>
      </c>
      <c r="K358" s="636"/>
      <c r="L358" s="636"/>
      <c r="M358" s="649"/>
      <c r="N358" s="666">
        <v>7</v>
      </c>
      <c r="O358" s="636"/>
      <c r="P358" s="636"/>
      <c r="T358" s="679"/>
      <c r="U358" s="680"/>
      <c r="V358" s="679"/>
      <c r="W358" s="679"/>
      <c r="X358" s="679"/>
      <c r="Y358" s="679"/>
      <c r="Z358" s="679"/>
      <c r="AC358" s="218"/>
      <c r="AH358" s="218"/>
    </row>
    <row r="359" spans="1:34" ht="32.25" customHeight="1" x14ac:dyDescent="0.25">
      <c r="A359" s="666">
        <v>6</v>
      </c>
      <c r="B359" s="636"/>
      <c r="C359" s="636"/>
      <c r="D359" s="649"/>
      <c r="F359" s="666">
        <v>6</v>
      </c>
      <c r="G359" s="636"/>
      <c r="H359" s="636"/>
      <c r="J359" s="666">
        <v>6</v>
      </c>
      <c r="K359" s="636"/>
      <c r="L359" s="636"/>
      <c r="M359" s="649"/>
      <c r="N359" s="666">
        <v>6</v>
      </c>
      <c r="O359" s="636"/>
      <c r="P359" s="636"/>
      <c r="T359" s="679"/>
      <c r="U359" s="680"/>
      <c r="AC359" s="218"/>
      <c r="AH359" s="218"/>
    </row>
    <row r="360" spans="1:34" ht="32.25" customHeight="1" x14ac:dyDescent="0.25">
      <c r="A360" s="666">
        <v>5</v>
      </c>
      <c r="B360" s="636"/>
      <c r="C360" s="636"/>
      <c r="D360" s="649"/>
      <c r="F360" s="666">
        <v>5</v>
      </c>
      <c r="G360" s="636"/>
      <c r="H360" s="636"/>
      <c r="J360" s="666">
        <v>5</v>
      </c>
      <c r="K360" s="636"/>
      <c r="L360" s="636"/>
      <c r="M360" s="649"/>
      <c r="N360" s="666">
        <v>5</v>
      </c>
      <c r="O360" s="636"/>
      <c r="P360" s="636"/>
      <c r="U360" s="520"/>
      <c r="AC360" s="218"/>
      <c r="AH360" s="218"/>
    </row>
    <row r="361" spans="1:34" ht="32.25" customHeight="1" x14ac:dyDescent="0.25">
      <c r="A361" s="666">
        <v>4</v>
      </c>
      <c r="B361" s="636"/>
      <c r="C361" s="636"/>
      <c r="D361" s="649"/>
      <c r="F361" s="666">
        <v>4</v>
      </c>
      <c r="G361" s="636"/>
      <c r="H361" s="636"/>
      <c r="J361" s="666">
        <v>4</v>
      </c>
      <c r="K361" s="636"/>
      <c r="L361" s="636"/>
      <c r="M361" s="649"/>
      <c r="N361" s="666">
        <v>4</v>
      </c>
      <c r="O361" s="636"/>
      <c r="P361" s="636"/>
      <c r="U361" s="520"/>
      <c r="AC361" s="218"/>
      <c r="AH361" s="218"/>
    </row>
    <row r="362" spans="1:34" ht="32.25" customHeight="1" x14ac:dyDescent="0.25">
      <c r="A362" s="666">
        <v>3</v>
      </c>
      <c r="B362" s="636"/>
      <c r="C362" s="636"/>
      <c r="D362" s="649"/>
      <c r="F362" s="666">
        <v>3</v>
      </c>
      <c r="G362" s="636"/>
      <c r="H362" s="636"/>
      <c r="J362" s="666">
        <v>3</v>
      </c>
      <c r="K362" s="636"/>
      <c r="L362" s="636"/>
      <c r="M362" s="649"/>
      <c r="N362" s="666">
        <v>3</v>
      </c>
      <c r="O362" s="636"/>
      <c r="P362" s="636"/>
      <c r="U362" s="520"/>
      <c r="AC362" s="218"/>
      <c r="AH362" s="218"/>
    </row>
    <row r="363" spans="1:34" ht="32.25" customHeight="1" x14ac:dyDescent="0.25">
      <c r="A363" s="666">
        <v>2</v>
      </c>
      <c r="B363" s="636"/>
      <c r="C363" s="636"/>
      <c r="D363" s="649"/>
      <c r="F363" s="666">
        <v>2</v>
      </c>
      <c r="G363" s="636"/>
      <c r="H363" s="636"/>
      <c r="J363" s="666">
        <v>2</v>
      </c>
      <c r="K363" s="636"/>
      <c r="L363" s="636"/>
      <c r="M363" s="649"/>
      <c r="N363" s="666">
        <v>2</v>
      </c>
      <c r="O363" s="636"/>
      <c r="P363" s="636"/>
      <c r="U363" s="520"/>
      <c r="AC363" s="218"/>
      <c r="AH363" s="218"/>
    </row>
    <row r="364" spans="1:34" ht="32.25" customHeight="1" x14ac:dyDescent="0.25">
      <c r="A364" s="666">
        <v>1</v>
      </c>
      <c r="B364" s="636"/>
      <c r="C364" s="636"/>
      <c r="D364" s="649"/>
      <c r="F364" s="666">
        <v>1</v>
      </c>
      <c r="G364" s="636"/>
      <c r="H364" s="636"/>
      <c r="J364" s="666">
        <v>1</v>
      </c>
      <c r="K364" s="636"/>
      <c r="L364" s="636"/>
      <c r="M364" s="649"/>
      <c r="N364" s="666">
        <v>1</v>
      </c>
      <c r="O364" s="636"/>
      <c r="P364" s="636"/>
      <c r="U364" s="520"/>
      <c r="AC364" s="218"/>
      <c r="AH364" s="218"/>
    </row>
    <row r="365" spans="1:34" ht="32.25" customHeight="1" x14ac:dyDescent="0.25">
      <c r="A365" s="666" t="s">
        <v>982</v>
      </c>
      <c r="B365" s="636"/>
      <c r="C365" s="636"/>
      <c r="D365" s="649"/>
      <c r="F365" s="666" t="s">
        <v>982</v>
      </c>
      <c r="G365" s="636"/>
      <c r="H365" s="636"/>
      <c r="J365" s="666" t="s">
        <v>982</v>
      </c>
      <c r="K365" s="636"/>
      <c r="L365" s="636"/>
      <c r="M365" s="649"/>
      <c r="N365" s="666" t="s">
        <v>982</v>
      </c>
      <c r="O365" s="636"/>
      <c r="P365" s="636"/>
      <c r="U365" s="520"/>
      <c r="AC365" s="218"/>
      <c r="AH365" s="218"/>
    </row>
    <row r="366" spans="1:34" ht="32.25" customHeight="1" x14ac:dyDescent="0.25">
      <c r="A366" s="629" t="s">
        <v>981</v>
      </c>
      <c r="B366" s="650"/>
      <c r="C366" s="651" t="s">
        <v>996</v>
      </c>
      <c r="D366" s="649"/>
      <c r="F366" s="629" t="s">
        <v>981</v>
      </c>
      <c r="G366" s="650"/>
      <c r="H366" s="651" t="s">
        <v>996</v>
      </c>
      <c r="J366" s="629" t="s">
        <v>981</v>
      </c>
      <c r="K366" s="650"/>
      <c r="L366" s="651" t="s">
        <v>996</v>
      </c>
      <c r="M366" s="649"/>
      <c r="N366" s="629" t="s">
        <v>981</v>
      </c>
      <c r="O366" s="650"/>
      <c r="P366" s="651" t="s">
        <v>996</v>
      </c>
      <c r="Q366" s="649"/>
      <c r="U366" s="520"/>
      <c r="AC366" s="218"/>
      <c r="AH366" s="218"/>
    </row>
    <row r="367" spans="1:34" ht="32.25" customHeight="1" thickBot="1" x14ac:dyDescent="0.3">
      <c r="A367" s="649"/>
      <c r="B367" s="629" t="s">
        <v>983</v>
      </c>
      <c r="C367" s="665"/>
      <c r="D367" s="649"/>
      <c r="F367" s="637" t="s">
        <v>985</v>
      </c>
      <c r="G367" s="629" t="s">
        <v>983</v>
      </c>
      <c r="H367" s="636"/>
      <c r="J367" s="637" t="s">
        <v>985</v>
      </c>
      <c r="K367" s="629" t="s">
        <v>983</v>
      </c>
      <c r="L367" s="636"/>
      <c r="M367" s="649"/>
      <c r="N367" s="637" t="s">
        <v>985</v>
      </c>
      <c r="O367" s="629" t="s">
        <v>983</v>
      </c>
      <c r="P367" s="636"/>
      <c r="Q367" s="649"/>
      <c r="U367" s="520"/>
      <c r="AC367" s="218"/>
      <c r="AH367" s="218"/>
    </row>
    <row r="368" spans="1:34" ht="41.25" customHeight="1" thickBot="1" x14ac:dyDescent="0.3">
      <c r="A368" s="1114" t="s">
        <v>1001</v>
      </c>
      <c r="B368" s="1114"/>
      <c r="C368" s="734">
        <f ca="1">VLOOKUP(A346&amp;F346,PTS_SP,2,FALSE)</f>
        <v>0</v>
      </c>
      <c r="D368" s="649"/>
      <c r="F368" s="1115" t="s">
        <v>986</v>
      </c>
      <c r="G368" s="1116"/>
      <c r="H368" s="636"/>
      <c r="I368" s="1115" t="s">
        <v>986</v>
      </c>
      <c r="J368" s="1115"/>
      <c r="K368" s="636"/>
      <c r="L368" s="649"/>
      <c r="O368" s="634" t="s">
        <v>987</v>
      </c>
      <c r="P368" s="636"/>
      <c r="Q368" s="649"/>
      <c r="U368" s="520"/>
      <c r="AC368" s="218"/>
      <c r="AH368" s="218"/>
    </row>
    <row r="369" spans="1:34" ht="47.25" customHeight="1" thickBot="1" x14ac:dyDescent="0.3">
      <c r="A369" s="1115" t="s">
        <v>986</v>
      </c>
      <c r="B369" s="1116"/>
      <c r="C369" s="644"/>
      <c r="D369" s="649"/>
      <c r="E369" s="649"/>
      <c r="F369" s="649"/>
      <c r="G369" s="649"/>
      <c r="H369" s="649"/>
      <c r="I369" s="649"/>
      <c r="J369" s="649"/>
      <c r="K369" s="649"/>
      <c r="L369" s="649"/>
      <c r="N369" s="634"/>
      <c r="O369" s="634" t="s">
        <v>997</v>
      </c>
      <c r="P369" s="673"/>
      <c r="Q369" s="674"/>
      <c r="R369" s="663" t="s">
        <v>998</v>
      </c>
      <c r="U369" s="520"/>
      <c r="AC369" s="218"/>
      <c r="AH369" s="218"/>
    </row>
    <row r="370" spans="1:34" ht="36" customHeight="1" thickBot="1" x14ac:dyDescent="0.3">
      <c r="A370" s="649"/>
      <c r="B370" s="649"/>
      <c r="C370" s="649"/>
      <c r="D370" s="649"/>
      <c r="E370" s="672" t="s">
        <v>1002</v>
      </c>
      <c r="F370" s="667"/>
      <c r="G370" s="667"/>
      <c r="H370" s="668"/>
      <c r="I370" s="649"/>
      <c r="J370" s="672" t="s">
        <v>1003</v>
      </c>
      <c r="K370" s="667"/>
      <c r="L370" s="667"/>
      <c r="M370" s="668"/>
      <c r="O370" s="675" t="s">
        <v>1004</v>
      </c>
      <c r="P370" s="676" t="s">
        <v>999</v>
      </c>
      <c r="Q370" s="677" t="s">
        <v>1000</v>
      </c>
      <c r="R370" s="649"/>
      <c r="U370" s="520"/>
      <c r="AC370" s="218"/>
      <c r="AH370" s="218"/>
    </row>
    <row r="371" spans="1:34" ht="36" customHeight="1" thickBot="1" x14ac:dyDescent="0.25">
      <c r="E371" s="669"/>
      <c r="F371" s="670"/>
      <c r="G371" s="670"/>
      <c r="H371" s="671"/>
      <c r="J371" s="669"/>
      <c r="K371" s="670"/>
      <c r="L371" s="670"/>
      <c r="M371" s="671"/>
      <c r="U371" s="520"/>
      <c r="AA371" s="679"/>
      <c r="AB371" s="679"/>
      <c r="AC371" s="218"/>
      <c r="AH371" s="218"/>
    </row>
    <row r="372" spans="1:34" s="218" customFormat="1" ht="23.25" customHeight="1" x14ac:dyDescent="0.2">
      <c r="A372" s="217"/>
      <c r="B372" s="217"/>
      <c r="C372" s="217"/>
      <c r="D372" s="217"/>
      <c r="E372" s="217"/>
      <c r="F372" s="217"/>
      <c r="G372" s="217"/>
      <c r="H372" s="217"/>
      <c r="I372" s="217"/>
      <c r="J372" s="217"/>
      <c r="K372" s="217"/>
      <c r="L372" s="217"/>
      <c r="M372" s="217"/>
      <c r="N372" s="684"/>
      <c r="O372" s="684"/>
      <c r="P372" s="684"/>
      <c r="Q372" s="684"/>
      <c r="R372" s="217"/>
      <c r="S372" s="217"/>
      <c r="T372" s="217"/>
      <c r="U372" s="520"/>
      <c r="V372" s="679"/>
      <c r="W372" s="679"/>
      <c r="X372" s="679"/>
      <c r="Y372" s="679"/>
      <c r="Z372" s="679"/>
      <c r="AA372" s="662"/>
      <c r="AB372" s="662"/>
      <c r="AD372" s="217"/>
      <c r="AE372" s="217"/>
      <c r="AF372" s="217"/>
      <c r="AG372" s="217"/>
    </row>
    <row r="373" spans="1:34" ht="19.5" customHeight="1" thickBot="1" x14ac:dyDescent="0.25">
      <c r="M373" s="500"/>
      <c r="N373" s="520" t="str">
        <f ca="1">INDIRECT("AE"&amp;O373)</f>
        <v>Collège Jean ZayChambon-sur-Voueize</v>
      </c>
      <c r="O373" s="500">
        <f>P374+2</f>
        <v>15</v>
      </c>
      <c r="P373" s="501" t="str">
        <f ca="1">INDIRECT("AF"&amp;O373)</f>
        <v>classement</v>
      </c>
      <c r="Q373" s="500"/>
      <c r="R373" s="500"/>
      <c r="T373" s="679"/>
      <c r="U373" s="679"/>
      <c r="V373" s="679"/>
      <c r="W373" s="679"/>
      <c r="X373" s="679"/>
      <c r="Y373" s="679"/>
      <c r="Z373" s="679"/>
      <c r="AA373" s="679"/>
      <c r="AB373" s="679"/>
      <c r="AC373" s="218"/>
      <c r="AH373" s="218"/>
    </row>
    <row r="374" spans="1:34" s="218" customFormat="1" ht="36" thickBot="1" x14ac:dyDescent="0.25">
      <c r="A374" s="576" t="s">
        <v>546</v>
      </c>
      <c r="B374" s="402" t="str">
        <f>B343</f>
        <v>D3</v>
      </c>
      <c r="D374" s="661" t="s">
        <v>628</v>
      </c>
      <c r="E374" s="660">
        <f ca="1">INDIRECT("AD"&amp;O373)</f>
        <v>10</v>
      </c>
      <c r="F374" s="705" t="str">
        <f>"   "&amp;Championnat</f>
        <v xml:space="preserve">   Championnat de France de Tir à l'ARC</v>
      </c>
      <c r="O374" s="502" t="s">
        <v>849</v>
      </c>
      <c r="P374" s="503">
        <f>P343+1</f>
        <v>13</v>
      </c>
      <c r="R374" s="254"/>
      <c r="S374" s="254"/>
      <c r="T374" s="681"/>
      <c r="U374" s="680"/>
      <c r="V374" s="681"/>
      <c r="X374" s="662"/>
      <c r="Y374" s="662"/>
      <c r="Z374" s="662"/>
      <c r="AA374" s="662"/>
      <c r="AB374" s="662"/>
      <c r="AD374" s="217"/>
      <c r="AE374" s="217"/>
      <c r="AF374" s="217"/>
      <c r="AG374" s="217"/>
    </row>
    <row r="375" spans="1:34" ht="35.25" x14ac:dyDescent="0.2">
      <c r="A375" s="706" t="str">
        <f>CATEG_IMPORTEE</f>
        <v>Collèges Mixtes Etablissement</v>
      </c>
      <c r="J375" s="592" t="str">
        <f>LIEU&amp;" du "&amp;DATE</f>
        <v>L’Isle sur la Sorgue du 27 au 31 mars 2023</v>
      </c>
      <c r="R375" s="254"/>
      <c r="S375" s="254"/>
      <c r="T375" s="681"/>
      <c r="U375" s="680"/>
      <c r="V375" s="681"/>
      <c r="W375" s="679"/>
      <c r="X375" s="679"/>
      <c r="Y375" s="679"/>
      <c r="Z375" s="679"/>
      <c r="AA375" s="679"/>
      <c r="AB375" s="679"/>
      <c r="AC375" s="218"/>
      <c r="AH375" s="218"/>
    </row>
    <row r="376" spans="1:34" ht="24" customHeight="1" thickBot="1" x14ac:dyDescent="0.25">
      <c r="A376" s="648" t="s">
        <v>0</v>
      </c>
      <c r="B376" s="648"/>
      <c r="C376" s="648"/>
      <c r="D376" s="648"/>
      <c r="F376" s="1124" t="s">
        <v>1006</v>
      </c>
      <c r="G376" s="1125"/>
      <c r="H376" s="1125"/>
      <c r="J376" s="648" t="s">
        <v>0</v>
      </c>
      <c r="O376" s="1093" t="s">
        <v>1005</v>
      </c>
      <c r="P376" s="1093"/>
      <c r="R376" s="254"/>
      <c r="S376" s="254"/>
      <c r="T376" s="681"/>
      <c r="U376" s="680"/>
      <c r="V376" s="681"/>
      <c r="W376" s="679"/>
      <c r="X376" s="679"/>
      <c r="Y376" s="679"/>
      <c r="Z376" s="679"/>
      <c r="AA376" s="679"/>
      <c r="AB376" s="679"/>
      <c r="AC376" s="218"/>
      <c r="AH376" s="218"/>
    </row>
    <row r="377" spans="1:34" ht="23.25" customHeight="1" thickBot="1" x14ac:dyDescent="0.25">
      <c r="A377" s="657" t="str">
        <f ca="1">IFERROR(VLOOKUP(N373,Num_AS,2,FALSE),"")</f>
        <v/>
      </c>
      <c r="B377" s="658"/>
      <c r="C377" s="658"/>
      <c r="D377" s="658"/>
      <c r="E377" s="658"/>
      <c r="F377" s="1117" t="str">
        <f ca="1">IFERROR(VLOOKUP(N373,Num_AS,3,FALSE),"")</f>
        <v/>
      </c>
      <c r="G377" s="1118"/>
      <c r="H377" s="1119"/>
      <c r="I377" s="219" t="s">
        <v>547</v>
      </c>
      <c r="J377" s="678" t="str">
        <f ca="1">IFERROR(VLOOKUP(P373,Num_AS,2,FALSE),"")</f>
        <v/>
      </c>
      <c r="K377" s="664"/>
      <c r="L377" s="664"/>
      <c r="M377" s="664"/>
      <c r="N377" s="1120" t="str">
        <f ca="1">IFERROR(VLOOKUP(P373,Num_AS,3,FALSE),"")</f>
        <v/>
      </c>
      <c r="O377" s="1121"/>
      <c r="P377" s="1122"/>
      <c r="R377" s="254"/>
      <c r="S377" s="254"/>
      <c r="T377" s="681"/>
      <c r="U377" s="680"/>
      <c r="V377" s="681"/>
      <c r="W377" s="679"/>
      <c r="X377" s="679"/>
      <c r="Y377" s="679"/>
      <c r="Z377" s="679"/>
      <c r="AA377" s="679"/>
      <c r="AB377" s="679"/>
      <c r="AC377" s="218"/>
      <c r="AH377" s="218"/>
    </row>
    <row r="378" spans="1:34" ht="20.100000000000001" customHeight="1" thickBot="1" x14ac:dyDescent="0.25">
      <c r="E378" s="219"/>
      <c r="F378" s="1107" t="str">
        <f ca="1">IFERROR(VLOOKUP(N373,Num_AS,4,FALSE),"")</f>
        <v/>
      </c>
      <c r="G378" s="1108"/>
      <c r="H378" s="1109"/>
      <c r="N378" s="1110" t="str">
        <f ca="1">IFERROR(VLOOKUP(P373,Num_AS,4,FALSE),"")</f>
        <v/>
      </c>
      <c r="O378" s="1111"/>
      <c r="P378" s="1112"/>
      <c r="R378" s="254"/>
      <c r="S378" s="254"/>
      <c r="T378" s="681"/>
      <c r="U378" s="680"/>
      <c r="V378" s="681"/>
      <c r="W378" s="679"/>
      <c r="X378" s="679"/>
      <c r="Y378" s="679"/>
      <c r="Z378" s="679"/>
      <c r="AA378" s="679"/>
      <c r="AB378" s="679"/>
      <c r="AC378" s="218"/>
      <c r="AH378" s="218"/>
    </row>
    <row r="379" spans="1:34" ht="18" customHeight="1" thickBot="1" x14ac:dyDescent="0.25">
      <c r="A379" s="1123" t="s">
        <v>548</v>
      </c>
      <c r="B379" s="1123"/>
      <c r="C379" s="1123"/>
      <c r="D379" s="1123"/>
      <c r="E379" s="219"/>
      <c r="F379" s="219"/>
      <c r="G379" s="219"/>
      <c r="H379" s="219"/>
      <c r="I379" s="219"/>
      <c r="J379" s="219"/>
      <c r="K379" s="219"/>
      <c r="L379" s="219"/>
      <c r="M379" s="219"/>
      <c r="N379" s="219"/>
      <c r="O379" s="219"/>
      <c r="P379" s="219"/>
      <c r="R379" s="254"/>
      <c r="S379" s="254"/>
      <c r="T379" s="681"/>
      <c r="U379" s="680"/>
      <c r="V379" s="681"/>
      <c r="W379" s="679"/>
      <c r="X379" s="679"/>
      <c r="Y379" s="679"/>
      <c r="Z379" s="679"/>
      <c r="AA379" s="679"/>
      <c r="AB379" s="679"/>
      <c r="AC379" s="218"/>
      <c r="AH379" s="218"/>
    </row>
    <row r="380" spans="1:34" ht="24" customHeight="1" thickTop="1" thickBot="1" x14ac:dyDescent="0.25">
      <c r="A380" s="1126" t="s">
        <v>549</v>
      </c>
      <c r="B380" s="1127"/>
      <c r="C380" s="1127"/>
      <c r="D380" s="1128"/>
      <c r="E380" s="685" t="s">
        <v>480</v>
      </c>
      <c r="F380" s="685" t="s">
        <v>550</v>
      </c>
      <c r="G380" s="686" t="s">
        <v>551</v>
      </c>
      <c r="H380" s="687" t="s">
        <v>779</v>
      </c>
      <c r="J380" s="702" t="s">
        <v>549</v>
      </c>
      <c r="K380" s="703"/>
      <c r="L380" s="703"/>
      <c r="M380" s="704"/>
      <c r="N380" s="685" t="s">
        <v>480</v>
      </c>
      <c r="O380" s="685" t="s">
        <v>550</v>
      </c>
      <c r="P380" s="686" t="s">
        <v>551</v>
      </c>
      <c r="Q380" s="687" t="s">
        <v>779</v>
      </c>
      <c r="R380" s="254"/>
      <c r="S380" s="254"/>
      <c r="T380" s="681"/>
      <c r="U380" s="680"/>
      <c r="V380" s="681"/>
      <c r="W380" s="679"/>
      <c r="X380" s="679"/>
      <c r="Y380" s="679"/>
      <c r="Z380" s="679"/>
      <c r="AA380" s="679"/>
      <c r="AB380" s="679"/>
      <c r="AC380" s="218"/>
      <c r="AH380" s="218"/>
    </row>
    <row r="381" spans="1:34" ht="24.75" customHeight="1" x14ac:dyDescent="0.2">
      <c r="A381" s="659" t="str">
        <f ca="1">IFERROR(VLOOKUP(N373,Num_AS,6,FALSE),"")</f>
        <v/>
      </c>
      <c r="B381" s="588"/>
      <c r="C381" s="653" t="str">
        <f ca="1">IFERROR(VLOOKUP(N373,Num_AS,7,FALSE),"")</f>
        <v/>
      </c>
      <c r="D381" s="652"/>
      <c r="E381" s="654" t="str">
        <f ca="1">IFERROR(VLOOKUP(N373,Num_AS,10,FALSE),"")</f>
        <v/>
      </c>
      <c r="F381" s="654" t="str">
        <f ca="1">IFERROR(VLOOKUP(N373,Num_AS,9,FALSE),"")</f>
        <v/>
      </c>
      <c r="G381" s="655" t="str">
        <f ca="1">IFERROR(VLOOKUP(N373,Num_AS,11,FALSE),"")</f>
        <v/>
      </c>
      <c r="H381" s="688">
        <f ca="1">E374</f>
        <v>10</v>
      </c>
      <c r="J381" s="659" t="str">
        <f ca="1">IFERROR(VLOOKUP(N373,Num_AS,18,FALSE),"")</f>
        <v/>
      </c>
      <c r="K381" s="588"/>
      <c r="L381" s="653" t="str">
        <f ca="1">IFERROR(VLOOKUP(N373,Num_AS,19,FALSE),"")</f>
        <v/>
      </c>
      <c r="M381" s="647"/>
      <c r="N381" s="656" t="str">
        <f ca="1">IFERROR(VLOOKUP(N373,Num_AS,22,FALSE),"")</f>
        <v/>
      </c>
      <c r="O381" s="654" t="str">
        <f ca="1">IFERROR(VLOOKUP(N373,Num_AS,21,FALSE),"")</f>
        <v/>
      </c>
      <c r="P381" s="682" t="str">
        <f ca="1">IFERROR(VLOOKUP(N373,Num_AS,23,FALSE),"")</f>
        <v/>
      </c>
      <c r="Q381" s="688">
        <f ca="1">E374</f>
        <v>10</v>
      </c>
      <c r="R381" s="254"/>
      <c r="S381" s="254"/>
      <c r="T381" s="681"/>
      <c r="U381" s="680"/>
      <c r="V381" s="681"/>
      <c r="W381" s="679"/>
      <c r="X381" s="679"/>
      <c r="Y381" s="679"/>
      <c r="Z381" s="679"/>
      <c r="AA381" s="679"/>
      <c r="AB381" s="679"/>
      <c r="AC381" s="218"/>
      <c r="AH381" s="218"/>
    </row>
    <row r="382" spans="1:34" ht="24.75" customHeight="1" thickBot="1" x14ac:dyDescent="0.25">
      <c r="A382" s="689" t="str">
        <f ca="1">IFERROR(VLOOKUP(N373,Num_AS,12,FALSE),"")</f>
        <v/>
      </c>
      <c r="B382" s="690"/>
      <c r="C382" s="691" t="str">
        <f ca="1">IFERROR(VLOOKUP(N373,Num_AS,13,FALSE),"")</f>
        <v/>
      </c>
      <c r="D382" s="692"/>
      <c r="E382" s="693" t="str">
        <f ca="1">IFERROR(VLOOKUP(N373,Num_AS,16,FALSE),"")</f>
        <v/>
      </c>
      <c r="F382" s="694" t="str">
        <f ca="1">IFERROR(VLOOKUP(N373,Num_AS,15,FALSE),"")</f>
        <v/>
      </c>
      <c r="G382" s="695" t="str">
        <f ca="1">IFERROR(VLOOKUP(N373,Num_AS,17,FALSE),"")</f>
        <v/>
      </c>
      <c r="H382" s="700">
        <f ca="1">E374</f>
        <v>10</v>
      </c>
      <c r="J382" s="689" t="str">
        <f ca="1">IFERROR(VLOOKUP(N373,Num_AS,24,FALSE),"")</f>
        <v/>
      </c>
      <c r="K382" s="690"/>
      <c r="L382" s="691" t="str">
        <f ca="1">IFERROR(VLOOKUP(N373,Num_AS,25,FALSE),"")</f>
        <v/>
      </c>
      <c r="M382" s="697"/>
      <c r="N382" s="698" t="str">
        <f ca="1">IFERROR(VLOOKUP(N373,Num_AS,28,FALSE),"")</f>
        <v/>
      </c>
      <c r="O382" s="694" t="str">
        <f ca="1">IFERROR(VLOOKUP(N373,Num_AS,27,FALSE),"")</f>
        <v/>
      </c>
      <c r="P382" s="699" t="str">
        <f ca="1">IFERROR(VLOOKUP(N373,Num_AS,29,FALSE),"")</f>
        <v/>
      </c>
      <c r="Q382" s="700">
        <f ca="1">E374</f>
        <v>10</v>
      </c>
      <c r="R382" s="254"/>
      <c r="S382" s="254"/>
      <c r="T382" s="681"/>
      <c r="U382" s="680"/>
      <c r="V382" s="681"/>
      <c r="W382" s="681"/>
      <c r="X382" s="681"/>
      <c r="Y382" s="681"/>
      <c r="Z382" s="679"/>
      <c r="AA382" s="679"/>
      <c r="AB382" s="679"/>
      <c r="AC382" s="218"/>
      <c r="AH382" s="218"/>
    </row>
    <row r="383" spans="1:34" ht="12.75" customHeight="1" thickTop="1" x14ac:dyDescent="0.2">
      <c r="A383" s="701"/>
      <c r="B383" s="249"/>
      <c r="C383" s="701"/>
      <c r="D383" s="701"/>
      <c r="E383" s="196"/>
      <c r="F383" s="196"/>
      <c r="G383" s="249"/>
      <c r="H383" s="219"/>
      <c r="I383" s="701"/>
      <c r="J383" s="249"/>
      <c r="K383" s="701"/>
      <c r="L383" s="249"/>
      <c r="M383" s="196"/>
      <c r="N383" s="196"/>
      <c r="O383" s="249"/>
      <c r="P383" s="219"/>
      <c r="R383" s="254"/>
      <c r="S383" s="254"/>
      <c r="T383" s="681"/>
      <c r="U383" s="680"/>
      <c r="V383" s="681"/>
      <c r="W383" s="681"/>
      <c r="X383" s="681"/>
      <c r="Y383" s="681"/>
      <c r="Z383" s="679"/>
      <c r="AA383" s="679"/>
      <c r="AB383" s="679"/>
      <c r="AC383" s="218"/>
      <c r="AH383" s="218"/>
    </row>
    <row r="384" spans="1:34" ht="37.5" customHeight="1" x14ac:dyDescent="0.2">
      <c r="A384" s="1113" t="s">
        <v>909</v>
      </c>
      <c r="B384" s="1113"/>
      <c r="C384" s="1113"/>
      <c r="F384" s="1113" t="s">
        <v>910</v>
      </c>
      <c r="G384" s="1113"/>
      <c r="H384" s="1113"/>
      <c r="J384" s="1113" t="s">
        <v>911</v>
      </c>
      <c r="K384" s="1113"/>
      <c r="L384" s="1113"/>
      <c r="N384" s="1113" t="s">
        <v>912</v>
      </c>
      <c r="O384" s="1113"/>
      <c r="P384" s="1113"/>
      <c r="R384" s="254"/>
      <c r="S384" s="254"/>
      <c r="T384" s="681"/>
      <c r="U384" s="680"/>
      <c r="V384" s="679"/>
      <c r="W384" s="679"/>
      <c r="X384" s="679"/>
      <c r="Y384" s="679"/>
      <c r="Z384" s="679"/>
      <c r="AA384" s="679"/>
      <c r="AB384" s="679"/>
      <c r="AC384" s="218"/>
      <c r="AH384" s="218"/>
    </row>
    <row r="385" spans="1:34" ht="37.5" customHeight="1" x14ac:dyDescent="0.25">
      <c r="A385" s="629" t="s">
        <v>980</v>
      </c>
      <c r="B385" s="629" t="s">
        <v>981</v>
      </c>
      <c r="C385" s="636" t="s">
        <v>780</v>
      </c>
      <c r="D385" s="649"/>
      <c r="F385" s="629" t="s">
        <v>980</v>
      </c>
      <c r="G385" s="629" t="s">
        <v>981</v>
      </c>
      <c r="H385" s="636" t="s">
        <v>780</v>
      </c>
      <c r="J385" s="629" t="s">
        <v>980</v>
      </c>
      <c r="K385" s="629" t="s">
        <v>981</v>
      </c>
      <c r="L385" s="636" t="s">
        <v>780</v>
      </c>
      <c r="M385" s="649"/>
      <c r="N385" s="629" t="s">
        <v>980</v>
      </c>
      <c r="O385" s="629" t="s">
        <v>981</v>
      </c>
      <c r="P385" s="636" t="s">
        <v>780</v>
      </c>
      <c r="T385" s="679"/>
      <c r="U385" s="680"/>
      <c r="V385" s="679"/>
      <c r="W385" s="679"/>
      <c r="X385" s="679"/>
      <c r="Y385" s="679"/>
      <c r="Z385" s="679"/>
      <c r="AA385" s="679"/>
      <c r="AB385" s="679"/>
      <c r="AC385" s="218"/>
      <c r="AH385" s="218"/>
    </row>
    <row r="386" spans="1:34" ht="32.25" customHeight="1" x14ac:dyDescent="0.25">
      <c r="A386" s="666">
        <v>10</v>
      </c>
      <c r="B386" s="636"/>
      <c r="C386" s="636"/>
      <c r="D386" s="649"/>
      <c r="F386" s="666">
        <v>10</v>
      </c>
      <c r="G386" s="636"/>
      <c r="H386" s="636"/>
      <c r="J386" s="666">
        <v>10</v>
      </c>
      <c r="K386" s="636"/>
      <c r="L386" s="636"/>
      <c r="M386" s="649"/>
      <c r="N386" s="666">
        <v>10</v>
      </c>
      <c r="O386" s="636"/>
      <c r="P386" s="636"/>
      <c r="T386" s="679"/>
      <c r="U386" s="680"/>
      <c r="V386" s="679"/>
      <c r="W386" s="679"/>
      <c r="X386" s="679"/>
      <c r="Y386" s="679"/>
      <c r="Z386" s="679"/>
      <c r="AA386" s="679"/>
      <c r="AB386" s="679"/>
      <c r="AC386" s="218"/>
      <c r="AH386" s="218"/>
    </row>
    <row r="387" spans="1:34" ht="32.25" customHeight="1" x14ac:dyDescent="0.25">
      <c r="A387" s="666">
        <v>9</v>
      </c>
      <c r="B387" s="636"/>
      <c r="C387" s="636"/>
      <c r="D387" s="649"/>
      <c r="F387" s="666">
        <v>9</v>
      </c>
      <c r="G387" s="636"/>
      <c r="H387" s="636"/>
      <c r="J387" s="666">
        <v>9</v>
      </c>
      <c r="K387" s="636"/>
      <c r="L387" s="636"/>
      <c r="M387" s="649"/>
      <c r="N387" s="666">
        <v>9</v>
      </c>
      <c r="O387" s="636"/>
      <c r="P387" s="636"/>
      <c r="T387" s="679"/>
      <c r="U387" s="680"/>
      <c r="V387" s="679"/>
      <c r="W387" s="679"/>
      <c r="X387" s="679"/>
      <c r="Y387" s="679"/>
      <c r="Z387" s="679"/>
      <c r="AA387" s="679"/>
      <c r="AB387" s="679"/>
      <c r="AC387" s="218"/>
      <c r="AH387" s="218"/>
    </row>
    <row r="388" spans="1:34" ht="32.25" customHeight="1" x14ac:dyDescent="0.25">
      <c r="A388" s="666">
        <v>8</v>
      </c>
      <c r="B388" s="636"/>
      <c r="C388" s="636"/>
      <c r="D388" s="649"/>
      <c r="F388" s="666">
        <v>8</v>
      </c>
      <c r="G388" s="636"/>
      <c r="H388" s="636"/>
      <c r="J388" s="666">
        <v>8</v>
      </c>
      <c r="K388" s="636"/>
      <c r="L388" s="636"/>
      <c r="M388" s="649"/>
      <c r="N388" s="666">
        <v>8</v>
      </c>
      <c r="O388" s="636"/>
      <c r="P388" s="636"/>
      <c r="T388" s="679"/>
      <c r="U388" s="680"/>
      <c r="V388" s="679"/>
      <c r="W388" s="679"/>
      <c r="X388" s="679"/>
      <c r="Y388" s="679"/>
      <c r="Z388" s="679"/>
      <c r="AA388" s="679"/>
      <c r="AB388" s="679"/>
      <c r="AC388" s="218"/>
      <c r="AH388" s="218"/>
    </row>
    <row r="389" spans="1:34" ht="32.25" customHeight="1" x14ac:dyDescent="0.25">
      <c r="A389" s="666">
        <v>7</v>
      </c>
      <c r="B389" s="636"/>
      <c r="C389" s="636"/>
      <c r="D389" s="649"/>
      <c r="F389" s="666">
        <v>7</v>
      </c>
      <c r="G389" s="636"/>
      <c r="H389" s="636"/>
      <c r="J389" s="666">
        <v>7</v>
      </c>
      <c r="K389" s="636"/>
      <c r="L389" s="636"/>
      <c r="M389" s="649"/>
      <c r="N389" s="666">
        <v>7</v>
      </c>
      <c r="O389" s="636"/>
      <c r="P389" s="636"/>
      <c r="T389" s="679"/>
      <c r="U389" s="680"/>
      <c r="V389" s="679"/>
      <c r="W389" s="679"/>
      <c r="X389" s="679"/>
      <c r="Y389" s="679"/>
      <c r="Z389" s="679"/>
      <c r="AC389" s="218"/>
      <c r="AH389" s="218"/>
    </row>
    <row r="390" spans="1:34" ht="32.25" customHeight="1" x14ac:dyDescent="0.25">
      <c r="A390" s="666">
        <v>6</v>
      </c>
      <c r="B390" s="636"/>
      <c r="C390" s="636"/>
      <c r="D390" s="649"/>
      <c r="F390" s="666">
        <v>6</v>
      </c>
      <c r="G390" s="636"/>
      <c r="H390" s="636"/>
      <c r="J390" s="666">
        <v>6</v>
      </c>
      <c r="K390" s="636"/>
      <c r="L390" s="636"/>
      <c r="M390" s="649"/>
      <c r="N390" s="666">
        <v>6</v>
      </c>
      <c r="O390" s="636"/>
      <c r="P390" s="636"/>
      <c r="T390" s="679"/>
      <c r="U390" s="680"/>
      <c r="AC390" s="218"/>
      <c r="AH390" s="218"/>
    </row>
    <row r="391" spans="1:34" ht="32.25" customHeight="1" x14ac:dyDescent="0.25">
      <c r="A391" s="666">
        <v>5</v>
      </c>
      <c r="B391" s="636"/>
      <c r="C391" s="636"/>
      <c r="D391" s="649"/>
      <c r="F391" s="666">
        <v>5</v>
      </c>
      <c r="G391" s="636"/>
      <c r="H391" s="636"/>
      <c r="J391" s="666">
        <v>5</v>
      </c>
      <c r="K391" s="636"/>
      <c r="L391" s="636"/>
      <c r="M391" s="649"/>
      <c r="N391" s="666">
        <v>5</v>
      </c>
      <c r="O391" s="636"/>
      <c r="P391" s="636"/>
      <c r="U391" s="520"/>
      <c r="AC391" s="218"/>
      <c r="AH391" s="218"/>
    </row>
    <row r="392" spans="1:34" ht="32.25" customHeight="1" x14ac:dyDescent="0.25">
      <c r="A392" s="666">
        <v>4</v>
      </c>
      <c r="B392" s="636"/>
      <c r="C392" s="636"/>
      <c r="D392" s="649"/>
      <c r="F392" s="666">
        <v>4</v>
      </c>
      <c r="G392" s="636"/>
      <c r="H392" s="636"/>
      <c r="J392" s="666">
        <v>4</v>
      </c>
      <c r="K392" s="636"/>
      <c r="L392" s="636"/>
      <c r="M392" s="649"/>
      <c r="N392" s="666">
        <v>4</v>
      </c>
      <c r="O392" s="636"/>
      <c r="P392" s="636"/>
      <c r="U392" s="520"/>
      <c r="AC392" s="218"/>
      <c r="AH392" s="218"/>
    </row>
    <row r="393" spans="1:34" ht="32.25" customHeight="1" x14ac:dyDescent="0.25">
      <c r="A393" s="666">
        <v>3</v>
      </c>
      <c r="B393" s="636"/>
      <c r="C393" s="636"/>
      <c r="D393" s="649"/>
      <c r="F393" s="666">
        <v>3</v>
      </c>
      <c r="G393" s="636"/>
      <c r="H393" s="636"/>
      <c r="J393" s="666">
        <v>3</v>
      </c>
      <c r="K393" s="636"/>
      <c r="L393" s="636"/>
      <c r="M393" s="649"/>
      <c r="N393" s="666">
        <v>3</v>
      </c>
      <c r="O393" s="636"/>
      <c r="P393" s="636"/>
      <c r="U393" s="520"/>
      <c r="AC393" s="218"/>
      <c r="AH393" s="218"/>
    </row>
    <row r="394" spans="1:34" ht="32.25" customHeight="1" x14ac:dyDescent="0.25">
      <c r="A394" s="666">
        <v>2</v>
      </c>
      <c r="B394" s="636"/>
      <c r="C394" s="636"/>
      <c r="D394" s="649"/>
      <c r="F394" s="666">
        <v>2</v>
      </c>
      <c r="G394" s="636"/>
      <c r="H394" s="636"/>
      <c r="J394" s="666">
        <v>2</v>
      </c>
      <c r="K394" s="636"/>
      <c r="L394" s="636"/>
      <c r="M394" s="649"/>
      <c r="N394" s="666">
        <v>2</v>
      </c>
      <c r="O394" s="636"/>
      <c r="P394" s="636"/>
      <c r="U394" s="520"/>
      <c r="AC394" s="218"/>
      <c r="AH394" s="218"/>
    </row>
    <row r="395" spans="1:34" ht="32.25" customHeight="1" x14ac:dyDescent="0.25">
      <c r="A395" s="666">
        <v>1</v>
      </c>
      <c r="B395" s="636"/>
      <c r="C395" s="636"/>
      <c r="D395" s="649"/>
      <c r="F395" s="666">
        <v>1</v>
      </c>
      <c r="G395" s="636"/>
      <c r="H395" s="636"/>
      <c r="J395" s="666">
        <v>1</v>
      </c>
      <c r="K395" s="636"/>
      <c r="L395" s="636"/>
      <c r="M395" s="649"/>
      <c r="N395" s="666">
        <v>1</v>
      </c>
      <c r="O395" s="636"/>
      <c r="P395" s="636"/>
      <c r="U395" s="520"/>
      <c r="AC395" s="218"/>
      <c r="AH395" s="218"/>
    </row>
    <row r="396" spans="1:34" ht="32.25" customHeight="1" x14ac:dyDescent="0.25">
      <c r="A396" s="666" t="s">
        <v>982</v>
      </c>
      <c r="B396" s="636"/>
      <c r="C396" s="636"/>
      <c r="D396" s="649"/>
      <c r="F396" s="666" t="s">
        <v>982</v>
      </c>
      <c r="G396" s="636"/>
      <c r="H396" s="636"/>
      <c r="J396" s="666" t="s">
        <v>982</v>
      </c>
      <c r="K396" s="636"/>
      <c r="L396" s="636"/>
      <c r="M396" s="649"/>
      <c r="N396" s="666" t="s">
        <v>982</v>
      </c>
      <c r="O396" s="636"/>
      <c r="P396" s="636"/>
      <c r="U396" s="520"/>
      <c r="AC396" s="218"/>
      <c r="AH396" s="218"/>
    </row>
    <row r="397" spans="1:34" ht="32.25" customHeight="1" x14ac:dyDescent="0.25">
      <c r="A397" s="629" t="s">
        <v>981</v>
      </c>
      <c r="B397" s="650"/>
      <c r="C397" s="651" t="s">
        <v>996</v>
      </c>
      <c r="D397" s="649"/>
      <c r="F397" s="629" t="s">
        <v>981</v>
      </c>
      <c r="G397" s="650"/>
      <c r="H397" s="651" t="s">
        <v>996</v>
      </c>
      <c r="J397" s="629" t="s">
        <v>981</v>
      </c>
      <c r="K397" s="650"/>
      <c r="L397" s="651" t="s">
        <v>996</v>
      </c>
      <c r="M397" s="649"/>
      <c r="N397" s="629" t="s">
        <v>981</v>
      </c>
      <c r="O397" s="650"/>
      <c r="P397" s="651" t="s">
        <v>996</v>
      </c>
      <c r="Q397" s="649"/>
      <c r="U397" s="520"/>
      <c r="AC397" s="218"/>
      <c r="AH397" s="218"/>
    </row>
    <row r="398" spans="1:34" ht="32.25" customHeight="1" thickBot="1" x14ac:dyDescent="0.3">
      <c r="A398" s="649"/>
      <c r="B398" s="629" t="s">
        <v>983</v>
      </c>
      <c r="C398" s="665"/>
      <c r="D398" s="649"/>
      <c r="F398" s="637" t="s">
        <v>985</v>
      </c>
      <c r="G398" s="629" t="s">
        <v>983</v>
      </c>
      <c r="H398" s="636"/>
      <c r="J398" s="637" t="s">
        <v>985</v>
      </c>
      <c r="K398" s="629" t="s">
        <v>983</v>
      </c>
      <c r="L398" s="636"/>
      <c r="M398" s="649"/>
      <c r="N398" s="637" t="s">
        <v>985</v>
      </c>
      <c r="O398" s="629" t="s">
        <v>983</v>
      </c>
      <c r="P398" s="636"/>
      <c r="Q398" s="649"/>
      <c r="U398" s="520"/>
      <c r="AC398" s="218"/>
      <c r="AH398" s="218"/>
    </row>
    <row r="399" spans="1:34" ht="41.25" customHeight="1" thickBot="1" x14ac:dyDescent="0.3">
      <c r="A399" s="1114" t="s">
        <v>1001</v>
      </c>
      <c r="B399" s="1114"/>
      <c r="C399" s="734">
        <f ca="1">VLOOKUP(A377&amp;F377,PTS_SP,2,FALSE)</f>
        <v>0</v>
      </c>
      <c r="D399" s="649"/>
      <c r="F399" s="1115" t="s">
        <v>986</v>
      </c>
      <c r="G399" s="1116"/>
      <c r="H399" s="636"/>
      <c r="I399" s="1115" t="s">
        <v>986</v>
      </c>
      <c r="J399" s="1115"/>
      <c r="K399" s="636"/>
      <c r="L399" s="649"/>
      <c r="O399" s="634" t="s">
        <v>987</v>
      </c>
      <c r="P399" s="636"/>
      <c r="Q399" s="649"/>
      <c r="U399" s="520"/>
      <c r="AC399" s="218"/>
      <c r="AH399" s="218"/>
    </row>
    <row r="400" spans="1:34" ht="47.25" customHeight="1" thickBot="1" x14ac:dyDescent="0.3">
      <c r="A400" s="1115" t="s">
        <v>986</v>
      </c>
      <c r="B400" s="1116"/>
      <c r="C400" s="644"/>
      <c r="D400" s="649"/>
      <c r="E400" s="649"/>
      <c r="F400" s="649"/>
      <c r="G400" s="649"/>
      <c r="H400" s="649"/>
      <c r="I400" s="649"/>
      <c r="J400" s="649"/>
      <c r="K400" s="649"/>
      <c r="L400" s="649"/>
      <c r="N400" s="634"/>
      <c r="O400" s="634" t="s">
        <v>997</v>
      </c>
      <c r="P400" s="673"/>
      <c r="Q400" s="674"/>
      <c r="R400" s="663" t="s">
        <v>998</v>
      </c>
      <c r="U400" s="520"/>
      <c r="AC400" s="218"/>
      <c r="AH400" s="218"/>
    </row>
    <row r="401" spans="1:34" ht="36" customHeight="1" thickBot="1" x14ac:dyDescent="0.3">
      <c r="A401" s="649"/>
      <c r="B401" s="649"/>
      <c r="C401" s="649"/>
      <c r="D401" s="649"/>
      <c r="E401" s="672" t="s">
        <v>1002</v>
      </c>
      <c r="F401" s="667"/>
      <c r="G401" s="667"/>
      <c r="H401" s="668"/>
      <c r="I401" s="649"/>
      <c r="J401" s="672" t="s">
        <v>1003</v>
      </c>
      <c r="K401" s="667"/>
      <c r="L401" s="667"/>
      <c r="M401" s="668"/>
      <c r="O401" s="675" t="s">
        <v>1004</v>
      </c>
      <c r="P401" s="676" t="s">
        <v>999</v>
      </c>
      <c r="Q401" s="677" t="s">
        <v>1000</v>
      </c>
      <c r="R401" s="649"/>
      <c r="U401" s="520"/>
      <c r="AC401" s="218"/>
      <c r="AH401" s="218"/>
    </row>
    <row r="402" spans="1:34" ht="36" customHeight="1" thickBot="1" x14ac:dyDescent="0.25">
      <c r="E402" s="669"/>
      <c r="F402" s="670"/>
      <c r="G402" s="670"/>
      <c r="H402" s="671"/>
      <c r="J402" s="669"/>
      <c r="K402" s="670"/>
      <c r="L402" s="670"/>
      <c r="M402" s="671"/>
      <c r="U402" s="520"/>
      <c r="AA402" s="679"/>
      <c r="AB402" s="679"/>
      <c r="AC402" s="218"/>
      <c r="AH402" s="218"/>
    </row>
    <row r="403" spans="1:34" s="218" customFormat="1" ht="23.25" customHeight="1" x14ac:dyDescent="0.2">
      <c r="A403" s="217"/>
      <c r="B403" s="217"/>
      <c r="C403" s="217"/>
      <c r="D403" s="217"/>
      <c r="E403" s="217"/>
      <c r="F403" s="217"/>
      <c r="G403" s="217"/>
      <c r="H403" s="217"/>
      <c r="I403" s="217"/>
      <c r="J403" s="217"/>
      <c r="K403" s="217"/>
      <c r="L403" s="217"/>
      <c r="M403" s="217"/>
      <c r="N403" s="684"/>
      <c r="O403" s="684"/>
      <c r="P403" s="684"/>
      <c r="Q403" s="684"/>
      <c r="R403" s="217"/>
      <c r="S403" s="217"/>
      <c r="T403" s="217"/>
      <c r="U403" s="520"/>
      <c r="V403" s="679"/>
      <c r="W403" s="679"/>
      <c r="X403" s="679"/>
      <c r="Y403" s="679"/>
      <c r="Z403" s="679"/>
      <c r="AA403" s="662"/>
      <c r="AB403" s="662"/>
      <c r="AD403" s="217"/>
      <c r="AE403" s="217"/>
      <c r="AF403" s="217"/>
      <c r="AG403" s="217"/>
    </row>
    <row r="404" spans="1:34" ht="19.5" customHeight="1" thickBot="1" x14ac:dyDescent="0.25">
      <c r="M404" s="500"/>
      <c r="N404" s="520">
        <f ca="1">INDIRECT("AE"&amp;O404)</f>
        <v>0</v>
      </c>
      <c r="O404" s="500">
        <f>P405+2</f>
        <v>16</v>
      </c>
      <c r="P404" s="501">
        <f ca="1">INDIRECT("AF"&amp;O404)</f>
        <v>0</v>
      </c>
      <c r="Q404" s="500"/>
      <c r="R404" s="500"/>
      <c r="T404" s="679"/>
      <c r="U404" s="679"/>
      <c r="V404" s="679"/>
      <c r="W404" s="679"/>
      <c r="X404" s="679"/>
      <c r="Y404" s="679"/>
      <c r="Z404" s="679"/>
      <c r="AA404" s="679"/>
      <c r="AB404" s="679"/>
      <c r="AC404" s="218"/>
      <c r="AH404" s="218"/>
    </row>
    <row r="405" spans="1:34" s="218" customFormat="1" ht="36" thickBot="1" x14ac:dyDescent="0.25">
      <c r="A405" s="576" t="s">
        <v>546</v>
      </c>
      <c r="B405" s="402" t="str">
        <f>B374</f>
        <v>D3</v>
      </c>
      <c r="D405" s="661" t="s">
        <v>628</v>
      </c>
      <c r="E405" s="660">
        <f ca="1">INDIRECT("AD"&amp;O404)</f>
        <v>0</v>
      </c>
      <c r="F405" s="705" t="str">
        <f>"   "&amp;Championnat</f>
        <v xml:space="preserve">   Championnat de France de Tir à l'ARC</v>
      </c>
      <c r="O405" s="502" t="s">
        <v>849</v>
      </c>
      <c r="P405" s="503">
        <f>P374+1</f>
        <v>14</v>
      </c>
      <c r="R405" s="254"/>
      <c r="S405" s="254"/>
      <c r="T405" s="681"/>
      <c r="U405" s="680"/>
      <c r="V405" s="681"/>
      <c r="X405" s="662"/>
      <c r="Y405" s="662"/>
      <c r="Z405" s="662"/>
      <c r="AA405" s="662"/>
      <c r="AB405" s="662"/>
      <c r="AD405" s="217"/>
      <c r="AE405" s="217"/>
      <c r="AF405" s="217"/>
      <c r="AG405" s="217"/>
    </row>
    <row r="406" spans="1:34" ht="35.25" x14ac:dyDescent="0.2">
      <c r="A406" s="706" t="str">
        <f>CATEG_IMPORTEE</f>
        <v>Collèges Mixtes Etablissement</v>
      </c>
      <c r="J406" s="592" t="str">
        <f>LIEU&amp;" du "&amp;DATE</f>
        <v>L’Isle sur la Sorgue du 27 au 31 mars 2023</v>
      </c>
      <c r="R406" s="254"/>
      <c r="S406" s="254"/>
      <c r="T406" s="681"/>
      <c r="U406" s="680"/>
      <c r="V406" s="681"/>
      <c r="W406" s="679"/>
      <c r="X406" s="679"/>
      <c r="Y406" s="679"/>
      <c r="Z406" s="679"/>
      <c r="AA406" s="679"/>
      <c r="AB406" s="679"/>
      <c r="AC406" s="218"/>
      <c r="AH406" s="218"/>
    </row>
    <row r="407" spans="1:34" ht="24" customHeight="1" thickBot="1" x14ac:dyDescent="0.25">
      <c r="A407" s="648" t="s">
        <v>0</v>
      </c>
      <c r="B407" s="648"/>
      <c r="C407" s="648"/>
      <c r="D407" s="648"/>
      <c r="F407" s="1124" t="s">
        <v>1006</v>
      </c>
      <c r="G407" s="1125"/>
      <c r="H407" s="1125"/>
      <c r="J407" s="648" t="s">
        <v>0</v>
      </c>
      <c r="O407" s="1093" t="s">
        <v>1005</v>
      </c>
      <c r="P407" s="1093"/>
      <c r="R407" s="254"/>
      <c r="S407" s="254"/>
      <c r="T407" s="681"/>
      <c r="U407" s="680"/>
      <c r="V407" s="681"/>
      <c r="W407" s="679"/>
      <c r="X407" s="679"/>
      <c r="Y407" s="679"/>
      <c r="Z407" s="679"/>
      <c r="AA407" s="679"/>
      <c r="AB407" s="679"/>
      <c r="AC407" s="218"/>
      <c r="AH407" s="218"/>
    </row>
    <row r="408" spans="1:34" ht="23.25" customHeight="1" thickBot="1" x14ac:dyDescent="0.25">
      <c r="A408" s="657" t="str">
        <f ca="1">IFERROR(VLOOKUP(N404,Num_AS,2,FALSE),"")</f>
        <v/>
      </c>
      <c r="B408" s="658"/>
      <c r="C408" s="658"/>
      <c r="D408" s="658"/>
      <c r="E408" s="658"/>
      <c r="F408" s="1117" t="str">
        <f ca="1">IFERROR(VLOOKUP(N404,Num_AS,3,FALSE),"")</f>
        <v/>
      </c>
      <c r="G408" s="1118"/>
      <c r="H408" s="1119"/>
      <c r="I408" s="219" t="s">
        <v>547</v>
      </c>
      <c r="J408" s="678" t="str">
        <f ca="1">IFERROR(VLOOKUP(P404,Num_AS,2,FALSE),"")</f>
        <v/>
      </c>
      <c r="K408" s="664"/>
      <c r="L408" s="664"/>
      <c r="M408" s="664"/>
      <c r="N408" s="1120" t="str">
        <f ca="1">IFERROR(VLOOKUP(P404,Num_AS,3,FALSE),"")</f>
        <v/>
      </c>
      <c r="O408" s="1121"/>
      <c r="P408" s="1122"/>
      <c r="R408" s="254"/>
      <c r="S408" s="254"/>
      <c r="T408" s="681"/>
      <c r="U408" s="680"/>
      <c r="V408" s="681"/>
      <c r="W408" s="679"/>
      <c r="X408" s="679"/>
      <c r="Y408" s="679"/>
      <c r="Z408" s="679"/>
      <c r="AA408" s="679"/>
      <c r="AB408" s="679"/>
      <c r="AC408" s="218"/>
      <c r="AH408" s="218"/>
    </row>
    <row r="409" spans="1:34" ht="20.100000000000001" customHeight="1" thickBot="1" x14ac:dyDescent="0.25">
      <c r="E409" s="219"/>
      <c r="F409" s="1107" t="str">
        <f ca="1">IFERROR(VLOOKUP(N404,Num_AS,4,FALSE),"")</f>
        <v/>
      </c>
      <c r="G409" s="1108"/>
      <c r="H409" s="1109"/>
      <c r="N409" s="1110" t="str">
        <f ca="1">IFERROR(VLOOKUP(P404,Num_AS,4,FALSE),"")</f>
        <v/>
      </c>
      <c r="O409" s="1111"/>
      <c r="P409" s="1112"/>
      <c r="R409" s="254"/>
      <c r="S409" s="254"/>
      <c r="T409" s="681"/>
      <c r="U409" s="680"/>
      <c r="V409" s="681"/>
      <c r="W409" s="679"/>
      <c r="X409" s="679"/>
      <c r="Y409" s="679"/>
      <c r="Z409" s="679"/>
      <c r="AA409" s="679"/>
      <c r="AB409" s="679"/>
      <c r="AC409" s="218"/>
      <c r="AH409" s="218"/>
    </row>
    <row r="410" spans="1:34" ht="18" customHeight="1" thickBot="1" x14ac:dyDescent="0.25">
      <c r="A410" s="1123" t="s">
        <v>548</v>
      </c>
      <c r="B410" s="1123"/>
      <c r="C410" s="1123"/>
      <c r="D410" s="1123"/>
      <c r="E410" s="219"/>
      <c r="F410" s="219"/>
      <c r="G410" s="219"/>
      <c r="H410" s="219"/>
      <c r="I410" s="219"/>
      <c r="J410" s="219"/>
      <c r="K410" s="219"/>
      <c r="L410" s="219"/>
      <c r="M410" s="219"/>
      <c r="N410" s="219"/>
      <c r="O410" s="219"/>
      <c r="P410" s="219"/>
      <c r="R410" s="254"/>
      <c r="S410" s="254"/>
      <c r="T410" s="681"/>
      <c r="U410" s="680"/>
      <c r="V410" s="681"/>
      <c r="W410" s="679"/>
      <c r="X410" s="679"/>
      <c r="Y410" s="679"/>
      <c r="Z410" s="679"/>
      <c r="AA410" s="679"/>
      <c r="AB410" s="679"/>
      <c r="AC410" s="218"/>
      <c r="AH410" s="218"/>
    </row>
    <row r="411" spans="1:34" ht="24" customHeight="1" thickTop="1" thickBot="1" x14ac:dyDescent="0.25">
      <c r="A411" s="1126" t="s">
        <v>549</v>
      </c>
      <c r="B411" s="1127"/>
      <c r="C411" s="1127"/>
      <c r="D411" s="1128"/>
      <c r="E411" s="685" t="s">
        <v>480</v>
      </c>
      <c r="F411" s="685" t="s">
        <v>550</v>
      </c>
      <c r="G411" s="686" t="s">
        <v>551</v>
      </c>
      <c r="H411" s="687" t="s">
        <v>779</v>
      </c>
      <c r="J411" s="702" t="s">
        <v>549</v>
      </c>
      <c r="K411" s="703"/>
      <c r="L411" s="703"/>
      <c r="M411" s="704"/>
      <c r="N411" s="685" t="s">
        <v>480</v>
      </c>
      <c r="O411" s="685" t="s">
        <v>550</v>
      </c>
      <c r="P411" s="686" t="s">
        <v>551</v>
      </c>
      <c r="Q411" s="687" t="s">
        <v>779</v>
      </c>
      <c r="R411" s="254"/>
      <c r="S411" s="254"/>
      <c r="T411" s="681"/>
      <c r="U411" s="680"/>
      <c r="V411" s="681"/>
      <c r="W411" s="679"/>
      <c r="X411" s="679"/>
      <c r="Y411" s="679"/>
      <c r="Z411" s="679"/>
      <c r="AA411" s="679"/>
      <c r="AB411" s="679"/>
      <c r="AC411" s="218"/>
      <c r="AH411" s="218"/>
    </row>
    <row r="412" spans="1:34" ht="24.75" customHeight="1" x14ac:dyDescent="0.2">
      <c r="A412" s="659" t="str">
        <f ca="1">IFERROR(VLOOKUP(N404,Num_AS,6,FALSE),"")</f>
        <v/>
      </c>
      <c r="B412" s="588"/>
      <c r="C412" s="653" t="str">
        <f ca="1">IFERROR(VLOOKUP(N404,Num_AS,7,FALSE),"")</f>
        <v/>
      </c>
      <c r="D412" s="652"/>
      <c r="E412" s="654" t="str">
        <f ca="1">IFERROR(VLOOKUP(N404,Num_AS,10,FALSE),"")</f>
        <v/>
      </c>
      <c r="F412" s="654" t="str">
        <f ca="1">IFERROR(VLOOKUP(N404,Num_AS,9,FALSE),"")</f>
        <v/>
      </c>
      <c r="G412" s="655" t="str">
        <f ca="1">IFERROR(VLOOKUP(N404,Num_AS,11,FALSE),"")</f>
        <v/>
      </c>
      <c r="H412" s="688">
        <f ca="1">E405</f>
        <v>0</v>
      </c>
      <c r="J412" s="659" t="str">
        <f ca="1">IFERROR(VLOOKUP(N404,Num_AS,18,FALSE),"")</f>
        <v/>
      </c>
      <c r="K412" s="588"/>
      <c r="L412" s="653" t="str">
        <f ca="1">IFERROR(VLOOKUP(N404,Num_AS,19,FALSE),"")</f>
        <v/>
      </c>
      <c r="M412" s="647"/>
      <c r="N412" s="656" t="str">
        <f ca="1">IFERROR(VLOOKUP(N404,Num_AS,22,FALSE),"")</f>
        <v/>
      </c>
      <c r="O412" s="654" t="str">
        <f ca="1">IFERROR(VLOOKUP(N404,Num_AS,21,FALSE),"")</f>
        <v/>
      </c>
      <c r="P412" s="682" t="str">
        <f ca="1">IFERROR(VLOOKUP(N404,Num_AS,23,FALSE),"")</f>
        <v/>
      </c>
      <c r="Q412" s="688">
        <f ca="1">E405</f>
        <v>0</v>
      </c>
      <c r="R412" s="254"/>
      <c r="S412" s="254"/>
      <c r="T412" s="681"/>
      <c r="U412" s="680"/>
      <c r="V412" s="681"/>
      <c r="W412" s="679"/>
      <c r="X412" s="679"/>
      <c r="Y412" s="679"/>
      <c r="Z412" s="679"/>
      <c r="AA412" s="679"/>
      <c r="AB412" s="679"/>
      <c r="AC412" s="218"/>
      <c r="AH412" s="218"/>
    </row>
    <row r="413" spans="1:34" ht="24.75" customHeight="1" thickBot="1" x14ac:dyDescent="0.25">
      <c r="A413" s="689" t="str">
        <f ca="1">IFERROR(VLOOKUP(N404,Num_AS,12,FALSE),"")</f>
        <v/>
      </c>
      <c r="B413" s="690"/>
      <c r="C413" s="691" t="str">
        <f ca="1">IFERROR(VLOOKUP(N404,Num_AS,13,FALSE),"")</f>
        <v/>
      </c>
      <c r="D413" s="692"/>
      <c r="E413" s="693" t="str">
        <f ca="1">IFERROR(VLOOKUP(N404,Num_AS,16,FALSE),"")</f>
        <v/>
      </c>
      <c r="F413" s="694" t="str">
        <f ca="1">IFERROR(VLOOKUP(N404,Num_AS,15,FALSE),"")</f>
        <v/>
      </c>
      <c r="G413" s="695" t="str">
        <f ca="1">IFERROR(VLOOKUP(N404,Num_AS,17,FALSE),"")</f>
        <v/>
      </c>
      <c r="H413" s="700">
        <f ca="1">E405</f>
        <v>0</v>
      </c>
      <c r="J413" s="689" t="str">
        <f ca="1">IFERROR(VLOOKUP(N404,Num_AS,24,FALSE),"")</f>
        <v/>
      </c>
      <c r="K413" s="690"/>
      <c r="L413" s="691" t="str">
        <f ca="1">IFERROR(VLOOKUP(N404,Num_AS,25,FALSE),"")</f>
        <v/>
      </c>
      <c r="M413" s="697"/>
      <c r="N413" s="698" t="str">
        <f ca="1">IFERROR(VLOOKUP(N404,Num_AS,28,FALSE),"")</f>
        <v/>
      </c>
      <c r="O413" s="694" t="str">
        <f ca="1">IFERROR(VLOOKUP(N404,Num_AS,27,FALSE),"")</f>
        <v/>
      </c>
      <c r="P413" s="699" t="str">
        <f ca="1">IFERROR(VLOOKUP(N404,Num_AS,29,FALSE),"")</f>
        <v/>
      </c>
      <c r="Q413" s="700">
        <f ca="1">E405</f>
        <v>0</v>
      </c>
      <c r="R413" s="254"/>
      <c r="S413" s="254"/>
      <c r="T413" s="681"/>
      <c r="U413" s="680"/>
      <c r="V413" s="681"/>
      <c r="W413" s="681"/>
      <c r="X413" s="681"/>
      <c r="Y413" s="681"/>
      <c r="Z413" s="679"/>
      <c r="AA413" s="679"/>
      <c r="AB413" s="679"/>
      <c r="AC413" s="218"/>
      <c r="AH413" s="218"/>
    </row>
    <row r="414" spans="1:34" ht="12.75" customHeight="1" thickTop="1" x14ac:dyDescent="0.2">
      <c r="A414" s="701"/>
      <c r="B414" s="249"/>
      <c r="C414" s="701"/>
      <c r="D414" s="701"/>
      <c r="E414" s="196"/>
      <c r="F414" s="196"/>
      <c r="G414" s="249"/>
      <c r="H414" s="219"/>
      <c r="I414" s="701"/>
      <c r="J414" s="249"/>
      <c r="K414" s="701"/>
      <c r="L414" s="249"/>
      <c r="M414" s="196"/>
      <c r="N414" s="196"/>
      <c r="O414" s="249"/>
      <c r="P414" s="219"/>
      <c r="R414" s="254"/>
      <c r="S414" s="254"/>
      <c r="T414" s="681"/>
      <c r="U414" s="680"/>
      <c r="V414" s="681"/>
      <c r="W414" s="681"/>
      <c r="X414" s="681"/>
      <c r="Y414" s="681"/>
      <c r="Z414" s="679"/>
      <c r="AA414" s="679"/>
      <c r="AB414" s="679"/>
      <c r="AC414" s="218"/>
      <c r="AH414" s="218"/>
    </row>
    <row r="415" spans="1:34" ht="37.5" customHeight="1" x14ac:dyDescent="0.2">
      <c r="A415" s="1113" t="s">
        <v>909</v>
      </c>
      <c r="B415" s="1113"/>
      <c r="C415" s="1113"/>
      <c r="F415" s="1113" t="s">
        <v>910</v>
      </c>
      <c r="G415" s="1113"/>
      <c r="H415" s="1113"/>
      <c r="J415" s="1113" t="s">
        <v>911</v>
      </c>
      <c r="K415" s="1113"/>
      <c r="L415" s="1113"/>
      <c r="N415" s="1113" t="s">
        <v>912</v>
      </c>
      <c r="O415" s="1113"/>
      <c r="P415" s="1113"/>
      <c r="R415" s="254"/>
      <c r="S415" s="254"/>
      <c r="T415" s="681"/>
      <c r="U415" s="680"/>
      <c r="V415" s="679"/>
      <c r="W415" s="679"/>
      <c r="X415" s="679"/>
      <c r="Y415" s="679"/>
      <c r="Z415" s="679"/>
      <c r="AA415" s="679"/>
      <c r="AB415" s="679"/>
      <c r="AC415" s="218"/>
      <c r="AH415" s="218"/>
    </row>
    <row r="416" spans="1:34" ht="37.5" customHeight="1" x14ac:dyDescent="0.25">
      <c r="A416" s="629" t="s">
        <v>980</v>
      </c>
      <c r="B416" s="629" t="s">
        <v>981</v>
      </c>
      <c r="C416" s="636" t="s">
        <v>780</v>
      </c>
      <c r="D416" s="649"/>
      <c r="F416" s="629" t="s">
        <v>980</v>
      </c>
      <c r="G416" s="629" t="s">
        <v>981</v>
      </c>
      <c r="H416" s="636" t="s">
        <v>780</v>
      </c>
      <c r="J416" s="629" t="s">
        <v>980</v>
      </c>
      <c r="K416" s="629" t="s">
        <v>981</v>
      </c>
      <c r="L416" s="636" t="s">
        <v>780</v>
      </c>
      <c r="M416" s="649"/>
      <c r="N416" s="629" t="s">
        <v>980</v>
      </c>
      <c r="O416" s="629" t="s">
        <v>981</v>
      </c>
      <c r="P416" s="636" t="s">
        <v>780</v>
      </c>
      <c r="T416" s="679"/>
      <c r="U416" s="680"/>
      <c r="V416" s="679"/>
      <c r="W416" s="679"/>
      <c r="X416" s="679"/>
      <c r="Y416" s="679"/>
      <c r="Z416" s="679"/>
      <c r="AA416" s="679"/>
      <c r="AB416" s="679"/>
      <c r="AC416" s="218"/>
      <c r="AH416" s="218"/>
    </row>
    <row r="417" spans="1:34" ht="32.25" customHeight="1" x14ac:dyDescent="0.25">
      <c r="A417" s="666">
        <v>10</v>
      </c>
      <c r="B417" s="636"/>
      <c r="C417" s="636"/>
      <c r="D417" s="649"/>
      <c r="F417" s="666">
        <v>10</v>
      </c>
      <c r="G417" s="636"/>
      <c r="H417" s="636"/>
      <c r="J417" s="666">
        <v>10</v>
      </c>
      <c r="K417" s="636"/>
      <c r="L417" s="636"/>
      <c r="M417" s="649"/>
      <c r="N417" s="666">
        <v>10</v>
      </c>
      <c r="O417" s="636"/>
      <c r="P417" s="636"/>
      <c r="T417" s="679"/>
      <c r="U417" s="680"/>
      <c r="V417" s="679"/>
      <c r="W417" s="679"/>
      <c r="X417" s="679"/>
      <c r="Y417" s="679"/>
      <c r="Z417" s="679"/>
      <c r="AA417" s="679"/>
      <c r="AB417" s="679"/>
      <c r="AC417" s="218"/>
      <c r="AH417" s="218"/>
    </row>
    <row r="418" spans="1:34" ht="32.25" customHeight="1" x14ac:dyDescent="0.25">
      <c r="A418" s="666">
        <v>9</v>
      </c>
      <c r="B418" s="636"/>
      <c r="C418" s="636"/>
      <c r="D418" s="649"/>
      <c r="F418" s="666">
        <v>9</v>
      </c>
      <c r="G418" s="636"/>
      <c r="H418" s="636"/>
      <c r="J418" s="666">
        <v>9</v>
      </c>
      <c r="K418" s="636"/>
      <c r="L418" s="636"/>
      <c r="M418" s="649"/>
      <c r="N418" s="666">
        <v>9</v>
      </c>
      <c r="O418" s="636"/>
      <c r="P418" s="636"/>
      <c r="T418" s="679"/>
      <c r="U418" s="680"/>
      <c r="V418" s="679"/>
      <c r="W418" s="679"/>
      <c r="X418" s="679"/>
      <c r="Y418" s="679"/>
      <c r="Z418" s="679"/>
      <c r="AA418" s="679"/>
      <c r="AB418" s="679"/>
      <c r="AC418" s="218"/>
      <c r="AH418" s="218"/>
    </row>
    <row r="419" spans="1:34" ht="32.25" customHeight="1" x14ac:dyDescent="0.25">
      <c r="A419" s="666">
        <v>8</v>
      </c>
      <c r="B419" s="636"/>
      <c r="C419" s="636"/>
      <c r="D419" s="649"/>
      <c r="F419" s="666">
        <v>8</v>
      </c>
      <c r="G419" s="636"/>
      <c r="H419" s="636"/>
      <c r="J419" s="666">
        <v>8</v>
      </c>
      <c r="K419" s="636"/>
      <c r="L419" s="636"/>
      <c r="M419" s="649"/>
      <c r="N419" s="666">
        <v>8</v>
      </c>
      <c r="O419" s="636"/>
      <c r="P419" s="636"/>
      <c r="T419" s="679"/>
      <c r="U419" s="680"/>
      <c r="V419" s="679"/>
      <c r="W419" s="679"/>
      <c r="X419" s="679"/>
      <c r="Y419" s="679"/>
      <c r="Z419" s="679"/>
      <c r="AA419" s="679"/>
      <c r="AB419" s="679"/>
      <c r="AC419" s="218"/>
      <c r="AH419" s="218"/>
    </row>
    <row r="420" spans="1:34" ht="32.25" customHeight="1" x14ac:dyDescent="0.25">
      <c r="A420" s="666">
        <v>7</v>
      </c>
      <c r="B420" s="636"/>
      <c r="C420" s="636"/>
      <c r="D420" s="649"/>
      <c r="F420" s="666">
        <v>7</v>
      </c>
      <c r="G420" s="636"/>
      <c r="H420" s="636"/>
      <c r="J420" s="666">
        <v>7</v>
      </c>
      <c r="K420" s="636"/>
      <c r="L420" s="636"/>
      <c r="M420" s="649"/>
      <c r="N420" s="666">
        <v>7</v>
      </c>
      <c r="O420" s="636"/>
      <c r="P420" s="636"/>
      <c r="T420" s="679"/>
      <c r="U420" s="680"/>
      <c r="V420" s="679"/>
      <c r="W420" s="679"/>
      <c r="X420" s="679"/>
      <c r="Y420" s="679"/>
      <c r="Z420" s="679"/>
      <c r="AC420" s="218"/>
      <c r="AH420" s="218"/>
    </row>
    <row r="421" spans="1:34" ht="32.25" customHeight="1" x14ac:dyDescent="0.25">
      <c r="A421" s="666">
        <v>6</v>
      </c>
      <c r="B421" s="636"/>
      <c r="C421" s="636"/>
      <c r="D421" s="649"/>
      <c r="F421" s="666">
        <v>6</v>
      </c>
      <c r="G421" s="636"/>
      <c r="H421" s="636"/>
      <c r="J421" s="666">
        <v>6</v>
      </c>
      <c r="K421" s="636"/>
      <c r="L421" s="636"/>
      <c r="M421" s="649"/>
      <c r="N421" s="666">
        <v>6</v>
      </c>
      <c r="O421" s="636"/>
      <c r="P421" s="636"/>
      <c r="T421" s="679"/>
      <c r="U421" s="680"/>
      <c r="AC421" s="218"/>
      <c r="AH421" s="218"/>
    </row>
    <row r="422" spans="1:34" ht="32.25" customHeight="1" x14ac:dyDescent="0.25">
      <c r="A422" s="666">
        <v>5</v>
      </c>
      <c r="B422" s="636"/>
      <c r="C422" s="636"/>
      <c r="D422" s="649"/>
      <c r="F422" s="666">
        <v>5</v>
      </c>
      <c r="G422" s="636"/>
      <c r="H422" s="636"/>
      <c r="J422" s="666">
        <v>5</v>
      </c>
      <c r="K422" s="636"/>
      <c r="L422" s="636"/>
      <c r="M422" s="649"/>
      <c r="N422" s="666">
        <v>5</v>
      </c>
      <c r="O422" s="636"/>
      <c r="P422" s="636"/>
      <c r="U422" s="520"/>
      <c r="AC422" s="218"/>
      <c r="AH422" s="218"/>
    </row>
    <row r="423" spans="1:34" ht="32.25" customHeight="1" x14ac:dyDescent="0.25">
      <c r="A423" s="666">
        <v>4</v>
      </c>
      <c r="B423" s="636"/>
      <c r="C423" s="636"/>
      <c r="D423" s="649"/>
      <c r="F423" s="666">
        <v>4</v>
      </c>
      <c r="G423" s="636"/>
      <c r="H423" s="636"/>
      <c r="J423" s="666">
        <v>4</v>
      </c>
      <c r="K423" s="636"/>
      <c r="L423" s="636"/>
      <c r="M423" s="649"/>
      <c r="N423" s="666">
        <v>4</v>
      </c>
      <c r="O423" s="636"/>
      <c r="P423" s="636"/>
      <c r="U423" s="520"/>
      <c r="AC423" s="218"/>
      <c r="AH423" s="218"/>
    </row>
    <row r="424" spans="1:34" ht="32.25" customHeight="1" x14ac:dyDescent="0.25">
      <c r="A424" s="666">
        <v>3</v>
      </c>
      <c r="B424" s="636"/>
      <c r="C424" s="636"/>
      <c r="D424" s="649"/>
      <c r="F424" s="666">
        <v>3</v>
      </c>
      <c r="G424" s="636"/>
      <c r="H424" s="636"/>
      <c r="J424" s="666">
        <v>3</v>
      </c>
      <c r="K424" s="636"/>
      <c r="L424" s="636"/>
      <c r="M424" s="649"/>
      <c r="N424" s="666">
        <v>3</v>
      </c>
      <c r="O424" s="636"/>
      <c r="P424" s="636"/>
      <c r="U424" s="520"/>
      <c r="AC424" s="218"/>
      <c r="AH424" s="218"/>
    </row>
    <row r="425" spans="1:34" ht="32.25" customHeight="1" x14ac:dyDescent="0.25">
      <c r="A425" s="666">
        <v>2</v>
      </c>
      <c r="B425" s="636"/>
      <c r="C425" s="636"/>
      <c r="D425" s="649"/>
      <c r="F425" s="666">
        <v>2</v>
      </c>
      <c r="G425" s="636"/>
      <c r="H425" s="636"/>
      <c r="J425" s="666">
        <v>2</v>
      </c>
      <c r="K425" s="636"/>
      <c r="L425" s="636"/>
      <c r="M425" s="649"/>
      <c r="N425" s="666">
        <v>2</v>
      </c>
      <c r="O425" s="636"/>
      <c r="P425" s="636"/>
      <c r="U425" s="520"/>
      <c r="AC425" s="218"/>
      <c r="AH425" s="218"/>
    </row>
    <row r="426" spans="1:34" ht="32.25" customHeight="1" x14ac:dyDescent="0.25">
      <c r="A426" s="666">
        <v>1</v>
      </c>
      <c r="B426" s="636"/>
      <c r="C426" s="636"/>
      <c r="D426" s="649"/>
      <c r="F426" s="666">
        <v>1</v>
      </c>
      <c r="G426" s="636"/>
      <c r="H426" s="636"/>
      <c r="J426" s="666">
        <v>1</v>
      </c>
      <c r="K426" s="636"/>
      <c r="L426" s="636"/>
      <c r="M426" s="649"/>
      <c r="N426" s="666">
        <v>1</v>
      </c>
      <c r="O426" s="636"/>
      <c r="P426" s="636"/>
      <c r="U426" s="520"/>
      <c r="AC426" s="218"/>
      <c r="AH426" s="218"/>
    </row>
    <row r="427" spans="1:34" ht="32.25" customHeight="1" x14ac:dyDescent="0.25">
      <c r="A427" s="666" t="s">
        <v>982</v>
      </c>
      <c r="B427" s="636"/>
      <c r="C427" s="636"/>
      <c r="D427" s="649"/>
      <c r="F427" s="666" t="s">
        <v>982</v>
      </c>
      <c r="G427" s="636"/>
      <c r="H427" s="636"/>
      <c r="J427" s="666" t="s">
        <v>982</v>
      </c>
      <c r="K427" s="636"/>
      <c r="L427" s="636"/>
      <c r="M427" s="649"/>
      <c r="N427" s="666" t="s">
        <v>982</v>
      </c>
      <c r="O427" s="636"/>
      <c r="P427" s="636"/>
      <c r="U427" s="520"/>
      <c r="AC427" s="218"/>
      <c r="AH427" s="218"/>
    </row>
    <row r="428" spans="1:34" ht="32.25" customHeight="1" x14ac:dyDescent="0.25">
      <c r="A428" s="629" t="s">
        <v>981</v>
      </c>
      <c r="B428" s="650"/>
      <c r="C428" s="651" t="s">
        <v>996</v>
      </c>
      <c r="D428" s="649"/>
      <c r="F428" s="629" t="s">
        <v>981</v>
      </c>
      <c r="G428" s="650"/>
      <c r="H428" s="651" t="s">
        <v>996</v>
      </c>
      <c r="J428" s="629" t="s">
        <v>981</v>
      </c>
      <c r="K428" s="650"/>
      <c r="L428" s="651" t="s">
        <v>996</v>
      </c>
      <c r="M428" s="649"/>
      <c r="N428" s="629" t="s">
        <v>981</v>
      </c>
      <c r="O428" s="650"/>
      <c r="P428" s="651" t="s">
        <v>996</v>
      </c>
      <c r="Q428" s="649"/>
      <c r="U428" s="520"/>
      <c r="AC428" s="218"/>
      <c r="AH428" s="218"/>
    </row>
    <row r="429" spans="1:34" ht="32.25" customHeight="1" thickBot="1" x14ac:dyDescent="0.3">
      <c r="A429" s="649"/>
      <c r="B429" s="629" t="s">
        <v>983</v>
      </c>
      <c r="C429" s="665"/>
      <c r="D429" s="649"/>
      <c r="F429" s="637" t="s">
        <v>985</v>
      </c>
      <c r="G429" s="629" t="s">
        <v>983</v>
      </c>
      <c r="H429" s="636"/>
      <c r="J429" s="637" t="s">
        <v>985</v>
      </c>
      <c r="K429" s="629" t="s">
        <v>983</v>
      </c>
      <c r="L429" s="636"/>
      <c r="M429" s="649"/>
      <c r="N429" s="637" t="s">
        <v>985</v>
      </c>
      <c r="O429" s="629" t="s">
        <v>983</v>
      </c>
      <c r="P429" s="636"/>
      <c r="Q429" s="649"/>
      <c r="U429" s="520"/>
      <c r="AC429" s="218"/>
      <c r="AH429" s="218"/>
    </row>
    <row r="430" spans="1:34" ht="41.25" customHeight="1" thickBot="1" x14ac:dyDescent="0.3">
      <c r="A430" s="1114" t="s">
        <v>1001</v>
      </c>
      <c r="B430" s="1114"/>
      <c r="C430" s="734">
        <f ca="1">VLOOKUP(A408&amp;F408,PTS_SP,2,FALSE)</f>
        <v>0</v>
      </c>
      <c r="D430" s="649"/>
      <c r="F430" s="1115" t="s">
        <v>986</v>
      </c>
      <c r="G430" s="1116"/>
      <c r="H430" s="636"/>
      <c r="I430" s="1115" t="s">
        <v>986</v>
      </c>
      <c r="J430" s="1115"/>
      <c r="K430" s="636"/>
      <c r="L430" s="649"/>
      <c r="O430" s="634" t="s">
        <v>987</v>
      </c>
      <c r="P430" s="636"/>
      <c r="Q430" s="649"/>
      <c r="U430" s="520"/>
      <c r="AC430" s="218"/>
      <c r="AH430" s="218"/>
    </row>
    <row r="431" spans="1:34" ht="47.25" customHeight="1" thickBot="1" x14ac:dyDescent="0.3">
      <c r="A431" s="1115" t="s">
        <v>986</v>
      </c>
      <c r="B431" s="1116"/>
      <c r="C431" s="644"/>
      <c r="D431" s="649"/>
      <c r="E431" s="649"/>
      <c r="F431" s="649"/>
      <c r="G431" s="649"/>
      <c r="H431" s="649"/>
      <c r="I431" s="649"/>
      <c r="J431" s="649"/>
      <c r="K431" s="649"/>
      <c r="L431" s="649"/>
      <c r="N431" s="634"/>
      <c r="O431" s="634" t="s">
        <v>997</v>
      </c>
      <c r="P431" s="673"/>
      <c r="Q431" s="674"/>
      <c r="R431" s="663" t="s">
        <v>998</v>
      </c>
      <c r="U431" s="520"/>
      <c r="AC431" s="218"/>
      <c r="AH431" s="218"/>
    </row>
    <row r="432" spans="1:34" ht="36" customHeight="1" thickBot="1" x14ac:dyDescent="0.3">
      <c r="A432" s="649"/>
      <c r="B432" s="649"/>
      <c r="C432" s="649"/>
      <c r="D432" s="649"/>
      <c r="E432" s="672" t="s">
        <v>1002</v>
      </c>
      <c r="F432" s="667"/>
      <c r="G432" s="667"/>
      <c r="H432" s="668"/>
      <c r="I432" s="649"/>
      <c r="J432" s="672" t="s">
        <v>1003</v>
      </c>
      <c r="K432" s="667"/>
      <c r="L432" s="667"/>
      <c r="M432" s="668"/>
      <c r="O432" s="675" t="s">
        <v>1004</v>
      </c>
      <c r="P432" s="676" t="s">
        <v>999</v>
      </c>
      <c r="Q432" s="677" t="s">
        <v>1000</v>
      </c>
      <c r="R432" s="649"/>
      <c r="U432" s="520"/>
      <c r="AC432" s="218"/>
      <c r="AH432" s="218"/>
    </row>
    <row r="433" spans="1:34" ht="36" customHeight="1" thickBot="1" x14ac:dyDescent="0.25">
      <c r="E433" s="669"/>
      <c r="F433" s="670"/>
      <c r="G433" s="670"/>
      <c r="H433" s="671"/>
      <c r="J433" s="669"/>
      <c r="K433" s="670"/>
      <c r="L433" s="670"/>
      <c r="M433" s="671"/>
      <c r="U433" s="520"/>
      <c r="AA433" s="679"/>
      <c r="AB433" s="679"/>
      <c r="AC433" s="218"/>
      <c r="AH433" s="218"/>
    </row>
    <row r="434" spans="1:34" s="218" customFormat="1" ht="23.25" customHeight="1" x14ac:dyDescent="0.2">
      <c r="A434" s="217"/>
      <c r="B434" s="217"/>
      <c r="C434" s="217"/>
      <c r="D434" s="217"/>
      <c r="E434" s="217"/>
      <c r="F434" s="217"/>
      <c r="G434" s="217"/>
      <c r="H434" s="217"/>
      <c r="I434" s="217"/>
      <c r="J434" s="217"/>
      <c r="K434" s="217"/>
      <c r="L434" s="217"/>
      <c r="M434" s="217"/>
      <c r="N434" s="684"/>
      <c r="O434" s="684"/>
      <c r="P434" s="684"/>
      <c r="Q434" s="684"/>
      <c r="R434" s="217"/>
      <c r="S434" s="217"/>
      <c r="T434" s="217"/>
      <c r="U434" s="520"/>
      <c r="V434" s="679"/>
      <c r="W434" s="679"/>
      <c r="X434" s="679"/>
      <c r="Y434" s="679"/>
      <c r="Z434" s="679"/>
      <c r="AA434" s="662"/>
      <c r="AB434" s="662"/>
      <c r="AD434" s="217"/>
      <c r="AE434" s="217"/>
      <c r="AF434" s="217"/>
      <c r="AG434" s="217"/>
    </row>
    <row r="435" spans="1:34" ht="19.5" customHeight="1" thickBot="1" x14ac:dyDescent="0.25">
      <c r="M435" s="500"/>
      <c r="N435" s="520">
        <f ca="1">INDIRECT("AE"&amp;O435)</f>
        <v>0</v>
      </c>
      <c r="O435" s="500">
        <f>P436+2</f>
        <v>17</v>
      </c>
      <c r="P435" s="501">
        <f ca="1">INDIRECT("AF"&amp;O435)</f>
        <v>0</v>
      </c>
      <c r="Q435" s="500"/>
      <c r="R435" s="500"/>
      <c r="T435" s="679"/>
      <c r="U435" s="679"/>
      <c r="V435" s="679"/>
      <c r="W435" s="679"/>
      <c r="X435" s="679"/>
      <c r="Y435" s="679"/>
      <c r="Z435" s="679"/>
      <c r="AA435" s="679"/>
      <c r="AB435" s="679"/>
      <c r="AC435" s="218"/>
      <c r="AH435" s="218"/>
    </row>
    <row r="436" spans="1:34" s="218" customFormat="1" ht="36" thickBot="1" x14ac:dyDescent="0.25">
      <c r="A436" s="576" t="s">
        <v>546</v>
      </c>
      <c r="B436" s="402" t="str">
        <f>B405</f>
        <v>D3</v>
      </c>
      <c r="D436" s="661" t="s">
        <v>628</v>
      </c>
      <c r="E436" s="660">
        <f ca="1">INDIRECT("AD"&amp;O435)</f>
        <v>0</v>
      </c>
      <c r="F436" s="705" t="str">
        <f>"   "&amp;Championnat</f>
        <v xml:space="preserve">   Championnat de France de Tir à l'ARC</v>
      </c>
      <c r="O436" s="502" t="s">
        <v>849</v>
      </c>
      <c r="P436" s="503">
        <f>P405+1</f>
        <v>15</v>
      </c>
      <c r="R436" s="254"/>
      <c r="S436" s="254"/>
      <c r="T436" s="681"/>
      <c r="U436" s="680"/>
      <c r="V436" s="681"/>
      <c r="X436" s="662"/>
      <c r="Y436" s="662"/>
      <c r="Z436" s="662"/>
      <c r="AA436" s="662"/>
      <c r="AB436" s="662"/>
      <c r="AD436" s="217"/>
      <c r="AE436" s="217"/>
      <c r="AF436" s="217"/>
      <c r="AG436" s="217"/>
    </row>
    <row r="437" spans="1:34" ht="35.25" x14ac:dyDescent="0.2">
      <c r="A437" s="706" t="str">
        <f>CATEG_IMPORTEE</f>
        <v>Collèges Mixtes Etablissement</v>
      </c>
      <c r="J437" s="592" t="str">
        <f>LIEU&amp;" du "&amp;DATE</f>
        <v>L’Isle sur la Sorgue du 27 au 31 mars 2023</v>
      </c>
      <c r="R437" s="254"/>
      <c r="S437" s="254"/>
      <c r="T437" s="681"/>
      <c r="U437" s="680"/>
      <c r="V437" s="681"/>
      <c r="W437" s="679"/>
      <c r="X437" s="679"/>
      <c r="Y437" s="679"/>
      <c r="Z437" s="679"/>
      <c r="AA437" s="679"/>
      <c r="AB437" s="679"/>
      <c r="AC437" s="218"/>
      <c r="AH437" s="218"/>
    </row>
    <row r="438" spans="1:34" ht="24" customHeight="1" thickBot="1" x14ac:dyDescent="0.25">
      <c r="A438" s="648" t="s">
        <v>0</v>
      </c>
      <c r="B438" s="648"/>
      <c r="C438" s="648"/>
      <c r="D438" s="648"/>
      <c r="F438" s="1124" t="s">
        <v>1006</v>
      </c>
      <c r="G438" s="1125"/>
      <c r="H438" s="1125"/>
      <c r="J438" s="648" t="s">
        <v>0</v>
      </c>
      <c r="O438" s="1093" t="s">
        <v>1005</v>
      </c>
      <c r="P438" s="1093"/>
      <c r="R438" s="254"/>
      <c r="S438" s="254"/>
      <c r="T438" s="681"/>
      <c r="U438" s="680"/>
      <c r="V438" s="681"/>
      <c r="W438" s="679"/>
      <c r="X438" s="679"/>
      <c r="Y438" s="679"/>
      <c r="Z438" s="679"/>
      <c r="AA438" s="679"/>
      <c r="AB438" s="679"/>
      <c r="AC438" s="218"/>
      <c r="AH438" s="218"/>
    </row>
    <row r="439" spans="1:34" ht="23.25" customHeight="1" thickBot="1" x14ac:dyDescent="0.25">
      <c r="A439" s="657" t="str">
        <f ca="1">IFERROR(VLOOKUP(N435,Num_AS,2,FALSE),"")</f>
        <v/>
      </c>
      <c r="B439" s="658"/>
      <c r="C439" s="658"/>
      <c r="D439" s="658"/>
      <c r="E439" s="658"/>
      <c r="F439" s="1117" t="str">
        <f ca="1">IFERROR(VLOOKUP(N435,Num_AS,3,FALSE),"")</f>
        <v/>
      </c>
      <c r="G439" s="1118"/>
      <c r="H439" s="1119"/>
      <c r="I439" s="219" t="s">
        <v>547</v>
      </c>
      <c r="J439" s="678" t="str">
        <f ca="1">IFERROR(VLOOKUP(P435,Num_AS,2,FALSE),"")</f>
        <v/>
      </c>
      <c r="K439" s="664"/>
      <c r="L439" s="664"/>
      <c r="M439" s="664"/>
      <c r="N439" s="1120" t="str">
        <f ca="1">IFERROR(VLOOKUP(P435,Num_AS,3,FALSE),"")</f>
        <v/>
      </c>
      <c r="O439" s="1121"/>
      <c r="P439" s="1122"/>
      <c r="R439" s="254"/>
      <c r="S439" s="254"/>
      <c r="T439" s="681"/>
      <c r="U439" s="680"/>
      <c r="V439" s="681"/>
      <c r="W439" s="679"/>
      <c r="X439" s="679"/>
      <c r="Y439" s="679"/>
      <c r="Z439" s="679"/>
      <c r="AA439" s="679"/>
      <c r="AB439" s="679"/>
      <c r="AC439" s="218"/>
      <c r="AH439" s="218"/>
    </row>
    <row r="440" spans="1:34" ht="20.100000000000001" customHeight="1" thickBot="1" x14ac:dyDescent="0.25">
      <c r="E440" s="219"/>
      <c r="F440" s="1107" t="str">
        <f ca="1">IFERROR(VLOOKUP(N435,Num_AS,4,FALSE),"")</f>
        <v/>
      </c>
      <c r="G440" s="1108"/>
      <c r="H440" s="1109"/>
      <c r="N440" s="1110" t="str">
        <f ca="1">IFERROR(VLOOKUP(P435,Num_AS,4,FALSE),"")</f>
        <v/>
      </c>
      <c r="O440" s="1111"/>
      <c r="P440" s="1112"/>
      <c r="R440" s="254"/>
      <c r="S440" s="254"/>
      <c r="T440" s="681"/>
      <c r="U440" s="680"/>
      <c r="V440" s="681"/>
      <c r="W440" s="679"/>
      <c r="X440" s="679"/>
      <c r="Y440" s="679"/>
      <c r="Z440" s="679"/>
      <c r="AA440" s="679"/>
      <c r="AB440" s="679"/>
      <c r="AC440" s="218"/>
      <c r="AH440" s="218"/>
    </row>
    <row r="441" spans="1:34" ht="18" customHeight="1" thickBot="1" x14ac:dyDescent="0.25">
      <c r="A441" s="1123" t="s">
        <v>548</v>
      </c>
      <c r="B441" s="1123"/>
      <c r="C441" s="1123"/>
      <c r="D441" s="1123"/>
      <c r="E441" s="219"/>
      <c r="F441" s="219"/>
      <c r="G441" s="219"/>
      <c r="H441" s="219"/>
      <c r="I441" s="219"/>
      <c r="J441" s="219"/>
      <c r="K441" s="219"/>
      <c r="L441" s="219"/>
      <c r="M441" s="219"/>
      <c r="N441" s="219"/>
      <c r="O441" s="219"/>
      <c r="P441" s="219"/>
      <c r="R441" s="254"/>
      <c r="S441" s="254"/>
      <c r="T441" s="681"/>
      <c r="U441" s="680"/>
      <c r="V441" s="681"/>
      <c r="W441" s="679"/>
      <c r="X441" s="679"/>
      <c r="Y441" s="679"/>
      <c r="Z441" s="679"/>
      <c r="AA441" s="679"/>
      <c r="AB441" s="679"/>
      <c r="AC441" s="218"/>
      <c r="AH441" s="218"/>
    </row>
    <row r="442" spans="1:34" ht="24" customHeight="1" thickTop="1" thickBot="1" x14ac:dyDescent="0.25">
      <c r="A442" s="1126" t="s">
        <v>549</v>
      </c>
      <c r="B442" s="1127"/>
      <c r="C442" s="1127"/>
      <c r="D442" s="1128"/>
      <c r="E442" s="685" t="s">
        <v>480</v>
      </c>
      <c r="F442" s="685" t="s">
        <v>550</v>
      </c>
      <c r="G442" s="686" t="s">
        <v>551</v>
      </c>
      <c r="H442" s="687" t="s">
        <v>779</v>
      </c>
      <c r="J442" s="702" t="s">
        <v>549</v>
      </c>
      <c r="K442" s="703"/>
      <c r="L442" s="703"/>
      <c r="M442" s="704"/>
      <c r="N442" s="685" t="s">
        <v>480</v>
      </c>
      <c r="O442" s="685" t="s">
        <v>550</v>
      </c>
      <c r="P442" s="686" t="s">
        <v>551</v>
      </c>
      <c r="Q442" s="687" t="s">
        <v>779</v>
      </c>
      <c r="R442" s="254"/>
      <c r="S442" s="254"/>
      <c r="T442" s="681"/>
      <c r="U442" s="680"/>
      <c r="V442" s="681"/>
      <c r="W442" s="679"/>
      <c r="X442" s="679"/>
      <c r="Y442" s="679"/>
      <c r="Z442" s="679"/>
      <c r="AA442" s="679"/>
      <c r="AB442" s="679"/>
      <c r="AC442" s="218"/>
      <c r="AH442" s="218"/>
    </row>
    <row r="443" spans="1:34" ht="24.75" customHeight="1" x14ac:dyDescent="0.2">
      <c r="A443" s="659" t="str">
        <f ca="1">IFERROR(VLOOKUP(N435,Num_AS,6,FALSE),"")</f>
        <v/>
      </c>
      <c r="B443" s="588"/>
      <c r="C443" s="653" t="str">
        <f ca="1">IFERROR(VLOOKUP(N435,Num_AS,7,FALSE),"")</f>
        <v/>
      </c>
      <c r="D443" s="652"/>
      <c r="E443" s="654" t="str">
        <f ca="1">IFERROR(VLOOKUP(N435,Num_AS,10,FALSE),"")</f>
        <v/>
      </c>
      <c r="F443" s="654" t="str">
        <f ca="1">IFERROR(VLOOKUP(N435,Num_AS,9,FALSE),"")</f>
        <v/>
      </c>
      <c r="G443" s="655" t="str">
        <f ca="1">IFERROR(VLOOKUP(N435,Num_AS,11,FALSE),"")</f>
        <v/>
      </c>
      <c r="H443" s="688">
        <f ca="1">E436</f>
        <v>0</v>
      </c>
      <c r="J443" s="659" t="str">
        <f ca="1">IFERROR(VLOOKUP(N435,Num_AS,18,FALSE),"")</f>
        <v/>
      </c>
      <c r="K443" s="588"/>
      <c r="L443" s="653" t="str">
        <f ca="1">IFERROR(VLOOKUP(N435,Num_AS,19,FALSE),"")</f>
        <v/>
      </c>
      <c r="M443" s="647"/>
      <c r="N443" s="656" t="str">
        <f ca="1">IFERROR(VLOOKUP(N435,Num_AS,22,FALSE),"")</f>
        <v/>
      </c>
      <c r="O443" s="654" t="str">
        <f ca="1">IFERROR(VLOOKUP(N435,Num_AS,21,FALSE),"")</f>
        <v/>
      </c>
      <c r="P443" s="682" t="str">
        <f ca="1">IFERROR(VLOOKUP(N435,Num_AS,23,FALSE),"")</f>
        <v/>
      </c>
      <c r="Q443" s="688">
        <f ca="1">E436</f>
        <v>0</v>
      </c>
      <c r="R443" s="254"/>
      <c r="S443" s="254"/>
      <c r="T443" s="681"/>
      <c r="U443" s="680"/>
      <c r="V443" s="681"/>
      <c r="W443" s="679"/>
      <c r="X443" s="679"/>
      <c r="Y443" s="679"/>
      <c r="Z443" s="679"/>
      <c r="AA443" s="679"/>
      <c r="AB443" s="679"/>
      <c r="AC443" s="218"/>
      <c r="AH443" s="218"/>
    </row>
    <row r="444" spans="1:34" ht="24.75" customHeight="1" thickBot="1" x14ac:dyDescent="0.25">
      <c r="A444" s="689" t="str">
        <f ca="1">IFERROR(VLOOKUP(N435,Num_AS,12,FALSE),"")</f>
        <v/>
      </c>
      <c r="B444" s="690"/>
      <c r="C444" s="691" t="str">
        <f ca="1">IFERROR(VLOOKUP(N435,Num_AS,13,FALSE),"")</f>
        <v/>
      </c>
      <c r="D444" s="692"/>
      <c r="E444" s="693" t="str">
        <f ca="1">IFERROR(VLOOKUP(N435,Num_AS,16,FALSE),"")</f>
        <v/>
      </c>
      <c r="F444" s="694" t="str">
        <f ca="1">IFERROR(VLOOKUP(N435,Num_AS,15,FALSE),"")</f>
        <v/>
      </c>
      <c r="G444" s="695" t="str">
        <f ca="1">IFERROR(VLOOKUP(N435,Num_AS,17,FALSE),"")</f>
        <v/>
      </c>
      <c r="H444" s="700">
        <f ca="1">E436</f>
        <v>0</v>
      </c>
      <c r="J444" s="689" t="str">
        <f ca="1">IFERROR(VLOOKUP(N435,Num_AS,24,FALSE),"")</f>
        <v/>
      </c>
      <c r="K444" s="690"/>
      <c r="L444" s="691" t="str">
        <f ca="1">IFERROR(VLOOKUP(N435,Num_AS,25,FALSE),"")</f>
        <v/>
      </c>
      <c r="M444" s="697"/>
      <c r="N444" s="698" t="str">
        <f ca="1">IFERROR(VLOOKUP(N435,Num_AS,28,FALSE),"")</f>
        <v/>
      </c>
      <c r="O444" s="694" t="str">
        <f ca="1">IFERROR(VLOOKUP(N435,Num_AS,27,FALSE),"")</f>
        <v/>
      </c>
      <c r="P444" s="699" t="str">
        <f ca="1">IFERROR(VLOOKUP(N435,Num_AS,29,FALSE),"")</f>
        <v/>
      </c>
      <c r="Q444" s="700">
        <f ca="1">E436</f>
        <v>0</v>
      </c>
      <c r="R444" s="254"/>
      <c r="S444" s="254"/>
      <c r="T444" s="681"/>
      <c r="U444" s="680"/>
      <c r="V444" s="681"/>
      <c r="W444" s="681"/>
      <c r="X444" s="681"/>
      <c r="Y444" s="681"/>
      <c r="Z444" s="679"/>
      <c r="AA444" s="679"/>
      <c r="AB444" s="679"/>
      <c r="AC444" s="218"/>
      <c r="AH444" s="218"/>
    </row>
    <row r="445" spans="1:34" ht="12.75" customHeight="1" thickTop="1" x14ac:dyDescent="0.2">
      <c r="A445" s="701"/>
      <c r="B445" s="249"/>
      <c r="C445" s="701"/>
      <c r="D445" s="701"/>
      <c r="E445" s="196"/>
      <c r="F445" s="196"/>
      <c r="G445" s="249"/>
      <c r="H445" s="219"/>
      <c r="I445" s="701"/>
      <c r="J445" s="249"/>
      <c r="K445" s="701"/>
      <c r="L445" s="249"/>
      <c r="M445" s="196"/>
      <c r="N445" s="196"/>
      <c r="O445" s="249"/>
      <c r="P445" s="219"/>
      <c r="R445" s="254"/>
      <c r="S445" s="254"/>
      <c r="T445" s="681"/>
      <c r="U445" s="680"/>
      <c r="V445" s="681"/>
      <c r="W445" s="681"/>
      <c r="X445" s="681"/>
      <c r="Y445" s="681"/>
      <c r="Z445" s="679"/>
      <c r="AA445" s="679"/>
      <c r="AB445" s="679"/>
      <c r="AC445" s="218"/>
      <c r="AH445" s="218"/>
    </row>
    <row r="446" spans="1:34" ht="37.5" customHeight="1" x14ac:dyDescent="0.2">
      <c r="A446" s="1113" t="s">
        <v>909</v>
      </c>
      <c r="B446" s="1113"/>
      <c r="C446" s="1113"/>
      <c r="F446" s="1113" t="s">
        <v>910</v>
      </c>
      <c r="G446" s="1113"/>
      <c r="H446" s="1113"/>
      <c r="J446" s="1113" t="s">
        <v>911</v>
      </c>
      <c r="K446" s="1113"/>
      <c r="L446" s="1113"/>
      <c r="N446" s="1113" t="s">
        <v>912</v>
      </c>
      <c r="O446" s="1113"/>
      <c r="P446" s="1113"/>
      <c r="R446" s="254"/>
      <c r="S446" s="254"/>
      <c r="T446" s="681"/>
      <c r="U446" s="680"/>
      <c r="V446" s="679"/>
      <c r="W446" s="679"/>
      <c r="X446" s="679"/>
      <c r="Y446" s="679"/>
      <c r="Z446" s="679"/>
      <c r="AA446" s="679"/>
      <c r="AB446" s="679"/>
      <c r="AC446" s="218"/>
      <c r="AH446" s="218"/>
    </row>
    <row r="447" spans="1:34" ht="37.5" customHeight="1" x14ac:dyDescent="0.25">
      <c r="A447" s="629" t="s">
        <v>980</v>
      </c>
      <c r="B447" s="629" t="s">
        <v>981</v>
      </c>
      <c r="C447" s="636" t="s">
        <v>780</v>
      </c>
      <c r="D447" s="649"/>
      <c r="F447" s="629" t="s">
        <v>980</v>
      </c>
      <c r="G447" s="629" t="s">
        <v>981</v>
      </c>
      <c r="H447" s="636" t="s">
        <v>780</v>
      </c>
      <c r="J447" s="629" t="s">
        <v>980</v>
      </c>
      <c r="K447" s="629" t="s">
        <v>981</v>
      </c>
      <c r="L447" s="636" t="s">
        <v>780</v>
      </c>
      <c r="M447" s="649"/>
      <c r="N447" s="629" t="s">
        <v>980</v>
      </c>
      <c r="O447" s="629" t="s">
        <v>981</v>
      </c>
      <c r="P447" s="636" t="s">
        <v>780</v>
      </c>
      <c r="T447" s="679"/>
      <c r="U447" s="680"/>
      <c r="V447" s="679"/>
      <c r="W447" s="679"/>
      <c r="X447" s="679"/>
      <c r="Y447" s="679"/>
      <c r="Z447" s="679"/>
      <c r="AA447" s="679"/>
      <c r="AB447" s="679"/>
      <c r="AC447" s="218"/>
      <c r="AH447" s="218"/>
    </row>
    <row r="448" spans="1:34" ht="32.25" customHeight="1" x14ac:dyDescent="0.25">
      <c r="A448" s="666">
        <v>10</v>
      </c>
      <c r="B448" s="636"/>
      <c r="C448" s="636"/>
      <c r="D448" s="649"/>
      <c r="F448" s="666">
        <v>10</v>
      </c>
      <c r="G448" s="636"/>
      <c r="H448" s="636"/>
      <c r="J448" s="666">
        <v>10</v>
      </c>
      <c r="K448" s="636"/>
      <c r="L448" s="636"/>
      <c r="M448" s="649"/>
      <c r="N448" s="666">
        <v>10</v>
      </c>
      <c r="O448" s="636"/>
      <c r="P448" s="636"/>
      <c r="T448" s="679"/>
      <c r="U448" s="680"/>
      <c r="V448" s="679"/>
      <c r="W448" s="679"/>
      <c r="X448" s="679"/>
      <c r="Y448" s="679"/>
      <c r="Z448" s="679"/>
      <c r="AA448" s="679"/>
      <c r="AB448" s="679"/>
      <c r="AC448" s="218"/>
      <c r="AH448" s="218"/>
    </row>
    <row r="449" spans="1:34" ht="32.25" customHeight="1" x14ac:dyDescent="0.25">
      <c r="A449" s="666">
        <v>9</v>
      </c>
      <c r="B449" s="636"/>
      <c r="C449" s="636"/>
      <c r="D449" s="649"/>
      <c r="F449" s="666">
        <v>9</v>
      </c>
      <c r="G449" s="636"/>
      <c r="H449" s="636"/>
      <c r="J449" s="666">
        <v>9</v>
      </c>
      <c r="K449" s="636"/>
      <c r="L449" s="636"/>
      <c r="M449" s="649"/>
      <c r="N449" s="666">
        <v>9</v>
      </c>
      <c r="O449" s="636"/>
      <c r="P449" s="636"/>
      <c r="T449" s="679"/>
      <c r="U449" s="680"/>
      <c r="V449" s="679"/>
      <c r="W449" s="679"/>
      <c r="X449" s="679"/>
      <c r="Y449" s="679"/>
      <c r="Z449" s="679"/>
      <c r="AA449" s="679"/>
      <c r="AB449" s="679"/>
      <c r="AC449" s="218"/>
      <c r="AH449" s="218"/>
    </row>
    <row r="450" spans="1:34" ht="32.25" customHeight="1" x14ac:dyDescent="0.25">
      <c r="A450" s="666">
        <v>8</v>
      </c>
      <c r="B450" s="636"/>
      <c r="C450" s="636"/>
      <c r="D450" s="649"/>
      <c r="F450" s="666">
        <v>8</v>
      </c>
      <c r="G450" s="636"/>
      <c r="H450" s="636"/>
      <c r="J450" s="666">
        <v>8</v>
      </c>
      <c r="K450" s="636"/>
      <c r="L450" s="636"/>
      <c r="M450" s="649"/>
      <c r="N450" s="666">
        <v>8</v>
      </c>
      <c r="O450" s="636"/>
      <c r="P450" s="636"/>
      <c r="T450" s="679"/>
      <c r="U450" s="680"/>
      <c r="V450" s="679"/>
      <c r="W450" s="679"/>
      <c r="X450" s="679"/>
      <c r="Y450" s="679"/>
      <c r="Z450" s="679"/>
      <c r="AA450" s="679"/>
      <c r="AB450" s="679"/>
      <c r="AC450" s="218"/>
      <c r="AH450" s="218"/>
    </row>
    <row r="451" spans="1:34" ht="32.25" customHeight="1" x14ac:dyDescent="0.25">
      <c r="A451" s="666">
        <v>7</v>
      </c>
      <c r="B451" s="636"/>
      <c r="C451" s="636"/>
      <c r="D451" s="649"/>
      <c r="F451" s="666">
        <v>7</v>
      </c>
      <c r="G451" s="636"/>
      <c r="H451" s="636"/>
      <c r="J451" s="666">
        <v>7</v>
      </c>
      <c r="K451" s="636"/>
      <c r="L451" s="636"/>
      <c r="M451" s="649"/>
      <c r="N451" s="666">
        <v>7</v>
      </c>
      <c r="O451" s="636"/>
      <c r="P451" s="636"/>
      <c r="T451" s="679"/>
      <c r="U451" s="680"/>
      <c r="V451" s="679"/>
      <c r="W451" s="679"/>
      <c r="X451" s="679"/>
      <c r="Y451" s="679"/>
      <c r="Z451" s="679"/>
      <c r="AC451" s="218"/>
      <c r="AH451" s="218"/>
    </row>
    <row r="452" spans="1:34" ht="32.25" customHeight="1" x14ac:dyDescent="0.25">
      <c r="A452" s="666">
        <v>6</v>
      </c>
      <c r="B452" s="636"/>
      <c r="C452" s="636"/>
      <c r="D452" s="649"/>
      <c r="F452" s="666">
        <v>6</v>
      </c>
      <c r="G452" s="636"/>
      <c r="H452" s="636"/>
      <c r="J452" s="666">
        <v>6</v>
      </c>
      <c r="K452" s="636"/>
      <c r="L452" s="636"/>
      <c r="M452" s="649"/>
      <c r="N452" s="666">
        <v>6</v>
      </c>
      <c r="O452" s="636"/>
      <c r="P452" s="636"/>
      <c r="T452" s="679"/>
      <c r="U452" s="680"/>
      <c r="AC452" s="218"/>
      <c r="AH452" s="218"/>
    </row>
    <row r="453" spans="1:34" ht="32.25" customHeight="1" x14ac:dyDescent="0.25">
      <c r="A453" s="666">
        <v>5</v>
      </c>
      <c r="B453" s="636"/>
      <c r="C453" s="636"/>
      <c r="D453" s="649"/>
      <c r="F453" s="666">
        <v>5</v>
      </c>
      <c r="G453" s="636"/>
      <c r="H453" s="636"/>
      <c r="J453" s="666">
        <v>5</v>
      </c>
      <c r="K453" s="636"/>
      <c r="L453" s="636"/>
      <c r="M453" s="649"/>
      <c r="N453" s="666">
        <v>5</v>
      </c>
      <c r="O453" s="636"/>
      <c r="P453" s="636"/>
      <c r="U453" s="520"/>
      <c r="AC453" s="218"/>
      <c r="AH453" s="218"/>
    </row>
    <row r="454" spans="1:34" ht="32.25" customHeight="1" x14ac:dyDescent="0.25">
      <c r="A454" s="666">
        <v>4</v>
      </c>
      <c r="B454" s="636"/>
      <c r="C454" s="636"/>
      <c r="D454" s="649"/>
      <c r="F454" s="666">
        <v>4</v>
      </c>
      <c r="G454" s="636"/>
      <c r="H454" s="636"/>
      <c r="J454" s="666">
        <v>4</v>
      </c>
      <c r="K454" s="636"/>
      <c r="L454" s="636"/>
      <c r="M454" s="649"/>
      <c r="N454" s="666">
        <v>4</v>
      </c>
      <c r="O454" s="636"/>
      <c r="P454" s="636"/>
      <c r="U454" s="520"/>
      <c r="AC454" s="218"/>
      <c r="AH454" s="218"/>
    </row>
    <row r="455" spans="1:34" ht="32.25" customHeight="1" x14ac:dyDescent="0.25">
      <c r="A455" s="666">
        <v>3</v>
      </c>
      <c r="B455" s="636"/>
      <c r="C455" s="636"/>
      <c r="D455" s="649"/>
      <c r="F455" s="666">
        <v>3</v>
      </c>
      <c r="G455" s="636"/>
      <c r="H455" s="636"/>
      <c r="J455" s="666">
        <v>3</v>
      </c>
      <c r="K455" s="636"/>
      <c r="L455" s="636"/>
      <c r="M455" s="649"/>
      <c r="N455" s="666">
        <v>3</v>
      </c>
      <c r="O455" s="636"/>
      <c r="P455" s="636"/>
      <c r="U455" s="520"/>
      <c r="AC455" s="218"/>
      <c r="AH455" s="218"/>
    </row>
    <row r="456" spans="1:34" ht="32.25" customHeight="1" x14ac:dyDescent="0.25">
      <c r="A456" s="666">
        <v>2</v>
      </c>
      <c r="B456" s="636"/>
      <c r="C456" s="636"/>
      <c r="D456" s="649"/>
      <c r="F456" s="666">
        <v>2</v>
      </c>
      <c r="G456" s="636"/>
      <c r="H456" s="636"/>
      <c r="J456" s="666">
        <v>2</v>
      </c>
      <c r="K456" s="636"/>
      <c r="L456" s="636"/>
      <c r="M456" s="649"/>
      <c r="N456" s="666">
        <v>2</v>
      </c>
      <c r="O456" s="636"/>
      <c r="P456" s="636"/>
      <c r="U456" s="520"/>
      <c r="AC456" s="218"/>
      <c r="AH456" s="218"/>
    </row>
    <row r="457" spans="1:34" ht="32.25" customHeight="1" x14ac:dyDescent="0.25">
      <c r="A457" s="666">
        <v>1</v>
      </c>
      <c r="B457" s="636"/>
      <c r="C457" s="636"/>
      <c r="D457" s="649"/>
      <c r="F457" s="666">
        <v>1</v>
      </c>
      <c r="G457" s="636"/>
      <c r="H457" s="636"/>
      <c r="J457" s="666">
        <v>1</v>
      </c>
      <c r="K457" s="636"/>
      <c r="L457" s="636"/>
      <c r="M457" s="649"/>
      <c r="N457" s="666">
        <v>1</v>
      </c>
      <c r="O457" s="636"/>
      <c r="P457" s="636"/>
      <c r="U457" s="520"/>
      <c r="AC457" s="218"/>
      <c r="AH457" s="218"/>
    </row>
    <row r="458" spans="1:34" ht="32.25" customHeight="1" x14ac:dyDescent="0.25">
      <c r="A458" s="666" t="s">
        <v>982</v>
      </c>
      <c r="B458" s="636"/>
      <c r="C458" s="636"/>
      <c r="D458" s="649"/>
      <c r="F458" s="666" t="s">
        <v>982</v>
      </c>
      <c r="G458" s="636"/>
      <c r="H458" s="636"/>
      <c r="J458" s="666" t="s">
        <v>982</v>
      </c>
      <c r="K458" s="636"/>
      <c r="L458" s="636"/>
      <c r="M458" s="649"/>
      <c r="N458" s="666" t="s">
        <v>982</v>
      </c>
      <c r="O458" s="636"/>
      <c r="P458" s="636"/>
      <c r="U458" s="520"/>
      <c r="AC458" s="218"/>
      <c r="AH458" s="218"/>
    </row>
    <row r="459" spans="1:34" ht="32.25" customHeight="1" x14ac:dyDescent="0.25">
      <c r="A459" s="629" t="s">
        <v>981</v>
      </c>
      <c r="B459" s="650"/>
      <c r="C459" s="651" t="s">
        <v>996</v>
      </c>
      <c r="D459" s="649"/>
      <c r="F459" s="629" t="s">
        <v>981</v>
      </c>
      <c r="G459" s="650"/>
      <c r="H459" s="651" t="s">
        <v>996</v>
      </c>
      <c r="J459" s="629" t="s">
        <v>981</v>
      </c>
      <c r="K459" s="650"/>
      <c r="L459" s="651" t="s">
        <v>996</v>
      </c>
      <c r="M459" s="649"/>
      <c r="N459" s="629" t="s">
        <v>981</v>
      </c>
      <c r="O459" s="650"/>
      <c r="P459" s="651" t="s">
        <v>996</v>
      </c>
      <c r="Q459" s="649"/>
      <c r="U459" s="520"/>
      <c r="AC459" s="218"/>
      <c r="AH459" s="218"/>
    </row>
    <row r="460" spans="1:34" ht="32.25" customHeight="1" thickBot="1" x14ac:dyDescent="0.3">
      <c r="A460" s="649"/>
      <c r="B460" s="629" t="s">
        <v>983</v>
      </c>
      <c r="C460" s="665"/>
      <c r="D460" s="649"/>
      <c r="F460" s="637" t="s">
        <v>985</v>
      </c>
      <c r="G460" s="629" t="s">
        <v>983</v>
      </c>
      <c r="H460" s="636"/>
      <c r="J460" s="637" t="s">
        <v>985</v>
      </c>
      <c r="K460" s="629" t="s">
        <v>983</v>
      </c>
      <c r="L460" s="636"/>
      <c r="M460" s="649"/>
      <c r="N460" s="637" t="s">
        <v>985</v>
      </c>
      <c r="O460" s="629" t="s">
        <v>983</v>
      </c>
      <c r="P460" s="636"/>
      <c r="Q460" s="649"/>
      <c r="U460" s="520"/>
      <c r="AC460" s="218"/>
      <c r="AH460" s="218"/>
    </row>
    <row r="461" spans="1:34" ht="41.25" customHeight="1" thickBot="1" x14ac:dyDescent="0.3">
      <c r="A461" s="1114" t="s">
        <v>1001</v>
      </c>
      <c r="B461" s="1114"/>
      <c r="C461" s="734">
        <f ca="1">VLOOKUP(A439&amp;F439,PTS_SP,2,FALSE)</f>
        <v>0</v>
      </c>
      <c r="D461" s="649"/>
      <c r="F461" s="1115" t="s">
        <v>986</v>
      </c>
      <c r="G461" s="1116"/>
      <c r="H461" s="636"/>
      <c r="I461" s="1115" t="s">
        <v>986</v>
      </c>
      <c r="J461" s="1115"/>
      <c r="K461" s="636"/>
      <c r="L461" s="649"/>
      <c r="O461" s="634" t="s">
        <v>987</v>
      </c>
      <c r="P461" s="636"/>
      <c r="Q461" s="649"/>
      <c r="U461" s="520"/>
      <c r="AC461" s="218"/>
      <c r="AH461" s="218"/>
    </row>
    <row r="462" spans="1:34" ht="47.25" customHeight="1" thickBot="1" x14ac:dyDescent="0.3">
      <c r="A462" s="1115" t="s">
        <v>986</v>
      </c>
      <c r="B462" s="1116"/>
      <c r="C462" s="644"/>
      <c r="D462" s="649"/>
      <c r="E462" s="649"/>
      <c r="F462" s="649"/>
      <c r="G462" s="649"/>
      <c r="H462" s="649"/>
      <c r="I462" s="649"/>
      <c r="J462" s="649"/>
      <c r="K462" s="649"/>
      <c r="L462" s="649"/>
      <c r="N462" s="634"/>
      <c r="O462" s="634" t="s">
        <v>997</v>
      </c>
      <c r="P462" s="673"/>
      <c r="Q462" s="674"/>
      <c r="R462" s="663" t="s">
        <v>998</v>
      </c>
      <c r="U462" s="520"/>
      <c r="AC462" s="218"/>
      <c r="AH462" s="218"/>
    </row>
    <row r="463" spans="1:34" ht="36" customHeight="1" thickBot="1" x14ac:dyDescent="0.3">
      <c r="A463" s="649"/>
      <c r="B463" s="649"/>
      <c r="C463" s="649"/>
      <c r="D463" s="649"/>
      <c r="E463" s="672" t="s">
        <v>1002</v>
      </c>
      <c r="F463" s="667"/>
      <c r="G463" s="667"/>
      <c r="H463" s="668"/>
      <c r="I463" s="649"/>
      <c r="J463" s="672" t="s">
        <v>1003</v>
      </c>
      <c r="K463" s="667"/>
      <c r="L463" s="667"/>
      <c r="M463" s="668"/>
      <c r="O463" s="675" t="s">
        <v>1004</v>
      </c>
      <c r="P463" s="676" t="s">
        <v>999</v>
      </c>
      <c r="Q463" s="677" t="s">
        <v>1000</v>
      </c>
      <c r="R463" s="649"/>
      <c r="U463" s="520"/>
      <c r="AC463" s="218"/>
      <c r="AH463" s="218"/>
    </row>
    <row r="464" spans="1:34" ht="36" customHeight="1" thickBot="1" x14ac:dyDescent="0.25">
      <c r="E464" s="669"/>
      <c r="F464" s="670"/>
      <c r="G464" s="670"/>
      <c r="H464" s="671"/>
      <c r="J464" s="669"/>
      <c r="K464" s="670"/>
      <c r="L464" s="670"/>
      <c r="M464" s="671"/>
      <c r="U464" s="520"/>
      <c r="AA464" s="679"/>
      <c r="AB464" s="679"/>
      <c r="AC464" s="218"/>
      <c r="AH464" s="218"/>
    </row>
    <row r="465" spans="1:34" s="218" customFormat="1" ht="23.25" customHeight="1" x14ac:dyDescent="0.2">
      <c r="A465" s="217"/>
      <c r="B465" s="217"/>
      <c r="C465" s="217"/>
      <c r="D465" s="217"/>
      <c r="E465" s="217"/>
      <c r="F465" s="217"/>
      <c r="G465" s="217"/>
      <c r="H465" s="217"/>
      <c r="I465" s="217"/>
      <c r="J465" s="217"/>
      <c r="K465" s="217"/>
      <c r="L465" s="217"/>
      <c r="M465" s="217"/>
      <c r="N465" s="684"/>
      <c r="O465" s="684"/>
      <c r="P465" s="684"/>
      <c r="Q465" s="684"/>
      <c r="R465" s="217"/>
      <c r="S465" s="217"/>
      <c r="T465" s="217"/>
      <c r="U465" s="520"/>
      <c r="V465" s="679"/>
      <c r="W465" s="679"/>
      <c r="X465" s="679"/>
      <c r="Y465" s="679"/>
      <c r="Z465" s="679"/>
      <c r="AA465" s="662"/>
      <c r="AB465" s="662"/>
      <c r="AD465" s="217"/>
      <c r="AE465" s="217"/>
      <c r="AF465" s="217"/>
      <c r="AG465" s="217"/>
    </row>
    <row r="466" spans="1:34" ht="19.5" customHeight="1" thickBot="1" x14ac:dyDescent="0.25">
      <c r="M466" s="500"/>
      <c r="N466" s="520">
        <f ca="1">INDIRECT("AE"&amp;O466)</f>
        <v>0</v>
      </c>
      <c r="O466" s="500">
        <f>P467+2</f>
        <v>18</v>
      </c>
      <c r="P466" s="501">
        <f ca="1">INDIRECT("AF"&amp;O466)</f>
        <v>0</v>
      </c>
      <c r="Q466" s="500"/>
      <c r="R466" s="500"/>
      <c r="T466" s="679"/>
      <c r="U466" s="679"/>
      <c r="V466" s="679"/>
      <c r="W466" s="679"/>
      <c r="X466" s="679"/>
      <c r="Y466" s="679"/>
      <c r="Z466" s="679"/>
      <c r="AA466" s="679"/>
      <c r="AB466" s="679"/>
      <c r="AC466" s="218"/>
      <c r="AH466" s="218"/>
    </row>
    <row r="467" spans="1:34" s="218" customFormat="1" ht="36" thickBot="1" x14ac:dyDescent="0.25">
      <c r="A467" s="576" t="s">
        <v>546</v>
      </c>
      <c r="B467" s="402" t="str">
        <f>B436</f>
        <v>D3</v>
      </c>
      <c r="D467" s="661" t="s">
        <v>628</v>
      </c>
      <c r="E467" s="660">
        <f ca="1">INDIRECT("AD"&amp;O466)</f>
        <v>0</v>
      </c>
      <c r="F467" s="705" t="str">
        <f>"   "&amp;Championnat</f>
        <v xml:space="preserve">   Championnat de France de Tir à l'ARC</v>
      </c>
      <c r="O467" s="502" t="s">
        <v>849</v>
      </c>
      <c r="P467" s="503">
        <f>P436+1</f>
        <v>16</v>
      </c>
      <c r="R467" s="254"/>
      <c r="S467" s="254"/>
      <c r="T467" s="681"/>
      <c r="U467" s="680"/>
      <c r="V467" s="681"/>
      <c r="X467" s="662"/>
      <c r="Y467" s="662"/>
      <c r="Z467" s="662"/>
      <c r="AA467" s="662"/>
      <c r="AB467" s="662"/>
      <c r="AD467" s="217"/>
      <c r="AE467" s="217"/>
      <c r="AF467" s="217"/>
      <c r="AG467" s="217"/>
    </row>
    <row r="468" spans="1:34" ht="35.25" x14ac:dyDescent="0.2">
      <c r="A468" s="706" t="str">
        <f>CATEG_IMPORTEE</f>
        <v>Collèges Mixtes Etablissement</v>
      </c>
      <c r="J468" s="592" t="str">
        <f>LIEU&amp;" du "&amp;DATE</f>
        <v>L’Isle sur la Sorgue du 27 au 31 mars 2023</v>
      </c>
      <c r="R468" s="254"/>
      <c r="S468" s="254"/>
      <c r="T468" s="681"/>
      <c r="U468" s="680"/>
      <c r="V468" s="681"/>
      <c r="W468" s="679"/>
      <c r="X468" s="679"/>
      <c r="Y468" s="679"/>
      <c r="Z468" s="679"/>
      <c r="AA468" s="679"/>
      <c r="AB468" s="679"/>
      <c r="AC468" s="218"/>
      <c r="AH468" s="218"/>
    </row>
    <row r="469" spans="1:34" ht="24" customHeight="1" thickBot="1" x14ac:dyDescent="0.25">
      <c r="A469" s="648" t="s">
        <v>0</v>
      </c>
      <c r="B469" s="648"/>
      <c r="C469" s="648"/>
      <c r="D469" s="648"/>
      <c r="F469" s="1124" t="s">
        <v>1006</v>
      </c>
      <c r="G469" s="1125"/>
      <c r="H469" s="1125"/>
      <c r="J469" s="648" t="s">
        <v>0</v>
      </c>
      <c r="O469" s="1093" t="s">
        <v>1005</v>
      </c>
      <c r="P469" s="1093"/>
      <c r="R469" s="254"/>
      <c r="S469" s="254"/>
      <c r="T469" s="681"/>
      <c r="U469" s="680"/>
      <c r="V469" s="681"/>
      <c r="W469" s="679"/>
      <c r="X469" s="679"/>
      <c r="Y469" s="679"/>
      <c r="Z469" s="679"/>
      <c r="AA469" s="679"/>
      <c r="AB469" s="679"/>
      <c r="AC469" s="218"/>
      <c r="AH469" s="218"/>
    </row>
    <row r="470" spans="1:34" ht="23.25" customHeight="1" thickBot="1" x14ac:dyDescent="0.25">
      <c r="A470" s="657" t="str">
        <f ca="1">IFERROR(VLOOKUP(N466,Num_AS,2,FALSE),"")</f>
        <v/>
      </c>
      <c r="B470" s="658"/>
      <c r="C470" s="658"/>
      <c r="D470" s="658"/>
      <c r="E470" s="658"/>
      <c r="F470" s="1117" t="str">
        <f ca="1">IFERROR(VLOOKUP(N466,Num_AS,3,FALSE),"")</f>
        <v/>
      </c>
      <c r="G470" s="1118"/>
      <c r="H470" s="1119"/>
      <c r="I470" s="219" t="s">
        <v>547</v>
      </c>
      <c r="J470" s="678" t="str">
        <f ca="1">IFERROR(VLOOKUP(P466,Num_AS,2,FALSE),"")</f>
        <v/>
      </c>
      <c r="K470" s="664"/>
      <c r="L470" s="664"/>
      <c r="M470" s="664"/>
      <c r="N470" s="1120" t="str">
        <f ca="1">IFERROR(VLOOKUP(P466,Num_AS,3,FALSE),"")</f>
        <v/>
      </c>
      <c r="O470" s="1121"/>
      <c r="P470" s="1122"/>
      <c r="R470" s="254"/>
      <c r="S470" s="254"/>
      <c r="T470" s="681"/>
      <c r="U470" s="680"/>
      <c r="V470" s="681"/>
      <c r="W470" s="679"/>
      <c r="X470" s="679"/>
      <c r="Y470" s="679"/>
      <c r="Z470" s="679"/>
      <c r="AA470" s="679"/>
      <c r="AB470" s="679"/>
      <c r="AC470" s="218"/>
      <c r="AH470" s="218"/>
    </row>
    <row r="471" spans="1:34" ht="20.100000000000001" customHeight="1" thickBot="1" x14ac:dyDescent="0.25">
      <c r="E471" s="219"/>
      <c r="F471" s="1107" t="str">
        <f ca="1">IFERROR(VLOOKUP(N466,Num_AS,4,FALSE),"")</f>
        <v/>
      </c>
      <c r="G471" s="1108"/>
      <c r="H471" s="1109"/>
      <c r="N471" s="1110" t="str">
        <f ca="1">IFERROR(VLOOKUP(P466,Num_AS,4,FALSE),"")</f>
        <v/>
      </c>
      <c r="O471" s="1111"/>
      <c r="P471" s="1112"/>
      <c r="R471" s="254"/>
      <c r="S471" s="254"/>
      <c r="T471" s="681"/>
      <c r="U471" s="680"/>
      <c r="V471" s="681"/>
      <c r="W471" s="679"/>
      <c r="X471" s="679"/>
      <c r="Y471" s="679"/>
      <c r="Z471" s="679"/>
      <c r="AA471" s="679"/>
      <c r="AB471" s="679"/>
      <c r="AC471" s="218"/>
      <c r="AH471" s="218"/>
    </row>
    <row r="472" spans="1:34" ht="18" customHeight="1" thickBot="1" x14ac:dyDescent="0.25">
      <c r="A472" s="1123" t="s">
        <v>548</v>
      </c>
      <c r="B472" s="1123"/>
      <c r="C472" s="1123"/>
      <c r="D472" s="1123"/>
      <c r="E472" s="219"/>
      <c r="F472" s="219"/>
      <c r="G472" s="219"/>
      <c r="H472" s="219"/>
      <c r="I472" s="219"/>
      <c r="J472" s="219"/>
      <c r="K472" s="219"/>
      <c r="L472" s="219"/>
      <c r="M472" s="219"/>
      <c r="N472" s="219"/>
      <c r="O472" s="219"/>
      <c r="P472" s="219"/>
      <c r="R472" s="254"/>
      <c r="S472" s="254"/>
      <c r="T472" s="681"/>
      <c r="U472" s="680"/>
      <c r="V472" s="681"/>
      <c r="W472" s="679"/>
      <c r="X472" s="679"/>
      <c r="Y472" s="679"/>
      <c r="Z472" s="679"/>
      <c r="AA472" s="679"/>
      <c r="AB472" s="679"/>
      <c r="AC472" s="218"/>
      <c r="AH472" s="218"/>
    </row>
    <row r="473" spans="1:34" ht="24" customHeight="1" thickTop="1" thickBot="1" x14ac:dyDescent="0.25">
      <c r="A473" s="1126" t="s">
        <v>549</v>
      </c>
      <c r="B473" s="1127"/>
      <c r="C473" s="1127"/>
      <c r="D473" s="1128"/>
      <c r="E473" s="685" t="s">
        <v>480</v>
      </c>
      <c r="F473" s="685" t="s">
        <v>550</v>
      </c>
      <c r="G473" s="686" t="s">
        <v>551</v>
      </c>
      <c r="H473" s="687" t="s">
        <v>779</v>
      </c>
      <c r="J473" s="702" t="s">
        <v>549</v>
      </c>
      <c r="K473" s="703"/>
      <c r="L473" s="703"/>
      <c r="M473" s="704"/>
      <c r="N473" s="685" t="s">
        <v>480</v>
      </c>
      <c r="O473" s="685" t="s">
        <v>550</v>
      </c>
      <c r="P473" s="686" t="s">
        <v>551</v>
      </c>
      <c r="Q473" s="687" t="s">
        <v>779</v>
      </c>
      <c r="R473" s="254"/>
      <c r="S473" s="254"/>
      <c r="T473" s="681"/>
      <c r="U473" s="680"/>
      <c r="V473" s="681"/>
      <c r="W473" s="679"/>
      <c r="X473" s="679"/>
      <c r="Y473" s="679"/>
      <c r="Z473" s="679"/>
      <c r="AA473" s="679"/>
      <c r="AB473" s="679"/>
      <c r="AC473" s="218"/>
      <c r="AH473" s="218"/>
    </row>
    <row r="474" spans="1:34" ht="24.75" customHeight="1" x14ac:dyDescent="0.2">
      <c r="A474" s="659" t="str">
        <f ca="1">IFERROR(VLOOKUP(N466,Num_AS,6,FALSE),"")</f>
        <v/>
      </c>
      <c r="B474" s="588"/>
      <c r="C474" s="653" t="str">
        <f ca="1">IFERROR(VLOOKUP(N466,Num_AS,7,FALSE),"")</f>
        <v/>
      </c>
      <c r="D474" s="652"/>
      <c r="E474" s="654" t="str">
        <f ca="1">IFERROR(VLOOKUP(N466,Num_AS,10,FALSE),"")</f>
        <v/>
      </c>
      <c r="F474" s="654" t="str">
        <f ca="1">IFERROR(VLOOKUP(N466,Num_AS,9,FALSE),"")</f>
        <v/>
      </c>
      <c r="G474" s="655" t="str">
        <f ca="1">IFERROR(VLOOKUP(N466,Num_AS,11,FALSE),"")</f>
        <v/>
      </c>
      <c r="H474" s="688">
        <f ca="1">E467</f>
        <v>0</v>
      </c>
      <c r="J474" s="659" t="str">
        <f ca="1">IFERROR(VLOOKUP(N466,Num_AS,18,FALSE),"")</f>
        <v/>
      </c>
      <c r="K474" s="588"/>
      <c r="L474" s="653" t="str">
        <f ca="1">IFERROR(VLOOKUP(N466,Num_AS,19,FALSE),"")</f>
        <v/>
      </c>
      <c r="M474" s="647"/>
      <c r="N474" s="656" t="str">
        <f ca="1">IFERROR(VLOOKUP(N466,Num_AS,22,FALSE),"")</f>
        <v/>
      </c>
      <c r="O474" s="654" t="str">
        <f ca="1">IFERROR(VLOOKUP(N466,Num_AS,21,FALSE),"")</f>
        <v/>
      </c>
      <c r="P474" s="682" t="str">
        <f ca="1">IFERROR(VLOOKUP(N466,Num_AS,23,FALSE),"")</f>
        <v/>
      </c>
      <c r="Q474" s="688">
        <f ca="1">E467</f>
        <v>0</v>
      </c>
      <c r="R474" s="254"/>
      <c r="S474" s="254"/>
      <c r="T474" s="681"/>
      <c r="U474" s="680"/>
      <c r="V474" s="681"/>
      <c r="W474" s="679"/>
      <c r="X474" s="679"/>
      <c r="Y474" s="679"/>
      <c r="Z474" s="679"/>
      <c r="AA474" s="679"/>
      <c r="AB474" s="679"/>
      <c r="AC474" s="218"/>
      <c r="AH474" s="218"/>
    </row>
    <row r="475" spans="1:34" ht="24.75" customHeight="1" thickBot="1" x14ac:dyDescent="0.25">
      <c r="A475" s="689" t="str">
        <f ca="1">IFERROR(VLOOKUP(N466,Num_AS,12,FALSE),"")</f>
        <v/>
      </c>
      <c r="B475" s="690"/>
      <c r="C475" s="691" t="str">
        <f ca="1">IFERROR(VLOOKUP(N466,Num_AS,13,FALSE),"")</f>
        <v/>
      </c>
      <c r="D475" s="692"/>
      <c r="E475" s="693" t="str">
        <f ca="1">IFERROR(VLOOKUP(N466,Num_AS,16,FALSE),"")</f>
        <v/>
      </c>
      <c r="F475" s="694" t="str">
        <f ca="1">IFERROR(VLOOKUP(N466,Num_AS,15,FALSE),"")</f>
        <v/>
      </c>
      <c r="G475" s="695" t="str">
        <f ca="1">IFERROR(VLOOKUP(N466,Num_AS,17,FALSE),"")</f>
        <v/>
      </c>
      <c r="H475" s="700">
        <f ca="1">E467</f>
        <v>0</v>
      </c>
      <c r="J475" s="689" t="str">
        <f ca="1">IFERROR(VLOOKUP(N466,Num_AS,24,FALSE),"")</f>
        <v/>
      </c>
      <c r="K475" s="690"/>
      <c r="L475" s="691" t="str">
        <f ca="1">IFERROR(VLOOKUP(N466,Num_AS,25,FALSE),"")</f>
        <v/>
      </c>
      <c r="M475" s="697"/>
      <c r="N475" s="698" t="str">
        <f ca="1">IFERROR(VLOOKUP(N466,Num_AS,28,FALSE),"")</f>
        <v/>
      </c>
      <c r="O475" s="694" t="str">
        <f ca="1">IFERROR(VLOOKUP(N466,Num_AS,27,FALSE),"")</f>
        <v/>
      </c>
      <c r="P475" s="699" t="str">
        <f ca="1">IFERROR(VLOOKUP(N466,Num_AS,29,FALSE),"")</f>
        <v/>
      </c>
      <c r="Q475" s="700">
        <f ca="1">E467</f>
        <v>0</v>
      </c>
      <c r="R475" s="254"/>
      <c r="S475" s="254"/>
      <c r="T475" s="681"/>
      <c r="U475" s="680"/>
      <c r="V475" s="681"/>
      <c r="W475" s="681"/>
      <c r="X475" s="681"/>
      <c r="Y475" s="681"/>
      <c r="Z475" s="679"/>
      <c r="AA475" s="679"/>
      <c r="AB475" s="679"/>
      <c r="AC475" s="218"/>
      <c r="AH475" s="218"/>
    </row>
    <row r="476" spans="1:34" ht="12.75" customHeight="1" thickTop="1" x14ac:dyDescent="0.2">
      <c r="A476" s="701"/>
      <c r="B476" s="249"/>
      <c r="C476" s="701"/>
      <c r="D476" s="701"/>
      <c r="E476" s="196"/>
      <c r="F476" s="196"/>
      <c r="G476" s="249"/>
      <c r="H476" s="219"/>
      <c r="I476" s="701"/>
      <c r="J476" s="249"/>
      <c r="K476" s="701"/>
      <c r="L476" s="249"/>
      <c r="M476" s="196"/>
      <c r="N476" s="196"/>
      <c r="O476" s="249"/>
      <c r="P476" s="219"/>
      <c r="R476" s="254"/>
      <c r="S476" s="254"/>
      <c r="T476" s="681"/>
      <c r="U476" s="680"/>
      <c r="V476" s="681"/>
      <c r="W476" s="681"/>
      <c r="X476" s="681"/>
      <c r="Y476" s="681"/>
      <c r="Z476" s="679"/>
      <c r="AA476" s="679"/>
      <c r="AB476" s="679"/>
      <c r="AC476" s="218"/>
      <c r="AH476" s="218"/>
    </row>
    <row r="477" spans="1:34" ht="37.5" customHeight="1" x14ac:dyDescent="0.2">
      <c r="A477" s="1113" t="s">
        <v>909</v>
      </c>
      <c r="B477" s="1113"/>
      <c r="C477" s="1113"/>
      <c r="F477" s="1113" t="s">
        <v>910</v>
      </c>
      <c r="G477" s="1113"/>
      <c r="H477" s="1113"/>
      <c r="J477" s="1113" t="s">
        <v>911</v>
      </c>
      <c r="K477" s="1113"/>
      <c r="L477" s="1113"/>
      <c r="N477" s="1113" t="s">
        <v>912</v>
      </c>
      <c r="O477" s="1113"/>
      <c r="P477" s="1113"/>
      <c r="R477" s="254"/>
      <c r="S477" s="254"/>
      <c r="T477" s="681"/>
      <c r="U477" s="680"/>
      <c r="V477" s="679"/>
      <c r="W477" s="679"/>
      <c r="X477" s="679"/>
      <c r="Y477" s="679"/>
      <c r="Z477" s="679"/>
      <c r="AA477" s="679"/>
      <c r="AB477" s="679"/>
      <c r="AC477" s="218"/>
      <c r="AH477" s="218"/>
    </row>
    <row r="478" spans="1:34" ht="37.5" customHeight="1" x14ac:dyDescent="0.25">
      <c r="A478" s="629" t="s">
        <v>980</v>
      </c>
      <c r="B478" s="629" t="s">
        <v>981</v>
      </c>
      <c r="C478" s="636" t="s">
        <v>780</v>
      </c>
      <c r="D478" s="649"/>
      <c r="F478" s="629" t="s">
        <v>980</v>
      </c>
      <c r="G478" s="629" t="s">
        <v>981</v>
      </c>
      <c r="H478" s="636" t="s">
        <v>780</v>
      </c>
      <c r="J478" s="629" t="s">
        <v>980</v>
      </c>
      <c r="K478" s="629" t="s">
        <v>981</v>
      </c>
      <c r="L478" s="636" t="s">
        <v>780</v>
      </c>
      <c r="M478" s="649"/>
      <c r="N478" s="629" t="s">
        <v>980</v>
      </c>
      <c r="O478" s="629" t="s">
        <v>981</v>
      </c>
      <c r="P478" s="636" t="s">
        <v>780</v>
      </c>
      <c r="T478" s="679"/>
      <c r="U478" s="680"/>
      <c r="V478" s="679"/>
      <c r="W478" s="679"/>
      <c r="X478" s="679"/>
      <c r="Y478" s="679"/>
      <c r="Z478" s="679"/>
      <c r="AA478" s="679"/>
      <c r="AB478" s="679"/>
      <c r="AC478" s="218"/>
      <c r="AH478" s="218"/>
    </row>
    <row r="479" spans="1:34" ht="32.25" customHeight="1" x14ac:dyDescent="0.25">
      <c r="A479" s="666">
        <v>10</v>
      </c>
      <c r="B479" s="636"/>
      <c r="C479" s="636"/>
      <c r="D479" s="649"/>
      <c r="F479" s="666">
        <v>10</v>
      </c>
      <c r="G479" s="636"/>
      <c r="H479" s="636"/>
      <c r="J479" s="666">
        <v>10</v>
      </c>
      <c r="K479" s="636"/>
      <c r="L479" s="636"/>
      <c r="M479" s="649"/>
      <c r="N479" s="666">
        <v>10</v>
      </c>
      <c r="O479" s="636"/>
      <c r="P479" s="636"/>
      <c r="T479" s="679"/>
      <c r="U479" s="680"/>
      <c r="V479" s="679"/>
      <c r="W479" s="679"/>
      <c r="X479" s="679"/>
      <c r="Y479" s="679"/>
      <c r="Z479" s="679"/>
      <c r="AA479" s="679"/>
      <c r="AB479" s="679"/>
      <c r="AC479" s="218"/>
      <c r="AH479" s="218"/>
    </row>
    <row r="480" spans="1:34" ht="32.25" customHeight="1" x14ac:dyDescent="0.25">
      <c r="A480" s="666">
        <v>9</v>
      </c>
      <c r="B480" s="636"/>
      <c r="C480" s="636"/>
      <c r="D480" s="649"/>
      <c r="F480" s="666">
        <v>9</v>
      </c>
      <c r="G480" s="636"/>
      <c r="H480" s="636"/>
      <c r="J480" s="666">
        <v>9</v>
      </c>
      <c r="K480" s="636"/>
      <c r="L480" s="636"/>
      <c r="M480" s="649"/>
      <c r="N480" s="666">
        <v>9</v>
      </c>
      <c r="O480" s="636"/>
      <c r="P480" s="636"/>
      <c r="T480" s="679"/>
      <c r="U480" s="680"/>
      <c r="V480" s="679"/>
      <c r="W480" s="679"/>
      <c r="X480" s="679"/>
      <c r="Y480" s="679"/>
      <c r="Z480" s="679"/>
      <c r="AA480" s="679"/>
      <c r="AB480" s="679"/>
      <c r="AC480" s="218"/>
      <c r="AH480" s="218"/>
    </row>
    <row r="481" spans="1:34" ht="32.25" customHeight="1" x14ac:dyDescent="0.25">
      <c r="A481" s="666">
        <v>8</v>
      </c>
      <c r="B481" s="636"/>
      <c r="C481" s="636"/>
      <c r="D481" s="649"/>
      <c r="F481" s="666">
        <v>8</v>
      </c>
      <c r="G481" s="636"/>
      <c r="H481" s="636"/>
      <c r="J481" s="666">
        <v>8</v>
      </c>
      <c r="K481" s="636"/>
      <c r="L481" s="636"/>
      <c r="M481" s="649"/>
      <c r="N481" s="666">
        <v>8</v>
      </c>
      <c r="O481" s="636"/>
      <c r="P481" s="636"/>
      <c r="T481" s="679"/>
      <c r="U481" s="680"/>
      <c r="V481" s="679"/>
      <c r="W481" s="679"/>
      <c r="X481" s="679"/>
      <c r="Y481" s="679"/>
      <c r="Z481" s="679"/>
      <c r="AA481" s="679"/>
      <c r="AB481" s="679"/>
      <c r="AC481" s="218"/>
      <c r="AH481" s="218"/>
    </row>
    <row r="482" spans="1:34" ht="32.25" customHeight="1" x14ac:dyDescent="0.25">
      <c r="A482" s="666">
        <v>7</v>
      </c>
      <c r="B482" s="636"/>
      <c r="C482" s="636"/>
      <c r="D482" s="649"/>
      <c r="F482" s="666">
        <v>7</v>
      </c>
      <c r="G482" s="636"/>
      <c r="H482" s="636"/>
      <c r="J482" s="666">
        <v>7</v>
      </c>
      <c r="K482" s="636"/>
      <c r="L482" s="636"/>
      <c r="M482" s="649"/>
      <c r="N482" s="666">
        <v>7</v>
      </c>
      <c r="O482" s="636"/>
      <c r="P482" s="636"/>
      <c r="T482" s="679"/>
      <c r="U482" s="680"/>
      <c r="V482" s="679"/>
      <c r="W482" s="679"/>
      <c r="X482" s="679"/>
      <c r="Y482" s="679"/>
      <c r="Z482" s="679"/>
      <c r="AC482" s="218"/>
      <c r="AH482" s="218"/>
    </row>
    <row r="483" spans="1:34" ht="32.25" customHeight="1" x14ac:dyDescent="0.25">
      <c r="A483" s="666">
        <v>6</v>
      </c>
      <c r="B483" s="636"/>
      <c r="C483" s="636"/>
      <c r="D483" s="649"/>
      <c r="F483" s="666">
        <v>6</v>
      </c>
      <c r="G483" s="636"/>
      <c r="H483" s="636"/>
      <c r="J483" s="666">
        <v>6</v>
      </c>
      <c r="K483" s="636"/>
      <c r="L483" s="636"/>
      <c r="M483" s="649"/>
      <c r="N483" s="666">
        <v>6</v>
      </c>
      <c r="O483" s="636"/>
      <c r="P483" s="636"/>
      <c r="T483" s="679"/>
      <c r="U483" s="680"/>
      <c r="AC483" s="218"/>
      <c r="AH483" s="218"/>
    </row>
    <row r="484" spans="1:34" ht="32.25" customHeight="1" x14ac:dyDescent="0.25">
      <c r="A484" s="666">
        <v>5</v>
      </c>
      <c r="B484" s="636"/>
      <c r="C484" s="636"/>
      <c r="D484" s="649"/>
      <c r="F484" s="666">
        <v>5</v>
      </c>
      <c r="G484" s="636"/>
      <c r="H484" s="636"/>
      <c r="J484" s="666">
        <v>5</v>
      </c>
      <c r="K484" s="636"/>
      <c r="L484" s="636"/>
      <c r="M484" s="649"/>
      <c r="N484" s="666">
        <v>5</v>
      </c>
      <c r="O484" s="636"/>
      <c r="P484" s="636"/>
      <c r="U484" s="520"/>
      <c r="AC484" s="218"/>
      <c r="AH484" s="218"/>
    </row>
    <row r="485" spans="1:34" ht="32.25" customHeight="1" x14ac:dyDescent="0.25">
      <c r="A485" s="666">
        <v>4</v>
      </c>
      <c r="B485" s="636"/>
      <c r="C485" s="636"/>
      <c r="D485" s="649"/>
      <c r="F485" s="666">
        <v>4</v>
      </c>
      <c r="G485" s="636"/>
      <c r="H485" s="636"/>
      <c r="J485" s="666">
        <v>4</v>
      </c>
      <c r="K485" s="636"/>
      <c r="L485" s="636"/>
      <c r="M485" s="649"/>
      <c r="N485" s="666">
        <v>4</v>
      </c>
      <c r="O485" s="636"/>
      <c r="P485" s="636"/>
      <c r="U485" s="520"/>
      <c r="AC485" s="218"/>
      <c r="AH485" s="218"/>
    </row>
    <row r="486" spans="1:34" ht="32.25" customHeight="1" x14ac:dyDescent="0.25">
      <c r="A486" s="666">
        <v>3</v>
      </c>
      <c r="B486" s="636"/>
      <c r="C486" s="636"/>
      <c r="D486" s="649"/>
      <c r="F486" s="666">
        <v>3</v>
      </c>
      <c r="G486" s="636"/>
      <c r="H486" s="636"/>
      <c r="J486" s="666">
        <v>3</v>
      </c>
      <c r="K486" s="636"/>
      <c r="L486" s="636"/>
      <c r="M486" s="649"/>
      <c r="N486" s="666">
        <v>3</v>
      </c>
      <c r="O486" s="636"/>
      <c r="P486" s="636"/>
      <c r="U486" s="520"/>
      <c r="AC486" s="218"/>
      <c r="AH486" s="218"/>
    </row>
    <row r="487" spans="1:34" ht="32.25" customHeight="1" x14ac:dyDescent="0.25">
      <c r="A487" s="666">
        <v>2</v>
      </c>
      <c r="B487" s="636"/>
      <c r="C487" s="636"/>
      <c r="D487" s="649"/>
      <c r="F487" s="666">
        <v>2</v>
      </c>
      <c r="G487" s="636"/>
      <c r="H487" s="636"/>
      <c r="J487" s="666">
        <v>2</v>
      </c>
      <c r="K487" s="636"/>
      <c r="L487" s="636"/>
      <c r="M487" s="649"/>
      <c r="N487" s="666">
        <v>2</v>
      </c>
      <c r="O487" s="636"/>
      <c r="P487" s="636"/>
      <c r="U487" s="520"/>
      <c r="AC487" s="218"/>
      <c r="AH487" s="218"/>
    </row>
    <row r="488" spans="1:34" ht="32.25" customHeight="1" x14ac:dyDescent="0.25">
      <c r="A488" s="666">
        <v>1</v>
      </c>
      <c r="B488" s="636"/>
      <c r="C488" s="636"/>
      <c r="D488" s="649"/>
      <c r="F488" s="666">
        <v>1</v>
      </c>
      <c r="G488" s="636"/>
      <c r="H488" s="636"/>
      <c r="J488" s="666">
        <v>1</v>
      </c>
      <c r="K488" s="636"/>
      <c r="L488" s="636"/>
      <c r="M488" s="649"/>
      <c r="N488" s="666">
        <v>1</v>
      </c>
      <c r="O488" s="636"/>
      <c r="P488" s="636"/>
      <c r="U488" s="520"/>
      <c r="AC488" s="218"/>
      <c r="AH488" s="218"/>
    </row>
    <row r="489" spans="1:34" ht="32.25" customHeight="1" x14ac:dyDescent="0.25">
      <c r="A489" s="666" t="s">
        <v>982</v>
      </c>
      <c r="B489" s="636"/>
      <c r="C489" s="636"/>
      <c r="D489" s="649"/>
      <c r="F489" s="666" t="s">
        <v>982</v>
      </c>
      <c r="G489" s="636"/>
      <c r="H489" s="636"/>
      <c r="J489" s="666" t="s">
        <v>982</v>
      </c>
      <c r="K489" s="636"/>
      <c r="L489" s="636"/>
      <c r="M489" s="649"/>
      <c r="N489" s="666" t="s">
        <v>982</v>
      </c>
      <c r="O489" s="636"/>
      <c r="P489" s="636"/>
      <c r="U489" s="520"/>
      <c r="AC489" s="218"/>
      <c r="AH489" s="218"/>
    </row>
    <row r="490" spans="1:34" ht="32.25" customHeight="1" x14ac:dyDescent="0.25">
      <c r="A490" s="629" t="s">
        <v>981</v>
      </c>
      <c r="B490" s="650"/>
      <c r="C490" s="651" t="s">
        <v>996</v>
      </c>
      <c r="D490" s="649"/>
      <c r="F490" s="629" t="s">
        <v>981</v>
      </c>
      <c r="G490" s="650"/>
      <c r="H490" s="651" t="s">
        <v>996</v>
      </c>
      <c r="J490" s="629" t="s">
        <v>981</v>
      </c>
      <c r="K490" s="650"/>
      <c r="L490" s="651" t="s">
        <v>996</v>
      </c>
      <c r="M490" s="649"/>
      <c r="N490" s="629" t="s">
        <v>981</v>
      </c>
      <c r="O490" s="650"/>
      <c r="P490" s="651" t="s">
        <v>996</v>
      </c>
      <c r="Q490" s="649"/>
      <c r="U490" s="520"/>
      <c r="AC490" s="218"/>
      <c r="AH490" s="218"/>
    </row>
    <row r="491" spans="1:34" ht="32.25" customHeight="1" thickBot="1" x14ac:dyDescent="0.3">
      <c r="A491" s="649"/>
      <c r="B491" s="629" t="s">
        <v>983</v>
      </c>
      <c r="C491" s="665"/>
      <c r="D491" s="649"/>
      <c r="F491" s="637" t="s">
        <v>985</v>
      </c>
      <c r="G491" s="629" t="s">
        <v>983</v>
      </c>
      <c r="H491" s="636"/>
      <c r="J491" s="637" t="s">
        <v>985</v>
      </c>
      <c r="K491" s="629" t="s">
        <v>983</v>
      </c>
      <c r="L491" s="636"/>
      <c r="M491" s="649"/>
      <c r="N491" s="637" t="s">
        <v>985</v>
      </c>
      <c r="O491" s="629" t="s">
        <v>983</v>
      </c>
      <c r="P491" s="636"/>
      <c r="Q491" s="649"/>
      <c r="U491" s="520"/>
      <c r="AC491" s="218"/>
      <c r="AH491" s="218"/>
    </row>
    <row r="492" spans="1:34" ht="41.25" customHeight="1" thickBot="1" x14ac:dyDescent="0.3">
      <c r="A492" s="1114" t="s">
        <v>1001</v>
      </c>
      <c r="B492" s="1114"/>
      <c r="C492" s="734">
        <f ca="1">VLOOKUP(A470&amp;F470,PTS_SP,2,FALSE)</f>
        <v>0</v>
      </c>
      <c r="D492" s="649"/>
      <c r="F492" s="1115" t="s">
        <v>986</v>
      </c>
      <c r="G492" s="1116"/>
      <c r="H492" s="636"/>
      <c r="I492" s="1115" t="s">
        <v>986</v>
      </c>
      <c r="J492" s="1115"/>
      <c r="K492" s="636"/>
      <c r="L492" s="649"/>
      <c r="O492" s="634" t="s">
        <v>987</v>
      </c>
      <c r="P492" s="636"/>
      <c r="Q492" s="649"/>
      <c r="U492" s="520"/>
      <c r="AC492" s="218"/>
      <c r="AH492" s="218"/>
    </row>
    <row r="493" spans="1:34" ht="47.25" customHeight="1" thickBot="1" x14ac:dyDescent="0.3">
      <c r="A493" s="1115" t="s">
        <v>986</v>
      </c>
      <c r="B493" s="1116"/>
      <c r="C493" s="644"/>
      <c r="D493" s="649"/>
      <c r="E493" s="649"/>
      <c r="F493" s="649"/>
      <c r="G493" s="649"/>
      <c r="H493" s="649"/>
      <c r="I493" s="649"/>
      <c r="J493" s="649"/>
      <c r="K493" s="649"/>
      <c r="L493" s="649"/>
      <c r="N493" s="634"/>
      <c r="O493" s="634" t="s">
        <v>997</v>
      </c>
      <c r="P493" s="673"/>
      <c r="Q493" s="674"/>
      <c r="R493" s="663" t="s">
        <v>998</v>
      </c>
      <c r="U493" s="520"/>
      <c r="AC493" s="218"/>
      <c r="AH493" s="218"/>
    </row>
    <row r="494" spans="1:34" ht="36" customHeight="1" thickBot="1" x14ac:dyDescent="0.3">
      <c r="A494" s="649"/>
      <c r="B494" s="649"/>
      <c r="C494" s="649"/>
      <c r="D494" s="649"/>
      <c r="E494" s="672" t="s">
        <v>1002</v>
      </c>
      <c r="F494" s="667"/>
      <c r="G494" s="667"/>
      <c r="H494" s="668"/>
      <c r="I494" s="649"/>
      <c r="J494" s="672" t="s">
        <v>1003</v>
      </c>
      <c r="K494" s="667"/>
      <c r="L494" s="667"/>
      <c r="M494" s="668"/>
      <c r="O494" s="675" t="s">
        <v>1004</v>
      </c>
      <c r="P494" s="676" t="s">
        <v>999</v>
      </c>
      <c r="Q494" s="677" t="s">
        <v>1000</v>
      </c>
      <c r="R494" s="649"/>
      <c r="U494" s="520"/>
      <c r="AC494" s="218"/>
      <c r="AH494" s="218"/>
    </row>
    <row r="495" spans="1:34" ht="36" customHeight="1" thickBot="1" x14ac:dyDescent="0.25">
      <c r="E495" s="669"/>
      <c r="F495" s="670"/>
      <c r="G495" s="670"/>
      <c r="H495" s="671"/>
      <c r="J495" s="669"/>
      <c r="K495" s="670"/>
      <c r="L495" s="670"/>
      <c r="M495" s="671"/>
      <c r="U495" s="520"/>
      <c r="AA495" s="679"/>
      <c r="AB495" s="679"/>
      <c r="AC495" s="218"/>
      <c r="AH495" s="218"/>
    </row>
    <row r="496" spans="1:34" s="218" customFormat="1" ht="23.25" customHeight="1" x14ac:dyDescent="0.2">
      <c r="A496" s="217"/>
      <c r="B496" s="217"/>
      <c r="C496" s="217"/>
      <c r="D496" s="217"/>
      <c r="E496" s="217"/>
      <c r="F496" s="217"/>
      <c r="G496" s="217"/>
      <c r="H496" s="217"/>
      <c r="I496" s="217"/>
      <c r="J496" s="217"/>
      <c r="K496" s="217"/>
      <c r="L496" s="217"/>
      <c r="M496" s="217"/>
      <c r="N496" s="684"/>
      <c r="O496" s="684"/>
      <c r="P496" s="684"/>
      <c r="Q496" s="684"/>
      <c r="R496" s="217"/>
      <c r="S496" s="217"/>
      <c r="T496" s="217"/>
      <c r="U496" s="520"/>
      <c r="V496" s="679"/>
      <c r="W496" s="679"/>
      <c r="X496" s="679"/>
      <c r="Y496" s="679"/>
      <c r="Z496" s="679"/>
      <c r="AA496" s="662"/>
      <c r="AB496" s="662"/>
      <c r="AD496" s="217"/>
      <c r="AE496" s="217"/>
      <c r="AF496" s="217"/>
      <c r="AG496" s="217"/>
    </row>
    <row r="497" spans="1:34" ht="19.5" customHeight="1" thickBot="1" x14ac:dyDescent="0.25">
      <c r="M497" s="500"/>
      <c r="N497" s="520">
        <f ca="1">INDIRECT("AE"&amp;O497)</f>
        <v>0</v>
      </c>
      <c r="O497" s="500">
        <f>P498+2</f>
        <v>19</v>
      </c>
      <c r="P497" s="501">
        <f ca="1">INDIRECT("AF"&amp;O497)</f>
        <v>0</v>
      </c>
      <c r="Q497" s="500"/>
      <c r="R497" s="500"/>
      <c r="T497" s="679"/>
      <c r="U497" s="679"/>
      <c r="V497" s="679"/>
      <c r="W497" s="679"/>
      <c r="X497" s="679"/>
      <c r="Y497" s="679"/>
      <c r="Z497" s="679"/>
      <c r="AA497" s="679"/>
      <c r="AB497" s="679"/>
      <c r="AC497" s="218"/>
      <c r="AH497" s="218"/>
    </row>
    <row r="498" spans="1:34" s="218" customFormat="1" ht="36" thickBot="1" x14ac:dyDescent="0.25">
      <c r="A498" s="576" t="s">
        <v>546</v>
      </c>
      <c r="B498" s="402" t="str">
        <f>B467</f>
        <v>D3</v>
      </c>
      <c r="D498" s="661" t="s">
        <v>628</v>
      </c>
      <c r="E498" s="660">
        <f ca="1">INDIRECT("AD"&amp;O497)</f>
        <v>0</v>
      </c>
      <c r="F498" s="705" t="str">
        <f>"   "&amp;Championnat</f>
        <v xml:space="preserve">   Championnat de France de Tir à l'ARC</v>
      </c>
      <c r="O498" s="502" t="s">
        <v>849</v>
      </c>
      <c r="P498" s="503">
        <f>P467+1</f>
        <v>17</v>
      </c>
      <c r="R498" s="254"/>
      <c r="S498" s="254"/>
      <c r="T498" s="681"/>
      <c r="U498" s="680"/>
      <c r="V498" s="681"/>
      <c r="X498" s="662"/>
      <c r="Y498" s="662"/>
      <c r="Z498" s="662"/>
      <c r="AA498" s="662"/>
      <c r="AB498" s="662"/>
      <c r="AD498" s="217"/>
      <c r="AE498" s="217"/>
      <c r="AF498" s="217"/>
      <c r="AG498" s="217"/>
    </row>
    <row r="499" spans="1:34" ht="35.25" x14ac:dyDescent="0.2">
      <c r="A499" s="706" t="str">
        <f>CATEG_IMPORTEE</f>
        <v>Collèges Mixtes Etablissement</v>
      </c>
      <c r="J499" s="592" t="str">
        <f>LIEU&amp;" du "&amp;DATE</f>
        <v>L’Isle sur la Sorgue du 27 au 31 mars 2023</v>
      </c>
      <c r="R499" s="254"/>
      <c r="S499" s="254"/>
      <c r="T499" s="681"/>
      <c r="U499" s="680"/>
      <c r="V499" s="681"/>
      <c r="W499" s="679"/>
      <c r="X499" s="679"/>
      <c r="Y499" s="679"/>
      <c r="Z499" s="679"/>
      <c r="AA499" s="679"/>
      <c r="AB499" s="679"/>
      <c r="AC499" s="218"/>
      <c r="AH499" s="218"/>
    </row>
    <row r="500" spans="1:34" ht="24" customHeight="1" thickBot="1" x14ac:dyDescent="0.25">
      <c r="A500" s="648" t="s">
        <v>0</v>
      </c>
      <c r="B500" s="648"/>
      <c r="C500" s="648"/>
      <c r="D500" s="648"/>
      <c r="F500" s="1124" t="s">
        <v>1006</v>
      </c>
      <c r="G500" s="1125"/>
      <c r="H500" s="1125"/>
      <c r="J500" s="648" t="s">
        <v>0</v>
      </c>
      <c r="O500" s="1093" t="s">
        <v>1005</v>
      </c>
      <c r="P500" s="1093"/>
      <c r="R500" s="254"/>
      <c r="S500" s="254"/>
      <c r="T500" s="681"/>
      <c r="U500" s="680"/>
      <c r="V500" s="681"/>
      <c r="W500" s="679"/>
      <c r="X500" s="679"/>
      <c r="Y500" s="679"/>
      <c r="Z500" s="679"/>
      <c r="AA500" s="679"/>
      <c r="AB500" s="679"/>
      <c r="AC500" s="218"/>
      <c r="AH500" s="218"/>
    </row>
    <row r="501" spans="1:34" ht="23.25" customHeight="1" thickBot="1" x14ac:dyDescent="0.25">
      <c r="A501" s="657" t="str">
        <f ca="1">IFERROR(VLOOKUP(N497,Num_AS,2,FALSE),"")</f>
        <v/>
      </c>
      <c r="B501" s="658"/>
      <c r="C501" s="658"/>
      <c r="D501" s="658"/>
      <c r="E501" s="658"/>
      <c r="F501" s="1117" t="str">
        <f ca="1">IFERROR(VLOOKUP(N497,Num_AS,3,FALSE),"")</f>
        <v/>
      </c>
      <c r="G501" s="1118"/>
      <c r="H501" s="1119"/>
      <c r="I501" s="219" t="s">
        <v>547</v>
      </c>
      <c r="J501" s="678" t="str">
        <f ca="1">IFERROR(VLOOKUP(P497,Num_AS,2,FALSE),"")</f>
        <v/>
      </c>
      <c r="K501" s="664"/>
      <c r="L501" s="664"/>
      <c r="M501" s="664"/>
      <c r="N501" s="1120" t="str">
        <f ca="1">IFERROR(VLOOKUP(P497,Num_AS,3,FALSE),"")</f>
        <v/>
      </c>
      <c r="O501" s="1121"/>
      <c r="P501" s="1122"/>
      <c r="R501" s="254"/>
      <c r="S501" s="254"/>
      <c r="T501" s="681"/>
      <c r="U501" s="680"/>
      <c r="V501" s="681"/>
      <c r="W501" s="679"/>
      <c r="X501" s="679"/>
      <c r="Y501" s="679"/>
      <c r="Z501" s="679"/>
      <c r="AA501" s="679"/>
      <c r="AB501" s="679"/>
      <c r="AC501" s="218"/>
      <c r="AH501" s="218"/>
    </row>
    <row r="502" spans="1:34" ht="20.100000000000001" customHeight="1" thickBot="1" x14ac:dyDescent="0.25">
      <c r="E502" s="219"/>
      <c r="F502" s="1107" t="str">
        <f ca="1">IFERROR(VLOOKUP(N497,Num_AS,4,FALSE),"")</f>
        <v/>
      </c>
      <c r="G502" s="1108"/>
      <c r="H502" s="1109"/>
      <c r="N502" s="1110" t="str">
        <f ca="1">IFERROR(VLOOKUP(P497,Num_AS,4,FALSE),"")</f>
        <v/>
      </c>
      <c r="O502" s="1111"/>
      <c r="P502" s="1112"/>
      <c r="R502" s="254"/>
      <c r="S502" s="254"/>
      <c r="T502" s="681"/>
      <c r="U502" s="680"/>
      <c r="V502" s="681"/>
      <c r="W502" s="679"/>
      <c r="X502" s="679"/>
      <c r="Y502" s="679"/>
      <c r="Z502" s="679"/>
      <c r="AA502" s="679"/>
      <c r="AB502" s="679"/>
      <c r="AC502" s="218"/>
      <c r="AH502" s="218"/>
    </row>
    <row r="503" spans="1:34" ht="18" customHeight="1" thickBot="1" x14ac:dyDescent="0.25">
      <c r="A503" s="1123" t="s">
        <v>548</v>
      </c>
      <c r="B503" s="1123"/>
      <c r="C503" s="1123"/>
      <c r="D503" s="1123"/>
      <c r="E503" s="219"/>
      <c r="F503" s="219"/>
      <c r="G503" s="219"/>
      <c r="H503" s="219"/>
      <c r="I503" s="219"/>
      <c r="J503" s="219"/>
      <c r="K503" s="219"/>
      <c r="L503" s="219"/>
      <c r="M503" s="219"/>
      <c r="N503" s="219"/>
      <c r="O503" s="219"/>
      <c r="P503" s="219"/>
      <c r="R503" s="254"/>
      <c r="S503" s="254"/>
      <c r="T503" s="681"/>
      <c r="U503" s="680"/>
      <c r="V503" s="681"/>
      <c r="W503" s="679"/>
      <c r="X503" s="679"/>
      <c r="Y503" s="679"/>
      <c r="Z503" s="679"/>
      <c r="AA503" s="679"/>
      <c r="AB503" s="679"/>
      <c r="AC503" s="218"/>
      <c r="AH503" s="218"/>
    </row>
    <row r="504" spans="1:34" ht="24" customHeight="1" thickTop="1" thickBot="1" x14ac:dyDescent="0.25">
      <c r="A504" s="1126" t="s">
        <v>549</v>
      </c>
      <c r="B504" s="1127"/>
      <c r="C504" s="1127"/>
      <c r="D504" s="1128"/>
      <c r="E504" s="685" t="s">
        <v>480</v>
      </c>
      <c r="F504" s="685" t="s">
        <v>550</v>
      </c>
      <c r="G504" s="686" t="s">
        <v>551</v>
      </c>
      <c r="H504" s="687" t="s">
        <v>779</v>
      </c>
      <c r="J504" s="702" t="s">
        <v>549</v>
      </c>
      <c r="K504" s="703"/>
      <c r="L504" s="703"/>
      <c r="M504" s="704"/>
      <c r="N504" s="685" t="s">
        <v>480</v>
      </c>
      <c r="O504" s="685" t="s">
        <v>550</v>
      </c>
      <c r="P504" s="686" t="s">
        <v>551</v>
      </c>
      <c r="Q504" s="687" t="s">
        <v>779</v>
      </c>
      <c r="R504" s="254"/>
      <c r="S504" s="254"/>
      <c r="T504" s="681"/>
      <c r="U504" s="680"/>
      <c r="V504" s="681"/>
      <c r="W504" s="679"/>
      <c r="X504" s="679"/>
      <c r="Y504" s="679"/>
      <c r="Z504" s="679"/>
      <c r="AA504" s="679"/>
      <c r="AB504" s="679"/>
      <c r="AC504" s="218"/>
      <c r="AH504" s="218"/>
    </row>
    <row r="505" spans="1:34" ht="24.75" customHeight="1" x14ac:dyDescent="0.2">
      <c r="A505" s="659" t="str">
        <f ca="1">IFERROR(VLOOKUP(N497,Num_AS,6,FALSE),"")</f>
        <v/>
      </c>
      <c r="B505" s="588"/>
      <c r="C505" s="653" t="str">
        <f ca="1">IFERROR(VLOOKUP(N497,Num_AS,7,FALSE),"")</f>
        <v/>
      </c>
      <c r="D505" s="652"/>
      <c r="E505" s="654" t="str">
        <f ca="1">IFERROR(VLOOKUP(N497,Num_AS,10,FALSE),"")</f>
        <v/>
      </c>
      <c r="F505" s="654" t="str">
        <f ca="1">IFERROR(VLOOKUP(N497,Num_AS,9,FALSE),"")</f>
        <v/>
      </c>
      <c r="G505" s="655" t="str">
        <f ca="1">IFERROR(VLOOKUP(N497,Num_AS,11,FALSE),"")</f>
        <v/>
      </c>
      <c r="H505" s="688">
        <f ca="1">E498</f>
        <v>0</v>
      </c>
      <c r="J505" s="659" t="str">
        <f ca="1">IFERROR(VLOOKUP(N497,Num_AS,18,FALSE),"")</f>
        <v/>
      </c>
      <c r="K505" s="588"/>
      <c r="L505" s="653" t="str">
        <f ca="1">IFERROR(VLOOKUP(N497,Num_AS,19,FALSE),"")</f>
        <v/>
      </c>
      <c r="M505" s="647"/>
      <c r="N505" s="656" t="str">
        <f ca="1">IFERROR(VLOOKUP(N497,Num_AS,22,FALSE),"")</f>
        <v/>
      </c>
      <c r="O505" s="654" t="str">
        <f ca="1">IFERROR(VLOOKUP(N497,Num_AS,21,FALSE),"")</f>
        <v/>
      </c>
      <c r="P505" s="682" t="str">
        <f ca="1">IFERROR(VLOOKUP(N497,Num_AS,23,FALSE),"")</f>
        <v/>
      </c>
      <c r="Q505" s="688">
        <f ca="1">E498</f>
        <v>0</v>
      </c>
      <c r="R505" s="254"/>
      <c r="S505" s="254"/>
      <c r="T505" s="681"/>
      <c r="U505" s="680"/>
      <c r="V505" s="681"/>
      <c r="W505" s="679"/>
      <c r="X505" s="679"/>
      <c r="Y505" s="679"/>
      <c r="Z505" s="679"/>
      <c r="AA505" s="679"/>
      <c r="AB505" s="679"/>
      <c r="AC505" s="218"/>
      <c r="AH505" s="218"/>
    </row>
    <row r="506" spans="1:34" ht="24.75" customHeight="1" thickBot="1" x14ac:dyDescent="0.25">
      <c r="A506" s="689" t="str">
        <f ca="1">IFERROR(VLOOKUP(N497,Num_AS,12,FALSE),"")</f>
        <v/>
      </c>
      <c r="B506" s="690"/>
      <c r="C506" s="691" t="str">
        <f ca="1">IFERROR(VLOOKUP(N497,Num_AS,13,FALSE),"")</f>
        <v/>
      </c>
      <c r="D506" s="692"/>
      <c r="E506" s="693" t="str">
        <f ca="1">IFERROR(VLOOKUP(N497,Num_AS,16,FALSE),"")</f>
        <v/>
      </c>
      <c r="F506" s="694" t="str">
        <f ca="1">IFERROR(VLOOKUP(N497,Num_AS,15,FALSE),"")</f>
        <v/>
      </c>
      <c r="G506" s="695" t="str">
        <f ca="1">IFERROR(VLOOKUP(N497,Num_AS,17,FALSE),"")</f>
        <v/>
      </c>
      <c r="H506" s="700">
        <f ca="1">E498</f>
        <v>0</v>
      </c>
      <c r="J506" s="689" t="str">
        <f ca="1">IFERROR(VLOOKUP(N497,Num_AS,24,FALSE),"")</f>
        <v/>
      </c>
      <c r="K506" s="690"/>
      <c r="L506" s="691" t="str">
        <f ca="1">IFERROR(VLOOKUP(N497,Num_AS,25,FALSE),"")</f>
        <v/>
      </c>
      <c r="M506" s="697"/>
      <c r="N506" s="698" t="str">
        <f ca="1">IFERROR(VLOOKUP(N497,Num_AS,28,FALSE),"")</f>
        <v/>
      </c>
      <c r="O506" s="694" t="str">
        <f ca="1">IFERROR(VLOOKUP(N497,Num_AS,27,FALSE),"")</f>
        <v/>
      </c>
      <c r="P506" s="699" t="str">
        <f ca="1">IFERROR(VLOOKUP(N497,Num_AS,29,FALSE),"")</f>
        <v/>
      </c>
      <c r="Q506" s="700">
        <f ca="1">E498</f>
        <v>0</v>
      </c>
      <c r="R506" s="254"/>
      <c r="S506" s="254"/>
      <c r="T506" s="681"/>
      <c r="U506" s="680"/>
      <c r="V506" s="681"/>
      <c r="W506" s="681"/>
      <c r="X506" s="681"/>
      <c r="Y506" s="681"/>
      <c r="Z506" s="679"/>
      <c r="AA506" s="679"/>
      <c r="AB506" s="679"/>
      <c r="AC506" s="218"/>
      <c r="AH506" s="218"/>
    </row>
    <row r="507" spans="1:34" ht="12.75" customHeight="1" thickTop="1" x14ac:dyDescent="0.2">
      <c r="A507" s="701"/>
      <c r="B507" s="249"/>
      <c r="C507" s="701"/>
      <c r="D507" s="701"/>
      <c r="E507" s="196"/>
      <c r="F507" s="196"/>
      <c r="G507" s="249"/>
      <c r="H507" s="219"/>
      <c r="I507" s="701"/>
      <c r="J507" s="249"/>
      <c r="K507" s="701"/>
      <c r="L507" s="249"/>
      <c r="M507" s="196"/>
      <c r="N507" s="196"/>
      <c r="O507" s="249"/>
      <c r="P507" s="219"/>
      <c r="R507" s="254"/>
      <c r="S507" s="254"/>
      <c r="T507" s="681"/>
      <c r="U507" s="680"/>
      <c r="V507" s="681"/>
      <c r="W507" s="681"/>
      <c r="X507" s="681"/>
      <c r="Y507" s="681"/>
      <c r="Z507" s="679"/>
      <c r="AA507" s="679"/>
      <c r="AB507" s="679"/>
      <c r="AC507" s="218"/>
      <c r="AH507" s="218"/>
    </row>
    <row r="508" spans="1:34" ht="37.5" customHeight="1" x14ac:dyDescent="0.2">
      <c r="A508" s="1113" t="s">
        <v>909</v>
      </c>
      <c r="B508" s="1113"/>
      <c r="C508" s="1113"/>
      <c r="F508" s="1113" t="s">
        <v>910</v>
      </c>
      <c r="G508" s="1113"/>
      <c r="H508" s="1113"/>
      <c r="J508" s="1113" t="s">
        <v>911</v>
      </c>
      <c r="K508" s="1113"/>
      <c r="L508" s="1113"/>
      <c r="N508" s="1113" t="s">
        <v>912</v>
      </c>
      <c r="O508" s="1113"/>
      <c r="P508" s="1113"/>
      <c r="R508" s="254"/>
      <c r="S508" s="254"/>
      <c r="T508" s="681"/>
      <c r="U508" s="680"/>
      <c r="V508" s="679"/>
      <c r="W508" s="679"/>
      <c r="X508" s="679"/>
      <c r="Y508" s="679"/>
      <c r="Z508" s="679"/>
      <c r="AA508" s="679"/>
      <c r="AB508" s="679"/>
      <c r="AC508" s="218"/>
      <c r="AH508" s="218"/>
    </row>
    <row r="509" spans="1:34" ht="37.5" customHeight="1" x14ac:dyDescent="0.25">
      <c r="A509" s="629" t="s">
        <v>980</v>
      </c>
      <c r="B509" s="629" t="s">
        <v>981</v>
      </c>
      <c r="C509" s="636" t="s">
        <v>780</v>
      </c>
      <c r="D509" s="649"/>
      <c r="F509" s="629" t="s">
        <v>980</v>
      </c>
      <c r="G509" s="629" t="s">
        <v>981</v>
      </c>
      <c r="H509" s="636" t="s">
        <v>780</v>
      </c>
      <c r="J509" s="629" t="s">
        <v>980</v>
      </c>
      <c r="K509" s="629" t="s">
        <v>981</v>
      </c>
      <c r="L509" s="636" t="s">
        <v>780</v>
      </c>
      <c r="M509" s="649"/>
      <c r="N509" s="629" t="s">
        <v>980</v>
      </c>
      <c r="O509" s="629" t="s">
        <v>981</v>
      </c>
      <c r="P509" s="636" t="s">
        <v>780</v>
      </c>
      <c r="T509" s="679"/>
      <c r="U509" s="680"/>
      <c r="V509" s="679"/>
      <c r="W509" s="679"/>
      <c r="X509" s="679"/>
      <c r="Y509" s="679"/>
      <c r="Z509" s="679"/>
      <c r="AA509" s="679"/>
      <c r="AB509" s="679"/>
      <c r="AC509" s="218"/>
      <c r="AH509" s="218"/>
    </row>
    <row r="510" spans="1:34" ht="32.25" customHeight="1" x14ac:dyDescent="0.25">
      <c r="A510" s="666">
        <v>10</v>
      </c>
      <c r="B510" s="636"/>
      <c r="C510" s="636"/>
      <c r="D510" s="649"/>
      <c r="F510" s="666">
        <v>10</v>
      </c>
      <c r="G510" s="636"/>
      <c r="H510" s="636"/>
      <c r="J510" s="666">
        <v>10</v>
      </c>
      <c r="K510" s="636"/>
      <c r="L510" s="636"/>
      <c r="M510" s="649"/>
      <c r="N510" s="666">
        <v>10</v>
      </c>
      <c r="O510" s="636"/>
      <c r="P510" s="636"/>
      <c r="T510" s="679"/>
      <c r="U510" s="680"/>
      <c r="V510" s="679"/>
      <c r="W510" s="679"/>
      <c r="X510" s="679"/>
      <c r="Y510" s="679"/>
      <c r="Z510" s="679"/>
      <c r="AA510" s="679"/>
      <c r="AB510" s="679"/>
      <c r="AC510" s="218"/>
      <c r="AH510" s="218"/>
    </row>
    <row r="511" spans="1:34" ht="32.25" customHeight="1" x14ac:dyDescent="0.25">
      <c r="A511" s="666">
        <v>9</v>
      </c>
      <c r="B511" s="636"/>
      <c r="C511" s="636"/>
      <c r="D511" s="649"/>
      <c r="F511" s="666">
        <v>9</v>
      </c>
      <c r="G511" s="636"/>
      <c r="H511" s="636"/>
      <c r="J511" s="666">
        <v>9</v>
      </c>
      <c r="K511" s="636"/>
      <c r="L511" s="636"/>
      <c r="M511" s="649"/>
      <c r="N511" s="666">
        <v>9</v>
      </c>
      <c r="O511" s="636"/>
      <c r="P511" s="636"/>
      <c r="T511" s="679"/>
      <c r="U511" s="680"/>
      <c r="V511" s="679"/>
      <c r="W511" s="679"/>
      <c r="X511" s="679"/>
      <c r="Y511" s="679"/>
      <c r="Z511" s="679"/>
      <c r="AA511" s="679"/>
      <c r="AB511" s="679"/>
      <c r="AC511" s="218"/>
      <c r="AH511" s="218"/>
    </row>
    <row r="512" spans="1:34" ht="32.25" customHeight="1" x14ac:dyDescent="0.25">
      <c r="A512" s="666">
        <v>8</v>
      </c>
      <c r="B512" s="636"/>
      <c r="C512" s="636"/>
      <c r="D512" s="649"/>
      <c r="F512" s="666">
        <v>8</v>
      </c>
      <c r="G512" s="636"/>
      <c r="H512" s="636"/>
      <c r="J512" s="666">
        <v>8</v>
      </c>
      <c r="K512" s="636"/>
      <c r="L512" s="636"/>
      <c r="M512" s="649"/>
      <c r="N512" s="666">
        <v>8</v>
      </c>
      <c r="O512" s="636"/>
      <c r="P512" s="636"/>
      <c r="T512" s="679"/>
      <c r="U512" s="680"/>
      <c r="V512" s="679"/>
      <c r="W512" s="679"/>
      <c r="X512" s="679"/>
      <c r="Y512" s="679"/>
      <c r="Z512" s="679"/>
      <c r="AA512" s="679"/>
      <c r="AB512" s="679"/>
      <c r="AC512" s="218"/>
      <c r="AH512" s="218"/>
    </row>
    <row r="513" spans="1:34" ht="32.25" customHeight="1" x14ac:dyDescent="0.25">
      <c r="A513" s="666">
        <v>7</v>
      </c>
      <c r="B513" s="636"/>
      <c r="C513" s="636"/>
      <c r="D513" s="649"/>
      <c r="F513" s="666">
        <v>7</v>
      </c>
      <c r="G513" s="636"/>
      <c r="H513" s="636"/>
      <c r="J513" s="666">
        <v>7</v>
      </c>
      <c r="K513" s="636"/>
      <c r="L513" s="636"/>
      <c r="M513" s="649"/>
      <c r="N513" s="666">
        <v>7</v>
      </c>
      <c r="O513" s="636"/>
      <c r="P513" s="636"/>
      <c r="T513" s="679"/>
      <c r="U513" s="680"/>
      <c r="V513" s="679"/>
      <c r="W513" s="679"/>
      <c r="X513" s="679"/>
      <c r="Y513" s="679"/>
      <c r="Z513" s="679"/>
      <c r="AC513" s="218"/>
      <c r="AH513" s="218"/>
    </row>
    <row r="514" spans="1:34" ht="32.25" customHeight="1" x14ac:dyDescent="0.25">
      <c r="A514" s="666">
        <v>6</v>
      </c>
      <c r="B514" s="636"/>
      <c r="C514" s="636"/>
      <c r="D514" s="649"/>
      <c r="F514" s="666">
        <v>6</v>
      </c>
      <c r="G514" s="636"/>
      <c r="H514" s="636"/>
      <c r="J514" s="666">
        <v>6</v>
      </c>
      <c r="K514" s="636"/>
      <c r="L514" s="636"/>
      <c r="M514" s="649"/>
      <c r="N514" s="666">
        <v>6</v>
      </c>
      <c r="O514" s="636"/>
      <c r="P514" s="636"/>
      <c r="T514" s="679"/>
      <c r="U514" s="680"/>
      <c r="AC514" s="218"/>
      <c r="AH514" s="218"/>
    </row>
    <row r="515" spans="1:34" ht="32.25" customHeight="1" x14ac:dyDescent="0.25">
      <c r="A515" s="666">
        <v>5</v>
      </c>
      <c r="B515" s="636"/>
      <c r="C515" s="636"/>
      <c r="D515" s="649"/>
      <c r="F515" s="666">
        <v>5</v>
      </c>
      <c r="G515" s="636"/>
      <c r="H515" s="636"/>
      <c r="J515" s="666">
        <v>5</v>
      </c>
      <c r="K515" s="636"/>
      <c r="L515" s="636"/>
      <c r="M515" s="649"/>
      <c r="N515" s="666">
        <v>5</v>
      </c>
      <c r="O515" s="636"/>
      <c r="P515" s="636"/>
      <c r="U515" s="520"/>
      <c r="AC515" s="218"/>
      <c r="AH515" s="218"/>
    </row>
    <row r="516" spans="1:34" ht="32.25" customHeight="1" x14ac:dyDescent="0.25">
      <c r="A516" s="666">
        <v>4</v>
      </c>
      <c r="B516" s="636"/>
      <c r="C516" s="636"/>
      <c r="D516" s="649"/>
      <c r="F516" s="666">
        <v>4</v>
      </c>
      <c r="G516" s="636"/>
      <c r="H516" s="636"/>
      <c r="J516" s="666">
        <v>4</v>
      </c>
      <c r="K516" s="636"/>
      <c r="L516" s="636"/>
      <c r="M516" s="649"/>
      <c r="N516" s="666">
        <v>4</v>
      </c>
      <c r="O516" s="636"/>
      <c r="P516" s="636"/>
      <c r="U516" s="520"/>
      <c r="AC516" s="218"/>
      <c r="AH516" s="218"/>
    </row>
    <row r="517" spans="1:34" ht="32.25" customHeight="1" x14ac:dyDescent="0.25">
      <c r="A517" s="666">
        <v>3</v>
      </c>
      <c r="B517" s="636"/>
      <c r="C517" s="636"/>
      <c r="D517" s="649"/>
      <c r="F517" s="666">
        <v>3</v>
      </c>
      <c r="G517" s="636"/>
      <c r="H517" s="636"/>
      <c r="J517" s="666">
        <v>3</v>
      </c>
      <c r="K517" s="636"/>
      <c r="L517" s="636"/>
      <c r="M517" s="649"/>
      <c r="N517" s="666">
        <v>3</v>
      </c>
      <c r="O517" s="636"/>
      <c r="P517" s="636"/>
      <c r="U517" s="520"/>
      <c r="AC517" s="218"/>
      <c r="AH517" s="218"/>
    </row>
    <row r="518" spans="1:34" ht="32.25" customHeight="1" x14ac:dyDescent="0.25">
      <c r="A518" s="666">
        <v>2</v>
      </c>
      <c r="B518" s="636"/>
      <c r="C518" s="636"/>
      <c r="D518" s="649"/>
      <c r="F518" s="666">
        <v>2</v>
      </c>
      <c r="G518" s="636"/>
      <c r="H518" s="636"/>
      <c r="J518" s="666">
        <v>2</v>
      </c>
      <c r="K518" s="636"/>
      <c r="L518" s="636"/>
      <c r="M518" s="649"/>
      <c r="N518" s="666">
        <v>2</v>
      </c>
      <c r="O518" s="636"/>
      <c r="P518" s="636"/>
      <c r="U518" s="520"/>
      <c r="AC518" s="218"/>
      <c r="AH518" s="218"/>
    </row>
    <row r="519" spans="1:34" ht="32.25" customHeight="1" x14ac:dyDescent="0.25">
      <c r="A519" s="666">
        <v>1</v>
      </c>
      <c r="B519" s="636"/>
      <c r="C519" s="636"/>
      <c r="D519" s="649"/>
      <c r="F519" s="666">
        <v>1</v>
      </c>
      <c r="G519" s="636"/>
      <c r="H519" s="636"/>
      <c r="J519" s="666">
        <v>1</v>
      </c>
      <c r="K519" s="636"/>
      <c r="L519" s="636"/>
      <c r="M519" s="649"/>
      <c r="N519" s="666">
        <v>1</v>
      </c>
      <c r="O519" s="636"/>
      <c r="P519" s="636"/>
      <c r="U519" s="520"/>
      <c r="AC519" s="218"/>
      <c r="AH519" s="218"/>
    </row>
    <row r="520" spans="1:34" ht="32.25" customHeight="1" x14ac:dyDescent="0.25">
      <c r="A520" s="666" t="s">
        <v>982</v>
      </c>
      <c r="B520" s="636"/>
      <c r="C520" s="636"/>
      <c r="D520" s="649"/>
      <c r="F520" s="666" t="s">
        <v>982</v>
      </c>
      <c r="G520" s="636"/>
      <c r="H520" s="636"/>
      <c r="J520" s="666" t="s">
        <v>982</v>
      </c>
      <c r="K520" s="636"/>
      <c r="L520" s="636"/>
      <c r="M520" s="649"/>
      <c r="N520" s="666" t="s">
        <v>982</v>
      </c>
      <c r="O520" s="636"/>
      <c r="P520" s="636"/>
      <c r="U520" s="520"/>
      <c r="AC520" s="218"/>
      <c r="AH520" s="218"/>
    </row>
    <row r="521" spans="1:34" ht="32.25" customHeight="1" x14ac:dyDescent="0.25">
      <c r="A521" s="629" t="s">
        <v>981</v>
      </c>
      <c r="B521" s="650"/>
      <c r="C521" s="651" t="s">
        <v>996</v>
      </c>
      <c r="D521" s="649"/>
      <c r="F521" s="629" t="s">
        <v>981</v>
      </c>
      <c r="G521" s="650"/>
      <c r="H521" s="651" t="s">
        <v>996</v>
      </c>
      <c r="J521" s="629" t="s">
        <v>981</v>
      </c>
      <c r="K521" s="650"/>
      <c r="L521" s="651" t="s">
        <v>996</v>
      </c>
      <c r="M521" s="649"/>
      <c r="N521" s="629" t="s">
        <v>981</v>
      </c>
      <c r="O521" s="650"/>
      <c r="P521" s="651" t="s">
        <v>996</v>
      </c>
      <c r="Q521" s="649"/>
      <c r="U521" s="520"/>
      <c r="AC521" s="218"/>
      <c r="AH521" s="218"/>
    </row>
    <row r="522" spans="1:34" ht="32.25" customHeight="1" thickBot="1" x14ac:dyDescent="0.3">
      <c r="A522" s="649"/>
      <c r="B522" s="629" t="s">
        <v>983</v>
      </c>
      <c r="C522" s="665"/>
      <c r="D522" s="649"/>
      <c r="F522" s="637" t="s">
        <v>985</v>
      </c>
      <c r="G522" s="629" t="s">
        <v>983</v>
      </c>
      <c r="H522" s="636"/>
      <c r="J522" s="637" t="s">
        <v>985</v>
      </c>
      <c r="K522" s="629" t="s">
        <v>983</v>
      </c>
      <c r="L522" s="636"/>
      <c r="M522" s="649"/>
      <c r="N522" s="637" t="s">
        <v>985</v>
      </c>
      <c r="O522" s="629" t="s">
        <v>983</v>
      </c>
      <c r="P522" s="636"/>
      <c r="Q522" s="649"/>
      <c r="U522" s="520"/>
      <c r="AC522" s="218"/>
      <c r="AH522" s="218"/>
    </row>
    <row r="523" spans="1:34" ht="41.25" customHeight="1" thickBot="1" x14ac:dyDescent="0.3">
      <c r="A523" s="1114" t="s">
        <v>1001</v>
      </c>
      <c r="B523" s="1114"/>
      <c r="C523" s="734">
        <f ca="1">VLOOKUP(A501&amp;F501,PTS_SP,2,FALSE)</f>
        <v>0</v>
      </c>
      <c r="D523" s="649"/>
      <c r="F523" s="1115" t="s">
        <v>986</v>
      </c>
      <c r="G523" s="1116"/>
      <c r="H523" s="636"/>
      <c r="I523" s="1115" t="s">
        <v>986</v>
      </c>
      <c r="J523" s="1115"/>
      <c r="K523" s="636"/>
      <c r="L523" s="649"/>
      <c r="O523" s="634" t="s">
        <v>987</v>
      </c>
      <c r="P523" s="636"/>
      <c r="Q523" s="649"/>
      <c r="U523" s="520"/>
      <c r="AC523" s="218"/>
      <c r="AH523" s="218"/>
    </row>
    <row r="524" spans="1:34" ht="47.25" customHeight="1" thickBot="1" x14ac:dyDescent="0.3">
      <c r="A524" s="1115" t="s">
        <v>986</v>
      </c>
      <c r="B524" s="1116"/>
      <c r="C524" s="644"/>
      <c r="D524" s="649"/>
      <c r="E524" s="649"/>
      <c r="F524" s="649"/>
      <c r="G524" s="649"/>
      <c r="H524" s="649"/>
      <c r="I524" s="649"/>
      <c r="J524" s="649"/>
      <c r="K524" s="649"/>
      <c r="L524" s="649"/>
      <c r="N524" s="634"/>
      <c r="O524" s="634" t="s">
        <v>997</v>
      </c>
      <c r="P524" s="673"/>
      <c r="Q524" s="674"/>
      <c r="R524" s="663" t="s">
        <v>998</v>
      </c>
      <c r="U524" s="520"/>
      <c r="AC524" s="218"/>
      <c r="AH524" s="218"/>
    </row>
    <row r="525" spans="1:34" ht="36" customHeight="1" thickBot="1" x14ac:dyDescent="0.3">
      <c r="A525" s="649"/>
      <c r="B525" s="649"/>
      <c r="C525" s="649"/>
      <c r="D525" s="649"/>
      <c r="E525" s="672" t="s">
        <v>1002</v>
      </c>
      <c r="F525" s="667"/>
      <c r="G525" s="667"/>
      <c r="H525" s="668"/>
      <c r="I525" s="649"/>
      <c r="J525" s="672" t="s">
        <v>1003</v>
      </c>
      <c r="K525" s="667"/>
      <c r="L525" s="667"/>
      <c r="M525" s="668"/>
      <c r="O525" s="675" t="s">
        <v>1004</v>
      </c>
      <c r="P525" s="676" t="s">
        <v>999</v>
      </c>
      <c r="Q525" s="677" t="s">
        <v>1000</v>
      </c>
      <c r="R525" s="649"/>
      <c r="U525" s="520"/>
      <c r="AC525" s="218"/>
      <c r="AH525" s="218"/>
    </row>
    <row r="526" spans="1:34" ht="36" customHeight="1" thickBot="1" x14ac:dyDescent="0.25">
      <c r="E526" s="669"/>
      <c r="F526" s="670"/>
      <c r="G526" s="670"/>
      <c r="H526" s="671"/>
      <c r="J526" s="669"/>
      <c r="K526" s="670"/>
      <c r="L526" s="670"/>
      <c r="M526" s="671"/>
      <c r="U526" s="520"/>
      <c r="AA526" s="679"/>
      <c r="AB526" s="679"/>
      <c r="AC526" s="218"/>
      <c r="AH526" s="218"/>
    </row>
    <row r="527" spans="1:34" s="218" customFormat="1" ht="23.25" customHeight="1" x14ac:dyDescent="0.2">
      <c r="A527" s="217"/>
      <c r="B527" s="217"/>
      <c r="C527" s="217"/>
      <c r="D527" s="217"/>
      <c r="E527" s="217"/>
      <c r="F527" s="217"/>
      <c r="G527" s="217"/>
      <c r="H527" s="217"/>
      <c r="I527" s="217"/>
      <c r="J527" s="217"/>
      <c r="K527" s="217"/>
      <c r="L527" s="217"/>
      <c r="M527" s="217"/>
      <c r="N527" s="684"/>
      <c r="O527" s="684"/>
      <c r="P527" s="684"/>
      <c r="Q527" s="684"/>
      <c r="R527" s="217"/>
      <c r="S527" s="217"/>
      <c r="T527" s="217"/>
      <c r="U527" s="520"/>
      <c r="V527" s="679"/>
      <c r="W527" s="679"/>
      <c r="X527" s="679"/>
      <c r="Y527" s="679"/>
      <c r="Z527" s="679"/>
      <c r="AA527" s="662"/>
      <c r="AB527" s="662"/>
      <c r="AD527" s="217"/>
      <c r="AE527" s="217"/>
      <c r="AF527" s="217"/>
      <c r="AG527" s="217"/>
    </row>
    <row r="528" spans="1:34" ht="19.5" customHeight="1" thickBot="1" x14ac:dyDescent="0.25">
      <c r="M528" s="500"/>
      <c r="N528" s="520">
        <f ca="1">INDIRECT("AE"&amp;O528)</f>
        <v>0</v>
      </c>
      <c r="O528" s="500">
        <f>P529+2</f>
        <v>20</v>
      </c>
      <c r="P528" s="501">
        <f ca="1">INDIRECT("AF"&amp;O528)</f>
        <v>0</v>
      </c>
      <c r="Q528" s="500"/>
      <c r="R528" s="500"/>
      <c r="T528" s="679"/>
      <c r="U528" s="679"/>
      <c r="V528" s="679"/>
      <c r="W528" s="679"/>
      <c r="X528" s="679"/>
      <c r="Y528" s="679"/>
      <c r="Z528" s="679"/>
      <c r="AA528" s="679"/>
      <c r="AB528" s="679"/>
      <c r="AC528" s="218"/>
      <c r="AH528" s="218"/>
    </row>
    <row r="529" spans="1:34" s="218" customFormat="1" ht="36" thickBot="1" x14ac:dyDescent="0.25">
      <c r="A529" s="576" t="s">
        <v>546</v>
      </c>
      <c r="B529" s="402" t="str">
        <f>B498</f>
        <v>D3</v>
      </c>
      <c r="D529" s="661" t="s">
        <v>628</v>
      </c>
      <c r="E529" s="660">
        <f ca="1">INDIRECT("AD"&amp;O528)</f>
        <v>0</v>
      </c>
      <c r="F529" s="705" t="str">
        <f>"   "&amp;Championnat</f>
        <v xml:space="preserve">   Championnat de France de Tir à l'ARC</v>
      </c>
      <c r="O529" s="502" t="s">
        <v>849</v>
      </c>
      <c r="P529" s="503">
        <f>P498+1</f>
        <v>18</v>
      </c>
      <c r="R529" s="254"/>
      <c r="S529" s="254"/>
      <c r="T529" s="681"/>
      <c r="U529" s="680"/>
      <c r="V529" s="681"/>
      <c r="X529" s="662"/>
      <c r="Y529" s="662"/>
      <c r="Z529" s="662"/>
      <c r="AA529" s="662"/>
      <c r="AB529" s="662"/>
      <c r="AD529" s="217"/>
      <c r="AE529" s="217"/>
      <c r="AF529" s="217"/>
      <c r="AG529" s="217"/>
    </row>
    <row r="530" spans="1:34" ht="35.25" x14ac:dyDescent="0.2">
      <c r="A530" s="706" t="str">
        <f>CATEG_IMPORTEE</f>
        <v>Collèges Mixtes Etablissement</v>
      </c>
      <c r="J530" s="592" t="str">
        <f>LIEU&amp;" du "&amp;DATE</f>
        <v>L’Isle sur la Sorgue du 27 au 31 mars 2023</v>
      </c>
      <c r="R530" s="254"/>
      <c r="S530" s="254"/>
      <c r="T530" s="681"/>
      <c r="U530" s="680"/>
      <c r="V530" s="681"/>
      <c r="W530" s="679"/>
      <c r="X530" s="679"/>
      <c r="Y530" s="679"/>
      <c r="Z530" s="679"/>
      <c r="AA530" s="679"/>
      <c r="AB530" s="679"/>
      <c r="AC530" s="218"/>
      <c r="AH530" s="218"/>
    </row>
    <row r="531" spans="1:34" ht="24" customHeight="1" thickBot="1" x14ac:dyDescent="0.25">
      <c r="A531" s="648" t="s">
        <v>0</v>
      </c>
      <c r="B531" s="648"/>
      <c r="C531" s="648"/>
      <c r="D531" s="648"/>
      <c r="F531" s="1124" t="s">
        <v>1006</v>
      </c>
      <c r="G531" s="1125"/>
      <c r="H531" s="1125"/>
      <c r="J531" s="648" t="s">
        <v>0</v>
      </c>
      <c r="O531" s="1093" t="s">
        <v>1005</v>
      </c>
      <c r="P531" s="1093"/>
      <c r="R531" s="254"/>
      <c r="S531" s="254"/>
      <c r="T531" s="681"/>
      <c r="U531" s="680"/>
      <c r="V531" s="681"/>
      <c r="W531" s="679"/>
      <c r="X531" s="679"/>
      <c r="Y531" s="679"/>
      <c r="Z531" s="679"/>
      <c r="AA531" s="679"/>
      <c r="AB531" s="679"/>
      <c r="AC531" s="218"/>
      <c r="AH531" s="218"/>
    </row>
    <row r="532" spans="1:34" ht="23.25" customHeight="1" thickBot="1" x14ac:dyDescent="0.25">
      <c r="A532" s="657" t="str">
        <f ca="1">IFERROR(VLOOKUP(N528,Num_AS,2,FALSE),"")</f>
        <v/>
      </c>
      <c r="B532" s="658"/>
      <c r="C532" s="658"/>
      <c r="D532" s="658"/>
      <c r="E532" s="658"/>
      <c r="F532" s="1117" t="str">
        <f ca="1">IFERROR(VLOOKUP(N528,Num_AS,3,FALSE),"")</f>
        <v/>
      </c>
      <c r="G532" s="1118"/>
      <c r="H532" s="1119"/>
      <c r="I532" s="219" t="s">
        <v>547</v>
      </c>
      <c r="J532" s="678" t="str">
        <f ca="1">IFERROR(VLOOKUP(P528,Num_AS,2,FALSE),"")</f>
        <v/>
      </c>
      <c r="K532" s="664"/>
      <c r="L532" s="664"/>
      <c r="M532" s="664"/>
      <c r="N532" s="1120" t="str">
        <f ca="1">IFERROR(VLOOKUP(P528,Num_AS,3,FALSE),"")</f>
        <v/>
      </c>
      <c r="O532" s="1121"/>
      <c r="P532" s="1122"/>
      <c r="R532" s="254"/>
      <c r="S532" s="254"/>
      <c r="T532" s="681"/>
      <c r="U532" s="680"/>
      <c r="V532" s="681"/>
      <c r="W532" s="679"/>
      <c r="X532" s="679"/>
      <c r="Y532" s="679"/>
      <c r="Z532" s="679"/>
      <c r="AA532" s="679"/>
      <c r="AB532" s="679"/>
      <c r="AC532" s="218"/>
      <c r="AH532" s="218"/>
    </row>
    <row r="533" spans="1:34" ht="20.100000000000001" customHeight="1" thickBot="1" x14ac:dyDescent="0.25">
      <c r="E533" s="219"/>
      <c r="F533" s="1107" t="str">
        <f ca="1">IFERROR(VLOOKUP(N528,Num_AS,4,FALSE),"")</f>
        <v/>
      </c>
      <c r="G533" s="1108"/>
      <c r="H533" s="1109"/>
      <c r="N533" s="1110" t="str">
        <f ca="1">IFERROR(VLOOKUP(P528,Num_AS,4,FALSE),"")</f>
        <v/>
      </c>
      <c r="O533" s="1111"/>
      <c r="P533" s="1112"/>
      <c r="R533" s="254"/>
      <c r="S533" s="254"/>
      <c r="T533" s="681"/>
      <c r="U533" s="680"/>
      <c r="V533" s="681"/>
      <c r="W533" s="679"/>
      <c r="X533" s="679"/>
      <c r="Y533" s="679"/>
      <c r="Z533" s="679"/>
      <c r="AA533" s="679"/>
      <c r="AB533" s="679"/>
      <c r="AC533" s="218"/>
      <c r="AH533" s="218"/>
    </row>
    <row r="534" spans="1:34" ht="18" customHeight="1" thickBot="1" x14ac:dyDescent="0.25">
      <c r="A534" s="1123" t="s">
        <v>548</v>
      </c>
      <c r="B534" s="1123"/>
      <c r="C534" s="1123"/>
      <c r="D534" s="1123"/>
      <c r="E534" s="219"/>
      <c r="F534" s="219"/>
      <c r="G534" s="219"/>
      <c r="H534" s="219"/>
      <c r="I534" s="219"/>
      <c r="J534" s="219"/>
      <c r="K534" s="219"/>
      <c r="L534" s="219"/>
      <c r="M534" s="219"/>
      <c r="N534" s="219"/>
      <c r="O534" s="219"/>
      <c r="P534" s="219"/>
      <c r="R534" s="254"/>
      <c r="S534" s="254"/>
      <c r="T534" s="681"/>
      <c r="U534" s="680"/>
      <c r="V534" s="681"/>
      <c r="W534" s="679"/>
      <c r="X534" s="679"/>
      <c r="Y534" s="679"/>
      <c r="Z534" s="679"/>
      <c r="AA534" s="679"/>
      <c r="AB534" s="679"/>
      <c r="AC534" s="218"/>
      <c r="AH534" s="218"/>
    </row>
    <row r="535" spans="1:34" ht="24" customHeight="1" thickTop="1" thickBot="1" x14ac:dyDescent="0.25">
      <c r="A535" s="1126" t="s">
        <v>549</v>
      </c>
      <c r="B535" s="1127"/>
      <c r="C535" s="1127"/>
      <c r="D535" s="1128"/>
      <c r="E535" s="685" t="s">
        <v>480</v>
      </c>
      <c r="F535" s="685" t="s">
        <v>550</v>
      </c>
      <c r="G535" s="686" t="s">
        <v>551</v>
      </c>
      <c r="H535" s="687" t="s">
        <v>779</v>
      </c>
      <c r="J535" s="702" t="s">
        <v>549</v>
      </c>
      <c r="K535" s="703"/>
      <c r="L535" s="703"/>
      <c r="M535" s="704"/>
      <c r="N535" s="685" t="s">
        <v>480</v>
      </c>
      <c r="O535" s="685" t="s">
        <v>550</v>
      </c>
      <c r="P535" s="686" t="s">
        <v>551</v>
      </c>
      <c r="Q535" s="687" t="s">
        <v>779</v>
      </c>
      <c r="R535" s="254"/>
      <c r="S535" s="254"/>
      <c r="T535" s="681"/>
      <c r="U535" s="680"/>
      <c r="V535" s="681"/>
      <c r="W535" s="679"/>
      <c r="X535" s="679"/>
      <c r="Y535" s="679"/>
      <c r="Z535" s="679"/>
      <c r="AA535" s="679"/>
      <c r="AB535" s="679"/>
      <c r="AC535" s="218"/>
      <c r="AH535" s="218"/>
    </row>
    <row r="536" spans="1:34" ht="24.75" customHeight="1" x14ac:dyDescent="0.2">
      <c r="A536" s="659" t="str">
        <f ca="1">IFERROR(VLOOKUP(N528,Num_AS,6,FALSE),"")</f>
        <v/>
      </c>
      <c r="B536" s="588"/>
      <c r="C536" s="653" t="str">
        <f ca="1">IFERROR(VLOOKUP(N528,Num_AS,7,FALSE),"")</f>
        <v/>
      </c>
      <c r="D536" s="652"/>
      <c r="E536" s="654" t="str">
        <f ca="1">IFERROR(VLOOKUP(N528,Num_AS,10,FALSE),"")</f>
        <v/>
      </c>
      <c r="F536" s="654" t="str">
        <f ca="1">IFERROR(VLOOKUP(N528,Num_AS,9,FALSE),"")</f>
        <v/>
      </c>
      <c r="G536" s="655" t="str">
        <f ca="1">IFERROR(VLOOKUP(N528,Num_AS,11,FALSE),"")</f>
        <v/>
      </c>
      <c r="H536" s="688">
        <f ca="1">E529</f>
        <v>0</v>
      </c>
      <c r="J536" s="659" t="str">
        <f ca="1">IFERROR(VLOOKUP(N528,Num_AS,18,FALSE),"")</f>
        <v/>
      </c>
      <c r="K536" s="588"/>
      <c r="L536" s="653" t="str">
        <f ca="1">IFERROR(VLOOKUP(N528,Num_AS,19,FALSE),"")</f>
        <v/>
      </c>
      <c r="M536" s="647"/>
      <c r="N536" s="656" t="str">
        <f ca="1">IFERROR(VLOOKUP(N528,Num_AS,22,FALSE),"")</f>
        <v/>
      </c>
      <c r="O536" s="654" t="str">
        <f ca="1">IFERROR(VLOOKUP(N528,Num_AS,21,FALSE),"")</f>
        <v/>
      </c>
      <c r="P536" s="682" t="str">
        <f ca="1">IFERROR(VLOOKUP(N528,Num_AS,23,FALSE),"")</f>
        <v/>
      </c>
      <c r="Q536" s="688">
        <f ca="1">E529</f>
        <v>0</v>
      </c>
      <c r="R536" s="254"/>
      <c r="S536" s="254"/>
      <c r="T536" s="681"/>
      <c r="U536" s="680"/>
      <c r="V536" s="681"/>
      <c r="W536" s="679"/>
      <c r="X536" s="679"/>
      <c r="Y536" s="679"/>
      <c r="Z536" s="679"/>
      <c r="AA536" s="679"/>
      <c r="AB536" s="679"/>
      <c r="AC536" s="218"/>
      <c r="AH536" s="218"/>
    </row>
    <row r="537" spans="1:34" ht="24.75" customHeight="1" thickBot="1" x14ac:dyDescent="0.25">
      <c r="A537" s="689" t="str">
        <f ca="1">IFERROR(VLOOKUP(N528,Num_AS,12,FALSE),"")</f>
        <v/>
      </c>
      <c r="B537" s="690"/>
      <c r="C537" s="691" t="str">
        <f ca="1">IFERROR(VLOOKUP(N528,Num_AS,13,FALSE),"")</f>
        <v/>
      </c>
      <c r="D537" s="692"/>
      <c r="E537" s="693" t="str">
        <f ca="1">IFERROR(VLOOKUP(N528,Num_AS,16,FALSE),"")</f>
        <v/>
      </c>
      <c r="F537" s="694" t="str">
        <f ca="1">IFERROR(VLOOKUP(N528,Num_AS,15,FALSE),"")</f>
        <v/>
      </c>
      <c r="G537" s="695" t="str">
        <f ca="1">IFERROR(VLOOKUP(N528,Num_AS,17,FALSE),"")</f>
        <v/>
      </c>
      <c r="H537" s="700">
        <f ca="1">E529</f>
        <v>0</v>
      </c>
      <c r="J537" s="689" t="str">
        <f ca="1">IFERROR(VLOOKUP(N528,Num_AS,24,FALSE),"")</f>
        <v/>
      </c>
      <c r="K537" s="690"/>
      <c r="L537" s="691" t="str">
        <f ca="1">IFERROR(VLOOKUP(N528,Num_AS,25,FALSE),"")</f>
        <v/>
      </c>
      <c r="M537" s="697"/>
      <c r="N537" s="698" t="str">
        <f ca="1">IFERROR(VLOOKUP(N528,Num_AS,28,FALSE),"")</f>
        <v/>
      </c>
      <c r="O537" s="694" t="str">
        <f ca="1">IFERROR(VLOOKUP(N528,Num_AS,27,FALSE),"")</f>
        <v/>
      </c>
      <c r="P537" s="699" t="str">
        <f ca="1">IFERROR(VLOOKUP(N528,Num_AS,29,FALSE),"")</f>
        <v/>
      </c>
      <c r="Q537" s="700">
        <f ca="1">E529</f>
        <v>0</v>
      </c>
      <c r="R537" s="254"/>
      <c r="S537" s="254"/>
      <c r="T537" s="681"/>
      <c r="U537" s="680"/>
      <c r="V537" s="681"/>
      <c r="W537" s="681"/>
      <c r="X537" s="681"/>
      <c r="Y537" s="681"/>
      <c r="Z537" s="679"/>
      <c r="AA537" s="679"/>
      <c r="AB537" s="679"/>
      <c r="AC537" s="218"/>
      <c r="AH537" s="218"/>
    </row>
    <row r="538" spans="1:34" ht="12.75" customHeight="1" thickTop="1" x14ac:dyDescent="0.2">
      <c r="A538" s="701"/>
      <c r="B538" s="249"/>
      <c r="C538" s="701"/>
      <c r="D538" s="701"/>
      <c r="E538" s="196"/>
      <c r="F538" s="196"/>
      <c r="G538" s="249"/>
      <c r="H538" s="219"/>
      <c r="I538" s="701"/>
      <c r="J538" s="249"/>
      <c r="K538" s="701"/>
      <c r="L538" s="249"/>
      <c r="M538" s="196"/>
      <c r="N538" s="196"/>
      <c r="O538" s="249"/>
      <c r="P538" s="219"/>
      <c r="R538" s="254"/>
      <c r="S538" s="254"/>
      <c r="T538" s="681"/>
      <c r="U538" s="680"/>
      <c r="V538" s="681"/>
      <c r="W538" s="681"/>
      <c r="X538" s="681"/>
      <c r="Y538" s="681"/>
      <c r="Z538" s="679"/>
      <c r="AA538" s="679"/>
      <c r="AB538" s="679"/>
      <c r="AC538" s="218"/>
      <c r="AH538" s="218"/>
    </row>
    <row r="539" spans="1:34" ht="37.5" customHeight="1" x14ac:dyDescent="0.2">
      <c r="A539" s="1113" t="s">
        <v>909</v>
      </c>
      <c r="B539" s="1113"/>
      <c r="C539" s="1113"/>
      <c r="F539" s="1113" t="s">
        <v>910</v>
      </c>
      <c r="G539" s="1113"/>
      <c r="H539" s="1113"/>
      <c r="J539" s="1113" t="s">
        <v>911</v>
      </c>
      <c r="K539" s="1113"/>
      <c r="L539" s="1113"/>
      <c r="N539" s="1113" t="s">
        <v>912</v>
      </c>
      <c r="O539" s="1113"/>
      <c r="P539" s="1113"/>
      <c r="R539" s="254"/>
      <c r="S539" s="254"/>
      <c r="T539" s="681"/>
      <c r="U539" s="680"/>
      <c r="V539" s="679"/>
      <c r="W539" s="679"/>
      <c r="X539" s="679"/>
      <c r="Y539" s="679"/>
      <c r="Z539" s="679"/>
      <c r="AA539" s="679"/>
      <c r="AB539" s="679"/>
      <c r="AC539" s="218"/>
      <c r="AH539" s="218"/>
    </row>
    <row r="540" spans="1:34" ht="37.5" customHeight="1" x14ac:dyDescent="0.25">
      <c r="A540" s="629" t="s">
        <v>980</v>
      </c>
      <c r="B540" s="629" t="s">
        <v>981</v>
      </c>
      <c r="C540" s="636" t="s">
        <v>780</v>
      </c>
      <c r="D540" s="649"/>
      <c r="F540" s="629" t="s">
        <v>980</v>
      </c>
      <c r="G540" s="629" t="s">
        <v>981</v>
      </c>
      <c r="H540" s="636" t="s">
        <v>780</v>
      </c>
      <c r="J540" s="629" t="s">
        <v>980</v>
      </c>
      <c r="K540" s="629" t="s">
        <v>981</v>
      </c>
      <c r="L540" s="636" t="s">
        <v>780</v>
      </c>
      <c r="M540" s="649"/>
      <c r="N540" s="629" t="s">
        <v>980</v>
      </c>
      <c r="O540" s="629" t="s">
        <v>981</v>
      </c>
      <c r="P540" s="636" t="s">
        <v>780</v>
      </c>
      <c r="T540" s="679"/>
      <c r="U540" s="680"/>
      <c r="V540" s="679"/>
      <c r="W540" s="679"/>
      <c r="X540" s="679"/>
      <c r="Y540" s="679"/>
      <c r="Z540" s="679"/>
      <c r="AA540" s="679"/>
      <c r="AB540" s="679"/>
      <c r="AC540" s="218"/>
      <c r="AH540" s="218"/>
    </row>
    <row r="541" spans="1:34" ht="32.25" customHeight="1" x14ac:dyDescent="0.25">
      <c r="A541" s="666">
        <v>10</v>
      </c>
      <c r="B541" s="636"/>
      <c r="C541" s="636"/>
      <c r="D541" s="649"/>
      <c r="F541" s="666">
        <v>10</v>
      </c>
      <c r="G541" s="636"/>
      <c r="H541" s="636"/>
      <c r="J541" s="666">
        <v>10</v>
      </c>
      <c r="K541" s="636"/>
      <c r="L541" s="636"/>
      <c r="M541" s="649"/>
      <c r="N541" s="666">
        <v>10</v>
      </c>
      <c r="O541" s="636"/>
      <c r="P541" s="636"/>
      <c r="T541" s="679"/>
      <c r="U541" s="680"/>
      <c r="V541" s="679"/>
      <c r="W541" s="679"/>
      <c r="X541" s="679"/>
      <c r="Y541" s="679"/>
      <c r="Z541" s="679"/>
      <c r="AA541" s="679"/>
      <c r="AB541" s="679"/>
      <c r="AC541" s="218"/>
      <c r="AH541" s="218"/>
    </row>
    <row r="542" spans="1:34" ht="32.25" customHeight="1" x14ac:dyDescent="0.25">
      <c r="A542" s="666">
        <v>9</v>
      </c>
      <c r="B542" s="636"/>
      <c r="C542" s="636"/>
      <c r="D542" s="649"/>
      <c r="F542" s="666">
        <v>9</v>
      </c>
      <c r="G542" s="636"/>
      <c r="H542" s="636"/>
      <c r="J542" s="666">
        <v>9</v>
      </c>
      <c r="K542" s="636"/>
      <c r="L542" s="636"/>
      <c r="M542" s="649"/>
      <c r="N542" s="666">
        <v>9</v>
      </c>
      <c r="O542" s="636"/>
      <c r="P542" s="636"/>
      <c r="T542" s="679"/>
      <c r="U542" s="680"/>
      <c r="V542" s="679"/>
      <c r="W542" s="679"/>
      <c r="X542" s="679"/>
      <c r="Y542" s="679"/>
      <c r="Z542" s="679"/>
      <c r="AA542" s="679"/>
      <c r="AB542" s="679"/>
      <c r="AC542" s="218"/>
      <c r="AH542" s="218"/>
    </row>
    <row r="543" spans="1:34" ht="32.25" customHeight="1" x14ac:dyDescent="0.25">
      <c r="A543" s="666">
        <v>8</v>
      </c>
      <c r="B543" s="636"/>
      <c r="C543" s="636"/>
      <c r="D543" s="649"/>
      <c r="F543" s="666">
        <v>8</v>
      </c>
      <c r="G543" s="636"/>
      <c r="H543" s="636"/>
      <c r="J543" s="666">
        <v>8</v>
      </c>
      <c r="K543" s="636"/>
      <c r="L543" s="636"/>
      <c r="M543" s="649"/>
      <c r="N543" s="666">
        <v>8</v>
      </c>
      <c r="O543" s="636"/>
      <c r="P543" s="636"/>
      <c r="T543" s="679"/>
      <c r="U543" s="680"/>
      <c r="V543" s="679"/>
      <c r="W543" s="679"/>
      <c r="X543" s="679"/>
      <c r="Y543" s="679"/>
      <c r="Z543" s="679"/>
      <c r="AA543" s="679"/>
      <c r="AB543" s="679"/>
      <c r="AC543" s="218"/>
      <c r="AH543" s="218"/>
    </row>
    <row r="544" spans="1:34" ht="32.25" customHeight="1" x14ac:dyDescent="0.25">
      <c r="A544" s="666">
        <v>7</v>
      </c>
      <c r="B544" s="636"/>
      <c r="C544" s="636"/>
      <c r="D544" s="649"/>
      <c r="F544" s="666">
        <v>7</v>
      </c>
      <c r="G544" s="636"/>
      <c r="H544" s="636"/>
      <c r="J544" s="666">
        <v>7</v>
      </c>
      <c r="K544" s="636"/>
      <c r="L544" s="636"/>
      <c r="M544" s="649"/>
      <c r="N544" s="666">
        <v>7</v>
      </c>
      <c r="O544" s="636"/>
      <c r="P544" s="636"/>
      <c r="T544" s="679"/>
      <c r="U544" s="680"/>
      <c r="V544" s="679"/>
      <c r="W544" s="679"/>
      <c r="X544" s="679"/>
      <c r="Y544" s="679"/>
      <c r="Z544" s="679"/>
      <c r="AC544" s="218"/>
      <c r="AH544" s="218"/>
    </row>
    <row r="545" spans="1:34" ht="32.25" customHeight="1" x14ac:dyDescent="0.25">
      <c r="A545" s="666">
        <v>6</v>
      </c>
      <c r="B545" s="636"/>
      <c r="C545" s="636"/>
      <c r="D545" s="649"/>
      <c r="F545" s="666">
        <v>6</v>
      </c>
      <c r="G545" s="636"/>
      <c r="H545" s="636"/>
      <c r="J545" s="666">
        <v>6</v>
      </c>
      <c r="K545" s="636"/>
      <c r="L545" s="636"/>
      <c r="M545" s="649"/>
      <c r="N545" s="666">
        <v>6</v>
      </c>
      <c r="O545" s="636"/>
      <c r="P545" s="636"/>
      <c r="T545" s="679"/>
      <c r="U545" s="680"/>
      <c r="AC545" s="218"/>
      <c r="AH545" s="218"/>
    </row>
    <row r="546" spans="1:34" ht="32.25" customHeight="1" x14ac:dyDescent="0.25">
      <c r="A546" s="666">
        <v>5</v>
      </c>
      <c r="B546" s="636"/>
      <c r="C546" s="636"/>
      <c r="D546" s="649"/>
      <c r="F546" s="666">
        <v>5</v>
      </c>
      <c r="G546" s="636"/>
      <c r="H546" s="636"/>
      <c r="J546" s="666">
        <v>5</v>
      </c>
      <c r="K546" s="636"/>
      <c r="L546" s="636"/>
      <c r="M546" s="649"/>
      <c r="N546" s="666">
        <v>5</v>
      </c>
      <c r="O546" s="636"/>
      <c r="P546" s="636"/>
      <c r="U546" s="520"/>
      <c r="AC546" s="218"/>
      <c r="AH546" s="218"/>
    </row>
    <row r="547" spans="1:34" ht="32.25" customHeight="1" x14ac:dyDescent="0.25">
      <c r="A547" s="666">
        <v>4</v>
      </c>
      <c r="B547" s="636"/>
      <c r="C547" s="636"/>
      <c r="D547" s="649"/>
      <c r="F547" s="666">
        <v>4</v>
      </c>
      <c r="G547" s="636"/>
      <c r="H547" s="636"/>
      <c r="J547" s="666">
        <v>4</v>
      </c>
      <c r="K547" s="636"/>
      <c r="L547" s="636"/>
      <c r="M547" s="649"/>
      <c r="N547" s="666">
        <v>4</v>
      </c>
      <c r="O547" s="636"/>
      <c r="P547" s="636"/>
      <c r="U547" s="520"/>
      <c r="AC547" s="218"/>
      <c r="AH547" s="218"/>
    </row>
    <row r="548" spans="1:34" ht="32.25" customHeight="1" x14ac:dyDescent="0.25">
      <c r="A548" s="666">
        <v>3</v>
      </c>
      <c r="B548" s="636"/>
      <c r="C548" s="636"/>
      <c r="D548" s="649"/>
      <c r="F548" s="666">
        <v>3</v>
      </c>
      <c r="G548" s="636"/>
      <c r="H548" s="636"/>
      <c r="J548" s="666">
        <v>3</v>
      </c>
      <c r="K548" s="636"/>
      <c r="L548" s="636"/>
      <c r="M548" s="649"/>
      <c r="N548" s="666">
        <v>3</v>
      </c>
      <c r="O548" s="636"/>
      <c r="P548" s="636"/>
      <c r="U548" s="520"/>
      <c r="AC548" s="218"/>
      <c r="AH548" s="218"/>
    </row>
    <row r="549" spans="1:34" ht="32.25" customHeight="1" x14ac:dyDescent="0.25">
      <c r="A549" s="666">
        <v>2</v>
      </c>
      <c r="B549" s="636"/>
      <c r="C549" s="636"/>
      <c r="D549" s="649"/>
      <c r="F549" s="666">
        <v>2</v>
      </c>
      <c r="G549" s="636"/>
      <c r="H549" s="636"/>
      <c r="J549" s="666">
        <v>2</v>
      </c>
      <c r="K549" s="636"/>
      <c r="L549" s="636"/>
      <c r="M549" s="649"/>
      <c r="N549" s="666">
        <v>2</v>
      </c>
      <c r="O549" s="636"/>
      <c r="P549" s="636"/>
      <c r="U549" s="520"/>
      <c r="AC549" s="218"/>
      <c r="AH549" s="218"/>
    </row>
    <row r="550" spans="1:34" ht="32.25" customHeight="1" x14ac:dyDescent="0.25">
      <c r="A550" s="666">
        <v>1</v>
      </c>
      <c r="B550" s="636"/>
      <c r="C550" s="636"/>
      <c r="D550" s="649"/>
      <c r="F550" s="666">
        <v>1</v>
      </c>
      <c r="G550" s="636"/>
      <c r="H550" s="636"/>
      <c r="J550" s="666">
        <v>1</v>
      </c>
      <c r="K550" s="636"/>
      <c r="L550" s="636"/>
      <c r="M550" s="649"/>
      <c r="N550" s="666">
        <v>1</v>
      </c>
      <c r="O550" s="636"/>
      <c r="P550" s="636"/>
      <c r="U550" s="520"/>
      <c r="AC550" s="218"/>
      <c r="AH550" s="218"/>
    </row>
    <row r="551" spans="1:34" ht="32.25" customHeight="1" x14ac:dyDescent="0.25">
      <c r="A551" s="666" t="s">
        <v>982</v>
      </c>
      <c r="B551" s="636"/>
      <c r="C551" s="636"/>
      <c r="D551" s="649"/>
      <c r="F551" s="666" t="s">
        <v>982</v>
      </c>
      <c r="G551" s="636"/>
      <c r="H551" s="636"/>
      <c r="J551" s="666" t="s">
        <v>982</v>
      </c>
      <c r="K551" s="636"/>
      <c r="L551" s="636"/>
      <c r="M551" s="649"/>
      <c r="N551" s="666" t="s">
        <v>982</v>
      </c>
      <c r="O551" s="636"/>
      <c r="P551" s="636"/>
      <c r="U551" s="520"/>
      <c r="AC551" s="218"/>
      <c r="AH551" s="218"/>
    </row>
    <row r="552" spans="1:34" ht="32.25" customHeight="1" x14ac:dyDescent="0.25">
      <c r="A552" s="629" t="s">
        <v>981</v>
      </c>
      <c r="B552" s="650"/>
      <c r="C552" s="651" t="s">
        <v>996</v>
      </c>
      <c r="D552" s="649"/>
      <c r="F552" s="629" t="s">
        <v>981</v>
      </c>
      <c r="G552" s="650"/>
      <c r="H552" s="651" t="s">
        <v>996</v>
      </c>
      <c r="J552" s="629" t="s">
        <v>981</v>
      </c>
      <c r="K552" s="650"/>
      <c r="L552" s="651" t="s">
        <v>996</v>
      </c>
      <c r="M552" s="649"/>
      <c r="N552" s="629" t="s">
        <v>981</v>
      </c>
      <c r="O552" s="650"/>
      <c r="P552" s="651" t="s">
        <v>996</v>
      </c>
      <c r="Q552" s="649"/>
      <c r="U552" s="520"/>
      <c r="AC552" s="218"/>
      <c r="AH552" s="218"/>
    </row>
    <row r="553" spans="1:34" ht="32.25" customHeight="1" thickBot="1" x14ac:dyDescent="0.3">
      <c r="A553" s="649"/>
      <c r="B553" s="629" t="s">
        <v>983</v>
      </c>
      <c r="C553" s="665"/>
      <c r="D553" s="649"/>
      <c r="F553" s="637" t="s">
        <v>985</v>
      </c>
      <c r="G553" s="629" t="s">
        <v>983</v>
      </c>
      <c r="H553" s="636"/>
      <c r="J553" s="637" t="s">
        <v>985</v>
      </c>
      <c r="K553" s="629" t="s">
        <v>983</v>
      </c>
      <c r="L553" s="636"/>
      <c r="M553" s="649"/>
      <c r="N553" s="637" t="s">
        <v>985</v>
      </c>
      <c r="O553" s="629" t="s">
        <v>983</v>
      </c>
      <c r="P553" s="636"/>
      <c r="Q553" s="649"/>
      <c r="U553" s="520"/>
      <c r="AC553" s="218"/>
      <c r="AH553" s="218"/>
    </row>
    <row r="554" spans="1:34" ht="41.25" customHeight="1" thickBot="1" x14ac:dyDescent="0.3">
      <c r="A554" s="1114" t="s">
        <v>1001</v>
      </c>
      <c r="B554" s="1114"/>
      <c r="C554" s="734">
        <f ca="1">VLOOKUP(A532&amp;F532,PTS_SP,2,FALSE)</f>
        <v>0</v>
      </c>
      <c r="D554" s="649"/>
      <c r="F554" s="1115" t="s">
        <v>986</v>
      </c>
      <c r="G554" s="1116"/>
      <c r="H554" s="636"/>
      <c r="I554" s="1115" t="s">
        <v>986</v>
      </c>
      <c r="J554" s="1115"/>
      <c r="K554" s="636"/>
      <c r="L554" s="649"/>
      <c r="O554" s="634" t="s">
        <v>987</v>
      </c>
      <c r="P554" s="636"/>
      <c r="Q554" s="649"/>
      <c r="U554" s="520"/>
      <c r="AC554" s="218"/>
      <c r="AH554" s="218"/>
    </row>
    <row r="555" spans="1:34" ht="47.25" customHeight="1" thickBot="1" x14ac:dyDescent="0.3">
      <c r="A555" s="1115" t="s">
        <v>986</v>
      </c>
      <c r="B555" s="1116"/>
      <c r="C555" s="644"/>
      <c r="D555" s="649"/>
      <c r="E555" s="649"/>
      <c r="F555" s="649"/>
      <c r="G555" s="649"/>
      <c r="H555" s="649"/>
      <c r="I555" s="649"/>
      <c r="J555" s="649"/>
      <c r="K555" s="649"/>
      <c r="L555" s="649"/>
      <c r="N555" s="634"/>
      <c r="O555" s="634" t="s">
        <v>997</v>
      </c>
      <c r="P555" s="673"/>
      <c r="Q555" s="674"/>
      <c r="R555" s="663" t="s">
        <v>998</v>
      </c>
      <c r="U555" s="520"/>
      <c r="AC555" s="218"/>
      <c r="AH555" s="218"/>
    </row>
    <row r="556" spans="1:34" ht="36" customHeight="1" thickBot="1" x14ac:dyDescent="0.3">
      <c r="A556" s="649"/>
      <c r="B556" s="649"/>
      <c r="C556" s="649"/>
      <c r="D556" s="649"/>
      <c r="E556" s="672" t="s">
        <v>1002</v>
      </c>
      <c r="F556" s="667"/>
      <c r="G556" s="667"/>
      <c r="H556" s="668"/>
      <c r="I556" s="649"/>
      <c r="J556" s="672" t="s">
        <v>1003</v>
      </c>
      <c r="K556" s="667"/>
      <c r="L556" s="667"/>
      <c r="M556" s="668"/>
      <c r="O556" s="675" t="s">
        <v>1004</v>
      </c>
      <c r="P556" s="676" t="s">
        <v>999</v>
      </c>
      <c r="Q556" s="677" t="s">
        <v>1000</v>
      </c>
      <c r="R556" s="649"/>
      <c r="U556" s="520"/>
      <c r="AC556" s="218"/>
      <c r="AH556" s="218"/>
    </row>
    <row r="557" spans="1:34" ht="36" customHeight="1" thickBot="1" x14ac:dyDescent="0.25">
      <c r="E557" s="669"/>
      <c r="F557" s="670"/>
      <c r="G557" s="670"/>
      <c r="H557" s="671"/>
      <c r="J557" s="669"/>
      <c r="K557" s="670"/>
      <c r="L557" s="670"/>
      <c r="M557" s="671"/>
      <c r="U557" s="520"/>
      <c r="AA557" s="679"/>
      <c r="AB557" s="679"/>
      <c r="AC557" s="218"/>
      <c r="AH557" s="218"/>
    </row>
    <row r="558" spans="1:34" s="218" customFormat="1" ht="23.25" customHeight="1" x14ac:dyDescent="0.2">
      <c r="A558" s="217"/>
      <c r="B558" s="217"/>
      <c r="C558" s="217"/>
      <c r="D558" s="217"/>
      <c r="E558" s="217"/>
      <c r="F558" s="217"/>
      <c r="G558" s="217"/>
      <c r="H558" s="217"/>
      <c r="I558" s="217"/>
      <c r="J558" s="217"/>
      <c r="K558" s="217"/>
      <c r="L558" s="217"/>
      <c r="M558" s="217"/>
      <c r="N558" s="684"/>
      <c r="O558" s="684"/>
      <c r="P558" s="684"/>
      <c r="Q558" s="684"/>
      <c r="R558" s="217"/>
      <c r="S558" s="217"/>
      <c r="T558" s="217"/>
      <c r="U558" s="520"/>
      <c r="V558" s="679"/>
      <c r="W558" s="679"/>
      <c r="X558" s="679"/>
      <c r="Y558" s="679"/>
      <c r="Z558" s="679"/>
      <c r="AA558" s="662"/>
      <c r="AB558" s="662"/>
      <c r="AD558" s="217"/>
      <c r="AE558" s="217"/>
      <c r="AF558" s="217"/>
      <c r="AG558" s="217"/>
    </row>
    <row r="559" spans="1:34" ht="19.5" customHeight="1" thickBot="1" x14ac:dyDescent="0.25">
      <c r="M559" s="500"/>
      <c r="N559" s="520">
        <f ca="1">INDIRECT("AE"&amp;O559)</f>
        <v>0</v>
      </c>
      <c r="O559" s="500">
        <f>P560+2</f>
        <v>21</v>
      </c>
      <c r="P559" s="501">
        <f ca="1">INDIRECT("AF"&amp;O559)</f>
        <v>0</v>
      </c>
      <c r="Q559" s="500"/>
      <c r="R559" s="500"/>
      <c r="T559" s="679"/>
      <c r="U559" s="679"/>
      <c r="V559" s="679"/>
      <c r="W559" s="679"/>
      <c r="X559" s="679"/>
      <c r="Y559" s="679"/>
      <c r="Z559" s="679"/>
      <c r="AA559" s="679"/>
      <c r="AB559" s="679"/>
      <c r="AC559" s="218"/>
      <c r="AH559" s="218"/>
    </row>
    <row r="560" spans="1:34" s="218" customFormat="1" ht="36" thickBot="1" x14ac:dyDescent="0.25">
      <c r="A560" s="576" t="s">
        <v>546</v>
      </c>
      <c r="B560" s="402" t="str">
        <f>B529</f>
        <v>D3</v>
      </c>
      <c r="D560" s="661" t="s">
        <v>628</v>
      </c>
      <c r="E560" s="660">
        <f ca="1">INDIRECT("AD"&amp;O559)</f>
        <v>0</v>
      </c>
      <c r="F560" s="705" t="str">
        <f>"   "&amp;Championnat</f>
        <v xml:space="preserve">   Championnat de France de Tir à l'ARC</v>
      </c>
      <c r="O560" s="502" t="s">
        <v>849</v>
      </c>
      <c r="P560" s="503">
        <f>P529+1</f>
        <v>19</v>
      </c>
      <c r="R560" s="254"/>
      <c r="S560" s="254"/>
      <c r="T560" s="681"/>
      <c r="U560" s="680"/>
      <c r="V560" s="681"/>
      <c r="X560" s="662"/>
      <c r="Y560" s="662"/>
      <c r="Z560" s="662"/>
      <c r="AA560" s="662"/>
      <c r="AB560" s="662"/>
      <c r="AD560" s="217"/>
      <c r="AE560" s="217"/>
      <c r="AF560" s="217"/>
      <c r="AG560" s="217"/>
    </row>
    <row r="561" spans="1:34" ht="35.25" x14ac:dyDescent="0.2">
      <c r="A561" s="706" t="str">
        <f>CATEG_IMPORTEE</f>
        <v>Collèges Mixtes Etablissement</v>
      </c>
      <c r="J561" s="592" t="str">
        <f>LIEU&amp;" du "&amp;DATE</f>
        <v>L’Isle sur la Sorgue du 27 au 31 mars 2023</v>
      </c>
      <c r="R561" s="254"/>
      <c r="S561" s="254"/>
      <c r="T561" s="681"/>
      <c r="U561" s="680"/>
      <c r="V561" s="681"/>
      <c r="W561" s="679"/>
      <c r="X561" s="679"/>
      <c r="Y561" s="679"/>
      <c r="Z561" s="679"/>
      <c r="AA561" s="679"/>
      <c r="AB561" s="679"/>
      <c r="AC561" s="218"/>
      <c r="AH561" s="218"/>
    </row>
    <row r="562" spans="1:34" ht="24" customHeight="1" thickBot="1" x14ac:dyDescent="0.25">
      <c r="A562" s="648" t="s">
        <v>0</v>
      </c>
      <c r="B562" s="648"/>
      <c r="C562" s="648"/>
      <c r="D562" s="648"/>
      <c r="F562" s="1124" t="s">
        <v>1006</v>
      </c>
      <c r="G562" s="1125"/>
      <c r="H562" s="1125"/>
      <c r="J562" s="648" t="s">
        <v>0</v>
      </c>
      <c r="O562" s="1093" t="s">
        <v>1005</v>
      </c>
      <c r="P562" s="1093"/>
      <c r="R562" s="254"/>
      <c r="S562" s="254"/>
      <c r="T562" s="681"/>
      <c r="U562" s="680"/>
      <c r="V562" s="681"/>
      <c r="W562" s="679"/>
      <c r="X562" s="679"/>
      <c r="Y562" s="679"/>
      <c r="Z562" s="679"/>
      <c r="AA562" s="679"/>
      <c r="AB562" s="679"/>
      <c r="AC562" s="218"/>
      <c r="AH562" s="218"/>
    </row>
    <row r="563" spans="1:34" ht="23.25" customHeight="1" thickBot="1" x14ac:dyDescent="0.25">
      <c r="A563" s="657" t="str">
        <f ca="1">IFERROR(VLOOKUP(N559,Num_AS,2,FALSE),"")</f>
        <v/>
      </c>
      <c r="B563" s="658"/>
      <c r="C563" s="658"/>
      <c r="D563" s="658"/>
      <c r="E563" s="658"/>
      <c r="F563" s="1117" t="str">
        <f ca="1">IFERROR(VLOOKUP(N559,Num_AS,3,FALSE),"")</f>
        <v/>
      </c>
      <c r="G563" s="1118"/>
      <c r="H563" s="1119"/>
      <c r="I563" s="219" t="s">
        <v>547</v>
      </c>
      <c r="J563" s="678" t="str">
        <f ca="1">IFERROR(VLOOKUP(P559,Num_AS,2,FALSE),"")</f>
        <v/>
      </c>
      <c r="K563" s="664"/>
      <c r="L563" s="664"/>
      <c r="M563" s="664"/>
      <c r="N563" s="1120" t="str">
        <f ca="1">IFERROR(VLOOKUP(P559,Num_AS,3,FALSE),"")</f>
        <v/>
      </c>
      <c r="O563" s="1121"/>
      <c r="P563" s="1122"/>
      <c r="R563" s="254"/>
      <c r="S563" s="254"/>
      <c r="T563" s="681"/>
      <c r="U563" s="680"/>
      <c r="V563" s="681"/>
      <c r="W563" s="679"/>
      <c r="X563" s="679"/>
      <c r="Y563" s="679"/>
      <c r="Z563" s="679"/>
      <c r="AA563" s="679"/>
      <c r="AB563" s="679"/>
      <c r="AC563" s="218"/>
      <c r="AH563" s="218"/>
    </row>
    <row r="564" spans="1:34" ht="20.100000000000001" customHeight="1" thickBot="1" x14ac:dyDescent="0.25">
      <c r="E564" s="219"/>
      <c r="F564" s="1107" t="str">
        <f ca="1">IFERROR(VLOOKUP(N559,Num_AS,4,FALSE),"")</f>
        <v/>
      </c>
      <c r="G564" s="1108"/>
      <c r="H564" s="1109"/>
      <c r="N564" s="1110" t="str">
        <f ca="1">IFERROR(VLOOKUP(P559,Num_AS,4,FALSE),"")</f>
        <v/>
      </c>
      <c r="O564" s="1111"/>
      <c r="P564" s="1112"/>
      <c r="R564" s="254"/>
      <c r="S564" s="254"/>
      <c r="T564" s="681"/>
      <c r="U564" s="680"/>
      <c r="V564" s="681"/>
      <c r="W564" s="679"/>
      <c r="X564" s="679"/>
      <c r="Y564" s="679"/>
      <c r="Z564" s="679"/>
      <c r="AA564" s="679"/>
      <c r="AB564" s="679"/>
      <c r="AC564" s="218"/>
      <c r="AH564" s="218"/>
    </row>
    <row r="565" spans="1:34" ht="18" customHeight="1" thickBot="1" x14ac:dyDescent="0.25">
      <c r="A565" s="1123" t="s">
        <v>548</v>
      </c>
      <c r="B565" s="1123"/>
      <c r="C565" s="1123"/>
      <c r="D565" s="1123"/>
      <c r="E565" s="219"/>
      <c r="F565" s="219"/>
      <c r="G565" s="219"/>
      <c r="H565" s="219"/>
      <c r="I565" s="219"/>
      <c r="J565" s="219"/>
      <c r="K565" s="219"/>
      <c r="L565" s="219"/>
      <c r="M565" s="219"/>
      <c r="N565" s="219"/>
      <c r="O565" s="219"/>
      <c r="P565" s="219"/>
      <c r="R565" s="254"/>
      <c r="S565" s="254"/>
      <c r="T565" s="681"/>
      <c r="U565" s="680"/>
      <c r="V565" s="681"/>
      <c r="W565" s="679"/>
      <c r="X565" s="679"/>
      <c r="Y565" s="679"/>
      <c r="Z565" s="679"/>
      <c r="AA565" s="679"/>
      <c r="AB565" s="679"/>
      <c r="AC565" s="218"/>
      <c r="AH565" s="218"/>
    </row>
    <row r="566" spans="1:34" ht="24" customHeight="1" thickTop="1" thickBot="1" x14ac:dyDescent="0.25">
      <c r="A566" s="1126" t="s">
        <v>549</v>
      </c>
      <c r="B566" s="1127"/>
      <c r="C566" s="1127"/>
      <c r="D566" s="1128"/>
      <c r="E566" s="685" t="s">
        <v>480</v>
      </c>
      <c r="F566" s="685" t="s">
        <v>550</v>
      </c>
      <c r="G566" s="686" t="s">
        <v>551</v>
      </c>
      <c r="H566" s="687" t="s">
        <v>779</v>
      </c>
      <c r="J566" s="702" t="s">
        <v>549</v>
      </c>
      <c r="K566" s="703"/>
      <c r="L566" s="703"/>
      <c r="M566" s="704"/>
      <c r="N566" s="685" t="s">
        <v>480</v>
      </c>
      <c r="O566" s="685" t="s">
        <v>550</v>
      </c>
      <c r="P566" s="686" t="s">
        <v>551</v>
      </c>
      <c r="Q566" s="687" t="s">
        <v>779</v>
      </c>
      <c r="R566" s="254"/>
      <c r="S566" s="254"/>
      <c r="T566" s="681"/>
      <c r="U566" s="680"/>
      <c r="V566" s="681"/>
      <c r="W566" s="679"/>
      <c r="X566" s="679"/>
      <c r="Y566" s="679"/>
      <c r="Z566" s="679"/>
      <c r="AA566" s="679"/>
      <c r="AB566" s="679"/>
      <c r="AC566" s="218"/>
      <c r="AH566" s="218"/>
    </row>
    <row r="567" spans="1:34" ht="24.75" customHeight="1" x14ac:dyDescent="0.2">
      <c r="A567" s="659" t="str">
        <f ca="1">IFERROR(VLOOKUP(N559,Num_AS,6,FALSE),"")</f>
        <v/>
      </c>
      <c r="B567" s="588"/>
      <c r="C567" s="653" t="str">
        <f ca="1">IFERROR(VLOOKUP(N559,Num_AS,7,FALSE),"")</f>
        <v/>
      </c>
      <c r="D567" s="652"/>
      <c r="E567" s="654" t="str">
        <f ca="1">IFERROR(VLOOKUP(N559,Num_AS,10,FALSE),"")</f>
        <v/>
      </c>
      <c r="F567" s="654" t="str">
        <f ca="1">IFERROR(VLOOKUP(N559,Num_AS,9,FALSE),"")</f>
        <v/>
      </c>
      <c r="G567" s="655" t="str">
        <f ca="1">IFERROR(VLOOKUP(N559,Num_AS,11,FALSE),"")</f>
        <v/>
      </c>
      <c r="H567" s="688">
        <f ca="1">E560</f>
        <v>0</v>
      </c>
      <c r="J567" s="659" t="str">
        <f ca="1">IFERROR(VLOOKUP(N559,Num_AS,18,FALSE),"")</f>
        <v/>
      </c>
      <c r="K567" s="588"/>
      <c r="L567" s="653" t="str">
        <f ca="1">IFERROR(VLOOKUP(N559,Num_AS,19,FALSE),"")</f>
        <v/>
      </c>
      <c r="M567" s="647"/>
      <c r="N567" s="656" t="str">
        <f ca="1">IFERROR(VLOOKUP(N559,Num_AS,22,FALSE),"")</f>
        <v/>
      </c>
      <c r="O567" s="654" t="str">
        <f ca="1">IFERROR(VLOOKUP(N559,Num_AS,21,FALSE),"")</f>
        <v/>
      </c>
      <c r="P567" s="682" t="str">
        <f ca="1">IFERROR(VLOOKUP(N559,Num_AS,23,FALSE),"")</f>
        <v/>
      </c>
      <c r="Q567" s="688">
        <f ca="1">E560</f>
        <v>0</v>
      </c>
      <c r="R567" s="254"/>
      <c r="S567" s="254"/>
      <c r="T567" s="681"/>
      <c r="U567" s="680"/>
      <c r="V567" s="681"/>
      <c r="W567" s="679"/>
      <c r="X567" s="679"/>
      <c r="Y567" s="679"/>
      <c r="Z567" s="679"/>
      <c r="AA567" s="679"/>
      <c r="AB567" s="679"/>
      <c r="AC567" s="218"/>
      <c r="AH567" s="218"/>
    </row>
    <row r="568" spans="1:34" ht="24.75" customHeight="1" thickBot="1" x14ac:dyDescent="0.25">
      <c r="A568" s="689" t="str">
        <f ca="1">IFERROR(VLOOKUP(N559,Num_AS,12,FALSE),"")</f>
        <v/>
      </c>
      <c r="B568" s="690"/>
      <c r="C568" s="691" t="str">
        <f ca="1">IFERROR(VLOOKUP(N559,Num_AS,13,FALSE),"")</f>
        <v/>
      </c>
      <c r="D568" s="692"/>
      <c r="E568" s="693" t="str">
        <f ca="1">IFERROR(VLOOKUP(N559,Num_AS,16,FALSE),"")</f>
        <v/>
      </c>
      <c r="F568" s="694" t="str">
        <f ca="1">IFERROR(VLOOKUP(N559,Num_AS,15,FALSE),"")</f>
        <v/>
      </c>
      <c r="G568" s="695" t="str">
        <f ca="1">IFERROR(VLOOKUP(N559,Num_AS,17,FALSE),"")</f>
        <v/>
      </c>
      <c r="H568" s="700">
        <f ca="1">E560</f>
        <v>0</v>
      </c>
      <c r="J568" s="689" t="str">
        <f ca="1">IFERROR(VLOOKUP(N559,Num_AS,24,FALSE),"")</f>
        <v/>
      </c>
      <c r="K568" s="690"/>
      <c r="L568" s="691" t="str">
        <f ca="1">IFERROR(VLOOKUP(N559,Num_AS,25,FALSE),"")</f>
        <v/>
      </c>
      <c r="M568" s="697"/>
      <c r="N568" s="698" t="str">
        <f ca="1">IFERROR(VLOOKUP(N559,Num_AS,28,FALSE),"")</f>
        <v/>
      </c>
      <c r="O568" s="694" t="str">
        <f ca="1">IFERROR(VLOOKUP(N559,Num_AS,27,FALSE),"")</f>
        <v/>
      </c>
      <c r="P568" s="699" t="str">
        <f ca="1">IFERROR(VLOOKUP(N559,Num_AS,29,FALSE),"")</f>
        <v/>
      </c>
      <c r="Q568" s="700">
        <f ca="1">E560</f>
        <v>0</v>
      </c>
      <c r="R568" s="254"/>
      <c r="S568" s="254"/>
      <c r="T568" s="681"/>
      <c r="U568" s="680"/>
      <c r="V568" s="681"/>
      <c r="W568" s="681"/>
      <c r="X568" s="681"/>
      <c r="Y568" s="681"/>
      <c r="Z568" s="679"/>
      <c r="AA568" s="679"/>
      <c r="AB568" s="679"/>
      <c r="AC568" s="218"/>
      <c r="AH568" s="218"/>
    </row>
    <row r="569" spans="1:34" ht="12.75" customHeight="1" thickTop="1" x14ac:dyDescent="0.2">
      <c r="A569" s="701"/>
      <c r="B569" s="249"/>
      <c r="C569" s="701"/>
      <c r="D569" s="701"/>
      <c r="E569" s="196"/>
      <c r="F569" s="196"/>
      <c r="G569" s="249"/>
      <c r="H569" s="219"/>
      <c r="I569" s="701"/>
      <c r="J569" s="249"/>
      <c r="K569" s="701"/>
      <c r="L569" s="249"/>
      <c r="M569" s="196"/>
      <c r="N569" s="196"/>
      <c r="O569" s="249"/>
      <c r="P569" s="219"/>
      <c r="R569" s="254"/>
      <c r="S569" s="254"/>
      <c r="T569" s="681"/>
      <c r="U569" s="680"/>
      <c r="V569" s="681"/>
      <c r="W569" s="681"/>
      <c r="X569" s="681"/>
      <c r="Y569" s="681"/>
      <c r="Z569" s="679"/>
      <c r="AA569" s="679"/>
      <c r="AB569" s="679"/>
      <c r="AC569" s="218"/>
      <c r="AH569" s="218"/>
    </row>
    <row r="570" spans="1:34" ht="37.5" customHeight="1" x14ac:dyDescent="0.2">
      <c r="A570" s="1113" t="s">
        <v>909</v>
      </c>
      <c r="B570" s="1113"/>
      <c r="C570" s="1113"/>
      <c r="F570" s="1113" t="s">
        <v>910</v>
      </c>
      <c r="G570" s="1113"/>
      <c r="H570" s="1113"/>
      <c r="J570" s="1113" t="s">
        <v>911</v>
      </c>
      <c r="K570" s="1113"/>
      <c r="L570" s="1113"/>
      <c r="N570" s="1113" t="s">
        <v>912</v>
      </c>
      <c r="O570" s="1113"/>
      <c r="P570" s="1113"/>
      <c r="R570" s="254"/>
      <c r="S570" s="254"/>
      <c r="T570" s="681"/>
      <c r="U570" s="680"/>
      <c r="V570" s="679"/>
      <c r="W570" s="679"/>
      <c r="X570" s="679"/>
      <c r="Y570" s="679"/>
      <c r="Z570" s="679"/>
      <c r="AA570" s="679"/>
      <c r="AB570" s="679"/>
      <c r="AC570" s="218"/>
      <c r="AH570" s="218"/>
    </row>
    <row r="571" spans="1:34" ht="37.5" customHeight="1" x14ac:dyDescent="0.25">
      <c r="A571" s="629" t="s">
        <v>980</v>
      </c>
      <c r="B571" s="629" t="s">
        <v>981</v>
      </c>
      <c r="C571" s="636" t="s">
        <v>780</v>
      </c>
      <c r="D571" s="649"/>
      <c r="F571" s="629" t="s">
        <v>980</v>
      </c>
      <c r="G571" s="629" t="s">
        <v>981</v>
      </c>
      <c r="H571" s="636" t="s">
        <v>780</v>
      </c>
      <c r="J571" s="629" t="s">
        <v>980</v>
      </c>
      <c r="K571" s="629" t="s">
        <v>981</v>
      </c>
      <c r="L571" s="636" t="s">
        <v>780</v>
      </c>
      <c r="M571" s="649"/>
      <c r="N571" s="629" t="s">
        <v>980</v>
      </c>
      <c r="O571" s="629" t="s">
        <v>981</v>
      </c>
      <c r="P571" s="636" t="s">
        <v>780</v>
      </c>
      <c r="T571" s="679"/>
      <c r="U571" s="680"/>
      <c r="V571" s="679"/>
      <c r="W571" s="679"/>
      <c r="X571" s="679"/>
      <c r="Y571" s="679"/>
      <c r="Z571" s="679"/>
      <c r="AA571" s="679"/>
      <c r="AB571" s="679"/>
      <c r="AC571" s="218"/>
      <c r="AH571" s="218"/>
    </row>
    <row r="572" spans="1:34" ht="32.25" customHeight="1" x14ac:dyDescent="0.25">
      <c r="A572" s="666">
        <v>10</v>
      </c>
      <c r="B572" s="636"/>
      <c r="C572" s="636"/>
      <c r="D572" s="649"/>
      <c r="F572" s="666">
        <v>10</v>
      </c>
      <c r="G572" s="636"/>
      <c r="H572" s="636"/>
      <c r="J572" s="666">
        <v>10</v>
      </c>
      <c r="K572" s="636"/>
      <c r="L572" s="636"/>
      <c r="M572" s="649"/>
      <c r="N572" s="666">
        <v>10</v>
      </c>
      <c r="O572" s="636"/>
      <c r="P572" s="636"/>
      <c r="T572" s="679"/>
      <c r="U572" s="680"/>
      <c r="V572" s="679"/>
      <c r="W572" s="679"/>
      <c r="X572" s="679"/>
      <c r="Y572" s="679"/>
      <c r="Z572" s="679"/>
      <c r="AA572" s="679"/>
      <c r="AB572" s="679"/>
      <c r="AC572" s="218"/>
      <c r="AH572" s="218"/>
    </row>
    <row r="573" spans="1:34" ht="32.25" customHeight="1" x14ac:dyDescent="0.25">
      <c r="A573" s="666">
        <v>9</v>
      </c>
      <c r="B573" s="636"/>
      <c r="C573" s="636"/>
      <c r="D573" s="649"/>
      <c r="F573" s="666">
        <v>9</v>
      </c>
      <c r="G573" s="636"/>
      <c r="H573" s="636"/>
      <c r="J573" s="666">
        <v>9</v>
      </c>
      <c r="K573" s="636"/>
      <c r="L573" s="636"/>
      <c r="M573" s="649"/>
      <c r="N573" s="666">
        <v>9</v>
      </c>
      <c r="O573" s="636"/>
      <c r="P573" s="636"/>
      <c r="T573" s="679"/>
      <c r="U573" s="680"/>
      <c r="V573" s="679"/>
      <c r="W573" s="679"/>
      <c r="X573" s="679"/>
      <c r="Y573" s="679"/>
      <c r="Z573" s="679"/>
      <c r="AA573" s="679"/>
      <c r="AB573" s="679"/>
      <c r="AC573" s="218"/>
      <c r="AH573" s="218"/>
    </row>
    <row r="574" spans="1:34" ht="32.25" customHeight="1" x14ac:dyDescent="0.25">
      <c r="A574" s="666">
        <v>8</v>
      </c>
      <c r="B574" s="636"/>
      <c r="C574" s="636"/>
      <c r="D574" s="649"/>
      <c r="F574" s="666">
        <v>8</v>
      </c>
      <c r="G574" s="636"/>
      <c r="H574" s="636"/>
      <c r="J574" s="666">
        <v>8</v>
      </c>
      <c r="K574" s="636"/>
      <c r="L574" s="636"/>
      <c r="M574" s="649"/>
      <c r="N574" s="666">
        <v>8</v>
      </c>
      <c r="O574" s="636"/>
      <c r="P574" s="636"/>
      <c r="T574" s="679"/>
      <c r="U574" s="680"/>
      <c r="V574" s="679"/>
      <c r="W574" s="679"/>
      <c r="X574" s="679"/>
      <c r="Y574" s="679"/>
      <c r="Z574" s="679"/>
      <c r="AA574" s="679"/>
      <c r="AB574" s="679"/>
      <c r="AC574" s="218"/>
      <c r="AH574" s="218"/>
    </row>
    <row r="575" spans="1:34" ht="32.25" customHeight="1" x14ac:dyDescent="0.25">
      <c r="A575" s="666">
        <v>7</v>
      </c>
      <c r="B575" s="636"/>
      <c r="C575" s="636"/>
      <c r="D575" s="649"/>
      <c r="F575" s="666">
        <v>7</v>
      </c>
      <c r="G575" s="636"/>
      <c r="H575" s="636"/>
      <c r="J575" s="666">
        <v>7</v>
      </c>
      <c r="K575" s="636"/>
      <c r="L575" s="636"/>
      <c r="M575" s="649"/>
      <c r="N575" s="666">
        <v>7</v>
      </c>
      <c r="O575" s="636"/>
      <c r="P575" s="636"/>
      <c r="T575" s="679"/>
      <c r="U575" s="680"/>
      <c r="V575" s="679"/>
      <c r="W575" s="679"/>
      <c r="X575" s="679"/>
      <c r="Y575" s="679"/>
      <c r="Z575" s="679"/>
      <c r="AC575" s="218"/>
      <c r="AH575" s="218"/>
    </row>
    <row r="576" spans="1:34" ht="32.25" customHeight="1" x14ac:dyDescent="0.25">
      <c r="A576" s="666">
        <v>6</v>
      </c>
      <c r="B576" s="636"/>
      <c r="C576" s="636"/>
      <c r="D576" s="649"/>
      <c r="F576" s="666">
        <v>6</v>
      </c>
      <c r="G576" s="636"/>
      <c r="H576" s="636"/>
      <c r="J576" s="666">
        <v>6</v>
      </c>
      <c r="K576" s="636"/>
      <c r="L576" s="636"/>
      <c r="M576" s="649"/>
      <c r="N576" s="666">
        <v>6</v>
      </c>
      <c r="O576" s="636"/>
      <c r="P576" s="636"/>
      <c r="T576" s="679"/>
      <c r="U576" s="680"/>
      <c r="AC576" s="218"/>
      <c r="AH576" s="218"/>
    </row>
    <row r="577" spans="1:34" ht="32.25" customHeight="1" x14ac:dyDescent="0.25">
      <c r="A577" s="666">
        <v>5</v>
      </c>
      <c r="B577" s="636"/>
      <c r="C577" s="636"/>
      <c r="D577" s="649"/>
      <c r="F577" s="666">
        <v>5</v>
      </c>
      <c r="G577" s="636"/>
      <c r="H577" s="636"/>
      <c r="J577" s="666">
        <v>5</v>
      </c>
      <c r="K577" s="636"/>
      <c r="L577" s="636"/>
      <c r="M577" s="649"/>
      <c r="N577" s="666">
        <v>5</v>
      </c>
      <c r="O577" s="636"/>
      <c r="P577" s="636"/>
      <c r="U577" s="520"/>
      <c r="AC577" s="218"/>
      <c r="AH577" s="218"/>
    </row>
    <row r="578" spans="1:34" ht="32.25" customHeight="1" x14ac:dyDescent="0.25">
      <c r="A578" s="666">
        <v>4</v>
      </c>
      <c r="B578" s="636"/>
      <c r="C578" s="636"/>
      <c r="D578" s="649"/>
      <c r="F578" s="666">
        <v>4</v>
      </c>
      <c r="G578" s="636"/>
      <c r="H578" s="636"/>
      <c r="J578" s="666">
        <v>4</v>
      </c>
      <c r="K578" s="636"/>
      <c r="L578" s="636"/>
      <c r="M578" s="649"/>
      <c r="N578" s="666">
        <v>4</v>
      </c>
      <c r="O578" s="636"/>
      <c r="P578" s="636"/>
      <c r="U578" s="520"/>
      <c r="AC578" s="218"/>
      <c r="AH578" s="218"/>
    </row>
    <row r="579" spans="1:34" ht="32.25" customHeight="1" x14ac:dyDescent="0.25">
      <c r="A579" s="666">
        <v>3</v>
      </c>
      <c r="B579" s="636"/>
      <c r="C579" s="636"/>
      <c r="D579" s="649"/>
      <c r="F579" s="666">
        <v>3</v>
      </c>
      <c r="G579" s="636"/>
      <c r="H579" s="636"/>
      <c r="J579" s="666">
        <v>3</v>
      </c>
      <c r="K579" s="636"/>
      <c r="L579" s="636"/>
      <c r="M579" s="649"/>
      <c r="N579" s="666">
        <v>3</v>
      </c>
      <c r="O579" s="636"/>
      <c r="P579" s="636"/>
      <c r="U579" s="520"/>
      <c r="AC579" s="218"/>
      <c r="AH579" s="218"/>
    </row>
    <row r="580" spans="1:34" ht="32.25" customHeight="1" x14ac:dyDescent="0.25">
      <c r="A580" s="666">
        <v>2</v>
      </c>
      <c r="B580" s="636"/>
      <c r="C580" s="636"/>
      <c r="D580" s="649"/>
      <c r="F580" s="666">
        <v>2</v>
      </c>
      <c r="G580" s="636"/>
      <c r="H580" s="636"/>
      <c r="J580" s="666">
        <v>2</v>
      </c>
      <c r="K580" s="636"/>
      <c r="L580" s="636"/>
      <c r="M580" s="649"/>
      <c r="N580" s="666">
        <v>2</v>
      </c>
      <c r="O580" s="636"/>
      <c r="P580" s="636"/>
      <c r="U580" s="520"/>
      <c r="AC580" s="218"/>
      <c r="AH580" s="218"/>
    </row>
    <row r="581" spans="1:34" ht="32.25" customHeight="1" x14ac:dyDescent="0.25">
      <c r="A581" s="666">
        <v>1</v>
      </c>
      <c r="B581" s="636"/>
      <c r="C581" s="636"/>
      <c r="D581" s="649"/>
      <c r="F581" s="666">
        <v>1</v>
      </c>
      <c r="G581" s="636"/>
      <c r="H581" s="636"/>
      <c r="J581" s="666">
        <v>1</v>
      </c>
      <c r="K581" s="636"/>
      <c r="L581" s="636"/>
      <c r="M581" s="649"/>
      <c r="N581" s="666">
        <v>1</v>
      </c>
      <c r="O581" s="636"/>
      <c r="P581" s="636"/>
      <c r="U581" s="520"/>
      <c r="AC581" s="218"/>
      <c r="AH581" s="218"/>
    </row>
    <row r="582" spans="1:34" ht="32.25" customHeight="1" x14ac:dyDescent="0.25">
      <c r="A582" s="666" t="s">
        <v>982</v>
      </c>
      <c r="B582" s="636"/>
      <c r="C582" s="636"/>
      <c r="D582" s="649"/>
      <c r="F582" s="666" t="s">
        <v>982</v>
      </c>
      <c r="G582" s="636"/>
      <c r="H582" s="636"/>
      <c r="J582" s="666" t="s">
        <v>982</v>
      </c>
      <c r="K582" s="636"/>
      <c r="L582" s="636"/>
      <c r="M582" s="649"/>
      <c r="N582" s="666" t="s">
        <v>982</v>
      </c>
      <c r="O582" s="636"/>
      <c r="P582" s="636"/>
      <c r="U582" s="520"/>
      <c r="AC582" s="218"/>
      <c r="AH582" s="218"/>
    </row>
    <row r="583" spans="1:34" ht="32.25" customHeight="1" x14ac:dyDescent="0.25">
      <c r="A583" s="629" t="s">
        <v>981</v>
      </c>
      <c r="B583" s="650"/>
      <c r="C583" s="651" t="s">
        <v>996</v>
      </c>
      <c r="D583" s="649"/>
      <c r="F583" s="629" t="s">
        <v>981</v>
      </c>
      <c r="G583" s="650"/>
      <c r="H583" s="651" t="s">
        <v>996</v>
      </c>
      <c r="J583" s="629" t="s">
        <v>981</v>
      </c>
      <c r="K583" s="650"/>
      <c r="L583" s="651" t="s">
        <v>996</v>
      </c>
      <c r="M583" s="649"/>
      <c r="N583" s="629" t="s">
        <v>981</v>
      </c>
      <c r="O583" s="650"/>
      <c r="P583" s="651" t="s">
        <v>996</v>
      </c>
      <c r="Q583" s="649"/>
      <c r="U583" s="520"/>
      <c r="AC583" s="218"/>
      <c r="AH583" s="218"/>
    </row>
    <row r="584" spans="1:34" ht="32.25" customHeight="1" thickBot="1" x14ac:dyDescent="0.3">
      <c r="A584" s="649"/>
      <c r="B584" s="629" t="s">
        <v>983</v>
      </c>
      <c r="C584" s="665"/>
      <c r="D584" s="649"/>
      <c r="F584" s="637" t="s">
        <v>985</v>
      </c>
      <c r="G584" s="629" t="s">
        <v>983</v>
      </c>
      <c r="H584" s="636"/>
      <c r="J584" s="637" t="s">
        <v>985</v>
      </c>
      <c r="K584" s="629" t="s">
        <v>983</v>
      </c>
      <c r="L584" s="636"/>
      <c r="M584" s="649"/>
      <c r="N584" s="637" t="s">
        <v>985</v>
      </c>
      <c r="O584" s="629" t="s">
        <v>983</v>
      </c>
      <c r="P584" s="636"/>
      <c r="Q584" s="649"/>
      <c r="U584" s="520"/>
      <c r="AC584" s="218"/>
      <c r="AH584" s="218"/>
    </row>
    <row r="585" spans="1:34" ht="41.25" customHeight="1" thickBot="1" x14ac:dyDescent="0.3">
      <c r="A585" s="1114" t="s">
        <v>1001</v>
      </c>
      <c r="B585" s="1114"/>
      <c r="C585" s="734">
        <f ca="1">VLOOKUP(A563&amp;F563,PTS_SP,2,FALSE)</f>
        <v>0</v>
      </c>
      <c r="D585" s="649"/>
      <c r="F585" s="1115" t="s">
        <v>986</v>
      </c>
      <c r="G585" s="1116"/>
      <c r="H585" s="636"/>
      <c r="I585" s="1115" t="s">
        <v>986</v>
      </c>
      <c r="J585" s="1115"/>
      <c r="K585" s="636"/>
      <c r="L585" s="649"/>
      <c r="O585" s="634" t="s">
        <v>987</v>
      </c>
      <c r="P585" s="636"/>
      <c r="Q585" s="649"/>
      <c r="U585" s="520"/>
      <c r="AC585" s="218"/>
      <c r="AH585" s="218"/>
    </row>
    <row r="586" spans="1:34" ht="47.25" customHeight="1" thickBot="1" x14ac:dyDescent="0.3">
      <c r="A586" s="1115" t="s">
        <v>986</v>
      </c>
      <c r="B586" s="1116"/>
      <c r="C586" s="644"/>
      <c r="D586" s="649"/>
      <c r="E586" s="649"/>
      <c r="F586" s="649"/>
      <c r="G586" s="649"/>
      <c r="H586" s="649"/>
      <c r="I586" s="649"/>
      <c r="J586" s="649"/>
      <c r="K586" s="649"/>
      <c r="L586" s="649"/>
      <c r="N586" s="634"/>
      <c r="O586" s="634" t="s">
        <v>997</v>
      </c>
      <c r="P586" s="673"/>
      <c r="Q586" s="674"/>
      <c r="R586" s="663" t="s">
        <v>998</v>
      </c>
      <c r="U586" s="520"/>
      <c r="AC586" s="218"/>
      <c r="AH586" s="218"/>
    </row>
    <row r="587" spans="1:34" ht="36" customHeight="1" thickBot="1" x14ac:dyDescent="0.3">
      <c r="A587" s="649"/>
      <c r="B587" s="649"/>
      <c r="C587" s="649"/>
      <c r="D587" s="649"/>
      <c r="E587" s="672" t="s">
        <v>1002</v>
      </c>
      <c r="F587" s="667"/>
      <c r="G587" s="667"/>
      <c r="H587" s="668"/>
      <c r="I587" s="649"/>
      <c r="J587" s="672" t="s">
        <v>1003</v>
      </c>
      <c r="K587" s="667"/>
      <c r="L587" s="667"/>
      <c r="M587" s="668"/>
      <c r="O587" s="675" t="s">
        <v>1004</v>
      </c>
      <c r="P587" s="676" t="s">
        <v>999</v>
      </c>
      <c r="Q587" s="677" t="s">
        <v>1000</v>
      </c>
      <c r="R587" s="649"/>
      <c r="U587" s="520"/>
      <c r="AC587" s="218"/>
      <c r="AH587" s="218"/>
    </row>
    <row r="588" spans="1:34" ht="36" customHeight="1" thickBot="1" x14ac:dyDescent="0.25">
      <c r="E588" s="669"/>
      <c r="F588" s="670"/>
      <c r="G588" s="670"/>
      <c r="H588" s="671"/>
      <c r="J588" s="669"/>
      <c r="K588" s="670"/>
      <c r="L588" s="670"/>
      <c r="M588" s="671"/>
      <c r="U588" s="520"/>
      <c r="AA588" s="679"/>
      <c r="AB588" s="679"/>
      <c r="AC588" s="218"/>
      <c r="AH588" s="218"/>
    </row>
    <row r="589" spans="1:34" s="218" customFormat="1" ht="23.25" customHeight="1" x14ac:dyDescent="0.2">
      <c r="A589" s="217"/>
      <c r="B589" s="217"/>
      <c r="C589" s="217"/>
      <c r="D589" s="217"/>
      <c r="E589" s="217"/>
      <c r="F589" s="217"/>
      <c r="G589" s="217"/>
      <c r="H589" s="217"/>
      <c r="I589" s="217"/>
      <c r="J589" s="217"/>
      <c r="K589" s="217"/>
      <c r="L589" s="217"/>
      <c r="M589" s="217"/>
      <c r="N589" s="684"/>
      <c r="O589" s="684"/>
      <c r="P589" s="684"/>
      <c r="Q589" s="684"/>
      <c r="R589" s="217"/>
      <c r="S589" s="217"/>
      <c r="T589" s="217"/>
      <c r="U589" s="520"/>
      <c r="V589" s="679"/>
      <c r="W589" s="679"/>
      <c r="X589" s="679"/>
      <c r="Y589" s="679"/>
      <c r="Z589" s="679"/>
      <c r="AA589" s="662"/>
      <c r="AB589" s="662"/>
      <c r="AD589" s="217"/>
      <c r="AE589" s="217"/>
      <c r="AF589" s="217"/>
      <c r="AG589" s="217"/>
    </row>
    <row r="590" spans="1:34" ht="19.5" customHeight="1" thickBot="1" x14ac:dyDescent="0.25">
      <c r="M590" s="500"/>
      <c r="N590" s="520">
        <f ca="1">INDIRECT("AE"&amp;O590)</f>
        <v>0</v>
      </c>
      <c r="O590" s="500">
        <f>P591+2</f>
        <v>22</v>
      </c>
      <c r="P590" s="501">
        <f ca="1">INDIRECT("AF"&amp;O590)</f>
        <v>0</v>
      </c>
      <c r="Q590" s="500"/>
      <c r="R590" s="500"/>
      <c r="T590" s="679"/>
      <c r="U590" s="679"/>
      <c r="V590" s="679"/>
      <c r="W590" s="679"/>
      <c r="X590" s="679"/>
      <c r="Y590" s="679"/>
      <c r="Z590" s="679"/>
      <c r="AA590" s="679"/>
      <c r="AB590" s="679"/>
      <c r="AC590" s="218"/>
      <c r="AH590" s="218"/>
    </row>
    <row r="591" spans="1:34" s="218" customFormat="1" ht="36" thickBot="1" x14ac:dyDescent="0.25">
      <c r="A591" s="576" t="s">
        <v>546</v>
      </c>
      <c r="B591" s="402" t="str">
        <f>B560</f>
        <v>D3</v>
      </c>
      <c r="D591" s="661" t="s">
        <v>628</v>
      </c>
      <c r="E591" s="660">
        <f ca="1">INDIRECT("AD"&amp;O590)</f>
        <v>0</v>
      </c>
      <c r="F591" s="705" t="str">
        <f>"   "&amp;Championnat</f>
        <v xml:space="preserve">   Championnat de France de Tir à l'ARC</v>
      </c>
      <c r="O591" s="502" t="s">
        <v>849</v>
      </c>
      <c r="P591" s="503">
        <f>P560+1</f>
        <v>20</v>
      </c>
      <c r="R591" s="254"/>
      <c r="S591" s="254"/>
      <c r="T591" s="681"/>
      <c r="U591" s="680"/>
      <c r="V591" s="681"/>
      <c r="X591" s="662"/>
      <c r="Y591" s="662"/>
      <c r="Z591" s="662"/>
      <c r="AA591" s="662"/>
      <c r="AB591" s="662"/>
      <c r="AD591" s="217"/>
      <c r="AE591" s="217"/>
      <c r="AF591" s="217"/>
      <c r="AG591" s="217"/>
    </row>
    <row r="592" spans="1:34" ht="35.25" x14ac:dyDescent="0.2">
      <c r="A592" s="706" t="str">
        <f>CATEG_IMPORTEE</f>
        <v>Collèges Mixtes Etablissement</v>
      </c>
      <c r="J592" s="592" t="str">
        <f>LIEU&amp;" du "&amp;DATE</f>
        <v>L’Isle sur la Sorgue du 27 au 31 mars 2023</v>
      </c>
      <c r="R592" s="254"/>
      <c r="S592" s="254"/>
      <c r="T592" s="681"/>
      <c r="U592" s="680"/>
      <c r="V592" s="681"/>
      <c r="W592" s="679"/>
      <c r="X592" s="679"/>
      <c r="Y592" s="679"/>
      <c r="Z592" s="679"/>
      <c r="AA592" s="679"/>
      <c r="AB592" s="679"/>
      <c r="AC592" s="218"/>
      <c r="AH592" s="218"/>
    </row>
    <row r="593" spans="1:34" ht="24" customHeight="1" thickBot="1" x14ac:dyDescent="0.25">
      <c r="A593" s="648" t="s">
        <v>0</v>
      </c>
      <c r="B593" s="648"/>
      <c r="C593" s="648"/>
      <c r="D593" s="648"/>
      <c r="F593" s="1124" t="s">
        <v>1006</v>
      </c>
      <c r="G593" s="1125"/>
      <c r="H593" s="1125"/>
      <c r="J593" s="648" t="s">
        <v>0</v>
      </c>
      <c r="O593" s="1093" t="s">
        <v>1005</v>
      </c>
      <c r="P593" s="1093"/>
      <c r="R593" s="254"/>
      <c r="S593" s="254"/>
      <c r="T593" s="681"/>
      <c r="U593" s="680"/>
      <c r="V593" s="681"/>
      <c r="W593" s="679"/>
      <c r="X593" s="679"/>
      <c r="Y593" s="679"/>
      <c r="Z593" s="679"/>
      <c r="AA593" s="679"/>
      <c r="AB593" s="679"/>
      <c r="AC593" s="218"/>
      <c r="AH593" s="218"/>
    </row>
    <row r="594" spans="1:34" ht="23.25" customHeight="1" thickBot="1" x14ac:dyDescent="0.25">
      <c r="A594" s="657" t="str">
        <f ca="1">IFERROR(VLOOKUP(N590,Num_AS,2,FALSE),"")</f>
        <v/>
      </c>
      <c r="B594" s="658"/>
      <c r="C594" s="658"/>
      <c r="D594" s="658"/>
      <c r="E594" s="658"/>
      <c r="F594" s="1117" t="str">
        <f ca="1">IFERROR(VLOOKUP(N590,Num_AS,3,FALSE),"")</f>
        <v/>
      </c>
      <c r="G594" s="1118"/>
      <c r="H594" s="1119"/>
      <c r="I594" s="219" t="s">
        <v>547</v>
      </c>
      <c r="J594" s="678" t="str">
        <f ca="1">IFERROR(VLOOKUP(P590,Num_AS,2,FALSE),"")</f>
        <v/>
      </c>
      <c r="K594" s="664"/>
      <c r="L594" s="664"/>
      <c r="M594" s="664"/>
      <c r="N594" s="1120" t="str">
        <f ca="1">IFERROR(VLOOKUP(P590,Num_AS,3,FALSE),"")</f>
        <v/>
      </c>
      <c r="O594" s="1121"/>
      <c r="P594" s="1122"/>
      <c r="R594" s="254"/>
      <c r="S594" s="254"/>
      <c r="T594" s="681"/>
      <c r="U594" s="680"/>
      <c r="V594" s="681"/>
      <c r="W594" s="679"/>
      <c r="X594" s="679"/>
      <c r="Y594" s="679"/>
      <c r="Z594" s="679"/>
      <c r="AA594" s="679"/>
      <c r="AB594" s="679"/>
      <c r="AC594" s="218"/>
      <c r="AH594" s="218"/>
    </row>
    <row r="595" spans="1:34" ht="20.100000000000001" customHeight="1" thickBot="1" x14ac:dyDescent="0.25">
      <c r="E595" s="219"/>
      <c r="F595" s="1107" t="str">
        <f ca="1">IFERROR(VLOOKUP(N590,Num_AS,4,FALSE),"")</f>
        <v/>
      </c>
      <c r="G595" s="1108"/>
      <c r="H595" s="1109"/>
      <c r="N595" s="1110" t="str">
        <f ca="1">IFERROR(VLOOKUP(P590,Num_AS,4,FALSE),"")</f>
        <v/>
      </c>
      <c r="O595" s="1111"/>
      <c r="P595" s="1112"/>
      <c r="R595" s="254"/>
      <c r="S595" s="254"/>
      <c r="T595" s="681"/>
      <c r="U595" s="680"/>
      <c r="V595" s="681"/>
      <c r="W595" s="679"/>
      <c r="X595" s="679"/>
      <c r="Y595" s="679"/>
      <c r="Z595" s="679"/>
      <c r="AA595" s="679"/>
      <c r="AB595" s="679"/>
      <c r="AC595" s="218"/>
      <c r="AH595" s="218"/>
    </row>
    <row r="596" spans="1:34" ht="18" customHeight="1" thickBot="1" x14ac:dyDescent="0.25">
      <c r="A596" s="1123" t="s">
        <v>548</v>
      </c>
      <c r="B596" s="1123"/>
      <c r="C596" s="1123"/>
      <c r="D596" s="1123"/>
      <c r="E596" s="219"/>
      <c r="F596" s="219"/>
      <c r="G596" s="219"/>
      <c r="H596" s="219"/>
      <c r="I596" s="219"/>
      <c r="J596" s="219"/>
      <c r="K596" s="219"/>
      <c r="L596" s="219"/>
      <c r="M596" s="219"/>
      <c r="N596" s="219"/>
      <c r="O596" s="219"/>
      <c r="P596" s="219"/>
      <c r="R596" s="254"/>
      <c r="S596" s="254"/>
      <c r="T596" s="681"/>
      <c r="U596" s="680"/>
      <c r="V596" s="681"/>
      <c r="W596" s="679"/>
      <c r="X596" s="679"/>
      <c r="Y596" s="679"/>
      <c r="Z596" s="679"/>
      <c r="AA596" s="679"/>
      <c r="AB596" s="679"/>
      <c r="AC596" s="218"/>
      <c r="AH596" s="218"/>
    </row>
    <row r="597" spans="1:34" ht="24" customHeight="1" thickTop="1" thickBot="1" x14ac:dyDescent="0.25">
      <c r="A597" s="1126" t="s">
        <v>549</v>
      </c>
      <c r="B597" s="1127"/>
      <c r="C597" s="1127"/>
      <c r="D597" s="1128"/>
      <c r="E597" s="685" t="s">
        <v>480</v>
      </c>
      <c r="F597" s="685" t="s">
        <v>550</v>
      </c>
      <c r="G597" s="686" t="s">
        <v>551</v>
      </c>
      <c r="H597" s="687" t="s">
        <v>779</v>
      </c>
      <c r="J597" s="702" t="s">
        <v>549</v>
      </c>
      <c r="K597" s="703"/>
      <c r="L597" s="703"/>
      <c r="M597" s="704"/>
      <c r="N597" s="685" t="s">
        <v>480</v>
      </c>
      <c r="O597" s="685" t="s">
        <v>550</v>
      </c>
      <c r="P597" s="686" t="s">
        <v>551</v>
      </c>
      <c r="Q597" s="687" t="s">
        <v>779</v>
      </c>
      <c r="R597" s="254"/>
      <c r="S597" s="254"/>
      <c r="T597" s="681"/>
      <c r="U597" s="680"/>
      <c r="V597" s="681"/>
      <c r="W597" s="679"/>
      <c r="X597" s="679"/>
      <c r="Y597" s="679"/>
      <c r="Z597" s="679"/>
      <c r="AA597" s="679"/>
      <c r="AB597" s="679"/>
      <c r="AC597" s="218"/>
      <c r="AH597" s="218"/>
    </row>
    <row r="598" spans="1:34" ht="24.75" customHeight="1" x14ac:dyDescent="0.2">
      <c r="A598" s="659" t="str">
        <f ca="1">IFERROR(VLOOKUP(N590,Num_AS,6,FALSE),"")</f>
        <v/>
      </c>
      <c r="B598" s="588"/>
      <c r="C598" s="653" t="str">
        <f ca="1">IFERROR(VLOOKUP(N590,Num_AS,7,FALSE),"")</f>
        <v/>
      </c>
      <c r="D598" s="652"/>
      <c r="E598" s="654" t="str">
        <f ca="1">IFERROR(VLOOKUP(N590,Num_AS,10,FALSE),"")</f>
        <v/>
      </c>
      <c r="F598" s="654" t="str">
        <f ca="1">IFERROR(VLOOKUP(N590,Num_AS,9,FALSE),"")</f>
        <v/>
      </c>
      <c r="G598" s="655" t="str">
        <f ca="1">IFERROR(VLOOKUP(N590,Num_AS,11,FALSE),"")</f>
        <v/>
      </c>
      <c r="H598" s="688">
        <f ca="1">E591</f>
        <v>0</v>
      </c>
      <c r="J598" s="659" t="str">
        <f ca="1">IFERROR(VLOOKUP(N590,Num_AS,18,FALSE),"")</f>
        <v/>
      </c>
      <c r="K598" s="588"/>
      <c r="L598" s="653" t="str">
        <f ca="1">IFERROR(VLOOKUP(N590,Num_AS,19,FALSE),"")</f>
        <v/>
      </c>
      <c r="M598" s="647"/>
      <c r="N598" s="656" t="str">
        <f ca="1">IFERROR(VLOOKUP(N590,Num_AS,22,FALSE),"")</f>
        <v/>
      </c>
      <c r="O598" s="654" t="str">
        <f ca="1">IFERROR(VLOOKUP(N590,Num_AS,21,FALSE),"")</f>
        <v/>
      </c>
      <c r="P598" s="682" t="str">
        <f ca="1">IFERROR(VLOOKUP(N590,Num_AS,23,FALSE),"")</f>
        <v/>
      </c>
      <c r="Q598" s="688">
        <f ca="1">E591</f>
        <v>0</v>
      </c>
      <c r="R598" s="254"/>
      <c r="S598" s="254"/>
      <c r="T598" s="681"/>
      <c r="U598" s="680"/>
      <c r="V598" s="681"/>
      <c r="W598" s="679"/>
      <c r="X598" s="679"/>
      <c r="Y598" s="679"/>
      <c r="Z598" s="679"/>
      <c r="AA598" s="679"/>
      <c r="AB598" s="679"/>
      <c r="AC598" s="218"/>
      <c r="AH598" s="218"/>
    </row>
    <row r="599" spans="1:34" ht="24.75" customHeight="1" thickBot="1" x14ac:dyDescent="0.25">
      <c r="A599" s="689" t="str">
        <f ca="1">IFERROR(VLOOKUP(N590,Num_AS,12,FALSE),"")</f>
        <v/>
      </c>
      <c r="B599" s="690"/>
      <c r="C599" s="691" t="str">
        <f ca="1">IFERROR(VLOOKUP(N590,Num_AS,13,FALSE),"")</f>
        <v/>
      </c>
      <c r="D599" s="692"/>
      <c r="E599" s="693" t="str">
        <f ca="1">IFERROR(VLOOKUP(N590,Num_AS,16,FALSE),"")</f>
        <v/>
      </c>
      <c r="F599" s="694" t="str">
        <f ca="1">IFERROR(VLOOKUP(N590,Num_AS,15,FALSE),"")</f>
        <v/>
      </c>
      <c r="G599" s="695" t="str">
        <f ca="1">IFERROR(VLOOKUP(N590,Num_AS,17,FALSE),"")</f>
        <v/>
      </c>
      <c r="H599" s="700">
        <f ca="1">E591</f>
        <v>0</v>
      </c>
      <c r="J599" s="689" t="str">
        <f ca="1">IFERROR(VLOOKUP(N590,Num_AS,24,FALSE),"")</f>
        <v/>
      </c>
      <c r="K599" s="690"/>
      <c r="L599" s="691" t="str">
        <f ca="1">IFERROR(VLOOKUP(N590,Num_AS,25,FALSE),"")</f>
        <v/>
      </c>
      <c r="M599" s="697"/>
      <c r="N599" s="698" t="str">
        <f ca="1">IFERROR(VLOOKUP(N590,Num_AS,28,FALSE),"")</f>
        <v/>
      </c>
      <c r="O599" s="694" t="str">
        <f ca="1">IFERROR(VLOOKUP(N590,Num_AS,27,FALSE),"")</f>
        <v/>
      </c>
      <c r="P599" s="699" t="str">
        <f ca="1">IFERROR(VLOOKUP(N590,Num_AS,29,FALSE),"")</f>
        <v/>
      </c>
      <c r="Q599" s="700">
        <f ca="1">E591</f>
        <v>0</v>
      </c>
      <c r="R599" s="254"/>
      <c r="S599" s="254"/>
      <c r="T599" s="681"/>
      <c r="U599" s="680"/>
      <c r="V599" s="681"/>
      <c r="W599" s="681"/>
      <c r="X599" s="681"/>
      <c r="Y599" s="681"/>
      <c r="Z599" s="679"/>
      <c r="AA599" s="679"/>
      <c r="AB599" s="679"/>
      <c r="AC599" s="218"/>
      <c r="AH599" s="218"/>
    </row>
    <row r="600" spans="1:34" ht="12.75" customHeight="1" thickTop="1" x14ac:dyDescent="0.2">
      <c r="A600" s="701"/>
      <c r="B600" s="249"/>
      <c r="C600" s="701"/>
      <c r="D600" s="701"/>
      <c r="E600" s="196"/>
      <c r="F600" s="196"/>
      <c r="G600" s="249"/>
      <c r="H600" s="219"/>
      <c r="I600" s="701"/>
      <c r="J600" s="249"/>
      <c r="K600" s="701"/>
      <c r="L600" s="249"/>
      <c r="M600" s="196"/>
      <c r="N600" s="196"/>
      <c r="O600" s="249"/>
      <c r="P600" s="219"/>
      <c r="R600" s="254"/>
      <c r="S600" s="254"/>
      <c r="T600" s="681"/>
      <c r="U600" s="680"/>
      <c r="V600" s="681"/>
      <c r="W600" s="681"/>
      <c r="X600" s="681"/>
      <c r="Y600" s="681"/>
      <c r="Z600" s="679"/>
      <c r="AA600" s="679"/>
      <c r="AB600" s="679"/>
      <c r="AC600" s="218"/>
      <c r="AH600" s="218"/>
    </row>
    <row r="601" spans="1:34" ht="37.5" customHeight="1" x14ac:dyDescent="0.2">
      <c r="A601" s="1113" t="s">
        <v>909</v>
      </c>
      <c r="B601" s="1113"/>
      <c r="C601" s="1113"/>
      <c r="F601" s="1113" t="s">
        <v>910</v>
      </c>
      <c r="G601" s="1113"/>
      <c r="H601" s="1113"/>
      <c r="J601" s="1113" t="s">
        <v>911</v>
      </c>
      <c r="K601" s="1113"/>
      <c r="L601" s="1113"/>
      <c r="N601" s="1113" t="s">
        <v>912</v>
      </c>
      <c r="O601" s="1113"/>
      <c r="P601" s="1113"/>
      <c r="R601" s="254"/>
      <c r="S601" s="254"/>
      <c r="T601" s="681"/>
      <c r="U601" s="680"/>
      <c r="V601" s="679"/>
      <c r="W601" s="679"/>
      <c r="X601" s="679"/>
      <c r="Y601" s="679"/>
      <c r="Z601" s="679"/>
      <c r="AA601" s="679"/>
      <c r="AB601" s="679"/>
      <c r="AC601" s="218"/>
      <c r="AH601" s="218"/>
    </row>
    <row r="602" spans="1:34" ht="37.5" customHeight="1" x14ac:dyDescent="0.25">
      <c r="A602" s="629" t="s">
        <v>980</v>
      </c>
      <c r="B602" s="629" t="s">
        <v>981</v>
      </c>
      <c r="C602" s="636" t="s">
        <v>780</v>
      </c>
      <c r="D602" s="649"/>
      <c r="F602" s="629" t="s">
        <v>980</v>
      </c>
      <c r="G602" s="629" t="s">
        <v>981</v>
      </c>
      <c r="H602" s="636" t="s">
        <v>780</v>
      </c>
      <c r="J602" s="629" t="s">
        <v>980</v>
      </c>
      <c r="K602" s="629" t="s">
        <v>981</v>
      </c>
      <c r="L602" s="636" t="s">
        <v>780</v>
      </c>
      <c r="M602" s="649"/>
      <c r="N602" s="629" t="s">
        <v>980</v>
      </c>
      <c r="O602" s="629" t="s">
        <v>981</v>
      </c>
      <c r="P602" s="636" t="s">
        <v>780</v>
      </c>
      <c r="T602" s="679"/>
      <c r="U602" s="680"/>
      <c r="V602" s="679"/>
      <c r="W602" s="679"/>
      <c r="X602" s="679"/>
      <c r="Y602" s="679"/>
      <c r="Z602" s="679"/>
      <c r="AA602" s="679"/>
      <c r="AB602" s="679"/>
      <c r="AC602" s="218"/>
      <c r="AH602" s="218"/>
    </row>
    <row r="603" spans="1:34" ht="32.25" customHeight="1" x14ac:dyDescent="0.25">
      <c r="A603" s="666">
        <v>10</v>
      </c>
      <c r="B603" s="636"/>
      <c r="C603" s="636"/>
      <c r="D603" s="649"/>
      <c r="F603" s="666">
        <v>10</v>
      </c>
      <c r="G603" s="636"/>
      <c r="H603" s="636"/>
      <c r="J603" s="666">
        <v>10</v>
      </c>
      <c r="K603" s="636"/>
      <c r="L603" s="636"/>
      <c r="M603" s="649"/>
      <c r="N603" s="666">
        <v>10</v>
      </c>
      <c r="O603" s="636"/>
      <c r="P603" s="636"/>
      <c r="T603" s="679"/>
      <c r="U603" s="680"/>
      <c r="V603" s="679"/>
      <c r="W603" s="679"/>
      <c r="X603" s="679"/>
      <c r="Y603" s="679"/>
      <c r="Z603" s="679"/>
      <c r="AA603" s="679"/>
      <c r="AB603" s="679"/>
      <c r="AC603" s="218"/>
      <c r="AH603" s="218"/>
    </row>
    <row r="604" spans="1:34" ht="32.25" customHeight="1" x14ac:dyDescent="0.25">
      <c r="A604" s="666">
        <v>9</v>
      </c>
      <c r="B604" s="636"/>
      <c r="C604" s="636"/>
      <c r="D604" s="649"/>
      <c r="F604" s="666">
        <v>9</v>
      </c>
      <c r="G604" s="636"/>
      <c r="H604" s="636"/>
      <c r="J604" s="666">
        <v>9</v>
      </c>
      <c r="K604" s="636"/>
      <c r="L604" s="636"/>
      <c r="M604" s="649"/>
      <c r="N604" s="666">
        <v>9</v>
      </c>
      <c r="O604" s="636"/>
      <c r="P604" s="636"/>
      <c r="T604" s="679"/>
      <c r="U604" s="680"/>
      <c r="V604" s="679"/>
      <c r="W604" s="679"/>
      <c r="X604" s="679"/>
      <c r="Y604" s="679"/>
      <c r="Z604" s="679"/>
      <c r="AA604" s="679"/>
      <c r="AB604" s="679"/>
      <c r="AC604" s="218"/>
      <c r="AH604" s="218"/>
    </row>
    <row r="605" spans="1:34" ht="32.25" customHeight="1" x14ac:dyDescent="0.25">
      <c r="A605" s="666">
        <v>8</v>
      </c>
      <c r="B605" s="636"/>
      <c r="C605" s="636"/>
      <c r="D605" s="649"/>
      <c r="F605" s="666">
        <v>8</v>
      </c>
      <c r="G605" s="636"/>
      <c r="H605" s="636"/>
      <c r="J605" s="666">
        <v>8</v>
      </c>
      <c r="K605" s="636"/>
      <c r="L605" s="636"/>
      <c r="M605" s="649"/>
      <c r="N605" s="666">
        <v>8</v>
      </c>
      <c r="O605" s="636"/>
      <c r="P605" s="636"/>
      <c r="T605" s="679"/>
      <c r="U605" s="680"/>
      <c r="V605" s="679"/>
      <c r="W605" s="679"/>
      <c r="X605" s="679"/>
      <c r="Y605" s="679"/>
      <c r="Z605" s="679"/>
      <c r="AA605" s="679"/>
      <c r="AB605" s="679"/>
      <c r="AC605" s="218"/>
      <c r="AH605" s="218"/>
    </row>
    <row r="606" spans="1:34" ht="32.25" customHeight="1" x14ac:dyDescent="0.25">
      <c r="A606" s="666">
        <v>7</v>
      </c>
      <c r="B606" s="636"/>
      <c r="C606" s="636"/>
      <c r="D606" s="649"/>
      <c r="F606" s="666">
        <v>7</v>
      </c>
      <c r="G606" s="636"/>
      <c r="H606" s="636"/>
      <c r="J606" s="666">
        <v>7</v>
      </c>
      <c r="K606" s="636"/>
      <c r="L606" s="636"/>
      <c r="M606" s="649"/>
      <c r="N606" s="666">
        <v>7</v>
      </c>
      <c r="O606" s="636"/>
      <c r="P606" s="636"/>
      <c r="T606" s="679"/>
      <c r="U606" s="680"/>
      <c r="V606" s="679"/>
      <c r="W606" s="679"/>
      <c r="X606" s="679"/>
      <c r="Y606" s="679"/>
      <c r="Z606" s="679"/>
      <c r="AC606" s="218"/>
      <c r="AH606" s="218"/>
    </row>
    <row r="607" spans="1:34" ht="32.25" customHeight="1" x14ac:dyDescent="0.25">
      <c r="A607" s="666">
        <v>6</v>
      </c>
      <c r="B607" s="636"/>
      <c r="C607" s="636"/>
      <c r="D607" s="649"/>
      <c r="F607" s="666">
        <v>6</v>
      </c>
      <c r="G607" s="636"/>
      <c r="H607" s="636"/>
      <c r="J607" s="666">
        <v>6</v>
      </c>
      <c r="K607" s="636"/>
      <c r="L607" s="636"/>
      <c r="M607" s="649"/>
      <c r="N607" s="666">
        <v>6</v>
      </c>
      <c r="O607" s="636"/>
      <c r="P607" s="636"/>
      <c r="T607" s="679"/>
      <c r="U607" s="680"/>
      <c r="AC607" s="218"/>
      <c r="AH607" s="218"/>
    </row>
    <row r="608" spans="1:34" ht="32.25" customHeight="1" x14ac:dyDescent="0.25">
      <c r="A608" s="666">
        <v>5</v>
      </c>
      <c r="B608" s="636"/>
      <c r="C608" s="636"/>
      <c r="D608" s="649"/>
      <c r="F608" s="666">
        <v>5</v>
      </c>
      <c r="G608" s="636"/>
      <c r="H608" s="636"/>
      <c r="J608" s="666">
        <v>5</v>
      </c>
      <c r="K608" s="636"/>
      <c r="L608" s="636"/>
      <c r="M608" s="649"/>
      <c r="N608" s="666">
        <v>5</v>
      </c>
      <c r="O608" s="636"/>
      <c r="P608" s="636"/>
      <c r="U608" s="520"/>
      <c r="AC608" s="218"/>
      <c r="AH608" s="218"/>
    </row>
    <row r="609" spans="1:34" ht="32.25" customHeight="1" x14ac:dyDescent="0.25">
      <c r="A609" s="666">
        <v>4</v>
      </c>
      <c r="B609" s="636"/>
      <c r="C609" s="636"/>
      <c r="D609" s="649"/>
      <c r="F609" s="666">
        <v>4</v>
      </c>
      <c r="G609" s="636"/>
      <c r="H609" s="636"/>
      <c r="J609" s="666">
        <v>4</v>
      </c>
      <c r="K609" s="636"/>
      <c r="L609" s="636"/>
      <c r="M609" s="649"/>
      <c r="N609" s="666">
        <v>4</v>
      </c>
      <c r="O609" s="636"/>
      <c r="P609" s="636"/>
      <c r="U609" s="520"/>
      <c r="AC609" s="218"/>
      <c r="AH609" s="218"/>
    </row>
    <row r="610" spans="1:34" ht="32.25" customHeight="1" x14ac:dyDescent="0.25">
      <c r="A610" s="666">
        <v>3</v>
      </c>
      <c r="B610" s="636"/>
      <c r="C610" s="636"/>
      <c r="D610" s="649"/>
      <c r="F610" s="666">
        <v>3</v>
      </c>
      <c r="G610" s="636"/>
      <c r="H610" s="636"/>
      <c r="J610" s="666">
        <v>3</v>
      </c>
      <c r="K610" s="636"/>
      <c r="L610" s="636"/>
      <c r="M610" s="649"/>
      <c r="N610" s="666">
        <v>3</v>
      </c>
      <c r="O610" s="636"/>
      <c r="P610" s="636"/>
      <c r="U610" s="520"/>
      <c r="AC610" s="218"/>
      <c r="AH610" s="218"/>
    </row>
    <row r="611" spans="1:34" ht="32.25" customHeight="1" x14ac:dyDescent="0.25">
      <c r="A611" s="666">
        <v>2</v>
      </c>
      <c r="B611" s="636"/>
      <c r="C611" s="636"/>
      <c r="D611" s="649"/>
      <c r="F611" s="666">
        <v>2</v>
      </c>
      <c r="G611" s="636"/>
      <c r="H611" s="636"/>
      <c r="J611" s="666">
        <v>2</v>
      </c>
      <c r="K611" s="636"/>
      <c r="L611" s="636"/>
      <c r="M611" s="649"/>
      <c r="N611" s="666">
        <v>2</v>
      </c>
      <c r="O611" s="636"/>
      <c r="P611" s="636"/>
      <c r="U611" s="520"/>
      <c r="AC611" s="218"/>
      <c r="AH611" s="218"/>
    </row>
    <row r="612" spans="1:34" ht="32.25" customHeight="1" x14ac:dyDescent="0.25">
      <c r="A612" s="666">
        <v>1</v>
      </c>
      <c r="B612" s="636"/>
      <c r="C612" s="636"/>
      <c r="D612" s="649"/>
      <c r="F612" s="666">
        <v>1</v>
      </c>
      <c r="G612" s="636"/>
      <c r="H612" s="636"/>
      <c r="J612" s="666">
        <v>1</v>
      </c>
      <c r="K612" s="636"/>
      <c r="L612" s="636"/>
      <c r="M612" s="649"/>
      <c r="N612" s="666">
        <v>1</v>
      </c>
      <c r="O612" s="636"/>
      <c r="P612" s="636"/>
      <c r="U612" s="520"/>
      <c r="AC612" s="218"/>
      <c r="AH612" s="218"/>
    </row>
    <row r="613" spans="1:34" ht="32.25" customHeight="1" x14ac:dyDescent="0.25">
      <c r="A613" s="666" t="s">
        <v>982</v>
      </c>
      <c r="B613" s="636"/>
      <c r="C613" s="636"/>
      <c r="D613" s="649"/>
      <c r="F613" s="666" t="s">
        <v>982</v>
      </c>
      <c r="G613" s="636"/>
      <c r="H613" s="636"/>
      <c r="J613" s="666" t="s">
        <v>982</v>
      </c>
      <c r="K613" s="636"/>
      <c r="L613" s="636"/>
      <c r="M613" s="649"/>
      <c r="N613" s="666" t="s">
        <v>982</v>
      </c>
      <c r="O613" s="636"/>
      <c r="P613" s="636"/>
      <c r="U613" s="520"/>
      <c r="AC613" s="218"/>
      <c r="AH613" s="218"/>
    </row>
    <row r="614" spans="1:34" ht="32.25" customHeight="1" x14ac:dyDescent="0.25">
      <c r="A614" s="629" t="s">
        <v>981</v>
      </c>
      <c r="B614" s="650"/>
      <c r="C614" s="651" t="s">
        <v>996</v>
      </c>
      <c r="D614" s="649"/>
      <c r="F614" s="629" t="s">
        <v>981</v>
      </c>
      <c r="G614" s="650"/>
      <c r="H614" s="651" t="s">
        <v>996</v>
      </c>
      <c r="J614" s="629" t="s">
        <v>981</v>
      </c>
      <c r="K614" s="650"/>
      <c r="L614" s="651" t="s">
        <v>996</v>
      </c>
      <c r="M614" s="649"/>
      <c r="N614" s="629" t="s">
        <v>981</v>
      </c>
      <c r="O614" s="650"/>
      <c r="P614" s="651" t="s">
        <v>996</v>
      </c>
      <c r="Q614" s="649"/>
      <c r="U614" s="520"/>
      <c r="AC614" s="218"/>
      <c r="AH614" s="218"/>
    </row>
    <row r="615" spans="1:34" ht="32.25" customHeight="1" thickBot="1" x14ac:dyDescent="0.3">
      <c r="A615" s="649"/>
      <c r="B615" s="629" t="s">
        <v>983</v>
      </c>
      <c r="C615" s="665"/>
      <c r="D615" s="649"/>
      <c r="F615" s="637" t="s">
        <v>985</v>
      </c>
      <c r="G615" s="629" t="s">
        <v>983</v>
      </c>
      <c r="H615" s="636"/>
      <c r="J615" s="637" t="s">
        <v>985</v>
      </c>
      <c r="K615" s="629" t="s">
        <v>983</v>
      </c>
      <c r="L615" s="636"/>
      <c r="M615" s="649"/>
      <c r="N615" s="637" t="s">
        <v>985</v>
      </c>
      <c r="O615" s="629" t="s">
        <v>983</v>
      </c>
      <c r="P615" s="636"/>
      <c r="Q615" s="649"/>
      <c r="U615" s="520"/>
      <c r="AC615" s="218"/>
      <c r="AH615" s="218"/>
    </row>
    <row r="616" spans="1:34" ht="41.25" customHeight="1" thickBot="1" x14ac:dyDescent="0.3">
      <c r="A616" s="1114" t="s">
        <v>1001</v>
      </c>
      <c r="B616" s="1114"/>
      <c r="C616" s="734">
        <f ca="1">VLOOKUP(A594&amp;F594,PTS_SP,2,FALSE)</f>
        <v>0</v>
      </c>
      <c r="D616" s="649"/>
      <c r="F616" s="1115" t="s">
        <v>986</v>
      </c>
      <c r="G616" s="1116"/>
      <c r="H616" s="636"/>
      <c r="I616" s="1115" t="s">
        <v>986</v>
      </c>
      <c r="J616" s="1115"/>
      <c r="K616" s="636"/>
      <c r="L616" s="649"/>
      <c r="O616" s="634" t="s">
        <v>987</v>
      </c>
      <c r="P616" s="636"/>
      <c r="Q616" s="649"/>
      <c r="U616" s="520"/>
      <c r="AC616" s="218"/>
      <c r="AH616" s="218"/>
    </row>
    <row r="617" spans="1:34" ht="47.25" customHeight="1" thickBot="1" x14ac:dyDescent="0.3">
      <c r="A617" s="1115" t="s">
        <v>986</v>
      </c>
      <c r="B617" s="1116"/>
      <c r="C617" s="644"/>
      <c r="D617" s="649"/>
      <c r="E617" s="649"/>
      <c r="F617" s="649"/>
      <c r="G617" s="649"/>
      <c r="H617" s="649"/>
      <c r="I617" s="649"/>
      <c r="J617" s="649"/>
      <c r="K617" s="649"/>
      <c r="L617" s="649"/>
      <c r="N617" s="634"/>
      <c r="O617" s="634" t="s">
        <v>997</v>
      </c>
      <c r="P617" s="673"/>
      <c r="Q617" s="674"/>
      <c r="R617" s="663" t="s">
        <v>998</v>
      </c>
      <c r="U617" s="520"/>
      <c r="AC617" s="218"/>
      <c r="AH617" s="218"/>
    </row>
    <row r="618" spans="1:34" ht="36" customHeight="1" thickBot="1" x14ac:dyDescent="0.3">
      <c r="A618" s="649"/>
      <c r="B618" s="649"/>
      <c r="C618" s="649"/>
      <c r="D618" s="649"/>
      <c r="E618" s="672" t="s">
        <v>1002</v>
      </c>
      <c r="F618" s="667"/>
      <c r="G618" s="667"/>
      <c r="H618" s="668"/>
      <c r="I618" s="649"/>
      <c r="J618" s="672" t="s">
        <v>1003</v>
      </c>
      <c r="K618" s="667"/>
      <c r="L618" s="667"/>
      <c r="M618" s="668"/>
      <c r="O618" s="675" t="s">
        <v>1004</v>
      </c>
      <c r="P618" s="676" t="s">
        <v>999</v>
      </c>
      <c r="Q618" s="677" t="s">
        <v>1000</v>
      </c>
      <c r="R618" s="649"/>
      <c r="U618" s="520"/>
      <c r="AC618" s="218"/>
      <c r="AH618" s="218"/>
    </row>
    <row r="619" spans="1:34" ht="36" customHeight="1" thickBot="1" x14ac:dyDescent="0.25">
      <c r="E619" s="669"/>
      <c r="F619" s="670"/>
      <c r="G619" s="670"/>
      <c r="H619" s="671"/>
      <c r="J619" s="669"/>
      <c r="K619" s="670"/>
      <c r="L619" s="670"/>
      <c r="M619" s="671"/>
      <c r="U619" s="520"/>
      <c r="AA619" s="679"/>
      <c r="AB619" s="679"/>
      <c r="AC619" s="218"/>
      <c r="AH619" s="218"/>
    </row>
    <row r="620" spans="1:34" s="218" customFormat="1" ht="23.25" customHeight="1" x14ac:dyDescent="0.2">
      <c r="A620" s="217"/>
      <c r="B620" s="217"/>
      <c r="C620" s="217"/>
      <c r="D620" s="217"/>
      <c r="E620" s="217"/>
      <c r="F620" s="217"/>
      <c r="G620" s="217"/>
      <c r="H620" s="217"/>
      <c r="I620" s="217"/>
      <c r="J620" s="217"/>
      <c r="K620" s="217"/>
      <c r="L620" s="217"/>
      <c r="M620" s="217"/>
      <c r="N620" s="684"/>
      <c r="O620" s="684"/>
      <c r="P620" s="684"/>
      <c r="Q620" s="684"/>
      <c r="R620" s="217"/>
      <c r="S620" s="217"/>
      <c r="T620" s="217"/>
      <c r="U620" s="520"/>
      <c r="V620" s="679"/>
      <c r="W620" s="679"/>
      <c r="X620" s="679"/>
      <c r="Y620" s="679"/>
      <c r="Z620" s="679"/>
      <c r="AA620" s="662"/>
      <c r="AB620" s="662"/>
      <c r="AD620" s="217"/>
      <c r="AE620" s="217"/>
      <c r="AF620" s="217"/>
      <c r="AG620" s="217"/>
    </row>
    <row r="621" spans="1:34" ht="19.5" customHeight="1" thickBot="1" x14ac:dyDescent="0.25">
      <c r="M621" s="500"/>
      <c r="N621" s="520">
        <f ca="1">INDIRECT("AE"&amp;O621)</f>
        <v>0</v>
      </c>
      <c r="O621" s="500">
        <f>P622+2</f>
        <v>23</v>
      </c>
      <c r="P621" s="501">
        <f ca="1">INDIRECT("AF"&amp;O621)</f>
        <v>0</v>
      </c>
      <c r="Q621" s="500"/>
      <c r="R621" s="500"/>
      <c r="T621" s="679"/>
      <c r="U621" s="679"/>
      <c r="V621" s="679"/>
      <c r="W621" s="679"/>
      <c r="X621" s="679"/>
      <c r="Y621" s="679"/>
      <c r="Z621" s="679"/>
      <c r="AA621" s="679"/>
      <c r="AB621" s="679"/>
      <c r="AC621" s="218"/>
      <c r="AH621" s="218"/>
    </row>
    <row r="622" spans="1:34" s="218" customFormat="1" ht="36" thickBot="1" x14ac:dyDescent="0.25">
      <c r="A622" s="576" t="s">
        <v>546</v>
      </c>
      <c r="B622" s="402" t="str">
        <f>B591</f>
        <v>D3</v>
      </c>
      <c r="D622" s="661" t="s">
        <v>628</v>
      </c>
      <c r="E622" s="660">
        <f ca="1">INDIRECT("AD"&amp;O621)</f>
        <v>0</v>
      </c>
      <c r="F622" s="705" t="str">
        <f>"   "&amp;Championnat</f>
        <v xml:space="preserve">   Championnat de France de Tir à l'ARC</v>
      </c>
      <c r="O622" s="502" t="s">
        <v>849</v>
      </c>
      <c r="P622" s="503">
        <f>P591+1</f>
        <v>21</v>
      </c>
      <c r="R622" s="254"/>
      <c r="S622" s="254"/>
      <c r="T622" s="681"/>
      <c r="U622" s="680"/>
      <c r="V622" s="681"/>
      <c r="X622" s="662"/>
      <c r="Y622" s="662"/>
      <c r="Z622" s="662"/>
      <c r="AA622" s="662"/>
      <c r="AB622" s="662"/>
      <c r="AD622" s="217"/>
      <c r="AE622" s="217"/>
      <c r="AF622" s="217"/>
      <c r="AG622" s="217"/>
    </row>
    <row r="623" spans="1:34" ht="35.25" x14ac:dyDescent="0.2">
      <c r="A623" s="706" t="str">
        <f>CATEG_IMPORTEE</f>
        <v>Collèges Mixtes Etablissement</v>
      </c>
      <c r="J623" s="592" t="str">
        <f>LIEU&amp;" du "&amp;DATE</f>
        <v>L’Isle sur la Sorgue du 27 au 31 mars 2023</v>
      </c>
      <c r="R623" s="254"/>
      <c r="S623" s="254"/>
      <c r="T623" s="681"/>
      <c r="U623" s="680"/>
      <c r="V623" s="681"/>
      <c r="W623" s="679"/>
      <c r="X623" s="679"/>
      <c r="Y623" s="679"/>
      <c r="Z623" s="679"/>
      <c r="AA623" s="679"/>
      <c r="AB623" s="679"/>
      <c r="AC623" s="218"/>
      <c r="AH623" s="218"/>
    </row>
    <row r="624" spans="1:34" ht="24" customHeight="1" thickBot="1" x14ac:dyDescent="0.25">
      <c r="A624" s="648" t="s">
        <v>0</v>
      </c>
      <c r="B624" s="648"/>
      <c r="C624" s="648"/>
      <c r="D624" s="648"/>
      <c r="F624" s="1124" t="s">
        <v>1006</v>
      </c>
      <c r="G624" s="1125"/>
      <c r="H624" s="1125"/>
      <c r="J624" s="648" t="s">
        <v>0</v>
      </c>
      <c r="O624" s="1093" t="s">
        <v>1005</v>
      </c>
      <c r="P624" s="1093"/>
      <c r="R624" s="254"/>
      <c r="S624" s="254"/>
      <c r="T624" s="681"/>
      <c r="U624" s="680"/>
      <c r="V624" s="681"/>
      <c r="W624" s="679"/>
      <c r="X624" s="679"/>
      <c r="Y624" s="679"/>
      <c r="Z624" s="679"/>
      <c r="AA624" s="679"/>
      <c r="AB624" s="679"/>
      <c r="AC624" s="218"/>
      <c r="AH624" s="218"/>
    </row>
    <row r="625" spans="1:34" ht="23.25" customHeight="1" thickBot="1" x14ac:dyDescent="0.25">
      <c r="A625" s="657" t="str">
        <f ca="1">IFERROR(VLOOKUP(N621,Num_AS,2,FALSE),"")</f>
        <v/>
      </c>
      <c r="B625" s="658"/>
      <c r="C625" s="658"/>
      <c r="D625" s="658"/>
      <c r="E625" s="658"/>
      <c r="F625" s="1117" t="str">
        <f ca="1">IFERROR(VLOOKUP(N621,Num_AS,3,FALSE),"")</f>
        <v/>
      </c>
      <c r="G625" s="1118"/>
      <c r="H625" s="1119"/>
      <c r="I625" s="219" t="s">
        <v>547</v>
      </c>
      <c r="J625" s="678" t="str">
        <f ca="1">IFERROR(VLOOKUP(P621,Num_AS,2,FALSE),"")</f>
        <v/>
      </c>
      <c r="K625" s="664"/>
      <c r="L625" s="664"/>
      <c r="M625" s="664"/>
      <c r="N625" s="1120" t="str">
        <f ca="1">IFERROR(VLOOKUP(P621,Num_AS,3,FALSE),"")</f>
        <v/>
      </c>
      <c r="O625" s="1121"/>
      <c r="P625" s="1122"/>
      <c r="R625" s="254"/>
      <c r="S625" s="254"/>
      <c r="T625" s="681"/>
      <c r="U625" s="680"/>
      <c r="V625" s="681"/>
      <c r="W625" s="679"/>
      <c r="X625" s="679"/>
      <c r="Y625" s="679"/>
      <c r="Z625" s="679"/>
      <c r="AA625" s="679"/>
      <c r="AB625" s="679"/>
      <c r="AC625" s="218"/>
      <c r="AH625" s="218"/>
    </row>
    <row r="626" spans="1:34" ht="20.100000000000001" customHeight="1" thickBot="1" x14ac:dyDescent="0.25">
      <c r="E626" s="219"/>
      <c r="F626" s="1107" t="str">
        <f ca="1">IFERROR(VLOOKUP(N621,Num_AS,4,FALSE),"")</f>
        <v/>
      </c>
      <c r="G626" s="1108"/>
      <c r="H626" s="1109"/>
      <c r="N626" s="1110" t="str">
        <f ca="1">IFERROR(VLOOKUP(P621,Num_AS,4,FALSE),"")</f>
        <v/>
      </c>
      <c r="O626" s="1111"/>
      <c r="P626" s="1112"/>
      <c r="R626" s="254"/>
      <c r="S626" s="254"/>
      <c r="T626" s="681"/>
      <c r="U626" s="680"/>
      <c r="V626" s="681"/>
      <c r="W626" s="679"/>
      <c r="X626" s="679"/>
      <c r="Y626" s="679"/>
      <c r="Z626" s="679"/>
      <c r="AA626" s="679"/>
      <c r="AB626" s="679"/>
      <c r="AC626" s="218"/>
      <c r="AH626" s="218"/>
    </row>
    <row r="627" spans="1:34" ht="18" customHeight="1" thickBot="1" x14ac:dyDescent="0.25">
      <c r="A627" s="1123" t="s">
        <v>548</v>
      </c>
      <c r="B627" s="1123"/>
      <c r="C627" s="1123"/>
      <c r="D627" s="1123"/>
      <c r="E627" s="219"/>
      <c r="F627" s="219"/>
      <c r="G627" s="219"/>
      <c r="H627" s="219"/>
      <c r="I627" s="219"/>
      <c r="J627" s="219"/>
      <c r="K627" s="219"/>
      <c r="L627" s="219"/>
      <c r="M627" s="219"/>
      <c r="N627" s="219"/>
      <c r="O627" s="219"/>
      <c r="P627" s="219"/>
      <c r="R627" s="254"/>
      <c r="S627" s="254"/>
      <c r="T627" s="681"/>
      <c r="U627" s="680"/>
      <c r="V627" s="681"/>
      <c r="W627" s="679"/>
      <c r="X627" s="679"/>
      <c r="Y627" s="679"/>
      <c r="Z627" s="679"/>
      <c r="AA627" s="679"/>
      <c r="AB627" s="679"/>
      <c r="AC627" s="218"/>
      <c r="AH627" s="218"/>
    </row>
    <row r="628" spans="1:34" ht="24" customHeight="1" thickTop="1" thickBot="1" x14ac:dyDescent="0.25">
      <c r="A628" s="1126" t="s">
        <v>549</v>
      </c>
      <c r="B628" s="1127"/>
      <c r="C628" s="1127"/>
      <c r="D628" s="1128"/>
      <c r="E628" s="685" t="s">
        <v>480</v>
      </c>
      <c r="F628" s="685" t="s">
        <v>550</v>
      </c>
      <c r="G628" s="686" t="s">
        <v>551</v>
      </c>
      <c r="H628" s="687" t="s">
        <v>779</v>
      </c>
      <c r="J628" s="702" t="s">
        <v>549</v>
      </c>
      <c r="K628" s="703"/>
      <c r="L628" s="703"/>
      <c r="M628" s="704"/>
      <c r="N628" s="685" t="s">
        <v>480</v>
      </c>
      <c r="O628" s="685" t="s">
        <v>550</v>
      </c>
      <c r="P628" s="686" t="s">
        <v>551</v>
      </c>
      <c r="Q628" s="687" t="s">
        <v>779</v>
      </c>
      <c r="R628" s="254"/>
      <c r="S628" s="254"/>
      <c r="T628" s="681"/>
      <c r="U628" s="680"/>
      <c r="V628" s="681"/>
      <c r="W628" s="679"/>
      <c r="X628" s="679"/>
      <c r="Y628" s="679"/>
      <c r="Z628" s="679"/>
      <c r="AA628" s="679"/>
      <c r="AB628" s="679"/>
      <c r="AC628" s="218"/>
      <c r="AH628" s="218"/>
    </row>
    <row r="629" spans="1:34" ht="24.75" customHeight="1" x14ac:dyDescent="0.2">
      <c r="A629" s="659" t="str">
        <f ca="1">IFERROR(VLOOKUP(N621,Num_AS,6,FALSE),"")</f>
        <v/>
      </c>
      <c r="B629" s="588"/>
      <c r="C629" s="653" t="str">
        <f ca="1">IFERROR(VLOOKUP(N621,Num_AS,7,FALSE),"")</f>
        <v/>
      </c>
      <c r="D629" s="652"/>
      <c r="E629" s="654" t="str">
        <f ca="1">IFERROR(VLOOKUP(N621,Num_AS,10,FALSE),"")</f>
        <v/>
      </c>
      <c r="F629" s="654" t="str">
        <f ca="1">IFERROR(VLOOKUP(N621,Num_AS,9,FALSE),"")</f>
        <v/>
      </c>
      <c r="G629" s="655" t="str">
        <f ca="1">IFERROR(VLOOKUP(N621,Num_AS,11,FALSE),"")</f>
        <v/>
      </c>
      <c r="H629" s="688">
        <f ca="1">E622</f>
        <v>0</v>
      </c>
      <c r="J629" s="659" t="str">
        <f ca="1">IFERROR(VLOOKUP(N621,Num_AS,18,FALSE),"")</f>
        <v/>
      </c>
      <c r="K629" s="588"/>
      <c r="L629" s="653" t="str">
        <f ca="1">IFERROR(VLOOKUP(N621,Num_AS,19,FALSE),"")</f>
        <v/>
      </c>
      <c r="M629" s="647"/>
      <c r="N629" s="656" t="str">
        <f ca="1">IFERROR(VLOOKUP(N621,Num_AS,22,FALSE),"")</f>
        <v/>
      </c>
      <c r="O629" s="654" t="str">
        <f ca="1">IFERROR(VLOOKUP(N621,Num_AS,21,FALSE),"")</f>
        <v/>
      </c>
      <c r="P629" s="682" t="str">
        <f ca="1">IFERROR(VLOOKUP(N621,Num_AS,23,FALSE),"")</f>
        <v/>
      </c>
      <c r="Q629" s="688">
        <f ca="1">E622</f>
        <v>0</v>
      </c>
      <c r="R629" s="254"/>
      <c r="S629" s="254"/>
      <c r="T629" s="681"/>
      <c r="U629" s="680"/>
      <c r="V629" s="681"/>
      <c r="W629" s="679"/>
      <c r="X629" s="679"/>
      <c r="Y629" s="679"/>
      <c r="Z629" s="679"/>
      <c r="AA629" s="679"/>
      <c r="AB629" s="679"/>
      <c r="AC629" s="218"/>
      <c r="AH629" s="218"/>
    </row>
    <row r="630" spans="1:34" ht="24.75" customHeight="1" thickBot="1" x14ac:dyDescent="0.25">
      <c r="A630" s="689" t="str">
        <f ca="1">IFERROR(VLOOKUP(N621,Num_AS,12,FALSE),"")</f>
        <v/>
      </c>
      <c r="B630" s="690"/>
      <c r="C630" s="691" t="str">
        <f ca="1">IFERROR(VLOOKUP(N621,Num_AS,13,FALSE),"")</f>
        <v/>
      </c>
      <c r="D630" s="692"/>
      <c r="E630" s="693" t="str">
        <f ca="1">IFERROR(VLOOKUP(N621,Num_AS,16,FALSE),"")</f>
        <v/>
      </c>
      <c r="F630" s="694" t="str">
        <f ca="1">IFERROR(VLOOKUP(N621,Num_AS,15,FALSE),"")</f>
        <v/>
      </c>
      <c r="G630" s="695" t="str">
        <f ca="1">IFERROR(VLOOKUP(N621,Num_AS,17,FALSE),"")</f>
        <v/>
      </c>
      <c r="H630" s="700">
        <f ca="1">E622</f>
        <v>0</v>
      </c>
      <c r="J630" s="689" t="str">
        <f ca="1">IFERROR(VLOOKUP(N621,Num_AS,24,FALSE),"")</f>
        <v/>
      </c>
      <c r="K630" s="690"/>
      <c r="L630" s="691" t="str">
        <f ca="1">IFERROR(VLOOKUP(N621,Num_AS,25,FALSE),"")</f>
        <v/>
      </c>
      <c r="M630" s="697"/>
      <c r="N630" s="698" t="str">
        <f ca="1">IFERROR(VLOOKUP(N621,Num_AS,28,FALSE),"")</f>
        <v/>
      </c>
      <c r="O630" s="694" t="str">
        <f ca="1">IFERROR(VLOOKUP(N621,Num_AS,27,FALSE),"")</f>
        <v/>
      </c>
      <c r="P630" s="699" t="str">
        <f ca="1">IFERROR(VLOOKUP(N621,Num_AS,29,FALSE),"")</f>
        <v/>
      </c>
      <c r="Q630" s="700">
        <f ca="1">E622</f>
        <v>0</v>
      </c>
      <c r="R630" s="254"/>
      <c r="S630" s="254"/>
      <c r="T630" s="681"/>
      <c r="U630" s="680"/>
      <c r="V630" s="681"/>
      <c r="W630" s="681"/>
      <c r="X630" s="681"/>
      <c r="Y630" s="681"/>
      <c r="Z630" s="679"/>
      <c r="AA630" s="679"/>
      <c r="AB630" s="679"/>
      <c r="AC630" s="218"/>
      <c r="AH630" s="218"/>
    </row>
    <row r="631" spans="1:34" ht="12.75" customHeight="1" thickTop="1" x14ac:dyDescent="0.2">
      <c r="A631" s="701"/>
      <c r="B631" s="249"/>
      <c r="C631" s="701"/>
      <c r="D631" s="701"/>
      <c r="E631" s="196"/>
      <c r="F631" s="196"/>
      <c r="G631" s="249"/>
      <c r="H631" s="219"/>
      <c r="I631" s="701"/>
      <c r="J631" s="249"/>
      <c r="K631" s="701"/>
      <c r="L631" s="249"/>
      <c r="M631" s="196"/>
      <c r="N631" s="196"/>
      <c r="O631" s="249"/>
      <c r="P631" s="219"/>
      <c r="R631" s="254"/>
      <c r="S631" s="254"/>
      <c r="T631" s="681"/>
      <c r="U631" s="680"/>
      <c r="V631" s="681"/>
      <c r="W631" s="681"/>
      <c r="X631" s="681"/>
      <c r="Y631" s="681"/>
      <c r="Z631" s="679"/>
      <c r="AA631" s="679"/>
      <c r="AB631" s="679"/>
      <c r="AC631" s="218"/>
      <c r="AH631" s="218"/>
    </row>
    <row r="632" spans="1:34" ht="37.5" customHeight="1" x14ac:dyDescent="0.2">
      <c r="A632" s="1113" t="s">
        <v>909</v>
      </c>
      <c r="B632" s="1113"/>
      <c r="C632" s="1113"/>
      <c r="F632" s="1113" t="s">
        <v>910</v>
      </c>
      <c r="G632" s="1113"/>
      <c r="H632" s="1113"/>
      <c r="J632" s="1113" t="s">
        <v>911</v>
      </c>
      <c r="K632" s="1113"/>
      <c r="L632" s="1113"/>
      <c r="N632" s="1113" t="s">
        <v>912</v>
      </c>
      <c r="O632" s="1113"/>
      <c r="P632" s="1113"/>
      <c r="R632" s="254"/>
      <c r="S632" s="254"/>
      <c r="T632" s="681"/>
      <c r="U632" s="680"/>
      <c r="V632" s="679"/>
      <c r="W632" s="679"/>
      <c r="X632" s="679"/>
      <c r="Y632" s="679"/>
      <c r="Z632" s="679"/>
      <c r="AA632" s="679"/>
      <c r="AB632" s="679"/>
      <c r="AC632" s="218"/>
      <c r="AH632" s="218"/>
    </row>
    <row r="633" spans="1:34" ht="37.5" customHeight="1" x14ac:dyDescent="0.25">
      <c r="A633" s="629" t="s">
        <v>980</v>
      </c>
      <c r="B633" s="629" t="s">
        <v>981</v>
      </c>
      <c r="C633" s="636" t="s">
        <v>780</v>
      </c>
      <c r="D633" s="649"/>
      <c r="F633" s="629" t="s">
        <v>980</v>
      </c>
      <c r="G633" s="629" t="s">
        <v>981</v>
      </c>
      <c r="H633" s="636" t="s">
        <v>780</v>
      </c>
      <c r="J633" s="629" t="s">
        <v>980</v>
      </c>
      <c r="K633" s="629" t="s">
        <v>981</v>
      </c>
      <c r="L633" s="636" t="s">
        <v>780</v>
      </c>
      <c r="M633" s="649"/>
      <c r="N633" s="629" t="s">
        <v>980</v>
      </c>
      <c r="O633" s="629" t="s">
        <v>981</v>
      </c>
      <c r="P633" s="636" t="s">
        <v>780</v>
      </c>
      <c r="T633" s="679"/>
      <c r="U633" s="680"/>
      <c r="V633" s="679"/>
      <c r="W633" s="679"/>
      <c r="X633" s="679"/>
      <c r="Y633" s="679"/>
      <c r="Z633" s="679"/>
      <c r="AA633" s="679"/>
      <c r="AB633" s="679"/>
      <c r="AC633" s="218"/>
      <c r="AH633" s="218"/>
    </row>
    <row r="634" spans="1:34" ht="32.25" customHeight="1" x14ac:dyDescent="0.25">
      <c r="A634" s="666">
        <v>10</v>
      </c>
      <c r="B634" s="636"/>
      <c r="C634" s="636"/>
      <c r="D634" s="649"/>
      <c r="F634" s="666">
        <v>10</v>
      </c>
      <c r="G634" s="636"/>
      <c r="H634" s="636"/>
      <c r="J634" s="666">
        <v>10</v>
      </c>
      <c r="K634" s="636"/>
      <c r="L634" s="636"/>
      <c r="M634" s="649"/>
      <c r="N634" s="666">
        <v>10</v>
      </c>
      <c r="O634" s="636"/>
      <c r="P634" s="636"/>
      <c r="T634" s="679"/>
      <c r="U634" s="680"/>
      <c r="V634" s="679"/>
      <c r="W634" s="679"/>
      <c r="X634" s="679"/>
      <c r="Y634" s="679"/>
      <c r="Z634" s="679"/>
      <c r="AA634" s="679"/>
      <c r="AB634" s="679"/>
      <c r="AC634" s="218"/>
      <c r="AH634" s="218"/>
    </row>
    <row r="635" spans="1:34" ht="32.25" customHeight="1" x14ac:dyDescent="0.25">
      <c r="A635" s="666">
        <v>9</v>
      </c>
      <c r="B635" s="636"/>
      <c r="C635" s="636"/>
      <c r="D635" s="649"/>
      <c r="F635" s="666">
        <v>9</v>
      </c>
      <c r="G635" s="636"/>
      <c r="H635" s="636"/>
      <c r="J635" s="666">
        <v>9</v>
      </c>
      <c r="K635" s="636"/>
      <c r="L635" s="636"/>
      <c r="M635" s="649"/>
      <c r="N635" s="666">
        <v>9</v>
      </c>
      <c r="O635" s="636"/>
      <c r="P635" s="636"/>
      <c r="T635" s="679"/>
      <c r="U635" s="680"/>
      <c r="V635" s="679"/>
      <c r="W635" s="679"/>
      <c r="X635" s="679"/>
      <c r="Y635" s="679"/>
      <c r="Z635" s="679"/>
      <c r="AA635" s="679"/>
      <c r="AB635" s="679"/>
      <c r="AC635" s="218"/>
      <c r="AH635" s="218"/>
    </row>
    <row r="636" spans="1:34" ht="32.25" customHeight="1" x14ac:dyDescent="0.25">
      <c r="A636" s="666">
        <v>8</v>
      </c>
      <c r="B636" s="636"/>
      <c r="C636" s="636"/>
      <c r="D636" s="649"/>
      <c r="F636" s="666">
        <v>8</v>
      </c>
      <c r="G636" s="636"/>
      <c r="H636" s="636"/>
      <c r="J636" s="666">
        <v>8</v>
      </c>
      <c r="K636" s="636"/>
      <c r="L636" s="636"/>
      <c r="M636" s="649"/>
      <c r="N636" s="666">
        <v>8</v>
      </c>
      <c r="O636" s="636"/>
      <c r="P636" s="636"/>
      <c r="T636" s="679"/>
      <c r="U636" s="680"/>
      <c r="V636" s="679"/>
      <c r="W636" s="679"/>
      <c r="X636" s="679"/>
      <c r="Y636" s="679"/>
      <c r="Z636" s="679"/>
      <c r="AA636" s="679"/>
      <c r="AB636" s="679"/>
      <c r="AC636" s="218"/>
      <c r="AH636" s="218"/>
    </row>
    <row r="637" spans="1:34" ht="32.25" customHeight="1" x14ac:dyDescent="0.25">
      <c r="A637" s="666">
        <v>7</v>
      </c>
      <c r="B637" s="636"/>
      <c r="C637" s="636"/>
      <c r="D637" s="649"/>
      <c r="F637" s="666">
        <v>7</v>
      </c>
      <c r="G637" s="636"/>
      <c r="H637" s="636"/>
      <c r="J637" s="666">
        <v>7</v>
      </c>
      <c r="K637" s="636"/>
      <c r="L637" s="636"/>
      <c r="M637" s="649"/>
      <c r="N637" s="666">
        <v>7</v>
      </c>
      <c r="O637" s="636"/>
      <c r="P637" s="636"/>
      <c r="T637" s="679"/>
      <c r="U637" s="680"/>
      <c r="V637" s="679"/>
      <c r="W637" s="679"/>
      <c r="X637" s="679"/>
      <c r="Y637" s="679"/>
      <c r="Z637" s="679"/>
      <c r="AC637" s="218"/>
      <c r="AH637" s="218"/>
    </row>
    <row r="638" spans="1:34" ht="32.25" customHeight="1" x14ac:dyDescent="0.25">
      <c r="A638" s="666">
        <v>6</v>
      </c>
      <c r="B638" s="636"/>
      <c r="C638" s="636"/>
      <c r="D638" s="649"/>
      <c r="F638" s="666">
        <v>6</v>
      </c>
      <c r="G638" s="636"/>
      <c r="H638" s="636"/>
      <c r="J638" s="666">
        <v>6</v>
      </c>
      <c r="K638" s="636"/>
      <c r="L638" s="636"/>
      <c r="M638" s="649"/>
      <c r="N638" s="666">
        <v>6</v>
      </c>
      <c r="O638" s="636"/>
      <c r="P638" s="636"/>
      <c r="T638" s="679"/>
      <c r="U638" s="680"/>
      <c r="AC638" s="218"/>
      <c r="AH638" s="218"/>
    </row>
    <row r="639" spans="1:34" ht="32.25" customHeight="1" x14ac:dyDescent="0.25">
      <c r="A639" s="666">
        <v>5</v>
      </c>
      <c r="B639" s="636"/>
      <c r="C639" s="636"/>
      <c r="D639" s="649"/>
      <c r="F639" s="666">
        <v>5</v>
      </c>
      <c r="G639" s="636"/>
      <c r="H639" s="636"/>
      <c r="J639" s="666">
        <v>5</v>
      </c>
      <c r="K639" s="636"/>
      <c r="L639" s="636"/>
      <c r="M639" s="649"/>
      <c r="N639" s="666">
        <v>5</v>
      </c>
      <c r="O639" s="636"/>
      <c r="P639" s="636"/>
      <c r="U639" s="520"/>
      <c r="AC639" s="218"/>
      <c r="AH639" s="218"/>
    </row>
    <row r="640" spans="1:34" ht="32.25" customHeight="1" x14ac:dyDescent="0.25">
      <c r="A640" s="666">
        <v>4</v>
      </c>
      <c r="B640" s="636"/>
      <c r="C640" s="636"/>
      <c r="D640" s="649"/>
      <c r="F640" s="666">
        <v>4</v>
      </c>
      <c r="G640" s="636"/>
      <c r="H640" s="636"/>
      <c r="J640" s="666">
        <v>4</v>
      </c>
      <c r="K640" s="636"/>
      <c r="L640" s="636"/>
      <c r="M640" s="649"/>
      <c r="N640" s="666">
        <v>4</v>
      </c>
      <c r="O640" s="636"/>
      <c r="P640" s="636"/>
      <c r="U640" s="520"/>
      <c r="AC640" s="218"/>
      <c r="AH640" s="218"/>
    </row>
    <row r="641" spans="1:34" ht="32.25" customHeight="1" x14ac:dyDescent="0.25">
      <c r="A641" s="666">
        <v>3</v>
      </c>
      <c r="B641" s="636"/>
      <c r="C641" s="636"/>
      <c r="D641" s="649"/>
      <c r="F641" s="666">
        <v>3</v>
      </c>
      <c r="G641" s="636"/>
      <c r="H641" s="636"/>
      <c r="J641" s="666">
        <v>3</v>
      </c>
      <c r="K641" s="636"/>
      <c r="L641" s="636"/>
      <c r="M641" s="649"/>
      <c r="N641" s="666">
        <v>3</v>
      </c>
      <c r="O641" s="636"/>
      <c r="P641" s="636"/>
      <c r="U641" s="520"/>
      <c r="AC641" s="218"/>
      <c r="AH641" s="218"/>
    </row>
    <row r="642" spans="1:34" ht="32.25" customHeight="1" x14ac:dyDescent="0.25">
      <c r="A642" s="666">
        <v>2</v>
      </c>
      <c r="B642" s="636"/>
      <c r="C642" s="636"/>
      <c r="D642" s="649"/>
      <c r="F642" s="666">
        <v>2</v>
      </c>
      <c r="G642" s="636"/>
      <c r="H642" s="636"/>
      <c r="J642" s="666">
        <v>2</v>
      </c>
      <c r="K642" s="636"/>
      <c r="L642" s="636"/>
      <c r="M642" s="649"/>
      <c r="N642" s="666">
        <v>2</v>
      </c>
      <c r="O642" s="636"/>
      <c r="P642" s="636"/>
      <c r="U642" s="520"/>
      <c r="AC642" s="218"/>
      <c r="AH642" s="218"/>
    </row>
    <row r="643" spans="1:34" ht="32.25" customHeight="1" x14ac:dyDescent="0.25">
      <c r="A643" s="666">
        <v>1</v>
      </c>
      <c r="B643" s="636"/>
      <c r="C643" s="636"/>
      <c r="D643" s="649"/>
      <c r="F643" s="666">
        <v>1</v>
      </c>
      <c r="G643" s="636"/>
      <c r="H643" s="636"/>
      <c r="J643" s="666">
        <v>1</v>
      </c>
      <c r="K643" s="636"/>
      <c r="L643" s="636"/>
      <c r="M643" s="649"/>
      <c r="N643" s="666">
        <v>1</v>
      </c>
      <c r="O643" s="636"/>
      <c r="P643" s="636"/>
      <c r="U643" s="520"/>
      <c r="AC643" s="218"/>
      <c r="AH643" s="218"/>
    </row>
    <row r="644" spans="1:34" ht="32.25" customHeight="1" x14ac:dyDescent="0.25">
      <c r="A644" s="666" t="s">
        <v>982</v>
      </c>
      <c r="B644" s="636"/>
      <c r="C644" s="636"/>
      <c r="D644" s="649"/>
      <c r="F644" s="666" t="s">
        <v>982</v>
      </c>
      <c r="G644" s="636"/>
      <c r="H644" s="636"/>
      <c r="J644" s="666" t="s">
        <v>982</v>
      </c>
      <c r="K644" s="636"/>
      <c r="L644" s="636"/>
      <c r="M644" s="649"/>
      <c r="N644" s="666" t="s">
        <v>982</v>
      </c>
      <c r="O644" s="636"/>
      <c r="P644" s="636"/>
      <c r="U644" s="520"/>
      <c r="AC644" s="218"/>
      <c r="AH644" s="218"/>
    </row>
    <row r="645" spans="1:34" ht="32.25" customHeight="1" x14ac:dyDescent="0.25">
      <c r="A645" s="629" t="s">
        <v>981</v>
      </c>
      <c r="B645" s="650"/>
      <c r="C645" s="651" t="s">
        <v>996</v>
      </c>
      <c r="D645" s="649"/>
      <c r="F645" s="629" t="s">
        <v>981</v>
      </c>
      <c r="G645" s="650"/>
      <c r="H645" s="651" t="s">
        <v>996</v>
      </c>
      <c r="J645" s="629" t="s">
        <v>981</v>
      </c>
      <c r="K645" s="650"/>
      <c r="L645" s="651" t="s">
        <v>996</v>
      </c>
      <c r="M645" s="649"/>
      <c r="N645" s="629" t="s">
        <v>981</v>
      </c>
      <c r="O645" s="650"/>
      <c r="P645" s="651" t="s">
        <v>996</v>
      </c>
      <c r="Q645" s="649"/>
      <c r="U645" s="520"/>
      <c r="AC645" s="218"/>
      <c r="AH645" s="218"/>
    </row>
    <row r="646" spans="1:34" ht="32.25" customHeight="1" thickBot="1" x14ac:dyDescent="0.3">
      <c r="A646" s="649"/>
      <c r="B646" s="629" t="s">
        <v>983</v>
      </c>
      <c r="C646" s="665"/>
      <c r="D646" s="649"/>
      <c r="F646" s="637" t="s">
        <v>985</v>
      </c>
      <c r="G646" s="629" t="s">
        <v>983</v>
      </c>
      <c r="H646" s="636"/>
      <c r="J646" s="637" t="s">
        <v>985</v>
      </c>
      <c r="K646" s="629" t="s">
        <v>983</v>
      </c>
      <c r="L646" s="636"/>
      <c r="M646" s="649"/>
      <c r="N646" s="637" t="s">
        <v>985</v>
      </c>
      <c r="O646" s="629" t="s">
        <v>983</v>
      </c>
      <c r="P646" s="636"/>
      <c r="Q646" s="649"/>
      <c r="U646" s="520"/>
      <c r="AC646" s="218"/>
      <c r="AH646" s="218"/>
    </row>
    <row r="647" spans="1:34" ht="41.25" customHeight="1" thickBot="1" x14ac:dyDescent="0.3">
      <c r="A647" s="1114" t="s">
        <v>1001</v>
      </c>
      <c r="B647" s="1114"/>
      <c r="C647" s="734">
        <f ca="1">VLOOKUP(A625&amp;F625,PTS_SP,2,FALSE)</f>
        <v>0</v>
      </c>
      <c r="D647" s="649"/>
      <c r="F647" s="1115" t="s">
        <v>986</v>
      </c>
      <c r="G647" s="1116"/>
      <c r="H647" s="636"/>
      <c r="I647" s="1115" t="s">
        <v>986</v>
      </c>
      <c r="J647" s="1115"/>
      <c r="K647" s="636"/>
      <c r="L647" s="649"/>
      <c r="O647" s="634" t="s">
        <v>987</v>
      </c>
      <c r="P647" s="636"/>
      <c r="Q647" s="649"/>
      <c r="U647" s="520"/>
      <c r="AC647" s="218"/>
      <c r="AH647" s="218"/>
    </row>
    <row r="648" spans="1:34" ht="47.25" customHeight="1" thickBot="1" x14ac:dyDescent="0.3">
      <c r="A648" s="1115" t="s">
        <v>986</v>
      </c>
      <c r="B648" s="1116"/>
      <c r="C648" s="644"/>
      <c r="D648" s="649"/>
      <c r="E648" s="649"/>
      <c r="F648" s="649"/>
      <c r="G648" s="649"/>
      <c r="H648" s="649"/>
      <c r="I648" s="649"/>
      <c r="J648" s="649"/>
      <c r="K648" s="649"/>
      <c r="L648" s="649"/>
      <c r="N648" s="634"/>
      <c r="O648" s="634" t="s">
        <v>997</v>
      </c>
      <c r="P648" s="673"/>
      <c r="Q648" s="674"/>
      <c r="R648" s="663" t="s">
        <v>998</v>
      </c>
      <c r="U648" s="520"/>
      <c r="AC648" s="218"/>
      <c r="AH648" s="218"/>
    </row>
    <row r="649" spans="1:34" ht="36" customHeight="1" thickBot="1" x14ac:dyDescent="0.3">
      <c r="A649" s="649"/>
      <c r="B649" s="649"/>
      <c r="C649" s="649"/>
      <c r="D649" s="649"/>
      <c r="E649" s="672" t="s">
        <v>1002</v>
      </c>
      <c r="F649" s="667"/>
      <c r="G649" s="667"/>
      <c r="H649" s="668"/>
      <c r="I649" s="649"/>
      <c r="J649" s="672" t="s">
        <v>1003</v>
      </c>
      <c r="K649" s="667"/>
      <c r="L649" s="667"/>
      <c r="M649" s="668"/>
      <c r="O649" s="675" t="s">
        <v>1004</v>
      </c>
      <c r="P649" s="676" t="s">
        <v>999</v>
      </c>
      <c r="Q649" s="677" t="s">
        <v>1000</v>
      </c>
      <c r="R649" s="649"/>
      <c r="U649" s="520"/>
      <c r="AC649" s="218"/>
      <c r="AH649" s="218"/>
    </row>
    <row r="650" spans="1:34" ht="36" customHeight="1" thickBot="1" x14ac:dyDescent="0.25">
      <c r="E650" s="669"/>
      <c r="F650" s="670"/>
      <c r="G650" s="670"/>
      <c r="H650" s="671"/>
      <c r="J650" s="669"/>
      <c r="K650" s="670"/>
      <c r="L650" s="670"/>
      <c r="M650" s="671"/>
      <c r="U650" s="520"/>
      <c r="AA650" s="679"/>
      <c r="AB650" s="679"/>
      <c r="AC650" s="218"/>
      <c r="AH650" s="218"/>
    </row>
    <row r="651" spans="1:34" s="218" customFormat="1" ht="23.25" customHeight="1" x14ac:dyDescent="0.2">
      <c r="A651" s="217"/>
      <c r="B651" s="217"/>
      <c r="C651" s="217"/>
      <c r="D651" s="217"/>
      <c r="E651" s="217"/>
      <c r="F651" s="217"/>
      <c r="G651" s="217"/>
      <c r="H651" s="217"/>
      <c r="I651" s="217"/>
      <c r="J651" s="217"/>
      <c r="K651" s="217"/>
      <c r="L651" s="217"/>
      <c r="M651" s="217"/>
      <c r="N651" s="684"/>
      <c r="O651" s="684"/>
      <c r="P651" s="684"/>
      <c r="Q651" s="684"/>
      <c r="R651" s="217"/>
      <c r="S651" s="217"/>
      <c r="T651" s="217"/>
      <c r="U651" s="520"/>
      <c r="V651" s="679"/>
      <c r="W651" s="679"/>
      <c r="X651" s="679"/>
      <c r="Y651" s="679"/>
      <c r="Z651" s="679"/>
      <c r="AA651" s="662"/>
      <c r="AB651" s="662"/>
      <c r="AD651" s="217"/>
      <c r="AE651" s="217"/>
      <c r="AF651" s="217"/>
      <c r="AG651" s="217"/>
    </row>
    <row r="652" spans="1:34" ht="19.5" customHeight="1" thickBot="1" x14ac:dyDescent="0.25">
      <c r="M652" s="500"/>
      <c r="N652" s="520">
        <f ca="1">INDIRECT("AE"&amp;O652)</f>
        <v>0</v>
      </c>
      <c r="O652" s="500">
        <f>P653+2</f>
        <v>24</v>
      </c>
      <c r="P652" s="501">
        <f ca="1">INDIRECT("AF"&amp;O652)</f>
        <v>0</v>
      </c>
      <c r="Q652" s="500"/>
      <c r="R652" s="500"/>
      <c r="T652" s="679"/>
      <c r="U652" s="679"/>
      <c r="V652" s="679"/>
      <c r="W652" s="679"/>
      <c r="X652" s="679"/>
      <c r="Y652" s="679"/>
      <c r="Z652" s="679"/>
      <c r="AA652" s="679"/>
      <c r="AB652" s="679"/>
      <c r="AC652" s="218"/>
      <c r="AH652" s="218"/>
    </row>
    <row r="653" spans="1:34" s="218" customFormat="1" ht="36" thickBot="1" x14ac:dyDescent="0.25">
      <c r="A653" s="576" t="s">
        <v>546</v>
      </c>
      <c r="B653" s="402" t="str">
        <f>B622</f>
        <v>D3</v>
      </c>
      <c r="D653" s="661" t="s">
        <v>628</v>
      </c>
      <c r="E653" s="660">
        <f ca="1">INDIRECT("AD"&amp;O652)</f>
        <v>0</v>
      </c>
      <c r="F653" s="705" t="str">
        <f>"   "&amp;Championnat</f>
        <v xml:space="preserve">   Championnat de France de Tir à l'ARC</v>
      </c>
      <c r="O653" s="502" t="s">
        <v>849</v>
      </c>
      <c r="P653" s="503">
        <f>P622+1</f>
        <v>22</v>
      </c>
      <c r="R653" s="254"/>
      <c r="S653" s="254"/>
      <c r="T653" s="681"/>
      <c r="U653" s="680"/>
      <c r="V653" s="681"/>
      <c r="X653" s="662"/>
      <c r="Y653" s="662"/>
      <c r="Z653" s="662"/>
      <c r="AA653" s="662"/>
      <c r="AB653" s="662"/>
      <c r="AD653" s="217"/>
      <c r="AE653" s="217"/>
      <c r="AF653" s="217"/>
      <c r="AG653" s="217"/>
    </row>
    <row r="654" spans="1:34" ht="35.25" x14ac:dyDescent="0.2">
      <c r="A654" s="706" t="str">
        <f>CATEG_IMPORTEE</f>
        <v>Collèges Mixtes Etablissement</v>
      </c>
      <c r="J654" s="592" t="str">
        <f>LIEU&amp;" du "&amp;DATE</f>
        <v>L’Isle sur la Sorgue du 27 au 31 mars 2023</v>
      </c>
      <c r="R654" s="254"/>
      <c r="S654" s="254"/>
      <c r="T654" s="681"/>
      <c r="U654" s="680"/>
      <c r="V654" s="681"/>
      <c r="W654" s="679"/>
      <c r="X654" s="679"/>
      <c r="Y654" s="679"/>
      <c r="Z654" s="679"/>
      <c r="AA654" s="679"/>
      <c r="AB654" s="679"/>
      <c r="AC654" s="218"/>
      <c r="AH654" s="218"/>
    </row>
    <row r="655" spans="1:34" ht="24" customHeight="1" thickBot="1" x14ac:dyDescent="0.25">
      <c r="A655" s="648" t="s">
        <v>0</v>
      </c>
      <c r="B655" s="648"/>
      <c r="C655" s="648"/>
      <c r="D655" s="648"/>
      <c r="F655" s="1124" t="s">
        <v>1006</v>
      </c>
      <c r="G655" s="1125"/>
      <c r="H655" s="1125"/>
      <c r="J655" s="648" t="s">
        <v>0</v>
      </c>
      <c r="O655" s="1093" t="s">
        <v>1005</v>
      </c>
      <c r="P655" s="1093"/>
      <c r="R655" s="254"/>
      <c r="S655" s="254"/>
      <c r="T655" s="681"/>
      <c r="U655" s="680"/>
      <c r="V655" s="681"/>
      <c r="W655" s="679"/>
      <c r="X655" s="679"/>
      <c r="Y655" s="679"/>
      <c r="Z655" s="679"/>
      <c r="AA655" s="679"/>
      <c r="AB655" s="679"/>
      <c r="AC655" s="218"/>
      <c r="AH655" s="218"/>
    </row>
    <row r="656" spans="1:34" ht="23.25" customHeight="1" thickBot="1" x14ac:dyDescent="0.25">
      <c r="A656" s="657" t="str">
        <f ca="1">IFERROR(VLOOKUP(N652,Num_AS,2,FALSE),"")</f>
        <v/>
      </c>
      <c r="B656" s="658"/>
      <c r="C656" s="658"/>
      <c r="D656" s="658"/>
      <c r="E656" s="658"/>
      <c r="F656" s="1117" t="str">
        <f ca="1">IFERROR(VLOOKUP(N652,Num_AS,3,FALSE),"")</f>
        <v/>
      </c>
      <c r="G656" s="1118"/>
      <c r="H656" s="1119"/>
      <c r="I656" s="219" t="s">
        <v>547</v>
      </c>
      <c r="J656" s="678" t="str">
        <f ca="1">IFERROR(VLOOKUP(P652,Num_AS,2,FALSE),"")</f>
        <v/>
      </c>
      <c r="K656" s="664"/>
      <c r="L656" s="664"/>
      <c r="M656" s="664"/>
      <c r="N656" s="1120" t="str">
        <f ca="1">IFERROR(VLOOKUP(P652,Num_AS,3,FALSE),"")</f>
        <v/>
      </c>
      <c r="O656" s="1121"/>
      <c r="P656" s="1122"/>
      <c r="R656" s="254"/>
      <c r="S656" s="254"/>
      <c r="T656" s="681"/>
      <c r="U656" s="680"/>
      <c r="V656" s="681"/>
      <c r="W656" s="679"/>
      <c r="X656" s="679"/>
      <c r="Y656" s="679"/>
      <c r="Z656" s="679"/>
      <c r="AA656" s="679"/>
      <c r="AB656" s="679"/>
      <c r="AC656" s="218"/>
      <c r="AH656" s="218"/>
    </row>
    <row r="657" spans="1:34" ht="20.100000000000001" customHeight="1" thickBot="1" x14ac:dyDescent="0.25">
      <c r="E657" s="219"/>
      <c r="F657" s="1107" t="str">
        <f ca="1">IFERROR(VLOOKUP(N652,Num_AS,4,FALSE),"")</f>
        <v/>
      </c>
      <c r="G657" s="1108"/>
      <c r="H657" s="1109"/>
      <c r="N657" s="1110" t="str">
        <f ca="1">IFERROR(VLOOKUP(P652,Num_AS,4,FALSE),"")</f>
        <v/>
      </c>
      <c r="O657" s="1111"/>
      <c r="P657" s="1112"/>
      <c r="R657" s="254"/>
      <c r="S657" s="254"/>
      <c r="T657" s="681"/>
      <c r="U657" s="680"/>
      <c r="V657" s="681"/>
      <c r="W657" s="679"/>
      <c r="X657" s="679"/>
      <c r="Y657" s="679"/>
      <c r="Z657" s="679"/>
      <c r="AA657" s="679"/>
      <c r="AB657" s="679"/>
      <c r="AC657" s="218"/>
      <c r="AH657" s="218"/>
    </row>
    <row r="658" spans="1:34" ht="18" customHeight="1" thickBot="1" x14ac:dyDescent="0.25">
      <c r="A658" s="1123" t="s">
        <v>548</v>
      </c>
      <c r="B658" s="1123"/>
      <c r="C658" s="1123"/>
      <c r="D658" s="1123"/>
      <c r="E658" s="219"/>
      <c r="F658" s="219"/>
      <c r="G658" s="219"/>
      <c r="H658" s="219"/>
      <c r="I658" s="219"/>
      <c r="J658" s="219"/>
      <c r="K658" s="219"/>
      <c r="L658" s="219"/>
      <c r="M658" s="219"/>
      <c r="N658" s="219"/>
      <c r="O658" s="219"/>
      <c r="P658" s="219"/>
      <c r="R658" s="254"/>
      <c r="S658" s="254"/>
      <c r="T658" s="681"/>
      <c r="U658" s="680"/>
      <c r="V658" s="681"/>
      <c r="W658" s="679"/>
      <c r="X658" s="679"/>
      <c r="Y658" s="679"/>
      <c r="Z658" s="679"/>
      <c r="AA658" s="679"/>
      <c r="AB658" s="679"/>
      <c r="AC658" s="218"/>
      <c r="AH658" s="218"/>
    </row>
    <row r="659" spans="1:34" ht="24" customHeight="1" thickTop="1" thickBot="1" x14ac:dyDescent="0.25">
      <c r="A659" s="1126" t="s">
        <v>549</v>
      </c>
      <c r="B659" s="1127"/>
      <c r="C659" s="1127"/>
      <c r="D659" s="1128"/>
      <c r="E659" s="685" t="s">
        <v>480</v>
      </c>
      <c r="F659" s="685" t="s">
        <v>550</v>
      </c>
      <c r="G659" s="686" t="s">
        <v>551</v>
      </c>
      <c r="H659" s="687" t="s">
        <v>779</v>
      </c>
      <c r="J659" s="702" t="s">
        <v>549</v>
      </c>
      <c r="K659" s="703"/>
      <c r="L659" s="703"/>
      <c r="M659" s="704"/>
      <c r="N659" s="685" t="s">
        <v>480</v>
      </c>
      <c r="O659" s="685" t="s">
        <v>550</v>
      </c>
      <c r="P659" s="686" t="s">
        <v>551</v>
      </c>
      <c r="Q659" s="687" t="s">
        <v>779</v>
      </c>
      <c r="R659" s="254"/>
      <c r="S659" s="254"/>
      <c r="T659" s="681"/>
      <c r="U659" s="680"/>
      <c r="V659" s="681"/>
      <c r="W659" s="679"/>
      <c r="X659" s="679"/>
      <c r="Y659" s="679"/>
      <c r="Z659" s="679"/>
      <c r="AA659" s="679"/>
      <c r="AB659" s="679"/>
      <c r="AC659" s="218"/>
      <c r="AH659" s="218"/>
    </row>
    <row r="660" spans="1:34" ht="24.75" customHeight="1" x14ac:dyDescent="0.2">
      <c r="A660" s="659" t="str">
        <f ca="1">IFERROR(VLOOKUP(N652,Num_AS,6,FALSE),"")</f>
        <v/>
      </c>
      <c r="B660" s="588"/>
      <c r="C660" s="653" t="str">
        <f ca="1">IFERROR(VLOOKUP(N652,Num_AS,7,FALSE),"")</f>
        <v/>
      </c>
      <c r="D660" s="652"/>
      <c r="E660" s="654" t="str">
        <f ca="1">IFERROR(VLOOKUP(N652,Num_AS,10,FALSE),"")</f>
        <v/>
      </c>
      <c r="F660" s="654" t="str">
        <f ca="1">IFERROR(VLOOKUP(N652,Num_AS,9,FALSE),"")</f>
        <v/>
      </c>
      <c r="G660" s="655" t="str">
        <f ca="1">IFERROR(VLOOKUP(N652,Num_AS,11,FALSE),"")</f>
        <v/>
      </c>
      <c r="H660" s="688">
        <f ca="1">E653</f>
        <v>0</v>
      </c>
      <c r="J660" s="659" t="str">
        <f ca="1">IFERROR(VLOOKUP(N652,Num_AS,18,FALSE),"")</f>
        <v/>
      </c>
      <c r="K660" s="588"/>
      <c r="L660" s="653" t="str">
        <f ca="1">IFERROR(VLOOKUP(N652,Num_AS,19,FALSE),"")</f>
        <v/>
      </c>
      <c r="M660" s="647"/>
      <c r="N660" s="656" t="str">
        <f ca="1">IFERROR(VLOOKUP(N652,Num_AS,22,FALSE),"")</f>
        <v/>
      </c>
      <c r="O660" s="654" t="str">
        <f ca="1">IFERROR(VLOOKUP(N652,Num_AS,21,FALSE),"")</f>
        <v/>
      </c>
      <c r="P660" s="682" t="str">
        <f ca="1">IFERROR(VLOOKUP(N652,Num_AS,23,FALSE),"")</f>
        <v/>
      </c>
      <c r="Q660" s="688">
        <f ca="1">E653</f>
        <v>0</v>
      </c>
      <c r="R660" s="254"/>
      <c r="S660" s="254"/>
      <c r="T660" s="681"/>
      <c r="U660" s="680"/>
      <c r="V660" s="681"/>
      <c r="W660" s="679"/>
      <c r="X660" s="679"/>
      <c r="Y660" s="679"/>
      <c r="Z660" s="679"/>
      <c r="AA660" s="679"/>
      <c r="AB660" s="679"/>
      <c r="AC660" s="218"/>
      <c r="AH660" s="218"/>
    </row>
    <row r="661" spans="1:34" ht="24.75" customHeight="1" thickBot="1" x14ac:dyDescent="0.25">
      <c r="A661" s="689" t="str">
        <f ca="1">IFERROR(VLOOKUP(N652,Num_AS,12,FALSE),"")</f>
        <v/>
      </c>
      <c r="B661" s="690"/>
      <c r="C661" s="691" t="str">
        <f ca="1">IFERROR(VLOOKUP(N652,Num_AS,13,FALSE),"")</f>
        <v/>
      </c>
      <c r="D661" s="692"/>
      <c r="E661" s="693" t="str">
        <f ca="1">IFERROR(VLOOKUP(N652,Num_AS,16,FALSE),"")</f>
        <v/>
      </c>
      <c r="F661" s="694" t="str">
        <f ca="1">IFERROR(VLOOKUP(N652,Num_AS,15,FALSE),"")</f>
        <v/>
      </c>
      <c r="G661" s="695" t="str">
        <f ca="1">IFERROR(VLOOKUP(N652,Num_AS,17,FALSE),"")</f>
        <v/>
      </c>
      <c r="H661" s="700">
        <f ca="1">E653</f>
        <v>0</v>
      </c>
      <c r="J661" s="689" t="str">
        <f ca="1">IFERROR(VLOOKUP(N652,Num_AS,24,FALSE),"")</f>
        <v/>
      </c>
      <c r="K661" s="690"/>
      <c r="L661" s="691" t="str">
        <f ca="1">IFERROR(VLOOKUP(N652,Num_AS,25,FALSE),"")</f>
        <v/>
      </c>
      <c r="M661" s="697"/>
      <c r="N661" s="698" t="str">
        <f ca="1">IFERROR(VLOOKUP(N652,Num_AS,28,FALSE),"")</f>
        <v/>
      </c>
      <c r="O661" s="694" t="str">
        <f ca="1">IFERROR(VLOOKUP(N652,Num_AS,27,FALSE),"")</f>
        <v/>
      </c>
      <c r="P661" s="699" t="str">
        <f ca="1">IFERROR(VLOOKUP(N652,Num_AS,29,FALSE),"")</f>
        <v/>
      </c>
      <c r="Q661" s="700">
        <f ca="1">E653</f>
        <v>0</v>
      </c>
      <c r="R661" s="254"/>
      <c r="S661" s="254"/>
      <c r="T661" s="681"/>
      <c r="U661" s="680"/>
      <c r="V661" s="681"/>
      <c r="W661" s="681"/>
      <c r="X661" s="681"/>
      <c r="Y661" s="681"/>
      <c r="Z661" s="679"/>
      <c r="AA661" s="679"/>
      <c r="AB661" s="679"/>
      <c r="AC661" s="218"/>
      <c r="AH661" s="218"/>
    </row>
    <row r="662" spans="1:34" ht="12.75" customHeight="1" thickTop="1" x14ac:dyDescent="0.2">
      <c r="A662" s="701"/>
      <c r="B662" s="249"/>
      <c r="C662" s="701"/>
      <c r="D662" s="701"/>
      <c r="E662" s="196"/>
      <c r="F662" s="196"/>
      <c r="G662" s="249"/>
      <c r="H662" s="219"/>
      <c r="I662" s="701"/>
      <c r="J662" s="249"/>
      <c r="K662" s="701"/>
      <c r="L662" s="249"/>
      <c r="M662" s="196"/>
      <c r="N662" s="196"/>
      <c r="O662" s="249"/>
      <c r="P662" s="219"/>
      <c r="R662" s="254"/>
      <c r="S662" s="254"/>
      <c r="T662" s="681"/>
      <c r="U662" s="680"/>
      <c r="V662" s="681"/>
      <c r="W662" s="681"/>
      <c r="X662" s="681"/>
      <c r="Y662" s="681"/>
      <c r="Z662" s="679"/>
      <c r="AA662" s="679"/>
      <c r="AB662" s="679"/>
      <c r="AC662" s="218"/>
      <c r="AH662" s="218"/>
    </row>
    <row r="663" spans="1:34" ht="37.5" customHeight="1" x14ac:dyDescent="0.2">
      <c r="A663" s="1113" t="s">
        <v>909</v>
      </c>
      <c r="B663" s="1113"/>
      <c r="C663" s="1113"/>
      <c r="F663" s="1113" t="s">
        <v>910</v>
      </c>
      <c r="G663" s="1113"/>
      <c r="H663" s="1113"/>
      <c r="J663" s="1113" t="s">
        <v>911</v>
      </c>
      <c r="K663" s="1113"/>
      <c r="L663" s="1113"/>
      <c r="N663" s="1113" t="s">
        <v>912</v>
      </c>
      <c r="O663" s="1113"/>
      <c r="P663" s="1113"/>
      <c r="R663" s="254"/>
      <c r="S663" s="254"/>
      <c r="T663" s="681"/>
      <c r="U663" s="680"/>
      <c r="V663" s="679"/>
      <c r="W663" s="679"/>
      <c r="X663" s="679"/>
      <c r="Y663" s="679"/>
      <c r="Z663" s="679"/>
      <c r="AA663" s="679"/>
      <c r="AB663" s="679"/>
      <c r="AC663" s="218"/>
      <c r="AH663" s="218"/>
    </row>
    <row r="664" spans="1:34" ht="37.5" customHeight="1" x14ac:dyDescent="0.25">
      <c r="A664" s="629" t="s">
        <v>980</v>
      </c>
      <c r="B664" s="629" t="s">
        <v>981</v>
      </c>
      <c r="C664" s="636" t="s">
        <v>780</v>
      </c>
      <c r="D664" s="649"/>
      <c r="F664" s="629" t="s">
        <v>980</v>
      </c>
      <c r="G664" s="629" t="s">
        <v>981</v>
      </c>
      <c r="H664" s="636" t="s">
        <v>780</v>
      </c>
      <c r="J664" s="629" t="s">
        <v>980</v>
      </c>
      <c r="K664" s="629" t="s">
        <v>981</v>
      </c>
      <c r="L664" s="636" t="s">
        <v>780</v>
      </c>
      <c r="M664" s="649"/>
      <c r="N664" s="629" t="s">
        <v>980</v>
      </c>
      <c r="O664" s="629" t="s">
        <v>981</v>
      </c>
      <c r="P664" s="636" t="s">
        <v>780</v>
      </c>
      <c r="T664" s="679"/>
      <c r="U664" s="680"/>
      <c r="V664" s="679"/>
      <c r="W664" s="679"/>
      <c r="X664" s="679"/>
      <c r="Y664" s="679"/>
      <c r="Z664" s="679"/>
      <c r="AA664" s="679"/>
      <c r="AB664" s="679"/>
      <c r="AC664" s="218"/>
      <c r="AH664" s="218"/>
    </row>
    <row r="665" spans="1:34" ht="32.25" customHeight="1" x14ac:dyDescent="0.25">
      <c r="A665" s="666">
        <v>10</v>
      </c>
      <c r="B665" s="636"/>
      <c r="C665" s="636"/>
      <c r="D665" s="649"/>
      <c r="F665" s="666">
        <v>10</v>
      </c>
      <c r="G665" s="636"/>
      <c r="H665" s="636"/>
      <c r="J665" s="666">
        <v>10</v>
      </c>
      <c r="K665" s="636"/>
      <c r="L665" s="636"/>
      <c r="M665" s="649"/>
      <c r="N665" s="666">
        <v>10</v>
      </c>
      <c r="O665" s="636"/>
      <c r="P665" s="636"/>
      <c r="T665" s="679"/>
      <c r="U665" s="680"/>
      <c r="V665" s="679"/>
      <c r="W665" s="679"/>
      <c r="X665" s="679"/>
      <c r="Y665" s="679"/>
      <c r="Z665" s="679"/>
      <c r="AA665" s="679"/>
      <c r="AB665" s="679"/>
      <c r="AC665" s="218"/>
      <c r="AH665" s="218"/>
    </row>
    <row r="666" spans="1:34" ht="32.25" customHeight="1" x14ac:dyDescent="0.25">
      <c r="A666" s="666">
        <v>9</v>
      </c>
      <c r="B666" s="636"/>
      <c r="C666" s="636"/>
      <c r="D666" s="649"/>
      <c r="F666" s="666">
        <v>9</v>
      </c>
      <c r="G666" s="636"/>
      <c r="H666" s="636"/>
      <c r="J666" s="666">
        <v>9</v>
      </c>
      <c r="K666" s="636"/>
      <c r="L666" s="636"/>
      <c r="M666" s="649"/>
      <c r="N666" s="666">
        <v>9</v>
      </c>
      <c r="O666" s="636"/>
      <c r="P666" s="636"/>
      <c r="T666" s="679"/>
      <c r="U666" s="680"/>
      <c r="V666" s="679"/>
      <c r="W666" s="679"/>
      <c r="X666" s="679"/>
      <c r="Y666" s="679"/>
      <c r="Z666" s="679"/>
      <c r="AA666" s="679"/>
      <c r="AB666" s="679"/>
      <c r="AC666" s="218"/>
      <c r="AH666" s="218"/>
    </row>
    <row r="667" spans="1:34" ht="32.25" customHeight="1" x14ac:dyDescent="0.25">
      <c r="A667" s="666">
        <v>8</v>
      </c>
      <c r="B667" s="636"/>
      <c r="C667" s="636"/>
      <c r="D667" s="649"/>
      <c r="F667" s="666">
        <v>8</v>
      </c>
      <c r="G667" s="636"/>
      <c r="H667" s="636"/>
      <c r="J667" s="666">
        <v>8</v>
      </c>
      <c r="K667" s="636"/>
      <c r="L667" s="636"/>
      <c r="M667" s="649"/>
      <c r="N667" s="666">
        <v>8</v>
      </c>
      <c r="O667" s="636"/>
      <c r="P667" s="636"/>
      <c r="T667" s="679"/>
      <c r="U667" s="680"/>
      <c r="V667" s="679"/>
      <c r="W667" s="679"/>
      <c r="X667" s="679"/>
      <c r="Y667" s="679"/>
      <c r="Z667" s="679"/>
      <c r="AA667" s="679"/>
      <c r="AB667" s="679"/>
      <c r="AC667" s="218"/>
      <c r="AH667" s="218"/>
    </row>
    <row r="668" spans="1:34" ht="32.25" customHeight="1" x14ac:dyDescent="0.25">
      <c r="A668" s="666">
        <v>7</v>
      </c>
      <c r="B668" s="636"/>
      <c r="C668" s="636"/>
      <c r="D668" s="649"/>
      <c r="F668" s="666">
        <v>7</v>
      </c>
      <c r="G668" s="636"/>
      <c r="H668" s="636"/>
      <c r="J668" s="666">
        <v>7</v>
      </c>
      <c r="K668" s="636"/>
      <c r="L668" s="636"/>
      <c r="M668" s="649"/>
      <c r="N668" s="666">
        <v>7</v>
      </c>
      <c r="O668" s="636"/>
      <c r="P668" s="636"/>
      <c r="T668" s="679"/>
      <c r="U668" s="680"/>
      <c r="V668" s="679"/>
      <c r="W668" s="679"/>
      <c r="X668" s="679"/>
      <c r="Y668" s="679"/>
      <c r="Z668" s="679"/>
      <c r="AC668" s="218"/>
      <c r="AH668" s="218"/>
    </row>
    <row r="669" spans="1:34" ht="32.25" customHeight="1" x14ac:dyDescent="0.25">
      <c r="A669" s="666">
        <v>6</v>
      </c>
      <c r="B669" s="636"/>
      <c r="C669" s="636"/>
      <c r="D669" s="649"/>
      <c r="F669" s="666">
        <v>6</v>
      </c>
      <c r="G669" s="636"/>
      <c r="H669" s="636"/>
      <c r="J669" s="666">
        <v>6</v>
      </c>
      <c r="K669" s="636"/>
      <c r="L669" s="636"/>
      <c r="M669" s="649"/>
      <c r="N669" s="666">
        <v>6</v>
      </c>
      <c r="O669" s="636"/>
      <c r="P669" s="636"/>
      <c r="T669" s="679"/>
      <c r="U669" s="680"/>
      <c r="AC669" s="218"/>
      <c r="AH669" s="218"/>
    </row>
    <row r="670" spans="1:34" ht="32.25" customHeight="1" x14ac:dyDescent="0.25">
      <c r="A670" s="666">
        <v>5</v>
      </c>
      <c r="B670" s="636"/>
      <c r="C670" s="636"/>
      <c r="D670" s="649"/>
      <c r="F670" s="666">
        <v>5</v>
      </c>
      <c r="G670" s="636"/>
      <c r="H670" s="636"/>
      <c r="J670" s="666">
        <v>5</v>
      </c>
      <c r="K670" s="636"/>
      <c r="L670" s="636"/>
      <c r="M670" s="649"/>
      <c r="N670" s="666">
        <v>5</v>
      </c>
      <c r="O670" s="636"/>
      <c r="P670" s="636"/>
      <c r="U670" s="520"/>
      <c r="AC670" s="218"/>
      <c r="AH670" s="218"/>
    </row>
    <row r="671" spans="1:34" ht="32.25" customHeight="1" x14ac:dyDescent="0.25">
      <c r="A671" s="666">
        <v>4</v>
      </c>
      <c r="B671" s="636"/>
      <c r="C671" s="636"/>
      <c r="D671" s="649"/>
      <c r="F671" s="666">
        <v>4</v>
      </c>
      <c r="G671" s="636"/>
      <c r="H671" s="636"/>
      <c r="J671" s="666">
        <v>4</v>
      </c>
      <c r="K671" s="636"/>
      <c r="L671" s="636"/>
      <c r="M671" s="649"/>
      <c r="N671" s="666">
        <v>4</v>
      </c>
      <c r="O671" s="636"/>
      <c r="P671" s="636"/>
      <c r="U671" s="520"/>
      <c r="AC671" s="218"/>
      <c r="AH671" s="218"/>
    </row>
    <row r="672" spans="1:34" ht="32.25" customHeight="1" x14ac:dyDescent="0.25">
      <c r="A672" s="666">
        <v>3</v>
      </c>
      <c r="B672" s="636"/>
      <c r="C672" s="636"/>
      <c r="D672" s="649"/>
      <c r="F672" s="666">
        <v>3</v>
      </c>
      <c r="G672" s="636"/>
      <c r="H672" s="636"/>
      <c r="J672" s="666">
        <v>3</v>
      </c>
      <c r="K672" s="636"/>
      <c r="L672" s="636"/>
      <c r="M672" s="649"/>
      <c r="N672" s="666">
        <v>3</v>
      </c>
      <c r="O672" s="636"/>
      <c r="P672" s="636"/>
      <c r="U672" s="520"/>
      <c r="AC672" s="218"/>
      <c r="AH672" s="218"/>
    </row>
    <row r="673" spans="1:34" ht="32.25" customHeight="1" x14ac:dyDescent="0.25">
      <c r="A673" s="666">
        <v>2</v>
      </c>
      <c r="B673" s="636"/>
      <c r="C673" s="636"/>
      <c r="D673" s="649"/>
      <c r="F673" s="666">
        <v>2</v>
      </c>
      <c r="G673" s="636"/>
      <c r="H673" s="636"/>
      <c r="J673" s="666">
        <v>2</v>
      </c>
      <c r="K673" s="636"/>
      <c r="L673" s="636"/>
      <c r="M673" s="649"/>
      <c r="N673" s="666">
        <v>2</v>
      </c>
      <c r="O673" s="636"/>
      <c r="P673" s="636"/>
      <c r="U673" s="520"/>
      <c r="AC673" s="218"/>
      <c r="AH673" s="218"/>
    </row>
    <row r="674" spans="1:34" ht="32.25" customHeight="1" x14ac:dyDescent="0.25">
      <c r="A674" s="666">
        <v>1</v>
      </c>
      <c r="B674" s="636"/>
      <c r="C674" s="636"/>
      <c r="D674" s="649"/>
      <c r="F674" s="666">
        <v>1</v>
      </c>
      <c r="G674" s="636"/>
      <c r="H674" s="636"/>
      <c r="J674" s="666">
        <v>1</v>
      </c>
      <c r="K674" s="636"/>
      <c r="L674" s="636"/>
      <c r="M674" s="649"/>
      <c r="N674" s="666">
        <v>1</v>
      </c>
      <c r="O674" s="636"/>
      <c r="P674" s="636"/>
      <c r="U674" s="520"/>
      <c r="AC674" s="218"/>
      <c r="AH674" s="218"/>
    </row>
    <row r="675" spans="1:34" ht="32.25" customHeight="1" x14ac:dyDescent="0.25">
      <c r="A675" s="666" t="s">
        <v>982</v>
      </c>
      <c r="B675" s="636"/>
      <c r="C675" s="636"/>
      <c r="D675" s="649"/>
      <c r="F675" s="666" t="s">
        <v>982</v>
      </c>
      <c r="G675" s="636"/>
      <c r="H675" s="636"/>
      <c r="J675" s="666" t="s">
        <v>982</v>
      </c>
      <c r="K675" s="636"/>
      <c r="L675" s="636"/>
      <c r="M675" s="649"/>
      <c r="N675" s="666" t="s">
        <v>982</v>
      </c>
      <c r="O675" s="636"/>
      <c r="P675" s="636"/>
      <c r="U675" s="520"/>
      <c r="AC675" s="218"/>
      <c r="AH675" s="218"/>
    </row>
    <row r="676" spans="1:34" ht="32.25" customHeight="1" x14ac:dyDescent="0.25">
      <c r="A676" s="629" t="s">
        <v>981</v>
      </c>
      <c r="B676" s="650"/>
      <c r="C676" s="651" t="s">
        <v>996</v>
      </c>
      <c r="D676" s="649"/>
      <c r="F676" s="629" t="s">
        <v>981</v>
      </c>
      <c r="G676" s="650"/>
      <c r="H676" s="651" t="s">
        <v>996</v>
      </c>
      <c r="J676" s="629" t="s">
        <v>981</v>
      </c>
      <c r="K676" s="650"/>
      <c r="L676" s="651" t="s">
        <v>996</v>
      </c>
      <c r="M676" s="649"/>
      <c r="N676" s="629" t="s">
        <v>981</v>
      </c>
      <c r="O676" s="650"/>
      <c r="P676" s="651" t="s">
        <v>996</v>
      </c>
      <c r="Q676" s="649"/>
      <c r="U676" s="520"/>
      <c r="AC676" s="218"/>
      <c r="AH676" s="218"/>
    </row>
    <row r="677" spans="1:34" ht="32.25" customHeight="1" thickBot="1" x14ac:dyDescent="0.3">
      <c r="A677" s="649"/>
      <c r="B677" s="629" t="s">
        <v>983</v>
      </c>
      <c r="C677" s="665"/>
      <c r="D677" s="649"/>
      <c r="F677" s="637" t="s">
        <v>985</v>
      </c>
      <c r="G677" s="629" t="s">
        <v>983</v>
      </c>
      <c r="H677" s="636"/>
      <c r="J677" s="637" t="s">
        <v>985</v>
      </c>
      <c r="K677" s="629" t="s">
        <v>983</v>
      </c>
      <c r="L677" s="636"/>
      <c r="M677" s="649"/>
      <c r="N677" s="637" t="s">
        <v>985</v>
      </c>
      <c r="O677" s="629" t="s">
        <v>983</v>
      </c>
      <c r="P677" s="636"/>
      <c r="Q677" s="649"/>
      <c r="U677" s="520"/>
      <c r="AC677" s="218"/>
      <c r="AH677" s="218"/>
    </row>
    <row r="678" spans="1:34" ht="41.25" customHeight="1" thickBot="1" x14ac:dyDescent="0.3">
      <c r="A678" s="1114" t="s">
        <v>1001</v>
      </c>
      <c r="B678" s="1114"/>
      <c r="C678" s="734">
        <f ca="1">VLOOKUP(A656&amp;F656,PTS_SP,2,FALSE)</f>
        <v>0</v>
      </c>
      <c r="D678" s="649"/>
      <c r="F678" s="1115" t="s">
        <v>986</v>
      </c>
      <c r="G678" s="1116"/>
      <c r="H678" s="636"/>
      <c r="I678" s="1115" t="s">
        <v>986</v>
      </c>
      <c r="J678" s="1115"/>
      <c r="K678" s="636"/>
      <c r="L678" s="649"/>
      <c r="O678" s="634" t="s">
        <v>987</v>
      </c>
      <c r="P678" s="636"/>
      <c r="Q678" s="649"/>
      <c r="U678" s="520"/>
      <c r="AC678" s="218"/>
      <c r="AH678" s="218"/>
    </row>
    <row r="679" spans="1:34" ht="47.25" customHeight="1" thickBot="1" x14ac:dyDescent="0.3">
      <c r="A679" s="1115" t="s">
        <v>986</v>
      </c>
      <c r="B679" s="1116"/>
      <c r="C679" s="644"/>
      <c r="D679" s="649"/>
      <c r="E679" s="649"/>
      <c r="F679" s="649"/>
      <c r="G679" s="649"/>
      <c r="H679" s="649"/>
      <c r="I679" s="649"/>
      <c r="J679" s="649"/>
      <c r="K679" s="649"/>
      <c r="L679" s="649"/>
      <c r="N679" s="634"/>
      <c r="O679" s="634" t="s">
        <v>997</v>
      </c>
      <c r="P679" s="673"/>
      <c r="Q679" s="674"/>
      <c r="R679" s="663" t="s">
        <v>998</v>
      </c>
      <c r="U679" s="520"/>
      <c r="AC679" s="218"/>
      <c r="AH679" s="218"/>
    </row>
    <row r="680" spans="1:34" ht="36" customHeight="1" thickBot="1" x14ac:dyDescent="0.3">
      <c r="A680" s="649"/>
      <c r="B680" s="649"/>
      <c r="C680" s="649"/>
      <c r="D680" s="649"/>
      <c r="E680" s="672" t="s">
        <v>1002</v>
      </c>
      <c r="F680" s="667"/>
      <c r="G680" s="667"/>
      <c r="H680" s="668"/>
      <c r="I680" s="649"/>
      <c r="J680" s="672" t="s">
        <v>1003</v>
      </c>
      <c r="K680" s="667"/>
      <c r="L680" s="667"/>
      <c r="M680" s="668"/>
      <c r="O680" s="675" t="s">
        <v>1004</v>
      </c>
      <c r="P680" s="676" t="s">
        <v>999</v>
      </c>
      <c r="Q680" s="677" t="s">
        <v>1000</v>
      </c>
      <c r="R680" s="649"/>
      <c r="U680" s="520"/>
      <c r="AC680" s="218"/>
      <c r="AH680" s="218"/>
    </row>
    <row r="681" spans="1:34" ht="36" customHeight="1" thickBot="1" x14ac:dyDescent="0.25">
      <c r="E681" s="669"/>
      <c r="F681" s="670"/>
      <c r="G681" s="670"/>
      <c r="H681" s="671"/>
      <c r="J681" s="669"/>
      <c r="K681" s="670"/>
      <c r="L681" s="670"/>
      <c r="M681" s="671"/>
      <c r="U681" s="520"/>
      <c r="AA681" s="679"/>
      <c r="AB681" s="679"/>
      <c r="AC681" s="218"/>
      <c r="AH681" s="218"/>
    </row>
    <row r="682" spans="1:34" s="218" customFormat="1" ht="23.25" customHeight="1" x14ac:dyDescent="0.2">
      <c r="A682" s="217"/>
      <c r="B682" s="217"/>
      <c r="C682" s="217"/>
      <c r="D682" s="217"/>
      <c r="E682" s="217"/>
      <c r="F682" s="217"/>
      <c r="G682" s="217"/>
      <c r="H682" s="217"/>
      <c r="I682" s="217"/>
      <c r="J682" s="217"/>
      <c r="K682" s="217"/>
      <c r="L682" s="217"/>
      <c r="M682" s="217"/>
      <c r="N682" s="684"/>
      <c r="O682" s="684"/>
      <c r="P682" s="684"/>
      <c r="Q682" s="684"/>
      <c r="R682" s="217"/>
      <c r="S682" s="217"/>
      <c r="T682" s="217"/>
      <c r="U682" s="520"/>
      <c r="V682" s="679"/>
      <c r="W682" s="679"/>
      <c r="X682" s="679"/>
      <c r="Y682" s="679"/>
      <c r="Z682" s="679"/>
      <c r="AA682" s="662"/>
      <c r="AB682" s="662"/>
      <c r="AD682" s="217"/>
      <c r="AE682" s="217"/>
      <c r="AF682" s="217"/>
      <c r="AG682" s="217"/>
    </row>
    <row r="683" spans="1:34" ht="19.5" customHeight="1" thickBot="1" x14ac:dyDescent="0.25">
      <c r="M683" s="500"/>
      <c r="N683" s="520">
        <f ca="1">INDIRECT("AE"&amp;O683)</f>
        <v>0</v>
      </c>
      <c r="O683" s="500">
        <f>P684+2</f>
        <v>25</v>
      </c>
      <c r="P683" s="501">
        <f ca="1">INDIRECT("AF"&amp;O683)</f>
        <v>0</v>
      </c>
      <c r="Q683" s="500"/>
      <c r="R683" s="500"/>
      <c r="T683" s="679"/>
      <c r="U683" s="679"/>
      <c r="V683" s="679"/>
      <c r="W683" s="679"/>
      <c r="X683" s="679"/>
      <c r="Y683" s="679"/>
      <c r="Z683" s="679"/>
      <c r="AA683" s="679"/>
      <c r="AB683" s="679"/>
      <c r="AC683" s="218"/>
      <c r="AH683" s="218"/>
    </row>
    <row r="684" spans="1:34" s="218" customFormat="1" ht="36" thickBot="1" x14ac:dyDescent="0.25">
      <c r="A684" s="576" t="s">
        <v>546</v>
      </c>
      <c r="B684" s="402" t="str">
        <f>B653</f>
        <v>D3</v>
      </c>
      <c r="D684" s="661" t="s">
        <v>628</v>
      </c>
      <c r="E684" s="660">
        <f ca="1">INDIRECT("AD"&amp;O683)</f>
        <v>0</v>
      </c>
      <c r="F684" s="705" t="str">
        <f>"   "&amp;Championnat</f>
        <v xml:space="preserve">   Championnat de France de Tir à l'ARC</v>
      </c>
      <c r="O684" s="502" t="s">
        <v>849</v>
      </c>
      <c r="P684" s="503">
        <f>P653+1</f>
        <v>23</v>
      </c>
      <c r="R684" s="254"/>
      <c r="S684" s="254"/>
      <c r="T684" s="681"/>
      <c r="U684" s="680"/>
      <c r="V684" s="681"/>
      <c r="X684" s="662"/>
      <c r="Y684" s="662"/>
      <c r="Z684" s="662"/>
      <c r="AA684" s="662"/>
      <c r="AB684" s="662"/>
      <c r="AD684" s="217"/>
      <c r="AE684" s="217"/>
      <c r="AF684" s="217"/>
      <c r="AG684" s="217"/>
    </row>
    <row r="685" spans="1:34" ht="35.25" x14ac:dyDescent="0.2">
      <c r="A685" s="706" t="str">
        <f>CATEG_IMPORTEE</f>
        <v>Collèges Mixtes Etablissement</v>
      </c>
      <c r="J685" s="592" t="str">
        <f>LIEU&amp;" du "&amp;DATE</f>
        <v>L’Isle sur la Sorgue du 27 au 31 mars 2023</v>
      </c>
      <c r="R685" s="254"/>
      <c r="S685" s="254"/>
      <c r="T685" s="681"/>
      <c r="U685" s="680"/>
      <c r="V685" s="681"/>
      <c r="W685" s="679"/>
      <c r="X685" s="679"/>
      <c r="Y685" s="679"/>
      <c r="Z685" s="679"/>
      <c r="AA685" s="679"/>
      <c r="AB685" s="679"/>
      <c r="AC685" s="218"/>
      <c r="AH685" s="218"/>
    </row>
    <row r="686" spans="1:34" ht="24" customHeight="1" thickBot="1" x14ac:dyDescent="0.25">
      <c r="A686" s="648" t="s">
        <v>0</v>
      </c>
      <c r="B686" s="648"/>
      <c r="C686" s="648"/>
      <c r="D686" s="648"/>
      <c r="F686" s="1124" t="s">
        <v>1006</v>
      </c>
      <c r="G686" s="1125"/>
      <c r="H686" s="1125"/>
      <c r="J686" s="648" t="s">
        <v>0</v>
      </c>
      <c r="O686" s="1093" t="s">
        <v>1005</v>
      </c>
      <c r="P686" s="1093"/>
      <c r="R686" s="254"/>
      <c r="S686" s="254"/>
      <c r="T686" s="681"/>
      <c r="U686" s="680"/>
      <c r="V686" s="681"/>
      <c r="W686" s="679"/>
      <c r="X686" s="679"/>
      <c r="Y686" s="679"/>
      <c r="Z686" s="679"/>
      <c r="AA686" s="679"/>
      <c r="AB686" s="679"/>
      <c r="AC686" s="218"/>
      <c r="AH686" s="218"/>
    </row>
    <row r="687" spans="1:34" ht="23.25" customHeight="1" thickBot="1" x14ac:dyDescent="0.25">
      <c r="A687" s="657" t="str">
        <f ca="1">IFERROR(VLOOKUP(N683,Num_AS,2,FALSE),"")</f>
        <v/>
      </c>
      <c r="B687" s="658"/>
      <c r="C687" s="658"/>
      <c r="D687" s="658"/>
      <c r="E687" s="658"/>
      <c r="F687" s="1117" t="str">
        <f ca="1">IFERROR(VLOOKUP(N683,Num_AS,3,FALSE),"")</f>
        <v/>
      </c>
      <c r="G687" s="1118"/>
      <c r="H687" s="1119"/>
      <c r="I687" s="219" t="s">
        <v>547</v>
      </c>
      <c r="J687" s="678" t="str">
        <f ca="1">IFERROR(VLOOKUP(P683,Num_AS,2,FALSE),"")</f>
        <v/>
      </c>
      <c r="K687" s="664"/>
      <c r="L687" s="664"/>
      <c r="M687" s="664"/>
      <c r="N687" s="1120" t="str">
        <f ca="1">IFERROR(VLOOKUP(P683,Num_AS,3,FALSE),"")</f>
        <v/>
      </c>
      <c r="O687" s="1121"/>
      <c r="P687" s="1122"/>
      <c r="R687" s="254"/>
      <c r="S687" s="254"/>
      <c r="T687" s="681"/>
      <c r="U687" s="680"/>
      <c r="V687" s="681"/>
      <c r="W687" s="679"/>
      <c r="X687" s="679"/>
      <c r="Y687" s="679"/>
      <c r="Z687" s="679"/>
      <c r="AA687" s="679"/>
      <c r="AB687" s="679"/>
      <c r="AC687" s="218"/>
      <c r="AH687" s="218"/>
    </row>
    <row r="688" spans="1:34" ht="20.100000000000001" customHeight="1" thickBot="1" x14ac:dyDescent="0.25">
      <c r="E688" s="219"/>
      <c r="F688" s="1107" t="str">
        <f ca="1">IFERROR(VLOOKUP(N683,Num_AS,4,FALSE),"")</f>
        <v/>
      </c>
      <c r="G688" s="1108"/>
      <c r="H688" s="1109"/>
      <c r="N688" s="1110" t="str">
        <f ca="1">IFERROR(VLOOKUP(P683,Num_AS,4,FALSE),"")</f>
        <v/>
      </c>
      <c r="O688" s="1111"/>
      <c r="P688" s="1112"/>
      <c r="R688" s="254"/>
      <c r="S688" s="254"/>
      <c r="T688" s="681"/>
      <c r="U688" s="680"/>
      <c r="V688" s="681"/>
      <c r="W688" s="679"/>
      <c r="X688" s="679"/>
      <c r="Y688" s="679"/>
      <c r="Z688" s="679"/>
      <c r="AA688" s="679"/>
      <c r="AB688" s="679"/>
      <c r="AC688" s="218"/>
      <c r="AH688" s="218"/>
    </row>
    <row r="689" spans="1:34" ht="18" customHeight="1" thickBot="1" x14ac:dyDescent="0.25">
      <c r="A689" s="1123" t="s">
        <v>548</v>
      </c>
      <c r="B689" s="1123"/>
      <c r="C689" s="1123"/>
      <c r="D689" s="1123"/>
      <c r="E689" s="219"/>
      <c r="F689" s="219"/>
      <c r="G689" s="219"/>
      <c r="H689" s="219"/>
      <c r="I689" s="219"/>
      <c r="J689" s="219"/>
      <c r="K689" s="219"/>
      <c r="L689" s="219"/>
      <c r="M689" s="219"/>
      <c r="N689" s="219"/>
      <c r="O689" s="219"/>
      <c r="P689" s="219"/>
      <c r="R689" s="254"/>
      <c r="S689" s="254"/>
      <c r="T689" s="681"/>
      <c r="U689" s="680"/>
      <c r="V689" s="681"/>
      <c r="W689" s="679"/>
      <c r="X689" s="679"/>
      <c r="Y689" s="679"/>
      <c r="Z689" s="679"/>
      <c r="AA689" s="679"/>
      <c r="AB689" s="679"/>
      <c r="AC689" s="218"/>
      <c r="AH689" s="218"/>
    </row>
    <row r="690" spans="1:34" ht="24" customHeight="1" thickTop="1" thickBot="1" x14ac:dyDescent="0.25">
      <c r="A690" s="1126" t="s">
        <v>549</v>
      </c>
      <c r="B690" s="1127"/>
      <c r="C690" s="1127"/>
      <c r="D690" s="1128"/>
      <c r="E690" s="685" t="s">
        <v>480</v>
      </c>
      <c r="F690" s="685" t="s">
        <v>550</v>
      </c>
      <c r="G690" s="686" t="s">
        <v>551</v>
      </c>
      <c r="H690" s="687" t="s">
        <v>779</v>
      </c>
      <c r="J690" s="702" t="s">
        <v>549</v>
      </c>
      <c r="K690" s="703"/>
      <c r="L690" s="703"/>
      <c r="M690" s="704"/>
      <c r="N690" s="685" t="s">
        <v>480</v>
      </c>
      <c r="O690" s="685" t="s">
        <v>550</v>
      </c>
      <c r="P690" s="686" t="s">
        <v>551</v>
      </c>
      <c r="Q690" s="687" t="s">
        <v>779</v>
      </c>
      <c r="R690" s="254"/>
      <c r="S690" s="254"/>
      <c r="T690" s="681"/>
      <c r="U690" s="680"/>
      <c r="V690" s="681"/>
      <c r="W690" s="679"/>
      <c r="X690" s="679"/>
      <c r="Y690" s="679"/>
      <c r="Z690" s="679"/>
      <c r="AA690" s="679"/>
      <c r="AB690" s="679"/>
      <c r="AC690" s="218"/>
      <c r="AH690" s="218"/>
    </row>
    <row r="691" spans="1:34" ht="24.75" customHeight="1" x14ac:dyDescent="0.2">
      <c r="A691" s="659" t="str">
        <f ca="1">IFERROR(VLOOKUP(N683,Num_AS,6,FALSE),"")</f>
        <v/>
      </c>
      <c r="B691" s="588"/>
      <c r="C691" s="653" t="str">
        <f ca="1">IFERROR(VLOOKUP(N683,Num_AS,7,FALSE),"")</f>
        <v/>
      </c>
      <c r="D691" s="652"/>
      <c r="E691" s="654" t="str">
        <f ca="1">IFERROR(VLOOKUP(N683,Num_AS,10,FALSE),"")</f>
        <v/>
      </c>
      <c r="F691" s="654" t="str">
        <f ca="1">IFERROR(VLOOKUP(N683,Num_AS,9,FALSE),"")</f>
        <v/>
      </c>
      <c r="G691" s="655" t="str">
        <f ca="1">IFERROR(VLOOKUP(N683,Num_AS,11,FALSE),"")</f>
        <v/>
      </c>
      <c r="H691" s="688">
        <f ca="1">E684</f>
        <v>0</v>
      </c>
      <c r="J691" s="659" t="str">
        <f ca="1">IFERROR(VLOOKUP(N683,Num_AS,18,FALSE),"")</f>
        <v/>
      </c>
      <c r="K691" s="588"/>
      <c r="L691" s="653" t="str">
        <f ca="1">IFERROR(VLOOKUP(N683,Num_AS,19,FALSE),"")</f>
        <v/>
      </c>
      <c r="M691" s="647"/>
      <c r="N691" s="656" t="str">
        <f ca="1">IFERROR(VLOOKUP(N683,Num_AS,22,FALSE),"")</f>
        <v/>
      </c>
      <c r="O691" s="654" t="str">
        <f ca="1">IFERROR(VLOOKUP(N683,Num_AS,21,FALSE),"")</f>
        <v/>
      </c>
      <c r="P691" s="682" t="str">
        <f ca="1">IFERROR(VLOOKUP(N683,Num_AS,23,FALSE),"")</f>
        <v/>
      </c>
      <c r="Q691" s="688">
        <f ca="1">E684</f>
        <v>0</v>
      </c>
      <c r="R691" s="254"/>
      <c r="S691" s="254"/>
      <c r="T691" s="681"/>
      <c r="U691" s="680"/>
      <c r="V691" s="681"/>
      <c r="W691" s="679"/>
      <c r="X691" s="679"/>
      <c r="Y691" s="679"/>
      <c r="Z691" s="679"/>
      <c r="AA691" s="679"/>
      <c r="AB691" s="679"/>
      <c r="AC691" s="218"/>
      <c r="AH691" s="218"/>
    </row>
    <row r="692" spans="1:34" ht="24.75" customHeight="1" thickBot="1" x14ac:dyDescent="0.25">
      <c r="A692" s="689" t="str">
        <f ca="1">IFERROR(VLOOKUP(N683,Num_AS,12,FALSE),"")</f>
        <v/>
      </c>
      <c r="B692" s="690"/>
      <c r="C692" s="691" t="str">
        <f ca="1">IFERROR(VLOOKUP(N683,Num_AS,13,FALSE),"")</f>
        <v/>
      </c>
      <c r="D692" s="692"/>
      <c r="E692" s="693" t="str">
        <f ca="1">IFERROR(VLOOKUP(N683,Num_AS,16,FALSE),"")</f>
        <v/>
      </c>
      <c r="F692" s="694" t="str">
        <f ca="1">IFERROR(VLOOKUP(N683,Num_AS,15,FALSE),"")</f>
        <v/>
      </c>
      <c r="G692" s="695" t="str">
        <f ca="1">IFERROR(VLOOKUP(N683,Num_AS,17,FALSE),"")</f>
        <v/>
      </c>
      <c r="H692" s="700">
        <f ca="1">E684</f>
        <v>0</v>
      </c>
      <c r="J692" s="689" t="str">
        <f ca="1">IFERROR(VLOOKUP(N683,Num_AS,24,FALSE),"")</f>
        <v/>
      </c>
      <c r="K692" s="690"/>
      <c r="L692" s="691" t="str">
        <f ca="1">IFERROR(VLOOKUP(N683,Num_AS,25,FALSE),"")</f>
        <v/>
      </c>
      <c r="M692" s="697"/>
      <c r="N692" s="698" t="str">
        <f ca="1">IFERROR(VLOOKUP(N683,Num_AS,28,FALSE),"")</f>
        <v/>
      </c>
      <c r="O692" s="694" t="str">
        <f ca="1">IFERROR(VLOOKUP(N683,Num_AS,27,FALSE),"")</f>
        <v/>
      </c>
      <c r="P692" s="699" t="str">
        <f ca="1">IFERROR(VLOOKUP(N683,Num_AS,29,FALSE),"")</f>
        <v/>
      </c>
      <c r="Q692" s="700">
        <f ca="1">E684</f>
        <v>0</v>
      </c>
      <c r="R692" s="254"/>
      <c r="S692" s="254"/>
      <c r="T692" s="681"/>
      <c r="U692" s="680"/>
      <c r="V692" s="681"/>
      <c r="W692" s="681"/>
      <c r="X692" s="681"/>
      <c r="Y692" s="681"/>
      <c r="Z692" s="679"/>
      <c r="AA692" s="679"/>
      <c r="AB692" s="679"/>
      <c r="AC692" s="218"/>
      <c r="AH692" s="218"/>
    </row>
    <row r="693" spans="1:34" ht="12.75" customHeight="1" thickTop="1" x14ac:dyDescent="0.2">
      <c r="A693" s="701"/>
      <c r="B693" s="249"/>
      <c r="C693" s="701"/>
      <c r="D693" s="701"/>
      <c r="E693" s="196"/>
      <c r="F693" s="196"/>
      <c r="G693" s="249"/>
      <c r="H693" s="219"/>
      <c r="I693" s="701"/>
      <c r="J693" s="249"/>
      <c r="K693" s="701"/>
      <c r="L693" s="249"/>
      <c r="M693" s="196"/>
      <c r="N693" s="196"/>
      <c r="O693" s="249"/>
      <c r="P693" s="219"/>
      <c r="R693" s="254"/>
      <c r="S693" s="254"/>
      <c r="T693" s="681"/>
      <c r="U693" s="680"/>
      <c r="V693" s="681"/>
      <c r="W693" s="681"/>
      <c r="X693" s="681"/>
      <c r="Y693" s="681"/>
      <c r="Z693" s="679"/>
      <c r="AA693" s="679"/>
      <c r="AB693" s="679"/>
      <c r="AC693" s="218"/>
      <c r="AH693" s="218"/>
    </row>
    <row r="694" spans="1:34" ht="37.5" customHeight="1" x14ac:dyDescent="0.2">
      <c r="A694" s="1113" t="s">
        <v>909</v>
      </c>
      <c r="B694" s="1113"/>
      <c r="C694" s="1113"/>
      <c r="F694" s="1113" t="s">
        <v>910</v>
      </c>
      <c r="G694" s="1113"/>
      <c r="H694" s="1113"/>
      <c r="J694" s="1113" t="s">
        <v>911</v>
      </c>
      <c r="K694" s="1113"/>
      <c r="L694" s="1113"/>
      <c r="N694" s="1113" t="s">
        <v>912</v>
      </c>
      <c r="O694" s="1113"/>
      <c r="P694" s="1113"/>
      <c r="R694" s="254"/>
      <c r="S694" s="254"/>
      <c r="T694" s="681"/>
      <c r="U694" s="680"/>
      <c r="V694" s="679"/>
      <c r="W694" s="679"/>
      <c r="X694" s="679"/>
      <c r="Y694" s="679"/>
      <c r="Z694" s="679"/>
      <c r="AA694" s="679"/>
      <c r="AB694" s="679"/>
      <c r="AC694" s="218"/>
      <c r="AH694" s="218"/>
    </row>
    <row r="695" spans="1:34" ht="37.5" customHeight="1" x14ac:dyDescent="0.25">
      <c r="A695" s="629" t="s">
        <v>980</v>
      </c>
      <c r="B695" s="629" t="s">
        <v>981</v>
      </c>
      <c r="C695" s="636" t="s">
        <v>780</v>
      </c>
      <c r="D695" s="649"/>
      <c r="F695" s="629" t="s">
        <v>980</v>
      </c>
      <c r="G695" s="629" t="s">
        <v>981</v>
      </c>
      <c r="H695" s="636" t="s">
        <v>780</v>
      </c>
      <c r="J695" s="629" t="s">
        <v>980</v>
      </c>
      <c r="K695" s="629" t="s">
        <v>981</v>
      </c>
      <c r="L695" s="636" t="s">
        <v>780</v>
      </c>
      <c r="M695" s="649"/>
      <c r="N695" s="629" t="s">
        <v>980</v>
      </c>
      <c r="O695" s="629" t="s">
        <v>981</v>
      </c>
      <c r="P695" s="636" t="s">
        <v>780</v>
      </c>
      <c r="T695" s="679"/>
      <c r="U695" s="680"/>
      <c r="V695" s="679"/>
      <c r="W695" s="679"/>
      <c r="X695" s="679"/>
      <c r="Y695" s="679"/>
      <c r="Z695" s="679"/>
      <c r="AA695" s="679"/>
      <c r="AB695" s="679"/>
      <c r="AC695" s="218"/>
      <c r="AH695" s="218"/>
    </row>
    <row r="696" spans="1:34" ht="32.25" customHeight="1" x14ac:dyDescent="0.25">
      <c r="A696" s="666">
        <v>10</v>
      </c>
      <c r="B696" s="636"/>
      <c r="C696" s="636"/>
      <c r="D696" s="649"/>
      <c r="F696" s="666">
        <v>10</v>
      </c>
      <c r="G696" s="636"/>
      <c r="H696" s="636"/>
      <c r="J696" s="666">
        <v>10</v>
      </c>
      <c r="K696" s="636"/>
      <c r="L696" s="636"/>
      <c r="M696" s="649"/>
      <c r="N696" s="666">
        <v>10</v>
      </c>
      <c r="O696" s="636"/>
      <c r="P696" s="636"/>
      <c r="T696" s="679"/>
      <c r="U696" s="680"/>
      <c r="V696" s="679"/>
      <c r="W696" s="679"/>
      <c r="X696" s="679"/>
      <c r="Y696" s="679"/>
      <c r="Z696" s="679"/>
      <c r="AA696" s="679"/>
      <c r="AB696" s="679"/>
      <c r="AC696" s="218"/>
      <c r="AH696" s="218"/>
    </row>
    <row r="697" spans="1:34" ht="32.25" customHeight="1" x14ac:dyDescent="0.25">
      <c r="A697" s="666">
        <v>9</v>
      </c>
      <c r="B697" s="636"/>
      <c r="C697" s="636"/>
      <c r="D697" s="649"/>
      <c r="F697" s="666">
        <v>9</v>
      </c>
      <c r="G697" s="636"/>
      <c r="H697" s="636"/>
      <c r="J697" s="666">
        <v>9</v>
      </c>
      <c r="K697" s="636"/>
      <c r="L697" s="636"/>
      <c r="M697" s="649"/>
      <c r="N697" s="666">
        <v>9</v>
      </c>
      <c r="O697" s="636"/>
      <c r="P697" s="636"/>
      <c r="T697" s="679"/>
      <c r="U697" s="680"/>
      <c r="V697" s="679"/>
      <c r="W697" s="679"/>
      <c r="X697" s="679"/>
      <c r="Y697" s="679"/>
      <c r="Z697" s="679"/>
      <c r="AA697" s="679"/>
      <c r="AB697" s="679"/>
      <c r="AC697" s="218"/>
      <c r="AH697" s="218"/>
    </row>
    <row r="698" spans="1:34" ht="32.25" customHeight="1" x14ac:dyDescent="0.25">
      <c r="A698" s="666">
        <v>8</v>
      </c>
      <c r="B698" s="636"/>
      <c r="C698" s="636"/>
      <c r="D698" s="649"/>
      <c r="F698" s="666">
        <v>8</v>
      </c>
      <c r="G698" s="636"/>
      <c r="H698" s="636"/>
      <c r="J698" s="666">
        <v>8</v>
      </c>
      <c r="K698" s="636"/>
      <c r="L698" s="636"/>
      <c r="M698" s="649"/>
      <c r="N698" s="666">
        <v>8</v>
      </c>
      <c r="O698" s="636"/>
      <c r="P698" s="636"/>
      <c r="T698" s="679"/>
      <c r="U698" s="680"/>
      <c r="V698" s="679"/>
      <c r="W698" s="679"/>
      <c r="X698" s="679"/>
      <c r="Y698" s="679"/>
      <c r="Z698" s="679"/>
      <c r="AA698" s="679"/>
      <c r="AB698" s="679"/>
      <c r="AC698" s="218"/>
      <c r="AH698" s="218"/>
    </row>
    <row r="699" spans="1:34" ht="32.25" customHeight="1" x14ac:dyDescent="0.25">
      <c r="A699" s="666">
        <v>7</v>
      </c>
      <c r="B699" s="636"/>
      <c r="C699" s="636"/>
      <c r="D699" s="649"/>
      <c r="F699" s="666">
        <v>7</v>
      </c>
      <c r="G699" s="636"/>
      <c r="H699" s="636"/>
      <c r="J699" s="666">
        <v>7</v>
      </c>
      <c r="K699" s="636"/>
      <c r="L699" s="636"/>
      <c r="M699" s="649"/>
      <c r="N699" s="666">
        <v>7</v>
      </c>
      <c r="O699" s="636"/>
      <c r="P699" s="636"/>
      <c r="T699" s="679"/>
      <c r="U699" s="680"/>
      <c r="V699" s="679"/>
      <c r="W699" s="679"/>
      <c r="X699" s="679"/>
      <c r="Y699" s="679"/>
      <c r="Z699" s="679"/>
      <c r="AC699" s="218"/>
      <c r="AH699" s="218"/>
    </row>
    <row r="700" spans="1:34" ht="32.25" customHeight="1" x14ac:dyDescent="0.25">
      <c r="A700" s="666">
        <v>6</v>
      </c>
      <c r="B700" s="636"/>
      <c r="C700" s="636"/>
      <c r="D700" s="649"/>
      <c r="F700" s="666">
        <v>6</v>
      </c>
      <c r="G700" s="636"/>
      <c r="H700" s="636"/>
      <c r="J700" s="666">
        <v>6</v>
      </c>
      <c r="K700" s="636"/>
      <c r="L700" s="636"/>
      <c r="M700" s="649"/>
      <c r="N700" s="666">
        <v>6</v>
      </c>
      <c r="O700" s="636"/>
      <c r="P700" s="636"/>
      <c r="T700" s="679"/>
      <c r="U700" s="680"/>
      <c r="AC700" s="218"/>
      <c r="AH700" s="218"/>
    </row>
    <row r="701" spans="1:34" ht="32.25" customHeight="1" x14ac:dyDescent="0.25">
      <c r="A701" s="666">
        <v>5</v>
      </c>
      <c r="B701" s="636"/>
      <c r="C701" s="636"/>
      <c r="D701" s="649"/>
      <c r="F701" s="666">
        <v>5</v>
      </c>
      <c r="G701" s="636"/>
      <c r="H701" s="636"/>
      <c r="J701" s="666">
        <v>5</v>
      </c>
      <c r="K701" s="636"/>
      <c r="L701" s="636"/>
      <c r="M701" s="649"/>
      <c r="N701" s="666">
        <v>5</v>
      </c>
      <c r="O701" s="636"/>
      <c r="P701" s="636"/>
      <c r="U701" s="520"/>
      <c r="AC701" s="218"/>
      <c r="AH701" s="218"/>
    </row>
    <row r="702" spans="1:34" ht="32.25" customHeight="1" x14ac:dyDescent="0.25">
      <c r="A702" s="666">
        <v>4</v>
      </c>
      <c r="B702" s="636"/>
      <c r="C702" s="636"/>
      <c r="D702" s="649"/>
      <c r="F702" s="666">
        <v>4</v>
      </c>
      <c r="G702" s="636"/>
      <c r="H702" s="636"/>
      <c r="J702" s="666">
        <v>4</v>
      </c>
      <c r="K702" s="636"/>
      <c r="L702" s="636"/>
      <c r="M702" s="649"/>
      <c r="N702" s="666">
        <v>4</v>
      </c>
      <c r="O702" s="636"/>
      <c r="P702" s="636"/>
      <c r="U702" s="520"/>
      <c r="AC702" s="218"/>
      <c r="AH702" s="218"/>
    </row>
    <row r="703" spans="1:34" ht="32.25" customHeight="1" x14ac:dyDescent="0.25">
      <c r="A703" s="666">
        <v>3</v>
      </c>
      <c r="B703" s="636"/>
      <c r="C703" s="636"/>
      <c r="D703" s="649"/>
      <c r="F703" s="666">
        <v>3</v>
      </c>
      <c r="G703" s="636"/>
      <c r="H703" s="636"/>
      <c r="J703" s="666">
        <v>3</v>
      </c>
      <c r="K703" s="636"/>
      <c r="L703" s="636"/>
      <c r="M703" s="649"/>
      <c r="N703" s="666">
        <v>3</v>
      </c>
      <c r="O703" s="636"/>
      <c r="P703" s="636"/>
      <c r="U703" s="520"/>
      <c r="AC703" s="218"/>
      <c r="AH703" s="218"/>
    </row>
    <row r="704" spans="1:34" ht="32.25" customHeight="1" x14ac:dyDescent="0.25">
      <c r="A704" s="666">
        <v>2</v>
      </c>
      <c r="B704" s="636"/>
      <c r="C704" s="636"/>
      <c r="D704" s="649"/>
      <c r="F704" s="666">
        <v>2</v>
      </c>
      <c r="G704" s="636"/>
      <c r="H704" s="636"/>
      <c r="J704" s="666">
        <v>2</v>
      </c>
      <c r="K704" s="636"/>
      <c r="L704" s="636"/>
      <c r="M704" s="649"/>
      <c r="N704" s="666">
        <v>2</v>
      </c>
      <c r="O704" s="636"/>
      <c r="P704" s="636"/>
      <c r="U704" s="520"/>
      <c r="AC704" s="218"/>
      <c r="AH704" s="218"/>
    </row>
    <row r="705" spans="1:34" ht="32.25" customHeight="1" x14ac:dyDescent="0.25">
      <c r="A705" s="666">
        <v>1</v>
      </c>
      <c r="B705" s="636"/>
      <c r="C705" s="636"/>
      <c r="D705" s="649"/>
      <c r="F705" s="666">
        <v>1</v>
      </c>
      <c r="G705" s="636"/>
      <c r="H705" s="636"/>
      <c r="J705" s="666">
        <v>1</v>
      </c>
      <c r="K705" s="636"/>
      <c r="L705" s="636"/>
      <c r="M705" s="649"/>
      <c r="N705" s="666">
        <v>1</v>
      </c>
      <c r="O705" s="636"/>
      <c r="P705" s="636"/>
      <c r="U705" s="520"/>
      <c r="AC705" s="218"/>
      <c r="AH705" s="218"/>
    </row>
    <row r="706" spans="1:34" ht="32.25" customHeight="1" x14ac:dyDescent="0.25">
      <c r="A706" s="666" t="s">
        <v>982</v>
      </c>
      <c r="B706" s="636"/>
      <c r="C706" s="636"/>
      <c r="D706" s="649"/>
      <c r="F706" s="666" t="s">
        <v>982</v>
      </c>
      <c r="G706" s="636"/>
      <c r="H706" s="636"/>
      <c r="J706" s="666" t="s">
        <v>982</v>
      </c>
      <c r="K706" s="636"/>
      <c r="L706" s="636"/>
      <c r="M706" s="649"/>
      <c r="N706" s="666" t="s">
        <v>982</v>
      </c>
      <c r="O706" s="636"/>
      <c r="P706" s="636"/>
      <c r="U706" s="520"/>
      <c r="AC706" s="218"/>
      <c r="AH706" s="218"/>
    </row>
    <row r="707" spans="1:34" ht="32.25" customHeight="1" x14ac:dyDescent="0.25">
      <c r="A707" s="629" t="s">
        <v>981</v>
      </c>
      <c r="B707" s="650"/>
      <c r="C707" s="651" t="s">
        <v>996</v>
      </c>
      <c r="D707" s="649"/>
      <c r="F707" s="629" t="s">
        <v>981</v>
      </c>
      <c r="G707" s="650"/>
      <c r="H707" s="651" t="s">
        <v>996</v>
      </c>
      <c r="J707" s="629" t="s">
        <v>981</v>
      </c>
      <c r="K707" s="650"/>
      <c r="L707" s="651" t="s">
        <v>996</v>
      </c>
      <c r="M707" s="649"/>
      <c r="N707" s="629" t="s">
        <v>981</v>
      </c>
      <c r="O707" s="650"/>
      <c r="P707" s="651" t="s">
        <v>996</v>
      </c>
      <c r="Q707" s="649"/>
      <c r="U707" s="520"/>
      <c r="AC707" s="218"/>
      <c r="AH707" s="218"/>
    </row>
    <row r="708" spans="1:34" ht="32.25" customHeight="1" thickBot="1" x14ac:dyDescent="0.3">
      <c r="A708" s="649"/>
      <c r="B708" s="629" t="s">
        <v>983</v>
      </c>
      <c r="C708" s="665"/>
      <c r="D708" s="649"/>
      <c r="F708" s="637" t="s">
        <v>985</v>
      </c>
      <c r="G708" s="629" t="s">
        <v>983</v>
      </c>
      <c r="H708" s="636"/>
      <c r="J708" s="637" t="s">
        <v>985</v>
      </c>
      <c r="K708" s="629" t="s">
        <v>983</v>
      </c>
      <c r="L708" s="636"/>
      <c r="M708" s="649"/>
      <c r="N708" s="637" t="s">
        <v>985</v>
      </c>
      <c r="O708" s="629" t="s">
        <v>983</v>
      </c>
      <c r="P708" s="636"/>
      <c r="Q708" s="649"/>
      <c r="U708" s="520"/>
      <c r="AC708" s="218"/>
      <c r="AH708" s="218"/>
    </row>
    <row r="709" spans="1:34" ht="41.25" customHeight="1" thickBot="1" x14ac:dyDescent="0.3">
      <c r="A709" s="1114" t="s">
        <v>1001</v>
      </c>
      <c r="B709" s="1114"/>
      <c r="C709" s="734">
        <f ca="1">VLOOKUP(A687&amp;F687,PTS_SP,2,FALSE)</f>
        <v>0</v>
      </c>
      <c r="D709" s="649"/>
      <c r="F709" s="1115" t="s">
        <v>986</v>
      </c>
      <c r="G709" s="1116"/>
      <c r="H709" s="636"/>
      <c r="I709" s="1115" t="s">
        <v>986</v>
      </c>
      <c r="J709" s="1115"/>
      <c r="K709" s="636"/>
      <c r="L709" s="649"/>
      <c r="O709" s="634" t="s">
        <v>987</v>
      </c>
      <c r="P709" s="636"/>
      <c r="Q709" s="649"/>
      <c r="U709" s="520"/>
      <c r="AC709" s="218"/>
      <c r="AH709" s="218"/>
    </row>
    <row r="710" spans="1:34" ht="47.25" customHeight="1" thickBot="1" x14ac:dyDescent="0.3">
      <c r="A710" s="1115" t="s">
        <v>986</v>
      </c>
      <c r="B710" s="1116"/>
      <c r="C710" s="644"/>
      <c r="D710" s="649"/>
      <c r="E710" s="649"/>
      <c r="F710" s="649"/>
      <c r="G710" s="649"/>
      <c r="H710" s="649"/>
      <c r="I710" s="649"/>
      <c r="J710" s="649"/>
      <c r="K710" s="649"/>
      <c r="L710" s="649"/>
      <c r="N710" s="634"/>
      <c r="O710" s="634" t="s">
        <v>997</v>
      </c>
      <c r="P710" s="673"/>
      <c r="Q710" s="674"/>
      <c r="R710" s="663" t="s">
        <v>998</v>
      </c>
      <c r="U710" s="520"/>
      <c r="AC710" s="218"/>
      <c r="AH710" s="218"/>
    </row>
    <row r="711" spans="1:34" ht="36" customHeight="1" thickBot="1" x14ac:dyDescent="0.3">
      <c r="A711" s="649"/>
      <c r="B711" s="649"/>
      <c r="C711" s="649"/>
      <c r="D711" s="649"/>
      <c r="E711" s="672" t="s">
        <v>1002</v>
      </c>
      <c r="F711" s="667"/>
      <c r="G711" s="667"/>
      <c r="H711" s="668"/>
      <c r="I711" s="649"/>
      <c r="J711" s="672" t="s">
        <v>1003</v>
      </c>
      <c r="K711" s="667"/>
      <c r="L711" s="667"/>
      <c r="M711" s="668"/>
      <c r="O711" s="675" t="s">
        <v>1004</v>
      </c>
      <c r="P711" s="676" t="s">
        <v>999</v>
      </c>
      <c r="Q711" s="677" t="s">
        <v>1000</v>
      </c>
      <c r="R711" s="649"/>
      <c r="U711" s="520"/>
      <c r="AC711" s="218"/>
      <c r="AH711" s="218"/>
    </row>
    <row r="712" spans="1:34" ht="36" customHeight="1" thickBot="1" x14ac:dyDescent="0.25">
      <c r="E712" s="669"/>
      <c r="F712" s="670"/>
      <c r="G712" s="670"/>
      <c r="H712" s="671"/>
      <c r="J712" s="669"/>
      <c r="K712" s="670"/>
      <c r="L712" s="670"/>
      <c r="M712" s="671"/>
      <c r="U712" s="520"/>
      <c r="AA712" s="679"/>
      <c r="AB712" s="679"/>
      <c r="AC712" s="218"/>
      <c r="AH712" s="218"/>
    </row>
    <row r="713" spans="1:34" s="218" customFormat="1" ht="23.25" customHeight="1" x14ac:dyDescent="0.2">
      <c r="A713" s="217"/>
      <c r="B713" s="217"/>
      <c r="C713" s="217"/>
      <c r="D713" s="217"/>
      <c r="E713" s="217"/>
      <c r="F713" s="217"/>
      <c r="G713" s="217"/>
      <c r="H713" s="217"/>
      <c r="I713" s="217"/>
      <c r="J713" s="217"/>
      <c r="K713" s="217"/>
      <c r="L713" s="217"/>
      <c r="M713" s="217"/>
      <c r="N713" s="684"/>
      <c r="O713" s="684"/>
      <c r="P713" s="684"/>
      <c r="Q713" s="684"/>
      <c r="R713" s="217"/>
      <c r="S713" s="217"/>
      <c r="T713" s="217"/>
      <c r="U713" s="520"/>
      <c r="V713" s="679"/>
      <c r="W713" s="679"/>
      <c r="X713" s="679"/>
      <c r="Y713" s="679"/>
      <c r="Z713" s="679"/>
      <c r="AA713" s="662"/>
      <c r="AB713" s="662"/>
      <c r="AD713" s="217"/>
      <c r="AE713" s="217"/>
      <c r="AF713" s="217"/>
      <c r="AG713" s="217"/>
    </row>
    <row r="714" spans="1:34" ht="19.5" customHeight="1" thickBot="1" x14ac:dyDescent="0.25">
      <c r="M714" s="500"/>
      <c r="N714" s="520">
        <f ca="1">INDIRECT("AE"&amp;O714)</f>
        <v>0</v>
      </c>
      <c r="O714" s="500">
        <f>P715+2</f>
        <v>26</v>
      </c>
      <c r="P714" s="501">
        <f ca="1">INDIRECT("AF"&amp;O714)</f>
        <v>0</v>
      </c>
      <c r="Q714" s="500"/>
      <c r="R714" s="500"/>
      <c r="T714" s="679"/>
      <c r="U714" s="679"/>
      <c r="V714" s="679"/>
      <c r="W714" s="679"/>
      <c r="X714" s="679"/>
      <c r="Y714" s="679"/>
      <c r="Z714" s="679"/>
      <c r="AA714" s="679"/>
      <c r="AB714" s="679"/>
      <c r="AC714" s="218"/>
      <c r="AH714" s="218"/>
    </row>
    <row r="715" spans="1:34" s="218" customFormat="1" ht="36" thickBot="1" x14ac:dyDescent="0.25">
      <c r="A715" s="576" t="s">
        <v>546</v>
      </c>
      <c r="B715" s="402" t="str">
        <f>B684</f>
        <v>D3</v>
      </c>
      <c r="D715" s="661" t="s">
        <v>628</v>
      </c>
      <c r="E715" s="660">
        <f ca="1">INDIRECT("AD"&amp;O714)</f>
        <v>0</v>
      </c>
      <c r="F715" s="705" t="str">
        <f>"   "&amp;Championnat</f>
        <v xml:space="preserve">   Championnat de France de Tir à l'ARC</v>
      </c>
      <c r="O715" s="502" t="s">
        <v>849</v>
      </c>
      <c r="P715" s="503">
        <f>P684+1</f>
        <v>24</v>
      </c>
      <c r="R715" s="254"/>
      <c r="S715" s="254"/>
      <c r="T715" s="681"/>
      <c r="U715" s="680"/>
      <c r="V715" s="681"/>
      <c r="X715" s="662"/>
      <c r="Y715" s="662"/>
      <c r="Z715" s="662"/>
      <c r="AA715" s="662"/>
      <c r="AB715" s="662"/>
      <c r="AD715" s="217"/>
      <c r="AE715" s="217"/>
      <c r="AF715" s="217"/>
      <c r="AG715" s="217"/>
    </row>
    <row r="716" spans="1:34" ht="35.25" x14ac:dyDescent="0.2">
      <c r="A716" s="706" t="str">
        <f>CATEG_IMPORTEE</f>
        <v>Collèges Mixtes Etablissement</v>
      </c>
      <c r="J716" s="592" t="str">
        <f>LIEU&amp;" du "&amp;DATE</f>
        <v>L’Isle sur la Sorgue du 27 au 31 mars 2023</v>
      </c>
      <c r="R716" s="254"/>
      <c r="S716" s="254"/>
      <c r="T716" s="681"/>
      <c r="U716" s="680"/>
      <c r="V716" s="681"/>
      <c r="W716" s="679"/>
      <c r="X716" s="679"/>
      <c r="Y716" s="679"/>
      <c r="Z716" s="679"/>
      <c r="AA716" s="679"/>
      <c r="AB716" s="679"/>
      <c r="AC716" s="218"/>
      <c r="AH716" s="218"/>
    </row>
    <row r="717" spans="1:34" ht="24" customHeight="1" thickBot="1" x14ac:dyDescent="0.25">
      <c r="A717" s="648" t="s">
        <v>0</v>
      </c>
      <c r="B717" s="648"/>
      <c r="C717" s="648"/>
      <c r="D717" s="648"/>
      <c r="F717" s="1124" t="s">
        <v>1006</v>
      </c>
      <c r="G717" s="1125"/>
      <c r="H717" s="1125"/>
      <c r="J717" s="648" t="s">
        <v>0</v>
      </c>
      <c r="O717" s="1093" t="s">
        <v>1005</v>
      </c>
      <c r="P717" s="1093"/>
      <c r="R717" s="254"/>
      <c r="S717" s="254"/>
      <c r="T717" s="681"/>
      <c r="U717" s="680"/>
      <c r="V717" s="681"/>
      <c r="W717" s="679"/>
      <c r="X717" s="679"/>
      <c r="Y717" s="679"/>
      <c r="Z717" s="679"/>
      <c r="AA717" s="679"/>
      <c r="AB717" s="679"/>
      <c r="AC717" s="218"/>
      <c r="AH717" s="218"/>
    </row>
    <row r="718" spans="1:34" ht="23.25" customHeight="1" thickBot="1" x14ac:dyDescent="0.25">
      <c r="A718" s="657" t="str">
        <f ca="1">IFERROR(VLOOKUP(N714,Num_AS,2,FALSE),"")</f>
        <v/>
      </c>
      <c r="B718" s="658"/>
      <c r="C718" s="658"/>
      <c r="D718" s="658"/>
      <c r="E718" s="658"/>
      <c r="F718" s="1117" t="str">
        <f ca="1">IFERROR(VLOOKUP(N714,Num_AS,3,FALSE),"")</f>
        <v/>
      </c>
      <c r="G718" s="1118"/>
      <c r="H718" s="1119"/>
      <c r="I718" s="219" t="s">
        <v>547</v>
      </c>
      <c r="J718" s="678" t="str">
        <f ca="1">IFERROR(VLOOKUP(P714,Num_AS,2,FALSE),"")</f>
        <v/>
      </c>
      <c r="K718" s="664"/>
      <c r="L718" s="664"/>
      <c r="M718" s="664"/>
      <c r="N718" s="1120" t="str">
        <f ca="1">IFERROR(VLOOKUP(P714,Num_AS,3,FALSE),"")</f>
        <v/>
      </c>
      <c r="O718" s="1121"/>
      <c r="P718" s="1122"/>
      <c r="R718" s="254"/>
      <c r="S718" s="254"/>
      <c r="T718" s="681"/>
      <c r="U718" s="680"/>
      <c r="V718" s="681"/>
      <c r="W718" s="679"/>
      <c r="X718" s="679"/>
      <c r="Y718" s="679"/>
      <c r="Z718" s="679"/>
      <c r="AA718" s="679"/>
      <c r="AB718" s="679"/>
      <c r="AC718" s="218"/>
      <c r="AH718" s="218"/>
    </row>
    <row r="719" spans="1:34" ht="20.100000000000001" customHeight="1" thickBot="1" x14ac:dyDescent="0.25">
      <c r="E719" s="219"/>
      <c r="F719" s="1107" t="str">
        <f ca="1">IFERROR(VLOOKUP(N714,Num_AS,4,FALSE),"")</f>
        <v/>
      </c>
      <c r="G719" s="1108"/>
      <c r="H719" s="1109"/>
      <c r="N719" s="1110" t="str">
        <f ca="1">IFERROR(VLOOKUP(P714,Num_AS,4,FALSE),"")</f>
        <v/>
      </c>
      <c r="O719" s="1111"/>
      <c r="P719" s="1112"/>
      <c r="R719" s="254"/>
      <c r="S719" s="254"/>
      <c r="T719" s="681"/>
      <c r="U719" s="680"/>
      <c r="V719" s="681"/>
      <c r="W719" s="679"/>
      <c r="X719" s="679"/>
      <c r="Y719" s="679"/>
      <c r="Z719" s="679"/>
      <c r="AA719" s="679"/>
      <c r="AB719" s="679"/>
      <c r="AC719" s="218"/>
      <c r="AH719" s="218"/>
    </row>
    <row r="720" spans="1:34" ht="18" customHeight="1" thickBot="1" x14ac:dyDescent="0.25">
      <c r="A720" s="1123" t="s">
        <v>548</v>
      </c>
      <c r="B720" s="1123"/>
      <c r="C720" s="1123"/>
      <c r="D720" s="1123"/>
      <c r="E720" s="219"/>
      <c r="F720" s="219"/>
      <c r="G720" s="219"/>
      <c r="H720" s="219"/>
      <c r="I720" s="219"/>
      <c r="J720" s="219"/>
      <c r="K720" s="219"/>
      <c r="L720" s="219"/>
      <c r="M720" s="219"/>
      <c r="N720" s="219"/>
      <c r="O720" s="219"/>
      <c r="P720" s="219"/>
      <c r="R720" s="254"/>
      <c r="S720" s="254"/>
      <c r="T720" s="681"/>
      <c r="U720" s="680"/>
      <c r="V720" s="681"/>
      <c r="W720" s="679"/>
      <c r="X720" s="679"/>
      <c r="Y720" s="679"/>
      <c r="Z720" s="679"/>
      <c r="AA720" s="679"/>
      <c r="AB720" s="679"/>
      <c r="AC720" s="218"/>
      <c r="AH720" s="218"/>
    </row>
    <row r="721" spans="1:34" ht="24" customHeight="1" thickTop="1" thickBot="1" x14ac:dyDescent="0.25">
      <c r="A721" s="1126" t="s">
        <v>549</v>
      </c>
      <c r="B721" s="1127"/>
      <c r="C721" s="1127"/>
      <c r="D721" s="1128"/>
      <c r="E721" s="685" t="s">
        <v>480</v>
      </c>
      <c r="F721" s="685" t="s">
        <v>550</v>
      </c>
      <c r="G721" s="686" t="s">
        <v>551</v>
      </c>
      <c r="H721" s="687" t="s">
        <v>779</v>
      </c>
      <c r="J721" s="702" t="s">
        <v>549</v>
      </c>
      <c r="K721" s="703"/>
      <c r="L721" s="703"/>
      <c r="M721" s="704"/>
      <c r="N721" s="685" t="s">
        <v>480</v>
      </c>
      <c r="O721" s="685" t="s">
        <v>550</v>
      </c>
      <c r="P721" s="686" t="s">
        <v>551</v>
      </c>
      <c r="Q721" s="687" t="s">
        <v>779</v>
      </c>
      <c r="R721" s="254"/>
      <c r="S721" s="254"/>
      <c r="T721" s="681"/>
      <c r="U721" s="680"/>
      <c r="V721" s="681"/>
      <c r="W721" s="679"/>
      <c r="X721" s="679"/>
      <c r="Y721" s="679"/>
      <c r="Z721" s="679"/>
      <c r="AA721" s="679"/>
      <c r="AB721" s="679"/>
      <c r="AC721" s="218"/>
      <c r="AH721" s="218"/>
    </row>
    <row r="722" spans="1:34" ht="24.75" customHeight="1" x14ac:dyDescent="0.2">
      <c r="A722" s="659" t="str">
        <f ca="1">IFERROR(VLOOKUP(N714,Num_AS,6,FALSE),"")</f>
        <v/>
      </c>
      <c r="B722" s="588"/>
      <c r="C722" s="653" t="str">
        <f ca="1">IFERROR(VLOOKUP(N714,Num_AS,7,FALSE),"")</f>
        <v/>
      </c>
      <c r="D722" s="652"/>
      <c r="E722" s="654" t="str">
        <f ca="1">IFERROR(VLOOKUP(N714,Num_AS,10,FALSE),"")</f>
        <v/>
      </c>
      <c r="F722" s="654" t="str">
        <f ca="1">IFERROR(VLOOKUP(N714,Num_AS,9,FALSE),"")</f>
        <v/>
      </c>
      <c r="G722" s="655" t="str">
        <f ca="1">IFERROR(VLOOKUP(N714,Num_AS,11,FALSE),"")</f>
        <v/>
      </c>
      <c r="H722" s="688">
        <f ca="1">E715</f>
        <v>0</v>
      </c>
      <c r="J722" s="659" t="str">
        <f ca="1">IFERROR(VLOOKUP(N714,Num_AS,18,FALSE),"")</f>
        <v/>
      </c>
      <c r="K722" s="588"/>
      <c r="L722" s="653" t="str">
        <f ca="1">IFERROR(VLOOKUP(N714,Num_AS,19,FALSE),"")</f>
        <v/>
      </c>
      <c r="M722" s="647"/>
      <c r="N722" s="656" t="str">
        <f ca="1">IFERROR(VLOOKUP(N714,Num_AS,22,FALSE),"")</f>
        <v/>
      </c>
      <c r="O722" s="654" t="str">
        <f ca="1">IFERROR(VLOOKUP(N714,Num_AS,21,FALSE),"")</f>
        <v/>
      </c>
      <c r="P722" s="682" t="str">
        <f ca="1">IFERROR(VLOOKUP(N714,Num_AS,23,FALSE),"")</f>
        <v/>
      </c>
      <c r="Q722" s="688">
        <f ca="1">E715</f>
        <v>0</v>
      </c>
      <c r="R722" s="254"/>
      <c r="S722" s="254"/>
      <c r="T722" s="681"/>
      <c r="U722" s="680"/>
      <c r="V722" s="681"/>
      <c r="W722" s="679"/>
      <c r="X722" s="679"/>
      <c r="Y722" s="679"/>
      <c r="Z722" s="679"/>
      <c r="AA722" s="679"/>
      <c r="AB722" s="679"/>
      <c r="AC722" s="218"/>
      <c r="AH722" s="218"/>
    </row>
    <row r="723" spans="1:34" ht="24.75" customHeight="1" thickBot="1" x14ac:dyDescent="0.25">
      <c r="A723" s="689" t="str">
        <f ca="1">IFERROR(VLOOKUP(N714,Num_AS,12,FALSE),"")</f>
        <v/>
      </c>
      <c r="B723" s="690"/>
      <c r="C723" s="691" t="str">
        <f ca="1">IFERROR(VLOOKUP(N714,Num_AS,13,FALSE),"")</f>
        <v/>
      </c>
      <c r="D723" s="692"/>
      <c r="E723" s="693" t="str">
        <f ca="1">IFERROR(VLOOKUP(N714,Num_AS,16,FALSE),"")</f>
        <v/>
      </c>
      <c r="F723" s="694" t="str">
        <f ca="1">IFERROR(VLOOKUP(N714,Num_AS,15,FALSE),"")</f>
        <v/>
      </c>
      <c r="G723" s="695" t="str">
        <f ca="1">IFERROR(VLOOKUP(N714,Num_AS,17,FALSE),"")</f>
        <v/>
      </c>
      <c r="H723" s="700">
        <f ca="1">E715</f>
        <v>0</v>
      </c>
      <c r="J723" s="689" t="str">
        <f ca="1">IFERROR(VLOOKUP(N714,Num_AS,24,FALSE),"")</f>
        <v/>
      </c>
      <c r="K723" s="690"/>
      <c r="L723" s="691" t="str">
        <f ca="1">IFERROR(VLOOKUP(N714,Num_AS,25,FALSE),"")</f>
        <v/>
      </c>
      <c r="M723" s="697"/>
      <c r="N723" s="698" t="str">
        <f ca="1">IFERROR(VLOOKUP(N714,Num_AS,28,FALSE),"")</f>
        <v/>
      </c>
      <c r="O723" s="694" t="str">
        <f ca="1">IFERROR(VLOOKUP(N714,Num_AS,27,FALSE),"")</f>
        <v/>
      </c>
      <c r="P723" s="699" t="str">
        <f ca="1">IFERROR(VLOOKUP(N714,Num_AS,29,FALSE),"")</f>
        <v/>
      </c>
      <c r="Q723" s="700">
        <f ca="1">E715</f>
        <v>0</v>
      </c>
      <c r="R723" s="254"/>
      <c r="S723" s="254"/>
      <c r="T723" s="681"/>
      <c r="U723" s="680"/>
      <c r="V723" s="681"/>
      <c r="W723" s="681"/>
      <c r="X723" s="681"/>
      <c r="Y723" s="681"/>
      <c r="Z723" s="679"/>
      <c r="AA723" s="679"/>
      <c r="AB723" s="679"/>
      <c r="AC723" s="218"/>
      <c r="AH723" s="218"/>
    </row>
    <row r="724" spans="1:34" ht="12.75" customHeight="1" thickTop="1" x14ac:dyDescent="0.2">
      <c r="A724" s="701"/>
      <c r="B724" s="249"/>
      <c r="C724" s="701"/>
      <c r="D724" s="701"/>
      <c r="E724" s="196"/>
      <c r="F724" s="196"/>
      <c r="G724" s="249"/>
      <c r="H724" s="219"/>
      <c r="I724" s="701"/>
      <c r="J724" s="249"/>
      <c r="K724" s="701"/>
      <c r="L724" s="249"/>
      <c r="M724" s="196"/>
      <c r="N724" s="196"/>
      <c r="O724" s="249"/>
      <c r="P724" s="219"/>
      <c r="R724" s="254"/>
      <c r="S724" s="254"/>
      <c r="T724" s="681"/>
      <c r="U724" s="680"/>
      <c r="V724" s="681"/>
      <c r="W724" s="681"/>
      <c r="X724" s="681"/>
      <c r="Y724" s="681"/>
      <c r="Z724" s="679"/>
      <c r="AA724" s="679"/>
      <c r="AB724" s="679"/>
      <c r="AC724" s="218"/>
      <c r="AH724" s="218"/>
    </row>
    <row r="725" spans="1:34" ht="37.5" customHeight="1" x14ac:dyDescent="0.2">
      <c r="A725" s="1113" t="s">
        <v>909</v>
      </c>
      <c r="B725" s="1113"/>
      <c r="C725" s="1113"/>
      <c r="F725" s="1113" t="s">
        <v>910</v>
      </c>
      <c r="G725" s="1113"/>
      <c r="H725" s="1113"/>
      <c r="J725" s="1113" t="s">
        <v>911</v>
      </c>
      <c r="K725" s="1113"/>
      <c r="L725" s="1113"/>
      <c r="N725" s="1113" t="s">
        <v>912</v>
      </c>
      <c r="O725" s="1113"/>
      <c r="P725" s="1113"/>
      <c r="R725" s="254"/>
      <c r="S725" s="254"/>
      <c r="T725" s="681"/>
      <c r="U725" s="680"/>
      <c r="V725" s="679"/>
      <c r="W725" s="679"/>
      <c r="X725" s="679"/>
      <c r="Y725" s="679"/>
      <c r="Z725" s="679"/>
      <c r="AA725" s="679"/>
      <c r="AB725" s="679"/>
      <c r="AC725" s="218"/>
      <c r="AH725" s="218"/>
    </row>
    <row r="726" spans="1:34" ht="37.5" customHeight="1" x14ac:dyDescent="0.25">
      <c r="A726" s="629" t="s">
        <v>980</v>
      </c>
      <c r="B726" s="629" t="s">
        <v>981</v>
      </c>
      <c r="C726" s="636" t="s">
        <v>780</v>
      </c>
      <c r="D726" s="649"/>
      <c r="F726" s="629" t="s">
        <v>980</v>
      </c>
      <c r="G726" s="629" t="s">
        <v>981</v>
      </c>
      <c r="H726" s="636" t="s">
        <v>780</v>
      </c>
      <c r="J726" s="629" t="s">
        <v>980</v>
      </c>
      <c r="K726" s="629" t="s">
        <v>981</v>
      </c>
      <c r="L726" s="636" t="s">
        <v>780</v>
      </c>
      <c r="M726" s="649"/>
      <c r="N726" s="629" t="s">
        <v>980</v>
      </c>
      <c r="O726" s="629" t="s">
        <v>981</v>
      </c>
      <c r="P726" s="636" t="s">
        <v>780</v>
      </c>
      <c r="T726" s="679"/>
      <c r="U726" s="680"/>
      <c r="V726" s="679"/>
      <c r="W726" s="679"/>
      <c r="X726" s="679"/>
      <c r="Y726" s="679"/>
      <c r="Z726" s="679"/>
      <c r="AA726" s="679"/>
      <c r="AB726" s="679"/>
      <c r="AC726" s="218"/>
      <c r="AH726" s="218"/>
    </row>
    <row r="727" spans="1:34" ht="32.25" customHeight="1" x14ac:dyDescent="0.25">
      <c r="A727" s="666">
        <v>10</v>
      </c>
      <c r="B727" s="636"/>
      <c r="C727" s="636"/>
      <c r="D727" s="649"/>
      <c r="F727" s="666">
        <v>10</v>
      </c>
      <c r="G727" s="636"/>
      <c r="H727" s="636"/>
      <c r="J727" s="666">
        <v>10</v>
      </c>
      <c r="K727" s="636"/>
      <c r="L727" s="636"/>
      <c r="M727" s="649"/>
      <c r="N727" s="666">
        <v>10</v>
      </c>
      <c r="O727" s="636"/>
      <c r="P727" s="636"/>
      <c r="T727" s="679"/>
      <c r="U727" s="680"/>
      <c r="V727" s="679"/>
      <c r="W727" s="679"/>
      <c r="X727" s="679"/>
      <c r="Y727" s="679"/>
      <c r="Z727" s="679"/>
      <c r="AA727" s="679"/>
      <c r="AB727" s="679"/>
      <c r="AC727" s="218"/>
      <c r="AH727" s="218"/>
    </row>
    <row r="728" spans="1:34" ht="32.25" customHeight="1" x14ac:dyDescent="0.25">
      <c r="A728" s="666">
        <v>9</v>
      </c>
      <c r="B728" s="636"/>
      <c r="C728" s="636"/>
      <c r="D728" s="649"/>
      <c r="F728" s="666">
        <v>9</v>
      </c>
      <c r="G728" s="636"/>
      <c r="H728" s="636"/>
      <c r="J728" s="666">
        <v>9</v>
      </c>
      <c r="K728" s="636"/>
      <c r="L728" s="636"/>
      <c r="M728" s="649"/>
      <c r="N728" s="666">
        <v>9</v>
      </c>
      <c r="O728" s="636"/>
      <c r="P728" s="636"/>
      <c r="T728" s="679"/>
      <c r="U728" s="680"/>
      <c r="V728" s="679"/>
      <c r="W728" s="679"/>
      <c r="X728" s="679"/>
      <c r="Y728" s="679"/>
      <c r="Z728" s="679"/>
      <c r="AA728" s="679"/>
      <c r="AB728" s="679"/>
      <c r="AC728" s="218"/>
      <c r="AH728" s="218"/>
    </row>
    <row r="729" spans="1:34" ht="32.25" customHeight="1" x14ac:dyDescent="0.25">
      <c r="A729" s="666">
        <v>8</v>
      </c>
      <c r="B729" s="636"/>
      <c r="C729" s="636"/>
      <c r="D729" s="649"/>
      <c r="F729" s="666">
        <v>8</v>
      </c>
      <c r="G729" s="636"/>
      <c r="H729" s="636"/>
      <c r="J729" s="666">
        <v>8</v>
      </c>
      <c r="K729" s="636"/>
      <c r="L729" s="636"/>
      <c r="M729" s="649"/>
      <c r="N729" s="666">
        <v>8</v>
      </c>
      <c r="O729" s="636"/>
      <c r="P729" s="636"/>
      <c r="T729" s="679"/>
      <c r="U729" s="680"/>
      <c r="V729" s="679"/>
      <c r="W729" s="679"/>
      <c r="X729" s="679"/>
      <c r="Y729" s="679"/>
      <c r="Z729" s="679"/>
      <c r="AA729" s="679"/>
      <c r="AB729" s="679"/>
      <c r="AC729" s="218"/>
      <c r="AH729" s="218"/>
    </row>
    <row r="730" spans="1:34" ht="32.25" customHeight="1" x14ac:dyDescent="0.25">
      <c r="A730" s="666">
        <v>7</v>
      </c>
      <c r="B730" s="636"/>
      <c r="C730" s="636"/>
      <c r="D730" s="649"/>
      <c r="F730" s="666">
        <v>7</v>
      </c>
      <c r="G730" s="636"/>
      <c r="H730" s="636"/>
      <c r="J730" s="666">
        <v>7</v>
      </c>
      <c r="K730" s="636"/>
      <c r="L730" s="636"/>
      <c r="M730" s="649"/>
      <c r="N730" s="666">
        <v>7</v>
      </c>
      <c r="O730" s="636"/>
      <c r="P730" s="636"/>
      <c r="T730" s="679"/>
      <c r="U730" s="680"/>
      <c r="V730" s="679"/>
      <c r="W730" s="679"/>
      <c r="X730" s="679"/>
      <c r="Y730" s="679"/>
      <c r="Z730" s="679"/>
      <c r="AC730" s="218"/>
      <c r="AH730" s="218"/>
    </row>
    <row r="731" spans="1:34" ht="32.25" customHeight="1" x14ac:dyDescent="0.25">
      <c r="A731" s="666">
        <v>6</v>
      </c>
      <c r="B731" s="636"/>
      <c r="C731" s="636"/>
      <c r="D731" s="649"/>
      <c r="F731" s="666">
        <v>6</v>
      </c>
      <c r="G731" s="636"/>
      <c r="H731" s="636"/>
      <c r="J731" s="666">
        <v>6</v>
      </c>
      <c r="K731" s="636"/>
      <c r="L731" s="636"/>
      <c r="M731" s="649"/>
      <c r="N731" s="666">
        <v>6</v>
      </c>
      <c r="O731" s="636"/>
      <c r="P731" s="636"/>
      <c r="T731" s="679"/>
      <c r="U731" s="680"/>
      <c r="AC731" s="218"/>
      <c r="AH731" s="218"/>
    </row>
    <row r="732" spans="1:34" ht="32.25" customHeight="1" x14ac:dyDescent="0.25">
      <c r="A732" s="666">
        <v>5</v>
      </c>
      <c r="B732" s="636"/>
      <c r="C732" s="636"/>
      <c r="D732" s="649"/>
      <c r="F732" s="666">
        <v>5</v>
      </c>
      <c r="G732" s="636"/>
      <c r="H732" s="636"/>
      <c r="J732" s="666">
        <v>5</v>
      </c>
      <c r="K732" s="636"/>
      <c r="L732" s="636"/>
      <c r="M732" s="649"/>
      <c r="N732" s="666">
        <v>5</v>
      </c>
      <c r="O732" s="636"/>
      <c r="P732" s="636"/>
      <c r="U732" s="520"/>
      <c r="AC732" s="218"/>
      <c r="AH732" s="218"/>
    </row>
    <row r="733" spans="1:34" ht="32.25" customHeight="1" x14ac:dyDescent="0.25">
      <c r="A733" s="666">
        <v>4</v>
      </c>
      <c r="B733" s="636"/>
      <c r="C733" s="636"/>
      <c r="D733" s="649"/>
      <c r="F733" s="666">
        <v>4</v>
      </c>
      <c r="G733" s="636"/>
      <c r="H733" s="636"/>
      <c r="J733" s="666">
        <v>4</v>
      </c>
      <c r="K733" s="636"/>
      <c r="L733" s="636"/>
      <c r="M733" s="649"/>
      <c r="N733" s="666">
        <v>4</v>
      </c>
      <c r="O733" s="636"/>
      <c r="P733" s="636"/>
      <c r="U733" s="520"/>
      <c r="AC733" s="218"/>
      <c r="AH733" s="218"/>
    </row>
    <row r="734" spans="1:34" ht="32.25" customHeight="1" x14ac:dyDescent="0.25">
      <c r="A734" s="666">
        <v>3</v>
      </c>
      <c r="B734" s="636"/>
      <c r="C734" s="636"/>
      <c r="D734" s="649"/>
      <c r="F734" s="666">
        <v>3</v>
      </c>
      <c r="G734" s="636"/>
      <c r="H734" s="636"/>
      <c r="J734" s="666">
        <v>3</v>
      </c>
      <c r="K734" s="636"/>
      <c r="L734" s="636"/>
      <c r="M734" s="649"/>
      <c r="N734" s="666">
        <v>3</v>
      </c>
      <c r="O734" s="636"/>
      <c r="P734" s="636"/>
      <c r="U734" s="520"/>
      <c r="AC734" s="218"/>
      <c r="AH734" s="218"/>
    </row>
    <row r="735" spans="1:34" ht="32.25" customHeight="1" x14ac:dyDescent="0.25">
      <c r="A735" s="666">
        <v>2</v>
      </c>
      <c r="B735" s="636"/>
      <c r="C735" s="636"/>
      <c r="D735" s="649"/>
      <c r="F735" s="666">
        <v>2</v>
      </c>
      <c r="G735" s="636"/>
      <c r="H735" s="636"/>
      <c r="J735" s="666">
        <v>2</v>
      </c>
      <c r="K735" s="636"/>
      <c r="L735" s="636"/>
      <c r="M735" s="649"/>
      <c r="N735" s="666">
        <v>2</v>
      </c>
      <c r="O735" s="636"/>
      <c r="P735" s="636"/>
      <c r="U735" s="520"/>
      <c r="AC735" s="218"/>
      <c r="AH735" s="218"/>
    </row>
    <row r="736" spans="1:34" ht="32.25" customHeight="1" x14ac:dyDescent="0.25">
      <c r="A736" s="666">
        <v>1</v>
      </c>
      <c r="B736" s="636"/>
      <c r="C736" s="636"/>
      <c r="D736" s="649"/>
      <c r="F736" s="666">
        <v>1</v>
      </c>
      <c r="G736" s="636"/>
      <c r="H736" s="636"/>
      <c r="J736" s="666">
        <v>1</v>
      </c>
      <c r="K736" s="636"/>
      <c r="L736" s="636"/>
      <c r="M736" s="649"/>
      <c r="N736" s="666">
        <v>1</v>
      </c>
      <c r="O736" s="636"/>
      <c r="P736" s="636"/>
      <c r="U736" s="520"/>
      <c r="AC736" s="218"/>
      <c r="AH736" s="218"/>
    </row>
    <row r="737" spans="1:34" ht="32.25" customHeight="1" x14ac:dyDescent="0.25">
      <c r="A737" s="666" t="s">
        <v>982</v>
      </c>
      <c r="B737" s="636"/>
      <c r="C737" s="636"/>
      <c r="D737" s="649"/>
      <c r="F737" s="666" t="s">
        <v>982</v>
      </c>
      <c r="G737" s="636"/>
      <c r="H737" s="636"/>
      <c r="J737" s="666" t="s">
        <v>982</v>
      </c>
      <c r="K737" s="636"/>
      <c r="L737" s="636"/>
      <c r="M737" s="649"/>
      <c r="N737" s="666" t="s">
        <v>982</v>
      </c>
      <c r="O737" s="636"/>
      <c r="P737" s="636"/>
      <c r="U737" s="520"/>
      <c r="AC737" s="218"/>
      <c r="AH737" s="218"/>
    </row>
    <row r="738" spans="1:34" ht="32.25" customHeight="1" x14ac:dyDescent="0.25">
      <c r="A738" s="629" t="s">
        <v>981</v>
      </c>
      <c r="B738" s="650"/>
      <c r="C738" s="651" t="s">
        <v>996</v>
      </c>
      <c r="D738" s="649"/>
      <c r="F738" s="629" t="s">
        <v>981</v>
      </c>
      <c r="G738" s="650"/>
      <c r="H738" s="651" t="s">
        <v>996</v>
      </c>
      <c r="J738" s="629" t="s">
        <v>981</v>
      </c>
      <c r="K738" s="650"/>
      <c r="L738" s="651" t="s">
        <v>996</v>
      </c>
      <c r="M738" s="649"/>
      <c r="N738" s="629" t="s">
        <v>981</v>
      </c>
      <c r="O738" s="650"/>
      <c r="P738" s="651" t="s">
        <v>996</v>
      </c>
      <c r="Q738" s="649"/>
      <c r="U738" s="520"/>
      <c r="AC738" s="218"/>
      <c r="AH738" s="218"/>
    </row>
    <row r="739" spans="1:34" ht="32.25" customHeight="1" thickBot="1" x14ac:dyDescent="0.3">
      <c r="A739" s="649"/>
      <c r="B739" s="629" t="s">
        <v>983</v>
      </c>
      <c r="C739" s="665"/>
      <c r="D739" s="649"/>
      <c r="F739" s="637" t="s">
        <v>985</v>
      </c>
      <c r="G739" s="629" t="s">
        <v>983</v>
      </c>
      <c r="H739" s="636"/>
      <c r="J739" s="637" t="s">
        <v>985</v>
      </c>
      <c r="K739" s="629" t="s">
        <v>983</v>
      </c>
      <c r="L739" s="636"/>
      <c r="M739" s="649"/>
      <c r="N739" s="637" t="s">
        <v>985</v>
      </c>
      <c r="O739" s="629" t="s">
        <v>983</v>
      </c>
      <c r="P739" s="636"/>
      <c r="Q739" s="649"/>
      <c r="U739" s="520"/>
      <c r="AC739" s="218"/>
      <c r="AH739" s="218"/>
    </row>
    <row r="740" spans="1:34" ht="41.25" customHeight="1" thickBot="1" x14ac:dyDescent="0.3">
      <c r="A740" s="1114" t="s">
        <v>1001</v>
      </c>
      <c r="B740" s="1114"/>
      <c r="C740" s="734">
        <f ca="1">VLOOKUP(A718&amp;F718,PTS_SP,2,FALSE)</f>
        <v>0</v>
      </c>
      <c r="D740" s="649"/>
      <c r="F740" s="1115" t="s">
        <v>986</v>
      </c>
      <c r="G740" s="1116"/>
      <c r="H740" s="636"/>
      <c r="I740" s="1115" t="s">
        <v>986</v>
      </c>
      <c r="J740" s="1115"/>
      <c r="K740" s="636"/>
      <c r="L740" s="649"/>
      <c r="O740" s="634" t="s">
        <v>987</v>
      </c>
      <c r="P740" s="636"/>
      <c r="Q740" s="649"/>
      <c r="U740" s="520"/>
      <c r="AC740" s="218"/>
      <c r="AH740" s="218"/>
    </row>
    <row r="741" spans="1:34" ht="47.25" customHeight="1" thickBot="1" x14ac:dyDescent="0.3">
      <c r="A741" s="1115" t="s">
        <v>986</v>
      </c>
      <c r="B741" s="1116"/>
      <c r="C741" s="644"/>
      <c r="D741" s="649"/>
      <c r="E741" s="649"/>
      <c r="F741" s="649"/>
      <c r="G741" s="649"/>
      <c r="H741" s="649"/>
      <c r="I741" s="649"/>
      <c r="J741" s="649"/>
      <c r="K741" s="649"/>
      <c r="L741" s="649"/>
      <c r="N741" s="634"/>
      <c r="O741" s="634" t="s">
        <v>997</v>
      </c>
      <c r="P741" s="673"/>
      <c r="Q741" s="674"/>
      <c r="R741" s="663" t="s">
        <v>998</v>
      </c>
      <c r="U741" s="520"/>
      <c r="AC741" s="218"/>
      <c r="AH741" s="218"/>
    </row>
    <row r="742" spans="1:34" ht="36" customHeight="1" thickBot="1" x14ac:dyDescent="0.3">
      <c r="A742" s="649"/>
      <c r="B742" s="649"/>
      <c r="C742" s="649"/>
      <c r="D742" s="649"/>
      <c r="E742" s="672" t="s">
        <v>1002</v>
      </c>
      <c r="F742" s="667"/>
      <c r="G742" s="667"/>
      <c r="H742" s="668"/>
      <c r="I742" s="649"/>
      <c r="J742" s="672" t="s">
        <v>1003</v>
      </c>
      <c r="K742" s="667"/>
      <c r="L742" s="667"/>
      <c r="M742" s="668"/>
      <c r="O742" s="675" t="s">
        <v>1004</v>
      </c>
      <c r="P742" s="676" t="s">
        <v>999</v>
      </c>
      <c r="Q742" s="677" t="s">
        <v>1000</v>
      </c>
      <c r="R742" s="649"/>
      <c r="U742" s="520"/>
      <c r="AC742" s="218"/>
      <c r="AH742" s="218"/>
    </row>
    <row r="743" spans="1:34" ht="36" customHeight="1" thickBot="1" x14ac:dyDescent="0.25">
      <c r="E743" s="669"/>
      <c r="F743" s="670"/>
      <c r="G743" s="670"/>
      <c r="H743" s="671"/>
      <c r="J743" s="669"/>
      <c r="K743" s="670"/>
      <c r="L743" s="670"/>
      <c r="M743" s="671"/>
      <c r="U743" s="520"/>
      <c r="AA743" s="679"/>
      <c r="AB743" s="679"/>
      <c r="AC743" s="218"/>
      <c r="AH743" s="218"/>
    </row>
    <row r="744" spans="1:34" s="218" customFormat="1" ht="23.25" customHeight="1" x14ac:dyDescent="0.2">
      <c r="A744" s="217"/>
      <c r="B744" s="217"/>
      <c r="C744" s="217"/>
      <c r="D744" s="217"/>
      <c r="E744" s="217"/>
      <c r="F744" s="217"/>
      <c r="G744" s="217"/>
      <c r="H744" s="217"/>
      <c r="I744" s="217"/>
      <c r="J744" s="217"/>
      <c r="K744" s="217"/>
      <c r="L744" s="217"/>
      <c r="M744" s="217"/>
      <c r="N744" s="684"/>
      <c r="O744" s="684"/>
      <c r="P744" s="684"/>
      <c r="Q744" s="684"/>
      <c r="R744" s="217"/>
      <c r="S744" s="217"/>
      <c r="T744" s="217"/>
      <c r="U744" s="520"/>
      <c r="V744" s="679"/>
      <c r="W744" s="679"/>
      <c r="X744" s="679"/>
      <c r="Y744" s="679"/>
      <c r="Z744" s="679"/>
      <c r="AA744" s="662"/>
      <c r="AB744" s="662"/>
      <c r="AD744" s="217"/>
      <c r="AE744" s="217"/>
      <c r="AF744" s="217"/>
      <c r="AG744" s="217"/>
    </row>
  </sheetData>
  <sheetProtection sheet="1" objects="1" scenarios="1" selectLockedCells="1"/>
  <mergeCells count="384">
    <mergeCell ref="A710:B710"/>
    <mergeCell ref="F717:H717"/>
    <mergeCell ref="O717:P717"/>
    <mergeCell ref="F718:H718"/>
    <mergeCell ref="N718:P718"/>
    <mergeCell ref="F719:H719"/>
    <mergeCell ref="N719:P719"/>
    <mergeCell ref="A741:B741"/>
    <mergeCell ref="A720:D720"/>
    <mergeCell ref="A721:D721"/>
    <mergeCell ref="A725:C725"/>
    <mergeCell ref="F725:H725"/>
    <mergeCell ref="J725:L725"/>
    <mergeCell ref="N725:P725"/>
    <mergeCell ref="A740:B740"/>
    <mergeCell ref="F740:G740"/>
    <mergeCell ref="I740:J740"/>
    <mergeCell ref="A689:D689"/>
    <mergeCell ref="A690:D690"/>
    <mergeCell ref="A694:C694"/>
    <mergeCell ref="F694:H694"/>
    <mergeCell ref="J694:L694"/>
    <mergeCell ref="N694:P694"/>
    <mergeCell ref="A709:B709"/>
    <mergeCell ref="F709:G709"/>
    <mergeCell ref="I709:J709"/>
    <mergeCell ref="A678:B678"/>
    <mergeCell ref="F678:G678"/>
    <mergeCell ref="I678:J678"/>
    <mergeCell ref="A679:B679"/>
    <mergeCell ref="F686:H686"/>
    <mergeCell ref="O686:P686"/>
    <mergeCell ref="F687:H687"/>
    <mergeCell ref="N687:P687"/>
    <mergeCell ref="F688:H688"/>
    <mergeCell ref="N688:P688"/>
    <mergeCell ref="A659:D659"/>
    <mergeCell ref="A658:D658"/>
    <mergeCell ref="F656:H656"/>
    <mergeCell ref="N656:P656"/>
    <mergeCell ref="F657:H657"/>
    <mergeCell ref="N657:P657"/>
    <mergeCell ref="A663:C663"/>
    <mergeCell ref="F663:H663"/>
    <mergeCell ref="J663:L663"/>
    <mergeCell ref="N663:P663"/>
    <mergeCell ref="F624:H624"/>
    <mergeCell ref="O624:P624"/>
    <mergeCell ref="F625:H625"/>
    <mergeCell ref="N625:P625"/>
    <mergeCell ref="F626:H626"/>
    <mergeCell ref="N626:P626"/>
    <mergeCell ref="A627:D627"/>
    <mergeCell ref="A628:D628"/>
    <mergeCell ref="A632:C632"/>
    <mergeCell ref="F632:H632"/>
    <mergeCell ref="J632:L632"/>
    <mergeCell ref="N632:P632"/>
    <mergeCell ref="N594:P594"/>
    <mergeCell ref="F595:H595"/>
    <mergeCell ref="N595:P595"/>
    <mergeCell ref="A596:D596"/>
    <mergeCell ref="A597:D597"/>
    <mergeCell ref="A601:C601"/>
    <mergeCell ref="F601:H601"/>
    <mergeCell ref="J601:L601"/>
    <mergeCell ref="N601:P601"/>
    <mergeCell ref="A555:B555"/>
    <mergeCell ref="N564:P564"/>
    <mergeCell ref="A565:D565"/>
    <mergeCell ref="A566:D566"/>
    <mergeCell ref="A570:C570"/>
    <mergeCell ref="F570:H570"/>
    <mergeCell ref="J570:L570"/>
    <mergeCell ref="N570:P570"/>
    <mergeCell ref="F593:H593"/>
    <mergeCell ref="O593:P593"/>
    <mergeCell ref="A585:B585"/>
    <mergeCell ref="F585:G585"/>
    <mergeCell ref="I585:J585"/>
    <mergeCell ref="A586:B586"/>
    <mergeCell ref="N477:P477"/>
    <mergeCell ref="F492:G492"/>
    <mergeCell ref="I492:J492"/>
    <mergeCell ref="A493:B493"/>
    <mergeCell ref="F500:H500"/>
    <mergeCell ref="O500:P500"/>
    <mergeCell ref="A492:B492"/>
    <mergeCell ref="A535:D535"/>
    <mergeCell ref="A539:C539"/>
    <mergeCell ref="F539:H539"/>
    <mergeCell ref="J539:L539"/>
    <mergeCell ref="N539:P539"/>
    <mergeCell ref="F533:H533"/>
    <mergeCell ref="N533:P533"/>
    <mergeCell ref="A534:D534"/>
    <mergeCell ref="A477:C477"/>
    <mergeCell ref="F477:H477"/>
    <mergeCell ref="J477:L477"/>
    <mergeCell ref="A430:B430"/>
    <mergeCell ref="F430:G430"/>
    <mergeCell ref="I430:J430"/>
    <mergeCell ref="A431:B431"/>
    <mergeCell ref="F438:H438"/>
    <mergeCell ref="O438:P438"/>
    <mergeCell ref="F439:H439"/>
    <mergeCell ref="N439:P439"/>
    <mergeCell ref="F440:H440"/>
    <mergeCell ref="N440:P440"/>
    <mergeCell ref="A368:B368"/>
    <mergeCell ref="F368:G368"/>
    <mergeCell ref="I368:J368"/>
    <mergeCell ref="A369:B369"/>
    <mergeCell ref="F376:H376"/>
    <mergeCell ref="O376:P376"/>
    <mergeCell ref="F377:H377"/>
    <mergeCell ref="N377:P377"/>
    <mergeCell ref="F378:H378"/>
    <mergeCell ref="N378:P378"/>
    <mergeCell ref="A307:B307"/>
    <mergeCell ref="F314:H314"/>
    <mergeCell ref="O314:P314"/>
    <mergeCell ref="F315:H315"/>
    <mergeCell ref="N315:P315"/>
    <mergeCell ref="F316:H316"/>
    <mergeCell ref="N316:P316"/>
    <mergeCell ref="A317:D317"/>
    <mergeCell ref="A318:D318"/>
    <mergeCell ref="A286:D286"/>
    <mergeCell ref="A287:D287"/>
    <mergeCell ref="A291:C291"/>
    <mergeCell ref="F291:H291"/>
    <mergeCell ref="J291:L291"/>
    <mergeCell ref="N291:P291"/>
    <mergeCell ref="A306:B306"/>
    <mergeCell ref="F306:G306"/>
    <mergeCell ref="I306:J306"/>
    <mergeCell ref="A275:B275"/>
    <mergeCell ref="F275:G275"/>
    <mergeCell ref="I275:J275"/>
    <mergeCell ref="A276:B276"/>
    <mergeCell ref="F283:H283"/>
    <mergeCell ref="O283:P283"/>
    <mergeCell ref="F284:H284"/>
    <mergeCell ref="N284:P284"/>
    <mergeCell ref="F285:H285"/>
    <mergeCell ref="N285:P285"/>
    <mergeCell ref="A245:B245"/>
    <mergeCell ref="F252:H252"/>
    <mergeCell ref="O252:P252"/>
    <mergeCell ref="F253:H253"/>
    <mergeCell ref="N253:P253"/>
    <mergeCell ref="F254:H254"/>
    <mergeCell ref="N254:P254"/>
    <mergeCell ref="A255:D255"/>
    <mergeCell ref="A256:D256"/>
    <mergeCell ref="A224:D224"/>
    <mergeCell ref="A225:D225"/>
    <mergeCell ref="A229:C229"/>
    <mergeCell ref="F229:H229"/>
    <mergeCell ref="J229:L229"/>
    <mergeCell ref="N229:P229"/>
    <mergeCell ref="A244:B244"/>
    <mergeCell ref="F244:G244"/>
    <mergeCell ref="I244:J244"/>
    <mergeCell ref="A213:B213"/>
    <mergeCell ref="F213:G213"/>
    <mergeCell ref="I213:J213"/>
    <mergeCell ref="A214:B214"/>
    <mergeCell ref="F221:H221"/>
    <mergeCell ref="O221:P221"/>
    <mergeCell ref="F222:H222"/>
    <mergeCell ref="N222:P222"/>
    <mergeCell ref="F223:H223"/>
    <mergeCell ref="N223:P223"/>
    <mergeCell ref="N191:P191"/>
    <mergeCell ref="F192:H192"/>
    <mergeCell ref="N192:P192"/>
    <mergeCell ref="A193:D193"/>
    <mergeCell ref="A194:D194"/>
    <mergeCell ref="A198:C198"/>
    <mergeCell ref="F198:H198"/>
    <mergeCell ref="J198:L198"/>
    <mergeCell ref="N198:P198"/>
    <mergeCell ref="F128:H128"/>
    <mergeCell ref="O128:P128"/>
    <mergeCell ref="F129:H129"/>
    <mergeCell ref="N129:P129"/>
    <mergeCell ref="F130:H130"/>
    <mergeCell ref="N130:P130"/>
    <mergeCell ref="A131:D131"/>
    <mergeCell ref="A132:D132"/>
    <mergeCell ref="A136:C136"/>
    <mergeCell ref="F136:H136"/>
    <mergeCell ref="J136:L136"/>
    <mergeCell ref="N136:P136"/>
    <mergeCell ref="N98:P98"/>
    <mergeCell ref="F99:H99"/>
    <mergeCell ref="N99:P99"/>
    <mergeCell ref="A100:D100"/>
    <mergeCell ref="A101:D101"/>
    <mergeCell ref="A105:C105"/>
    <mergeCell ref="F105:H105"/>
    <mergeCell ref="J105:L105"/>
    <mergeCell ref="N105:P105"/>
    <mergeCell ref="F4:H4"/>
    <mergeCell ref="A7:D7"/>
    <mergeCell ref="A8:D8"/>
    <mergeCell ref="A58:B58"/>
    <mergeCell ref="F58:G58"/>
    <mergeCell ref="I58:J58"/>
    <mergeCell ref="A59:B59"/>
    <mergeCell ref="F66:H66"/>
    <mergeCell ref="O66:P66"/>
    <mergeCell ref="F35:H35"/>
    <mergeCell ref="O35:P35"/>
    <mergeCell ref="F36:H36"/>
    <mergeCell ref="N36:P36"/>
    <mergeCell ref="F37:H37"/>
    <mergeCell ref="N37:P37"/>
    <mergeCell ref="A38:D38"/>
    <mergeCell ref="A39:D39"/>
    <mergeCell ref="A43:C43"/>
    <mergeCell ref="F43:H43"/>
    <mergeCell ref="J43:L43"/>
    <mergeCell ref="N43:P43"/>
    <mergeCell ref="O4:P4"/>
    <mergeCell ref="N5:P5"/>
    <mergeCell ref="F5:H5"/>
    <mergeCell ref="F67:H67"/>
    <mergeCell ref="N67:P67"/>
    <mergeCell ref="A90:B90"/>
    <mergeCell ref="A120:B120"/>
    <mergeCell ref="F120:G120"/>
    <mergeCell ref="I120:J120"/>
    <mergeCell ref="A121:B121"/>
    <mergeCell ref="A151:B151"/>
    <mergeCell ref="F151:G151"/>
    <mergeCell ref="I151:J151"/>
    <mergeCell ref="F68:H68"/>
    <mergeCell ref="N68:P68"/>
    <mergeCell ref="A69:D69"/>
    <mergeCell ref="A70:D70"/>
    <mergeCell ref="A74:C74"/>
    <mergeCell ref="F74:H74"/>
    <mergeCell ref="J74:L74"/>
    <mergeCell ref="N74:P74"/>
    <mergeCell ref="A89:B89"/>
    <mergeCell ref="F89:G89"/>
    <mergeCell ref="I89:J89"/>
    <mergeCell ref="F97:H97"/>
    <mergeCell ref="O97:P97"/>
    <mergeCell ref="F98:H98"/>
    <mergeCell ref="A152:B152"/>
    <mergeCell ref="A182:B182"/>
    <mergeCell ref="F182:G182"/>
    <mergeCell ref="I182:J182"/>
    <mergeCell ref="A183:B183"/>
    <mergeCell ref="A260:C260"/>
    <mergeCell ref="F260:H260"/>
    <mergeCell ref="J260:L260"/>
    <mergeCell ref="N260:P260"/>
    <mergeCell ref="F159:H159"/>
    <mergeCell ref="O159:P159"/>
    <mergeCell ref="F160:H160"/>
    <mergeCell ref="N160:P160"/>
    <mergeCell ref="F161:H161"/>
    <mergeCell ref="N161:P161"/>
    <mergeCell ref="A162:D162"/>
    <mergeCell ref="A163:D163"/>
    <mergeCell ref="A167:C167"/>
    <mergeCell ref="F167:H167"/>
    <mergeCell ref="J167:L167"/>
    <mergeCell ref="N167:P167"/>
    <mergeCell ref="F190:H190"/>
    <mergeCell ref="O190:P190"/>
    <mergeCell ref="F191:H191"/>
    <mergeCell ref="A322:C322"/>
    <mergeCell ref="F322:H322"/>
    <mergeCell ref="J322:L322"/>
    <mergeCell ref="N322:P322"/>
    <mergeCell ref="A348:D348"/>
    <mergeCell ref="A349:D349"/>
    <mergeCell ref="A353:C353"/>
    <mergeCell ref="F353:H353"/>
    <mergeCell ref="J353:L353"/>
    <mergeCell ref="N353:P353"/>
    <mergeCell ref="A337:B337"/>
    <mergeCell ref="F337:G337"/>
    <mergeCell ref="I337:J337"/>
    <mergeCell ref="A338:B338"/>
    <mergeCell ref="F345:H345"/>
    <mergeCell ref="O345:P345"/>
    <mergeCell ref="F346:H346"/>
    <mergeCell ref="N346:P346"/>
    <mergeCell ref="F347:H347"/>
    <mergeCell ref="N347:P347"/>
    <mergeCell ref="N384:P384"/>
    <mergeCell ref="A379:D379"/>
    <mergeCell ref="A380:D380"/>
    <mergeCell ref="A384:C384"/>
    <mergeCell ref="F384:H384"/>
    <mergeCell ref="J384:L384"/>
    <mergeCell ref="A410:D410"/>
    <mergeCell ref="A411:D411"/>
    <mergeCell ref="A415:C415"/>
    <mergeCell ref="F415:H415"/>
    <mergeCell ref="J415:L415"/>
    <mergeCell ref="N415:P415"/>
    <mergeCell ref="A399:B399"/>
    <mergeCell ref="F399:G399"/>
    <mergeCell ref="I399:J399"/>
    <mergeCell ref="A400:B400"/>
    <mergeCell ref="F407:H407"/>
    <mergeCell ref="O407:P407"/>
    <mergeCell ref="F408:H408"/>
    <mergeCell ref="N408:P408"/>
    <mergeCell ref="F409:H409"/>
    <mergeCell ref="N409:P409"/>
    <mergeCell ref="A442:D442"/>
    <mergeCell ref="A462:B462"/>
    <mergeCell ref="F470:H470"/>
    <mergeCell ref="N471:P471"/>
    <mergeCell ref="A472:D472"/>
    <mergeCell ref="A473:D473"/>
    <mergeCell ref="N470:P470"/>
    <mergeCell ref="F471:H471"/>
    <mergeCell ref="A446:C446"/>
    <mergeCell ref="F446:H446"/>
    <mergeCell ref="J446:L446"/>
    <mergeCell ref="N446:P446"/>
    <mergeCell ref="A461:B461"/>
    <mergeCell ref="F461:G461"/>
    <mergeCell ref="I461:J461"/>
    <mergeCell ref="F469:H469"/>
    <mergeCell ref="O469:P469"/>
    <mergeCell ref="A648:B648"/>
    <mergeCell ref="F655:H655"/>
    <mergeCell ref="F501:H501"/>
    <mergeCell ref="N501:P501"/>
    <mergeCell ref="F502:H502"/>
    <mergeCell ref="N502:P502"/>
    <mergeCell ref="A524:B524"/>
    <mergeCell ref="F531:H531"/>
    <mergeCell ref="O531:P531"/>
    <mergeCell ref="A554:B554"/>
    <mergeCell ref="F554:G554"/>
    <mergeCell ref="I554:J554"/>
    <mergeCell ref="A503:D503"/>
    <mergeCell ref="A504:D504"/>
    <mergeCell ref="A508:C508"/>
    <mergeCell ref="F508:H508"/>
    <mergeCell ref="J508:L508"/>
    <mergeCell ref="N508:P508"/>
    <mergeCell ref="A523:B523"/>
    <mergeCell ref="O655:P655"/>
    <mergeCell ref="F562:H562"/>
    <mergeCell ref="O562:P562"/>
    <mergeCell ref="F563:H563"/>
    <mergeCell ref="N563:P563"/>
    <mergeCell ref="F6:H6"/>
    <mergeCell ref="N6:P6"/>
    <mergeCell ref="A12:C12"/>
    <mergeCell ref="F12:H12"/>
    <mergeCell ref="J12:L12"/>
    <mergeCell ref="N12:P12"/>
    <mergeCell ref="A647:B647"/>
    <mergeCell ref="F647:G647"/>
    <mergeCell ref="I647:J647"/>
    <mergeCell ref="A616:B616"/>
    <mergeCell ref="F616:G616"/>
    <mergeCell ref="I616:J616"/>
    <mergeCell ref="A617:B617"/>
    <mergeCell ref="F564:H564"/>
    <mergeCell ref="F594:H594"/>
    <mergeCell ref="F523:G523"/>
    <mergeCell ref="I523:J523"/>
    <mergeCell ref="F532:H532"/>
    <mergeCell ref="N532:P532"/>
    <mergeCell ref="A27:B27"/>
    <mergeCell ref="A28:B28"/>
    <mergeCell ref="F27:G27"/>
    <mergeCell ref="I27:J27"/>
    <mergeCell ref="A441:D441"/>
  </mergeCells>
  <printOptions horizontalCentered="1" verticalCentered="1"/>
  <pageMargins left="0.23622047244094491" right="0.23622047244094491" top="0.39370078740157483" bottom="0.39370078740157483" header="0.31496062992125984" footer="0.31496062992125984"/>
  <pageSetup paperSize="9" scale="55" fitToHeight="24" orientation="landscape" r:id="rId1"/>
  <rowBreaks count="23" manualBreakCount="23">
    <brk id="30" max="18" man="1"/>
    <brk id="61" max="18" man="1"/>
    <brk id="92" max="18" man="1"/>
    <brk id="123" max="18" man="1"/>
    <brk id="154" max="18" man="1"/>
    <brk id="185" max="18" man="1"/>
    <brk id="216" max="18" man="1"/>
    <brk id="247" max="18" man="1"/>
    <brk id="278" max="18" man="1"/>
    <brk id="309" max="18" man="1"/>
    <brk id="340" max="18" man="1"/>
    <brk id="371" max="18" man="1"/>
    <brk id="402" max="18" man="1"/>
    <brk id="433" max="18" man="1"/>
    <brk id="464" max="18" man="1"/>
    <brk id="495" max="18" man="1"/>
    <brk id="526" max="18" man="1"/>
    <brk id="557" max="18" man="1"/>
    <brk id="588" max="18" man="1"/>
    <brk id="619" max="18" man="1"/>
    <brk id="651" max="18" man="1"/>
    <brk id="682" max="18" man="1"/>
    <brk id="713" max="18"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7A7B9-D1F3-4CFC-8339-3E67669799C4}">
  <sheetPr codeName="Feuil40">
    <tabColor rgb="FF00FF00"/>
  </sheetPr>
  <dimension ref="A2:AS757"/>
  <sheetViews>
    <sheetView view="pageBreakPreview" topLeftCell="A7" zoomScale="86" zoomScaleNormal="69" workbookViewId="0">
      <selection activeCell="S700" sqref="S700"/>
    </sheetView>
  </sheetViews>
  <sheetFormatPr baseColWidth="10" defaultRowHeight="12.75" x14ac:dyDescent="0.2"/>
  <cols>
    <col min="1" max="1" width="9" style="217" customWidth="1"/>
    <col min="2" max="2" width="5.7109375" style="217" customWidth="1"/>
    <col min="3" max="10" width="8.7109375" style="217" customWidth="1"/>
    <col min="11" max="11" width="11.85546875" style="217" customWidth="1"/>
    <col min="12" max="14" width="4.5703125" style="217" customWidth="1"/>
    <col min="15" max="15" width="10.140625" style="217" customWidth="1"/>
    <col min="16" max="16" width="4.140625" style="217" customWidth="1"/>
    <col min="17" max="17" width="8.7109375" style="217" customWidth="1"/>
    <col min="18" max="18" width="5.7109375" style="217" customWidth="1"/>
    <col min="19" max="26" width="8.7109375" style="217" customWidth="1"/>
    <col min="27" max="27" width="11.28515625" style="217" customWidth="1"/>
    <col min="28" max="30" width="4.5703125" style="217" customWidth="1"/>
    <col min="31" max="31" width="18.7109375" style="217" customWidth="1"/>
    <col min="32" max="32" width="8.5703125" style="217" bestFit="1" customWidth="1"/>
    <col min="33" max="34" width="14" style="217" customWidth="1"/>
    <col min="35" max="35" width="8.5703125" style="217" bestFit="1" customWidth="1"/>
    <col min="36" max="36" width="3.140625" style="217" customWidth="1"/>
    <col min="37" max="16384" width="11.42578125" style="217"/>
  </cols>
  <sheetData>
    <row r="2" spans="30:33" ht="20.25" x14ac:dyDescent="0.2">
      <c r="AD2" s="946" t="s">
        <v>839</v>
      </c>
      <c r="AE2" s="945" t="s">
        <v>840</v>
      </c>
      <c r="AF2" s="943" t="s">
        <v>841</v>
      </c>
      <c r="AG2" s="218" t="s">
        <v>779</v>
      </c>
    </row>
    <row r="3" spans="30:33" x14ac:dyDescent="0.2">
      <c r="AD3" s="945">
        <v>1</v>
      </c>
      <c r="AE3" s="945" t="s">
        <v>1333</v>
      </c>
      <c r="AF3" s="944" t="s">
        <v>1334</v>
      </c>
      <c r="AG3" s="217">
        <f>AD3</f>
        <v>1</v>
      </c>
    </row>
    <row r="4" spans="30:33" x14ac:dyDescent="0.2">
      <c r="AD4" s="945">
        <v>2</v>
      </c>
      <c r="AE4" s="945" t="s">
        <v>1334</v>
      </c>
      <c r="AF4" s="944" t="s">
        <v>1333</v>
      </c>
      <c r="AG4" s="217">
        <f t="shared" ref="AG4:AG26" si="0">AD4</f>
        <v>2</v>
      </c>
    </row>
    <row r="5" spans="30:33" x14ac:dyDescent="0.2">
      <c r="AD5" s="945">
        <v>3</v>
      </c>
      <c r="AE5" s="945" t="s">
        <v>1335</v>
      </c>
      <c r="AF5" s="944" t="s">
        <v>1336</v>
      </c>
      <c r="AG5" s="217">
        <f t="shared" si="0"/>
        <v>3</v>
      </c>
    </row>
    <row r="6" spans="30:33" x14ac:dyDescent="0.2">
      <c r="AD6" s="945">
        <v>4</v>
      </c>
      <c r="AE6" s="945" t="s">
        <v>1336</v>
      </c>
      <c r="AF6" s="944" t="s">
        <v>1335</v>
      </c>
      <c r="AG6" s="217">
        <f t="shared" si="0"/>
        <v>4</v>
      </c>
    </row>
    <row r="7" spans="30:33" x14ac:dyDescent="0.2">
      <c r="AD7" s="945">
        <v>5</v>
      </c>
      <c r="AE7" s="945" t="s">
        <v>1337</v>
      </c>
      <c r="AF7" s="944" t="s">
        <v>1338</v>
      </c>
      <c r="AG7" s="217">
        <f t="shared" si="0"/>
        <v>5</v>
      </c>
    </row>
    <row r="8" spans="30:33" x14ac:dyDescent="0.2">
      <c r="AD8" s="945">
        <v>6</v>
      </c>
      <c r="AE8" s="945" t="s">
        <v>1338</v>
      </c>
      <c r="AF8" s="944" t="s">
        <v>1337</v>
      </c>
      <c r="AG8" s="217">
        <f t="shared" si="0"/>
        <v>6</v>
      </c>
    </row>
    <row r="9" spans="30:33" x14ac:dyDescent="0.2">
      <c r="AD9" s="945">
        <v>7</v>
      </c>
      <c r="AE9" s="945" t="s">
        <v>1339</v>
      </c>
      <c r="AF9" s="944" t="s">
        <v>1340</v>
      </c>
      <c r="AG9" s="217">
        <f t="shared" si="0"/>
        <v>7</v>
      </c>
    </row>
    <row r="10" spans="30:33" x14ac:dyDescent="0.2">
      <c r="AD10" s="945">
        <v>8</v>
      </c>
      <c r="AE10" s="945" t="s">
        <v>1340</v>
      </c>
      <c r="AF10" s="944" t="s">
        <v>1339</v>
      </c>
      <c r="AG10" s="217">
        <f t="shared" si="0"/>
        <v>8</v>
      </c>
    </row>
    <row r="11" spans="30:33" x14ac:dyDescent="0.2">
      <c r="AD11" s="945">
        <v>9</v>
      </c>
      <c r="AE11" s="945" t="s">
        <v>1341</v>
      </c>
      <c r="AF11" s="944" t="s">
        <v>1326</v>
      </c>
      <c r="AG11" s="217">
        <f t="shared" si="0"/>
        <v>9</v>
      </c>
    </row>
    <row r="12" spans="30:33" x14ac:dyDescent="0.2">
      <c r="AD12" s="945">
        <v>10</v>
      </c>
      <c r="AE12" s="945" t="s">
        <v>1342</v>
      </c>
      <c r="AF12" s="944" t="s">
        <v>1343</v>
      </c>
      <c r="AG12" s="217">
        <f t="shared" si="0"/>
        <v>10</v>
      </c>
    </row>
    <row r="13" spans="30:33" x14ac:dyDescent="0.2">
      <c r="AD13" s="945">
        <v>11</v>
      </c>
      <c r="AE13" s="945" t="s">
        <v>1343</v>
      </c>
      <c r="AF13" s="944" t="s">
        <v>1342</v>
      </c>
      <c r="AG13" s="217">
        <f t="shared" si="0"/>
        <v>11</v>
      </c>
    </row>
    <row r="14" spans="30:33" x14ac:dyDescent="0.2">
      <c r="AD14" s="945">
        <v>12</v>
      </c>
      <c r="AE14" s="945" t="s">
        <v>1345</v>
      </c>
      <c r="AF14" s="944" t="s">
        <v>1344</v>
      </c>
      <c r="AG14" s="217">
        <f t="shared" si="0"/>
        <v>12</v>
      </c>
    </row>
    <row r="15" spans="30:33" x14ac:dyDescent="0.2">
      <c r="AD15" s="945">
        <v>13</v>
      </c>
      <c r="AE15" s="945" t="s">
        <v>1344</v>
      </c>
      <c r="AF15" s="944" t="s">
        <v>1345</v>
      </c>
      <c r="AG15" s="217">
        <f t="shared" si="0"/>
        <v>13</v>
      </c>
    </row>
    <row r="16" spans="30:33" x14ac:dyDescent="0.2">
      <c r="AD16" s="945"/>
      <c r="AE16" s="945"/>
      <c r="AF16" s="944"/>
      <c r="AG16" s="217">
        <f t="shared" si="0"/>
        <v>0</v>
      </c>
    </row>
    <row r="17" spans="6:45" x14ac:dyDescent="0.2">
      <c r="AD17" s="945"/>
      <c r="AE17" s="945"/>
      <c r="AF17" s="944"/>
      <c r="AG17" s="217">
        <f t="shared" si="0"/>
        <v>0</v>
      </c>
    </row>
    <row r="18" spans="6:45" x14ac:dyDescent="0.2">
      <c r="AD18" s="945"/>
      <c r="AE18" s="945"/>
      <c r="AF18" s="944"/>
      <c r="AG18" s="217">
        <f t="shared" si="0"/>
        <v>0</v>
      </c>
    </row>
    <row r="19" spans="6:45" x14ac:dyDescent="0.2">
      <c r="AD19" s="945"/>
      <c r="AE19" s="945"/>
      <c r="AF19" s="944"/>
      <c r="AG19" s="217">
        <f t="shared" si="0"/>
        <v>0</v>
      </c>
    </row>
    <row r="20" spans="6:45" x14ac:dyDescent="0.2">
      <c r="AD20" s="945"/>
      <c r="AE20" s="945"/>
      <c r="AF20" s="944"/>
      <c r="AG20" s="217">
        <f t="shared" si="0"/>
        <v>0</v>
      </c>
    </row>
    <row r="21" spans="6:45" x14ac:dyDescent="0.2">
      <c r="AD21" s="945"/>
      <c r="AE21" s="945"/>
      <c r="AF21" s="944"/>
      <c r="AG21" s="217">
        <f t="shared" si="0"/>
        <v>0</v>
      </c>
    </row>
    <row r="22" spans="6:45" x14ac:dyDescent="0.2">
      <c r="AD22" s="945"/>
      <c r="AE22" s="945"/>
      <c r="AF22" s="944"/>
      <c r="AG22" s="217">
        <f t="shared" si="0"/>
        <v>0</v>
      </c>
    </row>
    <row r="23" spans="6:45" x14ac:dyDescent="0.2">
      <c r="AD23" s="945"/>
      <c r="AE23" s="945"/>
      <c r="AF23" s="944"/>
      <c r="AG23" s="217">
        <f t="shared" si="0"/>
        <v>0</v>
      </c>
    </row>
    <row r="24" spans="6:45" x14ac:dyDescent="0.2">
      <c r="AD24" s="945"/>
      <c r="AE24" s="945"/>
      <c r="AF24" s="944"/>
      <c r="AG24" s="217">
        <f t="shared" si="0"/>
        <v>0</v>
      </c>
    </row>
    <row r="25" spans="6:45" x14ac:dyDescent="0.2">
      <c r="AD25" s="945"/>
      <c r="AE25" s="945"/>
      <c r="AF25" s="944"/>
      <c r="AG25" s="217">
        <f t="shared" si="0"/>
        <v>0</v>
      </c>
    </row>
    <row r="26" spans="6:45" x14ac:dyDescent="0.2">
      <c r="AD26" s="945"/>
      <c r="AE26" s="945"/>
      <c r="AF26" s="944"/>
      <c r="AG26" s="217">
        <f t="shared" si="0"/>
        <v>0</v>
      </c>
    </row>
    <row r="30" spans="6:45" x14ac:dyDescent="0.2">
      <c r="AF30" s="508" t="s">
        <v>1331</v>
      </c>
    </row>
    <row r="31" spans="6:45" ht="19.5" customHeight="1" thickBot="1" x14ac:dyDescent="0.25">
      <c r="W31" s="500"/>
      <c r="X31" s="680" t="str">
        <f ca="1">INDIRECT("AE"&amp;Y31)</f>
        <v>C1-Coll1Ville1</v>
      </c>
      <c r="Y31" s="873">
        <f>Z32+2</f>
        <v>3</v>
      </c>
      <c r="Z31" s="874" t="str">
        <f ca="1">INDIRECT("AF"&amp;Y31)</f>
        <v>C8-Coll8Ville8</v>
      </c>
      <c r="AA31" s="500"/>
      <c r="AB31" s="500"/>
      <c r="AD31" s="679"/>
      <c r="AE31" s="679"/>
      <c r="AF31" s="679"/>
      <c r="AG31" s="679"/>
      <c r="AH31" s="679"/>
      <c r="AI31" s="679"/>
      <c r="AJ31" s="679"/>
      <c r="AK31" s="679"/>
      <c r="AL31" s="679"/>
    </row>
    <row r="32" spans="6:45" s="218" customFormat="1" ht="36" thickBot="1" x14ac:dyDescent="0.25">
      <c r="F32" s="576" t="s">
        <v>546</v>
      </c>
      <c r="G32" s="865" t="str">
        <f>LEFT(AD2,2)</f>
        <v>D1</v>
      </c>
      <c r="I32" s="863" t="str">
        <f>"   "&amp;Championnat</f>
        <v xml:space="preserve">   Championnat de France de Tir à l'ARC</v>
      </c>
      <c r="T32" s="197"/>
      <c r="U32" s="197"/>
      <c r="V32" s="197"/>
      <c r="W32" s="197"/>
      <c r="Y32" s="502" t="s">
        <v>849</v>
      </c>
      <c r="Z32" s="503">
        <v>1</v>
      </c>
      <c r="AB32" s="254"/>
      <c r="AC32" s="254"/>
      <c r="AD32" s="681"/>
      <c r="AE32" s="680"/>
      <c r="AF32" s="681"/>
      <c r="AH32" s="662"/>
      <c r="AI32" s="662"/>
      <c r="AJ32" s="662"/>
      <c r="AK32" s="662"/>
      <c r="AL32" s="662"/>
      <c r="AN32" s="217"/>
      <c r="AO32" s="217"/>
      <c r="AP32" s="217"/>
      <c r="AQ32" s="217"/>
      <c r="AR32" s="217"/>
      <c r="AS32" s="217"/>
    </row>
    <row r="33" spans="1:38" ht="36" thickBot="1" x14ac:dyDescent="0.25">
      <c r="F33" s="661" t="s">
        <v>628</v>
      </c>
      <c r="G33" s="660">
        <f ca="1">INDIRECT("AD"&amp;Y31)</f>
        <v>1</v>
      </c>
      <c r="I33" s="706" t="str">
        <f>CATEG_IMPORTEE</f>
        <v>Collèges Mixtes Etablissement</v>
      </c>
      <c r="S33" s="864" t="str">
        <f>LIEU&amp;" du "&amp;DATE</f>
        <v>L’Isle sur la Sorgue du 27 au 31 mars 2023</v>
      </c>
      <c r="AB33" s="254"/>
      <c r="AC33" s="254"/>
      <c r="AD33" s="681"/>
      <c r="AE33" s="680"/>
      <c r="AF33" s="681"/>
      <c r="AG33" s="679"/>
      <c r="AH33" s="679"/>
      <c r="AI33" s="679"/>
      <c r="AJ33" s="679"/>
      <c r="AK33" s="679"/>
      <c r="AL33" s="679"/>
    </row>
    <row r="34" spans="1:38" ht="24" customHeight="1" x14ac:dyDescent="0.2">
      <c r="A34" s="1075" t="s">
        <v>0</v>
      </c>
      <c r="B34" s="1075"/>
      <c r="C34" s="1075"/>
      <c r="D34" s="1075"/>
      <c r="E34" s="1075"/>
      <c r="F34" s="1075"/>
      <c r="G34" s="1075"/>
      <c r="H34" s="1075"/>
      <c r="I34" s="1075"/>
      <c r="J34" s="1075"/>
      <c r="Q34" s="1075" t="s">
        <v>0</v>
      </c>
      <c r="R34" s="1075"/>
      <c r="S34" s="1075"/>
      <c r="T34" s="1075"/>
      <c r="U34" s="1075"/>
      <c r="V34" s="1075"/>
      <c r="W34" s="1075"/>
      <c r="X34" s="1075"/>
      <c r="Y34" s="1075"/>
      <c r="Z34" s="1075"/>
      <c r="AB34" s="254"/>
      <c r="AC34" s="254"/>
      <c r="AD34" s="681"/>
      <c r="AE34" s="680"/>
      <c r="AF34" s="681"/>
      <c r="AG34" s="679"/>
      <c r="AH34" s="679"/>
      <c r="AI34" s="679"/>
      <c r="AJ34" s="679"/>
      <c r="AK34" s="679"/>
      <c r="AL34" s="679"/>
    </row>
    <row r="35" spans="1:38" ht="31.5" customHeight="1" x14ac:dyDescent="0.2">
      <c r="A35" s="1144" t="str">
        <f ca="1">IFERROR(VLOOKUP(X31,Num_AS,2,FALSE),"")</f>
        <v/>
      </c>
      <c r="B35" s="1144"/>
      <c r="C35" s="1144"/>
      <c r="D35" s="1144"/>
      <c r="E35" s="1144"/>
      <c r="F35" s="1144"/>
      <c r="G35" s="1144"/>
      <c r="H35" s="1144"/>
      <c r="I35" s="1144"/>
      <c r="J35" s="1144"/>
      <c r="K35" s="869" t="s">
        <v>1299</v>
      </c>
      <c r="L35" s="1145" t="s">
        <v>547</v>
      </c>
      <c r="M35" s="1145"/>
      <c r="N35" s="1145"/>
      <c r="O35" s="870" t="s">
        <v>1298</v>
      </c>
      <c r="Q35" s="1144" t="str">
        <f ca="1">IFERROR(VLOOKUP(Z31,Num_AS,2,FALSE),"")</f>
        <v/>
      </c>
      <c r="R35" s="1144"/>
      <c r="S35" s="1144"/>
      <c r="T35" s="1144"/>
      <c r="U35" s="1144"/>
      <c r="V35" s="1144"/>
      <c r="W35" s="1144"/>
      <c r="X35" s="1144"/>
      <c r="Y35" s="1144"/>
      <c r="Z35" s="1144"/>
      <c r="AB35" s="254"/>
      <c r="AC35" s="254"/>
      <c r="AD35" s="681"/>
      <c r="AE35" s="680"/>
      <c r="AF35" s="681"/>
      <c r="AG35" s="679"/>
      <c r="AH35" s="679"/>
      <c r="AI35" s="679"/>
      <c r="AJ35" s="679"/>
      <c r="AK35" s="679"/>
      <c r="AL35" s="679"/>
    </row>
    <row r="36" spans="1:38" ht="20.100000000000001" customHeight="1" thickBot="1" x14ac:dyDescent="0.25">
      <c r="A36" s="1124" t="s">
        <v>1006</v>
      </c>
      <c r="B36" s="1124"/>
      <c r="C36" s="1125"/>
      <c r="D36" s="1125"/>
      <c r="E36" s="1125"/>
      <c r="F36" s="1125"/>
      <c r="G36" s="1125"/>
      <c r="H36" s="1125"/>
      <c r="I36" s="1125"/>
      <c r="J36" s="1125"/>
      <c r="L36" s="871"/>
      <c r="M36" s="871"/>
      <c r="N36" s="871"/>
      <c r="Q36" s="1124" t="s">
        <v>1005</v>
      </c>
      <c r="R36" s="1124"/>
      <c r="S36" s="1125"/>
      <c r="T36" s="1125"/>
      <c r="U36" s="1125"/>
      <c r="V36" s="1125"/>
      <c r="W36" s="1125"/>
      <c r="X36" s="1125"/>
      <c r="Y36" s="1125"/>
      <c r="Z36" s="1125"/>
      <c r="AB36" s="254"/>
      <c r="AC36" s="254"/>
      <c r="AD36" s="681"/>
      <c r="AE36" s="680"/>
      <c r="AF36" s="681"/>
      <c r="AG36" s="679"/>
      <c r="AH36" s="679"/>
      <c r="AI36" s="679"/>
      <c r="AJ36" s="679"/>
      <c r="AK36" s="679"/>
      <c r="AL36" s="679"/>
    </row>
    <row r="37" spans="1:38" ht="27.75" customHeight="1" x14ac:dyDescent="0.2">
      <c r="A37" s="1117" t="str">
        <f ca="1">IFERROR(VLOOKUP(X31,Num_AS,3,FALSE),"")</f>
        <v/>
      </c>
      <c r="B37" s="1150"/>
      <c r="C37" s="1118"/>
      <c r="D37" s="1151"/>
      <c r="E37" s="1151"/>
      <c r="F37" s="1151"/>
      <c r="G37" s="1151"/>
      <c r="H37" s="1151"/>
      <c r="I37" s="1151"/>
      <c r="J37" s="1119"/>
      <c r="O37" s="219"/>
      <c r="P37" s="219"/>
      <c r="Q37" s="1117" t="str">
        <f ca="1">IFERROR(VLOOKUP(Z31,Num_AS,3,FALSE),"")</f>
        <v/>
      </c>
      <c r="R37" s="1150"/>
      <c r="S37" s="1118"/>
      <c r="T37" s="1151"/>
      <c r="U37" s="1151"/>
      <c r="V37" s="1151"/>
      <c r="W37" s="1151"/>
      <c r="X37" s="1151"/>
      <c r="Y37" s="1151"/>
      <c r="Z37" s="1119"/>
      <c r="AB37" s="254"/>
      <c r="AC37" s="254"/>
      <c r="AD37" s="681"/>
      <c r="AE37" s="680"/>
      <c r="AF37" s="681"/>
      <c r="AG37" s="679"/>
      <c r="AH37" s="679"/>
      <c r="AI37" s="679"/>
      <c r="AJ37" s="679"/>
      <c r="AK37" s="679"/>
      <c r="AL37" s="679"/>
    </row>
    <row r="38" spans="1:38" ht="27.75" customHeight="1" thickBot="1" x14ac:dyDescent="0.25">
      <c r="A38" s="1107" t="str">
        <f ca="1">IFERROR(VLOOKUP(X31,Num_AS,4,FALSE),"")</f>
        <v/>
      </c>
      <c r="B38" s="1152"/>
      <c r="C38" s="1108"/>
      <c r="D38" s="1153"/>
      <c r="E38" s="1153"/>
      <c r="F38" s="1153"/>
      <c r="G38" s="1153"/>
      <c r="H38" s="1153"/>
      <c r="I38" s="1153"/>
      <c r="J38" s="1109"/>
      <c r="Q38" s="1107" t="str">
        <f ca="1">IFERROR(VLOOKUP(Z31,Num_AS,4,FALSE),"")</f>
        <v/>
      </c>
      <c r="R38" s="1152"/>
      <c r="S38" s="1108"/>
      <c r="T38" s="1153"/>
      <c r="U38" s="1153"/>
      <c r="V38" s="1153"/>
      <c r="W38" s="1153"/>
      <c r="X38" s="1153"/>
      <c r="Y38" s="1153"/>
      <c r="Z38" s="1109"/>
      <c r="AB38" s="254"/>
      <c r="AC38" s="254"/>
      <c r="AD38" s="681"/>
      <c r="AE38" s="680"/>
      <c r="AF38" s="681"/>
      <c r="AG38" s="679"/>
      <c r="AH38" s="679"/>
      <c r="AI38" s="679"/>
      <c r="AJ38" s="679"/>
      <c r="AK38" s="679"/>
      <c r="AL38" s="679"/>
    </row>
    <row r="39" spans="1:38" ht="36" customHeight="1" thickBot="1" x14ac:dyDescent="0.25">
      <c r="A39" s="1156" t="s">
        <v>1330</v>
      </c>
      <c r="B39" s="1157"/>
      <c r="C39" s="1157"/>
      <c r="D39" s="1158"/>
      <c r="E39" s="947">
        <f ca="1">VLOOKUP(A35&amp;A37,PTS_SP,3,FALSE)</f>
        <v>0</v>
      </c>
      <c r="Q39" s="1156" t="s">
        <v>1330</v>
      </c>
      <c r="R39" s="1157"/>
      <c r="S39" s="1157"/>
      <c r="T39" s="1158"/>
      <c r="U39" s="947">
        <f ca="1">VLOOKUP(Q35&amp;Q37,PTS_SP,3,FALSE)</f>
        <v>0</v>
      </c>
      <c r="AB39" s="254"/>
      <c r="AC39" s="254"/>
      <c r="AD39" s="681"/>
      <c r="AE39" s="680"/>
      <c r="AF39" s="681"/>
      <c r="AG39" s="679"/>
      <c r="AH39" s="679"/>
      <c r="AI39" s="679"/>
      <c r="AJ39" s="679"/>
      <c r="AK39" s="679"/>
      <c r="AL39" s="679"/>
    </row>
    <row r="40" spans="1:38" ht="38.25" customHeight="1" x14ac:dyDescent="0.2">
      <c r="A40" s="701"/>
      <c r="B40" s="701"/>
      <c r="C40" s="853"/>
      <c r="D40" s="861" t="s">
        <v>1290</v>
      </c>
      <c r="E40" s="853"/>
      <c r="F40" s="854"/>
      <c r="G40" s="854"/>
      <c r="H40" s="872" t="s">
        <v>1295</v>
      </c>
      <c r="I40" s="855"/>
      <c r="J40" s="853"/>
      <c r="K40" s="853"/>
      <c r="L40" s="853"/>
      <c r="M40" s="859"/>
      <c r="N40" s="860" t="s">
        <v>1291</v>
      </c>
      <c r="O40" s="853"/>
      <c r="P40" s="249"/>
      <c r="Q40" s="701"/>
      <c r="R40" s="701"/>
      <c r="S40" s="853"/>
      <c r="T40" s="861" t="s">
        <v>1290</v>
      </c>
      <c r="U40" s="853"/>
      <c r="V40" s="854"/>
      <c r="W40" s="854"/>
      <c r="X40" s="872" t="s">
        <v>1302</v>
      </c>
      <c r="Y40" s="855"/>
      <c r="Z40" s="853"/>
      <c r="AA40" s="853"/>
      <c r="AB40" s="853"/>
      <c r="AC40" s="859"/>
      <c r="AD40" s="860" t="s">
        <v>1291</v>
      </c>
      <c r="AE40" s="853"/>
      <c r="AF40" s="681"/>
      <c r="AG40" s="681"/>
      <c r="AH40" s="681"/>
      <c r="AI40" s="681"/>
      <c r="AJ40" s="679"/>
      <c r="AK40" s="679"/>
      <c r="AL40" s="679"/>
    </row>
    <row r="41" spans="1:38" ht="38.25" customHeight="1" x14ac:dyDescent="0.2">
      <c r="A41" s="856" t="s">
        <v>509</v>
      </c>
      <c r="B41" s="942" t="s">
        <v>1329</v>
      </c>
      <c r="C41" s="857">
        <v>1</v>
      </c>
      <c r="D41" s="857">
        <v>2</v>
      </c>
      <c r="E41" s="857">
        <v>3</v>
      </c>
      <c r="F41" s="857">
        <v>4</v>
      </c>
      <c r="G41" s="857">
        <v>5</v>
      </c>
      <c r="H41" s="857">
        <v>6</v>
      </c>
      <c r="I41" s="857">
        <v>7</v>
      </c>
      <c r="J41" s="857">
        <v>8</v>
      </c>
      <c r="K41" s="858" t="s">
        <v>1286</v>
      </c>
      <c r="L41" s="1154" t="s">
        <v>1287</v>
      </c>
      <c r="M41" s="1154"/>
      <c r="N41" s="1154"/>
      <c r="O41" s="858" t="s">
        <v>1288</v>
      </c>
      <c r="P41" s="844"/>
      <c r="Q41" s="856" t="s">
        <v>509</v>
      </c>
      <c r="R41" s="942" t="s">
        <v>1329</v>
      </c>
      <c r="S41" s="857">
        <v>1</v>
      </c>
      <c r="T41" s="857">
        <v>2</v>
      </c>
      <c r="U41" s="857">
        <v>3</v>
      </c>
      <c r="V41" s="857">
        <v>4</v>
      </c>
      <c r="W41" s="857">
        <v>5</v>
      </c>
      <c r="X41" s="857">
        <v>6</v>
      </c>
      <c r="Y41" s="857">
        <v>7</v>
      </c>
      <c r="Z41" s="857">
        <v>8</v>
      </c>
      <c r="AA41" s="858" t="s">
        <v>1286</v>
      </c>
      <c r="AB41" s="1154" t="s">
        <v>1287</v>
      </c>
      <c r="AC41" s="1154"/>
      <c r="AD41" s="1154"/>
      <c r="AE41" s="858" t="s">
        <v>1288</v>
      </c>
      <c r="AF41" s="681"/>
      <c r="AG41" s="681"/>
      <c r="AH41" s="681"/>
      <c r="AI41" s="681"/>
      <c r="AJ41" s="679"/>
      <c r="AK41" s="679"/>
      <c r="AL41" s="679"/>
    </row>
    <row r="42" spans="1:38" ht="30" customHeight="1" x14ac:dyDescent="0.25">
      <c r="A42" s="846" t="s">
        <v>1282</v>
      </c>
      <c r="B42" s="948">
        <f ca="1">E39</f>
        <v>0</v>
      </c>
      <c r="C42" s="843"/>
      <c r="D42" s="843"/>
      <c r="E42" s="843"/>
      <c r="F42" s="843"/>
      <c r="G42" s="847"/>
      <c r="H42" s="848"/>
      <c r="I42" s="846"/>
      <c r="J42" s="843"/>
      <c r="K42" s="843"/>
      <c r="L42" s="849">
        <f ca="1">IF(Q35="Matchs de CLASSEMENT","X",2)</f>
        <v>2</v>
      </c>
      <c r="M42" s="849">
        <f ca="1">IF(Q35="Matchs de CLASSEMENT","X",1)</f>
        <v>1</v>
      </c>
      <c r="N42" s="849">
        <f ca="1">IF(Q35="Matchs de CLASSEMENT","X",0)</f>
        <v>0</v>
      </c>
      <c r="O42" s="849" t="str">
        <f ca="1">IF(Q35="Matchs de CLASSEMENT","X","")</f>
        <v/>
      </c>
      <c r="P42" s="842"/>
      <c r="Q42" s="849" t="str">
        <f ca="1">IF(Q35="Matchs de CLASSEMENT","X","V1")</f>
        <v>V1</v>
      </c>
      <c r="R42" s="948">
        <f ca="1">U39</f>
        <v>0</v>
      </c>
      <c r="S42" s="849" t="str">
        <f ca="1">IF(Q35="Matchs de CLASSEMENT","X","")</f>
        <v/>
      </c>
      <c r="T42" s="849" t="str">
        <f ca="1">IF(Q35="Matchs de CLASSEMENT","X","")</f>
        <v/>
      </c>
      <c r="U42" s="849" t="str">
        <f ca="1">IF(Q35="Matchs de CLASSEMENT","X","")</f>
        <v/>
      </c>
      <c r="V42" s="849" t="str">
        <f ca="1">IF(Q35="Matchs de CLASSEMENT","X","")</f>
        <v/>
      </c>
      <c r="W42" s="849" t="str">
        <f ca="1">IF(Q35="Matchs de CLASSEMENT","X","")</f>
        <v/>
      </c>
      <c r="X42" s="849" t="str">
        <f ca="1">IF(Q35="Matchs de CLASSEMENT","X","")</f>
        <v/>
      </c>
      <c r="Y42" s="849" t="str">
        <f ca="1">IF(Q35="Matchs de CLASSEMENT","X","")</f>
        <v/>
      </c>
      <c r="Z42" s="849" t="str">
        <f ca="1">IF(Q35="Matchs de CLASSEMENT","X","")</f>
        <v/>
      </c>
      <c r="AA42" s="849" t="str">
        <f ca="1">IF(Q35="Matchs de CLASSEMENT","X","")</f>
        <v/>
      </c>
      <c r="AB42" s="849">
        <f ca="1">IF(Q35="Matchs de CLASSEMENT","X",2)</f>
        <v>2</v>
      </c>
      <c r="AC42" s="849">
        <f ca="1">IF(Q35="Matchs de CLASSEMENT","X",1)</f>
        <v>1</v>
      </c>
      <c r="AD42" s="849">
        <f ca="1">IF(Q35="Matchs de CLASSEMENT","X",0)</f>
        <v>0</v>
      </c>
      <c r="AE42" s="849" t="str">
        <f ca="1">IF(Q35="Matchs de CLASSEMENT","X","")</f>
        <v/>
      </c>
      <c r="AF42" s="679"/>
      <c r="AG42" s="679"/>
      <c r="AH42" s="679"/>
      <c r="AI42" s="679"/>
      <c r="AJ42" s="679"/>
      <c r="AK42" s="679"/>
      <c r="AL42" s="679"/>
    </row>
    <row r="43" spans="1:38" ht="30" customHeight="1" x14ac:dyDescent="0.25">
      <c r="A43" s="846" t="s">
        <v>1283</v>
      </c>
      <c r="B43" s="948">
        <f ca="1">B42</f>
        <v>0</v>
      </c>
      <c r="C43" s="843"/>
      <c r="D43" s="843"/>
      <c r="E43" s="843"/>
      <c r="F43" s="843"/>
      <c r="G43" s="847"/>
      <c r="H43" s="848"/>
      <c r="I43" s="846"/>
      <c r="J43" s="843"/>
      <c r="K43" s="843"/>
      <c r="L43" s="849">
        <f ca="1">IF(Q35="Matchs de CLASSEMENT","X",2)</f>
        <v>2</v>
      </c>
      <c r="M43" s="849">
        <f ca="1">IF(Q35="Matchs de CLASSEMENT","X",1)</f>
        <v>1</v>
      </c>
      <c r="N43" s="849">
        <f ca="1">IF(Q35="Matchs de CLASSEMENT","X",0)</f>
        <v>0</v>
      </c>
      <c r="O43" s="849" t="str">
        <f ca="1">IF(Q35="Matchs de CLASSEMENT","X","")</f>
        <v/>
      </c>
      <c r="P43" s="842"/>
      <c r="Q43" s="849" t="str">
        <f ca="1">IF(Q35="Matchs de CLASSEMENT","X","V2")</f>
        <v>V2</v>
      </c>
      <c r="R43" s="948">
        <f ca="1">R42</f>
        <v>0</v>
      </c>
      <c r="S43" s="849" t="str">
        <f ca="1">IF(Q35="Matchs de CLASSEMENT","X","")</f>
        <v/>
      </c>
      <c r="T43" s="849" t="str">
        <f ca="1">IF(Q35="Matchs de CLASSEMENT","X","")</f>
        <v/>
      </c>
      <c r="U43" s="849" t="str">
        <f ca="1">IF(Q35="Matchs de CLASSEMENT","X","")</f>
        <v/>
      </c>
      <c r="V43" s="849" t="str">
        <f ca="1">IF(Q35="Matchs de CLASSEMENT","X","")</f>
        <v/>
      </c>
      <c r="W43" s="849" t="str">
        <f ca="1">IF(Q35="Matchs de CLASSEMENT","X","")</f>
        <v/>
      </c>
      <c r="X43" s="849" t="str">
        <f ca="1">IF(Q35="Matchs de CLASSEMENT","X","")</f>
        <v/>
      </c>
      <c r="Y43" s="849" t="str">
        <f ca="1">IF(Q35="Matchs de CLASSEMENT","X","")</f>
        <v/>
      </c>
      <c r="Z43" s="849" t="str">
        <f ca="1">IF(Q35="Matchs de CLASSEMENT","X","")</f>
        <v/>
      </c>
      <c r="AA43" s="849" t="str">
        <f ca="1">IF(Q35="Matchs de CLASSEMENT","X","")</f>
        <v/>
      </c>
      <c r="AB43" s="849">
        <f ca="1">IF(Q35="Matchs de CLASSEMENT","X",2)</f>
        <v>2</v>
      </c>
      <c r="AC43" s="849">
        <f ca="1">IF(Q35="Matchs de CLASSEMENT","X",1)</f>
        <v>1</v>
      </c>
      <c r="AD43" s="849">
        <f ca="1">IF(Q35="Matchs de CLASSEMENT","X",0)</f>
        <v>0</v>
      </c>
      <c r="AE43" s="849" t="str">
        <f ca="1">IF(Q35="Matchs de CLASSEMENT","X","")</f>
        <v/>
      </c>
      <c r="AF43" s="679"/>
      <c r="AG43" s="679"/>
      <c r="AH43" s="679"/>
      <c r="AI43" s="679"/>
      <c r="AJ43" s="679"/>
      <c r="AK43" s="679"/>
      <c r="AL43" s="679"/>
    </row>
    <row r="44" spans="1:38" ht="30" customHeight="1" x14ac:dyDescent="0.25">
      <c r="A44" s="846" t="s">
        <v>1284</v>
      </c>
      <c r="B44" s="948">
        <f t="shared" ref="B44:B45" ca="1" si="1">B43</f>
        <v>0</v>
      </c>
      <c r="C44" s="843"/>
      <c r="D44" s="843"/>
      <c r="E44" s="843"/>
      <c r="F44" s="843"/>
      <c r="G44" s="847"/>
      <c r="H44" s="848"/>
      <c r="I44" s="846"/>
      <c r="J44" s="843"/>
      <c r="K44" s="843"/>
      <c r="L44" s="849">
        <f ca="1">IF(Q35="Matchs de CLASSEMENT","X",2)</f>
        <v>2</v>
      </c>
      <c r="M44" s="849">
        <f ca="1">IF(Q35="Matchs de CLASSEMENT","X",1)</f>
        <v>1</v>
      </c>
      <c r="N44" s="849">
        <f ca="1">IF(Q35="Matchs de CLASSEMENT","X",0)</f>
        <v>0</v>
      </c>
      <c r="O44" s="849" t="str">
        <f ca="1">IF(Q35="Matchs de CLASSEMENT","X","")</f>
        <v/>
      </c>
      <c r="P44" s="842"/>
      <c r="Q44" s="849" t="str">
        <f ca="1">IF(Q35="Matchs de CLASSEMENT","X","V3")</f>
        <v>V3</v>
      </c>
      <c r="R44" s="948">
        <f t="shared" ref="R44:R45" ca="1" si="2">R43</f>
        <v>0</v>
      </c>
      <c r="S44" s="849" t="str">
        <f ca="1">IF(Q35="Matchs de CLASSEMENT","X","")</f>
        <v/>
      </c>
      <c r="T44" s="849" t="str">
        <f ca="1">IF(Q35="Matchs de CLASSEMENT","X","")</f>
        <v/>
      </c>
      <c r="U44" s="849" t="str">
        <f ca="1">IF(Q35="Matchs de CLASSEMENT","X","")</f>
        <v/>
      </c>
      <c r="V44" s="849" t="str">
        <f ca="1">IF(Q35="Matchs de CLASSEMENT","X","")</f>
        <v/>
      </c>
      <c r="W44" s="849" t="str">
        <f ca="1">IF(Q35="Matchs de CLASSEMENT","X","")</f>
        <v/>
      </c>
      <c r="X44" s="849" t="str">
        <f ca="1">IF(Q35="Matchs de CLASSEMENT","X","")</f>
        <v/>
      </c>
      <c r="Y44" s="849" t="str">
        <f ca="1">IF(Q35="Matchs de CLASSEMENT","X","")</f>
        <v/>
      </c>
      <c r="Z44" s="849" t="str">
        <f ca="1">IF(Q35="Matchs de CLASSEMENT","X","")</f>
        <v/>
      </c>
      <c r="AA44" s="849" t="str">
        <f ca="1">IF(Q35="Matchs de CLASSEMENT","X","")</f>
        <v/>
      </c>
      <c r="AB44" s="849">
        <f ca="1">IF(Q35="Matchs de CLASSEMENT","X",2)</f>
        <v>2</v>
      </c>
      <c r="AC44" s="849">
        <f ca="1">IF(Q35="Matchs de CLASSEMENT","X",1)</f>
        <v>1</v>
      </c>
      <c r="AD44" s="849">
        <f ca="1">IF(Q35="Matchs de CLASSEMENT","X",0)</f>
        <v>0</v>
      </c>
      <c r="AE44" s="849" t="str">
        <f ca="1">IF(Q35="Matchs de CLASSEMENT","X","")</f>
        <v/>
      </c>
      <c r="AF44" s="679"/>
      <c r="AG44" s="679"/>
      <c r="AH44" s="679"/>
      <c r="AI44" s="679"/>
      <c r="AJ44" s="679"/>
      <c r="AK44" s="679"/>
      <c r="AL44" s="679"/>
    </row>
    <row r="45" spans="1:38" ht="30" customHeight="1" x14ac:dyDescent="0.25">
      <c r="A45" s="846" t="s">
        <v>1285</v>
      </c>
      <c r="B45" s="948">
        <f t="shared" ca="1" si="1"/>
        <v>0</v>
      </c>
      <c r="C45" s="843"/>
      <c r="D45" s="843"/>
      <c r="E45" s="843"/>
      <c r="F45" s="843"/>
      <c r="G45" s="847"/>
      <c r="H45" s="848"/>
      <c r="I45" s="846"/>
      <c r="J45" s="843"/>
      <c r="K45" s="843"/>
      <c r="L45" s="849">
        <f ca="1">IF(Q35="Matchs de CLASSEMENT","X",2)</f>
        <v>2</v>
      </c>
      <c r="M45" s="849">
        <f ca="1">IF(Q35="Matchs de CLASSEMENT","X",1)</f>
        <v>1</v>
      </c>
      <c r="N45" s="849">
        <f ca="1">IF(Q35="Matchs de CLASSEMENT","X",0)</f>
        <v>0</v>
      </c>
      <c r="O45" s="849" t="str">
        <f ca="1">IF(Q35="Matchs de CLASSEMENT","X","")</f>
        <v/>
      </c>
      <c r="P45" s="842"/>
      <c r="Q45" s="849" t="str">
        <f ca="1">IF(Q35="Matchs de CLASSEMENT","X","V4")</f>
        <v>V4</v>
      </c>
      <c r="R45" s="948">
        <f t="shared" ca="1" si="2"/>
        <v>0</v>
      </c>
      <c r="S45" s="849" t="str">
        <f ca="1">IF(Q35="Matchs de CLASSEMENT","X","")</f>
        <v/>
      </c>
      <c r="T45" s="849" t="str">
        <f ca="1">IF(Q35="Matchs de CLASSEMENT","X","")</f>
        <v/>
      </c>
      <c r="U45" s="849" t="str">
        <f ca="1">IF(Q35="Matchs de CLASSEMENT","X","")</f>
        <v/>
      </c>
      <c r="V45" s="849" t="str">
        <f ca="1">IF(Q35="Matchs de CLASSEMENT","X","")</f>
        <v/>
      </c>
      <c r="W45" s="849" t="str">
        <f ca="1">IF(Q35="Matchs de CLASSEMENT","X","")</f>
        <v/>
      </c>
      <c r="X45" s="849" t="str">
        <f ca="1">IF(Q35="Matchs de CLASSEMENT","X","")</f>
        <v/>
      </c>
      <c r="Y45" s="849" t="str">
        <f ca="1">IF(Q35="Matchs de CLASSEMENT","X","")</f>
        <v/>
      </c>
      <c r="Z45" s="849" t="str">
        <f ca="1">IF(Q35="Matchs de CLASSEMENT","X","")</f>
        <v/>
      </c>
      <c r="AA45" s="849" t="str">
        <f ca="1">IF(Q35="Matchs de CLASSEMENT","X","")</f>
        <v/>
      </c>
      <c r="AB45" s="849">
        <f ca="1">IF(Q35="Matchs de CLASSEMENT","X",2)</f>
        <v>2</v>
      </c>
      <c r="AC45" s="849">
        <f ca="1">IF(Q35="Matchs de CLASSEMENT","X",1)</f>
        <v>1</v>
      </c>
      <c r="AD45" s="849">
        <f ca="1">IF(Q35="Matchs de CLASSEMENT","X",0)</f>
        <v>0</v>
      </c>
      <c r="AE45" s="849" t="str">
        <f ca="1">IF(Q35="Matchs de CLASSEMENT","X","")</f>
        <v/>
      </c>
      <c r="AF45" s="679"/>
      <c r="AG45" s="679"/>
      <c r="AH45" s="679"/>
      <c r="AI45" s="679"/>
      <c r="AJ45" s="679"/>
      <c r="AK45" s="679"/>
      <c r="AL45" s="679"/>
    </row>
    <row r="46" spans="1:38" ht="30" customHeight="1" x14ac:dyDescent="0.2">
      <c r="N46" s="867" t="s">
        <v>1294</v>
      </c>
      <c r="O46" s="848"/>
      <c r="AD46" s="867" t="s">
        <v>1294</v>
      </c>
      <c r="AE46" s="866"/>
      <c r="AF46" s="679"/>
      <c r="AG46" s="679"/>
      <c r="AH46" s="679"/>
      <c r="AI46" s="679"/>
      <c r="AJ46" s="679"/>
      <c r="AK46" s="679"/>
      <c r="AL46" s="679"/>
    </row>
    <row r="47" spans="1:38" ht="12.75" customHeight="1" x14ac:dyDescent="0.2">
      <c r="AE47" s="520"/>
      <c r="AF47" s="679"/>
      <c r="AG47" s="679"/>
      <c r="AH47" s="679"/>
      <c r="AI47" s="679"/>
      <c r="AJ47" s="679"/>
      <c r="AK47" s="679"/>
      <c r="AL47" s="679"/>
    </row>
    <row r="48" spans="1:38" ht="18.75" customHeight="1" x14ac:dyDescent="0.2">
      <c r="A48" s="584"/>
      <c r="B48" s="584"/>
      <c r="C48" s="701" t="s">
        <v>1289</v>
      </c>
      <c r="D48" s="249"/>
      <c r="E48" s="196"/>
      <c r="F48" s="196"/>
      <c r="G48" s="584"/>
      <c r="H48" s="1155" t="s">
        <v>1301</v>
      </c>
      <c r="I48" s="1155"/>
      <c r="J48" s="1155"/>
      <c r="K48" s="1155"/>
      <c r="L48" s="1155"/>
      <c r="M48" s="1155"/>
      <c r="N48" s="1155"/>
      <c r="O48" s="1155"/>
      <c r="P48" s="842"/>
      <c r="Q48" s="219"/>
      <c r="R48" s="219"/>
      <c r="S48" s="701" t="s">
        <v>1289</v>
      </c>
      <c r="T48" s="249"/>
      <c r="U48" s="196"/>
      <c r="V48" s="196"/>
      <c r="X48" s="1155" t="s">
        <v>1304</v>
      </c>
      <c r="Y48" s="1155"/>
      <c r="Z48" s="1155"/>
      <c r="AA48" s="1155"/>
      <c r="AB48" s="1155"/>
      <c r="AC48" s="1155"/>
      <c r="AD48" s="1155"/>
      <c r="AE48" s="1155"/>
      <c r="AF48" s="679"/>
      <c r="AG48" s="679"/>
      <c r="AH48" s="679"/>
      <c r="AI48" s="679"/>
      <c r="AJ48" s="679"/>
      <c r="AK48" s="679"/>
      <c r="AL48" s="679"/>
    </row>
    <row r="49" spans="1:45" ht="32.25" customHeight="1" x14ac:dyDescent="0.2">
      <c r="A49" s="584"/>
      <c r="B49" s="584"/>
      <c r="C49" s="850"/>
      <c r="D49" s="851"/>
      <c r="E49" s="852"/>
      <c r="F49" s="852"/>
      <c r="G49" s="584"/>
      <c r="H49" s="1149" t="s">
        <v>549</v>
      </c>
      <c r="I49" s="1149"/>
      <c r="J49" s="1149"/>
      <c r="K49" s="1149"/>
      <c r="L49" s="1149"/>
      <c r="M49" s="1146" t="s">
        <v>550</v>
      </c>
      <c r="N49" s="1147"/>
      <c r="O49" s="1148"/>
      <c r="P49" s="842"/>
      <c r="Q49" s="219"/>
      <c r="R49" s="219"/>
      <c r="S49" s="850"/>
      <c r="T49" s="851"/>
      <c r="U49" s="852"/>
      <c r="V49" s="852"/>
      <c r="X49" s="1149" t="s">
        <v>549</v>
      </c>
      <c r="Y49" s="1149"/>
      <c r="Z49" s="1149"/>
      <c r="AA49" s="1149"/>
      <c r="AB49" s="1149"/>
      <c r="AC49" s="1146" t="s">
        <v>550</v>
      </c>
      <c r="AD49" s="1147"/>
      <c r="AE49" s="1148"/>
      <c r="AG49" s="679"/>
      <c r="AH49" s="679"/>
      <c r="AI49" s="679"/>
      <c r="AJ49" s="679"/>
      <c r="AK49" s="679"/>
      <c r="AL49" s="679"/>
    </row>
    <row r="50" spans="1:45" ht="32.25" customHeight="1" x14ac:dyDescent="0.2">
      <c r="A50" s="584"/>
      <c r="B50" s="584"/>
      <c r="C50" s="850"/>
      <c r="D50" s="851"/>
      <c r="E50" s="852"/>
      <c r="F50" s="852"/>
      <c r="G50" s="584"/>
      <c r="H50" s="1140" t="str">
        <f ca="1">IFERROR(VLOOKUP(X31,Num_AS,6,FALSE)&amp;" "&amp;VLOOKUP(X31,Num_AS,7,FALSE),"")</f>
        <v/>
      </c>
      <c r="I50" s="1140"/>
      <c r="J50" s="1140"/>
      <c r="K50" s="1140"/>
      <c r="L50" s="1140"/>
      <c r="M50" s="1129" t="str">
        <f ca="1">IFERROR(VLOOKUP(X31,Num_AS,9,FALSE),"")</f>
        <v/>
      </c>
      <c r="N50" s="1130"/>
      <c r="O50" s="1131"/>
      <c r="P50" s="842"/>
      <c r="Q50" s="219"/>
      <c r="R50" s="219"/>
      <c r="S50" s="850"/>
      <c r="T50" s="851"/>
      <c r="U50" s="852"/>
      <c r="V50" s="852"/>
      <c r="W50" s="196"/>
      <c r="X50" s="1140" t="str">
        <f ca="1">IFERROR(VLOOKUP(Z31,Num_AS,6,FALSE)&amp;" "&amp;VLOOKUP(Z31,Num_AS,7,FALSE),"")</f>
        <v/>
      </c>
      <c r="Y50" s="1140"/>
      <c r="Z50" s="1140"/>
      <c r="AA50" s="1140"/>
      <c r="AB50" s="1140"/>
      <c r="AC50" s="1129" t="str">
        <f ca="1">IFERROR(VLOOKUP(Z31,Num_AS,9,FALSE),"")</f>
        <v/>
      </c>
      <c r="AD50" s="1130"/>
      <c r="AE50" s="1131"/>
    </row>
    <row r="51" spans="1:45" ht="32.25" customHeight="1" x14ac:dyDescent="0.2">
      <c r="A51" s="584"/>
      <c r="B51" s="584"/>
      <c r="C51" s="850"/>
      <c r="D51" s="851"/>
      <c r="E51" s="852"/>
      <c r="F51" s="852"/>
      <c r="G51" s="584"/>
      <c r="H51" s="1140" t="str">
        <f ca="1">IFERROR(VLOOKUP(X31,Num_AS,12,FALSE)&amp;" "&amp;VLOOKUP(X31,Num_AS,13,FALSE),"")</f>
        <v/>
      </c>
      <c r="I51" s="1140"/>
      <c r="J51" s="1140"/>
      <c r="K51" s="1140"/>
      <c r="L51" s="1140"/>
      <c r="M51" s="1129" t="str">
        <f ca="1">IFERROR(VLOOKUP(X31,Num_AS,15,FALSE),"")</f>
        <v/>
      </c>
      <c r="N51" s="1130"/>
      <c r="O51" s="1131">
        <f ca="1">G33</f>
        <v>1</v>
      </c>
      <c r="P51" s="842"/>
      <c r="Q51" s="219"/>
      <c r="R51" s="219"/>
      <c r="S51" s="850"/>
      <c r="T51" s="851"/>
      <c r="U51" s="852"/>
      <c r="V51" s="852"/>
      <c r="W51" s="196"/>
      <c r="X51" s="1140" t="str">
        <f ca="1">IFERROR(VLOOKUP(Z31,Num_AS,12,FALSE)&amp;" "&amp;VLOOKUP(Z31,Num_AS,13,FALSE),"")</f>
        <v/>
      </c>
      <c r="Y51" s="1140"/>
      <c r="Z51" s="1140"/>
      <c r="AA51" s="1140"/>
      <c r="AB51" s="1140"/>
      <c r="AC51" s="1129" t="str">
        <f ca="1">IFERROR(VLOOKUP(Z31,Num_AS,15,FALSE),"")</f>
        <v/>
      </c>
      <c r="AD51" s="1130"/>
      <c r="AE51" s="1131">
        <f>W33</f>
        <v>0</v>
      </c>
    </row>
    <row r="52" spans="1:45" ht="32.25" customHeight="1" x14ac:dyDescent="0.2">
      <c r="A52" s="584"/>
      <c r="B52" s="584"/>
      <c r="C52" s="584"/>
      <c r="D52" s="584"/>
      <c r="E52" s="584"/>
      <c r="F52" s="584"/>
      <c r="G52" s="584"/>
      <c r="H52" s="1140" t="str">
        <f ca="1">IFERROR(VLOOKUP(X31,Num_AS,18,FALSE)&amp;" "&amp;VLOOKUP(X31,Num_AS,19,FALSE),"")</f>
        <v/>
      </c>
      <c r="I52" s="1140"/>
      <c r="J52" s="1140"/>
      <c r="K52" s="1140"/>
      <c r="L52" s="1140"/>
      <c r="M52" s="1129" t="str">
        <f ca="1">IFERROR(VLOOKUP(X31,Num_AS,21,FALSE),"")</f>
        <v/>
      </c>
      <c r="N52" s="1130"/>
      <c r="O52" s="1131">
        <f ca="1">G33</f>
        <v>1</v>
      </c>
      <c r="P52" s="842"/>
      <c r="Q52" s="219"/>
      <c r="R52" s="219"/>
      <c r="S52" s="584"/>
      <c r="T52" s="584"/>
      <c r="U52" s="584"/>
      <c r="V52" s="584"/>
      <c r="W52" s="196"/>
      <c r="X52" s="1140" t="str">
        <f ca="1">IFERROR(VLOOKUP(Z31,Num_AS,18,FALSE)&amp;" "&amp;VLOOKUP(Z31,Num_AS,19,FALSE),"")</f>
        <v/>
      </c>
      <c r="Y52" s="1140"/>
      <c r="Z52" s="1140"/>
      <c r="AA52" s="1140"/>
      <c r="AB52" s="1140"/>
      <c r="AC52" s="1129" t="str">
        <f ca="1">IFERROR(VLOOKUP(Z31,Num_AS,21,FALSE),"")</f>
        <v/>
      </c>
      <c r="AD52" s="1130"/>
      <c r="AE52" s="1131">
        <f>W33</f>
        <v>0</v>
      </c>
    </row>
    <row r="53" spans="1:45" ht="32.25" customHeight="1" x14ac:dyDescent="0.2">
      <c r="A53" s="584"/>
      <c r="B53" s="584"/>
      <c r="C53" s="862"/>
      <c r="D53" s="1141" t="s">
        <v>1292</v>
      </c>
      <c r="E53" s="1142"/>
      <c r="F53" s="1143"/>
      <c r="G53" s="584"/>
      <c r="H53" s="1140" t="str">
        <f ca="1">IFERROR(VLOOKUP(X31,Num_AS,24,FALSE)&amp;" "&amp;VLOOKUP(X31,Num_AS,25,FALSE),"")</f>
        <v/>
      </c>
      <c r="I53" s="1140"/>
      <c r="J53" s="1140"/>
      <c r="K53" s="1140"/>
      <c r="L53" s="1140"/>
      <c r="M53" s="1129" t="str">
        <f ca="1">IFERROR(VLOOKUP(X31,Num_AS,9,FALSE),"")</f>
        <v/>
      </c>
      <c r="N53" s="1130"/>
      <c r="O53" s="1131">
        <f ca="1">G33</f>
        <v>1</v>
      </c>
      <c r="P53" s="842"/>
      <c r="Q53" s="219"/>
      <c r="R53" s="219"/>
      <c r="S53" s="862"/>
      <c r="T53" s="1141" t="s">
        <v>1292</v>
      </c>
      <c r="U53" s="1142"/>
      <c r="V53" s="1143"/>
      <c r="W53" s="196"/>
      <c r="X53" s="1140" t="str">
        <f ca="1">IFERROR(VLOOKUP(Z31,Num_AS,24,FALSE)&amp;" "&amp;VLOOKUP(Z31,Num_AS,25,FALSE),"")</f>
        <v/>
      </c>
      <c r="Y53" s="1140"/>
      <c r="Z53" s="1140"/>
      <c r="AA53" s="1140"/>
      <c r="AB53" s="1140"/>
      <c r="AC53" s="1129" t="str">
        <f ca="1">IFERROR(VLOOKUP(Z31,Num_AS,9,FALSE),"")</f>
        <v/>
      </c>
      <c r="AD53" s="1130"/>
      <c r="AE53" s="1131">
        <f>W33</f>
        <v>0</v>
      </c>
    </row>
    <row r="54" spans="1:45" ht="18.75" customHeight="1" thickBot="1" x14ac:dyDescent="0.25">
      <c r="A54" s="701"/>
      <c r="B54" s="701"/>
      <c r="C54" s="249"/>
      <c r="D54" s="249"/>
      <c r="E54" s="249"/>
      <c r="F54" s="701"/>
      <c r="G54" s="701"/>
      <c r="H54" s="196"/>
      <c r="I54" s="196"/>
      <c r="J54" s="249"/>
      <c r="K54" s="219"/>
      <c r="L54" s="219"/>
      <c r="M54" s="219"/>
      <c r="N54" s="219"/>
      <c r="O54" s="219"/>
      <c r="P54" s="219"/>
      <c r="Q54" s="219"/>
      <c r="R54" s="219"/>
      <c r="S54" s="219"/>
      <c r="T54" s="219"/>
      <c r="U54" s="219"/>
      <c r="V54" s="219"/>
      <c r="W54" s="219"/>
      <c r="X54" s="219"/>
      <c r="Y54" s="249"/>
      <c r="Z54" s="219"/>
      <c r="AE54" s="520"/>
    </row>
    <row r="55" spans="1:45" ht="32.25" customHeight="1" x14ac:dyDescent="0.25">
      <c r="A55" s="701"/>
      <c r="B55" s="701"/>
      <c r="D55" s="672" t="s">
        <v>1002</v>
      </c>
      <c r="E55" s="667"/>
      <c r="F55" s="667"/>
      <c r="G55" s="667"/>
      <c r="H55" s="667"/>
      <c r="I55" s="667"/>
      <c r="J55" s="667"/>
      <c r="K55" s="667"/>
      <c r="L55" s="667"/>
      <c r="M55" s="868" t="s">
        <v>1297</v>
      </c>
      <c r="N55" s="219"/>
      <c r="O55" s="1132" t="s">
        <v>1293</v>
      </c>
      <c r="P55" s="1133"/>
      <c r="Q55" s="1134"/>
      <c r="R55" s="941"/>
      <c r="T55" s="672" t="s">
        <v>1002</v>
      </c>
      <c r="U55" s="667"/>
      <c r="V55" s="667"/>
      <c r="W55" s="667"/>
      <c r="X55" s="667"/>
      <c r="Y55" s="667"/>
      <c r="Z55" s="667"/>
      <c r="AA55" s="667"/>
      <c r="AB55" s="667"/>
      <c r="AC55" s="868" t="s">
        <v>1296</v>
      </c>
      <c r="AE55" s="520"/>
    </row>
    <row r="56" spans="1:45" ht="70.5" customHeight="1" thickBot="1" x14ac:dyDescent="0.25">
      <c r="A56" s="701"/>
      <c r="B56" s="701"/>
      <c r="D56" s="669"/>
      <c r="E56" s="670"/>
      <c r="F56" s="670"/>
      <c r="G56" s="670"/>
      <c r="H56" s="670"/>
      <c r="I56" s="670"/>
      <c r="J56" s="670"/>
      <c r="K56" s="670"/>
      <c r="L56" s="670"/>
      <c r="M56" s="671"/>
      <c r="N56" s="219"/>
      <c r="O56" s="1135"/>
      <c r="P56" s="1136"/>
      <c r="Q56" s="1137"/>
      <c r="R56" s="941"/>
      <c r="T56" s="669"/>
      <c r="U56" s="670"/>
      <c r="V56" s="670"/>
      <c r="W56" s="670"/>
      <c r="X56" s="670"/>
      <c r="Y56" s="670"/>
      <c r="Z56" s="670"/>
      <c r="AA56" s="670"/>
      <c r="AB56" s="670"/>
      <c r="AC56" s="671"/>
      <c r="AE56" s="520"/>
    </row>
    <row r="57" spans="1:45" ht="6.75" customHeight="1" x14ac:dyDescent="0.25">
      <c r="A57" s="701"/>
      <c r="B57" s="701"/>
      <c r="C57" s="249"/>
      <c r="D57" s="249"/>
      <c r="E57" s="249"/>
      <c r="F57" s="701"/>
      <c r="G57" s="701"/>
      <c r="H57" s="196"/>
      <c r="I57" s="196"/>
      <c r="J57" s="249"/>
      <c r="K57" s="219"/>
      <c r="L57" s="842"/>
      <c r="M57" s="842"/>
      <c r="N57" s="842"/>
      <c r="O57" s="842"/>
      <c r="P57" s="842"/>
      <c r="Q57" s="842"/>
      <c r="R57" s="842"/>
      <c r="T57" s="845"/>
      <c r="U57" s="842"/>
      <c r="V57" s="842"/>
      <c r="W57" s="649"/>
      <c r="X57" s="845"/>
      <c r="Y57" s="842"/>
      <c r="Z57" s="842"/>
      <c r="AE57" s="520"/>
    </row>
    <row r="58" spans="1:45" ht="27.75" customHeight="1" x14ac:dyDescent="0.2">
      <c r="A58" s="701"/>
      <c r="B58" s="701"/>
      <c r="C58" s="1138" t="s">
        <v>1300</v>
      </c>
      <c r="D58" s="1138"/>
      <c r="E58" s="1138"/>
      <c r="F58" s="1138"/>
      <c r="G58" s="1138"/>
      <c r="H58" s="1138"/>
      <c r="I58" s="1138"/>
      <c r="J58" s="1138"/>
      <c r="K58" s="1138"/>
      <c r="L58" s="1138"/>
      <c r="M58" s="1138"/>
      <c r="N58" s="1138"/>
      <c r="O58" s="1138"/>
      <c r="P58" s="842"/>
      <c r="Q58" s="1139" t="s">
        <v>1303</v>
      </c>
      <c r="R58" s="1139"/>
      <c r="S58" s="1139"/>
      <c r="T58" s="1139"/>
      <c r="U58" s="1139"/>
      <c r="V58" s="1139"/>
      <c r="W58" s="1139"/>
      <c r="X58" s="1139"/>
      <c r="Y58" s="1139"/>
      <c r="Z58" s="1139"/>
      <c r="AA58" s="1139"/>
      <c r="AB58" s="1139"/>
      <c r="AC58" s="1139"/>
      <c r="AD58" s="1139"/>
      <c r="AE58" s="1139"/>
    </row>
    <row r="59" spans="1:45" ht="36" customHeight="1" x14ac:dyDescent="0.2">
      <c r="AE59" s="520"/>
    </row>
    <row r="60" spans="1:45" ht="19.5" customHeight="1" thickBot="1" x14ac:dyDescent="0.25">
      <c r="W60" s="500"/>
      <c r="X60" s="520" t="str">
        <f ca="1">INDIRECT("AE"&amp;Y60)</f>
        <v>C8-Coll8Ville8</v>
      </c>
      <c r="Y60" s="500">
        <f>Z61+2</f>
        <v>4</v>
      </c>
      <c r="Z60" s="501" t="str">
        <f ca="1">INDIRECT("AF"&amp;Y60)</f>
        <v>C1-Coll1Ville1</v>
      </c>
      <c r="AA60" s="500"/>
      <c r="AB60" s="500"/>
      <c r="AD60" s="679"/>
      <c r="AE60" s="679"/>
      <c r="AF60" s="679"/>
      <c r="AG60" s="679"/>
      <c r="AH60" s="679"/>
      <c r="AI60" s="679"/>
      <c r="AJ60" s="679"/>
      <c r="AK60" s="679"/>
      <c r="AL60" s="679"/>
    </row>
    <row r="61" spans="1:45" s="218" customFormat="1" ht="36" thickBot="1" x14ac:dyDescent="0.25">
      <c r="F61" s="576" t="s">
        <v>546</v>
      </c>
      <c r="G61" s="865" t="str">
        <f>G32</f>
        <v>D1</v>
      </c>
      <c r="I61" s="863" t="str">
        <f>"   "&amp;Championnat</f>
        <v xml:space="preserve">   Championnat de France de Tir à l'ARC</v>
      </c>
      <c r="T61" s="197"/>
      <c r="U61" s="197"/>
      <c r="V61" s="197"/>
      <c r="W61" s="197"/>
      <c r="Y61" s="502" t="s">
        <v>849</v>
      </c>
      <c r="Z61" s="503">
        <f>Z32+1</f>
        <v>2</v>
      </c>
      <c r="AB61" s="254"/>
      <c r="AC61" s="254"/>
      <c r="AD61" s="681"/>
      <c r="AE61" s="680"/>
      <c r="AF61" s="681"/>
      <c r="AH61" s="662"/>
      <c r="AI61" s="662"/>
      <c r="AJ61" s="662"/>
      <c r="AK61" s="662"/>
      <c r="AL61" s="662"/>
      <c r="AM61" s="217"/>
      <c r="AN61" s="217"/>
      <c r="AO61" s="217"/>
      <c r="AP61" s="217"/>
      <c r="AQ61" s="217"/>
      <c r="AR61" s="217"/>
      <c r="AS61" s="217"/>
    </row>
    <row r="62" spans="1:45" ht="36" thickBot="1" x14ac:dyDescent="0.25">
      <c r="F62" s="661" t="s">
        <v>628</v>
      </c>
      <c r="G62" s="660">
        <f ca="1">INDIRECT("AD"&amp;Y60)</f>
        <v>2</v>
      </c>
      <c r="I62" s="706" t="str">
        <f>CATEG_IMPORTEE</f>
        <v>Collèges Mixtes Etablissement</v>
      </c>
      <c r="S62" s="864" t="str">
        <f>LIEU&amp;" du "&amp;DATE</f>
        <v>L’Isle sur la Sorgue du 27 au 31 mars 2023</v>
      </c>
      <c r="AB62" s="254"/>
      <c r="AC62" s="254"/>
      <c r="AD62" s="681"/>
      <c r="AE62" s="680"/>
      <c r="AF62" s="681"/>
      <c r="AG62" s="679"/>
      <c r="AH62" s="679"/>
      <c r="AI62" s="679"/>
      <c r="AJ62" s="679"/>
      <c r="AK62" s="679"/>
      <c r="AL62" s="679"/>
    </row>
    <row r="63" spans="1:45" ht="24" customHeight="1" x14ac:dyDescent="0.2">
      <c r="A63" s="1075" t="s">
        <v>0</v>
      </c>
      <c r="B63" s="1075"/>
      <c r="C63" s="1075"/>
      <c r="D63" s="1075"/>
      <c r="E63" s="1075"/>
      <c r="F63" s="1075"/>
      <c r="G63" s="1075"/>
      <c r="H63" s="1075"/>
      <c r="I63" s="1075"/>
      <c r="J63" s="1075"/>
      <c r="Q63" s="1075" t="s">
        <v>0</v>
      </c>
      <c r="R63" s="1075"/>
      <c r="S63" s="1075"/>
      <c r="T63" s="1075"/>
      <c r="U63" s="1075"/>
      <c r="V63" s="1075"/>
      <c r="W63" s="1075"/>
      <c r="X63" s="1075"/>
      <c r="Y63" s="1075"/>
      <c r="Z63" s="1075"/>
      <c r="AB63" s="254"/>
      <c r="AC63" s="254"/>
      <c r="AD63" s="681"/>
      <c r="AE63" s="680"/>
      <c r="AF63" s="681"/>
      <c r="AG63" s="679"/>
      <c r="AH63" s="679"/>
      <c r="AI63" s="679"/>
      <c r="AJ63" s="679"/>
      <c r="AK63" s="679"/>
      <c r="AL63" s="679"/>
    </row>
    <row r="64" spans="1:45" ht="31.5" customHeight="1" x14ac:dyDescent="0.2">
      <c r="A64" s="1144" t="str">
        <f ca="1">IFERROR(VLOOKUP(X60,Num_AS,2,FALSE),"")</f>
        <v/>
      </c>
      <c r="B64" s="1144"/>
      <c r="C64" s="1144"/>
      <c r="D64" s="1144"/>
      <c r="E64" s="1144"/>
      <c r="F64" s="1144"/>
      <c r="G64" s="1144"/>
      <c r="H64" s="1144"/>
      <c r="I64" s="1144"/>
      <c r="J64" s="1144"/>
      <c r="K64" s="869" t="s">
        <v>1299</v>
      </c>
      <c r="L64" s="1145" t="s">
        <v>547</v>
      </c>
      <c r="M64" s="1145"/>
      <c r="N64" s="1145"/>
      <c r="O64" s="870" t="s">
        <v>1298</v>
      </c>
      <c r="Q64" s="1144" t="str">
        <f ca="1">IFERROR(VLOOKUP(Z60,Num_AS,2,FALSE),"")</f>
        <v/>
      </c>
      <c r="R64" s="1144"/>
      <c r="S64" s="1144"/>
      <c r="T64" s="1144"/>
      <c r="U64" s="1144"/>
      <c r="V64" s="1144"/>
      <c r="W64" s="1144"/>
      <c r="X64" s="1144"/>
      <c r="Y64" s="1144"/>
      <c r="Z64" s="1144"/>
      <c r="AB64" s="254"/>
      <c r="AC64" s="254"/>
      <c r="AD64" s="681"/>
      <c r="AE64" s="680"/>
      <c r="AF64" s="681"/>
      <c r="AG64" s="679"/>
      <c r="AH64" s="679"/>
      <c r="AI64" s="679"/>
      <c r="AJ64" s="679"/>
      <c r="AK64" s="679"/>
      <c r="AL64" s="679"/>
    </row>
    <row r="65" spans="1:38" ht="20.100000000000001" customHeight="1" thickBot="1" x14ac:dyDescent="0.25">
      <c r="A65" s="1124" t="s">
        <v>1006</v>
      </c>
      <c r="B65" s="1124"/>
      <c r="C65" s="1125"/>
      <c r="D65" s="1125"/>
      <c r="E65" s="1125"/>
      <c r="F65" s="1125"/>
      <c r="G65" s="1125"/>
      <c r="H65" s="1125"/>
      <c r="I65" s="1125"/>
      <c r="J65" s="1125"/>
      <c r="L65" s="871"/>
      <c r="M65" s="871"/>
      <c r="N65" s="871"/>
      <c r="Q65" s="1124" t="s">
        <v>1005</v>
      </c>
      <c r="R65" s="1124"/>
      <c r="S65" s="1125"/>
      <c r="T65" s="1125"/>
      <c r="U65" s="1125"/>
      <c r="V65" s="1125"/>
      <c r="W65" s="1125"/>
      <c r="X65" s="1125"/>
      <c r="Y65" s="1125"/>
      <c r="Z65" s="1125"/>
      <c r="AB65" s="254"/>
      <c r="AC65" s="254"/>
      <c r="AD65" s="681"/>
      <c r="AE65" s="680"/>
      <c r="AF65" s="681"/>
      <c r="AG65" s="679"/>
      <c r="AH65" s="679"/>
      <c r="AI65" s="679"/>
      <c r="AJ65" s="679"/>
      <c r="AK65" s="679"/>
      <c r="AL65" s="679"/>
    </row>
    <row r="66" spans="1:38" ht="27.75" customHeight="1" x14ac:dyDescent="0.2">
      <c r="A66" s="1117" t="str">
        <f ca="1">IFERROR(VLOOKUP(X60,Num_AS,3,FALSE),"")</f>
        <v/>
      </c>
      <c r="B66" s="1150"/>
      <c r="C66" s="1118"/>
      <c r="D66" s="1151"/>
      <c r="E66" s="1151"/>
      <c r="F66" s="1151"/>
      <c r="G66" s="1151"/>
      <c r="H66" s="1151"/>
      <c r="I66" s="1151"/>
      <c r="J66" s="1119"/>
      <c r="O66" s="219"/>
      <c r="P66" s="219"/>
      <c r="Q66" s="1117" t="str">
        <f ca="1">IFERROR(VLOOKUP(Z60,Num_AS,3,FALSE),"")</f>
        <v/>
      </c>
      <c r="R66" s="1150"/>
      <c r="S66" s="1118"/>
      <c r="T66" s="1151"/>
      <c r="U66" s="1151"/>
      <c r="V66" s="1151"/>
      <c r="W66" s="1151"/>
      <c r="X66" s="1151"/>
      <c r="Y66" s="1151"/>
      <c r="Z66" s="1119"/>
      <c r="AB66" s="254"/>
      <c r="AC66" s="254"/>
      <c r="AD66" s="681"/>
      <c r="AE66" s="680"/>
      <c r="AF66" s="681"/>
      <c r="AG66" s="679"/>
      <c r="AH66" s="679"/>
      <c r="AI66" s="679"/>
      <c r="AJ66" s="679"/>
      <c r="AK66" s="679"/>
      <c r="AL66" s="679"/>
    </row>
    <row r="67" spans="1:38" ht="27.75" customHeight="1" thickBot="1" x14ac:dyDescent="0.25">
      <c r="A67" s="1107" t="str">
        <f ca="1">IFERROR(VLOOKUP(X60,Num_AS,4,FALSE),"")</f>
        <v/>
      </c>
      <c r="B67" s="1152"/>
      <c r="C67" s="1108"/>
      <c r="D67" s="1153"/>
      <c r="E67" s="1153"/>
      <c r="F67" s="1153"/>
      <c r="G67" s="1153"/>
      <c r="H67" s="1153"/>
      <c r="I67" s="1153"/>
      <c r="J67" s="1109"/>
      <c r="Q67" s="1107" t="str">
        <f ca="1">IFERROR(VLOOKUP(Z60,Num_AS,4,FALSE),"")</f>
        <v/>
      </c>
      <c r="R67" s="1152"/>
      <c r="S67" s="1108"/>
      <c r="T67" s="1153"/>
      <c r="U67" s="1153"/>
      <c r="V67" s="1153"/>
      <c r="W67" s="1153"/>
      <c r="X67" s="1153"/>
      <c r="Y67" s="1153"/>
      <c r="Z67" s="1109"/>
      <c r="AB67" s="254"/>
      <c r="AC67" s="254"/>
      <c r="AD67" s="681"/>
      <c r="AE67" s="680"/>
      <c r="AF67" s="681"/>
      <c r="AG67" s="679"/>
      <c r="AH67" s="679"/>
      <c r="AI67" s="679"/>
      <c r="AJ67" s="679"/>
      <c r="AK67" s="679"/>
      <c r="AL67" s="679"/>
    </row>
    <row r="68" spans="1:38" ht="36" customHeight="1" thickBot="1" x14ac:dyDescent="0.25">
      <c r="A68" s="1156" t="s">
        <v>1330</v>
      </c>
      <c r="B68" s="1157"/>
      <c r="C68" s="1157"/>
      <c r="D68" s="1158"/>
      <c r="E68" s="947">
        <f ca="1">VLOOKUP(A64&amp;A66,PTS_SP,3,FALSE)</f>
        <v>0</v>
      </c>
      <c r="Q68" s="1156" t="s">
        <v>1330</v>
      </c>
      <c r="R68" s="1157"/>
      <c r="S68" s="1157"/>
      <c r="T68" s="1158"/>
      <c r="U68" s="947">
        <f ca="1">VLOOKUP(Q64&amp;Q66,PTS_SP,3,FALSE)</f>
        <v>0</v>
      </c>
      <c r="AB68" s="254"/>
      <c r="AC68" s="254"/>
      <c r="AD68" s="681"/>
      <c r="AE68" s="680"/>
      <c r="AF68" s="681"/>
      <c r="AG68" s="679"/>
      <c r="AH68" s="679"/>
      <c r="AI68" s="679"/>
      <c r="AJ68" s="679"/>
      <c r="AK68" s="679"/>
      <c r="AL68" s="679"/>
    </row>
    <row r="69" spans="1:38" ht="38.25" customHeight="1" x14ac:dyDescent="0.2">
      <c r="A69" s="701"/>
      <c r="B69" s="701"/>
      <c r="C69" s="853"/>
      <c r="D69" s="861" t="s">
        <v>1290</v>
      </c>
      <c r="E69" s="853"/>
      <c r="F69" s="854"/>
      <c r="G69" s="854"/>
      <c r="H69" s="872" t="s">
        <v>1295</v>
      </c>
      <c r="I69" s="855"/>
      <c r="J69" s="853"/>
      <c r="K69" s="853"/>
      <c r="L69" s="853"/>
      <c r="M69" s="859"/>
      <c r="N69" s="860" t="s">
        <v>1291</v>
      </c>
      <c r="O69" s="853"/>
      <c r="P69" s="249"/>
      <c r="Q69" s="701"/>
      <c r="R69" s="701"/>
      <c r="S69" s="853"/>
      <c r="T69" s="861" t="s">
        <v>1290</v>
      </c>
      <c r="U69" s="853"/>
      <c r="V69" s="854"/>
      <c r="W69" s="854"/>
      <c r="X69" s="872" t="s">
        <v>1302</v>
      </c>
      <c r="Y69" s="855"/>
      <c r="Z69" s="853"/>
      <c r="AA69" s="853"/>
      <c r="AB69" s="853"/>
      <c r="AC69" s="859"/>
      <c r="AD69" s="860" t="s">
        <v>1291</v>
      </c>
      <c r="AE69" s="853"/>
      <c r="AF69" s="681"/>
      <c r="AG69" s="681"/>
      <c r="AH69" s="681"/>
      <c r="AI69" s="681"/>
      <c r="AJ69" s="679"/>
      <c r="AK69" s="679"/>
      <c r="AL69" s="679"/>
    </row>
    <row r="70" spans="1:38" ht="38.25" customHeight="1" x14ac:dyDescent="0.2">
      <c r="A70" s="856" t="s">
        <v>509</v>
      </c>
      <c r="B70" s="942" t="s">
        <v>1329</v>
      </c>
      <c r="C70" s="857">
        <v>1</v>
      </c>
      <c r="D70" s="857">
        <v>2</v>
      </c>
      <c r="E70" s="857">
        <v>3</v>
      </c>
      <c r="F70" s="857">
        <v>4</v>
      </c>
      <c r="G70" s="857">
        <v>5</v>
      </c>
      <c r="H70" s="857">
        <v>6</v>
      </c>
      <c r="I70" s="857">
        <v>7</v>
      </c>
      <c r="J70" s="857">
        <v>8</v>
      </c>
      <c r="K70" s="858" t="s">
        <v>1286</v>
      </c>
      <c r="L70" s="1154" t="s">
        <v>1287</v>
      </c>
      <c r="M70" s="1154"/>
      <c r="N70" s="1154"/>
      <c r="O70" s="858" t="s">
        <v>1288</v>
      </c>
      <c r="P70" s="844"/>
      <c r="Q70" s="856" t="s">
        <v>509</v>
      </c>
      <c r="R70" s="942" t="s">
        <v>1329</v>
      </c>
      <c r="S70" s="857">
        <v>1</v>
      </c>
      <c r="T70" s="857">
        <v>2</v>
      </c>
      <c r="U70" s="857">
        <v>3</v>
      </c>
      <c r="V70" s="857">
        <v>4</v>
      </c>
      <c r="W70" s="857">
        <v>5</v>
      </c>
      <c r="X70" s="857">
        <v>6</v>
      </c>
      <c r="Y70" s="857">
        <v>7</v>
      </c>
      <c r="Z70" s="857">
        <v>8</v>
      </c>
      <c r="AA70" s="858" t="s">
        <v>1286</v>
      </c>
      <c r="AB70" s="1154" t="s">
        <v>1287</v>
      </c>
      <c r="AC70" s="1154"/>
      <c r="AD70" s="1154"/>
      <c r="AE70" s="858" t="s">
        <v>1288</v>
      </c>
      <c r="AF70" s="681"/>
      <c r="AG70" s="681"/>
      <c r="AH70" s="681"/>
      <c r="AI70" s="681"/>
      <c r="AJ70" s="679"/>
      <c r="AK70" s="679"/>
      <c r="AL70" s="679"/>
    </row>
    <row r="71" spans="1:38" ht="30" customHeight="1" x14ac:dyDescent="0.25">
      <c r="A71" s="846" t="s">
        <v>1282</v>
      </c>
      <c r="B71" s="948">
        <f ca="1">E68</f>
        <v>0</v>
      </c>
      <c r="C71" s="843"/>
      <c r="D71" s="843"/>
      <c r="E71" s="843"/>
      <c r="F71" s="843"/>
      <c r="G71" s="847"/>
      <c r="H71" s="848"/>
      <c r="I71" s="846"/>
      <c r="J71" s="843"/>
      <c r="K71" s="843"/>
      <c r="L71" s="849">
        <f ca="1">IF(Q64="Matchs de CLASSEMENT","X",2)</f>
        <v>2</v>
      </c>
      <c r="M71" s="849">
        <f ca="1">IF(Q64="Matchs de CLASSEMENT","X",1)</f>
        <v>1</v>
      </c>
      <c r="N71" s="849">
        <f ca="1">IF(Q64="Matchs de CLASSEMENT","X",0)</f>
        <v>0</v>
      </c>
      <c r="O71" s="849" t="str">
        <f ca="1">IF(Q64="Matchs de CLASSEMENT","X","")</f>
        <v/>
      </c>
      <c r="P71" s="842"/>
      <c r="Q71" s="849" t="str">
        <f ca="1">IF(Q64="Matchs de CLASSEMENT","X","V1")</f>
        <v>V1</v>
      </c>
      <c r="R71" s="948">
        <f ca="1">U68</f>
        <v>0</v>
      </c>
      <c r="S71" s="849" t="str">
        <f ca="1">IF(Q64="Matchs de CLASSEMENT","X","")</f>
        <v/>
      </c>
      <c r="T71" s="849" t="str">
        <f ca="1">IF(Q64="Matchs de CLASSEMENT","X","")</f>
        <v/>
      </c>
      <c r="U71" s="849" t="str">
        <f ca="1">IF(Q64="Matchs de CLASSEMENT","X","")</f>
        <v/>
      </c>
      <c r="V71" s="849" t="str">
        <f ca="1">IF(Q64="Matchs de CLASSEMENT","X","")</f>
        <v/>
      </c>
      <c r="W71" s="849" t="str">
        <f ca="1">IF(Q64="Matchs de CLASSEMENT","X","")</f>
        <v/>
      </c>
      <c r="X71" s="849" t="str">
        <f ca="1">IF(Q64="Matchs de CLASSEMENT","X","")</f>
        <v/>
      </c>
      <c r="Y71" s="849" t="str">
        <f ca="1">IF(Q64="Matchs de CLASSEMENT","X","")</f>
        <v/>
      </c>
      <c r="Z71" s="849" t="str">
        <f ca="1">IF(Q64="Matchs de CLASSEMENT","X","")</f>
        <v/>
      </c>
      <c r="AA71" s="849" t="str">
        <f ca="1">IF(Q64="Matchs de CLASSEMENT","X","")</f>
        <v/>
      </c>
      <c r="AB71" s="849">
        <f ca="1">IF(Q64="Matchs de CLASSEMENT","X",2)</f>
        <v>2</v>
      </c>
      <c r="AC71" s="849">
        <f ca="1">IF(Q64="Matchs de CLASSEMENT","X",1)</f>
        <v>1</v>
      </c>
      <c r="AD71" s="849">
        <f ca="1">IF(Q64="Matchs de CLASSEMENT","X",0)</f>
        <v>0</v>
      </c>
      <c r="AE71" s="849" t="str">
        <f ca="1">IF(Q64="Matchs de CLASSEMENT","X","")</f>
        <v/>
      </c>
      <c r="AF71" s="679"/>
      <c r="AG71" s="679"/>
      <c r="AH71" s="679"/>
      <c r="AI71" s="679"/>
      <c r="AJ71" s="679"/>
      <c r="AK71" s="679"/>
      <c r="AL71" s="679"/>
    </row>
    <row r="72" spans="1:38" ht="30" customHeight="1" x14ac:dyDescent="0.25">
      <c r="A72" s="846" t="s">
        <v>1283</v>
      </c>
      <c r="B72" s="948">
        <f ca="1">B71</f>
        <v>0</v>
      </c>
      <c r="C72" s="843"/>
      <c r="D72" s="843"/>
      <c r="E72" s="843"/>
      <c r="F72" s="843"/>
      <c r="G72" s="847"/>
      <c r="H72" s="848"/>
      <c r="I72" s="846"/>
      <c r="J72" s="843"/>
      <c r="K72" s="843"/>
      <c r="L72" s="849">
        <f ca="1">IF(Q64="Matchs de CLASSEMENT","X",2)</f>
        <v>2</v>
      </c>
      <c r="M72" s="849">
        <f ca="1">IF(Q64="Matchs de CLASSEMENT","X",1)</f>
        <v>1</v>
      </c>
      <c r="N72" s="849">
        <f ca="1">IF(Q64="Matchs de CLASSEMENT","X",0)</f>
        <v>0</v>
      </c>
      <c r="O72" s="849" t="str">
        <f ca="1">IF(Q64="Matchs de CLASSEMENT","X","")</f>
        <v/>
      </c>
      <c r="P72" s="842"/>
      <c r="Q72" s="849" t="str">
        <f ca="1">IF(Q64="Matchs de CLASSEMENT","X","V2")</f>
        <v>V2</v>
      </c>
      <c r="R72" s="948">
        <f ca="1">R71</f>
        <v>0</v>
      </c>
      <c r="S72" s="849" t="str">
        <f ca="1">IF(Q64="Matchs de CLASSEMENT","X","")</f>
        <v/>
      </c>
      <c r="T72" s="849" t="str">
        <f ca="1">IF(Q64="Matchs de CLASSEMENT","X","")</f>
        <v/>
      </c>
      <c r="U72" s="849" t="str">
        <f ca="1">IF(Q64="Matchs de CLASSEMENT","X","")</f>
        <v/>
      </c>
      <c r="V72" s="849" t="str">
        <f ca="1">IF(Q64="Matchs de CLASSEMENT","X","")</f>
        <v/>
      </c>
      <c r="W72" s="849" t="str">
        <f ca="1">IF(Q64="Matchs de CLASSEMENT","X","")</f>
        <v/>
      </c>
      <c r="X72" s="849" t="str">
        <f ca="1">IF(Q64="Matchs de CLASSEMENT","X","")</f>
        <v/>
      </c>
      <c r="Y72" s="849" t="str">
        <f ca="1">IF(Q64="Matchs de CLASSEMENT","X","")</f>
        <v/>
      </c>
      <c r="Z72" s="849" t="str">
        <f ca="1">IF(Q64="Matchs de CLASSEMENT","X","")</f>
        <v/>
      </c>
      <c r="AA72" s="849" t="str">
        <f ca="1">IF(Q64="Matchs de CLASSEMENT","X","")</f>
        <v/>
      </c>
      <c r="AB72" s="849">
        <f ca="1">IF(Q64="Matchs de CLASSEMENT","X",2)</f>
        <v>2</v>
      </c>
      <c r="AC72" s="849">
        <f ca="1">IF(Q64="Matchs de CLASSEMENT","X",1)</f>
        <v>1</v>
      </c>
      <c r="AD72" s="849">
        <f ca="1">IF(Q64="Matchs de CLASSEMENT","X",0)</f>
        <v>0</v>
      </c>
      <c r="AE72" s="849" t="str">
        <f ca="1">IF(Q64="Matchs de CLASSEMENT","X","")</f>
        <v/>
      </c>
      <c r="AF72" s="679"/>
      <c r="AG72" s="679"/>
      <c r="AH72" s="679"/>
      <c r="AI72" s="679"/>
      <c r="AJ72" s="679"/>
      <c r="AK72" s="679"/>
      <c r="AL72" s="679"/>
    </row>
    <row r="73" spans="1:38" ht="30" customHeight="1" x14ac:dyDescent="0.25">
      <c r="A73" s="846" t="s">
        <v>1284</v>
      </c>
      <c r="B73" s="948">
        <f t="shared" ref="B73:B74" ca="1" si="3">B72</f>
        <v>0</v>
      </c>
      <c r="C73" s="843"/>
      <c r="D73" s="843"/>
      <c r="E73" s="843"/>
      <c r="F73" s="843"/>
      <c r="G73" s="847"/>
      <c r="H73" s="848"/>
      <c r="I73" s="846"/>
      <c r="J73" s="843"/>
      <c r="K73" s="843"/>
      <c r="L73" s="849">
        <f ca="1">IF(Q64="Matchs de CLASSEMENT","X",2)</f>
        <v>2</v>
      </c>
      <c r="M73" s="849">
        <f ca="1">IF(Q64="Matchs de CLASSEMENT","X",1)</f>
        <v>1</v>
      </c>
      <c r="N73" s="849">
        <f ca="1">IF(Q64="Matchs de CLASSEMENT","X",0)</f>
        <v>0</v>
      </c>
      <c r="O73" s="849" t="str">
        <f ca="1">IF(Q64="Matchs de CLASSEMENT","X","")</f>
        <v/>
      </c>
      <c r="P73" s="842"/>
      <c r="Q73" s="849" t="str">
        <f ca="1">IF(Q64="Matchs de CLASSEMENT","X","V3")</f>
        <v>V3</v>
      </c>
      <c r="R73" s="948">
        <f t="shared" ref="R73:R74" ca="1" si="4">R72</f>
        <v>0</v>
      </c>
      <c r="S73" s="849" t="str">
        <f ca="1">IF(Q64="Matchs de CLASSEMENT","X","")</f>
        <v/>
      </c>
      <c r="T73" s="849" t="str">
        <f ca="1">IF(Q64="Matchs de CLASSEMENT","X","")</f>
        <v/>
      </c>
      <c r="U73" s="849" t="str">
        <f ca="1">IF(Q64="Matchs de CLASSEMENT","X","")</f>
        <v/>
      </c>
      <c r="V73" s="849" t="str">
        <f ca="1">IF(Q64="Matchs de CLASSEMENT","X","")</f>
        <v/>
      </c>
      <c r="W73" s="849" t="str">
        <f ca="1">IF(Q64="Matchs de CLASSEMENT","X","")</f>
        <v/>
      </c>
      <c r="X73" s="849" t="str">
        <f ca="1">IF(Q64="Matchs de CLASSEMENT","X","")</f>
        <v/>
      </c>
      <c r="Y73" s="849" t="str">
        <f ca="1">IF(Q64="Matchs de CLASSEMENT","X","")</f>
        <v/>
      </c>
      <c r="Z73" s="849" t="str">
        <f ca="1">IF(Q64="Matchs de CLASSEMENT","X","")</f>
        <v/>
      </c>
      <c r="AA73" s="849" t="str">
        <f ca="1">IF(Q64="Matchs de CLASSEMENT","X","")</f>
        <v/>
      </c>
      <c r="AB73" s="849">
        <f ca="1">IF(Q64="Matchs de CLASSEMENT","X",2)</f>
        <v>2</v>
      </c>
      <c r="AC73" s="849">
        <f ca="1">IF(Q64="Matchs de CLASSEMENT","X",1)</f>
        <v>1</v>
      </c>
      <c r="AD73" s="849">
        <f ca="1">IF(Q64="Matchs de CLASSEMENT","X",0)</f>
        <v>0</v>
      </c>
      <c r="AE73" s="849" t="str">
        <f ca="1">IF(Q64="Matchs de CLASSEMENT","X","")</f>
        <v/>
      </c>
      <c r="AF73" s="679"/>
      <c r="AG73" s="679"/>
      <c r="AH73" s="679"/>
      <c r="AI73" s="679"/>
      <c r="AJ73" s="679"/>
      <c r="AK73" s="679"/>
      <c r="AL73" s="679"/>
    </row>
    <row r="74" spans="1:38" ht="30" customHeight="1" x14ac:dyDescent="0.25">
      <c r="A74" s="846" t="s">
        <v>1285</v>
      </c>
      <c r="B74" s="948">
        <f t="shared" ca="1" si="3"/>
        <v>0</v>
      </c>
      <c r="C74" s="843"/>
      <c r="D74" s="843"/>
      <c r="E74" s="843"/>
      <c r="F74" s="843"/>
      <c r="G74" s="847"/>
      <c r="H74" s="848"/>
      <c r="I74" s="846"/>
      <c r="J74" s="843"/>
      <c r="K74" s="843"/>
      <c r="L74" s="849">
        <f ca="1">IF(Q64="Matchs de CLASSEMENT","X",2)</f>
        <v>2</v>
      </c>
      <c r="M74" s="849">
        <f ca="1">IF(Q64="Matchs de CLASSEMENT","X",1)</f>
        <v>1</v>
      </c>
      <c r="N74" s="849">
        <f ca="1">IF(Q64="Matchs de CLASSEMENT","X",0)</f>
        <v>0</v>
      </c>
      <c r="O74" s="849" t="str">
        <f ca="1">IF(Q64="Matchs de CLASSEMENT","X","")</f>
        <v/>
      </c>
      <c r="P74" s="842"/>
      <c r="Q74" s="849" t="str">
        <f ca="1">IF(Q64="Matchs de CLASSEMENT","X","V4")</f>
        <v>V4</v>
      </c>
      <c r="R74" s="948">
        <f t="shared" ca="1" si="4"/>
        <v>0</v>
      </c>
      <c r="S74" s="849" t="str">
        <f ca="1">IF(Q64="Matchs de CLASSEMENT","X","")</f>
        <v/>
      </c>
      <c r="T74" s="849" t="str">
        <f ca="1">IF(Q64="Matchs de CLASSEMENT","X","")</f>
        <v/>
      </c>
      <c r="U74" s="849" t="str">
        <f ca="1">IF(Q64="Matchs de CLASSEMENT","X","")</f>
        <v/>
      </c>
      <c r="V74" s="849" t="str">
        <f ca="1">IF(Q64="Matchs de CLASSEMENT","X","")</f>
        <v/>
      </c>
      <c r="W74" s="849" t="str">
        <f ca="1">IF(Q64="Matchs de CLASSEMENT","X","")</f>
        <v/>
      </c>
      <c r="X74" s="849" t="str">
        <f ca="1">IF(Q64="Matchs de CLASSEMENT","X","")</f>
        <v/>
      </c>
      <c r="Y74" s="849" t="str">
        <f ca="1">IF(Q64="Matchs de CLASSEMENT","X","")</f>
        <v/>
      </c>
      <c r="Z74" s="849" t="str">
        <f ca="1">IF(Q64="Matchs de CLASSEMENT","X","")</f>
        <v/>
      </c>
      <c r="AA74" s="849" t="str">
        <f ca="1">IF(Q64="Matchs de CLASSEMENT","X","")</f>
        <v/>
      </c>
      <c r="AB74" s="849">
        <f ca="1">IF(Q64="Matchs de CLASSEMENT","X",2)</f>
        <v>2</v>
      </c>
      <c r="AC74" s="849">
        <f ca="1">IF(Q64="Matchs de CLASSEMENT","X",1)</f>
        <v>1</v>
      </c>
      <c r="AD74" s="849">
        <f ca="1">IF(Q64="Matchs de CLASSEMENT","X",0)</f>
        <v>0</v>
      </c>
      <c r="AE74" s="849" t="str">
        <f ca="1">IF(Q64="Matchs de CLASSEMENT","X","")</f>
        <v/>
      </c>
      <c r="AF74" s="679"/>
      <c r="AG74" s="679"/>
      <c r="AH74" s="679"/>
      <c r="AI74" s="679"/>
      <c r="AJ74" s="679"/>
      <c r="AK74" s="679"/>
      <c r="AL74" s="679"/>
    </row>
    <row r="75" spans="1:38" ht="30" customHeight="1" x14ac:dyDescent="0.2">
      <c r="N75" s="867" t="s">
        <v>1294</v>
      </c>
      <c r="O75" s="848"/>
      <c r="AD75" s="867" t="s">
        <v>1294</v>
      </c>
      <c r="AE75" s="866"/>
      <c r="AF75" s="679"/>
      <c r="AG75" s="679"/>
      <c r="AH75" s="679"/>
      <c r="AI75" s="679"/>
      <c r="AJ75" s="679"/>
      <c r="AK75" s="679"/>
      <c r="AL75" s="679"/>
    </row>
    <row r="76" spans="1:38" ht="12.75" customHeight="1" x14ac:dyDescent="0.2">
      <c r="AE76" s="520"/>
      <c r="AF76" s="679"/>
      <c r="AG76" s="679"/>
      <c r="AH76" s="679"/>
      <c r="AI76" s="679"/>
      <c r="AJ76" s="679"/>
      <c r="AK76" s="679"/>
      <c r="AL76" s="679"/>
    </row>
    <row r="77" spans="1:38" ht="18.75" customHeight="1" x14ac:dyDescent="0.2">
      <c r="A77" s="584"/>
      <c r="B77" s="584"/>
      <c r="C77" s="701" t="s">
        <v>1289</v>
      </c>
      <c r="D77" s="249"/>
      <c r="E77" s="196"/>
      <c r="F77" s="196"/>
      <c r="G77" s="584"/>
      <c r="H77" s="1155" t="s">
        <v>1301</v>
      </c>
      <c r="I77" s="1155"/>
      <c r="J77" s="1155"/>
      <c r="K77" s="1155"/>
      <c r="L77" s="1155"/>
      <c r="M77" s="1155"/>
      <c r="N77" s="1155"/>
      <c r="O77" s="1155"/>
      <c r="P77" s="842"/>
      <c r="Q77" s="219"/>
      <c r="R77" s="219"/>
      <c r="S77" s="701" t="s">
        <v>1289</v>
      </c>
      <c r="T77" s="249"/>
      <c r="U77" s="196"/>
      <c r="V77" s="196"/>
      <c r="X77" s="1155" t="s">
        <v>1304</v>
      </c>
      <c r="Y77" s="1155"/>
      <c r="Z77" s="1155"/>
      <c r="AA77" s="1155"/>
      <c r="AB77" s="1155"/>
      <c r="AC77" s="1155"/>
      <c r="AD77" s="1155"/>
      <c r="AE77" s="1155"/>
      <c r="AF77" s="679"/>
      <c r="AG77" s="679"/>
      <c r="AH77" s="679"/>
      <c r="AI77" s="679"/>
      <c r="AJ77" s="679"/>
      <c r="AK77" s="679"/>
      <c r="AL77" s="679"/>
    </row>
    <row r="78" spans="1:38" ht="32.25" customHeight="1" x14ac:dyDescent="0.2">
      <c r="A78" s="584"/>
      <c r="B78" s="584"/>
      <c r="C78" s="850"/>
      <c r="D78" s="851"/>
      <c r="E78" s="852"/>
      <c r="F78" s="852"/>
      <c r="G78" s="584"/>
      <c r="H78" s="1149" t="s">
        <v>549</v>
      </c>
      <c r="I78" s="1149"/>
      <c r="J78" s="1149"/>
      <c r="K78" s="1149"/>
      <c r="L78" s="1149"/>
      <c r="M78" s="1146" t="s">
        <v>550</v>
      </c>
      <c r="N78" s="1147"/>
      <c r="O78" s="1148"/>
      <c r="P78" s="842"/>
      <c r="Q78" s="219"/>
      <c r="R78" s="219"/>
      <c r="S78" s="850"/>
      <c r="T78" s="851"/>
      <c r="U78" s="852"/>
      <c r="V78" s="852"/>
      <c r="X78" s="1149" t="s">
        <v>549</v>
      </c>
      <c r="Y78" s="1149"/>
      <c r="Z78" s="1149"/>
      <c r="AA78" s="1149"/>
      <c r="AB78" s="1149"/>
      <c r="AC78" s="1146" t="s">
        <v>550</v>
      </c>
      <c r="AD78" s="1147"/>
      <c r="AE78" s="1148"/>
      <c r="AG78" s="679"/>
      <c r="AH78" s="679"/>
      <c r="AI78" s="679"/>
      <c r="AJ78" s="679"/>
      <c r="AK78" s="679"/>
      <c r="AL78" s="679"/>
    </row>
    <row r="79" spans="1:38" ht="32.25" customHeight="1" x14ac:dyDescent="0.2">
      <c r="A79" s="584"/>
      <c r="B79" s="584"/>
      <c r="C79" s="850"/>
      <c r="D79" s="851"/>
      <c r="E79" s="852"/>
      <c r="F79" s="852"/>
      <c r="G79" s="584"/>
      <c r="H79" s="1140" t="str">
        <f ca="1">IFERROR(VLOOKUP(X60,Num_AS,6,FALSE)&amp;" "&amp;VLOOKUP(X60,Num_AS,7,FALSE),"")</f>
        <v/>
      </c>
      <c r="I79" s="1140"/>
      <c r="J79" s="1140"/>
      <c r="K79" s="1140"/>
      <c r="L79" s="1140"/>
      <c r="M79" s="1129" t="str">
        <f ca="1">IFERROR(VLOOKUP(X60,Num_AS,9,FALSE),"")</f>
        <v/>
      </c>
      <c r="N79" s="1130"/>
      <c r="O79" s="1131"/>
      <c r="P79" s="842"/>
      <c r="Q79" s="219"/>
      <c r="R79" s="219"/>
      <c r="S79" s="850"/>
      <c r="T79" s="851"/>
      <c r="U79" s="852"/>
      <c r="V79" s="852"/>
      <c r="W79" s="196"/>
      <c r="X79" s="1140" t="str">
        <f ca="1">IFERROR(VLOOKUP(Z60,Num_AS,6,FALSE)&amp;" "&amp;VLOOKUP(Z60,Num_AS,7,FALSE),"")</f>
        <v/>
      </c>
      <c r="Y79" s="1140"/>
      <c r="Z79" s="1140"/>
      <c r="AA79" s="1140"/>
      <c r="AB79" s="1140"/>
      <c r="AC79" s="1129" t="str">
        <f ca="1">IFERROR(VLOOKUP(Z60,Num_AS,9,FALSE),"")</f>
        <v/>
      </c>
      <c r="AD79" s="1130"/>
      <c r="AE79" s="1131"/>
    </row>
    <row r="80" spans="1:38" ht="32.25" customHeight="1" x14ac:dyDescent="0.2">
      <c r="A80" s="584"/>
      <c r="B80" s="584"/>
      <c r="C80" s="850"/>
      <c r="D80" s="851"/>
      <c r="E80" s="852"/>
      <c r="F80" s="852"/>
      <c r="G80" s="584"/>
      <c r="H80" s="1140" t="str">
        <f ca="1">IFERROR(VLOOKUP(X60,Num_AS,12,FALSE)&amp;" "&amp;VLOOKUP(X60,Num_AS,13,FALSE),"")</f>
        <v/>
      </c>
      <c r="I80" s="1140"/>
      <c r="J80" s="1140"/>
      <c r="K80" s="1140"/>
      <c r="L80" s="1140"/>
      <c r="M80" s="1129" t="str">
        <f ca="1">IFERROR(VLOOKUP(X60,Num_AS,15,FALSE),"")</f>
        <v/>
      </c>
      <c r="N80" s="1130"/>
      <c r="O80" s="1131">
        <f ca="1">G62</f>
        <v>2</v>
      </c>
      <c r="P80" s="842"/>
      <c r="Q80" s="219"/>
      <c r="R80" s="219"/>
      <c r="S80" s="850"/>
      <c r="T80" s="851"/>
      <c r="U80" s="852"/>
      <c r="V80" s="852"/>
      <c r="W80" s="196"/>
      <c r="X80" s="1140" t="str">
        <f ca="1">IFERROR(VLOOKUP(Z60,Num_AS,12,FALSE)&amp;" "&amp;VLOOKUP(Z60,Num_AS,13,FALSE),"")</f>
        <v/>
      </c>
      <c r="Y80" s="1140"/>
      <c r="Z80" s="1140"/>
      <c r="AA80" s="1140"/>
      <c r="AB80" s="1140"/>
      <c r="AC80" s="1129" t="str">
        <f ca="1">IFERROR(VLOOKUP(Z60,Num_AS,15,FALSE),"")</f>
        <v/>
      </c>
      <c r="AD80" s="1130"/>
      <c r="AE80" s="1131">
        <f>W62</f>
        <v>0</v>
      </c>
    </row>
    <row r="81" spans="1:44" ht="32.25" customHeight="1" x14ac:dyDescent="0.2">
      <c r="A81" s="584"/>
      <c r="B81" s="584"/>
      <c r="C81" s="584"/>
      <c r="D81" s="584"/>
      <c r="E81" s="584"/>
      <c r="F81" s="584"/>
      <c r="G81" s="584"/>
      <c r="H81" s="1140" t="str">
        <f ca="1">IFERROR(VLOOKUP(X60,Num_AS,18,FALSE)&amp;" "&amp;VLOOKUP(X60,Num_AS,19,FALSE),"")</f>
        <v/>
      </c>
      <c r="I81" s="1140"/>
      <c r="J81" s="1140"/>
      <c r="K81" s="1140"/>
      <c r="L81" s="1140"/>
      <c r="M81" s="1129" t="str">
        <f ca="1">IFERROR(VLOOKUP(X60,Num_AS,21,FALSE),"")</f>
        <v/>
      </c>
      <c r="N81" s="1130"/>
      <c r="O81" s="1131">
        <f ca="1">G62</f>
        <v>2</v>
      </c>
      <c r="P81" s="842"/>
      <c r="Q81" s="219"/>
      <c r="R81" s="219"/>
      <c r="S81" s="584"/>
      <c r="T81" s="584"/>
      <c r="U81" s="584"/>
      <c r="V81" s="584"/>
      <c r="W81" s="196"/>
      <c r="X81" s="1140" t="str">
        <f ca="1">IFERROR(VLOOKUP(Z60,Num_AS,18,FALSE)&amp;" "&amp;VLOOKUP(Z60,Num_AS,19,FALSE),"")</f>
        <v/>
      </c>
      <c r="Y81" s="1140"/>
      <c r="Z81" s="1140"/>
      <c r="AA81" s="1140"/>
      <c r="AB81" s="1140"/>
      <c r="AC81" s="1129" t="str">
        <f ca="1">IFERROR(VLOOKUP(Z60,Num_AS,21,FALSE),"")</f>
        <v/>
      </c>
      <c r="AD81" s="1130"/>
      <c r="AE81" s="1131">
        <f>W62</f>
        <v>0</v>
      </c>
    </row>
    <row r="82" spans="1:44" ht="32.25" customHeight="1" x14ac:dyDescent="0.2">
      <c r="A82" s="584"/>
      <c r="B82" s="584"/>
      <c r="C82" s="862"/>
      <c r="D82" s="1141" t="s">
        <v>1292</v>
      </c>
      <c r="E82" s="1142"/>
      <c r="F82" s="1143"/>
      <c r="G82" s="584"/>
      <c r="H82" s="1140" t="str">
        <f ca="1">IFERROR(VLOOKUP(X60,Num_AS,24,FALSE)&amp;" "&amp;VLOOKUP(X60,Num_AS,25,FALSE),"")</f>
        <v/>
      </c>
      <c r="I82" s="1140"/>
      <c r="J82" s="1140"/>
      <c r="K82" s="1140"/>
      <c r="L82" s="1140"/>
      <c r="M82" s="1129" t="str">
        <f ca="1">IFERROR(VLOOKUP(X60,Num_AS,9,FALSE),"")</f>
        <v/>
      </c>
      <c r="N82" s="1130"/>
      <c r="O82" s="1131">
        <f ca="1">G62</f>
        <v>2</v>
      </c>
      <c r="P82" s="842"/>
      <c r="Q82" s="219"/>
      <c r="R82" s="219"/>
      <c r="S82" s="862"/>
      <c r="T82" s="1141" t="s">
        <v>1292</v>
      </c>
      <c r="U82" s="1142"/>
      <c r="V82" s="1143"/>
      <c r="W82" s="196"/>
      <c r="X82" s="1140" t="str">
        <f ca="1">IFERROR(VLOOKUP(Z60,Num_AS,24,FALSE)&amp;" "&amp;VLOOKUP(Z60,Num_AS,25,FALSE),"")</f>
        <v/>
      </c>
      <c r="Y82" s="1140"/>
      <c r="Z82" s="1140"/>
      <c r="AA82" s="1140"/>
      <c r="AB82" s="1140"/>
      <c r="AC82" s="1129" t="str">
        <f ca="1">IFERROR(VLOOKUP(Z60,Num_AS,9,FALSE),"")</f>
        <v/>
      </c>
      <c r="AD82" s="1130"/>
      <c r="AE82" s="1131">
        <f>W62</f>
        <v>0</v>
      </c>
    </row>
    <row r="83" spans="1:44" ht="18.75" customHeight="1" thickBot="1" x14ac:dyDescent="0.25">
      <c r="A83" s="701"/>
      <c r="B83" s="701"/>
      <c r="C83" s="249"/>
      <c r="D83" s="249"/>
      <c r="E83" s="249"/>
      <c r="F83" s="701"/>
      <c r="G83" s="701"/>
      <c r="H83" s="196"/>
      <c r="I83" s="196"/>
      <c r="J83" s="249"/>
      <c r="K83" s="219"/>
      <c r="L83" s="219"/>
      <c r="M83" s="219"/>
      <c r="N83" s="219"/>
      <c r="O83" s="219"/>
      <c r="P83" s="219"/>
      <c r="Q83" s="219"/>
      <c r="R83" s="219"/>
      <c r="S83" s="219"/>
      <c r="T83" s="219"/>
      <c r="U83" s="219"/>
      <c r="V83" s="219"/>
      <c r="W83" s="219"/>
      <c r="X83" s="219"/>
      <c r="Y83" s="249"/>
      <c r="Z83" s="219"/>
      <c r="AE83" s="520"/>
    </row>
    <row r="84" spans="1:44" ht="32.25" customHeight="1" x14ac:dyDescent="0.25">
      <c r="A84" s="701"/>
      <c r="B84" s="701"/>
      <c r="D84" s="875" t="s">
        <v>1002</v>
      </c>
      <c r="E84" s="876"/>
      <c r="F84" s="876"/>
      <c r="G84" s="876"/>
      <c r="H84" s="876"/>
      <c r="I84" s="876"/>
      <c r="J84" s="876"/>
      <c r="K84" s="876"/>
      <c r="L84" s="876"/>
      <c r="M84" s="877" t="s">
        <v>1297</v>
      </c>
      <c r="N84" s="219"/>
      <c r="O84" s="1132" t="s">
        <v>1293</v>
      </c>
      <c r="P84" s="1133"/>
      <c r="Q84" s="1134"/>
      <c r="R84" s="941"/>
      <c r="T84" s="875" t="s">
        <v>1002</v>
      </c>
      <c r="U84" s="876"/>
      <c r="V84" s="876"/>
      <c r="W84" s="876"/>
      <c r="X84" s="876"/>
      <c r="Y84" s="876"/>
      <c r="Z84" s="876"/>
      <c r="AA84" s="876"/>
      <c r="AB84" s="876"/>
      <c r="AC84" s="877" t="s">
        <v>1296</v>
      </c>
      <c r="AE84" s="520"/>
    </row>
    <row r="85" spans="1:44" ht="70.5" customHeight="1" thickBot="1" x14ac:dyDescent="0.25">
      <c r="A85" s="701"/>
      <c r="B85" s="701"/>
      <c r="D85" s="878"/>
      <c r="E85" s="879"/>
      <c r="F85" s="879"/>
      <c r="G85" s="879"/>
      <c r="H85" s="879"/>
      <c r="I85" s="879"/>
      <c r="J85" s="879"/>
      <c r="K85" s="879"/>
      <c r="L85" s="879"/>
      <c r="M85" s="880"/>
      <c r="N85" s="219"/>
      <c r="O85" s="1135"/>
      <c r="P85" s="1136"/>
      <c r="Q85" s="1137"/>
      <c r="R85" s="941"/>
      <c r="T85" s="878"/>
      <c r="U85" s="879"/>
      <c r="V85" s="879"/>
      <c r="W85" s="879"/>
      <c r="X85" s="879"/>
      <c r="Y85" s="879"/>
      <c r="Z85" s="879"/>
      <c r="AA85" s="879"/>
      <c r="AB85" s="879"/>
      <c r="AC85" s="880"/>
      <c r="AE85" s="520"/>
    </row>
    <row r="86" spans="1:44" ht="6.75" customHeight="1" x14ac:dyDescent="0.25">
      <c r="A86" s="701"/>
      <c r="B86" s="701"/>
      <c r="C86" s="249"/>
      <c r="D86" s="249"/>
      <c r="E86" s="249"/>
      <c r="F86" s="701"/>
      <c r="G86" s="701"/>
      <c r="H86" s="196"/>
      <c r="I86" s="196"/>
      <c r="J86" s="249"/>
      <c r="K86" s="219"/>
      <c r="L86" s="842"/>
      <c r="M86" s="842"/>
      <c r="N86" s="842"/>
      <c r="O86" s="842"/>
      <c r="P86" s="842"/>
      <c r="Q86" s="842"/>
      <c r="R86" s="842"/>
      <c r="T86" s="845"/>
      <c r="U86" s="842"/>
      <c r="V86" s="842"/>
      <c r="W86" s="649"/>
      <c r="X86" s="845"/>
      <c r="Y86" s="842"/>
      <c r="Z86" s="842"/>
      <c r="AE86" s="520"/>
    </row>
    <row r="87" spans="1:44" ht="27.75" customHeight="1" x14ac:dyDescent="0.2">
      <c r="A87" s="701"/>
      <c r="B87" s="701"/>
      <c r="C87" s="1138" t="s">
        <v>1300</v>
      </c>
      <c r="D87" s="1138"/>
      <c r="E87" s="1138"/>
      <c r="F87" s="1138"/>
      <c r="G87" s="1138"/>
      <c r="H87" s="1138"/>
      <c r="I87" s="1138"/>
      <c r="J87" s="1138"/>
      <c r="K87" s="1138"/>
      <c r="L87" s="1138"/>
      <c r="M87" s="1138"/>
      <c r="N87" s="1138"/>
      <c r="O87" s="1138"/>
      <c r="P87" s="842"/>
      <c r="Q87" s="1139" t="s">
        <v>1303</v>
      </c>
      <c r="R87" s="1139"/>
      <c r="S87" s="1139"/>
      <c r="T87" s="1139"/>
      <c r="U87" s="1139"/>
      <c r="V87" s="1139"/>
      <c r="W87" s="1139"/>
      <c r="X87" s="1139"/>
      <c r="Y87" s="1139"/>
      <c r="Z87" s="1139"/>
      <c r="AA87" s="1139"/>
      <c r="AB87" s="1139"/>
      <c r="AC87" s="1139"/>
      <c r="AD87" s="1139"/>
      <c r="AE87" s="1139"/>
    </row>
    <row r="88" spans="1:44" ht="36" customHeight="1" x14ac:dyDescent="0.2">
      <c r="AE88" s="520"/>
    </row>
    <row r="89" spans="1:44" ht="19.5" customHeight="1" thickBot="1" x14ac:dyDescent="0.25">
      <c r="W89" s="500"/>
      <c r="X89" s="520" t="str">
        <f ca="1">INDIRECT("AE"&amp;Y89)</f>
        <v>C4-Coll4Ville4</v>
      </c>
      <c r="Y89" s="500">
        <f>Z90+2</f>
        <v>5</v>
      </c>
      <c r="Z89" s="501" t="str">
        <f ca="1">INDIRECT("AF"&amp;Y89)</f>
        <v>C5-Coll5Ville5</v>
      </c>
      <c r="AA89" s="500"/>
      <c r="AB89" s="500"/>
      <c r="AD89" s="679"/>
      <c r="AE89" s="679"/>
      <c r="AF89" s="679"/>
      <c r="AG89" s="679"/>
      <c r="AH89" s="679"/>
      <c r="AI89" s="679"/>
      <c r="AJ89" s="679"/>
      <c r="AK89" s="679"/>
      <c r="AL89" s="679"/>
    </row>
    <row r="90" spans="1:44" s="218" customFormat="1" ht="36" thickBot="1" x14ac:dyDescent="0.25">
      <c r="F90" s="576" t="s">
        <v>546</v>
      </c>
      <c r="G90" s="865" t="str">
        <f>G61</f>
        <v>D1</v>
      </c>
      <c r="I90" s="863" t="str">
        <f>"   "&amp;Championnat</f>
        <v xml:space="preserve">   Championnat de France de Tir à l'ARC</v>
      </c>
      <c r="T90" s="197"/>
      <c r="U90" s="197"/>
      <c r="V90" s="197"/>
      <c r="W90" s="197"/>
      <c r="Y90" s="502" t="s">
        <v>849</v>
      </c>
      <c r="Z90" s="503">
        <f>Z61+1</f>
        <v>3</v>
      </c>
      <c r="AB90" s="254"/>
      <c r="AC90" s="254"/>
      <c r="AD90" s="681"/>
      <c r="AE90" s="680"/>
      <c r="AF90" s="681"/>
      <c r="AH90" s="662"/>
      <c r="AI90" s="662"/>
      <c r="AJ90" s="662"/>
      <c r="AK90" s="662"/>
      <c r="AL90" s="662"/>
      <c r="AM90" s="217"/>
      <c r="AN90" s="217"/>
      <c r="AO90" s="217"/>
      <c r="AP90" s="217"/>
      <c r="AQ90" s="217"/>
      <c r="AR90" s="217"/>
    </row>
    <row r="91" spans="1:44" ht="36" thickBot="1" x14ac:dyDescent="0.25">
      <c r="F91" s="661" t="s">
        <v>628</v>
      </c>
      <c r="G91" s="660">
        <f ca="1">INDIRECT("AD"&amp;Y89)</f>
        <v>3</v>
      </c>
      <c r="I91" s="706" t="str">
        <f>CATEG_IMPORTEE</f>
        <v>Collèges Mixtes Etablissement</v>
      </c>
      <c r="S91" s="864" t="str">
        <f>LIEU&amp;" du "&amp;DATE</f>
        <v>L’Isle sur la Sorgue du 27 au 31 mars 2023</v>
      </c>
      <c r="AB91" s="254"/>
      <c r="AC91" s="254"/>
      <c r="AD91" s="681"/>
      <c r="AE91" s="680"/>
      <c r="AF91" s="681"/>
      <c r="AG91" s="679"/>
      <c r="AH91" s="679"/>
      <c r="AI91" s="679"/>
      <c r="AJ91" s="679"/>
      <c r="AK91" s="679"/>
      <c r="AL91" s="679"/>
    </row>
    <row r="92" spans="1:44" ht="24" customHeight="1" x14ac:dyDescent="0.2">
      <c r="A92" s="1075" t="s">
        <v>0</v>
      </c>
      <c r="B92" s="1075"/>
      <c r="C92" s="1075"/>
      <c r="D92" s="1075"/>
      <c r="E92" s="1075"/>
      <c r="F92" s="1075"/>
      <c r="G92" s="1075"/>
      <c r="H92" s="1075"/>
      <c r="I92" s="1075"/>
      <c r="J92" s="1075"/>
      <c r="Q92" s="1075" t="s">
        <v>0</v>
      </c>
      <c r="R92" s="1075"/>
      <c r="S92" s="1075"/>
      <c r="T92" s="1075"/>
      <c r="U92" s="1075"/>
      <c r="V92" s="1075"/>
      <c r="W92" s="1075"/>
      <c r="X92" s="1075"/>
      <c r="Y92" s="1075"/>
      <c r="Z92" s="1075"/>
      <c r="AB92" s="254"/>
      <c r="AC92" s="254"/>
      <c r="AD92" s="681"/>
      <c r="AE92" s="680"/>
      <c r="AF92" s="681"/>
      <c r="AG92" s="679"/>
      <c r="AH92" s="679"/>
      <c r="AI92" s="679"/>
      <c r="AJ92" s="679"/>
      <c r="AK92" s="679"/>
      <c r="AL92" s="679"/>
    </row>
    <row r="93" spans="1:44" ht="31.5" customHeight="1" x14ac:dyDescent="0.2">
      <c r="A93" s="1144" t="str">
        <f ca="1">IFERROR(VLOOKUP(X89,Num_AS,2,FALSE),"")</f>
        <v/>
      </c>
      <c r="B93" s="1144"/>
      <c r="C93" s="1144"/>
      <c r="D93" s="1144"/>
      <c r="E93" s="1144"/>
      <c r="F93" s="1144"/>
      <c r="G93" s="1144"/>
      <c r="H93" s="1144"/>
      <c r="I93" s="1144"/>
      <c r="J93" s="1144"/>
      <c r="K93" s="869" t="s">
        <v>1299</v>
      </c>
      <c r="L93" s="1145" t="s">
        <v>547</v>
      </c>
      <c r="M93" s="1145"/>
      <c r="N93" s="1145"/>
      <c r="O93" s="870" t="s">
        <v>1298</v>
      </c>
      <c r="Q93" s="1144" t="str">
        <f ca="1">IFERROR(VLOOKUP(Z89,Num_AS,2,FALSE),"")</f>
        <v/>
      </c>
      <c r="R93" s="1144"/>
      <c r="S93" s="1144"/>
      <c r="T93" s="1144"/>
      <c r="U93" s="1144"/>
      <c r="V93" s="1144"/>
      <c r="W93" s="1144"/>
      <c r="X93" s="1144"/>
      <c r="Y93" s="1144"/>
      <c r="Z93" s="1144"/>
      <c r="AB93" s="254"/>
      <c r="AC93" s="254"/>
      <c r="AD93" s="681"/>
      <c r="AE93" s="680"/>
      <c r="AF93" s="681"/>
      <c r="AG93" s="679"/>
      <c r="AH93" s="679"/>
      <c r="AI93" s="679"/>
      <c r="AJ93" s="679"/>
      <c r="AK93" s="679"/>
      <c r="AL93" s="679"/>
    </row>
    <row r="94" spans="1:44" ht="20.100000000000001" customHeight="1" thickBot="1" x14ac:dyDescent="0.25">
      <c r="A94" s="1124" t="s">
        <v>1006</v>
      </c>
      <c r="B94" s="1124"/>
      <c r="C94" s="1125"/>
      <c r="D94" s="1125"/>
      <c r="E94" s="1125"/>
      <c r="F94" s="1125"/>
      <c r="G94" s="1125"/>
      <c r="H94" s="1125"/>
      <c r="I94" s="1125"/>
      <c r="J94" s="1125"/>
      <c r="L94" s="871"/>
      <c r="M94" s="871"/>
      <c r="N94" s="871"/>
      <c r="Q94" s="1124" t="s">
        <v>1005</v>
      </c>
      <c r="R94" s="1124"/>
      <c r="S94" s="1125"/>
      <c r="T94" s="1125"/>
      <c r="U94" s="1125"/>
      <c r="V94" s="1125"/>
      <c r="W94" s="1125"/>
      <c r="X94" s="1125"/>
      <c r="Y94" s="1125"/>
      <c r="Z94" s="1125"/>
      <c r="AB94" s="254"/>
      <c r="AC94" s="254"/>
      <c r="AD94" s="681"/>
      <c r="AE94" s="680"/>
      <c r="AF94" s="681"/>
      <c r="AG94" s="679"/>
      <c r="AH94" s="679"/>
      <c r="AI94" s="679"/>
      <c r="AJ94" s="679"/>
      <c r="AK94" s="679"/>
      <c r="AL94" s="679"/>
    </row>
    <row r="95" spans="1:44" ht="27.75" customHeight="1" x14ac:dyDescent="0.2">
      <c r="A95" s="1117" t="str">
        <f ca="1">IFERROR(VLOOKUP(X89,Num_AS,3,FALSE),"")</f>
        <v/>
      </c>
      <c r="B95" s="1150"/>
      <c r="C95" s="1118"/>
      <c r="D95" s="1151"/>
      <c r="E95" s="1151"/>
      <c r="F95" s="1151"/>
      <c r="G95" s="1151"/>
      <c r="H95" s="1151"/>
      <c r="I95" s="1151"/>
      <c r="J95" s="1119"/>
      <c r="O95" s="219"/>
      <c r="P95" s="219"/>
      <c r="Q95" s="1117" t="str">
        <f ca="1">IFERROR(VLOOKUP(Z89,Num_AS,3,FALSE),"")</f>
        <v/>
      </c>
      <c r="R95" s="1150"/>
      <c r="S95" s="1118"/>
      <c r="T95" s="1151"/>
      <c r="U95" s="1151"/>
      <c r="V95" s="1151"/>
      <c r="W95" s="1151"/>
      <c r="X95" s="1151"/>
      <c r="Y95" s="1151"/>
      <c r="Z95" s="1119"/>
      <c r="AB95" s="254"/>
      <c r="AC95" s="254"/>
      <c r="AD95" s="681"/>
      <c r="AE95" s="680"/>
      <c r="AF95" s="681"/>
      <c r="AG95" s="679"/>
      <c r="AH95" s="679"/>
      <c r="AI95" s="679"/>
      <c r="AJ95" s="679"/>
      <c r="AK95" s="679"/>
      <c r="AL95" s="679"/>
    </row>
    <row r="96" spans="1:44" ht="27.75" customHeight="1" thickBot="1" x14ac:dyDescent="0.25">
      <c r="A96" s="1107" t="str">
        <f ca="1">IFERROR(VLOOKUP(X89,Num_AS,4,FALSE),"")</f>
        <v/>
      </c>
      <c r="B96" s="1152"/>
      <c r="C96" s="1108"/>
      <c r="D96" s="1153"/>
      <c r="E96" s="1153"/>
      <c r="F96" s="1153"/>
      <c r="G96" s="1153"/>
      <c r="H96" s="1153"/>
      <c r="I96" s="1153"/>
      <c r="J96" s="1109"/>
      <c r="Q96" s="1107" t="str">
        <f ca="1">IFERROR(VLOOKUP(Z89,Num_AS,4,FALSE),"")</f>
        <v/>
      </c>
      <c r="R96" s="1152"/>
      <c r="S96" s="1108"/>
      <c r="T96" s="1153"/>
      <c r="U96" s="1153"/>
      <c r="V96" s="1153"/>
      <c r="W96" s="1153"/>
      <c r="X96" s="1153"/>
      <c r="Y96" s="1153"/>
      <c r="Z96" s="1109"/>
      <c r="AB96" s="254"/>
      <c r="AC96" s="254"/>
      <c r="AD96" s="681"/>
      <c r="AE96" s="680"/>
      <c r="AF96" s="681"/>
      <c r="AG96" s="679"/>
      <c r="AH96" s="679"/>
      <c r="AI96" s="679"/>
      <c r="AJ96" s="679"/>
      <c r="AK96" s="679"/>
      <c r="AL96" s="679"/>
    </row>
    <row r="97" spans="1:38" ht="36" customHeight="1" thickBot="1" x14ac:dyDescent="0.25">
      <c r="A97" s="1156" t="s">
        <v>1330</v>
      </c>
      <c r="B97" s="1157"/>
      <c r="C97" s="1157"/>
      <c r="D97" s="1158"/>
      <c r="E97" s="947">
        <f ca="1">VLOOKUP(A93&amp;A95,PTS_SP,3,FALSE)</f>
        <v>0</v>
      </c>
      <c r="Q97" s="1156" t="s">
        <v>1330</v>
      </c>
      <c r="R97" s="1157"/>
      <c r="S97" s="1157"/>
      <c r="T97" s="1158"/>
      <c r="U97" s="947">
        <f ca="1">VLOOKUP(Q93&amp;Q95,PTS_SP,3,FALSE)</f>
        <v>0</v>
      </c>
      <c r="AB97" s="254"/>
      <c r="AC97" s="254"/>
      <c r="AD97" s="681"/>
      <c r="AE97" s="680"/>
      <c r="AF97" s="681"/>
      <c r="AG97" s="679"/>
      <c r="AH97" s="679"/>
      <c r="AI97" s="679"/>
      <c r="AJ97" s="679"/>
      <c r="AK97" s="679"/>
      <c r="AL97" s="679"/>
    </row>
    <row r="98" spans="1:38" ht="38.25" customHeight="1" x14ac:dyDescent="0.2">
      <c r="A98" s="701"/>
      <c r="B98" s="701"/>
      <c r="C98" s="853"/>
      <c r="D98" s="861" t="s">
        <v>1290</v>
      </c>
      <c r="E98" s="853"/>
      <c r="F98" s="854"/>
      <c r="G98" s="854"/>
      <c r="H98" s="872" t="s">
        <v>1295</v>
      </c>
      <c r="I98" s="855"/>
      <c r="J98" s="853"/>
      <c r="K98" s="853"/>
      <c r="L98" s="853"/>
      <c r="M98" s="859"/>
      <c r="N98" s="860" t="s">
        <v>1291</v>
      </c>
      <c r="O98" s="853"/>
      <c r="P98" s="249"/>
      <c r="Q98" s="701"/>
      <c r="R98" s="701"/>
      <c r="S98" s="853"/>
      <c r="T98" s="861" t="s">
        <v>1290</v>
      </c>
      <c r="U98" s="853"/>
      <c r="V98" s="854"/>
      <c r="W98" s="854"/>
      <c r="X98" s="872" t="s">
        <v>1302</v>
      </c>
      <c r="Y98" s="855"/>
      <c r="Z98" s="853"/>
      <c r="AA98" s="853"/>
      <c r="AB98" s="853"/>
      <c r="AC98" s="859"/>
      <c r="AD98" s="860" t="s">
        <v>1291</v>
      </c>
      <c r="AE98" s="853"/>
      <c r="AF98" s="681"/>
      <c r="AG98" s="681"/>
      <c r="AH98" s="681"/>
      <c r="AI98" s="681"/>
      <c r="AJ98" s="679"/>
      <c r="AK98" s="679"/>
      <c r="AL98" s="679"/>
    </row>
    <row r="99" spans="1:38" ht="38.25" customHeight="1" x14ac:dyDescent="0.2">
      <c r="A99" s="856" t="s">
        <v>509</v>
      </c>
      <c r="B99" s="942" t="s">
        <v>1329</v>
      </c>
      <c r="C99" s="857">
        <v>1</v>
      </c>
      <c r="D99" s="857">
        <v>2</v>
      </c>
      <c r="E99" s="857">
        <v>3</v>
      </c>
      <c r="F99" s="857">
        <v>4</v>
      </c>
      <c r="G99" s="857">
        <v>5</v>
      </c>
      <c r="H99" s="857">
        <v>6</v>
      </c>
      <c r="I99" s="857">
        <v>7</v>
      </c>
      <c r="J99" s="857">
        <v>8</v>
      </c>
      <c r="K99" s="858" t="s">
        <v>1286</v>
      </c>
      <c r="L99" s="1154" t="s">
        <v>1287</v>
      </c>
      <c r="M99" s="1154"/>
      <c r="N99" s="1154"/>
      <c r="O99" s="858" t="s">
        <v>1288</v>
      </c>
      <c r="P99" s="844"/>
      <c r="Q99" s="856" t="s">
        <v>509</v>
      </c>
      <c r="R99" s="942" t="s">
        <v>1329</v>
      </c>
      <c r="S99" s="857">
        <v>1</v>
      </c>
      <c r="T99" s="857">
        <v>2</v>
      </c>
      <c r="U99" s="857">
        <v>3</v>
      </c>
      <c r="V99" s="857">
        <v>4</v>
      </c>
      <c r="W99" s="857">
        <v>5</v>
      </c>
      <c r="X99" s="857">
        <v>6</v>
      </c>
      <c r="Y99" s="857">
        <v>7</v>
      </c>
      <c r="Z99" s="857">
        <v>8</v>
      </c>
      <c r="AA99" s="858" t="s">
        <v>1286</v>
      </c>
      <c r="AB99" s="1154" t="s">
        <v>1287</v>
      </c>
      <c r="AC99" s="1154"/>
      <c r="AD99" s="1154"/>
      <c r="AE99" s="858" t="s">
        <v>1288</v>
      </c>
      <c r="AF99" s="681"/>
      <c r="AG99" s="681"/>
      <c r="AH99" s="681"/>
      <c r="AI99" s="681"/>
      <c r="AJ99" s="679"/>
      <c r="AK99" s="679"/>
      <c r="AL99" s="679"/>
    </row>
    <row r="100" spans="1:38" ht="30" customHeight="1" x14ac:dyDescent="0.25">
      <c r="A100" s="846" t="s">
        <v>1282</v>
      </c>
      <c r="B100" s="948">
        <f ca="1">E97</f>
        <v>0</v>
      </c>
      <c r="C100" s="843"/>
      <c r="D100" s="843"/>
      <c r="E100" s="843"/>
      <c r="F100" s="843"/>
      <c r="G100" s="847"/>
      <c r="H100" s="848"/>
      <c r="I100" s="846"/>
      <c r="J100" s="843"/>
      <c r="K100" s="843"/>
      <c r="L100" s="849">
        <f ca="1">IF(Q93="Matchs de CLASSEMENT","X",2)</f>
        <v>2</v>
      </c>
      <c r="M100" s="849">
        <f ca="1">IF(Q93="Matchs de CLASSEMENT","X",1)</f>
        <v>1</v>
      </c>
      <c r="N100" s="849">
        <f ca="1">IF(Q93="Matchs de CLASSEMENT","X",0)</f>
        <v>0</v>
      </c>
      <c r="O100" s="849" t="str">
        <f ca="1">IF(Q93="Matchs de CLASSEMENT","X","")</f>
        <v/>
      </c>
      <c r="P100" s="842"/>
      <c r="Q100" s="849" t="str">
        <f ca="1">IF(Q93="Matchs de CLASSEMENT","X","V1")</f>
        <v>V1</v>
      </c>
      <c r="R100" s="948">
        <f ca="1">U97</f>
        <v>0</v>
      </c>
      <c r="S100" s="849" t="str">
        <f ca="1">IF(Q93="Matchs de CLASSEMENT","X","")</f>
        <v/>
      </c>
      <c r="T100" s="849" t="str">
        <f ca="1">IF(Q93="Matchs de CLASSEMENT","X","")</f>
        <v/>
      </c>
      <c r="U100" s="849" t="str">
        <f ca="1">IF(Q93="Matchs de CLASSEMENT","X","")</f>
        <v/>
      </c>
      <c r="V100" s="849" t="str">
        <f ca="1">IF(Q93="Matchs de CLASSEMENT","X","")</f>
        <v/>
      </c>
      <c r="W100" s="849" t="str">
        <f ca="1">IF(Q93="Matchs de CLASSEMENT","X","")</f>
        <v/>
      </c>
      <c r="X100" s="849" t="str">
        <f ca="1">IF(Q93="Matchs de CLASSEMENT","X","")</f>
        <v/>
      </c>
      <c r="Y100" s="849" t="str">
        <f ca="1">IF(Q93="Matchs de CLASSEMENT","X","")</f>
        <v/>
      </c>
      <c r="Z100" s="849" t="str">
        <f ca="1">IF(Q93="Matchs de CLASSEMENT","X","")</f>
        <v/>
      </c>
      <c r="AA100" s="849" t="str">
        <f ca="1">IF(Q93="Matchs de CLASSEMENT","X","")</f>
        <v/>
      </c>
      <c r="AB100" s="849">
        <f ca="1">IF(Q93="Matchs de CLASSEMENT","X",2)</f>
        <v>2</v>
      </c>
      <c r="AC100" s="849">
        <f ca="1">IF(Q93="Matchs de CLASSEMENT","X",1)</f>
        <v>1</v>
      </c>
      <c r="AD100" s="849">
        <f ca="1">IF(Q93="Matchs de CLASSEMENT","X",0)</f>
        <v>0</v>
      </c>
      <c r="AE100" s="849" t="str">
        <f ca="1">IF(Q93="Matchs de CLASSEMENT","X","")</f>
        <v/>
      </c>
      <c r="AF100" s="679"/>
      <c r="AG100" s="679"/>
      <c r="AH100" s="679"/>
      <c r="AI100" s="679"/>
      <c r="AJ100" s="679"/>
      <c r="AK100" s="679"/>
      <c r="AL100" s="679"/>
    </row>
    <row r="101" spans="1:38" ht="30" customHeight="1" x14ac:dyDescent="0.25">
      <c r="A101" s="846" t="s">
        <v>1283</v>
      </c>
      <c r="B101" s="948">
        <f ca="1">B100</f>
        <v>0</v>
      </c>
      <c r="C101" s="843"/>
      <c r="D101" s="843"/>
      <c r="E101" s="843"/>
      <c r="F101" s="843"/>
      <c r="G101" s="847"/>
      <c r="H101" s="848"/>
      <c r="I101" s="846"/>
      <c r="J101" s="843"/>
      <c r="K101" s="843"/>
      <c r="L101" s="849">
        <f ca="1">IF(Q93="Matchs de CLASSEMENT","X",2)</f>
        <v>2</v>
      </c>
      <c r="M101" s="849">
        <f ca="1">IF(Q93="Matchs de CLASSEMENT","X",1)</f>
        <v>1</v>
      </c>
      <c r="N101" s="849">
        <f ca="1">IF(Q93="Matchs de CLASSEMENT","X",0)</f>
        <v>0</v>
      </c>
      <c r="O101" s="849" t="str">
        <f ca="1">IF(Q93="Matchs de CLASSEMENT","X","")</f>
        <v/>
      </c>
      <c r="P101" s="842"/>
      <c r="Q101" s="849" t="str">
        <f ca="1">IF(Q93="Matchs de CLASSEMENT","X","V2")</f>
        <v>V2</v>
      </c>
      <c r="R101" s="948">
        <f ca="1">R100</f>
        <v>0</v>
      </c>
      <c r="S101" s="849" t="str">
        <f ca="1">IF(Q93="Matchs de CLASSEMENT","X","")</f>
        <v/>
      </c>
      <c r="T101" s="849" t="str">
        <f ca="1">IF(Q93="Matchs de CLASSEMENT","X","")</f>
        <v/>
      </c>
      <c r="U101" s="849" t="str">
        <f ca="1">IF(Q93="Matchs de CLASSEMENT","X","")</f>
        <v/>
      </c>
      <c r="V101" s="849" t="str">
        <f ca="1">IF(Q93="Matchs de CLASSEMENT","X","")</f>
        <v/>
      </c>
      <c r="W101" s="849" t="str">
        <f ca="1">IF(Q93="Matchs de CLASSEMENT","X","")</f>
        <v/>
      </c>
      <c r="X101" s="849" t="str">
        <f ca="1">IF(Q93="Matchs de CLASSEMENT","X","")</f>
        <v/>
      </c>
      <c r="Y101" s="849" t="str">
        <f ca="1">IF(Q93="Matchs de CLASSEMENT","X","")</f>
        <v/>
      </c>
      <c r="Z101" s="849" t="str">
        <f ca="1">IF(Q93="Matchs de CLASSEMENT","X","")</f>
        <v/>
      </c>
      <c r="AA101" s="849" t="str">
        <f ca="1">IF(Q93="Matchs de CLASSEMENT","X","")</f>
        <v/>
      </c>
      <c r="AB101" s="849">
        <f ca="1">IF(Q93="Matchs de CLASSEMENT","X",2)</f>
        <v>2</v>
      </c>
      <c r="AC101" s="849">
        <f ca="1">IF(Q93="Matchs de CLASSEMENT","X",1)</f>
        <v>1</v>
      </c>
      <c r="AD101" s="849">
        <f ca="1">IF(Q93="Matchs de CLASSEMENT","X",0)</f>
        <v>0</v>
      </c>
      <c r="AE101" s="849" t="str">
        <f ca="1">IF(Q93="Matchs de CLASSEMENT","X","")</f>
        <v/>
      </c>
      <c r="AF101" s="679"/>
      <c r="AG101" s="679"/>
      <c r="AH101" s="679"/>
      <c r="AI101" s="679"/>
      <c r="AJ101" s="679"/>
      <c r="AK101" s="679"/>
      <c r="AL101" s="679"/>
    </row>
    <row r="102" spans="1:38" ht="30" customHeight="1" x14ac:dyDescent="0.25">
      <c r="A102" s="846" t="s">
        <v>1284</v>
      </c>
      <c r="B102" s="948">
        <f t="shared" ref="B102:B103" ca="1" si="5">B101</f>
        <v>0</v>
      </c>
      <c r="C102" s="843"/>
      <c r="D102" s="843"/>
      <c r="E102" s="843"/>
      <c r="F102" s="843"/>
      <c r="G102" s="847"/>
      <c r="H102" s="848"/>
      <c r="I102" s="846"/>
      <c r="J102" s="843"/>
      <c r="K102" s="843"/>
      <c r="L102" s="849">
        <f ca="1">IF(Q93="Matchs de CLASSEMENT","X",2)</f>
        <v>2</v>
      </c>
      <c r="M102" s="849">
        <f ca="1">IF(Q93="Matchs de CLASSEMENT","X",1)</f>
        <v>1</v>
      </c>
      <c r="N102" s="849">
        <f ca="1">IF(Q93="Matchs de CLASSEMENT","X",0)</f>
        <v>0</v>
      </c>
      <c r="O102" s="849" t="str">
        <f ca="1">IF(Q93="Matchs de CLASSEMENT","X","")</f>
        <v/>
      </c>
      <c r="P102" s="842"/>
      <c r="Q102" s="849" t="str">
        <f ca="1">IF(Q93="Matchs de CLASSEMENT","X","V3")</f>
        <v>V3</v>
      </c>
      <c r="R102" s="948">
        <f t="shared" ref="R102:R103" ca="1" si="6">R101</f>
        <v>0</v>
      </c>
      <c r="S102" s="849" t="str">
        <f ca="1">IF(Q93="Matchs de CLASSEMENT","X","")</f>
        <v/>
      </c>
      <c r="T102" s="849" t="str">
        <f ca="1">IF(Q93="Matchs de CLASSEMENT","X","")</f>
        <v/>
      </c>
      <c r="U102" s="849" t="str">
        <f ca="1">IF(Q93="Matchs de CLASSEMENT","X","")</f>
        <v/>
      </c>
      <c r="V102" s="849" t="str">
        <f ca="1">IF(Q93="Matchs de CLASSEMENT","X","")</f>
        <v/>
      </c>
      <c r="W102" s="849" t="str">
        <f ca="1">IF(Q93="Matchs de CLASSEMENT","X","")</f>
        <v/>
      </c>
      <c r="X102" s="849" t="str">
        <f ca="1">IF(Q93="Matchs de CLASSEMENT","X","")</f>
        <v/>
      </c>
      <c r="Y102" s="849" t="str">
        <f ca="1">IF(Q93="Matchs de CLASSEMENT","X","")</f>
        <v/>
      </c>
      <c r="Z102" s="849" t="str">
        <f ca="1">IF(Q93="Matchs de CLASSEMENT","X","")</f>
        <v/>
      </c>
      <c r="AA102" s="849" t="str">
        <f ca="1">IF(Q93="Matchs de CLASSEMENT","X","")</f>
        <v/>
      </c>
      <c r="AB102" s="849">
        <f ca="1">IF(Q93="Matchs de CLASSEMENT","X",2)</f>
        <v>2</v>
      </c>
      <c r="AC102" s="849">
        <f ca="1">IF(Q93="Matchs de CLASSEMENT","X",1)</f>
        <v>1</v>
      </c>
      <c r="AD102" s="849">
        <f ca="1">IF(Q93="Matchs de CLASSEMENT","X",0)</f>
        <v>0</v>
      </c>
      <c r="AE102" s="849" t="str">
        <f ca="1">IF(Q93="Matchs de CLASSEMENT","X","")</f>
        <v/>
      </c>
      <c r="AF102" s="679"/>
      <c r="AG102" s="679"/>
      <c r="AH102" s="679"/>
      <c r="AI102" s="679"/>
      <c r="AJ102" s="679"/>
      <c r="AK102" s="679"/>
      <c r="AL102" s="679"/>
    </row>
    <row r="103" spans="1:38" ht="30" customHeight="1" x14ac:dyDescent="0.25">
      <c r="A103" s="846" t="s">
        <v>1285</v>
      </c>
      <c r="B103" s="948">
        <f t="shared" ca="1" si="5"/>
        <v>0</v>
      </c>
      <c r="C103" s="843"/>
      <c r="D103" s="843"/>
      <c r="E103" s="843"/>
      <c r="F103" s="843"/>
      <c r="G103" s="847"/>
      <c r="H103" s="848"/>
      <c r="I103" s="846"/>
      <c r="J103" s="843"/>
      <c r="K103" s="843"/>
      <c r="L103" s="849">
        <f ca="1">IF(Q93="Matchs de CLASSEMENT","X",2)</f>
        <v>2</v>
      </c>
      <c r="M103" s="849">
        <f ca="1">IF(Q93="Matchs de CLASSEMENT","X",1)</f>
        <v>1</v>
      </c>
      <c r="N103" s="849">
        <f ca="1">IF(Q93="Matchs de CLASSEMENT","X",0)</f>
        <v>0</v>
      </c>
      <c r="O103" s="849" t="str">
        <f ca="1">IF(Q93="Matchs de CLASSEMENT","X","")</f>
        <v/>
      </c>
      <c r="P103" s="842"/>
      <c r="Q103" s="849" t="str">
        <f ca="1">IF(Q93="Matchs de CLASSEMENT","X","V4")</f>
        <v>V4</v>
      </c>
      <c r="R103" s="948">
        <f t="shared" ca="1" si="6"/>
        <v>0</v>
      </c>
      <c r="S103" s="849" t="str">
        <f ca="1">IF(Q93="Matchs de CLASSEMENT","X","")</f>
        <v/>
      </c>
      <c r="T103" s="849" t="str">
        <f ca="1">IF(Q93="Matchs de CLASSEMENT","X","")</f>
        <v/>
      </c>
      <c r="U103" s="849" t="str">
        <f ca="1">IF(Q93="Matchs de CLASSEMENT","X","")</f>
        <v/>
      </c>
      <c r="V103" s="849" t="str">
        <f ca="1">IF(Q93="Matchs de CLASSEMENT","X","")</f>
        <v/>
      </c>
      <c r="W103" s="849" t="str">
        <f ca="1">IF(Q93="Matchs de CLASSEMENT","X","")</f>
        <v/>
      </c>
      <c r="X103" s="849" t="str">
        <f ca="1">IF(Q93="Matchs de CLASSEMENT","X","")</f>
        <v/>
      </c>
      <c r="Y103" s="849" t="str">
        <f ca="1">IF(Q93="Matchs de CLASSEMENT","X","")</f>
        <v/>
      </c>
      <c r="Z103" s="849" t="str">
        <f ca="1">IF(Q93="Matchs de CLASSEMENT","X","")</f>
        <v/>
      </c>
      <c r="AA103" s="849" t="str">
        <f ca="1">IF(Q93="Matchs de CLASSEMENT","X","")</f>
        <v/>
      </c>
      <c r="AB103" s="849">
        <f ca="1">IF(Q93="Matchs de CLASSEMENT","X",2)</f>
        <v>2</v>
      </c>
      <c r="AC103" s="849">
        <f ca="1">IF(Q93="Matchs de CLASSEMENT","X",1)</f>
        <v>1</v>
      </c>
      <c r="AD103" s="849">
        <f ca="1">IF(Q93="Matchs de CLASSEMENT","X",0)</f>
        <v>0</v>
      </c>
      <c r="AE103" s="849" t="str">
        <f ca="1">IF(Q93="Matchs de CLASSEMENT","X","")</f>
        <v/>
      </c>
      <c r="AF103" s="679"/>
      <c r="AG103" s="679"/>
      <c r="AH103" s="679"/>
      <c r="AI103" s="679"/>
      <c r="AJ103" s="679"/>
      <c r="AK103" s="679"/>
      <c r="AL103" s="679"/>
    </row>
    <row r="104" spans="1:38" ht="30" customHeight="1" x14ac:dyDescent="0.2">
      <c r="N104" s="867" t="s">
        <v>1294</v>
      </c>
      <c r="O104" s="848"/>
      <c r="AD104" s="867" t="s">
        <v>1294</v>
      </c>
      <c r="AE104" s="866"/>
      <c r="AF104" s="679"/>
      <c r="AG104" s="679"/>
      <c r="AH104" s="679"/>
      <c r="AI104" s="679"/>
      <c r="AJ104" s="679"/>
      <c r="AK104" s="679"/>
      <c r="AL104" s="679"/>
    </row>
    <row r="105" spans="1:38" ht="12.75" customHeight="1" x14ac:dyDescent="0.2">
      <c r="AE105" s="520"/>
      <c r="AF105" s="679"/>
      <c r="AG105" s="679"/>
      <c r="AH105" s="679"/>
      <c r="AI105" s="679"/>
      <c r="AJ105" s="679"/>
      <c r="AK105" s="679"/>
      <c r="AL105" s="679"/>
    </row>
    <row r="106" spans="1:38" ht="18.75" customHeight="1" x14ac:dyDescent="0.2">
      <c r="A106" s="584"/>
      <c r="B106" s="584"/>
      <c r="C106" s="701" t="s">
        <v>1289</v>
      </c>
      <c r="D106" s="249"/>
      <c r="E106" s="196"/>
      <c r="F106" s="196"/>
      <c r="G106" s="584"/>
      <c r="H106" s="1155" t="s">
        <v>1301</v>
      </c>
      <c r="I106" s="1155"/>
      <c r="J106" s="1155"/>
      <c r="K106" s="1155"/>
      <c r="L106" s="1155"/>
      <c r="M106" s="1155"/>
      <c r="N106" s="1155"/>
      <c r="O106" s="1155"/>
      <c r="P106" s="842"/>
      <c r="Q106" s="219"/>
      <c r="R106" s="219"/>
      <c r="S106" s="701" t="s">
        <v>1289</v>
      </c>
      <c r="T106" s="249"/>
      <c r="U106" s="196"/>
      <c r="V106" s="196"/>
      <c r="X106" s="1155" t="s">
        <v>1304</v>
      </c>
      <c r="Y106" s="1155"/>
      <c r="Z106" s="1155"/>
      <c r="AA106" s="1155"/>
      <c r="AB106" s="1155"/>
      <c r="AC106" s="1155"/>
      <c r="AD106" s="1155"/>
      <c r="AE106" s="1155"/>
      <c r="AF106" s="679"/>
      <c r="AG106" s="679"/>
      <c r="AH106" s="679"/>
      <c r="AI106" s="679"/>
      <c r="AJ106" s="679"/>
      <c r="AK106" s="679"/>
      <c r="AL106" s="679"/>
    </row>
    <row r="107" spans="1:38" ht="32.25" customHeight="1" x14ac:dyDescent="0.2">
      <c r="A107" s="584"/>
      <c r="B107" s="584"/>
      <c r="C107" s="850"/>
      <c r="D107" s="851"/>
      <c r="E107" s="852"/>
      <c r="F107" s="852"/>
      <c r="G107" s="584"/>
      <c r="H107" s="1149" t="s">
        <v>549</v>
      </c>
      <c r="I107" s="1149"/>
      <c r="J107" s="1149"/>
      <c r="K107" s="1149"/>
      <c r="L107" s="1149"/>
      <c r="M107" s="1146" t="s">
        <v>550</v>
      </c>
      <c r="N107" s="1147"/>
      <c r="O107" s="1148"/>
      <c r="P107" s="842"/>
      <c r="Q107" s="219"/>
      <c r="R107" s="219"/>
      <c r="S107" s="850"/>
      <c r="T107" s="851"/>
      <c r="U107" s="852"/>
      <c r="V107" s="852"/>
      <c r="X107" s="1149" t="s">
        <v>549</v>
      </c>
      <c r="Y107" s="1149"/>
      <c r="Z107" s="1149"/>
      <c r="AA107" s="1149"/>
      <c r="AB107" s="1149"/>
      <c r="AC107" s="1146" t="s">
        <v>550</v>
      </c>
      <c r="AD107" s="1147"/>
      <c r="AE107" s="1148"/>
      <c r="AG107" s="679"/>
      <c r="AH107" s="679"/>
      <c r="AI107" s="679"/>
      <c r="AJ107" s="679"/>
      <c r="AK107" s="679"/>
      <c r="AL107" s="679"/>
    </row>
    <row r="108" spans="1:38" ht="32.25" customHeight="1" x14ac:dyDescent="0.2">
      <c r="A108" s="584"/>
      <c r="B108" s="584"/>
      <c r="C108" s="850"/>
      <c r="D108" s="851"/>
      <c r="E108" s="852"/>
      <c r="F108" s="852"/>
      <c r="G108" s="584"/>
      <c r="H108" s="1140" t="str">
        <f ca="1">IFERROR(VLOOKUP(X89,Num_AS,6,FALSE)&amp;" "&amp;VLOOKUP(X89,Num_AS,7,FALSE),"")</f>
        <v/>
      </c>
      <c r="I108" s="1140"/>
      <c r="J108" s="1140"/>
      <c r="K108" s="1140"/>
      <c r="L108" s="1140"/>
      <c r="M108" s="1129" t="str">
        <f ca="1">IFERROR(VLOOKUP(X89,Num_AS,9,FALSE),"")</f>
        <v/>
      </c>
      <c r="N108" s="1130"/>
      <c r="O108" s="1131"/>
      <c r="P108" s="842"/>
      <c r="Q108" s="219"/>
      <c r="R108" s="219"/>
      <c r="S108" s="850"/>
      <c r="T108" s="851"/>
      <c r="U108" s="852"/>
      <c r="V108" s="852"/>
      <c r="W108" s="196"/>
      <c r="X108" s="1140" t="str">
        <f ca="1">IFERROR(VLOOKUP(Z89,Num_AS,6,FALSE)&amp;" "&amp;VLOOKUP(Z89,Num_AS,7,FALSE),"")</f>
        <v/>
      </c>
      <c r="Y108" s="1140"/>
      <c r="Z108" s="1140"/>
      <c r="AA108" s="1140"/>
      <c r="AB108" s="1140"/>
      <c r="AC108" s="1129" t="str">
        <f ca="1">IFERROR(VLOOKUP(Z89,Num_AS,9,FALSE),"")</f>
        <v/>
      </c>
      <c r="AD108" s="1130"/>
      <c r="AE108" s="1131"/>
    </row>
    <row r="109" spans="1:38" ht="32.25" customHeight="1" x14ac:dyDescent="0.2">
      <c r="A109" s="584"/>
      <c r="B109" s="584"/>
      <c r="C109" s="850"/>
      <c r="D109" s="851"/>
      <c r="E109" s="852"/>
      <c r="F109" s="852"/>
      <c r="G109" s="584"/>
      <c r="H109" s="1140" t="str">
        <f ca="1">IFERROR(VLOOKUP(X89,Num_AS,12,FALSE)&amp;" "&amp;VLOOKUP(X89,Num_AS,13,FALSE),"")</f>
        <v/>
      </c>
      <c r="I109" s="1140"/>
      <c r="J109" s="1140"/>
      <c r="K109" s="1140"/>
      <c r="L109" s="1140"/>
      <c r="M109" s="1129" t="str">
        <f ca="1">IFERROR(VLOOKUP(X89,Num_AS,15,FALSE),"")</f>
        <v/>
      </c>
      <c r="N109" s="1130"/>
      <c r="O109" s="1131">
        <f ca="1">G91</f>
        <v>3</v>
      </c>
      <c r="P109" s="842"/>
      <c r="Q109" s="219"/>
      <c r="R109" s="219"/>
      <c r="S109" s="850"/>
      <c r="T109" s="851"/>
      <c r="U109" s="852"/>
      <c r="V109" s="852"/>
      <c r="W109" s="196"/>
      <c r="X109" s="1140" t="str">
        <f ca="1">IFERROR(VLOOKUP(Z89,Num_AS,12,FALSE)&amp;" "&amp;VLOOKUP(Z89,Num_AS,13,FALSE),"")</f>
        <v/>
      </c>
      <c r="Y109" s="1140"/>
      <c r="Z109" s="1140"/>
      <c r="AA109" s="1140"/>
      <c r="AB109" s="1140"/>
      <c r="AC109" s="1129" t="str">
        <f ca="1">IFERROR(VLOOKUP(Z89,Num_AS,15,FALSE),"")</f>
        <v/>
      </c>
      <c r="AD109" s="1130"/>
      <c r="AE109" s="1131">
        <f>W91</f>
        <v>0</v>
      </c>
    </row>
    <row r="110" spans="1:38" ht="32.25" customHeight="1" x14ac:dyDescent="0.2">
      <c r="A110" s="584"/>
      <c r="B110" s="584"/>
      <c r="C110" s="584"/>
      <c r="D110" s="584"/>
      <c r="E110" s="584"/>
      <c r="F110" s="584"/>
      <c r="G110" s="584"/>
      <c r="H110" s="1140" t="str">
        <f ca="1">IFERROR(VLOOKUP(X89,Num_AS,18,FALSE)&amp;" "&amp;VLOOKUP(X89,Num_AS,19,FALSE),"")</f>
        <v/>
      </c>
      <c r="I110" s="1140"/>
      <c r="J110" s="1140"/>
      <c r="K110" s="1140"/>
      <c r="L110" s="1140"/>
      <c r="M110" s="1129" t="str">
        <f ca="1">IFERROR(VLOOKUP(X89,Num_AS,21,FALSE),"")</f>
        <v/>
      </c>
      <c r="N110" s="1130"/>
      <c r="O110" s="1131">
        <f ca="1">G91</f>
        <v>3</v>
      </c>
      <c r="P110" s="842"/>
      <c r="Q110" s="219"/>
      <c r="R110" s="219"/>
      <c r="S110" s="584"/>
      <c r="T110" s="584"/>
      <c r="U110" s="584"/>
      <c r="V110" s="584"/>
      <c r="W110" s="196"/>
      <c r="X110" s="1140" t="str">
        <f ca="1">IFERROR(VLOOKUP(Z89,Num_AS,18,FALSE)&amp;" "&amp;VLOOKUP(Z89,Num_AS,19,FALSE),"")</f>
        <v/>
      </c>
      <c r="Y110" s="1140"/>
      <c r="Z110" s="1140"/>
      <c r="AA110" s="1140"/>
      <c r="AB110" s="1140"/>
      <c r="AC110" s="1129" t="str">
        <f ca="1">IFERROR(VLOOKUP(Z89,Num_AS,21,FALSE),"")</f>
        <v/>
      </c>
      <c r="AD110" s="1130"/>
      <c r="AE110" s="1131">
        <f>W91</f>
        <v>0</v>
      </c>
    </row>
    <row r="111" spans="1:38" ht="32.25" customHeight="1" x14ac:dyDescent="0.2">
      <c r="A111" s="584"/>
      <c r="B111" s="584"/>
      <c r="C111" s="862"/>
      <c r="D111" s="1141" t="s">
        <v>1292</v>
      </c>
      <c r="E111" s="1142"/>
      <c r="F111" s="1143"/>
      <c r="G111" s="584"/>
      <c r="H111" s="1140" t="str">
        <f ca="1">IFERROR(VLOOKUP(X89,Num_AS,24,FALSE)&amp;" "&amp;VLOOKUP(X89,Num_AS,25,FALSE),"")</f>
        <v/>
      </c>
      <c r="I111" s="1140"/>
      <c r="J111" s="1140"/>
      <c r="K111" s="1140"/>
      <c r="L111" s="1140"/>
      <c r="M111" s="1129" t="str">
        <f ca="1">IFERROR(VLOOKUP(X89,Num_AS,9,FALSE),"")</f>
        <v/>
      </c>
      <c r="N111" s="1130"/>
      <c r="O111" s="1131">
        <f ca="1">G91</f>
        <v>3</v>
      </c>
      <c r="P111" s="842"/>
      <c r="Q111" s="219"/>
      <c r="R111" s="219"/>
      <c r="S111" s="862"/>
      <c r="T111" s="1141" t="s">
        <v>1292</v>
      </c>
      <c r="U111" s="1142"/>
      <c r="V111" s="1143"/>
      <c r="W111" s="196"/>
      <c r="X111" s="1140" t="str">
        <f ca="1">IFERROR(VLOOKUP(Z89,Num_AS,24,FALSE)&amp;" "&amp;VLOOKUP(Z89,Num_AS,25,FALSE),"")</f>
        <v/>
      </c>
      <c r="Y111" s="1140"/>
      <c r="Z111" s="1140"/>
      <c r="AA111" s="1140"/>
      <c r="AB111" s="1140"/>
      <c r="AC111" s="1129" t="str">
        <f ca="1">IFERROR(VLOOKUP(Z89,Num_AS,9,FALSE),"")</f>
        <v/>
      </c>
      <c r="AD111" s="1130"/>
      <c r="AE111" s="1131">
        <f>W91</f>
        <v>0</v>
      </c>
    </row>
    <row r="112" spans="1:38" ht="18.75" customHeight="1" thickBot="1" x14ac:dyDescent="0.25">
      <c r="A112" s="701"/>
      <c r="B112" s="701"/>
      <c r="C112" s="249"/>
      <c r="D112" s="249"/>
      <c r="E112" s="249"/>
      <c r="F112" s="701"/>
      <c r="G112" s="701"/>
      <c r="H112" s="196"/>
      <c r="I112" s="196"/>
      <c r="J112" s="249"/>
      <c r="K112" s="219"/>
      <c r="L112" s="219"/>
      <c r="M112" s="219"/>
      <c r="N112" s="219"/>
      <c r="O112" s="219"/>
      <c r="P112" s="219"/>
      <c r="Q112" s="219"/>
      <c r="R112" s="219"/>
      <c r="S112" s="219"/>
      <c r="T112" s="219"/>
      <c r="U112" s="219"/>
      <c r="V112" s="219"/>
      <c r="W112" s="219"/>
      <c r="X112" s="219"/>
      <c r="Y112" s="249"/>
      <c r="Z112" s="219"/>
      <c r="AE112" s="520"/>
    </row>
    <row r="113" spans="1:44" ht="32.25" customHeight="1" x14ac:dyDescent="0.25">
      <c r="A113" s="701"/>
      <c r="B113" s="701"/>
      <c r="D113" s="875" t="s">
        <v>1002</v>
      </c>
      <c r="E113" s="876"/>
      <c r="F113" s="876"/>
      <c r="G113" s="876"/>
      <c r="H113" s="876"/>
      <c r="I113" s="876"/>
      <c r="J113" s="876"/>
      <c r="K113" s="876"/>
      <c r="L113" s="876"/>
      <c r="M113" s="877" t="s">
        <v>1297</v>
      </c>
      <c r="N113" s="219"/>
      <c r="O113" s="1132" t="s">
        <v>1293</v>
      </c>
      <c r="P113" s="1133"/>
      <c r="Q113" s="1134"/>
      <c r="R113" s="941"/>
      <c r="T113" s="875" t="s">
        <v>1002</v>
      </c>
      <c r="U113" s="876"/>
      <c r="V113" s="876"/>
      <c r="W113" s="876"/>
      <c r="X113" s="876"/>
      <c r="Y113" s="876"/>
      <c r="Z113" s="876"/>
      <c r="AA113" s="876"/>
      <c r="AB113" s="876"/>
      <c r="AC113" s="877" t="s">
        <v>1296</v>
      </c>
      <c r="AE113" s="520"/>
    </row>
    <row r="114" spans="1:44" ht="70.5" customHeight="1" thickBot="1" x14ac:dyDescent="0.25">
      <c r="A114" s="701"/>
      <c r="B114" s="701"/>
      <c r="D114" s="878"/>
      <c r="E114" s="879"/>
      <c r="F114" s="879"/>
      <c r="G114" s="879"/>
      <c r="H114" s="879"/>
      <c r="I114" s="879"/>
      <c r="J114" s="879"/>
      <c r="K114" s="879"/>
      <c r="L114" s="879"/>
      <c r="M114" s="880"/>
      <c r="N114" s="219"/>
      <c r="O114" s="1135"/>
      <c r="P114" s="1136"/>
      <c r="Q114" s="1137"/>
      <c r="R114" s="941"/>
      <c r="T114" s="878"/>
      <c r="U114" s="879"/>
      <c r="V114" s="879"/>
      <c r="W114" s="879"/>
      <c r="X114" s="879"/>
      <c r="Y114" s="879"/>
      <c r="Z114" s="879"/>
      <c r="AA114" s="879"/>
      <c r="AB114" s="879"/>
      <c r="AC114" s="880"/>
      <c r="AE114" s="520"/>
    </row>
    <row r="115" spans="1:44" ht="6.75" customHeight="1" x14ac:dyDescent="0.25">
      <c r="A115" s="701"/>
      <c r="B115" s="701"/>
      <c r="C115" s="249"/>
      <c r="D115" s="249"/>
      <c r="E115" s="249"/>
      <c r="F115" s="701"/>
      <c r="G115" s="701"/>
      <c r="H115" s="196"/>
      <c r="I115" s="196"/>
      <c r="J115" s="249"/>
      <c r="K115" s="219"/>
      <c r="L115" s="842"/>
      <c r="M115" s="842"/>
      <c r="N115" s="842"/>
      <c r="O115" s="842"/>
      <c r="P115" s="842"/>
      <c r="Q115" s="842"/>
      <c r="R115" s="842"/>
      <c r="T115" s="845"/>
      <c r="U115" s="842"/>
      <c r="V115" s="842"/>
      <c r="W115" s="649"/>
      <c r="X115" s="845"/>
      <c r="Y115" s="842"/>
      <c r="Z115" s="842"/>
      <c r="AE115" s="520"/>
    </row>
    <row r="116" spans="1:44" ht="27.75" customHeight="1" x14ac:dyDescent="0.2">
      <c r="A116" s="701"/>
      <c r="B116" s="701"/>
      <c r="C116" s="1138" t="s">
        <v>1300</v>
      </c>
      <c r="D116" s="1138"/>
      <c r="E116" s="1138"/>
      <c r="F116" s="1138"/>
      <c r="G116" s="1138"/>
      <c r="H116" s="1138"/>
      <c r="I116" s="1138"/>
      <c r="J116" s="1138"/>
      <c r="K116" s="1138"/>
      <c r="L116" s="1138"/>
      <c r="M116" s="1138"/>
      <c r="N116" s="1138"/>
      <c r="O116" s="1138"/>
      <c r="P116" s="842"/>
      <c r="Q116" s="1139" t="s">
        <v>1303</v>
      </c>
      <c r="R116" s="1139"/>
      <c r="S116" s="1139"/>
      <c r="T116" s="1139"/>
      <c r="U116" s="1139"/>
      <c r="V116" s="1139"/>
      <c r="W116" s="1139"/>
      <c r="X116" s="1139"/>
      <c r="Y116" s="1139"/>
      <c r="Z116" s="1139"/>
      <c r="AA116" s="1139"/>
      <c r="AB116" s="1139"/>
      <c r="AC116" s="1139"/>
      <c r="AD116" s="1139"/>
      <c r="AE116" s="1139"/>
    </row>
    <row r="117" spans="1:44" ht="36" customHeight="1" x14ac:dyDescent="0.2">
      <c r="AE117" s="520"/>
    </row>
    <row r="118" spans="1:44" ht="19.5" customHeight="1" thickBot="1" x14ac:dyDescent="0.25">
      <c r="W118" s="500"/>
      <c r="X118" s="520" t="str">
        <f ca="1">INDIRECT("AE"&amp;Y118)</f>
        <v>C5-Coll5Ville5</v>
      </c>
      <c r="Y118" s="500">
        <f>Z119+2</f>
        <v>6</v>
      </c>
      <c r="Z118" s="501" t="str">
        <f ca="1">INDIRECT("AF"&amp;Y118)</f>
        <v>C4-Coll4Ville4</v>
      </c>
      <c r="AA118" s="500"/>
      <c r="AB118" s="500"/>
      <c r="AD118" s="679"/>
      <c r="AE118" s="679"/>
      <c r="AF118" s="679"/>
      <c r="AG118" s="679"/>
      <c r="AH118" s="679"/>
      <c r="AI118" s="679"/>
      <c r="AJ118" s="679"/>
      <c r="AK118" s="679"/>
      <c r="AL118" s="679"/>
    </row>
    <row r="119" spans="1:44" s="218" customFormat="1" ht="36" thickBot="1" x14ac:dyDescent="0.25">
      <c r="F119" s="576" t="s">
        <v>546</v>
      </c>
      <c r="G119" s="865" t="str">
        <f>G90</f>
        <v>D1</v>
      </c>
      <c r="I119" s="863" t="str">
        <f>"   "&amp;Championnat</f>
        <v xml:space="preserve">   Championnat de France de Tir à l'ARC</v>
      </c>
      <c r="T119" s="197"/>
      <c r="U119" s="197"/>
      <c r="V119" s="197"/>
      <c r="W119" s="197"/>
      <c r="Y119" s="502" t="s">
        <v>849</v>
      </c>
      <c r="Z119" s="503">
        <f>Z90+1</f>
        <v>4</v>
      </c>
      <c r="AB119" s="254"/>
      <c r="AC119" s="254"/>
      <c r="AD119" s="681"/>
      <c r="AE119" s="680"/>
      <c r="AF119" s="681"/>
      <c r="AH119" s="662"/>
      <c r="AI119" s="662"/>
      <c r="AJ119" s="662"/>
      <c r="AK119" s="662"/>
      <c r="AL119" s="662"/>
      <c r="AM119" s="217"/>
      <c r="AN119" s="217"/>
      <c r="AO119" s="217"/>
      <c r="AP119" s="217"/>
      <c r="AQ119" s="217"/>
      <c r="AR119" s="217"/>
    </row>
    <row r="120" spans="1:44" ht="36" thickBot="1" x14ac:dyDescent="0.25">
      <c r="F120" s="661" t="s">
        <v>628</v>
      </c>
      <c r="G120" s="660">
        <f ca="1">INDIRECT("AD"&amp;Y118)</f>
        <v>4</v>
      </c>
      <c r="I120" s="706" t="str">
        <f>CATEG_IMPORTEE</f>
        <v>Collèges Mixtes Etablissement</v>
      </c>
      <c r="S120" s="864" t="str">
        <f>LIEU&amp;" du "&amp;DATE</f>
        <v>L’Isle sur la Sorgue du 27 au 31 mars 2023</v>
      </c>
      <c r="AB120" s="254"/>
      <c r="AC120" s="254"/>
      <c r="AD120" s="681"/>
      <c r="AE120" s="680"/>
      <c r="AF120" s="681"/>
      <c r="AG120" s="679"/>
      <c r="AH120" s="679"/>
      <c r="AI120" s="679"/>
      <c r="AJ120" s="679"/>
      <c r="AK120" s="679"/>
      <c r="AL120" s="679"/>
    </row>
    <row r="121" spans="1:44" ht="24" customHeight="1" x14ac:dyDescent="0.2">
      <c r="A121" s="1075" t="s">
        <v>0</v>
      </c>
      <c r="B121" s="1075"/>
      <c r="C121" s="1075"/>
      <c r="D121" s="1075"/>
      <c r="E121" s="1075"/>
      <c r="F121" s="1075"/>
      <c r="G121" s="1075"/>
      <c r="H121" s="1075"/>
      <c r="I121" s="1075"/>
      <c r="J121" s="1075"/>
      <c r="Q121" s="1075" t="s">
        <v>0</v>
      </c>
      <c r="R121" s="1075"/>
      <c r="S121" s="1075"/>
      <c r="T121" s="1075"/>
      <c r="U121" s="1075"/>
      <c r="V121" s="1075"/>
      <c r="W121" s="1075"/>
      <c r="X121" s="1075"/>
      <c r="Y121" s="1075"/>
      <c r="Z121" s="1075"/>
      <c r="AB121" s="254"/>
      <c r="AC121" s="254"/>
      <c r="AD121" s="681"/>
      <c r="AE121" s="680"/>
      <c r="AF121" s="681"/>
      <c r="AG121" s="679"/>
      <c r="AH121" s="679"/>
      <c r="AI121" s="679"/>
      <c r="AJ121" s="679"/>
      <c r="AK121" s="679"/>
      <c r="AL121" s="679"/>
    </row>
    <row r="122" spans="1:44" ht="31.5" customHeight="1" x14ac:dyDescent="0.2">
      <c r="A122" s="1144" t="str">
        <f ca="1">IFERROR(VLOOKUP(X118,Num_AS,2,FALSE),"")</f>
        <v/>
      </c>
      <c r="B122" s="1144"/>
      <c r="C122" s="1144"/>
      <c r="D122" s="1144"/>
      <c r="E122" s="1144"/>
      <c r="F122" s="1144"/>
      <c r="G122" s="1144"/>
      <c r="H122" s="1144"/>
      <c r="I122" s="1144"/>
      <c r="J122" s="1144"/>
      <c r="K122" s="869" t="s">
        <v>1299</v>
      </c>
      <c r="L122" s="1145" t="s">
        <v>547</v>
      </c>
      <c r="M122" s="1145"/>
      <c r="N122" s="1145"/>
      <c r="O122" s="870" t="s">
        <v>1298</v>
      </c>
      <c r="Q122" s="1144" t="str">
        <f ca="1">IFERROR(VLOOKUP(Z118,Num_AS,2,FALSE),"")</f>
        <v/>
      </c>
      <c r="R122" s="1144"/>
      <c r="S122" s="1144"/>
      <c r="T122" s="1144"/>
      <c r="U122" s="1144"/>
      <c r="V122" s="1144"/>
      <c r="W122" s="1144"/>
      <c r="X122" s="1144"/>
      <c r="Y122" s="1144"/>
      <c r="Z122" s="1144"/>
      <c r="AB122" s="254"/>
      <c r="AC122" s="254"/>
      <c r="AD122" s="681"/>
      <c r="AE122" s="680"/>
      <c r="AF122" s="681"/>
      <c r="AG122" s="679"/>
      <c r="AH122" s="679"/>
      <c r="AI122" s="679"/>
      <c r="AJ122" s="679"/>
      <c r="AK122" s="679"/>
      <c r="AL122" s="679"/>
    </row>
    <row r="123" spans="1:44" ht="20.100000000000001" customHeight="1" thickBot="1" x14ac:dyDescent="0.25">
      <c r="A123" s="1124" t="s">
        <v>1006</v>
      </c>
      <c r="B123" s="1124"/>
      <c r="C123" s="1125"/>
      <c r="D123" s="1125"/>
      <c r="E123" s="1125"/>
      <c r="F123" s="1125"/>
      <c r="G123" s="1125"/>
      <c r="H123" s="1125"/>
      <c r="I123" s="1125"/>
      <c r="J123" s="1125"/>
      <c r="L123" s="871"/>
      <c r="M123" s="871"/>
      <c r="N123" s="871"/>
      <c r="Q123" s="1124" t="s">
        <v>1005</v>
      </c>
      <c r="R123" s="1124"/>
      <c r="S123" s="1125"/>
      <c r="T123" s="1125"/>
      <c r="U123" s="1125"/>
      <c r="V123" s="1125"/>
      <c r="W123" s="1125"/>
      <c r="X123" s="1125"/>
      <c r="Y123" s="1125"/>
      <c r="Z123" s="1125"/>
      <c r="AB123" s="254"/>
      <c r="AC123" s="254"/>
      <c r="AD123" s="681"/>
      <c r="AE123" s="680"/>
      <c r="AF123" s="681"/>
      <c r="AG123" s="679"/>
      <c r="AH123" s="679"/>
      <c r="AI123" s="679"/>
      <c r="AJ123" s="679"/>
      <c r="AK123" s="679"/>
      <c r="AL123" s="679"/>
    </row>
    <row r="124" spans="1:44" ht="27.75" customHeight="1" x14ac:dyDescent="0.2">
      <c r="A124" s="1117" t="str">
        <f ca="1">IFERROR(VLOOKUP(X118,Num_AS,3,FALSE),"")</f>
        <v/>
      </c>
      <c r="B124" s="1150"/>
      <c r="C124" s="1118"/>
      <c r="D124" s="1151"/>
      <c r="E124" s="1151"/>
      <c r="F124" s="1151"/>
      <c r="G124" s="1151"/>
      <c r="H124" s="1151"/>
      <c r="I124" s="1151"/>
      <c r="J124" s="1119"/>
      <c r="O124" s="219"/>
      <c r="P124" s="219"/>
      <c r="Q124" s="1117" t="str">
        <f ca="1">IFERROR(VLOOKUP(Z118,Num_AS,3,FALSE),"")</f>
        <v/>
      </c>
      <c r="R124" s="1150"/>
      <c r="S124" s="1118"/>
      <c r="T124" s="1151"/>
      <c r="U124" s="1151"/>
      <c r="V124" s="1151"/>
      <c r="W124" s="1151"/>
      <c r="X124" s="1151"/>
      <c r="Y124" s="1151"/>
      <c r="Z124" s="1119"/>
      <c r="AB124" s="254"/>
      <c r="AC124" s="254"/>
      <c r="AD124" s="681"/>
      <c r="AE124" s="680"/>
      <c r="AF124" s="681"/>
      <c r="AG124" s="679"/>
      <c r="AH124" s="679"/>
      <c r="AI124" s="679"/>
      <c r="AJ124" s="679"/>
      <c r="AK124" s="679"/>
      <c r="AL124" s="679"/>
    </row>
    <row r="125" spans="1:44" ht="27.75" customHeight="1" thickBot="1" x14ac:dyDescent="0.25">
      <c r="A125" s="1107" t="str">
        <f ca="1">IFERROR(VLOOKUP(X118,Num_AS,4,FALSE),"")</f>
        <v/>
      </c>
      <c r="B125" s="1152"/>
      <c r="C125" s="1108"/>
      <c r="D125" s="1153"/>
      <c r="E125" s="1153"/>
      <c r="F125" s="1153"/>
      <c r="G125" s="1153"/>
      <c r="H125" s="1153"/>
      <c r="I125" s="1153"/>
      <c r="J125" s="1109"/>
      <c r="Q125" s="1107" t="str">
        <f ca="1">IFERROR(VLOOKUP(Z118,Num_AS,4,FALSE),"")</f>
        <v/>
      </c>
      <c r="R125" s="1152"/>
      <c r="S125" s="1108"/>
      <c r="T125" s="1153"/>
      <c r="U125" s="1153"/>
      <c r="V125" s="1153"/>
      <c r="W125" s="1153"/>
      <c r="X125" s="1153"/>
      <c r="Y125" s="1153"/>
      <c r="Z125" s="1109"/>
      <c r="AB125" s="254"/>
      <c r="AC125" s="254"/>
      <c r="AD125" s="681"/>
      <c r="AE125" s="680"/>
      <c r="AF125" s="681"/>
      <c r="AG125" s="679"/>
      <c r="AH125" s="679"/>
      <c r="AI125" s="679"/>
      <c r="AJ125" s="679"/>
      <c r="AK125" s="679"/>
      <c r="AL125" s="679"/>
    </row>
    <row r="126" spans="1:44" ht="36" customHeight="1" thickBot="1" x14ac:dyDescent="0.25">
      <c r="A126" s="1156" t="s">
        <v>1330</v>
      </c>
      <c r="B126" s="1157"/>
      <c r="C126" s="1157"/>
      <c r="D126" s="1158"/>
      <c r="E126" s="947">
        <f ca="1">VLOOKUP(A122&amp;A124,PTS_SP,3,FALSE)</f>
        <v>0</v>
      </c>
      <c r="Q126" s="1156" t="s">
        <v>1330</v>
      </c>
      <c r="R126" s="1157"/>
      <c r="S126" s="1157"/>
      <c r="T126" s="1158"/>
      <c r="U126" s="947">
        <f ca="1">VLOOKUP(Q122&amp;Q124,PTS_SP,3,FALSE)</f>
        <v>0</v>
      </c>
      <c r="AB126" s="254"/>
      <c r="AC126" s="254"/>
      <c r="AD126" s="681"/>
      <c r="AE126" s="680"/>
      <c r="AF126" s="681"/>
      <c r="AG126" s="679"/>
      <c r="AH126" s="679"/>
      <c r="AI126" s="679"/>
      <c r="AJ126" s="679"/>
      <c r="AK126" s="679"/>
      <c r="AL126" s="679"/>
    </row>
    <row r="127" spans="1:44" ht="38.25" customHeight="1" x14ac:dyDescent="0.2">
      <c r="A127" s="701"/>
      <c r="B127" s="701"/>
      <c r="C127" s="853"/>
      <c r="D127" s="861" t="s">
        <v>1290</v>
      </c>
      <c r="E127" s="853"/>
      <c r="F127" s="854"/>
      <c r="G127" s="854"/>
      <c r="H127" s="872" t="s">
        <v>1295</v>
      </c>
      <c r="I127" s="855"/>
      <c r="J127" s="853"/>
      <c r="K127" s="853"/>
      <c r="L127" s="853"/>
      <c r="M127" s="859"/>
      <c r="N127" s="860" t="s">
        <v>1291</v>
      </c>
      <c r="O127" s="853"/>
      <c r="P127" s="249"/>
      <c r="Q127" s="701"/>
      <c r="R127" s="701"/>
      <c r="S127" s="853"/>
      <c r="T127" s="861" t="s">
        <v>1290</v>
      </c>
      <c r="U127" s="853"/>
      <c r="V127" s="854"/>
      <c r="W127" s="854"/>
      <c r="X127" s="872" t="s">
        <v>1302</v>
      </c>
      <c r="Y127" s="855"/>
      <c r="Z127" s="853"/>
      <c r="AA127" s="853"/>
      <c r="AB127" s="853"/>
      <c r="AC127" s="859"/>
      <c r="AD127" s="860" t="s">
        <v>1291</v>
      </c>
      <c r="AE127" s="853"/>
      <c r="AF127" s="681"/>
      <c r="AG127" s="681"/>
      <c r="AH127" s="681"/>
      <c r="AI127" s="681"/>
      <c r="AJ127" s="679"/>
      <c r="AK127" s="679"/>
      <c r="AL127" s="679"/>
    </row>
    <row r="128" spans="1:44" ht="38.25" customHeight="1" x14ac:dyDescent="0.2">
      <c r="A128" s="856" t="s">
        <v>509</v>
      </c>
      <c r="B128" s="942" t="s">
        <v>1329</v>
      </c>
      <c r="C128" s="857">
        <v>1</v>
      </c>
      <c r="D128" s="857">
        <v>2</v>
      </c>
      <c r="E128" s="857">
        <v>3</v>
      </c>
      <c r="F128" s="857">
        <v>4</v>
      </c>
      <c r="G128" s="857">
        <v>5</v>
      </c>
      <c r="H128" s="857">
        <v>6</v>
      </c>
      <c r="I128" s="857">
        <v>7</v>
      </c>
      <c r="J128" s="857">
        <v>8</v>
      </c>
      <c r="K128" s="858" t="s">
        <v>1286</v>
      </c>
      <c r="L128" s="1154" t="s">
        <v>1287</v>
      </c>
      <c r="M128" s="1154"/>
      <c r="N128" s="1154"/>
      <c r="O128" s="858" t="s">
        <v>1288</v>
      </c>
      <c r="P128" s="844"/>
      <c r="Q128" s="856" t="s">
        <v>509</v>
      </c>
      <c r="R128" s="942" t="s">
        <v>1329</v>
      </c>
      <c r="S128" s="857">
        <v>1</v>
      </c>
      <c r="T128" s="857">
        <v>2</v>
      </c>
      <c r="U128" s="857">
        <v>3</v>
      </c>
      <c r="V128" s="857">
        <v>4</v>
      </c>
      <c r="W128" s="857">
        <v>5</v>
      </c>
      <c r="X128" s="857">
        <v>6</v>
      </c>
      <c r="Y128" s="857">
        <v>7</v>
      </c>
      <c r="Z128" s="857">
        <v>8</v>
      </c>
      <c r="AA128" s="858" t="s">
        <v>1286</v>
      </c>
      <c r="AB128" s="1154" t="s">
        <v>1287</v>
      </c>
      <c r="AC128" s="1154"/>
      <c r="AD128" s="1154"/>
      <c r="AE128" s="858" t="s">
        <v>1288</v>
      </c>
      <c r="AF128" s="681"/>
      <c r="AG128" s="681"/>
      <c r="AH128" s="681"/>
      <c r="AI128" s="681"/>
      <c r="AJ128" s="679"/>
      <c r="AK128" s="679"/>
      <c r="AL128" s="679"/>
    </row>
    <row r="129" spans="1:38" ht="30" customHeight="1" x14ac:dyDescent="0.25">
      <c r="A129" s="846" t="s">
        <v>1282</v>
      </c>
      <c r="B129" s="948">
        <f ca="1">E126</f>
        <v>0</v>
      </c>
      <c r="C129" s="843"/>
      <c r="D129" s="843"/>
      <c r="E129" s="843"/>
      <c r="F129" s="843"/>
      <c r="G129" s="847"/>
      <c r="H129" s="848"/>
      <c r="I129" s="846"/>
      <c r="J129" s="843"/>
      <c r="K129" s="843"/>
      <c r="L129" s="849">
        <f ca="1">IF(Q122="Matchs de CLASSEMENT","X",2)</f>
        <v>2</v>
      </c>
      <c r="M129" s="849">
        <f ca="1">IF(Q122="Matchs de CLASSEMENT","X",1)</f>
        <v>1</v>
      </c>
      <c r="N129" s="849">
        <f ca="1">IF(Q122="Matchs de CLASSEMENT","X",0)</f>
        <v>0</v>
      </c>
      <c r="O129" s="849" t="str">
        <f ca="1">IF(Q122="Matchs de CLASSEMENT","X","")</f>
        <v/>
      </c>
      <c r="P129" s="842"/>
      <c r="Q129" s="849" t="str">
        <f ca="1">IF(Q122="Matchs de CLASSEMENT","X","V1")</f>
        <v>V1</v>
      </c>
      <c r="R129" s="948">
        <f ca="1">U126</f>
        <v>0</v>
      </c>
      <c r="S129" s="849" t="str">
        <f ca="1">IF(Q122="Matchs de CLASSEMENT","X","")</f>
        <v/>
      </c>
      <c r="T129" s="849" t="str">
        <f ca="1">IF(Q122="Matchs de CLASSEMENT","X","")</f>
        <v/>
      </c>
      <c r="U129" s="849" t="str">
        <f ca="1">IF(Q122="Matchs de CLASSEMENT","X","")</f>
        <v/>
      </c>
      <c r="V129" s="849" t="str">
        <f ca="1">IF(Q122="Matchs de CLASSEMENT","X","")</f>
        <v/>
      </c>
      <c r="W129" s="849" t="str">
        <f ca="1">IF(Q122="Matchs de CLASSEMENT","X","")</f>
        <v/>
      </c>
      <c r="X129" s="849" t="str">
        <f ca="1">IF(Q122="Matchs de CLASSEMENT","X","")</f>
        <v/>
      </c>
      <c r="Y129" s="849" t="str">
        <f ca="1">IF(Q122="Matchs de CLASSEMENT","X","")</f>
        <v/>
      </c>
      <c r="Z129" s="849" t="str">
        <f ca="1">IF(Q122="Matchs de CLASSEMENT","X","")</f>
        <v/>
      </c>
      <c r="AA129" s="849" t="str">
        <f ca="1">IF(Q122="Matchs de CLASSEMENT","X","")</f>
        <v/>
      </c>
      <c r="AB129" s="849">
        <f ca="1">IF(Q122="Matchs de CLASSEMENT","X",2)</f>
        <v>2</v>
      </c>
      <c r="AC129" s="849">
        <f ca="1">IF(Q122="Matchs de CLASSEMENT","X",1)</f>
        <v>1</v>
      </c>
      <c r="AD129" s="849">
        <f ca="1">IF(Q122="Matchs de CLASSEMENT","X",0)</f>
        <v>0</v>
      </c>
      <c r="AE129" s="849" t="str">
        <f ca="1">IF(Q122="Matchs de CLASSEMENT","X","")</f>
        <v/>
      </c>
      <c r="AF129" s="679"/>
      <c r="AG129" s="679"/>
      <c r="AH129" s="679"/>
      <c r="AI129" s="679"/>
      <c r="AJ129" s="679"/>
      <c r="AK129" s="679"/>
      <c r="AL129" s="679"/>
    </row>
    <row r="130" spans="1:38" ht="30" customHeight="1" x14ac:dyDescent="0.25">
      <c r="A130" s="846" t="s">
        <v>1283</v>
      </c>
      <c r="B130" s="948">
        <f ca="1">B129</f>
        <v>0</v>
      </c>
      <c r="C130" s="843"/>
      <c r="D130" s="843"/>
      <c r="E130" s="843"/>
      <c r="F130" s="843"/>
      <c r="G130" s="847"/>
      <c r="H130" s="848"/>
      <c r="I130" s="846"/>
      <c r="J130" s="843"/>
      <c r="K130" s="843"/>
      <c r="L130" s="849">
        <f ca="1">IF(Q122="Matchs de CLASSEMENT","X",2)</f>
        <v>2</v>
      </c>
      <c r="M130" s="849">
        <f ca="1">IF(Q122="Matchs de CLASSEMENT","X",1)</f>
        <v>1</v>
      </c>
      <c r="N130" s="849">
        <f ca="1">IF(Q122="Matchs de CLASSEMENT","X",0)</f>
        <v>0</v>
      </c>
      <c r="O130" s="849" t="str">
        <f ca="1">IF(Q122="Matchs de CLASSEMENT","X","")</f>
        <v/>
      </c>
      <c r="P130" s="842"/>
      <c r="Q130" s="849" t="str">
        <f ca="1">IF(Q122="Matchs de CLASSEMENT","X","V2")</f>
        <v>V2</v>
      </c>
      <c r="R130" s="948">
        <f ca="1">R129</f>
        <v>0</v>
      </c>
      <c r="S130" s="849" t="str">
        <f ca="1">IF(Q122="Matchs de CLASSEMENT","X","")</f>
        <v/>
      </c>
      <c r="T130" s="849" t="str">
        <f ca="1">IF(Q122="Matchs de CLASSEMENT","X","")</f>
        <v/>
      </c>
      <c r="U130" s="849" t="str">
        <f ca="1">IF(Q122="Matchs de CLASSEMENT","X","")</f>
        <v/>
      </c>
      <c r="V130" s="849" t="str">
        <f ca="1">IF(Q122="Matchs de CLASSEMENT","X","")</f>
        <v/>
      </c>
      <c r="W130" s="849" t="str">
        <f ca="1">IF(Q122="Matchs de CLASSEMENT","X","")</f>
        <v/>
      </c>
      <c r="X130" s="849" t="str">
        <f ca="1">IF(Q122="Matchs de CLASSEMENT","X","")</f>
        <v/>
      </c>
      <c r="Y130" s="849" t="str">
        <f ca="1">IF(Q122="Matchs de CLASSEMENT","X","")</f>
        <v/>
      </c>
      <c r="Z130" s="849" t="str">
        <f ca="1">IF(Q122="Matchs de CLASSEMENT","X","")</f>
        <v/>
      </c>
      <c r="AA130" s="849" t="str">
        <f ca="1">IF(Q122="Matchs de CLASSEMENT","X","")</f>
        <v/>
      </c>
      <c r="AB130" s="849">
        <f ca="1">IF(Q122="Matchs de CLASSEMENT","X",2)</f>
        <v>2</v>
      </c>
      <c r="AC130" s="849">
        <f ca="1">IF(Q122="Matchs de CLASSEMENT","X",1)</f>
        <v>1</v>
      </c>
      <c r="AD130" s="849">
        <f ca="1">IF(Q122="Matchs de CLASSEMENT","X",0)</f>
        <v>0</v>
      </c>
      <c r="AE130" s="849" t="str">
        <f ca="1">IF(Q122="Matchs de CLASSEMENT","X","")</f>
        <v/>
      </c>
      <c r="AF130" s="679"/>
      <c r="AG130" s="679"/>
      <c r="AH130" s="679"/>
      <c r="AI130" s="679"/>
      <c r="AJ130" s="679"/>
      <c r="AK130" s="679"/>
      <c r="AL130" s="679"/>
    </row>
    <row r="131" spans="1:38" ht="30" customHeight="1" x14ac:dyDescent="0.25">
      <c r="A131" s="846" t="s">
        <v>1284</v>
      </c>
      <c r="B131" s="948">
        <f t="shared" ref="B131:B132" ca="1" si="7">B130</f>
        <v>0</v>
      </c>
      <c r="C131" s="843"/>
      <c r="D131" s="843"/>
      <c r="E131" s="843"/>
      <c r="F131" s="843"/>
      <c r="G131" s="847"/>
      <c r="H131" s="848"/>
      <c r="I131" s="846"/>
      <c r="J131" s="843"/>
      <c r="K131" s="843"/>
      <c r="L131" s="849">
        <f ca="1">IF(Q122="Matchs de CLASSEMENT","X",2)</f>
        <v>2</v>
      </c>
      <c r="M131" s="849">
        <f ca="1">IF(Q122="Matchs de CLASSEMENT","X",1)</f>
        <v>1</v>
      </c>
      <c r="N131" s="849">
        <f ca="1">IF(Q122="Matchs de CLASSEMENT","X",0)</f>
        <v>0</v>
      </c>
      <c r="O131" s="849" t="str">
        <f ca="1">IF(Q122="Matchs de CLASSEMENT","X","")</f>
        <v/>
      </c>
      <c r="P131" s="842"/>
      <c r="Q131" s="849" t="str">
        <f ca="1">IF(Q122="Matchs de CLASSEMENT","X","V3")</f>
        <v>V3</v>
      </c>
      <c r="R131" s="948">
        <f t="shared" ref="R131:R132" ca="1" si="8">R130</f>
        <v>0</v>
      </c>
      <c r="S131" s="849" t="str">
        <f ca="1">IF(Q122="Matchs de CLASSEMENT","X","")</f>
        <v/>
      </c>
      <c r="T131" s="849" t="str">
        <f ca="1">IF(Q122="Matchs de CLASSEMENT","X","")</f>
        <v/>
      </c>
      <c r="U131" s="849" t="str">
        <f ca="1">IF(Q122="Matchs de CLASSEMENT","X","")</f>
        <v/>
      </c>
      <c r="V131" s="849" t="str">
        <f ca="1">IF(Q122="Matchs de CLASSEMENT","X","")</f>
        <v/>
      </c>
      <c r="W131" s="849" t="str">
        <f ca="1">IF(Q122="Matchs de CLASSEMENT","X","")</f>
        <v/>
      </c>
      <c r="X131" s="849" t="str">
        <f ca="1">IF(Q122="Matchs de CLASSEMENT","X","")</f>
        <v/>
      </c>
      <c r="Y131" s="849" t="str">
        <f ca="1">IF(Q122="Matchs de CLASSEMENT","X","")</f>
        <v/>
      </c>
      <c r="Z131" s="849" t="str">
        <f ca="1">IF(Q122="Matchs de CLASSEMENT","X","")</f>
        <v/>
      </c>
      <c r="AA131" s="849" t="str">
        <f ca="1">IF(Q122="Matchs de CLASSEMENT","X","")</f>
        <v/>
      </c>
      <c r="AB131" s="849">
        <f ca="1">IF(Q122="Matchs de CLASSEMENT","X",2)</f>
        <v>2</v>
      </c>
      <c r="AC131" s="849">
        <f ca="1">IF(Q122="Matchs de CLASSEMENT","X",1)</f>
        <v>1</v>
      </c>
      <c r="AD131" s="849">
        <f ca="1">IF(Q122="Matchs de CLASSEMENT","X",0)</f>
        <v>0</v>
      </c>
      <c r="AE131" s="849" t="str">
        <f ca="1">IF(Q122="Matchs de CLASSEMENT","X","")</f>
        <v/>
      </c>
      <c r="AF131" s="679"/>
      <c r="AG131" s="679"/>
      <c r="AH131" s="679"/>
      <c r="AI131" s="679"/>
      <c r="AJ131" s="679"/>
      <c r="AK131" s="679"/>
      <c r="AL131" s="679"/>
    </row>
    <row r="132" spans="1:38" ht="30" customHeight="1" x14ac:dyDescent="0.25">
      <c r="A132" s="846" t="s">
        <v>1285</v>
      </c>
      <c r="B132" s="948">
        <f t="shared" ca="1" si="7"/>
        <v>0</v>
      </c>
      <c r="C132" s="843"/>
      <c r="D132" s="843"/>
      <c r="E132" s="843"/>
      <c r="F132" s="843"/>
      <c r="G132" s="847"/>
      <c r="H132" s="848"/>
      <c r="I132" s="846"/>
      <c r="J132" s="843"/>
      <c r="K132" s="843"/>
      <c r="L132" s="849">
        <f ca="1">IF(Q122="Matchs de CLASSEMENT","X",2)</f>
        <v>2</v>
      </c>
      <c r="M132" s="849">
        <f ca="1">IF(Q122="Matchs de CLASSEMENT","X",1)</f>
        <v>1</v>
      </c>
      <c r="N132" s="849">
        <f ca="1">IF(Q122="Matchs de CLASSEMENT","X",0)</f>
        <v>0</v>
      </c>
      <c r="O132" s="849" t="str">
        <f ca="1">IF(Q122="Matchs de CLASSEMENT","X","")</f>
        <v/>
      </c>
      <c r="P132" s="842"/>
      <c r="Q132" s="849" t="str">
        <f ca="1">IF(Q122="Matchs de CLASSEMENT","X","V4")</f>
        <v>V4</v>
      </c>
      <c r="R132" s="948">
        <f t="shared" ca="1" si="8"/>
        <v>0</v>
      </c>
      <c r="S132" s="849" t="str">
        <f ca="1">IF(Q122="Matchs de CLASSEMENT","X","")</f>
        <v/>
      </c>
      <c r="T132" s="849" t="str">
        <f ca="1">IF(Q122="Matchs de CLASSEMENT","X","")</f>
        <v/>
      </c>
      <c r="U132" s="849" t="str">
        <f ca="1">IF(Q122="Matchs de CLASSEMENT","X","")</f>
        <v/>
      </c>
      <c r="V132" s="849" t="str">
        <f ca="1">IF(Q122="Matchs de CLASSEMENT","X","")</f>
        <v/>
      </c>
      <c r="W132" s="849" t="str">
        <f ca="1">IF(Q122="Matchs de CLASSEMENT","X","")</f>
        <v/>
      </c>
      <c r="X132" s="849" t="str">
        <f ca="1">IF(Q122="Matchs de CLASSEMENT","X","")</f>
        <v/>
      </c>
      <c r="Y132" s="849" t="str">
        <f ca="1">IF(Q122="Matchs de CLASSEMENT","X","")</f>
        <v/>
      </c>
      <c r="Z132" s="849" t="str">
        <f ca="1">IF(Q122="Matchs de CLASSEMENT","X","")</f>
        <v/>
      </c>
      <c r="AA132" s="849" t="str">
        <f ca="1">IF(Q122="Matchs de CLASSEMENT","X","")</f>
        <v/>
      </c>
      <c r="AB132" s="849">
        <f ca="1">IF(Q122="Matchs de CLASSEMENT","X",2)</f>
        <v>2</v>
      </c>
      <c r="AC132" s="849">
        <f ca="1">IF(Q122="Matchs de CLASSEMENT","X",1)</f>
        <v>1</v>
      </c>
      <c r="AD132" s="849">
        <f ca="1">IF(Q122="Matchs de CLASSEMENT","X",0)</f>
        <v>0</v>
      </c>
      <c r="AE132" s="849" t="str">
        <f ca="1">IF(Q122="Matchs de CLASSEMENT","X","")</f>
        <v/>
      </c>
      <c r="AF132" s="679"/>
      <c r="AG132" s="679"/>
      <c r="AH132" s="679"/>
      <c r="AI132" s="679"/>
      <c r="AJ132" s="679"/>
      <c r="AK132" s="679"/>
      <c r="AL132" s="679"/>
    </row>
    <row r="133" spans="1:38" ht="30" customHeight="1" x14ac:dyDescent="0.2">
      <c r="N133" s="867" t="s">
        <v>1294</v>
      </c>
      <c r="O133" s="848"/>
      <c r="AD133" s="867" t="s">
        <v>1294</v>
      </c>
      <c r="AE133" s="866"/>
      <c r="AF133" s="679"/>
      <c r="AG133" s="679"/>
      <c r="AH133" s="679"/>
      <c r="AI133" s="679"/>
      <c r="AJ133" s="679"/>
      <c r="AK133" s="679"/>
      <c r="AL133" s="679"/>
    </row>
    <row r="134" spans="1:38" ht="12.75" customHeight="1" x14ac:dyDescent="0.2">
      <c r="AE134" s="520"/>
      <c r="AF134" s="679"/>
      <c r="AG134" s="679"/>
      <c r="AH134" s="679"/>
      <c r="AI134" s="679"/>
      <c r="AJ134" s="679"/>
      <c r="AK134" s="679"/>
      <c r="AL134" s="679"/>
    </row>
    <row r="135" spans="1:38" ht="18.75" customHeight="1" x14ac:dyDescent="0.2">
      <c r="A135" s="584"/>
      <c r="B135" s="584"/>
      <c r="C135" s="701" t="s">
        <v>1289</v>
      </c>
      <c r="D135" s="249"/>
      <c r="E135" s="196"/>
      <c r="F135" s="196"/>
      <c r="G135" s="584"/>
      <c r="H135" s="1155" t="s">
        <v>1301</v>
      </c>
      <c r="I135" s="1155"/>
      <c r="J135" s="1155"/>
      <c r="K135" s="1155"/>
      <c r="L135" s="1155"/>
      <c r="M135" s="1155"/>
      <c r="N135" s="1155"/>
      <c r="O135" s="1155"/>
      <c r="P135" s="842"/>
      <c r="Q135" s="219"/>
      <c r="R135" s="219"/>
      <c r="S135" s="701" t="s">
        <v>1289</v>
      </c>
      <c r="T135" s="249"/>
      <c r="U135" s="196"/>
      <c r="V135" s="196"/>
      <c r="X135" s="1155" t="s">
        <v>1304</v>
      </c>
      <c r="Y135" s="1155"/>
      <c r="Z135" s="1155"/>
      <c r="AA135" s="1155"/>
      <c r="AB135" s="1155"/>
      <c r="AC135" s="1155"/>
      <c r="AD135" s="1155"/>
      <c r="AE135" s="1155"/>
      <c r="AF135" s="679"/>
      <c r="AG135" s="679"/>
      <c r="AH135" s="679"/>
      <c r="AI135" s="679"/>
      <c r="AJ135" s="679"/>
      <c r="AK135" s="679"/>
      <c r="AL135" s="679"/>
    </row>
    <row r="136" spans="1:38" ht="32.25" customHeight="1" x14ac:dyDescent="0.2">
      <c r="A136" s="584"/>
      <c r="B136" s="584"/>
      <c r="C136" s="850"/>
      <c r="D136" s="851"/>
      <c r="E136" s="852"/>
      <c r="F136" s="852"/>
      <c r="G136" s="584"/>
      <c r="H136" s="1149" t="s">
        <v>549</v>
      </c>
      <c r="I136" s="1149"/>
      <c r="J136" s="1149"/>
      <c r="K136" s="1149"/>
      <c r="L136" s="1149"/>
      <c r="M136" s="1146" t="s">
        <v>550</v>
      </c>
      <c r="N136" s="1147"/>
      <c r="O136" s="1148"/>
      <c r="P136" s="842"/>
      <c r="Q136" s="219"/>
      <c r="R136" s="219"/>
      <c r="S136" s="850"/>
      <c r="T136" s="851"/>
      <c r="U136" s="852"/>
      <c r="V136" s="852"/>
      <c r="X136" s="1149" t="s">
        <v>549</v>
      </c>
      <c r="Y136" s="1149"/>
      <c r="Z136" s="1149"/>
      <c r="AA136" s="1149"/>
      <c r="AB136" s="1149"/>
      <c r="AC136" s="1146" t="s">
        <v>550</v>
      </c>
      <c r="AD136" s="1147"/>
      <c r="AE136" s="1148"/>
      <c r="AG136" s="679"/>
      <c r="AH136" s="679"/>
      <c r="AI136" s="679"/>
      <c r="AJ136" s="679"/>
      <c r="AK136" s="679"/>
      <c r="AL136" s="679"/>
    </row>
    <row r="137" spans="1:38" ht="32.25" customHeight="1" x14ac:dyDescent="0.2">
      <c r="A137" s="584"/>
      <c r="B137" s="584"/>
      <c r="C137" s="850"/>
      <c r="D137" s="851"/>
      <c r="E137" s="852"/>
      <c r="F137" s="852"/>
      <c r="G137" s="584"/>
      <c r="H137" s="1140" t="str">
        <f ca="1">IFERROR(VLOOKUP(X118,Num_AS,6,FALSE)&amp;" "&amp;VLOOKUP(X118,Num_AS,7,FALSE),"")</f>
        <v/>
      </c>
      <c r="I137" s="1140"/>
      <c r="J137" s="1140"/>
      <c r="K137" s="1140"/>
      <c r="L137" s="1140"/>
      <c r="M137" s="1129" t="str">
        <f ca="1">IFERROR(VLOOKUP(X118,Num_AS,9,FALSE),"")</f>
        <v/>
      </c>
      <c r="N137" s="1130"/>
      <c r="O137" s="1131"/>
      <c r="P137" s="842"/>
      <c r="Q137" s="219"/>
      <c r="R137" s="219"/>
      <c r="S137" s="850"/>
      <c r="T137" s="851"/>
      <c r="U137" s="852"/>
      <c r="V137" s="852"/>
      <c r="W137" s="196"/>
      <c r="X137" s="1140" t="str">
        <f ca="1">IFERROR(VLOOKUP(Z118,Num_AS,6,FALSE)&amp;" "&amp;VLOOKUP(Z118,Num_AS,7,FALSE),"")</f>
        <v/>
      </c>
      <c r="Y137" s="1140"/>
      <c r="Z137" s="1140"/>
      <c r="AA137" s="1140"/>
      <c r="AB137" s="1140"/>
      <c r="AC137" s="1129" t="str">
        <f ca="1">IFERROR(VLOOKUP(Z118,Num_AS,9,FALSE),"")</f>
        <v/>
      </c>
      <c r="AD137" s="1130"/>
      <c r="AE137" s="1131"/>
    </row>
    <row r="138" spans="1:38" ht="32.25" customHeight="1" x14ac:dyDescent="0.2">
      <c r="A138" s="584"/>
      <c r="B138" s="584"/>
      <c r="C138" s="850"/>
      <c r="D138" s="851"/>
      <c r="E138" s="852"/>
      <c r="F138" s="852"/>
      <c r="G138" s="584"/>
      <c r="H138" s="1140" t="str">
        <f ca="1">IFERROR(VLOOKUP(X118,Num_AS,12,FALSE)&amp;" "&amp;VLOOKUP(X118,Num_AS,13,FALSE),"")</f>
        <v/>
      </c>
      <c r="I138" s="1140"/>
      <c r="J138" s="1140"/>
      <c r="K138" s="1140"/>
      <c r="L138" s="1140"/>
      <c r="M138" s="1129" t="str">
        <f ca="1">IFERROR(VLOOKUP(X118,Num_AS,15,FALSE),"")</f>
        <v/>
      </c>
      <c r="N138" s="1130"/>
      <c r="O138" s="1131">
        <f ca="1">G120</f>
        <v>4</v>
      </c>
      <c r="P138" s="842"/>
      <c r="Q138" s="219"/>
      <c r="R138" s="219"/>
      <c r="S138" s="850"/>
      <c r="T138" s="851"/>
      <c r="U138" s="852"/>
      <c r="V138" s="852"/>
      <c r="W138" s="196"/>
      <c r="X138" s="1140" t="str">
        <f ca="1">IFERROR(VLOOKUP(Z118,Num_AS,12,FALSE)&amp;" "&amp;VLOOKUP(Z118,Num_AS,13,FALSE),"")</f>
        <v/>
      </c>
      <c r="Y138" s="1140"/>
      <c r="Z138" s="1140"/>
      <c r="AA138" s="1140"/>
      <c r="AB138" s="1140"/>
      <c r="AC138" s="1129" t="str">
        <f ca="1">IFERROR(VLOOKUP(Z118,Num_AS,15,FALSE),"")</f>
        <v/>
      </c>
      <c r="AD138" s="1130"/>
      <c r="AE138" s="1131">
        <f>W120</f>
        <v>0</v>
      </c>
    </row>
    <row r="139" spans="1:38" ht="32.25" customHeight="1" x14ac:dyDescent="0.2">
      <c r="A139" s="584"/>
      <c r="B139" s="584"/>
      <c r="C139" s="584"/>
      <c r="D139" s="584"/>
      <c r="E139" s="584"/>
      <c r="F139" s="584"/>
      <c r="G139" s="584"/>
      <c r="H139" s="1140" t="str">
        <f ca="1">IFERROR(VLOOKUP(X118,Num_AS,18,FALSE)&amp;" "&amp;VLOOKUP(X118,Num_AS,19,FALSE),"")</f>
        <v/>
      </c>
      <c r="I139" s="1140"/>
      <c r="J139" s="1140"/>
      <c r="K139" s="1140"/>
      <c r="L139" s="1140"/>
      <c r="M139" s="1129" t="str">
        <f ca="1">IFERROR(VLOOKUP(X118,Num_AS,21,FALSE),"")</f>
        <v/>
      </c>
      <c r="N139" s="1130"/>
      <c r="O139" s="1131">
        <f ca="1">G120</f>
        <v>4</v>
      </c>
      <c r="P139" s="842"/>
      <c r="Q139" s="219"/>
      <c r="R139" s="219"/>
      <c r="S139" s="584"/>
      <c r="T139" s="584"/>
      <c r="U139" s="584"/>
      <c r="V139" s="584"/>
      <c r="W139" s="196"/>
      <c r="X139" s="1140" t="str">
        <f ca="1">IFERROR(VLOOKUP(Z118,Num_AS,18,FALSE)&amp;" "&amp;VLOOKUP(Z118,Num_AS,19,FALSE),"")</f>
        <v/>
      </c>
      <c r="Y139" s="1140"/>
      <c r="Z139" s="1140"/>
      <c r="AA139" s="1140"/>
      <c r="AB139" s="1140"/>
      <c r="AC139" s="1129" t="str">
        <f ca="1">IFERROR(VLOOKUP(Z118,Num_AS,21,FALSE),"")</f>
        <v/>
      </c>
      <c r="AD139" s="1130"/>
      <c r="AE139" s="1131">
        <f>W120</f>
        <v>0</v>
      </c>
    </row>
    <row r="140" spans="1:38" ht="32.25" customHeight="1" x14ac:dyDescent="0.2">
      <c r="A140" s="584"/>
      <c r="B140" s="584"/>
      <c r="C140" s="862"/>
      <c r="D140" s="1141" t="s">
        <v>1292</v>
      </c>
      <c r="E140" s="1142"/>
      <c r="F140" s="1143"/>
      <c r="G140" s="584"/>
      <c r="H140" s="1140" t="str">
        <f ca="1">IFERROR(VLOOKUP(X118,Num_AS,24,FALSE)&amp;" "&amp;VLOOKUP(X118,Num_AS,25,FALSE),"")</f>
        <v/>
      </c>
      <c r="I140" s="1140"/>
      <c r="J140" s="1140"/>
      <c r="K140" s="1140"/>
      <c r="L140" s="1140"/>
      <c r="M140" s="1129" t="str">
        <f ca="1">IFERROR(VLOOKUP(X118,Num_AS,9,FALSE),"")</f>
        <v/>
      </c>
      <c r="N140" s="1130"/>
      <c r="O140" s="1131">
        <f ca="1">G120</f>
        <v>4</v>
      </c>
      <c r="P140" s="842"/>
      <c r="Q140" s="219"/>
      <c r="R140" s="219"/>
      <c r="S140" s="862"/>
      <c r="T140" s="1141" t="s">
        <v>1292</v>
      </c>
      <c r="U140" s="1142"/>
      <c r="V140" s="1143"/>
      <c r="W140" s="196"/>
      <c r="X140" s="1140" t="str">
        <f ca="1">IFERROR(VLOOKUP(Z118,Num_AS,24,FALSE)&amp;" "&amp;VLOOKUP(Z118,Num_AS,25,FALSE),"")</f>
        <v/>
      </c>
      <c r="Y140" s="1140"/>
      <c r="Z140" s="1140"/>
      <c r="AA140" s="1140"/>
      <c r="AB140" s="1140"/>
      <c r="AC140" s="1129" t="str">
        <f ca="1">IFERROR(VLOOKUP(Z118,Num_AS,9,FALSE),"")</f>
        <v/>
      </c>
      <c r="AD140" s="1130"/>
      <c r="AE140" s="1131">
        <f>W120</f>
        <v>0</v>
      </c>
    </row>
    <row r="141" spans="1:38" ht="18.75" customHeight="1" thickBot="1" x14ac:dyDescent="0.25">
      <c r="A141" s="701"/>
      <c r="B141" s="701"/>
      <c r="C141" s="249"/>
      <c r="D141" s="249"/>
      <c r="E141" s="249"/>
      <c r="F141" s="701"/>
      <c r="G141" s="701"/>
      <c r="H141" s="196"/>
      <c r="I141" s="196"/>
      <c r="J141" s="249"/>
      <c r="K141" s="219"/>
      <c r="L141" s="219"/>
      <c r="M141" s="219"/>
      <c r="N141" s="219"/>
      <c r="O141" s="219"/>
      <c r="P141" s="219"/>
      <c r="Q141" s="219"/>
      <c r="R141" s="219"/>
      <c r="S141" s="219"/>
      <c r="T141" s="219"/>
      <c r="U141" s="219"/>
      <c r="V141" s="219"/>
      <c r="W141" s="219"/>
      <c r="X141" s="219"/>
      <c r="Y141" s="249"/>
      <c r="Z141" s="219"/>
      <c r="AE141" s="520"/>
    </row>
    <row r="142" spans="1:38" ht="32.25" customHeight="1" x14ac:dyDescent="0.25">
      <c r="A142" s="701"/>
      <c r="B142" s="701"/>
      <c r="D142" s="875" t="s">
        <v>1002</v>
      </c>
      <c r="E142" s="876"/>
      <c r="F142" s="876"/>
      <c r="G142" s="876"/>
      <c r="H142" s="876"/>
      <c r="I142" s="876"/>
      <c r="J142" s="876"/>
      <c r="K142" s="876"/>
      <c r="L142" s="876"/>
      <c r="M142" s="877" t="s">
        <v>1297</v>
      </c>
      <c r="N142" s="219"/>
      <c r="O142" s="1132" t="s">
        <v>1293</v>
      </c>
      <c r="P142" s="1133"/>
      <c r="Q142" s="1134"/>
      <c r="R142" s="941"/>
      <c r="T142" s="875" t="s">
        <v>1002</v>
      </c>
      <c r="U142" s="876"/>
      <c r="V142" s="876"/>
      <c r="W142" s="876"/>
      <c r="X142" s="876"/>
      <c r="Y142" s="876"/>
      <c r="Z142" s="876"/>
      <c r="AA142" s="876"/>
      <c r="AB142" s="876"/>
      <c r="AC142" s="877" t="s">
        <v>1296</v>
      </c>
      <c r="AE142" s="520"/>
    </row>
    <row r="143" spans="1:38" ht="70.5" customHeight="1" thickBot="1" x14ac:dyDescent="0.25">
      <c r="A143" s="701"/>
      <c r="B143" s="701"/>
      <c r="D143" s="878"/>
      <c r="E143" s="879"/>
      <c r="F143" s="879"/>
      <c r="G143" s="879"/>
      <c r="H143" s="879"/>
      <c r="I143" s="879"/>
      <c r="J143" s="879"/>
      <c r="K143" s="879"/>
      <c r="L143" s="879"/>
      <c r="M143" s="880"/>
      <c r="N143" s="219"/>
      <c r="O143" s="1135"/>
      <c r="P143" s="1136"/>
      <c r="Q143" s="1137"/>
      <c r="R143" s="941"/>
      <c r="T143" s="878"/>
      <c r="U143" s="879"/>
      <c r="V143" s="879"/>
      <c r="W143" s="879"/>
      <c r="X143" s="879"/>
      <c r="Y143" s="879"/>
      <c r="Z143" s="879"/>
      <c r="AA143" s="879"/>
      <c r="AB143" s="879"/>
      <c r="AC143" s="880"/>
      <c r="AE143" s="520"/>
    </row>
    <row r="144" spans="1:38" ht="6.75" customHeight="1" x14ac:dyDescent="0.25">
      <c r="A144" s="701"/>
      <c r="B144" s="701"/>
      <c r="C144" s="249"/>
      <c r="D144" s="249"/>
      <c r="E144" s="249"/>
      <c r="F144" s="701"/>
      <c r="G144" s="701"/>
      <c r="H144" s="196"/>
      <c r="I144" s="196"/>
      <c r="J144" s="249"/>
      <c r="K144" s="219"/>
      <c r="L144" s="842"/>
      <c r="M144" s="842"/>
      <c r="N144" s="842"/>
      <c r="O144" s="842"/>
      <c r="P144" s="842"/>
      <c r="Q144" s="842"/>
      <c r="R144" s="842"/>
      <c r="T144" s="845"/>
      <c r="U144" s="842"/>
      <c r="V144" s="842"/>
      <c r="W144" s="649"/>
      <c r="X144" s="845"/>
      <c r="Y144" s="842"/>
      <c r="Z144" s="842"/>
      <c r="AE144" s="520"/>
    </row>
    <row r="145" spans="1:44" ht="27.75" customHeight="1" x14ac:dyDescent="0.2">
      <c r="A145" s="701"/>
      <c r="B145" s="701"/>
      <c r="C145" s="1138" t="s">
        <v>1300</v>
      </c>
      <c r="D145" s="1138"/>
      <c r="E145" s="1138"/>
      <c r="F145" s="1138"/>
      <c r="G145" s="1138"/>
      <c r="H145" s="1138"/>
      <c r="I145" s="1138"/>
      <c r="J145" s="1138"/>
      <c r="K145" s="1138"/>
      <c r="L145" s="1138"/>
      <c r="M145" s="1138"/>
      <c r="N145" s="1138"/>
      <c r="O145" s="1138"/>
      <c r="P145" s="842"/>
      <c r="Q145" s="1139" t="s">
        <v>1303</v>
      </c>
      <c r="R145" s="1139"/>
      <c r="S145" s="1139"/>
      <c r="T145" s="1139"/>
      <c r="U145" s="1139"/>
      <c r="V145" s="1139"/>
      <c r="W145" s="1139"/>
      <c r="X145" s="1139"/>
      <c r="Y145" s="1139"/>
      <c r="Z145" s="1139"/>
      <c r="AA145" s="1139"/>
      <c r="AB145" s="1139"/>
      <c r="AC145" s="1139"/>
      <c r="AD145" s="1139"/>
      <c r="AE145" s="1139"/>
    </row>
    <row r="146" spans="1:44" ht="36" customHeight="1" x14ac:dyDescent="0.2">
      <c r="AE146" s="520"/>
    </row>
    <row r="147" spans="1:44" ht="19.5" customHeight="1" thickBot="1" x14ac:dyDescent="0.25">
      <c r="W147" s="500"/>
      <c r="X147" s="520" t="str">
        <f ca="1">INDIRECT("AE"&amp;Y147)</f>
        <v>C3-Coll3Ville3</v>
      </c>
      <c r="Y147" s="500">
        <f>Z148+2</f>
        <v>7</v>
      </c>
      <c r="Z147" s="501" t="str">
        <f ca="1">INDIRECT("AF"&amp;Y147)</f>
        <v>C6-Coll6Ville6</v>
      </c>
      <c r="AA147" s="500"/>
      <c r="AB147" s="500"/>
      <c r="AD147" s="679"/>
      <c r="AE147" s="679"/>
      <c r="AF147" s="679"/>
      <c r="AG147" s="679"/>
      <c r="AH147" s="679"/>
      <c r="AI147" s="679"/>
      <c r="AJ147" s="679"/>
      <c r="AK147" s="679"/>
      <c r="AL147" s="679"/>
    </row>
    <row r="148" spans="1:44" s="218" customFormat="1" ht="36" thickBot="1" x14ac:dyDescent="0.25">
      <c r="F148" s="576" t="s">
        <v>546</v>
      </c>
      <c r="G148" s="865" t="str">
        <f>G119</f>
        <v>D1</v>
      </c>
      <c r="I148" s="863" t="str">
        <f>"   "&amp;Championnat</f>
        <v xml:space="preserve">   Championnat de France de Tir à l'ARC</v>
      </c>
      <c r="T148" s="197"/>
      <c r="U148" s="197"/>
      <c r="V148" s="197"/>
      <c r="W148" s="197"/>
      <c r="Y148" s="502" t="s">
        <v>849</v>
      </c>
      <c r="Z148" s="503">
        <f>Z119+1</f>
        <v>5</v>
      </c>
      <c r="AB148" s="254"/>
      <c r="AC148" s="254"/>
      <c r="AD148" s="681"/>
      <c r="AE148" s="680"/>
      <c r="AF148" s="681"/>
      <c r="AH148" s="662"/>
      <c r="AI148" s="662"/>
      <c r="AJ148" s="662"/>
      <c r="AK148" s="662"/>
      <c r="AL148" s="662"/>
      <c r="AM148" s="217"/>
      <c r="AN148" s="217"/>
      <c r="AO148" s="217"/>
      <c r="AP148" s="217"/>
      <c r="AQ148" s="217"/>
      <c r="AR148" s="217"/>
    </row>
    <row r="149" spans="1:44" ht="36" thickBot="1" x14ac:dyDescent="0.25">
      <c r="F149" s="661" t="s">
        <v>628</v>
      </c>
      <c r="G149" s="660">
        <f ca="1">INDIRECT("AD"&amp;Y147)</f>
        <v>5</v>
      </c>
      <c r="I149" s="706" t="str">
        <f>CATEG_IMPORTEE</f>
        <v>Collèges Mixtes Etablissement</v>
      </c>
      <c r="S149" s="864" t="str">
        <f>LIEU&amp;" du "&amp;DATE</f>
        <v>L’Isle sur la Sorgue du 27 au 31 mars 2023</v>
      </c>
      <c r="AB149" s="254"/>
      <c r="AC149" s="254"/>
      <c r="AD149" s="681"/>
      <c r="AE149" s="680"/>
      <c r="AF149" s="681"/>
      <c r="AG149" s="679"/>
      <c r="AH149" s="679"/>
      <c r="AI149" s="679"/>
      <c r="AJ149" s="679"/>
      <c r="AK149" s="679"/>
      <c r="AL149" s="679"/>
    </row>
    <row r="150" spans="1:44" ht="24" customHeight="1" x14ac:dyDescent="0.2">
      <c r="A150" s="1075" t="s">
        <v>0</v>
      </c>
      <c r="B150" s="1075"/>
      <c r="C150" s="1075"/>
      <c r="D150" s="1075"/>
      <c r="E150" s="1075"/>
      <c r="F150" s="1075"/>
      <c r="G150" s="1075"/>
      <c r="H150" s="1075"/>
      <c r="I150" s="1075"/>
      <c r="J150" s="1075"/>
      <c r="Q150" s="1075" t="s">
        <v>0</v>
      </c>
      <c r="R150" s="1075"/>
      <c r="S150" s="1075"/>
      <c r="T150" s="1075"/>
      <c r="U150" s="1075"/>
      <c r="V150" s="1075"/>
      <c r="W150" s="1075"/>
      <c r="X150" s="1075"/>
      <c r="Y150" s="1075"/>
      <c r="Z150" s="1075"/>
      <c r="AB150" s="254"/>
      <c r="AC150" s="254"/>
      <c r="AD150" s="681"/>
      <c r="AE150" s="680"/>
      <c r="AF150" s="681"/>
      <c r="AG150" s="679"/>
      <c r="AH150" s="679"/>
      <c r="AI150" s="679"/>
      <c r="AJ150" s="679"/>
      <c r="AK150" s="679"/>
      <c r="AL150" s="679"/>
    </row>
    <row r="151" spans="1:44" ht="31.5" customHeight="1" x14ac:dyDescent="0.2">
      <c r="A151" s="1144" t="str">
        <f ca="1">IFERROR(VLOOKUP(X147,Num_AS,2,FALSE),"")</f>
        <v/>
      </c>
      <c r="B151" s="1144"/>
      <c r="C151" s="1144"/>
      <c r="D151" s="1144"/>
      <c r="E151" s="1144"/>
      <c r="F151" s="1144"/>
      <c r="G151" s="1144"/>
      <c r="H151" s="1144"/>
      <c r="I151" s="1144"/>
      <c r="J151" s="1144"/>
      <c r="K151" s="869" t="s">
        <v>1299</v>
      </c>
      <c r="L151" s="1145" t="s">
        <v>547</v>
      </c>
      <c r="M151" s="1145"/>
      <c r="N151" s="1145"/>
      <c r="O151" s="870" t="s">
        <v>1298</v>
      </c>
      <c r="Q151" s="1144" t="str">
        <f ca="1">IFERROR(VLOOKUP(Z147,Num_AS,2,FALSE),"")</f>
        <v/>
      </c>
      <c r="R151" s="1144"/>
      <c r="S151" s="1144"/>
      <c r="T151" s="1144"/>
      <c r="U151" s="1144"/>
      <c r="V151" s="1144"/>
      <c r="W151" s="1144"/>
      <c r="X151" s="1144"/>
      <c r="Y151" s="1144"/>
      <c r="Z151" s="1144"/>
      <c r="AB151" s="254"/>
      <c r="AC151" s="254"/>
      <c r="AD151" s="681"/>
      <c r="AE151" s="680"/>
      <c r="AF151" s="681"/>
      <c r="AG151" s="679"/>
      <c r="AH151" s="679"/>
      <c r="AI151" s="679"/>
      <c r="AJ151" s="679"/>
      <c r="AK151" s="679"/>
      <c r="AL151" s="679"/>
    </row>
    <row r="152" spans="1:44" ht="20.100000000000001" customHeight="1" thickBot="1" x14ac:dyDescent="0.25">
      <c r="A152" s="1124" t="s">
        <v>1006</v>
      </c>
      <c r="B152" s="1124"/>
      <c r="C152" s="1125"/>
      <c r="D152" s="1125"/>
      <c r="E152" s="1125"/>
      <c r="F152" s="1125"/>
      <c r="G152" s="1125"/>
      <c r="H152" s="1125"/>
      <c r="I152" s="1125"/>
      <c r="J152" s="1125"/>
      <c r="L152" s="871"/>
      <c r="M152" s="871"/>
      <c r="N152" s="871"/>
      <c r="Q152" s="1124" t="s">
        <v>1005</v>
      </c>
      <c r="R152" s="1124"/>
      <c r="S152" s="1125"/>
      <c r="T152" s="1125"/>
      <c r="U152" s="1125"/>
      <c r="V152" s="1125"/>
      <c r="W152" s="1125"/>
      <c r="X152" s="1125"/>
      <c r="Y152" s="1125"/>
      <c r="Z152" s="1125"/>
      <c r="AB152" s="254"/>
      <c r="AC152" s="254"/>
      <c r="AD152" s="681"/>
      <c r="AE152" s="680"/>
      <c r="AF152" s="681"/>
      <c r="AG152" s="679"/>
      <c r="AH152" s="679"/>
      <c r="AI152" s="679"/>
      <c r="AJ152" s="679"/>
      <c r="AK152" s="679"/>
      <c r="AL152" s="679"/>
    </row>
    <row r="153" spans="1:44" ht="27.75" customHeight="1" x14ac:dyDescent="0.2">
      <c r="A153" s="1117" t="str">
        <f ca="1">IFERROR(VLOOKUP(X147,Num_AS,3,FALSE),"")</f>
        <v/>
      </c>
      <c r="B153" s="1150"/>
      <c r="C153" s="1118"/>
      <c r="D153" s="1151"/>
      <c r="E153" s="1151"/>
      <c r="F153" s="1151"/>
      <c r="G153" s="1151"/>
      <c r="H153" s="1151"/>
      <c r="I153" s="1151"/>
      <c r="J153" s="1119"/>
      <c r="O153" s="219"/>
      <c r="P153" s="219"/>
      <c r="Q153" s="1117" t="str">
        <f ca="1">IFERROR(VLOOKUP(Z147,Num_AS,3,FALSE),"")</f>
        <v/>
      </c>
      <c r="R153" s="1150"/>
      <c r="S153" s="1118"/>
      <c r="T153" s="1151"/>
      <c r="U153" s="1151"/>
      <c r="V153" s="1151"/>
      <c r="W153" s="1151"/>
      <c r="X153" s="1151"/>
      <c r="Y153" s="1151"/>
      <c r="Z153" s="1119"/>
      <c r="AB153" s="254"/>
      <c r="AC153" s="254"/>
      <c r="AD153" s="681"/>
      <c r="AE153" s="680"/>
      <c r="AF153" s="681"/>
      <c r="AG153" s="679"/>
      <c r="AH153" s="679"/>
      <c r="AI153" s="679"/>
      <c r="AJ153" s="679"/>
      <c r="AK153" s="679"/>
      <c r="AL153" s="679"/>
    </row>
    <row r="154" spans="1:44" ht="27.75" customHeight="1" thickBot="1" x14ac:dyDescent="0.25">
      <c r="A154" s="1107" t="str">
        <f ca="1">IFERROR(VLOOKUP(X147,Num_AS,4,FALSE),"")</f>
        <v/>
      </c>
      <c r="B154" s="1152"/>
      <c r="C154" s="1108"/>
      <c r="D154" s="1153"/>
      <c r="E154" s="1153"/>
      <c r="F154" s="1153"/>
      <c r="G154" s="1153"/>
      <c r="H154" s="1153"/>
      <c r="I154" s="1153"/>
      <c r="J154" s="1109"/>
      <c r="Q154" s="1107" t="str">
        <f ca="1">IFERROR(VLOOKUP(Z147,Num_AS,4,FALSE),"")</f>
        <v/>
      </c>
      <c r="R154" s="1152"/>
      <c r="S154" s="1108"/>
      <c r="T154" s="1153"/>
      <c r="U154" s="1153"/>
      <c r="V154" s="1153"/>
      <c r="W154" s="1153"/>
      <c r="X154" s="1153"/>
      <c r="Y154" s="1153"/>
      <c r="Z154" s="1109"/>
      <c r="AB154" s="254"/>
      <c r="AC154" s="254"/>
      <c r="AD154" s="681"/>
      <c r="AE154" s="680"/>
      <c r="AF154" s="681"/>
      <c r="AG154" s="679"/>
      <c r="AH154" s="679"/>
      <c r="AI154" s="679"/>
      <c r="AJ154" s="679"/>
      <c r="AK154" s="679"/>
      <c r="AL154" s="679"/>
    </row>
    <row r="155" spans="1:44" ht="36" customHeight="1" thickBot="1" x14ac:dyDescent="0.25">
      <c r="A155" s="1156" t="s">
        <v>1330</v>
      </c>
      <c r="B155" s="1157"/>
      <c r="C155" s="1157"/>
      <c r="D155" s="1158"/>
      <c r="E155" s="947">
        <f ca="1">VLOOKUP(A151&amp;A153,PTS_SP,3,FALSE)</f>
        <v>0</v>
      </c>
      <c r="Q155" s="1156" t="s">
        <v>1330</v>
      </c>
      <c r="R155" s="1157"/>
      <c r="S155" s="1157"/>
      <c r="T155" s="1158"/>
      <c r="U155" s="947">
        <f ca="1">VLOOKUP(Q151&amp;Q153,PTS_SP,3,FALSE)</f>
        <v>0</v>
      </c>
      <c r="AB155" s="254"/>
      <c r="AC155" s="254"/>
      <c r="AD155" s="681"/>
      <c r="AE155" s="680"/>
      <c r="AF155" s="681"/>
      <c r="AG155" s="679"/>
      <c r="AH155" s="679"/>
      <c r="AI155" s="679"/>
      <c r="AJ155" s="679"/>
      <c r="AK155" s="679"/>
      <c r="AL155" s="679"/>
    </row>
    <row r="156" spans="1:44" ht="38.25" customHeight="1" x14ac:dyDescent="0.2">
      <c r="A156" s="701"/>
      <c r="B156" s="701"/>
      <c r="C156" s="853"/>
      <c r="D156" s="861" t="s">
        <v>1290</v>
      </c>
      <c r="E156" s="853"/>
      <c r="F156" s="854"/>
      <c r="G156" s="854"/>
      <c r="H156" s="872" t="s">
        <v>1295</v>
      </c>
      <c r="I156" s="855"/>
      <c r="J156" s="853"/>
      <c r="K156" s="853"/>
      <c r="L156" s="853"/>
      <c r="M156" s="859"/>
      <c r="N156" s="860" t="s">
        <v>1291</v>
      </c>
      <c r="O156" s="853"/>
      <c r="P156" s="249"/>
      <c r="Q156" s="701"/>
      <c r="R156" s="701"/>
      <c r="S156" s="853"/>
      <c r="T156" s="861" t="s">
        <v>1290</v>
      </c>
      <c r="U156" s="853"/>
      <c r="V156" s="854"/>
      <c r="W156" s="854"/>
      <c r="X156" s="872" t="s">
        <v>1302</v>
      </c>
      <c r="Y156" s="855"/>
      <c r="Z156" s="853"/>
      <c r="AA156" s="853"/>
      <c r="AB156" s="853"/>
      <c r="AC156" s="859"/>
      <c r="AD156" s="860" t="s">
        <v>1291</v>
      </c>
      <c r="AE156" s="853"/>
      <c r="AF156" s="681"/>
      <c r="AG156" s="681"/>
      <c r="AH156" s="681"/>
      <c r="AI156" s="681"/>
      <c r="AJ156" s="679"/>
      <c r="AK156" s="679"/>
      <c r="AL156" s="679"/>
    </row>
    <row r="157" spans="1:44" ht="38.25" customHeight="1" x14ac:dyDescent="0.2">
      <c r="A157" s="856" t="s">
        <v>509</v>
      </c>
      <c r="B157" s="942" t="s">
        <v>1329</v>
      </c>
      <c r="C157" s="857">
        <v>1</v>
      </c>
      <c r="D157" s="857">
        <v>2</v>
      </c>
      <c r="E157" s="857">
        <v>3</v>
      </c>
      <c r="F157" s="857">
        <v>4</v>
      </c>
      <c r="G157" s="857">
        <v>5</v>
      </c>
      <c r="H157" s="857">
        <v>6</v>
      </c>
      <c r="I157" s="857">
        <v>7</v>
      </c>
      <c r="J157" s="857">
        <v>8</v>
      </c>
      <c r="K157" s="858" t="s">
        <v>1286</v>
      </c>
      <c r="L157" s="1154" t="s">
        <v>1287</v>
      </c>
      <c r="M157" s="1154"/>
      <c r="N157" s="1154"/>
      <c r="O157" s="858" t="s">
        <v>1288</v>
      </c>
      <c r="P157" s="844"/>
      <c r="Q157" s="856" t="s">
        <v>509</v>
      </c>
      <c r="R157" s="942" t="s">
        <v>1329</v>
      </c>
      <c r="S157" s="857">
        <v>1</v>
      </c>
      <c r="T157" s="857">
        <v>2</v>
      </c>
      <c r="U157" s="857">
        <v>3</v>
      </c>
      <c r="V157" s="857">
        <v>4</v>
      </c>
      <c r="W157" s="857">
        <v>5</v>
      </c>
      <c r="X157" s="857">
        <v>6</v>
      </c>
      <c r="Y157" s="857">
        <v>7</v>
      </c>
      <c r="Z157" s="857">
        <v>8</v>
      </c>
      <c r="AA157" s="858" t="s">
        <v>1286</v>
      </c>
      <c r="AB157" s="1154" t="s">
        <v>1287</v>
      </c>
      <c r="AC157" s="1154"/>
      <c r="AD157" s="1154"/>
      <c r="AE157" s="858" t="s">
        <v>1288</v>
      </c>
      <c r="AF157" s="681"/>
      <c r="AG157" s="681"/>
      <c r="AH157" s="681"/>
      <c r="AI157" s="681"/>
      <c r="AJ157" s="679"/>
      <c r="AK157" s="679"/>
      <c r="AL157" s="679"/>
    </row>
    <row r="158" spans="1:44" ht="30" customHeight="1" x14ac:dyDescent="0.25">
      <c r="A158" s="846" t="s">
        <v>1282</v>
      </c>
      <c r="B158" s="948">
        <f ca="1">E155</f>
        <v>0</v>
      </c>
      <c r="C158" s="843"/>
      <c r="D158" s="843"/>
      <c r="E158" s="843"/>
      <c r="F158" s="843"/>
      <c r="G158" s="847"/>
      <c r="H158" s="848"/>
      <c r="I158" s="846"/>
      <c r="J158" s="843"/>
      <c r="K158" s="843"/>
      <c r="L158" s="849">
        <f ca="1">IF(Q151="Matchs de CLASSEMENT","X",2)</f>
        <v>2</v>
      </c>
      <c r="M158" s="849">
        <f ca="1">IF(Q151="Matchs de CLASSEMENT","X",1)</f>
        <v>1</v>
      </c>
      <c r="N158" s="849">
        <f ca="1">IF(Q151="Matchs de CLASSEMENT","X",0)</f>
        <v>0</v>
      </c>
      <c r="O158" s="849" t="str">
        <f ca="1">IF(Q151="Matchs de CLASSEMENT","X","")</f>
        <v/>
      </c>
      <c r="P158" s="842"/>
      <c r="Q158" s="849" t="str">
        <f ca="1">IF(Q151="Matchs de CLASSEMENT","X","V1")</f>
        <v>V1</v>
      </c>
      <c r="R158" s="948">
        <f ca="1">U155</f>
        <v>0</v>
      </c>
      <c r="S158" s="849" t="str">
        <f ca="1">IF(Q151="Matchs de CLASSEMENT","X","")</f>
        <v/>
      </c>
      <c r="T158" s="849" t="str">
        <f ca="1">IF(Q151="Matchs de CLASSEMENT","X","")</f>
        <v/>
      </c>
      <c r="U158" s="849" t="str">
        <f ca="1">IF(Q151="Matchs de CLASSEMENT","X","")</f>
        <v/>
      </c>
      <c r="V158" s="849" t="str">
        <f ca="1">IF(Q151="Matchs de CLASSEMENT","X","")</f>
        <v/>
      </c>
      <c r="W158" s="849" t="str">
        <f ca="1">IF(Q151="Matchs de CLASSEMENT","X","")</f>
        <v/>
      </c>
      <c r="X158" s="849" t="str">
        <f ca="1">IF(Q151="Matchs de CLASSEMENT","X","")</f>
        <v/>
      </c>
      <c r="Y158" s="849" t="str">
        <f ca="1">IF(Q151="Matchs de CLASSEMENT","X","")</f>
        <v/>
      </c>
      <c r="Z158" s="849" t="str">
        <f ca="1">IF(Q151="Matchs de CLASSEMENT","X","")</f>
        <v/>
      </c>
      <c r="AA158" s="849" t="str">
        <f ca="1">IF(Q151="Matchs de CLASSEMENT","X","")</f>
        <v/>
      </c>
      <c r="AB158" s="849">
        <f ca="1">IF(Q151="Matchs de CLASSEMENT","X",2)</f>
        <v>2</v>
      </c>
      <c r="AC158" s="849">
        <f ca="1">IF(Q151="Matchs de CLASSEMENT","X",1)</f>
        <v>1</v>
      </c>
      <c r="AD158" s="849">
        <f ca="1">IF(Q151="Matchs de CLASSEMENT","X",0)</f>
        <v>0</v>
      </c>
      <c r="AE158" s="849" t="str">
        <f ca="1">IF(Q151="Matchs de CLASSEMENT","X","")</f>
        <v/>
      </c>
      <c r="AF158" s="679"/>
      <c r="AG158" s="679"/>
      <c r="AH158" s="679"/>
      <c r="AI158" s="679"/>
      <c r="AJ158" s="679"/>
      <c r="AK158" s="679"/>
      <c r="AL158" s="679"/>
    </row>
    <row r="159" spans="1:44" ht="30" customHeight="1" x14ac:dyDescent="0.25">
      <c r="A159" s="846" t="s">
        <v>1283</v>
      </c>
      <c r="B159" s="948">
        <f ca="1">B158</f>
        <v>0</v>
      </c>
      <c r="C159" s="843"/>
      <c r="D159" s="843"/>
      <c r="E159" s="843"/>
      <c r="F159" s="843"/>
      <c r="G159" s="847"/>
      <c r="H159" s="848"/>
      <c r="I159" s="846"/>
      <c r="J159" s="843"/>
      <c r="K159" s="843"/>
      <c r="L159" s="849">
        <f ca="1">IF(Q151="Matchs de CLASSEMENT","X",2)</f>
        <v>2</v>
      </c>
      <c r="M159" s="849">
        <f ca="1">IF(Q151="Matchs de CLASSEMENT","X",1)</f>
        <v>1</v>
      </c>
      <c r="N159" s="849">
        <f ca="1">IF(Q151="Matchs de CLASSEMENT","X",0)</f>
        <v>0</v>
      </c>
      <c r="O159" s="849" t="str">
        <f ca="1">IF(Q151="Matchs de CLASSEMENT","X","")</f>
        <v/>
      </c>
      <c r="P159" s="842"/>
      <c r="Q159" s="849" t="str">
        <f ca="1">IF(Q151="Matchs de CLASSEMENT","X","V2")</f>
        <v>V2</v>
      </c>
      <c r="R159" s="948">
        <f ca="1">R158</f>
        <v>0</v>
      </c>
      <c r="S159" s="849" t="str">
        <f ca="1">IF(Q151="Matchs de CLASSEMENT","X","")</f>
        <v/>
      </c>
      <c r="T159" s="849" t="str">
        <f ca="1">IF(Q151="Matchs de CLASSEMENT","X","")</f>
        <v/>
      </c>
      <c r="U159" s="849" t="str">
        <f ca="1">IF(Q151="Matchs de CLASSEMENT","X","")</f>
        <v/>
      </c>
      <c r="V159" s="849" t="str">
        <f ca="1">IF(Q151="Matchs de CLASSEMENT","X","")</f>
        <v/>
      </c>
      <c r="W159" s="849" t="str">
        <f ca="1">IF(Q151="Matchs de CLASSEMENT","X","")</f>
        <v/>
      </c>
      <c r="X159" s="849" t="str">
        <f ca="1">IF(Q151="Matchs de CLASSEMENT","X","")</f>
        <v/>
      </c>
      <c r="Y159" s="849" t="str">
        <f ca="1">IF(Q151="Matchs de CLASSEMENT","X","")</f>
        <v/>
      </c>
      <c r="Z159" s="849" t="str">
        <f ca="1">IF(Q151="Matchs de CLASSEMENT","X","")</f>
        <v/>
      </c>
      <c r="AA159" s="849" t="str">
        <f ca="1">IF(Q151="Matchs de CLASSEMENT","X","")</f>
        <v/>
      </c>
      <c r="AB159" s="849">
        <f ca="1">IF(Q151="Matchs de CLASSEMENT","X",2)</f>
        <v>2</v>
      </c>
      <c r="AC159" s="849">
        <f ca="1">IF(Q151="Matchs de CLASSEMENT","X",1)</f>
        <v>1</v>
      </c>
      <c r="AD159" s="849">
        <f ca="1">IF(Q151="Matchs de CLASSEMENT","X",0)</f>
        <v>0</v>
      </c>
      <c r="AE159" s="849" t="str">
        <f ca="1">IF(Q151="Matchs de CLASSEMENT","X","")</f>
        <v/>
      </c>
      <c r="AF159" s="679"/>
      <c r="AG159" s="679"/>
      <c r="AH159" s="679"/>
      <c r="AI159" s="679"/>
      <c r="AJ159" s="679"/>
      <c r="AK159" s="679"/>
      <c r="AL159" s="679"/>
    </row>
    <row r="160" spans="1:44" ht="30" customHeight="1" x14ac:dyDescent="0.25">
      <c r="A160" s="846" t="s">
        <v>1284</v>
      </c>
      <c r="B160" s="948">
        <f t="shared" ref="B160:B161" ca="1" si="9">B159</f>
        <v>0</v>
      </c>
      <c r="C160" s="843"/>
      <c r="D160" s="843"/>
      <c r="E160" s="843"/>
      <c r="F160" s="843"/>
      <c r="G160" s="847"/>
      <c r="H160" s="848"/>
      <c r="I160" s="846"/>
      <c r="J160" s="843"/>
      <c r="K160" s="843"/>
      <c r="L160" s="849">
        <f ca="1">IF(Q151="Matchs de CLASSEMENT","X",2)</f>
        <v>2</v>
      </c>
      <c r="M160" s="849">
        <f ca="1">IF(Q151="Matchs de CLASSEMENT","X",1)</f>
        <v>1</v>
      </c>
      <c r="N160" s="849">
        <f ca="1">IF(Q151="Matchs de CLASSEMENT","X",0)</f>
        <v>0</v>
      </c>
      <c r="O160" s="849" t="str">
        <f ca="1">IF(Q151="Matchs de CLASSEMENT","X","")</f>
        <v/>
      </c>
      <c r="P160" s="842"/>
      <c r="Q160" s="849" t="str">
        <f ca="1">IF(Q151="Matchs de CLASSEMENT","X","V3")</f>
        <v>V3</v>
      </c>
      <c r="R160" s="948">
        <f t="shared" ref="R160:R161" ca="1" si="10">R159</f>
        <v>0</v>
      </c>
      <c r="S160" s="849" t="str">
        <f ca="1">IF(Q151="Matchs de CLASSEMENT","X","")</f>
        <v/>
      </c>
      <c r="T160" s="849" t="str">
        <f ca="1">IF(Q151="Matchs de CLASSEMENT","X","")</f>
        <v/>
      </c>
      <c r="U160" s="849" t="str">
        <f ca="1">IF(Q151="Matchs de CLASSEMENT","X","")</f>
        <v/>
      </c>
      <c r="V160" s="849" t="str">
        <f ca="1">IF(Q151="Matchs de CLASSEMENT","X","")</f>
        <v/>
      </c>
      <c r="W160" s="849" t="str">
        <f ca="1">IF(Q151="Matchs de CLASSEMENT","X","")</f>
        <v/>
      </c>
      <c r="X160" s="849" t="str">
        <f ca="1">IF(Q151="Matchs de CLASSEMENT","X","")</f>
        <v/>
      </c>
      <c r="Y160" s="849" t="str">
        <f ca="1">IF(Q151="Matchs de CLASSEMENT","X","")</f>
        <v/>
      </c>
      <c r="Z160" s="849" t="str">
        <f ca="1">IF(Q151="Matchs de CLASSEMENT","X","")</f>
        <v/>
      </c>
      <c r="AA160" s="849" t="str">
        <f ca="1">IF(Q151="Matchs de CLASSEMENT","X","")</f>
        <v/>
      </c>
      <c r="AB160" s="849">
        <f ca="1">IF(Q151="Matchs de CLASSEMENT","X",2)</f>
        <v>2</v>
      </c>
      <c r="AC160" s="849">
        <f ca="1">IF(Q151="Matchs de CLASSEMENT","X",1)</f>
        <v>1</v>
      </c>
      <c r="AD160" s="849">
        <f ca="1">IF(Q151="Matchs de CLASSEMENT","X",0)</f>
        <v>0</v>
      </c>
      <c r="AE160" s="849" t="str">
        <f ca="1">IF(Q151="Matchs de CLASSEMENT","X","")</f>
        <v/>
      </c>
      <c r="AF160" s="679"/>
      <c r="AG160" s="679"/>
      <c r="AH160" s="679"/>
      <c r="AI160" s="679"/>
      <c r="AJ160" s="679"/>
      <c r="AK160" s="679"/>
      <c r="AL160" s="679"/>
    </row>
    <row r="161" spans="1:38" ht="30" customHeight="1" x14ac:dyDescent="0.25">
      <c r="A161" s="846" t="s">
        <v>1285</v>
      </c>
      <c r="B161" s="948">
        <f t="shared" ca="1" si="9"/>
        <v>0</v>
      </c>
      <c r="C161" s="843"/>
      <c r="D161" s="843"/>
      <c r="E161" s="843"/>
      <c r="F161" s="843"/>
      <c r="G161" s="847"/>
      <c r="H161" s="848"/>
      <c r="I161" s="846"/>
      <c r="J161" s="843"/>
      <c r="K161" s="843"/>
      <c r="L161" s="849">
        <f ca="1">IF(Q151="Matchs de CLASSEMENT","X",2)</f>
        <v>2</v>
      </c>
      <c r="M161" s="849">
        <f ca="1">IF(Q151="Matchs de CLASSEMENT","X",1)</f>
        <v>1</v>
      </c>
      <c r="N161" s="849">
        <f ca="1">IF(Q151="Matchs de CLASSEMENT","X",0)</f>
        <v>0</v>
      </c>
      <c r="O161" s="849" t="str">
        <f ca="1">IF(Q151="Matchs de CLASSEMENT","X","")</f>
        <v/>
      </c>
      <c r="P161" s="842"/>
      <c r="Q161" s="849" t="str">
        <f ca="1">IF(Q151="Matchs de CLASSEMENT","X","V4")</f>
        <v>V4</v>
      </c>
      <c r="R161" s="948">
        <f t="shared" ca="1" si="10"/>
        <v>0</v>
      </c>
      <c r="S161" s="849" t="str">
        <f ca="1">IF(Q151="Matchs de CLASSEMENT","X","")</f>
        <v/>
      </c>
      <c r="T161" s="849" t="str">
        <f ca="1">IF(Q151="Matchs de CLASSEMENT","X","")</f>
        <v/>
      </c>
      <c r="U161" s="849" t="str">
        <f ca="1">IF(Q151="Matchs de CLASSEMENT","X","")</f>
        <v/>
      </c>
      <c r="V161" s="849" t="str">
        <f ca="1">IF(Q151="Matchs de CLASSEMENT","X","")</f>
        <v/>
      </c>
      <c r="W161" s="849" t="str">
        <f ca="1">IF(Q151="Matchs de CLASSEMENT","X","")</f>
        <v/>
      </c>
      <c r="X161" s="849" t="str">
        <f ca="1">IF(Q151="Matchs de CLASSEMENT","X","")</f>
        <v/>
      </c>
      <c r="Y161" s="849" t="str">
        <f ca="1">IF(Q151="Matchs de CLASSEMENT","X","")</f>
        <v/>
      </c>
      <c r="Z161" s="849" t="str">
        <f ca="1">IF(Q151="Matchs de CLASSEMENT","X","")</f>
        <v/>
      </c>
      <c r="AA161" s="849" t="str">
        <f ca="1">IF(Q151="Matchs de CLASSEMENT","X","")</f>
        <v/>
      </c>
      <c r="AB161" s="849">
        <f ca="1">IF(Q151="Matchs de CLASSEMENT","X",2)</f>
        <v>2</v>
      </c>
      <c r="AC161" s="849">
        <f ca="1">IF(Q151="Matchs de CLASSEMENT","X",1)</f>
        <v>1</v>
      </c>
      <c r="AD161" s="849">
        <f ca="1">IF(Q151="Matchs de CLASSEMENT","X",0)</f>
        <v>0</v>
      </c>
      <c r="AE161" s="849" t="str">
        <f ca="1">IF(Q151="Matchs de CLASSEMENT","X","")</f>
        <v/>
      </c>
      <c r="AF161" s="679"/>
      <c r="AG161" s="679"/>
      <c r="AH161" s="679"/>
      <c r="AI161" s="679"/>
      <c r="AJ161" s="679"/>
      <c r="AK161" s="679"/>
      <c r="AL161" s="679"/>
    </row>
    <row r="162" spans="1:38" ht="30" customHeight="1" x14ac:dyDescent="0.2">
      <c r="N162" s="867" t="s">
        <v>1294</v>
      </c>
      <c r="O162" s="848"/>
      <c r="AD162" s="867" t="s">
        <v>1294</v>
      </c>
      <c r="AE162" s="866"/>
      <c r="AF162" s="679"/>
      <c r="AG162" s="679"/>
      <c r="AH162" s="679"/>
      <c r="AI162" s="679"/>
      <c r="AJ162" s="679"/>
      <c r="AK162" s="679"/>
      <c r="AL162" s="679"/>
    </row>
    <row r="163" spans="1:38" ht="12.75" customHeight="1" x14ac:dyDescent="0.2">
      <c r="AE163" s="520"/>
      <c r="AF163" s="679"/>
      <c r="AG163" s="679"/>
      <c r="AH163" s="679"/>
      <c r="AI163" s="679"/>
      <c r="AJ163" s="679"/>
      <c r="AK163" s="679"/>
      <c r="AL163" s="679"/>
    </row>
    <row r="164" spans="1:38" ht="18.75" customHeight="1" x14ac:dyDescent="0.2">
      <c r="A164" s="584"/>
      <c r="B164" s="584"/>
      <c r="C164" s="701" t="s">
        <v>1289</v>
      </c>
      <c r="D164" s="249"/>
      <c r="E164" s="196"/>
      <c r="F164" s="196"/>
      <c r="G164" s="584"/>
      <c r="H164" s="1155" t="s">
        <v>1301</v>
      </c>
      <c r="I164" s="1155"/>
      <c r="J164" s="1155"/>
      <c r="K164" s="1155"/>
      <c r="L164" s="1155"/>
      <c r="M164" s="1155"/>
      <c r="N164" s="1155"/>
      <c r="O164" s="1155"/>
      <c r="P164" s="842"/>
      <c r="Q164" s="219"/>
      <c r="R164" s="219"/>
      <c r="S164" s="701" t="s">
        <v>1289</v>
      </c>
      <c r="T164" s="249"/>
      <c r="U164" s="196"/>
      <c r="V164" s="196"/>
      <c r="X164" s="1155" t="s">
        <v>1304</v>
      </c>
      <c r="Y164" s="1155"/>
      <c r="Z164" s="1155"/>
      <c r="AA164" s="1155"/>
      <c r="AB164" s="1155"/>
      <c r="AC164" s="1155"/>
      <c r="AD164" s="1155"/>
      <c r="AE164" s="1155"/>
      <c r="AF164" s="679"/>
      <c r="AG164" s="679"/>
      <c r="AH164" s="679"/>
      <c r="AI164" s="679"/>
      <c r="AJ164" s="679"/>
      <c r="AK164" s="679"/>
      <c r="AL164" s="679"/>
    </row>
    <row r="165" spans="1:38" ht="32.25" customHeight="1" x14ac:dyDescent="0.2">
      <c r="A165" s="584"/>
      <c r="B165" s="584"/>
      <c r="C165" s="850"/>
      <c r="D165" s="851"/>
      <c r="E165" s="852"/>
      <c r="F165" s="852"/>
      <c r="G165" s="584"/>
      <c r="H165" s="1149" t="s">
        <v>549</v>
      </c>
      <c r="I165" s="1149"/>
      <c r="J165" s="1149"/>
      <c r="K165" s="1149"/>
      <c r="L165" s="1149"/>
      <c r="M165" s="1146" t="s">
        <v>550</v>
      </c>
      <c r="N165" s="1147"/>
      <c r="O165" s="1148"/>
      <c r="P165" s="842"/>
      <c r="Q165" s="219"/>
      <c r="R165" s="219"/>
      <c r="S165" s="850"/>
      <c r="T165" s="851"/>
      <c r="U165" s="852"/>
      <c r="V165" s="852"/>
      <c r="X165" s="1149" t="s">
        <v>549</v>
      </c>
      <c r="Y165" s="1149"/>
      <c r="Z165" s="1149"/>
      <c r="AA165" s="1149"/>
      <c r="AB165" s="1149"/>
      <c r="AC165" s="1146" t="s">
        <v>550</v>
      </c>
      <c r="AD165" s="1147"/>
      <c r="AE165" s="1148"/>
      <c r="AG165" s="679"/>
      <c r="AH165" s="679"/>
      <c r="AI165" s="679"/>
      <c r="AJ165" s="679"/>
      <c r="AK165" s="679"/>
      <c r="AL165" s="679"/>
    </row>
    <row r="166" spans="1:38" ht="32.25" customHeight="1" x14ac:dyDescent="0.2">
      <c r="A166" s="584"/>
      <c r="B166" s="584"/>
      <c r="C166" s="850"/>
      <c r="D166" s="851"/>
      <c r="E166" s="852"/>
      <c r="F166" s="852"/>
      <c r="G166" s="584"/>
      <c r="H166" s="1140" t="str">
        <f ca="1">IFERROR(VLOOKUP(X147,Num_AS,6,FALSE)&amp;" "&amp;VLOOKUP(X147,Num_AS,7,FALSE),"")</f>
        <v/>
      </c>
      <c r="I166" s="1140"/>
      <c r="J166" s="1140"/>
      <c r="K166" s="1140"/>
      <c r="L166" s="1140"/>
      <c r="M166" s="1129" t="str">
        <f ca="1">IFERROR(VLOOKUP(X147,Num_AS,9,FALSE),"")</f>
        <v/>
      </c>
      <c r="N166" s="1130"/>
      <c r="O166" s="1131"/>
      <c r="P166" s="842"/>
      <c r="Q166" s="219"/>
      <c r="R166" s="219"/>
      <c r="S166" s="850"/>
      <c r="T166" s="851"/>
      <c r="U166" s="852"/>
      <c r="V166" s="852"/>
      <c r="W166" s="196"/>
      <c r="X166" s="1140" t="str">
        <f ca="1">IFERROR(VLOOKUP(Z147,Num_AS,6,FALSE)&amp;" "&amp;VLOOKUP(Z147,Num_AS,7,FALSE),"")</f>
        <v/>
      </c>
      <c r="Y166" s="1140"/>
      <c r="Z166" s="1140"/>
      <c r="AA166" s="1140"/>
      <c r="AB166" s="1140"/>
      <c r="AC166" s="1129" t="str">
        <f ca="1">IFERROR(VLOOKUP(Z147,Num_AS,9,FALSE),"")</f>
        <v/>
      </c>
      <c r="AD166" s="1130"/>
      <c r="AE166" s="1131"/>
    </row>
    <row r="167" spans="1:38" ht="32.25" customHeight="1" x14ac:dyDescent="0.2">
      <c r="A167" s="584"/>
      <c r="B167" s="584"/>
      <c r="C167" s="850"/>
      <c r="D167" s="851"/>
      <c r="E167" s="852"/>
      <c r="F167" s="852"/>
      <c r="G167" s="584"/>
      <c r="H167" s="1140" t="str">
        <f ca="1">IFERROR(VLOOKUP(X147,Num_AS,12,FALSE)&amp;" "&amp;VLOOKUP(X147,Num_AS,13,FALSE),"")</f>
        <v/>
      </c>
      <c r="I167" s="1140"/>
      <c r="J167" s="1140"/>
      <c r="K167" s="1140"/>
      <c r="L167" s="1140"/>
      <c r="M167" s="1129" t="str">
        <f ca="1">IFERROR(VLOOKUP(X147,Num_AS,15,FALSE),"")</f>
        <v/>
      </c>
      <c r="N167" s="1130"/>
      <c r="O167" s="1131">
        <f ca="1">G149</f>
        <v>5</v>
      </c>
      <c r="P167" s="842"/>
      <c r="Q167" s="219"/>
      <c r="R167" s="219"/>
      <c r="S167" s="850"/>
      <c r="T167" s="851"/>
      <c r="U167" s="852"/>
      <c r="V167" s="852"/>
      <c r="W167" s="196"/>
      <c r="X167" s="1140" t="str">
        <f ca="1">IFERROR(VLOOKUP(Z147,Num_AS,12,FALSE)&amp;" "&amp;VLOOKUP(Z147,Num_AS,13,FALSE),"")</f>
        <v/>
      </c>
      <c r="Y167" s="1140"/>
      <c r="Z167" s="1140"/>
      <c r="AA167" s="1140"/>
      <c r="AB167" s="1140"/>
      <c r="AC167" s="1129" t="str">
        <f ca="1">IFERROR(VLOOKUP(Z147,Num_AS,15,FALSE),"")</f>
        <v/>
      </c>
      <c r="AD167" s="1130"/>
      <c r="AE167" s="1131">
        <f>W149</f>
        <v>0</v>
      </c>
    </row>
    <row r="168" spans="1:38" ht="32.25" customHeight="1" x14ac:dyDescent="0.2">
      <c r="A168" s="584"/>
      <c r="B168" s="584"/>
      <c r="C168" s="584"/>
      <c r="D168" s="584"/>
      <c r="E168" s="584"/>
      <c r="F168" s="584"/>
      <c r="G168" s="584"/>
      <c r="H168" s="1140" t="str">
        <f ca="1">IFERROR(VLOOKUP(X147,Num_AS,18,FALSE)&amp;" "&amp;VLOOKUP(X147,Num_AS,19,FALSE),"")</f>
        <v/>
      </c>
      <c r="I168" s="1140"/>
      <c r="J168" s="1140"/>
      <c r="K168" s="1140"/>
      <c r="L168" s="1140"/>
      <c r="M168" s="1129" t="str">
        <f ca="1">IFERROR(VLOOKUP(X147,Num_AS,21,FALSE),"")</f>
        <v/>
      </c>
      <c r="N168" s="1130"/>
      <c r="O168" s="1131">
        <f ca="1">G149</f>
        <v>5</v>
      </c>
      <c r="P168" s="842"/>
      <c r="Q168" s="219"/>
      <c r="R168" s="219"/>
      <c r="S168" s="584"/>
      <c r="T168" s="584"/>
      <c r="U168" s="584"/>
      <c r="V168" s="584"/>
      <c r="W168" s="196"/>
      <c r="X168" s="1140" t="str">
        <f ca="1">IFERROR(VLOOKUP(Z147,Num_AS,18,FALSE)&amp;" "&amp;VLOOKUP(Z147,Num_AS,19,FALSE),"")</f>
        <v/>
      </c>
      <c r="Y168" s="1140"/>
      <c r="Z168" s="1140"/>
      <c r="AA168" s="1140"/>
      <c r="AB168" s="1140"/>
      <c r="AC168" s="1129" t="str">
        <f ca="1">IFERROR(VLOOKUP(Z147,Num_AS,21,FALSE),"")</f>
        <v/>
      </c>
      <c r="AD168" s="1130"/>
      <c r="AE168" s="1131">
        <f>W149</f>
        <v>0</v>
      </c>
    </row>
    <row r="169" spans="1:38" ht="32.25" customHeight="1" x14ac:dyDescent="0.2">
      <c r="A169" s="584"/>
      <c r="B169" s="584"/>
      <c r="C169" s="862"/>
      <c r="D169" s="1141" t="s">
        <v>1292</v>
      </c>
      <c r="E169" s="1142"/>
      <c r="F169" s="1143"/>
      <c r="G169" s="584"/>
      <c r="H169" s="1140" t="str">
        <f ca="1">IFERROR(VLOOKUP(X147,Num_AS,24,FALSE)&amp;" "&amp;VLOOKUP(X147,Num_AS,25,FALSE),"")</f>
        <v/>
      </c>
      <c r="I169" s="1140"/>
      <c r="J169" s="1140"/>
      <c r="K169" s="1140"/>
      <c r="L169" s="1140"/>
      <c r="M169" s="1129" t="str">
        <f ca="1">IFERROR(VLOOKUP(X147,Num_AS,9,FALSE),"")</f>
        <v/>
      </c>
      <c r="N169" s="1130"/>
      <c r="O169" s="1131">
        <f ca="1">G149</f>
        <v>5</v>
      </c>
      <c r="P169" s="842"/>
      <c r="Q169" s="219"/>
      <c r="R169" s="219"/>
      <c r="S169" s="862"/>
      <c r="T169" s="1141" t="s">
        <v>1292</v>
      </c>
      <c r="U169" s="1142"/>
      <c r="V169" s="1143"/>
      <c r="W169" s="196"/>
      <c r="X169" s="1140" t="str">
        <f ca="1">IFERROR(VLOOKUP(Z147,Num_AS,24,FALSE)&amp;" "&amp;VLOOKUP(Z147,Num_AS,25,FALSE),"")</f>
        <v/>
      </c>
      <c r="Y169" s="1140"/>
      <c r="Z169" s="1140"/>
      <c r="AA169" s="1140"/>
      <c r="AB169" s="1140"/>
      <c r="AC169" s="1129" t="str">
        <f ca="1">IFERROR(VLOOKUP(Z147,Num_AS,9,FALSE),"")</f>
        <v/>
      </c>
      <c r="AD169" s="1130"/>
      <c r="AE169" s="1131">
        <f>W149</f>
        <v>0</v>
      </c>
    </row>
    <row r="170" spans="1:38" ht="18.75" customHeight="1" thickBot="1" x14ac:dyDescent="0.25">
      <c r="A170" s="701"/>
      <c r="B170" s="701"/>
      <c r="C170" s="249"/>
      <c r="D170" s="249"/>
      <c r="E170" s="249"/>
      <c r="F170" s="701"/>
      <c r="G170" s="701"/>
      <c r="H170" s="196"/>
      <c r="I170" s="196"/>
      <c r="J170" s="249"/>
      <c r="K170" s="219"/>
      <c r="L170" s="219"/>
      <c r="M170" s="219"/>
      <c r="N170" s="219"/>
      <c r="O170" s="219"/>
      <c r="P170" s="219"/>
      <c r="Q170" s="219"/>
      <c r="R170" s="219"/>
      <c r="S170" s="219"/>
      <c r="T170" s="219"/>
      <c r="U170" s="219"/>
      <c r="V170" s="219"/>
      <c r="W170" s="219"/>
      <c r="X170" s="219"/>
      <c r="Y170" s="249"/>
      <c r="Z170" s="219"/>
      <c r="AE170" s="520"/>
    </row>
    <row r="171" spans="1:38" ht="32.25" customHeight="1" x14ac:dyDescent="0.25">
      <c r="A171" s="701"/>
      <c r="B171" s="701"/>
      <c r="D171" s="875" t="s">
        <v>1002</v>
      </c>
      <c r="E171" s="876"/>
      <c r="F171" s="876"/>
      <c r="G171" s="876"/>
      <c r="H171" s="876"/>
      <c r="I171" s="876"/>
      <c r="J171" s="876"/>
      <c r="K171" s="876"/>
      <c r="L171" s="876"/>
      <c r="M171" s="877" t="s">
        <v>1297</v>
      </c>
      <c r="N171" s="219"/>
      <c r="O171" s="1132" t="s">
        <v>1293</v>
      </c>
      <c r="P171" s="1133"/>
      <c r="Q171" s="1134"/>
      <c r="R171" s="941"/>
      <c r="T171" s="875" t="s">
        <v>1002</v>
      </c>
      <c r="U171" s="876"/>
      <c r="V171" s="876"/>
      <c r="W171" s="876"/>
      <c r="X171" s="876"/>
      <c r="Y171" s="876"/>
      <c r="Z171" s="876"/>
      <c r="AA171" s="876"/>
      <c r="AB171" s="876"/>
      <c r="AC171" s="877" t="s">
        <v>1296</v>
      </c>
      <c r="AE171" s="520"/>
    </row>
    <row r="172" spans="1:38" ht="70.5" customHeight="1" thickBot="1" x14ac:dyDescent="0.25">
      <c r="A172" s="701"/>
      <c r="B172" s="701"/>
      <c r="D172" s="878"/>
      <c r="E172" s="879"/>
      <c r="F172" s="879"/>
      <c r="G172" s="879"/>
      <c r="H172" s="879"/>
      <c r="I172" s="879"/>
      <c r="J172" s="879"/>
      <c r="K172" s="879"/>
      <c r="L172" s="879"/>
      <c r="M172" s="880"/>
      <c r="N172" s="219"/>
      <c r="O172" s="1135"/>
      <c r="P172" s="1136"/>
      <c r="Q172" s="1137"/>
      <c r="R172" s="941"/>
      <c r="T172" s="878"/>
      <c r="U172" s="879"/>
      <c r="V172" s="879"/>
      <c r="W172" s="879"/>
      <c r="X172" s="879"/>
      <c r="Y172" s="879"/>
      <c r="Z172" s="879"/>
      <c r="AA172" s="879"/>
      <c r="AB172" s="879"/>
      <c r="AC172" s="880"/>
      <c r="AE172" s="520"/>
    </row>
    <row r="173" spans="1:38" ht="6.75" customHeight="1" x14ac:dyDescent="0.25">
      <c r="A173" s="701"/>
      <c r="B173" s="701"/>
      <c r="C173" s="249"/>
      <c r="D173" s="249"/>
      <c r="E173" s="249"/>
      <c r="F173" s="701"/>
      <c r="G173" s="701"/>
      <c r="H173" s="196"/>
      <c r="I173" s="196"/>
      <c r="J173" s="249"/>
      <c r="K173" s="219"/>
      <c r="L173" s="842"/>
      <c r="M173" s="842"/>
      <c r="N173" s="842"/>
      <c r="O173" s="842"/>
      <c r="P173" s="842"/>
      <c r="Q173" s="842"/>
      <c r="R173" s="842"/>
      <c r="T173" s="845"/>
      <c r="U173" s="842"/>
      <c r="V173" s="842"/>
      <c r="W173" s="649"/>
      <c r="X173" s="845"/>
      <c r="Y173" s="842"/>
      <c r="Z173" s="842"/>
      <c r="AE173" s="520"/>
    </row>
    <row r="174" spans="1:38" ht="27.75" customHeight="1" x14ac:dyDescent="0.2">
      <c r="A174" s="701"/>
      <c r="B174" s="701"/>
      <c r="C174" s="1138" t="s">
        <v>1300</v>
      </c>
      <c r="D174" s="1138"/>
      <c r="E174" s="1138"/>
      <c r="F174" s="1138"/>
      <c r="G174" s="1138"/>
      <c r="H174" s="1138"/>
      <c r="I174" s="1138"/>
      <c r="J174" s="1138"/>
      <c r="K174" s="1138"/>
      <c r="L174" s="1138"/>
      <c r="M174" s="1138"/>
      <c r="N174" s="1138"/>
      <c r="O174" s="1138"/>
      <c r="P174" s="842"/>
      <c r="Q174" s="1139" t="s">
        <v>1303</v>
      </c>
      <c r="R174" s="1139"/>
      <c r="S174" s="1139"/>
      <c r="T174" s="1139"/>
      <c r="U174" s="1139"/>
      <c r="V174" s="1139"/>
      <c r="W174" s="1139"/>
      <c r="X174" s="1139"/>
      <c r="Y174" s="1139"/>
      <c r="Z174" s="1139"/>
      <c r="AA174" s="1139"/>
      <c r="AB174" s="1139"/>
      <c r="AC174" s="1139"/>
      <c r="AD174" s="1139"/>
      <c r="AE174" s="1139"/>
    </row>
    <row r="175" spans="1:38" ht="36" customHeight="1" x14ac:dyDescent="0.2">
      <c r="AE175" s="520"/>
    </row>
    <row r="176" spans="1:38" ht="19.5" customHeight="1" thickBot="1" x14ac:dyDescent="0.25">
      <c r="W176" s="500"/>
      <c r="X176" s="520" t="str">
        <f ca="1">INDIRECT("AE"&amp;Y176)</f>
        <v>C6-Coll6Ville6</v>
      </c>
      <c r="Y176" s="500">
        <f>Z177+2</f>
        <v>8</v>
      </c>
      <c r="Z176" s="501" t="str">
        <f ca="1">INDIRECT("AF"&amp;Y176)</f>
        <v>C3-Coll3Ville3</v>
      </c>
      <c r="AA176" s="500"/>
      <c r="AB176" s="500"/>
      <c r="AD176" s="679"/>
      <c r="AE176" s="679"/>
      <c r="AF176" s="679"/>
      <c r="AG176" s="679"/>
      <c r="AH176" s="679"/>
      <c r="AI176" s="679"/>
      <c r="AJ176" s="679"/>
      <c r="AK176" s="679"/>
      <c r="AL176" s="679"/>
    </row>
    <row r="177" spans="1:44" s="218" customFormat="1" ht="36" thickBot="1" x14ac:dyDescent="0.25">
      <c r="F177" s="576" t="s">
        <v>546</v>
      </c>
      <c r="G177" s="865" t="str">
        <f>G148</f>
        <v>D1</v>
      </c>
      <c r="I177" s="863" t="str">
        <f>"   "&amp;Championnat</f>
        <v xml:space="preserve">   Championnat de France de Tir à l'ARC</v>
      </c>
      <c r="T177" s="197"/>
      <c r="U177" s="197"/>
      <c r="V177" s="197"/>
      <c r="W177" s="197"/>
      <c r="Y177" s="502" t="s">
        <v>849</v>
      </c>
      <c r="Z177" s="503">
        <f>Z148+1</f>
        <v>6</v>
      </c>
      <c r="AB177" s="254"/>
      <c r="AC177" s="254"/>
      <c r="AD177" s="681"/>
      <c r="AE177" s="680"/>
      <c r="AF177" s="681"/>
      <c r="AH177" s="662"/>
      <c r="AI177" s="662"/>
      <c r="AJ177" s="662"/>
      <c r="AK177" s="662"/>
      <c r="AL177" s="662"/>
      <c r="AM177" s="217"/>
      <c r="AN177" s="217"/>
      <c r="AO177" s="217"/>
      <c r="AP177" s="217"/>
      <c r="AQ177" s="217"/>
      <c r="AR177" s="217"/>
    </row>
    <row r="178" spans="1:44" ht="36" thickBot="1" x14ac:dyDescent="0.25">
      <c r="F178" s="661" t="s">
        <v>628</v>
      </c>
      <c r="G178" s="660">
        <f ca="1">INDIRECT("AD"&amp;Y176)</f>
        <v>6</v>
      </c>
      <c r="I178" s="706" t="str">
        <f>CATEG_IMPORTEE</f>
        <v>Collèges Mixtes Etablissement</v>
      </c>
      <c r="S178" s="864" t="str">
        <f>LIEU&amp;" du "&amp;DATE</f>
        <v>L’Isle sur la Sorgue du 27 au 31 mars 2023</v>
      </c>
      <c r="AB178" s="254"/>
      <c r="AC178" s="254"/>
      <c r="AD178" s="681"/>
      <c r="AE178" s="680"/>
      <c r="AF178" s="681"/>
      <c r="AG178" s="679"/>
      <c r="AH178" s="679"/>
      <c r="AI178" s="679"/>
      <c r="AJ178" s="679"/>
      <c r="AK178" s="679"/>
      <c r="AL178" s="679"/>
    </row>
    <row r="179" spans="1:44" ht="24" customHeight="1" x14ac:dyDescent="0.2">
      <c r="A179" s="1075" t="s">
        <v>0</v>
      </c>
      <c r="B179" s="1075"/>
      <c r="C179" s="1075"/>
      <c r="D179" s="1075"/>
      <c r="E179" s="1075"/>
      <c r="F179" s="1075"/>
      <c r="G179" s="1075"/>
      <c r="H179" s="1075"/>
      <c r="I179" s="1075"/>
      <c r="J179" s="1075"/>
      <c r="Q179" s="1075" t="s">
        <v>0</v>
      </c>
      <c r="R179" s="1075"/>
      <c r="S179" s="1075"/>
      <c r="T179" s="1075"/>
      <c r="U179" s="1075"/>
      <c r="V179" s="1075"/>
      <c r="W179" s="1075"/>
      <c r="X179" s="1075"/>
      <c r="Y179" s="1075"/>
      <c r="Z179" s="1075"/>
      <c r="AB179" s="254"/>
      <c r="AC179" s="254"/>
      <c r="AD179" s="681"/>
      <c r="AE179" s="680"/>
      <c r="AF179" s="681"/>
      <c r="AG179" s="679"/>
      <c r="AH179" s="679"/>
      <c r="AI179" s="679"/>
      <c r="AJ179" s="679"/>
      <c r="AK179" s="679"/>
      <c r="AL179" s="679"/>
    </row>
    <row r="180" spans="1:44" ht="31.5" customHeight="1" x14ac:dyDescent="0.2">
      <c r="A180" s="1144" t="str">
        <f ca="1">IFERROR(VLOOKUP(X176,Num_AS,2,FALSE),"")</f>
        <v/>
      </c>
      <c r="B180" s="1144"/>
      <c r="C180" s="1144"/>
      <c r="D180" s="1144"/>
      <c r="E180" s="1144"/>
      <c r="F180" s="1144"/>
      <c r="G180" s="1144"/>
      <c r="H180" s="1144"/>
      <c r="I180" s="1144"/>
      <c r="J180" s="1144"/>
      <c r="K180" s="869" t="s">
        <v>1299</v>
      </c>
      <c r="L180" s="1145" t="s">
        <v>547</v>
      </c>
      <c r="M180" s="1145"/>
      <c r="N180" s="1145"/>
      <c r="O180" s="870" t="s">
        <v>1298</v>
      </c>
      <c r="Q180" s="1144" t="str">
        <f ca="1">IFERROR(VLOOKUP(Z176,Num_AS,2,FALSE),"")</f>
        <v/>
      </c>
      <c r="R180" s="1144"/>
      <c r="S180" s="1144"/>
      <c r="T180" s="1144"/>
      <c r="U180" s="1144"/>
      <c r="V180" s="1144"/>
      <c r="W180" s="1144"/>
      <c r="X180" s="1144"/>
      <c r="Y180" s="1144"/>
      <c r="Z180" s="1144"/>
      <c r="AB180" s="254"/>
      <c r="AC180" s="254"/>
      <c r="AD180" s="681"/>
      <c r="AE180" s="680"/>
      <c r="AF180" s="681"/>
      <c r="AG180" s="679"/>
      <c r="AH180" s="679"/>
      <c r="AI180" s="679"/>
      <c r="AJ180" s="679"/>
      <c r="AK180" s="679"/>
      <c r="AL180" s="679"/>
    </row>
    <row r="181" spans="1:44" ht="20.100000000000001" customHeight="1" thickBot="1" x14ac:dyDescent="0.25">
      <c r="A181" s="1124" t="s">
        <v>1006</v>
      </c>
      <c r="B181" s="1124"/>
      <c r="C181" s="1125"/>
      <c r="D181" s="1125"/>
      <c r="E181" s="1125"/>
      <c r="F181" s="1125"/>
      <c r="G181" s="1125"/>
      <c r="H181" s="1125"/>
      <c r="I181" s="1125"/>
      <c r="J181" s="1125"/>
      <c r="L181" s="871"/>
      <c r="M181" s="871"/>
      <c r="N181" s="871"/>
      <c r="Q181" s="1124" t="s">
        <v>1005</v>
      </c>
      <c r="R181" s="1124"/>
      <c r="S181" s="1125"/>
      <c r="T181" s="1125"/>
      <c r="U181" s="1125"/>
      <c r="V181" s="1125"/>
      <c r="W181" s="1125"/>
      <c r="X181" s="1125"/>
      <c r="Y181" s="1125"/>
      <c r="Z181" s="1125"/>
      <c r="AB181" s="254"/>
      <c r="AC181" s="254"/>
      <c r="AD181" s="681"/>
      <c r="AE181" s="680"/>
      <c r="AF181" s="681"/>
      <c r="AG181" s="679"/>
      <c r="AH181" s="679"/>
      <c r="AI181" s="679"/>
      <c r="AJ181" s="679"/>
      <c r="AK181" s="679"/>
      <c r="AL181" s="679"/>
    </row>
    <row r="182" spans="1:44" ht="27.75" customHeight="1" x14ac:dyDescent="0.2">
      <c r="A182" s="1117" t="str">
        <f ca="1">IFERROR(VLOOKUP(X176,Num_AS,3,FALSE),"")</f>
        <v/>
      </c>
      <c r="B182" s="1150"/>
      <c r="C182" s="1118"/>
      <c r="D182" s="1151"/>
      <c r="E182" s="1151"/>
      <c r="F182" s="1151"/>
      <c r="G182" s="1151"/>
      <c r="H182" s="1151"/>
      <c r="I182" s="1151"/>
      <c r="J182" s="1119"/>
      <c r="O182" s="219"/>
      <c r="P182" s="219"/>
      <c r="Q182" s="1117" t="str">
        <f ca="1">IFERROR(VLOOKUP(Z176,Num_AS,3,FALSE),"")</f>
        <v/>
      </c>
      <c r="R182" s="1150"/>
      <c r="S182" s="1118"/>
      <c r="T182" s="1151"/>
      <c r="U182" s="1151"/>
      <c r="V182" s="1151"/>
      <c r="W182" s="1151"/>
      <c r="X182" s="1151"/>
      <c r="Y182" s="1151"/>
      <c r="Z182" s="1119"/>
      <c r="AB182" s="254"/>
      <c r="AC182" s="254"/>
      <c r="AD182" s="681"/>
      <c r="AE182" s="680"/>
      <c r="AF182" s="681"/>
      <c r="AG182" s="679"/>
      <c r="AH182" s="679"/>
      <c r="AI182" s="679"/>
      <c r="AJ182" s="679"/>
      <c r="AK182" s="679"/>
      <c r="AL182" s="679"/>
    </row>
    <row r="183" spans="1:44" ht="27.75" customHeight="1" thickBot="1" x14ac:dyDescent="0.25">
      <c r="A183" s="1107" t="str">
        <f ca="1">IFERROR(VLOOKUP(X176,Num_AS,4,FALSE),"")</f>
        <v/>
      </c>
      <c r="B183" s="1152"/>
      <c r="C183" s="1108"/>
      <c r="D183" s="1153"/>
      <c r="E183" s="1153"/>
      <c r="F183" s="1153"/>
      <c r="G183" s="1153"/>
      <c r="H183" s="1153"/>
      <c r="I183" s="1153"/>
      <c r="J183" s="1109"/>
      <c r="Q183" s="1107" t="str">
        <f ca="1">IFERROR(VLOOKUP(Z176,Num_AS,4,FALSE),"")</f>
        <v/>
      </c>
      <c r="R183" s="1152"/>
      <c r="S183" s="1108"/>
      <c r="T183" s="1153"/>
      <c r="U183" s="1153"/>
      <c r="V183" s="1153"/>
      <c r="W183" s="1153"/>
      <c r="X183" s="1153"/>
      <c r="Y183" s="1153"/>
      <c r="Z183" s="1109"/>
      <c r="AB183" s="254"/>
      <c r="AC183" s="254"/>
      <c r="AD183" s="681"/>
      <c r="AE183" s="680"/>
      <c r="AF183" s="681"/>
      <c r="AG183" s="679"/>
      <c r="AH183" s="679"/>
      <c r="AI183" s="679"/>
      <c r="AJ183" s="679"/>
      <c r="AK183" s="679"/>
      <c r="AL183" s="679"/>
    </row>
    <row r="184" spans="1:44" ht="36" customHeight="1" thickBot="1" x14ac:dyDescent="0.25">
      <c r="A184" s="1156" t="s">
        <v>1330</v>
      </c>
      <c r="B184" s="1157"/>
      <c r="C184" s="1157"/>
      <c r="D184" s="1158"/>
      <c r="E184" s="947">
        <f ca="1">VLOOKUP(A180&amp;A182,PTS_SP,3,FALSE)</f>
        <v>0</v>
      </c>
      <c r="Q184" s="1156" t="s">
        <v>1330</v>
      </c>
      <c r="R184" s="1157"/>
      <c r="S184" s="1157"/>
      <c r="T184" s="1158"/>
      <c r="U184" s="947">
        <f ca="1">VLOOKUP(Q180&amp;Q182,PTS_SP,3,FALSE)</f>
        <v>0</v>
      </c>
      <c r="AB184" s="254"/>
      <c r="AC184" s="254"/>
      <c r="AD184" s="681"/>
      <c r="AE184" s="680"/>
      <c r="AF184" s="681"/>
      <c r="AG184" s="679"/>
      <c r="AH184" s="679"/>
      <c r="AI184" s="679"/>
      <c r="AJ184" s="679"/>
      <c r="AK184" s="679"/>
      <c r="AL184" s="679"/>
    </row>
    <row r="185" spans="1:44" ht="38.25" customHeight="1" x14ac:dyDescent="0.2">
      <c r="A185" s="701"/>
      <c r="B185" s="701"/>
      <c r="C185" s="853"/>
      <c r="D185" s="861" t="s">
        <v>1290</v>
      </c>
      <c r="E185" s="853"/>
      <c r="F185" s="854"/>
      <c r="G185" s="854"/>
      <c r="H185" s="872" t="s">
        <v>1295</v>
      </c>
      <c r="I185" s="855"/>
      <c r="J185" s="853"/>
      <c r="K185" s="853"/>
      <c r="L185" s="853"/>
      <c r="M185" s="859"/>
      <c r="N185" s="860" t="s">
        <v>1291</v>
      </c>
      <c r="O185" s="853"/>
      <c r="P185" s="249"/>
      <c r="Q185" s="701"/>
      <c r="R185" s="701"/>
      <c r="S185" s="853"/>
      <c r="T185" s="861" t="s">
        <v>1290</v>
      </c>
      <c r="U185" s="853"/>
      <c r="V185" s="854"/>
      <c r="W185" s="854"/>
      <c r="X185" s="872" t="s">
        <v>1302</v>
      </c>
      <c r="Y185" s="855"/>
      <c r="Z185" s="853"/>
      <c r="AA185" s="853"/>
      <c r="AB185" s="853"/>
      <c r="AC185" s="859"/>
      <c r="AD185" s="860" t="s">
        <v>1291</v>
      </c>
      <c r="AE185" s="853"/>
      <c r="AF185" s="681"/>
      <c r="AG185" s="681"/>
      <c r="AH185" s="681"/>
      <c r="AI185" s="681"/>
      <c r="AJ185" s="679"/>
      <c r="AK185" s="679"/>
      <c r="AL185" s="679"/>
    </row>
    <row r="186" spans="1:44" ht="38.25" customHeight="1" x14ac:dyDescent="0.2">
      <c r="A186" s="856" t="s">
        <v>509</v>
      </c>
      <c r="B186" s="942" t="s">
        <v>1329</v>
      </c>
      <c r="C186" s="857">
        <v>1</v>
      </c>
      <c r="D186" s="857">
        <v>2</v>
      </c>
      <c r="E186" s="857">
        <v>3</v>
      </c>
      <c r="F186" s="857">
        <v>4</v>
      </c>
      <c r="G186" s="857">
        <v>5</v>
      </c>
      <c r="H186" s="857">
        <v>6</v>
      </c>
      <c r="I186" s="857">
        <v>7</v>
      </c>
      <c r="J186" s="857">
        <v>8</v>
      </c>
      <c r="K186" s="858" t="s">
        <v>1286</v>
      </c>
      <c r="L186" s="1154" t="s">
        <v>1287</v>
      </c>
      <c r="M186" s="1154"/>
      <c r="N186" s="1154"/>
      <c r="O186" s="858" t="s">
        <v>1288</v>
      </c>
      <c r="P186" s="844"/>
      <c r="Q186" s="856" t="s">
        <v>509</v>
      </c>
      <c r="R186" s="942" t="s">
        <v>1329</v>
      </c>
      <c r="S186" s="857">
        <v>1</v>
      </c>
      <c r="T186" s="857">
        <v>2</v>
      </c>
      <c r="U186" s="857">
        <v>3</v>
      </c>
      <c r="V186" s="857">
        <v>4</v>
      </c>
      <c r="W186" s="857">
        <v>5</v>
      </c>
      <c r="X186" s="857">
        <v>6</v>
      </c>
      <c r="Y186" s="857">
        <v>7</v>
      </c>
      <c r="Z186" s="857">
        <v>8</v>
      </c>
      <c r="AA186" s="858" t="s">
        <v>1286</v>
      </c>
      <c r="AB186" s="1154" t="s">
        <v>1287</v>
      </c>
      <c r="AC186" s="1154"/>
      <c r="AD186" s="1154"/>
      <c r="AE186" s="858" t="s">
        <v>1288</v>
      </c>
      <c r="AF186" s="681"/>
      <c r="AG186" s="681"/>
      <c r="AH186" s="681"/>
      <c r="AI186" s="681"/>
      <c r="AJ186" s="679"/>
      <c r="AK186" s="679"/>
      <c r="AL186" s="679"/>
    </row>
    <row r="187" spans="1:44" ht="30" customHeight="1" x14ac:dyDescent="0.25">
      <c r="A187" s="846" t="s">
        <v>1282</v>
      </c>
      <c r="B187" s="948">
        <f ca="1">E184</f>
        <v>0</v>
      </c>
      <c r="C187" s="843"/>
      <c r="D187" s="843"/>
      <c r="E187" s="843"/>
      <c r="F187" s="843"/>
      <c r="G187" s="847"/>
      <c r="H187" s="848"/>
      <c r="I187" s="846"/>
      <c r="J187" s="843"/>
      <c r="K187" s="843"/>
      <c r="L187" s="849">
        <f ca="1">IF(Q180="Matchs de CLASSEMENT","X",2)</f>
        <v>2</v>
      </c>
      <c r="M187" s="849">
        <f ca="1">IF(Q180="Matchs de CLASSEMENT","X",1)</f>
        <v>1</v>
      </c>
      <c r="N187" s="849">
        <f ca="1">IF(Q180="Matchs de CLASSEMENT","X",0)</f>
        <v>0</v>
      </c>
      <c r="O187" s="849" t="str">
        <f ca="1">IF(Q180="Matchs de CLASSEMENT","X","")</f>
        <v/>
      </c>
      <c r="P187" s="842"/>
      <c r="Q187" s="849" t="str">
        <f ca="1">IF(Q180="Matchs de CLASSEMENT","X","V1")</f>
        <v>V1</v>
      </c>
      <c r="R187" s="948">
        <f ca="1">U184</f>
        <v>0</v>
      </c>
      <c r="S187" s="849" t="str">
        <f ca="1">IF(Q180="Matchs de CLASSEMENT","X","")</f>
        <v/>
      </c>
      <c r="T187" s="849" t="str">
        <f ca="1">IF(Q180="Matchs de CLASSEMENT","X","")</f>
        <v/>
      </c>
      <c r="U187" s="849" t="str">
        <f ca="1">IF(Q180="Matchs de CLASSEMENT","X","")</f>
        <v/>
      </c>
      <c r="V187" s="849" t="str">
        <f ca="1">IF(Q180="Matchs de CLASSEMENT","X","")</f>
        <v/>
      </c>
      <c r="W187" s="849" t="str">
        <f ca="1">IF(Q180="Matchs de CLASSEMENT","X","")</f>
        <v/>
      </c>
      <c r="X187" s="849" t="str">
        <f ca="1">IF(Q180="Matchs de CLASSEMENT","X","")</f>
        <v/>
      </c>
      <c r="Y187" s="849" t="str">
        <f ca="1">IF(Q180="Matchs de CLASSEMENT","X","")</f>
        <v/>
      </c>
      <c r="Z187" s="849" t="str">
        <f ca="1">IF(Q180="Matchs de CLASSEMENT","X","")</f>
        <v/>
      </c>
      <c r="AA187" s="849" t="str">
        <f ca="1">IF(Q180="Matchs de CLASSEMENT","X","")</f>
        <v/>
      </c>
      <c r="AB187" s="849">
        <f ca="1">IF(Q180="Matchs de CLASSEMENT","X",2)</f>
        <v>2</v>
      </c>
      <c r="AC187" s="849">
        <f ca="1">IF(Q180="Matchs de CLASSEMENT","X",1)</f>
        <v>1</v>
      </c>
      <c r="AD187" s="849">
        <f ca="1">IF(Q180="Matchs de CLASSEMENT","X",0)</f>
        <v>0</v>
      </c>
      <c r="AE187" s="849" t="str">
        <f ca="1">IF(Q180="Matchs de CLASSEMENT","X","")</f>
        <v/>
      </c>
      <c r="AF187" s="679"/>
      <c r="AG187" s="679"/>
      <c r="AH187" s="679"/>
      <c r="AI187" s="679"/>
      <c r="AJ187" s="679"/>
      <c r="AK187" s="679"/>
      <c r="AL187" s="679"/>
    </row>
    <row r="188" spans="1:44" ht="30" customHeight="1" x14ac:dyDescent="0.25">
      <c r="A188" s="846" t="s">
        <v>1283</v>
      </c>
      <c r="B188" s="948">
        <f ca="1">B187</f>
        <v>0</v>
      </c>
      <c r="C188" s="843"/>
      <c r="D188" s="843"/>
      <c r="E188" s="843"/>
      <c r="F188" s="843"/>
      <c r="G188" s="847"/>
      <c r="H188" s="848"/>
      <c r="I188" s="846"/>
      <c r="J188" s="843"/>
      <c r="K188" s="843"/>
      <c r="L188" s="849">
        <f ca="1">IF(Q180="Matchs de CLASSEMENT","X",2)</f>
        <v>2</v>
      </c>
      <c r="M188" s="849">
        <f ca="1">IF(Q180="Matchs de CLASSEMENT","X",1)</f>
        <v>1</v>
      </c>
      <c r="N188" s="849">
        <f ca="1">IF(Q180="Matchs de CLASSEMENT","X",0)</f>
        <v>0</v>
      </c>
      <c r="O188" s="849" t="str">
        <f ca="1">IF(Q180="Matchs de CLASSEMENT","X","")</f>
        <v/>
      </c>
      <c r="P188" s="842"/>
      <c r="Q188" s="849" t="str">
        <f ca="1">IF(Q180="Matchs de CLASSEMENT","X","V2")</f>
        <v>V2</v>
      </c>
      <c r="R188" s="948">
        <f ca="1">R187</f>
        <v>0</v>
      </c>
      <c r="S188" s="849" t="str">
        <f ca="1">IF(Q180="Matchs de CLASSEMENT","X","")</f>
        <v/>
      </c>
      <c r="T188" s="849" t="str">
        <f ca="1">IF(Q180="Matchs de CLASSEMENT","X","")</f>
        <v/>
      </c>
      <c r="U188" s="849" t="str">
        <f ca="1">IF(Q180="Matchs de CLASSEMENT","X","")</f>
        <v/>
      </c>
      <c r="V188" s="849" t="str">
        <f ca="1">IF(Q180="Matchs de CLASSEMENT","X","")</f>
        <v/>
      </c>
      <c r="W188" s="849" t="str">
        <f ca="1">IF(Q180="Matchs de CLASSEMENT","X","")</f>
        <v/>
      </c>
      <c r="X188" s="849" t="str">
        <f ca="1">IF(Q180="Matchs de CLASSEMENT","X","")</f>
        <v/>
      </c>
      <c r="Y188" s="849" t="str">
        <f ca="1">IF(Q180="Matchs de CLASSEMENT","X","")</f>
        <v/>
      </c>
      <c r="Z188" s="849" t="str">
        <f ca="1">IF(Q180="Matchs de CLASSEMENT","X","")</f>
        <v/>
      </c>
      <c r="AA188" s="849" t="str">
        <f ca="1">IF(Q180="Matchs de CLASSEMENT","X","")</f>
        <v/>
      </c>
      <c r="AB188" s="849">
        <f ca="1">IF(Q180="Matchs de CLASSEMENT","X",2)</f>
        <v>2</v>
      </c>
      <c r="AC188" s="849">
        <f ca="1">IF(Q180="Matchs de CLASSEMENT","X",1)</f>
        <v>1</v>
      </c>
      <c r="AD188" s="849">
        <f ca="1">IF(Q180="Matchs de CLASSEMENT","X",0)</f>
        <v>0</v>
      </c>
      <c r="AE188" s="849" t="str">
        <f ca="1">IF(Q180="Matchs de CLASSEMENT","X","")</f>
        <v/>
      </c>
      <c r="AF188" s="679"/>
      <c r="AG188" s="679"/>
      <c r="AH188" s="679"/>
      <c r="AI188" s="679"/>
      <c r="AJ188" s="679"/>
      <c r="AK188" s="679"/>
      <c r="AL188" s="679"/>
    </row>
    <row r="189" spans="1:44" ht="30" customHeight="1" x14ac:dyDescent="0.25">
      <c r="A189" s="846" t="s">
        <v>1284</v>
      </c>
      <c r="B189" s="948">
        <f t="shared" ref="B189:B190" ca="1" si="11">B188</f>
        <v>0</v>
      </c>
      <c r="C189" s="843"/>
      <c r="D189" s="843"/>
      <c r="E189" s="843"/>
      <c r="F189" s="843"/>
      <c r="G189" s="847"/>
      <c r="H189" s="848"/>
      <c r="I189" s="846"/>
      <c r="J189" s="843"/>
      <c r="K189" s="843"/>
      <c r="L189" s="849">
        <f ca="1">IF(Q180="Matchs de CLASSEMENT","X",2)</f>
        <v>2</v>
      </c>
      <c r="M189" s="849">
        <f ca="1">IF(Q180="Matchs de CLASSEMENT","X",1)</f>
        <v>1</v>
      </c>
      <c r="N189" s="849">
        <f ca="1">IF(Q180="Matchs de CLASSEMENT","X",0)</f>
        <v>0</v>
      </c>
      <c r="O189" s="849" t="str">
        <f ca="1">IF(Q180="Matchs de CLASSEMENT","X","")</f>
        <v/>
      </c>
      <c r="P189" s="842"/>
      <c r="Q189" s="849" t="str">
        <f ca="1">IF(Q180="Matchs de CLASSEMENT","X","V3")</f>
        <v>V3</v>
      </c>
      <c r="R189" s="948">
        <f t="shared" ref="R189:R190" ca="1" si="12">R188</f>
        <v>0</v>
      </c>
      <c r="S189" s="849" t="str">
        <f ca="1">IF(Q180="Matchs de CLASSEMENT","X","")</f>
        <v/>
      </c>
      <c r="T189" s="849" t="str">
        <f ca="1">IF(Q180="Matchs de CLASSEMENT","X","")</f>
        <v/>
      </c>
      <c r="U189" s="849" t="str">
        <f ca="1">IF(Q180="Matchs de CLASSEMENT","X","")</f>
        <v/>
      </c>
      <c r="V189" s="849" t="str">
        <f ca="1">IF(Q180="Matchs de CLASSEMENT","X","")</f>
        <v/>
      </c>
      <c r="W189" s="849" t="str">
        <f ca="1">IF(Q180="Matchs de CLASSEMENT","X","")</f>
        <v/>
      </c>
      <c r="X189" s="849" t="str">
        <f ca="1">IF(Q180="Matchs de CLASSEMENT","X","")</f>
        <v/>
      </c>
      <c r="Y189" s="849" t="str">
        <f ca="1">IF(Q180="Matchs de CLASSEMENT","X","")</f>
        <v/>
      </c>
      <c r="Z189" s="849" t="str">
        <f ca="1">IF(Q180="Matchs de CLASSEMENT","X","")</f>
        <v/>
      </c>
      <c r="AA189" s="849" t="str">
        <f ca="1">IF(Q180="Matchs de CLASSEMENT","X","")</f>
        <v/>
      </c>
      <c r="AB189" s="849">
        <f ca="1">IF(Q180="Matchs de CLASSEMENT","X",2)</f>
        <v>2</v>
      </c>
      <c r="AC189" s="849">
        <f ca="1">IF(Q180="Matchs de CLASSEMENT","X",1)</f>
        <v>1</v>
      </c>
      <c r="AD189" s="849">
        <f ca="1">IF(Q180="Matchs de CLASSEMENT","X",0)</f>
        <v>0</v>
      </c>
      <c r="AE189" s="849" t="str">
        <f ca="1">IF(Q180="Matchs de CLASSEMENT","X","")</f>
        <v/>
      </c>
      <c r="AF189" s="679"/>
      <c r="AG189" s="679"/>
      <c r="AH189" s="679"/>
      <c r="AI189" s="679"/>
      <c r="AJ189" s="679"/>
      <c r="AK189" s="679"/>
      <c r="AL189" s="679"/>
    </row>
    <row r="190" spans="1:44" ht="30" customHeight="1" x14ac:dyDescent="0.25">
      <c r="A190" s="846" t="s">
        <v>1285</v>
      </c>
      <c r="B190" s="948">
        <f t="shared" ca="1" si="11"/>
        <v>0</v>
      </c>
      <c r="C190" s="843"/>
      <c r="D190" s="843"/>
      <c r="E190" s="843"/>
      <c r="F190" s="843"/>
      <c r="G190" s="847"/>
      <c r="H190" s="848"/>
      <c r="I190" s="846"/>
      <c r="J190" s="843"/>
      <c r="K190" s="843"/>
      <c r="L190" s="849">
        <f ca="1">IF(Q180="Matchs de CLASSEMENT","X",2)</f>
        <v>2</v>
      </c>
      <c r="M190" s="849">
        <f ca="1">IF(Q180="Matchs de CLASSEMENT","X",1)</f>
        <v>1</v>
      </c>
      <c r="N190" s="849">
        <f ca="1">IF(Q180="Matchs de CLASSEMENT","X",0)</f>
        <v>0</v>
      </c>
      <c r="O190" s="849" t="str">
        <f ca="1">IF(Q180="Matchs de CLASSEMENT","X","")</f>
        <v/>
      </c>
      <c r="P190" s="842"/>
      <c r="Q190" s="849" t="str">
        <f ca="1">IF(Q180="Matchs de CLASSEMENT","X","V4")</f>
        <v>V4</v>
      </c>
      <c r="R190" s="948">
        <f t="shared" ca="1" si="12"/>
        <v>0</v>
      </c>
      <c r="S190" s="849" t="str">
        <f ca="1">IF(Q180="Matchs de CLASSEMENT","X","")</f>
        <v/>
      </c>
      <c r="T190" s="849" t="str">
        <f ca="1">IF(Q180="Matchs de CLASSEMENT","X","")</f>
        <v/>
      </c>
      <c r="U190" s="849" t="str">
        <f ca="1">IF(Q180="Matchs de CLASSEMENT","X","")</f>
        <v/>
      </c>
      <c r="V190" s="849" t="str">
        <f ca="1">IF(Q180="Matchs de CLASSEMENT","X","")</f>
        <v/>
      </c>
      <c r="W190" s="849" t="str">
        <f ca="1">IF(Q180="Matchs de CLASSEMENT","X","")</f>
        <v/>
      </c>
      <c r="X190" s="849" t="str">
        <f ca="1">IF(Q180="Matchs de CLASSEMENT","X","")</f>
        <v/>
      </c>
      <c r="Y190" s="849" t="str">
        <f ca="1">IF(Q180="Matchs de CLASSEMENT","X","")</f>
        <v/>
      </c>
      <c r="Z190" s="849" t="str">
        <f ca="1">IF(Q180="Matchs de CLASSEMENT","X","")</f>
        <v/>
      </c>
      <c r="AA190" s="849" t="str">
        <f ca="1">IF(Q180="Matchs de CLASSEMENT","X","")</f>
        <v/>
      </c>
      <c r="AB190" s="849">
        <f ca="1">IF(Q180="Matchs de CLASSEMENT","X",2)</f>
        <v>2</v>
      </c>
      <c r="AC190" s="849">
        <f ca="1">IF(Q180="Matchs de CLASSEMENT","X",1)</f>
        <v>1</v>
      </c>
      <c r="AD190" s="849">
        <f ca="1">IF(Q180="Matchs de CLASSEMENT","X",0)</f>
        <v>0</v>
      </c>
      <c r="AE190" s="849" t="str">
        <f ca="1">IF(Q180="Matchs de CLASSEMENT","X","")</f>
        <v/>
      </c>
      <c r="AF190" s="679"/>
      <c r="AG190" s="679"/>
      <c r="AH190" s="679"/>
      <c r="AI190" s="679"/>
      <c r="AJ190" s="679"/>
      <c r="AK190" s="679"/>
      <c r="AL190" s="679"/>
    </row>
    <row r="191" spans="1:44" ht="30" customHeight="1" x14ac:dyDescent="0.2">
      <c r="N191" s="867" t="s">
        <v>1294</v>
      </c>
      <c r="O191" s="848"/>
      <c r="AD191" s="867" t="s">
        <v>1294</v>
      </c>
      <c r="AE191" s="866"/>
      <c r="AF191" s="679"/>
      <c r="AG191" s="679"/>
      <c r="AH191" s="679"/>
      <c r="AI191" s="679"/>
      <c r="AJ191" s="679"/>
      <c r="AK191" s="679"/>
      <c r="AL191" s="679"/>
    </row>
    <row r="192" spans="1:44" ht="12.75" customHeight="1" x14ac:dyDescent="0.2">
      <c r="AE192" s="520"/>
      <c r="AF192" s="679"/>
      <c r="AG192" s="679"/>
      <c r="AH192" s="679"/>
      <c r="AI192" s="679"/>
      <c r="AJ192" s="679"/>
      <c r="AK192" s="679"/>
      <c r="AL192" s="679"/>
    </row>
    <row r="193" spans="1:44" ht="18.75" customHeight="1" x14ac:dyDescent="0.2">
      <c r="A193" s="584"/>
      <c r="B193" s="584"/>
      <c r="C193" s="701" t="s">
        <v>1289</v>
      </c>
      <c r="D193" s="249"/>
      <c r="E193" s="196"/>
      <c r="F193" s="196"/>
      <c r="G193" s="584"/>
      <c r="H193" s="1155" t="s">
        <v>1301</v>
      </c>
      <c r="I193" s="1155"/>
      <c r="J193" s="1155"/>
      <c r="K193" s="1155"/>
      <c r="L193" s="1155"/>
      <c r="M193" s="1155"/>
      <c r="N193" s="1155"/>
      <c r="O193" s="1155"/>
      <c r="P193" s="842"/>
      <c r="Q193" s="219"/>
      <c r="R193" s="219"/>
      <c r="S193" s="701" t="s">
        <v>1289</v>
      </c>
      <c r="T193" s="249"/>
      <c r="U193" s="196"/>
      <c r="V193" s="196"/>
      <c r="X193" s="1155" t="s">
        <v>1304</v>
      </c>
      <c r="Y193" s="1155"/>
      <c r="Z193" s="1155"/>
      <c r="AA193" s="1155"/>
      <c r="AB193" s="1155"/>
      <c r="AC193" s="1155"/>
      <c r="AD193" s="1155"/>
      <c r="AE193" s="1155"/>
      <c r="AF193" s="679"/>
      <c r="AG193" s="679"/>
      <c r="AH193" s="679"/>
      <c r="AI193" s="679"/>
      <c r="AJ193" s="679"/>
      <c r="AK193" s="679"/>
      <c r="AL193" s="679"/>
    </row>
    <row r="194" spans="1:44" ht="32.25" customHeight="1" x14ac:dyDescent="0.2">
      <c r="A194" s="584"/>
      <c r="B194" s="584"/>
      <c r="C194" s="850"/>
      <c r="D194" s="851"/>
      <c r="E194" s="852"/>
      <c r="F194" s="852"/>
      <c r="G194" s="584"/>
      <c r="H194" s="1149" t="s">
        <v>549</v>
      </c>
      <c r="I194" s="1149"/>
      <c r="J194" s="1149"/>
      <c r="K194" s="1149"/>
      <c r="L194" s="1149"/>
      <c r="M194" s="1146" t="s">
        <v>550</v>
      </c>
      <c r="N194" s="1147"/>
      <c r="O194" s="1148"/>
      <c r="P194" s="842"/>
      <c r="Q194" s="219"/>
      <c r="R194" s="219"/>
      <c r="S194" s="850"/>
      <c r="T194" s="851"/>
      <c r="U194" s="852"/>
      <c r="V194" s="852"/>
      <c r="X194" s="1149" t="s">
        <v>549</v>
      </c>
      <c r="Y194" s="1149"/>
      <c r="Z194" s="1149"/>
      <c r="AA194" s="1149"/>
      <c r="AB194" s="1149"/>
      <c r="AC194" s="1146" t="s">
        <v>550</v>
      </c>
      <c r="AD194" s="1147"/>
      <c r="AE194" s="1148"/>
      <c r="AG194" s="679"/>
      <c r="AH194" s="679"/>
      <c r="AI194" s="679"/>
      <c r="AJ194" s="679"/>
      <c r="AK194" s="679"/>
      <c r="AL194" s="679"/>
    </row>
    <row r="195" spans="1:44" ht="32.25" customHeight="1" x14ac:dyDescent="0.2">
      <c r="A195" s="584"/>
      <c r="B195" s="584"/>
      <c r="C195" s="850"/>
      <c r="D195" s="851"/>
      <c r="E195" s="852"/>
      <c r="F195" s="852"/>
      <c r="G195" s="584"/>
      <c r="H195" s="1140" t="str">
        <f ca="1">IFERROR(VLOOKUP(X176,Num_AS,6,FALSE)&amp;" "&amp;VLOOKUP(X176,Num_AS,7,FALSE),"")</f>
        <v/>
      </c>
      <c r="I195" s="1140"/>
      <c r="J195" s="1140"/>
      <c r="K195" s="1140"/>
      <c r="L195" s="1140"/>
      <c r="M195" s="1129" t="str">
        <f ca="1">IFERROR(VLOOKUP(X176,Num_AS,9,FALSE),"")</f>
        <v/>
      </c>
      <c r="N195" s="1130"/>
      <c r="O195" s="1131"/>
      <c r="P195" s="842"/>
      <c r="Q195" s="219"/>
      <c r="R195" s="219"/>
      <c r="S195" s="850"/>
      <c r="T195" s="851"/>
      <c r="U195" s="852"/>
      <c r="V195" s="852"/>
      <c r="W195" s="196"/>
      <c r="X195" s="1140" t="str">
        <f ca="1">IFERROR(VLOOKUP(Z176,Num_AS,6,FALSE)&amp;" "&amp;VLOOKUP(Z176,Num_AS,7,FALSE),"")</f>
        <v/>
      </c>
      <c r="Y195" s="1140"/>
      <c r="Z195" s="1140"/>
      <c r="AA195" s="1140"/>
      <c r="AB195" s="1140"/>
      <c r="AC195" s="1129" t="str">
        <f ca="1">IFERROR(VLOOKUP(Z176,Num_AS,9,FALSE),"")</f>
        <v/>
      </c>
      <c r="AD195" s="1130"/>
      <c r="AE195" s="1131"/>
    </row>
    <row r="196" spans="1:44" ht="32.25" customHeight="1" x14ac:dyDescent="0.2">
      <c r="A196" s="584"/>
      <c r="B196" s="584"/>
      <c r="C196" s="850"/>
      <c r="D196" s="851"/>
      <c r="E196" s="852"/>
      <c r="F196" s="852"/>
      <c r="G196" s="584"/>
      <c r="H196" s="1140" t="str">
        <f ca="1">IFERROR(VLOOKUP(X176,Num_AS,12,FALSE)&amp;" "&amp;VLOOKUP(X176,Num_AS,13,FALSE),"")</f>
        <v/>
      </c>
      <c r="I196" s="1140"/>
      <c r="J196" s="1140"/>
      <c r="K196" s="1140"/>
      <c r="L196" s="1140"/>
      <c r="M196" s="1129" t="str">
        <f ca="1">IFERROR(VLOOKUP(X176,Num_AS,15,FALSE),"")</f>
        <v/>
      </c>
      <c r="N196" s="1130"/>
      <c r="O196" s="1131">
        <f ca="1">G178</f>
        <v>6</v>
      </c>
      <c r="P196" s="842"/>
      <c r="Q196" s="219"/>
      <c r="R196" s="219"/>
      <c r="S196" s="850"/>
      <c r="T196" s="851"/>
      <c r="U196" s="852"/>
      <c r="V196" s="852"/>
      <c r="W196" s="196"/>
      <c r="X196" s="1140" t="str">
        <f ca="1">IFERROR(VLOOKUP(Z176,Num_AS,12,FALSE)&amp;" "&amp;VLOOKUP(Z176,Num_AS,13,FALSE),"")</f>
        <v/>
      </c>
      <c r="Y196" s="1140"/>
      <c r="Z196" s="1140"/>
      <c r="AA196" s="1140"/>
      <c r="AB196" s="1140"/>
      <c r="AC196" s="1129" t="str">
        <f ca="1">IFERROR(VLOOKUP(Z176,Num_AS,15,FALSE),"")</f>
        <v/>
      </c>
      <c r="AD196" s="1130"/>
      <c r="AE196" s="1131">
        <f>W178</f>
        <v>0</v>
      </c>
    </row>
    <row r="197" spans="1:44" ht="32.25" customHeight="1" x14ac:dyDescent="0.2">
      <c r="A197" s="584"/>
      <c r="B197" s="584"/>
      <c r="C197" s="584"/>
      <c r="D197" s="584"/>
      <c r="E197" s="584"/>
      <c r="F197" s="584"/>
      <c r="G197" s="584"/>
      <c r="H197" s="1140" t="str">
        <f ca="1">IFERROR(VLOOKUP(X176,Num_AS,18,FALSE)&amp;" "&amp;VLOOKUP(X176,Num_AS,19,FALSE),"")</f>
        <v/>
      </c>
      <c r="I197" s="1140"/>
      <c r="J197" s="1140"/>
      <c r="K197" s="1140"/>
      <c r="L197" s="1140"/>
      <c r="M197" s="1129" t="str">
        <f ca="1">IFERROR(VLOOKUP(X176,Num_AS,21,FALSE),"")</f>
        <v/>
      </c>
      <c r="N197" s="1130"/>
      <c r="O197" s="1131">
        <f ca="1">G178</f>
        <v>6</v>
      </c>
      <c r="P197" s="842"/>
      <c r="Q197" s="219"/>
      <c r="R197" s="219"/>
      <c r="S197" s="584"/>
      <c r="T197" s="584"/>
      <c r="U197" s="584"/>
      <c r="V197" s="584"/>
      <c r="W197" s="196"/>
      <c r="X197" s="1140" t="str">
        <f ca="1">IFERROR(VLOOKUP(Z176,Num_AS,18,FALSE)&amp;" "&amp;VLOOKUP(Z176,Num_AS,19,FALSE),"")</f>
        <v/>
      </c>
      <c r="Y197" s="1140"/>
      <c r="Z197" s="1140"/>
      <c r="AA197" s="1140"/>
      <c r="AB197" s="1140"/>
      <c r="AC197" s="1129" t="str">
        <f ca="1">IFERROR(VLOOKUP(Z176,Num_AS,21,FALSE),"")</f>
        <v/>
      </c>
      <c r="AD197" s="1130"/>
      <c r="AE197" s="1131">
        <f>W178</f>
        <v>0</v>
      </c>
    </row>
    <row r="198" spans="1:44" ht="32.25" customHeight="1" x14ac:dyDescent="0.2">
      <c r="A198" s="584"/>
      <c r="B198" s="584"/>
      <c r="C198" s="862"/>
      <c r="D198" s="1141" t="s">
        <v>1292</v>
      </c>
      <c r="E198" s="1142"/>
      <c r="F198" s="1143"/>
      <c r="G198" s="584"/>
      <c r="H198" s="1140" t="str">
        <f ca="1">IFERROR(VLOOKUP(X176,Num_AS,24,FALSE)&amp;" "&amp;VLOOKUP(X176,Num_AS,25,FALSE),"")</f>
        <v/>
      </c>
      <c r="I198" s="1140"/>
      <c r="J198" s="1140"/>
      <c r="K198" s="1140"/>
      <c r="L198" s="1140"/>
      <c r="M198" s="1129" t="str">
        <f ca="1">IFERROR(VLOOKUP(X176,Num_AS,9,FALSE),"")</f>
        <v/>
      </c>
      <c r="N198" s="1130"/>
      <c r="O198" s="1131">
        <f ca="1">G178</f>
        <v>6</v>
      </c>
      <c r="P198" s="842"/>
      <c r="Q198" s="219"/>
      <c r="R198" s="219"/>
      <c r="S198" s="862"/>
      <c r="T198" s="1141" t="s">
        <v>1292</v>
      </c>
      <c r="U198" s="1142"/>
      <c r="V198" s="1143"/>
      <c r="W198" s="196"/>
      <c r="X198" s="1140" t="str">
        <f ca="1">IFERROR(VLOOKUP(Z176,Num_AS,24,FALSE)&amp;" "&amp;VLOOKUP(Z176,Num_AS,25,FALSE),"")</f>
        <v/>
      </c>
      <c r="Y198" s="1140"/>
      <c r="Z198" s="1140"/>
      <c r="AA198" s="1140"/>
      <c r="AB198" s="1140"/>
      <c r="AC198" s="1129" t="str">
        <f ca="1">IFERROR(VLOOKUP(Z176,Num_AS,9,FALSE),"")</f>
        <v/>
      </c>
      <c r="AD198" s="1130"/>
      <c r="AE198" s="1131">
        <f>W178</f>
        <v>0</v>
      </c>
    </row>
    <row r="199" spans="1:44" ht="18.75" customHeight="1" thickBot="1" x14ac:dyDescent="0.25">
      <c r="A199" s="701"/>
      <c r="B199" s="701"/>
      <c r="C199" s="249"/>
      <c r="D199" s="249"/>
      <c r="E199" s="249"/>
      <c r="F199" s="701"/>
      <c r="G199" s="701"/>
      <c r="H199" s="196"/>
      <c r="I199" s="196"/>
      <c r="J199" s="249"/>
      <c r="K199" s="219"/>
      <c r="L199" s="219"/>
      <c r="M199" s="219"/>
      <c r="N199" s="219"/>
      <c r="O199" s="219"/>
      <c r="P199" s="219"/>
      <c r="Q199" s="219"/>
      <c r="R199" s="219"/>
      <c r="S199" s="219"/>
      <c r="T199" s="219"/>
      <c r="U199" s="219"/>
      <c r="V199" s="219"/>
      <c r="W199" s="219"/>
      <c r="X199" s="219"/>
      <c r="Y199" s="249"/>
      <c r="Z199" s="219"/>
      <c r="AE199" s="520"/>
    </row>
    <row r="200" spans="1:44" ht="32.25" customHeight="1" x14ac:dyDescent="0.25">
      <c r="A200" s="701"/>
      <c r="B200" s="701"/>
      <c r="D200" s="875" t="s">
        <v>1002</v>
      </c>
      <c r="E200" s="876"/>
      <c r="F200" s="876"/>
      <c r="G200" s="876"/>
      <c r="H200" s="876"/>
      <c r="I200" s="876"/>
      <c r="J200" s="876"/>
      <c r="K200" s="876"/>
      <c r="L200" s="876"/>
      <c r="M200" s="877" t="s">
        <v>1297</v>
      </c>
      <c r="N200" s="219"/>
      <c r="O200" s="1132" t="s">
        <v>1293</v>
      </c>
      <c r="P200" s="1133"/>
      <c r="Q200" s="1134"/>
      <c r="R200" s="941"/>
      <c r="T200" s="875" t="s">
        <v>1002</v>
      </c>
      <c r="U200" s="876"/>
      <c r="V200" s="876"/>
      <c r="W200" s="876"/>
      <c r="X200" s="876"/>
      <c r="Y200" s="876"/>
      <c r="Z200" s="876"/>
      <c r="AA200" s="876"/>
      <c r="AB200" s="876"/>
      <c r="AC200" s="877" t="s">
        <v>1296</v>
      </c>
      <c r="AE200" s="520"/>
    </row>
    <row r="201" spans="1:44" ht="70.5" customHeight="1" thickBot="1" x14ac:dyDescent="0.25">
      <c r="A201" s="701"/>
      <c r="B201" s="701"/>
      <c r="D201" s="878"/>
      <c r="E201" s="879"/>
      <c r="F201" s="879"/>
      <c r="G201" s="879"/>
      <c r="H201" s="879"/>
      <c r="I201" s="879"/>
      <c r="J201" s="879"/>
      <c r="K201" s="879"/>
      <c r="L201" s="879"/>
      <c r="M201" s="880"/>
      <c r="N201" s="219"/>
      <c r="O201" s="1135"/>
      <c r="P201" s="1136"/>
      <c r="Q201" s="1137"/>
      <c r="R201" s="941"/>
      <c r="T201" s="878"/>
      <c r="U201" s="879"/>
      <c r="V201" s="879"/>
      <c r="W201" s="879"/>
      <c r="X201" s="879"/>
      <c r="Y201" s="879"/>
      <c r="Z201" s="879"/>
      <c r="AA201" s="879"/>
      <c r="AB201" s="879"/>
      <c r="AC201" s="880"/>
      <c r="AE201" s="520"/>
    </row>
    <row r="202" spans="1:44" ht="6.75" customHeight="1" x14ac:dyDescent="0.25">
      <c r="A202" s="701"/>
      <c r="B202" s="701"/>
      <c r="C202" s="249"/>
      <c r="D202" s="249"/>
      <c r="E202" s="249"/>
      <c r="F202" s="701"/>
      <c r="G202" s="701"/>
      <c r="H202" s="196"/>
      <c r="I202" s="196"/>
      <c r="J202" s="249"/>
      <c r="K202" s="219"/>
      <c r="L202" s="842"/>
      <c r="M202" s="842"/>
      <c r="N202" s="842"/>
      <c r="O202" s="842"/>
      <c r="P202" s="842"/>
      <c r="Q202" s="842"/>
      <c r="R202" s="842"/>
      <c r="T202" s="845"/>
      <c r="U202" s="842"/>
      <c r="V202" s="842"/>
      <c r="W202" s="649"/>
      <c r="X202" s="845"/>
      <c r="Y202" s="842"/>
      <c r="Z202" s="842"/>
      <c r="AE202" s="520"/>
    </row>
    <row r="203" spans="1:44" ht="27.75" customHeight="1" x14ac:dyDescent="0.2">
      <c r="A203" s="701"/>
      <c r="B203" s="701"/>
      <c r="C203" s="1138" t="s">
        <v>1300</v>
      </c>
      <c r="D203" s="1138"/>
      <c r="E203" s="1138"/>
      <c r="F203" s="1138"/>
      <c r="G203" s="1138"/>
      <c r="H203" s="1138"/>
      <c r="I203" s="1138"/>
      <c r="J203" s="1138"/>
      <c r="K203" s="1138"/>
      <c r="L203" s="1138"/>
      <c r="M203" s="1138"/>
      <c r="N203" s="1138"/>
      <c r="O203" s="1138"/>
      <c r="P203" s="842"/>
      <c r="Q203" s="1139" t="s">
        <v>1303</v>
      </c>
      <c r="R203" s="1139"/>
      <c r="S203" s="1139"/>
      <c r="T203" s="1139"/>
      <c r="U203" s="1139"/>
      <c r="V203" s="1139"/>
      <c r="W203" s="1139"/>
      <c r="X203" s="1139"/>
      <c r="Y203" s="1139"/>
      <c r="Z203" s="1139"/>
      <c r="AA203" s="1139"/>
      <c r="AB203" s="1139"/>
      <c r="AC203" s="1139"/>
      <c r="AD203" s="1139"/>
      <c r="AE203" s="1139"/>
    </row>
    <row r="204" spans="1:44" ht="36" customHeight="1" x14ac:dyDescent="0.2">
      <c r="AE204" s="520"/>
    </row>
    <row r="205" spans="1:44" ht="19.5" customHeight="1" thickBot="1" x14ac:dyDescent="0.25">
      <c r="W205" s="500"/>
      <c r="X205" s="520" t="str">
        <f ca="1">INDIRECT("AE"&amp;Y205)</f>
        <v>C2-Coll2Ville2</v>
      </c>
      <c r="Y205" s="500">
        <f>Z206+2</f>
        <v>9</v>
      </c>
      <c r="Z205" s="501" t="str">
        <f ca="1">INDIRECT("AF"&amp;Y205)</f>
        <v>C7-Coll7Ville7</v>
      </c>
      <c r="AA205" s="500"/>
      <c r="AB205" s="500"/>
      <c r="AD205" s="679"/>
      <c r="AE205" s="679"/>
      <c r="AF205" s="679"/>
      <c r="AG205" s="679"/>
      <c r="AH205" s="679"/>
      <c r="AI205" s="679"/>
      <c r="AJ205" s="679"/>
      <c r="AK205" s="679"/>
      <c r="AL205" s="679"/>
    </row>
    <row r="206" spans="1:44" s="218" customFormat="1" ht="36" thickBot="1" x14ac:dyDescent="0.25">
      <c r="F206" s="576" t="s">
        <v>546</v>
      </c>
      <c r="G206" s="865" t="str">
        <f>G177</f>
        <v>D1</v>
      </c>
      <c r="I206" s="863" t="str">
        <f>"   "&amp;Championnat</f>
        <v xml:space="preserve">   Championnat de France de Tir à l'ARC</v>
      </c>
      <c r="T206" s="197"/>
      <c r="U206" s="197"/>
      <c r="V206" s="197"/>
      <c r="W206" s="197"/>
      <c r="Y206" s="502" t="s">
        <v>849</v>
      </c>
      <c r="Z206" s="503">
        <f>Z177+1</f>
        <v>7</v>
      </c>
      <c r="AB206" s="254"/>
      <c r="AC206" s="254"/>
      <c r="AD206" s="681"/>
      <c r="AE206" s="680"/>
      <c r="AF206" s="681"/>
      <c r="AH206" s="662"/>
      <c r="AI206" s="662"/>
      <c r="AJ206" s="662"/>
      <c r="AK206" s="662"/>
      <c r="AL206" s="662"/>
      <c r="AM206" s="217"/>
      <c r="AN206" s="217"/>
      <c r="AO206" s="217"/>
      <c r="AP206" s="217"/>
      <c r="AQ206" s="217"/>
      <c r="AR206" s="217"/>
    </row>
    <row r="207" spans="1:44" ht="36" thickBot="1" x14ac:dyDescent="0.25">
      <c r="F207" s="661" t="s">
        <v>628</v>
      </c>
      <c r="G207" s="660">
        <f ca="1">INDIRECT("AD"&amp;Y205)</f>
        <v>7</v>
      </c>
      <c r="I207" s="706" t="str">
        <f>CATEG_IMPORTEE</f>
        <v>Collèges Mixtes Etablissement</v>
      </c>
      <c r="S207" s="864" t="str">
        <f>LIEU&amp;" du "&amp;DATE</f>
        <v>L’Isle sur la Sorgue du 27 au 31 mars 2023</v>
      </c>
      <c r="AB207" s="254"/>
      <c r="AC207" s="254"/>
      <c r="AD207" s="681"/>
      <c r="AE207" s="680"/>
      <c r="AF207" s="681"/>
      <c r="AG207" s="679"/>
      <c r="AH207" s="679"/>
      <c r="AI207" s="679"/>
      <c r="AJ207" s="679"/>
      <c r="AK207" s="679"/>
      <c r="AL207" s="679"/>
    </row>
    <row r="208" spans="1:44" ht="24" customHeight="1" x14ac:dyDescent="0.2">
      <c r="A208" s="1075" t="s">
        <v>0</v>
      </c>
      <c r="B208" s="1075"/>
      <c r="C208" s="1075"/>
      <c r="D208" s="1075"/>
      <c r="E208" s="1075"/>
      <c r="F208" s="1075"/>
      <c r="G208" s="1075"/>
      <c r="H208" s="1075"/>
      <c r="I208" s="1075"/>
      <c r="J208" s="1075"/>
      <c r="Q208" s="1075" t="s">
        <v>0</v>
      </c>
      <c r="R208" s="1075"/>
      <c r="S208" s="1075"/>
      <c r="T208" s="1075"/>
      <c r="U208" s="1075"/>
      <c r="V208" s="1075"/>
      <c r="W208" s="1075"/>
      <c r="X208" s="1075"/>
      <c r="Y208" s="1075"/>
      <c r="Z208" s="1075"/>
      <c r="AB208" s="254"/>
      <c r="AC208" s="254"/>
      <c r="AD208" s="681"/>
      <c r="AE208" s="680"/>
      <c r="AF208" s="681"/>
      <c r="AG208" s="679"/>
      <c r="AH208" s="679"/>
      <c r="AI208" s="679"/>
      <c r="AJ208" s="679"/>
      <c r="AK208" s="679"/>
      <c r="AL208" s="679"/>
    </row>
    <row r="209" spans="1:38" ht="31.5" customHeight="1" x14ac:dyDescent="0.2">
      <c r="A209" s="1144" t="str">
        <f ca="1">IFERROR(VLOOKUP(X205,Num_AS,2,FALSE),"")</f>
        <v/>
      </c>
      <c r="B209" s="1144"/>
      <c r="C209" s="1144"/>
      <c r="D209" s="1144"/>
      <c r="E209" s="1144"/>
      <c r="F209" s="1144"/>
      <c r="G209" s="1144"/>
      <c r="H209" s="1144"/>
      <c r="I209" s="1144"/>
      <c r="J209" s="1144"/>
      <c r="K209" s="869" t="s">
        <v>1299</v>
      </c>
      <c r="L209" s="1145" t="s">
        <v>547</v>
      </c>
      <c r="M209" s="1145"/>
      <c r="N209" s="1145"/>
      <c r="O209" s="870" t="s">
        <v>1298</v>
      </c>
      <c r="Q209" s="1144" t="str">
        <f ca="1">IFERROR(VLOOKUP(Z205,Num_AS,2,FALSE),"")</f>
        <v/>
      </c>
      <c r="R209" s="1144"/>
      <c r="S209" s="1144"/>
      <c r="T209" s="1144"/>
      <c r="U209" s="1144"/>
      <c r="V209" s="1144"/>
      <c r="W209" s="1144"/>
      <c r="X209" s="1144"/>
      <c r="Y209" s="1144"/>
      <c r="Z209" s="1144"/>
      <c r="AB209" s="254"/>
      <c r="AC209" s="254"/>
      <c r="AD209" s="681"/>
      <c r="AE209" s="680"/>
      <c r="AF209" s="681"/>
      <c r="AG209" s="679"/>
      <c r="AH209" s="679"/>
      <c r="AI209" s="679"/>
      <c r="AJ209" s="679"/>
      <c r="AK209" s="679"/>
      <c r="AL209" s="679"/>
    </row>
    <row r="210" spans="1:38" ht="20.100000000000001" customHeight="1" thickBot="1" x14ac:dyDescent="0.25">
      <c r="A210" s="1124" t="s">
        <v>1006</v>
      </c>
      <c r="B210" s="1124"/>
      <c r="C210" s="1125"/>
      <c r="D210" s="1125"/>
      <c r="E210" s="1125"/>
      <c r="F210" s="1125"/>
      <c r="G210" s="1125"/>
      <c r="H210" s="1125"/>
      <c r="I210" s="1125"/>
      <c r="J210" s="1125"/>
      <c r="L210" s="871"/>
      <c r="M210" s="871"/>
      <c r="N210" s="871"/>
      <c r="Q210" s="1124" t="s">
        <v>1005</v>
      </c>
      <c r="R210" s="1124"/>
      <c r="S210" s="1125"/>
      <c r="T210" s="1125"/>
      <c r="U210" s="1125"/>
      <c r="V210" s="1125"/>
      <c r="W210" s="1125"/>
      <c r="X210" s="1125"/>
      <c r="Y210" s="1125"/>
      <c r="Z210" s="1125"/>
      <c r="AB210" s="254"/>
      <c r="AC210" s="254"/>
      <c r="AD210" s="681"/>
      <c r="AE210" s="680"/>
      <c r="AF210" s="681"/>
      <c r="AG210" s="679"/>
      <c r="AH210" s="679"/>
      <c r="AI210" s="679"/>
      <c r="AJ210" s="679"/>
      <c r="AK210" s="679"/>
      <c r="AL210" s="679"/>
    </row>
    <row r="211" spans="1:38" ht="27.75" customHeight="1" x14ac:dyDescent="0.2">
      <c r="A211" s="1117" t="str">
        <f ca="1">IFERROR(VLOOKUP(X205,Num_AS,3,FALSE),"")</f>
        <v/>
      </c>
      <c r="B211" s="1150"/>
      <c r="C211" s="1118"/>
      <c r="D211" s="1151"/>
      <c r="E211" s="1151"/>
      <c r="F211" s="1151"/>
      <c r="G211" s="1151"/>
      <c r="H211" s="1151"/>
      <c r="I211" s="1151"/>
      <c r="J211" s="1119"/>
      <c r="O211" s="219"/>
      <c r="P211" s="219"/>
      <c r="Q211" s="1117" t="str">
        <f ca="1">IFERROR(VLOOKUP(Z205,Num_AS,3,FALSE),"")</f>
        <v/>
      </c>
      <c r="R211" s="1150"/>
      <c r="S211" s="1118"/>
      <c r="T211" s="1151"/>
      <c r="U211" s="1151"/>
      <c r="V211" s="1151"/>
      <c r="W211" s="1151"/>
      <c r="X211" s="1151"/>
      <c r="Y211" s="1151"/>
      <c r="Z211" s="1119"/>
      <c r="AB211" s="254"/>
      <c r="AC211" s="254"/>
      <c r="AD211" s="681"/>
      <c r="AE211" s="680"/>
      <c r="AF211" s="681"/>
      <c r="AG211" s="679"/>
      <c r="AH211" s="679"/>
      <c r="AI211" s="679"/>
      <c r="AJ211" s="679"/>
      <c r="AK211" s="679"/>
      <c r="AL211" s="679"/>
    </row>
    <row r="212" spans="1:38" ht="27.75" customHeight="1" thickBot="1" x14ac:dyDescent="0.25">
      <c r="A212" s="1107" t="str">
        <f ca="1">IFERROR(VLOOKUP(X205,Num_AS,4,FALSE),"")</f>
        <v/>
      </c>
      <c r="B212" s="1152"/>
      <c r="C212" s="1108"/>
      <c r="D212" s="1153"/>
      <c r="E212" s="1153"/>
      <c r="F212" s="1153"/>
      <c r="G212" s="1153"/>
      <c r="H212" s="1153"/>
      <c r="I212" s="1153"/>
      <c r="J212" s="1109"/>
      <c r="Q212" s="1107" t="str">
        <f ca="1">IFERROR(VLOOKUP(Z205,Num_AS,4,FALSE),"")</f>
        <v/>
      </c>
      <c r="R212" s="1152"/>
      <c r="S212" s="1108"/>
      <c r="T212" s="1153"/>
      <c r="U212" s="1153"/>
      <c r="V212" s="1153"/>
      <c r="W212" s="1153"/>
      <c r="X212" s="1153"/>
      <c r="Y212" s="1153"/>
      <c r="Z212" s="1109"/>
      <c r="AB212" s="254"/>
      <c r="AC212" s="254"/>
      <c r="AD212" s="681"/>
      <c r="AE212" s="680"/>
      <c r="AF212" s="681"/>
      <c r="AG212" s="679"/>
      <c r="AH212" s="679"/>
      <c r="AI212" s="679"/>
      <c r="AJ212" s="679"/>
      <c r="AK212" s="679"/>
      <c r="AL212" s="679"/>
    </row>
    <row r="213" spans="1:38" ht="36" customHeight="1" thickBot="1" x14ac:dyDescent="0.25">
      <c r="A213" s="1156" t="s">
        <v>1330</v>
      </c>
      <c r="B213" s="1157"/>
      <c r="C213" s="1157"/>
      <c r="D213" s="1158"/>
      <c r="E213" s="947">
        <f ca="1">VLOOKUP(A209&amp;A211,PTS_SP,3,FALSE)</f>
        <v>0</v>
      </c>
      <c r="Q213" s="1156" t="s">
        <v>1330</v>
      </c>
      <c r="R213" s="1157"/>
      <c r="S213" s="1157"/>
      <c r="T213" s="1158"/>
      <c r="U213" s="947">
        <f ca="1">VLOOKUP(Q209&amp;Q211,PTS_SP,3,FALSE)</f>
        <v>0</v>
      </c>
      <c r="AB213" s="254"/>
      <c r="AC213" s="254"/>
      <c r="AD213" s="681"/>
      <c r="AE213" s="680"/>
      <c r="AF213" s="681"/>
      <c r="AG213" s="679"/>
      <c r="AH213" s="679"/>
      <c r="AI213" s="679"/>
      <c r="AJ213" s="679"/>
      <c r="AK213" s="679"/>
      <c r="AL213" s="679"/>
    </row>
    <row r="214" spans="1:38" ht="38.25" customHeight="1" x14ac:dyDescent="0.2">
      <c r="A214" s="701"/>
      <c r="B214" s="701"/>
      <c r="C214" s="853"/>
      <c r="D214" s="861" t="s">
        <v>1290</v>
      </c>
      <c r="E214" s="853"/>
      <c r="F214" s="854"/>
      <c r="G214" s="854"/>
      <c r="H214" s="872" t="s">
        <v>1295</v>
      </c>
      <c r="I214" s="855"/>
      <c r="J214" s="853"/>
      <c r="K214" s="853"/>
      <c r="L214" s="853"/>
      <c r="M214" s="859"/>
      <c r="N214" s="860" t="s">
        <v>1291</v>
      </c>
      <c r="O214" s="853"/>
      <c r="P214" s="249"/>
      <c r="Q214" s="701"/>
      <c r="R214" s="701"/>
      <c r="S214" s="853"/>
      <c r="T214" s="861" t="s">
        <v>1290</v>
      </c>
      <c r="U214" s="853"/>
      <c r="V214" s="854"/>
      <c r="W214" s="854"/>
      <c r="X214" s="872" t="s">
        <v>1302</v>
      </c>
      <c r="Y214" s="855"/>
      <c r="Z214" s="853"/>
      <c r="AA214" s="853"/>
      <c r="AB214" s="853"/>
      <c r="AC214" s="859"/>
      <c r="AD214" s="860" t="s">
        <v>1291</v>
      </c>
      <c r="AE214" s="853"/>
      <c r="AF214" s="681"/>
      <c r="AG214" s="681"/>
      <c r="AH214" s="681"/>
      <c r="AI214" s="681"/>
      <c r="AJ214" s="679"/>
      <c r="AK214" s="679"/>
      <c r="AL214" s="679"/>
    </row>
    <row r="215" spans="1:38" ht="38.25" customHeight="1" x14ac:dyDescent="0.2">
      <c r="A215" s="856" t="s">
        <v>509</v>
      </c>
      <c r="B215" s="942" t="s">
        <v>1329</v>
      </c>
      <c r="C215" s="857">
        <v>1</v>
      </c>
      <c r="D215" s="857">
        <v>2</v>
      </c>
      <c r="E215" s="857">
        <v>3</v>
      </c>
      <c r="F215" s="857">
        <v>4</v>
      </c>
      <c r="G215" s="857">
        <v>5</v>
      </c>
      <c r="H215" s="857">
        <v>6</v>
      </c>
      <c r="I215" s="857">
        <v>7</v>
      </c>
      <c r="J215" s="857">
        <v>8</v>
      </c>
      <c r="K215" s="858" t="s">
        <v>1286</v>
      </c>
      <c r="L215" s="1154" t="s">
        <v>1287</v>
      </c>
      <c r="M215" s="1154"/>
      <c r="N215" s="1154"/>
      <c r="O215" s="858" t="s">
        <v>1288</v>
      </c>
      <c r="P215" s="844"/>
      <c r="Q215" s="856" t="s">
        <v>509</v>
      </c>
      <c r="R215" s="942" t="s">
        <v>1329</v>
      </c>
      <c r="S215" s="857">
        <v>1</v>
      </c>
      <c r="T215" s="857">
        <v>2</v>
      </c>
      <c r="U215" s="857">
        <v>3</v>
      </c>
      <c r="V215" s="857">
        <v>4</v>
      </c>
      <c r="W215" s="857">
        <v>5</v>
      </c>
      <c r="X215" s="857">
        <v>6</v>
      </c>
      <c r="Y215" s="857">
        <v>7</v>
      </c>
      <c r="Z215" s="857">
        <v>8</v>
      </c>
      <c r="AA215" s="858" t="s">
        <v>1286</v>
      </c>
      <c r="AB215" s="1154" t="s">
        <v>1287</v>
      </c>
      <c r="AC215" s="1154"/>
      <c r="AD215" s="1154"/>
      <c r="AE215" s="858" t="s">
        <v>1288</v>
      </c>
      <c r="AF215" s="681"/>
      <c r="AG215" s="681"/>
      <c r="AH215" s="681"/>
      <c r="AI215" s="681"/>
      <c r="AJ215" s="679"/>
      <c r="AK215" s="679"/>
      <c r="AL215" s="679"/>
    </row>
    <row r="216" spans="1:38" ht="30" customHeight="1" x14ac:dyDescent="0.25">
      <c r="A216" s="846" t="s">
        <v>1282</v>
      </c>
      <c r="B216" s="948">
        <f ca="1">E213</f>
        <v>0</v>
      </c>
      <c r="C216" s="843"/>
      <c r="D216" s="843"/>
      <c r="E216" s="843"/>
      <c r="F216" s="843"/>
      <c r="G216" s="847"/>
      <c r="H216" s="848"/>
      <c r="I216" s="846"/>
      <c r="J216" s="843"/>
      <c r="K216" s="843"/>
      <c r="L216" s="849">
        <f ca="1">IF(Q209="Matchs de CLASSEMENT","X",2)</f>
        <v>2</v>
      </c>
      <c r="M216" s="849">
        <f ca="1">IF(Q209="Matchs de CLASSEMENT","X",1)</f>
        <v>1</v>
      </c>
      <c r="N216" s="849">
        <f ca="1">IF(Q209="Matchs de CLASSEMENT","X",0)</f>
        <v>0</v>
      </c>
      <c r="O216" s="849" t="str">
        <f ca="1">IF(Q209="Matchs de CLASSEMENT","X","")</f>
        <v/>
      </c>
      <c r="P216" s="842"/>
      <c r="Q216" s="849" t="str">
        <f ca="1">IF(Q209="Matchs de CLASSEMENT","X","V1")</f>
        <v>V1</v>
      </c>
      <c r="R216" s="948">
        <f ca="1">U213</f>
        <v>0</v>
      </c>
      <c r="S216" s="849" t="str">
        <f ca="1">IF(Q209="Matchs de CLASSEMENT","X","")</f>
        <v/>
      </c>
      <c r="T216" s="849" t="str">
        <f ca="1">IF(Q209="Matchs de CLASSEMENT","X","")</f>
        <v/>
      </c>
      <c r="U216" s="849" t="str">
        <f ca="1">IF(Q209="Matchs de CLASSEMENT","X","")</f>
        <v/>
      </c>
      <c r="V216" s="849" t="str">
        <f ca="1">IF(Q209="Matchs de CLASSEMENT","X","")</f>
        <v/>
      </c>
      <c r="W216" s="849" t="str">
        <f ca="1">IF(Q209="Matchs de CLASSEMENT","X","")</f>
        <v/>
      </c>
      <c r="X216" s="849" t="str">
        <f ca="1">IF(Q209="Matchs de CLASSEMENT","X","")</f>
        <v/>
      </c>
      <c r="Y216" s="849" t="str">
        <f ca="1">IF(Q209="Matchs de CLASSEMENT","X","")</f>
        <v/>
      </c>
      <c r="Z216" s="849" t="str">
        <f ca="1">IF(Q209="Matchs de CLASSEMENT","X","")</f>
        <v/>
      </c>
      <c r="AA216" s="849" t="str">
        <f ca="1">IF(Q209="Matchs de CLASSEMENT","X","")</f>
        <v/>
      </c>
      <c r="AB216" s="849">
        <f ca="1">IF(Q209="Matchs de CLASSEMENT","X",2)</f>
        <v>2</v>
      </c>
      <c r="AC216" s="849">
        <f ca="1">IF(Q209="Matchs de CLASSEMENT","X",1)</f>
        <v>1</v>
      </c>
      <c r="AD216" s="849">
        <f ca="1">IF(Q209="Matchs de CLASSEMENT","X",0)</f>
        <v>0</v>
      </c>
      <c r="AE216" s="849" t="str">
        <f ca="1">IF(Q209="Matchs de CLASSEMENT","X","")</f>
        <v/>
      </c>
      <c r="AF216" s="679"/>
      <c r="AG216" s="679"/>
      <c r="AH216" s="679"/>
      <c r="AI216" s="679"/>
      <c r="AJ216" s="679"/>
      <c r="AK216" s="679"/>
      <c r="AL216" s="679"/>
    </row>
    <row r="217" spans="1:38" ht="30" customHeight="1" x14ac:dyDescent="0.25">
      <c r="A217" s="846" t="s">
        <v>1283</v>
      </c>
      <c r="B217" s="948">
        <f ca="1">B216</f>
        <v>0</v>
      </c>
      <c r="C217" s="843"/>
      <c r="D217" s="843"/>
      <c r="E217" s="843"/>
      <c r="F217" s="843"/>
      <c r="G217" s="847"/>
      <c r="H217" s="848"/>
      <c r="I217" s="846"/>
      <c r="J217" s="843"/>
      <c r="K217" s="843"/>
      <c r="L217" s="849">
        <f ca="1">IF(Q209="Matchs de CLASSEMENT","X",2)</f>
        <v>2</v>
      </c>
      <c r="M217" s="849">
        <f ca="1">IF(Q209="Matchs de CLASSEMENT","X",1)</f>
        <v>1</v>
      </c>
      <c r="N217" s="849">
        <f ca="1">IF(Q209="Matchs de CLASSEMENT","X",0)</f>
        <v>0</v>
      </c>
      <c r="O217" s="849" t="str">
        <f ca="1">IF(Q209="Matchs de CLASSEMENT","X","")</f>
        <v/>
      </c>
      <c r="P217" s="842"/>
      <c r="Q217" s="849" t="str">
        <f ca="1">IF(Q209="Matchs de CLASSEMENT","X","V2")</f>
        <v>V2</v>
      </c>
      <c r="R217" s="948">
        <f ca="1">R216</f>
        <v>0</v>
      </c>
      <c r="S217" s="849" t="str">
        <f ca="1">IF(Q209="Matchs de CLASSEMENT","X","")</f>
        <v/>
      </c>
      <c r="T217" s="849" t="str">
        <f ca="1">IF(Q209="Matchs de CLASSEMENT","X","")</f>
        <v/>
      </c>
      <c r="U217" s="849" t="str">
        <f ca="1">IF(Q209="Matchs de CLASSEMENT","X","")</f>
        <v/>
      </c>
      <c r="V217" s="849" t="str">
        <f ca="1">IF(Q209="Matchs de CLASSEMENT","X","")</f>
        <v/>
      </c>
      <c r="W217" s="849" t="str">
        <f ca="1">IF(Q209="Matchs de CLASSEMENT","X","")</f>
        <v/>
      </c>
      <c r="X217" s="849" t="str">
        <f ca="1">IF(Q209="Matchs de CLASSEMENT","X","")</f>
        <v/>
      </c>
      <c r="Y217" s="849" t="str">
        <f ca="1">IF(Q209="Matchs de CLASSEMENT","X","")</f>
        <v/>
      </c>
      <c r="Z217" s="849" t="str">
        <f ca="1">IF(Q209="Matchs de CLASSEMENT","X","")</f>
        <v/>
      </c>
      <c r="AA217" s="849" t="str">
        <f ca="1">IF(Q209="Matchs de CLASSEMENT","X","")</f>
        <v/>
      </c>
      <c r="AB217" s="849">
        <f ca="1">IF(Q209="Matchs de CLASSEMENT","X",2)</f>
        <v>2</v>
      </c>
      <c r="AC217" s="849">
        <f ca="1">IF(Q209="Matchs de CLASSEMENT","X",1)</f>
        <v>1</v>
      </c>
      <c r="AD217" s="849">
        <f ca="1">IF(Q209="Matchs de CLASSEMENT","X",0)</f>
        <v>0</v>
      </c>
      <c r="AE217" s="849" t="str">
        <f ca="1">IF(Q209="Matchs de CLASSEMENT","X","")</f>
        <v/>
      </c>
      <c r="AF217" s="679"/>
      <c r="AG217" s="679"/>
      <c r="AH217" s="679"/>
      <c r="AI217" s="679"/>
      <c r="AJ217" s="679"/>
      <c r="AK217" s="679"/>
      <c r="AL217" s="679"/>
    </row>
    <row r="218" spans="1:38" ht="30" customHeight="1" x14ac:dyDescent="0.25">
      <c r="A218" s="846" t="s">
        <v>1284</v>
      </c>
      <c r="B218" s="948">
        <f t="shared" ref="B218:B219" ca="1" si="13">B217</f>
        <v>0</v>
      </c>
      <c r="C218" s="843"/>
      <c r="D218" s="843"/>
      <c r="E218" s="843"/>
      <c r="F218" s="843"/>
      <c r="G218" s="847"/>
      <c r="H218" s="848"/>
      <c r="I218" s="846"/>
      <c r="J218" s="843"/>
      <c r="K218" s="843"/>
      <c r="L218" s="849">
        <f ca="1">IF(Q209="Matchs de CLASSEMENT","X",2)</f>
        <v>2</v>
      </c>
      <c r="M218" s="849">
        <f ca="1">IF(Q209="Matchs de CLASSEMENT","X",1)</f>
        <v>1</v>
      </c>
      <c r="N218" s="849">
        <f ca="1">IF(Q209="Matchs de CLASSEMENT","X",0)</f>
        <v>0</v>
      </c>
      <c r="O218" s="849" t="str">
        <f ca="1">IF(Q209="Matchs de CLASSEMENT","X","")</f>
        <v/>
      </c>
      <c r="P218" s="842"/>
      <c r="Q218" s="849" t="str">
        <f ca="1">IF(Q209="Matchs de CLASSEMENT","X","V3")</f>
        <v>V3</v>
      </c>
      <c r="R218" s="948">
        <f t="shared" ref="R218:R219" ca="1" si="14">R217</f>
        <v>0</v>
      </c>
      <c r="S218" s="849" t="str">
        <f ca="1">IF(Q209="Matchs de CLASSEMENT","X","")</f>
        <v/>
      </c>
      <c r="T218" s="849" t="str">
        <f ca="1">IF(Q209="Matchs de CLASSEMENT","X","")</f>
        <v/>
      </c>
      <c r="U218" s="849" t="str">
        <f ca="1">IF(Q209="Matchs de CLASSEMENT","X","")</f>
        <v/>
      </c>
      <c r="V218" s="849" t="str">
        <f ca="1">IF(Q209="Matchs de CLASSEMENT","X","")</f>
        <v/>
      </c>
      <c r="W218" s="849" t="str">
        <f ca="1">IF(Q209="Matchs de CLASSEMENT","X","")</f>
        <v/>
      </c>
      <c r="X218" s="849" t="str">
        <f ca="1">IF(Q209="Matchs de CLASSEMENT","X","")</f>
        <v/>
      </c>
      <c r="Y218" s="849" t="str">
        <f ca="1">IF(Q209="Matchs de CLASSEMENT","X","")</f>
        <v/>
      </c>
      <c r="Z218" s="849" t="str">
        <f ca="1">IF(Q209="Matchs de CLASSEMENT","X","")</f>
        <v/>
      </c>
      <c r="AA218" s="849" t="str">
        <f ca="1">IF(Q209="Matchs de CLASSEMENT","X","")</f>
        <v/>
      </c>
      <c r="AB218" s="849">
        <f ca="1">IF(Q209="Matchs de CLASSEMENT","X",2)</f>
        <v>2</v>
      </c>
      <c r="AC218" s="849">
        <f ca="1">IF(Q209="Matchs de CLASSEMENT","X",1)</f>
        <v>1</v>
      </c>
      <c r="AD218" s="849">
        <f ca="1">IF(Q209="Matchs de CLASSEMENT","X",0)</f>
        <v>0</v>
      </c>
      <c r="AE218" s="849" t="str">
        <f ca="1">IF(Q209="Matchs de CLASSEMENT","X","")</f>
        <v/>
      </c>
      <c r="AF218" s="679"/>
      <c r="AG218" s="679"/>
      <c r="AH218" s="679"/>
      <c r="AI218" s="679"/>
      <c r="AJ218" s="679"/>
      <c r="AK218" s="679"/>
      <c r="AL218" s="679"/>
    </row>
    <row r="219" spans="1:38" ht="30" customHeight="1" x14ac:dyDescent="0.25">
      <c r="A219" s="846" t="s">
        <v>1285</v>
      </c>
      <c r="B219" s="948">
        <f t="shared" ca="1" si="13"/>
        <v>0</v>
      </c>
      <c r="C219" s="843"/>
      <c r="D219" s="843"/>
      <c r="E219" s="843"/>
      <c r="F219" s="843"/>
      <c r="G219" s="847"/>
      <c r="H219" s="848"/>
      <c r="I219" s="846"/>
      <c r="J219" s="843"/>
      <c r="K219" s="843"/>
      <c r="L219" s="849">
        <f ca="1">IF(Q209="Matchs de CLASSEMENT","X",2)</f>
        <v>2</v>
      </c>
      <c r="M219" s="849">
        <f ca="1">IF(Q209="Matchs de CLASSEMENT","X",1)</f>
        <v>1</v>
      </c>
      <c r="N219" s="849">
        <f ca="1">IF(Q209="Matchs de CLASSEMENT","X",0)</f>
        <v>0</v>
      </c>
      <c r="O219" s="849" t="str">
        <f ca="1">IF(Q209="Matchs de CLASSEMENT","X","")</f>
        <v/>
      </c>
      <c r="P219" s="842"/>
      <c r="Q219" s="849" t="str">
        <f ca="1">IF(Q209="Matchs de CLASSEMENT","X","V4")</f>
        <v>V4</v>
      </c>
      <c r="R219" s="948">
        <f t="shared" ca="1" si="14"/>
        <v>0</v>
      </c>
      <c r="S219" s="849" t="str">
        <f ca="1">IF(Q209="Matchs de CLASSEMENT","X","")</f>
        <v/>
      </c>
      <c r="T219" s="849" t="str">
        <f ca="1">IF(Q209="Matchs de CLASSEMENT","X","")</f>
        <v/>
      </c>
      <c r="U219" s="849" t="str">
        <f ca="1">IF(Q209="Matchs de CLASSEMENT","X","")</f>
        <v/>
      </c>
      <c r="V219" s="849" t="str">
        <f ca="1">IF(Q209="Matchs de CLASSEMENT","X","")</f>
        <v/>
      </c>
      <c r="W219" s="849" t="str">
        <f ca="1">IF(Q209="Matchs de CLASSEMENT","X","")</f>
        <v/>
      </c>
      <c r="X219" s="849" t="str">
        <f ca="1">IF(Q209="Matchs de CLASSEMENT","X","")</f>
        <v/>
      </c>
      <c r="Y219" s="849" t="str">
        <f ca="1">IF(Q209="Matchs de CLASSEMENT","X","")</f>
        <v/>
      </c>
      <c r="Z219" s="849" t="str">
        <f ca="1">IF(Q209="Matchs de CLASSEMENT","X","")</f>
        <v/>
      </c>
      <c r="AA219" s="849" t="str">
        <f ca="1">IF(Q209="Matchs de CLASSEMENT","X","")</f>
        <v/>
      </c>
      <c r="AB219" s="849">
        <f ca="1">IF(Q209="Matchs de CLASSEMENT","X",2)</f>
        <v>2</v>
      </c>
      <c r="AC219" s="849">
        <f ca="1">IF(Q209="Matchs de CLASSEMENT","X",1)</f>
        <v>1</v>
      </c>
      <c r="AD219" s="849">
        <f ca="1">IF(Q209="Matchs de CLASSEMENT","X",0)</f>
        <v>0</v>
      </c>
      <c r="AE219" s="849" t="str">
        <f ca="1">IF(Q209="Matchs de CLASSEMENT","X","")</f>
        <v/>
      </c>
      <c r="AF219" s="679"/>
      <c r="AG219" s="679"/>
      <c r="AH219" s="679"/>
      <c r="AI219" s="679"/>
      <c r="AJ219" s="679"/>
      <c r="AK219" s="679"/>
      <c r="AL219" s="679"/>
    </row>
    <row r="220" spans="1:38" ht="30" customHeight="1" x14ac:dyDescent="0.2">
      <c r="N220" s="867" t="s">
        <v>1294</v>
      </c>
      <c r="O220" s="848"/>
      <c r="AD220" s="867" t="s">
        <v>1294</v>
      </c>
      <c r="AE220" s="866"/>
      <c r="AF220" s="679"/>
      <c r="AG220" s="679"/>
      <c r="AH220" s="679"/>
      <c r="AI220" s="679"/>
      <c r="AJ220" s="679"/>
      <c r="AK220" s="679"/>
      <c r="AL220" s="679"/>
    </row>
    <row r="221" spans="1:38" ht="12.75" customHeight="1" x14ac:dyDescent="0.2">
      <c r="AE221" s="520"/>
      <c r="AF221" s="679"/>
      <c r="AG221" s="679"/>
      <c r="AH221" s="679"/>
      <c r="AI221" s="679"/>
      <c r="AJ221" s="679"/>
      <c r="AK221" s="679"/>
      <c r="AL221" s="679"/>
    </row>
    <row r="222" spans="1:38" ht="18.75" customHeight="1" x14ac:dyDescent="0.2">
      <c r="A222" s="584"/>
      <c r="B222" s="584"/>
      <c r="C222" s="701" t="s">
        <v>1289</v>
      </c>
      <c r="D222" s="249"/>
      <c r="E222" s="196"/>
      <c r="F222" s="196"/>
      <c r="G222" s="584"/>
      <c r="H222" s="1155" t="s">
        <v>1301</v>
      </c>
      <c r="I222" s="1155"/>
      <c r="J222" s="1155"/>
      <c r="K222" s="1155"/>
      <c r="L222" s="1155"/>
      <c r="M222" s="1155"/>
      <c r="N222" s="1155"/>
      <c r="O222" s="1155"/>
      <c r="P222" s="842"/>
      <c r="Q222" s="219"/>
      <c r="R222" s="219"/>
      <c r="S222" s="701" t="s">
        <v>1289</v>
      </c>
      <c r="T222" s="249"/>
      <c r="U222" s="196"/>
      <c r="V222" s="196"/>
      <c r="X222" s="1155" t="s">
        <v>1304</v>
      </c>
      <c r="Y222" s="1155"/>
      <c r="Z222" s="1155"/>
      <c r="AA222" s="1155"/>
      <c r="AB222" s="1155"/>
      <c r="AC222" s="1155"/>
      <c r="AD222" s="1155"/>
      <c r="AE222" s="1155"/>
      <c r="AF222" s="679"/>
      <c r="AG222" s="679"/>
      <c r="AH222" s="679"/>
      <c r="AI222" s="679"/>
      <c r="AJ222" s="679"/>
      <c r="AK222" s="679"/>
      <c r="AL222" s="679"/>
    </row>
    <row r="223" spans="1:38" ht="32.25" customHeight="1" x14ac:dyDescent="0.2">
      <c r="A223" s="584"/>
      <c r="B223" s="584"/>
      <c r="C223" s="850"/>
      <c r="D223" s="851"/>
      <c r="E223" s="852"/>
      <c r="F223" s="852"/>
      <c r="G223" s="584"/>
      <c r="H223" s="1149" t="s">
        <v>549</v>
      </c>
      <c r="I223" s="1149"/>
      <c r="J223" s="1149"/>
      <c r="K223" s="1149"/>
      <c r="L223" s="1149"/>
      <c r="M223" s="1146" t="s">
        <v>550</v>
      </c>
      <c r="N223" s="1147"/>
      <c r="O223" s="1148"/>
      <c r="P223" s="842"/>
      <c r="Q223" s="219"/>
      <c r="R223" s="219"/>
      <c r="S223" s="850"/>
      <c r="T223" s="851"/>
      <c r="U223" s="852"/>
      <c r="V223" s="852"/>
      <c r="X223" s="1149" t="s">
        <v>549</v>
      </c>
      <c r="Y223" s="1149"/>
      <c r="Z223" s="1149"/>
      <c r="AA223" s="1149"/>
      <c r="AB223" s="1149"/>
      <c r="AC223" s="1146" t="s">
        <v>550</v>
      </c>
      <c r="AD223" s="1147"/>
      <c r="AE223" s="1148"/>
      <c r="AG223" s="679"/>
      <c r="AH223" s="679"/>
      <c r="AI223" s="679"/>
      <c r="AJ223" s="679"/>
      <c r="AK223" s="679"/>
      <c r="AL223" s="679"/>
    </row>
    <row r="224" spans="1:38" ht="32.25" customHeight="1" x14ac:dyDescent="0.2">
      <c r="A224" s="584"/>
      <c r="B224" s="584"/>
      <c r="C224" s="850"/>
      <c r="D224" s="851"/>
      <c r="E224" s="852"/>
      <c r="F224" s="852"/>
      <c r="G224" s="584"/>
      <c r="H224" s="1140" t="str">
        <f ca="1">IFERROR(VLOOKUP(X205,Num_AS,6,FALSE)&amp;" "&amp;VLOOKUP(X205,Num_AS,7,FALSE),"")</f>
        <v/>
      </c>
      <c r="I224" s="1140"/>
      <c r="J224" s="1140"/>
      <c r="K224" s="1140"/>
      <c r="L224" s="1140"/>
      <c r="M224" s="1129" t="str">
        <f ca="1">IFERROR(VLOOKUP(X205,Num_AS,9,FALSE),"")</f>
        <v/>
      </c>
      <c r="N224" s="1130"/>
      <c r="O224" s="1131"/>
      <c r="P224" s="842"/>
      <c r="Q224" s="219"/>
      <c r="R224" s="219"/>
      <c r="S224" s="850"/>
      <c r="T224" s="851"/>
      <c r="U224" s="852"/>
      <c r="V224" s="852"/>
      <c r="W224" s="196"/>
      <c r="X224" s="1140" t="str">
        <f ca="1">IFERROR(VLOOKUP(Z205,Num_AS,6,FALSE)&amp;" "&amp;VLOOKUP(Z205,Num_AS,7,FALSE),"")</f>
        <v/>
      </c>
      <c r="Y224" s="1140"/>
      <c r="Z224" s="1140"/>
      <c r="AA224" s="1140"/>
      <c r="AB224" s="1140"/>
      <c r="AC224" s="1129" t="str">
        <f ca="1">IFERROR(VLOOKUP(Z205,Num_AS,9,FALSE),"")</f>
        <v/>
      </c>
      <c r="AD224" s="1130"/>
      <c r="AE224" s="1131"/>
    </row>
    <row r="225" spans="1:44" ht="32.25" customHeight="1" x14ac:dyDescent="0.2">
      <c r="A225" s="584"/>
      <c r="B225" s="584"/>
      <c r="C225" s="850"/>
      <c r="D225" s="851"/>
      <c r="E225" s="852"/>
      <c r="F225" s="852"/>
      <c r="G225" s="584"/>
      <c r="H225" s="1140" t="str">
        <f ca="1">IFERROR(VLOOKUP(X205,Num_AS,12,FALSE)&amp;" "&amp;VLOOKUP(X205,Num_AS,13,FALSE),"")</f>
        <v/>
      </c>
      <c r="I225" s="1140"/>
      <c r="J225" s="1140"/>
      <c r="K225" s="1140"/>
      <c r="L225" s="1140"/>
      <c r="M225" s="1129" t="str">
        <f ca="1">IFERROR(VLOOKUP(X205,Num_AS,15,FALSE),"")</f>
        <v/>
      </c>
      <c r="N225" s="1130"/>
      <c r="O225" s="1131">
        <f ca="1">G207</f>
        <v>7</v>
      </c>
      <c r="P225" s="842"/>
      <c r="Q225" s="219"/>
      <c r="R225" s="219"/>
      <c r="S225" s="850"/>
      <c r="T225" s="851"/>
      <c r="U225" s="852"/>
      <c r="V225" s="852"/>
      <c r="W225" s="196"/>
      <c r="X225" s="1140" t="str">
        <f ca="1">IFERROR(VLOOKUP(Z205,Num_AS,12,FALSE)&amp;" "&amp;VLOOKUP(Z205,Num_AS,13,FALSE),"")</f>
        <v/>
      </c>
      <c r="Y225" s="1140"/>
      <c r="Z225" s="1140"/>
      <c r="AA225" s="1140"/>
      <c r="AB225" s="1140"/>
      <c r="AC225" s="1129" t="str">
        <f ca="1">IFERROR(VLOOKUP(Z205,Num_AS,15,FALSE),"")</f>
        <v/>
      </c>
      <c r="AD225" s="1130"/>
      <c r="AE225" s="1131">
        <f>W207</f>
        <v>0</v>
      </c>
    </row>
    <row r="226" spans="1:44" ht="32.25" customHeight="1" x14ac:dyDescent="0.2">
      <c r="A226" s="584"/>
      <c r="B226" s="584"/>
      <c r="C226" s="584"/>
      <c r="D226" s="584"/>
      <c r="E226" s="584"/>
      <c r="F226" s="584"/>
      <c r="G226" s="584"/>
      <c r="H226" s="1140" t="str">
        <f ca="1">IFERROR(VLOOKUP(X205,Num_AS,18,FALSE)&amp;" "&amp;VLOOKUP(X205,Num_AS,19,FALSE),"")</f>
        <v/>
      </c>
      <c r="I226" s="1140"/>
      <c r="J226" s="1140"/>
      <c r="K226" s="1140"/>
      <c r="L226" s="1140"/>
      <c r="M226" s="1129" t="str">
        <f ca="1">IFERROR(VLOOKUP(X205,Num_AS,21,FALSE),"")</f>
        <v/>
      </c>
      <c r="N226" s="1130"/>
      <c r="O226" s="1131">
        <f ca="1">G207</f>
        <v>7</v>
      </c>
      <c r="P226" s="842"/>
      <c r="Q226" s="219"/>
      <c r="R226" s="219"/>
      <c r="S226" s="584"/>
      <c r="T226" s="584"/>
      <c r="U226" s="584"/>
      <c r="V226" s="584"/>
      <c r="W226" s="196"/>
      <c r="X226" s="1140" t="str">
        <f ca="1">IFERROR(VLOOKUP(Z205,Num_AS,18,FALSE)&amp;" "&amp;VLOOKUP(Z205,Num_AS,19,FALSE),"")</f>
        <v/>
      </c>
      <c r="Y226" s="1140"/>
      <c r="Z226" s="1140"/>
      <c r="AA226" s="1140"/>
      <c r="AB226" s="1140"/>
      <c r="AC226" s="1129" t="str">
        <f ca="1">IFERROR(VLOOKUP(Z205,Num_AS,21,FALSE),"")</f>
        <v/>
      </c>
      <c r="AD226" s="1130"/>
      <c r="AE226" s="1131">
        <f>W207</f>
        <v>0</v>
      </c>
    </row>
    <row r="227" spans="1:44" ht="32.25" customHeight="1" x14ac:dyDescent="0.2">
      <c r="A227" s="584"/>
      <c r="B227" s="584"/>
      <c r="C227" s="862"/>
      <c r="D227" s="1141" t="s">
        <v>1292</v>
      </c>
      <c r="E227" s="1142"/>
      <c r="F227" s="1143"/>
      <c r="G227" s="584"/>
      <c r="H227" s="1140" t="str">
        <f ca="1">IFERROR(VLOOKUP(X205,Num_AS,24,FALSE)&amp;" "&amp;VLOOKUP(X205,Num_AS,25,FALSE),"")</f>
        <v/>
      </c>
      <c r="I227" s="1140"/>
      <c r="J227" s="1140"/>
      <c r="K227" s="1140"/>
      <c r="L227" s="1140"/>
      <c r="M227" s="1129" t="str">
        <f ca="1">IFERROR(VLOOKUP(X205,Num_AS,9,FALSE),"")</f>
        <v/>
      </c>
      <c r="N227" s="1130"/>
      <c r="O227" s="1131">
        <f ca="1">G207</f>
        <v>7</v>
      </c>
      <c r="P227" s="842"/>
      <c r="Q227" s="219"/>
      <c r="R227" s="219"/>
      <c r="S227" s="862"/>
      <c r="T227" s="1141" t="s">
        <v>1292</v>
      </c>
      <c r="U227" s="1142"/>
      <c r="V227" s="1143"/>
      <c r="W227" s="196"/>
      <c r="X227" s="1140" t="str">
        <f ca="1">IFERROR(VLOOKUP(Z205,Num_AS,24,FALSE)&amp;" "&amp;VLOOKUP(Z205,Num_AS,25,FALSE),"")</f>
        <v/>
      </c>
      <c r="Y227" s="1140"/>
      <c r="Z227" s="1140"/>
      <c r="AA227" s="1140"/>
      <c r="AB227" s="1140"/>
      <c r="AC227" s="1129" t="str">
        <f ca="1">IFERROR(VLOOKUP(Z205,Num_AS,9,FALSE),"")</f>
        <v/>
      </c>
      <c r="AD227" s="1130"/>
      <c r="AE227" s="1131">
        <f>W207</f>
        <v>0</v>
      </c>
    </row>
    <row r="228" spans="1:44" ht="18.75" customHeight="1" thickBot="1" x14ac:dyDescent="0.25">
      <c r="A228" s="701"/>
      <c r="B228" s="701"/>
      <c r="C228" s="249"/>
      <c r="D228" s="249"/>
      <c r="E228" s="249"/>
      <c r="F228" s="701"/>
      <c r="G228" s="701"/>
      <c r="H228" s="196"/>
      <c r="I228" s="196"/>
      <c r="J228" s="249"/>
      <c r="K228" s="219"/>
      <c r="L228" s="219"/>
      <c r="M228" s="219"/>
      <c r="N228" s="219"/>
      <c r="O228" s="219"/>
      <c r="P228" s="219"/>
      <c r="Q228" s="219"/>
      <c r="R228" s="219"/>
      <c r="S228" s="219"/>
      <c r="T228" s="219"/>
      <c r="U228" s="219"/>
      <c r="V228" s="219"/>
      <c r="W228" s="219"/>
      <c r="X228" s="219"/>
      <c r="Y228" s="249"/>
      <c r="Z228" s="219"/>
      <c r="AE228" s="520"/>
    </row>
    <row r="229" spans="1:44" ht="32.25" customHeight="1" x14ac:dyDescent="0.25">
      <c r="A229" s="701"/>
      <c r="B229" s="701"/>
      <c r="D229" s="875" t="s">
        <v>1002</v>
      </c>
      <c r="E229" s="876"/>
      <c r="F229" s="876"/>
      <c r="G229" s="876"/>
      <c r="H229" s="876"/>
      <c r="I229" s="876"/>
      <c r="J229" s="876"/>
      <c r="K229" s="876"/>
      <c r="L229" s="876"/>
      <c r="M229" s="877" t="s">
        <v>1297</v>
      </c>
      <c r="N229" s="219"/>
      <c r="O229" s="1132" t="s">
        <v>1293</v>
      </c>
      <c r="P229" s="1133"/>
      <c r="Q229" s="1134"/>
      <c r="R229" s="941"/>
      <c r="T229" s="875" t="s">
        <v>1002</v>
      </c>
      <c r="U229" s="876"/>
      <c r="V229" s="876"/>
      <c r="W229" s="876"/>
      <c r="X229" s="876"/>
      <c r="Y229" s="876"/>
      <c r="Z229" s="876"/>
      <c r="AA229" s="876"/>
      <c r="AB229" s="876"/>
      <c r="AC229" s="877" t="s">
        <v>1296</v>
      </c>
      <c r="AE229" s="520"/>
    </row>
    <row r="230" spans="1:44" ht="70.5" customHeight="1" thickBot="1" x14ac:dyDescent="0.25">
      <c r="A230" s="701"/>
      <c r="B230" s="701"/>
      <c r="D230" s="878"/>
      <c r="E230" s="879"/>
      <c r="F230" s="879"/>
      <c r="G230" s="879"/>
      <c r="H230" s="879"/>
      <c r="I230" s="879"/>
      <c r="J230" s="879"/>
      <c r="K230" s="879"/>
      <c r="L230" s="879"/>
      <c r="M230" s="880"/>
      <c r="N230" s="219"/>
      <c r="O230" s="1135"/>
      <c r="P230" s="1136"/>
      <c r="Q230" s="1137"/>
      <c r="R230" s="941"/>
      <c r="T230" s="878"/>
      <c r="U230" s="879"/>
      <c r="V230" s="879"/>
      <c r="W230" s="879"/>
      <c r="X230" s="879"/>
      <c r="Y230" s="879"/>
      <c r="Z230" s="879"/>
      <c r="AA230" s="879"/>
      <c r="AB230" s="879"/>
      <c r="AC230" s="880"/>
      <c r="AE230" s="520"/>
    </row>
    <row r="231" spans="1:44" ht="6.75" customHeight="1" x14ac:dyDescent="0.25">
      <c r="A231" s="701"/>
      <c r="B231" s="701"/>
      <c r="C231" s="249"/>
      <c r="D231" s="249"/>
      <c r="E231" s="249"/>
      <c r="F231" s="701"/>
      <c r="G231" s="701"/>
      <c r="H231" s="196"/>
      <c r="I231" s="196"/>
      <c r="J231" s="249"/>
      <c r="K231" s="219"/>
      <c r="L231" s="842"/>
      <c r="M231" s="842"/>
      <c r="N231" s="842"/>
      <c r="O231" s="842"/>
      <c r="P231" s="842"/>
      <c r="Q231" s="842"/>
      <c r="R231" s="842"/>
      <c r="T231" s="845"/>
      <c r="U231" s="842"/>
      <c r="V231" s="842"/>
      <c r="W231" s="649"/>
      <c r="X231" s="845"/>
      <c r="Y231" s="842"/>
      <c r="Z231" s="842"/>
      <c r="AE231" s="520"/>
    </row>
    <row r="232" spans="1:44" ht="27.75" customHeight="1" x14ac:dyDescent="0.2">
      <c r="A232" s="701"/>
      <c r="B232" s="701"/>
      <c r="C232" s="1138" t="s">
        <v>1300</v>
      </c>
      <c r="D232" s="1138"/>
      <c r="E232" s="1138"/>
      <c r="F232" s="1138"/>
      <c r="G232" s="1138"/>
      <c r="H232" s="1138"/>
      <c r="I232" s="1138"/>
      <c r="J232" s="1138"/>
      <c r="K232" s="1138"/>
      <c r="L232" s="1138"/>
      <c r="M232" s="1138"/>
      <c r="N232" s="1138"/>
      <c r="O232" s="1138"/>
      <c r="P232" s="842"/>
      <c r="Q232" s="1139" t="s">
        <v>1303</v>
      </c>
      <c r="R232" s="1139"/>
      <c r="S232" s="1139"/>
      <c r="T232" s="1139"/>
      <c r="U232" s="1139"/>
      <c r="V232" s="1139"/>
      <c r="W232" s="1139"/>
      <c r="X232" s="1139"/>
      <c r="Y232" s="1139"/>
      <c r="Z232" s="1139"/>
      <c r="AA232" s="1139"/>
      <c r="AB232" s="1139"/>
      <c r="AC232" s="1139"/>
      <c r="AD232" s="1139"/>
      <c r="AE232" s="1139"/>
    </row>
    <row r="233" spans="1:44" ht="36" customHeight="1" x14ac:dyDescent="0.2">
      <c r="AE233" s="520"/>
    </row>
    <row r="234" spans="1:44" ht="19.5" customHeight="1" thickBot="1" x14ac:dyDescent="0.25">
      <c r="W234" s="500"/>
      <c r="X234" s="520" t="str">
        <f ca="1">INDIRECT("AE"&amp;Y234)</f>
        <v>C7-Coll7Ville7</v>
      </c>
      <c r="Y234" s="500">
        <f>Z235+2</f>
        <v>10</v>
      </c>
      <c r="Z234" s="501" t="str">
        <f ca="1">INDIRECT("AF"&amp;Y234)</f>
        <v>C2-Coll2Ville2</v>
      </c>
      <c r="AA234" s="500"/>
      <c r="AB234" s="500"/>
      <c r="AD234" s="679"/>
      <c r="AE234" s="679"/>
      <c r="AF234" s="679"/>
      <c r="AG234" s="679"/>
      <c r="AH234" s="679"/>
      <c r="AI234" s="679"/>
      <c r="AJ234" s="679"/>
      <c r="AK234" s="679"/>
      <c r="AL234" s="679"/>
    </row>
    <row r="235" spans="1:44" s="218" customFormat="1" ht="36" thickBot="1" x14ac:dyDescent="0.25">
      <c r="F235" s="576" t="s">
        <v>546</v>
      </c>
      <c r="G235" s="865" t="str">
        <f>G206</f>
        <v>D1</v>
      </c>
      <c r="I235" s="863" t="str">
        <f>"   "&amp;Championnat</f>
        <v xml:space="preserve">   Championnat de France de Tir à l'ARC</v>
      </c>
      <c r="T235" s="197"/>
      <c r="U235" s="197"/>
      <c r="V235" s="197"/>
      <c r="W235" s="197"/>
      <c r="Y235" s="502" t="s">
        <v>849</v>
      </c>
      <c r="Z235" s="503">
        <f>Z206+1</f>
        <v>8</v>
      </c>
      <c r="AB235" s="254"/>
      <c r="AC235" s="254"/>
      <c r="AD235" s="681"/>
      <c r="AE235" s="680"/>
      <c r="AF235" s="681"/>
      <c r="AH235" s="662"/>
      <c r="AI235" s="662"/>
      <c r="AJ235" s="662"/>
      <c r="AK235" s="662"/>
      <c r="AL235" s="662"/>
      <c r="AM235" s="217"/>
      <c r="AN235" s="217"/>
      <c r="AO235" s="217"/>
      <c r="AP235" s="217"/>
      <c r="AQ235" s="217"/>
      <c r="AR235" s="217"/>
    </row>
    <row r="236" spans="1:44" ht="36" thickBot="1" x14ac:dyDescent="0.25">
      <c r="F236" s="661" t="s">
        <v>628</v>
      </c>
      <c r="G236" s="660">
        <f ca="1">INDIRECT("AD"&amp;Y234)</f>
        <v>8</v>
      </c>
      <c r="I236" s="706" t="str">
        <f>CATEG_IMPORTEE</f>
        <v>Collèges Mixtes Etablissement</v>
      </c>
      <c r="S236" s="864" t="str">
        <f>LIEU&amp;" du "&amp;DATE</f>
        <v>L’Isle sur la Sorgue du 27 au 31 mars 2023</v>
      </c>
      <c r="AB236" s="254"/>
      <c r="AC236" s="254"/>
      <c r="AD236" s="681"/>
      <c r="AE236" s="680"/>
      <c r="AF236" s="681"/>
      <c r="AG236" s="679"/>
      <c r="AH236" s="679"/>
      <c r="AI236" s="679"/>
      <c r="AJ236" s="679"/>
      <c r="AK236" s="679"/>
      <c r="AL236" s="679"/>
    </row>
    <row r="237" spans="1:44" ht="24" customHeight="1" x14ac:dyDescent="0.2">
      <c r="A237" s="1075" t="s">
        <v>0</v>
      </c>
      <c r="B237" s="1075"/>
      <c r="C237" s="1075"/>
      <c r="D237" s="1075"/>
      <c r="E237" s="1075"/>
      <c r="F237" s="1075"/>
      <c r="G237" s="1075"/>
      <c r="H237" s="1075"/>
      <c r="I237" s="1075"/>
      <c r="J237" s="1075"/>
      <c r="Q237" s="1075" t="s">
        <v>0</v>
      </c>
      <c r="R237" s="1075"/>
      <c r="S237" s="1075"/>
      <c r="T237" s="1075"/>
      <c r="U237" s="1075"/>
      <c r="V237" s="1075"/>
      <c r="W237" s="1075"/>
      <c r="X237" s="1075"/>
      <c r="Y237" s="1075"/>
      <c r="Z237" s="1075"/>
      <c r="AB237" s="254"/>
      <c r="AC237" s="254"/>
      <c r="AD237" s="681"/>
      <c r="AE237" s="680"/>
      <c r="AF237" s="681"/>
      <c r="AG237" s="679"/>
      <c r="AH237" s="679"/>
      <c r="AI237" s="679"/>
      <c r="AJ237" s="679"/>
      <c r="AK237" s="679"/>
      <c r="AL237" s="679"/>
    </row>
    <row r="238" spans="1:44" ht="31.5" customHeight="1" x14ac:dyDescent="0.2">
      <c r="A238" s="1144" t="str">
        <f ca="1">IFERROR(VLOOKUP(X234,Num_AS,2,FALSE),"")</f>
        <v/>
      </c>
      <c r="B238" s="1144"/>
      <c r="C238" s="1144"/>
      <c r="D238" s="1144"/>
      <c r="E238" s="1144"/>
      <c r="F238" s="1144"/>
      <c r="G238" s="1144"/>
      <c r="H238" s="1144"/>
      <c r="I238" s="1144"/>
      <c r="J238" s="1144"/>
      <c r="K238" s="869" t="s">
        <v>1299</v>
      </c>
      <c r="L238" s="1145" t="s">
        <v>547</v>
      </c>
      <c r="M238" s="1145"/>
      <c r="N238" s="1145"/>
      <c r="O238" s="870" t="s">
        <v>1298</v>
      </c>
      <c r="Q238" s="1144" t="str">
        <f ca="1">IFERROR(VLOOKUP(Z234,Num_AS,2,FALSE),"")</f>
        <v/>
      </c>
      <c r="R238" s="1144"/>
      <c r="S238" s="1144"/>
      <c r="T238" s="1144"/>
      <c r="U238" s="1144"/>
      <c r="V238" s="1144"/>
      <c r="W238" s="1144"/>
      <c r="X238" s="1144"/>
      <c r="Y238" s="1144"/>
      <c r="Z238" s="1144"/>
      <c r="AB238" s="254"/>
      <c r="AC238" s="254"/>
      <c r="AD238" s="681"/>
      <c r="AE238" s="680"/>
      <c r="AF238" s="681"/>
      <c r="AG238" s="679"/>
      <c r="AH238" s="679"/>
      <c r="AI238" s="679"/>
      <c r="AJ238" s="679"/>
      <c r="AK238" s="679"/>
      <c r="AL238" s="679"/>
    </row>
    <row r="239" spans="1:44" ht="20.100000000000001" customHeight="1" thickBot="1" x14ac:dyDescent="0.25">
      <c r="A239" s="1124" t="s">
        <v>1006</v>
      </c>
      <c r="B239" s="1124"/>
      <c r="C239" s="1125"/>
      <c r="D239" s="1125"/>
      <c r="E239" s="1125"/>
      <c r="F239" s="1125"/>
      <c r="G239" s="1125"/>
      <c r="H239" s="1125"/>
      <c r="I239" s="1125"/>
      <c r="J239" s="1125"/>
      <c r="L239" s="871"/>
      <c r="M239" s="871"/>
      <c r="N239" s="871"/>
      <c r="Q239" s="1124" t="s">
        <v>1005</v>
      </c>
      <c r="R239" s="1124"/>
      <c r="S239" s="1125"/>
      <c r="T239" s="1125"/>
      <c r="U239" s="1125"/>
      <c r="V239" s="1125"/>
      <c r="W239" s="1125"/>
      <c r="X239" s="1125"/>
      <c r="Y239" s="1125"/>
      <c r="Z239" s="1125"/>
      <c r="AB239" s="254"/>
      <c r="AC239" s="254"/>
      <c r="AD239" s="681"/>
      <c r="AE239" s="680"/>
      <c r="AF239" s="681"/>
      <c r="AG239" s="679"/>
      <c r="AH239" s="679"/>
      <c r="AI239" s="679"/>
      <c r="AJ239" s="679"/>
      <c r="AK239" s="679"/>
      <c r="AL239" s="679"/>
    </row>
    <row r="240" spans="1:44" ht="27.75" customHeight="1" x14ac:dyDescent="0.2">
      <c r="A240" s="1117" t="str">
        <f ca="1">IFERROR(VLOOKUP(X234,Num_AS,3,FALSE),"")</f>
        <v/>
      </c>
      <c r="B240" s="1150"/>
      <c r="C240" s="1118"/>
      <c r="D240" s="1151"/>
      <c r="E240" s="1151"/>
      <c r="F240" s="1151"/>
      <c r="G240" s="1151"/>
      <c r="H240" s="1151"/>
      <c r="I240" s="1151"/>
      <c r="J240" s="1119"/>
      <c r="O240" s="219"/>
      <c r="P240" s="219"/>
      <c r="Q240" s="1117" t="str">
        <f ca="1">IFERROR(VLOOKUP(Z234,Num_AS,3,FALSE),"")</f>
        <v/>
      </c>
      <c r="R240" s="1150"/>
      <c r="S240" s="1118"/>
      <c r="T240" s="1151"/>
      <c r="U240" s="1151"/>
      <c r="V240" s="1151"/>
      <c r="W240" s="1151"/>
      <c r="X240" s="1151"/>
      <c r="Y240" s="1151"/>
      <c r="Z240" s="1119"/>
      <c r="AB240" s="254"/>
      <c r="AC240" s="254"/>
      <c r="AD240" s="681"/>
      <c r="AE240" s="680"/>
      <c r="AF240" s="681"/>
      <c r="AG240" s="679"/>
      <c r="AH240" s="679"/>
      <c r="AI240" s="679"/>
      <c r="AJ240" s="679"/>
      <c r="AK240" s="679"/>
      <c r="AL240" s="679"/>
    </row>
    <row r="241" spans="1:38" ht="27.75" customHeight="1" thickBot="1" x14ac:dyDescent="0.25">
      <c r="A241" s="1107" t="str">
        <f ca="1">IFERROR(VLOOKUP(X234,Num_AS,4,FALSE),"")</f>
        <v/>
      </c>
      <c r="B241" s="1152"/>
      <c r="C241" s="1108"/>
      <c r="D241" s="1153"/>
      <c r="E241" s="1153"/>
      <c r="F241" s="1153"/>
      <c r="G241" s="1153"/>
      <c r="H241" s="1153"/>
      <c r="I241" s="1153"/>
      <c r="J241" s="1109"/>
      <c r="Q241" s="1107" t="str">
        <f ca="1">IFERROR(VLOOKUP(Z234,Num_AS,4,FALSE),"")</f>
        <v/>
      </c>
      <c r="R241" s="1152"/>
      <c r="S241" s="1108"/>
      <c r="T241" s="1153"/>
      <c r="U241" s="1153"/>
      <c r="V241" s="1153"/>
      <c r="W241" s="1153"/>
      <c r="X241" s="1153"/>
      <c r="Y241" s="1153"/>
      <c r="Z241" s="1109"/>
      <c r="AB241" s="254"/>
      <c r="AC241" s="254"/>
      <c r="AD241" s="681"/>
      <c r="AE241" s="680"/>
      <c r="AF241" s="681"/>
      <c r="AG241" s="679"/>
      <c r="AH241" s="679"/>
      <c r="AI241" s="679"/>
      <c r="AJ241" s="679"/>
      <c r="AK241" s="679"/>
      <c r="AL241" s="679"/>
    </row>
    <row r="242" spans="1:38" ht="36" customHeight="1" thickBot="1" x14ac:dyDescent="0.25">
      <c r="A242" s="1156" t="s">
        <v>1330</v>
      </c>
      <c r="B242" s="1157"/>
      <c r="C242" s="1157"/>
      <c r="D242" s="1158"/>
      <c r="E242" s="947">
        <f ca="1">VLOOKUP(A238&amp;A240,PTS_SP,3,FALSE)</f>
        <v>0</v>
      </c>
      <c r="Q242" s="1156" t="s">
        <v>1330</v>
      </c>
      <c r="R242" s="1157"/>
      <c r="S242" s="1157"/>
      <c r="T242" s="1158"/>
      <c r="U242" s="947">
        <f ca="1">VLOOKUP(Q238&amp;Q240,PTS_SP,3,FALSE)</f>
        <v>0</v>
      </c>
      <c r="AB242" s="254"/>
      <c r="AC242" s="254"/>
      <c r="AD242" s="681"/>
      <c r="AE242" s="680"/>
      <c r="AF242" s="681"/>
      <c r="AG242" s="679"/>
      <c r="AH242" s="679"/>
      <c r="AI242" s="679"/>
      <c r="AJ242" s="679"/>
      <c r="AK242" s="679"/>
      <c r="AL242" s="679"/>
    </row>
    <row r="243" spans="1:38" ht="38.25" customHeight="1" x14ac:dyDescent="0.2">
      <c r="A243" s="701"/>
      <c r="B243" s="701"/>
      <c r="C243" s="853"/>
      <c r="D243" s="861" t="s">
        <v>1290</v>
      </c>
      <c r="E243" s="853"/>
      <c r="F243" s="854"/>
      <c r="G243" s="854"/>
      <c r="H243" s="872" t="s">
        <v>1295</v>
      </c>
      <c r="I243" s="855"/>
      <c r="J243" s="853"/>
      <c r="K243" s="853"/>
      <c r="L243" s="853"/>
      <c r="M243" s="859"/>
      <c r="N243" s="860" t="s">
        <v>1291</v>
      </c>
      <c r="O243" s="853"/>
      <c r="P243" s="249"/>
      <c r="Q243" s="701"/>
      <c r="R243" s="701"/>
      <c r="S243" s="853"/>
      <c r="T243" s="861" t="s">
        <v>1290</v>
      </c>
      <c r="U243" s="853"/>
      <c r="V243" s="854"/>
      <c r="W243" s="854"/>
      <c r="X243" s="872" t="s">
        <v>1302</v>
      </c>
      <c r="Y243" s="855"/>
      <c r="Z243" s="853"/>
      <c r="AA243" s="853"/>
      <c r="AB243" s="853"/>
      <c r="AC243" s="859"/>
      <c r="AD243" s="860" t="s">
        <v>1291</v>
      </c>
      <c r="AE243" s="853"/>
      <c r="AF243" s="681"/>
      <c r="AG243" s="681"/>
      <c r="AH243" s="681"/>
      <c r="AI243" s="681"/>
      <c r="AJ243" s="679"/>
      <c r="AK243" s="679"/>
      <c r="AL243" s="679"/>
    </row>
    <row r="244" spans="1:38" ht="38.25" customHeight="1" x14ac:dyDescent="0.2">
      <c r="A244" s="856" t="s">
        <v>509</v>
      </c>
      <c r="B244" s="942" t="s">
        <v>1329</v>
      </c>
      <c r="C244" s="857">
        <v>1</v>
      </c>
      <c r="D244" s="857">
        <v>2</v>
      </c>
      <c r="E244" s="857">
        <v>3</v>
      </c>
      <c r="F244" s="857">
        <v>4</v>
      </c>
      <c r="G244" s="857">
        <v>5</v>
      </c>
      <c r="H244" s="857">
        <v>6</v>
      </c>
      <c r="I244" s="857">
        <v>7</v>
      </c>
      <c r="J244" s="857">
        <v>8</v>
      </c>
      <c r="K244" s="858" t="s">
        <v>1286</v>
      </c>
      <c r="L244" s="1154" t="s">
        <v>1287</v>
      </c>
      <c r="M244" s="1154"/>
      <c r="N244" s="1154"/>
      <c r="O244" s="858" t="s">
        <v>1288</v>
      </c>
      <c r="P244" s="844"/>
      <c r="Q244" s="856" t="s">
        <v>509</v>
      </c>
      <c r="R244" s="942" t="s">
        <v>1329</v>
      </c>
      <c r="S244" s="857">
        <v>1</v>
      </c>
      <c r="T244" s="857">
        <v>2</v>
      </c>
      <c r="U244" s="857">
        <v>3</v>
      </c>
      <c r="V244" s="857">
        <v>4</v>
      </c>
      <c r="W244" s="857">
        <v>5</v>
      </c>
      <c r="X244" s="857">
        <v>6</v>
      </c>
      <c r="Y244" s="857">
        <v>7</v>
      </c>
      <c r="Z244" s="857">
        <v>8</v>
      </c>
      <c r="AA244" s="858" t="s">
        <v>1286</v>
      </c>
      <c r="AB244" s="1154" t="s">
        <v>1287</v>
      </c>
      <c r="AC244" s="1154"/>
      <c r="AD244" s="1154"/>
      <c r="AE244" s="858" t="s">
        <v>1288</v>
      </c>
      <c r="AF244" s="681"/>
      <c r="AG244" s="681"/>
      <c r="AH244" s="681"/>
      <c r="AI244" s="681"/>
      <c r="AJ244" s="679"/>
      <c r="AK244" s="679"/>
      <c r="AL244" s="679"/>
    </row>
    <row r="245" spans="1:38" ht="30" customHeight="1" x14ac:dyDescent="0.25">
      <c r="A245" s="846" t="s">
        <v>1282</v>
      </c>
      <c r="B245" s="948">
        <f ca="1">E242</f>
        <v>0</v>
      </c>
      <c r="C245" s="843"/>
      <c r="D245" s="843"/>
      <c r="E245" s="843"/>
      <c r="F245" s="843"/>
      <c r="G245" s="847"/>
      <c r="H245" s="848"/>
      <c r="I245" s="846"/>
      <c r="J245" s="843"/>
      <c r="K245" s="843"/>
      <c r="L245" s="849">
        <f ca="1">IF(Q238="Matchs de CLASSEMENT","X",2)</f>
        <v>2</v>
      </c>
      <c r="M245" s="849">
        <f ca="1">IF(Q238="Matchs de CLASSEMENT","X",1)</f>
        <v>1</v>
      </c>
      <c r="N245" s="849">
        <f ca="1">IF(Q238="Matchs de CLASSEMENT","X",0)</f>
        <v>0</v>
      </c>
      <c r="O245" s="849" t="str">
        <f ca="1">IF(Q238="Matchs de CLASSEMENT","X","")</f>
        <v/>
      </c>
      <c r="P245" s="842"/>
      <c r="Q245" s="849" t="str">
        <f ca="1">IF(Q238="Matchs de CLASSEMENT","X","V1")</f>
        <v>V1</v>
      </c>
      <c r="R245" s="948">
        <f ca="1">U242</f>
        <v>0</v>
      </c>
      <c r="S245" s="849" t="str">
        <f ca="1">IF(Q238="Matchs de CLASSEMENT","X","")</f>
        <v/>
      </c>
      <c r="T245" s="849" t="str">
        <f ca="1">IF(Q238="Matchs de CLASSEMENT","X","")</f>
        <v/>
      </c>
      <c r="U245" s="849" t="str">
        <f ca="1">IF(Q238="Matchs de CLASSEMENT","X","")</f>
        <v/>
      </c>
      <c r="V245" s="849" t="str">
        <f ca="1">IF(Q238="Matchs de CLASSEMENT","X","")</f>
        <v/>
      </c>
      <c r="W245" s="849" t="str">
        <f ca="1">IF(Q238="Matchs de CLASSEMENT","X","")</f>
        <v/>
      </c>
      <c r="X245" s="849" t="str">
        <f ca="1">IF(Q238="Matchs de CLASSEMENT","X","")</f>
        <v/>
      </c>
      <c r="Y245" s="849" t="str">
        <f ca="1">IF(Q238="Matchs de CLASSEMENT","X","")</f>
        <v/>
      </c>
      <c r="Z245" s="849" t="str">
        <f ca="1">IF(Q238="Matchs de CLASSEMENT","X","")</f>
        <v/>
      </c>
      <c r="AA245" s="849" t="str">
        <f ca="1">IF(Q238="Matchs de CLASSEMENT","X","")</f>
        <v/>
      </c>
      <c r="AB245" s="849">
        <f ca="1">IF(Q238="Matchs de CLASSEMENT","X",2)</f>
        <v>2</v>
      </c>
      <c r="AC245" s="849">
        <f ca="1">IF(Q238="Matchs de CLASSEMENT","X",1)</f>
        <v>1</v>
      </c>
      <c r="AD245" s="849">
        <f ca="1">IF(Q238="Matchs de CLASSEMENT","X",0)</f>
        <v>0</v>
      </c>
      <c r="AE245" s="849" t="str">
        <f ca="1">IF(Q238="Matchs de CLASSEMENT","X","")</f>
        <v/>
      </c>
      <c r="AF245" s="679"/>
      <c r="AG245" s="679"/>
      <c r="AH245" s="679"/>
      <c r="AI245" s="679"/>
      <c r="AJ245" s="679"/>
      <c r="AK245" s="679"/>
      <c r="AL245" s="679"/>
    </row>
    <row r="246" spans="1:38" ht="30" customHeight="1" x14ac:dyDescent="0.25">
      <c r="A246" s="846" t="s">
        <v>1283</v>
      </c>
      <c r="B246" s="948">
        <f ca="1">B245</f>
        <v>0</v>
      </c>
      <c r="C246" s="843"/>
      <c r="D246" s="843"/>
      <c r="E246" s="843"/>
      <c r="F246" s="843"/>
      <c r="G246" s="847"/>
      <c r="H246" s="848"/>
      <c r="I246" s="846"/>
      <c r="J246" s="843"/>
      <c r="K246" s="843"/>
      <c r="L246" s="849">
        <f ca="1">IF(Q238="Matchs de CLASSEMENT","X",2)</f>
        <v>2</v>
      </c>
      <c r="M246" s="849">
        <f ca="1">IF(Q238="Matchs de CLASSEMENT","X",1)</f>
        <v>1</v>
      </c>
      <c r="N246" s="849">
        <f ca="1">IF(Q238="Matchs de CLASSEMENT","X",0)</f>
        <v>0</v>
      </c>
      <c r="O246" s="849" t="str">
        <f ca="1">IF(Q238="Matchs de CLASSEMENT","X","")</f>
        <v/>
      </c>
      <c r="P246" s="842"/>
      <c r="Q246" s="849" t="str">
        <f ca="1">IF(Q238="Matchs de CLASSEMENT","X","V2")</f>
        <v>V2</v>
      </c>
      <c r="R246" s="948">
        <f ca="1">R245</f>
        <v>0</v>
      </c>
      <c r="S246" s="849" t="str">
        <f ca="1">IF(Q238="Matchs de CLASSEMENT","X","")</f>
        <v/>
      </c>
      <c r="T246" s="849" t="str">
        <f ca="1">IF(Q238="Matchs de CLASSEMENT","X","")</f>
        <v/>
      </c>
      <c r="U246" s="849" t="str">
        <f ca="1">IF(Q238="Matchs de CLASSEMENT","X","")</f>
        <v/>
      </c>
      <c r="V246" s="849" t="str">
        <f ca="1">IF(Q238="Matchs de CLASSEMENT","X","")</f>
        <v/>
      </c>
      <c r="W246" s="849" t="str">
        <f ca="1">IF(Q238="Matchs de CLASSEMENT","X","")</f>
        <v/>
      </c>
      <c r="X246" s="849" t="str">
        <f ca="1">IF(Q238="Matchs de CLASSEMENT","X","")</f>
        <v/>
      </c>
      <c r="Y246" s="849" t="str">
        <f ca="1">IF(Q238="Matchs de CLASSEMENT","X","")</f>
        <v/>
      </c>
      <c r="Z246" s="849" t="str">
        <f ca="1">IF(Q238="Matchs de CLASSEMENT","X","")</f>
        <v/>
      </c>
      <c r="AA246" s="849" t="str">
        <f ca="1">IF(Q238="Matchs de CLASSEMENT","X","")</f>
        <v/>
      </c>
      <c r="AB246" s="849">
        <f ca="1">IF(Q238="Matchs de CLASSEMENT","X",2)</f>
        <v>2</v>
      </c>
      <c r="AC246" s="849">
        <f ca="1">IF(Q238="Matchs de CLASSEMENT","X",1)</f>
        <v>1</v>
      </c>
      <c r="AD246" s="849">
        <f ca="1">IF(Q238="Matchs de CLASSEMENT","X",0)</f>
        <v>0</v>
      </c>
      <c r="AE246" s="849" t="str">
        <f ca="1">IF(Q238="Matchs de CLASSEMENT","X","")</f>
        <v/>
      </c>
      <c r="AF246" s="679"/>
      <c r="AG246" s="679"/>
      <c r="AH246" s="679"/>
      <c r="AI246" s="679"/>
      <c r="AJ246" s="679"/>
      <c r="AK246" s="679"/>
      <c r="AL246" s="679"/>
    </row>
    <row r="247" spans="1:38" ht="30" customHeight="1" x14ac:dyDescent="0.25">
      <c r="A247" s="846" t="s">
        <v>1284</v>
      </c>
      <c r="B247" s="948">
        <f t="shared" ref="B247:B248" ca="1" si="15">B246</f>
        <v>0</v>
      </c>
      <c r="C247" s="843"/>
      <c r="D247" s="843"/>
      <c r="E247" s="843"/>
      <c r="F247" s="843"/>
      <c r="G247" s="847"/>
      <c r="H247" s="848"/>
      <c r="I247" s="846"/>
      <c r="J247" s="843"/>
      <c r="K247" s="843"/>
      <c r="L247" s="849">
        <f ca="1">IF(Q238="Matchs de CLASSEMENT","X",2)</f>
        <v>2</v>
      </c>
      <c r="M247" s="849">
        <f ca="1">IF(Q238="Matchs de CLASSEMENT","X",1)</f>
        <v>1</v>
      </c>
      <c r="N247" s="849">
        <f ca="1">IF(Q238="Matchs de CLASSEMENT","X",0)</f>
        <v>0</v>
      </c>
      <c r="O247" s="849" t="str">
        <f ca="1">IF(Q238="Matchs de CLASSEMENT","X","")</f>
        <v/>
      </c>
      <c r="P247" s="842"/>
      <c r="Q247" s="849" t="str">
        <f ca="1">IF(Q238="Matchs de CLASSEMENT","X","V3")</f>
        <v>V3</v>
      </c>
      <c r="R247" s="948">
        <f t="shared" ref="R247:R248" ca="1" si="16">R246</f>
        <v>0</v>
      </c>
      <c r="S247" s="849" t="str">
        <f ca="1">IF(Q238="Matchs de CLASSEMENT","X","")</f>
        <v/>
      </c>
      <c r="T247" s="849" t="str">
        <f ca="1">IF(Q238="Matchs de CLASSEMENT","X","")</f>
        <v/>
      </c>
      <c r="U247" s="849" t="str">
        <f ca="1">IF(Q238="Matchs de CLASSEMENT","X","")</f>
        <v/>
      </c>
      <c r="V247" s="849" t="str">
        <f ca="1">IF(Q238="Matchs de CLASSEMENT","X","")</f>
        <v/>
      </c>
      <c r="W247" s="849" t="str">
        <f ca="1">IF(Q238="Matchs de CLASSEMENT","X","")</f>
        <v/>
      </c>
      <c r="X247" s="849" t="str">
        <f ca="1">IF(Q238="Matchs de CLASSEMENT","X","")</f>
        <v/>
      </c>
      <c r="Y247" s="849" t="str">
        <f ca="1">IF(Q238="Matchs de CLASSEMENT","X","")</f>
        <v/>
      </c>
      <c r="Z247" s="849" t="str">
        <f ca="1">IF(Q238="Matchs de CLASSEMENT","X","")</f>
        <v/>
      </c>
      <c r="AA247" s="849" t="str">
        <f ca="1">IF(Q238="Matchs de CLASSEMENT","X","")</f>
        <v/>
      </c>
      <c r="AB247" s="849">
        <f ca="1">IF(Q238="Matchs de CLASSEMENT","X",2)</f>
        <v>2</v>
      </c>
      <c r="AC247" s="849">
        <f ca="1">IF(Q238="Matchs de CLASSEMENT","X",1)</f>
        <v>1</v>
      </c>
      <c r="AD247" s="849">
        <f ca="1">IF(Q238="Matchs de CLASSEMENT","X",0)</f>
        <v>0</v>
      </c>
      <c r="AE247" s="849" t="str">
        <f ca="1">IF(Q238="Matchs de CLASSEMENT","X","")</f>
        <v/>
      </c>
      <c r="AF247" s="679"/>
      <c r="AG247" s="679"/>
      <c r="AH247" s="679"/>
      <c r="AI247" s="679"/>
      <c r="AJ247" s="679"/>
      <c r="AK247" s="679"/>
      <c r="AL247" s="679"/>
    </row>
    <row r="248" spans="1:38" ht="30" customHeight="1" x14ac:dyDescent="0.25">
      <c r="A248" s="846" t="s">
        <v>1285</v>
      </c>
      <c r="B248" s="948">
        <f t="shared" ca="1" si="15"/>
        <v>0</v>
      </c>
      <c r="C248" s="843"/>
      <c r="D248" s="843"/>
      <c r="E248" s="843"/>
      <c r="F248" s="843"/>
      <c r="G248" s="847"/>
      <c r="H248" s="848"/>
      <c r="I248" s="846"/>
      <c r="J248" s="843"/>
      <c r="K248" s="843"/>
      <c r="L248" s="849">
        <f ca="1">IF(Q238="Matchs de CLASSEMENT","X",2)</f>
        <v>2</v>
      </c>
      <c r="M248" s="849">
        <f ca="1">IF(Q238="Matchs de CLASSEMENT","X",1)</f>
        <v>1</v>
      </c>
      <c r="N248" s="849">
        <f ca="1">IF(Q238="Matchs de CLASSEMENT","X",0)</f>
        <v>0</v>
      </c>
      <c r="O248" s="849" t="str">
        <f ca="1">IF(Q238="Matchs de CLASSEMENT","X","")</f>
        <v/>
      </c>
      <c r="P248" s="842"/>
      <c r="Q248" s="849" t="str">
        <f ca="1">IF(Q238="Matchs de CLASSEMENT","X","V4")</f>
        <v>V4</v>
      </c>
      <c r="R248" s="948">
        <f t="shared" ca="1" si="16"/>
        <v>0</v>
      </c>
      <c r="S248" s="849" t="str">
        <f ca="1">IF(Q238="Matchs de CLASSEMENT","X","")</f>
        <v/>
      </c>
      <c r="T248" s="849" t="str">
        <f ca="1">IF(Q238="Matchs de CLASSEMENT","X","")</f>
        <v/>
      </c>
      <c r="U248" s="849" t="str">
        <f ca="1">IF(Q238="Matchs de CLASSEMENT","X","")</f>
        <v/>
      </c>
      <c r="V248" s="849" t="str">
        <f ca="1">IF(Q238="Matchs de CLASSEMENT","X","")</f>
        <v/>
      </c>
      <c r="W248" s="849" t="str">
        <f ca="1">IF(Q238="Matchs de CLASSEMENT","X","")</f>
        <v/>
      </c>
      <c r="X248" s="849" t="str">
        <f ca="1">IF(Q238="Matchs de CLASSEMENT","X","")</f>
        <v/>
      </c>
      <c r="Y248" s="849" t="str">
        <f ca="1">IF(Q238="Matchs de CLASSEMENT","X","")</f>
        <v/>
      </c>
      <c r="Z248" s="849" t="str">
        <f ca="1">IF(Q238="Matchs de CLASSEMENT","X","")</f>
        <v/>
      </c>
      <c r="AA248" s="849" t="str">
        <f ca="1">IF(Q238="Matchs de CLASSEMENT","X","")</f>
        <v/>
      </c>
      <c r="AB248" s="849">
        <f ca="1">IF(Q238="Matchs de CLASSEMENT","X",2)</f>
        <v>2</v>
      </c>
      <c r="AC248" s="849">
        <f ca="1">IF(Q238="Matchs de CLASSEMENT","X",1)</f>
        <v>1</v>
      </c>
      <c r="AD248" s="849">
        <f ca="1">IF(Q238="Matchs de CLASSEMENT","X",0)</f>
        <v>0</v>
      </c>
      <c r="AE248" s="849" t="str">
        <f ca="1">IF(Q238="Matchs de CLASSEMENT","X","")</f>
        <v/>
      </c>
      <c r="AF248" s="679"/>
      <c r="AG248" s="679"/>
      <c r="AH248" s="679"/>
      <c r="AI248" s="679"/>
      <c r="AJ248" s="679"/>
      <c r="AK248" s="679"/>
      <c r="AL248" s="679"/>
    </row>
    <row r="249" spans="1:38" ht="30" customHeight="1" x14ac:dyDescent="0.2">
      <c r="N249" s="867" t="s">
        <v>1294</v>
      </c>
      <c r="O249" s="848"/>
      <c r="AD249" s="867" t="s">
        <v>1294</v>
      </c>
      <c r="AE249" s="866"/>
      <c r="AF249" s="679"/>
      <c r="AG249" s="679"/>
      <c r="AH249" s="679"/>
      <c r="AI249" s="679"/>
      <c r="AJ249" s="679"/>
      <c r="AK249" s="679"/>
      <c r="AL249" s="679"/>
    </row>
    <row r="250" spans="1:38" ht="12.75" customHeight="1" x14ac:dyDescent="0.2">
      <c r="AE250" s="520"/>
      <c r="AF250" s="679"/>
      <c r="AG250" s="679"/>
      <c r="AH250" s="679"/>
      <c r="AI250" s="679"/>
      <c r="AJ250" s="679"/>
      <c r="AK250" s="679"/>
      <c r="AL250" s="679"/>
    </row>
    <row r="251" spans="1:38" ht="18.75" customHeight="1" x14ac:dyDescent="0.2">
      <c r="A251" s="584"/>
      <c r="B251" s="584"/>
      <c r="C251" s="701" t="s">
        <v>1289</v>
      </c>
      <c r="D251" s="249"/>
      <c r="E251" s="196"/>
      <c r="F251" s="196"/>
      <c r="G251" s="584"/>
      <c r="H251" s="1155" t="s">
        <v>1301</v>
      </c>
      <c r="I251" s="1155"/>
      <c r="J251" s="1155"/>
      <c r="K251" s="1155"/>
      <c r="L251" s="1155"/>
      <c r="M251" s="1155"/>
      <c r="N251" s="1155"/>
      <c r="O251" s="1155"/>
      <c r="P251" s="842"/>
      <c r="Q251" s="219"/>
      <c r="R251" s="219"/>
      <c r="S251" s="701" t="s">
        <v>1289</v>
      </c>
      <c r="T251" s="249"/>
      <c r="U251" s="196"/>
      <c r="V251" s="196"/>
      <c r="X251" s="1155" t="s">
        <v>1304</v>
      </c>
      <c r="Y251" s="1155"/>
      <c r="Z251" s="1155"/>
      <c r="AA251" s="1155"/>
      <c r="AB251" s="1155"/>
      <c r="AC251" s="1155"/>
      <c r="AD251" s="1155"/>
      <c r="AE251" s="1155"/>
      <c r="AF251" s="679"/>
      <c r="AG251" s="679"/>
      <c r="AH251" s="679"/>
      <c r="AI251" s="679"/>
      <c r="AJ251" s="679"/>
      <c r="AK251" s="679"/>
      <c r="AL251" s="679"/>
    </row>
    <row r="252" spans="1:38" ht="32.25" customHeight="1" x14ac:dyDescent="0.2">
      <c r="A252" s="584"/>
      <c r="B252" s="584"/>
      <c r="C252" s="850"/>
      <c r="D252" s="851"/>
      <c r="E252" s="852"/>
      <c r="F252" s="852"/>
      <c r="G252" s="584"/>
      <c r="H252" s="1149" t="s">
        <v>549</v>
      </c>
      <c r="I252" s="1149"/>
      <c r="J252" s="1149"/>
      <c r="K252" s="1149"/>
      <c r="L252" s="1149"/>
      <c r="M252" s="1146" t="s">
        <v>550</v>
      </c>
      <c r="N252" s="1147"/>
      <c r="O252" s="1148"/>
      <c r="P252" s="842"/>
      <c r="Q252" s="219"/>
      <c r="R252" s="219"/>
      <c r="S252" s="850"/>
      <c r="T252" s="851"/>
      <c r="U252" s="852"/>
      <c r="V252" s="852"/>
      <c r="X252" s="1149" t="s">
        <v>549</v>
      </c>
      <c r="Y252" s="1149"/>
      <c r="Z252" s="1149"/>
      <c r="AA252" s="1149"/>
      <c r="AB252" s="1149"/>
      <c r="AC252" s="1146" t="s">
        <v>550</v>
      </c>
      <c r="AD252" s="1147"/>
      <c r="AE252" s="1148"/>
      <c r="AG252" s="679"/>
      <c r="AH252" s="679"/>
      <c r="AI252" s="679"/>
      <c r="AJ252" s="679"/>
      <c r="AK252" s="679"/>
      <c r="AL252" s="679"/>
    </row>
    <row r="253" spans="1:38" ht="32.25" customHeight="1" x14ac:dyDescent="0.2">
      <c r="A253" s="584"/>
      <c r="B253" s="584"/>
      <c r="C253" s="850"/>
      <c r="D253" s="851"/>
      <c r="E253" s="852"/>
      <c r="F253" s="852"/>
      <c r="G253" s="584"/>
      <c r="H253" s="1140" t="str">
        <f ca="1">IFERROR(VLOOKUP(X234,Num_AS,6,FALSE)&amp;" "&amp;VLOOKUP(X234,Num_AS,7,FALSE),"")</f>
        <v/>
      </c>
      <c r="I253" s="1140"/>
      <c r="J253" s="1140"/>
      <c r="K253" s="1140"/>
      <c r="L253" s="1140"/>
      <c r="M253" s="1129" t="str">
        <f ca="1">IFERROR(VLOOKUP(X234,Num_AS,9,FALSE),"")</f>
        <v/>
      </c>
      <c r="N253" s="1130"/>
      <c r="O253" s="1131"/>
      <c r="P253" s="842"/>
      <c r="Q253" s="219"/>
      <c r="R253" s="219"/>
      <c r="S253" s="850"/>
      <c r="T253" s="851"/>
      <c r="U253" s="852"/>
      <c r="V253" s="852"/>
      <c r="W253" s="196"/>
      <c r="X253" s="1140" t="str">
        <f ca="1">IFERROR(VLOOKUP(Z234,Num_AS,6,FALSE)&amp;" "&amp;VLOOKUP(Z234,Num_AS,7,FALSE),"")</f>
        <v/>
      </c>
      <c r="Y253" s="1140"/>
      <c r="Z253" s="1140"/>
      <c r="AA253" s="1140"/>
      <c r="AB253" s="1140"/>
      <c r="AC253" s="1129" t="str">
        <f ca="1">IFERROR(VLOOKUP(Z234,Num_AS,9,FALSE),"")</f>
        <v/>
      </c>
      <c r="AD253" s="1130"/>
      <c r="AE253" s="1131"/>
    </row>
    <row r="254" spans="1:38" ht="32.25" customHeight="1" x14ac:dyDescent="0.2">
      <c r="A254" s="584"/>
      <c r="B254" s="584"/>
      <c r="C254" s="850"/>
      <c r="D254" s="851"/>
      <c r="E254" s="852"/>
      <c r="F254" s="852"/>
      <c r="G254" s="584"/>
      <c r="H254" s="1140" t="str">
        <f ca="1">IFERROR(VLOOKUP(X234,Num_AS,12,FALSE)&amp;" "&amp;VLOOKUP(X234,Num_AS,13,FALSE),"")</f>
        <v/>
      </c>
      <c r="I254" s="1140"/>
      <c r="J254" s="1140"/>
      <c r="K254" s="1140"/>
      <c r="L254" s="1140"/>
      <c r="M254" s="1129" t="str">
        <f ca="1">IFERROR(VLOOKUP(X234,Num_AS,15,FALSE),"")</f>
        <v/>
      </c>
      <c r="N254" s="1130"/>
      <c r="O254" s="1131">
        <f ca="1">G236</f>
        <v>8</v>
      </c>
      <c r="P254" s="842"/>
      <c r="Q254" s="219"/>
      <c r="R254" s="219"/>
      <c r="S254" s="850"/>
      <c r="T254" s="851"/>
      <c r="U254" s="852"/>
      <c r="V254" s="852"/>
      <c r="W254" s="196"/>
      <c r="X254" s="1140" t="str">
        <f ca="1">IFERROR(VLOOKUP(Z234,Num_AS,12,FALSE)&amp;" "&amp;VLOOKUP(Z234,Num_AS,13,FALSE),"")</f>
        <v/>
      </c>
      <c r="Y254" s="1140"/>
      <c r="Z254" s="1140"/>
      <c r="AA254" s="1140"/>
      <c r="AB254" s="1140"/>
      <c r="AC254" s="1129" t="str">
        <f ca="1">IFERROR(VLOOKUP(Z234,Num_AS,15,FALSE),"")</f>
        <v/>
      </c>
      <c r="AD254" s="1130"/>
      <c r="AE254" s="1131">
        <f>W236</f>
        <v>0</v>
      </c>
    </row>
    <row r="255" spans="1:38" ht="32.25" customHeight="1" x14ac:dyDescent="0.2">
      <c r="A255" s="584"/>
      <c r="B255" s="584"/>
      <c r="C255" s="584"/>
      <c r="D255" s="584"/>
      <c r="E255" s="584"/>
      <c r="F255" s="584"/>
      <c r="G255" s="584"/>
      <c r="H255" s="1140" t="str">
        <f ca="1">IFERROR(VLOOKUP(X234,Num_AS,18,FALSE)&amp;" "&amp;VLOOKUP(X234,Num_AS,19,FALSE),"")</f>
        <v/>
      </c>
      <c r="I255" s="1140"/>
      <c r="J255" s="1140"/>
      <c r="K255" s="1140"/>
      <c r="L255" s="1140"/>
      <c r="M255" s="1129" t="str">
        <f ca="1">IFERROR(VLOOKUP(X234,Num_AS,21,FALSE),"")</f>
        <v/>
      </c>
      <c r="N255" s="1130"/>
      <c r="O255" s="1131">
        <f ca="1">G236</f>
        <v>8</v>
      </c>
      <c r="P255" s="842"/>
      <c r="Q255" s="219"/>
      <c r="R255" s="219"/>
      <c r="S255" s="584"/>
      <c r="T255" s="584"/>
      <c r="U255" s="584"/>
      <c r="V255" s="584"/>
      <c r="W255" s="196"/>
      <c r="X255" s="1140" t="str">
        <f ca="1">IFERROR(VLOOKUP(Z234,Num_AS,18,FALSE)&amp;" "&amp;VLOOKUP(Z234,Num_AS,19,FALSE),"")</f>
        <v/>
      </c>
      <c r="Y255" s="1140"/>
      <c r="Z255" s="1140"/>
      <c r="AA255" s="1140"/>
      <c r="AB255" s="1140"/>
      <c r="AC255" s="1129" t="str">
        <f ca="1">IFERROR(VLOOKUP(Z234,Num_AS,21,FALSE),"")</f>
        <v/>
      </c>
      <c r="AD255" s="1130"/>
      <c r="AE255" s="1131">
        <f>W236</f>
        <v>0</v>
      </c>
    </row>
    <row r="256" spans="1:38" ht="32.25" customHeight="1" x14ac:dyDescent="0.2">
      <c r="A256" s="584"/>
      <c r="B256" s="584"/>
      <c r="C256" s="862"/>
      <c r="D256" s="1141" t="s">
        <v>1292</v>
      </c>
      <c r="E256" s="1142"/>
      <c r="F256" s="1143"/>
      <c r="G256" s="584"/>
      <c r="H256" s="1140" t="str">
        <f ca="1">IFERROR(VLOOKUP(X234,Num_AS,24,FALSE)&amp;" "&amp;VLOOKUP(X234,Num_AS,25,FALSE),"")</f>
        <v/>
      </c>
      <c r="I256" s="1140"/>
      <c r="J256" s="1140"/>
      <c r="K256" s="1140"/>
      <c r="L256" s="1140"/>
      <c r="M256" s="1129" t="str">
        <f ca="1">IFERROR(VLOOKUP(X234,Num_AS,9,FALSE),"")</f>
        <v/>
      </c>
      <c r="N256" s="1130"/>
      <c r="O256" s="1131">
        <f ca="1">G236</f>
        <v>8</v>
      </c>
      <c r="P256" s="842"/>
      <c r="Q256" s="219"/>
      <c r="R256" s="219"/>
      <c r="S256" s="862"/>
      <c r="T256" s="1141" t="s">
        <v>1292</v>
      </c>
      <c r="U256" s="1142"/>
      <c r="V256" s="1143"/>
      <c r="W256" s="196"/>
      <c r="X256" s="1140" t="str">
        <f ca="1">IFERROR(VLOOKUP(Z234,Num_AS,24,FALSE)&amp;" "&amp;VLOOKUP(Z234,Num_AS,25,FALSE),"")</f>
        <v/>
      </c>
      <c r="Y256" s="1140"/>
      <c r="Z256" s="1140"/>
      <c r="AA256" s="1140"/>
      <c r="AB256" s="1140"/>
      <c r="AC256" s="1129" t="str">
        <f ca="1">IFERROR(VLOOKUP(Z234,Num_AS,9,FALSE),"")</f>
        <v/>
      </c>
      <c r="AD256" s="1130"/>
      <c r="AE256" s="1131">
        <f>W236</f>
        <v>0</v>
      </c>
    </row>
    <row r="257" spans="1:44" ht="18.75" customHeight="1" thickBot="1" x14ac:dyDescent="0.25">
      <c r="A257" s="701"/>
      <c r="B257" s="701"/>
      <c r="C257" s="249"/>
      <c r="D257" s="249"/>
      <c r="E257" s="249"/>
      <c r="F257" s="701"/>
      <c r="G257" s="701"/>
      <c r="H257" s="196"/>
      <c r="I257" s="196"/>
      <c r="J257" s="249"/>
      <c r="K257" s="219"/>
      <c r="L257" s="219"/>
      <c r="M257" s="219"/>
      <c r="N257" s="219"/>
      <c r="O257" s="219"/>
      <c r="P257" s="219"/>
      <c r="Q257" s="219"/>
      <c r="R257" s="219"/>
      <c r="S257" s="219"/>
      <c r="T257" s="219"/>
      <c r="U257" s="219"/>
      <c r="V257" s="219"/>
      <c r="W257" s="219"/>
      <c r="X257" s="219"/>
      <c r="Y257" s="249"/>
      <c r="Z257" s="219"/>
      <c r="AE257" s="520"/>
    </row>
    <row r="258" spans="1:44" ht="32.25" customHeight="1" x14ac:dyDescent="0.25">
      <c r="A258" s="701"/>
      <c r="B258" s="701"/>
      <c r="D258" s="875" t="s">
        <v>1002</v>
      </c>
      <c r="E258" s="876"/>
      <c r="F258" s="876"/>
      <c r="G258" s="876"/>
      <c r="H258" s="876"/>
      <c r="I258" s="876"/>
      <c r="J258" s="876"/>
      <c r="K258" s="876"/>
      <c r="L258" s="876"/>
      <c r="M258" s="877" t="s">
        <v>1297</v>
      </c>
      <c r="N258" s="219"/>
      <c r="O258" s="1132" t="s">
        <v>1293</v>
      </c>
      <c r="P258" s="1133"/>
      <c r="Q258" s="1134"/>
      <c r="R258" s="941"/>
      <c r="T258" s="875" t="s">
        <v>1002</v>
      </c>
      <c r="U258" s="876"/>
      <c r="V258" s="876"/>
      <c r="W258" s="876"/>
      <c r="X258" s="876"/>
      <c r="Y258" s="876"/>
      <c r="Z258" s="876"/>
      <c r="AA258" s="876"/>
      <c r="AB258" s="876"/>
      <c r="AC258" s="877" t="s">
        <v>1296</v>
      </c>
      <c r="AE258" s="520"/>
    </row>
    <row r="259" spans="1:44" ht="70.5" customHeight="1" thickBot="1" x14ac:dyDescent="0.25">
      <c r="A259" s="701"/>
      <c r="B259" s="701"/>
      <c r="D259" s="878"/>
      <c r="E259" s="879"/>
      <c r="F259" s="879"/>
      <c r="G259" s="879"/>
      <c r="H259" s="879"/>
      <c r="I259" s="879"/>
      <c r="J259" s="879"/>
      <c r="K259" s="879"/>
      <c r="L259" s="879"/>
      <c r="M259" s="880"/>
      <c r="N259" s="219"/>
      <c r="O259" s="1135"/>
      <c r="P259" s="1136"/>
      <c r="Q259" s="1137"/>
      <c r="R259" s="941"/>
      <c r="T259" s="878"/>
      <c r="U259" s="879"/>
      <c r="V259" s="879"/>
      <c r="W259" s="879"/>
      <c r="X259" s="879"/>
      <c r="Y259" s="879"/>
      <c r="Z259" s="879"/>
      <c r="AA259" s="879"/>
      <c r="AB259" s="879"/>
      <c r="AC259" s="880"/>
      <c r="AE259" s="520"/>
    </row>
    <row r="260" spans="1:44" ht="6.75" customHeight="1" x14ac:dyDescent="0.25">
      <c r="A260" s="701"/>
      <c r="B260" s="701"/>
      <c r="C260" s="249"/>
      <c r="D260" s="249"/>
      <c r="E260" s="249"/>
      <c r="F260" s="701"/>
      <c r="G260" s="701"/>
      <c r="H260" s="196"/>
      <c r="I260" s="196"/>
      <c r="J260" s="249"/>
      <c r="K260" s="219"/>
      <c r="L260" s="842"/>
      <c r="M260" s="842"/>
      <c r="N260" s="842"/>
      <c r="O260" s="842"/>
      <c r="P260" s="842"/>
      <c r="Q260" s="842"/>
      <c r="R260" s="842"/>
      <c r="T260" s="845"/>
      <c r="U260" s="842"/>
      <c r="V260" s="842"/>
      <c r="W260" s="649"/>
      <c r="X260" s="845"/>
      <c r="Y260" s="842"/>
      <c r="Z260" s="842"/>
      <c r="AE260" s="520"/>
    </row>
    <row r="261" spans="1:44" ht="27.75" customHeight="1" x14ac:dyDescent="0.2">
      <c r="A261" s="701"/>
      <c r="B261" s="701"/>
      <c r="C261" s="1138" t="s">
        <v>1300</v>
      </c>
      <c r="D261" s="1138"/>
      <c r="E261" s="1138"/>
      <c r="F261" s="1138"/>
      <c r="G261" s="1138"/>
      <c r="H261" s="1138"/>
      <c r="I261" s="1138"/>
      <c r="J261" s="1138"/>
      <c r="K261" s="1138"/>
      <c r="L261" s="1138"/>
      <c r="M261" s="1138"/>
      <c r="N261" s="1138"/>
      <c r="O261" s="1138"/>
      <c r="P261" s="842"/>
      <c r="Q261" s="1139" t="s">
        <v>1303</v>
      </c>
      <c r="R261" s="1139"/>
      <c r="S261" s="1139"/>
      <c r="T261" s="1139"/>
      <c r="U261" s="1139"/>
      <c r="V261" s="1139"/>
      <c r="W261" s="1139"/>
      <c r="X261" s="1139"/>
      <c r="Y261" s="1139"/>
      <c r="Z261" s="1139"/>
      <c r="AA261" s="1139"/>
      <c r="AB261" s="1139"/>
      <c r="AC261" s="1139"/>
      <c r="AD261" s="1139"/>
      <c r="AE261" s="1139"/>
    </row>
    <row r="262" spans="1:44" ht="36" customHeight="1" x14ac:dyDescent="0.2">
      <c r="AE262" s="520"/>
    </row>
    <row r="263" spans="1:44" ht="19.5" customHeight="1" thickBot="1" x14ac:dyDescent="0.25">
      <c r="W263" s="500"/>
      <c r="X263" s="520" t="str">
        <f ca="1">INDIRECT("AE"&amp;Y263)</f>
        <v>C9-Coll9Ville9</v>
      </c>
      <c r="Y263" s="500">
        <f>Z264+2</f>
        <v>11</v>
      </c>
      <c r="Z263" s="501" t="str">
        <f ca="1">INDIRECT("AF"&amp;Y263)</f>
        <v>VIDE</v>
      </c>
      <c r="AA263" s="500"/>
      <c r="AB263" s="500"/>
      <c r="AD263" s="679"/>
      <c r="AE263" s="679"/>
      <c r="AF263" s="679"/>
      <c r="AG263" s="679"/>
      <c r="AH263" s="679"/>
      <c r="AI263" s="679"/>
      <c r="AJ263" s="679"/>
      <c r="AK263" s="679"/>
      <c r="AL263" s="679"/>
    </row>
    <row r="264" spans="1:44" s="218" customFormat="1" ht="36" thickBot="1" x14ac:dyDescent="0.25">
      <c r="F264" s="576" t="s">
        <v>546</v>
      </c>
      <c r="G264" s="865" t="str">
        <f>G235</f>
        <v>D1</v>
      </c>
      <c r="I264" s="863" t="str">
        <f>"   "&amp;Championnat</f>
        <v xml:space="preserve">   Championnat de France de Tir à l'ARC</v>
      </c>
      <c r="T264" s="197"/>
      <c r="U264" s="197"/>
      <c r="V264" s="197"/>
      <c r="W264" s="197"/>
      <c r="Y264" s="502" t="s">
        <v>849</v>
      </c>
      <c r="Z264" s="503">
        <f>Z235+1</f>
        <v>9</v>
      </c>
      <c r="AB264" s="254"/>
      <c r="AC264" s="254"/>
      <c r="AD264" s="681"/>
      <c r="AE264" s="680"/>
      <c r="AF264" s="681"/>
      <c r="AH264" s="662"/>
      <c r="AI264" s="662"/>
      <c r="AJ264" s="662"/>
      <c r="AK264" s="662"/>
      <c r="AL264" s="662"/>
      <c r="AM264" s="217"/>
      <c r="AN264" s="217"/>
      <c r="AO264" s="217"/>
      <c r="AP264" s="217"/>
      <c r="AQ264" s="217"/>
      <c r="AR264" s="217"/>
    </row>
    <row r="265" spans="1:44" ht="36" thickBot="1" x14ac:dyDescent="0.25">
      <c r="F265" s="661" t="s">
        <v>628</v>
      </c>
      <c r="G265" s="660">
        <f ca="1">INDIRECT("AD"&amp;Y263)</f>
        <v>9</v>
      </c>
      <c r="I265" s="706" t="str">
        <f>CATEG_IMPORTEE</f>
        <v>Collèges Mixtes Etablissement</v>
      </c>
      <c r="S265" s="864" t="str">
        <f>LIEU&amp;" du "&amp;DATE</f>
        <v>L’Isle sur la Sorgue du 27 au 31 mars 2023</v>
      </c>
      <c r="AB265" s="254"/>
      <c r="AC265" s="254"/>
      <c r="AD265" s="681"/>
      <c r="AE265" s="680"/>
      <c r="AF265" s="681"/>
      <c r="AG265" s="679"/>
      <c r="AH265" s="679"/>
      <c r="AI265" s="679"/>
      <c r="AJ265" s="679"/>
      <c r="AK265" s="679"/>
      <c r="AL265" s="679"/>
    </row>
    <row r="266" spans="1:44" ht="24" customHeight="1" x14ac:dyDescent="0.2">
      <c r="A266" s="1075" t="s">
        <v>0</v>
      </c>
      <c r="B266" s="1075"/>
      <c r="C266" s="1075"/>
      <c r="D266" s="1075"/>
      <c r="E266" s="1075"/>
      <c r="F266" s="1075"/>
      <c r="G266" s="1075"/>
      <c r="H266" s="1075"/>
      <c r="I266" s="1075"/>
      <c r="J266" s="1075"/>
      <c r="Q266" s="1075" t="s">
        <v>0</v>
      </c>
      <c r="R266" s="1075"/>
      <c r="S266" s="1075"/>
      <c r="T266" s="1075"/>
      <c r="U266" s="1075"/>
      <c r="V266" s="1075"/>
      <c r="W266" s="1075"/>
      <c r="X266" s="1075"/>
      <c r="Y266" s="1075"/>
      <c r="Z266" s="1075"/>
      <c r="AB266" s="254"/>
      <c r="AC266" s="254"/>
      <c r="AD266" s="681"/>
      <c r="AE266" s="680"/>
      <c r="AF266" s="681"/>
      <c r="AG266" s="679"/>
      <c r="AH266" s="679"/>
      <c r="AI266" s="679"/>
      <c r="AJ266" s="679"/>
      <c r="AK266" s="679"/>
      <c r="AL266" s="679"/>
    </row>
    <row r="267" spans="1:44" ht="31.5" customHeight="1" x14ac:dyDescent="0.2">
      <c r="A267" s="1144" t="str">
        <f ca="1">IFERROR(VLOOKUP(X263,Num_AS,2,FALSE),"")</f>
        <v/>
      </c>
      <c r="B267" s="1144"/>
      <c r="C267" s="1144"/>
      <c r="D267" s="1144"/>
      <c r="E267" s="1144"/>
      <c r="F267" s="1144"/>
      <c r="G267" s="1144"/>
      <c r="H267" s="1144"/>
      <c r="I267" s="1144"/>
      <c r="J267" s="1144"/>
      <c r="K267" s="869" t="s">
        <v>1299</v>
      </c>
      <c r="L267" s="1145" t="s">
        <v>547</v>
      </c>
      <c r="M267" s="1145"/>
      <c r="N267" s="1145"/>
      <c r="O267" s="870" t="s">
        <v>1298</v>
      </c>
      <c r="Q267" s="1144" t="str">
        <f ca="1">IFERROR(VLOOKUP(Z263,Num_AS,2,FALSE),"")</f>
        <v/>
      </c>
      <c r="R267" s="1144"/>
      <c r="S267" s="1144"/>
      <c r="T267" s="1144"/>
      <c r="U267" s="1144"/>
      <c r="V267" s="1144"/>
      <c r="W267" s="1144"/>
      <c r="X267" s="1144"/>
      <c r="Y267" s="1144"/>
      <c r="Z267" s="1144"/>
      <c r="AB267" s="254"/>
      <c r="AC267" s="254"/>
      <c r="AD267" s="681"/>
      <c r="AE267" s="680"/>
      <c r="AF267" s="681"/>
      <c r="AG267" s="679"/>
      <c r="AH267" s="679"/>
      <c r="AI267" s="679"/>
      <c r="AJ267" s="679"/>
      <c r="AK267" s="679"/>
      <c r="AL267" s="679"/>
    </row>
    <row r="268" spans="1:44" ht="20.100000000000001" customHeight="1" thickBot="1" x14ac:dyDescent="0.25">
      <c r="A268" s="1124" t="s">
        <v>1006</v>
      </c>
      <c r="B268" s="1124"/>
      <c r="C268" s="1125"/>
      <c r="D268" s="1125"/>
      <c r="E268" s="1125"/>
      <c r="F268" s="1125"/>
      <c r="G268" s="1125"/>
      <c r="H268" s="1125"/>
      <c r="I268" s="1125"/>
      <c r="J268" s="1125"/>
      <c r="L268" s="871"/>
      <c r="M268" s="871"/>
      <c r="N268" s="871"/>
      <c r="Q268" s="1124" t="s">
        <v>1005</v>
      </c>
      <c r="R268" s="1124"/>
      <c r="S268" s="1125"/>
      <c r="T268" s="1125"/>
      <c r="U268" s="1125"/>
      <c r="V268" s="1125"/>
      <c r="W268" s="1125"/>
      <c r="X268" s="1125"/>
      <c r="Y268" s="1125"/>
      <c r="Z268" s="1125"/>
      <c r="AB268" s="254"/>
      <c r="AC268" s="254"/>
      <c r="AD268" s="681"/>
      <c r="AE268" s="680"/>
      <c r="AF268" s="681"/>
      <c r="AG268" s="679"/>
      <c r="AH268" s="679"/>
      <c r="AI268" s="679"/>
      <c r="AJ268" s="679"/>
      <c r="AK268" s="679"/>
      <c r="AL268" s="679"/>
    </row>
    <row r="269" spans="1:44" ht="27.75" customHeight="1" x14ac:dyDescent="0.2">
      <c r="A269" s="1117" t="str">
        <f ca="1">IFERROR(VLOOKUP(X263,Num_AS,3,FALSE),"")</f>
        <v/>
      </c>
      <c r="B269" s="1150"/>
      <c r="C269" s="1118"/>
      <c r="D269" s="1151"/>
      <c r="E269" s="1151"/>
      <c r="F269" s="1151"/>
      <c r="G269" s="1151"/>
      <c r="H269" s="1151"/>
      <c r="I269" s="1151"/>
      <c r="J269" s="1119"/>
      <c r="O269" s="219"/>
      <c r="P269" s="219"/>
      <c r="Q269" s="1117" t="str">
        <f ca="1">IFERROR(VLOOKUP(Z263,Num_AS,3,FALSE),"")</f>
        <v/>
      </c>
      <c r="R269" s="1150"/>
      <c r="S269" s="1118"/>
      <c r="T269" s="1151"/>
      <c r="U269" s="1151"/>
      <c r="V269" s="1151"/>
      <c r="W269" s="1151"/>
      <c r="X269" s="1151"/>
      <c r="Y269" s="1151"/>
      <c r="Z269" s="1119"/>
      <c r="AB269" s="254"/>
      <c r="AC269" s="254"/>
      <c r="AD269" s="681"/>
      <c r="AE269" s="680"/>
      <c r="AF269" s="681"/>
      <c r="AG269" s="679"/>
      <c r="AH269" s="679"/>
      <c r="AI269" s="679"/>
      <c r="AJ269" s="679"/>
      <c r="AK269" s="679"/>
      <c r="AL269" s="679"/>
    </row>
    <row r="270" spans="1:44" ht="27.75" customHeight="1" thickBot="1" x14ac:dyDescent="0.25">
      <c r="A270" s="1107" t="str">
        <f ca="1">IFERROR(VLOOKUP(X263,Num_AS,4,FALSE),"")</f>
        <v/>
      </c>
      <c r="B270" s="1152"/>
      <c r="C270" s="1108"/>
      <c r="D270" s="1153"/>
      <c r="E270" s="1153"/>
      <c r="F270" s="1153"/>
      <c r="G270" s="1153"/>
      <c r="H270" s="1153"/>
      <c r="I270" s="1153"/>
      <c r="J270" s="1109"/>
      <c r="Q270" s="1107" t="str">
        <f ca="1">IFERROR(VLOOKUP(Z263,Num_AS,4,FALSE),"")</f>
        <v/>
      </c>
      <c r="R270" s="1152"/>
      <c r="S270" s="1108"/>
      <c r="T270" s="1153"/>
      <c r="U270" s="1153"/>
      <c r="V270" s="1153"/>
      <c r="W270" s="1153"/>
      <c r="X270" s="1153"/>
      <c r="Y270" s="1153"/>
      <c r="Z270" s="1109"/>
      <c r="AB270" s="254"/>
      <c r="AC270" s="254"/>
      <c r="AD270" s="681"/>
      <c r="AE270" s="680"/>
      <c r="AF270" s="681"/>
      <c r="AG270" s="679"/>
      <c r="AH270" s="679"/>
      <c r="AI270" s="679"/>
      <c r="AJ270" s="679"/>
      <c r="AK270" s="679"/>
      <c r="AL270" s="679"/>
    </row>
    <row r="271" spans="1:44" ht="36" customHeight="1" thickBot="1" x14ac:dyDescent="0.25">
      <c r="A271" s="1156" t="s">
        <v>1330</v>
      </c>
      <c r="B271" s="1157"/>
      <c r="C271" s="1157"/>
      <c r="D271" s="1158"/>
      <c r="E271" s="947">
        <f ca="1">VLOOKUP(A267&amp;A269,PTS_SP,3,FALSE)</f>
        <v>0</v>
      </c>
      <c r="Q271" s="1156" t="s">
        <v>1330</v>
      </c>
      <c r="R271" s="1157"/>
      <c r="S271" s="1157"/>
      <c r="T271" s="1158"/>
      <c r="U271" s="947">
        <f ca="1">VLOOKUP(Q267&amp;Q269,PTS_SP,3,FALSE)</f>
        <v>0</v>
      </c>
      <c r="AB271" s="254"/>
      <c r="AC271" s="254"/>
      <c r="AD271" s="681"/>
      <c r="AE271" s="680"/>
      <c r="AF271" s="681"/>
      <c r="AG271" s="679"/>
      <c r="AH271" s="679"/>
      <c r="AI271" s="679"/>
      <c r="AJ271" s="679"/>
      <c r="AK271" s="679"/>
      <c r="AL271" s="679"/>
    </row>
    <row r="272" spans="1:44" ht="38.25" customHeight="1" x14ac:dyDescent="0.2">
      <c r="A272" s="701"/>
      <c r="B272" s="701"/>
      <c r="C272" s="853"/>
      <c r="D272" s="861" t="s">
        <v>1290</v>
      </c>
      <c r="E272" s="853"/>
      <c r="F272" s="854"/>
      <c r="G272" s="854"/>
      <c r="H272" s="872" t="s">
        <v>1295</v>
      </c>
      <c r="I272" s="855"/>
      <c r="J272" s="853"/>
      <c r="K272" s="853"/>
      <c r="L272" s="853"/>
      <c r="M272" s="859"/>
      <c r="N272" s="860" t="s">
        <v>1291</v>
      </c>
      <c r="O272" s="853"/>
      <c r="P272" s="249"/>
      <c r="Q272" s="701"/>
      <c r="R272" s="701"/>
      <c r="S272" s="853"/>
      <c r="T272" s="861" t="s">
        <v>1290</v>
      </c>
      <c r="U272" s="853"/>
      <c r="V272" s="854"/>
      <c r="W272" s="854"/>
      <c r="X272" s="872" t="s">
        <v>1302</v>
      </c>
      <c r="Y272" s="855"/>
      <c r="Z272" s="853"/>
      <c r="AA272" s="853"/>
      <c r="AB272" s="853"/>
      <c r="AC272" s="859"/>
      <c r="AD272" s="860" t="s">
        <v>1291</v>
      </c>
      <c r="AE272" s="853"/>
      <c r="AF272" s="681"/>
      <c r="AG272" s="681"/>
      <c r="AH272" s="681"/>
      <c r="AI272" s="681"/>
      <c r="AJ272" s="679"/>
      <c r="AK272" s="679"/>
      <c r="AL272" s="679"/>
    </row>
    <row r="273" spans="1:38" ht="38.25" customHeight="1" x14ac:dyDescent="0.2">
      <c r="A273" s="856" t="s">
        <v>509</v>
      </c>
      <c r="B273" s="942" t="s">
        <v>1329</v>
      </c>
      <c r="C273" s="857">
        <v>1</v>
      </c>
      <c r="D273" s="857">
        <v>2</v>
      </c>
      <c r="E273" s="857">
        <v>3</v>
      </c>
      <c r="F273" s="857">
        <v>4</v>
      </c>
      <c r="G273" s="857">
        <v>5</v>
      </c>
      <c r="H273" s="857">
        <v>6</v>
      </c>
      <c r="I273" s="857">
        <v>7</v>
      </c>
      <c r="J273" s="857">
        <v>8</v>
      </c>
      <c r="K273" s="858" t="s">
        <v>1286</v>
      </c>
      <c r="L273" s="1154" t="s">
        <v>1287</v>
      </c>
      <c r="M273" s="1154"/>
      <c r="N273" s="1154"/>
      <c r="O273" s="858" t="s">
        <v>1288</v>
      </c>
      <c r="P273" s="844"/>
      <c r="Q273" s="856" t="s">
        <v>509</v>
      </c>
      <c r="R273" s="942" t="s">
        <v>1329</v>
      </c>
      <c r="S273" s="857">
        <v>1</v>
      </c>
      <c r="T273" s="857">
        <v>2</v>
      </c>
      <c r="U273" s="857">
        <v>3</v>
      </c>
      <c r="V273" s="857">
        <v>4</v>
      </c>
      <c r="W273" s="857">
        <v>5</v>
      </c>
      <c r="X273" s="857">
        <v>6</v>
      </c>
      <c r="Y273" s="857">
        <v>7</v>
      </c>
      <c r="Z273" s="857">
        <v>8</v>
      </c>
      <c r="AA273" s="858" t="s">
        <v>1286</v>
      </c>
      <c r="AB273" s="1154" t="s">
        <v>1287</v>
      </c>
      <c r="AC273" s="1154"/>
      <c r="AD273" s="1154"/>
      <c r="AE273" s="858" t="s">
        <v>1288</v>
      </c>
      <c r="AF273" s="681"/>
      <c r="AG273" s="681"/>
      <c r="AH273" s="681"/>
      <c r="AI273" s="681"/>
      <c r="AJ273" s="679"/>
      <c r="AK273" s="679"/>
      <c r="AL273" s="679"/>
    </row>
    <row r="274" spans="1:38" ht="30" customHeight="1" x14ac:dyDescent="0.25">
      <c r="A274" s="846" t="s">
        <v>1282</v>
      </c>
      <c r="B274" s="948">
        <f ca="1">E271</f>
        <v>0</v>
      </c>
      <c r="C274" s="843"/>
      <c r="D274" s="843"/>
      <c r="E274" s="843"/>
      <c r="F274" s="843"/>
      <c r="G274" s="847"/>
      <c r="H274" s="848"/>
      <c r="I274" s="846"/>
      <c r="J274" s="843"/>
      <c r="K274" s="843"/>
      <c r="L274" s="849">
        <f ca="1">IF(Q267="Matchs de CLASSEMENT","X",2)</f>
        <v>2</v>
      </c>
      <c r="M274" s="849">
        <f ca="1">IF(Q267="Matchs de CLASSEMENT","X",1)</f>
        <v>1</v>
      </c>
      <c r="N274" s="849">
        <f ca="1">IF(Q267="Matchs de CLASSEMENT","X",0)</f>
        <v>0</v>
      </c>
      <c r="O274" s="849" t="str">
        <f ca="1">IF(Q267="Matchs de CLASSEMENT","X","")</f>
        <v/>
      </c>
      <c r="P274" s="842"/>
      <c r="Q274" s="849" t="str">
        <f ca="1">IF(Q267="Matchs de CLASSEMENT","X","V1")</f>
        <v>V1</v>
      </c>
      <c r="R274" s="948">
        <f ca="1">U271</f>
        <v>0</v>
      </c>
      <c r="S274" s="849" t="str">
        <f ca="1">IF(Q267="Matchs de CLASSEMENT","X","")</f>
        <v/>
      </c>
      <c r="T274" s="849" t="str">
        <f ca="1">IF(Q267="Matchs de CLASSEMENT","X","")</f>
        <v/>
      </c>
      <c r="U274" s="849" t="str">
        <f ca="1">IF(Q267="Matchs de CLASSEMENT","X","")</f>
        <v/>
      </c>
      <c r="V274" s="849" t="str">
        <f ca="1">IF(Q267="Matchs de CLASSEMENT","X","")</f>
        <v/>
      </c>
      <c r="W274" s="849" t="str">
        <f ca="1">IF(Q267="Matchs de CLASSEMENT","X","")</f>
        <v/>
      </c>
      <c r="X274" s="849" t="str">
        <f ca="1">IF(Q267="Matchs de CLASSEMENT","X","")</f>
        <v/>
      </c>
      <c r="Y274" s="849" t="str">
        <f ca="1">IF(Q267="Matchs de CLASSEMENT","X","")</f>
        <v/>
      </c>
      <c r="Z274" s="849" t="str">
        <f ca="1">IF(Q267="Matchs de CLASSEMENT","X","")</f>
        <v/>
      </c>
      <c r="AA274" s="849" t="str">
        <f ca="1">IF(Q267="Matchs de CLASSEMENT","X","")</f>
        <v/>
      </c>
      <c r="AB274" s="849">
        <f ca="1">IF(Q267="Matchs de CLASSEMENT","X",2)</f>
        <v>2</v>
      </c>
      <c r="AC274" s="849">
        <f ca="1">IF(Q267="Matchs de CLASSEMENT","X",1)</f>
        <v>1</v>
      </c>
      <c r="AD274" s="849">
        <f ca="1">IF(Q267="Matchs de CLASSEMENT","X",0)</f>
        <v>0</v>
      </c>
      <c r="AE274" s="849" t="str">
        <f ca="1">IF(Q267="Matchs de CLASSEMENT","X","")</f>
        <v/>
      </c>
      <c r="AF274" s="679"/>
      <c r="AG274" s="679"/>
      <c r="AH274" s="679"/>
      <c r="AI274" s="679"/>
      <c r="AJ274" s="679"/>
      <c r="AK274" s="679"/>
      <c r="AL274" s="679"/>
    </row>
    <row r="275" spans="1:38" ht="30" customHeight="1" x14ac:dyDescent="0.25">
      <c r="A275" s="846" t="s">
        <v>1283</v>
      </c>
      <c r="B275" s="948">
        <f ca="1">B274</f>
        <v>0</v>
      </c>
      <c r="C275" s="843"/>
      <c r="D275" s="843"/>
      <c r="E275" s="843"/>
      <c r="F275" s="843"/>
      <c r="G275" s="847"/>
      <c r="H275" s="848"/>
      <c r="I275" s="846"/>
      <c r="J275" s="843"/>
      <c r="K275" s="843"/>
      <c r="L275" s="849">
        <f ca="1">IF(Q267="Matchs de CLASSEMENT","X",2)</f>
        <v>2</v>
      </c>
      <c r="M275" s="849">
        <f ca="1">IF(Q267="Matchs de CLASSEMENT","X",1)</f>
        <v>1</v>
      </c>
      <c r="N275" s="849">
        <f ca="1">IF(Q267="Matchs de CLASSEMENT","X",0)</f>
        <v>0</v>
      </c>
      <c r="O275" s="849" t="str">
        <f ca="1">IF(Q267="Matchs de CLASSEMENT","X","")</f>
        <v/>
      </c>
      <c r="P275" s="842"/>
      <c r="Q275" s="849" t="str">
        <f ca="1">IF(Q267="Matchs de CLASSEMENT","X","V2")</f>
        <v>V2</v>
      </c>
      <c r="R275" s="948">
        <f ca="1">R274</f>
        <v>0</v>
      </c>
      <c r="S275" s="849" t="str">
        <f ca="1">IF(Q267="Matchs de CLASSEMENT","X","")</f>
        <v/>
      </c>
      <c r="T275" s="849" t="str">
        <f ca="1">IF(Q267="Matchs de CLASSEMENT","X","")</f>
        <v/>
      </c>
      <c r="U275" s="849" t="str">
        <f ca="1">IF(Q267="Matchs de CLASSEMENT","X","")</f>
        <v/>
      </c>
      <c r="V275" s="849" t="str">
        <f ca="1">IF(Q267="Matchs de CLASSEMENT","X","")</f>
        <v/>
      </c>
      <c r="W275" s="849" t="str">
        <f ca="1">IF(Q267="Matchs de CLASSEMENT","X","")</f>
        <v/>
      </c>
      <c r="X275" s="849" t="str">
        <f ca="1">IF(Q267="Matchs de CLASSEMENT","X","")</f>
        <v/>
      </c>
      <c r="Y275" s="849" t="str">
        <f ca="1">IF(Q267="Matchs de CLASSEMENT","X","")</f>
        <v/>
      </c>
      <c r="Z275" s="849" t="str">
        <f ca="1">IF(Q267="Matchs de CLASSEMENT","X","")</f>
        <v/>
      </c>
      <c r="AA275" s="849" t="str">
        <f ca="1">IF(Q267="Matchs de CLASSEMENT","X","")</f>
        <v/>
      </c>
      <c r="AB275" s="849">
        <f ca="1">IF(Q267="Matchs de CLASSEMENT","X",2)</f>
        <v>2</v>
      </c>
      <c r="AC275" s="849">
        <f ca="1">IF(Q267="Matchs de CLASSEMENT","X",1)</f>
        <v>1</v>
      </c>
      <c r="AD275" s="849">
        <f ca="1">IF(Q267="Matchs de CLASSEMENT","X",0)</f>
        <v>0</v>
      </c>
      <c r="AE275" s="849" t="str">
        <f ca="1">IF(Q267="Matchs de CLASSEMENT","X","")</f>
        <v/>
      </c>
      <c r="AF275" s="679"/>
      <c r="AG275" s="679"/>
      <c r="AH275" s="679"/>
      <c r="AI275" s="679"/>
      <c r="AJ275" s="679"/>
      <c r="AK275" s="679"/>
      <c r="AL275" s="679"/>
    </row>
    <row r="276" spans="1:38" ht="30" customHeight="1" x14ac:dyDescent="0.25">
      <c r="A276" s="846" t="s">
        <v>1284</v>
      </c>
      <c r="B276" s="948">
        <f t="shared" ref="B276:B277" ca="1" si="17">B275</f>
        <v>0</v>
      </c>
      <c r="C276" s="843"/>
      <c r="D276" s="843"/>
      <c r="E276" s="843"/>
      <c r="F276" s="843"/>
      <c r="G276" s="847"/>
      <c r="H276" s="848"/>
      <c r="I276" s="846"/>
      <c r="J276" s="843"/>
      <c r="K276" s="843"/>
      <c r="L276" s="849">
        <f ca="1">IF(Q267="Matchs de CLASSEMENT","X",2)</f>
        <v>2</v>
      </c>
      <c r="M276" s="849">
        <f ca="1">IF(Q267="Matchs de CLASSEMENT","X",1)</f>
        <v>1</v>
      </c>
      <c r="N276" s="849">
        <f ca="1">IF(Q267="Matchs de CLASSEMENT","X",0)</f>
        <v>0</v>
      </c>
      <c r="O276" s="849" t="str">
        <f ca="1">IF(Q267="Matchs de CLASSEMENT","X","")</f>
        <v/>
      </c>
      <c r="P276" s="842"/>
      <c r="Q276" s="849" t="str">
        <f ca="1">IF(Q267="Matchs de CLASSEMENT","X","V3")</f>
        <v>V3</v>
      </c>
      <c r="R276" s="948">
        <f t="shared" ref="R276:R277" ca="1" si="18">R275</f>
        <v>0</v>
      </c>
      <c r="S276" s="849" t="str">
        <f ca="1">IF(Q267="Matchs de CLASSEMENT","X","")</f>
        <v/>
      </c>
      <c r="T276" s="849" t="str">
        <f ca="1">IF(Q267="Matchs de CLASSEMENT","X","")</f>
        <v/>
      </c>
      <c r="U276" s="849" t="str">
        <f ca="1">IF(Q267="Matchs de CLASSEMENT","X","")</f>
        <v/>
      </c>
      <c r="V276" s="849" t="str">
        <f ca="1">IF(Q267="Matchs de CLASSEMENT","X","")</f>
        <v/>
      </c>
      <c r="W276" s="849" t="str">
        <f ca="1">IF(Q267="Matchs de CLASSEMENT","X","")</f>
        <v/>
      </c>
      <c r="X276" s="849" t="str">
        <f ca="1">IF(Q267="Matchs de CLASSEMENT","X","")</f>
        <v/>
      </c>
      <c r="Y276" s="849" t="str">
        <f ca="1">IF(Q267="Matchs de CLASSEMENT","X","")</f>
        <v/>
      </c>
      <c r="Z276" s="849" t="str">
        <f ca="1">IF(Q267="Matchs de CLASSEMENT","X","")</f>
        <v/>
      </c>
      <c r="AA276" s="849" t="str">
        <f ca="1">IF(Q267="Matchs de CLASSEMENT","X","")</f>
        <v/>
      </c>
      <c r="AB276" s="849">
        <f ca="1">IF(Q267="Matchs de CLASSEMENT","X",2)</f>
        <v>2</v>
      </c>
      <c r="AC276" s="849">
        <f ca="1">IF(Q267="Matchs de CLASSEMENT","X",1)</f>
        <v>1</v>
      </c>
      <c r="AD276" s="849">
        <f ca="1">IF(Q267="Matchs de CLASSEMENT","X",0)</f>
        <v>0</v>
      </c>
      <c r="AE276" s="849" t="str">
        <f ca="1">IF(Q267="Matchs de CLASSEMENT","X","")</f>
        <v/>
      </c>
      <c r="AF276" s="679"/>
      <c r="AG276" s="679"/>
      <c r="AH276" s="679"/>
      <c r="AI276" s="679"/>
      <c r="AJ276" s="679"/>
      <c r="AK276" s="679"/>
      <c r="AL276" s="679"/>
    </row>
    <row r="277" spans="1:38" ht="30" customHeight="1" x14ac:dyDescent="0.25">
      <c r="A277" s="846" t="s">
        <v>1285</v>
      </c>
      <c r="B277" s="948">
        <f t="shared" ca="1" si="17"/>
        <v>0</v>
      </c>
      <c r="C277" s="843"/>
      <c r="D277" s="843"/>
      <c r="E277" s="843"/>
      <c r="F277" s="843"/>
      <c r="G277" s="847"/>
      <c r="H277" s="848"/>
      <c r="I277" s="846"/>
      <c r="J277" s="843"/>
      <c r="K277" s="843"/>
      <c r="L277" s="849">
        <f ca="1">IF(Q267="Matchs de CLASSEMENT","X",2)</f>
        <v>2</v>
      </c>
      <c r="M277" s="849">
        <f ca="1">IF(Q267="Matchs de CLASSEMENT","X",1)</f>
        <v>1</v>
      </c>
      <c r="N277" s="849">
        <f ca="1">IF(Q267="Matchs de CLASSEMENT","X",0)</f>
        <v>0</v>
      </c>
      <c r="O277" s="849" t="str">
        <f ca="1">IF(Q267="Matchs de CLASSEMENT","X","")</f>
        <v/>
      </c>
      <c r="P277" s="842"/>
      <c r="Q277" s="849" t="str">
        <f ca="1">IF(Q267="Matchs de CLASSEMENT","X","V4")</f>
        <v>V4</v>
      </c>
      <c r="R277" s="948">
        <f t="shared" ca="1" si="18"/>
        <v>0</v>
      </c>
      <c r="S277" s="849" t="str">
        <f ca="1">IF(Q267="Matchs de CLASSEMENT","X","")</f>
        <v/>
      </c>
      <c r="T277" s="849" t="str">
        <f ca="1">IF(Q267="Matchs de CLASSEMENT","X","")</f>
        <v/>
      </c>
      <c r="U277" s="849" t="str">
        <f ca="1">IF(Q267="Matchs de CLASSEMENT","X","")</f>
        <v/>
      </c>
      <c r="V277" s="849" t="str">
        <f ca="1">IF(Q267="Matchs de CLASSEMENT","X","")</f>
        <v/>
      </c>
      <c r="W277" s="849" t="str">
        <f ca="1">IF(Q267="Matchs de CLASSEMENT","X","")</f>
        <v/>
      </c>
      <c r="X277" s="849" t="str">
        <f ca="1">IF(Q267="Matchs de CLASSEMENT","X","")</f>
        <v/>
      </c>
      <c r="Y277" s="849" t="str">
        <f ca="1">IF(Q267="Matchs de CLASSEMENT","X","")</f>
        <v/>
      </c>
      <c r="Z277" s="849" t="str">
        <f ca="1">IF(Q267="Matchs de CLASSEMENT","X","")</f>
        <v/>
      </c>
      <c r="AA277" s="849" t="str">
        <f ca="1">IF(Q267="Matchs de CLASSEMENT","X","")</f>
        <v/>
      </c>
      <c r="AB277" s="849">
        <f ca="1">IF(Q267="Matchs de CLASSEMENT","X",2)</f>
        <v>2</v>
      </c>
      <c r="AC277" s="849">
        <f ca="1">IF(Q267="Matchs de CLASSEMENT","X",1)</f>
        <v>1</v>
      </c>
      <c r="AD277" s="849">
        <f ca="1">IF(Q267="Matchs de CLASSEMENT","X",0)</f>
        <v>0</v>
      </c>
      <c r="AE277" s="849" t="str">
        <f ca="1">IF(Q267="Matchs de CLASSEMENT","X","")</f>
        <v/>
      </c>
      <c r="AF277" s="679"/>
      <c r="AG277" s="679"/>
      <c r="AH277" s="679"/>
      <c r="AI277" s="679"/>
      <c r="AJ277" s="679"/>
      <c r="AK277" s="679"/>
      <c r="AL277" s="679"/>
    </row>
    <row r="278" spans="1:38" ht="30" customHeight="1" x14ac:dyDescent="0.2">
      <c r="N278" s="867" t="s">
        <v>1294</v>
      </c>
      <c r="O278" s="848"/>
      <c r="AD278" s="867" t="s">
        <v>1294</v>
      </c>
      <c r="AE278" s="866"/>
      <c r="AF278" s="679"/>
      <c r="AG278" s="679"/>
      <c r="AH278" s="679"/>
      <c r="AI278" s="679"/>
      <c r="AJ278" s="679"/>
      <c r="AK278" s="679"/>
      <c r="AL278" s="679"/>
    </row>
    <row r="279" spans="1:38" ht="12.75" customHeight="1" x14ac:dyDescent="0.2">
      <c r="AE279" s="520"/>
      <c r="AF279" s="679"/>
      <c r="AG279" s="679"/>
      <c r="AH279" s="679"/>
      <c r="AI279" s="679"/>
      <c r="AJ279" s="679"/>
      <c r="AK279" s="679"/>
      <c r="AL279" s="679"/>
    </row>
    <row r="280" spans="1:38" ht="18.75" customHeight="1" x14ac:dyDescent="0.2">
      <c r="A280" s="584"/>
      <c r="B280" s="584"/>
      <c r="C280" s="701" t="s">
        <v>1289</v>
      </c>
      <c r="D280" s="249"/>
      <c r="E280" s="196"/>
      <c r="F280" s="196"/>
      <c r="G280" s="584"/>
      <c r="H280" s="1155" t="s">
        <v>1301</v>
      </c>
      <c r="I280" s="1155"/>
      <c r="J280" s="1155"/>
      <c r="K280" s="1155"/>
      <c r="L280" s="1155"/>
      <c r="M280" s="1155"/>
      <c r="N280" s="1155"/>
      <c r="O280" s="1155"/>
      <c r="P280" s="842"/>
      <c r="Q280" s="219"/>
      <c r="R280" s="219"/>
      <c r="S280" s="701" t="s">
        <v>1289</v>
      </c>
      <c r="T280" s="249"/>
      <c r="U280" s="196"/>
      <c r="V280" s="196"/>
      <c r="X280" s="1155" t="s">
        <v>1304</v>
      </c>
      <c r="Y280" s="1155"/>
      <c r="Z280" s="1155"/>
      <c r="AA280" s="1155"/>
      <c r="AB280" s="1155"/>
      <c r="AC280" s="1155"/>
      <c r="AD280" s="1155"/>
      <c r="AE280" s="1155"/>
      <c r="AF280" s="679"/>
      <c r="AG280" s="679"/>
      <c r="AH280" s="679"/>
      <c r="AI280" s="679"/>
      <c r="AJ280" s="679"/>
      <c r="AK280" s="679"/>
      <c r="AL280" s="679"/>
    </row>
    <row r="281" spans="1:38" ht="32.25" customHeight="1" x14ac:dyDescent="0.2">
      <c r="A281" s="584"/>
      <c r="B281" s="584"/>
      <c r="C281" s="850"/>
      <c r="D281" s="851"/>
      <c r="E281" s="852"/>
      <c r="F281" s="852"/>
      <c r="G281" s="584"/>
      <c r="H281" s="1149" t="s">
        <v>549</v>
      </c>
      <c r="I281" s="1149"/>
      <c r="J281" s="1149"/>
      <c r="K281" s="1149"/>
      <c r="L281" s="1149"/>
      <c r="M281" s="1146" t="s">
        <v>550</v>
      </c>
      <c r="N281" s="1147"/>
      <c r="O281" s="1148"/>
      <c r="P281" s="842"/>
      <c r="Q281" s="219"/>
      <c r="R281" s="219"/>
      <c r="S281" s="850"/>
      <c r="T281" s="851"/>
      <c r="U281" s="852"/>
      <c r="V281" s="852"/>
      <c r="X281" s="1149" t="s">
        <v>549</v>
      </c>
      <c r="Y281" s="1149"/>
      <c r="Z281" s="1149"/>
      <c r="AA281" s="1149"/>
      <c r="AB281" s="1149"/>
      <c r="AC281" s="1146" t="s">
        <v>550</v>
      </c>
      <c r="AD281" s="1147"/>
      <c r="AE281" s="1148"/>
      <c r="AG281" s="679"/>
      <c r="AH281" s="679"/>
      <c r="AI281" s="679"/>
      <c r="AJ281" s="679"/>
      <c r="AK281" s="679"/>
      <c r="AL281" s="679"/>
    </row>
    <row r="282" spans="1:38" ht="32.25" customHeight="1" x14ac:dyDescent="0.2">
      <c r="A282" s="584"/>
      <c r="B282" s="584"/>
      <c r="C282" s="850"/>
      <c r="D282" s="851"/>
      <c r="E282" s="852"/>
      <c r="F282" s="852"/>
      <c r="G282" s="584"/>
      <c r="H282" s="1140" t="str">
        <f ca="1">IFERROR(VLOOKUP(X263,Num_AS,6,FALSE)&amp;" "&amp;VLOOKUP(X263,Num_AS,7,FALSE),"")</f>
        <v/>
      </c>
      <c r="I282" s="1140"/>
      <c r="J282" s="1140"/>
      <c r="K282" s="1140"/>
      <c r="L282" s="1140"/>
      <c r="M282" s="1129" t="str">
        <f ca="1">IFERROR(VLOOKUP(X263,Num_AS,9,FALSE),"")</f>
        <v/>
      </c>
      <c r="N282" s="1130"/>
      <c r="O282" s="1131"/>
      <c r="P282" s="842"/>
      <c r="Q282" s="219"/>
      <c r="R282" s="219"/>
      <c r="S282" s="850"/>
      <c r="T282" s="851"/>
      <c r="U282" s="852"/>
      <c r="V282" s="852"/>
      <c r="W282" s="196"/>
      <c r="X282" s="1140" t="str">
        <f ca="1">IFERROR(VLOOKUP(Z263,Num_AS,6,FALSE)&amp;" "&amp;VLOOKUP(Z263,Num_AS,7,FALSE),"")</f>
        <v/>
      </c>
      <c r="Y282" s="1140"/>
      <c r="Z282" s="1140"/>
      <c r="AA282" s="1140"/>
      <c r="AB282" s="1140"/>
      <c r="AC282" s="1129" t="str">
        <f ca="1">IFERROR(VLOOKUP(Z263,Num_AS,9,FALSE),"")</f>
        <v/>
      </c>
      <c r="AD282" s="1130"/>
      <c r="AE282" s="1131"/>
    </row>
    <row r="283" spans="1:38" ht="32.25" customHeight="1" x14ac:dyDescent="0.2">
      <c r="A283" s="584"/>
      <c r="B283" s="584"/>
      <c r="C283" s="850"/>
      <c r="D283" s="851"/>
      <c r="E283" s="852"/>
      <c r="F283" s="852"/>
      <c r="G283" s="584"/>
      <c r="H283" s="1140" t="str">
        <f ca="1">IFERROR(VLOOKUP(X263,Num_AS,12,FALSE)&amp;" "&amp;VLOOKUP(X263,Num_AS,13,FALSE),"")</f>
        <v/>
      </c>
      <c r="I283" s="1140"/>
      <c r="J283" s="1140"/>
      <c r="K283" s="1140"/>
      <c r="L283" s="1140"/>
      <c r="M283" s="1129" t="str">
        <f ca="1">IFERROR(VLOOKUP(X263,Num_AS,15,FALSE),"")</f>
        <v/>
      </c>
      <c r="N283" s="1130"/>
      <c r="O283" s="1131">
        <f ca="1">G265</f>
        <v>9</v>
      </c>
      <c r="P283" s="842"/>
      <c r="Q283" s="219"/>
      <c r="R283" s="219"/>
      <c r="S283" s="850"/>
      <c r="T283" s="851"/>
      <c r="U283" s="852"/>
      <c r="V283" s="852"/>
      <c r="W283" s="196"/>
      <c r="X283" s="1140" t="str">
        <f ca="1">IFERROR(VLOOKUP(Z263,Num_AS,12,FALSE)&amp;" "&amp;VLOOKUP(Z263,Num_AS,13,FALSE),"")</f>
        <v/>
      </c>
      <c r="Y283" s="1140"/>
      <c r="Z283" s="1140"/>
      <c r="AA283" s="1140"/>
      <c r="AB283" s="1140"/>
      <c r="AC283" s="1129" t="str">
        <f ca="1">IFERROR(VLOOKUP(Z263,Num_AS,15,FALSE),"")</f>
        <v/>
      </c>
      <c r="AD283" s="1130"/>
      <c r="AE283" s="1131">
        <f>W265</f>
        <v>0</v>
      </c>
    </row>
    <row r="284" spans="1:38" ht="32.25" customHeight="1" x14ac:dyDescent="0.2">
      <c r="A284" s="584"/>
      <c r="B284" s="584"/>
      <c r="C284" s="584"/>
      <c r="D284" s="584"/>
      <c r="E284" s="584"/>
      <c r="F284" s="584"/>
      <c r="G284" s="584"/>
      <c r="H284" s="1140" t="str">
        <f ca="1">IFERROR(VLOOKUP(X263,Num_AS,18,FALSE)&amp;" "&amp;VLOOKUP(X263,Num_AS,19,FALSE),"")</f>
        <v/>
      </c>
      <c r="I284" s="1140"/>
      <c r="J284" s="1140"/>
      <c r="K284" s="1140"/>
      <c r="L284" s="1140"/>
      <c r="M284" s="1129" t="str">
        <f ca="1">IFERROR(VLOOKUP(X263,Num_AS,21,FALSE),"")</f>
        <v/>
      </c>
      <c r="N284" s="1130"/>
      <c r="O284" s="1131">
        <f ca="1">G265</f>
        <v>9</v>
      </c>
      <c r="P284" s="842"/>
      <c r="Q284" s="219"/>
      <c r="R284" s="219"/>
      <c r="S284" s="584"/>
      <c r="T284" s="584"/>
      <c r="U284" s="584"/>
      <c r="V284" s="584"/>
      <c r="W284" s="196"/>
      <c r="X284" s="1140" t="str">
        <f ca="1">IFERROR(VLOOKUP(Z263,Num_AS,18,FALSE)&amp;" "&amp;VLOOKUP(Z263,Num_AS,19,FALSE),"")</f>
        <v/>
      </c>
      <c r="Y284" s="1140"/>
      <c r="Z284" s="1140"/>
      <c r="AA284" s="1140"/>
      <c r="AB284" s="1140"/>
      <c r="AC284" s="1129" t="str">
        <f ca="1">IFERROR(VLOOKUP(Z263,Num_AS,21,FALSE),"")</f>
        <v/>
      </c>
      <c r="AD284" s="1130"/>
      <c r="AE284" s="1131">
        <f>W265</f>
        <v>0</v>
      </c>
    </row>
    <row r="285" spans="1:38" ht="32.25" customHeight="1" x14ac:dyDescent="0.2">
      <c r="A285" s="584"/>
      <c r="B285" s="584"/>
      <c r="C285" s="862"/>
      <c r="D285" s="1141" t="s">
        <v>1292</v>
      </c>
      <c r="E285" s="1142"/>
      <c r="F285" s="1143"/>
      <c r="G285" s="584"/>
      <c r="H285" s="1140" t="str">
        <f ca="1">IFERROR(VLOOKUP(X263,Num_AS,24,FALSE)&amp;" "&amp;VLOOKUP(X263,Num_AS,25,FALSE),"")</f>
        <v/>
      </c>
      <c r="I285" s="1140"/>
      <c r="J285" s="1140"/>
      <c r="K285" s="1140"/>
      <c r="L285" s="1140"/>
      <c r="M285" s="1129" t="str">
        <f ca="1">IFERROR(VLOOKUP(X263,Num_AS,9,FALSE),"")</f>
        <v/>
      </c>
      <c r="N285" s="1130"/>
      <c r="O285" s="1131">
        <f ca="1">G265</f>
        <v>9</v>
      </c>
      <c r="P285" s="842"/>
      <c r="Q285" s="219"/>
      <c r="R285" s="219"/>
      <c r="S285" s="862"/>
      <c r="T285" s="1141" t="s">
        <v>1292</v>
      </c>
      <c r="U285" s="1142"/>
      <c r="V285" s="1143"/>
      <c r="W285" s="196"/>
      <c r="X285" s="1140" t="str">
        <f ca="1">IFERROR(VLOOKUP(Z263,Num_AS,24,FALSE)&amp;" "&amp;VLOOKUP(Z263,Num_AS,25,FALSE),"")</f>
        <v/>
      </c>
      <c r="Y285" s="1140"/>
      <c r="Z285" s="1140"/>
      <c r="AA285" s="1140"/>
      <c r="AB285" s="1140"/>
      <c r="AC285" s="1129" t="str">
        <f ca="1">IFERROR(VLOOKUP(Z263,Num_AS,9,FALSE),"")</f>
        <v/>
      </c>
      <c r="AD285" s="1130"/>
      <c r="AE285" s="1131">
        <f>W265</f>
        <v>0</v>
      </c>
    </row>
    <row r="286" spans="1:38" ht="18.75" customHeight="1" thickBot="1" x14ac:dyDescent="0.25">
      <c r="A286" s="701"/>
      <c r="B286" s="701"/>
      <c r="C286" s="249"/>
      <c r="D286" s="249"/>
      <c r="E286" s="249"/>
      <c r="F286" s="701"/>
      <c r="G286" s="701"/>
      <c r="H286" s="196"/>
      <c r="I286" s="196"/>
      <c r="J286" s="249"/>
      <c r="K286" s="219"/>
      <c r="L286" s="219"/>
      <c r="M286" s="219"/>
      <c r="N286" s="219"/>
      <c r="O286" s="219"/>
      <c r="P286" s="219"/>
      <c r="Q286" s="219"/>
      <c r="R286" s="219"/>
      <c r="S286" s="219"/>
      <c r="T286" s="219"/>
      <c r="U286" s="219"/>
      <c r="V286" s="219"/>
      <c r="W286" s="219"/>
      <c r="X286" s="219"/>
      <c r="Y286" s="249"/>
      <c r="Z286" s="219"/>
      <c r="AE286" s="520"/>
    </row>
    <row r="287" spans="1:38" ht="32.25" customHeight="1" x14ac:dyDescent="0.25">
      <c r="A287" s="701"/>
      <c r="B287" s="701"/>
      <c r="D287" s="875" t="s">
        <v>1002</v>
      </c>
      <c r="E287" s="876"/>
      <c r="F287" s="876"/>
      <c r="G287" s="876"/>
      <c r="H287" s="876"/>
      <c r="I287" s="876"/>
      <c r="J287" s="876"/>
      <c r="K287" s="876"/>
      <c r="L287" s="876"/>
      <c r="M287" s="877" t="s">
        <v>1297</v>
      </c>
      <c r="N287" s="219"/>
      <c r="O287" s="1132" t="s">
        <v>1293</v>
      </c>
      <c r="P287" s="1133"/>
      <c r="Q287" s="1134"/>
      <c r="R287" s="941"/>
      <c r="T287" s="875" t="s">
        <v>1002</v>
      </c>
      <c r="U287" s="876"/>
      <c r="V287" s="876"/>
      <c r="W287" s="876"/>
      <c r="X287" s="876"/>
      <c r="Y287" s="876"/>
      <c r="Z287" s="876"/>
      <c r="AA287" s="876"/>
      <c r="AB287" s="876"/>
      <c r="AC287" s="877" t="s">
        <v>1296</v>
      </c>
      <c r="AE287" s="520"/>
    </row>
    <row r="288" spans="1:38" ht="70.5" customHeight="1" thickBot="1" x14ac:dyDescent="0.25">
      <c r="A288" s="701"/>
      <c r="B288" s="701"/>
      <c r="D288" s="878"/>
      <c r="E288" s="879"/>
      <c r="F288" s="879"/>
      <c r="G288" s="879"/>
      <c r="H288" s="879"/>
      <c r="I288" s="879"/>
      <c r="J288" s="879"/>
      <c r="K288" s="879"/>
      <c r="L288" s="879"/>
      <c r="M288" s="880"/>
      <c r="N288" s="219"/>
      <c r="O288" s="1135"/>
      <c r="P288" s="1136"/>
      <c r="Q288" s="1137"/>
      <c r="R288" s="941"/>
      <c r="T288" s="878"/>
      <c r="U288" s="879"/>
      <c r="V288" s="879"/>
      <c r="W288" s="879"/>
      <c r="X288" s="879"/>
      <c r="Y288" s="879"/>
      <c r="Z288" s="879"/>
      <c r="AA288" s="879"/>
      <c r="AB288" s="879"/>
      <c r="AC288" s="880"/>
      <c r="AE288" s="520"/>
    </row>
    <row r="289" spans="1:44" ht="6.75" customHeight="1" x14ac:dyDescent="0.25">
      <c r="A289" s="701"/>
      <c r="B289" s="701"/>
      <c r="C289" s="249"/>
      <c r="D289" s="249"/>
      <c r="E289" s="249"/>
      <c r="F289" s="701"/>
      <c r="G289" s="701"/>
      <c r="H289" s="196"/>
      <c r="I289" s="196"/>
      <c r="J289" s="249"/>
      <c r="K289" s="219"/>
      <c r="L289" s="842"/>
      <c r="M289" s="842"/>
      <c r="N289" s="842"/>
      <c r="O289" s="842"/>
      <c r="P289" s="842"/>
      <c r="Q289" s="842"/>
      <c r="R289" s="842"/>
      <c r="T289" s="845"/>
      <c r="U289" s="842"/>
      <c r="V289" s="842"/>
      <c r="W289" s="649"/>
      <c r="X289" s="845"/>
      <c r="Y289" s="842"/>
      <c r="Z289" s="842"/>
      <c r="AE289" s="520"/>
    </row>
    <row r="290" spans="1:44" ht="27.75" customHeight="1" x14ac:dyDescent="0.2">
      <c r="A290" s="701"/>
      <c r="B290" s="701"/>
      <c r="C290" s="1138" t="s">
        <v>1300</v>
      </c>
      <c r="D290" s="1138"/>
      <c r="E290" s="1138"/>
      <c r="F290" s="1138"/>
      <c r="G290" s="1138"/>
      <c r="H290" s="1138"/>
      <c r="I290" s="1138"/>
      <c r="J290" s="1138"/>
      <c r="K290" s="1138"/>
      <c r="L290" s="1138"/>
      <c r="M290" s="1138"/>
      <c r="N290" s="1138"/>
      <c r="O290" s="1138"/>
      <c r="P290" s="842"/>
      <c r="Q290" s="1139" t="s">
        <v>1303</v>
      </c>
      <c r="R290" s="1139"/>
      <c r="S290" s="1139"/>
      <c r="T290" s="1139"/>
      <c r="U290" s="1139"/>
      <c r="V290" s="1139"/>
      <c r="W290" s="1139"/>
      <c r="X290" s="1139"/>
      <c r="Y290" s="1139"/>
      <c r="Z290" s="1139"/>
      <c r="AA290" s="1139"/>
      <c r="AB290" s="1139"/>
      <c r="AC290" s="1139"/>
      <c r="AD290" s="1139"/>
      <c r="AE290" s="1139"/>
    </row>
    <row r="291" spans="1:44" ht="36" customHeight="1" x14ac:dyDescent="0.2">
      <c r="AE291" s="520"/>
    </row>
    <row r="292" spans="1:44" ht="19.5" customHeight="1" thickBot="1" x14ac:dyDescent="0.25">
      <c r="W292" s="500"/>
      <c r="X292" s="520" t="str">
        <f ca="1">INDIRECT("AE"&amp;Y292)</f>
        <v>C12-Coll12Ville12</v>
      </c>
      <c r="Y292" s="500">
        <f>Z293+2</f>
        <v>12</v>
      </c>
      <c r="Z292" s="501" t="str">
        <f ca="1">INDIRECT("AF"&amp;Y292)</f>
        <v>C13-Coll13Ville13</v>
      </c>
      <c r="AA292" s="500"/>
      <c r="AB292" s="500"/>
      <c r="AD292" s="679"/>
      <c r="AE292" s="679"/>
      <c r="AF292" s="679"/>
      <c r="AG292" s="679"/>
      <c r="AH292" s="679"/>
      <c r="AI292" s="679"/>
      <c r="AJ292" s="679"/>
      <c r="AK292" s="679"/>
      <c r="AL292" s="679"/>
    </row>
    <row r="293" spans="1:44" s="218" customFormat="1" ht="36" thickBot="1" x14ac:dyDescent="0.25">
      <c r="F293" s="576" t="s">
        <v>546</v>
      </c>
      <c r="G293" s="865" t="str">
        <f>G264</f>
        <v>D1</v>
      </c>
      <c r="I293" s="863" t="str">
        <f>"   "&amp;Championnat</f>
        <v xml:space="preserve">   Championnat de France de Tir à l'ARC</v>
      </c>
      <c r="T293" s="197"/>
      <c r="U293" s="197"/>
      <c r="V293" s="197"/>
      <c r="W293" s="197"/>
      <c r="Y293" s="502" t="s">
        <v>849</v>
      </c>
      <c r="Z293" s="503">
        <f>Z264+1</f>
        <v>10</v>
      </c>
      <c r="AB293" s="254"/>
      <c r="AC293" s="254"/>
      <c r="AD293" s="681"/>
      <c r="AE293" s="680"/>
      <c r="AF293" s="681"/>
      <c r="AH293" s="662"/>
      <c r="AI293" s="662"/>
      <c r="AJ293" s="662"/>
      <c r="AK293" s="662"/>
      <c r="AL293" s="662"/>
      <c r="AM293" s="217"/>
      <c r="AN293" s="217"/>
      <c r="AO293" s="217"/>
      <c r="AP293" s="217"/>
      <c r="AQ293" s="217"/>
      <c r="AR293" s="217"/>
    </row>
    <row r="294" spans="1:44" ht="36" thickBot="1" x14ac:dyDescent="0.25">
      <c r="F294" s="661" t="s">
        <v>628</v>
      </c>
      <c r="G294" s="660">
        <f ca="1">INDIRECT("AD"&amp;Y292)</f>
        <v>10</v>
      </c>
      <c r="I294" s="706" t="str">
        <f>CATEG_IMPORTEE</f>
        <v>Collèges Mixtes Etablissement</v>
      </c>
      <c r="S294" s="864" t="str">
        <f>LIEU&amp;" du "&amp;DATE</f>
        <v>L’Isle sur la Sorgue du 27 au 31 mars 2023</v>
      </c>
      <c r="AB294" s="254"/>
      <c r="AC294" s="254"/>
      <c r="AD294" s="681"/>
      <c r="AE294" s="680"/>
      <c r="AF294" s="681"/>
      <c r="AG294" s="679"/>
      <c r="AH294" s="679"/>
      <c r="AI294" s="679"/>
      <c r="AJ294" s="679"/>
      <c r="AK294" s="679"/>
      <c r="AL294" s="679"/>
    </row>
    <row r="295" spans="1:44" ht="24" customHeight="1" x14ac:dyDescent="0.2">
      <c r="A295" s="1075" t="s">
        <v>0</v>
      </c>
      <c r="B295" s="1075"/>
      <c r="C295" s="1075"/>
      <c r="D295" s="1075"/>
      <c r="E295" s="1075"/>
      <c r="F295" s="1075"/>
      <c r="G295" s="1075"/>
      <c r="H295" s="1075"/>
      <c r="I295" s="1075"/>
      <c r="J295" s="1075"/>
      <c r="Q295" s="1075" t="s">
        <v>0</v>
      </c>
      <c r="R295" s="1075"/>
      <c r="S295" s="1075"/>
      <c r="T295" s="1075"/>
      <c r="U295" s="1075"/>
      <c r="V295" s="1075"/>
      <c r="W295" s="1075"/>
      <c r="X295" s="1075"/>
      <c r="Y295" s="1075"/>
      <c r="Z295" s="1075"/>
      <c r="AB295" s="254"/>
      <c r="AC295" s="254"/>
      <c r="AD295" s="681"/>
      <c r="AE295" s="680"/>
      <c r="AF295" s="681"/>
      <c r="AG295" s="679"/>
      <c r="AH295" s="679"/>
      <c r="AI295" s="679"/>
      <c r="AJ295" s="679"/>
      <c r="AK295" s="679"/>
      <c r="AL295" s="679"/>
    </row>
    <row r="296" spans="1:44" ht="31.5" customHeight="1" x14ac:dyDescent="0.2">
      <c r="A296" s="1144" t="str">
        <f ca="1">IFERROR(VLOOKUP(X292,Num_AS,2,FALSE),"")</f>
        <v/>
      </c>
      <c r="B296" s="1144"/>
      <c r="C296" s="1144"/>
      <c r="D296" s="1144"/>
      <c r="E296" s="1144"/>
      <c r="F296" s="1144"/>
      <c r="G296" s="1144"/>
      <c r="H296" s="1144"/>
      <c r="I296" s="1144"/>
      <c r="J296" s="1144"/>
      <c r="K296" s="869" t="s">
        <v>1299</v>
      </c>
      <c r="L296" s="1145" t="s">
        <v>547</v>
      </c>
      <c r="M296" s="1145"/>
      <c r="N296" s="1145"/>
      <c r="O296" s="870" t="s">
        <v>1298</v>
      </c>
      <c r="Q296" s="1144" t="str">
        <f ca="1">IFERROR(VLOOKUP(Z292,Num_AS,2,FALSE),"")</f>
        <v/>
      </c>
      <c r="R296" s="1144"/>
      <c r="S296" s="1144"/>
      <c r="T296" s="1144"/>
      <c r="U296" s="1144"/>
      <c r="V296" s="1144"/>
      <c r="W296" s="1144"/>
      <c r="X296" s="1144"/>
      <c r="Y296" s="1144"/>
      <c r="Z296" s="1144"/>
      <c r="AB296" s="254"/>
      <c r="AC296" s="254"/>
      <c r="AD296" s="681"/>
      <c r="AE296" s="680"/>
      <c r="AF296" s="681"/>
      <c r="AG296" s="679"/>
      <c r="AH296" s="679"/>
      <c r="AI296" s="679"/>
      <c r="AJ296" s="679"/>
      <c r="AK296" s="679"/>
      <c r="AL296" s="679"/>
    </row>
    <row r="297" spans="1:44" ht="20.100000000000001" customHeight="1" thickBot="1" x14ac:dyDescent="0.25">
      <c r="A297" s="1124" t="s">
        <v>1006</v>
      </c>
      <c r="B297" s="1124"/>
      <c r="C297" s="1125"/>
      <c r="D297" s="1125"/>
      <c r="E297" s="1125"/>
      <c r="F297" s="1125"/>
      <c r="G297" s="1125"/>
      <c r="H297" s="1125"/>
      <c r="I297" s="1125"/>
      <c r="J297" s="1125"/>
      <c r="L297" s="871"/>
      <c r="M297" s="871"/>
      <c r="N297" s="871"/>
      <c r="Q297" s="1124" t="s">
        <v>1005</v>
      </c>
      <c r="R297" s="1124"/>
      <c r="S297" s="1125"/>
      <c r="T297" s="1125"/>
      <c r="U297" s="1125"/>
      <c r="V297" s="1125"/>
      <c r="W297" s="1125"/>
      <c r="X297" s="1125"/>
      <c r="Y297" s="1125"/>
      <c r="Z297" s="1125"/>
      <c r="AB297" s="254"/>
      <c r="AC297" s="254"/>
      <c r="AD297" s="681"/>
      <c r="AE297" s="680"/>
      <c r="AF297" s="681"/>
      <c r="AG297" s="679"/>
      <c r="AH297" s="679"/>
      <c r="AI297" s="679"/>
      <c r="AJ297" s="679"/>
      <c r="AK297" s="679"/>
      <c r="AL297" s="679"/>
    </row>
    <row r="298" spans="1:44" ht="27.75" customHeight="1" x14ac:dyDescent="0.2">
      <c r="A298" s="1117" t="str">
        <f ca="1">IFERROR(VLOOKUP(X292,Num_AS,3,FALSE),"")</f>
        <v/>
      </c>
      <c r="B298" s="1150"/>
      <c r="C298" s="1118"/>
      <c r="D298" s="1151"/>
      <c r="E298" s="1151"/>
      <c r="F298" s="1151"/>
      <c r="G298" s="1151"/>
      <c r="H298" s="1151"/>
      <c r="I298" s="1151"/>
      <c r="J298" s="1119"/>
      <c r="O298" s="219"/>
      <c r="P298" s="219"/>
      <c r="Q298" s="1117" t="str">
        <f ca="1">IFERROR(VLOOKUP(Z292,Num_AS,3,FALSE),"")</f>
        <v/>
      </c>
      <c r="R298" s="1150"/>
      <c r="S298" s="1118"/>
      <c r="T298" s="1151"/>
      <c r="U298" s="1151"/>
      <c r="V298" s="1151"/>
      <c r="W298" s="1151"/>
      <c r="X298" s="1151"/>
      <c r="Y298" s="1151"/>
      <c r="Z298" s="1119"/>
      <c r="AB298" s="254"/>
      <c r="AC298" s="254"/>
      <c r="AD298" s="681"/>
      <c r="AE298" s="680"/>
      <c r="AF298" s="681"/>
      <c r="AG298" s="679"/>
      <c r="AH298" s="679"/>
      <c r="AI298" s="679"/>
      <c r="AJ298" s="679"/>
      <c r="AK298" s="679"/>
      <c r="AL298" s="679"/>
    </row>
    <row r="299" spans="1:44" ht="27.75" customHeight="1" thickBot="1" x14ac:dyDescent="0.25">
      <c r="A299" s="1107" t="str">
        <f ca="1">IFERROR(VLOOKUP(X292,Num_AS,4,FALSE),"")</f>
        <v/>
      </c>
      <c r="B299" s="1152"/>
      <c r="C299" s="1108"/>
      <c r="D299" s="1153"/>
      <c r="E299" s="1153"/>
      <c r="F299" s="1153"/>
      <c r="G299" s="1153"/>
      <c r="H299" s="1153"/>
      <c r="I299" s="1153"/>
      <c r="J299" s="1109"/>
      <c r="Q299" s="1107" t="str">
        <f ca="1">IFERROR(VLOOKUP(Z292,Num_AS,4,FALSE),"")</f>
        <v/>
      </c>
      <c r="R299" s="1152"/>
      <c r="S299" s="1108"/>
      <c r="T299" s="1153"/>
      <c r="U299" s="1153"/>
      <c r="V299" s="1153"/>
      <c r="W299" s="1153"/>
      <c r="X299" s="1153"/>
      <c r="Y299" s="1153"/>
      <c r="Z299" s="1109"/>
      <c r="AB299" s="254"/>
      <c r="AC299" s="254"/>
      <c r="AD299" s="681"/>
      <c r="AE299" s="680"/>
      <c r="AF299" s="681"/>
      <c r="AG299" s="679"/>
      <c r="AH299" s="679"/>
      <c r="AI299" s="679"/>
      <c r="AJ299" s="679"/>
      <c r="AK299" s="679"/>
      <c r="AL299" s="679"/>
    </row>
    <row r="300" spans="1:44" ht="36" customHeight="1" thickBot="1" x14ac:dyDescent="0.25">
      <c r="A300" s="1156" t="s">
        <v>1330</v>
      </c>
      <c r="B300" s="1157"/>
      <c r="C300" s="1157"/>
      <c r="D300" s="1158"/>
      <c r="E300" s="947">
        <f ca="1">VLOOKUP(A296&amp;A298,PTS_SP,3,FALSE)</f>
        <v>0</v>
      </c>
      <c r="Q300" s="1156" t="s">
        <v>1330</v>
      </c>
      <c r="R300" s="1157"/>
      <c r="S300" s="1157"/>
      <c r="T300" s="1158"/>
      <c r="U300" s="947">
        <f ca="1">VLOOKUP(Q296&amp;Q298,PTS_SP,3,FALSE)</f>
        <v>0</v>
      </c>
      <c r="AB300" s="254"/>
      <c r="AC300" s="254"/>
      <c r="AD300" s="681"/>
      <c r="AE300" s="680"/>
      <c r="AF300" s="681"/>
      <c r="AG300" s="679"/>
      <c r="AH300" s="679"/>
      <c r="AI300" s="679"/>
      <c r="AJ300" s="679"/>
      <c r="AK300" s="679"/>
      <c r="AL300" s="679"/>
    </row>
    <row r="301" spans="1:44" ht="38.25" customHeight="1" x14ac:dyDescent="0.2">
      <c r="A301" s="701"/>
      <c r="B301" s="701"/>
      <c r="C301" s="853"/>
      <c r="D301" s="861" t="s">
        <v>1290</v>
      </c>
      <c r="E301" s="853"/>
      <c r="F301" s="854"/>
      <c r="G301" s="854"/>
      <c r="H301" s="872" t="s">
        <v>1295</v>
      </c>
      <c r="I301" s="855"/>
      <c r="J301" s="853"/>
      <c r="K301" s="853"/>
      <c r="L301" s="853"/>
      <c r="M301" s="859"/>
      <c r="N301" s="860" t="s">
        <v>1291</v>
      </c>
      <c r="O301" s="853"/>
      <c r="P301" s="249"/>
      <c r="Q301" s="701"/>
      <c r="R301" s="701"/>
      <c r="S301" s="853"/>
      <c r="T301" s="861" t="s">
        <v>1290</v>
      </c>
      <c r="U301" s="853"/>
      <c r="V301" s="854"/>
      <c r="W301" s="854"/>
      <c r="X301" s="872" t="s">
        <v>1302</v>
      </c>
      <c r="Y301" s="855"/>
      <c r="Z301" s="853"/>
      <c r="AA301" s="853"/>
      <c r="AB301" s="853"/>
      <c r="AC301" s="859"/>
      <c r="AD301" s="860" t="s">
        <v>1291</v>
      </c>
      <c r="AE301" s="853"/>
      <c r="AF301" s="681"/>
      <c r="AG301" s="681"/>
      <c r="AH301" s="681"/>
      <c r="AI301" s="681"/>
      <c r="AJ301" s="679"/>
      <c r="AK301" s="679"/>
      <c r="AL301" s="679"/>
    </row>
    <row r="302" spans="1:44" ht="38.25" customHeight="1" x14ac:dyDescent="0.2">
      <c r="A302" s="856" t="s">
        <v>509</v>
      </c>
      <c r="B302" s="942" t="s">
        <v>1329</v>
      </c>
      <c r="C302" s="857">
        <v>1</v>
      </c>
      <c r="D302" s="857">
        <v>2</v>
      </c>
      <c r="E302" s="857">
        <v>3</v>
      </c>
      <c r="F302" s="857">
        <v>4</v>
      </c>
      <c r="G302" s="857">
        <v>5</v>
      </c>
      <c r="H302" s="857">
        <v>6</v>
      </c>
      <c r="I302" s="857">
        <v>7</v>
      </c>
      <c r="J302" s="857">
        <v>8</v>
      </c>
      <c r="K302" s="858" t="s">
        <v>1286</v>
      </c>
      <c r="L302" s="1154" t="s">
        <v>1287</v>
      </c>
      <c r="M302" s="1154"/>
      <c r="N302" s="1154"/>
      <c r="O302" s="858" t="s">
        <v>1288</v>
      </c>
      <c r="P302" s="844"/>
      <c r="Q302" s="856" t="s">
        <v>509</v>
      </c>
      <c r="R302" s="942" t="s">
        <v>1329</v>
      </c>
      <c r="S302" s="857">
        <v>1</v>
      </c>
      <c r="T302" s="857">
        <v>2</v>
      </c>
      <c r="U302" s="857">
        <v>3</v>
      </c>
      <c r="V302" s="857">
        <v>4</v>
      </c>
      <c r="W302" s="857">
        <v>5</v>
      </c>
      <c r="X302" s="857">
        <v>6</v>
      </c>
      <c r="Y302" s="857">
        <v>7</v>
      </c>
      <c r="Z302" s="857">
        <v>8</v>
      </c>
      <c r="AA302" s="858" t="s">
        <v>1286</v>
      </c>
      <c r="AB302" s="1154" t="s">
        <v>1287</v>
      </c>
      <c r="AC302" s="1154"/>
      <c r="AD302" s="1154"/>
      <c r="AE302" s="858" t="s">
        <v>1288</v>
      </c>
      <c r="AF302" s="681"/>
      <c r="AG302" s="681"/>
      <c r="AH302" s="681"/>
      <c r="AI302" s="681"/>
      <c r="AJ302" s="679"/>
      <c r="AK302" s="679"/>
      <c r="AL302" s="679"/>
    </row>
    <row r="303" spans="1:44" ht="30" customHeight="1" x14ac:dyDescent="0.25">
      <c r="A303" s="846" t="s">
        <v>1282</v>
      </c>
      <c r="B303" s="948">
        <f ca="1">E300</f>
        <v>0</v>
      </c>
      <c r="C303" s="843"/>
      <c r="D303" s="843"/>
      <c r="E303" s="843"/>
      <c r="F303" s="843"/>
      <c r="G303" s="847"/>
      <c r="H303" s="848"/>
      <c r="I303" s="846"/>
      <c r="J303" s="843"/>
      <c r="K303" s="843"/>
      <c r="L303" s="849">
        <f ca="1">IF(Q296="Matchs de CLASSEMENT","X",2)</f>
        <v>2</v>
      </c>
      <c r="M303" s="849">
        <f ca="1">IF(Q296="Matchs de CLASSEMENT","X",1)</f>
        <v>1</v>
      </c>
      <c r="N303" s="849">
        <f ca="1">IF(Q296="Matchs de CLASSEMENT","X",0)</f>
        <v>0</v>
      </c>
      <c r="O303" s="849" t="str">
        <f ca="1">IF(Q296="Matchs de CLASSEMENT","X","")</f>
        <v/>
      </c>
      <c r="P303" s="842"/>
      <c r="Q303" s="849" t="str">
        <f ca="1">IF(Q296="Matchs de CLASSEMENT","X","V1")</f>
        <v>V1</v>
      </c>
      <c r="R303" s="948">
        <f ca="1">U300</f>
        <v>0</v>
      </c>
      <c r="S303" s="849" t="str">
        <f ca="1">IF(Q296="Matchs de CLASSEMENT","X","")</f>
        <v/>
      </c>
      <c r="T303" s="849" t="str">
        <f ca="1">IF(Q296="Matchs de CLASSEMENT","X","")</f>
        <v/>
      </c>
      <c r="U303" s="849" t="str">
        <f ca="1">IF(Q296="Matchs de CLASSEMENT","X","")</f>
        <v/>
      </c>
      <c r="V303" s="849" t="str">
        <f ca="1">IF(Q296="Matchs de CLASSEMENT","X","")</f>
        <v/>
      </c>
      <c r="W303" s="849" t="str">
        <f ca="1">IF(Q296="Matchs de CLASSEMENT","X","")</f>
        <v/>
      </c>
      <c r="X303" s="849" t="str">
        <f ca="1">IF(Q296="Matchs de CLASSEMENT","X","")</f>
        <v/>
      </c>
      <c r="Y303" s="849" t="str">
        <f ca="1">IF(Q296="Matchs de CLASSEMENT","X","")</f>
        <v/>
      </c>
      <c r="Z303" s="849" t="str">
        <f ca="1">IF(Q296="Matchs de CLASSEMENT","X","")</f>
        <v/>
      </c>
      <c r="AA303" s="849" t="str">
        <f ca="1">IF(Q296="Matchs de CLASSEMENT","X","")</f>
        <v/>
      </c>
      <c r="AB303" s="849">
        <f ca="1">IF(Q296="Matchs de CLASSEMENT","X",2)</f>
        <v>2</v>
      </c>
      <c r="AC303" s="849">
        <f ca="1">IF(Q296="Matchs de CLASSEMENT","X",1)</f>
        <v>1</v>
      </c>
      <c r="AD303" s="849">
        <f ca="1">IF(Q296="Matchs de CLASSEMENT","X",0)</f>
        <v>0</v>
      </c>
      <c r="AE303" s="849" t="str">
        <f ca="1">IF(Q296="Matchs de CLASSEMENT","X","")</f>
        <v/>
      </c>
      <c r="AF303" s="679"/>
      <c r="AG303" s="679"/>
      <c r="AH303" s="679"/>
      <c r="AI303" s="679"/>
      <c r="AJ303" s="679"/>
      <c r="AK303" s="679"/>
      <c r="AL303" s="679"/>
    </row>
    <row r="304" spans="1:44" ht="30" customHeight="1" x14ac:dyDescent="0.25">
      <c r="A304" s="846" t="s">
        <v>1283</v>
      </c>
      <c r="B304" s="948">
        <f ca="1">B303</f>
        <v>0</v>
      </c>
      <c r="C304" s="843"/>
      <c r="D304" s="843"/>
      <c r="E304" s="843"/>
      <c r="F304" s="843"/>
      <c r="G304" s="847"/>
      <c r="H304" s="848"/>
      <c r="I304" s="846"/>
      <c r="J304" s="843"/>
      <c r="K304" s="843"/>
      <c r="L304" s="849">
        <f ca="1">IF(Q296="Matchs de CLASSEMENT","X",2)</f>
        <v>2</v>
      </c>
      <c r="M304" s="849">
        <f ca="1">IF(Q296="Matchs de CLASSEMENT","X",1)</f>
        <v>1</v>
      </c>
      <c r="N304" s="849">
        <f ca="1">IF(Q296="Matchs de CLASSEMENT","X",0)</f>
        <v>0</v>
      </c>
      <c r="O304" s="849" t="str">
        <f ca="1">IF(Q296="Matchs de CLASSEMENT","X","")</f>
        <v/>
      </c>
      <c r="P304" s="842"/>
      <c r="Q304" s="849" t="str">
        <f ca="1">IF(Q296="Matchs de CLASSEMENT","X","V2")</f>
        <v>V2</v>
      </c>
      <c r="R304" s="948">
        <f ca="1">R303</f>
        <v>0</v>
      </c>
      <c r="S304" s="849" t="str">
        <f ca="1">IF(Q296="Matchs de CLASSEMENT","X","")</f>
        <v/>
      </c>
      <c r="T304" s="849" t="str">
        <f ca="1">IF(Q296="Matchs de CLASSEMENT","X","")</f>
        <v/>
      </c>
      <c r="U304" s="849" t="str">
        <f ca="1">IF(Q296="Matchs de CLASSEMENT","X","")</f>
        <v/>
      </c>
      <c r="V304" s="849" t="str">
        <f ca="1">IF(Q296="Matchs de CLASSEMENT","X","")</f>
        <v/>
      </c>
      <c r="W304" s="849" t="str">
        <f ca="1">IF(Q296="Matchs de CLASSEMENT","X","")</f>
        <v/>
      </c>
      <c r="X304" s="849" t="str">
        <f ca="1">IF(Q296="Matchs de CLASSEMENT","X","")</f>
        <v/>
      </c>
      <c r="Y304" s="849" t="str">
        <f ca="1">IF(Q296="Matchs de CLASSEMENT","X","")</f>
        <v/>
      </c>
      <c r="Z304" s="849" t="str">
        <f ca="1">IF(Q296="Matchs de CLASSEMENT","X","")</f>
        <v/>
      </c>
      <c r="AA304" s="849" t="str">
        <f ca="1">IF(Q296="Matchs de CLASSEMENT","X","")</f>
        <v/>
      </c>
      <c r="AB304" s="849">
        <f ca="1">IF(Q296="Matchs de CLASSEMENT","X",2)</f>
        <v>2</v>
      </c>
      <c r="AC304" s="849">
        <f ca="1">IF(Q296="Matchs de CLASSEMENT","X",1)</f>
        <v>1</v>
      </c>
      <c r="AD304" s="849">
        <f ca="1">IF(Q296="Matchs de CLASSEMENT","X",0)</f>
        <v>0</v>
      </c>
      <c r="AE304" s="849" t="str">
        <f ca="1">IF(Q296="Matchs de CLASSEMENT","X","")</f>
        <v/>
      </c>
      <c r="AF304" s="679"/>
      <c r="AG304" s="679"/>
      <c r="AH304" s="679"/>
      <c r="AI304" s="679"/>
      <c r="AJ304" s="679"/>
      <c r="AK304" s="679"/>
      <c r="AL304" s="679"/>
    </row>
    <row r="305" spans="1:38" ht="30" customHeight="1" x14ac:dyDescent="0.25">
      <c r="A305" s="846" t="s">
        <v>1284</v>
      </c>
      <c r="B305" s="948">
        <f t="shared" ref="B305:B306" ca="1" si="19">B304</f>
        <v>0</v>
      </c>
      <c r="C305" s="843"/>
      <c r="D305" s="843"/>
      <c r="E305" s="843"/>
      <c r="F305" s="843"/>
      <c r="G305" s="847"/>
      <c r="H305" s="848"/>
      <c r="I305" s="846"/>
      <c r="J305" s="843"/>
      <c r="K305" s="843"/>
      <c r="L305" s="849">
        <f ca="1">IF(Q296="Matchs de CLASSEMENT","X",2)</f>
        <v>2</v>
      </c>
      <c r="M305" s="849">
        <f ca="1">IF(Q296="Matchs de CLASSEMENT","X",1)</f>
        <v>1</v>
      </c>
      <c r="N305" s="849">
        <f ca="1">IF(Q296="Matchs de CLASSEMENT","X",0)</f>
        <v>0</v>
      </c>
      <c r="O305" s="849" t="str">
        <f ca="1">IF(Q296="Matchs de CLASSEMENT","X","")</f>
        <v/>
      </c>
      <c r="P305" s="842"/>
      <c r="Q305" s="849" t="str">
        <f ca="1">IF(Q296="Matchs de CLASSEMENT","X","V3")</f>
        <v>V3</v>
      </c>
      <c r="R305" s="948">
        <f t="shared" ref="R305:R306" ca="1" si="20">R304</f>
        <v>0</v>
      </c>
      <c r="S305" s="849" t="str">
        <f ca="1">IF(Q296="Matchs de CLASSEMENT","X","")</f>
        <v/>
      </c>
      <c r="T305" s="849" t="str">
        <f ca="1">IF(Q296="Matchs de CLASSEMENT","X","")</f>
        <v/>
      </c>
      <c r="U305" s="849" t="str">
        <f ca="1">IF(Q296="Matchs de CLASSEMENT","X","")</f>
        <v/>
      </c>
      <c r="V305" s="849" t="str">
        <f ca="1">IF(Q296="Matchs de CLASSEMENT","X","")</f>
        <v/>
      </c>
      <c r="W305" s="849" t="str">
        <f ca="1">IF(Q296="Matchs de CLASSEMENT","X","")</f>
        <v/>
      </c>
      <c r="X305" s="849" t="str">
        <f ca="1">IF(Q296="Matchs de CLASSEMENT","X","")</f>
        <v/>
      </c>
      <c r="Y305" s="849" t="str">
        <f ca="1">IF(Q296="Matchs de CLASSEMENT","X","")</f>
        <v/>
      </c>
      <c r="Z305" s="849" t="str">
        <f ca="1">IF(Q296="Matchs de CLASSEMENT","X","")</f>
        <v/>
      </c>
      <c r="AA305" s="849" t="str">
        <f ca="1">IF(Q296="Matchs de CLASSEMENT","X","")</f>
        <v/>
      </c>
      <c r="AB305" s="849">
        <f ca="1">IF(Q296="Matchs de CLASSEMENT","X",2)</f>
        <v>2</v>
      </c>
      <c r="AC305" s="849">
        <f ca="1">IF(Q296="Matchs de CLASSEMENT","X",1)</f>
        <v>1</v>
      </c>
      <c r="AD305" s="849">
        <f ca="1">IF(Q296="Matchs de CLASSEMENT","X",0)</f>
        <v>0</v>
      </c>
      <c r="AE305" s="849" t="str">
        <f ca="1">IF(Q296="Matchs de CLASSEMENT","X","")</f>
        <v/>
      </c>
      <c r="AF305" s="679"/>
      <c r="AG305" s="679"/>
      <c r="AH305" s="679"/>
      <c r="AI305" s="679"/>
      <c r="AJ305" s="679"/>
      <c r="AK305" s="679"/>
      <c r="AL305" s="679"/>
    </row>
    <row r="306" spans="1:38" ht="30" customHeight="1" x14ac:dyDescent="0.25">
      <c r="A306" s="846" t="s">
        <v>1285</v>
      </c>
      <c r="B306" s="948">
        <f t="shared" ca="1" si="19"/>
        <v>0</v>
      </c>
      <c r="C306" s="843"/>
      <c r="D306" s="843"/>
      <c r="E306" s="843"/>
      <c r="F306" s="843"/>
      <c r="G306" s="847"/>
      <c r="H306" s="848"/>
      <c r="I306" s="846"/>
      <c r="J306" s="843"/>
      <c r="K306" s="843"/>
      <c r="L306" s="849">
        <f ca="1">IF(Q296="Matchs de CLASSEMENT","X",2)</f>
        <v>2</v>
      </c>
      <c r="M306" s="849">
        <f ca="1">IF(Q296="Matchs de CLASSEMENT","X",1)</f>
        <v>1</v>
      </c>
      <c r="N306" s="849">
        <f ca="1">IF(Q296="Matchs de CLASSEMENT","X",0)</f>
        <v>0</v>
      </c>
      <c r="O306" s="849" t="str">
        <f ca="1">IF(Q296="Matchs de CLASSEMENT","X","")</f>
        <v/>
      </c>
      <c r="P306" s="842"/>
      <c r="Q306" s="849" t="str">
        <f ca="1">IF(Q296="Matchs de CLASSEMENT","X","V4")</f>
        <v>V4</v>
      </c>
      <c r="R306" s="948">
        <f t="shared" ca="1" si="20"/>
        <v>0</v>
      </c>
      <c r="S306" s="849" t="str">
        <f ca="1">IF(Q296="Matchs de CLASSEMENT","X","")</f>
        <v/>
      </c>
      <c r="T306" s="849" t="str">
        <f ca="1">IF(Q296="Matchs de CLASSEMENT","X","")</f>
        <v/>
      </c>
      <c r="U306" s="849" t="str">
        <f ca="1">IF(Q296="Matchs de CLASSEMENT","X","")</f>
        <v/>
      </c>
      <c r="V306" s="849" t="str">
        <f ca="1">IF(Q296="Matchs de CLASSEMENT","X","")</f>
        <v/>
      </c>
      <c r="W306" s="849" t="str">
        <f ca="1">IF(Q296="Matchs de CLASSEMENT","X","")</f>
        <v/>
      </c>
      <c r="X306" s="849" t="str">
        <f ca="1">IF(Q296="Matchs de CLASSEMENT","X","")</f>
        <v/>
      </c>
      <c r="Y306" s="849" t="str">
        <f ca="1">IF(Q296="Matchs de CLASSEMENT","X","")</f>
        <v/>
      </c>
      <c r="Z306" s="849" t="str">
        <f ca="1">IF(Q296="Matchs de CLASSEMENT","X","")</f>
        <v/>
      </c>
      <c r="AA306" s="849" t="str">
        <f ca="1">IF(Q296="Matchs de CLASSEMENT","X","")</f>
        <v/>
      </c>
      <c r="AB306" s="849">
        <f ca="1">IF(Q296="Matchs de CLASSEMENT","X",2)</f>
        <v>2</v>
      </c>
      <c r="AC306" s="849">
        <f ca="1">IF(Q296="Matchs de CLASSEMENT","X",1)</f>
        <v>1</v>
      </c>
      <c r="AD306" s="849">
        <f ca="1">IF(Q296="Matchs de CLASSEMENT","X",0)</f>
        <v>0</v>
      </c>
      <c r="AE306" s="849" t="str">
        <f ca="1">IF(Q296="Matchs de CLASSEMENT","X","")</f>
        <v/>
      </c>
      <c r="AF306" s="679"/>
      <c r="AG306" s="679"/>
      <c r="AH306" s="679"/>
      <c r="AI306" s="679"/>
      <c r="AJ306" s="679"/>
      <c r="AK306" s="679"/>
      <c r="AL306" s="679"/>
    </row>
    <row r="307" spans="1:38" ht="30" customHeight="1" x14ac:dyDescent="0.2">
      <c r="N307" s="867" t="s">
        <v>1294</v>
      </c>
      <c r="O307" s="848"/>
      <c r="AD307" s="867" t="s">
        <v>1294</v>
      </c>
      <c r="AE307" s="866"/>
      <c r="AF307" s="679"/>
      <c r="AG307" s="679"/>
      <c r="AH307" s="679"/>
      <c r="AI307" s="679"/>
      <c r="AJ307" s="679"/>
      <c r="AK307" s="679"/>
      <c r="AL307" s="679"/>
    </row>
    <row r="308" spans="1:38" ht="12.75" customHeight="1" x14ac:dyDescent="0.2">
      <c r="AE308" s="520"/>
      <c r="AF308" s="679"/>
      <c r="AG308" s="679"/>
      <c r="AH308" s="679"/>
      <c r="AI308" s="679"/>
      <c r="AJ308" s="679"/>
      <c r="AK308" s="679"/>
      <c r="AL308" s="679"/>
    </row>
    <row r="309" spans="1:38" ht="18.75" customHeight="1" x14ac:dyDescent="0.2">
      <c r="A309" s="584"/>
      <c r="B309" s="584"/>
      <c r="C309" s="701" t="s">
        <v>1289</v>
      </c>
      <c r="D309" s="249"/>
      <c r="E309" s="196"/>
      <c r="F309" s="196"/>
      <c r="G309" s="584"/>
      <c r="H309" s="1155" t="s">
        <v>1301</v>
      </c>
      <c r="I309" s="1155"/>
      <c r="J309" s="1155"/>
      <c r="K309" s="1155"/>
      <c r="L309" s="1155"/>
      <c r="M309" s="1155"/>
      <c r="N309" s="1155"/>
      <c r="O309" s="1155"/>
      <c r="P309" s="842"/>
      <c r="Q309" s="219"/>
      <c r="R309" s="219"/>
      <c r="S309" s="701" t="s">
        <v>1289</v>
      </c>
      <c r="T309" s="249"/>
      <c r="U309" s="196"/>
      <c r="V309" s="196"/>
      <c r="X309" s="1155" t="s">
        <v>1304</v>
      </c>
      <c r="Y309" s="1155"/>
      <c r="Z309" s="1155"/>
      <c r="AA309" s="1155"/>
      <c r="AB309" s="1155"/>
      <c r="AC309" s="1155"/>
      <c r="AD309" s="1155"/>
      <c r="AE309" s="1155"/>
      <c r="AF309" s="679"/>
      <c r="AG309" s="679"/>
      <c r="AH309" s="679"/>
      <c r="AI309" s="679"/>
      <c r="AJ309" s="679"/>
      <c r="AK309" s="679"/>
      <c r="AL309" s="679"/>
    </row>
    <row r="310" spans="1:38" ht="32.25" customHeight="1" x14ac:dyDescent="0.2">
      <c r="A310" s="584"/>
      <c r="B310" s="584"/>
      <c r="C310" s="850"/>
      <c r="D310" s="851"/>
      <c r="E310" s="852"/>
      <c r="F310" s="852"/>
      <c r="G310" s="584"/>
      <c r="H310" s="1149" t="s">
        <v>549</v>
      </c>
      <c r="I310" s="1149"/>
      <c r="J310" s="1149"/>
      <c r="K310" s="1149"/>
      <c r="L310" s="1149"/>
      <c r="M310" s="1146" t="s">
        <v>550</v>
      </c>
      <c r="N310" s="1147"/>
      <c r="O310" s="1148"/>
      <c r="P310" s="842"/>
      <c r="Q310" s="219"/>
      <c r="R310" s="219"/>
      <c r="S310" s="850"/>
      <c r="T310" s="851"/>
      <c r="U310" s="852"/>
      <c r="V310" s="852"/>
      <c r="X310" s="1149" t="s">
        <v>549</v>
      </c>
      <c r="Y310" s="1149"/>
      <c r="Z310" s="1149"/>
      <c r="AA310" s="1149"/>
      <c r="AB310" s="1149"/>
      <c r="AC310" s="1146" t="s">
        <v>550</v>
      </c>
      <c r="AD310" s="1147"/>
      <c r="AE310" s="1148"/>
      <c r="AG310" s="679"/>
      <c r="AH310" s="679"/>
      <c r="AI310" s="679"/>
      <c r="AJ310" s="679"/>
      <c r="AK310" s="679"/>
      <c r="AL310" s="679"/>
    </row>
    <row r="311" spans="1:38" ht="32.25" customHeight="1" x14ac:dyDescent="0.2">
      <c r="A311" s="584"/>
      <c r="B311" s="584"/>
      <c r="C311" s="850"/>
      <c r="D311" s="851"/>
      <c r="E311" s="852"/>
      <c r="F311" s="852"/>
      <c r="G311" s="584"/>
      <c r="H311" s="1140" t="str">
        <f ca="1">IFERROR(VLOOKUP(X292,Num_AS,6,FALSE)&amp;" "&amp;VLOOKUP(X292,Num_AS,7,FALSE),"")</f>
        <v/>
      </c>
      <c r="I311" s="1140"/>
      <c r="J311" s="1140"/>
      <c r="K311" s="1140"/>
      <c r="L311" s="1140"/>
      <c r="M311" s="1129" t="str">
        <f ca="1">IFERROR(VLOOKUP(X292,Num_AS,9,FALSE),"")</f>
        <v/>
      </c>
      <c r="N311" s="1130"/>
      <c r="O311" s="1131"/>
      <c r="P311" s="842"/>
      <c r="Q311" s="219"/>
      <c r="R311" s="219"/>
      <c r="S311" s="850"/>
      <c r="T311" s="851"/>
      <c r="U311" s="852"/>
      <c r="V311" s="852"/>
      <c r="W311" s="196"/>
      <c r="X311" s="1140" t="str">
        <f ca="1">IFERROR(VLOOKUP(Z292,Num_AS,6,FALSE)&amp;" "&amp;VLOOKUP(Z292,Num_AS,7,FALSE),"")</f>
        <v/>
      </c>
      <c r="Y311" s="1140"/>
      <c r="Z311" s="1140"/>
      <c r="AA311" s="1140"/>
      <c r="AB311" s="1140"/>
      <c r="AC311" s="1129" t="str">
        <f ca="1">IFERROR(VLOOKUP(Z292,Num_AS,9,FALSE),"")</f>
        <v/>
      </c>
      <c r="AD311" s="1130"/>
      <c r="AE311" s="1131"/>
    </row>
    <row r="312" spans="1:38" ht="32.25" customHeight="1" x14ac:dyDescent="0.2">
      <c r="A312" s="584"/>
      <c r="B312" s="584"/>
      <c r="C312" s="850"/>
      <c r="D312" s="851"/>
      <c r="E312" s="852"/>
      <c r="F312" s="852"/>
      <c r="G312" s="584"/>
      <c r="H312" s="1140" t="str">
        <f ca="1">IFERROR(VLOOKUP(X292,Num_AS,12,FALSE)&amp;" "&amp;VLOOKUP(X292,Num_AS,13,FALSE),"")</f>
        <v/>
      </c>
      <c r="I312" s="1140"/>
      <c r="J312" s="1140"/>
      <c r="K312" s="1140"/>
      <c r="L312" s="1140"/>
      <c r="M312" s="1129" t="str">
        <f ca="1">IFERROR(VLOOKUP(X292,Num_AS,15,FALSE),"")</f>
        <v/>
      </c>
      <c r="N312" s="1130"/>
      <c r="O312" s="1131">
        <f ca="1">G294</f>
        <v>10</v>
      </c>
      <c r="P312" s="842"/>
      <c r="Q312" s="219"/>
      <c r="R312" s="219"/>
      <c r="S312" s="850"/>
      <c r="T312" s="851"/>
      <c r="U312" s="852"/>
      <c r="V312" s="852"/>
      <c r="W312" s="196"/>
      <c r="X312" s="1140" t="str">
        <f ca="1">IFERROR(VLOOKUP(Z292,Num_AS,12,FALSE)&amp;" "&amp;VLOOKUP(Z292,Num_AS,13,FALSE),"")</f>
        <v/>
      </c>
      <c r="Y312" s="1140"/>
      <c r="Z312" s="1140"/>
      <c r="AA312" s="1140"/>
      <c r="AB312" s="1140"/>
      <c r="AC312" s="1129" t="str">
        <f ca="1">IFERROR(VLOOKUP(Z292,Num_AS,15,FALSE),"")</f>
        <v/>
      </c>
      <c r="AD312" s="1130"/>
      <c r="AE312" s="1131">
        <f>W294</f>
        <v>0</v>
      </c>
    </row>
    <row r="313" spans="1:38" ht="32.25" customHeight="1" x14ac:dyDescent="0.2">
      <c r="A313" s="584"/>
      <c r="B313" s="584"/>
      <c r="C313" s="584"/>
      <c r="D313" s="584"/>
      <c r="E313" s="584"/>
      <c r="F313" s="584"/>
      <c r="G313" s="584"/>
      <c r="H313" s="1140" t="str">
        <f ca="1">IFERROR(VLOOKUP(X292,Num_AS,18,FALSE)&amp;" "&amp;VLOOKUP(X292,Num_AS,19,FALSE),"")</f>
        <v/>
      </c>
      <c r="I313" s="1140"/>
      <c r="J313" s="1140"/>
      <c r="K313" s="1140"/>
      <c r="L313" s="1140"/>
      <c r="M313" s="1129" t="str">
        <f ca="1">IFERROR(VLOOKUP(X292,Num_AS,21,FALSE),"")</f>
        <v/>
      </c>
      <c r="N313" s="1130"/>
      <c r="O313" s="1131">
        <f ca="1">G294</f>
        <v>10</v>
      </c>
      <c r="P313" s="842"/>
      <c r="Q313" s="219"/>
      <c r="R313" s="219"/>
      <c r="S313" s="584"/>
      <c r="T313" s="584"/>
      <c r="U313" s="584"/>
      <c r="V313" s="584"/>
      <c r="W313" s="196"/>
      <c r="X313" s="1140" t="str">
        <f ca="1">IFERROR(VLOOKUP(Z292,Num_AS,18,FALSE)&amp;" "&amp;VLOOKUP(Z292,Num_AS,19,FALSE),"")</f>
        <v/>
      </c>
      <c r="Y313" s="1140"/>
      <c r="Z313" s="1140"/>
      <c r="AA313" s="1140"/>
      <c r="AB313" s="1140"/>
      <c r="AC313" s="1129" t="str">
        <f ca="1">IFERROR(VLOOKUP(Z292,Num_AS,21,FALSE),"")</f>
        <v/>
      </c>
      <c r="AD313" s="1130"/>
      <c r="AE313" s="1131">
        <f>W294</f>
        <v>0</v>
      </c>
    </row>
    <row r="314" spans="1:38" ht="32.25" customHeight="1" x14ac:dyDescent="0.2">
      <c r="A314" s="584"/>
      <c r="B314" s="584"/>
      <c r="C314" s="862"/>
      <c r="D314" s="1141" t="s">
        <v>1292</v>
      </c>
      <c r="E314" s="1142"/>
      <c r="F314" s="1143"/>
      <c r="G314" s="584"/>
      <c r="H314" s="1140" t="str">
        <f ca="1">IFERROR(VLOOKUP(X292,Num_AS,24,FALSE)&amp;" "&amp;VLOOKUP(X292,Num_AS,25,FALSE),"")</f>
        <v/>
      </c>
      <c r="I314" s="1140"/>
      <c r="J314" s="1140"/>
      <c r="K314" s="1140"/>
      <c r="L314" s="1140"/>
      <c r="M314" s="1129" t="str">
        <f ca="1">IFERROR(VLOOKUP(X292,Num_AS,9,FALSE),"")</f>
        <v/>
      </c>
      <c r="N314" s="1130"/>
      <c r="O314" s="1131">
        <f ca="1">G294</f>
        <v>10</v>
      </c>
      <c r="P314" s="842"/>
      <c r="Q314" s="219"/>
      <c r="R314" s="219"/>
      <c r="S314" s="862"/>
      <c r="T314" s="1141" t="s">
        <v>1292</v>
      </c>
      <c r="U314" s="1142"/>
      <c r="V314" s="1143"/>
      <c r="W314" s="196"/>
      <c r="X314" s="1140" t="str">
        <f ca="1">IFERROR(VLOOKUP(Z292,Num_AS,24,FALSE)&amp;" "&amp;VLOOKUP(Z292,Num_AS,25,FALSE),"")</f>
        <v/>
      </c>
      <c r="Y314" s="1140"/>
      <c r="Z314" s="1140"/>
      <c r="AA314" s="1140"/>
      <c r="AB314" s="1140"/>
      <c r="AC314" s="1129" t="str">
        <f ca="1">IFERROR(VLOOKUP(Z292,Num_AS,9,FALSE),"")</f>
        <v/>
      </c>
      <c r="AD314" s="1130"/>
      <c r="AE314" s="1131">
        <f>W294</f>
        <v>0</v>
      </c>
    </row>
    <row r="315" spans="1:38" ht="18.75" customHeight="1" thickBot="1" x14ac:dyDescent="0.25">
      <c r="A315" s="701"/>
      <c r="B315" s="701"/>
      <c r="C315" s="249"/>
      <c r="D315" s="249"/>
      <c r="E315" s="249"/>
      <c r="F315" s="701"/>
      <c r="G315" s="701"/>
      <c r="H315" s="196"/>
      <c r="I315" s="196"/>
      <c r="J315" s="249"/>
      <c r="K315" s="219"/>
      <c r="L315" s="219"/>
      <c r="M315" s="219"/>
      <c r="N315" s="219"/>
      <c r="O315" s="219"/>
      <c r="P315" s="219"/>
      <c r="Q315" s="219"/>
      <c r="R315" s="219"/>
      <c r="S315" s="219"/>
      <c r="T315" s="219"/>
      <c r="U315" s="219"/>
      <c r="V315" s="219"/>
      <c r="W315" s="219"/>
      <c r="X315" s="219"/>
      <c r="Y315" s="249"/>
      <c r="Z315" s="219"/>
      <c r="AE315" s="520"/>
    </row>
    <row r="316" spans="1:38" ht="32.25" customHeight="1" x14ac:dyDescent="0.25">
      <c r="A316" s="701"/>
      <c r="B316" s="701"/>
      <c r="D316" s="875" t="s">
        <v>1002</v>
      </c>
      <c r="E316" s="876"/>
      <c r="F316" s="876"/>
      <c r="G316" s="876"/>
      <c r="H316" s="876"/>
      <c r="I316" s="876"/>
      <c r="J316" s="876"/>
      <c r="K316" s="876"/>
      <c r="L316" s="876"/>
      <c r="M316" s="877" t="s">
        <v>1297</v>
      </c>
      <c r="N316" s="219"/>
      <c r="O316" s="1132" t="s">
        <v>1293</v>
      </c>
      <c r="P316" s="1133"/>
      <c r="Q316" s="1134"/>
      <c r="R316" s="941"/>
      <c r="T316" s="875" t="s">
        <v>1002</v>
      </c>
      <c r="U316" s="876"/>
      <c r="V316" s="876"/>
      <c r="W316" s="876"/>
      <c r="X316" s="876"/>
      <c r="Y316" s="876"/>
      <c r="Z316" s="876"/>
      <c r="AA316" s="876"/>
      <c r="AB316" s="876"/>
      <c r="AC316" s="877" t="s">
        <v>1296</v>
      </c>
      <c r="AE316" s="520"/>
    </row>
    <row r="317" spans="1:38" ht="70.5" customHeight="1" thickBot="1" x14ac:dyDescent="0.25">
      <c r="A317" s="701"/>
      <c r="B317" s="701"/>
      <c r="D317" s="878"/>
      <c r="E317" s="879"/>
      <c r="F317" s="879"/>
      <c r="G317" s="879"/>
      <c r="H317" s="879"/>
      <c r="I317" s="879"/>
      <c r="J317" s="879"/>
      <c r="K317" s="879"/>
      <c r="L317" s="879"/>
      <c r="M317" s="880"/>
      <c r="N317" s="219"/>
      <c r="O317" s="1135"/>
      <c r="P317" s="1136"/>
      <c r="Q317" s="1137"/>
      <c r="R317" s="941"/>
      <c r="T317" s="878"/>
      <c r="U317" s="879"/>
      <c r="V317" s="879"/>
      <c r="W317" s="879"/>
      <c r="X317" s="879"/>
      <c r="Y317" s="879"/>
      <c r="Z317" s="879"/>
      <c r="AA317" s="879"/>
      <c r="AB317" s="879"/>
      <c r="AC317" s="880"/>
      <c r="AE317" s="520"/>
    </row>
    <row r="318" spans="1:38" ht="6.75" customHeight="1" x14ac:dyDescent="0.25">
      <c r="A318" s="701"/>
      <c r="B318" s="701"/>
      <c r="C318" s="249"/>
      <c r="D318" s="249"/>
      <c r="E318" s="249"/>
      <c r="F318" s="701"/>
      <c r="G318" s="701"/>
      <c r="H318" s="196"/>
      <c r="I318" s="196"/>
      <c r="J318" s="249"/>
      <c r="K318" s="219"/>
      <c r="L318" s="842"/>
      <c r="M318" s="842"/>
      <c r="N318" s="842"/>
      <c r="O318" s="842"/>
      <c r="P318" s="842"/>
      <c r="Q318" s="842"/>
      <c r="R318" s="842"/>
      <c r="T318" s="845"/>
      <c r="U318" s="842"/>
      <c r="V318" s="842"/>
      <c r="W318" s="649"/>
      <c r="X318" s="845"/>
      <c r="Y318" s="842"/>
      <c r="Z318" s="842"/>
      <c r="AE318" s="520"/>
    </row>
    <row r="319" spans="1:38" ht="27.75" customHeight="1" x14ac:dyDescent="0.2">
      <c r="A319" s="701"/>
      <c r="B319" s="701"/>
      <c r="C319" s="1138" t="s">
        <v>1300</v>
      </c>
      <c r="D319" s="1138"/>
      <c r="E319" s="1138"/>
      <c r="F319" s="1138"/>
      <c r="G319" s="1138"/>
      <c r="H319" s="1138"/>
      <c r="I319" s="1138"/>
      <c r="J319" s="1138"/>
      <c r="K319" s="1138"/>
      <c r="L319" s="1138"/>
      <c r="M319" s="1138"/>
      <c r="N319" s="1138"/>
      <c r="O319" s="1138"/>
      <c r="P319" s="842"/>
      <c r="Q319" s="1139" t="s">
        <v>1303</v>
      </c>
      <c r="R319" s="1139"/>
      <c r="S319" s="1139"/>
      <c r="T319" s="1139"/>
      <c r="U319" s="1139"/>
      <c r="V319" s="1139"/>
      <c r="W319" s="1139"/>
      <c r="X319" s="1139"/>
      <c r="Y319" s="1139"/>
      <c r="Z319" s="1139"/>
      <c r="AA319" s="1139"/>
      <c r="AB319" s="1139"/>
      <c r="AC319" s="1139"/>
      <c r="AD319" s="1139"/>
      <c r="AE319" s="1139"/>
    </row>
    <row r="320" spans="1:38" ht="36" customHeight="1" x14ac:dyDescent="0.2">
      <c r="AE320" s="520"/>
    </row>
    <row r="321" spans="1:44" ht="19.5" customHeight="1" thickBot="1" x14ac:dyDescent="0.25">
      <c r="W321" s="500"/>
      <c r="X321" s="520" t="str">
        <f ca="1">INDIRECT("AE"&amp;Y321)</f>
        <v>C13-Coll13Ville13</v>
      </c>
      <c r="Y321" s="500">
        <f>Z322+2</f>
        <v>13</v>
      </c>
      <c r="Z321" s="501" t="str">
        <f ca="1">INDIRECT("AF"&amp;Y321)</f>
        <v>C12-Coll12Ville12</v>
      </c>
      <c r="AA321" s="500"/>
      <c r="AB321" s="500"/>
      <c r="AD321" s="679"/>
      <c r="AE321" s="679"/>
      <c r="AF321" s="679"/>
      <c r="AG321" s="679"/>
      <c r="AH321" s="679"/>
      <c r="AI321" s="679"/>
      <c r="AJ321" s="679"/>
      <c r="AK321" s="679"/>
      <c r="AL321" s="679"/>
    </row>
    <row r="322" spans="1:44" s="218" customFormat="1" ht="36" thickBot="1" x14ac:dyDescent="0.25">
      <c r="F322" s="576" t="s">
        <v>546</v>
      </c>
      <c r="G322" s="865" t="str">
        <f>G293</f>
        <v>D1</v>
      </c>
      <c r="I322" s="863" t="str">
        <f>"   "&amp;Championnat</f>
        <v xml:space="preserve">   Championnat de France de Tir à l'ARC</v>
      </c>
      <c r="T322" s="197"/>
      <c r="U322" s="197"/>
      <c r="V322" s="197"/>
      <c r="W322" s="197"/>
      <c r="Y322" s="502" t="s">
        <v>849</v>
      </c>
      <c r="Z322" s="503">
        <f>Z293+1</f>
        <v>11</v>
      </c>
      <c r="AB322" s="254"/>
      <c r="AC322" s="254"/>
      <c r="AD322" s="681"/>
      <c r="AE322" s="680"/>
      <c r="AF322" s="681"/>
      <c r="AH322" s="662"/>
      <c r="AI322" s="662"/>
      <c r="AJ322" s="662"/>
      <c r="AK322" s="662"/>
      <c r="AL322" s="662"/>
      <c r="AM322" s="217"/>
      <c r="AN322" s="217"/>
      <c r="AO322" s="217"/>
      <c r="AP322" s="217"/>
      <c r="AQ322" s="217"/>
      <c r="AR322" s="217"/>
    </row>
    <row r="323" spans="1:44" ht="36" thickBot="1" x14ac:dyDescent="0.25">
      <c r="F323" s="661" t="s">
        <v>628</v>
      </c>
      <c r="G323" s="660">
        <f ca="1">INDIRECT("AD"&amp;Y321)</f>
        <v>11</v>
      </c>
      <c r="I323" s="706" t="str">
        <f>CATEG_IMPORTEE</f>
        <v>Collèges Mixtes Etablissement</v>
      </c>
      <c r="S323" s="864" t="str">
        <f>LIEU&amp;" du "&amp;DATE</f>
        <v>L’Isle sur la Sorgue du 27 au 31 mars 2023</v>
      </c>
      <c r="AB323" s="254"/>
      <c r="AC323" s="254"/>
      <c r="AD323" s="681"/>
      <c r="AE323" s="680"/>
      <c r="AF323" s="681"/>
      <c r="AG323" s="679"/>
      <c r="AH323" s="679"/>
      <c r="AI323" s="679"/>
      <c r="AJ323" s="679"/>
      <c r="AK323" s="679"/>
      <c r="AL323" s="679"/>
    </row>
    <row r="324" spans="1:44" ht="24" customHeight="1" x14ac:dyDescent="0.2">
      <c r="A324" s="1075" t="s">
        <v>0</v>
      </c>
      <c r="B324" s="1075"/>
      <c r="C324" s="1075"/>
      <c r="D324" s="1075"/>
      <c r="E324" s="1075"/>
      <c r="F324" s="1075"/>
      <c r="G324" s="1075"/>
      <c r="H324" s="1075"/>
      <c r="I324" s="1075"/>
      <c r="J324" s="1075"/>
      <c r="Q324" s="1075" t="s">
        <v>0</v>
      </c>
      <c r="R324" s="1075"/>
      <c r="S324" s="1075"/>
      <c r="T324" s="1075"/>
      <c r="U324" s="1075"/>
      <c r="V324" s="1075"/>
      <c r="W324" s="1075"/>
      <c r="X324" s="1075"/>
      <c r="Y324" s="1075"/>
      <c r="Z324" s="1075"/>
      <c r="AB324" s="254"/>
      <c r="AC324" s="254"/>
      <c r="AD324" s="681"/>
      <c r="AE324" s="680"/>
      <c r="AF324" s="681"/>
      <c r="AG324" s="679"/>
      <c r="AH324" s="679"/>
      <c r="AI324" s="679"/>
      <c r="AJ324" s="679"/>
      <c r="AK324" s="679"/>
      <c r="AL324" s="679"/>
    </row>
    <row r="325" spans="1:44" ht="31.5" customHeight="1" x14ac:dyDescent="0.2">
      <c r="A325" s="1144" t="str">
        <f ca="1">IFERROR(VLOOKUP(X321,Num_AS,2,FALSE),"")</f>
        <v/>
      </c>
      <c r="B325" s="1144"/>
      <c r="C325" s="1144"/>
      <c r="D325" s="1144"/>
      <c r="E325" s="1144"/>
      <c r="F325" s="1144"/>
      <c r="G325" s="1144"/>
      <c r="H325" s="1144"/>
      <c r="I325" s="1144"/>
      <c r="J325" s="1144"/>
      <c r="K325" s="869" t="s">
        <v>1299</v>
      </c>
      <c r="L325" s="1145" t="s">
        <v>547</v>
      </c>
      <c r="M325" s="1145"/>
      <c r="N325" s="1145"/>
      <c r="O325" s="870" t="s">
        <v>1298</v>
      </c>
      <c r="Q325" s="1144" t="str">
        <f ca="1">IFERROR(VLOOKUP(Z321,Num_AS,2,FALSE),"")</f>
        <v/>
      </c>
      <c r="R325" s="1144"/>
      <c r="S325" s="1144"/>
      <c r="T325" s="1144"/>
      <c r="U325" s="1144"/>
      <c r="V325" s="1144"/>
      <c r="W325" s="1144"/>
      <c r="X325" s="1144"/>
      <c r="Y325" s="1144"/>
      <c r="Z325" s="1144"/>
      <c r="AB325" s="254"/>
      <c r="AC325" s="254"/>
      <c r="AD325" s="681"/>
      <c r="AE325" s="680"/>
      <c r="AF325" s="681"/>
      <c r="AG325" s="679"/>
      <c r="AH325" s="679"/>
      <c r="AI325" s="679"/>
      <c r="AJ325" s="679"/>
      <c r="AK325" s="679"/>
      <c r="AL325" s="679"/>
    </row>
    <row r="326" spans="1:44" ht="20.100000000000001" customHeight="1" thickBot="1" x14ac:dyDescent="0.25">
      <c r="A326" s="1124" t="s">
        <v>1006</v>
      </c>
      <c r="B326" s="1124"/>
      <c r="C326" s="1125"/>
      <c r="D326" s="1125"/>
      <c r="E326" s="1125"/>
      <c r="F326" s="1125"/>
      <c r="G326" s="1125"/>
      <c r="H326" s="1125"/>
      <c r="I326" s="1125"/>
      <c r="J326" s="1125"/>
      <c r="L326" s="871"/>
      <c r="M326" s="871"/>
      <c r="N326" s="871"/>
      <c r="Q326" s="1124" t="s">
        <v>1005</v>
      </c>
      <c r="R326" s="1124"/>
      <c r="S326" s="1125"/>
      <c r="T326" s="1125"/>
      <c r="U326" s="1125"/>
      <c r="V326" s="1125"/>
      <c r="W326" s="1125"/>
      <c r="X326" s="1125"/>
      <c r="Y326" s="1125"/>
      <c r="Z326" s="1125"/>
      <c r="AB326" s="254"/>
      <c r="AC326" s="254"/>
      <c r="AD326" s="681"/>
      <c r="AE326" s="680"/>
      <c r="AF326" s="681"/>
      <c r="AG326" s="679"/>
      <c r="AH326" s="679"/>
      <c r="AI326" s="679"/>
      <c r="AJ326" s="679"/>
      <c r="AK326" s="679"/>
      <c r="AL326" s="679"/>
    </row>
    <row r="327" spans="1:44" ht="27.75" customHeight="1" x14ac:dyDescent="0.2">
      <c r="A327" s="1117" t="str">
        <f ca="1">IFERROR(VLOOKUP(X321,Num_AS,3,FALSE),"")</f>
        <v/>
      </c>
      <c r="B327" s="1150"/>
      <c r="C327" s="1118"/>
      <c r="D327" s="1151"/>
      <c r="E327" s="1151"/>
      <c r="F327" s="1151"/>
      <c r="G327" s="1151"/>
      <c r="H327" s="1151"/>
      <c r="I327" s="1151"/>
      <c r="J327" s="1119"/>
      <c r="O327" s="219"/>
      <c r="P327" s="219"/>
      <c r="Q327" s="1117" t="str">
        <f ca="1">IFERROR(VLOOKUP(Z321,Num_AS,3,FALSE),"")</f>
        <v/>
      </c>
      <c r="R327" s="1150"/>
      <c r="S327" s="1118"/>
      <c r="T327" s="1151"/>
      <c r="U327" s="1151"/>
      <c r="V327" s="1151"/>
      <c r="W327" s="1151"/>
      <c r="X327" s="1151"/>
      <c r="Y327" s="1151"/>
      <c r="Z327" s="1119"/>
      <c r="AB327" s="254"/>
      <c r="AC327" s="254"/>
      <c r="AD327" s="681"/>
      <c r="AE327" s="680"/>
      <c r="AF327" s="681"/>
      <c r="AG327" s="679"/>
      <c r="AH327" s="679"/>
      <c r="AI327" s="679"/>
      <c r="AJ327" s="679"/>
      <c r="AK327" s="679"/>
      <c r="AL327" s="679"/>
    </row>
    <row r="328" spans="1:44" ht="27.75" customHeight="1" thickBot="1" x14ac:dyDescent="0.25">
      <c r="A328" s="1107" t="str">
        <f ca="1">IFERROR(VLOOKUP(X321,Num_AS,4,FALSE),"")</f>
        <v/>
      </c>
      <c r="B328" s="1152"/>
      <c r="C328" s="1108"/>
      <c r="D328" s="1153"/>
      <c r="E328" s="1153"/>
      <c r="F328" s="1153"/>
      <c r="G328" s="1153"/>
      <c r="H328" s="1153"/>
      <c r="I328" s="1153"/>
      <c r="J328" s="1109"/>
      <c r="Q328" s="1107" t="str">
        <f ca="1">IFERROR(VLOOKUP(Z321,Num_AS,4,FALSE),"")</f>
        <v/>
      </c>
      <c r="R328" s="1152"/>
      <c r="S328" s="1108"/>
      <c r="T328" s="1153"/>
      <c r="U328" s="1153"/>
      <c r="V328" s="1153"/>
      <c r="W328" s="1153"/>
      <c r="X328" s="1153"/>
      <c r="Y328" s="1153"/>
      <c r="Z328" s="1109"/>
      <c r="AB328" s="254"/>
      <c r="AC328" s="254"/>
      <c r="AD328" s="681"/>
      <c r="AE328" s="680"/>
      <c r="AF328" s="681"/>
      <c r="AG328" s="679"/>
      <c r="AH328" s="679"/>
      <c r="AI328" s="679"/>
      <c r="AJ328" s="679"/>
      <c r="AK328" s="679"/>
      <c r="AL328" s="679"/>
    </row>
    <row r="329" spans="1:44" ht="36" customHeight="1" thickBot="1" x14ac:dyDescent="0.25">
      <c r="A329" s="1156" t="s">
        <v>1330</v>
      </c>
      <c r="B329" s="1157"/>
      <c r="C329" s="1157"/>
      <c r="D329" s="1158"/>
      <c r="E329" s="947">
        <f ca="1">VLOOKUP(A325&amp;A327,PTS_SP,3,FALSE)</f>
        <v>0</v>
      </c>
      <c r="Q329" s="1156" t="s">
        <v>1330</v>
      </c>
      <c r="R329" s="1157"/>
      <c r="S329" s="1157"/>
      <c r="T329" s="1158"/>
      <c r="U329" s="947">
        <f ca="1">VLOOKUP(Q325&amp;Q327,PTS_SP,3,FALSE)</f>
        <v>0</v>
      </c>
      <c r="AB329" s="254"/>
      <c r="AC329" s="254"/>
      <c r="AD329" s="681"/>
      <c r="AE329" s="680"/>
      <c r="AF329" s="681"/>
      <c r="AG329" s="679" t="s">
        <v>1306</v>
      </c>
      <c r="AH329" s="679"/>
      <c r="AI329" s="679"/>
      <c r="AJ329" s="679"/>
      <c r="AK329" s="679"/>
      <c r="AL329" s="679"/>
    </row>
    <row r="330" spans="1:44" ht="38.25" customHeight="1" x14ac:dyDescent="0.2">
      <c r="A330" s="701"/>
      <c r="B330" s="701"/>
      <c r="C330" s="853"/>
      <c r="D330" s="861" t="s">
        <v>1290</v>
      </c>
      <c r="E330" s="853"/>
      <c r="F330" s="854"/>
      <c r="G330" s="854"/>
      <c r="H330" s="872" t="s">
        <v>1295</v>
      </c>
      <c r="I330" s="855"/>
      <c r="J330" s="853"/>
      <c r="K330" s="853"/>
      <c r="L330" s="853"/>
      <c r="M330" s="859"/>
      <c r="N330" s="860" t="s">
        <v>1291</v>
      </c>
      <c r="O330" s="853"/>
      <c r="P330" s="249"/>
      <c r="Q330" s="701"/>
      <c r="R330" s="701"/>
      <c r="S330" s="853"/>
      <c r="T330" s="861" t="s">
        <v>1290</v>
      </c>
      <c r="U330" s="853"/>
      <c r="V330" s="854"/>
      <c r="W330" s="854"/>
      <c r="X330" s="872" t="s">
        <v>1302</v>
      </c>
      <c r="Y330" s="855"/>
      <c r="Z330" s="853"/>
      <c r="AA330" s="853"/>
      <c r="AB330" s="853"/>
      <c r="AC330" s="859"/>
      <c r="AD330" s="860" t="s">
        <v>1291</v>
      </c>
      <c r="AE330" s="853"/>
      <c r="AF330" s="681"/>
      <c r="AG330" s="681"/>
      <c r="AH330" s="681"/>
      <c r="AI330" s="681"/>
      <c r="AJ330" s="679"/>
      <c r="AK330" s="679"/>
      <c r="AL330" s="679"/>
    </row>
    <row r="331" spans="1:44" ht="38.25" customHeight="1" x14ac:dyDescent="0.2">
      <c r="A331" s="856" t="s">
        <v>509</v>
      </c>
      <c r="B331" s="942" t="s">
        <v>1329</v>
      </c>
      <c r="C331" s="857">
        <v>1</v>
      </c>
      <c r="D331" s="857">
        <v>2</v>
      </c>
      <c r="E331" s="857">
        <v>3</v>
      </c>
      <c r="F331" s="857">
        <v>4</v>
      </c>
      <c r="G331" s="857">
        <v>5</v>
      </c>
      <c r="H331" s="857">
        <v>6</v>
      </c>
      <c r="I331" s="857">
        <v>7</v>
      </c>
      <c r="J331" s="857">
        <v>8</v>
      </c>
      <c r="K331" s="858" t="s">
        <v>1286</v>
      </c>
      <c r="L331" s="1154" t="s">
        <v>1287</v>
      </c>
      <c r="M331" s="1154"/>
      <c r="N331" s="1154"/>
      <c r="O331" s="858" t="s">
        <v>1288</v>
      </c>
      <c r="P331" s="844"/>
      <c r="Q331" s="856" t="s">
        <v>509</v>
      </c>
      <c r="R331" s="942" t="s">
        <v>1329</v>
      </c>
      <c r="S331" s="857">
        <v>1</v>
      </c>
      <c r="T331" s="857">
        <v>2</v>
      </c>
      <c r="U331" s="857">
        <v>3</v>
      </c>
      <c r="V331" s="857">
        <v>4</v>
      </c>
      <c r="W331" s="857">
        <v>5</v>
      </c>
      <c r="X331" s="857">
        <v>6</v>
      </c>
      <c r="Y331" s="857">
        <v>7</v>
      </c>
      <c r="Z331" s="857">
        <v>8</v>
      </c>
      <c r="AA331" s="858" t="s">
        <v>1286</v>
      </c>
      <c r="AB331" s="1154" t="s">
        <v>1287</v>
      </c>
      <c r="AC331" s="1154"/>
      <c r="AD331" s="1154"/>
      <c r="AE331" s="858" t="s">
        <v>1288</v>
      </c>
      <c r="AF331" s="681"/>
      <c r="AG331" s="681" t="b">
        <f ca="1">AND(Q325="Matchs de CLASSEMENT")</f>
        <v>0</v>
      </c>
      <c r="AH331" s="681"/>
      <c r="AI331" s="681"/>
      <c r="AJ331" s="679"/>
      <c r="AK331" s="679"/>
      <c r="AL331" s="679"/>
    </row>
    <row r="332" spans="1:44" ht="30" customHeight="1" x14ac:dyDescent="0.25">
      <c r="A332" s="846" t="s">
        <v>1282</v>
      </c>
      <c r="B332" s="948">
        <f ca="1">E329</f>
        <v>0</v>
      </c>
      <c r="C332" s="843"/>
      <c r="D332" s="843"/>
      <c r="E332" s="843"/>
      <c r="F332" s="843"/>
      <c r="G332" s="847"/>
      <c r="H332" s="848"/>
      <c r="I332" s="846"/>
      <c r="J332" s="843"/>
      <c r="K332" s="843"/>
      <c r="L332" s="849">
        <f ca="1">IF(Q325="Matchs de CLASSEMENT","X",2)</f>
        <v>2</v>
      </c>
      <c r="M332" s="849">
        <f ca="1">IF(Q325="Matchs de CLASSEMENT","X",1)</f>
        <v>1</v>
      </c>
      <c r="N332" s="849">
        <f ca="1">IF(Q325="Matchs de CLASSEMENT","X",0)</f>
        <v>0</v>
      </c>
      <c r="O332" s="849" t="str">
        <f ca="1">IF(Q325="Matchs de CLASSEMENT","X","")</f>
        <v/>
      </c>
      <c r="P332" s="842"/>
      <c r="Q332" s="849" t="str">
        <f ca="1">IF(Q325="Matchs de CLASSEMENT","X","V1")</f>
        <v>V1</v>
      </c>
      <c r="R332" s="948">
        <f ca="1">U329</f>
        <v>0</v>
      </c>
      <c r="S332" s="849" t="str">
        <f ca="1">IF(Q325="Matchs de CLASSEMENT","X","")</f>
        <v/>
      </c>
      <c r="T332" s="849" t="str">
        <f ca="1">IF(Q325="Matchs de CLASSEMENT","X","")</f>
        <v/>
      </c>
      <c r="U332" s="849" t="str">
        <f ca="1">IF(Q325="Matchs de CLASSEMENT","X","")</f>
        <v/>
      </c>
      <c r="V332" s="849" t="str">
        <f ca="1">IF(Q325="Matchs de CLASSEMENT","X","")</f>
        <v/>
      </c>
      <c r="W332" s="849" t="str">
        <f ca="1">IF(Q325="Matchs de CLASSEMENT","X","")</f>
        <v/>
      </c>
      <c r="X332" s="849" t="str">
        <f ca="1">IF(Q325="Matchs de CLASSEMENT","X","")</f>
        <v/>
      </c>
      <c r="Y332" s="849" t="str">
        <f ca="1">IF(Q325="Matchs de CLASSEMENT","X","")</f>
        <v/>
      </c>
      <c r="Z332" s="849" t="str">
        <f ca="1">IF(Q325="Matchs de CLASSEMENT","X","")</f>
        <v/>
      </c>
      <c r="AA332" s="849" t="str">
        <f ca="1">IF(Q325="Matchs de CLASSEMENT","X","")</f>
        <v/>
      </c>
      <c r="AB332" s="849">
        <f ca="1">IF(Q325="Matchs de CLASSEMENT","X",2)</f>
        <v>2</v>
      </c>
      <c r="AC332" s="849">
        <f ca="1">IF(Q325="Matchs de CLASSEMENT","X",1)</f>
        <v>1</v>
      </c>
      <c r="AD332" s="849">
        <f ca="1">IF(Q325="Matchs de CLASSEMENT","X",0)</f>
        <v>0</v>
      </c>
      <c r="AE332" s="849" t="str">
        <f ca="1">IF(Q325="Matchs de CLASSEMENT","X","")</f>
        <v/>
      </c>
      <c r="AF332" s="679"/>
      <c r="AG332" s="679"/>
      <c r="AH332" s="679"/>
      <c r="AI332" s="679"/>
      <c r="AJ332" s="679"/>
      <c r="AK332" s="679"/>
      <c r="AL332" s="679"/>
    </row>
    <row r="333" spans="1:44" ht="30" customHeight="1" x14ac:dyDescent="0.25">
      <c r="A333" s="846" t="s">
        <v>1283</v>
      </c>
      <c r="B333" s="948">
        <f ca="1">B332</f>
        <v>0</v>
      </c>
      <c r="C333" s="843"/>
      <c r="D333" s="843"/>
      <c r="E333" s="843"/>
      <c r="F333" s="843"/>
      <c r="G333" s="847"/>
      <c r="H333" s="848"/>
      <c r="I333" s="846"/>
      <c r="J333" s="843"/>
      <c r="K333" s="843"/>
      <c r="L333" s="849">
        <f ca="1">IF(Q325="Matchs de CLASSEMENT","X",2)</f>
        <v>2</v>
      </c>
      <c r="M333" s="849">
        <f ca="1">IF(Q325="Matchs de CLASSEMENT","X",1)</f>
        <v>1</v>
      </c>
      <c r="N333" s="849">
        <f ca="1">IF(Q325="Matchs de CLASSEMENT","X",0)</f>
        <v>0</v>
      </c>
      <c r="O333" s="849" t="str">
        <f ca="1">IF(Q325="Matchs de CLASSEMENT","X","")</f>
        <v/>
      </c>
      <c r="P333" s="842"/>
      <c r="Q333" s="849" t="str">
        <f ca="1">IF(Q325="Matchs de CLASSEMENT","X","V2")</f>
        <v>V2</v>
      </c>
      <c r="R333" s="948">
        <f ca="1">R332</f>
        <v>0</v>
      </c>
      <c r="S333" s="849" t="str">
        <f ca="1">IF(Q325="Matchs de CLASSEMENT","X","")</f>
        <v/>
      </c>
      <c r="T333" s="849" t="str">
        <f ca="1">IF(Q325="Matchs de CLASSEMENT","X","")</f>
        <v/>
      </c>
      <c r="U333" s="849" t="str">
        <f ca="1">IF(Q325="Matchs de CLASSEMENT","X","")</f>
        <v/>
      </c>
      <c r="V333" s="849" t="str">
        <f ca="1">IF(Q325="Matchs de CLASSEMENT","X","")</f>
        <v/>
      </c>
      <c r="W333" s="849" t="str">
        <f ca="1">IF(Q325="Matchs de CLASSEMENT","X","")</f>
        <v/>
      </c>
      <c r="X333" s="849" t="str">
        <f ca="1">IF(Q325="Matchs de CLASSEMENT","X","")</f>
        <v/>
      </c>
      <c r="Y333" s="849" t="str">
        <f ca="1">IF(Q325="Matchs de CLASSEMENT","X","")</f>
        <v/>
      </c>
      <c r="Z333" s="849" t="str">
        <f ca="1">IF(Q325="Matchs de CLASSEMENT","X","")</f>
        <v/>
      </c>
      <c r="AA333" s="849" t="str">
        <f ca="1">IF(Q325="Matchs de CLASSEMENT","X","")</f>
        <v/>
      </c>
      <c r="AB333" s="849">
        <f ca="1">IF(Q325="Matchs de CLASSEMENT","X",2)</f>
        <v>2</v>
      </c>
      <c r="AC333" s="849">
        <f ca="1">IF(Q325="Matchs de CLASSEMENT","X",1)</f>
        <v>1</v>
      </c>
      <c r="AD333" s="849">
        <f ca="1">IF(Q325="Matchs de CLASSEMENT","X",0)</f>
        <v>0</v>
      </c>
      <c r="AE333" s="849" t="str">
        <f ca="1">IF(Q325="Matchs de CLASSEMENT","X","")</f>
        <v/>
      </c>
      <c r="AF333" s="679"/>
      <c r="AG333" s="679"/>
      <c r="AH333" s="679"/>
      <c r="AI333" s="679"/>
      <c r="AJ333" s="679"/>
      <c r="AK333" s="679"/>
      <c r="AL333" s="679"/>
    </row>
    <row r="334" spans="1:44" ht="30" customHeight="1" x14ac:dyDescent="0.25">
      <c r="A334" s="846" t="s">
        <v>1284</v>
      </c>
      <c r="B334" s="948">
        <f t="shared" ref="B334:B335" ca="1" si="21">B333</f>
        <v>0</v>
      </c>
      <c r="C334" s="843"/>
      <c r="D334" s="843"/>
      <c r="E334" s="843"/>
      <c r="F334" s="843"/>
      <c r="G334" s="847"/>
      <c r="H334" s="848"/>
      <c r="I334" s="846"/>
      <c r="J334" s="843"/>
      <c r="K334" s="843"/>
      <c r="L334" s="849">
        <f ca="1">IF(Q325="Matchs de CLASSEMENT","X",2)</f>
        <v>2</v>
      </c>
      <c r="M334" s="849">
        <f ca="1">IF(Q325="Matchs de CLASSEMENT","X",1)</f>
        <v>1</v>
      </c>
      <c r="N334" s="849">
        <f ca="1">IF(Q325="Matchs de CLASSEMENT","X",0)</f>
        <v>0</v>
      </c>
      <c r="O334" s="849" t="str">
        <f ca="1">IF(Q325="Matchs de CLASSEMENT","X","")</f>
        <v/>
      </c>
      <c r="P334" s="842"/>
      <c r="Q334" s="849" t="str">
        <f ca="1">IF(Q325="Matchs de CLASSEMENT","X","V3")</f>
        <v>V3</v>
      </c>
      <c r="R334" s="948">
        <f t="shared" ref="R334:R335" ca="1" si="22">R333</f>
        <v>0</v>
      </c>
      <c r="S334" s="849" t="str">
        <f ca="1">IF(Q325="Matchs de CLASSEMENT","X","")</f>
        <v/>
      </c>
      <c r="T334" s="849" t="str">
        <f ca="1">IF(Q325="Matchs de CLASSEMENT","X","")</f>
        <v/>
      </c>
      <c r="U334" s="849" t="str">
        <f ca="1">IF(Q325="Matchs de CLASSEMENT","X","")</f>
        <v/>
      </c>
      <c r="V334" s="849" t="str">
        <f ca="1">IF(Q325="Matchs de CLASSEMENT","X","")</f>
        <v/>
      </c>
      <c r="W334" s="849" t="str">
        <f ca="1">IF(Q325="Matchs de CLASSEMENT","X","")</f>
        <v/>
      </c>
      <c r="X334" s="849" t="str">
        <f ca="1">IF(Q325="Matchs de CLASSEMENT","X","")</f>
        <v/>
      </c>
      <c r="Y334" s="849" t="str">
        <f ca="1">IF(Q325="Matchs de CLASSEMENT","X","")</f>
        <v/>
      </c>
      <c r="Z334" s="849" t="str">
        <f ca="1">IF(Q325="Matchs de CLASSEMENT","X","")</f>
        <v/>
      </c>
      <c r="AA334" s="849" t="str">
        <f ca="1">IF(Q325="Matchs de CLASSEMENT","X","")</f>
        <v/>
      </c>
      <c r="AB334" s="849">
        <f ca="1">IF(Q325="Matchs de CLASSEMENT","X",2)</f>
        <v>2</v>
      </c>
      <c r="AC334" s="849">
        <f ca="1">IF(Q325="Matchs de CLASSEMENT","X",1)</f>
        <v>1</v>
      </c>
      <c r="AD334" s="849">
        <f ca="1">IF(Q325="Matchs de CLASSEMENT","X",0)</f>
        <v>0</v>
      </c>
      <c r="AE334" s="849" t="str">
        <f ca="1">IF(Q325="Matchs de CLASSEMENT","X","")</f>
        <v/>
      </c>
      <c r="AF334" s="679"/>
      <c r="AG334" s="679"/>
      <c r="AH334" s="679"/>
      <c r="AI334" s="679"/>
      <c r="AJ334" s="679"/>
      <c r="AK334" s="679"/>
      <c r="AL334" s="679"/>
    </row>
    <row r="335" spans="1:44" ht="30" customHeight="1" x14ac:dyDescent="0.25">
      <c r="A335" s="846" t="s">
        <v>1285</v>
      </c>
      <c r="B335" s="948">
        <f t="shared" ca="1" si="21"/>
        <v>0</v>
      </c>
      <c r="C335" s="843"/>
      <c r="D335" s="843"/>
      <c r="E335" s="843"/>
      <c r="F335" s="843"/>
      <c r="G335" s="847"/>
      <c r="H335" s="848"/>
      <c r="I335" s="846"/>
      <c r="J335" s="843"/>
      <c r="K335" s="843"/>
      <c r="L335" s="849">
        <f ca="1">IF(Q325="Matchs de CLASSEMENT","X",2)</f>
        <v>2</v>
      </c>
      <c r="M335" s="849">
        <f ca="1">IF(Q325="Matchs de CLASSEMENT","X",1)</f>
        <v>1</v>
      </c>
      <c r="N335" s="849">
        <f ca="1">IF(Q325="Matchs de CLASSEMENT","X",0)</f>
        <v>0</v>
      </c>
      <c r="O335" s="849" t="str">
        <f ca="1">IF(Q325="Matchs de CLASSEMENT","X","")</f>
        <v/>
      </c>
      <c r="P335" s="842"/>
      <c r="Q335" s="849" t="str">
        <f ca="1">IF(Q325="Matchs de CLASSEMENT","X","V4")</f>
        <v>V4</v>
      </c>
      <c r="R335" s="948">
        <f t="shared" ca="1" si="22"/>
        <v>0</v>
      </c>
      <c r="S335" s="849" t="str">
        <f ca="1">IF(Q325="Matchs de CLASSEMENT","X","")</f>
        <v/>
      </c>
      <c r="T335" s="849" t="str">
        <f ca="1">IF(Q325="Matchs de CLASSEMENT","X","")</f>
        <v/>
      </c>
      <c r="U335" s="849" t="str">
        <f ca="1">IF(Q325="Matchs de CLASSEMENT","X","")</f>
        <v/>
      </c>
      <c r="V335" s="849" t="str">
        <f ca="1">IF(Q325="Matchs de CLASSEMENT","X","")</f>
        <v/>
      </c>
      <c r="W335" s="849" t="str">
        <f ca="1">IF(Q325="Matchs de CLASSEMENT","X","")</f>
        <v/>
      </c>
      <c r="X335" s="849" t="str">
        <f ca="1">IF(Q325="Matchs de CLASSEMENT","X","")</f>
        <v/>
      </c>
      <c r="Y335" s="849" t="str">
        <f ca="1">IF(Q325="Matchs de CLASSEMENT","X","")</f>
        <v/>
      </c>
      <c r="Z335" s="849" t="str">
        <f ca="1">IF(Q325="Matchs de CLASSEMENT","X","")</f>
        <v/>
      </c>
      <c r="AA335" s="849" t="str">
        <f ca="1">IF(Q325="Matchs de CLASSEMENT","X","")</f>
        <v/>
      </c>
      <c r="AB335" s="849">
        <f ca="1">IF(Q325="Matchs de CLASSEMENT","X",2)</f>
        <v>2</v>
      </c>
      <c r="AC335" s="849">
        <f ca="1">IF(Q325="Matchs de CLASSEMENT","X",1)</f>
        <v>1</v>
      </c>
      <c r="AD335" s="849">
        <f ca="1">IF(Q325="Matchs de CLASSEMENT","X",0)</f>
        <v>0</v>
      </c>
      <c r="AE335" s="849" t="str">
        <f ca="1">IF(Q325="Matchs de CLASSEMENT","X","")</f>
        <v/>
      </c>
      <c r="AF335" s="679"/>
      <c r="AG335" s="679"/>
      <c r="AH335" s="679"/>
      <c r="AI335" s="679"/>
      <c r="AJ335" s="679"/>
      <c r="AK335" s="679"/>
      <c r="AL335" s="679"/>
    </row>
    <row r="336" spans="1:44" ht="30" customHeight="1" x14ac:dyDescent="0.2">
      <c r="N336" s="867" t="s">
        <v>1294</v>
      </c>
      <c r="O336" s="848"/>
      <c r="AD336" s="867" t="s">
        <v>1294</v>
      </c>
      <c r="AE336" s="866"/>
      <c r="AF336" s="679"/>
      <c r="AG336" s="679"/>
      <c r="AH336" s="679"/>
      <c r="AI336" s="679"/>
      <c r="AJ336" s="679"/>
      <c r="AK336" s="679"/>
      <c r="AL336" s="679"/>
    </row>
    <row r="337" spans="1:44" ht="12.75" customHeight="1" x14ac:dyDescent="0.2">
      <c r="AE337" s="520"/>
      <c r="AF337" s="679"/>
      <c r="AG337" s="679"/>
      <c r="AH337" s="679"/>
      <c r="AI337" s="679"/>
      <c r="AJ337" s="679"/>
      <c r="AK337" s="679"/>
      <c r="AL337" s="679"/>
    </row>
    <row r="338" spans="1:44" ht="18.75" customHeight="1" x14ac:dyDescent="0.2">
      <c r="A338" s="584"/>
      <c r="B338" s="584"/>
      <c r="C338" s="701" t="s">
        <v>1289</v>
      </c>
      <c r="D338" s="249"/>
      <c r="E338" s="196"/>
      <c r="F338" s="196"/>
      <c r="G338" s="584"/>
      <c r="H338" s="1155" t="s">
        <v>1301</v>
      </c>
      <c r="I338" s="1155"/>
      <c r="J338" s="1155"/>
      <c r="K338" s="1155"/>
      <c r="L338" s="1155"/>
      <c r="M338" s="1155"/>
      <c r="N338" s="1155"/>
      <c r="O338" s="1155"/>
      <c r="P338" s="842"/>
      <c r="Q338" s="219"/>
      <c r="R338" s="219"/>
      <c r="S338" s="701" t="s">
        <v>1289</v>
      </c>
      <c r="T338" s="249"/>
      <c r="U338" s="196"/>
      <c r="V338" s="196"/>
      <c r="X338" s="1155" t="s">
        <v>1304</v>
      </c>
      <c r="Y338" s="1155"/>
      <c r="Z338" s="1155"/>
      <c r="AA338" s="1155"/>
      <c r="AB338" s="1155"/>
      <c r="AC338" s="1155"/>
      <c r="AD338" s="1155"/>
      <c r="AE338" s="1155"/>
      <c r="AF338" s="679"/>
      <c r="AG338" s="679"/>
      <c r="AH338" s="679"/>
      <c r="AI338" s="679"/>
      <c r="AJ338" s="679"/>
      <c r="AK338" s="679"/>
      <c r="AL338" s="679"/>
    </row>
    <row r="339" spans="1:44" ht="32.25" customHeight="1" x14ac:dyDescent="0.2">
      <c r="A339" s="584"/>
      <c r="B339" s="584"/>
      <c r="C339" s="850"/>
      <c r="D339" s="851"/>
      <c r="E339" s="852"/>
      <c r="F339" s="852"/>
      <c r="G339" s="584"/>
      <c r="H339" s="1149" t="s">
        <v>549</v>
      </c>
      <c r="I339" s="1149"/>
      <c r="J339" s="1149"/>
      <c r="K339" s="1149"/>
      <c r="L339" s="1149"/>
      <c r="M339" s="1146" t="s">
        <v>550</v>
      </c>
      <c r="N339" s="1147"/>
      <c r="O339" s="1148"/>
      <c r="P339" s="842"/>
      <c r="Q339" s="219"/>
      <c r="R339" s="219"/>
      <c r="S339" s="850"/>
      <c r="T339" s="851"/>
      <c r="U339" s="852"/>
      <c r="V339" s="852"/>
      <c r="X339" s="1149" t="s">
        <v>549</v>
      </c>
      <c r="Y339" s="1149"/>
      <c r="Z339" s="1149"/>
      <c r="AA339" s="1149"/>
      <c r="AB339" s="1149"/>
      <c r="AC339" s="1146" t="s">
        <v>550</v>
      </c>
      <c r="AD339" s="1147"/>
      <c r="AE339" s="1148"/>
      <c r="AG339" s="679"/>
      <c r="AH339" s="679"/>
      <c r="AI339" s="679"/>
      <c r="AJ339" s="679"/>
      <c r="AK339" s="679"/>
      <c r="AL339" s="679"/>
    </row>
    <row r="340" spans="1:44" ht="32.25" customHeight="1" x14ac:dyDescent="0.2">
      <c r="A340" s="584"/>
      <c r="B340" s="584"/>
      <c r="C340" s="850"/>
      <c r="D340" s="851"/>
      <c r="E340" s="852"/>
      <c r="F340" s="852"/>
      <c r="G340" s="584"/>
      <c r="H340" s="1140" t="str">
        <f ca="1">IFERROR(VLOOKUP(X321,Num_AS,6,FALSE)&amp;" "&amp;VLOOKUP(X321,Num_AS,7,FALSE),"")</f>
        <v/>
      </c>
      <c r="I340" s="1140"/>
      <c r="J340" s="1140"/>
      <c r="K340" s="1140"/>
      <c r="L340" s="1140"/>
      <c r="M340" s="1129" t="str">
        <f ca="1">IFERROR(VLOOKUP(X321,Num_AS,9,FALSE),"")</f>
        <v/>
      </c>
      <c r="N340" s="1130"/>
      <c r="O340" s="1131"/>
      <c r="P340" s="842"/>
      <c r="Q340" s="219"/>
      <c r="R340" s="219"/>
      <c r="S340" s="850"/>
      <c r="T340" s="851"/>
      <c r="U340" s="852"/>
      <c r="V340" s="852"/>
      <c r="W340" s="196"/>
      <c r="X340" s="1140" t="str">
        <f ca="1">IFERROR(VLOOKUP(Z321,Num_AS,6,FALSE)&amp;" "&amp;VLOOKUP(Z321,Num_AS,7,FALSE),"")</f>
        <v/>
      </c>
      <c r="Y340" s="1140"/>
      <c r="Z340" s="1140"/>
      <c r="AA340" s="1140"/>
      <c r="AB340" s="1140"/>
      <c r="AC340" s="1129" t="str">
        <f ca="1">IFERROR(VLOOKUP(Z321,Num_AS,9,FALSE),"")</f>
        <v/>
      </c>
      <c r="AD340" s="1130"/>
      <c r="AE340" s="1131"/>
    </row>
    <row r="341" spans="1:44" ht="32.25" customHeight="1" x14ac:dyDescent="0.2">
      <c r="A341" s="584"/>
      <c r="B341" s="584"/>
      <c r="C341" s="850"/>
      <c r="D341" s="851"/>
      <c r="E341" s="852"/>
      <c r="F341" s="852"/>
      <c r="G341" s="584"/>
      <c r="H341" s="1140" t="str">
        <f ca="1">IFERROR(VLOOKUP(X321,Num_AS,12,FALSE)&amp;" "&amp;VLOOKUP(X321,Num_AS,13,FALSE),"")</f>
        <v/>
      </c>
      <c r="I341" s="1140"/>
      <c r="J341" s="1140"/>
      <c r="K341" s="1140"/>
      <c r="L341" s="1140"/>
      <c r="M341" s="1129" t="str">
        <f ca="1">IFERROR(VLOOKUP(X321,Num_AS,15,FALSE),"")</f>
        <v/>
      </c>
      <c r="N341" s="1130"/>
      <c r="O341" s="1131">
        <f ca="1">G323</f>
        <v>11</v>
      </c>
      <c r="P341" s="842"/>
      <c r="Q341" s="219"/>
      <c r="R341" s="219"/>
      <c r="S341" s="850"/>
      <c r="T341" s="851"/>
      <c r="U341" s="852"/>
      <c r="V341" s="852"/>
      <c r="W341" s="196"/>
      <c r="X341" s="1140" t="str">
        <f ca="1">IFERROR(VLOOKUP(Z321,Num_AS,12,FALSE)&amp;" "&amp;VLOOKUP(Z321,Num_AS,13,FALSE),"")</f>
        <v/>
      </c>
      <c r="Y341" s="1140"/>
      <c r="Z341" s="1140"/>
      <c r="AA341" s="1140"/>
      <c r="AB341" s="1140"/>
      <c r="AC341" s="1129" t="str">
        <f ca="1">IFERROR(VLOOKUP(Z321,Num_AS,15,FALSE),"")</f>
        <v/>
      </c>
      <c r="AD341" s="1130"/>
      <c r="AE341" s="1131">
        <f>W323</f>
        <v>0</v>
      </c>
    </row>
    <row r="342" spans="1:44" ht="32.25" customHeight="1" x14ac:dyDescent="0.2">
      <c r="A342" s="584"/>
      <c r="B342" s="584"/>
      <c r="C342" s="584"/>
      <c r="D342" s="584"/>
      <c r="E342" s="584"/>
      <c r="F342" s="584"/>
      <c r="G342" s="584"/>
      <c r="H342" s="1140" t="str">
        <f ca="1">IFERROR(VLOOKUP(X321,Num_AS,18,FALSE)&amp;" "&amp;VLOOKUP(X321,Num_AS,19,FALSE),"")</f>
        <v/>
      </c>
      <c r="I342" s="1140"/>
      <c r="J342" s="1140"/>
      <c r="K342" s="1140"/>
      <c r="L342" s="1140"/>
      <c r="M342" s="1129" t="str">
        <f ca="1">IFERROR(VLOOKUP(X321,Num_AS,21,FALSE),"")</f>
        <v/>
      </c>
      <c r="N342" s="1130"/>
      <c r="O342" s="1131">
        <f ca="1">G323</f>
        <v>11</v>
      </c>
      <c r="P342" s="842"/>
      <c r="Q342" s="219"/>
      <c r="R342" s="219"/>
      <c r="S342" s="584"/>
      <c r="T342" s="584"/>
      <c r="U342" s="584"/>
      <c r="V342" s="584"/>
      <c r="W342" s="196"/>
      <c r="X342" s="1140" t="str">
        <f ca="1">IFERROR(VLOOKUP(Z321,Num_AS,18,FALSE)&amp;" "&amp;VLOOKUP(Z321,Num_AS,19,FALSE),"")</f>
        <v/>
      </c>
      <c r="Y342" s="1140"/>
      <c r="Z342" s="1140"/>
      <c r="AA342" s="1140"/>
      <c r="AB342" s="1140"/>
      <c r="AC342" s="1129" t="str">
        <f ca="1">IFERROR(VLOOKUP(Z321,Num_AS,21,FALSE),"")</f>
        <v/>
      </c>
      <c r="AD342" s="1130"/>
      <c r="AE342" s="1131">
        <f>W323</f>
        <v>0</v>
      </c>
    </row>
    <row r="343" spans="1:44" ht="32.25" customHeight="1" x14ac:dyDescent="0.2">
      <c r="A343" s="584"/>
      <c r="B343" s="584"/>
      <c r="C343" s="862"/>
      <c r="D343" s="1141" t="s">
        <v>1292</v>
      </c>
      <c r="E343" s="1142"/>
      <c r="F343" s="1143"/>
      <c r="G343" s="584"/>
      <c r="H343" s="1140" t="str">
        <f ca="1">IFERROR(VLOOKUP(X321,Num_AS,24,FALSE)&amp;" "&amp;VLOOKUP(X321,Num_AS,25,FALSE),"")</f>
        <v/>
      </c>
      <c r="I343" s="1140"/>
      <c r="J343" s="1140"/>
      <c r="K343" s="1140"/>
      <c r="L343" s="1140"/>
      <c r="M343" s="1129" t="str">
        <f ca="1">IFERROR(VLOOKUP(X321,Num_AS,9,FALSE),"")</f>
        <v/>
      </c>
      <c r="N343" s="1130"/>
      <c r="O343" s="1131">
        <f ca="1">G323</f>
        <v>11</v>
      </c>
      <c r="P343" s="842"/>
      <c r="Q343" s="219"/>
      <c r="R343" s="219"/>
      <c r="S343" s="862"/>
      <c r="T343" s="1141" t="s">
        <v>1292</v>
      </c>
      <c r="U343" s="1142"/>
      <c r="V343" s="1143"/>
      <c r="W343" s="196"/>
      <c r="X343" s="1140" t="str">
        <f ca="1">IFERROR(VLOOKUP(Z321,Num_AS,24,FALSE)&amp;" "&amp;VLOOKUP(Z321,Num_AS,25,FALSE),"")</f>
        <v/>
      </c>
      <c r="Y343" s="1140"/>
      <c r="Z343" s="1140"/>
      <c r="AA343" s="1140"/>
      <c r="AB343" s="1140"/>
      <c r="AC343" s="1129" t="str">
        <f ca="1">IFERROR(VLOOKUP(Z321,Num_AS,9,FALSE),"")</f>
        <v/>
      </c>
      <c r="AD343" s="1130"/>
      <c r="AE343" s="1131">
        <f>W323</f>
        <v>0</v>
      </c>
    </row>
    <row r="344" spans="1:44" ht="18.75" customHeight="1" thickBot="1" x14ac:dyDescent="0.25">
      <c r="A344" s="701"/>
      <c r="B344" s="701"/>
      <c r="C344" s="249"/>
      <c r="D344" s="249"/>
      <c r="E344" s="249"/>
      <c r="F344" s="701"/>
      <c r="G344" s="701"/>
      <c r="H344" s="196"/>
      <c r="I344" s="196"/>
      <c r="J344" s="249"/>
      <c r="K344" s="219"/>
      <c r="L344" s="219"/>
      <c r="M344" s="219"/>
      <c r="N344" s="219"/>
      <c r="O344" s="219"/>
      <c r="P344" s="219"/>
      <c r="Q344" s="219"/>
      <c r="R344" s="219"/>
      <c r="S344" s="219"/>
      <c r="T344" s="219"/>
      <c r="U344" s="219"/>
      <c r="V344" s="219"/>
      <c r="W344" s="219"/>
      <c r="X344" s="219"/>
      <c r="Y344" s="249"/>
      <c r="Z344" s="219"/>
      <c r="AE344" s="520"/>
    </row>
    <row r="345" spans="1:44" ht="32.25" customHeight="1" x14ac:dyDescent="0.25">
      <c r="A345" s="701"/>
      <c r="B345" s="701"/>
      <c r="D345" s="875" t="s">
        <v>1002</v>
      </c>
      <c r="E345" s="876"/>
      <c r="F345" s="876"/>
      <c r="G345" s="876"/>
      <c r="H345" s="876"/>
      <c r="I345" s="876"/>
      <c r="J345" s="876"/>
      <c r="K345" s="876"/>
      <c r="L345" s="876"/>
      <c r="M345" s="877" t="s">
        <v>1297</v>
      </c>
      <c r="N345" s="219"/>
      <c r="O345" s="1132" t="s">
        <v>1293</v>
      </c>
      <c r="P345" s="1133"/>
      <c r="Q345" s="1134"/>
      <c r="R345" s="941"/>
      <c r="T345" s="875" t="s">
        <v>1002</v>
      </c>
      <c r="U345" s="876"/>
      <c r="V345" s="876"/>
      <c r="W345" s="876"/>
      <c r="X345" s="876"/>
      <c r="Y345" s="876"/>
      <c r="Z345" s="876"/>
      <c r="AA345" s="876"/>
      <c r="AB345" s="876"/>
      <c r="AC345" s="877" t="s">
        <v>1296</v>
      </c>
      <c r="AE345" s="520"/>
    </row>
    <row r="346" spans="1:44" ht="70.5" customHeight="1" thickBot="1" x14ac:dyDescent="0.25">
      <c r="A346" s="701"/>
      <c r="B346" s="701"/>
      <c r="D346" s="878"/>
      <c r="E346" s="879"/>
      <c r="F346" s="879"/>
      <c r="G346" s="879"/>
      <c r="H346" s="879"/>
      <c r="I346" s="879"/>
      <c r="J346" s="879"/>
      <c r="K346" s="879"/>
      <c r="L346" s="879"/>
      <c r="M346" s="880"/>
      <c r="N346" s="219"/>
      <c r="O346" s="1135"/>
      <c r="P346" s="1136"/>
      <c r="Q346" s="1137"/>
      <c r="R346" s="941"/>
      <c r="T346" s="878"/>
      <c r="U346" s="879"/>
      <c r="V346" s="879"/>
      <c r="W346" s="879"/>
      <c r="X346" s="879"/>
      <c r="Y346" s="879"/>
      <c r="Z346" s="879"/>
      <c r="AA346" s="879"/>
      <c r="AB346" s="879"/>
      <c r="AC346" s="880"/>
      <c r="AE346" s="520"/>
    </row>
    <row r="347" spans="1:44" ht="6.75" customHeight="1" x14ac:dyDescent="0.25">
      <c r="A347" s="701"/>
      <c r="B347" s="701"/>
      <c r="C347" s="249"/>
      <c r="D347" s="249"/>
      <c r="E347" s="249"/>
      <c r="F347" s="701"/>
      <c r="G347" s="701"/>
      <c r="H347" s="196"/>
      <c r="I347" s="196"/>
      <c r="J347" s="249"/>
      <c r="K347" s="219"/>
      <c r="L347" s="842"/>
      <c r="M347" s="842"/>
      <c r="N347" s="842"/>
      <c r="O347" s="842"/>
      <c r="P347" s="842"/>
      <c r="Q347" s="842"/>
      <c r="R347" s="842"/>
      <c r="T347" s="845"/>
      <c r="U347" s="842"/>
      <c r="V347" s="842"/>
      <c r="W347" s="649"/>
      <c r="X347" s="845"/>
      <c r="Y347" s="842"/>
      <c r="Z347" s="842"/>
      <c r="AE347" s="520"/>
    </row>
    <row r="348" spans="1:44" ht="27.75" customHeight="1" x14ac:dyDescent="0.2">
      <c r="A348" s="701"/>
      <c r="B348" s="701"/>
      <c r="C348" s="1138" t="s">
        <v>1300</v>
      </c>
      <c r="D348" s="1138"/>
      <c r="E348" s="1138"/>
      <c r="F348" s="1138"/>
      <c r="G348" s="1138"/>
      <c r="H348" s="1138"/>
      <c r="I348" s="1138"/>
      <c r="J348" s="1138"/>
      <c r="K348" s="1138"/>
      <c r="L348" s="1138"/>
      <c r="M348" s="1138"/>
      <c r="N348" s="1138"/>
      <c r="O348" s="1138"/>
      <c r="P348" s="842"/>
      <c r="Q348" s="1139" t="s">
        <v>1303</v>
      </c>
      <c r="R348" s="1139"/>
      <c r="S348" s="1139"/>
      <c r="T348" s="1139"/>
      <c r="U348" s="1139"/>
      <c r="V348" s="1139"/>
      <c r="W348" s="1139"/>
      <c r="X348" s="1139"/>
      <c r="Y348" s="1139"/>
      <c r="Z348" s="1139"/>
      <c r="AA348" s="1139"/>
      <c r="AB348" s="1139"/>
      <c r="AC348" s="1139"/>
      <c r="AD348" s="1139"/>
      <c r="AE348" s="1139"/>
    </row>
    <row r="349" spans="1:44" ht="36" customHeight="1" x14ac:dyDescent="0.2">
      <c r="AE349" s="520"/>
    </row>
    <row r="350" spans="1:44" ht="19.5" customHeight="1" thickBot="1" x14ac:dyDescent="0.25">
      <c r="W350" s="500"/>
      <c r="X350" s="520" t="str">
        <f ca="1">INDIRECT("AE"&amp;Y350)</f>
        <v>C10-Coll10Ville10</v>
      </c>
      <c r="Y350" s="500">
        <f>Z351+2</f>
        <v>14</v>
      </c>
      <c r="Z350" s="501" t="str">
        <f ca="1">INDIRECT("AF"&amp;Y350)</f>
        <v>C11-Coll11Ville11</v>
      </c>
      <c r="AA350" s="500"/>
      <c r="AB350" s="500"/>
      <c r="AD350" s="679"/>
      <c r="AE350" s="679"/>
      <c r="AF350" s="679"/>
      <c r="AG350" s="679"/>
      <c r="AH350" s="679"/>
      <c r="AI350" s="679"/>
      <c r="AJ350" s="679"/>
      <c r="AK350" s="679"/>
      <c r="AL350" s="679"/>
    </row>
    <row r="351" spans="1:44" s="218" customFormat="1" ht="36" thickBot="1" x14ac:dyDescent="0.25">
      <c r="F351" s="576" t="s">
        <v>546</v>
      </c>
      <c r="G351" s="865" t="str">
        <f>G322</f>
        <v>D1</v>
      </c>
      <c r="I351" s="863" t="str">
        <f>"   "&amp;Championnat</f>
        <v xml:space="preserve">   Championnat de France de Tir à l'ARC</v>
      </c>
      <c r="T351" s="197"/>
      <c r="U351" s="197"/>
      <c r="V351" s="197"/>
      <c r="W351" s="197"/>
      <c r="Y351" s="502" t="s">
        <v>849</v>
      </c>
      <c r="Z351" s="503">
        <f>Z322+1</f>
        <v>12</v>
      </c>
      <c r="AB351" s="254"/>
      <c r="AC351" s="254"/>
      <c r="AD351" s="681"/>
      <c r="AE351" s="680"/>
      <c r="AF351" s="681"/>
      <c r="AH351" s="662"/>
      <c r="AI351" s="662"/>
      <c r="AJ351" s="662"/>
      <c r="AK351" s="662"/>
      <c r="AL351" s="662"/>
      <c r="AM351" s="217"/>
      <c r="AN351" s="217"/>
      <c r="AO351" s="217"/>
      <c r="AP351" s="217"/>
      <c r="AQ351" s="217"/>
      <c r="AR351" s="217"/>
    </row>
    <row r="352" spans="1:44" ht="36" thickBot="1" x14ac:dyDescent="0.25">
      <c r="F352" s="661" t="s">
        <v>628</v>
      </c>
      <c r="G352" s="660">
        <f ca="1">INDIRECT("AD"&amp;Y350)</f>
        <v>12</v>
      </c>
      <c r="I352" s="706" t="str">
        <f>CATEG_IMPORTEE</f>
        <v>Collèges Mixtes Etablissement</v>
      </c>
      <c r="S352" s="864" t="str">
        <f>LIEU&amp;" du "&amp;DATE</f>
        <v>L’Isle sur la Sorgue du 27 au 31 mars 2023</v>
      </c>
      <c r="AB352" s="254"/>
      <c r="AC352" s="254"/>
      <c r="AD352" s="681"/>
      <c r="AE352" s="680"/>
      <c r="AF352" s="681"/>
      <c r="AG352" s="679"/>
      <c r="AH352" s="679"/>
      <c r="AI352" s="679"/>
      <c r="AJ352" s="679"/>
      <c r="AK352" s="679"/>
      <c r="AL352" s="679"/>
    </row>
    <row r="353" spans="1:38" ht="24" customHeight="1" x14ac:dyDescent="0.2">
      <c r="A353" s="1075" t="s">
        <v>0</v>
      </c>
      <c r="B353" s="1075"/>
      <c r="C353" s="1075"/>
      <c r="D353" s="1075"/>
      <c r="E353" s="1075"/>
      <c r="F353" s="1075"/>
      <c r="G353" s="1075"/>
      <c r="H353" s="1075"/>
      <c r="I353" s="1075"/>
      <c r="J353" s="1075"/>
      <c r="Q353" s="1075" t="s">
        <v>0</v>
      </c>
      <c r="R353" s="1075"/>
      <c r="S353" s="1075"/>
      <c r="T353" s="1075"/>
      <c r="U353" s="1075"/>
      <c r="V353" s="1075"/>
      <c r="W353" s="1075"/>
      <c r="X353" s="1075"/>
      <c r="Y353" s="1075"/>
      <c r="Z353" s="1075"/>
      <c r="AB353" s="254"/>
      <c r="AC353" s="254"/>
      <c r="AD353" s="681"/>
      <c r="AE353" s="680"/>
      <c r="AF353" s="681"/>
      <c r="AG353" s="679"/>
      <c r="AH353" s="679"/>
      <c r="AI353" s="679"/>
      <c r="AJ353" s="679"/>
      <c r="AK353" s="679"/>
      <c r="AL353" s="679"/>
    </row>
    <row r="354" spans="1:38" ht="31.5" customHeight="1" x14ac:dyDescent="0.2">
      <c r="A354" s="1144" t="str">
        <f ca="1">IFERROR(VLOOKUP(X350,Num_AS,2,FALSE),"")</f>
        <v/>
      </c>
      <c r="B354" s="1144"/>
      <c r="C354" s="1144"/>
      <c r="D354" s="1144"/>
      <c r="E354" s="1144"/>
      <c r="F354" s="1144"/>
      <c r="G354" s="1144"/>
      <c r="H354" s="1144"/>
      <c r="I354" s="1144"/>
      <c r="J354" s="1144"/>
      <c r="K354" s="869" t="s">
        <v>1299</v>
      </c>
      <c r="L354" s="1145" t="s">
        <v>547</v>
      </c>
      <c r="M354" s="1145"/>
      <c r="N354" s="1145"/>
      <c r="O354" s="870" t="s">
        <v>1298</v>
      </c>
      <c r="Q354" s="1144" t="str">
        <f ca="1">IFERROR(VLOOKUP(Z350,Num_AS,2,FALSE),"")</f>
        <v/>
      </c>
      <c r="R354" s="1144"/>
      <c r="S354" s="1144"/>
      <c r="T354" s="1144"/>
      <c r="U354" s="1144"/>
      <c r="V354" s="1144"/>
      <c r="W354" s="1144"/>
      <c r="X354" s="1144"/>
      <c r="Y354" s="1144"/>
      <c r="Z354" s="1144"/>
      <c r="AB354" s="254"/>
      <c r="AC354" s="254"/>
      <c r="AD354" s="681"/>
      <c r="AE354" s="680"/>
      <c r="AF354" s="681"/>
      <c r="AG354" s="679"/>
      <c r="AH354" s="679"/>
      <c r="AI354" s="679"/>
      <c r="AJ354" s="679"/>
      <c r="AK354" s="679"/>
      <c r="AL354" s="679"/>
    </row>
    <row r="355" spans="1:38" ht="20.100000000000001" customHeight="1" thickBot="1" x14ac:dyDescent="0.25">
      <c r="A355" s="1124" t="s">
        <v>1006</v>
      </c>
      <c r="B355" s="1124"/>
      <c r="C355" s="1125"/>
      <c r="D355" s="1125"/>
      <c r="E355" s="1125"/>
      <c r="F355" s="1125"/>
      <c r="G355" s="1125"/>
      <c r="H355" s="1125"/>
      <c r="I355" s="1125"/>
      <c r="J355" s="1125"/>
      <c r="L355" s="871"/>
      <c r="M355" s="871"/>
      <c r="N355" s="871"/>
      <c r="Q355" s="1124" t="s">
        <v>1005</v>
      </c>
      <c r="R355" s="1124"/>
      <c r="S355" s="1125"/>
      <c r="T355" s="1125"/>
      <c r="U355" s="1125"/>
      <c r="V355" s="1125"/>
      <c r="W355" s="1125"/>
      <c r="X355" s="1125"/>
      <c r="Y355" s="1125"/>
      <c r="Z355" s="1125"/>
      <c r="AB355" s="254"/>
      <c r="AC355" s="254"/>
      <c r="AD355" s="681"/>
      <c r="AE355" s="680"/>
      <c r="AF355" s="681"/>
      <c r="AG355" s="679"/>
      <c r="AH355" s="679"/>
      <c r="AI355" s="679"/>
      <c r="AJ355" s="679"/>
      <c r="AK355" s="679"/>
      <c r="AL355" s="679"/>
    </row>
    <row r="356" spans="1:38" ht="27.75" customHeight="1" x14ac:dyDescent="0.2">
      <c r="A356" s="1117" t="str">
        <f ca="1">IFERROR(VLOOKUP(X350,Num_AS,3,FALSE),"")</f>
        <v/>
      </c>
      <c r="B356" s="1150"/>
      <c r="C356" s="1118"/>
      <c r="D356" s="1151"/>
      <c r="E356" s="1151"/>
      <c r="F356" s="1151"/>
      <c r="G356" s="1151"/>
      <c r="H356" s="1151"/>
      <c r="I356" s="1151"/>
      <c r="J356" s="1119"/>
      <c r="O356" s="219"/>
      <c r="P356" s="219"/>
      <c r="Q356" s="1117" t="str">
        <f ca="1">IFERROR(VLOOKUP(Z350,Num_AS,3,FALSE),"")</f>
        <v/>
      </c>
      <c r="R356" s="1150"/>
      <c r="S356" s="1118"/>
      <c r="T356" s="1151"/>
      <c r="U356" s="1151"/>
      <c r="V356" s="1151"/>
      <c r="W356" s="1151"/>
      <c r="X356" s="1151"/>
      <c r="Y356" s="1151"/>
      <c r="Z356" s="1119"/>
      <c r="AB356" s="254"/>
      <c r="AC356" s="254"/>
      <c r="AD356" s="681"/>
      <c r="AE356" s="680"/>
      <c r="AF356" s="681"/>
      <c r="AG356" s="679"/>
      <c r="AH356" s="679"/>
      <c r="AI356" s="679"/>
      <c r="AJ356" s="679"/>
      <c r="AK356" s="679"/>
      <c r="AL356" s="679"/>
    </row>
    <row r="357" spans="1:38" ht="27.75" customHeight="1" thickBot="1" x14ac:dyDescent="0.25">
      <c r="A357" s="1107" t="str">
        <f ca="1">IFERROR(VLOOKUP(X350,Num_AS,4,FALSE),"")</f>
        <v/>
      </c>
      <c r="B357" s="1152"/>
      <c r="C357" s="1108"/>
      <c r="D357" s="1153"/>
      <c r="E357" s="1153"/>
      <c r="F357" s="1153"/>
      <c r="G357" s="1153"/>
      <c r="H357" s="1153"/>
      <c r="I357" s="1153"/>
      <c r="J357" s="1109"/>
      <c r="Q357" s="1107" t="str">
        <f ca="1">IFERROR(VLOOKUP(Z350,Num_AS,4,FALSE),"")</f>
        <v/>
      </c>
      <c r="R357" s="1152"/>
      <c r="S357" s="1108"/>
      <c r="T357" s="1153"/>
      <c r="U357" s="1153"/>
      <c r="V357" s="1153"/>
      <c r="W357" s="1153"/>
      <c r="X357" s="1153"/>
      <c r="Y357" s="1153"/>
      <c r="Z357" s="1109"/>
      <c r="AB357" s="254"/>
      <c r="AC357" s="254"/>
      <c r="AD357" s="681"/>
      <c r="AE357" s="680"/>
      <c r="AF357" s="681"/>
      <c r="AG357" s="679"/>
      <c r="AH357" s="679"/>
      <c r="AI357" s="679"/>
      <c r="AJ357" s="679"/>
      <c r="AK357" s="679"/>
      <c r="AL357" s="679"/>
    </row>
    <row r="358" spans="1:38" ht="36" customHeight="1" thickBot="1" x14ac:dyDescent="0.25">
      <c r="A358" s="1156" t="s">
        <v>1330</v>
      </c>
      <c r="B358" s="1157"/>
      <c r="C358" s="1157"/>
      <c r="D358" s="1158"/>
      <c r="E358" s="947">
        <f ca="1">VLOOKUP(A354&amp;A356,PTS_SP,3,FALSE)</f>
        <v>0</v>
      </c>
      <c r="Q358" s="1156" t="s">
        <v>1330</v>
      </c>
      <c r="R358" s="1157"/>
      <c r="S358" s="1157"/>
      <c r="T358" s="1158"/>
      <c r="U358" s="947">
        <f ca="1">VLOOKUP(Q354&amp;Q356,PTS_SP,3,FALSE)</f>
        <v>0</v>
      </c>
      <c r="AB358" s="254"/>
      <c r="AC358" s="254"/>
      <c r="AD358" s="681"/>
      <c r="AE358" s="680"/>
      <c r="AF358" s="681"/>
      <c r="AG358" s="679"/>
      <c r="AH358" s="679"/>
      <c r="AI358" s="679"/>
      <c r="AJ358" s="679"/>
      <c r="AK358" s="679"/>
      <c r="AL358" s="679"/>
    </row>
    <row r="359" spans="1:38" ht="38.25" customHeight="1" x14ac:dyDescent="0.2">
      <c r="A359" s="701"/>
      <c r="B359" s="701"/>
      <c r="C359" s="853"/>
      <c r="D359" s="861" t="s">
        <v>1290</v>
      </c>
      <c r="E359" s="853"/>
      <c r="F359" s="854"/>
      <c r="G359" s="854"/>
      <c r="H359" s="872" t="s">
        <v>1295</v>
      </c>
      <c r="I359" s="855"/>
      <c r="J359" s="853"/>
      <c r="K359" s="853"/>
      <c r="L359" s="853"/>
      <c r="M359" s="859"/>
      <c r="N359" s="860" t="s">
        <v>1291</v>
      </c>
      <c r="O359" s="853"/>
      <c r="P359" s="249"/>
      <c r="Q359" s="701"/>
      <c r="R359" s="701"/>
      <c r="S359" s="853"/>
      <c r="T359" s="861" t="s">
        <v>1290</v>
      </c>
      <c r="U359" s="853"/>
      <c r="V359" s="854"/>
      <c r="W359" s="854"/>
      <c r="X359" s="872" t="s">
        <v>1302</v>
      </c>
      <c r="Y359" s="855"/>
      <c r="Z359" s="853"/>
      <c r="AA359" s="853"/>
      <c r="AB359" s="853"/>
      <c r="AC359" s="859"/>
      <c r="AD359" s="860" t="s">
        <v>1291</v>
      </c>
      <c r="AE359" s="853"/>
      <c r="AF359" s="681"/>
      <c r="AG359" s="681"/>
      <c r="AH359" s="681"/>
      <c r="AI359" s="681"/>
      <c r="AJ359" s="679"/>
      <c r="AK359" s="679"/>
      <c r="AL359" s="679"/>
    </row>
    <row r="360" spans="1:38" ht="38.25" customHeight="1" x14ac:dyDescent="0.2">
      <c r="A360" s="856" t="s">
        <v>509</v>
      </c>
      <c r="B360" s="942" t="s">
        <v>1329</v>
      </c>
      <c r="C360" s="857">
        <v>1</v>
      </c>
      <c r="D360" s="857">
        <v>2</v>
      </c>
      <c r="E360" s="857">
        <v>3</v>
      </c>
      <c r="F360" s="857">
        <v>4</v>
      </c>
      <c r="G360" s="857">
        <v>5</v>
      </c>
      <c r="H360" s="857">
        <v>6</v>
      </c>
      <c r="I360" s="857">
        <v>7</v>
      </c>
      <c r="J360" s="857">
        <v>8</v>
      </c>
      <c r="K360" s="858" t="s">
        <v>1286</v>
      </c>
      <c r="L360" s="1154" t="s">
        <v>1287</v>
      </c>
      <c r="M360" s="1154"/>
      <c r="N360" s="1154"/>
      <c r="O360" s="858" t="s">
        <v>1288</v>
      </c>
      <c r="P360" s="844"/>
      <c r="Q360" s="856" t="s">
        <v>509</v>
      </c>
      <c r="R360" s="942" t="s">
        <v>1329</v>
      </c>
      <c r="S360" s="857">
        <v>1</v>
      </c>
      <c r="T360" s="857">
        <v>2</v>
      </c>
      <c r="U360" s="857">
        <v>3</v>
      </c>
      <c r="V360" s="857">
        <v>4</v>
      </c>
      <c r="W360" s="857">
        <v>5</v>
      </c>
      <c r="X360" s="857">
        <v>6</v>
      </c>
      <c r="Y360" s="857">
        <v>7</v>
      </c>
      <c r="Z360" s="857">
        <v>8</v>
      </c>
      <c r="AA360" s="858" t="s">
        <v>1286</v>
      </c>
      <c r="AB360" s="1154" t="s">
        <v>1287</v>
      </c>
      <c r="AC360" s="1154"/>
      <c r="AD360" s="1154"/>
      <c r="AE360" s="858" t="s">
        <v>1288</v>
      </c>
      <c r="AF360" s="681"/>
      <c r="AG360" s="681"/>
      <c r="AH360" s="681"/>
      <c r="AI360" s="681"/>
      <c r="AJ360" s="679"/>
      <c r="AK360" s="679"/>
      <c r="AL360" s="679"/>
    </row>
    <row r="361" spans="1:38" ht="30" customHeight="1" x14ac:dyDescent="0.25">
      <c r="A361" s="846" t="s">
        <v>1282</v>
      </c>
      <c r="B361" s="948">
        <f ca="1">E358</f>
        <v>0</v>
      </c>
      <c r="C361" s="843"/>
      <c r="D361" s="843"/>
      <c r="E361" s="843"/>
      <c r="F361" s="843"/>
      <c r="G361" s="847"/>
      <c r="H361" s="848"/>
      <c r="I361" s="846"/>
      <c r="J361" s="843"/>
      <c r="K361" s="843"/>
      <c r="L361" s="849">
        <f ca="1">IF(Q354="Matchs de CLASSEMENT","X",2)</f>
        <v>2</v>
      </c>
      <c r="M361" s="849">
        <f ca="1">IF(Q354="Matchs de CLASSEMENT","X",1)</f>
        <v>1</v>
      </c>
      <c r="N361" s="849">
        <f ca="1">IF(Q354="Matchs de CLASSEMENT","X",0)</f>
        <v>0</v>
      </c>
      <c r="O361" s="849" t="str">
        <f ca="1">IF(Q354="Matchs de CLASSEMENT","X","")</f>
        <v/>
      </c>
      <c r="P361" s="842"/>
      <c r="Q361" s="849" t="str">
        <f ca="1">IF(Q354="Matchs de CLASSEMENT","X","V1")</f>
        <v>V1</v>
      </c>
      <c r="R361" s="948">
        <f ca="1">U358</f>
        <v>0</v>
      </c>
      <c r="S361" s="849" t="str">
        <f ca="1">IF(Q354="Matchs de CLASSEMENT","X","")</f>
        <v/>
      </c>
      <c r="T361" s="849" t="str">
        <f ca="1">IF(Q354="Matchs de CLASSEMENT","X","")</f>
        <v/>
      </c>
      <c r="U361" s="849" t="str">
        <f ca="1">IF(Q354="Matchs de CLASSEMENT","X","")</f>
        <v/>
      </c>
      <c r="V361" s="849" t="str">
        <f ca="1">IF(Q354="Matchs de CLASSEMENT","X","")</f>
        <v/>
      </c>
      <c r="W361" s="849" t="str">
        <f ca="1">IF(Q354="Matchs de CLASSEMENT","X","")</f>
        <v/>
      </c>
      <c r="X361" s="849" t="str">
        <f ca="1">IF(Q354="Matchs de CLASSEMENT","X","")</f>
        <v/>
      </c>
      <c r="Y361" s="849" t="str">
        <f ca="1">IF(Q354="Matchs de CLASSEMENT","X","")</f>
        <v/>
      </c>
      <c r="Z361" s="849" t="str">
        <f ca="1">IF(Q354="Matchs de CLASSEMENT","X","")</f>
        <v/>
      </c>
      <c r="AA361" s="849" t="str">
        <f ca="1">IF(Q354="Matchs de CLASSEMENT","X","")</f>
        <v/>
      </c>
      <c r="AB361" s="849">
        <f ca="1">IF(Q354="Matchs de CLASSEMENT","X",2)</f>
        <v>2</v>
      </c>
      <c r="AC361" s="849">
        <f ca="1">IF(Q354="Matchs de CLASSEMENT","X",1)</f>
        <v>1</v>
      </c>
      <c r="AD361" s="849">
        <f ca="1">IF(Q354="Matchs de CLASSEMENT","X",0)</f>
        <v>0</v>
      </c>
      <c r="AE361" s="849" t="str">
        <f ca="1">IF(Q354="Matchs de CLASSEMENT","X","")</f>
        <v/>
      </c>
      <c r="AF361" s="679"/>
      <c r="AG361" s="679"/>
      <c r="AH361" s="679"/>
      <c r="AI361" s="679"/>
      <c r="AJ361" s="679"/>
      <c r="AK361" s="679"/>
      <c r="AL361" s="679"/>
    </row>
    <row r="362" spans="1:38" ht="30" customHeight="1" x14ac:dyDescent="0.25">
      <c r="A362" s="846" t="s">
        <v>1283</v>
      </c>
      <c r="B362" s="948">
        <f ca="1">B361</f>
        <v>0</v>
      </c>
      <c r="C362" s="843"/>
      <c r="D362" s="843"/>
      <c r="E362" s="843"/>
      <c r="F362" s="843"/>
      <c r="G362" s="847"/>
      <c r="H362" s="848"/>
      <c r="I362" s="846"/>
      <c r="J362" s="843"/>
      <c r="K362" s="843"/>
      <c r="L362" s="849">
        <f ca="1">IF(Q354="Matchs de CLASSEMENT","X",2)</f>
        <v>2</v>
      </c>
      <c r="M362" s="849">
        <f ca="1">IF(Q354="Matchs de CLASSEMENT","X",1)</f>
        <v>1</v>
      </c>
      <c r="N362" s="849">
        <f ca="1">IF(Q354="Matchs de CLASSEMENT","X",0)</f>
        <v>0</v>
      </c>
      <c r="O362" s="849" t="str">
        <f ca="1">IF(Q354="Matchs de CLASSEMENT","X","")</f>
        <v/>
      </c>
      <c r="P362" s="842"/>
      <c r="Q362" s="849" t="str">
        <f ca="1">IF(Q354="Matchs de CLASSEMENT","X","V2")</f>
        <v>V2</v>
      </c>
      <c r="R362" s="948">
        <f ca="1">R361</f>
        <v>0</v>
      </c>
      <c r="S362" s="849" t="str">
        <f ca="1">IF(Q354="Matchs de CLASSEMENT","X","")</f>
        <v/>
      </c>
      <c r="T362" s="849" t="str">
        <f ca="1">IF(Q354="Matchs de CLASSEMENT","X","")</f>
        <v/>
      </c>
      <c r="U362" s="849" t="str">
        <f ca="1">IF(Q354="Matchs de CLASSEMENT","X","")</f>
        <v/>
      </c>
      <c r="V362" s="849" t="str">
        <f ca="1">IF(Q354="Matchs de CLASSEMENT","X","")</f>
        <v/>
      </c>
      <c r="W362" s="849" t="str">
        <f ca="1">IF(Q354="Matchs de CLASSEMENT","X","")</f>
        <v/>
      </c>
      <c r="X362" s="849" t="str">
        <f ca="1">IF(Q354="Matchs de CLASSEMENT","X","")</f>
        <v/>
      </c>
      <c r="Y362" s="849" t="str">
        <f ca="1">IF(Q354="Matchs de CLASSEMENT","X","")</f>
        <v/>
      </c>
      <c r="Z362" s="849" t="str">
        <f ca="1">IF(Q354="Matchs de CLASSEMENT","X","")</f>
        <v/>
      </c>
      <c r="AA362" s="849" t="str">
        <f ca="1">IF(Q354="Matchs de CLASSEMENT","X","")</f>
        <v/>
      </c>
      <c r="AB362" s="849">
        <f ca="1">IF(Q354="Matchs de CLASSEMENT","X",2)</f>
        <v>2</v>
      </c>
      <c r="AC362" s="849">
        <f ca="1">IF(Q354="Matchs de CLASSEMENT","X",1)</f>
        <v>1</v>
      </c>
      <c r="AD362" s="849">
        <f ca="1">IF(Q354="Matchs de CLASSEMENT","X",0)</f>
        <v>0</v>
      </c>
      <c r="AE362" s="849" t="str">
        <f ca="1">IF(Q354="Matchs de CLASSEMENT","X","")</f>
        <v/>
      </c>
      <c r="AF362" s="679"/>
      <c r="AG362" s="679"/>
      <c r="AH362" s="679"/>
      <c r="AI362" s="679"/>
      <c r="AJ362" s="679"/>
      <c r="AK362" s="679"/>
      <c r="AL362" s="679"/>
    </row>
    <row r="363" spans="1:38" ht="30" customHeight="1" x14ac:dyDescent="0.25">
      <c r="A363" s="846" t="s">
        <v>1284</v>
      </c>
      <c r="B363" s="948">
        <f t="shared" ref="B363:B364" ca="1" si="23">B362</f>
        <v>0</v>
      </c>
      <c r="C363" s="843"/>
      <c r="D363" s="843"/>
      <c r="E363" s="843"/>
      <c r="F363" s="843"/>
      <c r="G363" s="847"/>
      <c r="H363" s="848"/>
      <c r="I363" s="846"/>
      <c r="J363" s="843"/>
      <c r="K363" s="843"/>
      <c r="L363" s="849">
        <f ca="1">IF(Q354="Matchs de CLASSEMENT","X",2)</f>
        <v>2</v>
      </c>
      <c r="M363" s="849">
        <f ca="1">IF(Q354="Matchs de CLASSEMENT","X",1)</f>
        <v>1</v>
      </c>
      <c r="N363" s="849">
        <f ca="1">IF(Q354="Matchs de CLASSEMENT","X",0)</f>
        <v>0</v>
      </c>
      <c r="O363" s="849" t="str">
        <f ca="1">IF(Q354="Matchs de CLASSEMENT","X","")</f>
        <v/>
      </c>
      <c r="P363" s="842"/>
      <c r="Q363" s="849" t="str">
        <f ca="1">IF(Q354="Matchs de CLASSEMENT","X","V3")</f>
        <v>V3</v>
      </c>
      <c r="R363" s="948">
        <f t="shared" ref="R363:R364" ca="1" si="24">R362</f>
        <v>0</v>
      </c>
      <c r="S363" s="849" t="str">
        <f ca="1">IF(Q354="Matchs de CLASSEMENT","X","")</f>
        <v/>
      </c>
      <c r="T363" s="849" t="str">
        <f ca="1">IF(Q354="Matchs de CLASSEMENT","X","")</f>
        <v/>
      </c>
      <c r="U363" s="849" t="str">
        <f ca="1">IF(Q354="Matchs de CLASSEMENT","X","")</f>
        <v/>
      </c>
      <c r="V363" s="849" t="str">
        <f ca="1">IF(Q354="Matchs de CLASSEMENT","X","")</f>
        <v/>
      </c>
      <c r="W363" s="849" t="str">
        <f ca="1">IF(Q354="Matchs de CLASSEMENT","X","")</f>
        <v/>
      </c>
      <c r="X363" s="849" t="str">
        <f ca="1">IF(Q354="Matchs de CLASSEMENT","X","")</f>
        <v/>
      </c>
      <c r="Y363" s="849" t="str">
        <f ca="1">IF(Q354="Matchs de CLASSEMENT","X","")</f>
        <v/>
      </c>
      <c r="Z363" s="849" t="str">
        <f ca="1">IF(Q354="Matchs de CLASSEMENT","X","")</f>
        <v/>
      </c>
      <c r="AA363" s="849" t="str">
        <f ca="1">IF(Q354="Matchs de CLASSEMENT","X","")</f>
        <v/>
      </c>
      <c r="AB363" s="849">
        <f ca="1">IF(Q354="Matchs de CLASSEMENT","X",2)</f>
        <v>2</v>
      </c>
      <c r="AC363" s="849">
        <f ca="1">IF(Q354="Matchs de CLASSEMENT","X",1)</f>
        <v>1</v>
      </c>
      <c r="AD363" s="849">
        <f ca="1">IF(Q354="Matchs de CLASSEMENT","X",0)</f>
        <v>0</v>
      </c>
      <c r="AE363" s="849" t="str">
        <f ca="1">IF(Q354="Matchs de CLASSEMENT","X","")</f>
        <v/>
      </c>
      <c r="AF363" s="679"/>
      <c r="AG363" s="679"/>
      <c r="AH363" s="679"/>
      <c r="AI363" s="679"/>
      <c r="AJ363" s="679"/>
      <c r="AK363" s="679"/>
      <c r="AL363" s="679"/>
    </row>
    <row r="364" spans="1:38" ht="30" customHeight="1" x14ac:dyDescent="0.25">
      <c r="A364" s="846" t="s">
        <v>1285</v>
      </c>
      <c r="B364" s="948">
        <f t="shared" ca="1" si="23"/>
        <v>0</v>
      </c>
      <c r="C364" s="843"/>
      <c r="D364" s="843"/>
      <c r="E364" s="843"/>
      <c r="F364" s="843"/>
      <c r="G364" s="847"/>
      <c r="H364" s="848"/>
      <c r="I364" s="846"/>
      <c r="J364" s="843"/>
      <c r="K364" s="843"/>
      <c r="L364" s="849">
        <f ca="1">IF(Q354="Matchs de CLASSEMENT","X",2)</f>
        <v>2</v>
      </c>
      <c r="M364" s="849">
        <f ca="1">IF(Q354="Matchs de CLASSEMENT","X",1)</f>
        <v>1</v>
      </c>
      <c r="N364" s="849">
        <f ca="1">IF(Q354="Matchs de CLASSEMENT","X",0)</f>
        <v>0</v>
      </c>
      <c r="O364" s="849" t="str">
        <f ca="1">IF(Q354="Matchs de CLASSEMENT","X","")</f>
        <v/>
      </c>
      <c r="P364" s="842"/>
      <c r="Q364" s="849" t="str">
        <f ca="1">IF(Q354="Matchs de CLASSEMENT","X","V4")</f>
        <v>V4</v>
      </c>
      <c r="R364" s="948">
        <f t="shared" ca="1" si="24"/>
        <v>0</v>
      </c>
      <c r="S364" s="849" t="str">
        <f ca="1">IF(Q354="Matchs de CLASSEMENT","X","")</f>
        <v/>
      </c>
      <c r="T364" s="849" t="str">
        <f ca="1">IF(Q354="Matchs de CLASSEMENT","X","")</f>
        <v/>
      </c>
      <c r="U364" s="849" t="str">
        <f ca="1">IF(Q354="Matchs de CLASSEMENT","X","")</f>
        <v/>
      </c>
      <c r="V364" s="849" t="str">
        <f ca="1">IF(Q354="Matchs de CLASSEMENT","X","")</f>
        <v/>
      </c>
      <c r="W364" s="849" t="str">
        <f ca="1">IF(Q354="Matchs de CLASSEMENT","X","")</f>
        <v/>
      </c>
      <c r="X364" s="849" t="str">
        <f ca="1">IF(Q354="Matchs de CLASSEMENT","X","")</f>
        <v/>
      </c>
      <c r="Y364" s="849" t="str">
        <f ca="1">IF(Q354="Matchs de CLASSEMENT","X","")</f>
        <v/>
      </c>
      <c r="Z364" s="849" t="str">
        <f ca="1">IF(Q354="Matchs de CLASSEMENT","X","")</f>
        <v/>
      </c>
      <c r="AA364" s="849" t="str">
        <f ca="1">IF(Q354="Matchs de CLASSEMENT","X","")</f>
        <v/>
      </c>
      <c r="AB364" s="849">
        <f ca="1">IF(Q354="Matchs de CLASSEMENT","X",2)</f>
        <v>2</v>
      </c>
      <c r="AC364" s="849">
        <f ca="1">IF(Q354="Matchs de CLASSEMENT","X",1)</f>
        <v>1</v>
      </c>
      <c r="AD364" s="849">
        <f ca="1">IF(Q354="Matchs de CLASSEMENT","X",0)</f>
        <v>0</v>
      </c>
      <c r="AE364" s="849" t="str">
        <f ca="1">IF(Q354="Matchs de CLASSEMENT","X","")</f>
        <v/>
      </c>
      <c r="AF364" s="679"/>
      <c r="AG364" s="679"/>
      <c r="AH364" s="679"/>
      <c r="AI364" s="679"/>
      <c r="AJ364" s="679"/>
      <c r="AK364" s="679"/>
      <c r="AL364" s="679"/>
    </row>
    <row r="365" spans="1:38" ht="30" customHeight="1" x14ac:dyDescent="0.2">
      <c r="N365" s="867" t="s">
        <v>1294</v>
      </c>
      <c r="O365" s="848"/>
      <c r="AD365" s="867" t="s">
        <v>1294</v>
      </c>
      <c r="AE365" s="866"/>
      <c r="AF365" s="679"/>
      <c r="AG365" s="679"/>
      <c r="AH365" s="679"/>
      <c r="AI365" s="679"/>
      <c r="AJ365" s="679"/>
      <c r="AK365" s="679"/>
      <c r="AL365" s="679"/>
    </row>
    <row r="366" spans="1:38" ht="12.75" customHeight="1" x14ac:dyDescent="0.2">
      <c r="AE366" s="520"/>
      <c r="AF366" s="679"/>
      <c r="AG366" s="679"/>
      <c r="AH366" s="679"/>
      <c r="AI366" s="679"/>
      <c r="AJ366" s="679"/>
      <c r="AK366" s="679"/>
      <c r="AL366" s="679"/>
    </row>
    <row r="367" spans="1:38" ht="18.75" customHeight="1" x14ac:dyDescent="0.2">
      <c r="A367" s="584"/>
      <c r="B367" s="584"/>
      <c r="C367" s="701" t="s">
        <v>1289</v>
      </c>
      <c r="D367" s="249"/>
      <c r="E367" s="196"/>
      <c r="F367" s="196"/>
      <c r="G367" s="584"/>
      <c r="H367" s="1155" t="s">
        <v>1301</v>
      </c>
      <c r="I367" s="1155"/>
      <c r="J367" s="1155"/>
      <c r="K367" s="1155"/>
      <c r="L367" s="1155"/>
      <c r="M367" s="1155"/>
      <c r="N367" s="1155"/>
      <c r="O367" s="1155"/>
      <c r="P367" s="842"/>
      <c r="Q367" s="219"/>
      <c r="R367" s="219"/>
      <c r="S367" s="701" t="s">
        <v>1289</v>
      </c>
      <c r="T367" s="249"/>
      <c r="U367" s="196"/>
      <c r="V367" s="196"/>
      <c r="X367" s="1155" t="s">
        <v>1304</v>
      </c>
      <c r="Y367" s="1155"/>
      <c r="Z367" s="1155"/>
      <c r="AA367" s="1155"/>
      <c r="AB367" s="1155"/>
      <c r="AC367" s="1155"/>
      <c r="AD367" s="1155"/>
      <c r="AE367" s="1155"/>
      <c r="AF367" s="679"/>
      <c r="AG367" s="679"/>
      <c r="AH367" s="679"/>
      <c r="AI367" s="679"/>
      <c r="AJ367" s="679"/>
      <c r="AK367" s="679"/>
      <c r="AL367" s="679"/>
    </row>
    <row r="368" spans="1:38" ht="32.25" customHeight="1" x14ac:dyDescent="0.2">
      <c r="A368" s="584"/>
      <c r="B368" s="584"/>
      <c r="C368" s="850"/>
      <c r="D368" s="851"/>
      <c r="E368" s="852"/>
      <c r="F368" s="852"/>
      <c r="G368" s="584"/>
      <c r="H368" s="1149" t="s">
        <v>549</v>
      </c>
      <c r="I368" s="1149"/>
      <c r="J368" s="1149"/>
      <c r="K368" s="1149"/>
      <c r="L368" s="1149"/>
      <c r="M368" s="1146" t="s">
        <v>550</v>
      </c>
      <c r="N368" s="1147"/>
      <c r="O368" s="1148"/>
      <c r="P368" s="842"/>
      <c r="Q368" s="219"/>
      <c r="R368" s="219"/>
      <c r="S368" s="850"/>
      <c r="T368" s="851"/>
      <c r="U368" s="852"/>
      <c r="V368" s="852"/>
      <c r="X368" s="1149" t="s">
        <v>549</v>
      </c>
      <c r="Y368" s="1149"/>
      <c r="Z368" s="1149"/>
      <c r="AA368" s="1149"/>
      <c r="AB368" s="1149"/>
      <c r="AC368" s="1146" t="s">
        <v>550</v>
      </c>
      <c r="AD368" s="1147"/>
      <c r="AE368" s="1148"/>
      <c r="AG368" s="679"/>
      <c r="AH368" s="679"/>
      <c r="AI368" s="679"/>
      <c r="AJ368" s="679"/>
      <c r="AK368" s="679"/>
      <c r="AL368" s="679"/>
    </row>
    <row r="369" spans="1:45" ht="32.25" customHeight="1" x14ac:dyDescent="0.2">
      <c r="A369" s="584"/>
      <c r="B369" s="584"/>
      <c r="C369" s="850"/>
      <c r="D369" s="851"/>
      <c r="E369" s="852"/>
      <c r="F369" s="852"/>
      <c r="G369" s="584"/>
      <c r="H369" s="1140" t="str">
        <f ca="1">IFERROR(VLOOKUP(X350,Num_AS,6,FALSE)&amp;" "&amp;VLOOKUP(X350,Num_AS,7,FALSE),"")</f>
        <v/>
      </c>
      <c r="I369" s="1140"/>
      <c r="J369" s="1140"/>
      <c r="K369" s="1140"/>
      <c r="L369" s="1140"/>
      <c r="M369" s="1129" t="str">
        <f ca="1">IFERROR(VLOOKUP(X350,Num_AS,9,FALSE),"")</f>
        <v/>
      </c>
      <c r="N369" s="1130"/>
      <c r="O369" s="1131"/>
      <c r="P369" s="842"/>
      <c r="Q369" s="219"/>
      <c r="R369" s="219"/>
      <c r="S369" s="850"/>
      <c r="T369" s="851"/>
      <c r="U369" s="852"/>
      <c r="V369" s="852"/>
      <c r="W369" s="196"/>
      <c r="X369" s="1140" t="str">
        <f ca="1">IFERROR(VLOOKUP(Z350,Num_AS,6,FALSE)&amp;" "&amp;VLOOKUP(Z350,Num_AS,7,FALSE),"")</f>
        <v/>
      </c>
      <c r="Y369" s="1140"/>
      <c r="Z369" s="1140"/>
      <c r="AA369" s="1140"/>
      <c r="AB369" s="1140"/>
      <c r="AC369" s="1129" t="str">
        <f ca="1">IFERROR(VLOOKUP(Z350,Num_AS,9,FALSE),"")</f>
        <v/>
      </c>
      <c r="AD369" s="1130"/>
      <c r="AE369" s="1131"/>
    </row>
    <row r="370" spans="1:45" ht="32.25" customHeight="1" x14ac:dyDescent="0.2">
      <c r="A370" s="584"/>
      <c r="B370" s="584"/>
      <c r="C370" s="850"/>
      <c r="D370" s="851"/>
      <c r="E370" s="852"/>
      <c r="F370" s="852"/>
      <c r="G370" s="584"/>
      <c r="H370" s="1140" t="str">
        <f ca="1">IFERROR(VLOOKUP(X350,Num_AS,12,FALSE)&amp;" "&amp;VLOOKUP(X350,Num_AS,13,FALSE),"")</f>
        <v/>
      </c>
      <c r="I370" s="1140"/>
      <c r="J370" s="1140"/>
      <c r="K370" s="1140"/>
      <c r="L370" s="1140"/>
      <c r="M370" s="1129" t="str">
        <f ca="1">IFERROR(VLOOKUP(X350,Num_AS,15,FALSE),"")</f>
        <v/>
      </c>
      <c r="N370" s="1130"/>
      <c r="O370" s="1131">
        <f ca="1">G352</f>
        <v>12</v>
      </c>
      <c r="P370" s="842"/>
      <c r="Q370" s="219"/>
      <c r="R370" s="219"/>
      <c r="S370" s="850"/>
      <c r="T370" s="851"/>
      <c r="U370" s="852"/>
      <c r="V370" s="852"/>
      <c r="W370" s="196"/>
      <c r="X370" s="1140" t="str">
        <f ca="1">IFERROR(VLOOKUP(Z350,Num_AS,12,FALSE)&amp;" "&amp;VLOOKUP(Z350,Num_AS,13,FALSE),"")</f>
        <v/>
      </c>
      <c r="Y370" s="1140"/>
      <c r="Z370" s="1140"/>
      <c r="AA370" s="1140"/>
      <c r="AB370" s="1140"/>
      <c r="AC370" s="1129" t="str">
        <f ca="1">IFERROR(VLOOKUP(Z350,Num_AS,15,FALSE),"")</f>
        <v/>
      </c>
      <c r="AD370" s="1130"/>
      <c r="AE370" s="1131">
        <f>W352</f>
        <v>0</v>
      </c>
    </row>
    <row r="371" spans="1:45" ht="32.25" customHeight="1" x14ac:dyDescent="0.2">
      <c r="A371" s="584"/>
      <c r="B371" s="584"/>
      <c r="C371" s="584"/>
      <c r="D371" s="584"/>
      <c r="E371" s="584"/>
      <c r="F371" s="584"/>
      <c r="G371" s="584"/>
      <c r="H371" s="1140" t="str">
        <f ca="1">IFERROR(VLOOKUP(X350,Num_AS,18,FALSE)&amp;" "&amp;VLOOKUP(X350,Num_AS,19,FALSE),"")</f>
        <v/>
      </c>
      <c r="I371" s="1140"/>
      <c r="J371" s="1140"/>
      <c r="K371" s="1140"/>
      <c r="L371" s="1140"/>
      <c r="M371" s="1129" t="str">
        <f ca="1">IFERROR(VLOOKUP(X350,Num_AS,21,FALSE),"")</f>
        <v/>
      </c>
      <c r="N371" s="1130"/>
      <c r="O371" s="1131">
        <f ca="1">G352</f>
        <v>12</v>
      </c>
      <c r="P371" s="842"/>
      <c r="Q371" s="219"/>
      <c r="R371" s="219"/>
      <c r="S371" s="584"/>
      <c r="T371" s="584"/>
      <c r="U371" s="584"/>
      <c r="V371" s="584"/>
      <c r="W371" s="196"/>
      <c r="X371" s="1140" t="str">
        <f ca="1">IFERROR(VLOOKUP(Z350,Num_AS,18,FALSE)&amp;" "&amp;VLOOKUP(Z350,Num_AS,19,FALSE),"")</f>
        <v/>
      </c>
      <c r="Y371" s="1140"/>
      <c r="Z371" s="1140"/>
      <c r="AA371" s="1140"/>
      <c r="AB371" s="1140"/>
      <c r="AC371" s="1129" t="str">
        <f ca="1">IFERROR(VLOOKUP(Z350,Num_AS,21,FALSE),"")</f>
        <v/>
      </c>
      <c r="AD371" s="1130"/>
      <c r="AE371" s="1131">
        <f>W352</f>
        <v>0</v>
      </c>
    </row>
    <row r="372" spans="1:45" ht="32.25" customHeight="1" x14ac:dyDescent="0.2">
      <c r="A372" s="584"/>
      <c r="B372" s="584"/>
      <c r="C372" s="862"/>
      <c r="D372" s="1141" t="s">
        <v>1292</v>
      </c>
      <c r="E372" s="1142"/>
      <c r="F372" s="1143"/>
      <c r="G372" s="584"/>
      <c r="H372" s="1140" t="str">
        <f ca="1">IFERROR(VLOOKUP(X350,Num_AS,24,FALSE)&amp;" "&amp;VLOOKUP(X350,Num_AS,25,FALSE),"")</f>
        <v/>
      </c>
      <c r="I372" s="1140"/>
      <c r="J372" s="1140"/>
      <c r="K372" s="1140"/>
      <c r="L372" s="1140"/>
      <c r="M372" s="1129" t="str">
        <f ca="1">IFERROR(VLOOKUP(X350,Num_AS,9,FALSE),"")</f>
        <v/>
      </c>
      <c r="N372" s="1130"/>
      <c r="O372" s="1131">
        <f ca="1">G352</f>
        <v>12</v>
      </c>
      <c r="P372" s="842"/>
      <c r="Q372" s="219"/>
      <c r="R372" s="219"/>
      <c r="S372" s="862"/>
      <c r="T372" s="1141" t="s">
        <v>1292</v>
      </c>
      <c r="U372" s="1142"/>
      <c r="V372" s="1143"/>
      <c r="W372" s="196"/>
      <c r="X372" s="1140" t="str">
        <f ca="1">IFERROR(VLOOKUP(Z350,Num_AS,24,FALSE)&amp;" "&amp;VLOOKUP(Z350,Num_AS,25,FALSE),"")</f>
        <v/>
      </c>
      <c r="Y372" s="1140"/>
      <c r="Z372" s="1140"/>
      <c r="AA372" s="1140"/>
      <c r="AB372" s="1140"/>
      <c r="AC372" s="1129" t="str">
        <f ca="1">IFERROR(VLOOKUP(Z350,Num_AS,9,FALSE),"")</f>
        <v/>
      </c>
      <c r="AD372" s="1130"/>
      <c r="AE372" s="1131">
        <f>W352</f>
        <v>0</v>
      </c>
    </row>
    <row r="373" spans="1:45" ht="18.75" customHeight="1" thickBot="1" x14ac:dyDescent="0.25">
      <c r="A373" s="701"/>
      <c r="B373" s="701"/>
      <c r="C373" s="249"/>
      <c r="D373" s="249"/>
      <c r="E373" s="249"/>
      <c r="F373" s="701"/>
      <c r="G373" s="701"/>
      <c r="H373" s="196"/>
      <c r="I373" s="196"/>
      <c r="J373" s="249"/>
      <c r="K373" s="219"/>
      <c r="L373" s="219"/>
      <c r="M373" s="219"/>
      <c r="N373" s="219"/>
      <c r="O373" s="219"/>
      <c r="P373" s="219"/>
      <c r="Q373" s="219"/>
      <c r="R373" s="219"/>
      <c r="S373" s="219"/>
      <c r="T373" s="219"/>
      <c r="U373" s="219"/>
      <c r="V373" s="219"/>
      <c r="W373" s="219"/>
      <c r="X373" s="219"/>
      <c r="Y373" s="249"/>
      <c r="Z373" s="219"/>
      <c r="AE373" s="520"/>
    </row>
    <row r="374" spans="1:45" ht="32.25" customHeight="1" x14ac:dyDescent="0.25">
      <c r="A374" s="701"/>
      <c r="B374" s="701"/>
      <c r="D374" s="875" t="s">
        <v>1002</v>
      </c>
      <c r="E374" s="876"/>
      <c r="F374" s="876"/>
      <c r="G374" s="876"/>
      <c r="H374" s="876"/>
      <c r="I374" s="876"/>
      <c r="J374" s="876"/>
      <c r="K374" s="876"/>
      <c r="L374" s="876"/>
      <c r="M374" s="877" t="s">
        <v>1297</v>
      </c>
      <c r="N374" s="219"/>
      <c r="O374" s="1132" t="s">
        <v>1293</v>
      </c>
      <c r="P374" s="1133"/>
      <c r="Q374" s="1134"/>
      <c r="R374" s="941"/>
      <c r="T374" s="875" t="s">
        <v>1002</v>
      </c>
      <c r="U374" s="876"/>
      <c r="V374" s="876"/>
      <c r="W374" s="876"/>
      <c r="X374" s="876"/>
      <c r="Y374" s="876"/>
      <c r="Z374" s="876"/>
      <c r="AA374" s="876"/>
      <c r="AB374" s="876"/>
      <c r="AC374" s="877" t="s">
        <v>1296</v>
      </c>
      <c r="AE374" s="520"/>
    </row>
    <row r="375" spans="1:45" ht="70.5" customHeight="1" thickBot="1" x14ac:dyDescent="0.25">
      <c r="A375" s="701"/>
      <c r="B375" s="701"/>
      <c r="D375" s="878"/>
      <c r="E375" s="879"/>
      <c r="F375" s="879"/>
      <c r="G375" s="879"/>
      <c r="H375" s="879"/>
      <c r="I375" s="879"/>
      <c r="J375" s="879"/>
      <c r="K375" s="879"/>
      <c r="L375" s="879"/>
      <c r="M375" s="880"/>
      <c r="N375" s="219"/>
      <c r="O375" s="1135"/>
      <c r="P375" s="1136"/>
      <c r="Q375" s="1137"/>
      <c r="R375" s="941"/>
      <c r="T375" s="878"/>
      <c r="U375" s="879"/>
      <c r="V375" s="879"/>
      <c r="W375" s="879"/>
      <c r="X375" s="879"/>
      <c r="Y375" s="879"/>
      <c r="Z375" s="879"/>
      <c r="AA375" s="879"/>
      <c r="AB375" s="879"/>
      <c r="AC375" s="880"/>
      <c r="AE375" s="520"/>
    </row>
    <row r="376" spans="1:45" ht="6.75" customHeight="1" x14ac:dyDescent="0.25">
      <c r="A376" s="701"/>
      <c r="B376" s="701"/>
      <c r="C376" s="249"/>
      <c r="D376" s="249"/>
      <c r="E376" s="249"/>
      <c r="F376" s="701"/>
      <c r="G376" s="701"/>
      <c r="H376" s="196"/>
      <c r="I376" s="196"/>
      <c r="J376" s="249"/>
      <c r="K376" s="219"/>
      <c r="L376" s="842"/>
      <c r="M376" s="842"/>
      <c r="N376" s="842"/>
      <c r="O376" s="842"/>
      <c r="P376" s="842"/>
      <c r="Q376" s="842"/>
      <c r="R376" s="842"/>
      <c r="T376" s="845"/>
      <c r="U376" s="842"/>
      <c r="V376" s="842"/>
      <c r="W376" s="649"/>
      <c r="X376" s="845"/>
      <c r="Y376" s="842"/>
      <c r="Z376" s="842"/>
      <c r="AE376" s="520"/>
    </row>
    <row r="377" spans="1:45" ht="27.75" customHeight="1" x14ac:dyDescent="0.2">
      <c r="A377" s="701"/>
      <c r="B377" s="701"/>
      <c r="C377" s="1138" t="s">
        <v>1300</v>
      </c>
      <c r="D377" s="1138"/>
      <c r="E377" s="1138"/>
      <c r="F377" s="1138"/>
      <c r="G377" s="1138"/>
      <c r="H377" s="1138"/>
      <c r="I377" s="1138"/>
      <c r="J377" s="1138"/>
      <c r="K377" s="1138"/>
      <c r="L377" s="1138"/>
      <c r="M377" s="1138"/>
      <c r="N377" s="1138"/>
      <c r="O377" s="1138"/>
      <c r="P377" s="842"/>
      <c r="Q377" s="1139" t="s">
        <v>1303</v>
      </c>
      <c r="R377" s="1139"/>
      <c r="S377" s="1139"/>
      <c r="T377" s="1139"/>
      <c r="U377" s="1139"/>
      <c r="V377" s="1139"/>
      <c r="W377" s="1139"/>
      <c r="X377" s="1139"/>
      <c r="Y377" s="1139"/>
      <c r="Z377" s="1139"/>
      <c r="AA377" s="1139"/>
      <c r="AB377" s="1139"/>
      <c r="AC377" s="1139"/>
      <c r="AD377" s="1139"/>
      <c r="AE377" s="1139"/>
    </row>
    <row r="378" spans="1:45" ht="36" customHeight="1" x14ac:dyDescent="0.2">
      <c r="AE378" s="520"/>
    </row>
    <row r="379" spans="1:45" ht="19.5" customHeight="1" thickBot="1" x14ac:dyDescent="0.25">
      <c r="W379" s="500"/>
      <c r="X379" s="520" t="str">
        <f ca="1">INDIRECT("AE"&amp;Y379)</f>
        <v>C11-Coll11Ville11</v>
      </c>
      <c r="Y379" s="500">
        <f>Z380+2</f>
        <v>15</v>
      </c>
      <c r="Z379" s="501" t="str">
        <f ca="1">INDIRECT("AF"&amp;Y379)</f>
        <v>C10-Coll10Ville10</v>
      </c>
      <c r="AA379" s="500"/>
      <c r="AB379" s="500"/>
      <c r="AD379" s="679"/>
      <c r="AE379" s="679"/>
      <c r="AF379" s="679"/>
      <c r="AG379" s="679"/>
      <c r="AH379" s="679"/>
      <c r="AI379" s="679"/>
      <c r="AJ379" s="679"/>
      <c r="AK379" s="679"/>
      <c r="AL379" s="679"/>
    </row>
    <row r="380" spans="1:45" s="218" customFormat="1" ht="36" thickBot="1" x14ac:dyDescent="0.25">
      <c r="F380" s="576" t="s">
        <v>546</v>
      </c>
      <c r="G380" s="865" t="str">
        <f>G351</f>
        <v>D1</v>
      </c>
      <c r="I380" s="863" t="str">
        <f>"   "&amp;Championnat</f>
        <v xml:space="preserve">   Championnat de France de Tir à l'ARC</v>
      </c>
      <c r="T380" s="197"/>
      <c r="U380" s="197"/>
      <c r="V380" s="197"/>
      <c r="W380" s="197"/>
      <c r="Y380" s="502" t="s">
        <v>849</v>
      </c>
      <c r="Z380" s="503">
        <f>Z351+1</f>
        <v>13</v>
      </c>
      <c r="AB380" s="254"/>
      <c r="AC380" s="254"/>
      <c r="AD380" s="681"/>
      <c r="AE380" s="680"/>
      <c r="AF380" s="681"/>
      <c r="AH380" s="662"/>
      <c r="AI380" s="662"/>
      <c r="AJ380" s="662"/>
      <c r="AK380" s="662"/>
      <c r="AL380" s="662"/>
      <c r="AM380" s="217"/>
      <c r="AN380" s="217"/>
      <c r="AO380" s="217"/>
      <c r="AP380" s="217"/>
      <c r="AQ380" s="217"/>
      <c r="AR380" s="217"/>
      <c r="AS380" s="217"/>
    </row>
    <row r="381" spans="1:45" ht="36" thickBot="1" x14ac:dyDescent="0.25">
      <c r="F381" s="661" t="s">
        <v>628</v>
      </c>
      <c r="G381" s="660">
        <f ca="1">INDIRECT("AD"&amp;Y379)</f>
        <v>13</v>
      </c>
      <c r="I381" s="706" t="str">
        <f>CATEG_IMPORTEE</f>
        <v>Collèges Mixtes Etablissement</v>
      </c>
      <c r="S381" s="864" t="str">
        <f>LIEU&amp;" du "&amp;DATE</f>
        <v>L’Isle sur la Sorgue du 27 au 31 mars 2023</v>
      </c>
      <c r="AB381" s="254"/>
      <c r="AC381" s="254"/>
      <c r="AD381" s="681"/>
      <c r="AE381" s="680"/>
      <c r="AF381" s="681"/>
      <c r="AG381" s="679"/>
      <c r="AH381" s="679"/>
      <c r="AI381" s="679"/>
      <c r="AJ381" s="679"/>
      <c r="AK381" s="679"/>
      <c r="AL381" s="679"/>
    </row>
    <row r="382" spans="1:45" ht="24" customHeight="1" x14ac:dyDescent="0.2">
      <c r="A382" s="1075" t="s">
        <v>0</v>
      </c>
      <c r="B382" s="1075"/>
      <c r="C382" s="1075"/>
      <c r="D382" s="1075"/>
      <c r="E382" s="1075"/>
      <c r="F382" s="1075"/>
      <c r="G382" s="1075"/>
      <c r="H382" s="1075"/>
      <c r="I382" s="1075"/>
      <c r="J382" s="1075"/>
      <c r="Q382" s="1075" t="s">
        <v>0</v>
      </c>
      <c r="R382" s="1075"/>
      <c r="S382" s="1075"/>
      <c r="T382" s="1075"/>
      <c r="U382" s="1075"/>
      <c r="V382" s="1075"/>
      <c r="W382" s="1075"/>
      <c r="X382" s="1075"/>
      <c r="Y382" s="1075"/>
      <c r="Z382" s="1075"/>
      <c r="AB382" s="254"/>
      <c r="AC382" s="254"/>
      <c r="AD382" s="681"/>
      <c r="AE382" s="680"/>
      <c r="AF382" s="681"/>
      <c r="AG382" s="679"/>
      <c r="AH382" s="679"/>
      <c r="AI382" s="679"/>
      <c r="AJ382" s="679"/>
      <c r="AK382" s="679"/>
      <c r="AL382" s="679"/>
    </row>
    <row r="383" spans="1:45" ht="31.5" customHeight="1" x14ac:dyDescent="0.2">
      <c r="A383" s="1144" t="str">
        <f ca="1">IFERROR(VLOOKUP(X379,Num_AS,2,FALSE),"")</f>
        <v/>
      </c>
      <c r="B383" s="1144"/>
      <c r="C383" s="1144"/>
      <c r="D383" s="1144"/>
      <c r="E383" s="1144"/>
      <c r="F383" s="1144"/>
      <c r="G383" s="1144"/>
      <c r="H383" s="1144"/>
      <c r="I383" s="1144"/>
      <c r="J383" s="1144"/>
      <c r="K383" s="869" t="s">
        <v>1299</v>
      </c>
      <c r="L383" s="1145" t="s">
        <v>547</v>
      </c>
      <c r="M383" s="1145"/>
      <c r="N383" s="1145"/>
      <c r="O383" s="870" t="s">
        <v>1298</v>
      </c>
      <c r="Q383" s="1144" t="str">
        <f ca="1">IFERROR(VLOOKUP(Z379,Num_AS,2,FALSE),"")</f>
        <v/>
      </c>
      <c r="R383" s="1144"/>
      <c r="S383" s="1144"/>
      <c r="T383" s="1144"/>
      <c r="U383" s="1144"/>
      <c r="V383" s="1144"/>
      <c r="W383" s="1144"/>
      <c r="X383" s="1144"/>
      <c r="Y383" s="1144"/>
      <c r="Z383" s="1144"/>
      <c r="AB383" s="254"/>
      <c r="AC383" s="254"/>
      <c r="AD383" s="681"/>
      <c r="AE383" s="680"/>
      <c r="AF383" s="681"/>
      <c r="AG383" s="679"/>
      <c r="AH383" s="679"/>
      <c r="AI383" s="679"/>
      <c r="AJ383" s="679"/>
      <c r="AK383" s="679"/>
      <c r="AL383" s="679"/>
    </row>
    <row r="384" spans="1:45" ht="20.100000000000001" customHeight="1" thickBot="1" x14ac:dyDescent="0.25">
      <c r="A384" s="1124" t="s">
        <v>1006</v>
      </c>
      <c r="B384" s="1124"/>
      <c r="C384" s="1125"/>
      <c r="D384" s="1125"/>
      <c r="E384" s="1125"/>
      <c r="F384" s="1125"/>
      <c r="G384" s="1125"/>
      <c r="H384" s="1125"/>
      <c r="I384" s="1125"/>
      <c r="J384" s="1125"/>
      <c r="L384" s="871"/>
      <c r="M384" s="871"/>
      <c r="N384" s="871"/>
      <c r="Q384" s="1124" t="s">
        <v>1005</v>
      </c>
      <c r="R384" s="1124"/>
      <c r="S384" s="1125"/>
      <c r="T384" s="1125"/>
      <c r="U384" s="1125"/>
      <c r="V384" s="1125"/>
      <c r="W384" s="1125"/>
      <c r="X384" s="1125"/>
      <c r="Y384" s="1125"/>
      <c r="Z384" s="1125"/>
      <c r="AB384" s="254"/>
      <c r="AC384" s="254"/>
      <c r="AD384" s="681"/>
      <c r="AE384" s="680"/>
      <c r="AF384" s="681"/>
      <c r="AG384" s="679"/>
      <c r="AH384" s="679"/>
      <c r="AI384" s="679"/>
      <c r="AJ384" s="679"/>
      <c r="AK384" s="679"/>
      <c r="AL384" s="679"/>
    </row>
    <row r="385" spans="1:38" ht="27.75" customHeight="1" x14ac:dyDescent="0.2">
      <c r="A385" s="1117" t="str">
        <f ca="1">IFERROR(VLOOKUP(X379,Num_AS,3,FALSE),"")</f>
        <v/>
      </c>
      <c r="B385" s="1150"/>
      <c r="C385" s="1118"/>
      <c r="D385" s="1151"/>
      <c r="E385" s="1151"/>
      <c r="F385" s="1151"/>
      <c r="G385" s="1151"/>
      <c r="H385" s="1151"/>
      <c r="I385" s="1151"/>
      <c r="J385" s="1119"/>
      <c r="O385" s="219"/>
      <c r="P385" s="219"/>
      <c r="Q385" s="1117" t="str">
        <f ca="1">IFERROR(VLOOKUP(Z379,Num_AS,3,FALSE),"")</f>
        <v/>
      </c>
      <c r="R385" s="1150"/>
      <c r="S385" s="1118"/>
      <c r="T385" s="1151"/>
      <c r="U385" s="1151"/>
      <c r="V385" s="1151"/>
      <c r="W385" s="1151"/>
      <c r="X385" s="1151"/>
      <c r="Y385" s="1151"/>
      <c r="Z385" s="1119"/>
      <c r="AB385" s="254"/>
      <c r="AC385" s="254"/>
      <c r="AD385" s="681"/>
      <c r="AE385" s="680"/>
      <c r="AF385" s="681"/>
      <c r="AG385" s="679"/>
      <c r="AH385" s="679"/>
      <c r="AI385" s="679"/>
      <c r="AJ385" s="679"/>
      <c r="AK385" s="679"/>
      <c r="AL385" s="679"/>
    </row>
    <row r="386" spans="1:38" ht="27.75" customHeight="1" thickBot="1" x14ac:dyDescent="0.25">
      <c r="A386" s="1107" t="str">
        <f ca="1">IFERROR(VLOOKUP(X379,Num_AS,4,FALSE),"")</f>
        <v/>
      </c>
      <c r="B386" s="1152"/>
      <c r="C386" s="1108"/>
      <c r="D386" s="1153"/>
      <c r="E386" s="1153"/>
      <c r="F386" s="1153"/>
      <c r="G386" s="1153"/>
      <c r="H386" s="1153"/>
      <c r="I386" s="1153"/>
      <c r="J386" s="1109"/>
      <c r="Q386" s="1107" t="str">
        <f ca="1">IFERROR(VLOOKUP(Z379,Num_AS,4,FALSE),"")</f>
        <v/>
      </c>
      <c r="R386" s="1152"/>
      <c r="S386" s="1108"/>
      <c r="T386" s="1153"/>
      <c r="U386" s="1153"/>
      <c r="V386" s="1153"/>
      <c r="W386" s="1153"/>
      <c r="X386" s="1153"/>
      <c r="Y386" s="1153"/>
      <c r="Z386" s="1109"/>
      <c r="AB386" s="254"/>
      <c r="AC386" s="254"/>
      <c r="AD386" s="681"/>
      <c r="AE386" s="680"/>
      <c r="AF386" s="681"/>
      <c r="AG386" s="679"/>
      <c r="AH386" s="679"/>
      <c r="AI386" s="679"/>
      <c r="AJ386" s="679"/>
      <c r="AK386" s="679"/>
      <c r="AL386" s="679"/>
    </row>
    <row r="387" spans="1:38" ht="36" customHeight="1" thickBot="1" x14ac:dyDescent="0.25">
      <c r="A387" s="1156" t="s">
        <v>1330</v>
      </c>
      <c r="B387" s="1157"/>
      <c r="C387" s="1157"/>
      <c r="D387" s="1158"/>
      <c r="E387" s="947">
        <f ca="1">VLOOKUP(A383&amp;A385,PTS_SP,3,FALSE)</f>
        <v>0</v>
      </c>
      <c r="Q387" s="1156" t="s">
        <v>1330</v>
      </c>
      <c r="R387" s="1157"/>
      <c r="S387" s="1157"/>
      <c r="T387" s="1158"/>
      <c r="U387" s="947">
        <f ca="1">VLOOKUP(Q383&amp;Q385,PTS_SP,3,FALSE)</f>
        <v>0</v>
      </c>
      <c r="AB387" s="254"/>
      <c r="AC387" s="254"/>
      <c r="AD387" s="681"/>
      <c r="AE387" s="680"/>
      <c r="AF387" s="681"/>
      <c r="AG387" s="679"/>
      <c r="AH387" s="679"/>
      <c r="AI387" s="679"/>
      <c r="AJ387" s="679"/>
      <c r="AK387" s="679"/>
      <c r="AL387" s="679"/>
    </row>
    <row r="388" spans="1:38" ht="38.25" customHeight="1" x14ac:dyDescent="0.2">
      <c r="A388" s="701"/>
      <c r="B388" s="701"/>
      <c r="C388" s="853"/>
      <c r="D388" s="861" t="s">
        <v>1290</v>
      </c>
      <c r="E388" s="853"/>
      <c r="F388" s="854"/>
      <c r="G388" s="854"/>
      <c r="H388" s="872" t="s">
        <v>1295</v>
      </c>
      <c r="I388" s="855"/>
      <c r="J388" s="853"/>
      <c r="K388" s="853"/>
      <c r="L388" s="853"/>
      <c r="M388" s="859"/>
      <c r="N388" s="860" t="s">
        <v>1291</v>
      </c>
      <c r="O388" s="853"/>
      <c r="P388" s="249"/>
      <c r="Q388" s="701"/>
      <c r="R388" s="701"/>
      <c r="S388" s="853"/>
      <c r="T388" s="861" t="s">
        <v>1290</v>
      </c>
      <c r="U388" s="853"/>
      <c r="V388" s="854"/>
      <c r="W388" s="854"/>
      <c r="X388" s="872" t="s">
        <v>1302</v>
      </c>
      <c r="Y388" s="855"/>
      <c r="Z388" s="853"/>
      <c r="AA388" s="853"/>
      <c r="AB388" s="853"/>
      <c r="AC388" s="859"/>
      <c r="AD388" s="860" t="s">
        <v>1291</v>
      </c>
      <c r="AE388" s="853"/>
      <c r="AF388" s="681"/>
      <c r="AG388" s="681"/>
      <c r="AH388" s="681"/>
      <c r="AI388" s="681"/>
      <c r="AJ388" s="679"/>
      <c r="AK388" s="679"/>
      <c r="AL388" s="679"/>
    </row>
    <row r="389" spans="1:38" ht="38.25" customHeight="1" x14ac:dyDescent="0.2">
      <c r="A389" s="856" t="s">
        <v>509</v>
      </c>
      <c r="B389" s="942" t="s">
        <v>1329</v>
      </c>
      <c r="C389" s="857">
        <v>1</v>
      </c>
      <c r="D389" s="857">
        <v>2</v>
      </c>
      <c r="E389" s="857">
        <v>3</v>
      </c>
      <c r="F389" s="857">
        <v>4</v>
      </c>
      <c r="G389" s="857">
        <v>5</v>
      </c>
      <c r="H389" s="857">
        <v>6</v>
      </c>
      <c r="I389" s="857">
        <v>7</v>
      </c>
      <c r="J389" s="857">
        <v>8</v>
      </c>
      <c r="K389" s="858" t="s">
        <v>1286</v>
      </c>
      <c r="L389" s="1154" t="s">
        <v>1287</v>
      </c>
      <c r="M389" s="1154"/>
      <c r="N389" s="1154"/>
      <c r="O389" s="858" t="s">
        <v>1288</v>
      </c>
      <c r="P389" s="844"/>
      <c r="Q389" s="856" t="s">
        <v>509</v>
      </c>
      <c r="R389" s="942" t="s">
        <v>1329</v>
      </c>
      <c r="S389" s="857">
        <v>1</v>
      </c>
      <c r="T389" s="857">
        <v>2</v>
      </c>
      <c r="U389" s="857">
        <v>3</v>
      </c>
      <c r="V389" s="857">
        <v>4</v>
      </c>
      <c r="W389" s="857">
        <v>5</v>
      </c>
      <c r="X389" s="857">
        <v>6</v>
      </c>
      <c r="Y389" s="857">
        <v>7</v>
      </c>
      <c r="Z389" s="857">
        <v>8</v>
      </c>
      <c r="AA389" s="858" t="s">
        <v>1286</v>
      </c>
      <c r="AB389" s="1154" t="s">
        <v>1287</v>
      </c>
      <c r="AC389" s="1154"/>
      <c r="AD389" s="1154"/>
      <c r="AE389" s="858" t="s">
        <v>1288</v>
      </c>
      <c r="AF389" s="681"/>
      <c r="AG389" s="681"/>
      <c r="AH389" s="681"/>
      <c r="AI389" s="681"/>
      <c r="AJ389" s="679"/>
      <c r="AK389" s="679"/>
      <c r="AL389" s="679"/>
    </row>
    <row r="390" spans="1:38" ht="30" customHeight="1" x14ac:dyDescent="0.25">
      <c r="A390" s="846" t="s">
        <v>1282</v>
      </c>
      <c r="B390" s="948">
        <f ca="1">E387</f>
        <v>0</v>
      </c>
      <c r="C390" s="843"/>
      <c r="D390" s="843"/>
      <c r="E390" s="843"/>
      <c r="F390" s="843"/>
      <c r="G390" s="847"/>
      <c r="H390" s="848"/>
      <c r="I390" s="846"/>
      <c r="J390" s="843"/>
      <c r="K390" s="843"/>
      <c r="L390" s="849">
        <f ca="1">IF(Q383="Matchs de CLASSEMENT","X",2)</f>
        <v>2</v>
      </c>
      <c r="M390" s="849">
        <f ca="1">IF(Q383="Matchs de CLASSEMENT","X",1)</f>
        <v>1</v>
      </c>
      <c r="N390" s="849">
        <f ca="1">IF(Q383="Matchs de CLASSEMENT","X",0)</f>
        <v>0</v>
      </c>
      <c r="O390" s="849" t="str">
        <f ca="1">IF(Q383="Matchs de CLASSEMENT","X","")</f>
        <v/>
      </c>
      <c r="P390" s="842"/>
      <c r="Q390" s="849" t="str">
        <f ca="1">IF(Q383="Matchs de CLASSEMENT","X","V1")</f>
        <v>V1</v>
      </c>
      <c r="R390" s="948">
        <f ca="1">U387</f>
        <v>0</v>
      </c>
      <c r="S390" s="849" t="str">
        <f ca="1">IF(Q383="Matchs de CLASSEMENT","X","")</f>
        <v/>
      </c>
      <c r="T390" s="849" t="str">
        <f ca="1">IF(Q383="Matchs de CLASSEMENT","X","")</f>
        <v/>
      </c>
      <c r="U390" s="849" t="str">
        <f ca="1">IF(Q383="Matchs de CLASSEMENT","X","")</f>
        <v/>
      </c>
      <c r="V390" s="849" t="str">
        <f ca="1">IF(Q383="Matchs de CLASSEMENT","X","")</f>
        <v/>
      </c>
      <c r="W390" s="849" t="str">
        <f ca="1">IF(Q383="Matchs de CLASSEMENT","X","")</f>
        <v/>
      </c>
      <c r="X390" s="849" t="str">
        <f ca="1">IF(Q383="Matchs de CLASSEMENT","X","")</f>
        <v/>
      </c>
      <c r="Y390" s="849" t="str">
        <f ca="1">IF(Q383="Matchs de CLASSEMENT","X","")</f>
        <v/>
      </c>
      <c r="Z390" s="849" t="str">
        <f ca="1">IF(Q383="Matchs de CLASSEMENT","X","")</f>
        <v/>
      </c>
      <c r="AA390" s="849" t="str">
        <f ca="1">IF(Q383="Matchs de CLASSEMENT","X","")</f>
        <v/>
      </c>
      <c r="AB390" s="849">
        <f ca="1">IF(Q383="Matchs de CLASSEMENT","X",2)</f>
        <v>2</v>
      </c>
      <c r="AC390" s="849">
        <f ca="1">IF(Q383="Matchs de CLASSEMENT","X",1)</f>
        <v>1</v>
      </c>
      <c r="AD390" s="849">
        <f ca="1">IF(Q383="Matchs de CLASSEMENT","X",0)</f>
        <v>0</v>
      </c>
      <c r="AE390" s="849" t="str">
        <f ca="1">IF(Q383="Matchs de CLASSEMENT","X","")</f>
        <v/>
      </c>
      <c r="AF390" s="679"/>
      <c r="AG390" s="679"/>
      <c r="AH390" s="679"/>
      <c r="AI390" s="679"/>
      <c r="AJ390" s="679"/>
      <c r="AK390" s="679"/>
      <c r="AL390" s="679"/>
    </row>
    <row r="391" spans="1:38" ht="30" customHeight="1" x14ac:dyDescent="0.25">
      <c r="A391" s="846" t="s">
        <v>1283</v>
      </c>
      <c r="B391" s="948">
        <f ca="1">B390</f>
        <v>0</v>
      </c>
      <c r="C391" s="843"/>
      <c r="D391" s="843"/>
      <c r="E391" s="843"/>
      <c r="F391" s="843"/>
      <c r="G391" s="847"/>
      <c r="H391" s="848"/>
      <c r="I391" s="846"/>
      <c r="J391" s="843"/>
      <c r="K391" s="843"/>
      <c r="L391" s="849">
        <f ca="1">IF(Q383="Matchs de CLASSEMENT","X",2)</f>
        <v>2</v>
      </c>
      <c r="M391" s="849">
        <f ca="1">IF(Q383="Matchs de CLASSEMENT","X",1)</f>
        <v>1</v>
      </c>
      <c r="N391" s="849">
        <f ca="1">IF(Q383="Matchs de CLASSEMENT","X",0)</f>
        <v>0</v>
      </c>
      <c r="O391" s="849" t="str">
        <f ca="1">IF(Q383="Matchs de CLASSEMENT","X","")</f>
        <v/>
      </c>
      <c r="P391" s="842"/>
      <c r="Q391" s="849" t="str">
        <f ca="1">IF(Q383="Matchs de CLASSEMENT","X","V2")</f>
        <v>V2</v>
      </c>
      <c r="R391" s="948">
        <f ca="1">R390</f>
        <v>0</v>
      </c>
      <c r="S391" s="849" t="str">
        <f ca="1">IF(Q383="Matchs de CLASSEMENT","X","")</f>
        <v/>
      </c>
      <c r="T391" s="849" t="str">
        <f ca="1">IF(Q383="Matchs de CLASSEMENT","X","")</f>
        <v/>
      </c>
      <c r="U391" s="849" t="str">
        <f ca="1">IF(Q383="Matchs de CLASSEMENT","X","")</f>
        <v/>
      </c>
      <c r="V391" s="849" t="str">
        <f ca="1">IF(Q383="Matchs de CLASSEMENT","X","")</f>
        <v/>
      </c>
      <c r="W391" s="849" t="str">
        <f ca="1">IF(Q383="Matchs de CLASSEMENT","X","")</f>
        <v/>
      </c>
      <c r="X391" s="849" t="str">
        <f ca="1">IF(Q383="Matchs de CLASSEMENT","X","")</f>
        <v/>
      </c>
      <c r="Y391" s="849" t="str">
        <f ca="1">IF(Q383="Matchs de CLASSEMENT","X","")</f>
        <v/>
      </c>
      <c r="Z391" s="849" t="str">
        <f ca="1">IF(Q383="Matchs de CLASSEMENT","X","")</f>
        <v/>
      </c>
      <c r="AA391" s="849" t="str">
        <f ca="1">IF(Q383="Matchs de CLASSEMENT","X","")</f>
        <v/>
      </c>
      <c r="AB391" s="849">
        <f ca="1">IF(Q383="Matchs de CLASSEMENT","X",2)</f>
        <v>2</v>
      </c>
      <c r="AC391" s="849">
        <f ca="1">IF(Q383="Matchs de CLASSEMENT","X",1)</f>
        <v>1</v>
      </c>
      <c r="AD391" s="849">
        <f ca="1">IF(Q383="Matchs de CLASSEMENT","X",0)</f>
        <v>0</v>
      </c>
      <c r="AE391" s="849" t="str">
        <f ca="1">IF(Q383="Matchs de CLASSEMENT","X","")</f>
        <v/>
      </c>
      <c r="AF391" s="679"/>
      <c r="AG391" s="679"/>
      <c r="AH391" s="679"/>
      <c r="AI391" s="679"/>
      <c r="AJ391" s="679"/>
      <c r="AK391" s="679"/>
      <c r="AL391" s="679"/>
    </row>
    <row r="392" spans="1:38" ht="30" customHeight="1" x14ac:dyDescent="0.25">
      <c r="A392" s="846" t="s">
        <v>1284</v>
      </c>
      <c r="B392" s="948">
        <f t="shared" ref="B392:B393" ca="1" si="25">B391</f>
        <v>0</v>
      </c>
      <c r="C392" s="843"/>
      <c r="D392" s="843"/>
      <c r="E392" s="843"/>
      <c r="F392" s="843"/>
      <c r="G392" s="847"/>
      <c r="H392" s="848"/>
      <c r="I392" s="846"/>
      <c r="J392" s="843"/>
      <c r="K392" s="843"/>
      <c r="L392" s="849">
        <f ca="1">IF(Q383="Matchs de CLASSEMENT","X",2)</f>
        <v>2</v>
      </c>
      <c r="M392" s="849">
        <f ca="1">IF(Q383="Matchs de CLASSEMENT","X",1)</f>
        <v>1</v>
      </c>
      <c r="N392" s="849">
        <f ca="1">IF(Q383="Matchs de CLASSEMENT","X",0)</f>
        <v>0</v>
      </c>
      <c r="O392" s="849" t="str">
        <f ca="1">IF(Q383="Matchs de CLASSEMENT","X","")</f>
        <v/>
      </c>
      <c r="P392" s="842"/>
      <c r="Q392" s="849" t="str">
        <f ca="1">IF(Q383="Matchs de CLASSEMENT","X","V3")</f>
        <v>V3</v>
      </c>
      <c r="R392" s="948">
        <f t="shared" ref="R392:R393" ca="1" si="26">R391</f>
        <v>0</v>
      </c>
      <c r="S392" s="849" t="str">
        <f ca="1">IF(Q383="Matchs de CLASSEMENT","X","")</f>
        <v/>
      </c>
      <c r="T392" s="849" t="str">
        <f ca="1">IF(Q383="Matchs de CLASSEMENT","X","")</f>
        <v/>
      </c>
      <c r="U392" s="849" t="str">
        <f ca="1">IF(Q383="Matchs de CLASSEMENT","X","")</f>
        <v/>
      </c>
      <c r="V392" s="849" t="str">
        <f ca="1">IF(Q383="Matchs de CLASSEMENT","X","")</f>
        <v/>
      </c>
      <c r="W392" s="849" t="str">
        <f ca="1">IF(Q383="Matchs de CLASSEMENT","X","")</f>
        <v/>
      </c>
      <c r="X392" s="849" t="str">
        <f ca="1">IF(Q383="Matchs de CLASSEMENT","X","")</f>
        <v/>
      </c>
      <c r="Y392" s="849" t="str">
        <f ca="1">IF(Q383="Matchs de CLASSEMENT","X","")</f>
        <v/>
      </c>
      <c r="Z392" s="849" t="str">
        <f ca="1">IF(Q383="Matchs de CLASSEMENT","X","")</f>
        <v/>
      </c>
      <c r="AA392" s="849" t="str">
        <f ca="1">IF(Q383="Matchs de CLASSEMENT","X","")</f>
        <v/>
      </c>
      <c r="AB392" s="849">
        <f ca="1">IF(Q383="Matchs de CLASSEMENT","X",2)</f>
        <v>2</v>
      </c>
      <c r="AC392" s="849">
        <f ca="1">IF(Q383="Matchs de CLASSEMENT","X",1)</f>
        <v>1</v>
      </c>
      <c r="AD392" s="849">
        <f ca="1">IF(Q383="Matchs de CLASSEMENT","X",0)</f>
        <v>0</v>
      </c>
      <c r="AE392" s="849" t="str">
        <f ca="1">IF(Q383="Matchs de CLASSEMENT","X","")</f>
        <v/>
      </c>
      <c r="AF392" s="679"/>
      <c r="AG392" s="679"/>
      <c r="AH392" s="679"/>
      <c r="AI392" s="679"/>
      <c r="AJ392" s="679"/>
      <c r="AK392" s="679"/>
      <c r="AL392" s="679"/>
    </row>
    <row r="393" spans="1:38" ht="30" customHeight="1" x14ac:dyDescent="0.25">
      <c r="A393" s="846" t="s">
        <v>1285</v>
      </c>
      <c r="B393" s="948">
        <f t="shared" ca="1" si="25"/>
        <v>0</v>
      </c>
      <c r="C393" s="843"/>
      <c r="D393" s="843"/>
      <c r="E393" s="843"/>
      <c r="F393" s="843"/>
      <c r="G393" s="847"/>
      <c r="H393" s="848"/>
      <c r="I393" s="846"/>
      <c r="J393" s="843"/>
      <c r="K393" s="843"/>
      <c r="L393" s="849">
        <f ca="1">IF(Q383="Matchs de CLASSEMENT","X",2)</f>
        <v>2</v>
      </c>
      <c r="M393" s="849">
        <f ca="1">IF(Q383="Matchs de CLASSEMENT","X",1)</f>
        <v>1</v>
      </c>
      <c r="N393" s="849">
        <f ca="1">IF(Q383="Matchs de CLASSEMENT","X",0)</f>
        <v>0</v>
      </c>
      <c r="O393" s="849" t="str">
        <f ca="1">IF(Q383="Matchs de CLASSEMENT","X","")</f>
        <v/>
      </c>
      <c r="P393" s="842"/>
      <c r="Q393" s="849" t="str">
        <f ca="1">IF(Q383="Matchs de CLASSEMENT","X","V4")</f>
        <v>V4</v>
      </c>
      <c r="R393" s="948">
        <f t="shared" ca="1" si="26"/>
        <v>0</v>
      </c>
      <c r="S393" s="849" t="str">
        <f ca="1">IF(Q383="Matchs de CLASSEMENT","X","")</f>
        <v/>
      </c>
      <c r="T393" s="849" t="str">
        <f ca="1">IF(Q383="Matchs de CLASSEMENT","X","")</f>
        <v/>
      </c>
      <c r="U393" s="849" t="str">
        <f ca="1">IF(Q383="Matchs de CLASSEMENT","X","")</f>
        <v/>
      </c>
      <c r="V393" s="849" t="str">
        <f ca="1">IF(Q383="Matchs de CLASSEMENT","X","")</f>
        <v/>
      </c>
      <c r="W393" s="849" t="str">
        <f ca="1">IF(Q383="Matchs de CLASSEMENT","X","")</f>
        <v/>
      </c>
      <c r="X393" s="849" t="str">
        <f ca="1">IF(Q383="Matchs de CLASSEMENT","X","")</f>
        <v/>
      </c>
      <c r="Y393" s="849" t="str">
        <f ca="1">IF(Q383="Matchs de CLASSEMENT","X","")</f>
        <v/>
      </c>
      <c r="Z393" s="849" t="str">
        <f ca="1">IF(Q383="Matchs de CLASSEMENT","X","")</f>
        <v/>
      </c>
      <c r="AA393" s="849" t="str">
        <f ca="1">IF(Q383="Matchs de CLASSEMENT","X","")</f>
        <v/>
      </c>
      <c r="AB393" s="849">
        <f ca="1">IF(Q383="Matchs de CLASSEMENT","X",2)</f>
        <v>2</v>
      </c>
      <c r="AC393" s="849">
        <f ca="1">IF(Q383="Matchs de CLASSEMENT","X",1)</f>
        <v>1</v>
      </c>
      <c r="AD393" s="849">
        <f ca="1">IF(Q383="Matchs de CLASSEMENT","X",0)</f>
        <v>0</v>
      </c>
      <c r="AE393" s="849" t="str">
        <f ca="1">IF(Q383="Matchs de CLASSEMENT","X","")</f>
        <v/>
      </c>
      <c r="AF393" s="679"/>
      <c r="AG393" s="679"/>
      <c r="AH393" s="679"/>
      <c r="AI393" s="679"/>
      <c r="AJ393" s="679"/>
      <c r="AK393" s="679"/>
      <c r="AL393" s="679"/>
    </row>
    <row r="394" spans="1:38" ht="30" customHeight="1" x14ac:dyDescent="0.2">
      <c r="N394" s="867" t="s">
        <v>1294</v>
      </c>
      <c r="O394" s="848"/>
      <c r="AD394" s="867" t="s">
        <v>1294</v>
      </c>
      <c r="AE394" s="866"/>
      <c r="AF394" s="679"/>
      <c r="AG394" s="679"/>
      <c r="AH394" s="679"/>
      <c r="AI394" s="679"/>
      <c r="AJ394" s="679"/>
      <c r="AK394" s="679"/>
      <c r="AL394" s="679"/>
    </row>
    <row r="395" spans="1:38" ht="12.75" customHeight="1" x14ac:dyDescent="0.2">
      <c r="AE395" s="520"/>
      <c r="AF395" s="679"/>
      <c r="AG395" s="679"/>
      <c r="AH395" s="679"/>
      <c r="AI395" s="679"/>
      <c r="AJ395" s="679"/>
      <c r="AK395" s="679"/>
      <c r="AL395" s="679"/>
    </row>
    <row r="396" spans="1:38" ht="18.75" customHeight="1" x14ac:dyDescent="0.2">
      <c r="A396" s="584"/>
      <c r="B396" s="584"/>
      <c r="C396" s="701" t="s">
        <v>1289</v>
      </c>
      <c r="D396" s="249"/>
      <c r="E396" s="196"/>
      <c r="F396" s="196"/>
      <c r="G396" s="584"/>
      <c r="H396" s="1155" t="s">
        <v>1301</v>
      </c>
      <c r="I396" s="1155"/>
      <c r="J396" s="1155"/>
      <c r="K396" s="1155"/>
      <c r="L396" s="1155"/>
      <c r="M396" s="1155"/>
      <c r="N396" s="1155"/>
      <c r="O396" s="1155"/>
      <c r="P396" s="842"/>
      <c r="Q396" s="219"/>
      <c r="R396" s="219"/>
      <c r="S396" s="701" t="s">
        <v>1289</v>
      </c>
      <c r="T396" s="249"/>
      <c r="U396" s="196"/>
      <c r="V396" s="196"/>
      <c r="X396" s="1155" t="s">
        <v>1304</v>
      </c>
      <c r="Y396" s="1155"/>
      <c r="Z396" s="1155"/>
      <c r="AA396" s="1155"/>
      <c r="AB396" s="1155"/>
      <c r="AC396" s="1155"/>
      <c r="AD396" s="1155"/>
      <c r="AE396" s="1155"/>
      <c r="AF396" s="679"/>
      <c r="AG396" s="679"/>
      <c r="AH396" s="679"/>
      <c r="AI396" s="679"/>
      <c r="AJ396" s="679"/>
      <c r="AK396" s="679"/>
      <c r="AL396" s="679"/>
    </row>
    <row r="397" spans="1:38" ht="32.25" customHeight="1" x14ac:dyDescent="0.2">
      <c r="A397" s="584"/>
      <c r="B397" s="584"/>
      <c r="C397" s="850"/>
      <c r="D397" s="851"/>
      <c r="E397" s="852"/>
      <c r="F397" s="852"/>
      <c r="G397" s="584"/>
      <c r="H397" s="1149" t="s">
        <v>549</v>
      </c>
      <c r="I397" s="1149"/>
      <c r="J397" s="1149"/>
      <c r="K397" s="1149"/>
      <c r="L397" s="1149"/>
      <c r="M397" s="1146" t="s">
        <v>550</v>
      </c>
      <c r="N397" s="1147"/>
      <c r="O397" s="1148"/>
      <c r="P397" s="842"/>
      <c r="Q397" s="219"/>
      <c r="R397" s="219"/>
      <c r="S397" s="850"/>
      <c r="T397" s="851"/>
      <c r="U397" s="852"/>
      <c r="V397" s="852"/>
      <c r="X397" s="1149" t="s">
        <v>549</v>
      </c>
      <c r="Y397" s="1149"/>
      <c r="Z397" s="1149"/>
      <c r="AA397" s="1149"/>
      <c r="AB397" s="1149"/>
      <c r="AC397" s="1146" t="s">
        <v>550</v>
      </c>
      <c r="AD397" s="1147"/>
      <c r="AE397" s="1148"/>
      <c r="AG397" s="679"/>
      <c r="AH397" s="679"/>
      <c r="AI397" s="679"/>
      <c r="AJ397" s="679"/>
      <c r="AK397" s="679"/>
      <c r="AL397" s="679"/>
    </row>
    <row r="398" spans="1:38" ht="32.25" customHeight="1" x14ac:dyDescent="0.2">
      <c r="A398" s="584"/>
      <c r="B398" s="584"/>
      <c r="C398" s="850"/>
      <c r="D398" s="851"/>
      <c r="E398" s="852"/>
      <c r="F398" s="852"/>
      <c r="G398" s="584"/>
      <c r="H398" s="1140" t="str">
        <f ca="1">IFERROR(VLOOKUP(X379,Num_AS,6,FALSE)&amp;" "&amp;VLOOKUP(X379,Num_AS,7,FALSE),"")</f>
        <v/>
      </c>
      <c r="I398" s="1140"/>
      <c r="J398" s="1140"/>
      <c r="K398" s="1140"/>
      <c r="L398" s="1140"/>
      <c r="M398" s="1129" t="str">
        <f ca="1">IFERROR(VLOOKUP(X379,Num_AS,9,FALSE),"")</f>
        <v/>
      </c>
      <c r="N398" s="1130"/>
      <c r="O398" s="1131"/>
      <c r="P398" s="842"/>
      <c r="Q398" s="219"/>
      <c r="R398" s="219"/>
      <c r="S398" s="850"/>
      <c r="T398" s="851"/>
      <c r="U398" s="852"/>
      <c r="V398" s="852"/>
      <c r="W398" s="196"/>
      <c r="X398" s="1140" t="str">
        <f ca="1">IFERROR(VLOOKUP(Z379,Num_AS,6,FALSE)&amp;" "&amp;VLOOKUP(Z379,Num_AS,7,FALSE),"")</f>
        <v/>
      </c>
      <c r="Y398" s="1140"/>
      <c r="Z398" s="1140"/>
      <c r="AA398" s="1140"/>
      <c r="AB398" s="1140"/>
      <c r="AC398" s="1129" t="str">
        <f ca="1">IFERROR(VLOOKUP(Z379,Num_AS,9,FALSE),"")</f>
        <v/>
      </c>
      <c r="AD398" s="1130"/>
      <c r="AE398" s="1131"/>
    </row>
    <row r="399" spans="1:38" ht="32.25" customHeight="1" x14ac:dyDescent="0.2">
      <c r="A399" s="584"/>
      <c r="B399" s="584"/>
      <c r="C399" s="850"/>
      <c r="D399" s="851"/>
      <c r="E399" s="852"/>
      <c r="F399" s="852"/>
      <c r="G399" s="584"/>
      <c r="H399" s="1140" t="str">
        <f ca="1">IFERROR(VLOOKUP(X379,Num_AS,12,FALSE)&amp;" "&amp;VLOOKUP(X379,Num_AS,13,FALSE),"")</f>
        <v/>
      </c>
      <c r="I399" s="1140"/>
      <c r="J399" s="1140"/>
      <c r="K399" s="1140"/>
      <c r="L399" s="1140"/>
      <c r="M399" s="1129" t="str">
        <f ca="1">IFERROR(VLOOKUP(X379,Num_AS,15,FALSE),"")</f>
        <v/>
      </c>
      <c r="N399" s="1130"/>
      <c r="O399" s="1131">
        <f ca="1">G381</f>
        <v>13</v>
      </c>
      <c r="P399" s="842"/>
      <c r="Q399" s="219"/>
      <c r="R399" s="219"/>
      <c r="S399" s="850"/>
      <c r="T399" s="851"/>
      <c r="U399" s="852"/>
      <c r="V399" s="852"/>
      <c r="W399" s="196"/>
      <c r="X399" s="1140" t="str">
        <f ca="1">IFERROR(VLOOKUP(Z379,Num_AS,12,FALSE)&amp;" "&amp;VLOOKUP(Z379,Num_AS,13,FALSE),"")</f>
        <v/>
      </c>
      <c r="Y399" s="1140"/>
      <c r="Z399" s="1140"/>
      <c r="AA399" s="1140"/>
      <c r="AB399" s="1140"/>
      <c r="AC399" s="1129" t="str">
        <f ca="1">IFERROR(VLOOKUP(Z379,Num_AS,15,FALSE),"")</f>
        <v/>
      </c>
      <c r="AD399" s="1130"/>
      <c r="AE399" s="1131">
        <f>W381</f>
        <v>0</v>
      </c>
    </row>
    <row r="400" spans="1:38" ht="32.25" customHeight="1" x14ac:dyDescent="0.2">
      <c r="A400" s="584"/>
      <c r="B400" s="584"/>
      <c r="C400" s="584"/>
      <c r="D400" s="584"/>
      <c r="E400" s="584"/>
      <c r="F400" s="584"/>
      <c r="G400" s="584"/>
      <c r="H400" s="1140" t="str">
        <f ca="1">IFERROR(VLOOKUP(X379,Num_AS,18,FALSE)&amp;" "&amp;VLOOKUP(X379,Num_AS,19,FALSE),"")</f>
        <v/>
      </c>
      <c r="I400" s="1140"/>
      <c r="J400" s="1140"/>
      <c r="K400" s="1140"/>
      <c r="L400" s="1140"/>
      <c r="M400" s="1129" t="str">
        <f ca="1">IFERROR(VLOOKUP(X379,Num_AS,21,FALSE),"")</f>
        <v/>
      </c>
      <c r="N400" s="1130"/>
      <c r="O400" s="1131">
        <f ca="1">G381</f>
        <v>13</v>
      </c>
      <c r="P400" s="842"/>
      <c r="Q400" s="219"/>
      <c r="R400" s="219"/>
      <c r="S400" s="584"/>
      <c r="T400" s="584"/>
      <c r="U400" s="584"/>
      <c r="V400" s="584"/>
      <c r="W400" s="196"/>
      <c r="X400" s="1140" t="str">
        <f ca="1">IFERROR(VLOOKUP(Z379,Num_AS,18,FALSE)&amp;" "&amp;VLOOKUP(Z379,Num_AS,19,FALSE),"")</f>
        <v/>
      </c>
      <c r="Y400" s="1140"/>
      <c r="Z400" s="1140"/>
      <c r="AA400" s="1140"/>
      <c r="AB400" s="1140"/>
      <c r="AC400" s="1129" t="str">
        <f ca="1">IFERROR(VLOOKUP(Z379,Num_AS,21,FALSE),"")</f>
        <v/>
      </c>
      <c r="AD400" s="1130"/>
      <c r="AE400" s="1131">
        <f>W381</f>
        <v>0</v>
      </c>
    </row>
    <row r="401" spans="1:44" ht="32.25" customHeight="1" x14ac:dyDescent="0.2">
      <c r="A401" s="584"/>
      <c r="B401" s="584"/>
      <c r="C401" s="862"/>
      <c r="D401" s="1141" t="s">
        <v>1292</v>
      </c>
      <c r="E401" s="1142"/>
      <c r="F401" s="1143"/>
      <c r="G401" s="584"/>
      <c r="H401" s="1140" t="str">
        <f ca="1">IFERROR(VLOOKUP(X379,Num_AS,24,FALSE)&amp;" "&amp;VLOOKUP(X379,Num_AS,25,FALSE),"")</f>
        <v/>
      </c>
      <c r="I401" s="1140"/>
      <c r="J401" s="1140"/>
      <c r="K401" s="1140"/>
      <c r="L401" s="1140"/>
      <c r="M401" s="1129" t="str">
        <f ca="1">IFERROR(VLOOKUP(X379,Num_AS,9,FALSE),"")</f>
        <v/>
      </c>
      <c r="N401" s="1130"/>
      <c r="O401" s="1131">
        <f ca="1">G381</f>
        <v>13</v>
      </c>
      <c r="P401" s="842"/>
      <c r="Q401" s="219"/>
      <c r="R401" s="219"/>
      <c r="S401" s="862"/>
      <c r="T401" s="1141" t="s">
        <v>1292</v>
      </c>
      <c r="U401" s="1142"/>
      <c r="V401" s="1143"/>
      <c r="W401" s="196"/>
      <c r="X401" s="1140" t="str">
        <f ca="1">IFERROR(VLOOKUP(Z379,Num_AS,24,FALSE)&amp;" "&amp;VLOOKUP(Z379,Num_AS,25,FALSE),"")</f>
        <v/>
      </c>
      <c r="Y401" s="1140"/>
      <c r="Z401" s="1140"/>
      <c r="AA401" s="1140"/>
      <c r="AB401" s="1140"/>
      <c r="AC401" s="1129" t="str">
        <f ca="1">IFERROR(VLOOKUP(Z379,Num_AS,9,FALSE),"")</f>
        <v/>
      </c>
      <c r="AD401" s="1130"/>
      <c r="AE401" s="1131">
        <f>W381</f>
        <v>0</v>
      </c>
    </row>
    <row r="402" spans="1:44" ht="18.75" customHeight="1" thickBot="1" x14ac:dyDescent="0.25">
      <c r="A402" s="701"/>
      <c r="B402" s="701"/>
      <c r="C402" s="249"/>
      <c r="D402" s="249"/>
      <c r="E402" s="249"/>
      <c r="F402" s="701"/>
      <c r="G402" s="701"/>
      <c r="H402" s="196"/>
      <c r="I402" s="196"/>
      <c r="J402" s="249"/>
      <c r="K402" s="219"/>
      <c r="L402" s="219"/>
      <c r="M402" s="219"/>
      <c r="N402" s="219"/>
      <c r="O402" s="219"/>
      <c r="P402" s="219"/>
      <c r="Q402" s="219"/>
      <c r="R402" s="219"/>
      <c r="S402" s="219"/>
      <c r="T402" s="219"/>
      <c r="U402" s="219"/>
      <c r="V402" s="219"/>
      <c r="W402" s="219"/>
      <c r="X402" s="219"/>
      <c r="Y402" s="249"/>
      <c r="Z402" s="219"/>
      <c r="AE402" s="520"/>
    </row>
    <row r="403" spans="1:44" ht="32.25" customHeight="1" x14ac:dyDescent="0.25">
      <c r="A403" s="701"/>
      <c r="B403" s="701"/>
      <c r="D403" s="875" t="s">
        <v>1002</v>
      </c>
      <c r="E403" s="876"/>
      <c r="F403" s="876"/>
      <c r="G403" s="876"/>
      <c r="H403" s="876"/>
      <c r="I403" s="876"/>
      <c r="J403" s="876"/>
      <c r="K403" s="876"/>
      <c r="L403" s="876"/>
      <c r="M403" s="877" t="s">
        <v>1297</v>
      </c>
      <c r="N403" s="219"/>
      <c r="O403" s="1132" t="s">
        <v>1293</v>
      </c>
      <c r="P403" s="1133"/>
      <c r="Q403" s="1134"/>
      <c r="R403" s="941"/>
      <c r="T403" s="875" t="s">
        <v>1002</v>
      </c>
      <c r="U403" s="876"/>
      <c r="V403" s="876"/>
      <c r="W403" s="876"/>
      <c r="X403" s="876"/>
      <c r="Y403" s="876"/>
      <c r="Z403" s="876"/>
      <c r="AA403" s="876"/>
      <c r="AB403" s="876"/>
      <c r="AC403" s="877" t="s">
        <v>1296</v>
      </c>
      <c r="AE403" s="520"/>
    </row>
    <row r="404" spans="1:44" ht="70.5" customHeight="1" thickBot="1" x14ac:dyDescent="0.25">
      <c r="A404" s="701"/>
      <c r="B404" s="701"/>
      <c r="D404" s="878"/>
      <c r="E404" s="879"/>
      <c r="F404" s="879"/>
      <c r="G404" s="879"/>
      <c r="H404" s="879"/>
      <c r="I404" s="879"/>
      <c r="J404" s="879"/>
      <c r="K404" s="879"/>
      <c r="L404" s="879"/>
      <c r="M404" s="880"/>
      <c r="N404" s="219"/>
      <c r="O404" s="1135"/>
      <c r="P404" s="1136"/>
      <c r="Q404" s="1137"/>
      <c r="R404" s="941"/>
      <c r="T404" s="878"/>
      <c r="U404" s="879"/>
      <c r="V404" s="879"/>
      <c r="W404" s="879"/>
      <c r="X404" s="879"/>
      <c r="Y404" s="879"/>
      <c r="Z404" s="879"/>
      <c r="AA404" s="879"/>
      <c r="AB404" s="879"/>
      <c r="AC404" s="880"/>
      <c r="AE404" s="520"/>
    </row>
    <row r="405" spans="1:44" ht="6.75" customHeight="1" x14ac:dyDescent="0.25">
      <c r="A405" s="701"/>
      <c r="B405" s="701"/>
      <c r="C405" s="249"/>
      <c r="D405" s="249"/>
      <c r="E405" s="249"/>
      <c r="F405" s="701"/>
      <c r="G405" s="701"/>
      <c r="H405" s="196"/>
      <c r="I405" s="196"/>
      <c r="J405" s="249"/>
      <c r="K405" s="219"/>
      <c r="L405" s="842"/>
      <c r="M405" s="842"/>
      <c r="N405" s="842"/>
      <c r="O405" s="842"/>
      <c r="P405" s="842"/>
      <c r="Q405" s="842"/>
      <c r="R405" s="842"/>
      <c r="T405" s="845"/>
      <c r="U405" s="842"/>
      <c r="V405" s="842"/>
      <c r="W405" s="649"/>
      <c r="X405" s="845"/>
      <c r="Y405" s="842"/>
      <c r="Z405" s="842"/>
      <c r="AE405" s="520"/>
    </row>
    <row r="406" spans="1:44" ht="27.75" customHeight="1" x14ac:dyDescent="0.2">
      <c r="A406" s="701"/>
      <c r="B406" s="701"/>
      <c r="C406" s="1138" t="s">
        <v>1300</v>
      </c>
      <c r="D406" s="1138"/>
      <c r="E406" s="1138"/>
      <c r="F406" s="1138"/>
      <c r="G406" s="1138"/>
      <c r="H406" s="1138"/>
      <c r="I406" s="1138"/>
      <c r="J406" s="1138"/>
      <c r="K406" s="1138"/>
      <c r="L406" s="1138"/>
      <c r="M406" s="1138"/>
      <c r="N406" s="1138"/>
      <c r="O406" s="1138"/>
      <c r="P406" s="842"/>
      <c r="Q406" s="1139" t="s">
        <v>1303</v>
      </c>
      <c r="R406" s="1139"/>
      <c r="S406" s="1139"/>
      <c r="T406" s="1139"/>
      <c r="U406" s="1139"/>
      <c r="V406" s="1139"/>
      <c r="W406" s="1139"/>
      <c r="X406" s="1139"/>
      <c r="Y406" s="1139"/>
      <c r="Z406" s="1139"/>
      <c r="AA406" s="1139"/>
      <c r="AB406" s="1139"/>
      <c r="AC406" s="1139"/>
      <c r="AD406" s="1139"/>
      <c r="AE406" s="1139"/>
    </row>
    <row r="407" spans="1:44" ht="36" customHeight="1" x14ac:dyDescent="0.2">
      <c r="AE407" s="520"/>
    </row>
    <row r="408" spans="1:44" ht="19.5" customHeight="1" thickBot="1" x14ac:dyDescent="0.25">
      <c r="W408" s="500"/>
      <c r="X408" s="520">
        <f ca="1">INDIRECT("AE"&amp;Y408)</f>
        <v>0</v>
      </c>
      <c r="Y408" s="500">
        <f>Z409+2</f>
        <v>16</v>
      </c>
      <c r="Z408" s="501">
        <f ca="1">INDIRECT("AF"&amp;Y408)</f>
        <v>0</v>
      </c>
      <c r="AA408" s="500"/>
      <c r="AB408" s="500"/>
      <c r="AD408" s="679"/>
      <c r="AE408" s="679"/>
      <c r="AF408" s="679"/>
      <c r="AG408" s="679"/>
      <c r="AH408" s="679"/>
      <c r="AI408" s="679"/>
      <c r="AJ408" s="679"/>
      <c r="AK408" s="679"/>
      <c r="AL408" s="679"/>
    </row>
    <row r="409" spans="1:44" s="218" customFormat="1" ht="36" thickBot="1" x14ac:dyDescent="0.25">
      <c r="F409" s="576" t="s">
        <v>546</v>
      </c>
      <c r="G409" s="865" t="str">
        <f>G380</f>
        <v>D1</v>
      </c>
      <c r="I409" s="863" t="str">
        <f>"   "&amp;Championnat</f>
        <v xml:space="preserve">   Championnat de France de Tir à l'ARC</v>
      </c>
      <c r="T409" s="197"/>
      <c r="U409" s="197"/>
      <c r="V409" s="197"/>
      <c r="W409" s="197"/>
      <c r="Y409" s="502" t="s">
        <v>849</v>
      </c>
      <c r="Z409" s="503">
        <f>Z380+1</f>
        <v>14</v>
      </c>
      <c r="AB409" s="254"/>
      <c r="AC409" s="254"/>
      <c r="AD409" s="681"/>
      <c r="AE409" s="680"/>
      <c r="AF409" s="681"/>
      <c r="AH409" s="662"/>
      <c r="AI409" s="662"/>
      <c r="AJ409" s="662"/>
      <c r="AK409" s="662"/>
      <c r="AL409" s="662"/>
      <c r="AM409" s="217"/>
      <c r="AN409" s="217"/>
      <c r="AO409" s="217"/>
      <c r="AP409" s="217"/>
      <c r="AQ409" s="217"/>
      <c r="AR409" s="217"/>
    </row>
    <row r="410" spans="1:44" ht="36" thickBot="1" x14ac:dyDescent="0.25">
      <c r="F410" s="661" t="s">
        <v>628</v>
      </c>
      <c r="G410" s="660">
        <f ca="1">INDIRECT("AD"&amp;Y408)</f>
        <v>0</v>
      </c>
      <c r="I410" s="706" t="str">
        <f>CATEG_IMPORTEE</f>
        <v>Collèges Mixtes Etablissement</v>
      </c>
      <c r="S410" s="864" t="str">
        <f>LIEU&amp;" du "&amp;DATE</f>
        <v>L’Isle sur la Sorgue du 27 au 31 mars 2023</v>
      </c>
      <c r="AB410" s="254"/>
      <c r="AC410" s="254"/>
      <c r="AD410" s="681"/>
      <c r="AE410" s="680"/>
      <c r="AF410" s="681"/>
      <c r="AG410" s="679"/>
      <c r="AH410" s="679"/>
      <c r="AI410" s="679"/>
      <c r="AJ410" s="679"/>
      <c r="AK410" s="679"/>
      <c r="AL410" s="679"/>
    </row>
    <row r="411" spans="1:44" ht="24" customHeight="1" x14ac:dyDescent="0.2">
      <c r="A411" s="1075" t="s">
        <v>0</v>
      </c>
      <c r="B411" s="1075"/>
      <c r="C411" s="1075"/>
      <c r="D411" s="1075"/>
      <c r="E411" s="1075"/>
      <c r="F411" s="1075"/>
      <c r="G411" s="1075"/>
      <c r="H411" s="1075"/>
      <c r="I411" s="1075"/>
      <c r="J411" s="1075"/>
      <c r="Q411" s="1075" t="s">
        <v>0</v>
      </c>
      <c r="R411" s="1075"/>
      <c r="S411" s="1075"/>
      <c r="T411" s="1075"/>
      <c r="U411" s="1075"/>
      <c r="V411" s="1075"/>
      <c r="W411" s="1075"/>
      <c r="X411" s="1075"/>
      <c r="Y411" s="1075"/>
      <c r="Z411" s="1075"/>
      <c r="AB411" s="254"/>
      <c r="AC411" s="254"/>
      <c r="AD411" s="681"/>
      <c r="AE411" s="680"/>
      <c r="AF411" s="681"/>
      <c r="AG411" s="679"/>
      <c r="AH411" s="679"/>
      <c r="AI411" s="679"/>
      <c r="AJ411" s="679"/>
      <c r="AK411" s="679"/>
      <c r="AL411" s="679"/>
    </row>
    <row r="412" spans="1:44" ht="31.5" customHeight="1" x14ac:dyDescent="0.2">
      <c r="A412" s="1144" t="str">
        <f ca="1">IFERROR(VLOOKUP(X408,Num_AS,2,FALSE),"")</f>
        <v/>
      </c>
      <c r="B412" s="1144"/>
      <c r="C412" s="1144"/>
      <c r="D412" s="1144"/>
      <c r="E412" s="1144"/>
      <c r="F412" s="1144"/>
      <c r="G412" s="1144"/>
      <c r="H412" s="1144"/>
      <c r="I412" s="1144"/>
      <c r="J412" s="1144"/>
      <c r="K412" s="869" t="s">
        <v>1299</v>
      </c>
      <c r="L412" s="1145" t="s">
        <v>547</v>
      </c>
      <c r="M412" s="1145"/>
      <c r="N412" s="1145"/>
      <c r="O412" s="870" t="s">
        <v>1298</v>
      </c>
      <c r="Q412" s="1144" t="str">
        <f ca="1">IFERROR(VLOOKUP(Z408,Num_AS,2,FALSE),"")</f>
        <v/>
      </c>
      <c r="R412" s="1144"/>
      <c r="S412" s="1144"/>
      <c r="T412" s="1144"/>
      <c r="U412" s="1144"/>
      <c r="V412" s="1144"/>
      <c r="W412" s="1144"/>
      <c r="X412" s="1144"/>
      <c r="Y412" s="1144"/>
      <c r="Z412" s="1144"/>
      <c r="AB412" s="254"/>
      <c r="AC412" s="254"/>
      <c r="AD412" s="681"/>
      <c r="AE412" s="680"/>
      <c r="AF412" s="681"/>
      <c r="AG412" s="679"/>
      <c r="AH412" s="679"/>
      <c r="AI412" s="679"/>
      <c r="AJ412" s="679"/>
      <c r="AK412" s="679"/>
      <c r="AL412" s="679"/>
    </row>
    <row r="413" spans="1:44" ht="20.100000000000001" customHeight="1" thickBot="1" x14ac:dyDescent="0.25">
      <c r="A413" s="1124" t="s">
        <v>1006</v>
      </c>
      <c r="B413" s="1124"/>
      <c r="C413" s="1125"/>
      <c r="D413" s="1125"/>
      <c r="E413" s="1125"/>
      <c r="F413" s="1125"/>
      <c r="G413" s="1125"/>
      <c r="H413" s="1125"/>
      <c r="I413" s="1125"/>
      <c r="J413" s="1125"/>
      <c r="L413" s="871"/>
      <c r="M413" s="871"/>
      <c r="N413" s="871"/>
      <c r="Q413" s="1124" t="s">
        <v>1005</v>
      </c>
      <c r="R413" s="1124"/>
      <c r="S413" s="1125"/>
      <c r="T413" s="1125"/>
      <c r="U413" s="1125"/>
      <c r="V413" s="1125"/>
      <c r="W413" s="1125"/>
      <c r="X413" s="1125"/>
      <c r="Y413" s="1125"/>
      <c r="Z413" s="1125"/>
      <c r="AB413" s="254"/>
      <c r="AC413" s="254"/>
      <c r="AD413" s="681"/>
      <c r="AE413" s="680"/>
      <c r="AF413" s="681"/>
      <c r="AG413" s="679"/>
      <c r="AH413" s="679"/>
      <c r="AI413" s="679"/>
      <c r="AJ413" s="679"/>
      <c r="AK413" s="679"/>
      <c r="AL413" s="679"/>
    </row>
    <row r="414" spans="1:44" ht="27.75" customHeight="1" x14ac:dyDescent="0.2">
      <c r="A414" s="1117" t="str">
        <f ca="1">IFERROR(VLOOKUP(X408,Num_AS,3,FALSE),"")</f>
        <v/>
      </c>
      <c r="B414" s="1150"/>
      <c r="C414" s="1118"/>
      <c r="D414" s="1151"/>
      <c r="E414" s="1151"/>
      <c r="F414" s="1151"/>
      <c r="G414" s="1151"/>
      <c r="H414" s="1151"/>
      <c r="I414" s="1151"/>
      <c r="J414" s="1119"/>
      <c r="O414" s="219"/>
      <c r="P414" s="219"/>
      <c r="Q414" s="1117" t="str">
        <f ca="1">IFERROR(VLOOKUP(Z408,Num_AS,3,FALSE),"")</f>
        <v/>
      </c>
      <c r="R414" s="1150"/>
      <c r="S414" s="1118"/>
      <c r="T414" s="1151"/>
      <c r="U414" s="1151"/>
      <c r="V414" s="1151"/>
      <c r="W414" s="1151"/>
      <c r="X414" s="1151"/>
      <c r="Y414" s="1151"/>
      <c r="Z414" s="1119"/>
      <c r="AB414" s="254"/>
      <c r="AC414" s="254"/>
      <c r="AD414" s="681"/>
      <c r="AE414" s="680"/>
      <c r="AF414" s="681"/>
      <c r="AG414" s="679"/>
      <c r="AH414" s="679"/>
      <c r="AI414" s="679"/>
      <c r="AJ414" s="679"/>
      <c r="AK414" s="679"/>
      <c r="AL414" s="679"/>
    </row>
    <row r="415" spans="1:44" ht="27.75" customHeight="1" thickBot="1" x14ac:dyDescent="0.25">
      <c r="A415" s="1107" t="str">
        <f ca="1">IFERROR(VLOOKUP(X408,Num_AS,4,FALSE),"")</f>
        <v/>
      </c>
      <c r="B415" s="1152"/>
      <c r="C415" s="1108"/>
      <c r="D415" s="1153"/>
      <c r="E415" s="1153"/>
      <c r="F415" s="1153"/>
      <c r="G415" s="1153"/>
      <c r="H415" s="1153"/>
      <c r="I415" s="1153"/>
      <c r="J415" s="1109"/>
      <c r="Q415" s="1107" t="str">
        <f ca="1">IFERROR(VLOOKUP(Z408,Num_AS,4,FALSE),"")</f>
        <v/>
      </c>
      <c r="R415" s="1152"/>
      <c r="S415" s="1108"/>
      <c r="T415" s="1153"/>
      <c r="U415" s="1153"/>
      <c r="V415" s="1153"/>
      <c r="W415" s="1153"/>
      <c r="X415" s="1153"/>
      <c r="Y415" s="1153"/>
      <c r="Z415" s="1109"/>
      <c r="AB415" s="254"/>
      <c r="AC415" s="254"/>
      <c r="AD415" s="681"/>
      <c r="AE415" s="680"/>
      <c r="AF415" s="681"/>
      <c r="AG415" s="679"/>
      <c r="AH415" s="679"/>
      <c r="AI415" s="679"/>
      <c r="AJ415" s="679"/>
      <c r="AK415" s="679"/>
      <c r="AL415" s="679"/>
    </row>
    <row r="416" spans="1:44" ht="36" customHeight="1" thickBot="1" x14ac:dyDescent="0.25">
      <c r="A416" s="1156" t="s">
        <v>1330</v>
      </c>
      <c r="B416" s="1157"/>
      <c r="C416" s="1157"/>
      <c r="D416" s="1158"/>
      <c r="E416" s="947">
        <f ca="1">VLOOKUP(A412&amp;A414,PTS_SP,3,FALSE)</f>
        <v>0</v>
      </c>
      <c r="Q416" s="1156" t="s">
        <v>1330</v>
      </c>
      <c r="R416" s="1157"/>
      <c r="S416" s="1157"/>
      <c r="T416" s="1158"/>
      <c r="U416" s="947">
        <f ca="1">VLOOKUP(Q412&amp;Q414,PTS_SP,3,FALSE)</f>
        <v>0</v>
      </c>
      <c r="AB416" s="254"/>
      <c r="AC416" s="254"/>
      <c r="AD416" s="681"/>
      <c r="AE416" s="680"/>
      <c r="AF416" s="681"/>
      <c r="AG416" s="679"/>
      <c r="AH416" s="679"/>
      <c r="AI416" s="679"/>
      <c r="AJ416" s="679"/>
      <c r="AK416" s="679"/>
      <c r="AL416" s="679"/>
    </row>
    <row r="417" spans="1:38" ht="38.25" customHeight="1" x14ac:dyDescent="0.2">
      <c r="A417" s="701"/>
      <c r="B417" s="701"/>
      <c r="C417" s="853"/>
      <c r="D417" s="861" t="s">
        <v>1290</v>
      </c>
      <c r="E417" s="853"/>
      <c r="F417" s="854"/>
      <c r="G417" s="854"/>
      <c r="H417" s="872" t="s">
        <v>1295</v>
      </c>
      <c r="I417" s="855"/>
      <c r="J417" s="853"/>
      <c r="K417" s="853"/>
      <c r="L417" s="853"/>
      <c r="M417" s="859"/>
      <c r="N417" s="860" t="s">
        <v>1291</v>
      </c>
      <c r="O417" s="853"/>
      <c r="P417" s="249"/>
      <c r="Q417" s="701"/>
      <c r="R417" s="701"/>
      <c r="S417" s="853"/>
      <c r="T417" s="861" t="s">
        <v>1290</v>
      </c>
      <c r="U417" s="853"/>
      <c r="V417" s="854"/>
      <c r="W417" s="854"/>
      <c r="X417" s="872" t="s">
        <v>1302</v>
      </c>
      <c r="Y417" s="855"/>
      <c r="Z417" s="853"/>
      <c r="AA417" s="853"/>
      <c r="AB417" s="853"/>
      <c r="AC417" s="859"/>
      <c r="AD417" s="860" t="s">
        <v>1291</v>
      </c>
      <c r="AE417" s="853"/>
      <c r="AF417" s="681"/>
      <c r="AG417" s="681"/>
      <c r="AH417" s="681"/>
      <c r="AI417" s="681"/>
      <c r="AJ417" s="679"/>
      <c r="AK417" s="679"/>
      <c r="AL417" s="679"/>
    </row>
    <row r="418" spans="1:38" ht="38.25" customHeight="1" x14ac:dyDescent="0.2">
      <c r="A418" s="856" t="s">
        <v>509</v>
      </c>
      <c r="B418" s="942" t="s">
        <v>1329</v>
      </c>
      <c r="C418" s="857">
        <v>1</v>
      </c>
      <c r="D418" s="857">
        <v>2</v>
      </c>
      <c r="E418" s="857">
        <v>3</v>
      </c>
      <c r="F418" s="857">
        <v>4</v>
      </c>
      <c r="G418" s="857">
        <v>5</v>
      </c>
      <c r="H418" s="857">
        <v>6</v>
      </c>
      <c r="I418" s="857">
        <v>7</v>
      </c>
      <c r="J418" s="857">
        <v>8</v>
      </c>
      <c r="K418" s="858" t="s">
        <v>1286</v>
      </c>
      <c r="L418" s="1154" t="s">
        <v>1287</v>
      </c>
      <c r="M418" s="1154"/>
      <c r="N418" s="1154"/>
      <c r="O418" s="858" t="s">
        <v>1288</v>
      </c>
      <c r="P418" s="844"/>
      <c r="Q418" s="856" t="s">
        <v>509</v>
      </c>
      <c r="R418" s="942" t="s">
        <v>1329</v>
      </c>
      <c r="S418" s="857">
        <v>1</v>
      </c>
      <c r="T418" s="857">
        <v>2</v>
      </c>
      <c r="U418" s="857">
        <v>3</v>
      </c>
      <c r="V418" s="857">
        <v>4</v>
      </c>
      <c r="W418" s="857">
        <v>5</v>
      </c>
      <c r="X418" s="857">
        <v>6</v>
      </c>
      <c r="Y418" s="857">
        <v>7</v>
      </c>
      <c r="Z418" s="857">
        <v>8</v>
      </c>
      <c r="AA418" s="858" t="s">
        <v>1286</v>
      </c>
      <c r="AB418" s="1154" t="s">
        <v>1287</v>
      </c>
      <c r="AC418" s="1154"/>
      <c r="AD418" s="1154"/>
      <c r="AE418" s="858" t="s">
        <v>1288</v>
      </c>
      <c r="AF418" s="681"/>
      <c r="AG418" s="681"/>
      <c r="AH418" s="681"/>
      <c r="AI418" s="681"/>
      <c r="AJ418" s="679"/>
      <c r="AK418" s="679"/>
      <c r="AL418" s="679"/>
    </row>
    <row r="419" spans="1:38" ht="30" customHeight="1" x14ac:dyDescent="0.25">
      <c r="A419" s="846" t="s">
        <v>1282</v>
      </c>
      <c r="B419" s="948">
        <f ca="1">E416</f>
        <v>0</v>
      </c>
      <c r="C419" s="843"/>
      <c r="D419" s="843"/>
      <c r="E419" s="843"/>
      <c r="F419" s="843"/>
      <c r="G419" s="847"/>
      <c r="H419" s="848"/>
      <c r="I419" s="846"/>
      <c r="J419" s="843"/>
      <c r="K419" s="843"/>
      <c r="L419" s="849">
        <f ca="1">IF(Q412="Matchs de CLASSEMENT","X",2)</f>
        <v>2</v>
      </c>
      <c r="M419" s="849">
        <f ca="1">IF(Q412="Matchs de CLASSEMENT","X",1)</f>
        <v>1</v>
      </c>
      <c r="N419" s="849">
        <f ca="1">IF(Q412="Matchs de CLASSEMENT","X",0)</f>
        <v>0</v>
      </c>
      <c r="O419" s="849" t="str">
        <f ca="1">IF(Q412="Matchs de CLASSEMENT","X","")</f>
        <v/>
      </c>
      <c r="P419" s="842"/>
      <c r="Q419" s="849" t="str">
        <f ca="1">IF(Q412="Matchs de CLASSEMENT","X","V1")</f>
        <v>V1</v>
      </c>
      <c r="R419" s="948">
        <f ca="1">U416</f>
        <v>0</v>
      </c>
      <c r="S419" s="849" t="str">
        <f ca="1">IF(Q412="Matchs de CLASSEMENT","X","")</f>
        <v/>
      </c>
      <c r="T419" s="849" t="str">
        <f ca="1">IF(Q412="Matchs de CLASSEMENT","X","")</f>
        <v/>
      </c>
      <c r="U419" s="849" t="str">
        <f ca="1">IF(Q412="Matchs de CLASSEMENT","X","")</f>
        <v/>
      </c>
      <c r="V419" s="849" t="str">
        <f ca="1">IF(Q412="Matchs de CLASSEMENT","X","")</f>
        <v/>
      </c>
      <c r="W419" s="849" t="str">
        <f ca="1">IF(Q412="Matchs de CLASSEMENT","X","")</f>
        <v/>
      </c>
      <c r="X419" s="849" t="str">
        <f ca="1">IF(Q412="Matchs de CLASSEMENT","X","")</f>
        <v/>
      </c>
      <c r="Y419" s="849" t="str">
        <f ca="1">IF(Q412="Matchs de CLASSEMENT","X","")</f>
        <v/>
      </c>
      <c r="Z419" s="849" t="str">
        <f ca="1">IF(Q412="Matchs de CLASSEMENT","X","")</f>
        <v/>
      </c>
      <c r="AA419" s="849" t="str">
        <f ca="1">IF(Q412="Matchs de CLASSEMENT","X","")</f>
        <v/>
      </c>
      <c r="AB419" s="849">
        <f ca="1">IF(Q412="Matchs de CLASSEMENT","X",2)</f>
        <v>2</v>
      </c>
      <c r="AC419" s="849">
        <f ca="1">IF(Q412="Matchs de CLASSEMENT","X",1)</f>
        <v>1</v>
      </c>
      <c r="AD419" s="849">
        <f ca="1">IF(Q412="Matchs de CLASSEMENT","X",0)</f>
        <v>0</v>
      </c>
      <c r="AE419" s="849" t="str">
        <f ca="1">IF(Q412="Matchs de CLASSEMENT","X","")</f>
        <v/>
      </c>
      <c r="AF419" s="679"/>
      <c r="AG419" s="679"/>
      <c r="AH419" s="679"/>
      <c r="AI419" s="679"/>
      <c r="AJ419" s="679"/>
      <c r="AK419" s="679"/>
      <c r="AL419" s="679"/>
    </row>
    <row r="420" spans="1:38" ht="30" customHeight="1" x14ac:dyDescent="0.25">
      <c r="A420" s="846" t="s">
        <v>1283</v>
      </c>
      <c r="B420" s="948">
        <f ca="1">B419</f>
        <v>0</v>
      </c>
      <c r="C420" s="843"/>
      <c r="D420" s="843"/>
      <c r="E420" s="843"/>
      <c r="F420" s="843"/>
      <c r="G420" s="847"/>
      <c r="H420" s="848"/>
      <c r="I420" s="846"/>
      <c r="J420" s="843"/>
      <c r="K420" s="843"/>
      <c r="L420" s="849">
        <f ca="1">IF(Q412="Matchs de CLASSEMENT","X",2)</f>
        <v>2</v>
      </c>
      <c r="M420" s="849">
        <f ca="1">IF(Q412="Matchs de CLASSEMENT","X",1)</f>
        <v>1</v>
      </c>
      <c r="N420" s="849">
        <f ca="1">IF(Q412="Matchs de CLASSEMENT","X",0)</f>
        <v>0</v>
      </c>
      <c r="O420" s="849" t="str">
        <f ca="1">IF(Q412="Matchs de CLASSEMENT","X","")</f>
        <v/>
      </c>
      <c r="P420" s="842"/>
      <c r="Q420" s="849" t="str">
        <f ca="1">IF(Q412="Matchs de CLASSEMENT","X","V2")</f>
        <v>V2</v>
      </c>
      <c r="R420" s="948">
        <f ca="1">R419</f>
        <v>0</v>
      </c>
      <c r="S420" s="849" t="str">
        <f ca="1">IF(Q412="Matchs de CLASSEMENT","X","")</f>
        <v/>
      </c>
      <c r="T420" s="849" t="str">
        <f ca="1">IF(Q412="Matchs de CLASSEMENT","X","")</f>
        <v/>
      </c>
      <c r="U420" s="849" t="str">
        <f ca="1">IF(Q412="Matchs de CLASSEMENT","X","")</f>
        <v/>
      </c>
      <c r="V420" s="849" t="str">
        <f ca="1">IF(Q412="Matchs de CLASSEMENT","X","")</f>
        <v/>
      </c>
      <c r="W420" s="849" t="str">
        <f ca="1">IF(Q412="Matchs de CLASSEMENT","X","")</f>
        <v/>
      </c>
      <c r="X420" s="849" t="str">
        <f ca="1">IF(Q412="Matchs de CLASSEMENT","X","")</f>
        <v/>
      </c>
      <c r="Y420" s="849" t="str">
        <f ca="1">IF(Q412="Matchs de CLASSEMENT","X","")</f>
        <v/>
      </c>
      <c r="Z420" s="849" t="str">
        <f ca="1">IF(Q412="Matchs de CLASSEMENT","X","")</f>
        <v/>
      </c>
      <c r="AA420" s="849" t="str">
        <f ca="1">IF(Q412="Matchs de CLASSEMENT","X","")</f>
        <v/>
      </c>
      <c r="AB420" s="849">
        <f ca="1">IF(Q412="Matchs de CLASSEMENT","X",2)</f>
        <v>2</v>
      </c>
      <c r="AC420" s="849">
        <f ca="1">IF(Q412="Matchs de CLASSEMENT","X",1)</f>
        <v>1</v>
      </c>
      <c r="AD420" s="849">
        <f ca="1">IF(Q412="Matchs de CLASSEMENT","X",0)</f>
        <v>0</v>
      </c>
      <c r="AE420" s="849" t="str">
        <f ca="1">IF(Q412="Matchs de CLASSEMENT","X","")</f>
        <v/>
      </c>
      <c r="AF420" s="679"/>
      <c r="AG420" s="679"/>
      <c r="AH420" s="679"/>
      <c r="AI420" s="679"/>
      <c r="AJ420" s="679"/>
      <c r="AK420" s="679"/>
      <c r="AL420" s="679"/>
    </row>
    <row r="421" spans="1:38" ht="30" customHeight="1" x14ac:dyDescent="0.25">
      <c r="A421" s="846" t="s">
        <v>1284</v>
      </c>
      <c r="B421" s="948">
        <f t="shared" ref="B421:B422" ca="1" si="27">B420</f>
        <v>0</v>
      </c>
      <c r="C421" s="843"/>
      <c r="D421" s="843"/>
      <c r="E421" s="843"/>
      <c r="F421" s="843"/>
      <c r="G421" s="847"/>
      <c r="H421" s="848"/>
      <c r="I421" s="846"/>
      <c r="J421" s="843"/>
      <c r="K421" s="843"/>
      <c r="L421" s="849">
        <f ca="1">IF(Q412="Matchs de CLASSEMENT","X",2)</f>
        <v>2</v>
      </c>
      <c r="M421" s="849">
        <f ca="1">IF(Q412="Matchs de CLASSEMENT","X",1)</f>
        <v>1</v>
      </c>
      <c r="N421" s="849">
        <f ca="1">IF(Q412="Matchs de CLASSEMENT","X",0)</f>
        <v>0</v>
      </c>
      <c r="O421" s="849" t="str">
        <f ca="1">IF(Q412="Matchs de CLASSEMENT","X","")</f>
        <v/>
      </c>
      <c r="P421" s="842"/>
      <c r="Q421" s="849" t="str">
        <f ca="1">IF(Q412="Matchs de CLASSEMENT","X","V3")</f>
        <v>V3</v>
      </c>
      <c r="R421" s="948">
        <f t="shared" ref="R421:R422" ca="1" si="28">R420</f>
        <v>0</v>
      </c>
      <c r="S421" s="849" t="str">
        <f ca="1">IF(Q412="Matchs de CLASSEMENT","X","")</f>
        <v/>
      </c>
      <c r="T421" s="849" t="str">
        <f ca="1">IF(Q412="Matchs de CLASSEMENT","X","")</f>
        <v/>
      </c>
      <c r="U421" s="849" t="str">
        <f ca="1">IF(Q412="Matchs de CLASSEMENT","X","")</f>
        <v/>
      </c>
      <c r="V421" s="849" t="str">
        <f ca="1">IF(Q412="Matchs de CLASSEMENT","X","")</f>
        <v/>
      </c>
      <c r="W421" s="849" t="str">
        <f ca="1">IF(Q412="Matchs de CLASSEMENT","X","")</f>
        <v/>
      </c>
      <c r="X421" s="849" t="str">
        <f ca="1">IF(Q412="Matchs de CLASSEMENT","X","")</f>
        <v/>
      </c>
      <c r="Y421" s="849" t="str">
        <f ca="1">IF(Q412="Matchs de CLASSEMENT","X","")</f>
        <v/>
      </c>
      <c r="Z421" s="849" t="str">
        <f ca="1">IF(Q412="Matchs de CLASSEMENT","X","")</f>
        <v/>
      </c>
      <c r="AA421" s="849" t="str">
        <f ca="1">IF(Q412="Matchs de CLASSEMENT","X","")</f>
        <v/>
      </c>
      <c r="AB421" s="849">
        <f ca="1">IF(Q412="Matchs de CLASSEMENT","X",2)</f>
        <v>2</v>
      </c>
      <c r="AC421" s="849">
        <f ca="1">IF(Q412="Matchs de CLASSEMENT","X",1)</f>
        <v>1</v>
      </c>
      <c r="AD421" s="849">
        <f ca="1">IF(Q412="Matchs de CLASSEMENT","X",0)</f>
        <v>0</v>
      </c>
      <c r="AE421" s="849" t="str">
        <f ca="1">IF(Q412="Matchs de CLASSEMENT","X","")</f>
        <v/>
      </c>
      <c r="AF421" s="679"/>
      <c r="AG421" s="679"/>
      <c r="AH421" s="679"/>
      <c r="AI421" s="679"/>
      <c r="AJ421" s="679"/>
      <c r="AK421" s="679"/>
      <c r="AL421" s="679"/>
    </row>
    <row r="422" spans="1:38" ht="30" customHeight="1" x14ac:dyDescent="0.25">
      <c r="A422" s="846" t="s">
        <v>1285</v>
      </c>
      <c r="B422" s="948">
        <f t="shared" ca="1" si="27"/>
        <v>0</v>
      </c>
      <c r="C422" s="843"/>
      <c r="D422" s="843"/>
      <c r="E422" s="843"/>
      <c r="F422" s="843"/>
      <c r="G422" s="847"/>
      <c r="H422" s="848"/>
      <c r="I422" s="846"/>
      <c r="J422" s="843"/>
      <c r="K422" s="843"/>
      <c r="L422" s="849">
        <f ca="1">IF(Q412="Matchs de CLASSEMENT","X",2)</f>
        <v>2</v>
      </c>
      <c r="M422" s="849">
        <f ca="1">IF(Q412="Matchs de CLASSEMENT","X",1)</f>
        <v>1</v>
      </c>
      <c r="N422" s="849">
        <f ca="1">IF(Q412="Matchs de CLASSEMENT","X",0)</f>
        <v>0</v>
      </c>
      <c r="O422" s="849" t="str">
        <f ca="1">IF(Q412="Matchs de CLASSEMENT","X","")</f>
        <v/>
      </c>
      <c r="P422" s="842"/>
      <c r="Q422" s="849" t="str">
        <f ca="1">IF(Q412="Matchs de CLASSEMENT","X","V4")</f>
        <v>V4</v>
      </c>
      <c r="R422" s="948">
        <f t="shared" ca="1" si="28"/>
        <v>0</v>
      </c>
      <c r="S422" s="849" t="str">
        <f ca="1">IF(Q412="Matchs de CLASSEMENT","X","")</f>
        <v/>
      </c>
      <c r="T422" s="849" t="str">
        <f ca="1">IF(Q412="Matchs de CLASSEMENT","X","")</f>
        <v/>
      </c>
      <c r="U422" s="849" t="str">
        <f ca="1">IF(Q412="Matchs de CLASSEMENT","X","")</f>
        <v/>
      </c>
      <c r="V422" s="849" t="str">
        <f ca="1">IF(Q412="Matchs de CLASSEMENT","X","")</f>
        <v/>
      </c>
      <c r="W422" s="849" t="str">
        <f ca="1">IF(Q412="Matchs de CLASSEMENT","X","")</f>
        <v/>
      </c>
      <c r="X422" s="849" t="str">
        <f ca="1">IF(Q412="Matchs de CLASSEMENT","X","")</f>
        <v/>
      </c>
      <c r="Y422" s="849" t="str">
        <f ca="1">IF(Q412="Matchs de CLASSEMENT","X","")</f>
        <v/>
      </c>
      <c r="Z422" s="849" t="str">
        <f ca="1">IF(Q412="Matchs de CLASSEMENT","X","")</f>
        <v/>
      </c>
      <c r="AA422" s="849" t="str">
        <f ca="1">IF(Q412="Matchs de CLASSEMENT","X","")</f>
        <v/>
      </c>
      <c r="AB422" s="849">
        <f ca="1">IF(Q412="Matchs de CLASSEMENT","X",2)</f>
        <v>2</v>
      </c>
      <c r="AC422" s="849">
        <f ca="1">IF(Q412="Matchs de CLASSEMENT","X",1)</f>
        <v>1</v>
      </c>
      <c r="AD422" s="849">
        <f ca="1">IF(Q412="Matchs de CLASSEMENT","X",0)</f>
        <v>0</v>
      </c>
      <c r="AE422" s="849" t="str">
        <f ca="1">IF(Q412="Matchs de CLASSEMENT","X","")</f>
        <v/>
      </c>
      <c r="AF422" s="679"/>
      <c r="AG422" s="679"/>
      <c r="AH422" s="679"/>
      <c r="AI422" s="679"/>
      <c r="AJ422" s="679"/>
      <c r="AK422" s="679"/>
      <c r="AL422" s="679"/>
    </row>
    <row r="423" spans="1:38" ht="30" customHeight="1" x14ac:dyDescent="0.2">
      <c r="N423" s="867" t="s">
        <v>1294</v>
      </c>
      <c r="O423" s="848"/>
      <c r="AD423" s="867" t="s">
        <v>1294</v>
      </c>
      <c r="AE423" s="866"/>
      <c r="AF423" s="679"/>
      <c r="AG423" s="679"/>
      <c r="AH423" s="679"/>
      <c r="AI423" s="679"/>
      <c r="AJ423" s="679"/>
      <c r="AK423" s="679"/>
      <c r="AL423" s="679"/>
    </row>
    <row r="424" spans="1:38" ht="12.75" customHeight="1" x14ac:dyDescent="0.2">
      <c r="AE424" s="520"/>
      <c r="AF424" s="679"/>
      <c r="AG424" s="679"/>
      <c r="AH424" s="679"/>
      <c r="AI424" s="679"/>
      <c r="AJ424" s="679"/>
      <c r="AK424" s="679"/>
      <c r="AL424" s="679"/>
    </row>
    <row r="425" spans="1:38" ht="18.75" customHeight="1" x14ac:dyDescent="0.2">
      <c r="A425" s="584"/>
      <c r="B425" s="584"/>
      <c r="C425" s="701" t="s">
        <v>1289</v>
      </c>
      <c r="D425" s="249"/>
      <c r="E425" s="196"/>
      <c r="F425" s="196"/>
      <c r="G425" s="584"/>
      <c r="H425" s="1155" t="s">
        <v>1301</v>
      </c>
      <c r="I425" s="1155"/>
      <c r="J425" s="1155"/>
      <c r="K425" s="1155"/>
      <c r="L425" s="1155"/>
      <c r="M425" s="1155"/>
      <c r="N425" s="1155"/>
      <c r="O425" s="1155"/>
      <c r="P425" s="842"/>
      <c r="Q425" s="219"/>
      <c r="R425" s="219"/>
      <c r="S425" s="701" t="s">
        <v>1289</v>
      </c>
      <c r="T425" s="249"/>
      <c r="U425" s="196"/>
      <c r="V425" s="196"/>
      <c r="X425" s="1155" t="s">
        <v>1304</v>
      </c>
      <c r="Y425" s="1155"/>
      <c r="Z425" s="1155"/>
      <c r="AA425" s="1155"/>
      <c r="AB425" s="1155"/>
      <c r="AC425" s="1155"/>
      <c r="AD425" s="1155"/>
      <c r="AE425" s="1155"/>
      <c r="AF425" s="679"/>
      <c r="AG425" s="679"/>
      <c r="AH425" s="679"/>
      <c r="AI425" s="679"/>
      <c r="AJ425" s="679"/>
      <c r="AK425" s="679"/>
      <c r="AL425" s="679"/>
    </row>
    <row r="426" spans="1:38" ht="32.25" customHeight="1" x14ac:dyDescent="0.2">
      <c r="A426" s="584"/>
      <c r="B426" s="584"/>
      <c r="C426" s="850"/>
      <c r="D426" s="851"/>
      <c r="E426" s="852"/>
      <c r="F426" s="852"/>
      <c r="G426" s="584"/>
      <c r="H426" s="1149" t="s">
        <v>549</v>
      </c>
      <c r="I426" s="1149"/>
      <c r="J426" s="1149"/>
      <c r="K426" s="1149"/>
      <c r="L426" s="1149"/>
      <c r="M426" s="1146" t="s">
        <v>550</v>
      </c>
      <c r="N426" s="1147"/>
      <c r="O426" s="1148"/>
      <c r="P426" s="842"/>
      <c r="Q426" s="219"/>
      <c r="R426" s="219"/>
      <c r="S426" s="850"/>
      <c r="T426" s="851"/>
      <c r="U426" s="852"/>
      <c r="V426" s="852"/>
      <c r="X426" s="1149" t="s">
        <v>549</v>
      </c>
      <c r="Y426" s="1149"/>
      <c r="Z426" s="1149"/>
      <c r="AA426" s="1149"/>
      <c r="AB426" s="1149"/>
      <c r="AC426" s="1146" t="s">
        <v>550</v>
      </c>
      <c r="AD426" s="1147"/>
      <c r="AE426" s="1148"/>
      <c r="AG426" s="679"/>
      <c r="AH426" s="679"/>
      <c r="AI426" s="679"/>
      <c r="AJ426" s="679"/>
      <c r="AK426" s="679"/>
      <c r="AL426" s="679"/>
    </row>
    <row r="427" spans="1:38" ht="32.25" customHeight="1" x14ac:dyDescent="0.2">
      <c r="A427" s="584"/>
      <c r="B427" s="584"/>
      <c r="C427" s="850"/>
      <c r="D427" s="851"/>
      <c r="E427" s="852"/>
      <c r="F427" s="852"/>
      <c r="G427" s="584"/>
      <c r="H427" s="1140" t="str">
        <f ca="1">IFERROR(VLOOKUP(X408,Num_AS,6,FALSE)&amp;" "&amp;VLOOKUP(X408,Num_AS,7,FALSE),"")</f>
        <v/>
      </c>
      <c r="I427" s="1140"/>
      <c r="J427" s="1140"/>
      <c r="K427" s="1140"/>
      <c r="L427" s="1140"/>
      <c r="M427" s="1129" t="str">
        <f ca="1">IFERROR(VLOOKUP(X408,Num_AS,9,FALSE),"")</f>
        <v/>
      </c>
      <c r="N427" s="1130"/>
      <c r="O427" s="1131"/>
      <c r="P427" s="842"/>
      <c r="Q427" s="219"/>
      <c r="R427" s="219"/>
      <c r="S427" s="850"/>
      <c r="T427" s="851"/>
      <c r="U427" s="852"/>
      <c r="V427" s="852"/>
      <c r="W427" s="196"/>
      <c r="X427" s="1140" t="str">
        <f ca="1">IFERROR(VLOOKUP(Z408,Num_AS,6,FALSE)&amp;" "&amp;VLOOKUP(Z408,Num_AS,7,FALSE),"")</f>
        <v/>
      </c>
      <c r="Y427" s="1140"/>
      <c r="Z427" s="1140"/>
      <c r="AA427" s="1140"/>
      <c r="AB427" s="1140"/>
      <c r="AC427" s="1129" t="str">
        <f ca="1">IFERROR(VLOOKUP(Z408,Num_AS,9,FALSE),"")</f>
        <v/>
      </c>
      <c r="AD427" s="1130"/>
      <c r="AE427" s="1131"/>
    </row>
    <row r="428" spans="1:38" ht="32.25" customHeight="1" x14ac:dyDescent="0.2">
      <c r="A428" s="584"/>
      <c r="B428" s="584"/>
      <c r="C428" s="850"/>
      <c r="D428" s="851"/>
      <c r="E428" s="852"/>
      <c r="F428" s="852"/>
      <c r="G428" s="584"/>
      <c r="H428" s="1140" t="str">
        <f ca="1">IFERROR(VLOOKUP(X408,Num_AS,12,FALSE)&amp;" "&amp;VLOOKUP(X408,Num_AS,13,FALSE),"")</f>
        <v/>
      </c>
      <c r="I428" s="1140"/>
      <c r="J428" s="1140"/>
      <c r="K428" s="1140"/>
      <c r="L428" s="1140"/>
      <c r="M428" s="1129" t="str">
        <f ca="1">IFERROR(VLOOKUP(X408,Num_AS,15,FALSE),"")</f>
        <v/>
      </c>
      <c r="N428" s="1130"/>
      <c r="O428" s="1131">
        <f ca="1">G410</f>
        <v>0</v>
      </c>
      <c r="P428" s="842"/>
      <c r="Q428" s="219"/>
      <c r="R428" s="219"/>
      <c r="S428" s="850"/>
      <c r="T428" s="851"/>
      <c r="U428" s="852"/>
      <c r="V428" s="852"/>
      <c r="W428" s="196"/>
      <c r="X428" s="1140" t="str">
        <f ca="1">IFERROR(VLOOKUP(Z408,Num_AS,12,FALSE)&amp;" "&amp;VLOOKUP(Z408,Num_AS,13,FALSE),"")</f>
        <v/>
      </c>
      <c r="Y428" s="1140"/>
      <c r="Z428" s="1140"/>
      <c r="AA428" s="1140"/>
      <c r="AB428" s="1140"/>
      <c r="AC428" s="1129" t="str">
        <f ca="1">IFERROR(VLOOKUP(Z408,Num_AS,15,FALSE),"")</f>
        <v/>
      </c>
      <c r="AD428" s="1130"/>
      <c r="AE428" s="1131">
        <f>W410</f>
        <v>0</v>
      </c>
    </row>
    <row r="429" spans="1:38" ht="32.25" customHeight="1" x14ac:dyDescent="0.2">
      <c r="A429" s="584"/>
      <c r="B429" s="584"/>
      <c r="C429" s="584"/>
      <c r="D429" s="584"/>
      <c r="E429" s="584"/>
      <c r="F429" s="584"/>
      <c r="G429" s="584"/>
      <c r="H429" s="1140" t="str">
        <f ca="1">IFERROR(VLOOKUP(X408,Num_AS,18,FALSE)&amp;" "&amp;VLOOKUP(X408,Num_AS,19,FALSE),"")</f>
        <v/>
      </c>
      <c r="I429" s="1140"/>
      <c r="J429" s="1140"/>
      <c r="K429" s="1140"/>
      <c r="L429" s="1140"/>
      <c r="M429" s="1129" t="str">
        <f ca="1">IFERROR(VLOOKUP(X408,Num_AS,21,FALSE),"")</f>
        <v/>
      </c>
      <c r="N429" s="1130"/>
      <c r="O429" s="1131">
        <f ca="1">G410</f>
        <v>0</v>
      </c>
      <c r="P429" s="842"/>
      <c r="Q429" s="219"/>
      <c r="R429" s="219"/>
      <c r="S429" s="584"/>
      <c r="T429" s="584"/>
      <c r="U429" s="584"/>
      <c r="V429" s="584"/>
      <c r="W429" s="196"/>
      <c r="X429" s="1140" t="str">
        <f ca="1">IFERROR(VLOOKUP(Z408,Num_AS,18,FALSE)&amp;" "&amp;VLOOKUP(Z408,Num_AS,19,FALSE),"")</f>
        <v/>
      </c>
      <c r="Y429" s="1140"/>
      <c r="Z429" s="1140"/>
      <c r="AA429" s="1140"/>
      <c r="AB429" s="1140"/>
      <c r="AC429" s="1129" t="str">
        <f ca="1">IFERROR(VLOOKUP(Z408,Num_AS,21,FALSE),"")</f>
        <v/>
      </c>
      <c r="AD429" s="1130"/>
      <c r="AE429" s="1131">
        <f>W410</f>
        <v>0</v>
      </c>
    </row>
    <row r="430" spans="1:38" ht="32.25" customHeight="1" x14ac:dyDescent="0.2">
      <c r="A430" s="584"/>
      <c r="B430" s="584"/>
      <c r="C430" s="862"/>
      <c r="D430" s="1141" t="s">
        <v>1292</v>
      </c>
      <c r="E430" s="1142"/>
      <c r="F430" s="1143"/>
      <c r="G430" s="584"/>
      <c r="H430" s="1140" t="str">
        <f ca="1">IFERROR(VLOOKUP(X408,Num_AS,24,FALSE)&amp;" "&amp;VLOOKUP(X408,Num_AS,25,FALSE),"")</f>
        <v/>
      </c>
      <c r="I430" s="1140"/>
      <c r="J430" s="1140"/>
      <c r="K430" s="1140"/>
      <c r="L430" s="1140"/>
      <c r="M430" s="1129" t="str">
        <f ca="1">IFERROR(VLOOKUP(X408,Num_AS,9,FALSE),"")</f>
        <v/>
      </c>
      <c r="N430" s="1130"/>
      <c r="O430" s="1131">
        <f ca="1">G410</f>
        <v>0</v>
      </c>
      <c r="P430" s="842"/>
      <c r="Q430" s="219"/>
      <c r="R430" s="219"/>
      <c r="S430" s="862"/>
      <c r="T430" s="1141" t="s">
        <v>1292</v>
      </c>
      <c r="U430" s="1142"/>
      <c r="V430" s="1143"/>
      <c r="W430" s="196"/>
      <c r="X430" s="1140" t="str">
        <f ca="1">IFERROR(VLOOKUP(Z408,Num_AS,24,FALSE)&amp;" "&amp;VLOOKUP(Z408,Num_AS,25,FALSE),"")</f>
        <v/>
      </c>
      <c r="Y430" s="1140"/>
      <c r="Z430" s="1140"/>
      <c r="AA430" s="1140"/>
      <c r="AB430" s="1140"/>
      <c r="AC430" s="1129" t="str">
        <f ca="1">IFERROR(VLOOKUP(Z408,Num_AS,9,FALSE),"")</f>
        <v/>
      </c>
      <c r="AD430" s="1130"/>
      <c r="AE430" s="1131">
        <f>W410</f>
        <v>0</v>
      </c>
    </row>
    <row r="431" spans="1:38" ht="18.75" customHeight="1" thickBot="1" x14ac:dyDescent="0.25">
      <c r="A431" s="701"/>
      <c r="B431" s="701"/>
      <c r="C431" s="249"/>
      <c r="D431" s="249"/>
      <c r="E431" s="249"/>
      <c r="F431" s="701"/>
      <c r="G431" s="701"/>
      <c r="H431" s="196"/>
      <c r="I431" s="196"/>
      <c r="J431" s="249"/>
      <c r="K431" s="219"/>
      <c r="L431" s="219"/>
      <c r="M431" s="219"/>
      <c r="N431" s="219"/>
      <c r="O431" s="219"/>
      <c r="P431" s="219"/>
      <c r="Q431" s="219"/>
      <c r="R431" s="219"/>
      <c r="S431" s="219"/>
      <c r="T431" s="219"/>
      <c r="U431" s="219"/>
      <c r="V431" s="219"/>
      <c r="W431" s="219"/>
      <c r="X431" s="219"/>
      <c r="Y431" s="249"/>
      <c r="Z431" s="219"/>
      <c r="AE431" s="520"/>
    </row>
    <row r="432" spans="1:38" ht="32.25" customHeight="1" x14ac:dyDescent="0.25">
      <c r="A432" s="701"/>
      <c r="B432" s="701"/>
      <c r="D432" s="875" t="s">
        <v>1002</v>
      </c>
      <c r="E432" s="876"/>
      <c r="F432" s="876"/>
      <c r="G432" s="876"/>
      <c r="H432" s="876"/>
      <c r="I432" s="876"/>
      <c r="J432" s="876"/>
      <c r="K432" s="876"/>
      <c r="L432" s="876"/>
      <c r="M432" s="877" t="s">
        <v>1297</v>
      </c>
      <c r="N432" s="219"/>
      <c r="O432" s="1132" t="s">
        <v>1293</v>
      </c>
      <c r="P432" s="1133"/>
      <c r="Q432" s="1134"/>
      <c r="R432" s="941"/>
      <c r="T432" s="875" t="s">
        <v>1002</v>
      </c>
      <c r="U432" s="876"/>
      <c r="V432" s="876"/>
      <c r="W432" s="876"/>
      <c r="X432" s="876"/>
      <c r="Y432" s="876"/>
      <c r="Z432" s="876"/>
      <c r="AA432" s="876"/>
      <c r="AB432" s="876"/>
      <c r="AC432" s="877" t="s">
        <v>1296</v>
      </c>
      <c r="AE432" s="520"/>
    </row>
    <row r="433" spans="1:44" ht="70.5" customHeight="1" thickBot="1" x14ac:dyDescent="0.25">
      <c r="A433" s="701"/>
      <c r="B433" s="701"/>
      <c r="D433" s="878"/>
      <c r="E433" s="879"/>
      <c r="F433" s="879"/>
      <c r="G433" s="879"/>
      <c r="H433" s="879"/>
      <c r="I433" s="879"/>
      <c r="J433" s="879"/>
      <c r="K433" s="879"/>
      <c r="L433" s="879"/>
      <c r="M433" s="880"/>
      <c r="N433" s="219"/>
      <c r="O433" s="1135"/>
      <c r="P433" s="1136"/>
      <c r="Q433" s="1137"/>
      <c r="R433" s="941"/>
      <c r="T433" s="878"/>
      <c r="U433" s="879"/>
      <c r="V433" s="879"/>
      <c r="W433" s="879"/>
      <c r="X433" s="879"/>
      <c r="Y433" s="879"/>
      <c r="Z433" s="879"/>
      <c r="AA433" s="879"/>
      <c r="AB433" s="879"/>
      <c r="AC433" s="880"/>
      <c r="AE433" s="520"/>
    </row>
    <row r="434" spans="1:44" ht="6.75" customHeight="1" x14ac:dyDescent="0.25">
      <c r="A434" s="701"/>
      <c r="B434" s="701"/>
      <c r="C434" s="249"/>
      <c r="D434" s="249"/>
      <c r="E434" s="249"/>
      <c r="F434" s="701"/>
      <c r="G434" s="701"/>
      <c r="H434" s="196"/>
      <c r="I434" s="196"/>
      <c r="J434" s="249"/>
      <c r="K434" s="219"/>
      <c r="L434" s="842"/>
      <c r="M434" s="842"/>
      <c r="N434" s="842"/>
      <c r="O434" s="842"/>
      <c r="P434" s="842"/>
      <c r="Q434" s="842"/>
      <c r="R434" s="842"/>
      <c r="T434" s="845"/>
      <c r="U434" s="842"/>
      <c r="V434" s="842"/>
      <c r="W434" s="649"/>
      <c r="X434" s="845"/>
      <c r="Y434" s="842"/>
      <c r="Z434" s="842"/>
      <c r="AE434" s="520"/>
    </row>
    <row r="435" spans="1:44" ht="27.75" customHeight="1" x14ac:dyDescent="0.2">
      <c r="A435" s="701"/>
      <c r="B435" s="701"/>
      <c r="C435" s="1138" t="s">
        <v>1300</v>
      </c>
      <c r="D435" s="1138"/>
      <c r="E435" s="1138"/>
      <c r="F435" s="1138"/>
      <c r="G435" s="1138"/>
      <c r="H435" s="1138"/>
      <c r="I435" s="1138"/>
      <c r="J435" s="1138"/>
      <c r="K435" s="1138"/>
      <c r="L435" s="1138"/>
      <c r="M435" s="1138"/>
      <c r="N435" s="1138"/>
      <c r="O435" s="1138"/>
      <c r="P435" s="842"/>
      <c r="Q435" s="1139" t="s">
        <v>1303</v>
      </c>
      <c r="R435" s="1139"/>
      <c r="S435" s="1139"/>
      <c r="T435" s="1139"/>
      <c r="U435" s="1139"/>
      <c r="V435" s="1139"/>
      <c r="W435" s="1139"/>
      <c r="X435" s="1139"/>
      <c r="Y435" s="1139"/>
      <c r="Z435" s="1139"/>
      <c r="AA435" s="1139"/>
      <c r="AB435" s="1139"/>
      <c r="AC435" s="1139"/>
      <c r="AD435" s="1139"/>
      <c r="AE435" s="1139"/>
    </row>
    <row r="436" spans="1:44" ht="36" customHeight="1" x14ac:dyDescent="0.2">
      <c r="AE436" s="520"/>
    </row>
    <row r="437" spans="1:44" ht="19.5" customHeight="1" thickBot="1" x14ac:dyDescent="0.25">
      <c r="W437" s="500"/>
      <c r="X437" s="520">
        <f ca="1">INDIRECT("AE"&amp;Y437)</f>
        <v>0</v>
      </c>
      <c r="Y437" s="500">
        <f>Z438+2</f>
        <v>17</v>
      </c>
      <c r="Z437" s="501">
        <f ca="1">INDIRECT("AF"&amp;Y437)</f>
        <v>0</v>
      </c>
      <c r="AA437" s="500"/>
      <c r="AB437" s="500"/>
      <c r="AD437" s="679"/>
      <c r="AE437" s="679"/>
      <c r="AF437" s="679"/>
      <c r="AG437" s="679"/>
      <c r="AH437" s="679"/>
      <c r="AI437" s="679"/>
      <c r="AJ437" s="679"/>
      <c r="AK437" s="679"/>
      <c r="AL437" s="679"/>
    </row>
    <row r="438" spans="1:44" s="218" customFormat="1" ht="36" thickBot="1" x14ac:dyDescent="0.25">
      <c r="F438" s="576" t="s">
        <v>546</v>
      </c>
      <c r="G438" s="865" t="str">
        <f>G409</f>
        <v>D1</v>
      </c>
      <c r="I438" s="863" t="str">
        <f>"   "&amp;Championnat</f>
        <v xml:space="preserve">   Championnat de France de Tir à l'ARC</v>
      </c>
      <c r="T438" s="197"/>
      <c r="U438" s="197"/>
      <c r="V438" s="197"/>
      <c r="W438" s="197"/>
      <c r="Y438" s="502" t="s">
        <v>849</v>
      </c>
      <c r="Z438" s="503">
        <f>Z409+1</f>
        <v>15</v>
      </c>
      <c r="AB438" s="254"/>
      <c r="AC438" s="254"/>
      <c r="AD438" s="681"/>
      <c r="AE438" s="680"/>
      <c r="AF438" s="681"/>
      <c r="AH438" s="662"/>
      <c r="AI438" s="662"/>
      <c r="AJ438" s="662"/>
      <c r="AK438" s="662"/>
      <c r="AL438" s="662"/>
      <c r="AM438" s="217"/>
      <c r="AN438" s="217"/>
      <c r="AO438" s="217"/>
      <c r="AP438" s="217"/>
      <c r="AQ438" s="217"/>
      <c r="AR438" s="217"/>
    </row>
    <row r="439" spans="1:44" ht="36" thickBot="1" x14ac:dyDescent="0.25">
      <c r="F439" s="661" t="s">
        <v>628</v>
      </c>
      <c r="G439" s="660">
        <f ca="1">INDIRECT("AD"&amp;Y437)</f>
        <v>0</v>
      </c>
      <c r="I439" s="706" t="str">
        <f>CATEG_IMPORTEE</f>
        <v>Collèges Mixtes Etablissement</v>
      </c>
      <c r="S439" s="864" t="str">
        <f>LIEU&amp;" du "&amp;DATE</f>
        <v>L’Isle sur la Sorgue du 27 au 31 mars 2023</v>
      </c>
      <c r="AB439" s="254"/>
      <c r="AC439" s="254"/>
      <c r="AD439" s="681"/>
      <c r="AE439" s="680"/>
      <c r="AF439" s="681"/>
      <c r="AG439" s="679"/>
      <c r="AH439" s="679"/>
      <c r="AI439" s="679"/>
      <c r="AJ439" s="679"/>
      <c r="AK439" s="679"/>
      <c r="AL439" s="679"/>
    </row>
    <row r="440" spans="1:44" ht="24" customHeight="1" x14ac:dyDescent="0.2">
      <c r="A440" s="1075" t="s">
        <v>0</v>
      </c>
      <c r="B440" s="1075"/>
      <c r="C440" s="1075"/>
      <c r="D440" s="1075"/>
      <c r="E440" s="1075"/>
      <c r="F440" s="1075"/>
      <c r="G440" s="1075"/>
      <c r="H440" s="1075"/>
      <c r="I440" s="1075"/>
      <c r="J440" s="1075"/>
      <c r="Q440" s="1075" t="s">
        <v>0</v>
      </c>
      <c r="R440" s="1075"/>
      <c r="S440" s="1075"/>
      <c r="T440" s="1075"/>
      <c r="U440" s="1075"/>
      <c r="V440" s="1075"/>
      <c r="W440" s="1075"/>
      <c r="X440" s="1075"/>
      <c r="Y440" s="1075"/>
      <c r="Z440" s="1075"/>
      <c r="AB440" s="254"/>
      <c r="AC440" s="254"/>
      <c r="AD440" s="681"/>
      <c r="AE440" s="680"/>
      <c r="AF440" s="681"/>
      <c r="AG440" s="679"/>
      <c r="AH440" s="679"/>
      <c r="AI440" s="679"/>
      <c r="AJ440" s="679"/>
      <c r="AK440" s="679"/>
      <c r="AL440" s="679"/>
    </row>
    <row r="441" spans="1:44" ht="31.5" customHeight="1" x14ac:dyDescent="0.2">
      <c r="A441" s="1144" t="str">
        <f ca="1">IFERROR(VLOOKUP(X437,Num_AS,2,FALSE),"")</f>
        <v/>
      </c>
      <c r="B441" s="1144"/>
      <c r="C441" s="1144"/>
      <c r="D441" s="1144"/>
      <c r="E441" s="1144"/>
      <c r="F441" s="1144"/>
      <c r="G441" s="1144"/>
      <c r="H441" s="1144"/>
      <c r="I441" s="1144"/>
      <c r="J441" s="1144"/>
      <c r="K441" s="869" t="s">
        <v>1299</v>
      </c>
      <c r="L441" s="1145" t="s">
        <v>547</v>
      </c>
      <c r="M441" s="1145"/>
      <c r="N441" s="1145"/>
      <c r="O441" s="870" t="s">
        <v>1298</v>
      </c>
      <c r="Q441" s="1144" t="str">
        <f ca="1">IFERROR(VLOOKUP(Z437,Num_AS,2,FALSE),"")</f>
        <v/>
      </c>
      <c r="R441" s="1144"/>
      <c r="S441" s="1144"/>
      <c r="T441" s="1144"/>
      <c r="U441" s="1144"/>
      <c r="V441" s="1144"/>
      <c r="W441" s="1144"/>
      <c r="X441" s="1144"/>
      <c r="Y441" s="1144"/>
      <c r="Z441" s="1144"/>
      <c r="AB441" s="254"/>
      <c r="AC441" s="254"/>
      <c r="AD441" s="681"/>
      <c r="AE441" s="680"/>
      <c r="AF441" s="681"/>
      <c r="AG441" s="679"/>
      <c r="AH441" s="679"/>
      <c r="AI441" s="679"/>
      <c r="AJ441" s="679"/>
      <c r="AK441" s="679"/>
      <c r="AL441" s="679"/>
    </row>
    <row r="442" spans="1:44" ht="20.100000000000001" customHeight="1" thickBot="1" x14ac:dyDescent="0.25">
      <c r="A442" s="1124" t="s">
        <v>1006</v>
      </c>
      <c r="B442" s="1124"/>
      <c r="C442" s="1125"/>
      <c r="D442" s="1125"/>
      <c r="E442" s="1125"/>
      <c r="F442" s="1125"/>
      <c r="G442" s="1125"/>
      <c r="H442" s="1125"/>
      <c r="I442" s="1125"/>
      <c r="J442" s="1125"/>
      <c r="L442" s="871"/>
      <c r="M442" s="871"/>
      <c r="N442" s="871"/>
      <c r="Q442" s="1124" t="s">
        <v>1005</v>
      </c>
      <c r="R442" s="1124"/>
      <c r="S442" s="1125"/>
      <c r="T442" s="1125"/>
      <c r="U442" s="1125"/>
      <c r="V442" s="1125"/>
      <c r="W442" s="1125"/>
      <c r="X442" s="1125"/>
      <c r="Y442" s="1125"/>
      <c r="Z442" s="1125"/>
      <c r="AB442" s="254"/>
      <c r="AC442" s="254"/>
      <c r="AD442" s="681"/>
      <c r="AE442" s="680"/>
      <c r="AF442" s="681"/>
      <c r="AG442" s="679"/>
      <c r="AH442" s="679"/>
      <c r="AI442" s="679"/>
      <c r="AJ442" s="679"/>
      <c r="AK442" s="679"/>
      <c r="AL442" s="679"/>
    </row>
    <row r="443" spans="1:44" ht="27.75" customHeight="1" x14ac:dyDescent="0.2">
      <c r="A443" s="1117" t="str">
        <f ca="1">IFERROR(VLOOKUP(X437,Num_AS,3,FALSE),"")</f>
        <v/>
      </c>
      <c r="B443" s="1150"/>
      <c r="C443" s="1118"/>
      <c r="D443" s="1151"/>
      <c r="E443" s="1151"/>
      <c r="F443" s="1151"/>
      <c r="G443" s="1151"/>
      <c r="H443" s="1151"/>
      <c r="I443" s="1151"/>
      <c r="J443" s="1119"/>
      <c r="O443" s="219"/>
      <c r="P443" s="219"/>
      <c r="Q443" s="1117" t="str">
        <f ca="1">IFERROR(VLOOKUP(Z437,Num_AS,3,FALSE),"")</f>
        <v/>
      </c>
      <c r="R443" s="1150"/>
      <c r="S443" s="1118"/>
      <c r="T443" s="1151"/>
      <c r="U443" s="1151"/>
      <c r="V443" s="1151"/>
      <c r="W443" s="1151"/>
      <c r="X443" s="1151"/>
      <c r="Y443" s="1151"/>
      <c r="Z443" s="1119"/>
      <c r="AB443" s="254"/>
      <c r="AC443" s="254"/>
      <c r="AD443" s="681"/>
      <c r="AE443" s="680"/>
      <c r="AF443" s="681"/>
      <c r="AG443" s="679"/>
      <c r="AH443" s="679"/>
      <c r="AI443" s="679"/>
      <c r="AJ443" s="679"/>
      <c r="AK443" s="679"/>
      <c r="AL443" s="679"/>
    </row>
    <row r="444" spans="1:44" ht="27.75" customHeight="1" thickBot="1" x14ac:dyDescent="0.25">
      <c r="A444" s="1107" t="str">
        <f ca="1">IFERROR(VLOOKUP(X437,Num_AS,4,FALSE),"")</f>
        <v/>
      </c>
      <c r="B444" s="1152"/>
      <c r="C444" s="1108"/>
      <c r="D444" s="1153"/>
      <c r="E444" s="1153"/>
      <c r="F444" s="1153"/>
      <c r="G444" s="1153"/>
      <c r="H444" s="1153"/>
      <c r="I444" s="1153"/>
      <c r="J444" s="1109"/>
      <c r="Q444" s="1107" t="str">
        <f ca="1">IFERROR(VLOOKUP(Z437,Num_AS,4,FALSE),"")</f>
        <v/>
      </c>
      <c r="R444" s="1152"/>
      <c r="S444" s="1108"/>
      <c r="T444" s="1153"/>
      <c r="U444" s="1153"/>
      <c r="V444" s="1153"/>
      <c r="W444" s="1153"/>
      <c r="X444" s="1153"/>
      <c r="Y444" s="1153"/>
      <c r="Z444" s="1109"/>
      <c r="AB444" s="254"/>
      <c r="AC444" s="254"/>
      <c r="AD444" s="681"/>
      <c r="AE444" s="680"/>
      <c r="AF444" s="681"/>
      <c r="AG444" s="679"/>
      <c r="AH444" s="679"/>
      <c r="AI444" s="679"/>
      <c r="AJ444" s="679"/>
      <c r="AK444" s="679"/>
      <c r="AL444" s="679"/>
    </row>
    <row r="445" spans="1:44" ht="36" customHeight="1" thickBot="1" x14ac:dyDescent="0.25">
      <c r="A445" s="1156" t="s">
        <v>1330</v>
      </c>
      <c r="B445" s="1157"/>
      <c r="C445" s="1157"/>
      <c r="D445" s="1158"/>
      <c r="E445" s="947">
        <f ca="1">VLOOKUP(A441&amp;A443,PTS_SP,3,FALSE)</f>
        <v>0</v>
      </c>
      <c r="Q445" s="1156" t="s">
        <v>1330</v>
      </c>
      <c r="R445" s="1157"/>
      <c r="S445" s="1157"/>
      <c r="T445" s="1158"/>
      <c r="U445" s="947">
        <f ca="1">VLOOKUP(Q441&amp;Q443,PTS_SP,3,FALSE)</f>
        <v>0</v>
      </c>
      <c r="AB445" s="254"/>
      <c r="AC445" s="254"/>
      <c r="AD445" s="681"/>
      <c r="AE445" s="680"/>
      <c r="AF445" s="681"/>
      <c r="AG445" s="679"/>
      <c r="AH445" s="679"/>
      <c r="AI445" s="679"/>
      <c r="AJ445" s="679"/>
      <c r="AK445" s="679"/>
      <c r="AL445" s="679"/>
    </row>
    <row r="446" spans="1:44" ht="38.25" customHeight="1" x14ac:dyDescent="0.2">
      <c r="A446" s="701"/>
      <c r="B446" s="701"/>
      <c r="C446" s="853"/>
      <c r="D446" s="861" t="s">
        <v>1290</v>
      </c>
      <c r="E446" s="853"/>
      <c r="F446" s="854"/>
      <c r="G446" s="854"/>
      <c r="H446" s="872" t="s">
        <v>1295</v>
      </c>
      <c r="I446" s="855"/>
      <c r="J446" s="853"/>
      <c r="K446" s="853"/>
      <c r="L446" s="853"/>
      <c r="M446" s="859"/>
      <c r="N446" s="860" t="s">
        <v>1291</v>
      </c>
      <c r="O446" s="853"/>
      <c r="P446" s="249"/>
      <c r="Q446" s="701"/>
      <c r="R446" s="701"/>
      <c r="S446" s="853"/>
      <c r="T446" s="861" t="s">
        <v>1290</v>
      </c>
      <c r="U446" s="853"/>
      <c r="V446" s="854"/>
      <c r="W446" s="854"/>
      <c r="X446" s="872" t="s">
        <v>1302</v>
      </c>
      <c r="Y446" s="855"/>
      <c r="Z446" s="853"/>
      <c r="AA446" s="853"/>
      <c r="AB446" s="853"/>
      <c r="AC446" s="859"/>
      <c r="AD446" s="860" t="s">
        <v>1291</v>
      </c>
      <c r="AE446" s="853"/>
      <c r="AF446" s="681"/>
      <c r="AG446" s="681"/>
      <c r="AH446" s="681"/>
      <c r="AI446" s="681"/>
      <c r="AJ446" s="679"/>
      <c r="AK446" s="679"/>
      <c r="AL446" s="679"/>
    </row>
    <row r="447" spans="1:44" ht="38.25" customHeight="1" x14ac:dyDescent="0.2">
      <c r="A447" s="856" t="s">
        <v>509</v>
      </c>
      <c r="B447" s="942" t="s">
        <v>1329</v>
      </c>
      <c r="C447" s="857">
        <v>1</v>
      </c>
      <c r="D447" s="857">
        <v>2</v>
      </c>
      <c r="E447" s="857">
        <v>3</v>
      </c>
      <c r="F447" s="857">
        <v>4</v>
      </c>
      <c r="G447" s="857">
        <v>5</v>
      </c>
      <c r="H447" s="857">
        <v>6</v>
      </c>
      <c r="I447" s="857">
        <v>7</v>
      </c>
      <c r="J447" s="857">
        <v>8</v>
      </c>
      <c r="K447" s="858" t="s">
        <v>1286</v>
      </c>
      <c r="L447" s="1154" t="s">
        <v>1287</v>
      </c>
      <c r="M447" s="1154"/>
      <c r="N447" s="1154"/>
      <c r="O447" s="858" t="s">
        <v>1288</v>
      </c>
      <c r="P447" s="844"/>
      <c r="Q447" s="856" t="s">
        <v>509</v>
      </c>
      <c r="R447" s="942" t="s">
        <v>1329</v>
      </c>
      <c r="S447" s="857">
        <v>1</v>
      </c>
      <c r="T447" s="857">
        <v>2</v>
      </c>
      <c r="U447" s="857">
        <v>3</v>
      </c>
      <c r="V447" s="857">
        <v>4</v>
      </c>
      <c r="W447" s="857">
        <v>5</v>
      </c>
      <c r="X447" s="857">
        <v>6</v>
      </c>
      <c r="Y447" s="857">
        <v>7</v>
      </c>
      <c r="Z447" s="857">
        <v>8</v>
      </c>
      <c r="AA447" s="858" t="s">
        <v>1286</v>
      </c>
      <c r="AB447" s="1154" t="s">
        <v>1287</v>
      </c>
      <c r="AC447" s="1154"/>
      <c r="AD447" s="1154"/>
      <c r="AE447" s="858" t="s">
        <v>1288</v>
      </c>
      <c r="AF447" s="681"/>
      <c r="AG447" s="681"/>
      <c r="AH447" s="681"/>
      <c r="AI447" s="681"/>
      <c r="AJ447" s="679"/>
      <c r="AK447" s="679"/>
      <c r="AL447" s="679"/>
    </row>
    <row r="448" spans="1:44" ht="30" customHeight="1" x14ac:dyDescent="0.25">
      <c r="A448" s="846" t="s">
        <v>1282</v>
      </c>
      <c r="B448" s="948">
        <f ca="1">E445</f>
        <v>0</v>
      </c>
      <c r="C448" s="843"/>
      <c r="D448" s="843"/>
      <c r="E448" s="843"/>
      <c r="F448" s="843"/>
      <c r="G448" s="847"/>
      <c r="H448" s="848"/>
      <c r="I448" s="846"/>
      <c r="J448" s="843"/>
      <c r="K448" s="843"/>
      <c r="L448" s="849">
        <f ca="1">IF(Q441="Matchs de CLASSEMENT","X",2)</f>
        <v>2</v>
      </c>
      <c r="M448" s="849">
        <f ca="1">IF(Q441="Matchs de CLASSEMENT","X",1)</f>
        <v>1</v>
      </c>
      <c r="N448" s="849">
        <f ca="1">IF(Q441="Matchs de CLASSEMENT","X",0)</f>
        <v>0</v>
      </c>
      <c r="O448" s="849" t="str">
        <f ca="1">IF(Q441="Matchs de CLASSEMENT","X","")</f>
        <v/>
      </c>
      <c r="P448" s="842"/>
      <c r="Q448" s="849" t="str">
        <f ca="1">IF(Q441="Matchs de CLASSEMENT","X","V1")</f>
        <v>V1</v>
      </c>
      <c r="R448" s="948">
        <f ca="1">U445</f>
        <v>0</v>
      </c>
      <c r="S448" s="849" t="str">
        <f ca="1">IF(Q441="Matchs de CLASSEMENT","X","")</f>
        <v/>
      </c>
      <c r="T448" s="849" t="str">
        <f ca="1">IF(Q441="Matchs de CLASSEMENT","X","")</f>
        <v/>
      </c>
      <c r="U448" s="849" t="str">
        <f ca="1">IF(Q441="Matchs de CLASSEMENT","X","")</f>
        <v/>
      </c>
      <c r="V448" s="849" t="str">
        <f ca="1">IF(Q441="Matchs de CLASSEMENT","X","")</f>
        <v/>
      </c>
      <c r="W448" s="849" t="str">
        <f ca="1">IF(Q441="Matchs de CLASSEMENT","X","")</f>
        <v/>
      </c>
      <c r="X448" s="849" t="str">
        <f ca="1">IF(Q441="Matchs de CLASSEMENT","X","")</f>
        <v/>
      </c>
      <c r="Y448" s="849" t="str">
        <f ca="1">IF(Q441="Matchs de CLASSEMENT","X","")</f>
        <v/>
      </c>
      <c r="Z448" s="849" t="str">
        <f ca="1">IF(Q441="Matchs de CLASSEMENT","X","")</f>
        <v/>
      </c>
      <c r="AA448" s="849" t="str">
        <f ca="1">IF(Q441="Matchs de CLASSEMENT","X","")</f>
        <v/>
      </c>
      <c r="AB448" s="849">
        <f ca="1">IF(Q441="Matchs de CLASSEMENT","X",2)</f>
        <v>2</v>
      </c>
      <c r="AC448" s="849">
        <f ca="1">IF(Q441="Matchs de CLASSEMENT","X",1)</f>
        <v>1</v>
      </c>
      <c r="AD448" s="849">
        <f ca="1">IF(Q441="Matchs de CLASSEMENT","X",0)</f>
        <v>0</v>
      </c>
      <c r="AE448" s="849" t="str">
        <f ca="1">IF(Q441="Matchs de CLASSEMENT","X","")</f>
        <v/>
      </c>
      <c r="AF448" s="679"/>
      <c r="AG448" s="679"/>
      <c r="AH448" s="679"/>
      <c r="AI448" s="679"/>
      <c r="AJ448" s="679"/>
      <c r="AK448" s="679"/>
      <c r="AL448" s="679"/>
    </row>
    <row r="449" spans="1:38" ht="30" customHeight="1" x14ac:dyDescent="0.25">
      <c r="A449" s="846" t="s">
        <v>1283</v>
      </c>
      <c r="B449" s="948">
        <f ca="1">B448</f>
        <v>0</v>
      </c>
      <c r="C449" s="843"/>
      <c r="D449" s="843"/>
      <c r="E449" s="843"/>
      <c r="F449" s="843"/>
      <c r="G449" s="847"/>
      <c r="H449" s="848"/>
      <c r="I449" s="846"/>
      <c r="J449" s="843"/>
      <c r="K449" s="843"/>
      <c r="L449" s="849">
        <f ca="1">IF(Q441="Matchs de CLASSEMENT","X",2)</f>
        <v>2</v>
      </c>
      <c r="M449" s="849">
        <f ca="1">IF(Q441="Matchs de CLASSEMENT","X",1)</f>
        <v>1</v>
      </c>
      <c r="N449" s="849">
        <f ca="1">IF(Q441="Matchs de CLASSEMENT","X",0)</f>
        <v>0</v>
      </c>
      <c r="O449" s="849" t="str">
        <f ca="1">IF(Q441="Matchs de CLASSEMENT","X","")</f>
        <v/>
      </c>
      <c r="P449" s="842"/>
      <c r="Q449" s="849" t="str">
        <f ca="1">IF(Q441="Matchs de CLASSEMENT","X","V2")</f>
        <v>V2</v>
      </c>
      <c r="R449" s="948">
        <f ca="1">R448</f>
        <v>0</v>
      </c>
      <c r="S449" s="849" t="str">
        <f ca="1">IF(Q441="Matchs de CLASSEMENT","X","")</f>
        <v/>
      </c>
      <c r="T449" s="849" t="str">
        <f ca="1">IF(Q441="Matchs de CLASSEMENT","X","")</f>
        <v/>
      </c>
      <c r="U449" s="849" t="str">
        <f ca="1">IF(Q441="Matchs de CLASSEMENT","X","")</f>
        <v/>
      </c>
      <c r="V449" s="849" t="str">
        <f ca="1">IF(Q441="Matchs de CLASSEMENT","X","")</f>
        <v/>
      </c>
      <c r="W449" s="849" t="str">
        <f ca="1">IF(Q441="Matchs de CLASSEMENT","X","")</f>
        <v/>
      </c>
      <c r="X449" s="849" t="str">
        <f ca="1">IF(Q441="Matchs de CLASSEMENT","X","")</f>
        <v/>
      </c>
      <c r="Y449" s="849" t="str">
        <f ca="1">IF(Q441="Matchs de CLASSEMENT","X","")</f>
        <v/>
      </c>
      <c r="Z449" s="849" t="str">
        <f ca="1">IF(Q441="Matchs de CLASSEMENT","X","")</f>
        <v/>
      </c>
      <c r="AA449" s="849" t="str">
        <f ca="1">IF(Q441="Matchs de CLASSEMENT","X","")</f>
        <v/>
      </c>
      <c r="AB449" s="849">
        <f ca="1">IF(Q441="Matchs de CLASSEMENT","X",2)</f>
        <v>2</v>
      </c>
      <c r="AC449" s="849">
        <f ca="1">IF(Q441="Matchs de CLASSEMENT","X",1)</f>
        <v>1</v>
      </c>
      <c r="AD449" s="849">
        <f ca="1">IF(Q441="Matchs de CLASSEMENT","X",0)</f>
        <v>0</v>
      </c>
      <c r="AE449" s="849" t="str">
        <f ca="1">IF(Q441="Matchs de CLASSEMENT","X","")</f>
        <v/>
      </c>
      <c r="AF449" s="679"/>
      <c r="AG449" s="679"/>
      <c r="AH449" s="679"/>
      <c r="AI449" s="679"/>
      <c r="AJ449" s="679"/>
      <c r="AK449" s="679"/>
      <c r="AL449" s="679"/>
    </row>
    <row r="450" spans="1:38" ht="30" customHeight="1" x14ac:dyDescent="0.25">
      <c r="A450" s="846" t="s">
        <v>1284</v>
      </c>
      <c r="B450" s="948">
        <f t="shared" ref="B450:B451" ca="1" si="29">B449</f>
        <v>0</v>
      </c>
      <c r="C450" s="843"/>
      <c r="D450" s="843"/>
      <c r="E450" s="843"/>
      <c r="F450" s="843"/>
      <c r="G450" s="847"/>
      <c r="H450" s="848"/>
      <c r="I450" s="846"/>
      <c r="J450" s="843"/>
      <c r="K450" s="843"/>
      <c r="L450" s="849">
        <f ca="1">IF(Q441="Matchs de CLASSEMENT","X",2)</f>
        <v>2</v>
      </c>
      <c r="M450" s="849">
        <f ca="1">IF(Q441="Matchs de CLASSEMENT","X",1)</f>
        <v>1</v>
      </c>
      <c r="N450" s="849">
        <f ca="1">IF(Q441="Matchs de CLASSEMENT","X",0)</f>
        <v>0</v>
      </c>
      <c r="O450" s="849" t="str">
        <f ca="1">IF(Q441="Matchs de CLASSEMENT","X","")</f>
        <v/>
      </c>
      <c r="P450" s="842"/>
      <c r="Q450" s="849" t="str">
        <f ca="1">IF(Q441="Matchs de CLASSEMENT","X","V3")</f>
        <v>V3</v>
      </c>
      <c r="R450" s="948">
        <f t="shared" ref="R450:R451" ca="1" si="30">R449</f>
        <v>0</v>
      </c>
      <c r="S450" s="849" t="str">
        <f ca="1">IF(Q441="Matchs de CLASSEMENT","X","")</f>
        <v/>
      </c>
      <c r="T450" s="849" t="str">
        <f ca="1">IF(Q441="Matchs de CLASSEMENT","X","")</f>
        <v/>
      </c>
      <c r="U450" s="849" t="str">
        <f ca="1">IF(Q441="Matchs de CLASSEMENT","X","")</f>
        <v/>
      </c>
      <c r="V450" s="849" t="str">
        <f ca="1">IF(Q441="Matchs de CLASSEMENT","X","")</f>
        <v/>
      </c>
      <c r="W450" s="849" t="str">
        <f ca="1">IF(Q441="Matchs de CLASSEMENT","X","")</f>
        <v/>
      </c>
      <c r="X450" s="849" t="str">
        <f ca="1">IF(Q441="Matchs de CLASSEMENT","X","")</f>
        <v/>
      </c>
      <c r="Y450" s="849" t="str">
        <f ca="1">IF(Q441="Matchs de CLASSEMENT","X","")</f>
        <v/>
      </c>
      <c r="Z450" s="849" t="str">
        <f ca="1">IF(Q441="Matchs de CLASSEMENT","X","")</f>
        <v/>
      </c>
      <c r="AA450" s="849" t="str">
        <f ca="1">IF(Q441="Matchs de CLASSEMENT","X","")</f>
        <v/>
      </c>
      <c r="AB450" s="849">
        <f ca="1">IF(Q441="Matchs de CLASSEMENT","X",2)</f>
        <v>2</v>
      </c>
      <c r="AC450" s="849">
        <f ca="1">IF(Q441="Matchs de CLASSEMENT","X",1)</f>
        <v>1</v>
      </c>
      <c r="AD450" s="849">
        <f ca="1">IF(Q441="Matchs de CLASSEMENT","X",0)</f>
        <v>0</v>
      </c>
      <c r="AE450" s="849" t="str">
        <f ca="1">IF(Q441="Matchs de CLASSEMENT","X","")</f>
        <v/>
      </c>
      <c r="AF450" s="679"/>
      <c r="AG450" s="679"/>
      <c r="AH450" s="679"/>
      <c r="AI450" s="679"/>
      <c r="AJ450" s="679"/>
      <c r="AK450" s="679"/>
      <c r="AL450" s="679"/>
    </row>
    <row r="451" spans="1:38" ht="30" customHeight="1" x14ac:dyDescent="0.25">
      <c r="A451" s="846" t="s">
        <v>1285</v>
      </c>
      <c r="B451" s="948">
        <f t="shared" ca="1" si="29"/>
        <v>0</v>
      </c>
      <c r="C451" s="843"/>
      <c r="D451" s="843"/>
      <c r="E451" s="843"/>
      <c r="F451" s="843"/>
      <c r="G451" s="847"/>
      <c r="H451" s="848"/>
      <c r="I451" s="846"/>
      <c r="J451" s="843"/>
      <c r="K451" s="843"/>
      <c r="L451" s="849">
        <f ca="1">IF(Q441="Matchs de CLASSEMENT","X",2)</f>
        <v>2</v>
      </c>
      <c r="M451" s="849">
        <f ca="1">IF(Q441="Matchs de CLASSEMENT","X",1)</f>
        <v>1</v>
      </c>
      <c r="N451" s="849">
        <f ca="1">IF(Q441="Matchs de CLASSEMENT","X",0)</f>
        <v>0</v>
      </c>
      <c r="O451" s="849" t="str">
        <f ca="1">IF(Q441="Matchs de CLASSEMENT","X","")</f>
        <v/>
      </c>
      <c r="P451" s="842"/>
      <c r="Q451" s="849" t="str">
        <f ca="1">IF(Q441="Matchs de CLASSEMENT","X","V4")</f>
        <v>V4</v>
      </c>
      <c r="R451" s="948">
        <f t="shared" ca="1" si="30"/>
        <v>0</v>
      </c>
      <c r="S451" s="849" t="str">
        <f ca="1">IF(Q441="Matchs de CLASSEMENT","X","")</f>
        <v/>
      </c>
      <c r="T451" s="849" t="str">
        <f ca="1">IF(Q441="Matchs de CLASSEMENT","X","")</f>
        <v/>
      </c>
      <c r="U451" s="849" t="str">
        <f ca="1">IF(Q441="Matchs de CLASSEMENT","X","")</f>
        <v/>
      </c>
      <c r="V451" s="849" t="str">
        <f ca="1">IF(Q441="Matchs de CLASSEMENT","X","")</f>
        <v/>
      </c>
      <c r="W451" s="849" t="str">
        <f ca="1">IF(Q441="Matchs de CLASSEMENT","X","")</f>
        <v/>
      </c>
      <c r="X451" s="849" t="str">
        <f ca="1">IF(Q441="Matchs de CLASSEMENT","X","")</f>
        <v/>
      </c>
      <c r="Y451" s="849" t="str">
        <f ca="1">IF(Q441="Matchs de CLASSEMENT","X","")</f>
        <v/>
      </c>
      <c r="Z451" s="849" t="str">
        <f ca="1">IF(Q441="Matchs de CLASSEMENT","X","")</f>
        <v/>
      </c>
      <c r="AA451" s="849" t="str">
        <f ca="1">IF(Q441="Matchs de CLASSEMENT","X","")</f>
        <v/>
      </c>
      <c r="AB451" s="849">
        <f ca="1">IF(Q441="Matchs de CLASSEMENT","X",2)</f>
        <v>2</v>
      </c>
      <c r="AC451" s="849">
        <f ca="1">IF(Q441="Matchs de CLASSEMENT","X",1)</f>
        <v>1</v>
      </c>
      <c r="AD451" s="849">
        <f ca="1">IF(Q441="Matchs de CLASSEMENT","X",0)</f>
        <v>0</v>
      </c>
      <c r="AE451" s="849" t="str">
        <f ca="1">IF(Q441="Matchs de CLASSEMENT","X","")</f>
        <v/>
      </c>
      <c r="AF451" s="679"/>
      <c r="AG451" s="679"/>
      <c r="AH451" s="679"/>
      <c r="AI451" s="679"/>
      <c r="AJ451" s="679"/>
      <c r="AK451" s="679"/>
      <c r="AL451" s="679"/>
    </row>
    <row r="452" spans="1:38" ht="30" customHeight="1" x14ac:dyDescent="0.2">
      <c r="N452" s="867" t="s">
        <v>1294</v>
      </c>
      <c r="O452" s="848"/>
      <c r="AD452" s="867" t="s">
        <v>1294</v>
      </c>
      <c r="AE452" s="866"/>
      <c r="AF452" s="679"/>
      <c r="AG452" s="679"/>
      <c r="AH452" s="679"/>
      <c r="AI452" s="679"/>
      <c r="AJ452" s="679"/>
      <c r="AK452" s="679"/>
      <c r="AL452" s="679"/>
    </row>
    <row r="453" spans="1:38" ht="12.75" customHeight="1" x14ac:dyDescent="0.2">
      <c r="AE453" s="520"/>
      <c r="AF453" s="679"/>
      <c r="AG453" s="679"/>
      <c r="AH453" s="679"/>
      <c r="AI453" s="679"/>
      <c r="AJ453" s="679"/>
      <c r="AK453" s="679"/>
      <c r="AL453" s="679"/>
    </row>
    <row r="454" spans="1:38" ht="18.75" customHeight="1" x14ac:dyDescent="0.2">
      <c r="A454" s="584"/>
      <c r="B454" s="584"/>
      <c r="C454" s="701" t="s">
        <v>1289</v>
      </c>
      <c r="D454" s="249"/>
      <c r="E454" s="196"/>
      <c r="F454" s="196"/>
      <c r="G454" s="584"/>
      <c r="H454" s="1155" t="s">
        <v>1301</v>
      </c>
      <c r="I454" s="1155"/>
      <c r="J454" s="1155"/>
      <c r="K454" s="1155"/>
      <c r="L454" s="1155"/>
      <c r="M454" s="1155"/>
      <c r="N454" s="1155"/>
      <c r="O454" s="1155"/>
      <c r="P454" s="842"/>
      <c r="Q454" s="219"/>
      <c r="R454" s="219"/>
      <c r="S454" s="701" t="s">
        <v>1289</v>
      </c>
      <c r="T454" s="249"/>
      <c r="U454" s="196"/>
      <c r="V454" s="196"/>
      <c r="X454" s="1155" t="s">
        <v>1304</v>
      </c>
      <c r="Y454" s="1155"/>
      <c r="Z454" s="1155"/>
      <c r="AA454" s="1155"/>
      <c r="AB454" s="1155"/>
      <c r="AC454" s="1155"/>
      <c r="AD454" s="1155"/>
      <c r="AE454" s="1155"/>
      <c r="AF454" s="679"/>
      <c r="AG454" s="679"/>
      <c r="AH454" s="679"/>
      <c r="AI454" s="679"/>
      <c r="AJ454" s="679"/>
      <c r="AK454" s="679"/>
      <c r="AL454" s="679"/>
    </row>
    <row r="455" spans="1:38" ht="32.25" customHeight="1" x14ac:dyDescent="0.2">
      <c r="A455" s="584"/>
      <c r="B455" s="584"/>
      <c r="C455" s="850"/>
      <c r="D455" s="851"/>
      <c r="E455" s="852"/>
      <c r="F455" s="852"/>
      <c r="G455" s="584"/>
      <c r="H455" s="1149" t="s">
        <v>549</v>
      </c>
      <c r="I455" s="1149"/>
      <c r="J455" s="1149"/>
      <c r="K455" s="1149"/>
      <c r="L455" s="1149"/>
      <c r="M455" s="1146" t="s">
        <v>550</v>
      </c>
      <c r="N455" s="1147"/>
      <c r="O455" s="1148"/>
      <c r="P455" s="842"/>
      <c r="Q455" s="219"/>
      <c r="R455" s="219"/>
      <c r="S455" s="850"/>
      <c r="T455" s="851"/>
      <c r="U455" s="852"/>
      <c r="V455" s="852"/>
      <c r="X455" s="1149" t="s">
        <v>549</v>
      </c>
      <c r="Y455" s="1149"/>
      <c r="Z455" s="1149"/>
      <c r="AA455" s="1149"/>
      <c r="AB455" s="1149"/>
      <c r="AC455" s="1146" t="s">
        <v>550</v>
      </c>
      <c r="AD455" s="1147"/>
      <c r="AE455" s="1148"/>
      <c r="AG455" s="679"/>
      <c r="AH455" s="679"/>
      <c r="AI455" s="679"/>
      <c r="AJ455" s="679"/>
      <c r="AK455" s="679"/>
      <c r="AL455" s="679"/>
    </row>
    <row r="456" spans="1:38" ht="32.25" customHeight="1" x14ac:dyDescent="0.2">
      <c r="A456" s="584"/>
      <c r="B456" s="584"/>
      <c r="C456" s="850"/>
      <c r="D456" s="851"/>
      <c r="E456" s="852"/>
      <c r="F456" s="852"/>
      <c r="G456" s="584"/>
      <c r="H456" s="1140" t="str">
        <f ca="1">IFERROR(VLOOKUP(X437,Num_AS,6,FALSE)&amp;" "&amp;VLOOKUP(X437,Num_AS,7,FALSE),"")</f>
        <v/>
      </c>
      <c r="I456" s="1140"/>
      <c r="J456" s="1140"/>
      <c r="K456" s="1140"/>
      <c r="L456" s="1140"/>
      <c r="M456" s="1129" t="str">
        <f ca="1">IFERROR(VLOOKUP(X437,Num_AS,9,FALSE),"")</f>
        <v/>
      </c>
      <c r="N456" s="1130"/>
      <c r="O456" s="1131"/>
      <c r="P456" s="842"/>
      <c r="Q456" s="219"/>
      <c r="R456" s="219"/>
      <c r="S456" s="850"/>
      <c r="T456" s="851"/>
      <c r="U456" s="852"/>
      <c r="V456" s="852"/>
      <c r="W456" s="196"/>
      <c r="X456" s="1140" t="str">
        <f ca="1">IFERROR(VLOOKUP(Z437,Num_AS,6,FALSE)&amp;" "&amp;VLOOKUP(Z437,Num_AS,7,FALSE),"")</f>
        <v/>
      </c>
      <c r="Y456" s="1140"/>
      <c r="Z456" s="1140"/>
      <c r="AA456" s="1140"/>
      <c r="AB456" s="1140"/>
      <c r="AC456" s="1129" t="str">
        <f ca="1">IFERROR(VLOOKUP(Z437,Num_AS,9,FALSE),"")</f>
        <v/>
      </c>
      <c r="AD456" s="1130"/>
      <c r="AE456" s="1131"/>
    </row>
    <row r="457" spans="1:38" ht="32.25" customHeight="1" x14ac:dyDescent="0.2">
      <c r="A457" s="584"/>
      <c r="B457" s="584"/>
      <c r="C457" s="850"/>
      <c r="D457" s="851"/>
      <c r="E457" s="852"/>
      <c r="F457" s="852"/>
      <c r="G457" s="584"/>
      <c r="H457" s="1140" t="str">
        <f ca="1">IFERROR(VLOOKUP(X437,Num_AS,12,FALSE)&amp;" "&amp;VLOOKUP(X437,Num_AS,13,FALSE),"")</f>
        <v/>
      </c>
      <c r="I457" s="1140"/>
      <c r="J457" s="1140"/>
      <c r="K457" s="1140"/>
      <c r="L457" s="1140"/>
      <c r="M457" s="1129" t="str">
        <f ca="1">IFERROR(VLOOKUP(X437,Num_AS,15,FALSE),"")</f>
        <v/>
      </c>
      <c r="N457" s="1130"/>
      <c r="O457" s="1131">
        <f ca="1">G439</f>
        <v>0</v>
      </c>
      <c r="P457" s="842"/>
      <c r="Q457" s="219"/>
      <c r="R457" s="219"/>
      <c r="S457" s="850"/>
      <c r="T457" s="851"/>
      <c r="U457" s="852"/>
      <c r="V457" s="852"/>
      <c r="W457" s="196"/>
      <c r="X457" s="1140" t="str">
        <f ca="1">IFERROR(VLOOKUP(Z437,Num_AS,12,FALSE)&amp;" "&amp;VLOOKUP(Z437,Num_AS,13,FALSE),"")</f>
        <v/>
      </c>
      <c r="Y457" s="1140"/>
      <c r="Z457" s="1140"/>
      <c r="AA457" s="1140"/>
      <c r="AB457" s="1140"/>
      <c r="AC457" s="1129" t="str">
        <f ca="1">IFERROR(VLOOKUP(Z437,Num_AS,15,FALSE),"")</f>
        <v/>
      </c>
      <c r="AD457" s="1130"/>
      <c r="AE457" s="1131">
        <f>W439</f>
        <v>0</v>
      </c>
    </row>
    <row r="458" spans="1:38" ht="32.25" customHeight="1" x14ac:dyDescent="0.2">
      <c r="A458" s="584"/>
      <c r="B458" s="584"/>
      <c r="C458" s="584"/>
      <c r="D458" s="584"/>
      <c r="E458" s="584"/>
      <c r="F458" s="584"/>
      <c r="G458" s="584"/>
      <c r="H458" s="1140" t="str">
        <f ca="1">IFERROR(VLOOKUP(X437,Num_AS,18,FALSE)&amp;" "&amp;VLOOKUP(X437,Num_AS,19,FALSE),"")</f>
        <v/>
      </c>
      <c r="I458" s="1140"/>
      <c r="J458" s="1140"/>
      <c r="K458" s="1140"/>
      <c r="L458" s="1140"/>
      <c r="M458" s="1129" t="str">
        <f ca="1">IFERROR(VLOOKUP(X437,Num_AS,21,FALSE),"")</f>
        <v/>
      </c>
      <c r="N458" s="1130"/>
      <c r="O458" s="1131">
        <f ca="1">G439</f>
        <v>0</v>
      </c>
      <c r="P458" s="842"/>
      <c r="Q458" s="219"/>
      <c r="R458" s="219"/>
      <c r="S458" s="584"/>
      <c r="T458" s="584"/>
      <c r="U458" s="584"/>
      <c r="V458" s="584"/>
      <c r="W458" s="196"/>
      <c r="X458" s="1140" t="str">
        <f ca="1">IFERROR(VLOOKUP(Z437,Num_AS,18,FALSE)&amp;" "&amp;VLOOKUP(Z437,Num_AS,19,FALSE),"")</f>
        <v/>
      </c>
      <c r="Y458" s="1140"/>
      <c r="Z458" s="1140"/>
      <c r="AA458" s="1140"/>
      <c r="AB458" s="1140"/>
      <c r="AC458" s="1129" t="str">
        <f ca="1">IFERROR(VLOOKUP(Z437,Num_AS,21,FALSE),"")</f>
        <v/>
      </c>
      <c r="AD458" s="1130"/>
      <c r="AE458" s="1131">
        <f>W439</f>
        <v>0</v>
      </c>
    </row>
    <row r="459" spans="1:38" ht="32.25" customHeight="1" x14ac:dyDescent="0.2">
      <c r="A459" s="584"/>
      <c r="B459" s="584"/>
      <c r="C459" s="862"/>
      <c r="D459" s="1141" t="s">
        <v>1292</v>
      </c>
      <c r="E459" s="1142"/>
      <c r="F459" s="1143"/>
      <c r="G459" s="584"/>
      <c r="H459" s="1140" t="str">
        <f ca="1">IFERROR(VLOOKUP(X437,Num_AS,24,FALSE)&amp;" "&amp;VLOOKUP(X437,Num_AS,25,FALSE),"")</f>
        <v/>
      </c>
      <c r="I459" s="1140"/>
      <c r="J459" s="1140"/>
      <c r="K459" s="1140"/>
      <c r="L459" s="1140"/>
      <c r="M459" s="1129" t="str">
        <f ca="1">IFERROR(VLOOKUP(X437,Num_AS,9,FALSE),"")</f>
        <v/>
      </c>
      <c r="N459" s="1130"/>
      <c r="O459" s="1131">
        <f ca="1">G439</f>
        <v>0</v>
      </c>
      <c r="P459" s="842"/>
      <c r="Q459" s="219"/>
      <c r="R459" s="219"/>
      <c r="S459" s="862"/>
      <c r="T459" s="1141" t="s">
        <v>1292</v>
      </c>
      <c r="U459" s="1142"/>
      <c r="V459" s="1143"/>
      <c r="W459" s="196"/>
      <c r="X459" s="1140" t="str">
        <f ca="1">IFERROR(VLOOKUP(Z437,Num_AS,24,FALSE)&amp;" "&amp;VLOOKUP(Z437,Num_AS,25,FALSE),"")</f>
        <v/>
      </c>
      <c r="Y459" s="1140"/>
      <c r="Z459" s="1140"/>
      <c r="AA459" s="1140"/>
      <c r="AB459" s="1140"/>
      <c r="AC459" s="1129" t="str">
        <f ca="1">IFERROR(VLOOKUP(Z437,Num_AS,9,FALSE),"")</f>
        <v/>
      </c>
      <c r="AD459" s="1130"/>
      <c r="AE459" s="1131">
        <f>W439</f>
        <v>0</v>
      </c>
    </row>
    <row r="460" spans="1:38" ht="18.75" customHeight="1" thickBot="1" x14ac:dyDescent="0.25">
      <c r="A460" s="701"/>
      <c r="B460" s="701"/>
      <c r="C460" s="249"/>
      <c r="D460" s="249"/>
      <c r="E460" s="249"/>
      <c r="F460" s="701"/>
      <c r="G460" s="701"/>
      <c r="H460" s="196"/>
      <c r="I460" s="196"/>
      <c r="J460" s="249"/>
      <c r="K460" s="219"/>
      <c r="L460" s="219"/>
      <c r="M460" s="219"/>
      <c r="N460" s="219"/>
      <c r="O460" s="219"/>
      <c r="P460" s="219"/>
      <c r="Q460" s="219"/>
      <c r="R460" s="219"/>
      <c r="S460" s="219"/>
      <c r="T460" s="219"/>
      <c r="U460" s="219"/>
      <c r="V460" s="219"/>
      <c r="W460" s="219"/>
      <c r="X460" s="219"/>
      <c r="Y460" s="249"/>
      <c r="Z460" s="219"/>
      <c r="AE460" s="520"/>
    </row>
    <row r="461" spans="1:38" ht="32.25" customHeight="1" x14ac:dyDescent="0.25">
      <c r="A461" s="701"/>
      <c r="B461" s="701"/>
      <c r="D461" s="875" t="s">
        <v>1002</v>
      </c>
      <c r="E461" s="876"/>
      <c r="F461" s="876"/>
      <c r="G461" s="876"/>
      <c r="H461" s="876"/>
      <c r="I461" s="876"/>
      <c r="J461" s="876"/>
      <c r="K461" s="876"/>
      <c r="L461" s="876"/>
      <c r="M461" s="877" t="s">
        <v>1297</v>
      </c>
      <c r="N461" s="219"/>
      <c r="O461" s="1132" t="s">
        <v>1293</v>
      </c>
      <c r="P461" s="1133"/>
      <c r="Q461" s="1134"/>
      <c r="R461" s="941"/>
      <c r="T461" s="875" t="s">
        <v>1002</v>
      </c>
      <c r="U461" s="876"/>
      <c r="V461" s="876"/>
      <c r="W461" s="876"/>
      <c r="X461" s="876"/>
      <c r="Y461" s="876"/>
      <c r="Z461" s="876"/>
      <c r="AA461" s="876"/>
      <c r="AB461" s="876"/>
      <c r="AC461" s="877" t="s">
        <v>1296</v>
      </c>
      <c r="AE461" s="520"/>
    </row>
    <row r="462" spans="1:38" ht="70.5" customHeight="1" thickBot="1" x14ac:dyDescent="0.25">
      <c r="A462" s="701"/>
      <c r="B462" s="701"/>
      <c r="D462" s="878"/>
      <c r="E462" s="879"/>
      <c r="F462" s="879"/>
      <c r="G462" s="879"/>
      <c r="H462" s="879"/>
      <c r="I462" s="879"/>
      <c r="J462" s="879"/>
      <c r="K462" s="879"/>
      <c r="L462" s="879"/>
      <c r="M462" s="880"/>
      <c r="N462" s="219"/>
      <c r="O462" s="1135"/>
      <c r="P462" s="1136"/>
      <c r="Q462" s="1137"/>
      <c r="R462" s="941"/>
      <c r="T462" s="878"/>
      <c r="U462" s="879"/>
      <c r="V462" s="879"/>
      <c r="W462" s="879"/>
      <c r="X462" s="879"/>
      <c r="Y462" s="879"/>
      <c r="Z462" s="879"/>
      <c r="AA462" s="879"/>
      <c r="AB462" s="879"/>
      <c r="AC462" s="880"/>
      <c r="AE462" s="520"/>
    </row>
    <row r="463" spans="1:38" ht="6.75" customHeight="1" x14ac:dyDescent="0.25">
      <c r="A463" s="701"/>
      <c r="B463" s="701"/>
      <c r="C463" s="249"/>
      <c r="D463" s="249"/>
      <c r="E463" s="249"/>
      <c r="F463" s="701"/>
      <c r="G463" s="701"/>
      <c r="H463" s="196"/>
      <c r="I463" s="196"/>
      <c r="J463" s="249"/>
      <c r="K463" s="219"/>
      <c r="L463" s="842"/>
      <c r="M463" s="842"/>
      <c r="N463" s="842"/>
      <c r="O463" s="842"/>
      <c r="P463" s="842"/>
      <c r="Q463" s="842"/>
      <c r="R463" s="842"/>
      <c r="T463" s="845"/>
      <c r="U463" s="842"/>
      <c r="V463" s="842"/>
      <c r="W463" s="649"/>
      <c r="X463" s="845"/>
      <c r="Y463" s="842"/>
      <c r="Z463" s="842"/>
      <c r="AE463" s="520"/>
    </row>
    <row r="464" spans="1:38" ht="27.75" customHeight="1" x14ac:dyDescent="0.2">
      <c r="A464" s="701"/>
      <c r="B464" s="701"/>
      <c r="C464" s="1138" t="s">
        <v>1300</v>
      </c>
      <c r="D464" s="1138"/>
      <c r="E464" s="1138"/>
      <c r="F464" s="1138"/>
      <c r="G464" s="1138"/>
      <c r="H464" s="1138"/>
      <c r="I464" s="1138"/>
      <c r="J464" s="1138"/>
      <c r="K464" s="1138"/>
      <c r="L464" s="1138"/>
      <c r="M464" s="1138"/>
      <c r="N464" s="1138"/>
      <c r="O464" s="1138"/>
      <c r="P464" s="842"/>
      <c r="Q464" s="1139" t="s">
        <v>1303</v>
      </c>
      <c r="R464" s="1139"/>
      <c r="S464" s="1139"/>
      <c r="T464" s="1139"/>
      <c r="U464" s="1139"/>
      <c r="V464" s="1139"/>
      <c r="W464" s="1139"/>
      <c r="X464" s="1139"/>
      <c r="Y464" s="1139"/>
      <c r="Z464" s="1139"/>
      <c r="AA464" s="1139"/>
      <c r="AB464" s="1139"/>
      <c r="AC464" s="1139"/>
      <c r="AD464" s="1139"/>
      <c r="AE464" s="1139"/>
    </row>
    <row r="465" spans="1:44" ht="36" customHeight="1" x14ac:dyDescent="0.2">
      <c r="AE465" s="520"/>
    </row>
    <row r="466" spans="1:44" ht="19.5" customHeight="1" thickBot="1" x14ac:dyDescent="0.25">
      <c r="W466" s="500"/>
      <c r="X466" s="520">
        <f ca="1">INDIRECT("AE"&amp;Y466)</f>
        <v>0</v>
      </c>
      <c r="Y466" s="500">
        <f>Z467+2</f>
        <v>18</v>
      </c>
      <c r="Z466" s="501">
        <f ca="1">INDIRECT("AF"&amp;Y466)</f>
        <v>0</v>
      </c>
      <c r="AA466" s="500"/>
      <c r="AB466" s="500"/>
      <c r="AD466" s="679"/>
      <c r="AE466" s="679"/>
      <c r="AF466" s="679"/>
      <c r="AG466" s="679"/>
      <c r="AH466" s="679"/>
      <c r="AI466" s="679"/>
      <c r="AJ466" s="679"/>
      <c r="AK466" s="679"/>
      <c r="AL466" s="679"/>
    </row>
    <row r="467" spans="1:44" s="218" customFormat="1" ht="36" thickBot="1" x14ac:dyDescent="0.25">
      <c r="F467" s="576" t="s">
        <v>546</v>
      </c>
      <c r="G467" s="865" t="str">
        <f>G438</f>
        <v>D1</v>
      </c>
      <c r="I467" s="863" t="str">
        <f>"   "&amp;Championnat</f>
        <v xml:space="preserve">   Championnat de France de Tir à l'ARC</v>
      </c>
      <c r="T467" s="197"/>
      <c r="U467" s="197"/>
      <c r="V467" s="197"/>
      <c r="W467" s="197"/>
      <c r="Y467" s="502" t="s">
        <v>849</v>
      </c>
      <c r="Z467" s="503">
        <f>Z438+1</f>
        <v>16</v>
      </c>
      <c r="AB467" s="254"/>
      <c r="AC467" s="254"/>
      <c r="AD467" s="681"/>
      <c r="AE467" s="680"/>
      <c r="AF467" s="681"/>
      <c r="AH467" s="662"/>
      <c r="AI467" s="662"/>
      <c r="AJ467" s="662"/>
      <c r="AK467" s="662"/>
      <c r="AL467" s="662"/>
      <c r="AM467" s="217"/>
      <c r="AN467" s="217"/>
      <c r="AO467" s="217"/>
      <c r="AP467" s="217"/>
      <c r="AQ467" s="217"/>
      <c r="AR467" s="217"/>
    </row>
    <row r="468" spans="1:44" ht="36" thickBot="1" x14ac:dyDescent="0.25">
      <c r="F468" s="661" t="s">
        <v>628</v>
      </c>
      <c r="G468" s="660">
        <f ca="1">INDIRECT("AD"&amp;Y466)</f>
        <v>0</v>
      </c>
      <c r="I468" s="706" t="str">
        <f>CATEG_IMPORTEE</f>
        <v>Collèges Mixtes Etablissement</v>
      </c>
      <c r="S468" s="864" t="str">
        <f>LIEU&amp;" du "&amp;DATE</f>
        <v>L’Isle sur la Sorgue du 27 au 31 mars 2023</v>
      </c>
      <c r="AB468" s="254"/>
      <c r="AC468" s="254"/>
      <c r="AD468" s="681"/>
      <c r="AE468" s="680"/>
      <c r="AF468" s="681"/>
      <c r="AG468" s="679"/>
      <c r="AH468" s="679"/>
      <c r="AI468" s="679"/>
      <c r="AJ468" s="679"/>
      <c r="AK468" s="679"/>
      <c r="AL468" s="679"/>
    </row>
    <row r="469" spans="1:44" ht="24" customHeight="1" x14ac:dyDescent="0.2">
      <c r="A469" s="1075" t="s">
        <v>0</v>
      </c>
      <c r="B469" s="1075"/>
      <c r="C469" s="1075"/>
      <c r="D469" s="1075"/>
      <c r="E469" s="1075"/>
      <c r="F469" s="1075"/>
      <c r="G469" s="1075"/>
      <c r="H469" s="1075"/>
      <c r="I469" s="1075"/>
      <c r="J469" s="1075"/>
      <c r="Q469" s="1075" t="s">
        <v>0</v>
      </c>
      <c r="R469" s="1075"/>
      <c r="S469" s="1075"/>
      <c r="T469" s="1075"/>
      <c r="U469" s="1075"/>
      <c r="V469" s="1075"/>
      <c r="W469" s="1075"/>
      <c r="X469" s="1075"/>
      <c r="Y469" s="1075"/>
      <c r="Z469" s="1075"/>
      <c r="AB469" s="254"/>
      <c r="AC469" s="254"/>
      <c r="AD469" s="681"/>
      <c r="AE469" s="680"/>
      <c r="AF469" s="681"/>
      <c r="AG469" s="679"/>
      <c r="AH469" s="679"/>
      <c r="AI469" s="679"/>
      <c r="AJ469" s="679"/>
      <c r="AK469" s="679"/>
      <c r="AL469" s="679"/>
    </row>
    <row r="470" spans="1:44" ht="31.5" customHeight="1" x14ac:dyDescent="0.2">
      <c r="A470" s="1144" t="str">
        <f ca="1">IFERROR(VLOOKUP(X466,Num_AS,2,FALSE),"")</f>
        <v/>
      </c>
      <c r="B470" s="1144"/>
      <c r="C470" s="1144"/>
      <c r="D470" s="1144"/>
      <c r="E470" s="1144"/>
      <c r="F470" s="1144"/>
      <c r="G470" s="1144"/>
      <c r="H470" s="1144"/>
      <c r="I470" s="1144"/>
      <c r="J470" s="1144"/>
      <c r="K470" s="869" t="s">
        <v>1299</v>
      </c>
      <c r="L470" s="1145" t="s">
        <v>547</v>
      </c>
      <c r="M470" s="1145"/>
      <c r="N470" s="1145"/>
      <c r="O470" s="870" t="s">
        <v>1298</v>
      </c>
      <c r="Q470" s="1144" t="str">
        <f ca="1">IFERROR(VLOOKUP(Z466,Num_AS,2,FALSE),"")</f>
        <v/>
      </c>
      <c r="R470" s="1144"/>
      <c r="S470" s="1144"/>
      <c r="T470" s="1144"/>
      <c r="U470" s="1144"/>
      <c r="V470" s="1144"/>
      <c r="W470" s="1144"/>
      <c r="X470" s="1144"/>
      <c r="Y470" s="1144"/>
      <c r="Z470" s="1144"/>
      <c r="AB470" s="254"/>
      <c r="AC470" s="254"/>
      <c r="AD470" s="681"/>
      <c r="AE470" s="680"/>
      <c r="AF470" s="681"/>
      <c r="AG470" s="679"/>
      <c r="AH470" s="679"/>
      <c r="AI470" s="679"/>
      <c r="AJ470" s="679"/>
      <c r="AK470" s="679"/>
      <c r="AL470" s="679"/>
    </row>
    <row r="471" spans="1:44" ht="20.100000000000001" customHeight="1" thickBot="1" x14ac:dyDescent="0.25">
      <c r="A471" s="1124" t="s">
        <v>1006</v>
      </c>
      <c r="B471" s="1124"/>
      <c r="C471" s="1125"/>
      <c r="D471" s="1125"/>
      <c r="E471" s="1125"/>
      <c r="F471" s="1125"/>
      <c r="G471" s="1125"/>
      <c r="H471" s="1125"/>
      <c r="I471" s="1125"/>
      <c r="J471" s="1125"/>
      <c r="L471" s="871"/>
      <c r="M471" s="871"/>
      <c r="N471" s="871"/>
      <c r="Q471" s="1124" t="s">
        <v>1005</v>
      </c>
      <c r="R471" s="1124"/>
      <c r="S471" s="1125"/>
      <c r="T471" s="1125"/>
      <c r="U471" s="1125"/>
      <c r="V471" s="1125"/>
      <c r="W471" s="1125"/>
      <c r="X471" s="1125"/>
      <c r="Y471" s="1125"/>
      <c r="Z471" s="1125"/>
      <c r="AB471" s="254"/>
      <c r="AC471" s="254"/>
      <c r="AD471" s="681"/>
      <c r="AE471" s="680"/>
      <c r="AF471" s="681"/>
      <c r="AG471" s="679"/>
      <c r="AH471" s="679"/>
      <c r="AI471" s="679"/>
      <c r="AJ471" s="679"/>
      <c r="AK471" s="679"/>
      <c r="AL471" s="679"/>
    </row>
    <row r="472" spans="1:44" ht="27.75" customHeight="1" x14ac:dyDescent="0.2">
      <c r="A472" s="1117" t="str">
        <f ca="1">IFERROR(VLOOKUP(X466,Num_AS,3,FALSE),"")</f>
        <v/>
      </c>
      <c r="B472" s="1150"/>
      <c r="C472" s="1118"/>
      <c r="D472" s="1151"/>
      <c r="E472" s="1151"/>
      <c r="F472" s="1151"/>
      <c r="G472" s="1151"/>
      <c r="H472" s="1151"/>
      <c r="I472" s="1151"/>
      <c r="J472" s="1119"/>
      <c r="O472" s="219"/>
      <c r="P472" s="219"/>
      <c r="Q472" s="1117" t="str">
        <f ca="1">IFERROR(VLOOKUP(Z466,Num_AS,3,FALSE),"")</f>
        <v/>
      </c>
      <c r="R472" s="1150"/>
      <c r="S472" s="1118"/>
      <c r="T472" s="1151"/>
      <c r="U472" s="1151"/>
      <c r="V472" s="1151"/>
      <c r="W472" s="1151"/>
      <c r="X472" s="1151"/>
      <c r="Y472" s="1151"/>
      <c r="Z472" s="1119"/>
      <c r="AB472" s="254"/>
      <c r="AC472" s="254"/>
      <c r="AD472" s="681"/>
      <c r="AE472" s="680"/>
      <c r="AF472" s="681"/>
      <c r="AG472" s="679"/>
      <c r="AH472" s="679"/>
      <c r="AI472" s="679"/>
      <c r="AJ472" s="679"/>
      <c r="AK472" s="679"/>
      <c r="AL472" s="679"/>
    </row>
    <row r="473" spans="1:44" ht="27.75" customHeight="1" thickBot="1" x14ac:dyDescent="0.25">
      <c r="A473" s="1107" t="str">
        <f ca="1">IFERROR(VLOOKUP(X466,Num_AS,4,FALSE),"")</f>
        <v/>
      </c>
      <c r="B473" s="1152"/>
      <c r="C473" s="1108"/>
      <c r="D473" s="1153"/>
      <c r="E473" s="1153"/>
      <c r="F473" s="1153"/>
      <c r="G473" s="1153"/>
      <c r="H473" s="1153"/>
      <c r="I473" s="1153"/>
      <c r="J473" s="1109"/>
      <c r="Q473" s="1107" t="str">
        <f ca="1">IFERROR(VLOOKUP(Z466,Num_AS,4,FALSE),"")</f>
        <v/>
      </c>
      <c r="R473" s="1152"/>
      <c r="S473" s="1108"/>
      <c r="T473" s="1153"/>
      <c r="U473" s="1153"/>
      <c r="V473" s="1153"/>
      <c r="W473" s="1153"/>
      <c r="X473" s="1153"/>
      <c r="Y473" s="1153"/>
      <c r="Z473" s="1109"/>
      <c r="AB473" s="254"/>
      <c r="AC473" s="254"/>
      <c r="AD473" s="681"/>
      <c r="AE473" s="680"/>
      <c r="AF473" s="681"/>
      <c r="AG473" s="679"/>
      <c r="AH473" s="679"/>
      <c r="AI473" s="679"/>
      <c r="AJ473" s="679"/>
      <c r="AK473" s="679"/>
      <c r="AL473" s="679"/>
    </row>
    <row r="474" spans="1:44" ht="36" customHeight="1" thickBot="1" x14ac:dyDescent="0.25">
      <c r="A474" s="1156" t="s">
        <v>1330</v>
      </c>
      <c r="B474" s="1157"/>
      <c r="C474" s="1157"/>
      <c r="D474" s="1158"/>
      <c r="E474" s="947">
        <f ca="1">VLOOKUP(A470&amp;A472,PTS_SP,3,FALSE)</f>
        <v>0</v>
      </c>
      <c r="Q474" s="1156" t="s">
        <v>1330</v>
      </c>
      <c r="R474" s="1157"/>
      <c r="S474" s="1157"/>
      <c r="T474" s="1158"/>
      <c r="U474" s="947">
        <f ca="1">VLOOKUP(Q470&amp;Q472,PTS_SP,3,FALSE)</f>
        <v>0</v>
      </c>
      <c r="AB474" s="254"/>
      <c r="AC474" s="254"/>
      <c r="AD474" s="681"/>
      <c r="AE474" s="680"/>
      <c r="AF474" s="681"/>
      <c r="AG474" s="679"/>
      <c r="AH474" s="679"/>
      <c r="AI474" s="679"/>
      <c r="AJ474" s="679"/>
      <c r="AK474" s="679"/>
      <c r="AL474" s="679"/>
    </row>
    <row r="475" spans="1:44" ht="38.25" customHeight="1" x14ac:dyDescent="0.2">
      <c r="A475" s="701"/>
      <c r="B475" s="701"/>
      <c r="C475" s="853"/>
      <c r="D475" s="861" t="s">
        <v>1290</v>
      </c>
      <c r="E475" s="853"/>
      <c r="F475" s="854"/>
      <c r="G475" s="854"/>
      <c r="H475" s="872" t="s">
        <v>1295</v>
      </c>
      <c r="I475" s="855"/>
      <c r="J475" s="853"/>
      <c r="K475" s="853"/>
      <c r="L475" s="853"/>
      <c r="M475" s="859"/>
      <c r="N475" s="860" t="s">
        <v>1291</v>
      </c>
      <c r="O475" s="853"/>
      <c r="P475" s="249"/>
      <c r="Q475" s="701"/>
      <c r="R475" s="701"/>
      <c r="S475" s="853"/>
      <c r="T475" s="861" t="s">
        <v>1290</v>
      </c>
      <c r="U475" s="853"/>
      <c r="V475" s="854"/>
      <c r="W475" s="854"/>
      <c r="X475" s="872" t="s">
        <v>1302</v>
      </c>
      <c r="Y475" s="855"/>
      <c r="Z475" s="853"/>
      <c r="AA475" s="853"/>
      <c r="AB475" s="853"/>
      <c r="AC475" s="859"/>
      <c r="AD475" s="860" t="s">
        <v>1291</v>
      </c>
      <c r="AE475" s="853"/>
      <c r="AF475" s="681"/>
      <c r="AG475" s="681"/>
      <c r="AH475" s="681"/>
      <c r="AI475" s="681"/>
      <c r="AJ475" s="679"/>
      <c r="AK475" s="679"/>
      <c r="AL475" s="679"/>
    </row>
    <row r="476" spans="1:44" ht="38.25" customHeight="1" x14ac:dyDescent="0.2">
      <c r="A476" s="856" t="s">
        <v>509</v>
      </c>
      <c r="B476" s="942" t="s">
        <v>1329</v>
      </c>
      <c r="C476" s="857">
        <v>1</v>
      </c>
      <c r="D476" s="857">
        <v>2</v>
      </c>
      <c r="E476" s="857">
        <v>3</v>
      </c>
      <c r="F476" s="857">
        <v>4</v>
      </c>
      <c r="G476" s="857">
        <v>5</v>
      </c>
      <c r="H476" s="857">
        <v>6</v>
      </c>
      <c r="I476" s="857">
        <v>7</v>
      </c>
      <c r="J476" s="857">
        <v>8</v>
      </c>
      <c r="K476" s="858" t="s">
        <v>1286</v>
      </c>
      <c r="L476" s="1154" t="s">
        <v>1287</v>
      </c>
      <c r="M476" s="1154"/>
      <c r="N476" s="1154"/>
      <c r="O476" s="858" t="s">
        <v>1288</v>
      </c>
      <c r="P476" s="844"/>
      <c r="Q476" s="856" t="s">
        <v>509</v>
      </c>
      <c r="R476" s="942" t="s">
        <v>1329</v>
      </c>
      <c r="S476" s="857">
        <v>1</v>
      </c>
      <c r="T476" s="857">
        <v>2</v>
      </c>
      <c r="U476" s="857">
        <v>3</v>
      </c>
      <c r="V476" s="857">
        <v>4</v>
      </c>
      <c r="W476" s="857">
        <v>5</v>
      </c>
      <c r="X476" s="857">
        <v>6</v>
      </c>
      <c r="Y476" s="857">
        <v>7</v>
      </c>
      <c r="Z476" s="857">
        <v>8</v>
      </c>
      <c r="AA476" s="858" t="s">
        <v>1286</v>
      </c>
      <c r="AB476" s="1154" t="s">
        <v>1287</v>
      </c>
      <c r="AC476" s="1154"/>
      <c r="AD476" s="1154"/>
      <c r="AE476" s="858" t="s">
        <v>1288</v>
      </c>
      <c r="AF476" s="681"/>
      <c r="AG476" s="681"/>
      <c r="AH476" s="681"/>
      <c r="AI476" s="681"/>
      <c r="AJ476" s="679"/>
      <c r="AK476" s="679"/>
      <c r="AL476" s="679"/>
    </row>
    <row r="477" spans="1:44" ht="30" customHeight="1" x14ac:dyDescent="0.25">
      <c r="A477" s="846" t="s">
        <v>1282</v>
      </c>
      <c r="B477" s="948">
        <f ca="1">E474</f>
        <v>0</v>
      </c>
      <c r="C477" s="843"/>
      <c r="D477" s="843"/>
      <c r="E477" s="843"/>
      <c r="F477" s="843"/>
      <c r="G477" s="847"/>
      <c r="H477" s="848"/>
      <c r="I477" s="846"/>
      <c r="J477" s="843"/>
      <c r="K477" s="843"/>
      <c r="L477" s="849">
        <f ca="1">IF(Q470="Matchs de CLASSEMENT","X",2)</f>
        <v>2</v>
      </c>
      <c r="M477" s="849">
        <f ca="1">IF(Q470="Matchs de CLASSEMENT","X",1)</f>
        <v>1</v>
      </c>
      <c r="N477" s="849">
        <f ca="1">IF(Q470="Matchs de CLASSEMENT","X",0)</f>
        <v>0</v>
      </c>
      <c r="O477" s="849" t="str">
        <f ca="1">IF(Q470="Matchs de CLASSEMENT","X","")</f>
        <v/>
      </c>
      <c r="P477" s="842"/>
      <c r="Q477" s="849" t="str">
        <f ca="1">IF(Q470="Matchs de CLASSEMENT","X","V1")</f>
        <v>V1</v>
      </c>
      <c r="R477" s="948">
        <f ca="1">U474</f>
        <v>0</v>
      </c>
      <c r="S477" s="849" t="str">
        <f ca="1">IF(Q470="Matchs de CLASSEMENT","X","")</f>
        <v/>
      </c>
      <c r="T477" s="849" t="str">
        <f ca="1">IF(Q470="Matchs de CLASSEMENT","X","")</f>
        <v/>
      </c>
      <c r="U477" s="849" t="str">
        <f ca="1">IF(Q470="Matchs de CLASSEMENT","X","")</f>
        <v/>
      </c>
      <c r="V477" s="849" t="str">
        <f ca="1">IF(Q470="Matchs de CLASSEMENT","X","")</f>
        <v/>
      </c>
      <c r="W477" s="849" t="str">
        <f ca="1">IF(Q470="Matchs de CLASSEMENT","X","")</f>
        <v/>
      </c>
      <c r="X477" s="849" t="str">
        <f ca="1">IF(Q470="Matchs de CLASSEMENT","X","")</f>
        <v/>
      </c>
      <c r="Y477" s="849" t="str">
        <f ca="1">IF(Q470="Matchs de CLASSEMENT","X","")</f>
        <v/>
      </c>
      <c r="Z477" s="849" t="str">
        <f ca="1">IF(Q470="Matchs de CLASSEMENT","X","")</f>
        <v/>
      </c>
      <c r="AA477" s="849" t="str">
        <f ca="1">IF(Q470="Matchs de CLASSEMENT","X","")</f>
        <v/>
      </c>
      <c r="AB477" s="849">
        <f ca="1">IF(Q470="Matchs de CLASSEMENT","X",2)</f>
        <v>2</v>
      </c>
      <c r="AC477" s="849">
        <f ca="1">IF(Q470="Matchs de CLASSEMENT","X",1)</f>
        <v>1</v>
      </c>
      <c r="AD477" s="849">
        <f ca="1">IF(Q470="Matchs de CLASSEMENT","X",0)</f>
        <v>0</v>
      </c>
      <c r="AE477" s="849" t="str">
        <f ca="1">IF(Q470="Matchs de CLASSEMENT","X","")</f>
        <v/>
      </c>
      <c r="AF477" s="679"/>
      <c r="AG477" s="679"/>
      <c r="AH477" s="679"/>
      <c r="AI477" s="679"/>
      <c r="AJ477" s="679"/>
      <c r="AK477" s="679"/>
      <c r="AL477" s="679"/>
    </row>
    <row r="478" spans="1:44" ht="30" customHeight="1" x14ac:dyDescent="0.25">
      <c r="A478" s="846" t="s">
        <v>1283</v>
      </c>
      <c r="B478" s="948">
        <f ca="1">B477</f>
        <v>0</v>
      </c>
      <c r="C478" s="843"/>
      <c r="D478" s="843"/>
      <c r="E478" s="843"/>
      <c r="F478" s="843"/>
      <c r="G478" s="847"/>
      <c r="H478" s="848"/>
      <c r="I478" s="846"/>
      <c r="J478" s="843"/>
      <c r="K478" s="843"/>
      <c r="L478" s="849">
        <f ca="1">IF(Q470="Matchs de CLASSEMENT","X",2)</f>
        <v>2</v>
      </c>
      <c r="M478" s="849">
        <f ca="1">IF(Q470="Matchs de CLASSEMENT","X",1)</f>
        <v>1</v>
      </c>
      <c r="N478" s="849">
        <f ca="1">IF(Q470="Matchs de CLASSEMENT","X",0)</f>
        <v>0</v>
      </c>
      <c r="O478" s="849" t="str">
        <f ca="1">IF(Q470="Matchs de CLASSEMENT","X","")</f>
        <v/>
      </c>
      <c r="P478" s="842"/>
      <c r="Q478" s="849" t="str">
        <f ca="1">IF(Q470="Matchs de CLASSEMENT","X","V2")</f>
        <v>V2</v>
      </c>
      <c r="R478" s="948">
        <f ca="1">R477</f>
        <v>0</v>
      </c>
      <c r="S478" s="849" t="str">
        <f ca="1">IF(Q470="Matchs de CLASSEMENT","X","")</f>
        <v/>
      </c>
      <c r="T478" s="849" t="str">
        <f ca="1">IF(Q470="Matchs de CLASSEMENT","X","")</f>
        <v/>
      </c>
      <c r="U478" s="849" t="str">
        <f ca="1">IF(Q470="Matchs de CLASSEMENT","X","")</f>
        <v/>
      </c>
      <c r="V478" s="849" t="str">
        <f ca="1">IF(Q470="Matchs de CLASSEMENT","X","")</f>
        <v/>
      </c>
      <c r="W478" s="849" t="str">
        <f ca="1">IF(Q470="Matchs de CLASSEMENT","X","")</f>
        <v/>
      </c>
      <c r="X478" s="849" t="str">
        <f ca="1">IF(Q470="Matchs de CLASSEMENT","X","")</f>
        <v/>
      </c>
      <c r="Y478" s="849" t="str">
        <f ca="1">IF(Q470="Matchs de CLASSEMENT","X","")</f>
        <v/>
      </c>
      <c r="Z478" s="849" t="str">
        <f ca="1">IF(Q470="Matchs de CLASSEMENT","X","")</f>
        <v/>
      </c>
      <c r="AA478" s="849" t="str">
        <f ca="1">IF(Q470="Matchs de CLASSEMENT","X","")</f>
        <v/>
      </c>
      <c r="AB478" s="849">
        <f ca="1">IF(Q470="Matchs de CLASSEMENT","X",2)</f>
        <v>2</v>
      </c>
      <c r="AC478" s="849">
        <f ca="1">IF(Q470="Matchs de CLASSEMENT","X",1)</f>
        <v>1</v>
      </c>
      <c r="AD478" s="849">
        <f ca="1">IF(Q470="Matchs de CLASSEMENT","X",0)</f>
        <v>0</v>
      </c>
      <c r="AE478" s="849" t="str">
        <f ca="1">IF(Q470="Matchs de CLASSEMENT","X","")</f>
        <v/>
      </c>
      <c r="AF478" s="679"/>
      <c r="AG478" s="679"/>
      <c r="AH478" s="679"/>
      <c r="AI478" s="679"/>
      <c r="AJ478" s="679"/>
      <c r="AK478" s="679"/>
      <c r="AL478" s="679"/>
    </row>
    <row r="479" spans="1:44" ht="30" customHeight="1" x14ac:dyDescent="0.25">
      <c r="A479" s="846" t="s">
        <v>1284</v>
      </c>
      <c r="B479" s="948">
        <f t="shared" ref="B479:B480" ca="1" si="31">B478</f>
        <v>0</v>
      </c>
      <c r="C479" s="843"/>
      <c r="D479" s="843"/>
      <c r="E479" s="843"/>
      <c r="F479" s="843"/>
      <c r="G479" s="847"/>
      <c r="H479" s="848"/>
      <c r="I479" s="846"/>
      <c r="J479" s="843"/>
      <c r="K479" s="843"/>
      <c r="L479" s="849">
        <f ca="1">IF(Q470="Matchs de CLASSEMENT","X",2)</f>
        <v>2</v>
      </c>
      <c r="M479" s="849">
        <f ca="1">IF(Q470="Matchs de CLASSEMENT","X",1)</f>
        <v>1</v>
      </c>
      <c r="N479" s="849">
        <f ca="1">IF(Q470="Matchs de CLASSEMENT","X",0)</f>
        <v>0</v>
      </c>
      <c r="O479" s="849" t="str">
        <f ca="1">IF(Q470="Matchs de CLASSEMENT","X","")</f>
        <v/>
      </c>
      <c r="P479" s="842"/>
      <c r="Q479" s="849" t="str">
        <f ca="1">IF(Q470="Matchs de CLASSEMENT","X","V3")</f>
        <v>V3</v>
      </c>
      <c r="R479" s="948">
        <f t="shared" ref="R479:R480" ca="1" si="32">R478</f>
        <v>0</v>
      </c>
      <c r="S479" s="849" t="str">
        <f ca="1">IF(Q470="Matchs de CLASSEMENT","X","")</f>
        <v/>
      </c>
      <c r="T479" s="849" t="str">
        <f ca="1">IF(Q470="Matchs de CLASSEMENT","X","")</f>
        <v/>
      </c>
      <c r="U479" s="849" t="str">
        <f ca="1">IF(Q470="Matchs de CLASSEMENT","X","")</f>
        <v/>
      </c>
      <c r="V479" s="849" t="str">
        <f ca="1">IF(Q470="Matchs de CLASSEMENT","X","")</f>
        <v/>
      </c>
      <c r="W479" s="849" t="str">
        <f ca="1">IF(Q470="Matchs de CLASSEMENT","X","")</f>
        <v/>
      </c>
      <c r="X479" s="849" t="str">
        <f ca="1">IF(Q470="Matchs de CLASSEMENT","X","")</f>
        <v/>
      </c>
      <c r="Y479" s="849" t="str">
        <f ca="1">IF(Q470="Matchs de CLASSEMENT","X","")</f>
        <v/>
      </c>
      <c r="Z479" s="849" t="str">
        <f ca="1">IF(Q470="Matchs de CLASSEMENT","X","")</f>
        <v/>
      </c>
      <c r="AA479" s="849" t="str">
        <f ca="1">IF(Q470="Matchs de CLASSEMENT","X","")</f>
        <v/>
      </c>
      <c r="AB479" s="849">
        <f ca="1">IF(Q470="Matchs de CLASSEMENT","X",2)</f>
        <v>2</v>
      </c>
      <c r="AC479" s="849">
        <f ca="1">IF(Q470="Matchs de CLASSEMENT","X",1)</f>
        <v>1</v>
      </c>
      <c r="AD479" s="849">
        <f ca="1">IF(Q470="Matchs de CLASSEMENT","X",0)</f>
        <v>0</v>
      </c>
      <c r="AE479" s="849" t="str">
        <f ca="1">IF(Q470="Matchs de CLASSEMENT","X","")</f>
        <v/>
      </c>
      <c r="AF479" s="679"/>
      <c r="AG479" s="679"/>
      <c r="AH479" s="679"/>
      <c r="AI479" s="679"/>
      <c r="AJ479" s="679"/>
      <c r="AK479" s="679"/>
      <c r="AL479" s="679"/>
    </row>
    <row r="480" spans="1:44" ht="30" customHeight="1" x14ac:dyDescent="0.25">
      <c r="A480" s="846" t="s">
        <v>1285</v>
      </c>
      <c r="B480" s="948">
        <f t="shared" ca="1" si="31"/>
        <v>0</v>
      </c>
      <c r="C480" s="843"/>
      <c r="D480" s="843"/>
      <c r="E480" s="843"/>
      <c r="F480" s="843"/>
      <c r="G480" s="847"/>
      <c r="H480" s="848"/>
      <c r="I480" s="846"/>
      <c r="J480" s="843"/>
      <c r="K480" s="843"/>
      <c r="L480" s="849">
        <f ca="1">IF(Q470="Matchs de CLASSEMENT","X",2)</f>
        <v>2</v>
      </c>
      <c r="M480" s="849">
        <f ca="1">IF(Q470="Matchs de CLASSEMENT","X",1)</f>
        <v>1</v>
      </c>
      <c r="N480" s="849">
        <f ca="1">IF(Q470="Matchs de CLASSEMENT","X",0)</f>
        <v>0</v>
      </c>
      <c r="O480" s="849" t="str">
        <f ca="1">IF(Q470="Matchs de CLASSEMENT","X","")</f>
        <v/>
      </c>
      <c r="P480" s="842"/>
      <c r="Q480" s="849" t="str">
        <f ca="1">IF(Q470="Matchs de CLASSEMENT","X","V4")</f>
        <v>V4</v>
      </c>
      <c r="R480" s="948">
        <f t="shared" ca="1" si="32"/>
        <v>0</v>
      </c>
      <c r="S480" s="849" t="str">
        <f ca="1">IF(Q470="Matchs de CLASSEMENT","X","")</f>
        <v/>
      </c>
      <c r="T480" s="849" t="str">
        <f ca="1">IF(Q470="Matchs de CLASSEMENT","X","")</f>
        <v/>
      </c>
      <c r="U480" s="849" t="str">
        <f ca="1">IF(Q470="Matchs de CLASSEMENT","X","")</f>
        <v/>
      </c>
      <c r="V480" s="849" t="str">
        <f ca="1">IF(Q470="Matchs de CLASSEMENT","X","")</f>
        <v/>
      </c>
      <c r="W480" s="849" t="str">
        <f ca="1">IF(Q470="Matchs de CLASSEMENT","X","")</f>
        <v/>
      </c>
      <c r="X480" s="849" t="str">
        <f ca="1">IF(Q470="Matchs de CLASSEMENT","X","")</f>
        <v/>
      </c>
      <c r="Y480" s="849" t="str">
        <f ca="1">IF(Q470="Matchs de CLASSEMENT","X","")</f>
        <v/>
      </c>
      <c r="Z480" s="849" t="str">
        <f ca="1">IF(Q470="Matchs de CLASSEMENT","X","")</f>
        <v/>
      </c>
      <c r="AA480" s="849" t="str">
        <f ca="1">IF(Q470="Matchs de CLASSEMENT","X","")</f>
        <v/>
      </c>
      <c r="AB480" s="849">
        <f ca="1">IF(Q470="Matchs de CLASSEMENT","X",2)</f>
        <v>2</v>
      </c>
      <c r="AC480" s="849">
        <f ca="1">IF(Q470="Matchs de CLASSEMENT","X",1)</f>
        <v>1</v>
      </c>
      <c r="AD480" s="849">
        <f ca="1">IF(Q470="Matchs de CLASSEMENT","X",0)</f>
        <v>0</v>
      </c>
      <c r="AE480" s="849" t="str">
        <f ca="1">IF(Q470="Matchs de CLASSEMENT","X","")</f>
        <v/>
      </c>
      <c r="AF480" s="679"/>
      <c r="AG480" s="679"/>
      <c r="AH480" s="679"/>
      <c r="AI480" s="679"/>
      <c r="AJ480" s="679"/>
      <c r="AK480" s="679"/>
      <c r="AL480" s="679"/>
    </row>
    <row r="481" spans="1:44" ht="30" customHeight="1" x14ac:dyDescent="0.2">
      <c r="N481" s="867" t="s">
        <v>1294</v>
      </c>
      <c r="O481" s="848"/>
      <c r="AD481" s="867" t="s">
        <v>1294</v>
      </c>
      <c r="AE481" s="866"/>
      <c r="AF481" s="679"/>
      <c r="AG481" s="679"/>
      <c r="AH481" s="679"/>
      <c r="AI481" s="679"/>
      <c r="AJ481" s="679"/>
      <c r="AK481" s="679"/>
      <c r="AL481" s="679"/>
    </row>
    <row r="482" spans="1:44" ht="12.75" customHeight="1" x14ac:dyDescent="0.2">
      <c r="AE482" s="520"/>
      <c r="AF482" s="679"/>
      <c r="AG482" s="679"/>
      <c r="AH482" s="679"/>
      <c r="AI482" s="679"/>
      <c r="AJ482" s="679"/>
      <c r="AK482" s="679"/>
      <c r="AL482" s="679"/>
    </row>
    <row r="483" spans="1:44" ht="18.75" customHeight="1" x14ac:dyDescent="0.2">
      <c r="A483" s="584"/>
      <c r="B483" s="584"/>
      <c r="C483" s="701" t="s">
        <v>1289</v>
      </c>
      <c r="D483" s="249"/>
      <c r="E483" s="196"/>
      <c r="F483" s="196"/>
      <c r="G483" s="584"/>
      <c r="H483" s="1155" t="s">
        <v>1301</v>
      </c>
      <c r="I483" s="1155"/>
      <c r="J483" s="1155"/>
      <c r="K483" s="1155"/>
      <c r="L483" s="1155"/>
      <c r="M483" s="1155"/>
      <c r="N483" s="1155"/>
      <c r="O483" s="1155"/>
      <c r="P483" s="842"/>
      <c r="Q483" s="219"/>
      <c r="R483" s="219"/>
      <c r="S483" s="701" t="s">
        <v>1289</v>
      </c>
      <c r="T483" s="249"/>
      <c r="U483" s="196"/>
      <c r="V483" s="196"/>
      <c r="X483" s="1155" t="s">
        <v>1304</v>
      </c>
      <c r="Y483" s="1155"/>
      <c r="Z483" s="1155"/>
      <c r="AA483" s="1155"/>
      <c r="AB483" s="1155"/>
      <c r="AC483" s="1155"/>
      <c r="AD483" s="1155"/>
      <c r="AE483" s="1155"/>
      <c r="AF483" s="679"/>
      <c r="AG483" s="679"/>
      <c r="AH483" s="679"/>
      <c r="AI483" s="679"/>
      <c r="AJ483" s="679"/>
      <c r="AK483" s="679"/>
      <c r="AL483" s="679"/>
    </row>
    <row r="484" spans="1:44" ht="32.25" customHeight="1" x14ac:dyDescent="0.2">
      <c r="A484" s="584"/>
      <c r="B484" s="584"/>
      <c r="C484" s="850"/>
      <c r="D484" s="851"/>
      <c r="E484" s="852"/>
      <c r="F484" s="852"/>
      <c r="G484" s="584"/>
      <c r="H484" s="1149" t="s">
        <v>549</v>
      </c>
      <c r="I484" s="1149"/>
      <c r="J484" s="1149"/>
      <c r="K484" s="1149"/>
      <c r="L484" s="1149"/>
      <c r="M484" s="1146" t="s">
        <v>550</v>
      </c>
      <c r="N484" s="1147"/>
      <c r="O484" s="1148"/>
      <c r="P484" s="842"/>
      <c r="Q484" s="219"/>
      <c r="R484" s="219"/>
      <c r="S484" s="850"/>
      <c r="T484" s="851"/>
      <c r="U484" s="852"/>
      <c r="V484" s="852"/>
      <c r="X484" s="1149" t="s">
        <v>549</v>
      </c>
      <c r="Y484" s="1149"/>
      <c r="Z484" s="1149"/>
      <c r="AA484" s="1149"/>
      <c r="AB484" s="1149"/>
      <c r="AC484" s="1146" t="s">
        <v>550</v>
      </c>
      <c r="AD484" s="1147"/>
      <c r="AE484" s="1148"/>
      <c r="AG484" s="679"/>
      <c r="AH484" s="679"/>
      <c r="AI484" s="679"/>
      <c r="AJ484" s="679"/>
      <c r="AK484" s="679"/>
      <c r="AL484" s="679"/>
    </row>
    <row r="485" spans="1:44" ht="32.25" customHeight="1" x14ac:dyDescent="0.2">
      <c r="A485" s="584"/>
      <c r="B485" s="584"/>
      <c r="C485" s="850"/>
      <c r="D485" s="851"/>
      <c r="E485" s="852"/>
      <c r="F485" s="852"/>
      <c r="G485" s="584"/>
      <c r="H485" s="1140" t="str">
        <f ca="1">IFERROR(VLOOKUP(X466,Num_AS,6,FALSE)&amp;" "&amp;VLOOKUP(X466,Num_AS,7,FALSE),"")</f>
        <v/>
      </c>
      <c r="I485" s="1140"/>
      <c r="J485" s="1140"/>
      <c r="K485" s="1140"/>
      <c r="L485" s="1140"/>
      <c r="M485" s="1129" t="str">
        <f ca="1">IFERROR(VLOOKUP(X466,Num_AS,9,FALSE),"")</f>
        <v/>
      </c>
      <c r="N485" s="1130"/>
      <c r="O485" s="1131"/>
      <c r="P485" s="842"/>
      <c r="Q485" s="219"/>
      <c r="R485" s="219"/>
      <c r="S485" s="850"/>
      <c r="T485" s="851"/>
      <c r="U485" s="852"/>
      <c r="V485" s="852"/>
      <c r="W485" s="196"/>
      <c r="X485" s="1140" t="str">
        <f ca="1">IFERROR(VLOOKUP(Z466,Num_AS,6,FALSE)&amp;" "&amp;VLOOKUP(Z466,Num_AS,7,FALSE),"")</f>
        <v/>
      </c>
      <c r="Y485" s="1140"/>
      <c r="Z485" s="1140"/>
      <c r="AA485" s="1140"/>
      <c r="AB485" s="1140"/>
      <c r="AC485" s="1129" t="str">
        <f ca="1">IFERROR(VLOOKUP(Z466,Num_AS,9,FALSE),"")</f>
        <v/>
      </c>
      <c r="AD485" s="1130"/>
      <c r="AE485" s="1131"/>
    </row>
    <row r="486" spans="1:44" ht="32.25" customHeight="1" x14ac:dyDescent="0.2">
      <c r="A486" s="584"/>
      <c r="B486" s="584"/>
      <c r="C486" s="850"/>
      <c r="D486" s="851"/>
      <c r="E486" s="852"/>
      <c r="F486" s="852"/>
      <c r="G486" s="584"/>
      <c r="H486" s="1140" t="str">
        <f ca="1">IFERROR(VLOOKUP(X466,Num_AS,12,FALSE)&amp;" "&amp;VLOOKUP(X466,Num_AS,13,FALSE),"")</f>
        <v/>
      </c>
      <c r="I486" s="1140"/>
      <c r="J486" s="1140"/>
      <c r="K486" s="1140"/>
      <c r="L486" s="1140"/>
      <c r="M486" s="1129" t="str">
        <f ca="1">IFERROR(VLOOKUP(X466,Num_AS,15,FALSE),"")</f>
        <v/>
      </c>
      <c r="N486" s="1130"/>
      <c r="O486" s="1131">
        <f ca="1">G468</f>
        <v>0</v>
      </c>
      <c r="P486" s="842"/>
      <c r="Q486" s="219"/>
      <c r="R486" s="219"/>
      <c r="S486" s="850"/>
      <c r="T486" s="851"/>
      <c r="U486" s="852"/>
      <c r="V486" s="852"/>
      <c r="W486" s="196"/>
      <c r="X486" s="1140" t="str">
        <f ca="1">IFERROR(VLOOKUP(Z466,Num_AS,12,FALSE)&amp;" "&amp;VLOOKUP(Z466,Num_AS,13,FALSE),"")</f>
        <v/>
      </c>
      <c r="Y486" s="1140"/>
      <c r="Z486" s="1140"/>
      <c r="AA486" s="1140"/>
      <c r="AB486" s="1140"/>
      <c r="AC486" s="1129" t="str">
        <f ca="1">IFERROR(VLOOKUP(Z466,Num_AS,15,FALSE),"")</f>
        <v/>
      </c>
      <c r="AD486" s="1130"/>
      <c r="AE486" s="1131">
        <f>W468</f>
        <v>0</v>
      </c>
    </row>
    <row r="487" spans="1:44" ht="32.25" customHeight="1" x14ac:dyDescent="0.2">
      <c r="A487" s="584"/>
      <c r="B487" s="584"/>
      <c r="C487" s="584"/>
      <c r="D487" s="584"/>
      <c r="E487" s="584"/>
      <c r="F487" s="584"/>
      <c r="G487" s="584"/>
      <c r="H487" s="1140" t="str">
        <f ca="1">IFERROR(VLOOKUP(X466,Num_AS,18,FALSE)&amp;" "&amp;VLOOKUP(X466,Num_AS,19,FALSE),"")</f>
        <v/>
      </c>
      <c r="I487" s="1140"/>
      <c r="J487" s="1140"/>
      <c r="K487" s="1140"/>
      <c r="L487" s="1140"/>
      <c r="M487" s="1129" t="str">
        <f ca="1">IFERROR(VLOOKUP(X466,Num_AS,21,FALSE),"")</f>
        <v/>
      </c>
      <c r="N487" s="1130"/>
      <c r="O487" s="1131">
        <f ca="1">G468</f>
        <v>0</v>
      </c>
      <c r="P487" s="842"/>
      <c r="Q487" s="219"/>
      <c r="R487" s="219"/>
      <c r="S487" s="584"/>
      <c r="T487" s="584"/>
      <c r="U487" s="584"/>
      <c r="V487" s="584"/>
      <c r="W487" s="196"/>
      <c r="X487" s="1140" t="str">
        <f ca="1">IFERROR(VLOOKUP(Z466,Num_AS,18,FALSE)&amp;" "&amp;VLOOKUP(Z466,Num_AS,19,FALSE),"")</f>
        <v/>
      </c>
      <c r="Y487" s="1140"/>
      <c r="Z487" s="1140"/>
      <c r="AA487" s="1140"/>
      <c r="AB487" s="1140"/>
      <c r="AC487" s="1129" t="str">
        <f ca="1">IFERROR(VLOOKUP(Z466,Num_AS,21,FALSE),"")</f>
        <v/>
      </c>
      <c r="AD487" s="1130"/>
      <c r="AE487" s="1131">
        <f>W468</f>
        <v>0</v>
      </c>
    </row>
    <row r="488" spans="1:44" ht="32.25" customHeight="1" x14ac:dyDescent="0.2">
      <c r="A488" s="584"/>
      <c r="B488" s="584"/>
      <c r="C488" s="862"/>
      <c r="D488" s="1141" t="s">
        <v>1292</v>
      </c>
      <c r="E488" s="1142"/>
      <c r="F488" s="1143"/>
      <c r="G488" s="584"/>
      <c r="H488" s="1140" t="str">
        <f ca="1">IFERROR(VLOOKUP(X466,Num_AS,24,FALSE)&amp;" "&amp;VLOOKUP(X466,Num_AS,25,FALSE),"")</f>
        <v/>
      </c>
      <c r="I488" s="1140"/>
      <c r="J488" s="1140"/>
      <c r="K488" s="1140"/>
      <c r="L488" s="1140"/>
      <c r="M488" s="1129" t="str">
        <f ca="1">IFERROR(VLOOKUP(X466,Num_AS,9,FALSE),"")</f>
        <v/>
      </c>
      <c r="N488" s="1130"/>
      <c r="O488" s="1131">
        <f ca="1">G468</f>
        <v>0</v>
      </c>
      <c r="P488" s="842"/>
      <c r="Q488" s="219"/>
      <c r="R488" s="219"/>
      <c r="S488" s="862"/>
      <c r="T488" s="1141" t="s">
        <v>1292</v>
      </c>
      <c r="U488" s="1142"/>
      <c r="V488" s="1143"/>
      <c r="W488" s="196"/>
      <c r="X488" s="1140" t="str">
        <f ca="1">IFERROR(VLOOKUP(Z466,Num_AS,24,FALSE)&amp;" "&amp;VLOOKUP(Z466,Num_AS,25,FALSE),"")</f>
        <v/>
      </c>
      <c r="Y488" s="1140"/>
      <c r="Z488" s="1140"/>
      <c r="AA488" s="1140"/>
      <c r="AB488" s="1140"/>
      <c r="AC488" s="1129" t="str">
        <f ca="1">IFERROR(VLOOKUP(Z466,Num_AS,9,FALSE),"")</f>
        <v/>
      </c>
      <c r="AD488" s="1130"/>
      <c r="AE488" s="1131">
        <f>W468</f>
        <v>0</v>
      </c>
    </row>
    <row r="489" spans="1:44" ht="18.75" customHeight="1" thickBot="1" x14ac:dyDescent="0.25">
      <c r="A489" s="701"/>
      <c r="B489" s="701"/>
      <c r="C489" s="249"/>
      <c r="D489" s="249"/>
      <c r="E489" s="249"/>
      <c r="F489" s="701"/>
      <c r="G489" s="701"/>
      <c r="H489" s="196"/>
      <c r="I489" s="196"/>
      <c r="J489" s="249"/>
      <c r="K489" s="219"/>
      <c r="L489" s="219"/>
      <c r="M489" s="219"/>
      <c r="N489" s="219"/>
      <c r="O489" s="219"/>
      <c r="P489" s="219"/>
      <c r="Q489" s="219"/>
      <c r="R489" s="219"/>
      <c r="S489" s="219"/>
      <c r="T489" s="219"/>
      <c r="U489" s="219"/>
      <c r="V489" s="219"/>
      <c r="W489" s="219"/>
      <c r="X489" s="219"/>
      <c r="Y489" s="249"/>
      <c r="Z489" s="219"/>
      <c r="AE489" s="520"/>
    </row>
    <row r="490" spans="1:44" ht="32.25" customHeight="1" x14ac:dyDescent="0.25">
      <c r="A490" s="701"/>
      <c r="B490" s="701"/>
      <c r="D490" s="875" t="s">
        <v>1002</v>
      </c>
      <c r="E490" s="876"/>
      <c r="F490" s="876"/>
      <c r="G490" s="876"/>
      <c r="H490" s="876"/>
      <c r="I490" s="876"/>
      <c r="J490" s="876"/>
      <c r="K490" s="876"/>
      <c r="L490" s="876"/>
      <c r="M490" s="877" t="s">
        <v>1297</v>
      </c>
      <c r="N490" s="219"/>
      <c r="O490" s="1132" t="s">
        <v>1293</v>
      </c>
      <c r="P490" s="1133"/>
      <c r="Q490" s="1134"/>
      <c r="R490" s="941"/>
      <c r="T490" s="875" t="s">
        <v>1002</v>
      </c>
      <c r="U490" s="876"/>
      <c r="V490" s="876"/>
      <c r="W490" s="876"/>
      <c r="X490" s="876"/>
      <c r="Y490" s="876"/>
      <c r="Z490" s="876"/>
      <c r="AA490" s="876"/>
      <c r="AB490" s="876"/>
      <c r="AC490" s="877" t="s">
        <v>1296</v>
      </c>
      <c r="AE490" s="520"/>
    </row>
    <row r="491" spans="1:44" ht="70.5" customHeight="1" thickBot="1" x14ac:dyDescent="0.25">
      <c r="A491" s="701"/>
      <c r="B491" s="701"/>
      <c r="D491" s="878"/>
      <c r="E491" s="879"/>
      <c r="F491" s="879"/>
      <c r="G491" s="879"/>
      <c r="H491" s="879"/>
      <c r="I491" s="879"/>
      <c r="J491" s="879"/>
      <c r="K491" s="879"/>
      <c r="L491" s="879"/>
      <c r="M491" s="880"/>
      <c r="N491" s="219"/>
      <c r="O491" s="1135"/>
      <c r="P491" s="1136"/>
      <c r="Q491" s="1137"/>
      <c r="R491" s="941"/>
      <c r="T491" s="878"/>
      <c r="U491" s="879"/>
      <c r="V491" s="879"/>
      <c r="W491" s="879"/>
      <c r="X491" s="879"/>
      <c r="Y491" s="879"/>
      <c r="Z491" s="879"/>
      <c r="AA491" s="879"/>
      <c r="AB491" s="879"/>
      <c r="AC491" s="880"/>
      <c r="AE491" s="520"/>
    </row>
    <row r="492" spans="1:44" ht="6.75" customHeight="1" x14ac:dyDescent="0.25">
      <c r="A492" s="701"/>
      <c r="B492" s="701"/>
      <c r="C492" s="249"/>
      <c r="D492" s="249"/>
      <c r="E492" s="249"/>
      <c r="F492" s="701"/>
      <c r="G492" s="701"/>
      <c r="H492" s="196"/>
      <c r="I492" s="196"/>
      <c r="J492" s="249"/>
      <c r="K492" s="219"/>
      <c r="L492" s="842"/>
      <c r="M492" s="842"/>
      <c r="N492" s="842"/>
      <c r="O492" s="842"/>
      <c r="P492" s="842"/>
      <c r="Q492" s="842"/>
      <c r="R492" s="842"/>
      <c r="T492" s="845"/>
      <c r="U492" s="842"/>
      <c r="V492" s="842"/>
      <c r="W492" s="649"/>
      <c r="X492" s="845"/>
      <c r="Y492" s="842"/>
      <c r="Z492" s="842"/>
      <c r="AE492" s="520"/>
    </row>
    <row r="493" spans="1:44" ht="27.75" customHeight="1" x14ac:dyDescent="0.2">
      <c r="A493" s="701"/>
      <c r="B493" s="701"/>
      <c r="C493" s="1138" t="s">
        <v>1300</v>
      </c>
      <c r="D493" s="1138"/>
      <c r="E493" s="1138"/>
      <c r="F493" s="1138"/>
      <c r="G493" s="1138"/>
      <c r="H493" s="1138"/>
      <c r="I493" s="1138"/>
      <c r="J493" s="1138"/>
      <c r="K493" s="1138"/>
      <c r="L493" s="1138"/>
      <c r="M493" s="1138"/>
      <c r="N493" s="1138"/>
      <c r="O493" s="1138"/>
      <c r="P493" s="842"/>
      <c r="Q493" s="1139" t="s">
        <v>1303</v>
      </c>
      <c r="R493" s="1139"/>
      <c r="S493" s="1139"/>
      <c r="T493" s="1139"/>
      <c r="U493" s="1139"/>
      <c r="V493" s="1139"/>
      <c r="W493" s="1139"/>
      <c r="X493" s="1139"/>
      <c r="Y493" s="1139"/>
      <c r="Z493" s="1139"/>
      <c r="AA493" s="1139"/>
      <c r="AB493" s="1139"/>
      <c r="AC493" s="1139"/>
      <c r="AD493" s="1139"/>
      <c r="AE493" s="1139"/>
    </row>
    <row r="494" spans="1:44" ht="36" customHeight="1" x14ac:dyDescent="0.2">
      <c r="AE494" s="520"/>
    </row>
    <row r="495" spans="1:44" ht="19.5" customHeight="1" thickBot="1" x14ac:dyDescent="0.25">
      <c r="W495" s="500"/>
      <c r="X495" s="520">
        <f ca="1">INDIRECT("AE"&amp;Y495)</f>
        <v>0</v>
      </c>
      <c r="Y495" s="500">
        <f>Z496+2</f>
        <v>19</v>
      </c>
      <c r="Z495" s="501">
        <f ca="1">INDIRECT("AF"&amp;Y495)</f>
        <v>0</v>
      </c>
      <c r="AA495" s="500"/>
      <c r="AB495" s="500"/>
      <c r="AD495" s="679"/>
      <c r="AE495" s="679"/>
      <c r="AF495" s="679"/>
      <c r="AG495" s="679"/>
      <c r="AH495" s="679"/>
      <c r="AI495" s="679"/>
      <c r="AJ495" s="679"/>
      <c r="AK495" s="679"/>
      <c r="AL495" s="679"/>
    </row>
    <row r="496" spans="1:44" s="218" customFormat="1" ht="36" thickBot="1" x14ac:dyDescent="0.25">
      <c r="F496" s="576" t="s">
        <v>546</v>
      </c>
      <c r="G496" s="865" t="str">
        <f>G467</f>
        <v>D1</v>
      </c>
      <c r="I496" s="863" t="str">
        <f>"   "&amp;Championnat</f>
        <v xml:space="preserve">   Championnat de France de Tir à l'ARC</v>
      </c>
      <c r="T496" s="197"/>
      <c r="U496" s="197"/>
      <c r="V496" s="197"/>
      <c r="W496" s="197"/>
      <c r="Y496" s="502" t="s">
        <v>849</v>
      </c>
      <c r="Z496" s="503">
        <f>Z467+1</f>
        <v>17</v>
      </c>
      <c r="AB496" s="254"/>
      <c r="AC496" s="254"/>
      <c r="AD496" s="681"/>
      <c r="AE496" s="680"/>
      <c r="AF496" s="681"/>
      <c r="AH496" s="662"/>
      <c r="AI496" s="662"/>
      <c r="AJ496" s="662"/>
      <c r="AK496" s="662"/>
      <c r="AL496" s="662"/>
      <c r="AM496" s="217"/>
      <c r="AN496" s="217"/>
      <c r="AO496" s="217"/>
      <c r="AP496" s="217"/>
      <c r="AQ496" s="217"/>
      <c r="AR496" s="217"/>
    </row>
    <row r="497" spans="1:38" ht="36" thickBot="1" x14ac:dyDescent="0.25">
      <c r="F497" s="661" t="s">
        <v>628</v>
      </c>
      <c r="G497" s="660">
        <f ca="1">INDIRECT("AD"&amp;Y495)</f>
        <v>0</v>
      </c>
      <c r="I497" s="706" t="str">
        <f>CATEG_IMPORTEE</f>
        <v>Collèges Mixtes Etablissement</v>
      </c>
      <c r="S497" s="864" t="str">
        <f>LIEU&amp;" du "&amp;DATE</f>
        <v>L’Isle sur la Sorgue du 27 au 31 mars 2023</v>
      </c>
      <c r="AB497" s="254"/>
      <c r="AC497" s="254"/>
      <c r="AD497" s="681"/>
      <c r="AE497" s="680"/>
      <c r="AF497" s="681"/>
      <c r="AG497" s="679"/>
      <c r="AH497" s="679"/>
      <c r="AI497" s="679"/>
      <c r="AJ497" s="679"/>
      <c r="AK497" s="679"/>
      <c r="AL497" s="679"/>
    </row>
    <row r="498" spans="1:38" ht="24" customHeight="1" x14ac:dyDescent="0.2">
      <c r="A498" s="1075" t="s">
        <v>0</v>
      </c>
      <c r="B498" s="1075"/>
      <c r="C498" s="1075"/>
      <c r="D498" s="1075"/>
      <c r="E498" s="1075"/>
      <c r="F498" s="1075"/>
      <c r="G498" s="1075"/>
      <c r="H498" s="1075"/>
      <c r="I498" s="1075"/>
      <c r="J498" s="1075"/>
      <c r="Q498" s="1075" t="s">
        <v>0</v>
      </c>
      <c r="R498" s="1075"/>
      <c r="S498" s="1075"/>
      <c r="T498" s="1075"/>
      <c r="U498" s="1075"/>
      <c r="V498" s="1075"/>
      <c r="W498" s="1075"/>
      <c r="X498" s="1075"/>
      <c r="Y498" s="1075"/>
      <c r="Z498" s="1075"/>
      <c r="AB498" s="254"/>
      <c r="AC498" s="254"/>
      <c r="AD498" s="681"/>
      <c r="AE498" s="680"/>
      <c r="AF498" s="681"/>
      <c r="AG498" s="679"/>
      <c r="AH498" s="679"/>
      <c r="AI498" s="679"/>
      <c r="AJ498" s="679"/>
      <c r="AK498" s="679"/>
      <c r="AL498" s="679"/>
    </row>
    <row r="499" spans="1:38" ht="31.5" customHeight="1" x14ac:dyDescent="0.2">
      <c r="A499" s="1144" t="str">
        <f ca="1">IFERROR(VLOOKUP(X495,Num_AS,2,FALSE),"")</f>
        <v/>
      </c>
      <c r="B499" s="1144"/>
      <c r="C499" s="1144"/>
      <c r="D499" s="1144"/>
      <c r="E499" s="1144"/>
      <c r="F499" s="1144"/>
      <c r="G499" s="1144"/>
      <c r="H499" s="1144"/>
      <c r="I499" s="1144"/>
      <c r="J499" s="1144"/>
      <c r="K499" s="869" t="s">
        <v>1299</v>
      </c>
      <c r="L499" s="1145" t="s">
        <v>547</v>
      </c>
      <c r="M499" s="1145"/>
      <c r="N499" s="1145"/>
      <c r="O499" s="870" t="s">
        <v>1298</v>
      </c>
      <c r="Q499" s="1144" t="str">
        <f ca="1">IFERROR(VLOOKUP(Z495,Num_AS,2,FALSE),"")</f>
        <v/>
      </c>
      <c r="R499" s="1144"/>
      <c r="S499" s="1144"/>
      <c r="T499" s="1144"/>
      <c r="U499" s="1144"/>
      <c r="V499" s="1144"/>
      <c r="W499" s="1144"/>
      <c r="X499" s="1144"/>
      <c r="Y499" s="1144"/>
      <c r="Z499" s="1144"/>
      <c r="AB499" s="254"/>
      <c r="AC499" s="254"/>
      <c r="AD499" s="681"/>
      <c r="AE499" s="680"/>
      <c r="AF499" s="681"/>
      <c r="AG499" s="679"/>
      <c r="AH499" s="679"/>
      <c r="AI499" s="679"/>
      <c r="AJ499" s="679"/>
      <c r="AK499" s="679"/>
      <c r="AL499" s="679"/>
    </row>
    <row r="500" spans="1:38" ht="20.100000000000001" customHeight="1" thickBot="1" x14ac:dyDescent="0.25">
      <c r="A500" s="1124" t="s">
        <v>1006</v>
      </c>
      <c r="B500" s="1124"/>
      <c r="C500" s="1125"/>
      <c r="D500" s="1125"/>
      <c r="E500" s="1125"/>
      <c r="F500" s="1125"/>
      <c r="G500" s="1125"/>
      <c r="H500" s="1125"/>
      <c r="I500" s="1125"/>
      <c r="J500" s="1125"/>
      <c r="L500" s="871"/>
      <c r="M500" s="871"/>
      <c r="N500" s="871"/>
      <c r="Q500" s="1124" t="s">
        <v>1005</v>
      </c>
      <c r="R500" s="1124"/>
      <c r="S500" s="1125"/>
      <c r="T500" s="1125"/>
      <c r="U500" s="1125"/>
      <c r="V500" s="1125"/>
      <c r="W500" s="1125"/>
      <c r="X500" s="1125"/>
      <c r="Y500" s="1125"/>
      <c r="Z500" s="1125"/>
      <c r="AB500" s="254"/>
      <c r="AC500" s="254"/>
      <c r="AD500" s="681"/>
      <c r="AE500" s="680"/>
      <c r="AF500" s="681"/>
      <c r="AG500" s="679"/>
      <c r="AH500" s="679"/>
      <c r="AI500" s="679"/>
      <c r="AJ500" s="679"/>
      <c r="AK500" s="679"/>
      <c r="AL500" s="679"/>
    </row>
    <row r="501" spans="1:38" ht="27.75" customHeight="1" x14ac:dyDescent="0.2">
      <c r="A501" s="1117" t="str">
        <f ca="1">IFERROR(VLOOKUP(X495,Num_AS,3,FALSE),"")</f>
        <v/>
      </c>
      <c r="B501" s="1150"/>
      <c r="C501" s="1118"/>
      <c r="D501" s="1151"/>
      <c r="E501" s="1151"/>
      <c r="F501" s="1151"/>
      <c r="G501" s="1151"/>
      <c r="H501" s="1151"/>
      <c r="I501" s="1151"/>
      <c r="J501" s="1119"/>
      <c r="O501" s="219"/>
      <c r="P501" s="219"/>
      <c r="Q501" s="1117" t="str">
        <f ca="1">IFERROR(VLOOKUP(Z495,Num_AS,3,FALSE),"")</f>
        <v/>
      </c>
      <c r="R501" s="1150"/>
      <c r="S501" s="1118"/>
      <c r="T501" s="1151"/>
      <c r="U501" s="1151"/>
      <c r="V501" s="1151"/>
      <c r="W501" s="1151"/>
      <c r="X501" s="1151"/>
      <c r="Y501" s="1151"/>
      <c r="Z501" s="1119"/>
      <c r="AB501" s="254"/>
      <c r="AC501" s="254"/>
      <c r="AD501" s="681"/>
      <c r="AE501" s="680"/>
      <c r="AF501" s="681"/>
      <c r="AG501" s="679"/>
      <c r="AH501" s="679"/>
      <c r="AI501" s="679"/>
      <c r="AJ501" s="679"/>
      <c r="AK501" s="679"/>
      <c r="AL501" s="679"/>
    </row>
    <row r="502" spans="1:38" ht="27.75" customHeight="1" thickBot="1" x14ac:dyDescent="0.25">
      <c r="A502" s="1107" t="str">
        <f ca="1">IFERROR(VLOOKUP(X495,Num_AS,4,FALSE),"")</f>
        <v/>
      </c>
      <c r="B502" s="1152"/>
      <c r="C502" s="1108"/>
      <c r="D502" s="1153"/>
      <c r="E502" s="1153"/>
      <c r="F502" s="1153"/>
      <c r="G502" s="1153"/>
      <c r="H502" s="1153"/>
      <c r="I502" s="1153"/>
      <c r="J502" s="1109"/>
      <c r="Q502" s="1107" t="str">
        <f ca="1">IFERROR(VLOOKUP(Z495,Num_AS,4,FALSE),"")</f>
        <v/>
      </c>
      <c r="R502" s="1152"/>
      <c r="S502" s="1108"/>
      <c r="T502" s="1153"/>
      <c r="U502" s="1153"/>
      <c r="V502" s="1153"/>
      <c r="W502" s="1153"/>
      <c r="X502" s="1153"/>
      <c r="Y502" s="1153"/>
      <c r="Z502" s="1109"/>
      <c r="AB502" s="254"/>
      <c r="AC502" s="254"/>
      <c r="AD502" s="681"/>
      <c r="AE502" s="680"/>
      <c r="AF502" s="681"/>
      <c r="AG502" s="679"/>
      <c r="AH502" s="679"/>
      <c r="AI502" s="679"/>
      <c r="AJ502" s="679"/>
      <c r="AK502" s="679"/>
      <c r="AL502" s="679"/>
    </row>
    <row r="503" spans="1:38" ht="36" customHeight="1" thickBot="1" x14ac:dyDescent="0.25">
      <c r="A503" s="1156" t="s">
        <v>1330</v>
      </c>
      <c r="B503" s="1157"/>
      <c r="C503" s="1157"/>
      <c r="D503" s="1158"/>
      <c r="E503" s="947">
        <f ca="1">VLOOKUP(A499&amp;A501,PTS_SP,3,FALSE)</f>
        <v>0</v>
      </c>
      <c r="Q503" s="1156" t="s">
        <v>1330</v>
      </c>
      <c r="R503" s="1157"/>
      <c r="S503" s="1157"/>
      <c r="T503" s="1158"/>
      <c r="U503" s="947">
        <f ca="1">VLOOKUP(Q499&amp;Q501,PTS_SP,3,FALSE)</f>
        <v>0</v>
      </c>
      <c r="AB503" s="254"/>
      <c r="AC503" s="254"/>
      <c r="AD503" s="681"/>
      <c r="AE503" s="680"/>
      <c r="AF503" s="681"/>
      <c r="AG503" s="679"/>
      <c r="AH503" s="679"/>
      <c r="AI503" s="679"/>
      <c r="AJ503" s="679"/>
      <c r="AK503" s="679"/>
      <c r="AL503" s="679"/>
    </row>
    <row r="504" spans="1:38" ht="38.25" customHeight="1" x14ac:dyDescent="0.2">
      <c r="A504" s="701"/>
      <c r="B504" s="701"/>
      <c r="C504" s="853"/>
      <c r="D504" s="861" t="s">
        <v>1290</v>
      </c>
      <c r="E504" s="853"/>
      <c r="F504" s="854"/>
      <c r="G504" s="854"/>
      <c r="H504" s="872" t="s">
        <v>1295</v>
      </c>
      <c r="I504" s="855"/>
      <c r="J504" s="853"/>
      <c r="K504" s="853"/>
      <c r="L504" s="853"/>
      <c r="M504" s="859"/>
      <c r="N504" s="860" t="s">
        <v>1291</v>
      </c>
      <c r="O504" s="853"/>
      <c r="P504" s="249"/>
      <c r="Q504" s="701"/>
      <c r="R504" s="701"/>
      <c r="S504" s="853"/>
      <c r="T504" s="861" t="s">
        <v>1290</v>
      </c>
      <c r="U504" s="853"/>
      <c r="V504" s="854"/>
      <c r="W504" s="854"/>
      <c r="X504" s="872" t="s">
        <v>1302</v>
      </c>
      <c r="Y504" s="855"/>
      <c r="Z504" s="853"/>
      <c r="AA504" s="853"/>
      <c r="AB504" s="853"/>
      <c r="AC504" s="859"/>
      <c r="AD504" s="860" t="s">
        <v>1291</v>
      </c>
      <c r="AE504" s="853"/>
      <c r="AF504" s="681"/>
      <c r="AG504" s="681"/>
      <c r="AH504" s="681"/>
      <c r="AI504" s="681"/>
      <c r="AJ504" s="679"/>
      <c r="AK504" s="679"/>
      <c r="AL504" s="679"/>
    </row>
    <row r="505" spans="1:38" ht="38.25" customHeight="1" x14ac:dyDescent="0.2">
      <c r="A505" s="856" t="s">
        <v>509</v>
      </c>
      <c r="B505" s="942" t="s">
        <v>1329</v>
      </c>
      <c r="C505" s="857">
        <v>1</v>
      </c>
      <c r="D505" s="857">
        <v>2</v>
      </c>
      <c r="E505" s="857">
        <v>3</v>
      </c>
      <c r="F505" s="857">
        <v>4</v>
      </c>
      <c r="G505" s="857">
        <v>5</v>
      </c>
      <c r="H505" s="857">
        <v>6</v>
      </c>
      <c r="I505" s="857">
        <v>7</v>
      </c>
      <c r="J505" s="857">
        <v>8</v>
      </c>
      <c r="K505" s="858" t="s">
        <v>1286</v>
      </c>
      <c r="L505" s="1154" t="s">
        <v>1287</v>
      </c>
      <c r="M505" s="1154"/>
      <c r="N505" s="1154"/>
      <c r="O505" s="858" t="s">
        <v>1288</v>
      </c>
      <c r="P505" s="844"/>
      <c r="Q505" s="856" t="s">
        <v>509</v>
      </c>
      <c r="R505" s="942" t="s">
        <v>1329</v>
      </c>
      <c r="S505" s="857">
        <v>1</v>
      </c>
      <c r="T505" s="857">
        <v>2</v>
      </c>
      <c r="U505" s="857">
        <v>3</v>
      </c>
      <c r="V505" s="857">
        <v>4</v>
      </c>
      <c r="W505" s="857">
        <v>5</v>
      </c>
      <c r="X505" s="857">
        <v>6</v>
      </c>
      <c r="Y505" s="857">
        <v>7</v>
      </c>
      <c r="Z505" s="857">
        <v>8</v>
      </c>
      <c r="AA505" s="858" t="s">
        <v>1286</v>
      </c>
      <c r="AB505" s="1154" t="s">
        <v>1287</v>
      </c>
      <c r="AC505" s="1154"/>
      <c r="AD505" s="1154"/>
      <c r="AE505" s="858" t="s">
        <v>1288</v>
      </c>
      <c r="AF505" s="681"/>
      <c r="AG505" s="681"/>
      <c r="AH505" s="681"/>
      <c r="AI505" s="681"/>
      <c r="AJ505" s="679"/>
      <c r="AK505" s="679"/>
      <c r="AL505" s="679"/>
    </row>
    <row r="506" spans="1:38" ht="30" customHeight="1" x14ac:dyDescent="0.25">
      <c r="A506" s="846" t="s">
        <v>1282</v>
      </c>
      <c r="B506" s="948">
        <f ca="1">E503</f>
        <v>0</v>
      </c>
      <c r="C506" s="843"/>
      <c r="D506" s="843"/>
      <c r="E506" s="843"/>
      <c r="F506" s="843"/>
      <c r="G506" s="847"/>
      <c r="H506" s="848"/>
      <c r="I506" s="846"/>
      <c r="J506" s="843"/>
      <c r="K506" s="843"/>
      <c r="L506" s="849">
        <f ca="1">IF(Q499="Matchs de CLASSEMENT","X",2)</f>
        <v>2</v>
      </c>
      <c r="M506" s="849">
        <f ca="1">IF(Q499="Matchs de CLASSEMENT","X",1)</f>
        <v>1</v>
      </c>
      <c r="N506" s="849">
        <f ca="1">IF(Q499="Matchs de CLASSEMENT","X",0)</f>
        <v>0</v>
      </c>
      <c r="O506" s="849" t="str">
        <f ca="1">IF(Q499="Matchs de CLASSEMENT","X","")</f>
        <v/>
      </c>
      <c r="P506" s="842"/>
      <c r="Q506" s="849" t="str">
        <f ca="1">IF(Q499="Matchs de CLASSEMENT","X","V1")</f>
        <v>V1</v>
      </c>
      <c r="R506" s="948">
        <f ca="1">U503</f>
        <v>0</v>
      </c>
      <c r="S506" s="849" t="str">
        <f ca="1">IF(Q499="Matchs de CLASSEMENT","X","")</f>
        <v/>
      </c>
      <c r="T506" s="849" t="str">
        <f ca="1">IF(Q499="Matchs de CLASSEMENT","X","")</f>
        <v/>
      </c>
      <c r="U506" s="849" t="str">
        <f ca="1">IF(Q499="Matchs de CLASSEMENT","X","")</f>
        <v/>
      </c>
      <c r="V506" s="849" t="str">
        <f ca="1">IF(Q499="Matchs de CLASSEMENT","X","")</f>
        <v/>
      </c>
      <c r="W506" s="849" t="str">
        <f ca="1">IF(Q499="Matchs de CLASSEMENT","X","")</f>
        <v/>
      </c>
      <c r="X506" s="849" t="str">
        <f ca="1">IF(Q499="Matchs de CLASSEMENT","X","")</f>
        <v/>
      </c>
      <c r="Y506" s="849" t="str">
        <f ca="1">IF(Q499="Matchs de CLASSEMENT","X","")</f>
        <v/>
      </c>
      <c r="Z506" s="849" t="str">
        <f ca="1">IF(Q499="Matchs de CLASSEMENT","X","")</f>
        <v/>
      </c>
      <c r="AA506" s="849" t="str">
        <f ca="1">IF(Q499="Matchs de CLASSEMENT","X","")</f>
        <v/>
      </c>
      <c r="AB506" s="849">
        <f ca="1">IF(Q499="Matchs de CLASSEMENT","X",2)</f>
        <v>2</v>
      </c>
      <c r="AC506" s="849">
        <f ca="1">IF(Q499="Matchs de CLASSEMENT","X",1)</f>
        <v>1</v>
      </c>
      <c r="AD506" s="849">
        <f ca="1">IF(Q499="Matchs de CLASSEMENT","X",0)</f>
        <v>0</v>
      </c>
      <c r="AE506" s="849" t="str">
        <f ca="1">IF(Q499="Matchs de CLASSEMENT","X","")</f>
        <v/>
      </c>
      <c r="AF506" s="679"/>
      <c r="AG506" s="679"/>
      <c r="AH506" s="679"/>
      <c r="AI506" s="679"/>
      <c r="AJ506" s="679"/>
      <c r="AK506" s="679"/>
      <c r="AL506" s="679"/>
    </row>
    <row r="507" spans="1:38" ht="30" customHeight="1" x14ac:dyDescent="0.25">
      <c r="A507" s="846" t="s">
        <v>1283</v>
      </c>
      <c r="B507" s="948">
        <f ca="1">B506</f>
        <v>0</v>
      </c>
      <c r="C507" s="843"/>
      <c r="D507" s="843"/>
      <c r="E507" s="843"/>
      <c r="F507" s="843"/>
      <c r="G507" s="847"/>
      <c r="H507" s="848"/>
      <c r="I507" s="846"/>
      <c r="J507" s="843"/>
      <c r="K507" s="843"/>
      <c r="L507" s="849">
        <f ca="1">IF(Q499="Matchs de CLASSEMENT","X",2)</f>
        <v>2</v>
      </c>
      <c r="M507" s="849">
        <f ca="1">IF(Q499="Matchs de CLASSEMENT","X",1)</f>
        <v>1</v>
      </c>
      <c r="N507" s="849">
        <f ca="1">IF(Q499="Matchs de CLASSEMENT","X",0)</f>
        <v>0</v>
      </c>
      <c r="O507" s="849" t="str">
        <f ca="1">IF(Q499="Matchs de CLASSEMENT","X","")</f>
        <v/>
      </c>
      <c r="P507" s="842"/>
      <c r="Q507" s="849" t="str">
        <f ca="1">IF(Q499="Matchs de CLASSEMENT","X","V2")</f>
        <v>V2</v>
      </c>
      <c r="R507" s="948">
        <f ca="1">R506</f>
        <v>0</v>
      </c>
      <c r="S507" s="849" t="str">
        <f ca="1">IF(Q499="Matchs de CLASSEMENT","X","")</f>
        <v/>
      </c>
      <c r="T507" s="849" t="str">
        <f ca="1">IF(Q499="Matchs de CLASSEMENT","X","")</f>
        <v/>
      </c>
      <c r="U507" s="849" t="str">
        <f ca="1">IF(Q499="Matchs de CLASSEMENT","X","")</f>
        <v/>
      </c>
      <c r="V507" s="849" t="str">
        <f ca="1">IF(Q499="Matchs de CLASSEMENT","X","")</f>
        <v/>
      </c>
      <c r="W507" s="849" t="str">
        <f ca="1">IF(Q499="Matchs de CLASSEMENT","X","")</f>
        <v/>
      </c>
      <c r="X507" s="849" t="str">
        <f ca="1">IF(Q499="Matchs de CLASSEMENT","X","")</f>
        <v/>
      </c>
      <c r="Y507" s="849" t="str">
        <f ca="1">IF(Q499="Matchs de CLASSEMENT","X","")</f>
        <v/>
      </c>
      <c r="Z507" s="849" t="str">
        <f ca="1">IF(Q499="Matchs de CLASSEMENT","X","")</f>
        <v/>
      </c>
      <c r="AA507" s="849" t="str">
        <f ca="1">IF(Q499="Matchs de CLASSEMENT","X","")</f>
        <v/>
      </c>
      <c r="AB507" s="849">
        <f ca="1">IF(Q499="Matchs de CLASSEMENT","X",2)</f>
        <v>2</v>
      </c>
      <c r="AC507" s="849">
        <f ca="1">IF(Q499="Matchs de CLASSEMENT","X",1)</f>
        <v>1</v>
      </c>
      <c r="AD507" s="849">
        <f ca="1">IF(Q499="Matchs de CLASSEMENT","X",0)</f>
        <v>0</v>
      </c>
      <c r="AE507" s="849" t="str">
        <f ca="1">IF(Q499="Matchs de CLASSEMENT","X","")</f>
        <v/>
      </c>
      <c r="AF507" s="679"/>
      <c r="AG507" s="679"/>
      <c r="AH507" s="679"/>
      <c r="AI507" s="679"/>
      <c r="AJ507" s="679"/>
      <c r="AK507" s="679"/>
      <c r="AL507" s="679"/>
    </row>
    <row r="508" spans="1:38" ht="30" customHeight="1" x14ac:dyDescent="0.25">
      <c r="A508" s="846" t="s">
        <v>1284</v>
      </c>
      <c r="B508" s="948">
        <f t="shared" ref="B508:B509" ca="1" si="33">B507</f>
        <v>0</v>
      </c>
      <c r="C508" s="843"/>
      <c r="D508" s="843"/>
      <c r="E508" s="843"/>
      <c r="F508" s="843"/>
      <c r="G508" s="847"/>
      <c r="H508" s="848"/>
      <c r="I508" s="846"/>
      <c r="J508" s="843"/>
      <c r="K508" s="843"/>
      <c r="L508" s="849">
        <f ca="1">IF(Q499="Matchs de CLASSEMENT","X",2)</f>
        <v>2</v>
      </c>
      <c r="M508" s="849">
        <f ca="1">IF(Q499="Matchs de CLASSEMENT","X",1)</f>
        <v>1</v>
      </c>
      <c r="N508" s="849">
        <f ca="1">IF(Q499="Matchs de CLASSEMENT","X",0)</f>
        <v>0</v>
      </c>
      <c r="O508" s="849" t="str">
        <f ca="1">IF(Q499="Matchs de CLASSEMENT","X","")</f>
        <v/>
      </c>
      <c r="P508" s="842"/>
      <c r="Q508" s="849" t="str">
        <f ca="1">IF(Q499="Matchs de CLASSEMENT","X","V3")</f>
        <v>V3</v>
      </c>
      <c r="R508" s="948">
        <f t="shared" ref="R508:R509" ca="1" si="34">R507</f>
        <v>0</v>
      </c>
      <c r="S508" s="849" t="str">
        <f ca="1">IF(Q499="Matchs de CLASSEMENT","X","")</f>
        <v/>
      </c>
      <c r="T508" s="849" t="str">
        <f ca="1">IF(Q499="Matchs de CLASSEMENT","X","")</f>
        <v/>
      </c>
      <c r="U508" s="849" t="str">
        <f ca="1">IF(Q499="Matchs de CLASSEMENT","X","")</f>
        <v/>
      </c>
      <c r="V508" s="849" t="str">
        <f ca="1">IF(Q499="Matchs de CLASSEMENT","X","")</f>
        <v/>
      </c>
      <c r="W508" s="849" t="str">
        <f ca="1">IF(Q499="Matchs de CLASSEMENT","X","")</f>
        <v/>
      </c>
      <c r="X508" s="849" t="str">
        <f ca="1">IF(Q499="Matchs de CLASSEMENT","X","")</f>
        <v/>
      </c>
      <c r="Y508" s="849" t="str">
        <f ca="1">IF(Q499="Matchs de CLASSEMENT","X","")</f>
        <v/>
      </c>
      <c r="Z508" s="849" t="str">
        <f ca="1">IF(Q499="Matchs de CLASSEMENT","X","")</f>
        <v/>
      </c>
      <c r="AA508" s="849" t="str">
        <f ca="1">IF(Q499="Matchs de CLASSEMENT","X","")</f>
        <v/>
      </c>
      <c r="AB508" s="849">
        <f ca="1">IF(Q499="Matchs de CLASSEMENT","X",2)</f>
        <v>2</v>
      </c>
      <c r="AC508" s="849">
        <f ca="1">IF(Q499="Matchs de CLASSEMENT","X",1)</f>
        <v>1</v>
      </c>
      <c r="AD508" s="849">
        <f ca="1">IF(Q499="Matchs de CLASSEMENT","X",0)</f>
        <v>0</v>
      </c>
      <c r="AE508" s="849" t="str">
        <f ca="1">IF(Q499="Matchs de CLASSEMENT","X","")</f>
        <v/>
      </c>
      <c r="AF508" s="679"/>
      <c r="AG508" s="679"/>
      <c r="AH508" s="679"/>
      <c r="AI508" s="679"/>
      <c r="AJ508" s="679"/>
      <c r="AK508" s="679"/>
      <c r="AL508" s="679"/>
    </row>
    <row r="509" spans="1:38" ht="30" customHeight="1" x14ac:dyDescent="0.25">
      <c r="A509" s="846" t="s">
        <v>1285</v>
      </c>
      <c r="B509" s="948">
        <f t="shared" ca="1" si="33"/>
        <v>0</v>
      </c>
      <c r="C509" s="843"/>
      <c r="D509" s="843"/>
      <c r="E509" s="843"/>
      <c r="F509" s="843"/>
      <c r="G509" s="847"/>
      <c r="H509" s="848"/>
      <c r="I509" s="846"/>
      <c r="J509" s="843"/>
      <c r="K509" s="843"/>
      <c r="L509" s="849">
        <f ca="1">IF(Q499="Matchs de CLASSEMENT","X",2)</f>
        <v>2</v>
      </c>
      <c r="M509" s="849">
        <f ca="1">IF(Q499="Matchs de CLASSEMENT","X",1)</f>
        <v>1</v>
      </c>
      <c r="N509" s="849">
        <f ca="1">IF(Q499="Matchs de CLASSEMENT","X",0)</f>
        <v>0</v>
      </c>
      <c r="O509" s="849" t="str">
        <f ca="1">IF(Q499="Matchs de CLASSEMENT","X","")</f>
        <v/>
      </c>
      <c r="P509" s="842"/>
      <c r="Q509" s="849" t="str">
        <f ca="1">IF(Q499="Matchs de CLASSEMENT","X","V4")</f>
        <v>V4</v>
      </c>
      <c r="R509" s="948">
        <f t="shared" ca="1" si="34"/>
        <v>0</v>
      </c>
      <c r="S509" s="849" t="str">
        <f ca="1">IF(Q499="Matchs de CLASSEMENT","X","")</f>
        <v/>
      </c>
      <c r="T509" s="849" t="str">
        <f ca="1">IF(Q499="Matchs de CLASSEMENT","X","")</f>
        <v/>
      </c>
      <c r="U509" s="849" t="str">
        <f ca="1">IF(Q499="Matchs de CLASSEMENT","X","")</f>
        <v/>
      </c>
      <c r="V509" s="849" t="str">
        <f ca="1">IF(Q499="Matchs de CLASSEMENT","X","")</f>
        <v/>
      </c>
      <c r="W509" s="849" t="str">
        <f ca="1">IF(Q499="Matchs de CLASSEMENT","X","")</f>
        <v/>
      </c>
      <c r="X509" s="849" t="str">
        <f ca="1">IF(Q499="Matchs de CLASSEMENT","X","")</f>
        <v/>
      </c>
      <c r="Y509" s="849" t="str">
        <f ca="1">IF(Q499="Matchs de CLASSEMENT","X","")</f>
        <v/>
      </c>
      <c r="Z509" s="849" t="str">
        <f ca="1">IF(Q499="Matchs de CLASSEMENT","X","")</f>
        <v/>
      </c>
      <c r="AA509" s="849" t="str">
        <f ca="1">IF(Q499="Matchs de CLASSEMENT","X","")</f>
        <v/>
      </c>
      <c r="AB509" s="849">
        <f ca="1">IF(Q499="Matchs de CLASSEMENT","X",2)</f>
        <v>2</v>
      </c>
      <c r="AC509" s="849">
        <f ca="1">IF(Q499="Matchs de CLASSEMENT","X",1)</f>
        <v>1</v>
      </c>
      <c r="AD509" s="849">
        <f ca="1">IF(Q499="Matchs de CLASSEMENT","X",0)</f>
        <v>0</v>
      </c>
      <c r="AE509" s="849" t="str">
        <f ca="1">IF(Q499="Matchs de CLASSEMENT","X","")</f>
        <v/>
      </c>
      <c r="AF509" s="679"/>
      <c r="AG509" s="679"/>
      <c r="AH509" s="679"/>
      <c r="AI509" s="679"/>
      <c r="AJ509" s="679"/>
      <c r="AK509" s="679"/>
      <c r="AL509" s="679"/>
    </row>
    <row r="510" spans="1:38" ht="30" customHeight="1" x14ac:dyDescent="0.2">
      <c r="N510" s="867" t="s">
        <v>1294</v>
      </c>
      <c r="O510" s="848"/>
      <c r="AD510" s="867" t="s">
        <v>1294</v>
      </c>
      <c r="AE510" s="866"/>
      <c r="AF510" s="679"/>
      <c r="AG510" s="679"/>
      <c r="AH510" s="679"/>
      <c r="AI510" s="679"/>
      <c r="AJ510" s="679"/>
      <c r="AK510" s="679"/>
      <c r="AL510" s="679"/>
    </row>
    <row r="511" spans="1:38" ht="12.75" customHeight="1" x14ac:dyDescent="0.2">
      <c r="AE511" s="520"/>
      <c r="AF511" s="679"/>
      <c r="AG511" s="679"/>
      <c r="AH511" s="679"/>
      <c r="AI511" s="679"/>
      <c r="AJ511" s="679"/>
      <c r="AK511" s="679"/>
      <c r="AL511" s="679"/>
    </row>
    <row r="512" spans="1:38" ht="18.75" customHeight="1" x14ac:dyDescent="0.2">
      <c r="A512" s="584"/>
      <c r="B512" s="584"/>
      <c r="C512" s="701" t="s">
        <v>1289</v>
      </c>
      <c r="D512" s="249"/>
      <c r="E512" s="196"/>
      <c r="F512" s="196"/>
      <c r="G512" s="584"/>
      <c r="H512" s="1155" t="s">
        <v>1301</v>
      </c>
      <c r="I512" s="1155"/>
      <c r="J512" s="1155"/>
      <c r="K512" s="1155"/>
      <c r="L512" s="1155"/>
      <c r="M512" s="1155"/>
      <c r="N512" s="1155"/>
      <c r="O512" s="1155"/>
      <c r="P512" s="842"/>
      <c r="Q512" s="219"/>
      <c r="R512" s="219"/>
      <c r="S512" s="701" t="s">
        <v>1289</v>
      </c>
      <c r="T512" s="249"/>
      <c r="U512" s="196"/>
      <c r="V512" s="196"/>
      <c r="X512" s="1155" t="s">
        <v>1304</v>
      </c>
      <c r="Y512" s="1155"/>
      <c r="Z512" s="1155"/>
      <c r="AA512" s="1155"/>
      <c r="AB512" s="1155"/>
      <c r="AC512" s="1155"/>
      <c r="AD512" s="1155"/>
      <c r="AE512" s="1155"/>
      <c r="AF512" s="679"/>
      <c r="AG512" s="679"/>
      <c r="AH512" s="679"/>
      <c r="AI512" s="679"/>
      <c r="AJ512" s="679"/>
      <c r="AK512" s="679"/>
      <c r="AL512" s="679"/>
    </row>
    <row r="513" spans="1:44" ht="32.25" customHeight="1" x14ac:dyDescent="0.2">
      <c r="A513" s="584"/>
      <c r="B513" s="584"/>
      <c r="C513" s="850"/>
      <c r="D513" s="851"/>
      <c r="E513" s="852"/>
      <c r="F513" s="852"/>
      <c r="G513" s="584"/>
      <c r="H513" s="1149" t="s">
        <v>549</v>
      </c>
      <c r="I513" s="1149"/>
      <c r="J513" s="1149"/>
      <c r="K513" s="1149"/>
      <c r="L513" s="1149"/>
      <c r="M513" s="1146" t="s">
        <v>550</v>
      </c>
      <c r="N513" s="1147"/>
      <c r="O513" s="1148"/>
      <c r="P513" s="842"/>
      <c r="Q513" s="219"/>
      <c r="R513" s="219"/>
      <c r="S513" s="850"/>
      <c r="T513" s="851"/>
      <c r="U513" s="852"/>
      <c r="V513" s="852"/>
      <c r="X513" s="1149" t="s">
        <v>549</v>
      </c>
      <c r="Y513" s="1149"/>
      <c r="Z513" s="1149"/>
      <c r="AA513" s="1149"/>
      <c r="AB513" s="1149"/>
      <c r="AC513" s="1146" t="s">
        <v>550</v>
      </c>
      <c r="AD513" s="1147"/>
      <c r="AE513" s="1148"/>
      <c r="AG513" s="679"/>
      <c r="AH513" s="679"/>
      <c r="AI513" s="679"/>
      <c r="AJ513" s="679"/>
      <c r="AK513" s="679"/>
      <c r="AL513" s="679"/>
    </row>
    <row r="514" spans="1:44" ht="32.25" customHeight="1" x14ac:dyDescent="0.2">
      <c r="A514" s="584"/>
      <c r="B514" s="584"/>
      <c r="C514" s="850"/>
      <c r="D514" s="851"/>
      <c r="E514" s="852"/>
      <c r="F514" s="852"/>
      <c r="G514" s="584"/>
      <c r="H514" s="1140" t="str">
        <f ca="1">IFERROR(VLOOKUP(X495,Num_AS,6,FALSE)&amp;" "&amp;VLOOKUP(X495,Num_AS,7,FALSE),"")</f>
        <v/>
      </c>
      <c r="I514" s="1140"/>
      <c r="J514" s="1140"/>
      <c r="K514" s="1140"/>
      <c r="L514" s="1140"/>
      <c r="M514" s="1129" t="str">
        <f ca="1">IFERROR(VLOOKUP(X495,Num_AS,9,FALSE),"")</f>
        <v/>
      </c>
      <c r="N514" s="1130"/>
      <c r="O514" s="1131"/>
      <c r="P514" s="842"/>
      <c r="Q514" s="219"/>
      <c r="R514" s="219"/>
      <c r="S514" s="850"/>
      <c r="T514" s="851"/>
      <c r="U514" s="852"/>
      <c r="V514" s="852"/>
      <c r="W514" s="196"/>
      <c r="X514" s="1140" t="str">
        <f ca="1">IFERROR(VLOOKUP(Z495,Num_AS,6,FALSE)&amp;" "&amp;VLOOKUP(Z495,Num_AS,7,FALSE),"")</f>
        <v/>
      </c>
      <c r="Y514" s="1140"/>
      <c r="Z514" s="1140"/>
      <c r="AA514" s="1140"/>
      <c r="AB514" s="1140"/>
      <c r="AC514" s="1129" t="str">
        <f ca="1">IFERROR(VLOOKUP(Z495,Num_AS,9,FALSE),"")</f>
        <v/>
      </c>
      <c r="AD514" s="1130"/>
      <c r="AE514" s="1131"/>
    </row>
    <row r="515" spans="1:44" ht="32.25" customHeight="1" x14ac:dyDescent="0.2">
      <c r="A515" s="584"/>
      <c r="B515" s="584"/>
      <c r="C515" s="850"/>
      <c r="D515" s="851"/>
      <c r="E515" s="852"/>
      <c r="F515" s="852"/>
      <c r="G515" s="584"/>
      <c r="H515" s="1140" t="str">
        <f ca="1">IFERROR(VLOOKUP(X495,Num_AS,12,FALSE)&amp;" "&amp;VLOOKUP(X495,Num_AS,13,FALSE),"")</f>
        <v/>
      </c>
      <c r="I515" s="1140"/>
      <c r="J515" s="1140"/>
      <c r="K515" s="1140"/>
      <c r="L515" s="1140"/>
      <c r="M515" s="1129" t="str">
        <f ca="1">IFERROR(VLOOKUP(X495,Num_AS,15,FALSE),"")</f>
        <v/>
      </c>
      <c r="N515" s="1130"/>
      <c r="O515" s="1131">
        <f ca="1">G497</f>
        <v>0</v>
      </c>
      <c r="P515" s="842"/>
      <c r="Q515" s="219"/>
      <c r="R515" s="219"/>
      <c r="S515" s="850"/>
      <c r="T515" s="851"/>
      <c r="U515" s="852"/>
      <c r="V515" s="852"/>
      <c r="W515" s="196"/>
      <c r="X515" s="1140" t="str">
        <f ca="1">IFERROR(VLOOKUP(Z495,Num_AS,12,FALSE)&amp;" "&amp;VLOOKUP(Z495,Num_AS,13,FALSE),"")</f>
        <v/>
      </c>
      <c r="Y515" s="1140"/>
      <c r="Z515" s="1140"/>
      <c r="AA515" s="1140"/>
      <c r="AB515" s="1140"/>
      <c r="AC515" s="1129" t="str">
        <f ca="1">IFERROR(VLOOKUP(Z495,Num_AS,15,FALSE),"")</f>
        <v/>
      </c>
      <c r="AD515" s="1130"/>
      <c r="AE515" s="1131">
        <f>W497</f>
        <v>0</v>
      </c>
    </row>
    <row r="516" spans="1:44" ht="32.25" customHeight="1" x14ac:dyDescent="0.2">
      <c r="A516" s="584"/>
      <c r="B516" s="584"/>
      <c r="C516" s="584"/>
      <c r="D516" s="584"/>
      <c r="E516" s="584"/>
      <c r="F516" s="584"/>
      <c r="G516" s="584"/>
      <c r="H516" s="1140" t="str">
        <f ca="1">IFERROR(VLOOKUP(X495,Num_AS,18,FALSE)&amp;" "&amp;VLOOKUP(X495,Num_AS,19,FALSE),"")</f>
        <v/>
      </c>
      <c r="I516" s="1140"/>
      <c r="J516" s="1140"/>
      <c r="K516" s="1140"/>
      <c r="L516" s="1140"/>
      <c r="M516" s="1129" t="str">
        <f ca="1">IFERROR(VLOOKUP(X495,Num_AS,21,FALSE),"")</f>
        <v/>
      </c>
      <c r="N516" s="1130"/>
      <c r="O516" s="1131">
        <f ca="1">G497</f>
        <v>0</v>
      </c>
      <c r="P516" s="842"/>
      <c r="Q516" s="219"/>
      <c r="R516" s="219"/>
      <c r="S516" s="584"/>
      <c r="T516" s="584"/>
      <c r="U516" s="584"/>
      <c r="V516" s="584"/>
      <c r="W516" s="196"/>
      <c r="X516" s="1140" t="str">
        <f ca="1">IFERROR(VLOOKUP(Z495,Num_AS,18,FALSE)&amp;" "&amp;VLOOKUP(Z495,Num_AS,19,FALSE),"")</f>
        <v/>
      </c>
      <c r="Y516" s="1140"/>
      <c r="Z516" s="1140"/>
      <c r="AA516" s="1140"/>
      <c r="AB516" s="1140"/>
      <c r="AC516" s="1129" t="str">
        <f ca="1">IFERROR(VLOOKUP(Z495,Num_AS,21,FALSE),"")</f>
        <v/>
      </c>
      <c r="AD516" s="1130"/>
      <c r="AE516" s="1131">
        <f>W497</f>
        <v>0</v>
      </c>
    </row>
    <row r="517" spans="1:44" ht="32.25" customHeight="1" x14ac:dyDescent="0.2">
      <c r="A517" s="584"/>
      <c r="B517" s="584"/>
      <c r="C517" s="862"/>
      <c r="D517" s="1141" t="s">
        <v>1292</v>
      </c>
      <c r="E517" s="1142"/>
      <c r="F517" s="1143"/>
      <c r="G517" s="584"/>
      <c r="H517" s="1140" t="str">
        <f ca="1">IFERROR(VLOOKUP(X495,Num_AS,24,FALSE)&amp;" "&amp;VLOOKUP(X495,Num_AS,25,FALSE),"")</f>
        <v/>
      </c>
      <c r="I517" s="1140"/>
      <c r="J517" s="1140"/>
      <c r="K517" s="1140"/>
      <c r="L517" s="1140"/>
      <c r="M517" s="1129" t="str">
        <f ca="1">IFERROR(VLOOKUP(X495,Num_AS,9,FALSE),"")</f>
        <v/>
      </c>
      <c r="N517" s="1130"/>
      <c r="O517" s="1131">
        <f ca="1">G497</f>
        <v>0</v>
      </c>
      <c r="P517" s="842"/>
      <c r="Q517" s="219"/>
      <c r="R517" s="219"/>
      <c r="S517" s="862"/>
      <c r="T517" s="1141" t="s">
        <v>1292</v>
      </c>
      <c r="U517" s="1142"/>
      <c r="V517" s="1143"/>
      <c r="W517" s="196"/>
      <c r="X517" s="1140" t="str">
        <f ca="1">IFERROR(VLOOKUP(Z495,Num_AS,24,FALSE)&amp;" "&amp;VLOOKUP(Z495,Num_AS,25,FALSE),"")</f>
        <v/>
      </c>
      <c r="Y517" s="1140"/>
      <c r="Z517" s="1140"/>
      <c r="AA517" s="1140"/>
      <c r="AB517" s="1140"/>
      <c r="AC517" s="1129" t="str">
        <f ca="1">IFERROR(VLOOKUP(Z495,Num_AS,9,FALSE),"")</f>
        <v/>
      </c>
      <c r="AD517" s="1130"/>
      <c r="AE517" s="1131">
        <f>W497</f>
        <v>0</v>
      </c>
    </row>
    <row r="518" spans="1:44" ht="18.75" customHeight="1" thickBot="1" x14ac:dyDescent="0.25">
      <c r="A518" s="701"/>
      <c r="B518" s="701"/>
      <c r="C518" s="249"/>
      <c r="D518" s="249"/>
      <c r="E518" s="249"/>
      <c r="F518" s="701"/>
      <c r="G518" s="701"/>
      <c r="H518" s="196"/>
      <c r="I518" s="196"/>
      <c r="J518" s="249"/>
      <c r="K518" s="219"/>
      <c r="L518" s="219"/>
      <c r="M518" s="219"/>
      <c r="N518" s="219"/>
      <c r="O518" s="219"/>
      <c r="P518" s="219"/>
      <c r="Q518" s="219"/>
      <c r="R518" s="219"/>
      <c r="S518" s="219"/>
      <c r="T518" s="219"/>
      <c r="U518" s="219"/>
      <c r="V518" s="219"/>
      <c r="W518" s="219"/>
      <c r="X518" s="219"/>
      <c r="Y518" s="249"/>
      <c r="Z518" s="219"/>
      <c r="AE518" s="520"/>
    </row>
    <row r="519" spans="1:44" ht="32.25" customHeight="1" x14ac:dyDescent="0.25">
      <c r="A519" s="701"/>
      <c r="B519" s="701"/>
      <c r="D519" s="875" t="s">
        <v>1002</v>
      </c>
      <c r="E519" s="876"/>
      <c r="F519" s="876"/>
      <c r="G519" s="876"/>
      <c r="H519" s="876"/>
      <c r="I519" s="876"/>
      <c r="J519" s="876"/>
      <c r="K519" s="876"/>
      <c r="L519" s="876"/>
      <c r="M519" s="877" t="s">
        <v>1297</v>
      </c>
      <c r="N519" s="219"/>
      <c r="O519" s="1132" t="s">
        <v>1293</v>
      </c>
      <c r="P519" s="1133"/>
      <c r="Q519" s="1134"/>
      <c r="R519" s="941"/>
      <c r="T519" s="875" t="s">
        <v>1002</v>
      </c>
      <c r="U519" s="876"/>
      <c r="V519" s="876"/>
      <c r="W519" s="876"/>
      <c r="X519" s="876"/>
      <c r="Y519" s="876"/>
      <c r="Z519" s="876"/>
      <c r="AA519" s="876"/>
      <c r="AB519" s="876"/>
      <c r="AC519" s="877" t="s">
        <v>1296</v>
      </c>
      <c r="AE519" s="520"/>
    </row>
    <row r="520" spans="1:44" ht="70.5" customHeight="1" thickBot="1" x14ac:dyDescent="0.25">
      <c r="A520" s="701"/>
      <c r="B520" s="701"/>
      <c r="D520" s="878"/>
      <c r="E520" s="879"/>
      <c r="F520" s="879"/>
      <c r="G520" s="879"/>
      <c r="H520" s="879"/>
      <c r="I520" s="879"/>
      <c r="J520" s="879"/>
      <c r="K520" s="879"/>
      <c r="L520" s="879"/>
      <c r="M520" s="880"/>
      <c r="N520" s="219"/>
      <c r="O520" s="1135"/>
      <c r="P520" s="1136"/>
      <c r="Q520" s="1137"/>
      <c r="R520" s="941"/>
      <c r="T520" s="878"/>
      <c r="U520" s="879"/>
      <c r="V520" s="879"/>
      <c r="W520" s="879"/>
      <c r="X520" s="879"/>
      <c r="Y520" s="879"/>
      <c r="Z520" s="879"/>
      <c r="AA520" s="879"/>
      <c r="AB520" s="879"/>
      <c r="AC520" s="880"/>
      <c r="AE520" s="520"/>
    </row>
    <row r="521" spans="1:44" ht="6.75" customHeight="1" x14ac:dyDescent="0.25">
      <c r="A521" s="701"/>
      <c r="B521" s="701"/>
      <c r="C521" s="249"/>
      <c r="D521" s="249"/>
      <c r="E521" s="249"/>
      <c r="F521" s="701"/>
      <c r="G521" s="701"/>
      <c r="H521" s="196"/>
      <c r="I521" s="196"/>
      <c r="J521" s="249"/>
      <c r="K521" s="219"/>
      <c r="L521" s="842"/>
      <c r="M521" s="842"/>
      <c r="N521" s="842"/>
      <c r="O521" s="842"/>
      <c r="P521" s="842"/>
      <c r="Q521" s="842"/>
      <c r="R521" s="842"/>
      <c r="T521" s="845"/>
      <c r="U521" s="842"/>
      <c r="V521" s="842"/>
      <c r="W521" s="649"/>
      <c r="X521" s="845"/>
      <c r="Y521" s="842"/>
      <c r="Z521" s="842"/>
      <c r="AE521" s="520"/>
    </row>
    <row r="522" spans="1:44" ht="27.75" customHeight="1" x14ac:dyDescent="0.2">
      <c r="A522" s="701"/>
      <c r="B522" s="701"/>
      <c r="C522" s="1138" t="s">
        <v>1300</v>
      </c>
      <c r="D522" s="1138"/>
      <c r="E522" s="1138"/>
      <c r="F522" s="1138"/>
      <c r="G522" s="1138"/>
      <c r="H522" s="1138"/>
      <c r="I522" s="1138"/>
      <c r="J522" s="1138"/>
      <c r="K522" s="1138"/>
      <c r="L522" s="1138"/>
      <c r="M522" s="1138"/>
      <c r="N522" s="1138"/>
      <c r="O522" s="1138"/>
      <c r="P522" s="842"/>
      <c r="Q522" s="1139" t="s">
        <v>1303</v>
      </c>
      <c r="R522" s="1139"/>
      <c r="S522" s="1139"/>
      <c r="T522" s="1139"/>
      <c r="U522" s="1139"/>
      <c r="V522" s="1139"/>
      <c r="W522" s="1139"/>
      <c r="X522" s="1139"/>
      <c r="Y522" s="1139"/>
      <c r="Z522" s="1139"/>
      <c r="AA522" s="1139"/>
      <c r="AB522" s="1139"/>
      <c r="AC522" s="1139"/>
      <c r="AD522" s="1139"/>
      <c r="AE522" s="1139"/>
    </row>
    <row r="523" spans="1:44" ht="36" customHeight="1" x14ac:dyDescent="0.2">
      <c r="AE523" s="520"/>
    </row>
    <row r="524" spans="1:44" ht="19.5" customHeight="1" thickBot="1" x14ac:dyDescent="0.25">
      <c r="W524" s="500"/>
      <c r="X524" s="520">
        <f ca="1">INDIRECT("AE"&amp;Y524)</f>
        <v>0</v>
      </c>
      <c r="Y524" s="500">
        <f>Z525+2</f>
        <v>20</v>
      </c>
      <c r="Z524" s="501">
        <f ca="1">INDIRECT("AF"&amp;Y524)</f>
        <v>0</v>
      </c>
      <c r="AA524" s="500"/>
      <c r="AB524" s="500"/>
      <c r="AD524" s="679"/>
      <c r="AE524" s="679"/>
      <c r="AF524" s="679"/>
      <c r="AG524" s="679"/>
      <c r="AH524" s="679"/>
      <c r="AI524" s="679"/>
      <c r="AJ524" s="679"/>
      <c r="AK524" s="679"/>
      <c r="AL524" s="679"/>
    </row>
    <row r="525" spans="1:44" s="218" customFormat="1" ht="36" thickBot="1" x14ac:dyDescent="0.25">
      <c r="F525" s="576" t="s">
        <v>546</v>
      </c>
      <c r="G525" s="865" t="str">
        <f>G496</f>
        <v>D1</v>
      </c>
      <c r="I525" s="863" t="str">
        <f>"   "&amp;Championnat</f>
        <v xml:space="preserve">   Championnat de France de Tir à l'ARC</v>
      </c>
      <c r="T525" s="197"/>
      <c r="U525" s="197"/>
      <c r="V525" s="197"/>
      <c r="W525" s="197"/>
      <c r="Y525" s="502" t="s">
        <v>849</v>
      </c>
      <c r="Z525" s="503">
        <f>Z496+1</f>
        <v>18</v>
      </c>
      <c r="AB525" s="254"/>
      <c r="AC525" s="254"/>
      <c r="AD525" s="681"/>
      <c r="AE525" s="680"/>
      <c r="AF525" s="681"/>
      <c r="AH525" s="662"/>
      <c r="AI525" s="662"/>
      <c r="AJ525" s="662"/>
      <c r="AK525" s="662"/>
      <c r="AL525" s="662"/>
      <c r="AM525" s="217"/>
      <c r="AN525" s="217"/>
      <c r="AO525" s="217"/>
      <c r="AP525" s="217"/>
      <c r="AQ525" s="217"/>
      <c r="AR525" s="217"/>
    </row>
    <row r="526" spans="1:44" ht="36" thickBot="1" x14ac:dyDescent="0.25">
      <c r="F526" s="661" t="s">
        <v>628</v>
      </c>
      <c r="G526" s="660">
        <f ca="1">INDIRECT("AD"&amp;Y524)</f>
        <v>0</v>
      </c>
      <c r="I526" s="706" t="str">
        <f>CATEG_IMPORTEE</f>
        <v>Collèges Mixtes Etablissement</v>
      </c>
      <c r="S526" s="864" t="str">
        <f>LIEU&amp;" du "&amp;DATE</f>
        <v>L’Isle sur la Sorgue du 27 au 31 mars 2023</v>
      </c>
      <c r="AB526" s="254"/>
      <c r="AC526" s="254"/>
      <c r="AD526" s="681"/>
      <c r="AE526" s="680"/>
      <c r="AF526" s="681"/>
      <c r="AG526" s="679"/>
      <c r="AH526" s="679"/>
      <c r="AI526" s="679"/>
      <c r="AJ526" s="679"/>
      <c r="AK526" s="679"/>
      <c r="AL526" s="679"/>
    </row>
    <row r="527" spans="1:44" ht="24" customHeight="1" x14ac:dyDescent="0.2">
      <c r="A527" s="1075" t="s">
        <v>0</v>
      </c>
      <c r="B527" s="1075"/>
      <c r="C527" s="1075"/>
      <c r="D527" s="1075"/>
      <c r="E527" s="1075"/>
      <c r="F527" s="1075"/>
      <c r="G527" s="1075"/>
      <c r="H527" s="1075"/>
      <c r="I527" s="1075"/>
      <c r="J527" s="1075"/>
      <c r="Q527" s="1075" t="s">
        <v>0</v>
      </c>
      <c r="R527" s="1075"/>
      <c r="S527" s="1075"/>
      <c r="T527" s="1075"/>
      <c r="U527" s="1075"/>
      <c r="V527" s="1075"/>
      <c r="W527" s="1075"/>
      <c r="X527" s="1075"/>
      <c r="Y527" s="1075"/>
      <c r="Z527" s="1075"/>
      <c r="AB527" s="254"/>
      <c r="AC527" s="254"/>
      <c r="AD527" s="681"/>
      <c r="AE527" s="680"/>
      <c r="AF527" s="681"/>
      <c r="AG527" s="679"/>
      <c r="AH527" s="679"/>
      <c r="AI527" s="679"/>
      <c r="AJ527" s="679"/>
      <c r="AK527" s="679"/>
      <c r="AL527" s="679"/>
    </row>
    <row r="528" spans="1:44" ht="31.5" customHeight="1" x14ac:dyDescent="0.2">
      <c r="A528" s="1144" t="str">
        <f ca="1">IFERROR(VLOOKUP(X524,Num_AS,2,FALSE),"")</f>
        <v/>
      </c>
      <c r="B528" s="1144"/>
      <c r="C528" s="1144"/>
      <c r="D528" s="1144"/>
      <c r="E528" s="1144"/>
      <c r="F528" s="1144"/>
      <c r="G528" s="1144"/>
      <c r="H528" s="1144"/>
      <c r="I528" s="1144"/>
      <c r="J528" s="1144"/>
      <c r="K528" s="869" t="s">
        <v>1299</v>
      </c>
      <c r="L528" s="1145" t="s">
        <v>547</v>
      </c>
      <c r="M528" s="1145"/>
      <c r="N528" s="1145"/>
      <c r="O528" s="870" t="s">
        <v>1298</v>
      </c>
      <c r="Q528" s="1144" t="str">
        <f ca="1">IFERROR(VLOOKUP(Z524,Num_AS,2,FALSE),"")</f>
        <v/>
      </c>
      <c r="R528" s="1144"/>
      <c r="S528" s="1144"/>
      <c r="T528" s="1144"/>
      <c r="U528" s="1144"/>
      <c r="V528" s="1144"/>
      <c r="W528" s="1144"/>
      <c r="X528" s="1144"/>
      <c r="Y528" s="1144"/>
      <c r="Z528" s="1144"/>
      <c r="AB528" s="254"/>
      <c r="AC528" s="254"/>
      <c r="AD528" s="681"/>
      <c r="AE528" s="680"/>
      <c r="AF528" s="681"/>
      <c r="AG528" s="679"/>
      <c r="AH528" s="679"/>
      <c r="AI528" s="679"/>
      <c r="AJ528" s="679"/>
      <c r="AK528" s="679"/>
      <c r="AL528" s="679"/>
    </row>
    <row r="529" spans="1:38" ht="20.100000000000001" customHeight="1" thickBot="1" x14ac:dyDescent="0.25">
      <c r="A529" s="1124" t="s">
        <v>1006</v>
      </c>
      <c r="B529" s="1124"/>
      <c r="C529" s="1125"/>
      <c r="D529" s="1125"/>
      <c r="E529" s="1125"/>
      <c r="F529" s="1125"/>
      <c r="G529" s="1125"/>
      <c r="H529" s="1125"/>
      <c r="I529" s="1125"/>
      <c r="J529" s="1125"/>
      <c r="L529" s="871"/>
      <c r="M529" s="871"/>
      <c r="N529" s="871"/>
      <c r="Q529" s="1124" t="s">
        <v>1005</v>
      </c>
      <c r="R529" s="1124"/>
      <c r="S529" s="1125"/>
      <c r="T529" s="1125"/>
      <c r="U529" s="1125"/>
      <c r="V529" s="1125"/>
      <c r="W529" s="1125"/>
      <c r="X529" s="1125"/>
      <c r="Y529" s="1125"/>
      <c r="Z529" s="1125"/>
      <c r="AB529" s="254"/>
      <c r="AC529" s="254"/>
      <c r="AD529" s="681"/>
      <c r="AE529" s="680"/>
      <c r="AF529" s="681"/>
      <c r="AG529" s="679"/>
      <c r="AH529" s="679"/>
      <c r="AI529" s="679"/>
      <c r="AJ529" s="679"/>
      <c r="AK529" s="679"/>
      <c r="AL529" s="679"/>
    </row>
    <row r="530" spans="1:38" ht="27.75" customHeight="1" x14ac:dyDescent="0.2">
      <c r="A530" s="1117" t="str">
        <f ca="1">IFERROR(VLOOKUP(X524,Num_AS,3,FALSE),"")</f>
        <v/>
      </c>
      <c r="B530" s="1150"/>
      <c r="C530" s="1118"/>
      <c r="D530" s="1151"/>
      <c r="E530" s="1151"/>
      <c r="F530" s="1151"/>
      <c r="G530" s="1151"/>
      <c r="H530" s="1151"/>
      <c r="I530" s="1151"/>
      <c r="J530" s="1119"/>
      <c r="O530" s="219"/>
      <c r="P530" s="219"/>
      <c r="Q530" s="1117" t="str">
        <f ca="1">IFERROR(VLOOKUP(Z524,Num_AS,3,FALSE),"")</f>
        <v/>
      </c>
      <c r="R530" s="1150"/>
      <c r="S530" s="1118"/>
      <c r="T530" s="1151"/>
      <c r="U530" s="1151"/>
      <c r="V530" s="1151"/>
      <c r="W530" s="1151"/>
      <c r="X530" s="1151"/>
      <c r="Y530" s="1151"/>
      <c r="Z530" s="1119"/>
      <c r="AB530" s="254"/>
      <c r="AC530" s="254"/>
      <c r="AD530" s="681"/>
      <c r="AE530" s="680"/>
      <c r="AF530" s="681"/>
      <c r="AG530" s="679"/>
      <c r="AH530" s="679"/>
      <c r="AI530" s="679"/>
      <c r="AJ530" s="679"/>
      <c r="AK530" s="679"/>
      <c r="AL530" s="679"/>
    </row>
    <row r="531" spans="1:38" ht="27.75" customHeight="1" thickBot="1" x14ac:dyDescent="0.25">
      <c r="A531" s="1107" t="str">
        <f ca="1">IFERROR(VLOOKUP(X524,Num_AS,4,FALSE),"")</f>
        <v/>
      </c>
      <c r="B531" s="1152"/>
      <c r="C531" s="1108"/>
      <c r="D531" s="1153"/>
      <c r="E531" s="1153"/>
      <c r="F531" s="1153"/>
      <c r="G531" s="1153"/>
      <c r="H531" s="1153"/>
      <c r="I531" s="1153"/>
      <c r="J531" s="1109"/>
      <c r="Q531" s="1107" t="str">
        <f ca="1">IFERROR(VLOOKUP(Z524,Num_AS,4,FALSE),"")</f>
        <v/>
      </c>
      <c r="R531" s="1152"/>
      <c r="S531" s="1108"/>
      <c r="T531" s="1153"/>
      <c r="U531" s="1153"/>
      <c r="V531" s="1153"/>
      <c r="W531" s="1153"/>
      <c r="X531" s="1153"/>
      <c r="Y531" s="1153"/>
      <c r="Z531" s="1109"/>
      <c r="AB531" s="254"/>
      <c r="AC531" s="254"/>
      <c r="AD531" s="681"/>
      <c r="AE531" s="680"/>
      <c r="AF531" s="681"/>
      <c r="AG531" s="679"/>
      <c r="AH531" s="679"/>
      <c r="AI531" s="679"/>
      <c r="AJ531" s="679"/>
      <c r="AK531" s="679"/>
      <c r="AL531" s="679"/>
    </row>
    <row r="532" spans="1:38" ht="36" customHeight="1" thickBot="1" x14ac:dyDescent="0.25">
      <c r="A532" s="1156" t="s">
        <v>1330</v>
      </c>
      <c r="B532" s="1157"/>
      <c r="C532" s="1157"/>
      <c r="D532" s="1158"/>
      <c r="E532" s="947">
        <f ca="1">VLOOKUP(A528&amp;A530,PTS_SP,3,FALSE)</f>
        <v>0</v>
      </c>
      <c r="Q532" s="1156" t="s">
        <v>1330</v>
      </c>
      <c r="R532" s="1157"/>
      <c r="S532" s="1157"/>
      <c r="T532" s="1158"/>
      <c r="U532" s="947">
        <f ca="1">VLOOKUP(Q528&amp;Q530,PTS_SP,3,FALSE)</f>
        <v>0</v>
      </c>
      <c r="AB532" s="254"/>
      <c r="AC532" s="254"/>
      <c r="AD532" s="681"/>
      <c r="AE532" s="680"/>
      <c r="AF532" s="681"/>
      <c r="AG532" s="679"/>
      <c r="AH532" s="679"/>
      <c r="AI532" s="679"/>
      <c r="AJ532" s="679"/>
      <c r="AK532" s="679"/>
      <c r="AL532" s="679"/>
    </row>
    <row r="533" spans="1:38" ht="38.25" customHeight="1" x14ac:dyDescent="0.2">
      <c r="A533" s="701"/>
      <c r="B533" s="701"/>
      <c r="C533" s="853"/>
      <c r="D533" s="861" t="s">
        <v>1290</v>
      </c>
      <c r="E533" s="853"/>
      <c r="F533" s="854"/>
      <c r="G533" s="854"/>
      <c r="H533" s="872" t="s">
        <v>1295</v>
      </c>
      <c r="I533" s="855"/>
      <c r="J533" s="853"/>
      <c r="K533" s="853"/>
      <c r="L533" s="853"/>
      <c r="M533" s="859"/>
      <c r="N533" s="860" t="s">
        <v>1291</v>
      </c>
      <c r="O533" s="853"/>
      <c r="P533" s="249"/>
      <c r="Q533" s="701"/>
      <c r="R533" s="701"/>
      <c r="S533" s="853"/>
      <c r="T533" s="861" t="s">
        <v>1290</v>
      </c>
      <c r="U533" s="853"/>
      <c r="V533" s="854"/>
      <c r="W533" s="854"/>
      <c r="X533" s="872" t="s">
        <v>1302</v>
      </c>
      <c r="Y533" s="855"/>
      <c r="Z533" s="853"/>
      <c r="AA533" s="853"/>
      <c r="AB533" s="853"/>
      <c r="AC533" s="859"/>
      <c r="AD533" s="860" t="s">
        <v>1291</v>
      </c>
      <c r="AE533" s="853"/>
      <c r="AF533" s="681"/>
      <c r="AG533" s="681"/>
      <c r="AH533" s="681"/>
      <c r="AI533" s="681"/>
      <c r="AJ533" s="679"/>
      <c r="AK533" s="679"/>
      <c r="AL533" s="679"/>
    </row>
    <row r="534" spans="1:38" ht="38.25" customHeight="1" x14ac:dyDescent="0.2">
      <c r="A534" s="856" t="s">
        <v>509</v>
      </c>
      <c r="B534" s="942" t="s">
        <v>1329</v>
      </c>
      <c r="C534" s="857">
        <v>1</v>
      </c>
      <c r="D534" s="857">
        <v>2</v>
      </c>
      <c r="E534" s="857">
        <v>3</v>
      </c>
      <c r="F534" s="857">
        <v>4</v>
      </c>
      <c r="G534" s="857">
        <v>5</v>
      </c>
      <c r="H534" s="857">
        <v>6</v>
      </c>
      <c r="I534" s="857">
        <v>7</v>
      </c>
      <c r="J534" s="857">
        <v>8</v>
      </c>
      <c r="K534" s="858" t="s">
        <v>1286</v>
      </c>
      <c r="L534" s="1154" t="s">
        <v>1287</v>
      </c>
      <c r="M534" s="1154"/>
      <c r="N534" s="1154"/>
      <c r="O534" s="858" t="s">
        <v>1288</v>
      </c>
      <c r="P534" s="844"/>
      <c r="Q534" s="856" t="s">
        <v>509</v>
      </c>
      <c r="R534" s="942" t="s">
        <v>1329</v>
      </c>
      <c r="S534" s="857">
        <v>1</v>
      </c>
      <c r="T534" s="857">
        <v>2</v>
      </c>
      <c r="U534" s="857">
        <v>3</v>
      </c>
      <c r="V534" s="857">
        <v>4</v>
      </c>
      <c r="W534" s="857">
        <v>5</v>
      </c>
      <c r="X534" s="857">
        <v>6</v>
      </c>
      <c r="Y534" s="857">
        <v>7</v>
      </c>
      <c r="Z534" s="857">
        <v>8</v>
      </c>
      <c r="AA534" s="858" t="s">
        <v>1286</v>
      </c>
      <c r="AB534" s="1154" t="s">
        <v>1287</v>
      </c>
      <c r="AC534" s="1154"/>
      <c r="AD534" s="1154"/>
      <c r="AE534" s="858" t="s">
        <v>1288</v>
      </c>
      <c r="AF534" s="681"/>
      <c r="AG534" s="681"/>
      <c r="AH534" s="681"/>
      <c r="AI534" s="681"/>
      <c r="AJ534" s="679"/>
      <c r="AK534" s="679"/>
      <c r="AL534" s="679"/>
    </row>
    <row r="535" spans="1:38" ht="30" customHeight="1" x14ac:dyDescent="0.25">
      <c r="A535" s="846" t="s">
        <v>1282</v>
      </c>
      <c r="B535" s="948">
        <f ca="1">E532</f>
        <v>0</v>
      </c>
      <c r="C535" s="843"/>
      <c r="D535" s="843"/>
      <c r="E535" s="843"/>
      <c r="F535" s="843"/>
      <c r="G535" s="847"/>
      <c r="H535" s="848"/>
      <c r="I535" s="846"/>
      <c r="J535" s="843"/>
      <c r="K535" s="843"/>
      <c r="L535" s="849">
        <f ca="1">IF(Q528="Matchs de CLASSEMENT","X",2)</f>
        <v>2</v>
      </c>
      <c r="M535" s="849">
        <f ca="1">IF(Q528="Matchs de CLASSEMENT","X",1)</f>
        <v>1</v>
      </c>
      <c r="N535" s="849">
        <f ca="1">IF(Q528="Matchs de CLASSEMENT","X",0)</f>
        <v>0</v>
      </c>
      <c r="O535" s="849" t="str">
        <f ca="1">IF(Q528="Matchs de CLASSEMENT","X","")</f>
        <v/>
      </c>
      <c r="P535" s="842"/>
      <c r="Q535" s="849" t="str">
        <f ca="1">IF(Q528="Matchs de CLASSEMENT","X","V1")</f>
        <v>V1</v>
      </c>
      <c r="R535" s="948">
        <f ca="1">U532</f>
        <v>0</v>
      </c>
      <c r="S535" s="849" t="str">
        <f ca="1">IF(Q528="Matchs de CLASSEMENT","X","")</f>
        <v/>
      </c>
      <c r="T535" s="849" t="str">
        <f ca="1">IF(Q528="Matchs de CLASSEMENT","X","")</f>
        <v/>
      </c>
      <c r="U535" s="849" t="str">
        <f ca="1">IF(Q528="Matchs de CLASSEMENT","X","")</f>
        <v/>
      </c>
      <c r="V535" s="849" t="str">
        <f ca="1">IF(Q528="Matchs de CLASSEMENT","X","")</f>
        <v/>
      </c>
      <c r="W535" s="849" t="str">
        <f ca="1">IF(Q528="Matchs de CLASSEMENT","X","")</f>
        <v/>
      </c>
      <c r="X535" s="849" t="str">
        <f ca="1">IF(Q528="Matchs de CLASSEMENT","X","")</f>
        <v/>
      </c>
      <c r="Y535" s="849" t="str">
        <f ca="1">IF(Q528="Matchs de CLASSEMENT","X","")</f>
        <v/>
      </c>
      <c r="Z535" s="849" t="str">
        <f ca="1">IF(Q528="Matchs de CLASSEMENT","X","")</f>
        <v/>
      </c>
      <c r="AA535" s="849" t="str">
        <f ca="1">IF(Q528="Matchs de CLASSEMENT","X","")</f>
        <v/>
      </c>
      <c r="AB535" s="849">
        <f ca="1">IF(Q528="Matchs de CLASSEMENT","X",2)</f>
        <v>2</v>
      </c>
      <c r="AC535" s="849">
        <f ca="1">IF(Q528="Matchs de CLASSEMENT","X",1)</f>
        <v>1</v>
      </c>
      <c r="AD535" s="849">
        <f ca="1">IF(Q528="Matchs de CLASSEMENT","X",0)</f>
        <v>0</v>
      </c>
      <c r="AE535" s="849" t="str">
        <f ca="1">IF(Q528="Matchs de CLASSEMENT","X","")</f>
        <v/>
      </c>
      <c r="AF535" s="679"/>
      <c r="AG535" s="679"/>
      <c r="AH535" s="679"/>
      <c r="AI535" s="679"/>
      <c r="AJ535" s="679"/>
      <c r="AK535" s="679"/>
      <c r="AL535" s="679"/>
    </row>
    <row r="536" spans="1:38" ht="30" customHeight="1" x14ac:dyDescent="0.25">
      <c r="A536" s="846" t="s">
        <v>1283</v>
      </c>
      <c r="B536" s="948">
        <f ca="1">B535</f>
        <v>0</v>
      </c>
      <c r="C536" s="843"/>
      <c r="D536" s="843"/>
      <c r="E536" s="843"/>
      <c r="F536" s="843"/>
      <c r="G536" s="847"/>
      <c r="H536" s="848"/>
      <c r="I536" s="846"/>
      <c r="J536" s="843"/>
      <c r="K536" s="843"/>
      <c r="L536" s="849">
        <f ca="1">IF(Q528="Matchs de CLASSEMENT","X",2)</f>
        <v>2</v>
      </c>
      <c r="M536" s="849">
        <f ca="1">IF(Q528="Matchs de CLASSEMENT","X",1)</f>
        <v>1</v>
      </c>
      <c r="N536" s="849">
        <f ca="1">IF(Q528="Matchs de CLASSEMENT","X",0)</f>
        <v>0</v>
      </c>
      <c r="O536" s="849" t="str">
        <f ca="1">IF(Q528="Matchs de CLASSEMENT","X","")</f>
        <v/>
      </c>
      <c r="P536" s="842"/>
      <c r="Q536" s="849" t="str">
        <f ca="1">IF(Q528="Matchs de CLASSEMENT","X","V2")</f>
        <v>V2</v>
      </c>
      <c r="R536" s="948">
        <f ca="1">R535</f>
        <v>0</v>
      </c>
      <c r="S536" s="849" t="str">
        <f ca="1">IF(Q528="Matchs de CLASSEMENT","X","")</f>
        <v/>
      </c>
      <c r="T536" s="849" t="str">
        <f ca="1">IF(Q528="Matchs de CLASSEMENT","X","")</f>
        <v/>
      </c>
      <c r="U536" s="849" t="str">
        <f ca="1">IF(Q528="Matchs de CLASSEMENT","X","")</f>
        <v/>
      </c>
      <c r="V536" s="849" t="str">
        <f ca="1">IF(Q528="Matchs de CLASSEMENT","X","")</f>
        <v/>
      </c>
      <c r="W536" s="849" t="str">
        <f ca="1">IF(Q528="Matchs de CLASSEMENT","X","")</f>
        <v/>
      </c>
      <c r="X536" s="849" t="str">
        <f ca="1">IF(Q528="Matchs de CLASSEMENT","X","")</f>
        <v/>
      </c>
      <c r="Y536" s="849" t="str">
        <f ca="1">IF(Q528="Matchs de CLASSEMENT","X","")</f>
        <v/>
      </c>
      <c r="Z536" s="849" t="str">
        <f ca="1">IF(Q528="Matchs de CLASSEMENT","X","")</f>
        <v/>
      </c>
      <c r="AA536" s="849" t="str">
        <f ca="1">IF(Q528="Matchs de CLASSEMENT","X","")</f>
        <v/>
      </c>
      <c r="AB536" s="849">
        <f ca="1">IF(Q528="Matchs de CLASSEMENT","X",2)</f>
        <v>2</v>
      </c>
      <c r="AC536" s="849">
        <f ca="1">IF(Q528="Matchs de CLASSEMENT","X",1)</f>
        <v>1</v>
      </c>
      <c r="AD536" s="849">
        <f ca="1">IF(Q528="Matchs de CLASSEMENT","X",0)</f>
        <v>0</v>
      </c>
      <c r="AE536" s="849" t="str">
        <f ca="1">IF(Q528="Matchs de CLASSEMENT","X","")</f>
        <v/>
      </c>
      <c r="AF536" s="679"/>
      <c r="AG536" s="679"/>
      <c r="AH536" s="679"/>
      <c r="AI536" s="679"/>
      <c r="AJ536" s="679"/>
      <c r="AK536" s="679"/>
      <c r="AL536" s="679"/>
    </row>
    <row r="537" spans="1:38" ht="30" customHeight="1" x14ac:dyDescent="0.25">
      <c r="A537" s="846" t="s">
        <v>1284</v>
      </c>
      <c r="B537" s="948">
        <f t="shared" ref="B537:B538" ca="1" si="35">B536</f>
        <v>0</v>
      </c>
      <c r="C537" s="843"/>
      <c r="D537" s="843"/>
      <c r="E537" s="843"/>
      <c r="F537" s="843"/>
      <c r="G537" s="847"/>
      <c r="H537" s="848"/>
      <c r="I537" s="846"/>
      <c r="J537" s="843"/>
      <c r="K537" s="843"/>
      <c r="L537" s="849">
        <f ca="1">IF(Q528="Matchs de CLASSEMENT","X",2)</f>
        <v>2</v>
      </c>
      <c r="M537" s="849">
        <f ca="1">IF(Q528="Matchs de CLASSEMENT","X",1)</f>
        <v>1</v>
      </c>
      <c r="N537" s="849">
        <f ca="1">IF(Q528="Matchs de CLASSEMENT","X",0)</f>
        <v>0</v>
      </c>
      <c r="O537" s="849" t="str">
        <f ca="1">IF(Q528="Matchs de CLASSEMENT","X","")</f>
        <v/>
      </c>
      <c r="P537" s="842"/>
      <c r="Q537" s="849" t="str">
        <f ca="1">IF(Q528="Matchs de CLASSEMENT","X","V3")</f>
        <v>V3</v>
      </c>
      <c r="R537" s="948">
        <f t="shared" ref="R537:R538" ca="1" si="36">R536</f>
        <v>0</v>
      </c>
      <c r="S537" s="849" t="str">
        <f ca="1">IF(Q528="Matchs de CLASSEMENT","X","")</f>
        <v/>
      </c>
      <c r="T537" s="849" t="str">
        <f ca="1">IF(Q528="Matchs de CLASSEMENT","X","")</f>
        <v/>
      </c>
      <c r="U537" s="849" t="str">
        <f ca="1">IF(Q528="Matchs de CLASSEMENT","X","")</f>
        <v/>
      </c>
      <c r="V537" s="849" t="str">
        <f ca="1">IF(Q528="Matchs de CLASSEMENT","X","")</f>
        <v/>
      </c>
      <c r="W537" s="849" t="str">
        <f ca="1">IF(Q528="Matchs de CLASSEMENT","X","")</f>
        <v/>
      </c>
      <c r="X537" s="849" t="str">
        <f ca="1">IF(Q528="Matchs de CLASSEMENT","X","")</f>
        <v/>
      </c>
      <c r="Y537" s="849" t="str">
        <f ca="1">IF(Q528="Matchs de CLASSEMENT","X","")</f>
        <v/>
      </c>
      <c r="Z537" s="849" t="str">
        <f ca="1">IF(Q528="Matchs de CLASSEMENT","X","")</f>
        <v/>
      </c>
      <c r="AA537" s="849" t="str">
        <f ca="1">IF(Q528="Matchs de CLASSEMENT","X","")</f>
        <v/>
      </c>
      <c r="AB537" s="849">
        <f ca="1">IF(Q528="Matchs de CLASSEMENT","X",2)</f>
        <v>2</v>
      </c>
      <c r="AC537" s="849">
        <f ca="1">IF(Q528="Matchs de CLASSEMENT","X",1)</f>
        <v>1</v>
      </c>
      <c r="AD537" s="849">
        <f ca="1">IF(Q528="Matchs de CLASSEMENT","X",0)</f>
        <v>0</v>
      </c>
      <c r="AE537" s="849" t="str">
        <f ca="1">IF(Q528="Matchs de CLASSEMENT","X","")</f>
        <v/>
      </c>
      <c r="AF537" s="679"/>
      <c r="AG537" s="679"/>
      <c r="AH537" s="679"/>
      <c r="AI537" s="679"/>
      <c r="AJ537" s="679"/>
      <c r="AK537" s="679"/>
      <c r="AL537" s="679"/>
    </row>
    <row r="538" spans="1:38" ht="30" customHeight="1" x14ac:dyDescent="0.25">
      <c r="A538" s="846" t="s">
        <v>1285</v>
      </c>
      <c r="B538" s="948">
        <f t="shared" ca="1" si="35"/>
        <v>0</v>
      </c>
      <c r="C538" s="843"/>
      <c r="D538" s="843"/>
      <c r="E538" s="843"/>
      <c r="F538" s="843"/>
      <c r="G538" s="847"/>
      <c r="H538" s="848"/>
      <c r="I538" s="846"/>
      <c r="J538" s="843"/>
      <c r="K538" s="843"/>
      <c r="L538" s="849">
        <f ca="1">IF(Q528="Matchs de CLASSEMENT","X",2)</f>
        <v>2</v>
      </c>
      <c r="M538" s="849">
        <f ca="1">IF(Q528="Matchs de CLASSEMENT","X",1)</f>
        <v>1</v>
      </c>
      <c r="N538" s="849">
        <f ca="1">IF(Q528="Matchs de CLASSEMENT","X",0)</f>
        <v>0</v>
      </c>
      <c r="O538" s="849" t="str">
        <f ca="1">IF(Q528="Matchs de CLASSEMENT","X","")</f>
        <v/>
      </c>
      <c r="P538" s="842"/>
      <c r="Q538" s="849" t="str">
        <f ca="1">IF(Q528="Matchs de CLASSEMENT","X","V4")</f>
        <v>V4</v>
      </c>
      <c r="R538" s="948">
        <f t="shared" ca="1" si="36"/>
        <v>0</v>
      </c>
      <c r="S538" s="849" t="str">
        <f ca="1">IF(Q528="Matchs de CLASSEMENT","X","")</f>
        <v/>
      </c>
      <c r="T538" s="849" t="str">
        <f ca="1">IF(Q528="Matchs de CLASSEMENT","X","")</f>
        <v/>
      </c>
      <c r="U538" s="849" t="str">
        <f ca="1">IF(Q528="Matchs de CLASSEMENT","X","")</f>
        <v/>
      </c>
      <c r="V538" s="849" t="str">
        <f ca="1">IF(Q528="Matchs de CLASSEMENT","X","")</f>
        <v/>
      </c>
      <c r="W538" s="849" t="str">
        <f ca="1">IF(Q528="Matchs de CLASSEMENT","X","")</f>
        <v/>
      </c>
      <c r="X538" s="849" t="str">
        <f ca="1">IF(Q528="Matchs de CLASSEMENT","X","")</f>
        <v/>
      </c>
      <c r="Y538" s="849" t="str">
        <f ca="1">IF(Q528="Matchs de CLASSEMENT","X","")</f>
        <v/>
      </c>
      <c r="Z538" s="849" t="str">
        <f ca="1">IF(Q528="Matchs de CLASSEMENT","X","")</f>
        <v/>
      </c>
      <c r="AA538" s="849" t="str">
        <f ca="1">IF(Q528="Matchs de CLASSEMENT","X","")</f>
        <v/>
      </c>
      <c r="AB538" s="849">
        <f ca="1">IF(Q528="Matchs de CLASSEMENT","X",2)</f>
        <v>2</v>
      </c>
      <c r="AC538" s="849">
        <f ca="1">IF(Q528="Matchs de CLASSEMENT","X",1)</f>
        <v>1</v>
      </c>
      <c r="AD538" s="849">
        <f ca="1">IF(Q528="Matchs de CLASSEMENT","X",0)</f>
        <v>0</v>
      </c>
      <c r="AE538" s="849" t="str">
        <f ca="1">IF(Q528="Matchs de CLASSEMENT","X","")</f>
        <v/>
      </c>
      <c r="AF538" s="679"/>
      <c r="AG538" s="679"/>
      <c r="AH538" s="679"/>
      <c r="AI538" s="679"/>
      <c r="AJ538" s="679"/>
      <c r="AK538" s="679"/>
      <c r="AL538" s="679"/>
    </row>
    <row r="539" spans="1:38" ht="30" customHeight="1" x14ac:dyDescent="0.2">
      <c r="N539" s="867" t="s">
        <v>1294</v>
      </c>
      <c r="O539" s="848"/>
      <c r="AD539" s="867" t="s">
        <v>1294</v>
      </c>
      <c r="AE539" s="866"/>
      <c r="AF539" s="679"/>
      <c r="AG539" s="679"/>
      <c r="AH539" s="679"/>
      <c r="AI539" s="679"/>
      <c r="AJ539" s="679"/>
      <c r="AK539" s="679"/>
      <c r="AL539" s="679"/>
    </row>
    <row r="540" spans="1:38" ht="12.75" customHeight="1" x14ac:dyDescent="0.2">
      <c r="AE540" s="520"/>
      <c r="AF540" s="679"/>
      <c r="AG540" s="679"/>
      <c r="AH540" s="679"/>
      <c r="AI540" s="679"/>
      <c r="AJ540" s="679"/>
      <c r="AK540" s="679"/>
      <c r="AL540" s="679"/>
    </row>
    <row r="541" spans="1:38" ht="18.75" customHeight="1" x14ac:dyDescent="0.2">
      <c r="A541" s="584"/>
      <c r="B541" s="584"/>
      <c r="C541" s="701" t="s">
        <v>1289</v>
      </c>
      <c r="D541" s="249"/>
      <c r="E541" s="196"/>
      <c r="F541" s="196"/>
      <c r="G541" s="584"/>
      <c r="H541" s="1155" t="s">
        <v>1301</v>
      </c>
      <c r="I541" s="1155"/>
      <c r="J541" s="1155"/>
      <c r="K541" s="1155"/>
      <c r="L541" s="1155"/>
      <c r="M541" s="1155"/>
      <c r="N541" s="1155"/>
      <c r="O541" s="1155"/>
      <c r="P541" s="842"/>
      <c r="Q541" s="219"/>
      <c r="R541" s="219"/>
      <c r="S541" s="701" t="s">
        <v>1289</v>
      </c>
      <c r="T541" s="249"/>
      <c r="U541" s="196"/>
      <c r="V541" s="196"/>
      <c r="X541" s="1155" t="s">
        <v>1304</v>
      </c>
      <c r="Y541" s="1155"/>
      <c r="Z541" s="1155"/>
      <c r="AA541" s="1155"/>
      <c r="AB541" s="1155"/>
      <c r="AC541" s="1155"/>
      <c r="AD541" s="1155"/>
      <c r="AE541" s="1155"/>
      <c r="AF541" s="679"/>
      <c r="AG541" s="679"/>
      <c r="AH541" s="679"/>
      <c r="AI541" s="679"/>
      <c r="AJ541" s="679"/>
      <c r="AK541" s="679"/>
      <c r="AL541" s="679"/>
    </row>
    <row r="542" spans="1:38" ht="32.25" customHeight="1" x14ac:dyDescent="0.2">
      <c r="A542" s="584"/>
      <c r="B542" s="584"/>
      <c r="C542" s="850"/>
      <c r="D542" s="851"/>
      <c r="E542" s="852"/>
      <c r="F542" s="852"/>
      <c r="G542" s="584"/>
      <c r="H542" s="1149" t="s">
        <v>549</v>
      </c>
      <c r="I542" s="1149"/>
      <c r="J542" s="1149"/>
      <c r="K542" s="1149"/>
      <c r="L542" s="1149"/>
      <c r="M542" s="1146" t="s">
        <v>550</v>
      </c>
      <c r="N542" s="1147"/>
      <c r="O542" s="1148"/>
      <c r="P542" s="842"/>
      <c r="Q542" s="219"/>
      <c r="R542" s="219"/>
      <c r="S542" s="850"/>
      <c r="T542" s="851"/>
      <c r="U542" s="852"/>
      <c r="V542" s="852"/>
      <c r="X542" s="1149" t="s">
        <v>549</v>
      </c>
      <c r="Y542" s="1149"/>
      <c r="Z542" s="1149"/>
      <c r="AA542" s="1149"/>
      <c r="AB542" s="1149"/>
      <c r="AC542" s="1146" t="s">
        <v>550</v>
      </c>
      <c r="AD542" s="1147"/>
      <c r="AE542" s="1148"/>
      <c r="AG542" s="679"/>
      <c r="AH542" s="679"/>
      <c r="AI542" s="679"/>
      <c r="AJ542" s="679"/>
      <c r="AK542" s="679"/>
      <c r="AL542" s="679"/>
    </row>
    <row r="543" spans="1:38" ht="32.25" customHeight="1" x14ac:dyDescent="0.2">
      <c r="A543" s="584"/>
      <c r="B543" s="584"/>
      <c r="C543" s="850"/>
      <c r="D543" s="851"/>
      <c r="E543" s="852"/>
      <c r="F543" s="852"/>
      <c r="G543" s="584"/>
      <c r="H543" s="1140" t="str">
        <f ca="1">IFERROR(VLOOKUP(X524,Num_AS,6,FALSE)&amp;" "&amp;VLOOKUP(X524,Num_AS,7,FALSE),"")</f>
        <v/>
      </c>
      <c r="I543" s="1140"/>
      <c r="J543" s="1140"/>
      <c r="K543" s="1140"/>
      <c r="L543" s="1140"/>
      <c r="M543" s="1129" t="str">
        <f ca="1">IFERROR(VLOOKUP(X524,Num_AS,9,FALSE),"")</f>
        <v/>
      </c>
      <c r="N543" s="1130"/>
      <c r="O543" s="1131"/>
      <c r="P543" s="842"/>
      <c r="Q543" s="219"/>
      <c r="R543" s="219"/>
      <c r="S543" s="850"/>
      <c r="T543" s="851"/>
      <c r="U543" s="852"/>
      <c r="V543" s="852"/>
      <c r="W543" s="196"/>
      <c r="X543" s="1140" t="str">
        <f ca="1">IFERROR(VLOOKUP(Z524,Num_AS,6,FALSE)&amp;" "&amp;VLOOKUP(Z524,Num_AS,7,FALSE),"")</f>
        <v/>
      </c>
      <c r="Y543" s="1140"/>
      <c r="Z543" s="1140"/>
      <c r="AA543" s="1140"/>
      <c r="AB543" s="1140"/>
      <c r="AC543" s="1129" t="str">
        <f ca="1">IFERROR(VLOOKUP(Z524,Num_AS,9,FALSE),"")</f>
        <v/>
      </c>
      <c r="AD543" s="1130"/>
      <c r="AE543" s="1131"/>
    </row>
    <row r="544" spans="1:38" ht="32.25" customHeight="1" x14ac:dyDescent="0.2">
      <c r="A544" s="584"/>
      <c r="B544" s="584"/>
      <c r="C544" s="850"/>
      <c r="D544" s="851"/>
      <c r="E544" s="852"/>
      <c r="F544" s="852"/>
      <c r="G544" s="584"/>
      <c r="H544" s="1140" t="str">
        <f ca="1">IFERROR(VLOOKUP(X524,Num_AS,12,FALSE)&amp;" "&amp;VLOOKUP(X524,Num_AS,13,FALSE),"")</f>
        <v/>
      </c>
      <c r="I544" s="1140"/>
      <c r="J544" s="1140"/>
      <c r="K544" s="1140"/>
      <c r="L544" s="1140"/>
      <c r="M544" s="1129" t="str">
        <f ca="1">IFERROR(VLOOKUP(X524,Num_AS,15,FALSE),"")</f>
        <v/>
      </c>
      <c r="N544" s="1130"/>
      <c r="O544" s="1131">
        <f ca="1">G526</f>
        <v>0</v>
      </c>
      <c r="P544" s="842"/>
      <c r="Q544" s="219"/>
      <c r="R544" s="219"/>
      <c r="S544" s="850"/>
      <c r="T544" s="851"/>
      <c r="U544" s="852"/>
      <c r="V544" s="852"/>
      <c r="W544" s="196"/>
      <c r="X544" s="1140" t="str">
        <f ca="1">IFERROR(VLOOKUP(Z524,Num_AS,12,FALSE)&amp;" "&amp;VLOOKUP(Z524,Num_AS,13,FALSE),"")</f>
        <v/>
      </c>
      <c r="Y544" s="1140"/>
      <c r="Z544" s="1140"/>
      <c r="AA544" s="1140"/>
      <c r="AB544" s="1140"/>
      <c r="AC544" s="1129" t="str">
        <f ca="1">IFERROR(VLOOKUP(Z524,Num_AS,15,FALSE),"")</f>
        <v/>
      </c>
      <c r="AD544" s="1130"/>
      <c r="AE544" s="1131">
        <f>W526</f>
        <v>0</v>
      </c>
    </row>
    <row r="545" spans="1:44" ht="32.25" customHeight="1" x14ac:dyDescent="0.2">
      <c r="A545" s="584"/>
      <c r="B545" s="584"/>
      <c r="C545" s="584"/>
      <c r="D545" s="584"/>
      <c r="E545" s="584"/>
      <c r="F545" s="584"/>
      <c r="G545" s="584"/>
      <c r="H545" s="1140" t="str">
        <f ca="1">IFERROR(VLOOKUP(X524,Num_AS,18,FALSE)&amp;" "&amp;VLOOKUP(X524,Num_AS,19,FALSE),"")</f>
        <v/>
      </c>
      <c r="I545" s="1140"/>
      <c r="J545" s="1140"/>
      <c r="K545" s="1140"/>
      <c r="L545" s="1140"/>
      <c r="M545" s="1129" t="str">
        <f ca="1">IFERROR(VLOOKUP(X524,Num_AS,21,FALSE),"")</f>
        <v/>
      </c>
      <c r="N545" s="1130"/>
      <c r="O545" s="1131">
        <f ca="1">G526</f>
        <v>0</v>
      </c>
      <c r="P545" s="842"/>
      <c r="Q545" s="219"/>
      <c r="R545" s="219"/>
      <c r="S545" s="584"/>
      <c r="T545" s="584"/>
      <c r="U545" s="584"/>
      <c r="V545" s="584"/>
      <c r="W545" s="196"/>
      <c r="X545" s="1140" t="str">
        <f ca="1">IFERROR(VLOOKUP(Z524,Num_AS,18,FALSE)&amp;" "&amp;VLOOKUP(Z524,Num_AS,19,FALSE),"")</f>
        <v/>
      </c>
      <c r="Y545" s="1140"/>
      <c r="Z545" s="1140"/>
      <c r="AA545" s="1140"/>
      <c r="AB545" s="1140"/>
      <c r="AC545" s="1129" t="str">
        <f ca="1">IFERROR(VLOOKUP(Z524,Num_AS,21,FALSE),"")</f>
        <v/>
      </c>
      <c r="AD545" s="1130"/>
      <c r="AE545" s="1131">
        <f>W526</f>
        <v>0</v>
      </c>
    </row>
    <row r="546" spans="1:44" ht="32.25" customHeight="1" x14ac:dyDescent="0.2">
      <c r="A546" s="584"/>
      <c r="B546" s="584"/>
      <c r="C546" s="862"/>
      <c r="D546" s="1141" t="s">
        <v>1292</v>
      </c>
      <c r="E546" s="1142"/>
      <c r="F546" s="1143"/>
      <c r="G546" s="584"/>
      <c r="H546" s="1140" t="str">
        <f ca="1">IFERROR(VLOOKUP(X524,Num_AS,24,FALSE)&amp;" "&amp;VLOOKUP(X524,Num_AS,25,FALSE),"")</f>
        <v/>
      </c>
      <c r="I546" s="1140"/>
      <c r="J546" s="1140"/>
      <c r="K546" s="1140"/>
      <c r="L546" s="1140"/>
      <c r="M546" s="1129" t="str">
        <f ca="1">IFERROR(VLOOKUP(X524,Num_AS,9,FALSE),"")</f>
        <v/>
      </c>
      <c r="N546" s="1130"/>
      <c r="O546" s="1131">
        <f ca="1">G526</f>
        <v>0</v>
      </c>
      <c r="P546" s="842"/>
      <c r="Q546" s="219"/>
      <c r="R546" s="219"/>
      <c r="S546" s="862"/>
      <c r="T546" s="1141" t="s">
        <v>1292</v>
      </c>
      <c r="U546" s="1142"/>
      <c r="V546" s="1143"/>
      <c r="W546" s="196"/>
      <c r="X546" s="1140" t="str">
        <f ca="1">IFERROR(VLOOKUP(Z524,Num_AS,24,FALSE)&amp;" "&amp;VLOOKUP(Z524,Num_AS,25,FALSE),"")</f>
        <v/>
      </c>
      <c r="Y546" s="1140"/>
      <c r="Z546" s="1140"/>
      <c r="AA546" s="1140"/>
      <c r="AB546" s="1140"/>
      <c r="AC546" s="1129" t="str">
        <f ca="1">IFERROR(VLOOKUP(Z524,Num_AS,9,FALSE),"")</f>
        <v/>
      </c>
      <c r="AD546" s="1130"/>
      <c r="AE546" s="1131">
        <f>W526</f>
        <v>0</v>
      </c>
    </row>
    <row r="547" spans="1:44" ht="18.75" customHeight="1" thickBot="1" x14ac:dyDescent="0.25">
      <c r="A547" s="701"/>
      <c r="B547" s="701"/>
      <c r="C547" s="249"/>
      <c r="D547" s="249"/>
      <c r="E547" s="249"/>
      <c r="F547" s="701"/>
      <c r="G547" s="701"/>
      <c r="H547" s="196"/>
      <c r="I547" s="196"/>
      <c r="J547" s="249"/>
      <c r="K547" s="219"/>
      <c r="L547" s="219"/>
      <c r="M547" s="219"/>
      <c r="N547" s="219"/>
      <c r="O547" s="219"/>
      <c r="P547" s="219"/>
      <c r="Q547" s="219"/>
      <c r="R547" s="219"/>
      <c r="S547" s="219"/>
      <c r="T547" s="219"/>
      <c r="U547" s="219"/>
      <c r="V547" s="219"/>
      <c r="W547" s="219"/>
      <c r="X547" s="219"/>
      <c r="Y547" s="249"/>
      <c r="Z547" s="219"/>
      <c r="AE547" s="520"/>
    </row>
    <row r="548" spans="1:44" ht="32.25" customHeight="1" x14ac:dyDescent="0.25">
      <c r="A548" s="701"/>
      <c r="B548" s="701"/>
      <c r="D548" s="875" t="s">
        <v>1002</v>
      </c>
      <c r="E548" s="876"/>
      <c r="F548" s="876"/>
      <c r="G548" s="876"/>
      <c r="H548" s="876"/>
      <c r="I548" s="876"/>
      <c r="J548" s="876"/>
      <c r="K548" s="876"/>
      <c r="L548" s="876"/>
      <c r="M548" s="877" t="s">
        <v>1297</v>
      </c>
      <c r="N548" s="219"/>
      <c r="O548" s="1132" t="s">
        <v>1293</v>
      </c>
      <c r="P548" s="1133"/>
      <c r="Q548" s="1134"/>
      <c r="R548" s="941"/>
      <c r="T548" s="875" t="s">
        <v>1002</v>
      </c>
      <c r="U548" s="876"/>
      <c r="V548" s="876"/>
      <c r="W548" s="876"/>
      <c r="X548" s="876"/>
      <c r="Y548" s="876"/>
      <c r="Z548" s="876"/>
      <c r="AA548" s="876"/>
      <c r="AB548" s="876"/>
      <c r="AC548" s="877" t="s">
        <v>1296</v>
      </c>
      <c r="AE548" s="520"/>
    </row>
    <row r="549" spans="1:44" ht="70.5" customHeight="1" thickBot="1" x14ac:dyDescent="0.25">
      <c r="A549" s="701"/>
      <c r="B549" s="701"/>
      <c r="D549" s="878"/>
      <c r="E549" s="879"/>
      <c r="F549" s="879"/>
      <c r="G549" s="879"/>
      <c r="H549" s="879"/>
      <c r="I549" s="879"/>
      <c r="J549" s="879"/>
      <c r="K549" s="879"/>
      <c r="L549" s="879"/>
      <c r="M549" s="880"/>
      <c r="N549" s="219"/>
      <c r="O549" s="1135"/>
      <c r="P549" s="1136"/>
      <c r="Q549" s="1137"/>
      <c r="R549" s="941"/>
      <c r="T549" s="878"/>
      <c r="U549" s="879"/>
      <c r="V549" s="879"/>
      <c r="W549" s="879"/>
      <c r="X549" s="879"/>
      <c r="Y549" s="879"/>
      <c r="Z549" s="879"/>
      <c r="AA549" s="879"/>
      <c r="AB549" s="879"/>
      <c r="AC549" s="880"/>
      <c r="AE549" s="520"/>
    </row>
    <row r="550" spans="1:44" ht="6.75" customHeight="1" x14ac:dyDescent="0.25">
      <c r="A550" s="701"/>
      <c r="B550" s="701"/>
      <c r="C550" s="249"/>
      <c r="D550" s="249"/>
      <c r="E550" s="249"/>
      <c r="F550" s="701"/>
      <c r="G550" s="701"/>
      <c r="H550" s="196"/>
      <c r="I550" s="196"/>
      <c r="J550" s="249"/>
      <c r="K550" s="219"/>
      <c r="L550" s="842"/>
      <c r="M550" s="842"/>
      <c r="N550" s="842"/>
      <c r="O550" s="842"/>
      <c r="P550" s="842"/>
      <c r="Q550" s="842"/>
      <c r="R550" s="842"/>
      <c r="T550" s="845"/>
      <c r="U550" s="842"/>
      <c r="V550" s="842"/>
      <c r="W550" s="649"/>
      <c r="X550" s="845"/>
      <c r="Y550" s="842"/>
      <c r="Z550" s="842"/>
      <c r="AE550" s="520"/>
    </row>
    <row r="551" spans="1:44" ht="27.75" customHeight="1" x14ac:dyDescent="0.2">
      <c r="A551" s="701"/>
      <c r="B551" s="701"/>
      <c r="C551" s="1138" t="s">
        <v>1300</v>
      </c>
      <c r="D551" s="1138"/>
      <c r="E551" s="1138"/>
      <c r="F551" s="1138"/>
      <c r="G551" s="1138"/>
      <c r="H551" s="1138"/>
      <c r="I551" s="1138"/>
      <c r="J551" s="1138"/>
      <c r="K551" s="1138"/>
      <c r="L551" s="1138"/>
      <c r="M551" s="1138"/>
      <c r="N551" s="1138"/>
      <c r="O551" s="1138"/>
      <c r="P551" s="842"/>
      <c r="Q551" s="1139" t="s">
        <v>1303</v>
      </c>
      <c r="R551" s="1139"/>
      <c r="S551" s="1139"/>
      <c r="T551" s="1139"/>
      <c r="U551" s="1139"/>
      <c r="V551" s="1139"/>
      <c r="W551" s="1139"/>
      <c r="X551" s="1139"/>
      <c r="Y551" s="1139"/>
      <c r="Z551" s="1139"/>
      <c r="AA551" s="1139"/>
      <c r="AB551" s="1139"/>
      <c r="AC551" s="1139"/>
      <c r="AD551" s="1139"/>
      <c r="AE551" s="1139"/>
    </row>
    <row r="552" spans="1:44" ht="36" customHeight="1" x14ac:dyDescent="0.2">
      <c r="AE552" s="520"/>
    </row>
    <row r="553" spans="1:44" ht="19.5" customHeight="1" thickBot="1" x14ac:dyDescent="0.25">
      <c r="W553" s="500"/>
      <c r="X553" s="520">
        <f ca="1">INDIRECT("AE"&amp;Y553)</f>
        <v>0</v>
      </c>
      <c r="Y553" s="500">
        <f>Z554+2</f>
        <v>21</v>
      </c>
      <c r="Z553" s="501">
        <f ca="1">INDIRECT("AF"&amp;Y553)</f>
        <v>0</v>
      </c>
      <c r="AA553" s="500"/>
      <c r="AB553" s="500"/>
      <c r="AD553" s="679"/>
      <c r="AE553" s="679"/>
      <c r="AF553" s="679"/>
      <c r="AG553" s="679"/>
      <c r="AH553" s="679"/>
      <c r="AI553" s="679"/>
      <c r="AJ553" s="679"/>
      <c r="AK553" s="679"/>
      <c r="AL553" s="679"/>
    </row>
    <row r="554" spans="1:44" s="218" customFormat="1" ht="36" thickBot="1" x14ac:dyDescent="0.25">
      <c r="F554" s="576" t="s">
        <v>546</v>
      </c>
      <c r="G554" s="865" t="str">
        <f>G525</f>
        <v>D1</v>
      </c>
      <c r="I554" s="863" t="str">
        <f>"   "&amp;Championnat</f>
        <v xml:space="preserve">   Championnat de France de Tir à l'ARC</v>
      </c>
      <c r="T554" s="197"/>
      <c r="U554" s="197"/>
      <c r="V554" s="197"/>
      <c r="W554" s="197"/>
      <c r="Y554" s="502" t="s">
        <v>849</v>
      </c>
      <c r="Z554" s="503">
        <f>Z525+1</f>
        <v>19</v>
      </c>
      <c r="AB554" s="254"/>
      <c r="AC554" s="254"/>
      <c r="AD554" s="681"/>
      <c r="AE554" s="680"/>
      <c r="AF554" s="681"/>
      <c r="AH554" s="662"/>
      <c r="AI554" s="662"/>
      <c r="AJ554" s="662"/>
      <c r="AK554" s="662"/>
      <c r="AL554" s="662"/>
      <c r="AM554" s="217"/>
      <c r="AN554" s="217"/>
      <c r="AO554" s="217"/>
      <c r="AP554" s="217"/>
      <c r="AQ554" s="217"/>
      <c r="AR554" s="217"/>
    </row>
    <row r="555" spans="1:44" ht="36" thickBot="1" x14ac:dyDescent="0.25">
      <c r="F555" s="661" t="s">
        <v>628</v>
      </c>
      <c r="G555" s="660">
        <f ca="1">INDIRECT("AD"&amp;Y553)</f>
        <v>0</v>
      </c>
      <c r="I555" s="706" t="str">
        <f>CATEG_IMPORTEE</f>
        <v>Collèges Mixtes Etablissement</v>
      </c>
      <c r="S555" s="864" t="str">
        <f>LIEU&amp;" du "&amp;DATE</f>
        <v>L’Isle sur la Sorgue du 27 au 31 mars 2023</v>
      </c>
      <c r="AB555" s="254"/>
      <c r="AC555" s="254"/>
      <c r="AD555" s="681"/>
      <c r="AE555" s="680"/>
      <c r="AF555" s="681"/>
      <c r="AG555" s="679"/>
      <c r="AH555" s="679"/>
      <c r="AI555" s="679"/>
      <c r="AJ555" s="679"/>
      <c r="AK555" s="679"/>
      <c r="AL555" s="679"/>
    </row>
    <row r="556" spans="1:44" ht="24" customHeight="1" x14ac:dyDescent="0.2">
      <c r="A556" s="1075" t="s">
        <v>0</v>
      </c>
      <c r="B556" s="1075"/>
      <c r="C556" s="1075"/>
      <c r="D556" s="1075"/>
      <c r="E556" s="1075"/>
      <c r="F556" s="1075"/>
      <c r="G556" s="1075"/>
      <c r="H556" s="1075"/>
      <c r="I556" s="1075"/>
      <c r="J556" s="1075"/>
      <c r="Q556" s="1075" t="s">
        <v>0</v>
      </c>
      <c r="R556" s="1075"/>
      <c r="S556" s="1075"/>
      <c r="T556" s="1075"/>
      <c r="U556" s="1075"/>
      <c r="V556" s="1075"/>
      <c r="W556" s="1075"/>
      <c r="X556" s="1075"/>
      <c r="Y556" s="1075"/>
      <c r="Z556" s="1075"/>
      <c r="AB556" s="254"/>
      <c r="AC556" s="254"/>
      <c r="AD556" s="681"/>
      <c r="AE556" s="680"/>
      <c r="AF556" s="681"/>
      <c r="AG556" s="679"/>
      <c r="AH556" s="679"/>
      <c r="AI556" s="679"/>
      <c r="AJ556" s="679"/>
      <c r="AK556" s="679"/>
      <c r="AL556" s="679"/>
    </row>
    <row r="557" spans="1:44" ht="31.5" customHeight="1" x14ac:dyDescent="0.2">
      <c r="A557" s="1144" t="str">
        <f ca="1">IFERROR(VLOOKUP(X553,Num_AS,2,FALSE),"")</f>
        <v/>
      </c>
      <c r="B557" s="1144"/>
      <c r="C557" s="1144"/>
      <c r="D557" s="1144"/>
      <c r="E557" s="1144"/>
      <c r="F557" s="1144"/>
      <c r="G557" s="1144"/>
      <c r="H557" s="1144"/>
      <c r="I557" s="1144"/>
      <c r="J557" s="1144"/>
      <c r="K557" s="869" t="s">
        <v>1299</v>
      </c>
      <c r="L557" s="1145" t="s">
        <v>547</v>
      </c>
      <c r="M557" s="1145"/>
      <c r="N557" s="1145"/>
      <c r="O557" s="870" t="s">
        <v>1298</v>
      </c>
      <c r="Q557" s="1144" t="str">
        <f ca="1">IFERROR(VLOOKUP(Z553,Num_AS,2,FALSE),"")</f>
        <v/>
      </c>
      <c r="R557" s="1144"/>
      <c r="S557" s="1144"/>
      <c r="T557" s="1144"/>
      <c r="U557" s="1144"/>
      <c r="V557" s="1144"/>
      <c r="W557" s="1144"/>
      <c r="X557" s="1144"/>
      <c r="Y557" s="1144"/>
      <c r="Z557" s="1144"/>
      <c r="AB557" s="254"/>
      <c r="AC557" s="254"/>
      <c r="AD557" s="681"/>
      <c r="AE557" s="680"/>
      <c r="AF557" s="681"/>
      <c r="AG557" s="679"/>
      <c r="AH557" s="679"/>
      <c r="AI557" s="679"/>
      <c r="AJ557" s="679"/>
      <c r="AK557" s="679"/>
      <c r="AL557" s="679"/>
    </row>
    <row r="558" spans="1:44" ht="20.100000000000001" customHeight="1" thickBot="1" x14ac:dyDescent="0.25">
      <c r="A558" s="1124" t="s">
        <v>1006</v>
      </c>
      <c r="B558" s="1124"/>
      <c r="C558" s="1125"/>
      <c r="D558" s="1125"/>
      <c r="E558" s="1125"/>
      <c r="F558" s="1125"/>
      <c r="G558" s="1125"/>
      <c r="H558" s="1125"/>
      <c r="I558" s="1125"/>
      <c r="J558" s="1125"/>
      <c r="L558" s="871"/>
      <c r="M558" s="871"/>
      <c r="N558" s="871"/>
      <c r="Q558" s="1124" t="s">
        <v>1005</v>
      </c>
      <c r="R558" s="1124"/>
      <c r="S558" s="1125"/>
      <c r="T558" s="1125"/>
      <c r="U558" s="1125"/>
      <c r="V558" s="1125"/>
      <c r="W558" s="1125"/>
      <c r="X558" s="1125"/>
      <c r="Y558" s="1125"/>
      <c r="Z558" s="1125"/>
      <c r="AB558" s="254"/>
      <c r="AC558" s="254"/>
      <c r="AD558" s="681"/>
      <c r="AE558" s="680"/>
      <c r="AF558" s="681"/>
      <c r="AG558" s="679"/>
      <c r="AH558" s="679"/>
      <c r="AI558" s="679"/>
      <c r="AJ558" s="679"/>
      <c r="AK558" s="679"/>
      <c r="AL558" s="679"/>
    </row>
    <row r="559" spans="1:44" ht="27.75" customHeight="1" x14ac:dyDescent="0.2">
      <c r="A559" s="1117" t="str">
        <f ca="1">IFERROR(VLOOKUP(X553,Num_AS,3,FALSE),"")</f>
        <v/>
      </c>
      <c r="B559" s="1150"/>
      <c r="C559" s="1118"/>
      <c r="D559" s="1151"/>
      <c r="E559" s="1151"/>
      <c r="F559" s="1151"/>
      <c r="G559" s="1151"/>
      <c r="H559" s="1151"/>
      <c r="I559" s="1151"/>
      <c r="J559" s="1119"/>
      <c r="O559" s="219"/>
      <c r="P559" s="219"/>
      <c r="Q559" s="1117" t="str">
        <f ca="1">IFERROR(VLOOKUP(Z553,Num_AS,3,FALSE),"")</f>
        <v/>
      </c>
      <c r="R559" s="1150"/>
      <c r="S559" s="1118"/>
      <c r="T559" s="1151"/>
      <c r="U559" s="1151"/>
      <c r="V559" s="1151"/>
      <c r="W559" s="1151"/>
      <c r="X559" s="1151"/>
      <c r="Y559" s="1151"/>
      <c r="Z559" s="1119"/>
      <c r="AB559" s="254"/>
      <c r="AC559" s="254"/>
      <c r="AD559" s="681"/>
      <c r="AE559" s="680"/>
      <c r="AF559" s="681"/>
      <c r="AG559" s="679"/>
      <c r="AH559" s="679"/>
      <c r="AI559" s="679"/>
      <c r="AJ559" s="679"/>
      <c r="AK559" s="679"/>
      <c r="AL559" s="679"/>
    </row>
    <row r="560" spans="1:44" ht="27.75" customHeight="1" thickBot="1" x14ac:dyDescent="0.25">
      <c r="A560" s="1107" t="str">
        <f ca="1">IFERROR(VLOOKUP(X553,Num_AS,4,FALSE),"")</f>
        <v/>
      </c>
      <c r="B560" s="1152"/>
      <c r="C560" s="1108"/>
      <c r="D560" s="1153"/>
      <c r="E560" s="1153"/>
      <c r="F560" s="1153"/>
      <c r="G560" s="1153"/>
      <c r="H560" s="1153"/>
      <c r="I560" s="1153"/>
      <c r="J560" s="1109"/>
      <c r="Q560" s="1107" t="str">
        <f ca="1">IFERROR(VLOOKUP(Z553,Num_AS,4,FALSE),"")</f>
        <v/>
      </c>
      <c r="R560" s="1152"/>
      <c r="S560" s="1108"/>
      <c r="T560" s="1153"/>
      <c r="U560" s="1153"/>
      <c r="V560" s="1153"/>
      <c r="W560" s="1153"/>
      <c r="X560" s="1153"/>
      <c r="Y560" s="1153"/>
      <c r="Z560" s="1109"/>
      <c r="AB560" s="254"/>
      <c r="AC560" s="254"/>
      <c r="AD560" s="681"/>
      <c r="AE560" s="680"/>
      <c r="AF560" s="681"/>
      <c r="AG560" s="679"/>
      <c r="AH560" s="679"/>
      <c r="AI560" s="679"/>
      <c r="AJ560" s="679"/>
      <c r="AK560" s="679"/>
      <c r="AL560" s="679"/>
    </row>
    <row r="561" spans="1:38" ht="36" customHeight="1" thickBot="1" x14ac:dyDescent="0.25">
      <c r="A561" s="1156" t="s">
        <v>1330</v>
      </c>
      <c r="B561" s="1157"/>
      <c r="C561" s="1157"/>
      <c r="D561" s="1158"/>
      <c r="E561" s="947">
        <f ca="1">VLOOKUP(A557&amp;A559,PTS_SP,3,FALSE)</f>
        <v>0</v>
      </c>
      <c r="Q561" s="1156" t="s">
        <v>1330</v>
      </c>
      <c r="R561" s="1157"/>
      <c r="S561" s="1157"/>
      <c r="T561" s="1158"/>
      <c r="U561" s="947">
        <f ca="1">VLOOKUP(Q557&amp;Q559,PTS_SP,3,FALSE)</f>
        <v>0</v>
      </c>
      <c r="AB561" s="254"/>
      <c r="AC561" s="254"/>
      <c r="AD561" s="681"/>
      <c r="AE561" s="680"/>
      <c r="AF561" s="681"/>
      <c r="AG561" s="679"/>
      <c r="AH561" s="679"/>
      <c r="AI561" s="679"/>
      <c r="AJ561" s="679"/>
      <c r="AK561" s="679"/>
      <c r="AL561" s="679"/>
    </row>
    <row r="562" spans="1:38" ht="38.25" customHeight="1" x14ac:dyDescent="0.2">
      <c r="A562" s="701"/>
      <c r="B562" s="701"/>
      <c r="C562" s="853"/>
      <c r="D562" s="861" t="s">
        <v>1290</v>
      </c>
      <c r="E562" s="853"/>
      <c r="F562" s="854"/>
      <c r="G562" s="854"/>
      <c r="H562" s="872" t="s">
        <v>1295</v>
      </c>
      <c r="I562" s="855"/>
      <c r="J562" s="853"/>
      <c r="K562" s="853"/>
      <c r="L562" s="853"/>
      <c r="M562" s="859"/>
      <c r="N562" s="860" t="s">
        <v>1291</v>
      </c>
      <c r="O562" s="853"/>
      <c r="P562" s="249"/>
      <c r="Q562" s="701"/>
      <c r="R562" s="701"/>
      <c r="S562" s="853"/>
      <c r="T562" s="861" t="s">
        <v>1290</v>
      </c>
      <c r="U562" s="853"/>
      <c r="V562" s="854"/>
      <c r="W562" s="854"/>
      <c r="X562" s="872" t="s">
        <v>1302</v>
      </c>
      <c r="Y562" s="855"/>
      <c r="Z562" s="853"/>
      <c r="AA562" s="853"/>
      <c r="AB562" s="853"/>
      <c r="AC562" s="859"/>
      <c r="AD562" s="860" t="s">
        <v>1291</v>
      </c>
      <c r="AE562" s="853"/>
      <c r="AF562" s="681"/>
      <c r="AG562" s="681"/>
      <c r="AH562" s="681"/>
      <c r="AI562" s="681"/>
      <c r="AJ562" s="679"/>
      <c r="AK562" s="679"/>
      <c r="AL562" s="679"/>
    </row>
    <row r="563" spans="1:38" ht="38.25" customHeight="1" x14ac:dyDescent="0.2">
      <c r="A563" s="856" t="s">
        <v>509</v>
      </c>
      <c r="B563" s="942" t="s">
        <v>1329</v>
      </c>
      <c r="C563" s="857">
        <v>1</v>
      </c>
      <c r="D563" s="857">
        <v>2</v>
      </c>
      <c r="E563" s="857">
        <v>3</v>
      </c>
      <c r="F563" s="857">
        <v>4</v>
      </c>
      <c r="G563" s="857">
        <v>5</v>
      </c>
      <c r="H563" s="857">
        <v>6</v>
      </c>
      <c r="I563" s="857">
        <v>7</v>
      </c>
      <c r="J563" s="857">
        <v>8</v>
      </c>
      <c r="K563" s="858" t="s">
        <v>1286</v>
      </c>
      <c r="L563" s="1154" t="s">
        <v>1287</v>
      </c>
      <c r="M563" s="1154"/>
      <c r="N563" s="1154"/>
      <c r="O563" s="858" t="s">
        <v>1288</v>
      </c>
      <c r="P563" s="844"/>
      <c r="Q563" s="856" t="s">
        <v>509</v>
      </c>
      <c r="R563" s="942" t="s">
        <v>1329</v>
      </c>
      <c r="S563" s="857">
        <v>1</v>
      </c>
      <c r="T563" s="857">
        <v>2</v>
      </c>
      <c r="U563" s="857">
        <v>3</v>
      </c>
      <c r="V563" s="857">
        <v>4</v>
      </c>
      <c r="W563" s="857">
        <v>5</v>
      </c>
      <c r="X563" s="857">
        <v>6</v>
      </c>
      <c r="Y563" s="857">
        <v>7</v>
      </c>
      <c r="Z563" s="857">
        <v>8</v>
      </c>
      <c r="AA563" s="858" t="s">
        <v>1286</v>
      </c>
      <c r="AB563" s="1154" t="s">
        <v>1287</v>
      </c>
      <c r="AC563" s="1154"/>
      <c r="AD563" s="1154"/>
      <c r="AE563" s="858" t="s">
        <v>1288</v>
      </c>
      <c r="AF563" s="681"/>
      <c r="AG563" s="681"/>
      <c r="AH563" s="681"/>
      <c r="AI563" s="681"/>
      <c r="AJ563" s="679"/>
      <c r="AK563" s="679"/>
      <c r="AL563" s="679"/>
    </row>
    <row r="564" spans="1:38" ht="30" customHeight="1" x14ac:dyDescent="0.25">
      <c r="A564" s="846" t="s">
        <v>1282</v>
      </c>
      <c r="B564" s="948">
        <f ca="1">E561</f>
        <v>0</v>
      </c>
      <c r="C564" s="843"/>
      <c r="D564" s="843"/>
      <c r="E564" s="843"/>
      <c r="F564" s="843"/>
      <c r="G564" s="847"/>
      <c r="H564" s="848"/>
      <c r="I564" s="846"/>
      <c r="J564" s="843"/>
      <c r="K564" s="843"/>
      <c r="L564" s="849">
        <f ca="1">IF(Q557="Matchs de CLASSEMENT","X",2)</f>
        <v>2</v>
      </c>
      <c r="M564" s="849">
        <f ca="1">IF(Q557="Matchs de CLASSEMENT","X",1)</f>
        <v>1</v>
      </c>
      <c r="N564" s="849">
        <f ca="1">IF(Q557="Matchs de CLASSEMENT","X",0)</f>
        <v>0</v>
      </c>
      <c r="O564" s="849" t="str">
        <f ca="1">IF(Q557="Matchs de CLASSEMENT","X","")</f>
        <v/>
      </c>
      <c r="P564" s="842"/>
      <c r="Q564" s="849" t="str">
        <f ca="1">IF(Q557="Matchs de CLASSEMENT","X","V1")</f>
        <v>V1</v>
      </c>
      <c r="R564" s="948">
        <f ca="1">U561</f>
        <v>0</v>
      </c>
      <c r="S564" s="849" t="str">
        <f ca="1">IF(Q557="Matchs de CLASSEMENT","X","")</f>
        <v/>
      </c>
      <c r="T564" s="849" t="str">
        <f ca="1">IF(Q557="Matchs de CLASSEMENT","X","")</f>
        <v/>
      </c>
      <c r="U564" s="849" t="str">
        <f ca="1">IF(Q557="Matchs de CLASSEMENT","X","")</f>
        <v/>
      </c>
      <c r="V564" s="849" t="str">
        <f ca="1">IF(Q557="Matchs de CLASSEMENT","X","")</f>
        <v/>
      </c>
      <c r="W564" s="849" t="str">
        <f ca="1">IF(Q557="Matchs de CLASSEMENT","X","")</f>
        <v/>
      </c>
      <c r="X564" s="849" t="str">
        <f ca="1">IF(Q557="Matchs de CLASSEMENT","X","")</f>
        <v/>
      </c>
      <c r="Y564" s="849" t="str">
        <f ca="1">IF(Q557="Matchs de CLASSEMENT","X","")</f>
        <v/>
      </c>
      <c r="Z564" s="849" t="str">
        <f ca="1">IF(Q557="Matchs de CLASSEMENT","X","")</f>
        <v/>
      </c>
      <c r="AA564" s="849" t="str">
        <f ca="1">IF(Q557="Matchs de CLASSEMENT","X","")</f>
        <v/>
      </c>
      <c r="AB564" s="849">
        <f ca="1">IF(Q557="Matchs de CLASSEMENT","X",2)</f>
        <v>2</v>
      </c>
      <c r="AC564" s="849">
        <f ca="1">IF(Q557="Matchs de CLASSEMENT","X",1)</f>
        <v>1</v>
      </c>
      <c r="AD564" s="849">
        <f ca="1">IF(Q557="Matchs de CLASSEMENT","X",0)</f>
        <v>0</v>
      </c>
      <c r="AE564" s="849" t="str">
        <f ca="1">IF(Q557="Matchs de CLASSEMENT","X","")</f>
        <v/>
      </c>
      <c r="AF564" s="679"/>
      <c r="AG564" s="679"/>
      <c r="AH564" s="679"/>
      <c r="AI564" s="679"/>
      <c r="AJ564" s="679"/>
      <c r="AK564" s="679"/>
      <c r="AL564" s="679"/>
    </row>
    <row r="565" spans="1:38" ht="30" customHeight="1" x14ac:dyDescent="0.25">
      <c r="A565" s="846" t="s">
        <v>1283</v>
      </c>
      <c r="B565" s="948">
        <f ca="1">B564</f>
        <v>0</v>
      </c>
      <c r="C565" s="843"/>
      <c r="D565" s="843"/>
      <c r="E565" s="843"/>
      <c r="F565" s="843"/>
      <c r="G565" s="847"/>
      <c r="H565" s="848"/>
      <c r="I565" s="846"/>
      <c r="J565" s="843"/>
      <c r="K565" s="843"/>
      <c r="L565" s="849">
        <f ca="1">IF(Q557="Matchs de CLASSEMENT","X",2)</f>
        <v>2</v>
      </c>
      <c r="M565" s="849">
        <f ca="1">IF(Q557="Matchs de CLASSEMENT","X",1)</f>
        <v>1</v>
      </c>
      <c r="N565" s="849">
        <f ca="1">IF(Q557="Matchs de CLASSEMENT","X",0)</f>
        <v>0</v>
      </c>
      <c r="O565" s="849" t="str">
        <f ca="1">IF(Q557="Matchs de CLASSEMENT","X","")</f>
        <v/>
      </c>
      <c r="P565" s="842"/>
      <c r="Q565" s="849" t="str">
        <f ca="1">IF(Q557="Matchs de CLASSEMENT","X","V2")</f>
        <v>V2</v>
      </c>
      <c r="R565" s="948">
        <f ca="1">R564</f>
        <v>0</v>
      </c>
      <c r="S565" s="849" t="str">
        <f ca="1">IF(Q557="Matchs de CLASSEMENT","X","")</f>
        <v/>
      </c>
      <c r="T565" s="849" t="str">
        <f ca="1">IF(Q557="Matchs de CLASSEMENT","X","")</f>
        <v/>
      </c>
      <c r="U565" s="849" t="str">
        <f ca="1">IF(Q557="Matchs de CLASSEMENT","X","")</f>
        <v/>
      </c>
      <c r="V565" s="849" t="str">
        <f ca="1">IF(Q557="Matchs de CLASSEMENT","X","")</f>
        <v/>
      </c>
      <c r="W565" s="849" t="str">
        <f ca="1">IF(Q557="Matchs de CLASSEMENT","X","")</f>
        <v/>
      </c>
      <c r="X565" s="849" t="str">
        <f ca="1">IF(Q557="Matchs de CLASSEMENT","X","")</f>
        <v/>
      </c>
      <c r="Y565" s="849" t="str">
        <f ca="1">IF(Q557="Matchs de CLASSEMENT","X","")</f>
        <v/>
      </c>
      <c r="Z565" s="849" t="str">
        <f ca="1">IF(Q557="Matchs de CLASSEMENT","X","")</f>
        <v/>
      </c>
      <c r="AA565" s="849" t="str">
        <f ca="1">IF(Q557="Matchs de CLASSEMENT","X","")</f>
        <v/>
      </c>
      <c r="AB565" s="849">
        <f ca="1">IF(Q557="Matchs de CLASSEMENT","X",2)</f>
        <v>2</v>
      </c>
      <c r="AC565" s="849">
        <f ca="1">IF(Q557="Matchs de CLASSEMENT","X",1)</f>
        <v>1</v>
      </c>
      <c r="AD565" s="849">
        <f ca="1">IF(Q557="Matchs de CLASSEMENT","X",0)</f>
        <v>0</v>
      </c>
      <c r="AE565" s="849" t="str">
        <f ca="1">IF(Q557="Matchs de CLASSEMENT","X","")</f>
        <v/>
      </c>
      <c r="AF565" s="679"/>
      <c r="AG565" s="679"/>
      <c r="AH565" s="679"/>
      <c r="AI565" s="679"/>
      <c r="AJ565" s="679"/>
      <c r="AK565" s="679"/>
      <c r="AL565" s="679"/>
    </row>
    <row r="566" spans="1:38" ht="30" customHeight="1" x14ac:dyDescent="0.25">
      <c r="A566" s="846" t="s">
        <v>1284</v>
      </c>
      <c r="B566" s="948">
        <f t="shared" ref="B566:B567" ca="1" si="37">B565</f>
        <v>0</v>
      </c>
      <c r="C566" s="843"/>
      <c r="D566" s="843"/>
      <c r="E566" s="843"/>
      <c r="F566" s="843"/>
      <c r="G566" s="847"/>
      <c r="H566" s="848"/>
      <c r="I566" s="846"/>
      <c r="J566" s="843"/>
      <c r="K566" s="843"/>
      <c r="L566" s="849">
        <f ca="1">IF(Q557="Matchs de CLASSEMENT","X",2)</f>
        <v>2</v>
      </c>
      <c r="M566" s="849">
        <f ca="1">IF(Q557="Matchs de CLASSEMENT","X",1)</f>
        <v>1</v>
      </c>
      <c r="N566" s="849">
        <f ca="1">IF(Q557="Matchs de CLASSEMENT","X",0)</f>
        <v>0</v>
      </c>
      <c r="O566" s="849" t="str">
        <f ca="1">IF(Q557="Matchs de CLASSEMENT","X","")</f>
        <v/>
      </c>
      <c r="P566" s="842"/>
      <c r="Q566" s="849" t="str">
        <f ca="1">IF(Q557="Matchs de CLASSEMENT","X","V3")</f>
        <v>V3</v>
      </c>
      <c r="R566" s="948">
        <f t="shared" ref="R566:R567" ca="1" si="38">R565</f>
        <v>0</v>
      </c>
      <c r="S566" s="849" t="str">
        <f ca="1">IF(Q557="Matchs de CLASSEMENT","X","")</f>
        <v/>
      </c>
      <c r="T566" s="849" t="str">
        <f ca="1">IF(Q557="Matchs de CLASSEMENT","X","")</f>
        <v/>
      </c>
      <c r="U566" s="849" t="str">
        <f ca="1">IF(Q557="Matchs de CLASSEMENT","X","")</f>
        <v/>
      </c>
      <c r="V566" s="849" t="str">
        <f ca="1">IF(Q557="Matchs de CLASSEMENT","X","")</f>
        <v/>
      </c>
      <c r="W566" s="849" t="str">
        <f ca="1">IF(Q557="Matchs de CLASSEMENT","X","")</f>
        <v/>
      </c>
      <c r="X566" s="849" t="str">
        <f ca="1">IF(Q557="Matchs de CLASSEMENT","X","")</f>
        <v/>
      </c>
      <c r="Y566" s="849" t="str">
        <f ca="1">IF(Q557="Matchs de CLASSEMENT","X","")</f>
        <v/>
      </c>
      <c r="Z566" s="849" t="str">
        <f ca="1">IF(Q557="Matchs de CLASSEMENT","X","")</f>
        <v/>
      </c>
      <c r="AA566" s="849" t="str">
        <f ca="1">IF(Q557="Matchs de CLASSEMENT","X","")</f>
        <v/>
      </c>
      <c r="AB566" s="849">
        <f ca="1">IF(Q557="Matchs de CLASSEMENT","X",2)</f>
        <v>2</v>
      </c>
      <c r="AC566" s="849">
        <f ca="1">IF(Q557="Matchs de CLASSEMENT","X",1)</f>
        <v>1</v>
      </c>
      <c r="AD566" s="849">
        <f ca="1">IF(Q557="Matchs de CLASSEMENT","X",0)</f>
        <v>0</v>
      </c>
      <c r="AE566" s="849" t="str">
        <f ca="1">IF(Q557="Matchs de CLASSEMENT","X","")</f>
        <v/>
      </c>
      <c r="AF566" s="679"/>
      <c r="AG566" s="679"/>
      <c r="AH566" s="679"/>
      <c r="AI566" s="679"/>
      <c r="AJ566" s="679"/>
      <c r="AK566" s="679"/>
      <c r="AL566" s="679"/>
    </row>
    <row r="567" spans="1:38" ht="30" customHeight="1" x14ac:dyDescent="0.25">
      <c r="A567" s="846" t="s">
        <v>1285</v>
      </c>
      <c r="B567" s="948">
        <f t="shared" ca="1" si="37"/>
        <v>0</v>
      </c>
      <c r="C567" s="843"/>
      <c r="D567" s="843"/>
      <c r="E567" s="843"/>
      <c r="F567" s="843"/>
      <c r="G567" s="847"/>
      <c r="H567" s="848"/>
      <c r="I567" s="846"/>
      <c r="J567" s="843"/>
      <c r="K567" s="843"/>
      <c r="L567" s="849">
        <f ca="1">IF(Q557="Matchs de CLASSEMENT","X",2)</f>
        <v>2</v>
      </c>
      <c r="M567" s="849">
        <f ca="1">IF(Q557="Matchs de CLASSEMENT","X",1)</f>
        <v>1</v>
      </c>
      <c r="N567" s="849">
        <f ca="1">IF(Q557="Matchs de CLASSEMENT","X",0)</f>
        <v>0</v>
      </c>
      <c r="O567" s="849" t="str">
        <f ca="1">IF(Q557="Matchs de CLASSEMENT","X","")</f>
        <v/>
      </c>
      <c r="P567" s="842"/>
      <c r="Q567" s="849" t="str">
        <f ca="1">IF(Q557="Matchs de CLASSEMENT","X","V4")</f>
        <v>V4</v>
      </c>
      <c r="R567" s="948">
        <f t="shared" ca="1" si="38"/>
        <v>0</v>
      </c>
      <c r="S567" s="849" t="str">
        <f ca="1">IF(Q557="Matchs de CLASSEMENT","X","")</f>
        <v/>
      </c>
      <c r="T567" s="849" t="str">
        <f ca="1">IF(Q557="Matchs de CLASSEMENT","X","")</f>
        <v/>
      </c>
      <c r="U567" s="849" t="str">
        <f ca="1">IF(Q557="Matchs de CLASSEMENT","X","")</f>
        <v/>
      </c>
      <c r="V567" s="849" t="str">
        <f ca="1">IF(Q557="Matchs de CLASSEMENT","X","")</f>
        <v/>
      </c>
      <c r="W567" s="849" t="str">
        <f ca="1">IF(Q557="Matchs de CLASSEMENT","X","")</f>
        <v/>
      </c>
      <c r="X567" s="849" t="str">
        <f ca="1">IF(Q557="Matchs de CLASSEMENT","X","")</f>
        <v/>
      </c>
      <c r="Y567" s="849" t="str">
        <f ca="1">IF(Q557="Matchs de CLASSEMENT","X","")</f>
        <v/>
      </c>
      <c r="Z567" s="849" t="str">
        <f ca="1">IF(Q557="Matchs de CLASSEMENT","X","")</f>
        <v/>
      </c>
      <c r="AA567" s="849" t="str">
        <f ca="1">IF(Q557="Matchs de CLASSEMENT","X","")</f>
        <v/>
      </c>
      <c r="AB567" s="849">
        <f ca="1">IF(Q557="Matchs de CLASSEMENT","X",2)</f>
        <v>2</v>
      </c>
      <c r="AC567" s="849">
        <f ca="1">IF(Q557="Matchs de CLASSEMENT","X",1)</f>
        <v>1</v>
      </c>
      <c r="AD567" s="849">
        <f ca="1">IF(Q557="Matchs de CLASSEMENT","X",0)</f>
        <v>0</v>
      </c>
      <c r="AE567" s="849" t="str">
        <f ca="1">IF(Q557="Matchs de CLASSEMENT","X","")</f>
        <v/>
      </c>
      <c r="AF567" s="679"/>
      <c r="AG567" s="679"/>
      <c r="AH567" s="679"/>
      <c r="AI567" s="679"/>
      <c r="AJ567" s="679"/>
      <c r="AK567" s="679"/>
      <c r="AL567" s="679"/>
    </row>
    <row r="568" spans="1:38" ht="30" customHeight="1" x14ac:dyDescent="0.2">
      <c r="N568" s="867" t="s">
        <v>1294</v>
      </c>
      <c r="O568" s="848"/>
      <c r="AD568" s="867" t="s">
        <v>1294</v>
      </c>
      <c r="AE568" s="866"/>
      <c r="AF568" s="679"/>
      <c r="AG568" s="679"/>
      <c r="AH568" s="679"/>
      <c r="AI568" s="679"/>
      <c r="AJ568" s="679"/>
      <c r="AK568" s="679"/>
      <c r="AL568" s="679"/>
    </row>
    <row r="569" spans="1:38" ht="12.75" customHeight="1" x14ac:dyDescent="0.2">
      <c r="AE569" s="520"/>
      <c r="AF569" s="679"/>
      <c r="AG569" s="679"/>
      <c r="AH569" s="679"/>
      <c r="AI569" s="679"/>
      <c r="AJ569" s="679"/>
      <c r="AK569" s="679"/>
      <c r="AL569" s="679"/>
    </row>
    <row r="570" spans="1:38" ht="18.75" customHeight="1" x14ac:dyDescent="0.2">
      <c r="A570" s="584"/>
      <c r="B570" s="584"/>
      <c r="C570" s="701" t="s">
        <v>1289</v>
      </c>
      <c r="D570" s="249"/>
      <c r="E570" s="196"/>
      <c r="F570" s="196"/>
      <c r="G570" s="584"/>
      <c r="H570" s="1155" t="s">
        <v>1301</v>
      </c>
      <c r="I570" s="1155"/>
      <c r="J570" s="1155"/>
      <c r="K570" s="1155"/>
      <c r="L570" s="1155"/>
      <c r="M570" s="1155"/>
      <c r="N570" s="1155"/>
      <c r="O570" s="1155"/>
      <c r="P570" s="842"/>
      <c r="Q570" s="219"/>
      <c r="R570" s="219"/>
      <c r="S570" s="701" t="s">
        <v>1289</v>
      </c>
      <c r="T570" s="249"/>
      <c r="U570" s="196"/>
      <c r="V570" s="196"/>
      <c r="X570" s="1155" t="s">
        <v>1304</v>
      </c>
      <c r="Y570" s="1155"/>
      <c r="Z570" s="1155"/>
      <c r="AA570" s="1155"/>
      <c r="AB570" s="1155"/>
      <c r="AC570" s="1155"/>
      <c r="AD570" s="1155"/>
      <c r="AE570" s="1155"/>
      <c r="AF570" s="679"/>
      <c r="AG570" s="679"/>
      <c r="AH570" s="679"/>
      <c r="AI570" s="679"/>
      <c r="AJ570" s="679"/>
      <c r="AK570" s="679"/>
      <c r="AL570" s="679"/>
    </row>
    <row r="571" spans="1:38" ht="32.25" customHeight="1" x14ac:dyDescent="0.2">
      <c r="A571" s="584"/>
      <c r="B571" s="584"/>
      <c r="C571" s="850"/>
      <c r="D571" s="851"/>
      <c r="E571" s="852"/>
      <c r="F571" s="852"/>
      <c r="G571" s="584"/>
      <c r="H571" s="1149" t="s">
        <v>549</v>
      </c>
      <c r="I571" s="1149"/>
      <c r="J571" s="1149"/>
      <c r="K571" s="1149"/>
      <c r="L571" s="1149"/>
      <c r="M571" s="1146" t="s">
        <v>550</v>
      </c>
      <c r="N571" s="1147"/>
      <c r="O571" s="1148"/>
      <c r="P571" s="842"/>
      <c r="Q571" s="219"/>
      <c r="R571" s="219"/>
      <c r="S571" s="850"/>
      <c r="T571" s="851"/>
      <c r="U571" s="852"/>
      <c r="V571" s="852"/>
      <c r="X571" s="1149" t="s">
        <v>549</v>
      </c>
      <c r="Y571" s="1149"/>
      <c r="Z571" s="1149"/>
      <c r="AA571" s="1149"/>
      <c r="AB571" s="1149"/>
      <c r="AC571" s="1146" t="s">
        <v>550</v>
      </c>
      <c r="AD571" s="1147"/>
      <c r="AE571" s="1148"/>
      <c r="AG571" s="679"/>
      <c r="AH571" s="679"/>
      <c r="AI571" s="679"/>
      <c r="AJ571" s="679"/>
      <c r="AK571" s="679"/>
      <c r="AL571" s="679"/>
    </row>
    <row r="572" spans="1:38" ht="32.25" customHeight="1" x14ac:dyDescent="0.2">
      <c r="A572" s="584"/>
      <c r="B572" s="584"/>
      <c r="C572" s="850"/>
      <c r="D572" s="851"/>
      <c r="E572" s="852"/>
      <c r="F572" s="852"/>
      <c r="G572" s="584"/>
      <c r="H572" s="1140" t="str">
        <f ca="1">IFERROR(VLOOKUP(X553,Num_AS,6,FALSE)&amp;" "&amp;VLOOKUP(X553,Num_AS,7,FALSE),"")</f>
        <v/>
      </c>
      <c r="I572" s="1140"/>
      <c r="J572" s="1140"/>
      <c r="K572" s="1140"/>
      <c r="L572" s="1140"/>
      <c r="M572" s="1129" t="str">
        <f ca="1">IFERROR(VLOOKUP(X553,Num_AS,9,FALSE),"")</f>
        <v/>
      </c>
      <c r="N572" s="1130"/>
      <c r="O572" s="1131"/>
      <c r="P572" s="842"/>
      <c r="Q572" s="219"/>
      <c r="R572" s="219"/>
      <c r="S572" s="850"/>
      <c r="T572" s="851"/>
      <c r="U572" s="852"/>
      <c r="V572" s="852"/>
      <c r="W572" s="196"/>
      <c r="X572" s="1140" t="str">
        <f ca="1">IFERROR(VLOOKUP(Z553,Num_AS,6,FALSE)&amp;" "&amp;VLOOKUP(Z553,Num_AS,7,FALSE),"")</f>
        <v/>
      </c>
      <c r="Y572" s="1140"/>
      <c r="Z572" s="1140"/>
      <c r="AA572" s="1140"/>
      <c r="AB572" s="1140"/>
      <c r="AC572" s="1129" t="str">
        <f ca="1">IFERROR(VLOOKUP(Z553,Num_AS,9,FALSE),"")</f>
        <v/>
      </c>
      <c r="AD572" s="1130"/>
      <c r="AE572" s="1131"/>
    </row>
    <row r="573" spans="1:38" ht="32.25" customHeight="1" x14ac:dyDescent="0.2">
      <c r="A573" s="584"/>
      <c r="B573" s="584"/>
      <c r="C573" s="850"/>
      <c r="D573" s="851"/>
      <c r="E573" s="852"/>
      <c r="F573" s="852"/>
      <c r="G573" s="584"/>
      <c r="H573" s="1140" t="str">
        <f ca="1">IFERROR(VLOOKUP(X553,Num_AS,12,FALSE)&amp;" "&amp;VLOOKUP(X553,Num_AS,13,FALSE),"")</f>
        <v/>
      </c>
      <c r="I573" s="1140"/>
      <c r="J573" s="1140"/>
      <c r="K573" s="1140"/>
      <c r="L573" s="1140"/>
      <c r="M573" s="1129" t="str">
        <f ca="1">IFERROR(VLOOKUP(X553,Num_AS,15,FALSE),"")</f>
        <v/>
      </c>
      <c r="N573" s="1130"/>
      <c r="O573" s="1131">
        <f ca="1">G555</f>
        <v>0</v>
      </c>
      <c r="P573" s="842"/>
      <c r="Q573" s="219"/>
      <c r="R573" s="219"/>
      <c r="S573" s="850"/>
      <c r="T573" s="851"/>
      <c r="U573" s="852"/>
      <c r="V573" s="852"/>
      <c r="W573" s="196"/>
      <c r="X573" s="1140" t="str">
        <f ca="1">IFERROR(VLOOKUP(Z553,Num_AS,12,FALSE)&amp;" "&amp;VLOOKUP(Z553,Num_AS,13,FALSE),"")</f>
        <v/>
      </c>
      <c r="Y573" s="1140"/>
      <c r="Z573" s="1140"/>
      <c r="AA573" s="1140"/>
      <c r="AB573" s="1140"/>
      <c r="AC573" s="1129" t="str">
        <f ca="1">IFERROR(VLOOKUP(Z553,Num_AS,15,FALSE),"")</f>
        <v/>
      </c>
      <c r="AD573" s="1130"/>
      <c r="AE573" s="1131">
        <f>W555</f>
        <v>0</v>
      </c>
    </row>
    <row r="574" spans="1:38" ht="32.25" customHeight="1" x14ac:dyDescent="0.2">
      <c r="A574" s="584"/>
      <c r="B574" s="584"/>
      <c r="C574" s="584"/>
      <c r="D574" s="584"/>
      <c r="E574" s="584"/>
      <c r="F574" s="584"/>
      <c r="G574" s="584"/>
      <c r="H574" s="1140" t="str">
        <f ca="1">IFERROR(VLOOKUP(X553,Num_AS,18,FALSE)&amp;" "&amp;VLOOKUP(X553,Num_AS,19,FALSE),"")</f>
        <v/>
      </c>
      <c r="I574" s="1140"/>
      <c r="J574" s="1140"/>
      <c r="K574" s="1140"/>
      <c r="L574" s="1140"/>
      <c r="M574" s="1129" t="str">
        <f ca="1">IFERROR(VLOOKUP(X553,Num_AS,21,FALSE),"")</f>
        <v/>
      </c>
      <c r="N574" s="1130"/>
      <c r="O574" s="1131">
        <f ca="1">G555</f>
        <v>0</v>
      </c>
      <c r="P574" s="842"/>
      <c r="Q574" s="219"/>
      <c r="R574" s="219"/>
      <c r="S574" s="584"/>
      <c r="T574" s="584"/>
      <c r="U574" s="584"/>
      <c r="V574" s="584"/>
      <c r="W574" s="196"/>
      <c r="X574" s="1140" t="str">
        <f ca="1">IFERROR(VLOOKUP(Z553,Num_AS,18,FALSE)&amp;" "&amp;VLOOKUP(Z553,Num_AS,19,FALSE),"")</f>
        <v/>
      </c>
      <c r="Y574" s="1140"/>
      <c r="Z574" s="1140"/>
      <c r="AA574" s="1140"/>
      <c r="AB574" s="1140"/>
      <c r="AC574" s="1129" t="str">
        <f ca="1">IFERROR(VLOOKUP(Z553,Num_AS,21,FALSE),"")</f>
        <v/>
      </c>
      <c r="AD574" s="1130"/>
      <c r="AE574" s="1131">
        <f>W555</f>
        <v>0</v>
      </c>
    </row>
    <row r="575" spans="1:38" ht="32.25" customHeight="1" x14ac:dyDescent="0.2">
      <c r="A575" s="584"/>
      <c r="B575" s="584"/>
      <c r="C575" s="862"/>
      <c r="D575" s="1141" t="s">
        <v>1292</v>
      </c>
      <c r="E575" s="1142"/>
      <c r="F575" s="1143"/>
      <c r="G575" s="584"/>
      <c r="H575" s="1140" t="str">
        <f ca="1">IFERROR(VLOOKUP(X553,Num_AS,24,FALSE)&amp;" "&amp;VLOOKUP(X553,Num_AS,25,FALSE),"")</f>
        <v/>
      </c>
      <c r="I575" s="1140"/>
      <c r="J575" s="1140"/>
      <c r="K575" s="1140"/>
      <c r="L575" s="1140"/>
      <c r="M575" s="1129" t="str">
        <f ca="1">IFERROR(VLOOKUP(X553,Num_AS,9,FALSE),"")</f>
        <v/>
      </c>
      <c r="N575" s="1130"/>
      <c r="O575" s="1131">
        <f ca="1">G555</f>
        <v>0</v>
      </c>
      <c r="P575" s="842"/>
      <c r="Q575" s="219"/>
      <c r="R575" s="219"/>
      <c r="S575" s="862"/>
      <c r="T575" s="1141" t="s">
        <v>1292</v>
      </c>
      <c r="U575" s="1142"/>
      <c r="V575" s="1143"/>
      <c r="W575" s="196"/>
      <c r="X575" s="1140" t="str">
        <f ca="1">IFERROR(VLOOKUP(Z553,Num_AS,24,FALSE)&amp;" "&amp;VLOOKUP(Z553,Num_AS,25,FALSE),"")</f>
        <v/>
      </c>
      <c r="Y575" s="1140"/>
      <c r="Z575" s="1140"/>
      <c r="AA575" s="1140"/>
      <c r="AB575" s="1140"/>
      <c r="AC575" s="1129" t="str">
        <f ca="1">IFERROR(VLOOKUP(Z553,Num_AS,9,FALSE),"")</f>
        <v/>
      </c>
      <c r="AD575" s="1130"/>
      <c r="AE575" s="1131">
        <f>W555</f>
        <v>0</v>
      </c>
    </row>
    <row r="576" spans="1:38" ht="18.75" customHeight="1" thickBot="1" x14ac:dyDescent="0.25">
      <c r="A576" s="701"/>
      <c r="B576" s="701"/>
      <c r="C576" s="249"/>
      <c r="D576" s="249"/>
      <c r="E576" s="249"/>
      <c r="F576" s="701"/>
      <c r="G576" s="701"/>
      <c r="H576" s="196"/>
      <c r="I576" s="196"/>
      <c r="J576" s="249"/>
      <c r="K576" s="219"/>
      <c r="L576" s="219"/>
      <c r="M576" s="219"/>
      <c r="N576" s="219"/>
      <c r="O576" s="219"/>
      <c r="P576" s="219"/>
      <c r="Q576" s="219"/>
      <c r="R576" s="219"/>
      <c r="S576" s="219"/>
      <c r="T576" s="219"/>
      <c r="U576" s="219"/>
      <c r="V576" s="219"/>
      <c r="W576" s="219"/>
      <c r="X576" s="219"/>
      <c r="Y576" s="249"/>
      <c r="Z576" s="219"/>
      <c r="AE576" s="520"/>
    </row>
    <row r="577" spans="1:44" ht="32.25" customHeight="1" x14ac:dyDescent="0.25">
      <c r="A577" s="701"/>
      <c r="B577" s="701"/>
      <c r="D577" s="875" t="s">
        <v>1002</v>
      </c>
      <c r="E577" s="876"/>
      <c r="F577" s="876"/>
      <c r="G577" s="876"/>
      <c r="H577" s="876"/>
      <c r="I577" s="876"/>
      <c r="J577" s="876"/>
      <c r="K577" s="876"/>
      <c r="L577" s="876"/>
      <c r="M577" s="877" t="s">
        <v>1297</v>
      </c>
      <c r="N577" s="219"/>
      <c r="O577" s="1132" t="s">
        <v>1293</v>
      </c>
      <c r="P577" s="1133"/>
      <c r="Q577" s="1134"/>
      <c r="R577" s="941"/>
      <c r="T577" s="875" t="s">
        <v>1002</v>
      </c>
      <c r="U577" s="876"/>
      <c r="V577" s="876"/>
      <c r="W577" s="876"/>
      <c r="X577" s="876"/>
      <c r="Y577" s="876"/>
      <c r="Z577" s="876"/>
      <c r="AA577" s="876"/>
      <c r="AB577" s="876"/>
      <c r="AC577" s="877" t="s">
        <v>1296</v>
      </c>
      <c r="AE577" s="520"/>
    </row>
    <row r="578" spans="1:44" ht="70.5" customHeight="1" thickBot="1" x14ac:dyDescent="0.25">
      <c r="A578" s="701"/>
      <c r="B578" s="701"/>
      <c r="D578" s="878"/>
      <c r="E578" s="879"/>
      <c r="F578" s="879"/>
      <c r="G578" s="879"/>
      <c r="H578" s="879"/>
      <c r="I578" s="879"/>
      <c r="J578" s="879"/>
      <c r="K578" s="879"/>
      <c r="L578" s="879"/>
      <c r="M578" s="880"/>
      <c r="N578" s="219"/>
      <c r="O578" s="1135"/>
      <c r="P578" s="1136"/>
      <c r="Q578" s="1137"/>
      <c r="R578" s="941"/>
      <c r="T578" s="878"/>
      <c r="U578" s="879"/>
      <c r="V578" s="879"/>
      <c r="W578" s="879"/>
      <c r="X578" s="879"/>
      <c r="Y578" s="879"/>
      <c r="Z578" s="879"/>
      <c r="AA578" s="879"/>
      <c r="AB578" s="879"/>
      <c r="AC578" s="880"/>
      <c r="AE578" s="520"/>
    </row>
    <row r="579" spans="1:44" ht="6.75" customHeight="1" x14ac:dyDescent="0.25">
      <c r="A579" s="701"/>
      <c r="B579" s="701"/>
      <c r="C579" s="249"/>
      <c r="D579" s="249"/>
      <c r="E579" s="249"/>
      <c r="F579" s="701"/>
      <c r="G579" s="701"/>
      <c r="H579" s="196"/>
      <c r="I579" s="196"/>
      <c r="J579" s="249"/>
      <c r="K579" s="219"/>
      <c r="L579" s="842"/>
      <c r="M579" s="842"/>
      <c r="N579" s="842"/>
      <c r="O579" s="842"/>
      <c r="P579" s="842"/>
      <c r="Q579" s="842"/>
      <c r="R579" s="842"/>
      <c r="T579" s="845"/>
      <c r="U579" s="842"/>
      <c r="V579" s="842"/>
      <c r="W579" s="649"/>
      <c r="X579" s="845"/>
      <c r="Y579" s="842"/>
      <c r="Z579" s="842"/>
      <c r="AE579" s="520"/>
    </row>
    <row r="580" spans="1:44" ht="27.75" customHeight="1" x14ac:dyDescent="0.2">
      <c r="A580" s="701"/>
      <c r="B580" s="701"/>
      <c r="C580" s="1138" t="s">
        <v>1300</v>
      </c>
      <c r="D580" s="1138"/>
      <c r="E580" s="1138"/>
      <c r="F580" s="1138"/>
      <c r="G580" s="1138"/>
      <c r="H580" s="1138"/>
      <c r="I580" s="1138"/>
      <c r="J580" s="1138"/>
      <c r="K580" s="1138"/>
      <c r="L580" s="1138"/>
      <c r="M580" s="1138"/>
      <c r="N580" s="1138"/>
      <c r="O580" s="1138"/>
      <c r="P580" s="842"/>
      <c r="Q580" s="1139" t="s">
        <v>1303</v>
      </c>
      <c r="R580" s="1139"/>
      <c r="S580" s="1139"/>
      <c r="T580" s="1139"/>
      <c r="U580" s="1139"/>
      <c r="V580" s="1139"/>
      <c r="W580" s="1139"/>
      <c r="X580" s="1139"/>
      <c r="Y580" s="1139"/>
      <c r="Z580" s="1139"/>
      <c r="AA580" s="1139"/>
      <c r="AB580" s="1139"/>
      <c r="AC580" s="1139"/>
      <c r="AD580" s="1139"/>
      <c r="AE580" s="1139"/>
    </row>
    <row r="581" spans="1:44" ht="36" customHeight="1" x14ac:dyDescent="0.2">
      <c r="AE581" s="520"/>
    </row>
    <row r="582" spans="1:44" ht="19.5" customHeight="1" thickBot="1" x14ac:dyDescent="0.25">
      <c r="W582" s="500"/>
      <c r="X582" s="520">
        <f ca="1">INDIRECT("AE"&amp;Y582)</f>
        <v>0</v>
      </c>
      <c r="Y582" s="500">
        <f>Z583+2</f>
        <v>22</v>
      </c>
      <c r="Z582" s="501">
        <f ca="1">INDIRECT("AF"&amp;Y582)</f>
        <v>0</v>
      </c>
      <c r="AA582" s="500"/>
      <c r="AB582" s="500"/>
      <c r="AD582" s="679"/>
      <c r="AE582" s="679"/>
      <c r="AF582" s="679"/>
      <c r="AG582" s="679"/>
      <c r="AH582" s="679"/>
      <c r="AI582" s="679"/>
      <c r="AJ582" s="679"/>
      <c r="AK582" s="679"/>
      <c r="AL582" s="679"/>
    </row>
    <row r="583" spans="1:44" s="218" customFormat="1" ht="36" thickBot="1" x14ac:dyDescent="0.25">
      <c r="F583" s="576" t="s">
        <v>546</v>
      </c>
      <c r="G583" s="865" t="str">
        <f>G554</f>
        <v>D1</v>
      </c>
      <c r="I583" s="863" t="str">
        <f>"   "&amp;Championnat</f>
        <v xml:space="preserve">   Championnat de France de Tir à l'ARC</v>
      </c>
      <c r="T583" s="197"/>
      <c r="U583" s="197"/>
      <c r="V583" s="197"/>
      <c r="W583" s="197"/>
      <c r="Y583" s="502" t="s">
        <v>849</v>
      </c>
      <c r="Z583" s="503">
        <f>Z554+1</f>
        <v>20</v>
      </c>
      <c r="AB583" s="254"/>
      <c r="AC583" s="254"/>
      <c r="AD583" s="681"/>
      <c r="AE583" s="680"/>
      <c r="AF583" s="681"/>
      <c r="AH583" s="662"/>
      <c r="AI583" s="662"/>
      <c r="AJ583" s="662"/>
      <c r="AK583" s="662"/>
      <c r="AL583" s="662"/>
      <c r="AM583" s="217"/>
      <c r="AN583" s="217"/>
      <c r="AO583" s="217"/>
      <c r="AP583" s="217"/>
      <c r="AQ583" s="217"/>
      <c r="AR583" s="217"/>
    </row>
    <row r="584" spans="1:44" ht="36" thickBot="1" x14ac:dyDescent="0.25">
      <c r="F584" s="661" t="s">
        <v>628</v>
      </c>
      <c r="G584" s="660">
        <f ca="1">INDIRECT("AD"&amp;Y582)</f>
        <v>0</v>
      </c>
      <c r="I584" s="706" t="str">
        <f>CATEG_IMPORTEE</f>
        <v>Collèges Mixtes Etablissement</v>
      </c>
      <c r="S584" s="864" t="str">
        <f>LIEU&amp;" du "&amp;DATE</f>
        <v>L’Isle sur la Sorgue du 27 au 31 mars 2023</v>
      </c>
      <c r="AB584" s="254"/>
      <c r="AC584" s="254"/>
      <c r="AD584" s="681"/>
      <c r="AE584" s="680"/>
      <c r="AF584" s="681"/>
      <c r="AG584" s="679"/>
      <c r="AH584" s="679"/>
      <c r="AI584" s="679"/>
      <c r="AJ584" s="679"/>
      <c r="AK584" s="679"/>
      <c r="AL584" s="679"/>
    </row>
    <row r="585" spans="1:44" ht="24" customHeight="1" x14ac:dyDescent="0.2">
      <c r="A585" s="1075" t="s">
        <v>0</v>
      </c>
      <c r="B585" s="1075"/>
      <c r="C585" s="1075"/>
      <c r="D585" s="1075"/>
      <c r="E585" s="1075"/>
      <c r="F585" s="1075"/>
      <c r="G585" s="1075"/>
      <c r="H585" s="1075"/>
      <c r="I585" s="1075"/>
      <c r="J585" s="1075"/>
      <c r="Q585" s="1075" t="s">
        <v>0</v>
      </c>
      <c r="R585" s="1075"/>
      <c r="S585" s="1075"/>
      <c r="T585" s="1075"/>
      <c r="U585" s="1075"/>
      <c r="V585" s="1075"/>
      <c r="W585" s="1075"/>
      <c r="X585" s="1075"/>
      <c r="Y585" s="1075"/>
      <c r="Z585" s="1075"/>
      <c r="AB585" s="254"/>
      <c r="AC585" s="254"/>
      <c r="AD585" s="681"/>
      <c r="AE585" s="680"/>
      <c r="AF585" s="681"/>
      <c r="AG585" s="679"/>
      <c r="AH585" s="679"/>
      <c r="AI585" s="679"/>
      <c r="AJ585" s="679"/>
      <c r="AK585" s="679"/>
      <c r="AL585" s="679"/>
    </row>
    <row r="586" spans="1:44" ht="31.5" customHeight="1" x14ac:dyDescent="0.2">
      <c r="A586" s="1144" t="str">
        <f ca="1">IFERROR(VLOOKUP(X582,Num_AS,2,FALSE),"")</f>
        <v/>
      </c>
      <c r="B586" s="1144"/>
      <c r="C586" s="1144"/>
      <c r="D586" s="1144"/>
      <c r="E586" s="1144"/>
      <c r="F586" s="1144"/>
      <c r="G586" s="1144"/>
      <c r="H586" s="1144"/>
      <c r="I586" s="1144"/>
      <c r="J586" s="1144"/>
      <c r="K586" s="869" t="s">
        <v>1299</v>
      </c>
      <c r="L586" s="1145" t="s">
        <v>547</v>
      </c>
      <c r="M586" s="1145"/>
      <c r="N586" s="1145"/>
      <c r="O586" s="870" t="s">
        <v>1298</v>
      </c>
      <c r="Q586" s="1144" t="str">
        <f ca="1">IFERROR(VLOOKUP(Z582,Num_AS,2,FALSE),"")</f>
        <v/>
      </c>
      <c r="R586" s="1144"/>
      <c r="S586" s="1144"/>
      <c r="T586" s="1144"/>
      <c r="U586" s="1144"/>
      <c r="V586" s="1144"/>
      <c r="W586" s="1144"/>
      <c r="X586" s="1144"/>
      <c r="Y586" s="1144"/>
      <c r="Z586" s="1144"/>
      <c r="AB586" s="254"/>
      <c r="AC586" s="254"/>
      <c r="AD586" s="681"/>
      <c r="AE586" s="680"/>
      <c r="AF586" s="681"/>
      <c r="AG586" s="679"/>
      <c r="AH586" s="679"/>
      <c r="AI586" s="679"/>
      <c r="AJ586" s="679"/>
      <c r="AK586" s="679"/>
      <c r="AL586" s="679"/>
    </row>
    <row r="587" spans="1:44" ht="20.100000000000001" customHeight="1" thickBot="1" x14ac:dyDescent="0.25">
      <c r="A587" s="1124" t="s">
        <v>1006</v>
      </c>
      <c r="B587" s="1124"/>
      <c r="C587" s="1125"/>
      <c r="D587" s="1125"/>
      <c r="E587" s="1125"/>
      <c r="F587" s="1125"/>
      <c r="G587" s="1125"/>
      <c r="H587" s="1125"/>
      <c r="I587" s="1125"/>
      <c r="J587" s="1125"/>
      <c r="L587" s="871"/>
      <c r="M587" s="871"/>
      <c r="N587" s="871"/>
      <c r="Q587" s="1124" t="s">
        <v>1005</v>
      </c>
      <c r="R587" s="1124"/>
      <c r="S587" s="1125"/>
      <c r="T587" s="1125"/>
      <c r="U587" s="1125"/>
      <c r="V587" s="1125"/>
      <c r="W587" s="1125"/>
      <c r="X587" s="1125"/>
      <c r="Y587" s="1125"/>
      <c r="Z587" s="1125"/>
      <c r="AB587" s="254"/>
      <c r="AC587" s="254"/>
      <c r="AD587" s="681"/>
      <c r="AE587" s="680"/>
      <c r="AF587" s="681"/>
      <c r="AG587" s="679"/>
      <c r="AH587" s="679"/>
      <c r="AI587" s="679"/>
      <c r="AJ587" s="679"/>
      <c r="AK587" s="679"/>
      <c r="AL587" s="679"/>
    </row>
    <row r="588" spans="1:44" ht="27.75" customHeight="1" x14ac:dyDescent="0.2">
      <c r="A588" s="1117" t="str">
        <f ca="1">IFERROR(VLOOKUP(X582,Num_AS,3,FALSE),"")</f>
        <v/>
      </c>
      <c r="B588" s="1150"/>
      <c r="C588" s="1118"/>
      <c r="D588" s="1151"/>
      <c r="E588" s="1151"/>
      <c r="F588" s="1151"/>
      <c r="G588" s="1151"/>
      <c r="H588" s="1151"/>
      <c r="I588" s="1151"/>
      <c r="J588" s="1119"/>
      <c r="O588" s="219"/>
      <c r="P588" s="219"/>
      <c r="Q588" s="1117" t="str">
        <f ca="1">IFERROR(VLOOKUP(Z582,Num_AS,3,FALSE),"")</f>
        <v/>
      </c>
      <c r="R588" s="1150"/>
      <c r="S588" s="1118"/>
      <c r="T588" s="1151"/>
      <c r="U588" s="1151"/>
      <c r="V588" s="1151"/>
      <c r="W588" s="1151"/>
      <c r="X588" s="1151"/>
      <c r="Y588" s="1151"/>
      <c r="Z588" s="1119"/>
      <c r="AB588" s="254"/>
      <c r="AC588" s="254"/>
      <c r="AD588" s="681"/>
      <c r="AE588" s="680"/>
      <c r="AF588" s="681"/>
      <c r="AG588" s="679"/>
      <c r="AH588" s="679"/>
      <c r="AI588" s="679"/>
      <c r="AJ588" s="679"/>
      <c r="AK588" s="679"/>
      <c r="AL588" s="679"/>
    </row>
    <row r="589" spans="1:44" ht="27.75" customHeight="1" thickBot="1" x14ac:dyDescent="0.25">
      <c r="A589" s="1107" t="str">
        <f ca="1">IFERROR(VLOOKUP(X582,Num_AS,4,FALSE),"")</f>
        <v/>
      </c>
      <c r="B589" s="1152"/>
      <c r="C589" s="1108"/>
      <c r="D589" s="1153"/>
      <c r="E589" s="1153"/>
      <c r="F589" s="1153"/>
      <c r="G589" s="1153"/>
      <c r="H589" s="1153"/>
      <c r="I589" s="1153"/>
      <c r="J589" s="1109"/>
      <c r="Q589" s="1107" t="str">
        <f ca="1">IFERROR(VLOOKUP(Z582,Num_AS,4,FALSE),"")</f>
        <v/>
      </c>
      <c r="R589" s="1152"/>
      <c r="S589" s="1108"/>
      <c r="T589" s="1153"/>
      <c r="U589" s="1153"/>
      <c r="V589" s="1153"/>
      <c r="W589" s="1153"/>
      <c r="X589" s="1153"/>
      <c r="Y589" s="1153"/>
      <c r="Z589" s="1109"/>
      <c r="AB589" s="254"/>
      <c r="AC589" s="254"/>
      <c r="AD589" s="681"/>
      <c r="AE589" s="680"/>
      <c r="AF589" s="681"/>
      <c r="AG589" s="679"/>
      <c r="AH589" s="679"/>
      <c r="AI589" s="679"/>
      <c r="AJ589" s="679"/>
      <c r="AK589" s="679"/>
      <c r="AL589" s="679"/>
    </row>
    <row r="590" spans="1:44" ht="36" customHeight="1" thickBot="1" x14ac:dyDescent="0.25">
      <c r="A590" s="1156" t="s">
        <v>1330</v>
      </c>
      <c r="B590" s="1157"/>
      <c r="C590" s="1157"/>
      <c r="D590" s="1158"/>
      <c r="E590" s="947">
        <f ca="1">VLOOKUP(A586&amp;A588,PTS_SP,3,FALSE)</f>
        <v>0</v>
      </c>
      <c r="Q590" s="1156" t="s">
        <v>1330</v>
      </c>
      <c r="R590" s="1157"/>
      <c r="S590" s="1157"/>
      <c r="T590" s="1158"/>
      <c r="U590" s="947">
        <f ca="1">VLOOKUP(Q586&amp;Q588,PTS_SP,3,FALSE)</f>
        <v>0</v>
      </c>
      <c r="AB590" s="254"/>
      <c r="AC590" s="254"/>
      <c r="AD590" s="681"/>
      <c r="AE590" s="680"/>
      <c r="AF590" s="681"/>
      <c r="AG590" s="679"/>
      <c r="AH590" s="679"/>
      <c r="AI590" s="679"/>
      <c r="AJ590" s="679"/>
      <c r="AK590" s="679"/>
      <c r="AL590" s="679"/>
    </row>
    <row r="591" spans="1:44" ht="38.25" customHeight="1" x14ac:dyDescent="0.2">
      <c r="A591" s="701"/>
      <c r="B591" s="701"/>
      <c r="C591" s="853"/>
      <c r="D591" s="861" t="s">
        <v>1290</v>
      </c>
      <c r="E591" s="853"/>
      <c r="F591" s="854"/>
      <c r="G591" s="854"/>
      <c r="H591" s="872" t="s">
        <v>1295</v>
      </c>
      <c r="I591" s="855"/>
      <c r="J591" s="853"/>
      <c r="K591" s="853"/>
      <c r="L591" s="853"/>
      <c r="M591" s="859"/>
      <c r="N591" s="860" t="s">
        <v>1291</v>
      </c>
      <c r="O591" s="853"/>
      <c r="P591" s="249"/>
      <c r="Q591" s="701"/>
      <c r="R591" s="701"/>
      <c r="S591" s="853"/>
      <c r="T591" s="861" t="s">
        <v>1290</v>
      </c>
      <c r="U591" s="853"/>
      <c r="V591" s="854"/>
      <c r="W591" s="854"/>
      <c r="X591" s="872" t="s">
        <v>1302</v>
      </c>
      <c r="Y591" s="855"/>
      <c r="Z591" s="853"/>
      <c r="AA591" s="853"/>
      <c r="AB591" s="853"/>
      <c r="AC591" s="859"/>
      <c r="AD591" s="860" t="s">
        <v>1291</v>
      </c>
      <c r="AE591" s="853"/>
      <c r="AF591" s="681"/>
      <c r="AG591" s="681"/>
      <c r="AH591" s="681"/>
      <c r="AI591" s="681"/>
      <c r="AJ591" s="679"/>
      <c r="AK591" s="679"/>
      <c r="AL591" s="679"/>
    </row>
    <row r="592" spans="1:44" ht="38.25" customHeight="1" x14ac:dyDescent="0.2">
      <c r="A592" s="856" t="s">
        <v>509</v>
      </c>
      <c r="B592" s="942" t="s">
        <v>1329</v>
      </c>
      <c r="C592" s="857">
        <v>1</v>
      </c>
      <c r="D592" s="857">
        <v>2</v>
      </c>
      <c r="E592" s="857">
        <v>3</v>
      </c>
      <c r="F592" s="857">
        <v>4</v>
      </c>
      <c r="G592" s="857">
        <v>5</v>
      </c>
      <c r="H592" s="857">
        <v>6</v>
      </c>
      <c r="I592" s="857">
        <v>7</v>
      </c>
      <c r="J592" s="857">
        <v>8</v>
      </c>
      <c r="K592" s="858" t="s">
        <v>1286</v>
      </c>
      <c r="L592" s="1154" t="s">
        <v>1287</v>
      </c>
      <c r="M592" s="1154"/>
      <c r="N592" s="1154"/>
      <c r="O592" s="858" t="s">
        <v>1288</v>
      </c>
      <c r="P592" s="844"/>
      <c r="Q592" s="856" t="s">
        <v>509</v>
      </c>
      <c r="R592" s="942" t="s">
        <v>1329</v>
      </c>
      <c r="S592" s="857">
        <v>1</v>
      </c>
      <c r="T592" s="857">
        <v>2</v>
      </c>
      <c r="U592" s="857">
        <v>3</v>
      </c>
      <c r="V592" s="857">
        <v>4</v>
      </c>
      <c r="W592" s="857">
        <v>5</v>
      </c>
      <c r="X592" s="857">
        <v>6</v>
      </c>
      <c r="Y592" s="857">
        <v>7</v>
      </c>
      <c r="Z592" s="857">
        <v>8</v>
      </c>
      <c r="AA592" s="858" t="s">
        <v>1286</v>
      </c>
      <c r="AB592" s="1154" t="s">
        <v>1287</v>
      </c>
      <c r="AC592" s="1154"/>
      <c r="AD592" s="1154"/>
      <c r="AE592" s="858" t="s">
        <v>1288</v>
      </c>
      <c r="AF592" s="681"/>
      <c r="AG592" s="681"/>
      <c r="AH592" s="681"/>
      <c r="AI592" s="681"/>
      <c r="AJ592" s="679"/>
      <c r="AK592" s="679"/>
      <c r="AL592" s="679"/>
    </row>
    <row r="593" spans="1:38" ht="30" customHeight="1" x14ac:dyDescent="0.25">
      <c r="A593" s="846" t="s">
        <v>1282</v>
      </c>
      <c r="B593" s="948">
        <f ca="1">E590</f>
        <v>0</v>
      </c>
      <c r="C593" s="843"/>
      <c r="D593" s="843"/>
      <c r="E593" s="843"/>
      <c r="F593" s="843"/>
      <c r="G593" s="847"/>
      <c r="H593" s="848"/>
      <c r="I593" s="846"/>
      <c r="J593" s="843"/>
      <c r="K593" s="843"/>
      <c r="L593" s="849">
        <f ca="1">IF(Q586="Matchs de CLASSEMENT","X",2)</f>
        <v>2</v>
      </c>
      <c r="M593" s="849">
        <f ca="1">IF(Q586="Matchs de CLASSEMENT","X",1)</f>
        <v>1</v>
      </c>
      <c r="N593" s="849">
        <f ca="1">IF(Q586="Matchs de CLASSEMENT","X",0)</f>
        <v>0</v>
      </c>
      <c r="O593" s="849" t="str">
        <f ca="1">IF(Q586="Matchs de CLASSEMENT","X","")</f>
        <v/>
      </c>
      <c r="P593" s="842"/>
      <c r="Q593" s="849" t="str">
        <f ca="1">IF(Q586="Matchs de CLASSEMENT","X","V1")</f>
        <v>V1</v>
      </c>
      <c r="R593" s="948">
        <f ca="1">U590</f>
        <v>0</v>
      </c>
      <c r="S593" s="849" t="str">
        <f ca="1">IF(Q586="Matchs de CLASSEMENT","X","")</f>
        <v/>
      </c>
      <c r="T593" s="849" t="str">
        <f ca="1">IF(Q586="Matchs de CLASSEMENT","X","")</f>
        <v/>
      </c>
      <c r="U593" s="849" t="str">
        <f ca="1">IF(Q586="Matchs de CLASSEMENT","X","")</f>
        <v/>
      </c>
      <c r="V593" s="849" t="str">
        <f ca="1">IF(Q586="Matchs de CLASSEMENT","X","")</f>
        <v/>
      </c>
      <c r="W593" s="849" t="str">
        <f ca="1">IF(Q586="Matchs de CLASSEMENT","X","")</f>
        <v/>
      </c>
      <c r="X593" s="849" t="str">
        <f ca="1">IF(Q586="Matchs de CLASSEMENT","X","")</f>
        <v/>
      </c>
      <c r="Y593" s="849" t="str">
        <f ca="1">IF(Q586="Matchs de CLASSEMENT","X","")</f>
        <v/>
      </c>
      <c r="Z593" s="849" t="str">
        <f ca="1">IF(Q586="Matchs de CLASSEMENT","X","")</f>
        <v/>
      </c>
      <c r="AA593" s="849" t="str">
        <f ca="1">IF(Q586="Matchs de CLASSEMENT","X","")</f>
        <v/>
      </c>
      <c r="AB593" s="849">
        <f ca="1">IF(Q586="Matchs de CLASSEMENT","X",2)</f>
        <v>2</v>
      </c>
      <c r="AC593" s="849">
        <f ca="1">IF(Q586="Matchs de CLASSEMENT","X",1)</f>
        <v>1</v>
      </c>
      <c r="AD593" s="849">
        <f ca="1">IF(Q586="Matchs de CLASSEMENT","X",0)</f>
        <v>0</v>
      </c>
      <c r="AE593" s="849" t="str">
        <f ca="1">IF(Q586="Matchs de CLASSEMENT","X","")</f>
        <v/>
      </c>
      <c r="AF593" s="679"/>
      <c r="AG593" s="679"/>
      <c r="AH593" s="679"/>
      <c r="AI593" s="679"/>
      <c r="AJ593" s="679"/>
      <c r="AK593" s="679"/>
      <c r="AL593" s="679"/>
    </row>
    <row r="594" spans="1:38" ht="30" customHeight="1" x14ac:dyDescent="0.25">
      <c r="A594" s="846" t="s">
        <v>1283</v>
      </c>
      <c r="B594" s="948">
        <f ca="1">B593</f>
        <v>0</v>
      </c>
      <c r="C594" s="843"/>
      <c r="D594" s="843"/>
      <c r="E594" s="843"/>
      <c r="F594" s="843"/>
      <c r="G594" s="847"/>
      <c r="H594" s="848"/>
      <c r="I594" s="846"/>
      <c r="J594" s="843"/>
      <c r="K594" s="843"/>
      <c r="L594" s="849">
        <f ca="1">IF(Q586="Matchs de CLASSEMENT","X",2)</f>
        <v>2</v>
      </c>
      <c r="M594" s="849">
        <f ca="1">IF(Q586="Matchs de CLASSEMENT","X",1)</f>
        <v>1</v>
      </c>
      <c r="N594" s="849">
        <f ca="1">IF(Q586="Matchs de CLASSEMENT","X",0)</f>
        <v>0</v>
      </c>
      <c r="O594" s="849" t="str">
        <f ca="1">IF(Q586="Matchs de CLASSEMENT","X","")</f>
        <v/>
      </c>
      <c r="P594" s="842"/>
      <c r="Q594" s="849" t="str">
        <f ca="1">IF(Q586="Matchs de CLASSEMENT","X","V2")</f>
        <v>V2</v>
      </c>
      <c r="R594" s="948">
        <f ca="1">R593</f>
        <v>0</v>
      </c>
      <c r="S594" s="849" t="str">
        <f ca="1">IF(Q586="Matchs de CLASSEMENT","X","")</f>
        <v/>
      </c>
      <c r="T594" s="849" t="str">
        <f ca="1">IF(Q586="Matchs de CLASSEMENT","X","")</f>
        <v/>
      </c>
      <c r="U594" s="849" t="str">
        <f ca="1">IF(Q586="Matchs de CLASSEMENT","X","")</f>
        <v/>
      </c>
      <c r="V594" s="849" t="str">
        <f ca="1">IF(Q586="Matchs de CLASSEMENT","X","")</f>
        <v/>
      </c>
      <c r="W594" s="849" t="str">
        <f ca="1">IF(Q586="Matchs de CLASSEMENT","X","")</f>
        <v/>
      </c>
      <c r="X594" s="849" t="str">
        <f ca="1">IF(Q586="Matchs de CLASSEMENT","X","")</f>
        <v/>
      </c>
      <c r="Y594" s="849" t="str">
        <f ca="1">IF(Q586="Matchs de CLASSEMENT","X","")</f>
        <v/>
      </c>
      <c r="Z594" s="849" t="str">
        <f ca="1">IF(Q586="Matchs de CLASSEMENT","X","")</f>
        <v/>
      </c>
      <c r="AA594" s="849" t="str">
        <f ca="1">IF(Q586="Matchs de CLASSEMENT","X","")</f>
        <v/>
      </c>
      <c r="AB594" s="849">
        <f ca="1">IF(Q586="Matchs de CLASSEMENT","X",2)</f>
        <v>2</v>
      </c>
      <c r="AC594" s="849">
        <f ca="1">IF(Q586="Matchs de CLASSEMENT","X",1)</f>
        <v>1</v>
      </c>
      <c r="AD594" s="849">
        <f ca="1">IF(Q586="Matchs de CLASSEMENT","X",0)</f>
        <v>0</v>
      </c>
      <c r="AE594" s="849" t="str">
        <f ca="1">IF(Q586="Matchs de CLASSEMENT","X","")</f>
        <v/>
      </c>
      <c r="AF594" s="679"/>
      <c r="AG594" s="679"/>
      <c r="AH594" s="679"/>
      <c r="AI594" s="679"/>
      <c r="AJ594" s="679"/>
      <c r="AK594" s="679"/>
      <c r="AL594" s="679"/>
    </row>
    <row r="595" spans="1:38" ht="30" customHeight="1" x14ac:dyDescent="0.25">
      <c r="A595" s="846" t="s">
        <v>1284</v>
      </c>
      <c r="B595" s="948">
        <f t="shared" ref="B595:B596" ca="1" si="39">B594</f>
        <v>0</v>
      </c>
      <c r="C595" s="843"/>
      <c r="D595" s="843"/>
      <c r="E595" s="843"/>
      <c r="F595" s="843"/>
      <c r="G595" s="847"/>
      <c r="H595" s="848"/>
      <c r="I595" s="846"/>
      <c r="J595" s="843"/>
      <c r="K595" s="843"/>
      <c r="L595" s="849">
        <f ca="1">IF(Q586="Matchs de CLASSEMENT","X",2)</f>
        <v>2</v>
      </c>
      <c r="M595" s="849">
        <f ca="1">IF(Q586="Matchs de CLASSEMENT","X",1)</f>
        <v>1</v>
      </c>
      <c r="N595" s="849">
        <f ca="1">IF(Q586="Matchs de CLASSEMENT","X",0)</f>
        <v>0</v>
      </c>
      <c r="O595" s="849" t="str">
        <f ca="1">IF(Q586="Matchs de CLASSEMENT","X","")</f>
        <v/>
      </c>
      <c r="P595" s="842"/>
      <c r="Q595" s="849" t="str">
        <f ca="1">IF(Q586="Matchs de CLASSEMENT","X","V3")</f>
        <v>V3</v>
      </c>
      <c r="R595" s="948">
        <f t="shared" ref="R595:R596" ca="1" si="40">R594</f>
        <v>0</v>
      </c>
      <c r="S595" s="849" t="str">
        <f ca="1">IF(Q586="Matchs de CLASSEMENT","X","")</f>
        <v/>
      </c>
      <c r="T595" s="849" t="str">
        <f ca="1">IF(Q586="Matchs de CLASSEMENT","X","")</f>
        <v/>
      </c>
      <c r="U595" s="849" t="str">
        <f ca="1">IF(Q586="Matchs de CLASSEMENT","X","")</f>
        <v/>
      </c>
      <c r="V595" s="849" t="str">
        <f ca="1">IF(Q586="Matchs de CLASSEMENT","X","")</f>
        <v/>
      </c>
      <c r="W595" s="849" t="str">
        <f ca="1">IF(Q586="Matchs de CLASSEMENT","X","")</f>
        <v/>
      </c>
      <c r="X595" s="849" t="str">
        <f ca="1">IF(Q586="Matchs de CLASSEMENT","X","")</f>
        <v/>
      </c>
      <c r="Y595" s="849" t="str">
        <f ca="1">IF(Q586="Matchs de CLASSEMENT","X","")</f>
        <v/>
      </c>
      <c r="Z595" s="849" t="str">
        <f ca="1">IF(Q586="Matchs de CLASSEMENT","X","")</f>
        <v/>
      </c>
      <c r="AA595" s="849" t="str">
        <f ca="1">IF(Q586="Matchs de CLASSEMENT","X","")</f>
        <v/>
      </c>
      <c r="AB595" s="849">
        <f ca="1">IF(Q586="Matchs de CLASSEMENT","X",2)</f>
        <v>2</v>
      </c>
      <c r="AC595" s="849">
        <f ca="1">IF(Q586="Matchs de CLASSEMENT","X",1)</f>
        <v>1</v>
      </c>
      <c r="AD595" s="849">
        <f ca="1">IF(Q586="Matchs de CLASSEMENT","X",0)</f>
        <v>0</v>
      </c>
      <c r="AE595" s="849" t="str">
        <f ca="1">IF(Q586="Matchs de CLASSEMENT","X","")</f>
        <v/>
      </c>
      <c r="AF595" s="679"/>
      <c r="AG595" s="679"/>
      <c r="AH595" s="679"/>
      <c r="AI595" s="679"/>
      <c r="AJ595" s="679"/>
      <c r="AK595" s="679"/>
      <c r="AL595" s="679"/>
    </row>
    <row r="596" spans="1:38" ht="30" customHeight="1" x14ac:dyDescent="0.25">
      <c r="A596" s="846" t="s">
        <v>1285</v>
      </c>
      <c r="B596" s="948">
        <f t="shared" ca="1" si="39"/>
        <v>0</v>
      </c>
      <c r="C596" s="843"/>
      <c r="D596" s="843"/>
      <c r="E596" s="843"/>
      <c r="F596" s="843"/>
      <c r="G596" s="847"/>
      <c r="H596" s="848"/>
      <c r="I596" s="846"/>
      <c r="J596" s="843"/>
      <c r="K596" s="843"/>
      <c r="L596" s="849">
        <f ca="1">IF(Q586="Matchs de CLASSEMENT","X",2)</f>
        <v>2</v>
      </c>
      <c r="M596" s="849">
        <f ca="1">IF(Q586="Matchs de CLASSEMENT","X",1)</f>
        <v>1</v>
      </c>
      <c r="N596" s="849">
        <f ca="1">IF(Q586="Matchs de CLASSEMENT","X",0)</f>
        <v>0</v>
      </c>
      <c r="O596" s="849" t="str">
        <f ca="1">IF(Q586="Matchs de CLASSEMENT","X","")</f>
        <v/>
      </c>
      <c r="P596" s="842"/>
      <c r="Q596" s="849" t="str">
        <f ca="1">IF(Q586="Matchs de CLASSEMENT","X","V4")</f>
        <v>V4</v>
      </c>
      <c r="R596" s="948">
        <f t="shared" ca="1" si="40"/>
        <v>0</v>
      </c>
      <c r="S596" s="849" t="str">
        <f ca="1">IF(Q586="Matchs de CLASSEMENT","X","")</f>
        <v/>
      </c>
      <c r="T596" s="849" t="str">
        <f ca="1">IF(Q586="Matchs de CLASSEMENT","X","")</f>
        <v/>
      </c>
      <c r="U596" s="849" t="str">
        <f ca="1">IF(Q586="Matchs de CLASSEMENT","X","")</f>
        <v/>
      </c>
      <c r="V596" s="849" t="str">
        <f ca="1">IF(Q586="Matchs de CLASSEMENT","X","")</f>
        <v/>
      </c>
      <c r="W596" s="849" t="str">
        <f ca="1">IF(Q586="Matchs de CLASSEMENT","X","")</f>
        <v/>
      </c>
      <c r="X596" s="849" t="str">
        <f ca="1">IF(Q586="Matchs de CLASSEMENT","X","")</f>
        <v/>
      </c>
      <c r="Y596" s="849" t="str">
        <f ca="1">IF(Q586="Matchs de CLASSEMENT","X","")</f>
        <v/>
      </c>
      <c r="Z596" s="849" t="str">
        <f ca="1">IF(Q586="Matchs de CLASSEMENT","X","")</f>
        <v/>
      </c>
      <c r="AA596" s="849" t="str">
        <f ca="1">IF(Q586="Matchs de CLASSEMENT","X","")</f>
        <v/>
      </c>
      <c r="AB596" s="849">
        <f ca="1">IF(Q586="Matchs de CLASSEMENT","X",2)</f>
        <v>2</v>
      </c>
      <c r="AC596" s="849">
        <f ca="1">IF(Q586="Matchs de CLASSEMENT","X",1)</f>
        <v>1</v>
      </c>
      <c r="AD596" s="849">
        <f ca="1">IF(Q586="Matchs de CLASSEMENT","X",0)</f>
        <v>0</v>
      </c>
      <c r="AE596" s="849" t="str">
        <f ca="1">IF(Q586="Matchs de CLASSEMENT","X","")</f>
        <v/>
      </c>
      <c r="AF596" s="679"/>
      <c r="AG596" s="679"/>
      <c r="AH596" s="679"/>
      <c r="AI596" s="679"/>
      <c r="AJ596" s="679"/>
      <c r="AK596" s="679"/>
      <c r="AL596" s="679"/>
    </row>
    <row r="597" spans="1:38" ht="30" customHeight="1" x14ac:dyDescent="0.2">
      <c r="N597" s="867" t="s">
        <v>1294</v>
      </c>
      <c r="O597" s="848"/>
      <c r="AD597" s="867" t="s">
        <v>1294</v>
      </c>
      <c r="AE597" s="866"/>
      <c r="AF597" s="679"/>
      <c r="AG597" s="679"/>
      <c r="AH597" s="679"/>
      <c r="AI597" s="679"/>
      <c r="AJ597" s="679"/>
      <c r="AK597" s="679"/>
      <c r="AL597" s="679"/>
    </row>
    <row r="598" spans="1:38" ht="12.75" customHeight="1" x14ac:dyDescent="0.2">
      <c r="AE598" s="520"/>
      <c r="AF598" s="679"/>
      <c r="AG598" s="679"/>
      <c r="AH598" s="679"/>
      <c r="AI598" s="679"/>
      <c r="AJ598" s="679"/>
      <c r="AK598" s="679"/>
      <c r="AL598" s="679"/>
    </row>
    <row r="599" spans="1:38" ht="18.75" customHeight="1" x14ac:dyDescent="0.2">
      <c r="A599" s="584"/>
      <c r="B599" s="584"/>
      <c r="C599" s="701" t="s">
        <v>1289</v>
      </c>
      <c r="D599" s="249"/>
      <c r="E599" s="196"/>
      <c r="F599" s="196"/>
      <c r="G599" s="584"/>
      <c r="H599" s="1155" t="s">
        <v>1301</v>
      </c>
      <c r="I599" s="1155"/>
      <c r="J599" s="1155"/>
      <c r="K599" s="1155"/>
      <c r="L599" s="1155"/>
      <c r="M599" s="1155"/>
      <c r="N599" s="1155"/>
      <c r="O599" s="1155"/>
      <c r="P599" s="842"/>
      <c r="Q599" s="219"/>
      <c r="R599" s="219"/>
      <c r="S599" s="701" t="s">
        <v>1289</v>
      </c>
      <c r="T599" s="249"/>
      <c r="U599" s="196"/>
      <c r="V599" s="196"/>
      <c r="X599" s="1155" t="s">
        <v>1304</v>
      </c>
      <c r="Y599" s="1155"/>
      <c r="Z599" s="1155"/>
      <c r="AA599" s="1155"/>
      <c r="AB599" s="1155"/>
      <c r="AC599" s="1155"/>
      <c r="AD599" s="1155"/>
      <c r="AE599" s="1155"/>
      <c r="AF599" s="679"/>
      <c r="AG599" s="679"/>
      <c r="AH599" s="679"/>
      <c r="AI599" s="679"/>
      <c r="AJ599" s="679"/>
      <c r="AK599" s="679"/>
      <c r="AL599" s="679"/>
    </row>
    <row r="600" spans="1:38" ht="32.25" customHeight="1" x14ac:dyDescent="0.2">
      <c r="A600" s="584"/>
      <c r="B600" s="584"/>
      <c r="C600" s="850"/>
      <c r="D600" s="851"/>
      <c r="E600" s="852"/>
      <c r="F600" s="852"/>
      <c r="G600" s="584"/>
      <c r="H600" s="1149" t="s">
        <v>549</v>
      </c>
      <c r="I600" s="1149"/>
      <c r="J600" s="1149"/>
      <c r="K600" s="1149"/>
      <c r="L600" s="1149"/>
      <c r="M600" s="1146" t="s">
        <v>550</v>
      </c>
      <c r="N600" s="1147"/>
      <c r="O600" s="1148"/>
      <c r="P600" s="842"/>
      <c r="Q600" s="219"/>
      <c r="R600" s="219"/>
      <c r="S600" s="850"/>
      <c r="T600" s="851"/>
      <c r="U600" s="852"/>
      <c r="V600" s="852"/>
      <c r="X600" s="1149" t="s">
        <v>549</v>
      </c>
      <c r="Y600" s="1149"/>
      <c r="Z600" s="1149"/>
      <c r="AA600" s="1149"/>
      <c r="AB600" s="1149"/>
      <c r="AC600" s="1146" t="s">
        <v>550</v>
      </c>
      <c r="AD600" s="1147"/>
      <c r="AE600" s="1148"/>
      <c r="AG600" s="679"/>
      <c r="AH600" s="679"/>
      <c r="AI600" s="679"/>
      <c r="AJ600" s="679"/>
      <c r="AK600" s="679"/>
      <c r="AL600" s="679"/>
    </row>
    <row r="601" spans="1:38" ht="32.25" customHeight="1" x14ac:dyDescent="0.2">
      <c r="A601" s="584"/>
      <c r="B601" s="584"/>
      <c r="C601" s="850"/>
      <c r="D601" s="851"/>
      <c r="E601" s="852"/>
      <c r="F601" s="852"/>
      <c r="G601" s="584"/>
      <c r="H601" s="1140" t="str">
        <f ca="1">IFERROR(VLOOKUP(X582,Num_AS,6,FALSE)&amp;" "&amp;VLOOKUP(X582,Num_AS,7,FALSE),"")</f>
        <v/>
      </c>
      <c r="I601" s="1140"/>
      <c r="J601" s="1140"/>
      <c r="K601" s="1140"/>
      <c r="L601" s="1140"/>
      <c r="M601" s="1129" t="str">
        <f ca="1">IFERROR(VLOOKUP(X582,Num_AS,9,FALSE),"")</f>
        <v/>
      </c>
      <c r="N601" s="1130"/>
      <c r="O601" s="1131"/>
      <c r="P601" s="842"/>
      <c r="Q601" s="219"/>
      <c r="R601" s="219"/>
      <c r="S601" s="850"/>
      <c r="T601" s="851"/>
      <c r="U601" s="852"/>
      <c r="V601" s="852"/>
      <c r="W601" s="196"/>
      <c r="X601" s="1140" t="str">
        <f ca="1">IFERROR(VLOOKUP(Z582,Num_AS,6,FALSE)&amp;" "&amp;VLOOKUP(Z582,Num_AS,7,FALSE),"")</f>
        <v/>
      </c>
      <c r="Y601" s="1140"/>
      <c r="Z601" s="1140"/>
      <c r="AA601" s="1140"/>
      <c r="AB601" s="1140"/>
      <c r="AC601" s="1129" t="str">
        <f ca="1">IFERROR(VLOOKUP(Z582,Num_AS,9,FALSE),"")</f>
        <v/>
      </c>
      <c r="AD601" s="1130"/>
      <c r="AE601" s="1131"/>
    </row>
    <row r="602" spans="1:38" ht="32.25" customHeight="1" x14ac:dyDescent="0.2">
      <c r="A602" s="584"/>
      <c r="B602" s="584"/>
      <c r="C602" s="850"/>
      <c r="D602" s="851"/>
      <c r="E602" s="852"/>
      <c r="F602" s="852"/>
      <c r="G602" s="584"/>
      <c r="H602" s="1140" t="str">
        <f ca="1">IFERROR(VLOOKUP(X582,Num_AS,12,FALSE)&amp;" "&amp;VLOOKUP(X582,Num_AS,13,FALSE),"")</f>
        <v/>
      </c>
      <c r="I602" s="1140"/>
      <c r="J602" s="1140"/>
      <c r="K602" s="1140"/>
      <c r="L602" s="1140"/>
      <c r="M602" s="1129" t="str">
        <f ca="1">IFERROR(VLOOKUP(X582,Num_AS,15,FALSE),"")</f>
        <v/>
      </c>
      <c r="N602" s="1130"/>
      <c r="O602" s="1131">
        <f ca="1">G584</f>
        <v>0</v>
      </c>
      <c r="P602" s="842"/>
      <c r="Q602" s="219"/>
      <c r="R602" s="219"/>
      <c r="S602" s="850"/>
      <c r="T602" s="851"/>
      <c r="U602" s="852"/>
      <c r="V602" s="852"/>
      <c r="W602" s="196"/>
      <c r="X602" s="1140" t="str">
        <f ca="1">IFERROR(VLOOKUP(Z582,Num_AS,12,FALSE)&amp;" "&amp;VLOOKUP(Z582,Num_AS,13,FALSE),"")</f>
        <v/>
      </c>
      <c r="Y602" s="1140"/>
      <c r="Z602" s="1140"/>
      <c r="AA602" s="1140"/>
      <c r="AB602" s="1140"/>
      <c r="AC602" s="1129" t="str">
        <f ca="1">IFERROR(VLOOKUP(Z582,Num_AS,15,FALSE),"")</f>
        <v/>
      </c>
      <c r="AD602" s="1130"/>
      <c r="AE602" s="1131">
        <f>W584</f>
        <v>0</v>
      </c>
    </row>
    <row r="603" spans="1:38" ht="32.25" customHeight="1" x14ac:dyDescent="0.2">
      <c r="A603" s="584"/>
      <c r="B603" s="584"/>
      <c r="C603" s="584"/>
      <c r="D603" s="584"/>
      <c r="E603" s="584"/>
      <c r="F603" s="584"/>
      <c r="G603" s="584"/>
      <c r="H603" s="1140" t="str">
        <f ca="1">IFERROR(VLOOKUP(X582,Num_AS,18,FALSE)&amp;" "&amp;VLOOKUP(X582,Num_AS,19,FALSE),"")</f>
        <v/>
      </c>
      <c r="I603" s="1140"/>
      <c r="J603" s="1140"/>
      <c r="K603" s="1140"/>
      <c r="L603" s="1140"/>
      <c r="M603" s="1129" t="str">
        <f ca="1">IFERROR(VLOOKUP(X582,Num_AS,21,FALSE),"")</f>
        <v/>
      </c>
      <c r="N603" s="1130"/>
      <c r="O603" s="1131">
        <f ca="1">G584</f>
        <v>0</v>
      </c>
      <c r="P603" s="842"/>
      <c r="Q603" s="219"/>
      <c r="R603" s="219"/>
      <c r="S603" s="584"/>
      <c r="T603" s="584"/>
      <c r="U603" s="584"/>
      <c r="V603" s="584"/>
      <c r="W603" s="196"/>
      <c r="X603" s="1140" t="str">
        <f ca="1">IFERROR(VLOOKUP(Z582,Num_AS,18,FALSE)&amp;" "&amp;VLOOKUP(Z582,Num_AS,19,FALSE),"")</f>
        <v/>
      </c>
      <c r="Y603" s="1140"/>
      <c r="Z603" s="1140"/>
      <c r="AA603" s="1140"/>
      <c r="AB603" s="1140"/>
      <c r="AC603" s="1129" t="str">
        <f ca="1">IFERROR(VLOOKUP(Z582,Num_AS,21,FALSE),"")</f>
        <v/>
      </c>
      <c r="AD603" s="1130"/>
      <c r="AE603" s="1131">
        <f>W584</f>
        <v>0</v>
      </c>
    </row>
    <row r="604" spans="1:38" ht="32.25" customHeight="1" x14ac:dyDescent="0.2">
      <c r="A604" s="584"/>
      <c r="B604" s="584"/>
      <c r="C604" s="862"/>
      <c r="D604" s="1141" t="s">
        <v>1292</v>
      </c>
      <c r="E604" s="1142"/>
      <c r="F604" s="1143"/>
      <c r="G604" s="584"/>
      <c r="H604" s="1140" t="str">
        <f ca="1">IFERROR(VLOOKUP(X582,Num_AS,24,FALSE)&amp;" "&amp;VLOOKUP(X582,Num_AS,25,FALSE),"")</f>
        <v/>
      </c>
      <c r="I604" s="1140"/>
      <c r="J604" s="1140"/>
      <c r="K604" s="1140"/>
      <c r="L604" s="1140"/>
      <c r="M604" s="1129" t="str">
        <f ca="1">IFERROR(VLOOKUP(X582,Num_AS,9,FALSE),"")</f>
        <v/>
      </c>
      <c r="N604" s="1130"/>
      <c r="O604" s="1131">
        <f ca="1">G584</f>
        <v>0</v>
      </c>
      <c r="P604" s="842"/>
      <c r="Q604" s="219"/>
      <c r="R604" s="219"/>
      <c r="S604" s="862"/>
      <c r="T604" s="1141" t="s">
        <v>1292</v>
      </c>
      <c r="U604" s="1142"/>
      <c r="V604" s="1143"/>
      <c r="W604" s="196"/>
      <c r="X604" s="1140" t="str">
        <f ca="1">IFERROR(VLOOKUP(Z582,Num_AS,24,FALSE)&amp;" "&amp;VLOOKUP(Z582,Num_AS,25,FALSE),"")</f>
        <v/>
      </c>
      <c r="Y604" s="1140"/>
      <c r="Z604" s="1140"/>
      <c r="AA604" s="1140"/>
      <c r="AB604" s="1140"/>
      <c r="AC604" s="1129" t="str">
        <f ca="1">IFERROR(VLOOKUP(Z582,Num_AS,9,FALSE),"")</f>
        <v/>
      </c>
      <c r="AD604" s="1130"/>
      <c r="AE604" s="1131">
        <f>W584</f>
        <v>0</v>
      </c>
    </row>
    <row r="605" spans="1:38" ht="18.75" customHeight="1" thickBot="1" x14ac:dyDescent="0.25">
      <c r="A605" s="701"/>
      <c r="B605" s="701"/>
      <c r="C605" s="249"/>
      <c r="D605" s="249"/>
      <c r="E605" s="249"/>
      <c r="F605" s="701"/>
      <c r="G605" s="701"/>
      <c r="H605" s="196"/>
      <c r="I605" s="196"/>
      <c r="J605" s="249"/>
      <c r="K605" s="219"/>
      <c r="L605" s="219"/>
      <c r="M605" s="219"/>
      <c r="N605" s="219"/>
      <c r="O605" s="219"/>
      <c r="P605" s="219"/>
      <c r="Q605" s="219"/>
      <c r="R605" s="219"/>
      <c r="S605" s="219"/>
      <c r="T605" s="219"/>
      <c r="U605" s="219"/>
      <c r="V605" s="219"/>
      <c r="W605" s="219"/>
      <c r="X605" s="219"/>
      <c r="Y605" s="249"/>
      <c r="Z605" s="219"/>
      <c r="AE605" s="520"/>
    </row>
    <row r="606" spans="1:38" ht="32.25" customHeight="1" x14ac:dyDescent="0.25">
      <c r="A606" s="701"/>
      <c r="B606" s="701"/>
      <c r="D606" s="875" t="s">
        <v>1002</v>
      </c>
      <c r="E606" s="876"/>
      <c r="F606" s="876"/>
      <c r="G606" s="876"/>
      <c r="H606" s="876"/>
      <c r="I606" s="876"/>
      <c r="J606" s="876"/>
      <c r="K606" s="876"/>
      <c r="L606" s="876"/>
      <c r="M606" s="877" t="s">
        <v>1297</v>
      </c>
      <c r="N606" s="219"/>
      <c r="O606" s="1132" t="s">
        <v>1293</v>
      </c>
      <c r="P606" s="1133"/>
      <c r="Q606" s="1134"/>
      <c r="R606" s="941"/>
      <c r="T606" s="875" t="s">
        <v>1002</v>
      </c>
      <c r="U606" s="876"/>
      <c r="V606" s="876"/>
      <c r="W606" s="876"/>
      <c r="X606" s="876"/>
      <c r="Y606" s="876"/>
      <c r="Z606" s="876"/>
      <c r="AA606" s="876"/>
      <c r="AB606" s="876"/>
      <c r="AC606" s="877" t="s">
        <v>1296</v>
      </c>
      <c r="AE606" s="520"/>
    </row>
    <row r="607" spans="1:38" ht="70.5" customHeight="1" thickBot="1" x14ac:dyDescent="0.25">
      <c r="A607" s="701"/>
      <c r="B607" s="701"/>
      <c r="D607" s="878"/>
      <c r="E607" s="879"/>
      <c r="F607" s="879"/>
      <c r="G607" s="879"/>
      <c r="H607" s="879"/>
      <c r="I607" s="879"/>
      <c r="J607" s="879"/>
      <c r="K607" s="879"/>
      <c r="L607" s="879"/>
      <c r="M607" s="880"/>
      <c r="N607" s="219"/>
      <c r="O607" s="1135"/>
      <c r="P607" s="1136"/>
      <c r="Q607" s="1137"/>
      <c r="R607" s="941"/>
      <c r="T607" s="878"/>
      <c r="U607" s="879"/>
      <c r="V607" s="879"/>
      <c r="W607" s="879"/>
      <c r="X607" s="879"/>
      <c r="Y607" s="879"/>
      <c r="Z607" s="879"/>
      <c r="AA607" s="879"/>
      <c r="AB607" s="879"/>
      <c r="AC607" s="880"/>
      <c r="AE607" s="520"/>
    </row>
    <row r="608" spans="1:38" ht="6.75" customHeight="1" x14ac:dyDescent="0.25">
      <c r="A608" s="701"/>
      <c r="B608" s="701"/>
      <c r="C608" s="249"/>
      <c r="D608" s="249"/>
      <c r="E608" s="249"/>
      <c r="F608" s="701"/>
      <c r="G608" s="701"/>
      <c r="H608" s="196"/>
      <c r="I608" s="196"/>
      <c r="J608" s="249"/>
      <c r="K608" s="219"/>
      <c r="L608" s="842"/>
      <c r="M608" s="842"/>
      <c r="N608" s="842"/>
      <c r="O608" s="842"/>
      <c r="P608" s="842"/>
      <c r="Q608" s="842"/>
      <c r="R608" s="842"/>
      <c r="T608" s="845"/>
      <c r="U608" s="842"/>
      <c r="V608" s="842"/>
      <c r="W608" s="649"/>
      <c r="X608" s="845"/>
      <c r="Y608" s="842"/>
      <c r="Z608" s="842"/>
      <c r="AE608" s="520"/>
    </row>
    <row r="609" spans="1:44" ht="27.75" customHeight="1" x14ac:dyDescent="0.2">
      <c r="A609" s="701"/>
      <c r="B609" s="701"/>
      <c r="C609" s="1138" t="s">
        <v>1300</v>
      </c>
      <c r="D609" s="1138"/>
      <c r="E609" s="1138"/>
      <c r="F609" s="1138"/>
      <c r="G609" s="1138"/>
      <c r="H609" s="1138"/>
      <c r="I609" s="1138"/>
      <c r="J609" s="1138"/>
      <c r="K609" s="1138"/>
      <c r="L609" s="1138"/>
      <c r="M609" s="1138"/>
      <c r="N609" s="1138"/>
      <c r="O609" s="1138"/>
      <c r="P609" s="842"/>
      <c r="Q609" s="1139" t="s">
        <v>1303</v>
      </c>
      <c r="R609" s="1139"/>
      <c r="S609" s="1139"/>
      <c r="T609" s="1139"/>
      <c r="U609" s="1139"/>
      <c r="V609" s="1139"/>
      <c r="W609" s="1139"/>
      <c r="X609" s="1139"/>
      <c r="Y609" s="1139"/>
      <c r="Z609" s="1139"/>
      <c r="AA609" s="1139"/>
      <c r="AB609" s="1139"/>
      <c r="AC609" s="1139"/>
      <c r="AD609" s="1139"/>
      <c r="AE609" s="1139"/>
    </row>
    <row r="610" spans="1:44" ht="36" customHeight="1" x14ac:dyDescent="0.2">
      <c r="AE610" s="520"/>
    </row>
    <row r="611" spans="1:44" ht="19.5" customHeight="1" thickBot="1" x14ac:dyDescent="0.25">
      <c r="W611" s="500"/>
      <c r="X611" s="520">
        <f ca="1">INDIRECT("AE"&amp;Y611)</f>
        <v>0</v>
      </c>
      <c r="Y611" s="500">
        <f>Z612+2</f>
        <v>23</v>
      </c>
      <c r="Z611" s="501">
        <f ca="1">INDIRECT("AF"&amp;Y611)</f>
        <v>0</v>
      </c>
      <c r="AA611" s="500"/>
      <c r="AB611" s="500"/>
      <c r="AD611" s="679"/>
      <c r="AE611" s="679"/>
      <c r="AF611" s="679"/>
      <c r="AG611" s="679"/>
      <c r="AH611" s="679"/>
      <c r="AI611" s="679"/>
      <c r="AJ611" s="679"/>
      <c r="AK611" s="679"/>
      <c r="AL611" s="679"/>
    </row>
    <row r="612" spans="1:44" s="218" customFormat="1" ht="36" thickBot="1" x14ac:dyDescent="0.25">
      <c r="F612" s="576" t="s">
        <v>546</v>
      </c>
      <c r="G612" s="865" t="str">
        <f>G583</f>
        <v>D1</v>
      </c>
      <c r="I612" s="863" t="str">
        <f>"   "&amp;Championnat</f>
        <v xml:space="preserve">   Championnat de France de Tir à l'ARC</v>
      </c>
      <c r="T612" s="197"/>
      <c r="U612" s="197"/>
      <c r="V612" s="197"/>
      <c r="W612" s="197"/>
      <c r="Y612" s="502" t="s">
        <v>849</v>
      </c>
      <c r="Z612" s="503">
        <f>Z583+1</f>
        <v>21</v>
      </c>
      <c r="AB612" s="254"/>
      <c r="AC612" s="254"/>
      <c r="AD612" s="681"/>
      <c r="AE612" s="680"/>
      <c r="AF612" s="681"/>
      <c r="AH612" s="662"/>
      <c r="AI612" s="662"/>
      <c r="AJ612" s="662"/>
      <c r="AK612" s="662"/>
      <c r="AL612" s="662"/>
      <c r="AM612" s="217"/>
      <c r="AN612" s="217"/>
      <c r="AO612" s="217"/>
      <c r="AP612" s="217"/>
      <c r="AQ612" s="217"/>
      <c r="AR612" s="217"/>
    </row>
    <row r="613" spans="1:44" ht="36" thickBot="1" x14ac:dyDescent="0.25">
      <c r="F613" s="661" t="s">
        <v>628</v>
      </c>
      <c r="G613" s="660">
        <f ca="1">INDIRECT("AD"&amp;Y611)</f>
        <v>0</v>
      </c>
      <c r="I613" s="706" t="str">
        <f>CATEG_IMPORTEE</f>
        <v>Collèges Mixtes Etablissement</v>
      </c>
      <c r="S613" s="864" t="str">
        <f>LIEU&amp;" du "&amp;DATE</f>
        <v>L’Isle sur la Sorgue du 27 au 31 mars 2023</v>
      </c>
      <c r="AB613" s="254"/>
      <c r="AC613" s="254"/>
      <c r="AD613" s="681"/>
      <c r="AE613" s="680"/>
      <c r="AF613" s="681"/>
      <c r="AG613" s="679"/>
      <c r="AH613" s="679"/>
      <c r="AI613" s="679"/>
      <c r="AJ613" s="679"/>
      <c r="AK613" s="679"/>
      <c r="AL613" s="679"/>
    </row>
    <row r="614" spans="1:44" ht="24" customHeight="1" x14ac:dyDescent="0.2">
      <c r="A614" s="1075" t="s">
        <v>0</v>
      </c>
      <c r="B614" s="1075"/>
      <c r="C614" s="1075"/>
      <c r="D614" s="1075"/>
      <c r="E614" s="1075"/>
      <c r="F614" s="1075"/>
      <c r="G614" s="1075"/>
      <c r="H614" s="1075"/>
      <c r="I614" s="1075"/>
      <c r="J614" s="1075"/>
      <c r="Q614" s="1075" t="s">
        <v>0</v>
      </c>
      <c r="R614" s="1075"/>
      <c r="S614" s="1075"/>
      <c r="T614" s="1075"/>
      <c r="U614" s="1075"/>
      <c r="V614" s="1075"/>
      <c r="W614" s="1075"/>
      <c r="X614" s="1075"/>
      <c r="Y614" s="1075"/>
      <c r="Z614" s="1075"/>
      <c r="AB614" s="254"/>
      <c r="AC614" s="254"/>
      <c r="AD614" s="681"/>
      <c r="AE614" s="680"/>
      <c r="AF614" s="681"/>
      <c r="AG614" s="679"/>
      <c r="AH614" s="679"/>
      <c r="AI614" s="679"/>
      <c r="AJ614" s="679"/>
      <c r="AK614" s="679"/>
      <c r="AL614" s="679"/>
    </row>
    <row r="615" spans="1:44" ht="31.5" customHeight="1" x14ac:dyDescent="0.2">
      <c r="A615" s="1144" t="str">
        <f ca="1">IFERROR(VLOOKUP(X611,Num_AS,2,FALSE),"")</f>
        <v/>
      </c>
      <c r="B615" s="1144"/>
      <c r="C615" s="1144"/>
      <c r="D615" s="1144"/>
      <c r="E615" s="1144"/>
      <c r="F615" s="1144"/>
      <c r="G615" s="1144"/>
      <c r="H615" s="1144"/>
      <c r="I615" s="1144"/>
      <c r="J615" s="1144"/>
      <c r="K615" s="869" t="s">
        <v>1299</v>
      </c>
      <c r="L615" s="1145" t="s">
        <v>547</v>
      </c>
      <c r="M615" s="1145"/>
      <c r="N615" s="1145"/>
      <c r="O615" s="870" t="s">
        <v>1298</v>
      </c>
      <c r="Q615" s="1144" t="str">
        <f ca="1">IFERROR(VLOOKUP(Z611,Num_AS,2,FALSE),"")</f>
        <v/>
      </c>
      <c r="R615" s="1144"/>
      <c r="S615" s="1144"/>
      <c r="T615" s="1144"/>
      <c r="U615" s="1144"/>
      <c r="V615" s="1144"/>
      <c r="W615" s="1144"/>
      <c r="X615" s="1144"/>
      <c r="Y615" s="1144"/>
      <c r="Z615" s="1144"/>
      <c r="AB615" s="254"/>
      <c r="AC615" s="254"/>
      <c r="AD615" s="681"/>
      <c r="AE615" s="680"/>
      <c r="AF615" s="681"/>
      <c r="AG615" s="679"/>
      <c r="AH615" s="679"/>
      <c r="AI615" s="679"/>
      <c r="AJ615" s="679"/>
      <c r="AK615" s="679"/>
      <c r="AL615" s="679"/>
    </row>
    <row r="616" spans="1:44" ht="20.100000000000001" customHeight="1" thickBot="1" x14ac:dyDescent="0.25">
      <c r="A616" s="1124" t="s">
        <v>1006</v>
      </c>
      <c r="B616" s="1124"/>
      <c r="C616" s="1125"/>
      <c r="D616" s="1125"/>
      <c r="E616" s="1125"/>
      <c r="F616" s="1125"/>
      <c r="G616" s="1125"/>
      <c r="H616" s="1125"/>
      <c r="I616" s="1125"/>
      <c r="J616" s="1125"/>
      <c r="L616" s="871"/>
      <c r="M616" s="871"/>
      <c r="N616" s="871"/>
      <c r="Q616" s="1124" t="s">
        <v>1005</v>
      </c>
      <c r="R616" s="1124"/>
      <c r="S616" s="1125"/>
      <c r="T616" s="1125"/>
      <c r="U616" s="1125"/>
      <c r="V616" s="1125"/>
      <c r="W616" s="1125"/>
      <c r="X616" s="1125"/>
      <c r="Y616" s="1125"/>
      <c r="Z616" s="1125"/>
      <c r="AB616" s="254"/>
      <c r="AC616" s="254"/>
      <c r="AD616" s="681"/>
      <c r="AE616" s="680"/>
      <c r="AF616" s="681"/>
      <c r="AG616" s="679"/>
      <c r="AH616" s="679"/>
      <c r="AI616" s="679"/>
      <c r="AJ616" s="679"/>
      <c r="AK616" s="679"/>
      <c r="AL616" s="679"/>
    </row>
    <row r="617" spans="1:44" ht="27.75" customHeight="1" x14ac:dyDescent="0.2">
      <c r="A617" s="1117" t="str">
        <f ca="1">IFERROR(VLOOKUP(X611,Num_AS,3,FALSE),"")</f>
        <v/>
      </c>
      <c r="B617" s="1150"/>
      <c r="C617" s="1118"/>
      <c r="D617" s="1151"/>
      <c r="E617" s="1151"/>
      <c r="F617" s="1151"/>
      <c r="G617" s="1151"/>
      <c r="H617" s="1151"/>
      <c r="I617" s="1151"/>
      <c r="J617" s="1119"/>
      <c r="O617" s="219"/>
      <c r="P617" s="219"/>
      <c r="Q617" s="1117" t="str">
        <f ca="1">IFERROR(VLOOKUP(Z611,Num_AS,3,FALSE),"")</f>
        <v/>
      </c>
      <c r="R617" s="1150"/>
      <c r="S617" s="1118"/>
      <c r="T617" s="1151"/>
      <c r="U617" s="1151"/>
      <c r="V617" s="1151"/>
      <c r="W617" s="1151"/>
      <c r="X617" s="1151"/>
      <c r="Y617" s="1151"/>
      <c r="Z617" s="1119"/>
      <c r="AB617" s="254"/>
      <c r="AC617" s="254"/>
      <c r="AD617" s="681"/>
      <c r="AE617" s="680"/>
      <c r="AF617" s="681"/>
      <c r="AG617" s="679"/>
      <c r="AH617" s="679"/>
      <c r="AI617" s="679"/>
      <c r="AJ617" s="679"/>
      <c r="AK617" s="679"/>
      <c r="AL617" s="679"/>
    </row>
    <row r="618" spans="1:44" ht="27.75" customHeight="1" thickBot="1" x14ac:dyDescent="0.25">
      <c r="A618" s="1107" t="str">
        <f ca="1">IFERROR(VLOOKUP(X611,Num_AS,4,FALSE),"")</f>
        <v/>
      </c>
      <c r="B618" s="1152"/>
      <c r="C618" s="1108"/>
      <c r="D618" s="1153"/>
      <c r="E618" s="1153"/>
      <c r="F618" s="1153"/>
      <c r="G618" s="1153"/>
      <c r="H618" s="1153"/>
      <c r="I618" s="1153"/>
      <c r="J618" s="1109"/>
      <c r="Q618" s="1107" t="str">
        <f ca="1">IFERROR(VLOOKUP(Z611,Num_AS,4,FALSE),"")</f>
        <v/>
      </c>
      <c r="R618" s="1152"/>
      <c r="S618" s="1108"/>
      <c r="T618" s="1153"/>
      <c r="U618" s="1153"/>
      <c r="V618" s="1153"/>
      <c r="W618" s="1153"/>
      <c r="X618" s="1153"/>
      <c r="Y618" s="1153"/>
      <c r="Z618" s="1109"/>
      <c r="AB618" s="254"/>
      <c r="AC618" s="254"/>
      <c r="AD618" s="681"/>
      <c r="AE618" s="680"/>
      <c r="AF618" s="681"/>
      <c r="AG618" s="679"/>
      <c r="AH618" s="679"/>
      <c r="AI618" s="679"/>
      <c r="AJ618" s="679"/>
      <c r="AK618" s="679"/>
      <c r="AL618" s="679"/>
    </row>
    <row r="619" spans="1:44" ht="36" customHeight="1" thickBot="1" x14ac:dyDescent="0.25">
      <c r="A619" s="1156" t="s">
        <v>1330</v>
      </c>
      <c r="B619" s="1157"/>
      <c r="C619" s="1157"/>
      <c r="D619" s="1158"/>
      <c r="E619" s="947">
        <f ca="1">VLOOKUP(A615&amp;A617,PTS_SP,3,FALSE)</f>
        <v>0</v>
      </c>
      <c r="Q619" s="1156" t="s">
        <v>1330</v>
      </c>
      <c r="R619" s="1157"/>
      <c r="S619" s="1157"/>
      <c r="T619" s="1158"/>
      <c r="U619" s="947">
        <f ca="1">VLOOKUP(Q615&amp;Q617,PTS_SP,3,FALSE)</f>
        <v>0</v>
      </c>
      <c r="AB619" s="254"/>
      <c r="AC619" s="254"/>
      <c r="AD619" s="681"/>
      <c r="AE619" s="680"/>
      <c r="AF619" s="681"/>
      <c r="AG619" s="679"/>
      <c r="AH619" s="679"/>
      <c r="AI619" s="679"/>
      <c r="AJ619" s="679"/>
      <c r="AK619" s="679"/>
      <c r="AL619" s="679"/>
    </row>
    <row r="620" spans="1:44" ht="38.25" customHeight="1" x14ac:dyDescent="0.2">
      <c r="A620" s="701"/>
      <c r="B620" s="701"/>
      <c r="C620" s="853"/>
      <c r="D620" s="861" t="s">
        <v>1290</v>
      </c>
      <c r="E620" s="853"/>
      <c r="F620" s="854"/>
      <c r="G620" s="854"/>
      <c r="H620" s="872" t="s">
        <v>1295</v>
      </c>
      <c r="I620" s="855"/>
      <c r="J620" s="853"/>
      <c r="K620" s="853"/>
      <c r="L620" s="853"/>
      <c r="M620" s="859"/>
      <c r="N620" s="860" t="s">
        <v>1291</v>
      </c>
      <c r="O620" s="853"/>
      <c r="P620" s="249"/>
      <c r="Q620" s="701"/>
      <c r="R620" s="701"/>
      <c r="S620" s="853"/>
      <c r="T620" s="861" t="s">
        <v>1290</v>
      </c>
      <c r="U620" s="853"/>
      <c r="V620" s="854"/>
      <c r="W620" s="854"/>
      <c r="X620" s="872" t="s">
        <v>1302</v>
      </c>
      <c r="Y620" s="855"/>
      <c r="Z620" s="853"/>
      <c r="AA620" s="853"/>
      <c r="AB620" s="853"/>
      <c r="AC620" s="859"/>
      <c r="AD620" s="860" t="s">
        <v>1291</v>
      </c>
      <c r="AE620" s="853"/>
      <c r="AF620" s="681"/>
      <c r="AG620" s="681"/>
      <c r="AH620" s="681"/>
      <c r="AI620" s="681"/>
      <c r="AJ620" s="679"/>
      <c r="AK620" s="679"/>
      <c r="AL620" s="679"/>
    </row>
    <row r="621" spans="1:44" ht="38.25" customHeight="1" x14ac:dyDescent="0.2">
      <c r="A621" s="856" t="s">
        <v>509</v>
      </c>
      <c r="B621" s="942" t="s">
        <v>1329</v>
      </c>
      <c r="C621" s="857">
        <v>1</v>
      </c>
      <c r="D621" s="857">
        <v>2</v>
      </c>
      <c r="E621" s="857">
        <v>3</v>
      </c>
      <c r="F621" s="857">
        <v>4</v>
      </c>
      <c r="G621" s="857">
        <v>5</v>
      </c>
      <c r="H621" s="857">
        <v>6</v>
      </c>
      <c r="I621" s="857">
        <v>7</v>
      </c>
      <c r="J621" s="857">
        <v>8</v>
      </c>
      <c r="K621" s="858" t="s">
        <v>1286</v>
      </c>
      <c r="L621" s="1154" t="s">
        <v>1287</v>
      </c>
      <c r="M621" s="1154"/>
      <c r="N621" s="1154"/>
      <c r="O621" s="858" t="s">
        <v>1288</v>
      </c>
      <c r="P621" s="844"/>
      <c r="Q621" s="856" t="s">
        <v>509</v>
      </c>
      <c r="R621" s="942" t="s">
        <v>1329</v>
      </c>
      <c r="S621" s="857">
        <v>1</v>
      </c>
      <c r="T621" s="857">
        <v>2</v>
      </c>
      <c r="U621" s="857">
        <v>3</v>
      </c>
      <c r="V621" s="857">
        <v>4</v>
      </c>
      <c r="W621" s="857">
        <v>5</v>
      </c>
      <c r="X621" s="857">
        <v>6</v>
      </c>
      <c r="Y621" s="857">
        <v>7</v>
      </c>
      <c r="Z621" s="857">
        <v>8</v>
      </c>
      <c r="AA621" s="858" t="s">
        <v>1286</v>
      </c>
      <c r="AB621" s="1154" t="s">
        <v>1287</v>
      </c>
      <c r="AC621" s="1154"/>
      <c r="AD621" s="1154"/>
      <c r="AE621" s="858" t="s">
        <v>1288</v>
      </c>
      <c r="AF621" s="681"/>
      <c r="AG621" s="681"/>
      <c r="AH621" s="681"/>
      <c r="AI621" s="681"/>
      <c r="AJ621" s="679"/>
      <c r="AK621" s="679"/>
      <c r="AL621" s="679"/>
    </row>
    <row r="622" spans="1:44" ht="30" customHeight="1" x14ac:dyDescent="0.25">
      <c r="A622" s="846" t="s">
        <v>1282</v>
      </c>
      <c r="B622" s="948">
        <f ca="1">E619</f>
        <v>0</v>
      </c>
      <c r="C622" s="843"/>
      <c r="D622" s="843"/>
      <c r="E622" s="843"/>
      <c r="F622" s="843"/>
      <c r="G622" s="847"/>
      <c r="H622" s="848"/>
      <c r="I622" s="846"/>
      <c r="J622" s="843"/>
      <c r="K622" s="843"/>
      <c r="L622" s="849">
        <f ca="1">IF(Q615="Matchs de CLASSEMENT","X",2)</f>
        <v>2</v>
      </c>
      <c r="M622" s="849">
        <f ca="1">IF(Q615="Matchs de CLASSEMENT","X",1)</f>
        <v>1</v>
      </c>
      <c r="N622" s="849">
        <f ca="1">IF(Q615="Matchs de CLASSEMENT","X",0)</f>
        <v>0</v>
      </c>
      <c r="O622" s="849" t="str">
        <f ca="1">IF(Q615="Matchs de CLASSEMENT","X","")</f>
        <v/>
      </c>
      <c r="P622" s="842"/>
      <c r="Q622" s="849" t="str">
        <f ca="1">IF(Q615="Matchs de CLASSEMENT","X","V1")</f>
        <v>V1</v>
      </c>
      <c r="R622" s="948">
        <f ca="1">U619</f>
        <v>0</v>
      </c>
      <c r="S622" s="849" t="str">
        <f ca="1">IF(Q615="Matchs de CLASSEMENT","X","")</f>
        <v/>
      </c>
      <c r="T622" s="849" t="str">
        <f ca="1">IF(Q615="Matchs de CLASSEMENT","X","")</f>
        <v/>
      </c>
      <c r="U622" s="849" t="str">
        <f ca="1">IF(Q615="Matchs de CLASSEMENT","X","")</f>
        <v/>
      </c>
      <c r="V622" s="849" t="str">
        <f ca="1">IF(Q615="Matchs de CLASSEMENT","X","")</f>
        <v/>
      </c>
      <c r="W622" s="849" t="str">
        <f ca="1">IF(Q615="Matchs de CLASSEMENT","X","")</f>
        <v/>
      </c>
      <c r="X622" s="849" t="str">
        <f ca="1">IF(Q615="Matchs de CLASSEMENT","X","")</f>
        <v/>
      </c>
      <c r="Y622" s="849" t="str">
        <f ca="1">IF(Q615="Matchs de CLASSEMENT","X","")</f>
        <v/>
      </c>
      <c r="Z622" s="849" t="str">
        <f ca="1">IF(Q615="Matchs de CLASSEMENT","X","")</f>
        <v/>
      </c>
      <c r="AA622" s="849" t="str">
        <f ca="1">IF(Q615="Matchs de CLASSEMENT","X","")</f>
        <v/>
      </c>
      <c r="AB622" s="849">
        <f ca="1">IF(Q615="Matchs de CLASSEMENT","X",2)</f>
        <v>2</v>
      </c>
      <c r="AC622" s="849">
        <f ca="1">IF(Q615="Matchs de CLASSEMENT","X",1)</f>
        <v>1</v>
      </c>
      <c r="AD622" s="849">
        <f ca="1">IF(Q615="Matchs de CLASSEMENT","X",0)</f>
        <v>0</v>
      </c>
      <c r="AE622" s="849" t="str">
        <f ca="1">IF(Q615="Matchs de CLASSEMENT","X","")</f>
        <v/>
      </c>
      <c r="AF622" s="679"/>
      <c r="AG622" s="679"/>
      <c r="AH622" s="679"/>
      <c r="AI622" s="679"/>
      <c r="AJ622" s="679"/>
      <c r="AK622" s="679"/>
      <c r="AL622" s="679"/>
    </row>
    <row r="623" spans="1:44" ht="30" customHeight="1" x14ac:dyDescent="0.25">
      <c r="A623" s="846" t="s">
        <v>1283</v>
      </c>
      <c r="B623" s="948">
        <f ca="1">B622</f>
        <v>0</v>
      </c>
      <c r="C623" s="843"/>
      <c r="D623" s="843"/>
      <c r="E623" s="843"/>
      <c r="F623" s="843"/>
      <c r="G623" s="847"/>
      <c r="H623" s="848"/>
      <c r="I623" s="846"/>
      <c r="J623" s="843"/>
      <c r="K623" s="843"/>
      <c r="L623" s="849">
        <f ca="1">IF(Q615="Matchs de CLASSEMENT","X",2)</f>
        <v>2</v>
      </c>
      <c r="M623" s="849">
        <f ca="1">IF(Q615="Matchs de CLASSEMENT","X",1)</f>
        <v>1</v>
      </c>
      <c r="N623" s="849">
        <f ca="1">IF(Q615="Matchs de CLASSEMENT","X",0)</f>
        <v>0</v>
      </c>
      <c r="O623" s="849" t="str">
        <f ca="1">IF(Q615="Matchs de CLASSEMENT","X","")</f>
        <v/>
      </c>
      <c r="P623" s="842"/>
      <c r="Q623" s="849" t="str">
        <f ca="1">IF(Q615="Matchs de CLASSEMENT","X","V2")</f>
        <v>V2</v>
      </c>
      <c r="R623" s="948">
        <f ca="1">R622</f>
        <v>0</v>
      </c>
      <c r="S623" s="849" t="str">
        <f ca="1">IF(Q615="Matchs de CLASSEMENT","X","")</f>
        <v/>
      </c>
      <c r="T623" s="849" t="str">
        <f ca="1">IF(Q615="Matchs de CLASSEMENT","X","")</f>
        <v/>
      </c>
      <c r="U623" s="849" t="str">
        <f ca="1">IF(Q615="Matchs de CLASSEMENT","X","")</f>
        <v/>
      </c>
      <c r="V623" s="849" t="str">
        <f ca="1">IF(Q615="Matchs de CLASSEMENT","X","")</f>
        <v/>
      </c>
      <c r="W623" s="849" t="str">
        <f ca="1">IF(Q615="Matchs de CLASSEMENT","X","")</f>
        <v/>
      </c>
      <c r="X623" s="849" t="str">
        <f ca="1">IF(Q615="Matchs de CLASSEMENT","X","")</f>
        <v/>
      </c>
      <c r="Y623" s="849" t="str">
        <f ca="1">IF(Q615="Matchs de CLASSEMENT","X","")</f>
        <v/>
      </c>
      <c r="Z623" s="849" t="str">
        <f ca="1">IF(Q615="Matchs de CLASSEMENT","X","")</f>
        <v/>
      </c>
      <c r="AA623" s="849" t="str">
        <f ca="1">IF(Q615="Matchs de CLASSEMENT","X","")</f>
        <v/>
      </c>
      <c r="AB623" s="849">
        <f ca="1">IF(Q615="Matchs de CLASSEMENT","X",2)</f>
        <v>2</v>
      </c>
      <c r="AC623" s="849">
        <f ca="1">IF(Q615="Matchs de CLASSEMENT","X",1)</f>
        <v>1</v>
      </c>
      <c r="AD623" s="849">
        <f ca="1">IF(Q615="Matchs de CLASSEMENT","X",0)</f>
        <v>0</v>
      </c>
      <c r="AE623" s="849" t="str">
        <f ca="1">IF(Q615="Matchs de CLASSEMENT","X","")</f>
        <v/>
      </c>
      <c r="AF623" s="679"/>
      <c r="AG623" s="679"/>
      <c r="AH623" s="679"/>
      <c r="AI623" s="679"/>
      <c r="AJ623" s="679"/>
      <c r="AK623" s="679"/>
      <c r="AL623" s="679"/>
    </row>
    <row r="624" spans="1:44" ht="30" customHeight="1" x14ac:dyDescent="0.25">
      <c r="A624" s="846" t="s">
        <v>1284</v>
      </c>
      <c r="B624" s="948">
        <f t="shared" ref="B624:B625" ca="1" si="41">B623</f>
        <v>0</v>
      </c>
      <c r="C624" s="843"/>
      <c r="D624" s="843"/>
      <c r="E624" s="843"/>
      <c r="F624" s="843"/>
      <c r="G624" s="847"/>
      <c r="H624" s="848"/>
      <c r="I624" s="846"/>
      <c r="J624" s="843"/>
      <c r="K624" s="843"/>
      <c r="L624" s="849">
        <f ca="1">IF(Q615="Matchs de CLASSEMENT","X",2)</f>
        <v>2</v>
      </c>
      <c r="M624" s="849">
        <f ca="1">IF(Q615="Matchs de CLASSEMENT","X",1)</f>
        <v>1</v>
      </c>
      <c r="N624" s="849">
        <f ca="1">IF(Q615="Matchs de CLASSEMENT","X",0)</f>
        <v>0</v>
      </c>
      <c r="O624" s="849" t="str">
        <f ca="1">IF(Q615="Matchs de CLASSEMENT","X","")</f>
        <v/>
      </c>
      <c r="P624" s="842"/>
      <c r="Q624" s="849" t="str">
        <f ca="1">IF(Q615="Matchs de CLASSEMENT","X","V3")</f>
        <v>V3</v>
      </c>
      <c r="R624" s="948">
        <f t="shared" ref="R624:R625" ca="1" si="42">R623</f>
        <v>0</v>
      </c>
      <c r="S624" s="849" t="str">
        <f ca="1">IF(Q615="Matchs de CLASSEMENT","X","")</f>
        <v/>
      </c>
      <c r="T624" s="849" t="str">
        <f ca="1">IF(Q615="Matchs de CLASSEMENT","X","")</f>
        <v/>
      </c>
      <c r="U624" s="849" t="str">
        <f ca="1">IF(Q615="Matchs de CLASSEMENT","X","")</f>
        <v/>
      </c>
      <c r="V624" s="849" t="str">
        <f ca="1">IF(Q615="Matchs de CLASSEMENT","X","")</f>
        <v/>
      </c>
      <c r="W624" s="849" t="str">
        <f ca="1">IF(Q615="Matchs de CLASSEMENT","X","")</f>
        <v/>
      </c>
      <c r="X624" s="849" t="str">
        <f ca="1">IF(Q615="Matchs de CLASSEMENT","X","")</f>
        <v/>
      </c>
      <c r="Y624" s="849" t="str">
        <f ca="1">IF(Q615="Matchs de CLASSEMENT","X","")</f>
        <v/>
      </c>
      <c r="Z624" s="849" t="str">
        <f ca="1">IF(Q615="Matchs de CLASSEMENT","X","")</f>
        <v/>
      </c>
      <c r="AA624" s="849" t="str">
        <f ca="1">IF(Q615="Matchs de CLASSEMENT","X","")</f>
        <v/>
      </c>
      <c r="AB624" s="849">
        <f ca="1">IF(Q615="Matchs de CLASSEMENT","X",2)</f>
        <v>2</v>
      </c>
      <c r="AC624" s="849">
        <f ca="1">IF(Q615="Matchs de CLASSEMENT","X",1)</f>
        <v>1</v>
      </c>
      <c r="AD624" s="849">
        <f ca="1">IF(Q615="Matchs de CLASSEMENT","X",0)</f>
        <v>0</v>
      </c>
      <c r="AE624" s="849" t="str">
        <f ca="1">IF(Q615="Matchs de CLASSEMENT","X","")</f>
        <v/>
      </c>
      <c r="AF624" s="679"/>
      <c r="AG624" s="679"/>
      <c r="AH624" s="679"/>
      <c r="AI624" s="679"/>
      <c r="AJ624" s="679"/>
      <c r="AK624" s="679"/>
      <c r="AL624" s="679"/>
    </row>
    <row r="625" spans="1:38" ht="30" customHeight="1" x14ac:dyDescent="0.25">
      <c r="A625" s="846" t="s">
        <v>1285</v>
      </c>
      <c r="B625" s="948">
        <f t="shared" ca="1" si="41"/>
        <v>0</v>
      </c>
      <c r="C625" s="843"/>
      <c r="D625" s="843"/>
      <c r="E625" s="843"/>
      <c r="F625" s="843"/>
      <c r="G625" s="847"/>
      <c r="H625" s="848"/>
      <c r="I625" s="846"/>
      <c r="J625" s="843"/>
      <c r="K625" s="843"/>
      <c r="L625" s="849">
        <f ca="1">IF(Q615="Matchs de CLASSEMENT","X",2)</f>
        <v>2</v>
      </c>
      <c r="M625" s="849">
        <f ca="1">IF(Q615="Matchs de CLASSEMENT","X",1)</f>
        <v>1</v>
      </c>
      <c r="N625" s="849">
        <f ca="1">IF(Q615="Matchs de CLASSEMENT","X",0)</f>
        <v>0</v>
      </c>
      <c r="O625" s="849" t="str">
        <f ca="1">IF(Q615="Matchs de CLASSEMENT","X","")</f>
        <v/>
      </c>
      <c r="P625" s="842"/>
      <c r="Q625" s="849" t="str">
        <f ca="1">IF(Q615="Matchs de CLASSEMENT","X","V4")</f>
        <v>V4</v>
      </c>
      <c r="R625" s="948">
        <f t="shared" ca="1" si="42"/>
        <v>0</v>
      </c>
      <c r="S625" s="849" t="str">
        <f ca="1">IF(Q615="Matchs de CLASSEMENT","X","")</f>
        <v/>
      </c>
      <c r="T625" s="849" t="str">
        <f ca="1">IF(Q615="Matchs de CLASSEMENT","X","")</f>
        <v/>
      </c>
      <c r="U625" s="849" t="str">
        <f ca="1">IF(Q615="Matchs de CLASSEMENT","X","")</f>
        <v/>
      </c>
      <c r="V625" s="849" t="str">
        <f ca="1">IF(Q615="Matchs de CLASSEMENT","X","")</f>
        <v/>
      </c>
      <c r="W625" s="849" t="str">
        <f ca="1">IF(Q615="Matchs de CLASSEMENT","X","")</f>
        <v/>
      </c>
      <c r="X625" s="849" t="str">
        <f ca="1">IF(Q615="Matchs de CLASSEMENT","X","")</f>
        <v/>
      </c>
      <c r="Y625" s="849" t="str">
        <f ca="1">IF(Q615="Matchs de CLASSEMENT","X","")</f>
        <v/>
      </c>
      <c r="Z625" s="849" t="str">
        <f ca="1">IF(Q615="Matchs de CLASSEMENT","X","")</f>
        <v/>
      </c>
      <c r="AA625" s="849" t="str">
        <f ca="1">IF(Q615="Matchs de CLASSEMENT","X","")</f>
        <v/>
      </c>
      <c r="AB625" s="849">
        <f ca="1">IF(Q615="Matchs de CLASSEMENT","X",2)</f>
        <v>2</v>
      </c>
      <c r="AC625" s="849">
        <f ca="1">IF(Q615="Matchs de CLASSEMENT","X",1)</f>
        <v>1</v>
      </c>
      <c r="AD625" s="849">
        <f ca="1">IF(Q615="Matchs de CLASSEMENT","X",0)</f>
        <v>0</v>
      </c>
      <c r="AE625" s="849" t="str">
        <f ca="1">IF(Q615="Matchs de CLASSEMENT","X","")</f>
        <v/>
      </c>
      <c r="AF625" s="679"/>
      <c r="AG625" s="679"/>
      <c r="AH625" s="679"/>
      <c r="AI625" s="679"/>
      <c r="AJ625" s="679"/>
      <c r="AK625" s="679"/>
      <c r="AL625" s="679"/>
    </row>
    <row r="626" spans="1:38" ht="30" customHeight="1" x14ac:dyDescent="0.2">
      <c r="N626" s="867" t="s">
        <v>1294</v>
      </c>
      <c r="O626" s="848"/>
      <c r="AD626" s="867" t="s">
        <v>1294</v>
      </c>
      <c r="AE626" s="866"/>
      <c r="AF626" s="679"/>
      <c r="AG626" s="679"/>
      <c r="AH626" s="679"/>
      <c r="AI626" s="679"/>
      <c r="AJ626" s="679"/>
      <c r="AK626" s="679"/>
      <c r="AL626" s="679"/>
    </row>
    <row r="627" spans="1:38" ht="12.75" customHeight="1" x14ac:dyDescent="0.2">
      <c r="AE627" s="520"/>
      <c r="AF627" s="679"/>
      <c r="AG627" s="679"/>
      <c r="AH627" s="679"/>
      <c r="AI627" s="679"/>
      <c r="AJ627" s="679"/>
      <c r="AK627" s="679"/>
      <c r="AL627" s="679"/>
    </row>
    <row r="628" spans="1:38" ht="18.75" customHeight="1" x14ac:dyDescent="0.2">
      <c r="A628" s="584"/>
      <c r="B628" s="584"/>
      <c r="C628" s="701" t="s">
        <v>1289</v>
      </c>
      <c r="D628" s="249"/>
      <c r="E628" s="196"/>
      <c r="F628" s="196"/>
      <c r="G628" s="584"/>
      <c r="H628" s="1155" t="s">
        <v>1301</v>
      </c>
      <c r="I628" s="1155"/>
      <c r="J628" s="1155"/>
      <c r="K628" s="1155"/>
      <c r="L628" s="1155"/>
      <c r="M628" s="1155"/>
      <c r="N628" s="1155"/>
      <c r="O628" s="1155"/>
      <c r="P628" s="842"/>
      <c r="Q628" s="219"/>
      <c r="R628" s="219"/>
      <c r="S628" s="701" t="s">
        <v>1289</v>
      </c>
      <c r="T628" s="249"/>
      <c r="U628" s="196"/>
      <c r="V628" s="196"/>
      <c r="X628" s="1155" t="s">
        <v>1304</v>
      </c>
      <c r="Y628" s="1155"/>
      <c r="Z628" s="1155"/>
      <c r="AA628" s="1155"/>
      <c r="AB628" s="1155"/>
      <c r="AC628" s="1155"/>
      <c r="AD628" s="1155"/>
      <c r="AE628" s="1155"/>
      <c r="AF628" s="679"/>
      <c r="AG628" s="679"/>
      <c r="AH628" s="679"/>
      <c r="AI628" s="679"/>
      <c r="AJ628" s="679"/>
      <c r="AK628" s="679"/>
      <c r="AL628" s="679"/>
    </row>
    <row r="629" spans="1:38" ht="32.25" customHeight="1" x14ac:dyDescent="0.2">
      <c r="A629" s="584"/>
      <c r="B629" s="584"/>
      <c r="C629" s="850"/>
      <c r="D629" s="851"/>
      <c r="E629" s="852"/>
      <c r="F629" s="852"/>
      <c r="G629" s="584"/>
      <c r="H629" s="1149" t="s">
        <v>549</v>
      </c>
      <c r="I629" s="1149"/>
      <c r="J629" s="1149"/>
      <c r="K629" s="1149"/>
      <c r="L629" s="1149"/>
      <c r="M629" s="1146" t="s">
        <v>550</v>
      </c>
      <c r="N629" s="1147"/>
      <c r="O629" s="1148"/>
      <c r="P629" s="842"/>
      <c r="Q629" s="219"/>
      <c r="R629" s="219"/>
      <c r="S629" s="850"/>
      <c r="T629" s="851"/>
      <c r="U629" s="852"/>
      <c r="V629" s="852"/>
      <c r="X629" s="1149" t="s">
        <v>549</v>
      </c>
      <c r="Y629" s="1149"/>
      <c r="Z629" s="1149"/>
      <c r="AA629" s="1149"/>
      <c r="AB629" s="1149"/>
      <c r="AC629" s="1146" t="s">
        <v>550</v>
      </c>
      <c r="AD629" s="1147"/>
      <c r="AE629" s="1148"/>
      <c r="AG629" s="679"/>
      <c r="AH629" s="679"/>
      <c r="AI629" s="679"/>
      <c r="AJ629" s="679"/>
      <c r="AK629" s="679"/>
      <c r="AL629" s="679"/>
    </row>
    <row r="630" spans="1:38" ht="32.25" customHeight="1" x14ac:dyDescent="0.2">
      <c r="A630" s="584"/>
      <c r="B630" s="584"/>
      <c r="C630" s="850"/>
      <c r="D630" s="851"/>
      <c r="E630" s="852"/>
      <c r="F630" s="852"/>
      <c r="G630" s="584"/>
      <c r="H630" s="1140" t="str">
        <f ca="1">IFERROR(VLOOKUP(X611,Num_AS,6,FALSE)&amp;" "&amp;VLOOKUP(X611,Num_AS,7,FALSE),"")</f>
        <v/>
      </c>
      <c r="I630" s="1140"/>
      <c r="J630" s="1140"/>
      <c r="K630" s="1140"/>
      <c r="L630" s="1140"/>
      <c r="M630" s="1129" t="str">
        <f ca="1">IFERROR(VLOOKUP(X611,Num_AS,9,FALSE),"")</f>
        <v/>
      </c>
      <c r="N630" s="1130"/>
      <c r="O630" s="1131"/>
      <c r="P630" s="842"/>
      <c r="Q630" s="219"/>
      <c r="R630" s="219"/>
      <c r="S630" s="850"/>
      <c r="T630" s="851"/>
      <c r="U630" s="852"/>
      <c r="V630" s="852"/>
      <c r="W630" s="196"/>
      <c r="X630" s="1140" t="str">
        <f ca="1">IFERROR(VLOOKUP(Z611,Num_AS,6,FALSE)&amp;" "&amp;VLOOKUP(Z611,Num_AS,7,FALSE),"")</f>
        <v/>
      </c>
      <c r="Y630" s="1140"/>
      <c r="Z630" s="1140"/>
      <c r="AA630" s="1140"/>
      <c r="AB630" s="1140"/>
      <c r="AC630" s="1129" t="str">
        <f ca="1">IFERROR(VLOOKUP(Z611,Num_AS,9,FALSE),"")</f>
        <v/>
      </c>
      <c r="AD630" s="1130"/>
      <c r="AE630" s="1131"/>
    </row>
    <row r="631" spans="1:38" ht="32.25" customHeight="1" x14ac:dyDescent="0.2">
      <c r="A631" s="584"/>
      <c r="B631" s="584"/>
      <c r="C631" s="850"/>
      <c r="D631" s="851"/>
      <c r="E631" s="852"/>
      <c r="F631" s="852"/>
      <c r="G631" s="584"/>
      <c r="H631" s="1140" t="str">
        <f ca="1">IFERROR(VLOOKUP(X611,Num_AS,12,FALSE)&amp;" "&amp;VLOOKUP(X611,Num_AS,13,FALSE),"")</f>
        <v/>
      </c>
      <c r="I631" s="1140"/>
      <c r="J631" s="1140"/>
      <c r="K631" s="1140"/>
      <c r="L631" s="1140"/>
      <c r="M631" s="1129" t="str">
        <f ca="1">IFERROR(VLOOKUP(X611,Num_AS,15,FALSE),"")</f>
        <v/>
      </c>
      <c r="N631" s="1130"/>
      <c r="O631" s="1131">
        <f ca="1">G613</f>
        <v>0</v>
      </c>
      <c r="P631" s="842"/>
      <c r="Q631" s="219"/>
      <c r="R631" s="219"/>
      <c r="S631" s="850"/>
      <c r="T631" s="851"/>
      <c r="U631" s="852"/>
      <c r="V631" s="852"/>
      <c r="W631" s="196"/>
      <c r="X631" s="1140" t="str">
        <f ca="1">IFERROR(VLOOKUP(Z611,Num_AS,12,FALSE)&amp;" "&amp;VLOOKUP(Z611,Num_AS,13,FALSE),"")</f>
        <v/>
      </c>
      <c r="Y631" s="1140"/>
      <c r="Z631" s="1140"/>
      <c r="AA631" s="1140"/>
      <c r="AB631" s="1140"/>
      <c r="AC631" s="1129" t="str">
        <f ca="1">IFERROR(VLOOKUP(Z611,Num_AS,15,FALSE),"")</f>
        <v/>
      </c>
      <c r="AD631" s="1130"/>
      <c r="AE631" s="1131">
        <f>W613</f>
        <v>0</v>
      </c>
    </row>
    <row r="632" spans="1:38" ht="32.25" customHeight="1" x14ac:dyDescent="0.2">
      <c r="A632" s="584"/>
      <c r="B632" s="584"/>
      <c r="C632" s="584"/>
      <c r="D632" s="584"/>
      <c r="E632" s="584"/>
      <c r="F632" s="584"/>
      <c r="G632" s="584"/>
      <c r="H632" s="1140" t="str">
        <f ca="1">IFERROR(VLOOKUP(X611,Num_AS,18,FALSE)&amp;" "&amp;VLOOKUP(X611,Num_AS,19,FALSE),"")</f>
        <v/>
      </c>
      <c r="I632" s="1140"/>
      <c r="J632" s="1140"/>
      <c r="K632" s="1140"/>
      <c r="L632" s="1140"/>
      <c r="M632" s="1129" t="str">
        <f ca="1">IFERROR(VLOOKUP(X611,Num_AS,21,FALSE),"")</f>
        <v/>
      </c>
      <c r="N632" s="1130"/>
      <c r="O632" s="1131">
        <f ca="1">G613</f>
        <v>0</v>
      </c>
      <c r="P632" s="842"/>
      <c r="Q632" s="219"/>
      <c r="R632" s="219"/>
      <c r="S632" s="584"/>
      <c r="T632" s="584"/>
      <c r="U632" s="584"/>
      <c r="V632" s="584"/>
      <c r="W632" s="196"/>
      <c r="X632" s="1140" t="str">
        <f ca="1">IFERROR(VLOOKUP(Z611,Num_AS,18,FALSE)&amp;" "&amp;VLOOKUP(Z611,Num_AS,19,FALSE),"")</f>
        <v/>
      </c>
      <c r="Y632" s="1140"/>
      <c r="Z632" s="1140"/>
      <c r="AA632" s="1140"/>
      <c r="AB632" s="1140"/>
      <c r="AC632" s="1129" t="str">
        <f ca="1">IFERROR(VLOOKUP(Z611,Num_AS,21,FALSE),"")</f>
        <v/>
      </c>
      <c r="AD632" s="1130"/>
      <c r="AE632" s="1131">
        <f>W613</f>
        <v>0</v>
      </c>
    </row>
    <row r="633" spans="1:38" ht="32.25" customHeight="1" x14ac:dyDescent="0.2">
      <c r="A633" s="584"/>
      <c r="B633" s="584"/>
      <c r="C633" s="862"/>
      <c r="D633" s="1141" t="s">
        <v>1292</v>
      </c>
      <c r="E633" s="1142"/>
      <c r="F633" s="1143"/>
      <c r="G633" s="584"/>
      <c r="H633" s="1140" t="str">
        <f ca="1">IFERROR(VLOOKUP(X611,Num_AS,24,FALSE)&amp;" "&amp;VLOOKUP(X611,Num_AS,25,FALSE),"")</f>
        <v/>
      </c>
      <c r="I633" s="1140"/>
      <c r="J633" s="1140"/>
      <c r="K633" s="1140"/>
      <c r="L633" s="1140"/>
      <c r="M633" s="1129" t="str">
        <f ca="1">IFERROR(VLOOKUP(X611,Num_AS,9,FALSE),"")</f>
        <v/>
      </c>
      <c r="N633" s="1130"/>
      <c r="O633" s="1131">
        <f ca="1">G613</f>
        <v>0</v>
      </c>
      <c r="P633" s="842"/>
      <c r="Q633" s="219"/>
      <c r="R633" s="219"/>
      <c r="S633" s="862"/>
      <c r="T633" s="1141" t="s">
        <v>1292</v>
      </c>
      <c r="U633" s="1142"/>
      <c r="V633" s="1143"/>
      <c r="W633" s="196"/>
      <c r="X633" s="1140" t="str">
        <f ca="1">IFERROR(VLOOKUP(Z611,Num_AS,24,FALSE)&amp;" "&amp;VLOOKUP(Z611,Num_AS,25,FALSE),"")</f>
        <v/>
      </c>
      <c r="Y633" s="1140"/>
      <c r="Z633" s="1140"/>
      <c r="AA633" s="1140"/>
      <c r="AB633" s="1140"/>
      <c r="AC633" s="1129" t="str">
        <f ca="1">IFERROR(VLOOKUP(Z611,Num_AS,9,FALSE),"")</f>
        <v/>
      </c>
      <c r="AD633" s="1130"/>
      <c r="AE633" s="1131">
        <f>W613</f>
        <v>0</v>
      </c>
    </row>
    <row r="634" spans="1:38" ht="18.75" customHeight="1" thickBot="1" x14ac:dyDescent="0.25">
      <c r="A634" s="701"/>
      <c r="B634" s="701"/>
      <c r="C634" s="249"/>
      <c r="D634" s="249"/>
      <c r="E634" s="249"/>
      <c r="F634" s="701"/>
      <c r="G634" s="701"/>
      <c r="H634" s="196"/>
      <c r="I634" s="196"/>
      <c r="J634" s="249"/>
      <c r="K634" s="219"/>
      <c r="L634" s="219"/>
      <c r="M634" s="219"/>
      <c r="N634" s="219"/>
      <c r="O634" s="219"/>
      <c r="P634" s="219"/>
      <c r="Q634" s="219"/>
      <c r="R634" s="219"/>
      <c r="S634" s="219"/>
      <c r="T634" s="219"/>
      <c r="U634" s="219"/>
      <c r="V634" s="219"/>
      <c r="W634" s="219"/>
      <c r="X634" s="219"/>
      <c r="Y634" s="249"/>
      <c r="Z634" s="219"/>
      <c r="AE634" s="520"/>
    </row>
    <row r="635" spans="1:38" ht="32.25" customHeight="1" x14ac:dyDescent="0.25">
      <c r="A635" s="701"/>
      <c r="B635" s="701"/>
      <c r="D635" s="875" t="s">
        <v>1002</v>
      </c>
      <c r="E635" s="876"/>
      <c r="F635" s="876"/>
      <c r="G635" s="876"/>
      <c r="H635" s="876"/>
      <c r="I635" s="876"/>
      <c r="J635" s="876"/>
      <c r="K635" s="876"/>
      <c r="L635" s="876"/>
      <c r="M635" s="877" t="s">
        <v>1297</v>
      </c>
      <c r="N635" s="219"/>
      <c r="O635" s="1132" t="s">
        <v>1293</v>
      </c>
      <c r="P635" s="1133"/>
      <c r="Q635" s="1134"/>
      <c r="R635" s="941"/>
      <c r="T635" s="875" t="s">
        <v>1002</v>
      </c>
      <c r="U635" s="876"/>
      <c r="V635" s="876"/>
      <c r="W635" s="876"/>
      <c r="X635" s="876"/>
      <c r="Y635" s="876"/>
      <c r="Z635" s="876"/>
      <c r="AA635" s="876"/>
      <c r="AB635" s="876"/>
      <c r="AC635" s="877" t="s">
        <v>1296</v>
      </c>
      <c r="AE635" s="520"/>
    </row>
    <row r="636" spans="1:38" ht="70.5" customHeight="1" thickBot="1" x14ac:dyDescent="0.25">
      <c r="A636" s="701"/>
      <c r="B636" s="701"/>
      <c r="D636" s="878"/>
      <c r="E636" s="879"/>
      <c r="F636" s="879"/>
      <c r="G636" s="879"/>
      <c r="H636" s="879"/>
      <c r="I636" s="879"/>
      <c r="J636" s="879"/>
      <c r="K636" s="879"/>
      <c r="L636" s="879"/>
      <c r="M636" s="880"/>
      <c r="N636" s="219"/>
      <c r="O636" s="1135"/>
      <c r="P636" s="1136"/>
      <c r="Q636" s="1137"/>
      <c r="R636" s="941"/>
      <c r="T636" s="878"/>
      <c r="U636" s="879"/>
      <c r="V636" s="879"/>
      <c r="W636" s="879"/>
      <c r="X636" s="879"/>
      <c r="Y636" s="879"/>
      <c r="Z636" s="879"/>
      <c r="AA636" s="879"/>
      <c r="AB636" s="879"/>
      <c r="AC636" s="880"/>
      <c r="AE636" s="520"/>
    </row>
    <row r="637" spans="1:38" ht="6.75" customHeight="1" x14ac:dyDescent="0.25">
      <c r="A637" s="701"/>
      <c r="B637" s="701"/>
      <c r="C637" s="249"/>
      <c r="D637" s="249"/>
      <c r="E637" s="249"/>
      <c r="F637" s="701"/>
      <c r="G637" s="701"/>
      <c r="H637" s="196"/>
      <c r="I637" s="196"/>
      <c r="J637" s="249"/>
      <c r="K637" s="219"/>
      <c r="L637" s="842"/>
      <c r="M637" s="842"/>
      <c r="N637" s="842"/>
      <c r="O637" s="842"/>
      <c r="P637" s="842"/>
      <c r="Q637" s="842"/>
      <c r="R637" s="842"/>
      <c r="T637" s="845"/>
      <c r="U637" s="842"/>
      <c r="V637" s="842"/>
      <c r="W637" s="649"/>
      <c r="X637" s="845"/>
      <c r="Y637" s="842"/>
      <c r="Z637" s="842"/>
      <c r="AE637" s="520"/>
    </row>
    <row r="638" spans="1:38" ht="27.75" customHeight="1" x14ac:dyDescent="0.2">
      <c r="A638" s="701"/>
      <c r="B638" s="701"/>
      <c r="C638" s="1138" t="s">
        <v>1300</v>
      </c>
      <c r="D638" s="1138"/>
      <c r="E638" s="1138"/>
      <c r="F638" s="1138"/>
      <c r="G638" s="1138"/>
      <c r="H638" s="1138"/>
      <c r="I638" s="1138"/>
      <c r="J638" s="1138"/>
      <c r="K638" s="1138"/>
      <c r="L638" s="1138"/>
      <c r="M638" s="1138"/>
      <c r="N638" s="1138"/>
      <c r="O638" s="1138"/>
      <c r="P638" s="842"/>
      <c r="Q638" s="1139" t="s">
        <v>1303</v>
      </c>
      <c r="R638" s="1139"/>
      <c r="S638" s="1139"/>
      <c r="T638" s="1139"/>
      <c r="U638" s="1139"/>
      <c r="V638" s="1139"/>
      <c r="W638" s="1139"/>
      <c r="X638" s="1139"/>
      <c r="Y638" s="1139"/>
      <c r="Z638" s="1139"/>
      <c r="AA638" s="1139"/>
      <c r="AB638" s="1139"/>
      <c r="AC638" s="1139"/>
      <c r="AD638" s="1139"/>
      <c r="AE638" s="1139"/>
    </row>
    <row r="639" spans="1:38" ht="36" customHeight="1" x14ac:dyDescent="0.2">
      <c r="AE639" s="520"/>
    </row>
    <row r="640" spans="1:38" ht="19.5" customHeight="1" thickBot="1" x14ac:dyDescent="0.25">
      <c r="W640" s="500"/>
      <c r="X640" s="520">
        <f ca="1">INDIRECT("AE"&amp;Y640)</f>
        <v>0</v>
      </c>
      <c r="Y640" s="500">
        <f>Z641+2</f>
        <v>24</v>
      </c>
      <c r="Z640" s="501">
        <f ca="1">INDIRECT("AF"&amp;Y640)</f>
        <v>0</v>
      </c>
      <c r="AA640" s="500"/>
      <c r="AB640" s="500"/>
      <c r="AD640" s="679"/>
      <c r="AE640" s="679"/>
      <c r="AF640" s="679"/>
      <c r="AG640" s="679"/>
      <c r="AH640" s="679"/>
      <c r="AI640" s="679"/>
      <c r="AJ640" s="679"/>
      <c r="AK640" s="679"/>
      <c r="AL640" s="679"/>
    </row>
    <row r="641" spans="1:44" s="218" customFormat="1" ht="36" thickBot="1" x14ac:dyDescent="0.25">
      <c r="F641" s="576" t="s">
        <v>546</v>
      </c>
      <c r="G641" s="865" t="str">
        <f>G612</f>
        <v>D1</v>
      </c>
      <c r="I641" s="863" t="str">
        <f>"   "&amp;Championnat</f>
        <v xml:space="preserve">   Championnat de France de Tir à l'ARC</v>
      </c>
      <c r="T641" s="197"/>
      <c r="U641" s="197"/>
      <c r="V641" s="197"/>
      <c r="W641" s="197"/>
      <c r="Y641" s="502" t="s">
        <v>849</v>
      </c>
      <c r="Z641" s="503">
        <f>Z612+1</f>
        <v>22</v>
      </c>
      <c r="AB641" s="254"/>
      <c r="AC641" s="254"/>
      <c r="AD641" s="681"/>
      <c r="AE641" s="680"/>
      <c r="AF641" s="681"/>
      <c r="AH641" s="662"/>
      <c r="AI641" s="662"/>
      <c r="AJ641" s="662"/>
      <c r="AK641" s="662"/>
      <c r="AL641" s="662"/>
      <c r="AM641" s="217"/>
      <c r="AN641" s="217"/>
      <c r="AO641" s="217"/>
      <c r="AP641" s="217"/>
      <c r="AQ641" s="217"/>
      <c r="AR641" s="217"/>
    </row>
    <row r="642" spans="1:44" ht="36" thickBot="1" x14ac:dyDescent="0.25">
      <c r="F642" s="661" t="s">
        <v>628</v>
      </c>
      <c r="G642" s="660">
        <f ca="1">INDIRECT("AD"&amp;Y640)</f>
        <v>0</v>
      </c>
      <c r="I642" s="706" t="str">
        <f>CATEG_IMPORTEE</f>
        <v>Collèges Mixtes Etablissement</v>
      </c>
      <c r="S642" s="864" t="str">
        <f>LIEU&amp;" du "&amp;DATE</f>
        <v>L’Isle sur la Sorgue du 27 au 31 mars 2023</v>
      </c>
      <c r="AB642" s="254"/>
      <c r="AC642" s="254"/>
      <c r="AD642" s="681"/>
      <c r="AE642" s="680"/>
      <c r="AF642" s="681"/>
      <c r="AG642" s="679"/>
      <c r="AH642" s="679"/>
      <c r="AI642" s="679"/>
      <c r="AJ642" s="679"/>
      <c r="AK642" s="679"/>
      <c r="AL642" s="679"/>
    </row>
    <row r="643" spans="1:44" ht="24" customHeight="1" x14ac:dyDescent="0.2">
      <c r="A643" s="1075" t="s">
        <v>0</v>
      </c>
      <c r="B643" s="1075"/>
      <c r="C643" s="1075"/>
      <c r="D643" s="1075"/>
      <c r="E643" s="1075"/>
      <c r="F643" s="1075"/>
      <c r="G643" s="1075"/>
      <c r="H643" s="1075"/>
      <c r="I643" s="1075"/>
      <c r="J643" s="1075"/>
      <c r="Q643" s="1075" t="s">
        <v>0</v>
      </c>
      <c r="R643" s="1075"/>
      <c r="S643" s="1075"/>
      <c r="T643" s="1075"/>
      <c r="U643" s="1075"/>
      <c r="V643" s="1075"/>
      <c r="W643" s="1075"/>
      <c r="X643" s="1075"/>
      <c r="Y643" s="1075"/>
      <c r="Z643" s="1075"/>
      <c r="AB643" s="254"/>
      <c r="AC643" s="254"/>
      <c r="AD643" s="681"/>
      <c r="AE643" s="680"/>
      <c r="AF643" s="681"/>
      <c r="AG643" s="679"/>
      <c r="AH643" s="679"/>
      <c r="AI643" s="679"/>
      <c r="AJ643" s="679"/>
      <c r="AK643" s="679"/>
      <c r="AL643" s="679"/>
    </row>
    <row r="644" spans="1:44" ht="31.5" customHeight="1" x14ac:dyDescent="0.2">
      <c r="A644" s="1144" t="str">
        <f ca="1">IFERROR(VLOOKUP(X640,Num_AS,2,FALSE),"")</f>
        <v/>
      </c>
      <c r="B644" s="1144"/>
      <c r="C644" s="1144"/>
      <c r="D644" s="1144"/>
      <c r="E644" s="1144"/>
      <c r="F644" s="1144"/>
      <c r="G644" s="1144"/>
      <c r="H644" s="1144"/>
      <c r="I644" s="1144"/>
      <c r="J644" s="1144"/>
      <c r="K644" s="869" t="s">
        <v>1299</v>
      </c>
      <c r="L644" s="1145" t="s">
        <v>547</v>
      </c>
      <c r="M644" s="1145"/>
      <c r="N644" s="1145"/>
      <c r="O644" s="870" t="s">
        <v>1298</v>
      </c>
      <c r="Q644" s="1144" t="str">
        <f ca="1">IFERROR(VLOOKUP(Z640,Num_AS,2,FALSE),"")</f>
        <v/>
      </c>
      <c r="R644" s="1144"/>
      <c r="S644" s="1144"/>
      <c r="T644" s="1144"/>
      <c r="U644" s="1144"/>
      <c r="V644" s="1144"/>
      <c r="W644" s="1144"/>
      <c r="X644" s="1144"/>
      <c r="Y644" s="1144"/>
      <c r="Z644" s="1144"/>
      <c r="AB644" s="254"/>
      <c r="AC644" s="254"/>
      <c r="AD644" s="681"/>
      <c r="AE644" s="680"/>
      <c r="AF644" s="681"/>
      <c r="AG644" s="679"/>
      <c r="AH644" s="679"/>
      <c r="AI644" s="679"/>
      <c r="AJ644" s="679"/>
      <c r="AK644" s="679"/>
      <c r="AL644" s="679"/>
    </row>
    <row r="645" spans="1:44" ht="20.100000000000001" customHeight="1" thickBot="1" x14ac:dyDescent="0.25">
      <c r="A645" s="1124" t="s">
        <v>1006</v>
      </c>
      <c r="B645" s="1124"/>
      <c r="C645" s="1125"/>
      <c r="D645" s="1125"/>
      <c r="E645" s="1125"/>
      <c r="F645" s="1125"/>
      <c r="G645" s="1125"/>
      <c r="H645" s="1125"/>
      <c r="I645" s="1125"/>
      <c r="J645" s="1125"/>
      <c r="L645" s="871"/>
      <c r="M645" s="871"/>
      <c r="N645" s="871"/>
      <c r="Q645" s="1124" t="s">
        <v>1005</v>
      </c>
      <c r="R645" s="1124"/>
      <c r="S645" s="1125"/>
      <c r="T645" s="1125"/>
      <c r="U645" s="1125"/>
      <c r="V645" s="1125"/>
      <c r="W645" s="1125"/>
      <c r="X645" s="1125"/>
      <c r="Y645" s="1125"/>
      <c r="Z645" s="1125"/>
      <c r="AB645" s="254"/>
      <c r="AC645" s="254"/>
      <c r="AD645" s="681"/>
      <c r="AE645" s="680"/>
      <c r="AF645" s="681"/>
      <c r="AG645" s="679"/>
      <c r="AH645" s="679"/>
      <c r="AI645" s="679"/>
      <c r="AJ645" s="679"/>
      <c r="AK645" s="679"/>
      <c r="AL645" s="679"/>
    </row>
    <row r="646" spans="1:44" ht="27.75" customHeight="1" x14ac:dyDescent="0.2">
      <c r="A646" s="1117" t="str">
        <f ca="1">IFERROR(VLOOKUP(X640,Num_AS,3,FALSE),"")</f>
        <v/>
      </c>
      <c r="B646" s="1150"/>
      <c r="C646" s="1118"/>
      <c r="D646" s="1151"/>
      <c r="E646" s="1151"/>
      <c r="F646" s="1151"/>
      <c r="G646" s="1151"/>
      <c r="H646" s="1151"/>
      <c r="I646" s="1151"/>
      <c r="J646" s="1119"/>
      <c r="O646" s="219"/>
      <c r="P646" s="219"/>
      <c r="Q646" s="1117" t="str">
        <f ca="1">IFERROR(VLOOKUP(Z640,Num_AS,3,FALSE),"")</f>
        <v/>
      </c>
      <c r="R646" s="1150"/>
      <c r="S646" s="1118"/>
      <c r="T646" s="1151"/>
      <c r="U646" s="1151"/>
      <c r="V646" s="1151"/>
      <c r="W646" s="1151"/>
      <c r="X646" s="1151"/>
      <c r="Y646" s="1151"/>
      <c r="Z646" s="1119"/>
      <c r="AB646" s="254"/>
      <c r="AC646" s="254"/>
      <c r="AD646" s="681"/>
      <c r="AE646" s="680"/>
      <c r="AF646" s="681"/>
      <c r="AG646" s="679"/>
      <c r="AH646" s="679"/>
      <c r="AI646" s="679"/>
      <c r="AJ646" s="679"/>
      <c r="AK646" s="679"/>
      <c r="AL646" s="679"/>
    </row>
    <row r="647" spans="1:44" ht="27.75" customHeight="1" thickBot="1" x14ac:dyDescent="0.25">
      <c r="A647" s="1107" t="str">
        <f ca="1">IFERROR(VLOOKUP(X640,Num_AS,4,FALSE),"")</f>
        <v/>
      </c>
      <c r="B647" s="1152"/>
      <c r="C647" s="1108"/>
      <c r="D647" s="1153"/>
      <c r="E647" s="1153"/>
      <c r="F647" s="1153"/>
      <c r="G647" s="1153"/>
      <c r="H647" s="1153"/>
      <c r="I647" s="1153"/>
      <c r="J647" s="1109"/>
      <c r="Q647" s="1107" t="str">
        <f ca="1">IFERROR(VLOOKUP(Z640,Num_AS,4,FALSE),"")</f>
        <v/>
      </c>
      <c r="R647" s="1152"/>
      <c r="S647" s="1108"/>
      <c r="T647" s="1153"/>
      <c r="U647" s="1153"/>
      <c r="V647" s="1153"/>
      <c r="W647" s="1153"/>
      <c r="X647" s="1153"/>
      <c r="Y647" s="1153"/>
      <c r="Z647" s="1109"/>
      <c r="AB647" s="254"/>
      <c r="AC647" s="254"/>
      <c r="AD647" s="681"/>
      <c r="AE647" s="680"/>
      <c r="AF647" s="681"/>
      <c r="AG647" s="679"/>
      <c r="AH647" s="679"/>
      <c r="AI647" s="679"/>
      <c r="AJ647" s="679"/>
      <c r="AK647" s="679"/>
      <c r="AL647" s="679"/>
    </row>
    <row r="648" spans="1:44" ht="36" customHeight="1" thickBot="1" x14ac:dyDescent="0.25">
      <c r="A648" s="1156" t="s">
        <v>1330</v>
      </c>
      <c r="B648" s="1157"/>
      <c r="C648" s="1157"/>
      <c r="D648" s="1158"/>
      <c r="E648" s="947">
        <f ca="1">VLOOKUP(A644&amp;A646,PTS_SP,3,FALSE)</f>
        <v>0</v>
      </c>
      <c r="Q648" s="1156" t="s">
        <v>1330</v>
      </c>
      <c r="R648" s="1157"/>
      <c r="S648" s="1157"/>
      <c r="T648" s="1158"/>
      <c r="U648" s="947">
        <f ca="1">VLOOKUP(Q644&amp;Q646,PTS_SP,3,FALSE)</f>
        <v>0</v>
      </c>
      <c r="AB648" s="254"/>
      <c r="AC648" s="254"/>
      <c r="AD648" s="681"/>
      <c r="AE648" s="680"/>
      <c r="AF648" s="681"/>
      <c r="AG648" s="679"/>
      <c r="AH648" s="679"/>
      <c r="AI648" s="679"/>
      <c r="AJ648" s="679"/>
      <c r="AK648" s="679"/>
      <c r="AL648" s="679"/>
    </row>
    <row r="649" spans="1:44" ht="38.25" customHeight="1" x14ac:dyDescent="0.2">
      <c r="A649" s="701"/>
      <c r="B649" s="701"/>
      <c r="C649" s="853"/>
      <c r="D649" s="861" t="s">
        <v>1290</v>
      </c>
      <c r="E649" s="853"/>
      <c r="F649" s="854"/>
      <c r="G649" s="854"/>
      <c r="H649" s="872" t="s">
        <v>1295</v>
      </c>
      <c r="I649" s="855"/>
      <c r="J649" s="853"/>
      <c r="K649" s="853"/>
      <c r="L649" s="853"/>
      <c r="M649" s="859"/>
      <c r="N649" s="860" t="s">
        <v>1291</v>
      </c>
      <c r="O649" s="853"/>
      <c r="P649" s="249"/>
      <c r="Q649" s="701"/>
      <c r="R649" s="701"/>
      <c r="S649" s="853"/>
      <c r="T649" s="861" t="s">
        <v>1290</v>
      </c>
      <c r="U649" s="853"/>
      <c r="V649" s="854"/>
      <c r="W649" s="854"/>
      <c r="X649" s="872" t="s">
        <v>1302</v>
      </c>
      <c r="Y649" s="855"/>
      <c r="Z649" s="853"/>
      <c r="AA649" s="853"/>
      <c r="AB649" s="853"/>
      <c r="AC649" s="859"/>
      <c r="AD649" s="860" t="s">
        <v>1291</v>
      </c>
      <c r="AE649" s="853"/>
      <c r="AF649" s="681"/>
      <c r="AG649" s="681"/>
      <c r="AH649" s="681"/>
      <c r="AI649" s="681"/>
      <c r="AJ649" s="679"/>
      <c r="AK649" s="679"/>
      <c r="AL649" s="679"/>
    </row>
    <row r="650" spans="1:44" ht="38.25" customHeight="1" x14ac:dyDescent="0.2">
      <c r="A650" s="856" t="s">
        <v>509</v>
      </c>
      <c r="B650" s="942" t="s">
        <v>1329</v>
      </c>
      <c r="C650" s="857">
        <v>1</v>
      </c>
      <c r="D650" s="857">
        <v>2</v>
      </c>
      <c r="E650" s="857">
        <v>3</v>
      </c>
      <c r="F650" s="857">
        <v>4</v>
      </c>
      <c r="G650" s="857">
        <v>5</v>
      </c>
      <c r="H650" s="857">
        <v>6</v>
      </c>
      <c r="I650" s="857">
        <v>7</v>
      </c>
      <c r="J650" s="857">
        <v>8</v>
      </c>
      <c r="K650" s="858" t="s">
        <v>1286</v>
      </c>
      <c r="L650" s="1154" t="s">
        <v>1287</v>
      </c>
      <c r="M650" s="1154"/>
      <c r="N650" s="1154"/>
      <c r="O650" s="858" t="s">
        <v>1288</v>
      </c>
      <c r="P650" s="844"/>
      <c r="Q650" s="856" t="s">
        <v>509</v>
      </c>
      <c r="R650" s="942" t="s">
        <v>1329</v>
      </c>
      <c r="S650" s="857">
        <v>1</v>
      </c>
      <c r="T650" s="857">
        <v>2</v>
      </c>
      <c r="U650" s="857">
        <v>3</v>
      </c>
      <c r="V650" s="857">
        <v>4</v>
      </c>
      <c r="W650" s="857">
        <v>5</v>
      </c>
      <c r="X650" s="857">
        <v>6</v>
      </c>
      <c r="Y650" s="857">
        <v>7</v>
      </c>
      <c r="Z650" s="857">
        <v>8</v>
      </c>
      <c r="AA650" s="858" t="s">
        <v>1286</v>
      </c>
      <c r="AB650" s="1154" t="s">
        <v>1287</v>
      </c>
      <c r="AC650" s="1154"/>
      <c r="AD650" s="1154"/>
      <c r="AE650" s="858" t="s">
        <v>1288</v>
      </c>
      <c r="AF650" s="681"/>
      <c r="AG650" s="681"/>
      <c r="AH650" s="681"/>
      <c r="AI650" s="681"/>
      <c r="AJ650" s="679"/>
      <c r="AK650" s="679"/>
      <c r="AL650" s="679"/>
    </row>
    <row r="651" spans="1:44" ht="30" customHeight="1" x14ac:dyDescent="0.25">
      <c r="A651" s="846" t="s">
        <v>1282</v>
      </c>
      <c r="B651" s="948">
        <f ca="1">E648</f>
        <v>0</v>
      </c>
      <c r="C651" s="843"/>
      <c r="D651" s="843"/>
      <c r="E651" s="843"/>
      <c r="F651" s="843"/>
      <c r="G651" s="847"/>
      <c r="H651" s="848"/>
      <c r="I651" s="846"/>
      <c r="J651" s="843"/>
      <c r="K651" s="843"/>
      <c r="L651" s="849">
        <f ca="1">IF(Q644="Matchs de CLASSEMENT","X",2)</f>
        <v>2</v>
      </c>
      <c r="M651" s="849">
        <f ca="1">IF(Q644="Matchs de CLASSEMENT","X",1)</f>
        <v>1</v>
      </c>
      <c r="N651" s="849">
        <f ca="1">IF(Q644="Matchs de CLASSEMENT","X",0)</f>
        <v>0</v>
      </c>
      <c r="O651" s="849" t="str">
        <f ca="1">IF(Q644="Matchs de CLASSEMENT","X","")</f>
        <v/>
      </c>
      <c r="P651" s="842"/>
      <c r="Q651" s="849" t="str">
        <f ca="1">IF(Q644="Matchs de CLASSEMENT","X","V1")</f>
        <v>V1</v>
      </c>
      <c r="R651" s="948">
        <f ca="1">U648</f>
        <v>0</v>
      </c>
      <c r="S651" s="849" t="str">
        <f ca="1">IF(Q644="Matchs de CLASSEMENT","X","")</f>
        <v/>
      </c>
      <c r="T651" s="849" t="str">
        <f ca="1">IF(Q644="Matchs de CLASSEMENT","X","")</f>
        <v/>
      </c>
      <c r="U651" s="849" t="str">
        <f ca="1">IF(Q644="Matchs de CLASSEMENT","X","")</f>
        <v/>
      </c>
      <c r="V651" s="849" t="str">
        <f ca="1">IF(Q644="Matchs de CLASSEMENT","X","")</f>
        <v/>
      </c>
      <c r="W651" s="849" t="str">
        <f ca="1">IF(Q644="Matchs de CLASSEMENT","X","")</f>
        <v/>
      </c>
      <c r="X651" s="849" t="str">
        <f ca="1">IF(Q644="Matchs de CLASSEMENT","X","")</f>
        <v/>
      </c>
      <c r="Y651" s="849" t="str">
        <f ca="1">IF(Q644="Matchs de CLASSEMENT","X","")</f>
        <v/>
      </c>
      <c r="Z651" s="849" t="str">
        <f ca="1">IF(Q644="Matchs de CLASSEMENT","X","")</f>
        <v/>
      </c>
      <c r="AA651" s="849" t="str">
        <f ca="1">IF(Q644="Matchs de CLASSEMENT","X","")</f>
        <v/>
      </c>
      <c r="AB651" s="849">
        <f ca="1">IF(Q644="Matchs de CLASSEMENT","X",2)</f>
        <v>2</v>
      </c>
      <c r="AC651" s="849">
        <f ca="1">IF(Q644="Matchs de CLASSEMENT","X",1)</f>
        <v>1</v>
      </c>
      <c r="AD651" s="849">
        <f ca="1">IF(Q644="Matchs de CLASSEMENT","X",0)</f>
        <v>0</v>
      </c>
      <c r="AE651" s="849" t="str">
        <f ca="1">IF(Q644="Matchs de CLASSEMENT","X","")</f>
        <v/>
      </c>
      <c r="AF651" s="679"/>
      <c r="AG651" s="679"/>
      <c r="AH651" s="679"/>
      <c r="AI651" s="679"/>
      <c r="AJ651" s="679"/>
      <c r="AK651" s="679"/>
      <c r="AL651" s="679"/>
    </row>
    <row r="652" spans="1:44" ht="30" customHeight="1" x14ac:dyDescent="0.25">
      <c r="A652" s="846" t="s">
        <v>1283</v>
      </c>
      <c r="B652" s="948">
        <f ca="1">B651</f>
        <v>0</v>
      </c>
      <c r="C652" s="843"/>
      <c r="D652" s="843"/>
      <c r="E652" s="843"/>
      <c r="F652" s="843"/>
      <c r="G652" s="847"/>
      <c r="H652" s="848"/>
      <c r="I652" s="846"/>
      <c r="J652" s="843"/>
      <c r="K652" s="843"/>
      <c r="L652" s="849">
        <f ca="1">IF(Q644="Matchs de CLASSEMENT","X",2)</f>
        <v>2</v>
      </c>
      <c r="M652" s="849">
        <f ca="1">IF(Q644="Matchs de CLASSEMENT","X",1)</f>
        <v>1</v>
      </c>
      <c r="N652" s="849">
        <f ca="1">IF(Q644="Matchs de CLASSEMENT","X",0)</f>
        <v>0</v>
      </c>
      <c r="O652" s="849" t="str">
        <f ca="1">IF(Q644="Matchs de CLASSEMENT","X","")</f>
        <v/>
      </c>
      <c r="P652" s="842"/>
      <c r="Q652" s="849" t="str">
        <f ca="1">IF(Q644="Matchs de CLASSEMENT","X","V2")</f>
        <v>V2</v>
      </c>
      <c r="R652" s="948">
        <f ca="1">R651</f>
        <v>0</v>
      </c>
      <c r="S652" s="849" t="str">
        <f ca="1">IF(Q644="Matchs de CLASSEMENT","X","")</f>
        <v/>
      </c>
      <c r="T652" s="849" t="str">
        <f ca="1">IF(Q644="Matchs de CLASSEMENT","X","")</f>
        <v/>
      </c>
      <c r="U652" s="849" t="str">
        <f ca="1">IF(Q644="Matchs de CLASSEMENT","X","")</f>
        <v/>
      </c>
      <c r="V652" s="849" t="str">
        <f ca="1">IF(Q644="Matchs de CLASSEMENT","X","")</f>
        <v/>
      </c>
      <c r="W652" s="849" t="str">
        <f ca="1">IF(Q644="Matchs de CLASSEMENT","X","")</f>
        <v/>
      </c>
      <c r="X652" s="849" t="str">
        <f ca="1">IF(Q644="Matchs de CLASSEMENT","X","")</f>
        <v/>
      </c>
      <c r="Y652" s="849" t="str">
        <f ca="1">IF(Q644="Matchs de CLASSEMENT","X","")</f>
        <v/>
      </c>
      <c r="Z652" s="849" t="str">
        <f ca="1">IF(Q644="Matchs de CLASSEMENT","X","")</f>
        <v/>
      </c>
      <c r="AA652" s="849" t="str">
        <f ca="1">IF(Q644="Matchs de CLASSEMENT","X","")</f>
        <v/>
      </c>
      <c r="AB652" s="849">
        <f ca="1">IF(Q644="Matchs de CLASSEMENT","X",2)</f>
        <v>2</v>
      </c>
      <c r="AC652" s="849">
        <f ca="1">IF(Q644="Matchs de CLASSEMENT","X",1)</f>
        <v>1</v>
      </c>
      <c r="AD652" s="849">
        <f ca="1">IF(Q644="Matchs de CLASSEMENT","X",0)</f>
        <v>0</v>
      </c>
      <c r="AE652" s="849" t="str">
        <f ca="1">IF(Q644="Matchs de CLASSEMENT","X","")</f>
        <v/>
      </c>
      <c r="AF652" s="679"/>
      <c r="AG652" s="679"/>
      <c r="AH652" s="679"/>
      <c r="AI652" s="679"/>
      <c r="AJ652" s="679"/>
      <c r="AK652" s="679"/>
      <c r="AL652" s="679"/>
    </row>
    <row r="653" spans="1:44" ht="30" customHeight="1" x14ac:dyDescent="0.25">
      <c r="A653" s="846" t="s">
        <v>1284</v>
      </c>
      <c r="B653" s="948">
        <f t="shared" ref="B653:B654" ca="1" si="43">B652</f>
        <v>0</v>
      </c>
      <c r="C653" s="843"/>
      <c r="D653" s="843"/>
      <c r="E653" s="843"/>
      <c r="F653" s="843"/>
      <c r="G653" s="847"/>
      <c r="H653" s="848"/>
      <c r="I653" s="846"/>
      <c r="J653" s="843"/>
      <c r="K653" s="843"/>
      <c r="L653" s="849">
        <f ca="1">IF(Q644="Matchs de CLASSEMENT","X",2)</f>
        <v>2</v>
      </c>
      <c r="M653" s="849">
        <f ca="1">IF(Q644="Matchs de CLASSEMENT","X",1)</f>
        <v>1</v>
      </c>
      <c r="N653" s="849">
        <f ca="1">IF(Q644="Matchs de CLASSEMENT","X",0)</f>
        <v>0</v>
      </c>
      <c r="O653" s="849" t="str">
        <f ca="1">IF(Q644="Matchs de CLASSEMENT","X","")</f>
        <v/>
      </c>
      <c r="P653" s="842"/>
      <c r="Q653" s="849" t="str">
        <f ca="1">IF(Q644="Matchs de CLASSEMENT","X","V3")</f>
        <v>V3</v>
      </c>
      <c r="R653" s="948">
        <f t="shared" ref="R653:R654" ca="1" si="44">R652</f>
        <v>0</v>
      </c>
      <c r="S653" s="849" t="str">
        <f ca="1">IF(Q644="Matchs de CLASSEMENT","X","")</f>
        <v/>
      </c>
      <c r="T653" s="849" t="str">
        <f ca="1">IF(Q644="Matchs de CLASSEMENT","X","")</f>
        <v/>
      </c>
      <c r="U653" s="849" t="str">
        <f ca="1">IF(Q644="Matchs de CLASSEMENT","X","")</f>
        <v/>
      </c>
      <c r="V653" s="849" t="str">
        <f ca="1">IF(Q644="Matchs de CLASSEMENT","X","")</f>
        <v/>
      </c>
      <c r="W653" s="849" t="str">
        <f ca="1">IF(Q644="Matchs de CLASSEMENT","X","")</f>
        <v/>
      </c>
      <c r="X653" s="849" t="str">
        <f ca="1">IF(Q644="Matchs de CLASSEMENT","X","")</f>
        <v/>
      </c>
      <c r="Y653" s="849" t="str">
        <f ca="1">IF(Q644="Matchs de CLASSEMENT","X","")</f>
        <v/>
      </c>
      <c r="Z653" s="849" t="str">
        <f ca="1">IF(Q644="Matchs de CLASSEMENT","X","")</f>
        <v/>
      </c>
      <c r="AA653" s="849" t="str">
        <f ca="1">IF(Q644="Matchs de CLASSEMENT","X","")</f>
        <v/>
      </c>
      <c r="AB653" s="849">
        <f ca="1">IF(Q644="Matchs de CLASSEMENT","X",2)</f>
        <v>2</v>
      </c>
      <c r="AC653" s="849">
        <f ca="1">IF(Q644="Matchs de CLASSEMENT","X",1)</f>
        <v>1</v>
      </c>
      <c r="AD653" s="849">
        <f ca="1">IF(Q644="Matchs de CLASSEMENT","X",0)</f>
        <v>0</v>
      </c>
      <c r="AE653" s="849" t="str">
        <f ca="1">IF(Q644="Matchs de CLASSEMENT","X","")</f>
        <v/>
      </c>
      <c r="AF653" s="679"/>
      <c r="AG653" s="679"/>
      <c r="AH653" s="679"/>
      <c r="AI653" s="679"/>
      <c r="AJ653" s="679"/>
      <c r="AK653" s="679"/>
      <c r="AL653" s="679"/>
    </row>
    <row r="654" spans="1:44" ht="30" customHeight="1" x14ac:dyDescent="0.25">
      <c r="A654" s="846" t="s">
        <v>1285</v>
      </c>
      <c r="B654" s="948">
        <f t="shared" ca="1" si="43"/>
        <v>0</v>
      </c>
      <c r="C654" s="843"/>
      <c r="D654" s="843"/>
      <c r="E654" s="843"/>
      <c r="F654" s="843"/>
      <c r="G654" s="847"/>
      <c r="H654" s="848"/>
      <c r="I654" s="846"/>
      <c r="J654" s="843"/>
      <c r="K654" s="843"/>
      <c r="L654" s="849">
        <f ca="1">IF(Q644="Matchs de CLASSEMENT","X",2)</f>
        <v>2</v>
      </c>
      <c r="M654" s="849">
        <f ca="1">IF(Q644="Matchs de CLASSEMENT","X",1)</f>
        <v>1</v>
      </c>
      <c r="N654" s="849">
        <f ca="1">IF(Q644="Matchs de CLASSEMENT","X",0)</f>
        <v>0</v>
      </c>
      <c r="O654" s="849" t="str">
        <f ca="1">IF(Q644="Matchs de CLASSEMENT","X","")</f>
        <v/>
      </c>
      <c r="P654" s="842"/>
      <c r="Q654" s="849" t="str">
        <f ca="1">IF(Q644="Matchs de CLASSEMENT","X","V4")</f>
        <v>V4</v>
      </c>
      <c r="R654" s="948">
        <f t="shared" ca="1" si="44"/>
        <v>0</v>
      </c>
      <c r="S654" s="849" t="str">
        <f ca="1">IF(Q644="Matchs de CLASSEMENT","X","")</f>
        <v/>
      </c>
      <c r="T654" s="849" t="str">
        <f ca="1">IF(Q644="Matchs de CLASSEMENT","X","")</f>
        <v/>
      </c>
      <c r="U654" s="849" t="str">
        <f ca="1">IF(Q644="Matchs de CLASSEMENT","X","")</f>
        <v/>
      </c>
      <c r="V654" s="849" t="str">
        <f ca="1">IF(Q644="Matchs de CLASSEMENT","X","")</f>
        <v/>
      </c>
      <c r="W654" s="849" t="str">
        <f ca="1">IF(Q644="Matchs de CLASSEMENT","X","")</f>
        <v/>
      </c>
      <c r="X654" s="849" t="str">
        <f ca="1">IF(Q644="Matchs de CLASSEMENT","X","")</f>
        <v/>
      </c>
      <c r="Y654" s="849" t="str">
        <f ca="1">IF(Q644="Matchs de CLASSEMENT","X","")</f>
        <v/>
      </c>
      <c r="Z654" s="849" t="str">
        <f ca="1">IF(Q644="Matchs de CLASSEMENT","X","")</f>
        <v/>
      </c>
      <c r="AA654" s="849" t="str">
        <f ca="1">IF(Q644="Matchs de CLASSEMENT","X","")</f>
        <v/>
      </c>
      <c r="AB654" s="849">
        <f ca="1">IF(Q644="Matchs de CLASSEMENT","X",2)</f>
        <v>2</v>
      </c>
      <c r="AC654" s="849">
        <f ca="1">IF(Q644="Matchs de CLASSEMENT","X",1)</f>
        <v>1</v>
      </c>
      <c r="AD654" s="849">
        <f ca="1">IF(Q644="Matchs de CLASSEMENT","X",0)</f>
        <v>0</v>
      </c>
      <c r="AE654" s="849" t="str">
        <f ca="1">IF(Q644="Matchs de CLASSEMENT","X","")</f>
        <v/>
      </c>
      <c r="AF654" s="679"/>
      <c r="AG654" s="679"/>
      <c r="AH654" s="679"/>
      <c r="AI654" s="679"/>
      <c r="AJ654" s="679"/>
      <c r="AK654" s="679"/>
      <c r="AL654" s="679"/>
    </row>
    <row r="655" spans="1:44" ht="30" customHeight="1" x14ac:dyDescent="0.2">
      <c r="N655" s="867" t="s">
        <v>1294</v>
      </c>
      <c r="O655" s="848"/>
      <c r="AD655" s="867" t="s">
        <v>1294</v>
      </c>
      <c r="AE655" s="866"/>
      <c r="AF655" s="679"/>
      <c r="AG655" s="679"/>
      <c r="AH655" s="679"/>
      <c r="AI655" s="679"/>
      <c r="AJ655" s="679"/>
      <c r="AK655" s="679"/>
      <c r="AL655" s="679"/>
    </row>
    <row r="656" spans="1:44" ht="12.75" customHeight="1" x14ac:dyDescent="0.2">
      <c r="AE656" s="520"/>
      <c r="AF656" s="679"/>
      <c r="AG656" s="679"/>
      <c r="AH656" s="679"/>
      <c r="AI656" s="679"/>
      <c r="AJ656" s="679"/>
      <c r="AK656" s="679"/>
      <c r="AL656" s="679"/>
    </row>
    <row r="657" spans="1:44" ht="18.75" customHeight="1" x14ac:dyDescent="0.2">
      <c r="A657" s="584"/>
      <c r="B657" s="584"/>
      <c r="C657" s="701" t="s">
        <v>1289</v>
      </c>
      <c r="D657" s="249"/>
      <c r="E657" s="196"/>
      <c r="F657" s="196"/>
      <c r="G657" s="584"/>
      <c r="H657" s="1155" t="s">
        <v>1301</v>
      </c>
      <c r="I657" s="1155"/>
      <c r="J657" s="1155"/>
      <c r="K657" s="1155"/>
      <c r="L657" s="1155"/>
      <c r="M657" s="1155"/>
      <c r="N657" s="1155"/>
      <c r="O657" s="1155"/>
      <c r="P657" s="842"/>
      <c r="Q657" s="219"/>
      <c r="R657" s="219"/>
      <c r="S657" s="701" t="s">
        <v>1289</v>
      </c>
      <c r="T657" s="249"/>
      <c r="U657" s="196"/>
      <c r="V657" s="196"/>
      <c r="X657" s="1155" t="s">
        <v>1304</v>
      </c>
      <c r="Y657" s="1155"/>
      <c r="Z657" s="1155"/>
      <c r="AA657" s="1155"/>
      <c r="AB657" s="1155"/>
      <c r="AC657" s="1155"/>
      <c r="AD657" s="1155"/>
      <c r="AE657" s="1155"/>
      <c r="AF657" s="679"/>
      <c r="AG657" s="679"/>
      <c r="AH657" s="679"/>
      <c r="AI657" s="679"/>
      <c r="AJ657" s="679"/>
      <c r="AK657" s="679"/>
      <c r="AL657" s="679"/>
    </row>
    <row r="658" spans="1:44" ht="32.25" customHeight="1" x14ac:dyDescent="0.2">
      <c r="A658" s="584"/>
      <c r="B658" s="584"/>
      <c r="C658" s="850"/>
      <c r="D658" s="851"/>
      <c r="E658" s="852"/>
      <c r="F658" s="852"/>
      <c r="G658" s="584"/>
      <c r="H658" s="1149" t="s">
        <v>549</v>
      </c>
      <c r="I658" s="1149"/>
      <c r="J658" s="1149"/>
      <c r="K658" s="1149"/>
      <c r="L658" s="1149"/>
      <c r="M658" s="1146" t="s">
        <v>550</v>
      </c>
      <c r="N658" s="1147"/>
      <c r="O658" s="1148"/>
      <c r="P658" s="842"/>
      <c r="Q658" s="219"/>
      <c r="R658" s="219"/>
      <c r="S658" s="850"/>
      <c r="T658" s="851"/>
      <c r="U658" s="852"/>
      <c r="V658" s="852"/>
      <c r="X658" s="1149" t="s">
        <v>549</v>
      </c>
      <c r="Y658" s="1149"/>
      <c r="Z658" s="1149"/>
      <c r="AA658" s="1149"/>
      <c r="AB658" s="1149"/>
      <c r="AC658" s="1146" t="s">
        <v>550</v>
      </c>
      <c r="AD658" s="1147"/>
      <c r="AE658" s="1148"/>
      <c r="AG658" s="679"/>
      <c r="AH658" s="679"/>
      <c r="AI658" s="679"/>
      <c r="AJ658" s="679"/>
      <c r="AK658" s="679"/>
      <c r="AL658" s="679"/>
    </row>
    <row r="659" spans="1:44" ht="32.25" customHeight="1" x14ac:dyDescent="0.2">
      <c r="A659" s="584"/>
      <c r="B659" s="584"/>
      <c r="C659" s="850"/>
      <c r="D659" s="851"/>
      <c r="E659" s="852"/>
      <c r="F659" s="852"/>
      <c r="G659" s="584"/>
      <c r="H659" s="1140" t="str">
        <f ca="1">IFERROR(VLOOKUP(X640,Num_AS,6,FALSE)&amp;" "&amp;VLOOKUP(X640,Num_AS,7,FALSE),"")</f>
        <v/>
      </c>
      <c r="I659" s="1140"/>
      <c r="J659" s="1140"/>
      <c r="K659" s="1140"/>
      <c r="L659" s="1140"/>
      <c r="M659" s="1129" t="str">
        <f ca="1">IFERROR(VLOOKUP(X640,Num_AS,9,FALSE),"")</f>
        <v/>
      </c>
      <c r="N659" s="1130"/>
      <c r="O659" s="1131"/>
      <c r="P659" s="842"/>
      <c r="Q659" s="219"/>
      <c r="R659" s="219"/>
      <c r="S659" s="850"/>
      <c r="T659" s="851"/>
      <c r="U659" s="852"/>
      <c r="V659" s="852"/>
      <c r="W659" s="196"/>
      <c r="X659" s="1140" t="str">
        <f ca="1">IFERROR(VLOOKUP(Z640,Num_AS,6,FALSE)&amp;" "&amp;VLOOKUP(Z640,Num_AS,7,FALSE),"")</f>
        <v/>
      </c>
      <c r="Y659" s="1140"/>
      <c r="Z659" s="1140"/>
      <c r="AA659" s="1140"/>
      <c r="AB659" s="1140"/>
      <c r="AC659" s="1129" t="str">
        <f ca="1">IFERROR(VLOOKUP(Z640,Num_AS,9,FALSE),"")</f>
        <v/>
      </c>
      <c r="AD659" s="1130"/>
      <c r="AE659" s="1131"/>
    </row>
    <row r="660" spans="1:44" ht="32.25" customHeight="1" x14ac:dyDescent="0.2">
      <c r="A660" s="584"/>
      <c r="B660" s="584"/>
      <c r="C660" s="850"/>
      <c r="D660" s="851"/>
      <c r="E660" s="852"/>
      <c r="F660" s="852"/>
      <c r="G660" s="584"/>
      <c r="H660" s="1140" t="str">
        <f ca="1">IFERROR(VLOOKUP(X640,Num_AS,12,FALSE)&amp;" "&amp;VLOOKUP(X640,Num_AS,13,FALSE),"")</f>
        <v/>
      </c>
      <c r="I660" s="1140"/>
      <c r="J660" s="1140"/>
      <c r="K660" s="1140"/>
      <c r="L660" s="1140"/>
      <c r="M660" s="1129" t="str">
        <f ca="1">IFERROR(VLOOKUP(X640,Num_AS,15,FALSE),"")</f>
        <v/>
      </c>
      <c r="N660" s="1130"/>
      <c r="O660" s="1131">
        <f ca="1">G642</f>
        <v>0</v>
      </c>
      <c r="P660" s="842"/>
      <c r="Q660" s="219"/>
      <c r="R660" s="219"/>
      <c r="S660" s="850"/>
      <c r="T660" s="851"/>
      <c r="U660" s="852"/>
      <c r="V660" s="852"/>
      <c r="W660" s="196"/>
      <c r="X660" s="1140" t="str">
        <f ca="1">IFERROR(VLOOKUP(Z640,Num_AS,12,FALSE)&amp;" "&amp;VLOOKUP(Z640,Num_AS,13,FALSE),"")</f>
        <v/>
      </c>
      <c r="Y660" s="1140"/>
      <c r="Z660" s="1140"/>
      <c r="AA660" s="1140"/>
      <c r="AB660" s="1140"/>
      <c r="AC660" s="1129" t="str">
        <f ca="1">IFERROR(VLOOKUP(Z640,Num_AS,15,FALSE),"")</f>
        <v/>
      </c>
      <c r="AD660" s="1130"/>
      <c r="AE660" s="1131">
        <f>W642</f>
        <v>0</v>
      </c>
    </row>
    <row r="661" spans="1:44" ht="32.25" customHeight="1" x14ac:dyDescent="0.2">
      <c r="A661" s="584"/>
      <c r="B661" s="584"/>
      <c r="C661" s="584"/>
      <c r="D661" s="584"/>
      <c r="E661" s="584"/>
      <c r="F661" s="584"/>
      <c r="G661" s="584"/>
      <c r="H661" s="1140" t="str">
        <f ca="1">IFERROR(VLOOKUP(X640,Num_AS,18,FALSE)&amp;" "&amp;VLOOKUP(X640,Num_AS,19,FALSE),"")</f>
        <v/>
      </c>
      <c r="I661" s="1140"/>
      <c r="J661" s="1140"/>
      <c r="K661" s="1140"/>
      <c r="L661" s="1140"/>
      <c r="M661" s="1129" t="str">
        <f ca="1">IFERROR(VLOOKUP(X640,Num_AS,21,FALSE),"")</f>
        <v/>
      </c>
      <c r="N661" s="1130"/>
      <c r="O661" s="1131">
        <f ca="1">G642</f>
        <v>0</v>
      </c>
      <c r="P661" s="842"/>
      <c r="Q661" s="219"/>
      <c r="R661" s="219"/>
      <c r="S661" s="584"/>
      <c r="T661" s="584"/>
      <c r="U661" s="584"/>
      <c r="V661" s="584"/>
      <c r="W661" s="196"/>
      <c r="X661" s="1140" t="str">
        <f ca="1">IFERROR(VLOOKUP(Z640,Num_AS,18,FALSE)&amp;" "&amp;VLOOKUP(Z640,Num_AS,19,FALSE),"")</f>
        <v/>
      </c>
      <c r="Y661" s="1140"/>
      <c r="Z661" s="1140"/>
      <c r="AA661" s="1140"/>
      <c r="AB661" s="1140"/>
      <c r="AC661" s="1129" t="str">
        <f ca="1">IFERROR(VLOOKUP(Z640,Num_AS,21,FALSE),"")</f>
        <v/>
      </c>
      <c r="AD661" s="1130"/>
      <c r="AE661" s="1131">
        <f>W642</f>
        <v>0</v>
      </c>
    </row>
    <row r="662" spans="1:44" ht="32.25" customHeight="1" x14ac:dyDescent="0.2">
      <c r="A662" s="584"/>
      <c r="B662" s="584"/>
      <c r="C662" s="862"/>
      <c r="D662" s="1141" t="s">
        <v>1292</v>
      </c>
      <c r="E662" s="1142"/>
      <c r="F662" s="1143"/>
      <c r="G662" s="584"/>
      <c r="H662" s="1140" t="str">
        <f ca="1">IFERROR(VLOOKUP(X640,Num_AS,24,FALSE)&amp;" "&amp;VLOOKUP(X640,Num_AS,25,FALSE),"")</f>
        <v/>
      </c>
      <c r="I662" s="1140"/>
      <c r="J662" s="1140"/>
      <c r="K662" s="1140"/>
      <c r="L662" s="1140"/>
      <c r="M662" s="1129" t="str">
        <f ca="1">IFERROR(VLOOKUP(X640,Num_AS,9,FALSE),"")</f>
        <v/>
      </c>
      <c r="N662" s="1130"/>
      <c r="O662" s="1131">
        <f ca="1">G642</f>
        <v>0</v>
      </c>
      <c r="P662" s="842"/>
      <c r="Q662" s="219"/>
      <c r="R662" s="219"/>
      <c r="S662" s="862"/>
      <c r="T662" s="1141" t="s">
        <v>1292</v>
      </c>
      <c r="U662" s="1142"/>
      <c r="V662" s="1143"/>
      <c r="W662" s="196"/>
      <c r="X662" s="1140" t="str">
        <f ca="1">IFERROR(VLOOKUP(Z640,Num_AS,24,FALSE)&amp;" "&amp;VLOOKUP(Z640,Num_AS,25,FALSE),"")</f>
        <v/>
      </c>
      <c r="Y662" s="1140"/>
      <c r="Z662" s="1140"/>
      <c r="AA662" s="1140"/>
      <c r="AB662" s="1140"/>
      <c r="AC662" s="1129" t="str">
        <f ca="1">IFERROR(VLOOKUP(Z640,Num_AS,9,FALSE),"")</f>
        <v/>
      </c>
      <c r="AD662" s="1130"/>
      <c r="AE662" s="1131">
        <f>W642</f>
        <v>0</v>
      </c>
    </row>
    <row r="663" spans="1:44" ht="18.75" customHeight="1" thickBot="1" x14ac:dyDescent="0.25">
      <c r="A663" s="701"/>
      <c r="B663" s="701"/>
      <c r="C663" s="249"/>
      <c r="D663" s="249"/>
      <c r="E663" s="249"/>
      <c r="F663" s="701"/>
      <c r="G663" s="701"/>
      <c r="H663" s="196"/>
      <c r="I663" s="196"/>
      <c r="J663" s="249"/>
      <c r="K663" s="219"/>
      <c r="L663" s="219"/>
      <c r="M663" s="219"/>
      <c r="N663" s="219"/>
      <c r="O663" s="219"/>
      <c r="P663" s="219"/>
      <c r="Q663" s="219"/>
      <c r="R663" s="219"/>
      <c r="S663" s="219"/>
      <c r="T663" s="219"/>
      <c r="U663" s="219"/>
      <c r="V663" s="219"/>
      <c r="W663" s="219"/>
      <c r="X663" s="219"/>
      <c r="Y663" s="249"/>
      <c r="Z663" s="219"/>
      <c r="AE663" s="520"/>
    </row>
    <row r="664" spans="1:44" ht="32.25" customHeight="1" x14ac:dyDescent="0.25">
      <c r="A664" s="701"/>
      <c r="B664" s="701"/>
      <c r="D664" s="875" t="s">
        <v>1002</v>
      </c>
      <c r="E664" s="876"/>
      <c r="F664" s="876"/>
      <c r="G664" s="876"/>
      <c r="H664" s="876"/>
      <c r="I664" s="876"/>
      <c r="J664" s="876"/>
      <c r="K664" s="876"/>
      <c r="L664" s="876"/>
      <c r="M664" s="877" t="s">
        <v>1297</v>
      </c>
      <c r="N664" s="219"/>
      <c r="O664" s="1132" t="s">
        <v>1293</v>
      </c>
      <c r="P664" s="1133"/>
      <c r="Q664" s="1134"/>
      <c r="R664" s="941"/>
      <c r="T664" s="875" t="s">
        <v>1002</v>
      </c>
      <c r="U664" s="876"/>
      <c r="V664" s="876"/>
      <c r="W664" s="876"/>
      <c r="X664" s="876"/>
      <c r="Y664" s="876"/>
      <c r="Z664" s="876"/>
      <c r="AA664" s="876"/>
      <c r="AB664" s="876"/>
      <c r="AC664" s="877" t="s">
        <v>1296</v>
      </c>
      <c r="AE664" s="520"/>
    </row>
    <row r="665" spans="1:44" ht="70.5" customHeight="1" thickBot="1" x14ac:dyDescent="0.25">
      <c r="A665" s="701"/>
      <c r="B665" s="701"/>
      <c r="D665" s="878"/>
      <c r="E665" s="879"/>
      <c r="F665" s="879"/>
      <c r="G665" s="879"/>
      <c r="H665" s="879"/>
      <c r="I665" s="879"/>
      <c r="J665" s="879"/>
      <c r="K665" s="879"/>
      <c r="L665" s="879"/>
      <c r="M665" s="880"/>
      <c r="N665" s="219"/>
      <c r="O665" s="1135"/>
      <c r="P665" s="1136"/>
      <c r="Q665" s="1137"/>
      <c r="R665" s="941"/>
      <c r="T665" s="878"/>
      <c r="U665" s="879"/>
      <c r="V665" s="879"/>
      <c r="W665" s="879"/>
      <c r="X665" s="879"/>
      <c r="Y665" s="879"/>
      <c r="Z665" s="879"/>
      <c r="AA665" s="879"/>
      <c r="AB665" s="879"/>
      <c r="AC665" s="880"/>
      <c r="AE665" s="520"/>
    </row>
    <row r="666" spans="1:44" ht="6.75" customHeight="1" x14ac:dyDescent="0.25">
      <c r="A666" s="701"/>
      <c r="B666" s="701"/>
      <c r="C666" s="249"/>
      <c r="D666" s="249"/>
      <c r="E666" s="249"/>
      <c r="F666" s="701"/>
      <c r="G666" s="701"/>
      <c r="H666" s="196"/>
      <c r="I666" s="196"/>
      <c r="J666" s="249"/>
      <c r="K666" s="219"/>
      <c r="L666" s="842"/>
      <c r="M666" s="842"/>
      <c r="N666" s="842"/>
      <c r="O666" s="842"/>
      <c r="P666" s="842"/>
      <c r="Q666" s="842"/>
      <c r="R666" s="842"/>
      <c r="T666" s="845"/>
      <c r="U666" s="842"/>
      <c r="V666" s="842"/>
      <c r="W666" s="649"/>
      <c r="X666" s="845"/>
      <c r="Y666" s="842"/>
      <c r="Z666" s="842"/>
      <c r="AE666" s="520"/>
    </row>
    <row r="667" spans="1:44" ht="27.75" customHeight="1" x14ac:dyDescent="0.2">
      <c r="A667" s="701"/>
      <c r="B667" s="701"/>
      <c r="C667" s="1138" t="s">
        <v>1300</v>
      </c>
      <c r="D667" s="1138"/>
      <c r="E667" s="1138"/>
      <c r="F667" s="1138"/>
      <c r="G667" s="1138"/>
      <c r="H667" s="1138"/>
      <c r="I667" s="1138"/>
      <c r="J667" s="1138"/>
      <c r="K667" s="1138"/>
      <c r="L667" s="1138"/>
      <c r="M667" s="1138"/>
      <c r="N667" s="1138"/>
      <c r="O667" s="1138"/>
      <c r="P667" s="842"/>
      <c r="Q667" s="1139" t="s">
        <v>1303</v>
      </c>
      <c r="R667" s="1139"/>
      <c r="S667" s="1139"/>
      <c r="T667" s="1139"/>
      <c r="U667" s="1139"/>
      <c r="V667" s="1139"/>
      <c r="W667" s="1139"/>
      <c r="X667" s="1139"/>
      <c r="Y667" s="1139"/>
      <c r="Z667" s="1139"/>
      <c r="AA667" s="1139"/>
      <c r="AB667" s="1139"/>
      <c r="AC667" s="1139"/>
      <c r="AD667" s="1139"/>
      <c r="AE667" s="1139"/>
    </row>
    <row r="668" spans="1:44" ht="36" customHeight="1" x14ac:dyDescent="0.2">
      <c r="AE668" s="520"/>
    </row>
    <row r="669" spans="1:44" ht="19.5" customHeight="1" thickBot="1" x14ac:dyDescent="0.25">
      <c r="W669" s="500"/>
      <c r="X669" s="520">
        <f ca="1">INDIRECT("AE"&amp;Y669)</f>
        <v>0</v>
      </c>
      <c r="Y669" s="500">
        <f>Z670+2</f>
        <v>25</v>
      </c>
      <c r="Z669" s="501">
        <f ca="1">INDIRECT("AF"&amp;Y669)</f>
        <v>0</v>
      </c>
      <c r="AA669" s="500"/>
      <c r="AB669" s="500"/>
      <c r="AD669" s="679"/>
      <c r="AE669" s="679"/>
      <c r="AF669" s="679"/>
      <c r="AG669" s="679"/>
      <c r="AH669" s="679"/>
      <c r="AI669" s="679"/>
      <c r="AJ669" s="679"/>
      <c r="AK669" s="679"/>
      <c r="AL669" s="679"/>
    </row>
    <row r="670" spans="1:44" s="218" customFormat="1" ht="36" thickBot="1" x14ac:dyDescent="0.25">
      <c r="F670" s="576" t="s">
        <v>546</v>
      </c>
      <c r="G670" s="865" t="str">
        <f>G641</f>
        <v>D1</v>
      </c>
      <c r="I670" s="863" t="str">
        <f>"   "&amp;Championnat</f>
        <v xml:space="preserve">   Championnat de France de Tir à l'ARC</v>
      </c>
      <c r="T670" s="197"/>
      <c r="U670" s="197"/>
      <c r="V670" s="197"/>
      <c r="W670" s="197"/>
      <c r="Y670" s="502" t="s">
        <v>849</v>
      </c>
      <c r="Z670" s="503">
        <f>Z641+1</f>
        <v>23</v>
      </c>
      <c r="AB670" s="254"/>
      <c r="AC670" s="254"/>
      <c r="AD670" s="681"/>
      <c r="AE670" s="680"/>
      <c r="AF670" s="681"/>
      <c r="AH670" s="662"/>
      <c r="AI670" s="662"/>
      <c r="AJ670" s="662"/>
      <c r="AK670" s="662"/>
      <c r="AL670" s="662"/>
      <c r="AM670" s="217"/>
      <c r="AN670" s="217"/>
      <c r="AO670" s="217"/>
      <c r="AP670" s="217"/>
      <c r="AQ670" s="217"/>
      <c r="AR670" s="217"/>
    </row>
    <row r="671" spans="1:44" ht="36" thickBot="1" x14ac:dyDescent="0.25">
      <c r="F671" s="661" t="s">
        <v>628</v>
      </c>
      <c r="G671" s="660">
        <f ca="1">INDIRECT("AD"&amp;Y669)</f>
        <v>0</v>
      </c>
      <c r="I671" s="706" t="str">
        <f>CATEG_IMPORTEE</f>
        <v>Collèges Mixtes Etablissement</v>
      </c>
      <c r="S671" s="864" t="str">
        <f>LIEU&amp;" du "&amp;DATE</f>
        <v>L’Isle sur la Sorgue du 27 au 31 mars 2023</v>
      </c>
      <c r="AB671" s="254"/>
      <c r="AC671" s="254"/>
      <c r="AD671" s="681"/>
      <c r="AE671" s="680"/>
      <c r="AF671" s="681"/>
      <c r="AG671" s="679"/>
      <c r="AH671" s="679"/>
      <c r="AI671" s="679"/>
      <c r="AJ671" s="679"/>
      <c r="AK671" s="679"/>
      <c r="AL671" s="679"/>
    </row>
    <row r="672" spans="1:44" ht="24" customHeight="1" x14ac:dyDescent="0.2">
      <c r="A672" s="1075" t="s">
        <v>0</v>
      </c>
      <c r="B672" s="1075"/>
      <c r="C672" s="1075"/>
      <c r="D672" s="1075"/>
      <c r="E672" s="1075"/>
      <c r="F672" s="1075"/>
      <c r="G672" s="1075"/>
      <c r="H672" s="1075"/>
      <c r="I672" s="1075"/>
      <c r="J672" s="1075"/>
      <c r="Q672" s="1075" t="s">
        <v>0</v>
      </c>
      <c r="R672" s="1075"/>
      <c r="S672" s="1075"/>
      <c r="T672" s="1075"/>
      <c r="U672" s="1075"/>
      <c r="V672" s="1075"/>
      <c r="W672" s="1075"/>
      <c r="X672" s="1075"/>
      <c r="Y672" s="1075"/>
      <c r="Z672" s="1075"/>
      <c r="AB672" s="254"/>
      <c r="AC672" s="254"/>
      <c r="AD672" s="681"/>
      <c r="AE672" s="680"/>
      <c r="AF672" s="681"/>
      <c r="AG672" s="679"/>
      <c r="AH672" s="679"/>
      <c r="AI672" s="679"/>
      <c r="AJ672" s="679"/>
      <c r="AK672" s="679"/>
      <c r="AL672" s="679"/>
    </row>
    <row r="673" spans="1:38" ht="31.5" customHeight="1" x14ac:dyDescent="0.2">
      <c r="A673" s="1144" t="str">
        <f ca="1">IFERROR(VLOOKUP(X669,Num_AS,2,FALSE),"")</f>
        <v/>
      </c>
      <c r="B673" s="1144"/>
      <c r="C673" s="1144"/>
      <c r="D673" s="1144"/>
      <c r="E673" s="1144"/>
      <c r="F673" s="1144"/>
      <c r="G673" s="1144"/>
      <c r="H673" s="1144"/>
      <c r="I673" s="1144"/>
      <c r="J673" s="1144"/>
      <c r="K673" s="869" t="s">
        <v>1299</v>
      </c>
      <c r="L673" s="1145" t="s">
        <v>547</v>
      </c>
      <c r="M673" s="1145"/>
      <c r="N673" s="1145"/>
      <c r="O673" s="870" t="s">
        <v>1298</v>
      </c>
      <c r="Q673" s="1144" t="str">
        <f ca="1">IFERROR(VLOOKUP(Z669,Num_AS,2,FALSE),"")</f>
        <v/>
      </c>
      <c r="R673" s="1144"/>
      <c r="S673" s="1144"/>
      <c r="T673" s="1144"/>
      <c r="U673" s="1144"/>
      <c r="V673" s="1144"/>
      <c r="W673" s="1144"/>
      <c r="X673" s="1144"/>
      <c r="Y673" s="1144"/>
      <c r="Z673" s="1144"/>
      <c r="AB673" s="254"/>
      <c r="AC673" s="254"/>
      <c r="AD673" s="681"/>
      <c r="AE673" s="680"/>
      <c r="AF673" s="681"/>
      <c r="AG673" s="679"/>
      <c r="AH673" s="679"/>
      <c r="AI673" s="679"/>
      <c r="AJ673" s="679"/>
      <c r="AK673" s="679"/>
      <c r="AL673" s="679"/>
    </row>
    <row r="674" spans="1:38" ht="20.100000000000001" customHeight="1" thickBot="1" x14ac:dyDescent="0.25">
      <c r="A674" s="1124" t="s">
        <v>1006</v>
      </c>
      <c r="B674" s="1124"/>
      <c r="C674" s="1125"/>
      <c r="D674" s="1125"/>
      <c r="E674" s="1125"/>
      <c r="F674" s="1125"/>
      <c r="G674" s="1125"/>
      <c r="H674" s="1125"/>
      <c r="I674" s="1125"/>
      <c r="J674" s="1125"/>
      <c r="L674" s="871"/>
      <c r="M674" s="871"/>
      <c r="N674" s="871"/>
      <c r="Q674" s="1124" t="s">
        <v>1005</v>
      </c>
      <c r="R674" s="1124"/>
      <c r="S674" s="1125"/>
      <c r="T674" s="1125"/>
      <c r="U674" s="1125"/>
      <c r="V674" s="1125"/>
      <c r="W674" s="1125"/>
      <c r="X674" s="1125"/>
      <c r="Y674" s="1125"/>
      <c r="Z674" s="1125"/>
      <c r="AB674" s="254"/>
      <c r="AC674" s="254"/>
      <c r="AD674" s="681"/>
      <c r="AE674" s="680"/>
      <c r="AF674" s="681"/>
      <c r="AG674" s="679"/>
      <c r="AH674" s="679"/>
      <c r="AI674" s="679"/>
      <c r="AJ674" s="679"/>
      <c r="AK674" s="679"/>
      <c r="AL674" s="679"/>
    </row>
    <row r="675" spans="1:38" ht="27.75" customHeight="1" x14ac:dyDescent="0.2">
      <c r="A675" s="1117" t="str">
        <f ca="1">IFERROR(VLOOKUP(X669,Num_AS,3,FALSE),"")</f>
        <v/>
      </c>
      <c r="B675" s="1150"/>
      <c r="C675" s="1118"/>
      <c r="D675" s="1151"/>
      <c r="E675" s="1151"/>
      <c r="F675" s="1151"/>
      <c r="G675" s="1151"/>
      <c r="H675" s="1151"/>
      <c r="I675" s="1151"/>
      <c r="J675" s="1119"/>
      <c r="O675" s="219"/>
      <c r="P675" s="219"/>
      <c r="Q675" s="1117" t="str">
        <f ca="1">IFERROR(VLOOKUP(Z669,Num_AS,3,FALSE),"")</f>
        <v/>
      </c>
      <c r="R675" s="1150"/>
      <c r="S675" s="1118"/>
      <c r="T675" s="1151"/>
      <c r="U675" s="1151"/>
      <c r="V675" s="1151"/>
      <c r="W675" s="1151"/>
      <c r="X675" s="1151"/>
      <c r="Y675" s="1151"/>
      <c r="Z675" s="1119"/>
      <c r="AB675" s="254"/>
      <c r="AC675" s="254"/>
      <c r="AD675" s="681"/>
      <c r="AE675" s="680"/>
      <c r="AF675" s="681"/>
      <c r="AG675" s="679"/>
      <c r="AH675" s="679"/>
      <c r="AI675" s="679"/>
      <c r="AJ675" s="679"/>
      <c r="AK675" s="679"/>
      <c r="AL675" s="679"/>
    </row>
    <row r="676" spans="1:38" ht="27.75" customHeight="1" thickBot="1" x14ac:dyDescent="0.25">
      <c r="A676" s="1107" t="str">
        <f ca="1">IFERROR(VLOOKUP(X669,Num_AS,4,FALSE),"")</f>
        <v/>
      </c>
      <c r="B676" s="1152"/>
      <c r="C676" s="1108"/>
      <c r="D676" s="1153"/>
      <c r="E676" s="1153"/>
      <c r="F676" s="1153"/>
      <c r="G676" s="1153"/>
      <c r="H676" s="1153"/>
      <c r="I676" s="1153"/>
      <c r="J676" s="1109"/>
      <c r="Q676" s="1107" t="str">
        <f ca="1">IFERROR(VLOOKUP(Z669,Num_AS,4,FALSE),"")</f>
        <v/>
      </c>
      <c r="R676" s="1152"/>
      <c r="S676" s="1108"/>
      <c r="T676" s="1153"/>
      <c r="U676" s="1153"/>
      <c r="V676" s="1153"/>
      <c r="W676" s="1153"/>
      <c r="X676" s="1153"/>
      <c r="Y676" s="1153"/>
      <c r="Z676" s="1109"/>
      <c r="AB676" s="254"/>
      <c r="AC676" s="254"/>
      <c r="AD676" s="681"/>
      <c r="AE676" s="680"/>
      <c r="AF676" s="681"/>
      <c r="AG676" s="679"/>
      <c r="AH676" s="679"/>
      <c r="AI676" s="679"/>
      <c r="AJ676" s="679"/>
      <c r="AK676" s="679"/>
      <c r="AL676" s="679"/>
    </row>
    <row r="677" spans="1:38" ht="36" customHeight="1" thickBot="1" x14ac:dyDescent="0.25">
      <c r="A677" s="1156" t="s">
        <v>1330</v>
      </c>
      <c r="B677" s="1157"/>
      <c r="C677" s="1157"/>
      <c r="D677" s="1158"/>
      <c r="E677" s="947">
        <f ca="1">VLOOKUP(A673&amp;A675,PTS_SP,3,FALSE)</f>
        <v>0</v>
      </c>
      <c r="Q677" s="1156" t="s">
        <v>1330</v>
      </c>
      <c r="R677" s="1157"/>
      <c r="S677" s="1157"/>
      <c r="T677" s="1158"/>
      <c r="U677" s="947">
        <f ca="1">VLOOKUP(Q673&amp;Q675,PTS_SP,3,FALSE)</f>
        <v>0</v>
      </c>
      <c r="AB677" s="254"/>
      <c r="AC677" s="254"/>
      <c r="AD677" s="681"/>
      <c r="AE677" s="680"/>
      <c r="AF677" s="681"/>
      <c r="AG677" s="679"/>
      <c r="AH677" s="679"/>
      <c r="AI677" s="679"/>
      <c r="AJ677" s="679"/>
      <c r="AK677" s="679"/>
      <c r="AL677" s="679"/>
    </row>
    <row r="678" spans="1:38" ht="38.25" customHeight="1" x14ac:dyDescent="0.2">
      <c r="A678" s="701"/>
      <c r="B678" s="701"/>
      <c r="C678" s="853"/>
      <c r="D678" s="861" t="s">
        <v>1290</v>
      </c>
      <c r="E678" s="853"/>
      <c r="F678" s="854"/>
      <c r="G678" s="854"/>
      <c r="H678" s="872" t="s">
        <v>1295</v>
      </c>
      <c r="I678" s="855"/>
      <c r="J678" s="853"/>
      <c r="K678" s="853"/>
      <c r="L678" s="853"/>
      <c r="M678" s="859"/>
      <c r="N678" s="860" t="s">
        <v>1291</v>
      </c>
      <c r="O678" s="853"/>
      <c r="P678" s="249"/>
      <c r="Q678" s="701"/>
      <c r="R678" s="701"/>
      <c r="S678" s="853"/>
      <c r="T678" s="861" t="s">
        <v>1290</v>
      </c>
      <c r="U678" s="853"/>
      <c r="V678" s="854"/>
      <c r="W678" s="854"/>
      <c r="X678" s="872" t="s">
        <v>1302</v>
      </c>
      <c r="Y678" s="855"/>
      <c r="Z678" s="853"/>
      <c r="AA678" s="853"/>
      <c r="AB678" s="853"/>
      <c r="AC678" s="859"/>
      <c r="AD678" s="860" t="s">
        <v>1291</v>
      </c>
      <c r="AE678" s="853"/>
      <c r="AF678" s="681"/>
      <c r="AG678" s="681"/>
      <c r="AH678" s="681"/>
      <c r="AI678" s="681"/>
      <c r="AJ678" s="679"/>
      <c r="AK678" s="679"/>
      <c r="AL678" s="679"/>
    </row>
    <row r="679" spans="1:38" ht="38.25" customHeight="1" x14ac:dyDescent="0.2">
      <c r="A679" s="856" t="s">
        <v>509</v>
      </c>
      <c r="B679" s="942" t="s">
        <v>1329</v>
      </c>
      <c r="C679" s="857">
        <v>1</v>
      </c>
      <c r="D679" s="857">
        <v>2</v>
      </c>
      <c r="E679" s="857">
        <v>3</v>
      </c>
      <c r="F679" s="857">
        <v>4</v>
      </c>
      <c r="G679" s="857">
        <v>5</v>
      </c>
      <c r="H679" s="857">
        <v>6</v>
      </c>
      <c r="I679" s="857">
        <v>7</v>
      </c>
      <c r="J679" s="857">
        <v>8</v>
      </c>
      <c r="K679" s="858" t="s">
        <v>1286</v>
      </c>
      <c r="L679" s="1154" t="s">
        <v>1287</v>
      </c>
      <c r="M679" s="1154"/>
      <c r="N679" s="1154"/>
      <c r="O679" s="858" t="s">
        <v>1288</v>
      </c>
      <c r="P679" s="844"/>
      <c r="Q679" s="856" t="s">
        <v>509</v>
      </c>
      <c r="R679" s="942" t="s">
        <v>1329</v>
      </c>
      <c r="S679" s="857">
        <v>1</v>
      </c>
      <c r="T679" s="857">
        <v>2</v>
      </c>
      <c r="U679" s="857">
        <v>3</v>
      </c>
      <c r="V679" s="857">
        <v>4</v>
      </c>
      <c r="W679" s="857">
        <v>5</v>
      </c>
      <c r="X679" s="857">
        <v>6</v>
      </c>
      <c r="Y679" s="857">
        <v>7</v>
      </c>
      <c r="Z679" s="857">
        <v>8</v>
      </c>
      <c r="AA679" s="858" t="s">
        <v>1286</v>
      </c>
      <c r="AB679" s="1154" t="s">
        <v>1287</v>
      </c>
      <c r="AC679" s="1154"/>
      <c r="AD679" s="1154"/>
      <c r="AE679" s="858" t="s">
        <v>1288</v>
      </c>
      <c r="AF679" s="681"/>
      <c r="AG679" s="681"/>
      <c r="AH679" s="681"/>
      <c r="AI679" s="681"/>
      <c r="AJ679" s="679"/>
      <c r="AK679" s="679"/>
      <c r="AL679" s="679"/>
    </row>
    <row r="680" spans="1:38" ht="30" customHeight="1" x14ac:dyDescent="0.25">
      <c r="A680" s="846" t="s">
        <v>1282</v>
      </c>
      <c r="B680" s="948">
        <f ca="1">E677</f>
        <v>0</v>
      </c>
      <c r="C680" s="843"/>
      <c r="D680" s="843"/>
      <c r="E680" s="843"/>
      <c r="F680" s="843"/>
      <c r="G680" s="847"/>
      <c r="H680" s="848"/>
      <c r="I680" s="846"/>
      <c r="J680" s="843"/>
      <c r="K680" s="843"/>
      <c r="L680" s="849">
        <f ca="1">IF(Q673="Matchs de CLASSEMENT","X",2)</f>
        <v>2</v>
      </c>
      <c r="M680" s="849">
        <f ca="1">IF(Q673="Matchs de CLASSEMENT","X",1)</f>
        <v>1</v>
      </c>
      <c r="N680" s="849">
        <f ca="1">IF(Q673="Matchs de CLASSEMENT","X",0)</f>
        <v>0</v>
      </c>
      <c r="O680" s="849" t="str">
        <f ca="1">IF(Q673="Matchs de CLASSEMENT","X","")</f>
        <v/>
      </c>
      <c r="P680" s="842"/>
      <c r="Q680" s="849" t="str">
        <f ca="1">IF(Q673="Matchs de CLASSEMENT","X","V1")</f>
        <v>V1</v>
      </c>
      <c r="R680" s="948">
        <f ca="1">U677</f>
        <v>0</v>
      </c>
      <c r="S680" s="849" t="str">
        <f ca="1">IF(Q673="Matchs de CLASSEMENT","X","")</f>
        <v/>
      </c>
      <c r="T680" s="849" t="str">
        <f ca="1">IF(Q673="Matchs de CLASSEMENT","X","")</f>
        <v/>
      </c>
      <c r="U680" s="849" t="str">
        <f ca="1">IF(Q673="Matchs de CLASSEMENT","X","")</f>
        <v/>
      </c>
      <c r="V680" s="849" t="str">
        <f ca="1">IF(Q673="Matchs de CLASSEMENT","X","")</f>
        <v/>
      </c>
      <c r="W680" s="849" t="str">
        <f ca="1">IF(Q673="Matchs de CLASSEMENT","X","")</f>
        <v/>
      </c>
      <c r="X680" s="849" t="str">
        <f ca="1">IF(Q673="Matchs de CLASSEMENT","X","")</f>
        <v/>
      </c>
      <c r="Y680" s="849" t="str">
        <f ca="1">IF(Q673="Matchs de CLASSEMENT","X","")</f>
        <v/>
      </c>
      <c r="Z680" s="849" t="str">
        <f ca="1">IF(Q673="Matchs de CLASSEMENT","X","")</f>
        <v/>
      </c>
      <c r="AA680" s="849" t="str">
        <f ca="1">IF(Q673="Matchs de CLASSEMENT","X","")</f>
        <v/>
      </c>
      <c r="AB680" s="849">
        <f ca="1">IF(Q673="Matchs de CLASSEMENT","X",2)</f>
        <v>2</v>
      </c>
      <c r="AC680" s="849">
        <f ca="1">IF(Q673="Matchs de CLASSEMENT","X",1)</f>
        <v>1</v>
      </c>
      <c r="AD680" s="849">
        <f ca="1">IF(Q673="Matchs de CLASSEMENT","X",0)</f>
        <v>0</v>
      </c>
      <c r="AE680" s="849" t="str">
        <f ca="1">IF(Q673="Matchs de CLASSEMENT","X","")</f>
        <v/>
      </c>
      <c r="AF680" s="679"/>
      <c r="AG680" s="679"/>
      <c r="AH680" s="679"/>
      <c r="AI680" s="679"/>
      <c r="AJ680" s="679"/>
      <c r="AK680" s="679"/>
      <c r="AL680" s="679"/>
    </row>
    <row r="681" spans="1:38" ht="30" customHeight="1" x14ac:dyDescent="0.25">
      <c r="A681" s="846" t="s">
        <v>1283</v>
      </c>
      <c r="B681" s="948">
        <f ca="1">B680</f>
        <v>0</v>
      </c>
      <c r="C681" s="843"/>
      <c r="D681" s="843"/>
      <c r="E681" s="843"/>
      <c r="F681" s="843"/>
      <c r="G681" s="847"/>
      <c r="H681" s="848"/>
      <c r="I681" s="846"/>
      <c r="J681" s="843"/>
      <c r="K681" s="843"/>
      <c r="L681" s="849">
        <f ca="1">IF(Q673="Matchs de CLASSEMENT","X",2)</f>
        <v>2</v>
      </c>
      <c r="M681" s="849">
        <f ca="1">IF(Q673="Matchs de CLASSEMENT","X",1)</f>
        <v>1</v>
      </c>
      <c r="N681" s="849">
        <f ca="1">IF(Q673="Matchs de CLASSEMENT","X",0)</f>
        <v>0</v>
      </c>
      <c r="O681" s="849" t="str">
        <f ca="1">IF(Q673="Matchs de CLASSEMENT","X","")</f>
        <v/>
      </c>
      <c r="P681" s="842"/>
      <c r="Q681" s="849" t="str">
        <f ca="1">IF(Q673="Matchs de CLASSEMENT","X","V2")</f>
        <v>V2</v>
      </c>
      <c r="R681" s="948">
        <f ca="1">R680</f>
        <v>0</v>
      </c>
      <c r="S681" s="849" t="str">
        <f ca="1">IF(Q673="Matchs de CLASSEMENT","X","")</f>
        <v/>
      </c>
      <c r="T681" s="849" t="str">
        <f ca="1">IF(Q673="Matchs de CLASSEMENT","X","")</f>
        <v/>
      </c>
      <c r="U681" s="849" t="str">
        <f ca="1">IF(Q673="Matchs de CLASSEMENT","X","")</f>
        <v/>
      </c>
      <c r="V681" s="849" t="str">
        <f ca="1">IF(Q673="Matchs de CLASSEMENT","X","")</f>
        <v/>
      </c>
      <c r="W681" s="849" t="str">
        <f ca="1">IF(Q673="Matchs de CLASSEMENT","X","")</f>
        <v/>
      </c>
      <c r="X681" s="849" t="str">
        <f ca="1">IF(Q673="Matchs de CLASSEMENT","X","")</f>
        <v/>
      </c>
      <c r="Y681" s="849" t="str">
        <f ca="1">IF(Q673="Matchs de CLASSEMENT","X","")</f>
        <v/>
      </c>
      <c r="Z681" s="849" t="str">
        <f ca="1">IF(Q673="Matchs de CLASSEMENT","X","")</f>
        <v/>
      </c>
      <c r="AA681" s="849" t="str">
        <f ca="1">IF(Q673="Matchs de CLASSEMENT","X","")</f>
        <v/>
      </c>
      <c r="AB681" s="849">
        <f ca="1">IF(Q673="Matchs de CLASSEMENT","X",2)</f>
        <v>2</v>
      </c>
      <c r="AC681" s="849">
        <f ca="1">IF(Q673="Matchs de CLASSEMENT","X",1)</f>
        <v>1</v>
      </c>
      <c r="AD681" s="849">
        <f ca="1">IF(Q673="Matchs de CLASSEMENT","X",0)</f>
        <v>0</v>
      </c>
      <c r="AE681" s="849" t="str">
        <f ca="1">IF(Q673="Matchs de CLASSEMENT","X","")</f>
        <v/>
      </c>
      <c r="AF681" s="679"/>
      <c r="AG681" s="679"/>
      <c r="AH681" s="679"/>
      <c r="AI681" s="679"/>
      <c r="AJ681" s="679"/>
      <c r="AK681" s="679"/>
      <c r="AL681" s="679"/>
    </row>
    <row r="682" spans="1:38" ht="30" customHeight="1" x14ac:dyDescent="0.25">
      <c r="A682" s="846" t="s">
        <v>1284</v>
      </c>
      <c r="B682" s="948">
        <f t="shared" ref="B682:B683" ca="1" si="45">B681</f>
        <v>0</v>
      </c>
      <c r="C682" s="843"/>
      <c r="D682" s="843"/>
      <c r="E682" s="843"/>
      <c r="F682" s="843"/>
      <c r="G682" s="847"/>
      <c r="H682" s="848"/>
      <c r="I682" s="846"/>
      <c r="J682" s="843"/>
      <c r="K682" s="843"/>
      <c r="L682" s="849">
        <f ca="1">IF(Q673="Matchs de CLASSEMENT","X",2)</f>
        <v>2</v>
      </c>
      <c r="M682" s="849">
        <f ca="1">IF(Q673="Matchs de CLASSEMENT","X",1)</f>
        <v>1</v>
      </c>
      <c r="N682" s="849">
        <f ca="1">IF(Q673="Matchs de CLASSEMENT","X",0)</f>
        <v>0</v>
      </c>
      <c r="O682" s="849" t="str">
        <f ca="1">IF(Q673="Matchs de CLASSEMENT","X","")</f>
        <v/>
      </c>
      <c r="P682" s="842"/>
      <c r="Q682" s="849" t="str">
        <f ca="1">IF(Q673="Matchs de CLASSEMENT","X","V3")</f>
        <v>V3</v>
      </c>
      <c r="R682" s="948">
        <f t="shared" ref="R682:R683" ca="1" si="46">R681</f>
        <v>0</v>
      </c>
      <c r="S682" s="849" t="str">
        <f ca="1">IF(Q673="Matchs de CLASSEMENT","X","")</f>
        <v/>
      </c>
      <c r="T682" s="849" t="str">
        <f ca="1">IF(Q673="Matchs de CLASSEMENT","X","")</f>
        <v/>
      </c>
      <c r="U682" s="849" t="str">
        <f ca="1">IF(Q673="Matchs de CLASSEMENT","X","")</f>
        <v/>
      </c>
      <c r="V682" s="849" t="str">
        <f ca="1">IF(Q673="Matchs de CLASSEMENT","X","")</f>
        <v/>
      </c>
      <c r="W682" s="849" t="str">
        <f ca="1">IF(Q673="Matchs de CLASSEMENT","X","")</f>
        <v/>
      </c>
      <c r="X682" s="849" t="str">
        <f ca="1">IF(Q673="Matchs de CLASSEMENT","X","")</f>
        <v/>
      </c>
      <c r="Y682" s="849" t="str">
        <f ca="1">IF(Q673="Matchs de CLASSEMENT","X","")</f>
        <v/>
      </c>
      <c r="Z682" s="849" t="str">
        <f ca="1">IF(Q673="Matchs de CLASSEMENT","X","")</f>
        <v/>
      </c>
      <c r="AA682" s="849" t="str">
        <f ca="1">IF(Q673="Matchs de CLASSEMENT","X","")</f>
        <v/>
      </c>
      <c r="AB682" s="849">
        <f ca="1">IF(Q673="Matchs de CLASSEMENT","X",2)</f>
        <v>2</v>
      </c>
      <c r="AC682" s="849">
        <f ca="1">IF(Q673="Matchs de CLASSEMENT","X",1)</f>
        <v>1</v>
      </c>
      <c r="AD682" s="849">
        <f ca="1">IF(Q673="Matchs de CLASSEMENT","X",0)</f>
        <v>0</v>
      </c>
      <c r="AE682" s="849" t="str">
        <f ca="1">IF(Q673="Matchs de CLASSEMENT","X","")</f>
        <v/>
      </c>
      <c r="AF682" s="679"/>
      <c r="AG682" s="679"/>
      <c r="AH682" s="679"/>
      <c r="AI682" s="679"/>
      <c r="AJ682" s="679"/>
      <c r="AK682" s="679"/>
      <c r="AL682" s="679"/>
    </row>
    <row r="683" spans="1:38" ht="30" customHeight="1" x14ac:dyDescent="0.25">
      <c r="A683" s="846" t="s">
        <v>1285</v>
      </c>
      <c r="B683" s="948">
        <f t="shared" ca="1" si="45"/>
        <v>0</v>
      </c>
      <c r="C683" s="843"/>
      <c r="D683" s="843"/>
      <c r="E683" s="843"/>
      <c r="F683" s="843"/>
      <c r="G683" s="847"/>
      <c r="H683" s="848"/>
      <c r="I683" s="846"/>
      <c r="J683" s="843"/>
      <c r="K683" s="843"/>
      <c r="L683" s="849">
        <f ca="1">IF(Q673="Matchs de CLASSEMENT","X",2)</f>
        <v>2</v>
      </c>
      <c r="M683" s="849">
        <f ca="1">IF(Q673="Matchs de CLASSEMENT","X",1)</f>
        <v>1</v>
      </c>
      <c r="N683" s="849">
        <f ca="1">IF(Q673="Matchs de CLASSEMENT","X",0)</f>
        <v>0</v>
      </c>
      <c r="O683" s="849" t="str">
        <f ca="1">IF(Q673="Matchs de CLASSEMENT","X","")</f>
        <v/>
      </c>
      <c r="P683" s="842"/>
      <c r="Q683" s="849" t="str">
        <f ca="1">IF(Q673="Matchs de CLASSEMENT","X","V4")</f>
        <v>V4</v>
      </c>
      <c r="R683" s="948">
        <f t="shared" ca="1" si="46"/>
        <v>0</v>
      </c>
      <c r="S683" s="849" t="str">
        <f ca="1">IF(Q673="Matchs de CLASSEMENT","X","")</f>
        <v/>
      </c>
      <c r="T683" s="849" t="str">
        <f ca="1">IF(Q673="Matchs de CLASSEMENT","X","")</f>
        <v/>
      </c>
      <c r="U683" s="849" t="str">
        <f ca="1">IF(Q673="Matchs de CLASSEMENT","X","")</f>
        <v/>
      </c>
      <c r="V683" s="849" t="str">
        <f ca="1">IF(Q673="Matchs de CLASSEMENT","X","")</f>
        <v/>
      </c>
      <c r="W683" s="849" t="str">
        <f ca="1">IF(Q673="Matchs de CLASSEMENT","X","")</f>
        <v/>
      </c>
      <c r="X683" s="849" t="str">
        <f ca="1">IF(Q673="Matchs de CLASSEMENT","X","")</f>
        <v/>
      </c>
      <c r="Y683" s="849" t="str">
        <f ca="1">IF(Q673="Matchs de CLASSEMENT","X","")</f>
        <v/>
      </c>
      <c r="Z683" s="849" t="str">
        <f ca="1">IF(Q673="Matchs de CLASSEMENT","X","")</f>
        <v/>
      </c>
      <c r="AA683" s="849" t="str">
        <f ca="1">IF(Q673="Matchs de CLASSEMENT","X","")</f>
        <v/>
      </c>
      <c r="AB683" s="849">
        <f ca="1">IF(Q673="Matchs de CLASSEMENT","X",2)</f>
        <v>2</v>
      </c>
      <c r="AC683" s="849">
        <f ca="1">IF(Q673="Matchs de CLASSEMENT","X",1)</f>
        <v>1</v>
      </c>
      <c r="AD683" s="849">
        <f ca="1">IF(Q673="Matchs de CLASSEMENT","X",0)</f>
        <v>0</v>
      </c>
      <c r="AE683" s="849" t="str">
        <f ca="1">IF(Q673="Matchs de CLASSEMENT","X","")</f>
        <v/>
      </c>
      <c r="AF683" s="679"/>
      <c r="AG683" s="679"/>
      <c r="AH683" s="679"/>
      <c r="AI683" s="679"/>
      <c r="AJ683" s="679"/>
      <c r="AK683" s="679"/>
      <c r="AL683" s="679"/>
    </row>
    <row r="684" spans="1:38" ht="30" customHeight="1" x14ac:dyDescent="0.2">
      <c r="N684" s="867" t="s">
        <v>1294</v>
      </c>
      <c r="O684" s="848"/>
      <c r="AD684" s="867" t="s">
        <v>1294</v>
      </c>
      <c r="AE684" s="866"/>
      <c r="AF684" s="679"/>
      <c r="AG684" s="679"/>
      <c r="AH684" s="679"/>
      <c r="AI684" s="679"/>
      <c r="AJ684" s="679"/>
      <c r="AK684" s="679"/>
      <c r="AL684" s="679"/>
    </row>
    <row r="685" spans="1:38" ht="12.75" customHeight="1" x14ac:dyDescent="0.2">
      <c r="AE685" s="520"/>
      <c r="AF685" s="679"/>
      <c r="AG685" s="679"/>
      <c r="AH685" s="679"/>
      <c r="AI685" s="679"/>
      <c r="AJ685" s="679"/>
      <c r="AK685" s="679"/>
      <c r="AL685" s="679"/>
    </row>
    <row r="686" spans="1:38" ht="18.75" customHeight="1" x14ac:dyDescent="0.2">
      <c r="A686" s="584"/>
      <c r="B686" s="584"/>
      <c r="C686" s="701" t="s">
        <v>1289</v>
      </c>
      <c r="D686" s="249"/>
      <c r="E686" s="196"/>
      <c r="F686" s="196"/>
      <c r="G686" s="584"/>
      <c r="H686" s="1155" t="s">
        <v>1301</v>
      </c>
      <c r="I686" s="1155"/>
      <c r="J686" s="1155"/>
      <c r="K686" s="1155"/>
      <c r="L686" s="1155"/>
      <c r="M686" s="1155"/>
      <c r="N686" s="1155"/>
      <c r="O686" s="1155"/>
      <c r="P686" s="842"/>
      <c r="Q686" s="219"/>
      <c r="R686" s="219"/>
      <c r="S686" s="701" t="s">
        <v>1289</v>
      </c>
      <c r="T686" s="249"/>
      <c r="U686" s="196"/>
      <c r="V686" s="196"/>
      <c r="X686" s="1155" t="s">
        <v>1304</v>
      </c>
      <c r="Y686" s="1155"/>
      <c r="Z686" s="1155"/>
      <c r="AA686" s="1155"/>
      <c r="AB686" s="1155"/>
      <c r="AC686" s="1155"/>
      <c r="AD686" s="1155"/>
      <c r="AE686" s="1155"/>
      <c r="AF686" s="679"/>
      <c r="AG686" s="679"/>
      <c r="AH686" s="679"/>
      <c r="AI686" s="679"/>
      <c r="AJ686" s="679"/>
      <c r="AK686" s="679"/>
      <c r="AL686" s="679"/>
    </row>
    <row r="687" spans="1:38" ht="32.25" customHeight="1" x14ac:dyDescent="0.2">
      <c r="A687" s="584"/>
      <c r="B687" s="584"/>
      <c r="C687" s="850"/>
      <c r="D687" s="851"/>
      <c r="E687" s="852"/>
      <c r="F687" s="852"/>
      <c r="G687" s="584"/>
      <c r="H687" s="1149" t="s">
        <v>549</v>
      </c>
      <c r="I687" s="1149"/>
      <c r="J687" s="1149"/>
      <c r="K687" s="1149"/>
      <c r="L687" s="1149"/>
      <c r="M687" s="1146" t="s">
        <v>550</v>
      </c>
      <c r="N687" s="1147"/>
      <c r="O687" s="1148"/>
      <c r="P687" s="842"/>
      <c r="Q687" s="219"/>
      <c r="R687" s="219"/>
      <c r="S687" s="850"/>
      <c r="T687" s="851"/>
      <c r="U687" s="852"/>
      <c r="V687" s="852"/>
      <c r="X687" s="1149" t="s">
        <v>549</v>
      </c>
      <c r="Y687" s="1149"/>
      <c r="Z687" s="1149"/>
      <c r="AA687" s="1149"/>
      <c r="AB687" s="1149"/>
      <c r="AC687" s="1146" t="s">
        <v>550</v>
      </c>
      <c r="AD687" s="1147"/>
      <c r="AE687" s="1148"/>
      <c r="AG687" s="679"/>
      <c r="AH687" s="679"/>
      <c r="AI687" s="679"/>
      <c r="AJ687" s="679"/>
      <c r="AK687" s="679"/>
      <c r="AL687" s="679"/>
    </row>
    <row r="688" spans="1:38" ht="32.25" customHeight="1" x14ac:dyDescent="0.2">
      <c r="A688" s="584"/>
      <c r="B688" s="584"/>
      <c r="C688" s="850"/>
      <c r="D688" s="851"/>
      <c r="E688" s="852"/>
      <c r="F688" s="852"/>
      <c r="G688" s="584"/>
      <c r="H688" s="1140" t="str">
        <f ca="1">IFERROR(VLOOKUP(X669,Num_AS,6,FALSE)&amp;" "&amp;VLOOKUP(X669,Num_AS,7,FALSE),"")</f>
        <v/>
      </c>
      <c r="I688" s="1140"/>
      <c r="J688" s="1140"/>
      <c r="K688" s="1140"/>
      <c r="L688" s="1140"/>
      <c r="M688" s="1129" t="str">
        <f ca="1">IFERROR(VLOOKUP(X669,Num_AS,9,FALSE),"")</f>
        <v/>
      </c>
      <c r="N688" s="1130"/>
      <c r="O688" s="1131"/>
      <c r="P688" s="842"/>
      <c r="Q688" s="219"/>
      <c r="R688" s="219"/>
      <c r="S688" s="850"/>
      <c r="T688" s="851"/>
      <c r="U688" s="852"/>
      <c r="V688" s="852"/>
      <c r="W688" s="196"/>
      <c r="X688" s="1140" t="str">
        <f ca="1">IFERROR(VLOOKUP(Z669,Num_AS,6,FALSE)&amp;" "&amp;VLOOKUP(Z669,Num_AS,7,FALSE),"")</f>
        <v/>
      </c>
      <c r="Y688" s="1140"/>
      <c r="Z688" s="1140"/>
      <c r="AA688" s="1140"/>
      <c r="AB688" s="1140"/>
      <c r="AC688" s="1129" t="str">
        <f ca="1">IFERROR(VLOOKUP(Z669,Num_AS,9,FALSE),"")</f>
        <v/>
      </c>
      <c r="AD688" s="1130"/>
      <c r="AE688" s="1131"/>
    </row>
    <row r="689" spans="1:45" ht="32.25" customHeight="1" x14ac:dyDescent="0.2">
      <c r="A689" s="584"/>
      <c r="B689" s="584"/>
      <c r="C689" s="850"/>
      <c r="D689" s="851"/>
      <c r="E689" s="852"/>
      <c r="F689" s="852"/>
      <c r="G689" s="584"/>
      <c r="H689" s="1140" t="str">
        <f ca="1">IFERROR(VLOOKUP(X669,Num_AS,12,FALSE)&amp;" "&amp;VLOOKUP(X669,Num_AS,13,FALSE),"")</f>
        <v/>
      </c>
      <c r="I689" s="1140"/>
      <c r="J689" s="1140"/>
      <c r="K689" s="1140"/>
      <c r="L689" s="1140"/>
      <c r="M689" s="1129" t="str">
        <f ca="1">IFERROR(VLOOKUP(X669,Num_AS,15,FALSE),"")</f>
        <v/>
      </c>
      <c r="N689" s="1130"/>
      <c r="O689" s="1131">
        <f ca="1">G671</f>
        <v>0</v>
      </c>
      <c r="P689" s="842"/>
      <c r="Q689" s="219"/>
      <c r="R689" s="219"/>
      <c r="S689" s="850"/>
      <c r="T689" s="851"/>
      <c r="U689" s="852"/>
      <c r="V689" s="852"/>
      <c r="W689" s="196"/>
      <c r="X689" s="1140" t="str">
        <f ca="1">IFERROR(VLOOKUP(Z669,Num_AS,12,FALSE)&amp;" "&amp;VLOOKUP(Z669,Num_AS,13,FALSE),"")</f>
        <v/>
      </c>
      <c r="Y689" s="1140"/>
      <c r="Z689" s="1140"/>
      <c r="AA689" s="1140"/>
      <c r="AB689" s="1140"/>
      <c r="AC689" s="1129" t="str">
        <f ca="1">IFERROR(VLOOKUP(Z669,Num_AS,15,FALSE),"")</f>
        <v/>
      </c>
      <c r="AD689" s="1130"/>
      <c r="AE689" s="1131">
        <f>W671</f>
        <v>0</v>
      </c>
    </row>
    <row r="690" spans="1:45" ht="32.25" customHeight="1" x14ac:dyDescent="0.2">
      <c r="A690" s="584"/>
      <c r="B690" s="584"/>
      <c r="C690" s="584"/>
      <c r="D690" s="584"/>
      <c r="E690" s="584"/>
      <c r="F690" s="584"/>
      <c r="G690" s="584"/>
      <c r="H690" s="1140" t="str">
        <f ca="1">IFERROR(VLOOKUP(X669,Num_AS,18,FALSE)&amp;" "&amp;VLOOKUP(X669,Num_AS,19,FALSE),"")</f>
        <v/>
      </c>
      <c r="I690" s="1140"/>
      <c r="J690" s="1140"/>
      <c r="K690" s="1140"/>
      <c r="L690" s="1140"/>
      <c r="M690" s="1129" t="str">
        <f ca="1">IFERROR(VLOOKUP(X669,Num_AS,21,FALSE),"")</f>
        <v/>
      </c>
      <c r="N690" s="1130"/>
      <c r="O690" s="1131">
        <f ca="1">G671</f>
        <v>0</v>
      </c>
      <c r="P690" s="842"/>
      <c r="Q690" s="219"/>
      <c r="R690" s="219"/>
      <c r="S690" s="584"/>
      <c r="T690" s="584"/>
      <c r="U690" s="584"/>
      <c r="V690" s="584"/>
      <c r="W690" s="196"/>
      <c r="X690" s="1140" t="str">
        <f ca="1">IFERROR(VLOOKUP(Z669,Num_AS,18,FALSE)&amp;" "&amp;VLOOKUP(Z669,Num_AS,19,FALSE),"")</f>
        <v/>
      </c>
      <c r="Y690" s="1140"/>
      <c r="Z690" s="1140"/>
      <c r="AA690" s="1140"/>
      <c r="AB690" s="1140"/>
      <c r="AC690" s="1129" t="str">
        <f ca="1">IFERROR(VLOOKUP(Z669,Num_AS,21,FALSE),"")</f>
        <v/>
      </c>
      <c r="AD690" s="1130"/>
      <c r="AE690" s="1131">
        <f>W671</f>
        <v>0</v>
      </c>
    </row>
    <row r="691" spans="1:45" ht="32.25" customHeight="1" x14ac:dyDescent="0.2">
      <c r="A691" s="584"/>
      <c r="B691" s="584"/>
      <c r="C691" s="862"/>
      <c r="D691" s="1141" t="s">
        <v>1292</v>
      </c>
      <c r="E691" s="1142"/>
      <c r="F691" s="1143"/>
      <c r="G691" s="584"/>
      <c r="H691" s="1140" t="str">
        <f ca="1">IFERROR(VLOOKUP(X669,Num_AS,24,FALSE)&amp;" "&amp;VLOOKUP(X669,Num_AS,25,FALSE),"")</f>
        <v/>
      </c>
      <c r="I691" s="1140"/>
      <c r="J691" s="1140"/>
      <c r="K691" s="1140"/>
      <c r="L691" s="1140"/>
      <c r="M691" s="1129" t="str">
        <f ca="1">IFERROR(VLOOKUP(X669,Num_AS,9,FALSE),"")</f>
        <v/>
      </c>
      <c r="N691" s="1130"/>
      <c r="O691" s="1131">
        <f ca="1">G671</f>
        <v>0</v>
      </c>
      <c r="P691" s="842"/>
      <c r="Q691" s="219"/>
      <c r="R691" s="219"/>
      <c r="S691" s="862"/>
      <c r="T691" s="1141" t="s">
        <v>1292</v>
      </c>
      <c r="U691" s="1142"/>
      <c r="V691" s="1143"/>
      <c r="W691" s="196"/>
      <c r="X691" s="1140" t="str">
        <f ca="1">IFERROR(VLOOKUP(Z669,Num_AS,24,FALSE)&amp;" "&amp;VLOOKUP(Z669,Num_AS,25,FALSE),"")</f>
        <v/>
      </c>
      <c r="Y691" s="1140"/>
      <c r="Z691" s="1140"/>
      <c r="AA691" s="1140"/>
      <c r="AB691" s="1140"/>
      <c r="AC691" s="1129" t="str">
        <f ca="1">IFERROR(VLOOKUP(Z669,Num_AS,9,FALSE),"")</f>
        <v/>
      </c>
      <c r="AD691" s="1130"/>
      <c r="AE691" s="1131">
        <f>W671</f>
        <v>0</v>
      </c>
    </row>
    <row r="692" spans="1:45" ht="18.75" customHeight="1" thickBot="1" x14ac:dyDescent="0.25">
      <c r="A692" s="701"/>
      <c r="B692" s="701"/>
      <c r="C692" s="249"/>
      <c r="D692" s="249"/>
      <c r="E692" s="249"/>
      <c r="F692" s="701"/>
      <c r="G692" s="701"/>
      <c r="H692" s="196"/>
      <c r="I692" s="196"/>
      <c r="J692" s="249"/>
      <c r="K692" s="219"/>
      <c r="L692" s="219"/>
      <c r="M692" s="219"/>
      <c r="N692" s="219"/>
      <c r="O692" s="219"/>
      <c r="P692" s="219"/>
      <c r="Q692" s="219"/>
      <c r="R692" s="219"/>
      <c r="S692" s="219"/>
      <c r="T692" s="219"/>
      <c r="U692" s="219"/>
      <c r="V692" s="219"/>
      <c r="W692" s="219"/>
      <c r="X692" s="219"/>
      <c r="Y692" s="249"/>
      <c r="Z692" s="219"/>
      <c r="AE692" s="520"/>
    </row>
    <row r="693" spans="1:45" ht="32.25" customHeight="1" x14ac:dyDescent="0.25">
      <c r="A693" s="701"/>
      <c r="B693" s="701"/>
      <c r="D693" s="875" t="s">
        <v>1002</v>
      </c>
      <c r="E693" s="876"/>
      <c r="F693" s="876"/>
      <c r="G693" s="876"/>
      <c r="H693" s="876"/>
      <c r="I693" s="876"/>
      <c r="J693" s="876"/>
      <c r="K693" s="876"/>
      <c r="L693" s="876"/>
      <c r="M693" s="877" t="s">
        <v>1297</v>
      </c>
      <c r="N693" s="219"/>
      <c r="O693" s="1132" t="s">
        <v>1293</v>
      </c>
      <c r="P693" s="1133"/>
      <c r="Q693" s="1134"/>
      <c r="R693" s="941"/>
      <c r="T693" s="875" t="s">
        <v>1002</v>
      </c>
      <c r="U693" s="876"/>
      <c r="V693" s="876"/>
      <c r="W693" s="876"/>
      <c r="X693" s="876"/>
      <c r="Y693" s="876"/>
      <c r="Z693" s="876"/>
      <c r="AA693" s="876"/>
      <c r="AB693" s="876"/>
      <c r="AC693" s="877" t="s">
        <v>1296</v>
      </c>
      <c r="AE693" s="520"/>
    </row>
    <row r="694" spans="1:45" ht="70.5" customHeight="1" thickBot="1" x14ac:dyDescent="0.25">
      <c r="A694" s="701"/>
      <c r="B694" s="701"/>
      <c r="D694" s="878"/>
      <c r="E694" s="879"/>
      <c r="F694" s="879"/>
      <c r="G694" s="879"/>
      <c r="H694" s="879"/>
      <c r="I694" s="879"/>
      <c r="J694" s="879"/>
      <c r="K694" s="879"/>
      <c r="L694" s="879"/>
      <c r="M694" s="880"/>
      <c r="N694" s="219"/>
      <c r="O694" s="1135"/>
      <c r="P694" s="1136"/>
      <c r="Q694" s="1137"/>
      <c r="R694" s="941"/>
      <c r="T694" s="878"/>
      <c r="U694" s="879"/>
      <c r="V694" s="879"/>
      <c r="W694" s="879"/>
      <c r="X694" s="879"/>
      <c r="Y694" s="879"/>
      <c r="Z694" s="879"/>
      <c r="AA694" s="879"/>
      <c r="AB694" s="879"/>
      <c r="AC694" s="880"/>
      <c r="AE694" s="520"/>
    </row>
    <row r="695" spans="1:45" ht="6.75" customHeight="1" x14ac:dyDescent="0.25">
      <c r="A695" s="701"/>
      <c r="B695" s="701"/>
      <c r="C695" s="249"/>
      <c r="D695" s="249"/>
      <c r="E695" s="249"/>
      <c r="F695" s="701"/>
      <c r="G695" s="701"/>
      <c r="H695" s="196"/>
      <c r="I695" s="196"/>
      <c r="J695" s="249"/>
      <c r="K695" s="219"/>
      <c r="L695" s="842"/>
      <c r="M695" s="842"/>
      <c r="N695" s="842"/>
      <c r="O695" s="842"/>
      <c r="P695" s="842"/>
      <c r="Q695" s="842"/>
      <c r="R695" s="842"/>
      <c r="T695" s="845"/>
      <c r="U695" s="842"/>
      <c r="V695" s="842"/>
      <c r="W695" s="649"/>
      <c r="X695" s="845"/>
      <c r="Y695" s="842"/>
      <c r="Z695" s="842"/>
      <c r="AE695" s="520"/>
    </row>
    <row r="696" spans="1:45" ht="27.75" customHeight="1" x14ac:dyDescent="0.2">
      <c r="A696" s="701"/>
      <c r="B696" s="701"/>
      <c r="C696" s="1138" t="s">
        <v>1300</v>
      </c>
      <c r="D696" s="1138"/>
      <c r="E696" s="1138"/>
      <c r="F696" s="1138"/>
      <c r="G696" s="1138"/>
      <c r="H696" s="1138"/>
      <c r="I696" s="1138"/>
      <c r="J696" s="1138"/>
      <c r="K696" s="1138"/>
      <c r="L696" s="1138"/>
      <c r="M696" s="1138"/>
      <c r="N696" s="1138"/>
      <c r="O696" s="1138"/>
      <c r="P696" s="842"/>
      <c r="Q696" s="1139" t="s">
        <v>1303</v>
      </c>
      <c r="R696" s="1139"/>
      <c r="S696" s="1139"/>
      <c r="T696" s="1139"/>
      <c r="U696" s="1139"/>
      <c r="V696" s="1139"/>
      <c r="W696" s="1139"/>
      <c r="X696" s="1139"/>
      <c r="Y696" s="1139"/>
      <c r="Z696" s="1139"/>
      <c r="AA696" s="1139"/>
      <c r="AB696" s="1139"/>
      <c r="AC696" s="1139"/>
      <c r="AD696" s="1139"/>
      <c r="AE696" s="1139"/>
    </row>
    <row r="697" spans="1:45" ht="36" customHeight="1" x14ac:dyDescent="0.2">
      <c r="AE697" s="520"/>
    </row>
    <row r="698" spans="1:45" ht="19.5" customHeight="1" thickBot="1" x14ac:dyDescent="0.25">
      <c r="W698" s="500"/>
      <c r="X698" s="520">
        <f ca="1">INDIRECT("AE"&amp;Y698)</f>
        <v>0</v>
      </c>
      <c r="Y698" s="500">
        <f>Z699+2</f>
        <v>26</v>
      </c>
      <c r="Z698" s="501">
        <f ca="1">INDIRECT("AF"&amp;Y698)</f>
        <v>0</v>
      </c>
      <c r="AA698" s="500"/>
      <c r="AB698" s="500"/>
      <c r="AD698" s="679"/>
      <c r="AE698" s="679"/>
      <c r="AF698" s="679"/>
      <c r="AG698" s="679"/>
      <c r="AH698" s="679"/>
      <c r="AI698" s="679"/>
      <c r="AJ698" s="679"/>
      <c r="AK698" s="679"/>
      <c r="AL698" s="679"/>
    </row>
    <row r="699" spans="1:45" s="218" customFormat="1" ht="36" thickBot="1" x14ac:dyDescent="0.25">
      <c r="F699" s="576" t="s">
        <v>546</v>
      </c>
      <c r="G699" s="865" t="str">
        <f>G670</f>
        <v>D1</v>
      </c>
      <c r="I699" s="863" t="str">
        <f>"   "&amp;Championnat</f>
        <v xml:space="preserve">   Championnat de France de Tir à l'ARC</v>
      </c>
      <c r="T699" s="197"/>
      <c r="U699" s="197"/>
      <c r="V699" s="197"/>
      <c r="W699" s="197"/>
      <c r="Y699" s="502" t="s">
        <v>849</v>
      </c>
      <c r="Z699" s="503">
        <f>Z670+1</f>
        <v>24</v>
      </c>
      <c r="AB699" s="254"/>
      <c r="AC699" s="254"/>
      <c r="AD699" s="681"/>
      <c r="AE699" s="680"/>
      <c r="AF699" s="681"/>
      <c r="AH699" s="662"/>
      <c r="AI699" s="662"/>
      <c r="AJ699" s="662"/>
      <c r="AK699" s="662"/>
      <c r="AL699" s="662"/>
      <c r="AM699" s="217"/>
      <c r="AN699" s="217"/>
      <c r="AO699" s="217"/>
      <c r="AP699" s="217"/>
      <c r="AQ699" s="217"/>
      <c r="AR699" s="217"/>
      <c r="AS699" s="217"/>
    </row>
    <row r="700" spans="1:45" ht="36" thickBot="1" x14ac:dyDescent="0.25">
      <c r="F700" s="661" t="s">
        <v>628</v>
      </c>
      <c r="G700" s="660">
        <f ca="1">INDIRECT("AD"&amp;Y698)</f>
        <v>0</v>
      </c>
      <c r="I700" s="706" t="str">
        <f>CATEG_IMPORTEE</f>
        <v>Collèges Mixtes Etablissement</v>
      </c>
      <c r="S700" s="864" t="str">
        <f>LIEU&amp;" du "&amp;DATE</f>
        <v>L’Isle sur la Sorgue du 27 au 31 mars 2023</v>
      </c>
      <c r="AB700" s="254"/>
      <c r="AC700" s="254"/>
      <c r="AD700" s="681"/>
      <c r="AE700" s="680"/>
      <c r="AF700" s="681"/>
      <c r="AG700" s="679"/>
      <c r="AH700" s="679"/>
      <c r="AI700" s="679"/>
      <c r="AJ700" s="679"/>
      <c r="AK700" s="679"/>
      <c r="AL700" s="679"/>
    </row>
    <row r="701" spans="1:45" ht="24" customHeight="1" x14ac:dyDescent="0.2">
      <c r="A701" s="1075" t="s">
        <v>0</v>
      </c>
      <c r="B701" s="1075"/>
      <c r="C701" s="1075"/>
      <c r="D701" s="1075"/>
      <c r="E701" s="1075"/>
      <c r="F701" s="1075"/>
      <c r="G701" s="1075"/>
      <c r="H701" s="1075"/>
      <c r="I701" s="1075"/>
      <c r="J701" s="1075"/>
      <c r="Q701" s="1075" t="s">
        <v>0</v>
      </c>
      <c r="R701" s="1075"/>
      <c r="S701" s="1075"/>
      <c r="T701" s="1075"/>
      <c r="U701" s="1075"/>
      <c r="V701" s="1075"/>
      <c r="W701" s="1075"/>
      <c r="X701" s="1075"/>
      <c r="Y701" s="1075"/>
      <c r="Z701" s="1075"/>
      <c r="AB701" s="254"/>
      <c r="AC701" s="254"/>
      <c r="AD701" s="681"/>
      <c r="AE701" s="680"/>
      <c r="AF701" s="681"/>
      <c r="AG701" s="679"/>
      <c r="AH701" s="679"/>
      <c r="AI701" s="679"/>
      <c r="AJ701" s="679"/>
      <c r="AK701" s="679"/>
      <c r="AL701" s="679"/>
    </row>
    <row r="702" spans="1:45" ht="31.5" customHeight="1" x14ac:dyDescent="0.2">
      <c r="A702" s="1144" t="str">
        <f ca="1">IFERROR(VLOOKUP(X698,Num_AS,2,FALSE),"")</f>
        <v/>
      </c>
      <c r="B702" s="1144"/>
      <c r="C702" s="1144"/>
      <c r="D702" s="1144"/>
      <c r="E702" s="1144"/>
      <c r="F702" s="1144"/>
      <c r="G702" s="1144"/>
      <c r="H702" s="1144"/>
      <c r="I702" s="1144"/>
      <c r="J702" s="1144"/>
      <c r="K702" s="869" t="s">
        <v>1299</v>
      </c>
      <c r="L702" s="1145" t="s">
        <v>547</v>
      </c>
      <c r="M702" s="1145"/>
      <c r="N702" s="1145"/>
      <c r="O702" s="870" t="s">
        <v>1298</v>
      </c>
      <c r="Q702" s="1144" t="str">
        <f ca="1">IFERROR(VLOOKUP(Z698,Num_AS,2,FALSE),"")</f>
        <v/>
      </c>
      <c r="R702" s="1144"/>
      <c r="S702" s="1144"/>
      <c r="T702" s="1144"/>
      <c r="U702" s="1144"/>
      <c r="V702" s="1144"/>
      <c r="W702" s="1144"/>
      <c r="X702" s="1144"/>
      <c r="Y702" s="1144"/>
      <c r="Z702" s="1144"/>
      <c r="AB702" s="254"/>
      <c r="AC702" s="254"/>
      <c r="AD702" s="681"/>
      <c r="AE702" s="680"/>
      <c r="AF702" s="681"/>
      <c r="AG702" s="679"/>
      <c r="AH702" s="679"/>
      <c r="AI702" s="679"/>
      <c r="AJ702" s="679"/>
      <c r="AK702" s="679"/>
      <c r="AL702" s="679"/>
    </row>
    <row r="703" spans="1:45" ht="20.100000000000001" customHeight="1" thickBot="1" x14ac:dyDescent="0.25">
      <c r="A703" s="1124" t="s">
        <v>1006</v>
      </c>
      <c r="B703" s="1124"/>
      <c r="C703" s="1125"/>
      <c r="D703" s="1125"/>
      <c r="E703" s="1125"/>
      <c r="F703" s="1125"/>
      <c r="G703" s="1125"/>
      <c r="H703" s="1125"/>
      <c r="I703" s="1125"/>
      <c r="J703" s="1125"/>
      <c r="L703" s="871"/>
      <c r="M703" s="871"/>
      <c r="N703" s="871"/>
      <c r="Q703" s="1124" t="s">
        <v>1005</v>
      </c>
      <c r="R703" s="1124"/>
      <c r="S703" s="1125"/>
      <c r="T703" s="1125"/>
      <c r="U703" s="1125"/>
      <c r="V703" s="1125"/>
      <c r="W703" s="1125"/>
      <c r="X703" s="1125"/>
      <c r="Y703" s="1125"/>
      <c r="Z703" s="1125"/>
      <c r="AB703" s="254"/>
      <c r="AC703" s="254"/>
      <c r="AD703" s="681"/>
      <c r="AE703" s="680"/>
      <c r="AF703" s="681"/>
      <c r="AG703" s="679"/>
      <c r="AH703" s="679"/>
      <c r="AI703" s="679"/>
      <c r="AJ703" s="679"/>
      <c r="AK703" s="679"/>
      <c r="AL703" s="679"/>
    </row>
    <row r="704" spans="1:45" ht="27.75" customHeight="1" x14ac:dyDescent="0.2">
      <c r="A704" s="1117" t="str">
        <f ca="1">IFERROR(VLOOKUP(X698,Num_AS,3,FALSE),"")</f>
        <v/>
      </c>
      <c r="B704" s="1150"/>
      <c r="C704" s="1118"/>
      <c r="D704" s="1151"/>
      <c r="E704" s="1151"/>
      <c r="F704" s="1151"/>
      <c r="G704" s="1151"/>
      <c r="H704" s="1151"/>
      <c r="I704" s="1151"/>
      <c r="J704" s="1119"/>
      <c r="O704" s="219"/>
      <c r="P704" s="219"/>
      <c r="Q704" s="1117" t="str">
        <f ca="1">IFERROR(VLOOKUP(Z698,Num_AS,3,FALSE),"")</f>
        <v/>
      </c>
      <c r="R704" s="1150"/>
      <c r="S704" s="1118"/>
      <c r="T704" s="1151"/>
      <c r="U704" s="1151"/>
      <c r="V704" s="1151"/>
      <c r="W704" s="1151"/>
      <c r="X704" s="1151"/>
      <c r="Y704" s="1151"/>
      <c r="Z704" s="1119"/>
      <c r="AB704" s="254"/>
      <c r="AC704" s="254"/>
      <c r="AD704" s="681"/>
      <c r="AE704" s="680"/>
      <c r="AF704" s="681"/>
      <c r="AG704" s="679"/>
      <c r="AH704" s="679"/>
      <c r="AI704" s="679"/>
      <c r="AJ704" s="679"/>
      <c r="AK704" s="679"/>
      <c r="AL704" s="679"/>
    </row>
    <row r="705" spans="1:38" ht="27.75" customHeight="1" thickBot="1" x14ac:dyDescent="0.25">
      <c r="A705" s="1107" t="str">
        <f ca="1">IFERROR(VLOOKUP(X698,Num_AS,4,FALSE),"")</f>
        <v/>
      </c>
      <c r="B705" s="1152"/>
      <c r="C705" s="1108"/>
      <c r="D705" s="1153"/>
      <c r="E705" s="1153"/>
      <c r="F705" s="1153"/>
      <c r="G705" s="1153"/>
      <c r="H705" s="1153"/>
      <c r="I705" s="1153"/>
      <c r="J705" s="1109"/>
      <c r="Q705" s="1107" t="str">
        <f ca="1">IFERROR(VLOOKUP(Z698,Num_AS,4,FALSE),"")</f>
        <v/>
      </c>
      <c r="R705" s="1152"/>
      <c r="S705" s="1108"/>
      <c r="T705" s="1153"/>
      <c r="U705" s="1153"/>
      <c r="V705" s="1153"/>
      <c r="W705" s="1153"/>
      <c r="X705" s="1153"/>
      <c r="Y705" s="1153"/>
      <c r="Z705" s="1109"/>
      <c r="AB705" s="254"/>
      <c r="AC705" s="254"/>
      <c r="AD705" s="681"/>
      <c r="AE705" s="680"/>
      <c r="AF705" s="681"/>
      <c r="AG705" s="679"/>
      <c r="AH705" s="679"/>
      <c r="AI705" s="679"/>
      <c r="AJ705" s="679"/>
      <c r="AK705" s="679"/>
      <c r="AL705" s="679"/>
    </row>
    <row r="706" spans="1:38" ht="36" customHeight="1" thickBot="1" x14ac:dyDescent="0.25">
      <c r="A706" s="1156" t="s">
        <v>1330</v>
      </c>
      <c r="B706" s="1157"/>
      <c r="C706" s="1157"/>
      <c r="D706" s="1158"/>
      <c r="E706" s="947">
        <f ca="1">VLOOKUP(A702&amp;A704,PTS_SP,3,FALSE)</f>
        <v>0</v>
      </c>
      <c r="Q706" s="1156" t="s">
        <v>1330</v>
      </c>
      <c r="R706" s="1157"/>
      <c r="S706" s="1157"/>
      <c r="T706" s="1158"/>
      <c r="U706" s="947">
        <f ca="1">VLOOKUP(Q702&amp;Q704,PTS_SP,3,FALSE)</f>
        <v>0</v>
      </c>
      <c r="AB706" s="254"/>
      <c r="AC706" s="254"/>
      <c r="AD706" s="681"/>
      <c r="AE706" s="680"/>
      <c r="AF706" s="681"/>
      <c r="AG706" s="679"/>
      <c r="AH706" s="679"/>
      <c r="AI706" s="679"/>
      <c r="AJ706" s="679"/>
      <c r="AK706" s="679"/>
      <c r="AL706" s="679"/>
    </row>
    <row r="707" spans="1:38" ht="38.25" customHeight="1" x14ac:dyDescent="0.2">
      <c r="A707" s="701"/>
      <c r="B707" s="701"/>
      <c r="C707" s="853"/>
      <c r="D707" s="861" t="s">
        <v>1290</v>
      </c>
      <c r="E707" s="853"/>
      <c r="F707" s="854"/>
      <c r="G707" s="854"/>
      <c r="H707" s="872" t="s">
        <v>1295</v>
      </c>
      <c r="I707" s="855"/>
      <c r="J707" s="853"/>
      <c r="K707" s="853"/>
      <c r="L707" s="853"/>
      <c r="M707" s="859"/>
      <c r="N707" s="860" t="s">
        <v>1291</v>
      </c>
      <c r="O707" s="853"/>
      <c r="P707" s="249"/>
      <c r="Q707" s="701"/>
      <c r="R707" s="701"/>
      <c r="S707" s="853"/>
      <c r="T707" s="861" t="s">
        <v>1290</v>
      </c>
      <c r="U707" s="853"/>
      <c r="V707" s="854"/>
      <c r="W707" s="854"/>
      <c r="X707" s="872" t="s">
        <v>1302</v>
      </c>
      <c r="Y707" s="855"/>
      <c r="Z707" s="853"/>
      <c r="AA707" s="853"/>
      <c r="AB707" s="853"/>
      <c r="AC707" s="859"/>
      <c r="AD707" s="860" t="s">
        <v>1291</v>
      </c>
      <c r="AE707" s="853"/>
      <c r="AF707" s="681"/>
      <c r="AG707" s="681"/>
      <c r="AH707" s="681"/>
      <c r="AI707" s="681"/>
      <c r="AJ707" s="679"/>
      <c r="AK707" s="679"/>
      <c r="AL707" s="679"/>
    </row>
    <row r="708" spans="1:38" ht="38.25" customHeight="1" x14ac:dyDescent="0.2">
      <c r="A708" s="856" t="s">
        <v>509</v>
      </c>
      <c r="B708" s="942" t="s">
        <v>1329</v>
      </c>
      <c r="C708" s="857">
        <v>1</v>
      </c>
      <c r="D708" s="857">
        <v>2</v>
      </c>
      <c r="E708" s="857">
        <v>3</v>
      </c>
      <c r="F708" s="857">
        <v>4</v>
      </c>
      <c r="G708" s="857">
        <v>5</v>
      </c>
      <c r="H708" s="857">
        <v>6</v>
      </c>
      <c r="I708" s="857">
        <v>7</v>
      </c>
      <c r="J708" s="857">
        <v>8</v>
      </c>
      <c r="K708" s="858" t="s">
        <v>1286</v>
      </c>
      <c r="L708" s="1154" t="s">
        <v>1287</v>
      </c>
      <c r="M708" s="1154"/>
      <c r="N708" s="1154"/>
      <c r="O708" s="858" t="s">
        <v>1288</v>
      </c>
      <c r="P708" s="844"/>
      <c r="Q708" s="856" t="s">
        <v>509</v>
      </c>
      <c r="R708" s="942" t="s">
        <v>1329</v>
      </c>
      <c r="S708" s="857">
        <v>1</v>
      </c>
      <c r="T708" s="857">
        <v>2</v>
      </c>
      <c r="U708" s="857">
        <v>3</v>
      </c>
      <c r="V708" s="857">
        <v>4</v>
      </c>
      <c r="W708" s="857">
        <v>5</v>
      </c>
      <c r="X708" s="857">
        <v>6</v>
      </c>
      <c r="Y708" s="857">
        <v>7</v>
      </c>
      <c r="Z708" s="857">
        <v>8</v>
      </c>
      <c r="AA708" s="858" t="s">
        <v>1286</v>
      </c>
      <c r="AB708" s="1154" t="s">
        <v>1287</v>
      </c>
      <c r="AC708" s="1154"/>
      <c r="AD708" s="1154"/>
      <c r="AE708" s="858" t="s">
        <v>1288</v>
      </c>
      <c r="AF708" s="681"/>
      <c r="AG708" s="681"/>
      <c r="AH708" s="681"/>
      <c r="AI708" s="681"/>
      <c r="AJ708" s="679"/>
      <c r="AK708" s="679"/>
      <c r="AL708" s="679"/>
    </row>
    <row r="709" spans="1:38" ht="30" customHeight="1" x14ac:dyDescent="0.25">
      <c r="A709" s="846" t="s">
        <v>1282</v>
      </c>
      <c r="B709" s="948">
        <f ca="1">E706</f>
        <v>0</v>
      </c>
      <c r="C709" s="843"/>
      <c r="D709" s="843"/>
      <c r="E709" s="843"/>
      <c r="F709" s="843"/>
      <c r="G709" s="847"/>
      <c r="H709" s="848"/>
      <c r="I709" s="846"/>
      <c r="J709" s="843"/>
      <c r="K709" s="843"/>
      <c r="L709" s="849">
        <f ca="1">IF(Q702="Matchs de CLASSEMENT","X",2)</f>
        <v>2</v>
      </c>
      <c r="M709" s="849">
        <f ca="1">IF(Q702="Matchs de CLASSEMENT","X",1)</f>
        <v>1</v>
      </c>
      <c r="N709" s="849">
        <f ca="1">IF(Q702="Matchs de CLASSEMENT","X",0)</f>
        <v>0</v>
      </c>
      <c r="O709" s="849" t="str">
        <f ca="1">IF(Q702="Matchs de CLASSEMENT","X","")</f>
        <v/>
      </c>
      <c r="P709" s="842"/>
      <c r="Q709" s="849" t="str">
        <f ca="1">IF(Q702="Matchs de CLASSEMENT","X","V1")</f>
        <v>V1</v>
      </c>
      <c r="R709" s="948">
        <f ca="1">U706</f>
        <v>0</v>
      </c>
      <c r="S709" s="849" t="str">
        <f ca="1">IF(Q702="Matchs de CLASSEMENT","X","")</f>
        <v/>
      </c>
      <c r="T709" s="849" t="str">
        <f ca="1">IF(Q702="Matchs de CLASSEMENT","X","")</f>
        <v/>
      </c>
      <c r="U709" s="849" t="str">
        <f ca="1">IF(Q702="Matchs de CLASSEMENT","X","")</f>
        <v/>
      </c>
      <c r="V709" s="849" t="str">
        <f ca="1">IF(Q702="Matchs de CLASSEMENT","X","")</f>
        <v/>
      </c>
      <c r="W709" s="849" t="str">
        <f ca="1">IF(Q702="Matchs de CLASSEMENT","X","")</f>
        <v/>
      </c>
      <c r="X709" s="849" t="str">
        <f ca="1">IF(Q702="Matchs de CLASSEMENT","X","")</f>
        <v/>
      </c>
      <c r="Y709" s="849" t="str">
        <f ca="1">IF(Q702="Matchs de CLASSEMENT","X","")</f>
        <v/>
      </c>
      <c r="Z709" s="849" t="str">
        <f ca="1">IF(Q702="Matchs de CLASSEMENT","X","")</f>
        <v/>
      </c>
      <c r="AA709" s="849" t="str">
        <f ca="1">IF(Q702="Matchs de CLASSEMENT","X","")</f>
        <v/>
      </c>
      <c r="AB709" s="849">
        <f ca="1">IF(Q702="Matchs de CLASSEMENT","X",2)</f>
        <v>2</v>
      </c>
      <c r="AC709" s="849">
        <f ca="1">IF(Q702="Matchs de CLASSEMENT","X",1)</f>
        <v>1</v>
      </c>
      <c r="AD709" s="849">
        <f ca="1">IF(Q702="Matchs de CLASSEMENT","X",0)</f>
        <v>0</v>
      </c>
      <c r="AE709" s="849" t="str">
        <f ca="1">IF(Q702="Matchs de CLASSEMENT","X","")</f>
        <v/>
      </c>
      <c r="AF709" s="679"/>
      <c r="AG709" s="679"/>
      <c r="AH709" s="679"/>
      <c r="AI709" s="679"/>
      <c r="AJ709" s="679"/>
      <c r="AK709" s="679"/>
      <c r="AL709" s="679"/>
    </row>
    <row r="710" spans="1:38" ht="30" customHeight="1" x14ac:dyDescent="0.25">
      <c r="A710" s="846" t="s">
        <v>1283</v>
      </c>
      <c r="B710" s="948">
        <f ca="1">B709</f>
        <v>0</v>
      </c>
      <c r="C710" s="843"/>
      <c r="D710" s="843"/>
      <c r="E710" s="843"/>
      <c r="F710" s="843"/>
      <c r="G710" s="847"/>
      <c r="H710" s="848"/>
      <c r="I710" s="846"/>
      <c r="J710" s="843"/>
      <c r="K710" s="843"/>
      <c r="L710" s="849">
        <f ca="1">IF(Q702="Matchs de CLASSEMENT","X",2)</f>
        <v>2</v>
      </c>
      <c r="M710" s="849">
        <f ca="1">IF(Q702="Matchs de CLASSEMENT","X",1)</f>
        <v>1</v>
      </c>
      <c r="N710" s="849">
        <f ca="1">IF(Q702="Matchs de CLASSEMENT","X",0)</f>
        <v>0</v>
      </c>
      <c r="O710" s="849" t="str">
        <f ca="1">IF(Q702="Matchs de CLASSEMENT","X","")</f>
        <v/>
      </c>
      <c r="P710" s="842"/>
      <c r="Q710" s="849" t="str">
        <f ca="1">IF(Q702="Matchs de CLASSEMENT","X","V2")</f>
        <v>V2</v>
      </c>
      <c r="R710" s="948">
        <f ca="1">R709</f>
        <v>0</v>
      </c>
      <c r="S710" s="849" t="str">
        <f ca="1">IF(Q702="Matchs de CLASSEMENT","X","")</f>
        <v/>
      </c>
      <c r="T710" s="849" t="str">
        <f ca="1">IF(Q702="Matchs de CLASSEMENT","X","")</f>
        <v/>
      </c>
      <c r="U710" s="849" t="str">
        <f ca="1">IF(Q702="Matchs de CLASSEMENT","X","")</f>
        <v/>
      </c>
      <c r="V710" s="849" t="str">
        <f ca="1">IF(Q702="Matchs de CLASSEMENT","X","")</f>
        <v/>
      </c>
      <c r="W710" s="849" t="str">
        <f ca="1">IF(Q702="Matchs de CLASSEMENT","X","")</f>
        <v/>
      </c>
      <c r="X710" s="849" t="str">
        <f ca="1">IF(Q702="Matchs de CLASSEMENT","X","")</f>
        <v/>
      </c>
      <c r="Y710" s="849" t="str">
        <f ca="1">IF(Q702="Matchs de CLASSEMENT","X","")</f>
        <v/>
      </c>
      <c r="Z710" s="849" t="str">
        <f ca="1">IF(Q702="Matchs de CLASSEMENT","X","")</f>
        <v/>
      </c>
      <c r="AA710" s="849" t="str">
        <f ca="1">IF(Q702="Matchs de CLASSEMENT","X","")</f>
        <v/>
      </c>
      <c r="AB710" s="849">
        <f ca="1">IF(Q702="Matchs de CLASSEMENT","X",2)</f>
        <v>2</v>
      </c>
      <c r="AC710" s="849">
        <f ca="1">IF(Q702="Matchs de CLASSEMENT","X",1)</f>
        <v>1</v>
      </c>
      <c r="AD710" s="849">
        <f ca="1">IF(Q702="Matchs de CLASSEMENT","X",0)</f>
        <v>0</v>
      </c>
      <c r="AE710" s="849" t="str">
        <f ca="1">IF(Q702="Matchs de CLASSEMENT","X","")</f>
        <v/>
      </c>
      <c r="AF710" s="679"/>
      <c r="AG710" s="679"/>
      <c r="AH710" s="679"/>
      <c r="AI710" s="679"/>
      <c r="AJ710" s="679"/>
      <c r="AK710" s="679"/>
      <c r="AL710" s="679"/>
    </row>
    <row r="711" spans="1:38" ht="30" customHeight="1" x14ac:dyDescent="0.25">
      <c r="A711" s="846" t="s">
        <v>1284</v>
      </c>
      <c r="B711" s="948">
        <f t="shared" ref="B711:B712" ca="1" si="47">B710</f>
        <v>0</v>
      </c>
      <c r="C711" s="843"/>
      <c r="D711" s="843"/>
      <c r="E711" s="843"/>
      <c r="F711" s="843"/>
      <c r="G711" s="847"/>
      <c r="H711" s="848"/>
      <c r="I711" s="846"/>
      <c r="J711" s="843"/>
      <c r="K711" s="843"/>
      <c r="L711" s="849">
        <f ca="1">IF(Q702="Matchs de CLASSEMENT","X",2)</f>
        <v>2</v>
      </c>
      <c r="M711" s="849">
        <f ca="1">IF(Q702="Matchs de CLASSEMENT","X",1)</f>
        <v>1</v>
      </c>
      <c r="N711" s="849">
        <f ca="1">IF(Q702="Matchs de CLASSEMENT","X",0)</f>
        <v>0</v>
      </c>
      <c r="O711" s="849" t="str">
        <f ca="1">IF(Q702="Matchs de CLASSEMENT","X","")</f>
        <v/>
      </c>
      <c r="P711" s="842"/>
      <c r="Q711" s="849" t="str">
        <f ca="1">IF(Q702="Matchs de CLASSEMENT","X","V3")</f>
        <v>V3</v>
      </c>
      <c r="R711" s="948">
        <f t="shared" ref="R711:R712" ca="1" si="48">R710</f>
        <v>0</v>
      </c>
      <c r="S711" s="849" t="str">
        <f ca="1">IF(Q702="Matchs de CLASSEMENT","X","")</f>
        <v/>
      </c>
      <c r="T711" s="849" t="str">
        <f ca="1">IF(Q702="Matchs de CLASSEMENT","X","")</f>
        <v/>
      </c>
      <c r="U711" s="849" t="str">
        <f ca="1">IF(Q702="Matchs de CLASSEMENT","X","")</f>
        <v/>
      </c>
      <c r="V711" s="849" t="str">
        <f ca="1">IF(Q702="Matchs de CLASSEMENT","X","")</f>
        <v/>
      </c>
      <c r="W711" s="849" t="str">
        <f ca="1">IF(Q702="Matchs de CLASSEMENT","X","")</f>
        <v/>
      </c>
      <c r="X711" s="849" t="str">
        <f ca="1">IF(Q702="Matchs de CLASSEMENT","X","")</f>
        <v/>
      </c>
      <c r="Y711" s="849" t="str">
        <f ca="1">IF(Q702="Matchs de CLASSEMENT","X","")</f>
        <v/>
      </c>
      <c r="Z711" s="849" t="str">
        <f ca="1">IF(Q702="Matchs de CLASSEMENT","X","")</f>
        <v/>
      </c>
      <c r="AA711" s="849" t="str">
        <f ca="1">IF(Q702="Matchs de CLASSEMENT","X","")</f>
        <v/>
      </c>
      <c r="AB711" s="849">
        <f ca="1">IF(Q702="Matchs de CLASSEMENT","X",2)</f>
        <v>2</v>
      </c>
      <c r="AC711" s="849">
        <f ca="1">IF(Q702="Matchs de CLASSEMENT","X",1)</f>
        <v>1</v>
      </c>
      <c r="AD711" s="849">
        <f ca="1">IF(Q702="Matchs de CLASSEMENT","X",0)</f>
        <v>0</v>
      </c>
      <c r="AE711" s="849" t="str">
        <f ca="1">IF(Q702="Matchs de CLASSEMENT","X","")</f>
        <v/>
      </c>
      <c r="AF711" s="679"/>
      <c r="AG711" s="679"/>
      <c r="AH711" s="679"/>
      <c r="AI711" s="679"/>
      <c r="AJ711" s="679"/>
      <c r="AK711" s="679"/>
      <c r="AL711" s="679"/>
    </row>
    <row r="712" spans="1:38" ht="30" customHeight="1" x14ac:dyDescent="0.25">
      <c r="A712" s="846" t="s">
        <v>1285</v>
      </c>
      <c r="B712" s="948">
        <f t="shared" ca="1" si="47"/>
        <v>0</v>
      </c>
      <c r="C712" s="843"/>
      <c r="D712" s="843"/>
      <c r="E712" s="843"/>
      <c r="F712" s="843"/>
      <c r="G712" s="847"/>
      <c r="H712" s="848"/>
      <c r="I712" s="846"/>
      <c r="J712" s="843"/>
      <c r="K712" s="843"/>
      <c r="L712" s="849">
        <f ca="1">IF(Q702="Matchs de CLASSEMENT","X",2)</f>
        <v>2</v>
      </c>
      <c r="M712" s="849">
        <f ca="1">IF(Q702="Matchs de CLASSEMENT","X",1)</f>
        <v>1</v>
      </c>
      <c r="N712" s="849">
        <f ca="1">IF(Q702="Matchs de CLASSEMENT","X",0)</f>
        <v>0</v>
      </c>
      <c r="O712" s="849" t="str">
        <f ca="1">IF(Q702="Matchs de CLASSEMENT","X","")</f>
        <v/>
      </c>
      <c r="P712" s="842"/>
      <c r="Q712" s="849" t="str">
        <f ca="1">IF(Q702="Matchs de CLASSEMENT","X","V4")</f>
        <v>V4</v>
      </c>
      <c r="R712" s="948">
        <f t="shared" ca="1" si="48"/>
        <v>0</v>
      </c>
      <c r="S712" s="849" t="str">
        <f ca="1">IF(Q702="Matchs de CLASSEMENT","X","")</f>
        <v/>
      </c>
      <c r="T712" s="849" t="str">
        <f ca="1">IF(Q702="Matchs de CLASSEMENT","X","")</f>
        <v/>
      </c>
      <c r="U712" s="849" t="str">
        <f ca="1">IF(Q702="Matchs de CLASSEMENT","X","")</f>
        <v/>
      </c>
      <c r="V712" s="849" t="str">
        <f ca="1">IF(Q702="Matchs de CLASSEMENT","X","")</f>
        <v/>
      </c>
      <c r="W712" s="849" t="str">
        <f ca="1">IF(Q702="Matchs de CLASSEMENT","X","")</f>
        <v/>
      </c>
      <c r="X712" s="849" t="str">
        <f ca="1">IF(Q702="Matchs de CLASSEMENT","X","")</f>
        <v/>
      </c>
      <c r="Y712" s="849" t="str">
        <f ca="1">IF(Q702="Matchs de CLASSEMENT","X","")</f>
        <v/>
      </c>
      <c r="Z712" s="849" t="str">
        <f ca="1">IF(Q702="Matchs de CLASSEMENT","X","")</f>
        <v/>
      </c>
      <c r="AA712" s="849" t="str">
        <f ca="1">IF(Q702="Matchs de CLASSEMENT","X","")</f>
        <v/>
      </c>
      <c r="AB712" s="849">
        <f ca="1">IF(Q702="Matchs de CLASSEMENT","X",2)</f>
        <v>2</v>
      </c>
      <c r="AC712" s="849">
        <f ca="1">IF(Q702="Matchs de CLASSEMENT","X",1)</f>
        <v>1</v>
      </c>
      <c r="AD712" s="849">
        <f ca="1">IF(Q702="Matchs de CLASSEMENT","X",0)</f>
        <v>0</v>
      </c>
      <c r="AE712" s="849" t="str">
        <f ca="1">IF(Q702="Matchs de CLASSEMENT","X","")</f>
        <v/>
      </c>
      <c r="AF712" s="679"/>
      <c r="AG712" s="679"/>
      <c r="AH712" s="679"/>
      <c r="AI712" s="679"/>
      <c r="AJ712" s="679"/>
      <c r="AK712" s="679"/>
      <c r="AL712" s="679"/>
    </row>
    <row r="713" spans="1:38" ht="30" customHeight="1" x14ac:dyDescent="0.2">
      <c r="N713" s="867" t="s">
        <v>1294</v>
      </c>
      <c r="O713" s="848"/>
      <c r="AD713" s="867" t="s">
        <v>1294</v>
      </c>
      <c r="AE713" s="866"/>
      <c r="AF713" s="679"/>
      <c r="AG713" s="679"/>
      <c r="AH713" s="679"/>
      <c r="AI713" s="679"/>
      <c r="AJ713" s="679"/>
      <c r="AK713" s="679"/>
      <c r="AL713" s="679"/>
    </row>
    <row r="714" spans="1:38" ht="12.75" customHeight="1" x14ac:dyDescent="0.2">
      <c r="AE714" s="520"/>
      <c r="AF714" s="679"/>
      <c r="AG714" s="679"/>
      <c r="AH714" s="679"/>
      <c r="AI714" s="679"/>
      <c r="AJ714" s="679"/>
      <c r="AK714" s="679"/>
      <c r="AL714" s="679"/>
    </row>
    <row r="715" spans="1:38" ht="18.75" customHeight="1" x14ac:dyDescent="0.2">
      <c r="A715" s="584"/>
      <c r="B715" s="584"/>
      <c r="C715" s="701" t="s">
        <v>1289</v>
      </c>
      <c r="D715" s="249"/>
      <c r="E715" s="196"/>
      <c r="F715" s="196"/>
      <c r="G715" s="584"/>
      <c r="H715" s="1155" t="s">
        <v>1301</v>
      </c>
      <c r="I715" s="1155"/>
      <c r="J715" s="1155"/>
      <c r="K715" s="1155"/>
      <c r="L715" s="1155"/>
      <c r="M715" s="1155"/>
      <c r="N715" s="1155"/>
      <c r="O715" s="1155"/>
      <c r="P715" s="842"/>
      <c r="Q715" s="219"/>
      <c r="R715" s="219"/>
      <c r="S715" s="701" t="s">
        <v>1289</v>
      </c>
      <c r="T715" s="249"/>
      <c r="U715" s="196"/>
      <c r="V715" s="196"/>
      <c r="X715" s="1155" t="s">
        <v>1304</v>
      </c>
      <c r="Y715" s="1155"/>
      <c r="Z715" s="1155"/>
      <c r="AA715" s="1155"/>
      <c r="AB715" s="1155"/>
      <c r="AC715" s="1155"/>
      <c r="AD715" s="1155"/>
      <c r="AE715" s="1155"/>
      <c r="AF715" s="679"/>
      <c r="AG715" s="679"/>
      <c r="AH715" s="679"/>
      <c r="AI715" s="679"/>
      <c r="AJ715" s="679"/>
      <c r="AK715" s="679"/>
      <c r="AL715" s="679"/>
    </row>
    <row r="716" spans="1:38" ht="32.25" customHeight="1" x14ac:dyDescent="0.2">
      <c r="A716" s="584"/>
      <c r="B716" s="584"/>
      <c r="C716" s="850"/>
      <c r="D716" s="851"/>
      <c r="E716" s="852"/>
      <c r="F716" s="852"/>
      <c r="G716" s="584"/>
      <c r="H716" s="1149" t="s">
        <v>549</v>
      </c>
      <c r="I716" s="1149"/>
      <c r="J716" s="1149"/>
      <c r="K716" s="1149"/>
      <c r="L716" s="1149"/>
      <c r="M716" s="1146" t="s">
        <v>550</v>
      </c>
      <c r="N716" s="1147"/>
      <c r="O716" s="1148"/>
      <c r="P716" s="842"/>
      <c r="Q716" s="219"/>
      <c r="R716" s="219"/>
      <c r="S716" s="850"/>
      <c r="T716" s="851"/>
      <c r="U716" s="852"/>
      <c r="V716" s="852"/>
      <c r="X716" s="1149" t="s">
        <v>549</v>
      </c>
      <c r="Y716" s="1149"/>
      <c r="Z716" s="1149"/>
      <c r="AA716" s="1149"/>
      <c r="AB716" s="1149"/>
      <c r="AC716" s="1146" t="s">
        <v>550</v>
      </c>
      <c r="AD716" s="1147"/>
      <c r="AE716" s="1148"/>
      <c r="AG716" s="679"/>
      <c r="AH716" s="679"/>
      <c r="AI716" s="679"/>
      <c r="AJ716" s="679"/>
      <c r="AK716" s="679"/>
      <c r="AL716" s="679"/>
    </row>
    <row r="717" spans="1:38" ht="32.25" customHeight="1" x14ac:dyDescent="0.2">
      <c r="A717" s="584"/>
      <c r="B717" s="584"/>
      <c r="C717" s="850"/>
      <c r="D717" s="851"/>
      <c r="E717" s="852"/>
      <c r="F717" s="852"/>
      <c r="G717" s="584"/>
      <c r="H717" s="1140" t="str">
        <f ca="1">IFERROR(VLOOKUP(X698,Num_AS,6,FALSE)&amp;" "&amp;VLOOKUP(X698,Num_AS,7,FALSE),"")</f>
        <v/>
      </c>
      <c r="I717" s="1140"/>
      <c r="J717" s="1140"/>
      <c r="K717" s="1140"/>
      <c r="L717" s="1140"/>
      <c r="M717" s="1129" t="str">
        <f ca="1">IFERROR(VLOOKUP(X698,Num_AS,9,FALSE),"")</f>
        <v/>
      </c>
      <c r="N717" s="1130"/>
      <c r="O717" s="1131"/>
      <c r="P717" s="842"/>
      <c r="Q717" s="219"/>
      <c r="R717" s="219"/>
      <c r="S717" s="850"/>
      <c r="T717" s="851"/>
      <c r="U717" s="852"/>
      <c r="V717" s="852"/>
      <c r="W717" s="196"/>
      <c r="X717" s="1140" t="str">
        <f ca="1">IFERROR(VLOOKUP(Z698,Num_AS,6,FALSE)&amp;" "&amp;VLOOKUP(Z698,Num_AS,7,FALSE),"")</f>
        <v/>
      </c>
      <c r="Y717" s="1140"/>
      <c r="Z717" s="1140"/>
      <c r="AA717" s="1140"/>
      <c r="AB717" s="1140"/>
      <c r="AC717" s="1129" t="str">
        <f ca="1">IFERROR(VLOOKUP(Z698,Num_AS,9,FALSE),"")</f>
        <v/>
      </c>
      <c r="AD717" s="1130"/>
      <c r="AE717" s="1131"/>
    </row>
    <row r="718" spans="1:38" ht="32.25" customHeight="1" x14ac:dyDescent="0.2">
      <c r="A718" s="584"/>
      <c r="B718" s="584"/>
      <c r="C718" s="850"/>
      <c r="D718" s="851"/>
      <c r="E718" s="852"/>
      <c r="F718" s="852"/>
      <c r="G718" s="584"/>
      <c r="H718" s="1140" t="str">
        <f ca="1">IFERROR(VLOOKUP(X698,Num_AS,12,FALSE)&amp;" "&amp;VLOOKUP(X698,Num_AS,13,FALSE),"")</f>
        <v/>
      </c>
      <c r="I718" s="1140"/>
      <c r="J718" s="1140"/>
      <c r="K718" s="1140"/>
      <c r="L718" s="1140"/>
      <c r="M718" s="1129" t="str">
        <f ca="1">IFERROR(VLOOKUP(X698,Num_AS,15,FALSE),"")</f>
        <v/>
      </c>
      <c r="N718" s="1130"/>
      <c r="O718" s="1131">
        <f ca="1">G700</f>
        <v>0</v>
      </c>
      <c r="P718" s="842"/>
      <c r="Q718" s="219"/>
      <c r="R718" s="219"/>
      <c r="S718" s="850"/>
      <c r="T718" s="851"/>
      <c r="U718" s="852"/>
      <c r="V718" s="852"/>
      <c r="W718" s="196"/>
      <c r="X718" s="1140" t="str">
        <f ca="1">IFERROR(VLOOKUP(Z698,Num_AS,12,FALSE)&amp;" "&amp;VLOOKUP(Z698,Num_AS,13,FALSE),"")</f>
        <v/>
      </c>
      <c r="Y718" s="1140"/>
      <c r="Z718" s="1140"/>
      <c r="AA718" s="1140"/>
      <c r="AB718" s="1140"/>
      <c r="AC718" s="1129" t="str">
        <f ca="1">IFERROR(VLOOKUP(Z698,Num_AS,15,FALSE),"")</f>
        <v/>
      </c>
      <c r="AD718" s="1130"/>
      <c r="AE718" s="1131">
        <f>W700</f>
        <v>0</v>
      </c>
    </row>
    <row r="719" spans="1:38" ht="32.25" customHeight="1" x14ac:dyDescent="0.2">
      <c r="A719" s="584"/>
      <c r="B719" s="584"/>
      <c r="C719" s="584"/>
      <c r="D719" s="584"/>
      <c r="E719" s="584"/>
      <c r="F719" s="584"/>
      <c r="G719" s="584"/>
      <c r="H719" s="1140" t="str">
        <f ca="1">IFERROR(VLOOKUP(X698,Num_AS,18,FALSE)&amp;" "&amp;VLOOKUP(X698,Num_AS,19,FALSE),"")</f>
        <v/>
      </c>
      <c r="I719" s="1140"/>
      <c r="J719" s="1140"/>
      <c r="K719" s="1140"/>
      <c r="L719" s="1140"/>
      <c r="M719" s="1129" t="str">
        <f ca="1">IFERROR(VLOOKUP(X698,Num_AS,21,FALSE),"")</f>
        <v/>
      </c>
      <c r="N719" s="1130"/>
      <c r="O719" s="1131">
        <f ca="1">G700</f>
        <v>0</v>
      </c>
      <c r="P719" s="842"/>
      <c r="Q719" s="219"/>
      <c r="R719" s="219"/>
      <c r="S719" s="584"/>
      <c r="T719" s="584"/>
      <c r="U719" s="584"/>
      <c r="V719" s="584"/>
      <c r="W719" s="196"/>
      <c r="X719" s="1140" t="str">
        <f ca="1">IFERROR(VLOOKUP(Z698,Num_AS,18,FALSE)&amp;" "&amp;VLOOKUP(Z698,Num_AS,19,FALSE),"")</f>
        <v/>
      </c>
      <c r="Y719" s="1140"/>
      <c r="Z719" s="1140"/>
      <c r="AA719" s="1140"/>
      <c r="AB719" s="1140"/>
      <c r="AC719" s="1129" t="str">
        <f ca="1">IFERROR(VLOOKUP(Z698,Num_AS,21,FALSE),"")</f>
        <v/>
      </c>
      <c r="AD719" s="1130"/>
      <c r="AE719" s="1131">
        <f>W700</f>
        <v>0</v>
      </c>
    </row>
    <row r="720" spans="1:38" ht="32.25" customHeight="1" x14ac:dyDescent="0.2">
      <c r="A720" s="584"/>
      <c r="B720" s="584"/>
      <c r="C720" s="862"/>
      <c r="D720" s="1141" t="s">
        <v>1292</v>
      </c>
      <c r="E720" s="1142"/>
      <c r="F720" s="1143"/>
      <c r="G720" s="584"/>
      <c r="H720" s="1140" t="str">
        <f ca="1">IFERROR(VLOOKUP(X698,Num_AS,24,FALSE)&amp;" "&amp;VLOOKUP(X698,Num_AS,25,FALSE),"")</f>
        <v/>
      </c>
      <c r="I720" s="1140"/>
      <c r="J720" s="1140"/>
      <c r="K720" s="1140"/>
      <c r="L720" s="1140"/>
      <c r="M720" s="1129" t="str">
        <f ca="1">IFERROR(VLOOKUP(X698,Num_AS,9,FALSE),"")</f>
        <v/>
      </c>
      <c r="N720" s="1130"/>
      <c r="O720" s="1131">
        <f ca="1">G700</f>
        <v>0</v>
      </c>
      <c r="P720" s="842"/>
      <c r="Q720" s="219"/>
      <c r="R720" s="219"/>
      <c r="S720" s="862"/>
      <c r="T720" s="1141" t="s">
        <v>1292</v>
      </c>
      <c r="U720" s="1142"/>
      <c r="V720" s="1143"/>
      <c r="W720" s="196"/>
      <c r="X720" s="1140" t="str">
        <f ca="1">IFERROR(VLOOKUP(Z698,Num_AS,24,FALSE)&amp;" "&amp;VLOOKUP(Z698,Num_AS,25,FALSE),"")</f>
        <v/>
      </c>
      <c r="Y720" s="1140"/>
      <c r="Z720" s="1140"/>
      <c r="AA720" s="1140"/>
      <c r="AB720" s="1140"/>
      <c r="AC720" s="1129" t="str">
        <f ca="1">IFERROR(VLOOKUP(Z698,Num_AS,9,FALSE),"")</f>
        <v/>
      </c>
      <c r="AD720" s="1130"/>
      <c r="AE720" s="1131">
        <f>W700</f>
        <v>0</v>
      </c>
    </row>
    <row r="721" spans="1:31" ht="18.75" customHeight="1" thickBot="1" x14ac:dyDescent="0.25">
      <c r="A721" s="701"/>
      <c r="B721" s="701"/>
      <c r="C721" s="249"/>
      <c r="D721" s="249"/>
      <c r="E721" s="249"/>
      <c r="F721" s="701"/>
      <c r="G721" s="701"/>
      <c r="H721" s="196"/>
      <c r="I721" s="196"/>
      <c r="J721" s="249"/>
      <c r="K721" s="219"/>
      <c r="L721" s="219"/>
      <c r="M721" s="219"/>
      <c r="N721" s="219"/>
      <c r="O721" s="219"/>
      <c r="P721" s="219"/>
      <c r="Q721" s="219"/>
      <c r="R721" s="219"/>
      <c r="S721" s="219"/>
      <c r="T721" s="219"/>
      <c r="U721" s="219"/>
      <c r="V721" s="219"/>
      <c r="W721" s="219"/>
      <c r="X721" s="219"/>
      <c r="Y721" s="249"/>
      <c r="Z721" s="219"/>
      <c r="AE721" s="520"/>
    </row>
    <row r="722" spans="1:31" ht="32.25" customHeight="1" x14ac:dyDescent="0.25">
      <c r="A722" s="701"/>
      <c r="B722" s="701"/>
      <c r="D722" s="875" t="s">
        <v>1002</v>
      </c>
      <c r="E722" s="876"/>
      <c r="F722" s="876"/>
      <c r="G722" s="876"/>
      <c r="H722" s="876"/>
      <c r="I722" s="876"/>
      <c r="J722" s="876"/>
      <c r="K722" s="876"/>
      <c r="L722" s="876"/>
      <c r="M722" s="877" t="s">
        <v>1297</v>
      </c>
      <c r="N722" s="219"/>
      <c r="O722" s="1132" t="s">
        <v>1293</v>
      </c>
      <c r="P722" s="1133"/>
      <c r="Q722" s="1134"/>
      <c r="R722" s="941"/>
      <c r="T722" s="875" t="s">
        <v>1002</v>
      </c>
      <c r="U722" s="876"/>
      <c r="V722" s="876"/>
      <c r="W722" s="876"/>
      <c r="X722" s="876"/>
      <c r="Y722" s="876"/>
      <c r="Z722" s="876"/>
      <c r="AA722" s="876"/>
      <c r="AB722" s="876"/>
      <c r="AC722" s="877" t="s">
        <v>1296</v>
      </c>
      <c r="AE722" s="520"/>
    </row>
    <row r="723" spans="1:31" ht="70.5" customHeight="1" thickBot="1" x14ac:dyDescent="0.25">
      <c r="A723" s="701"/>
      <c r="B723" s="701"/>
      <c r="D723" s="878"/>
      <c r="E723" s="879"/>
      <c r="F723" s="879"/>
      <c r="G723" s="879"/>
      <c r="H723" s="879"/>
      <c r="I723" s="879"/>
      <c r="J723" s="879"/>
      <c r="K723" s="879"/>
      <c r="L723" s="879"/>
      <c r="M723" s="880"/>
      <c r="N723" s="219"/>
      <c r="O723" s="1135"/>
      <c r="P723" s="1136"/>
      <c r="Q723" s="1137"/>
      <c r="R723" s="941"/>
      <c r="T723" s="878"/>
      <c r="U723" s="879"/>
      <c r="V723" s="879"/>
      <c r="W723" s="879"/>
      <c r="X723" s="879"/>
      <c r="Y723" s="879"/>
      <c r="Z723" s="879"/>
      <c r="AA723" s="879"/>
      <c r="AB723" s="879"/>
      <c r="AC723" s="880"/>
      <c r="AE723" s="520"/>
    </row>
    <row r="724" spans="1:31" ht="6.75" customHeight="1" x14ac:dyDescent="0.25">
      <c r="A724" s="701"/>
      <c r="B724" s="701"/>
      <c r="C724" s="249"/>
      <c r="D724" s="249"/>
      <c r="E724" s="249"/>
      <c r="F724" s="701"/>
      <c r="G724" s="701"/>
      <c r="H724" s="196"/>
      <c r="I724" s="196"/>
      <c r="J724" s="249"/>
      <c r="K724" s="219"/>
      <c r="L724" s="842"/>
      <c r="M724" s="842"/>
      <c r="N724" s="842"/>
      <c r="O724" s="842"/>
      <c r="P724" s="842"/>
      <c r="Q724" s="842"/>
      <c r="R724" s="842"/>
      <c r="T724" s="845"/>
      <c r="U724" s="842"/>
      <c r="V724" s="842"/>
      <c r="W724" s="649"/>
      <c r="X724" s="845"/>
      <c r="Y724" s="842"/>
      <c r="Z724" s="842"/>
      <c r="AE724" s="520"/>
    </row>
    <row r="725" spans="1:31" ht="27.75" customHeight="1" x14ac:dyDescent="0.2">
      <c r="A725" s="701"/>
      <c r="B725" s="701"/>
      <c r="C725" s="1138" t="s">
        <v>1300</v>
      </c>
      <c r="D725" s="1138"/>
      <c r="E725" s="1138"/>
      <c r="F725" s="1138"/>
      <c r="G725" s="1138"/>
      <c r="H725" s="1138"/>
      <c r="I725" s="1138"/>
      <c r="J725" s="1138"/>
      <c r="K725" s="1138"/>
      <c r="L725" s="1138"/>
      <c r="M725" s="1138"/>
      <c r="N725" s="1138"/>
      <c r="O725" s="1138"/>
      <c r="P725" s="842"/>
      <c r="Q725" s="1139" t="s">
        <v>1303</v>
      </c>
      <c r="R725" s="1139"/>
      <c r="S725" s="1139"/>
      <c r="T725" s="1139"/>
      <c r="U725" s="1139"/>
      <c r="V725" s="1139"/>
      <c r="W725" s="1139"/>
      <c r="X725" s="1139"/>
      <c r="Y725" s="1139"/>
      <c r="Z725" s="1139"/>
      <c r="AA725" s="1139"/>
      <c r="AB725" s="1139"/>
      <c r="AC725" s="1139"/>
      <c r="AD725" s="1139"/>
      <c r="AE725" s="1139"/>
    </row>
    <row r="726" spans="1:31" ht="36" customHeight="1" x14ac:dyDescent="0.2">
      <c r="AE726" s="520"/>
    </row>
    <row r="727" spans="1:31" x14ac:dyDescent="0.2">
      <c r="W727" s="500"/>
      <c r="X727" s="520"/>
      <c r="Y727" s="500"/>
      <c r="Z727" s="501"/>
      <c r="AA727" s="500"/>
      <c r="AB727" s="500"/>
      <c r="AD727" s="679"/>
      <c r="AE727" s="679"/>
    </row>
    <row r="728" spans="1:31" x14ac:dyDescent="0.2">
      <c r="W728" s="500"/>
      <c r="X728" s="520"/>
      <c r="Y728" s="500"/>
      <c r="Z728" s="501"/>
      <c r="AA728" s="500"/>
      <c r="AB728" s="500"/>
      <c r="AD728" s="679"/>
      <c r="AE728" s="679"/>
    </row>
    <row r="729" spans="1:31" x14ac:dyDescent="0.2">
      <c r="W729" s="500"/>
      <c r="X729" s="520"/>
      <c r="Y729" s="500"/>
      <c r="Z729" s="501"/>
      <c r="AA729" s="500"/>
      <c r="AB729" s="500"/>
      <c r="AD729" s="679"/>
      <c r="AE729" s="679"/>
    </row>
    <row r="730" spans="1:31" x14ac:dyDescent="0.2">
      <c r="W730" s="500"/>
      <c r="X730" s="520"/>
      <c r="Y730" s="500"/>
      <c r="Z730" s="501"/>
      <c r="AA730" s="500"/>
      <c r="AB730" s="500"/>
      <c r="AD730" s="679"/>
      <c r="AE730" s="679"/>
    </row>
    <row r="731" spans="1:31" x14ac:dyDescent="0.2">
      <c r="W731" s="500"/>
      <c r="X731" s="520"/>
      <c r="Y731" s="500"/>
      <c r="Z731" s="501"/>
      <c r="AA731" s="500"/>
      <c r="AB731" s="500"/>
      <c r="AD731" s="679"/>
      <c r="AE731" s="679"/>
    </row>
    <row r="732" spans="1:31" x14ac:dyDescent="0.2">
      <c r="W732" s="500"/>
      <c r="X732" s="520"/>
      <c r="Y732" s="500"/>
      <c r="Z732" s="501"/>
      <c r="AA732" s="500"/>
      <c r="AB732" s="500"/>
      <c r="AD732" s="679"/>
      <c r="AE732" s="679"/>
    </row>
    <row r="733" spans="1:31" x14ac:dyDescent="0.2">
      <c r="W733" s="500"/>
      <c r="X733" s="520"/>
      <c r="Y733" s="500"/>
      <c r="Z733" s="501"/>
      <c r="AA733" s="500"/>
      <c r="AB733" s="500"/>
      <c r="AD733" s="679"/>
      <c r="AE733" s="679"/>
    </row>
    <row r="734" spans="1:31" x14ac:dyDescent="0.2">
      <c r="W734" s="500"/>
      <c r="X734" s="520"/>
      <c r="Y734" s="500"/>
      <c r="Z734" s="501"/>
      <c r="AA734" s="500"/>
      <c r="AB734" s="500"/>
      <c r="AD734" s="679"/>
      <c r="AE734" s="679"/>
    </row>
    <row r="735" spans="1:31" x14ac:dyDescent="0.2">
      <c r="W735" s="500"/>
      <c r="X735" s="520"/>
      <c r="Y735" s="500"/>
      <c r="Z735" s="501"/>
      <c r="AA735" s="500"/>
      <c r="AB735" s="500"/>
      <c r="AD735" s="679"/>
      <c r="AE735" s="679"/>
    </row>
    <row r="736" spans="1:31" x14ac:dyDescent="0.2">
      <c r="W736" s="500"/>
      <c r="X736" s="520"/>
      <c r="Y736" s="500"/>
      <c r="Z736" s="501"/>
      <c r="AA736" s="500"/>
      <c r="AB736" s="500"/>
      <c r="AD736" s="679"/>
      <c r="AE736" s="679"/>
    </row>
    <row r="737" spans="23:31" ht="37.5" customHeight="1" x14ac:dyDescent="0.2">
      <c r="W737" s="500"/>
      <c r="X737" s="520"/>
      <c r="Y737" s="500"/>
      <c r="Z737" s="501"/>
      <c r="AA737" s="500"/>
      <c r="AB737" s="500"/>
      <c r="AD737" s="679"/>
      <c r="AE737" s="679"/>
    </row>
    <row r="738" spans="23:31" x14ac:dyDescent="0.2">
      <c r="W738" s="500"/>
      <c r="X738" s="520"/>
      <c r="Y738" s="500"/>
      <c r="Z738" s="501"/>
      <c r="AA738" s="500"/>
      <c r="AB738" s="500"/>
      <c r="AD738" s="679"/>
      <c r="AE738" s="679"/>
    </row>
    <row r="739" spans="23:31" x14ac:dyDescent="0.2">
      <c r="W739" s="500"/>
      <c r="X739" s="520"/>
      <c r="Y739" s="500"/>
      <c r="Z739" s="501"/>
      <c r="AA739" s="500"/>
      <c r="AB739" s="500"/>
      <c r="AD739" s="679"/>
      <c r="AE739" s="679"/>
    </row>
    <row r="740" spans="23:31" x14ac:dyDescent="0.2">
      <c r="W740" s="500"/>
      <c r="X740" s="520"/>
      <c r="Y740" s="500"/>
      <c r="Z740" s="501"/>
      <c r="AA740" s="500"/>
      <c r="AB740" s="500"/>
      <c r="AD740" s="679"/>
      <c r="AE740" s="679"/>
    </row>
    <row r="741" spans="23:31" x14ac:dyDescent="0.2">
      <c r="W741" s="500"/>
      <c r="X741" s="520"/>
      <c r="Y741" s="500"/>
      <c r="Z741" s="501"/>
      <c r="AA741" s="500"/>
      <c r="AB741" s="500"/>
      <c r="AD741" s="679"/>
      <c r="AE741" s="679"/>
    </row>
    <row r="742" spans="23:31" x14ac:dyDescent="0.2">
      <c r="W742" s="500"/>
      <c r="X742" s="520"/>
      <c r="Y742" s="500"/>
      <c r="Z742" s="501"/>
      <c r="AA742" s="500"/>
      <c r="AB742" s="500"/>
      <c r="AD742" s="679"/>
      <c r="AE742" s="679"/>
    </row>
    <row r="743" spans="23:31" x14ac:dyDescent="0.2">
      <c r="W743" s="500"/>
      <c r="X743" s="520"/>
      <c r="Y743" s="500"/>
      <c r="Z743" s="501"/>
      <c r="AA743" s="500"/>
      <c r="AB743" s="500"/>
      <c r="AD743" s="679"/>
      <c r="AE743" s="679"/>
    </row>
    <row r="744" spans="23:31" x14ac:dyDescent="0.2">
      <c r="W744" s="500"/>
      <c r="X744" s="520"/>
      <c r="Y744" s="500"/>
      <c r="Z744" s="501"/>
      <c r="AA744" s="500"/>
      <c r="AB744" s="500"/>
      <c r="AD744" s="679"/>
      <c r="AE744" s="679"/>
    </row>
    <row r="745" spans="23:31" x14ac:dyDescent="0.2">
      <c r="W745" s="500"/>
      <c r="X745" s="520"/>
      <c r="Y745" s="500"/>
      <c r="Z745" s="501"/>
      <c r="AA745" s="500"/>
      <c r="AB745" s="500"/>
      <c r="AD745" s="679"/>
      <c r="AE745" s="679"/>
    </row>
    <row r="746" spans="23:31" x14ac:dyDescent="0.2">
      <c r="W746" s="500"/>
      <c r="X746" s="520"/>
      <c r="Y746" s="500"/>
      <c r="Z746" s="501"/>
      <c r="AA746" s="500"/>
      <c r="AB746" s="500"/>
      <c r="AD746" s="679"/>
      <c r="AE746" s="679"/>
    </row>
    <row r="747" spans="23:31" x14ac:dyDescent="0.2">
      <c r="W747" s="500"/>
      <c r="X747" s="520"/>
      <c r="Y747" s="500"/>
      <c r="Z747" s="501"/>
      <c r="AA747" s="500"/>
      <c r="AB747" s="500"/>
      <c r="AD747" s="679"/>
      <c r="AE747" s="679"/>
    </row>
    <row r="748" spans="23:31" x14ac:dyDescent="0.2">
      <c r="W748" s="500"/>
      <c r="X748" s="520"/>
      <c r="Y748" s="500"/>
      <c r="Z748" s="501"/>
      <c r="AA748" s="500"/>
      <c r="AB748" s="500"/>
      <c r="AD748" s="679"/>
      <c r="AE748" s="679"/>
    </row>
    <row r="749" spans="23:31" x14ac:dyDescent="0.2">
      <c r="W749" s="500"/>
      <c r="X749" s="520"/>
      <c r="Y749" s="500"/>
      <c r="Z749" s="501"/>
      <c r="AA749" s="500"/>
      <c r="AB749" s="500"/>
      <c r="AD749" s="679"/>
      <c r="AE749" s="679"/>
    </row>
    <row r="750" spans="23:31" x14ac:dyDescent="0.2">
      <c r="W750" s="500"/>
      <c r="X750" s="520"/>
      <c r="Y750" s="500"/>
      <c r="Z750" s="501"/>
      <c r="AA750" s="500"/>
      <c r="AB750" s="500"/>
      <c r="AD750" s="679"/>
      <c r="AE750" s="679"/>
    </row>
    <row r="751" spans="23:31" x14ac:dyDescent="0.2">
      <c r="W751" s="500"/>
      <c r="X751" s="520"/>
      <c r="Y751" s="500"/>
      <c r="Z751" s="501"/>
      <c r="AA751" s="500"/>
      <c r="AB751" s="500"/>
      <c r="AD751" s="679"/>
      <c r="AE751" s="679"/>
    </row>
    <row r="752" spans="23:31" x14ac:dyDescent="0.2">
      <c r="W752" s="500"/>
      <c r="X752" s="520"/>
      <c r="Y752" s="500"/>
      <c r="Z752" s="501"/>
      <c r="AA752" s="500"/>
      <c r="AB752" s="500"/>
      <c r="AD752" s="679"/>
      <c r="AE752" s="679"/>
    </row>
    <row r="753" spans="23:31" x14ac:dyDescent="0.2">
      <c r="W753" s="500"/>
      <c r="X753" s="520"/>
      <c r="Y753" s="500"/>
      <c r="Z753" s="501"/>
      <c r="AA753" s="500"/>
      <c r="AB753" s="500"/>
      <c r="AD753" s="679"/>
      <c r="AE753" s="679"/>
    </row>
    <row r="754" spans="23:31" x14ac:dyDescent="0.2">
      <c r="W754" s="500"/>
      <c r="X754" s="520"/>
      <c r="Y754" s="500"/>
      <c r="Z754" s="501"/>
      <c r="AA754" s="500"/>
      <c r="AB754" s="500"/>
      <c r="AD754" s="679"/>
      <c r="AE754" s="679"/>
    </row>
    <row r="755" spans="23:31" x14ac:dyDescent="0.2">
      <c r="W755" s="500"/>
      <c r="X755" s="520"/>
      <c r="Y755" s="500"/>
      <c r="Z755" s="501"/>
      <c r="AA755" s="500"/>
      <c r="AB755" s="500"/>
      <c r="AD755" s="679"/>
      <c r="AE755" s="679"/>
    </row>
    <row r="756" spans="23:31" x14ac:dyDescent="0.2">
      <c r="W756" s="500"/>
      <c r="X756" s="520"/>
      <c r="Y756" s="500"/>
      <c r="Z756" s="501"/>
      <c r="AA756" s="500"/>
      <c r="AB756" s="500"/>
      <c r="AD756" s="679"/>
      <c r="AE756" s="679"/>
    </row>
    <row r="757" spans="23:31" x14ac:dyDescent="0.2">
      <c r="W757" s="500"/>
      <c r="X757" s="520"/>
      <c r="Y757" s="500"/>
      <c r="Z757" s="501"/>
      <c r="AA757" s="500"/>
      <c r="AB757" s="500"/>
      <c r="AD757" s="679"/>
      <c r="AE757" s="679"/>
    </row>
  </sheetData>
  <sheetProtection selectLockedCells="1"/>
  <mergeCells count="1008">
    <mergeCell ref="A97:D97"/>
    <mergeCell ref="Q97:T97"/>
    <mergeCell ref="A126:D126"/>
    <mergeCell ref="Q126:T126"/>
    <mergeCell ref="A155:D155"/>
    <mergeCell ref="Q155:T155"/>
    <mergeCell ref="A184:D184"/>
    <mergeCell ref="Q184:T184"/>
    <mergeCell ref="D720:F720"/>
    <mergeCell ref="H720:L720"/>
    <mergeCell ref="M720:O720"/>
    <mergeCell ref="T720:V720"/>
    <mergeCell ref="X720:AB720"/>
    <mergeCell ref="AC720:AE720"/>
    <mergeCell ref="O722:Q723"/>
    <mergeCell ref="A701:J701"/>
    <mergeCell ref="Q701:Z701"/>
    <mergeCell ref="A702:J702"/>
    <mergeCell ref="L702:N702"/>
    <mergeCell ref="Q702:Z702"/>
    <mergeCell ref="A703:J703"/>
    <mergeCell ref="Q703:Z703"/>
    <mergeCell ref="A704:J704"/>
    <mergeCell ref="Q704:Z704"/>
    <mergeCell ref="D691:F691"/>
    <mergeCell ref="H691:L691"/>
    <mergeCell ref="M691:O691"/>
    <mergeCell ref="T691:V691"/>
    <mergeCell ref="X691:AB691"/>
    <mergeCell ref="AC691:AE691"/>
    <mergeCell ref="O693:Q694"/>
    <mergeCell ref="C696:O696"/>
    <mergeCell ref="C725:O725"/>
    <mergeCell ref="Q725:AE725"/>
    <mergeCell ref="H717:L717"/>
    <mergeCell ref="M717:O717"/>
    <mergeCell ref="X717:AB717"/>
    <mergeCell ref="AC717:AE717"/>
    <mergeCell ref="H718:L718"/>
    <mergeCell ref="M718:O718"/>
    <mergeCell ref="X718:AB718"/>
    <mergeCell ref="AC718:AE718"/>
    <mergeCell ref="H719:L719"/>
    <mergeCell ref="M719:O719"/>
    <mergeCell ref="X719:AB719"/>
    <mergeCell ref="AC719:AE719"/>
    <mergeCell ref="A705:J705"/>
    <mergeCell ref="Q705:Z705"/>
    <mergeCell ref="L708:N708"/>
    <mergeCell ref="AB708:AD708"/>
    <mergeCell ref="H715:O715"/>
    <mergeCell ref="X715:AE715"/>
    <mergeCell ref="H716:L716"/>
    <mergeCell ref="M716:O716"/>
    <mergeCell ref="X716:AB716"/>
    <mergeCell ref="AC716:AE716"/>
    <mergeCell ref="A706:D706"/>
    <mergeCell ref="Q706:T706"/>
    <mergeCell ref="Q696:AE696"/>
    <mergeCell ref="H688:L688"/>
    <mergeCell ref="M688:O688"/>
    <mergeCell ref="X688:AB688"/>
    <mergeCell ref="AC688:AE688"/>
    <mergeCell ref="H689:L689"/>
    <mergeCell ref="M689:O689"/>
    <mergeCell ref="X689:AB689"/>
    <mergeCell ref="AC689:AE689"/>
    <mergeCell ref="H690:L690"/>
    <mergeCell ref="M690:O690"/>
    <mergeCell ref="X690:AB690"/>
    <mergeCell ref="AC690:AE690"/>
    <mergeCell ref="A676:J676"/>
    <mergeCell ref="Q676:Z676"/>
    <mergeCell ref="L679:N679"/>
    <mergeCell ref="AB679:AD679"/>
    <mergeCell ref="H686:O686"/>
    <mergeCell ref="X686:AE686"/>
    <mergeCell ref="H687:L687"/>
    <mergeCell ref="M687:O687"/>
    <mergeCell ref="X687:AB687"/>
    <mergeCell ref="AC687:AE687"/>
    <mergeCell ref="A677:D677"/>
    <mergeCell ref="Q677:T677"/>
    <mergeCell ref="A672:J672"/>
    <mergeCell ref="Q672:Z672"/>
    <mergeCell ref="A673:J673"/>
    <mergeCell ref="L673:N673"/>
    <mergeCell ref="Q673:Z673"/>
    <mergeCell ref="A674:J674"/>
    <mergeCell ref="Q674:Z674"/>
    <mergeCell ref="A675:J675"/>
    <mergeCell ref="Q675:Z675"/>
    <mergeCell ref="D662:F662"/>
    <mergeCell ref="H662:L662"/>
    <mergeCell ref="M662:O662"/>
    <mergeCell ref="T662:V662"/>
    <mergeCell ref="X662:AB662"/>
    <mergeCell ref="AC662:AE662"/>
    <mergeCell ref="O664:Q665"/>
    <mergeCell ref="C667:O667"/>
    <mergeCell ref="Q667:AE667"/>
    <mergeCell ref="H659:L659"/>
    <mergeCell ref="M659:O659"/>
    <mergeCell ref="X659:AB659"/>
    <mergeCell ref="AC659:AE659"/>
    <mergeCell ref="H660:L660"/>
    <mergeCell ref="M660:O660"/>
    <mergeCell ref="X660:AB660"/>
    <mergeCell ref="AC660:AE660"/>
    <mergeCell ref="H661:L661"/>
    <mergeCell ref="M661:O661"/>
    <mergeCell ref="X661:AB661"/>
    <mergeCell ref="AC661:AE661"/>
    <mergeCell ref="A647:J647"/>
    <mergeCell ref="Q647:Z647"/>
    <mergeCell ref="L650:N650"/>
    <mergeCell ref="AB650:AD650"/>
    <mergeCell ref="H657:O657"/>
    <mergeCell ref="X657:AE657"/>
    <mergeCell ref="H658:L658"/>
    <mergeCell ref="M658:O658"/>
    <mergeCell ref="X658:AB658"/>
    <mergeCell ref="AC658:AE658"/>
    <mergeCell ref="A648:D648"/>
    <mergeCell ref="Q648:T648"/>
    <mergeCell ref="A643:J643"/>
    <mergeCell ref="Q643:Z643"/>
    <mergeCell ref="A644:J644"/>
    <mergeCell ref="L644:N644"/>
    <mergeCell ref="Q644:Z644"/>
    <mergeCell ref="A645:J645"/>
    <mergeCell ref="Q645:Z645"/>
    <mergeCell ref="A646:J646"/>
    <mergeCell ref="Q646:Z646"/>
    <mergeCell ref="D633:F633"/>
    <mergeCell ref="H633:L633"/>
    <mergeCell ref="M633:O633"/>
    <mergeCell ref="T633:V633"/>
    <mergeCell ref="X633:AB633"/>
    <mergeCell ref="AC633:AE633"/>
    <mergeCell ref="O635:Q636"/>
    <mergeCell ref="C638:O638"/>
    <mergeCell ref="Q638:AE638"/>
    <mergeCell ref="H630:L630"/>
    <mergeCell ref="M630:O630"/>
    <mergeCell ref="X630:AB630"/>
    <mergeCell ref="AC630:AE630"/>
    <mergeCell ref="H631:L631"/>
    <mergeCell ref="M631:O631"/>
    <mergeCell ref="X631:AB631"/>
    <mergeCell ref="AC631:AE631"/>
    <mergeCell ref="H632:L632"/>
    <mergeCell ref="M632:O632"/>
    <mergeCell ref="X632:AB632"/>
    <mergeCell ref="AC632:AE632"/>
    <mergeCell ref="A618:J618"/>
    <mergeCell ref="Q618:Z618"/>
    <mergeCell ref="L621:N621"/>
    <mergeCell ref="AB621:AD621"/>
    <mergeCell ref="H628:O628"/>
    <mergeCell ref="X628:AE628"/>
    <mergeCell ref="H629:L629"/>
    <mergeCell ref="M629:O629"/>
    <mergeCell ref="X629:AB629"/>
    <mergeCell ref="AC629:AE629"/>
    <mergeCell ref="A619:D619"/>
    <mergeCell ref="Q619:T619"/>
    <mergeCell ref="A614:J614"/>
    <mergeCell ref="Q614:Z614"/>
    <mergeCell ref="A615:J615"/>
    <mergeCell ref="L615:N615"/>
    <mergeCell ref="Q615:Z615"/>
    <mergeCell ref="A616:J616"/>
    <mergeCell ref="Q616:Z616"/>
    <mergeCell ref="A617:J617"/>
    <mergeCell ref="Q617:Z617"/>
    <mergeCell ref="D604:F604"/>
    <mergeCell ref="H604:L604"/>
    <mergeCell ref="M604:O604"/>
    <mergeCell ref="T604:V604"/>
    <mergeCell ref="X604:AB604"/>
    <mergeCell ref="AC604:AE604"/>
    <mergeCell ref="O606:Q607"/>
    <mergeCell ref="C609:O609"/>
    <mergeCell ref="Q609:AE609"/>
    <mergeCell ref="H601:L601"/>
    <mergeCell ref="M601:O601"/>
    <mergeCell ref="X601:AB601"/>
    <mergeCell ref="AC601:AE601"/>
    <mergeCell ref="H602:L602"/>
    <mergeCell ref="M602:O602"/>
    <mergeCell ref="X602:AB602"/>
    <mergeCell ref="AC602:AE602"/>
    <mergeCell ref="H603:L603"/>
    <mergeCell ref="M603:O603"/>
    <mergeCell ref="X603:AB603"/>
    <mergeCell ref="AC603:AE603"/>
    <mergeCell ref="A589:J589"/>
    <mergeCell ref="Q589:Z589"/>
    <mergeCell ref="L592:N592"/>
    <mergeCell ref="AB592:AD592"/>
    <mergeCell ref="H599:O599"/>
    <mergeCell ref="X599:AE599"/>
    <mergeCell ref="H600:L600"/>
    <mergeCell ref="M600:O600"/>
    <mergeCell ref="X600:AB600"/>
    <mergeCell ref="AC600:AE600"/>
    <mergeCell ref="A590:D590"/>
    <mergeCell ref="Q590:T590"/>
    <mergeCell ref="A585:J585"/>
    <mergeCell ref="Q585:Z585"/>
    <mergeCell ref="A586:J586"/>
    <mergeCell ref="L586:N586"/>
    <mergeCell ref="Q586:Z586"/>
    <mergeCell ref="A587:J587"/>
    <mergeCell ref="Q587:Z587"/>
    <mergeCell ref="A588:J588"/>
    <mergeCell ref="Q588:Z588"/>
    <mergeCell ref="D575:F575"/>
    <mergeCell ref="H575:L575"/>
    <mergeCell ref="M575:O575"/>
    <mergeCell ref="T575:V575"/>
    <mergeCell ref="X575:AB575"/>
    <mergeCell ref="AC575:AE575"/>
    <mergeCell ref="O577:Q578"/>
    <mergeCell ref="C580:O580"/>
    <mergeCell ref="Q580:AE580"/>
    <mergeCell ref="H572:L572"/>
    <mergeCell ref="M572:O572"/>
    <mergeCell ref="X572:AB572"/>
    <mergeCell ref="AC572:AE572"/>
    <mergeCell ref="H573:L573"/>
    <mergeCell ref="M573:O573"/>
    <mergeCell ref="X573:AB573"/>
    <mergeCell ref="AC573:AE573"/>
    <mergeCell ref="H574:L574"/>
    <mergeCell ref="M574:O574"/>
    <mergeCell ref="X574:AB574"/>
    <mergeCell ref="AC574:AE574"/>
    <mergeCell ref="A560:J560"/>
    <mergeCell ref="Q560:Z560"/>
    <mergeCell ref="L563:N563"/>
    <mergeCell ref="AB563:AD563"/>
    <mergeCell ref="H570:O570"/>
    <mergeCell ref="X570:AE570"/>
    <mergeCell ref="H571:L571"/>
    <mergeCell ref="M571:O571"/>
    <mergeCell ref="X571:AB571"/>
    <mergeCell ref="AC571:AE571"/>
    <mergeCell ref="A561:D561"/>
    <mergeCell ref="Q561:T561"/>
    <mergeCell ref="A556:J556"/>
    <mergeCell ref="Q556:Z556"/>
    <mergeCell ref="A557:J557"/>
    <mergeCell ref="L557:N557"/>
    <mergeCell ref="Q557:Z557"/>
    <mergeCell ref="A558:J558"/>
    <mergeCell ref="Q558:Z558"/>
    <mergeCell ref="A559:J559"/>
    <mergeCell ref="Q559:Z559"/>
    <mergeCell ref="D546:F546"/>
    <mergeCell ref="H546:L546"/>
    <mergeCell ref="M546:O546"/>
    <mergeCell ref="T546:V546"/>
    <mergeCell ref="X546:AB546"/>
    <mergeCell ref="AC546:AE546"/>
    <mergeCell ref="O548:Q549"/>
    <mergeCell ref="C551:O551"/>
    <mergeCell ref="Q551:AE551"/>
    <mergeCell ref="H543:L543"/>
    <mergeCell ref="M543:O543"/>
    <mergeCell ref="X543:AB543"/>
    <mergeCell ref="AC543:AE543"/>
    <mergeCell ref="H544:L544"/>
    <mergeCell ref="M544:O544"/>
    <mergeCell ref="X544:AB544"/>
    <mergeCell ref="AC544:AE544"/>
    <mergeCell ref="H545:L545"/>
    <mergeCell ref="M545:O545"/>
    <mergeCell ref="X545:AB545"/>
    <mergeCell ref="AC545:AE545"/>
    <mergeCell ref="A531:J531"/>
    <mergeCell ref="Q531:Z531"/>
    <mergeCell ref="L534:N534"/>
    <mergeCell ref="AB534:AD534"/>
    <mergeCell ref="H541:O541"/>
    <mergeCell ref="X541:AE541"/>
    <mergeCell ref="H542:L542"/>
    <mergeCell ref="M542:O542"/>
    <mergeCell ref="X542:AB542"/>
    <mergeCell ref="AC542:AE542"/>
    <mergeCell ref="A532:D532"/>
    <mergeCell ref="Q532:T532"/>
    <mergeCell ref="A527:J527"/>
    <mergeCell ref="Q527:Z527"/>
    <mergeCell ref="A528:J528"/>
    <mergeCell ref="L528:N528"/>
    <mergeCell ref="Q528:Z528"/>
    <mergeCell ref="A529:J529"/>
    <mergeCell ref="Q529:Z529"/>
    <mergeCell ref="A530:J530"/>
    <mergeCell ref="Q530:Z530"/>
    <mergeCell ref="D517:F517"/>
    <mergeCell ref="H517:L517"/>
    <mergeCell ref="M517:O517"/>
    <mergeCell ref="T517:V517"/>
    <mergeCell ref="X517:AB517"/>
    <mergeCell ref="AC517:AE517"/>
    <mergeCell ref="O519:Q520"/>
    <mergeCell ref="C522:O522"/>
    <mergeCell ref="Q522:AE522"/>
    <mergeCell ref="H514:L514"/>
    <mergeCell ref="M514:O514"/>
    <mergeCell ref="X514:AB514"/>
    <mergeCell ref="AC514:AE514"/>
    <mergeCell ref="H515:L515"/>
    <mergeCell ref="M515:O515"/>
    <mergeCell ref="X515:AB515"/>
    <mergeCell ref="AC515:AE515"/>
    <mergeCell ref="H516:L516"/>
    <mergeCell ref="M516:O516"/>
    <mergeCell ref="X516:AB516"/>
    <mergeCell ref="AC516:AE516"/>
    <mergeCell ref="A502:J502"/>
    <mergeCell ref="Q502:Z502"/>
    <mergeCell ref="L505:N505"/>
    <mergeCell ref="AB505:AD505"/>
    <mergeCell ref="H512:O512"/>
    <mergeCell ref="X512:AE512"/>
    <mergeCell ref="H513:L513"/>
    <mergeCell ref="M513:O513"/>
    <mergeCell ref="X513:AB513"/>
    <mergeCell ref="AC513:AE513"/>
    <mergeCell ref="A503:D503"/>
    <mergeCell ref="Q503:T503"/>
    <mergeCell ref="A498:J498"/>
    <mergeCell ref="Q498:Z498"/>
    <mergeCell ref="A499:J499"/>
    <mergeCell ref="L499:N499"/>
    <mergeCell ref="Q499:Z499"/>
    <mergeCell ref="A500:J500"/>
    <mergeCell ref="Q500:Z500"/>
    <mergeCell ref="A501:J501"/>
    <mergeCell ref="Q501:Z501"/>
    <mergeCell ref="D488:F488"/>
    <mergeCell ref="H488:L488"/>
    <mergeCell ref="M488:O488"/>
    <mergeCell ref="T488:V488"/>
    <mergeCell ref="X488:AB488"/>
    <mergeCell ref="AC488:AE488"/>
    <mergeCell ref="O490:Q491"/>
    <mergeCell ref="C493:O493"/>
    <mergeCell ref="Q493:AE493"/>
    <mergeCell ref="H485:L485"/>
    <mergeCell ref="M485:O485"/>
    <mergeCell ref="X485:AB485"/>
    <mergeCell ref="AC485:AE485"/>
    <mergeCell ref="H486:L486"/>
    <mergeCell ref="M486:O486"/>
    <mergeCell ref="X486:AB486"/>
    <mergeCell ref="AC486:AE486"/>
    <mergeCell ref="H487:L487"/>
    <mergeCell ref="M487:O487"/>
    <mergeCell ref="X487:AB487"/>
    <mergeCell ref="AC487:AE487"/>
    <mergeCell ref="A473:J473"/>
    <mergeCell ref="Q473:Z473"/>
    <mergeCell ref="L476:N476"/>
    <mergeCell ref="AB476:AD476"/>
    <mergeCell ref="H483:O483"/>
    <mergeCell ref="X483:AE483"/>
    <mergeCell ref="H484:L484"/>
    <mergeCell ref="M484:O484"/>
    <mergeCell ref="X484:AB484"/>
    <mergeCell ref="AC484:AE484"/>
    <mergeCell ref="A474:D474"/>
    <mergeCell ref="Q474:T474"/>
    <mergeCell ref="A469:J469"/>
    <mergeCell ref="Q469:Z469"/>
    <mergeCell ref="A470:J470"/>
    <mergeCell ref="L470:N470"/>
    <mergeCell ref="Q470:Z470"/>
    <mergeCell ref="A471:J471"/>
    <mergeCell ref="Q471:Z471"/>
    <mergeCell ref="A472:J472"/>
    <mergeCell ref="Q472:Z472"/>
    <mergeCell ref="D459:F459"/>
    <mergeCell ref="H459:L459"/>
    <mergeCell ref="M459:O459"/>
    <mergeCell ref="T459:V459"/>
    <mergeCell ref="X459:AB459"/>
    <mergeCell ref="AC459:AE459"/>
    <mergeCell ref="O461:Q462"/>
    <mergeCell ref="C464:O464"/>
    <mergeCell ref="Q464:AE464"/>
    <mergeCell ref="H456:L456"/>
    <mergeCell ref="M456:O456"/>
    <mergeCell ref="X456:AB456"/>
    <mergeCell ref="AC456:AE456"/>
    <mergeCell ref="H457:L457"/>
    <mergeCell ref="M457:O457"/>
    <mergeCell ref="X457:AB457"/>
    <mergeCell ref="AC457:AE457"/>
    <mergeCell ref="H458:L458"/>
    <mergeCell ref="M458:O458"/>
    <mergeCell ref="X458:AB458"/>
    <mergeCell ref="AC458:AE458"/>
    <mergeCell ref="A444:J444"/>
    <mergeCell ref="Q444:Z444"/>
    <mergeCell ref="L447:N447"/>
    <mergeCell ref="AB447:AD447"/>
    <mergeCell ref="H454:O454"/>
    <mergeCell ref="X454:AE454"/>
    <mergeCell ref="H455:L455"/>
    <mergeCell ref="M455:O455"/>
    <mergeCell ref="X455:AB455"/>
    <mergeCell ref="AC455:AE455"/>
    <mergeCell ref="A445:D445"/>
    <mergeCell ref="Q445:T445"/>
    <mergeCell ref="A440:J440"/>
    <mergeCell ref="Q440:Z440"/>
    <mergeCell ref="A441:J441"/>
    <mergeCell ref="L441:N441"/>
    <mergeCell ref="Q441:Z441"/>
    <mergeCell ref="A442:J442"/>
    <mergeCell ref="Q442:Z442"/>
    <mergeCell ref="A443:J443"/>
    <mergeCell ref="Q443:Z443"/>
    <mergeCell ref="D430:F430"/>
    <mergeCell ref="H430:L430"/>
    <mergeCell ref="M430:O430"/>
    <mergeCell ref="T430:V430"/>
    <mergeCell ref="X430:AB430"/>
    <mergeCell ref="AC430:AE430"/>
    <mergeCell ref="O432:Q433"/>
    <mergeCell ref="C435:O435"/>
    <mergeCell ref="Q435:AE435"/>
    <mergeCell ref="H427:L427"/>
    <mergeCell ref="M427:O427"/>
    <mergeCell ref="X427:AB427"/>
    <mergeCell ref="AC427:AE427"/>
    <mergeCell ref="H428:L428"/>
    <mergeCell ref="M428:O428"/>
    <mergeCell ref="X428:AB428"/>
    <mergeCell ref="AC428:AE428"/>
    <mergeCell ref="H429:L429"/>
    <mergeCell ref="M429:O429"/>
    <mergeCell ref="X429:AB429"/>
    <mergeCell ref="AC429:AE429"/>
    <mergeCell ref="A415:J415"/>
    <mergeCell ref="Q415:Z415"/>
    <mergeCell ref="L418:N418"/>
    <mergeCell ref="AB418:AD418"/>
    <mergeCell ref="H425:O425"/>
    <mergeCell ref="X425:AE425"/>
    <mergeCell ref="H426:L426"/>
    <mergeCell ref="M426:O426"/>
    <mergeCell ref="X426:AB426"/>
    <mergeCell ref="AC426:AE426"/>
    <mergeCell ref="A416:D416"/>
    <mergeCell ref="Q416:T416"/>
    <mergeCell ref="A411:J411"/>
    <mergeCell ref="Q411:Z411"/>
    <mergeCell ref="A412:J412"/>
    <mergeCell ref="L412:N412"/>
    <mergeCell ref="Q412:Z412"/>
    <mergeCell ref="A413:J413"/>
    <mergeCell ref="Q413:Z413"/>
    <mergeCell ref="A414:J414"/>
    <mergeCell ref="Q414:Z414"/>
    <mergeCell ref="D401:F401"/>
    <mergeCell ref="H401:L401"/>
    <mergeCell ref="M401:O401"/>
    <mergeCell ref="T401:V401"/>
    <mergeCell ref="X401:AB401"/>
    <mergeCell ref="AC401:AE401"/>
    <mergeCell ref="O403:Q404"/>
    <mergeCell ref="C406:O406"/>
    <mergeCell ref="Q406:AE406"/>
    <mergeCell ref="H398:L398"/>
    <mergeCell ref="M398:O398"/>
    <mergeCell ref="X398:AB398"/>
    <mergeCell ref="AC398:AE398"/>
    <mergeCell ref="H399:L399"/>
    <mergeCell ref="M399:O399"/>
    <mergeCell ref="X399:AB399"/>
    <mergeCell ref="AC399:AE399"/>
    <mergeCell ref="H400:L400"/>
    <mergeCell ref="M400:O400"/>
    <mergeCell ref="X400:AB400"/>
    <mergeCell ref="AC400:AE400"/>
    <mergeCell ref="A386:J386"/>
    <mergeCell ref="Q386:Z386"/>
    <mergeCell ref="L389:N389"/>
    <mergeCell ref="AB389:AD389"/>
    <mergeCell ref="H396:O396"/>
    <mergeCell ref="X396:AE396"/>
    <mergeCell ref="H397:L397"/>
    <mergeCell ref="M397:O397"/>
    <mergeCell ref="X397:AB397"/>
    <mergeCell ref="AC397:AE397"/>
    <mergeCell ref="A387:D387"/>
    <mergeCell ref="Q387:T387"/>
    <mergeCell ref="A382:J382"/>
    <mergeCell ref="Q382:Z382"/>
    <mergeCell ref="A383:J383"/>
    <mergeCell ref="L383:N383"/>
    <mergeCell ref="Q383:Z383"/>
    <mergeCell ref="A384:J384"/>
    <mergeCell ref="Q384:Z384"/>
    <mergeCell ref="A385:J385"/>
    <mergeCell ref="Q385:Z385"/>
    <mergeCell ref="D372:F372"/>
    <mergeCell ref="H372:L372"/>
    <mergeCell ref="M372:O372"/>
    <mergeCell ref="T372:V372"/>
    <mergeCell ref="X372:AB372"/>
    <mergeCell ref="AC372:AE372"/>
    <mergeCell ref="O374:Q375"/>
    <mergeCell ref="C377:O377"/>
    <mergeCell ref="Q377:AE377"/>
    <mergeCell ref="H369:L369"/>
    <mergeCell ref="M369:O369"/>
    <mergeCell ref="X369:AB369"/>
    <mergeCell ref="AC369:AE369"/>
    <mergeCell ref="H370:L370"/>
    <mergeCell ref="M370:O370"/>
    <mergeCell ref="X370:AB370"/>
    <mergeCell ref="AC370:AE370"/>
    <mergeCell ref="H371:L371"/>
    <mergeCell ref="M371:O371"/>
    <mergeCell ref="X371:AB371"/>
    <mergeCell ref="AC371:AE371"/>
    <mergeCell ref="A357:J357"/>
    <mergeCell ref="Q357:Z357"/>
    <mergeCell ref="L360:N360"/>
    <mergeCell ref="AB360:AD360"/>
    <mergeCell ref="H367:O367"/>
    <mergeCell ref="X367:AE367"/>
    <mergeCell ref="H368:L368"/>
    <mergeCell ref="M368:O368"/>
    <mergeCell ref="X368:AB368"/>
    <mergeCell ref="AC368:AE368"/>
    <mergeCell ref="A358:D358"/>
    <mergeCell ref="Q358:T358"/>
    <mergeCell ref="A353:J353"/>
    <mergeCell ref="Q353:Z353"/>
    <mergeCell ref="A354:J354"/>
    <mergeCell ref="L354:N354"/>
    <mergeCell ref="Q354:Z354"/>
    <mergeCell ref="A355:J355"/>
    <mergeCell ref="Q355:Z355"/>
    <mergeCell ref="A356:J356"/>
    <mergeCell ref="Q356:Z356"/>
    <mergeCell ref="D343:F343"/>
    <mergeCell ref="H343:L343"/>
    <mergeCell ref="M343:O343"/>
    <mergeCell ref="T343:V343"/>
    <mergeCell ref="X343:AB343"/>
    <mergeCell ref="AC343:AE343"/>
    <mergeCell ref="O345:Q346"/>
    <mergeCell ref="C348:O348"/>
    <mergeCell ref="Q348:AE348"/>
    <mergeCell ref="H340:L340"/>
    <mergeCell ref="M340:O340"/>
    <mergeCell ref="X340:AB340"/>
    <mergeCell ref="AC340:AE340"/>
    <mergeCell ref="H341:L341"/>
    <mergeCell ref="M341:O341"/>
    <mergeCell ref="X341:AB341"/>
    <mergeCell ref="AC341:AE341"/>
    <mergeCell ref="H342:L342"/>
    <mergeCell ref="M342:O342"/>
    <mergeCell ref="X342:AB342"/>
    <mergeCell ref="AC342:AE342"/>
    <mergeCell ref="A328:J328"/>
    <mergeCell ref="Q328:Z328"/>
    <mergeCell ref="L331:N331"/>
    <mergeCell ref="AB331:AD331"/>
    <mergeCell ref="H338:O338"/>
    <mergeCell ref="X338:AE338"/>
    <mergeCell ref="H339:L339"/>
    <mergeCell ref="M339:O339"/>
    <mergeCell ref="X339:AB339"/>
    <mergeCell ref="AC339:AE339"/>
    <mergeCell ref="A329:D329"/>
    <mergeCell ref="Q329:T329"/>
    <mergeCell ref="A324:J324"/>
    <mergeCell ref="Q324:Z324"/>
    <mergeCell ref="A325:J325"/>
    <mergeCell ref="L325:N325"/>
    <mergeCell ref="Q325:Z325"/>
    <mergeCell ref="A326:J326"/>
    <mergeCell ref="Q326:Z326"/>
    <mergeCell ref="A327:J327"/>
    <mergeCell ref="Q327:Z327"/>
    <mergeCell ref="D314:F314"/>
    <mergeCell ref="H314:L314"/>
    <mergeCell ref="M314:O314"/>
    <mergeCell ref="T314:V314"/>
    <mergeCell ref="X314:AB314"/>
    <mergeCell ref="AC314:AE314"/>
    <mergeCell ref="O316:Q317"/>
    <mergeCell ref="C319:O319"/>
    <mergeCell ref="Q319:AE319"/>
    <mergeCell ref="H311:L311"/>
    <mergeCell ref="M311:O311"/>
    <mergeCell ref="X311:AB311"/>
    <mergeCell ref="AC311:AE311"/>
    <mergeCell ref="H312:L312"/>
    <mergeCell ref="M312:O312"/>
    <mergeCell ref="X312:AB312"/>
    <mergeCell ref="AC312:AE312"/>
    <mergeCell ref="H313:L313"/>
    <mergeCell ref="M313:O313"/>
    <mergeCell ref="X313:AB313"/>
    <mergeCell ref="AC313:AE313"/>
    <mergeCell ref="A299:J299"/>
    <mergeCell ref="Q299:Z299"/>
    <mergeCell ref="L302:N302"/>
    <mergeCell ref="AB302:AD302"/>
    <mergeCell ref="H309:O309"/>
    <mergeCell ref="X309:AE309"/>
    <mergeCell ref="H310:L310"/>
    <mergeCell ref="M310:O310"/>
    <mergeCell ref="X310:AB310"/>
    <mergeCell ref="AC310:AE310"/>
    <mergeCell ref="A300:D300"/>
    <mergeCell ref="Q300:T300"/>
    <mergeCell ref="A295:J295"/>
    <mergeCell ref="Q295:Z295"/>
    <mergeCell ref="A296:J296"/>
    <mergeCell ref="L296:N296"/>
    <mergeCell ref="Q296:Z296"/>
    <mergeCell ref="A297:J297"/>
    <mergeCell ref="Q297:Z297"/>
    <mergeCell ref="A298:J298"/>
    <mergeCell ref="Q298:Z298"/>
    <mergeCell ref="D285:F285"/>
    <mergeCell ref="H285:L285"/>
    <mergeCell ref="M285:O285"/>
    <mergeCell ref="T285:V285"/>
    <mergeCell ref="X285:AB285"/>
    <mergeCell ref="AC285:AE285"/>
    <mergeCell ref="O287:Q288"/>
    <mergeCell ref="C290:O290"/>
    <mergeCell ref="Q290:AE290"/>
    <mergeCell ref="H282:L282"/>
    <mergeCell ref="M282:O282"/>
    <mergeCell ref="X282:AB282"/>
    <mergeCell ref="AC282:AE282"/>
    <mergeCell ref="H283:L283"/>
    <mergeCell ref="M283:O283"/>
    <mergeCell ref="X283:AB283"/>
    <mergeCell ref="AC283:AE283"/>
    <mergeCell ref="H284:L284"/>
    <mergeCell ref="M284:O284"/>
    <mergeCell ref="X284:AB284"/>
    <mergeCell ref="AC284:AE284"/>
    <mergeCell ref="A270:J270"/>
    <mergeCell ref="Q270:Z270"/>
    <mergeCell ref="L273:N273"/>
    <mergeCell ref="AB273:AD273"/>
    <mergeCell ref="H280:O280"/>
    <mergeCell ref="X280:AE280"/>
    <mergeCell ref="H281:L281"/>
    <mergeCell ref="M281:O281"/>
    <mergeCell ref="X281:AB281"/>
    <mergeCell ref="AC281:AE281"/>
    <mergeCell ref="A271:D271"/>
    <mergeCell ref="Q271:T271"/>
    <mergeCell ref="A266:J266"/>
    <mergeCell ref="Q266:Z266"/>
    <mergeCell ref="A267:J267"/>
    <mergeCell ref="L267:N267"/>
    <mergeCell ref="Q267:Z267"/>
    <mergeCell ref="A268:J268"/>
    <mergeCell ref="Q268:Z268"/>
    <mergeCell ref="A269:J269"/>
    <mergeCell ref="Q269:Z269"/>
    <mergeCell ref="D256:F256"/>
    <mergeCell ref="H256:L256"/>
    <mergeCell ref="M256:O256"/>
    <mergeCell ref="T256:V256"/>
    <mergeCell ref="X256:AB256"/>
    <mergeCell ref="AC256:AE256"/>
    <mergeCell ref="O258:Q259"/>
    <mergeCell ref="C261:O261"/>
    <mergeCell ref="Q261:AE261"/>
    <mergeCell ref="H253:L253"/>
    <mergeCell ref="M253:O253"/>
    <mergeCell ref="X253:AB253"/>
    <mergeCell ref="AC253:AE253"/>
    <mergeCell ref="H254:L254"/>
    <mergeCell ref="M254:O254"/>
    <mergeCell ref="X254:AB254"/>
    <mergeCell ref="AC254:AE254"/>
    <mergeCell ref="H255:L255"/>
    <mergeCell ref="M255:O255"/>
    <mergeCell ref="X255:AB255"/>
    <mergeCell ref="AC255:AE255"/>
    <mergeCell ref="A240:J240"/>
    <mergeCell ref="Q240:Z240"/>
    <mergeCell ref="A241:J241"/>
    <mergeCell ref="Q241:Z241"/>
    <mergeCell ref="L244:N244"/>
    <mergeCell ref="AB244:AD244"/>
    <mergeCell ref="H251:O251"/>
    <mergeCell ref="X251:AE251"/>
    <mergeCell ref="H252:L252"/>
    <mergeCell ref="M252:O252"/>
    <mergeCell ref="X252:AB252"/>
    <mergeCell ref="AC252:AE252"/>
    <mergeCell ref="A242:D242"/>
    <mergeCell ref="Q242:T242"/>
    <mergeCell ref="O229:Q230"/>
    <mergeCell ref="C232:O232"/>
    <mergeCell ref="Q232:AE232"/>
    <mergeCell ref="A237:J237"/>
    <mergeCell ref="Q237:Z237"/>
    <mergeCell ref="A238:J238"/>
    <mergeCell ref="L238:N238"/>
    <mergeCell ref="Q238:Z238"/>
    <mergeCell ref="A239:J239"/>
    <mergeCell ref="Q239:Z239"/>
    <mergeCell ref="H226:L226"/>
    <mergeCell ref="M226:O226"/>
    <mergeCell ref="X226:AB226"/>
    <mergeCell ref="AC226:AE226"/>
    <mergeCell ref="D227:F227"/>
    <mergeCell ref="H227:L227"/>
    <mergeCell ref="M227:O227"/>
    <mergeCell ref="T227:V227"/>
    <mergeCell ref="X227:AB227"/>
    <mergeCell ref="AC227:AE227"/>
    <mergeCell ref="H223:L223"/>
    <mergeCell ref="M223:O223"/>
    <mergeCell ref="X223:AB223"/>
    <mergeCell ref="AC223:AE223"/>
    <mergeCell ref="H224:L224"/>
    <mergeCell ref="M224:O224"/>
    <mergeCell ref="X224:AB224"/>
    <mergeCell ref="AC224:AE224"/>
    <mergeCell ref="H225:L225"/>
    <mergeCell ref="M225:O225"/>
    <mergeCell ref="X225:AB225"/>
    <mergeCell ref="AC225:AE225"/>
    <mergeCell ref="A210:J210"/>
    <mergeCell ref="Q210:Z210"/>
    <mergeCell ref="A211:J211"/>
    <mergeCell ref="Q211:Z211"/>
    <mergeCell ref="A212:J212"/>
    <mergeCell ref="Q212:Z212"/>
    <mergeCell ref="L215:N215"/>
    <mergeCell ref="AB215:AD215"/>
    <mergeCell ref="H222:O222"/>
    <mergeCell ref="X222:AE222"/>
    <mergeCell ref="A213:D213"/>
    <mergeCell ref="Q213:T213"/>
    <mergeCell ref="A208:J208"/>
    <mergeCell ref="Q208:Z208"/>
    <mergeCell ref="A209:J209"/>
    <mergeCell ref="L209:N209"/>
    <mergeCell ref="Q209:Z209"/>
    <mergeCell ref="H52:L52"/>
    <mergeCell ref="H53:L53"/>
    <mergeCell ref="M49:O49"/>
    <mergeCell ref="M50:O50"/>
    <mergeCell ref="M51:O51"/>
    <mergeCell ref="M52:O52"/>
    <mergeCell ref="M53:O53"/>
    <mergeCell ref="O142:Q143"/>
    <mergeCell ref="C145:O145"/>
    <mergeCell ref="Q145:AE145"/>
    <mergeCell ref="A150:J150"/>
    <mergeCell ref="Q150:Z150"/>
    <mergeCell ref="A151:J151"/>
    <mergeCell ref="L151:N151"/>
    <mergeCell ref="Q151:Z151"/>
    <mergeCell ref="H165:L165"/>
    <mergeCell ref="M165:O165"/>
    <mergeCell ref="X165:AB165"/>
    <mergeCell ref="D111:F111"/>
    <mergeCell ref="A125:J125"/>
    <mergeCell ref="Q125:Z125"/>
    <mergeCell ref="L128:N128"/>
    <mergeCell ref="H138:L138"/>
    <mergeCell ref="M138:O138"/>
    <mergeCell ref="X138:AB138"/>
    <mergeCell ref="X78:AB78"/>
    <mergeCell ref="AC78:AE78"/>
    <mergeCell ref="A34:J34"/>
    <mergeCell ref="H48:O48"/>
    <mergeCell ref="L41:N41"/>
    <mergeCell ref="AB41:AD41"/>
    <mergeCell ref="A35:J35"/>
    <mergeCell ref="Q34:Z34"/>
    <mergeCell ref="Q35:Z35"/>
    <mergeCell ref="Q36:Z36"/>
    <mergeCell ref="Q37:Z37"/>
    <mergeCell ref="A36:J36"/>
    <mergeCell ref="A37:J37"/>
    <mergeCell ref="A38:J38"/>
    <mergeCell ref="Q38:Z38"/>
    <mergeCell ref="L35:N35"/>
    <mergeCell ref="Q39:T39"/>
    <mergeCell ref="A39:D39"/>
    <mergeCell ref="A124:J124"/>
    <mergeCell ref="Q124:Z124"/>
    <mergeCell ref="A67:J67"/>
    <mergeCell ref="Q67:Z67"/>
    <mergeCell ref="L70:N70"/>
    <mergeCell ref="T82:V82"/>
    <mergeCell ref="O84:Q85"/>
    <mergeCell ref="C87:O87"/>
    <mergeCell ref="Q87:AE87"/>
    <mergeCell ref="A94:J94"/>
    <mergeCell ref="Q94:Z94"/>
    <mergeCell ref="AB70:AD70"/>
    <mergeCell ref="H77:O77"/>
    <mergeCell ref="X77:AE77"/>
    <mergeCell ref="H78:L78"/>
    <mergeCell ref="M78:O78"/>
    <mergeCell ref="AC81:AE81"/>
    <mergeCell ref="D82:F82"/>
    <mergeCell ref="H82:L82"/>
    <mergeCell ref="M82:O82"/>
    <mergeCell ref="X82:AB82"/>
    <mergeCell ref="AC82:AE82"/>
    <mergeCell ref="C58:O58"/>
    <mergeCell ref="Q58:AE58"/>
    <mergeCell ref="X48:AE48"/>
    <mergeCell ref="X49:AB49"/>
    <mergeCell ref="AC49:AE49"/>
    <mergeCell ref="X50:AB50"/>
    <mergeCell ref="AC50:AE50"/>
    <mergeCell ref="X51:AB51"/>
    <mergeCell ref="AC51:AE51"/>
    <mergeCell ref="X52:AB52"/>
    <mergeCell ref="AC52:AE52"/>
    <mergeCell ref="X53:AB53"/>
    <mergeCell ref="AC53:AE53"/>
    <mergeCell ref="O55:Q56"/>
    <mergeCell ref="D53:F53"/>
    <mergeCell ref="T53:V53"/>
    <mergeCell ref="H49:L49"/>
    <mergeCell ref="H50:L50"/>
    <mergeCell ref="H51:L51"/>
    <mergeCell ref="Q68:T68"/>
    <mergeCell ref="A68:D68"/>
    <mergeCell ref="AB99:AD99"/>
    <mergeCell ref="L99:N99"/>
    <mergeCell ref="Q92:Z92"/>
    <mergeCell ref="A92:J92"/>
    <mergeCell ref="A121:J121"/>
    <mergeCell ref="Q121:Z121"/>
    <mergeCell ref="A63:J63"/>
    <mergeCell ref="Q63:Z63"/>
    <mergeCell ref="A64:J64"/>
    <mergeCell ref="L64:N64"/>
    <mergeCell ref="Q64:Z64"/>
    <mergeCell ref="A65:J65"/>
    <mergeCell ref="Q65:Z65"/>
    <mergeCell ref="A66:J66"/>
    <mergeCell ref="Q66:Z66"/>
    <mergeCell ref="H79:L79"/>
    <mergeCell ref="M79:O79"/>
    <mergeCell ref="X79:AB79"/>
    <mergeCell ref="AC79:AE79"/>
    <mergeCell ref="M111:O111"/>
    <mergeCell ref="X111:AB111"/>
    <mergeCell ref="AC111:AE111"/>
    <mergeCell ref="T111:V111"/>
    <mergeCell ref="A96:J96"/>
    <mergeCell ref="Q96:Z96"/>
    <mergeCell ref="H80:L80"/>
    <mergeCell ref="M80:O80"/>
    <mergeCell ref="X80:AB80"/>
    <mergeCell ref="AC80:AE80"/>
    <mergeCell ref="H81:L81"/>
    <mergeCell ref="M81:O81"/>
    <mergeCell ref="X81:AB81"/>
    <mergeCell ref="A122:J122"/>
    <mergeCell ref="L122:N122"/>
    <mergeCell ref="Q122:Z122"/>
    <mergeCell ref="A123:J123"/>
    <mergeCell ref="Q123:Z123"/>
    <mergeCell ref="A93:J93"/>
    <mergeCell ref="Q93:Z93"/>
    <mergeCell ref="H108:L108"/>
    <mergeCell ref="M108:O108"/>
    <mergeCell ref="X108:AB108"/>
    <mergeCell ref="L93:N93"/>
    <mergeCell ref="Q116:AE116"/>
    <mergeCell ref="C116:O116"/>
    <mergeCell ref="O113:Q114"/>
    <mergeCell ref="AC109:AE109"/>
    <mergeCell ref="H110:L110"/>
    <mergeCell ref="M110:O110"/>
    <mergeCell ref="X110:AB110"/>
    <mergeCell ref="AC110:AE110"/>
    <mergeCell ref="H111:L111"/>
    <mergeCell ref="A95:J95"/>
    <mergeCell ref="Q95:Z95"/>
    <mergeCell ref="H109:L109"/>
    <mergeCell ref="M109:O109"/>
    <mergeCell ref="X109:AB109"/>
    <mergeCell ref="AC108:AE108"/>
    <mergeCell ref="AC107:AE107"/>
    <mergeCell ref="X107:AB107"/>
    <mergeCell ref="M107:O107"/>
    <mergeCell ref="H107:L107"/>
    <mergeCell ref="X106:AE106"/>
    <mergeCell ref="H106:O106"/>
    <mergeCell ref="AB128:AD128"/>
    <mergeCell ref="H135:O135"/>
    <mergeCell ref="X135:AE135"/>
    <mergeCell ref="H136:L136"/>
    <mergeCell ref="M136:O136"/>
    <mergeCell ref="X136:AB136"/>
    <mergeCell ref="AC136:AE136"/>
    <mergeCell ref="H137:L137"/>
    <mergeCell ref="M137:O137"/>
    <mergeCell ref="X137:AB137"/>
    <mergeCell ref="AC137:AE137"/>
    <mergeCell ref="AC138:AE138"/>
    <mergeCell ref="H139:L139"/>
    <mergeCell ref="M139:O139"/>
    <mergeCell ref="X139:AB139"/>
    <mergeCell ref="AC139:AE139"/>
    <mergeCell ref="D140:F140"/>
    <mergeCell ref="H140:L140"/>
    <mergeCell ref="M140:O140"/>
    <mergeCell ref="T140:V140"/>
    <mergeCell ref="X140:AB140"/>
    <mergeCell ref="AC140:AE140"/>
    <mergeCell ref="A152:J152"/>
    <mergeCell ref="Q152:Z152"/>
    <mergeCell ref="A153:J153"/>
    <mergeCell ref="Q153:Z153"/>
    <mergeCell ref="A154:J154"/>
    <mergeCell ref="Q154:Z154"/>
    <mergeCell ref="L157:N157"/>
    <mergeCell ref="AB157:AD157"/>
    <mergeCell ref="H164:O164"/>
    <mergeCell ref="X164:AE164"/>
    <mergeCell ref="AC165:AE165"/>
    <mergeCell ref="H166:L166"/>
    <mergeCell ref="M166:O166"/>
    <mergeCell ref="X166:AB166"/>
    <mergeCell ref="AC166:AE166"/>
    <mergeCell ref="H167:L167"/>
    <mergeCell ref="M167:O167"/>
    <mergeCell ref="X167:AB167"/>
    <mergeCell ref="AC167:AE167"/>
    <mergeCell ref="H169:L169"/>
    <mergeCell ref="M169:O169"/>
    <mergeCell ref="T169:V169"/>
    <mergeCell ref="X169:AB169"/>
    <mergeCell ref="AC169:AE169"/>
    <mergeCell ref="O171:Q172"/>
    <mergeCell ref="C174:O174"/>
    <mergeCell ref="Q174:AE174"/>
    <mergeCell ref="H168:L168"/>
    <mergeCell ref="M168:O168"/>
    <mergeCell ref="X168:AB168"/>
    <mergeCell ref="A179:J179"/>
    <mergeCell ref="Q179:Z179"/>
    <mergeCell ref="A180:J180"/>
    <mergeCell ref="L180:N180"/>
    <mergeCell ref="Q180:Z180"/>
    <mergeCell ref="M194:O194"/>
    <mergeCell ref="X194:AB194"/>
    <mergeCell ref="AC194:AE194"/>
    <mergeCell ref="A181:J181"/>
    <mergeCell ref="Q181:Z181"/>
    <mergeCell ref="A182:J182"/>
    <mergeCell ref="Q182:Z182"/>
    <mergeCell ref="A183:J183"/>
    <mergeCell ref="Q183:Z183"/>
    <mergeCell ref="L186:N186"/>
    <mergeCell ref="AB186:AD186"/>
    <mergeCell ref="H193:O193"/>
    <mergeCell ref="X193:AE193"/>
    <mergeCell ref="H194:L194"/>
    <mergeCell ref="AC168:AE168"/>
    <mergeCell ref="D169:F169"/>
    <mergeCell ref="AC198:AE198"/>
    <mergeCell ref="O200:Q201"/>
    <mergeCell ref="C203:O203"/>
    <mergeCell ref="Q203:AE203"/>
    <mergeCell ref="AC195:AE195"/>
    <mergeCell ref="H196:L196"/>
    <mergeCell ref="M196:O196"/>
    <mergeCell ref="X196:AB196"/>
    <mergeCell ref="AC196:AE196"/>
    <mergeCell ref="H197:L197"/>
    <mergeCell ref="M197:O197"/>
    <mergeCell ref="X197:AB197"/>
    <mergeCell ref="AC197:AE197"/>
    <mergeCell ref="H195:L195"/>
    <mergeCell ref="M195:O195"/>
    <mergeCell ref="X195:AB195"/>
    <mergeCell ref="D198:F198"/>
    <mergeCell ref="H198:L198"/>
    <mergeCell ref="M198:O198"/>
    <mergeCell ref="T198:V198"/>
    <mergeCell ref="X198:AB198"/>
  </mergeCells>
  <conditionalFormatting sqref="Q64:Z64">
    <cfRule type="cellIs" dxfId="2213" priority="25" operator="equal">
      <formula>"Matchs de CLASSEMENT"</formula>
    </cfRule>
  </conditionalFormatting>
  <conditionalFormatting sqref="Q35:Z35">
    <cfRule type="cellIs" dxfId="2212" priority="24" operator="equal">
      <formula>"Matchs de CLASSEMENT"</formula>
    </cfRule>
  </conditionalFormatting>
  <conditionalFormatting sqref="Q93:Z93">
    <cfRule type="cellIs" dxfId="2211" priority="23" operator="equal">
      <formula>"Matchs de CLASSEMENT"</formula>
    </cfRule>
  </conditionalFormatting>
  <conditionalFormatting sqref="Q122:Z122">
    <cfRule type="cellIs" dxfId="2210" priority="22" operator="equal">
      <formula>"Matchs de CLASSEMENT"</formula>
    </cfRule>
  </conditionalFormatting>
  <conditionalFormatting sqref="Q151:Z151">
    <cfRule type="cellIs" dxfId="2209" priority="21" operator="equal">
      <formula>"Matchs de CLASSEMENT"</formula>
    </cfRule>
  </conditionalFormatting>
  <conditionalFormatting sqref="Q180:Z180">
    <cfRule type="cellIs" dxfId="2208" priority="20" operator="equal">
      <formula>"Matchs de CLASSEMENT"</formula>
    </cfRule>
  </conditionalFormatting>
  <conditionalFormatting sqref="Q209:Z209">
    <cfRule type="cellIs" dxfId="2207" priority="19" operator="equal">
      <formula>"Matchs de CLASSEMENT"</formula>
    </cfRule>
  </conditionalFormatting>
  <conditionalFormatting sqref="Q238:Z238">
    <cfRule type="cellIs" dxfId="2206" priority="18" operator="equal">
      <formula>"Matchs de CLASSEMENT"</formula>
    </cfRule>
  </conditionalFormatting>
  <conditionalFormatting sqref="Q267:Z267">
    <cfRule type="cellIs" dxfId="2205" priority="17" operator="equal">
      <formula>"Matchs de CLASSEMENT"</formula>
    </cfRule>
  </conditionalFormatting>
  <conditionalFormatting sqref="Q296:Z296">
    <cfRule type="cellIs" dxfId="2204" priority="16" operator="equal">
      <formula>"Matchs de CLASSEMENT"</formula>
    </cfRule>
  </conditionalFormatting>
  <conditionalFormatting sqref="Q325:Z325">
    <cfRule type="cellIs" dxfId="2203" priority="15" operator="equal">
      <formula>"Matchs de CLASSEMENT"</formula>
    </cfRule>
  </conditionalFormatting>
  <conditionalFormatting sqref="Q354:Z354">
    <cfRule type="cellIs" dxfId="2202" priority="14" operator="equal">
      <formula>"Matchs de CLASSEMENT"</formula>
    </cfRule>
  </conditionalFormatting>
  <conditionalFormatting sqref="Q383:Z383">
    <cfRule type="cellIs" dxfId="2201" priority="13" operator="equal">
      <formula>"Matchs de CLASSEMENT"</formula>
    </cfRule>
  </conditionalFormatting>
  <conditionalFormatting sqref="Q412:Z412">
    <cfRule type="cellIs" dxfId="2200" priority="12" operator="equal">
      <formula>"Matchs de CLASSEMENT"</formula>
    </cfRule>
  </conditionalFormatting>
  <conditionalFormatting sqref="Q441:Z441">
    <cfRule type="cellIs" dxfId="2199" priority="11" operator="equal">
      <formula>"Matchs de CLASSEMENT"</formula>
    </cfRule>
  </conditionalFormatting>
  <conditionalFormatting sqref="Q470:Z470">
    <cfRule type="cellIs" dxfId="2198" priority="10" operator="equal">
      <formula>"Matchs de CLASSEMENT"</formula>
    </cfRule>
  </conditionalFormatting>
  <conditionalFormatting sqref="Q499:Z499">
    <cfRule type="cellIs" dxfId="2197" priority="9" operator="equal">
      <formula>"Matchs de CLASSEMENT"</formula>
    </cfRule>
  </conditionalFormatting>
  <conditionalFormatting sqref="Q528:Z528">
    <cfRule type="cellIs" dxfId="2196" priority="8" operator="equal">
      <formula>"Matchs de CLASSEMENT"</formula>
    </cfRule>
  </conditionalFormatting>
  <conditionalFormatting sqref="Q557:Z557">
    <cfRule type="cellIs" dxfId="2195" priority="7" operator="equal">
      <formula>"Matchs de CLASSEMENT"</formula>
    </cfRule>
  </conditionalFormatting>
  <conditionalFormatting sqref="Q586:Z586">
    <cfRule type="cellIs" dxfId="2194" priority="6" operator="equal">
      <formula>"Matchs de CLASSEMENT"</formula>
    </cfRule>
  </conditionalFormatting>
  <conditionalFormatting sqref="Q615:Z615">
    <cfRule type="cellIs" dxfId="2193" priority="5" operator="equal">
      <formula>"Matchs de CLASSEMENT"</formula>
    </cfRule>
  </conditionalFormatting>
  <conditionalFormatting sqref="Q644:Z644">
    <cfRule type="cellIs" dxfId="2192" priority="4" operator="equal">
      <formula>"Matchs de CLASSEMENT"</formula>
    </cfRule>
  </conditionalFormatting>
  <conditionalFormatting sqref="Q673:Z673">
    <cfRule type="cellIs" dxfId="2191" priority="3" operator="equal">
      <formula>"Matchs de CLASSEMENT"</formula>
    </cfRule>
  </conditionalFormatting>
  <conditionalFormatting sqref="Q702:Z702">
    <cfRule type="cellIs" dxfId="2190" priority="2" operator="equal">
      <formula>"Matchs de CLASSEMENT"</formula>
    </cfRule>
  </conditionalFormatting>
  <pageMargins left="0.23622047244094491" right="0.23622047244094491" top="0.39370078740157483" bottom="0.39370078740157483" header="0.31496062992125984" footer="0.31496062992125984"/>
  <pageSetup paperSize="9" scale="57" fitToHeight="24" orientation="landscape" r:id="rId1"/>
  <rowBreaks count="23" manualBreakCount="23">
    <brk id="59" max="28" man="1"/>
    <brk id="88" max="28" man="1"/>
    <brk id="117" max="28" man="1"/>
    <brk id="146" max="28" man="1"/>
    <brk id="175" max="28" man="1"/>
    <brk id="204" max="28" man="1"/>
    <brk id="233" max="28" man="1"/>
    <brk id="262" max="28" man="1"/>
    <brk id="291" max="28" man="1"/>
    <brk id="320" max="28" man="1"/>
    <brk id="349" max="28" man="1"/>
    <brk id="378" max="28" man="1"/>
    <brk id="407" max="28" man="1"/>
    <brk id="436" max="28" man="1"/>
    <brk id="465" max="28" man="1"/>
    <brk id="494" max="28" man="1"/>
    <brk id="523" max="28" man="1"/>
    <brk id="552" max="28" man="1"/>
    <brk id="581" max="28" man="1"/>
    <brk id="610" max="28" man="1"/>
    <brk id="639" max="28" man="1"/>
    <brk id="668" max="28" man="1"/>
    <brk id="697" max="28"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A1235-5E05-4884-A110-E95A18C68D14}">
  <sheetPr codeName="Feuil42">
    <tabColor rgb="FF00FF00"/>
  </sheetPr>
  <dimension ref="A1"/>
  <sheetViews>
    <sheetView workbookViewId="0"/>
  </sheetViews>
  <sheetFormatPr baseColWidth="10" defaultRowHeight="12.75" x14ac:dyDescent="0.2"/>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32">
    <tabColor rgb="FF00FF00"/>
  </sheetPr>
  <dimension ref="A1:AE31"/>
  <sheetViews>
    <sheetView workbookViewId="0"/>
  </sheetViews>
  <sheetFormatPr baseColWidth="10" defaultRowHeight="12.75" x14ac:dyDescent="0.2"/>
  <cols>
    <col min="1" max="1" width="12.85546875" style="217" customWidth="1"/>
    <col min="2" max="3" width="5.28515625" style="217" customWidth="1"/>
    <col min="4" max="5" width="2.28515625" style="217" customWidth="1"/>
    <col min="6" max="10" width="7.5703125" style="217" customWidth="1"/>
    <col min="11" max="11" width="3.7109375" style="217" customWidth="1"/>
    <col min="12" max="12" width="12" style="217" customWidth="1"/>
    <col min="13" max="17" width="7.5703125" style="217" customWidth="1"/>
    <col min="18" max="18" width="3.7109375" style="217" customWidth="1"/>
    <col min="19" max="19" width="12" style="217" customWidth="1"/>
    <col min="20" max="24" width="7.5703125" style="217" customWidth="1"/>
    <col min="25" max="25" width="3.7109375" style="217" customWidth="1"/>
    <col min="26" max="26" width="12" style="217" customWidth="1"/>
    <col min="27" max="29" width="5.28515625" style="217" customWidth="1"/>
    <col min="30" max="30" width="3.7109375" style="217" customWidth="1"/>
    <col min="31" max="31" width="7.7109375" style="217" customWidth="1"/>
    <col min="32" max="32" width="3.140625" style="217" customWidth="1"/>
    <col min="33" max="16384" width="11.42578125" style="217"/>
  </cols>
  <sheetData>
    <row r="1" spans="1:31" ht="6.75" customHeight="1" x14ac:dyDescent="0.2"/>
    <row r="2" spans="1:31" s="218" customFormat="1" ht="23.25" customHeight="1" x14ac:dyDescent="0.2">
      <c r="A2" s="218" t="s">
        <v>628</v>
      </c>
      <c r="B2" s="1103">
        <f>Num_Cible</f>
        <v>1</v>
      </c>
      <c r="C2" s="1104"/>
      <c r="D2" s="569"/>
      <c r="E2" s="218" t="str">
        <f>Championnat</f>
        <v>Championnat de France de Tir à l'ARC</v>
      </c>
      <c r="Z2" s="570" t="str">
        <f>CATEG_IMPORTEE</f>
        <v>Collèges Mixtes Etablissement</v>
      </c>
      <c r="AA2" s="520"/>
      <c r="AB2" s="500"/>
      <c r="AC2" s="501"/>
      <c r="AD2" s="502"/>
      <c r="AE2" s="503"/>
    </row>
    <row r="3" spans="1:31" ht="27" customHeight="1" thickBot="1" x14ac:dyDescent="0.25">
      <c r="A3" s="1069" t="s">
        <v>0</v>
      </c>
      <c r="B3" s="1069"/>
      <c r="C3" s="1069"/>
      <c r="D3" s="1069"/>
      <c r="E3" s="1069"/>
      <c r="F3" s="1069"/>
      <c r="G3" s="1069"/>
      <c r="H3" s="1069"/>
      <c r="I3" s="1125" t="s">
        <v>374</v>
      </c>
      <c r="J3" s="1125"/>
      <c r="K3" s="1125"/>
      <c r="L3" s="1125"/>
      <c r="M3" s="1125"/>
      <c r="N3" s="1069"/>
      <c r="O3" s="1125"/>
      <c r="P3" s="1125"/>
      <c r="Q3" s="1125"/>
      <c r="R3" s="1125"/>
      <c r="S3" s="1125"/>
      <c r="T3" s="1184" t="str">
        <f>LIEU&amp;" du "&amp;DATE</f>
        <v>L’Isle sur la Sorgue du 27 au 31 mars 2023</v>
      </c>
      <c r="U3" s="1184"/>
      <c r="V3" s="1184"/>
      <c r="W3" s="1184"/>
      <c r="X3" s="1184"/>
      <c r="Y3" s="1184"/>
      <c r="Z3" s="1184"/>
      <c r="AA3" s="520"/>
      <c r="AB3" s="520"/>
      <c r="AC3" s="520"/>
      <c r="AD3" s="520"/>
      <c r="AE3" s="520"/>
    </row>
    <row r="4" spans="1:31" ht="24" customHeight="1" thickBot="1" x14ac:dyDescent="0.25">
      <c r="A4" s="1185" t="e">
        <f>VLOOKUP(Q8,ID_archer_cible,2,FALSE)</f>
        <v>#N/A</v>
      </c>
      <c r="B4" s="1186"/>
      <c r="C4" s="1186"/>
      <c r="D4" s="1186"/>
      <c r="E4" s="1186"/>
      <c r="F4" s="1186"/>
      <c r="G4" s="1186"/>
      <c r="H4" s="1187"/>
      <c r="I4" s="1185" t="e">
        <f>VLOOKUP(Q8,ID_archer_cible,4,FALSE)</f>
        <v>#N/A</v>
      </c>
      <c r="J4" s="1186"/>
      <c r="K4" s="1186"/>
      <c r="L4" s="1186"/>
      <c r="M4" s="1186"/>
      <c r="N4" s="1187"/>
      <c r="O4" s="1125"/>
      <c r="P4" s="1125"/>
      <c r="Q4" s="1125"/>
      <c r="R4" s="1125"/>
      <c r="S4" s="1125"/>
      <c r="T4" s="520"/>
      <c r="U4" s="520"/>
      <c r="V4" s="520"/>
      <c r="W4" s="520"/>
      <c r="X4" s="520"/>
      <c r="Y4" s="520"/>
      <c r="Z4" s="520"/>
      <c r="AA4" s="520"/>
      <c r="AB4" s="520"/>
      <c r="AC4" s="520"/>
      <c r="AD4" s="520"/>
      <c r="AE4" s="520"/>
    </row>
    <row r="5" spans="1:31" ht="6" customHeight="1" x14ac:dyDescent="0.2">
      <c r="I5" s="1188" t="e">
        <f>"("&amp;VLOOKUP(Q8,ID_archer_cible,3,FALSE)&amp;")"</f>
        <v>#N/A</v>
      </c>
      <c r="J5" s="1188"/>
      <c r="K5" s="1188"/>
      <c r="L5" s="1188"/>
      <c r="M5" s="1188"/>
      <c r="N5" s="1188"/>
      <c r="AA5" s="520"/>
    </row>
    <row r="6" spans="1:31" ht="23.25" customHeight="1" x14ac:dyDescent="0.2">
      <c r="E6" s="584"/>
      <c r="F6" s="584"/>
      <c r="G6" s="584"/>
      <c r="H6" s="584"/>
      <c r="I6" s="1189"/>
      <c r="J6" s="1189"/>
      <c r="K6" s="1189"/>
      <c r="L6" s="1189"/>
      <c r="M6" s="1189"/>
      <c r="N6" s="1189"/>
      <c r="T6" s="576" t="s">
        <v>894</v>
      </c>
      <c r="U6" s="590"/>
      <c r="V6" s="591"/>
      <c r="W6" s="1182" t="s">
        <v>895</v>
      </c>
      <c r="X6" s="1075"/>
      <c r="Z6" s="1183" t="s">
        <v>896</v>
      </c>
      <c r="AA6" s="520"/>
    </row>
    <row r="7" spans="1:31" ht="23.25" customHeight="1" x14ac:dyDescent="0.2">
      <c r="D7" s="1171" t="s">
        <v>906</v>
      </c>
      <c r="E7" s="1075"/>
      <c r="F7" s="1075"/>
      <c r="G7" s="1075"/>
      <c r="H7" s="1075"/>
      <c r="I7" s="1075"/>
      <c r="J7" s="1075"/>
      <c r="K7" s="1075"/>
      <c r="L7" s="573" t="s">
        <v>905</v>
      </c>
      <c r="M7" s="573" t="s">
        <v>893</v>
      </c>
      <c r="N7" s="1075" t="s">
        <v>550</v>
      </c>
      <c r="O7" s="1075"/>
      <c r="P7" s="252" t="s">
        <v>551</v>
      </c>
      <c r="Q7" s="1171" t="s">
        <v>552</v>
      </c>
      <c r="R7" s="1171"/>
      <c r="S7" s="571"/>
      <c r="T7" s="576" t="s">
        <v>897</v>
      </c>
      <c r="U7" s="590"/>
      <c r="V7" s="591"/>
      <c r="W7" s="590"/>
      <c r="X7" s="591"/>
      <c r="Z7" s="1183"/>
      <c r="AA7" s="520"/>
    </row>
    <row r="8" spans="1:31" ht="23.25" customHeight="1" x14ac:dyDescent="0.2">
      <c r="A8" s="583"/>
      <c r="B8" s="216"/>
      <c r="C8" s="583"/>
      <c r="D8" s="580" t="e">
        <f>VLOOKUP(Q8,ID_archer_cible,5,FALSE)&amp;"    "&amp;VLOOKUP(Q8,ID_archer_cible,6,FALSE)</f>
        <v>#N/A</v>
      </c>
      <c r="E8" s="581"/>
      <c r="F8" s="582"/>
      <c r="G8" s="575"/>
      <c r="H8" s="223"/>
      <c r="I8" s="223"/>
      <c r="J8" s="223"/>
      <c r="K8" s="224"/>
      <c r="L8" s="579" t="e">
        <f>VLOOKUP(Q8,ID_archer_cible,7,FALSE)</f>
        <v>#N/A</v>
      </c>
      <c r="M8" s="574" t="e">
        <f>VLOOKUP(Q8,ID_archer_cible,9,FALSE)</f>
        <v>#N/A</v>
      </c>
      <c r="N8" s="1172" t="e">
        <f>VLOOKUP(Q8,ID_archer_cible,8,FALSE)</f>
        <v>#N/A</v>
      </c>
      <c r="O8" s="1173"/>
      <c r="P8" s="574" t="e">
        <f>VLOOKUP(Q8,ID_archer_cible,10,FALSE)</f>
        <v>#N/A</v>
      </c>
      <c r="Q8" s="1190" t="str">
        <f>B2&amp;"A"</f>
        <v>1A</v>
      </c>
      <c r="R8" s="1191"/>
      <c r="S8" s="249"/>
      <c r="T8" s="576" t="s">
        <v>898</v>
      </c>
      <c r="U8" s="590"/>
      <c r="V8" s="591"/>
      <c r="W8" s="590"/>
      <c r="X8" s="591"/>
      <c r="Y8" s="254"/>
      <c r="Z8" s="1183"/>
      <c r="AA8" s="520"/>
      <c r="AB8" s="254"/>
      <c r="AC8" s="254"/>
      <c r="AD8" s="254"/>
      <c r="AE8" s="254"/>
    </row>
    <row r="9" spans="1:31" ht="23.25" customHeight="1" x14ac:dyDescent="0.2">
      <c r="A9" s="583"/>
      <c r="B9" s="216"/>
      <c r="C9" s="583"/>
      <c r="D9" s="580" t="e">
        <f>VLOOKUP(Q9,ID_archer_cible,5,FALSE)&amp;"    "&amp;VLOOKUP(Q9,ID_archer_cible,6,FALSE)</f>
        <v>#N/A</v>
      </c>
      <c r="E9" s="581"/>
      <c r="F9" s="582"/>
      <c r="G9" s="575"/>
      <c r="H9" s="223"/>
      <c r="I9" s="223"/>
      <c r="J9" s="223"/>
      <c r="K9" s="224"/>
      <c r="L9" s="579" t="e">
        <f>VLOOKUP(Q9,ID_archer_cible,7,FALSE)</f>
        <v>#N/A</v>
      </c>
      <c r="M9" s="574" t="e">
        <f>VLOOKUP(Q9,ID_archer_cible,9,FALSE)</f>
        <v>#N/A</v>
      </c>
      <c r="N9" s="1172" t="e">
        <f>VLOOKUP(Q9,ID_archer_cible,8,FALSE)</f>
        <v>#N/A</v>
      </c>
      <c r="O9" s="1173"/>
      <c r="P9" s="574" t="e">
        <f>VLOOKUP(Q9,ID_archer_cible,10,FALSE)</f>
        <v>#N/A</v>
      </c>
      <c r="Q9" s="1190" t="str">
        <f>B2&amp;"B"</f>
        <v>1B</v>
      </c>
      <c r="R9" s="1191"/>
      <c r="S9" s="249"/>
      <c r="T9" s="576" t="s">
        <v>899</v>
      </c>
      <c r="U9" s="590"/>
      <c r="V9" s="591"/>
      <c r="W9" s="590"/>
      <c r="X9" s="591"/>
      <c r="Y9" s="254"/>
      <c r="Z9" s="1183"/>
      <c r="AA9" s="520"/>
      <c r="AB9" s="254"/>
      <c r="AC9" s="254"/>
      <c r="AD9" s="254"/>
      <c r="AE9" s="254"/>
    </row>
    <row r="10" spans="1:31" ht="23.25" customHeight="1" x14ac:dyDescent="0.2">
      <c r="A10" s="583"/>
      <c r="B10" s="216"/>
      <c r="C10" s="583"/>
      <c r="D10" s="580" t="e">
        <f>VLOOKUP(Q10,ID_archer_cible,5,FALSE)&amp;"    "&amp;VLOOKUP(Q10,ID_archer_cible,6,FALSE)</f>
        <v>#N/A</v>
      </c>
      <c r="E10" s="581"/>
      <c r="F10" s="582"/>
      <c r="G10" s="575"/>
      <c r="H10" s="223"/>
      <c r="I10" s="223"/>
      <c r="J10" s="223"/>
      <c r="K10" s="224"/>
      <c r="L10" s="579" t="e">
        <f>VLOOKUP(Q10,ID_archer_cible,7,FALSE)</f>
        <v>#N/A</v>
      </c>
      <c r="M10" s="574" t="e">
        <f>VLOOKUP(Q10,ID_archer_cible,9,FALSE)</f>
        <v>#N/A</v>
      </c>
      <c r="N10" s="1172" t="e">
        <f>VLOOKUP(Q10,ID_archer_cible,8,FALSE)</f>
        <v>#N/A</v>
      </c>
      <c r="O10" s="1173"/>
      <c r="P10" s="574" t="e">
        <f>VLOOKUP(Q10,ID_archer_cible,10,FALSE)</f>
        <v>#N/A</v>
      </c>
      <c r="Q10" s="1190" t="str">
        <f>B2&amp;"C"</f>
        <v>1C</v>
      </c>
      <c r="R10" s="1191"/>
      <c r="S10" s="249"/>
      <c r="T10" s="576" t="s">
        <v>900</v>
      </c>
      <c r="U10" s="590"/>
      <c r="V10" s="591"/>
      <c r="W10" s="590"/>
      <c r="X10" s="591"/>
      <c r="Y10" s="254"/>
      <c r="Z10" s="1183"/>
      <c r="AA10" s="520"/>
      <c r="AB10" s="254"/>
      <c r="AC10" s="254"/>
      <c r="AD10" s="254"/>
      <c r="AE10" s="254"/>
    </row>
    <row r="11" spans="1:31" ht="23.25" customHeight="1" x14ac:dyDescent="0.2">
      <c r="A11" s="583"/>
      <c r="B11" s="216"/>
      <c r="C11" s="583"/>
      <c r="D11" s="580" t="e">
        <f>VLOOKUP(Q11,ID_archer_cible,5,FALSE)&amp;"    "&amp;VLOOKUP(Q11,ID_archer_cible,6,FALSE)</f>
        <v>#N/A</v>
      </c>
      <c r="E11" s="581"/>
      <c r="F11" s="582"/>
      <c r="G11" s="575"/>
      <c r="H11" s="223"/>
      <c r="I11" s="223"/>
      <c r="J11" s="223"/>
      <c r="K11" s="224"/>
      <c r="L11" s="579" t="e">
        <f>VLOOKUP(Q11,ID_archer_cible,7,FALSE)</f>
        <v>#N/A</v>
      </c>
      <c r="M11" s="574" t="e">
        <f>VLOOKUP(Q11,ID_archer_cible,9,FALSE)</f>
        <v>#N/A</v>
      </c>
      <c r="N11" s="1172" t="e">
        <f>VLOOKUP(Q11,ID_archer_cible,8,FALSE)</f>
        <v>#N/A</v>
      </c>
      <c r="O11" s="1173"/>
      <c r="P11" s="574" t="e">
        <f>VLOOKUP(Q11,ID_archer_cible,10,FALSE)</f>
        <v>#N/A</v>
      </c>
      <c r="Q11" s="1190" t="str">
        <f>B2&amp;"D"</f>
        <v>1D</v>
      </c>
      <c r="R11" s="1191"/>
      <c r="S11" s="249"/>
      <c r="T11" s="576" t="s">
        <v>901</v>
      </c>
      <c r="U11" s="590"/>
      <c r="V11" s="591"/>
      <c r="W11" s="590"/>
      <c r="X11" s="591"/>
      <c r="Z11" s="1183"/>
      <c r="AA11" s="520"/>
    </row>
    <row r="12" spans="1:31" ht="15" customHeight="1" thickBot="1" x14ac:dyDescent="0.25">
      <c r="AA12" s="520"/>
    </row>
    <row r="13" spans="1:31" ht="20.25" customHeight="1" thickBot="1" x14ac:dyDescent="0.25">
      <c r="F13" s="1174" t="s">
        <v>555</v>
      </c>
      <c r="G13" s="1175"/>
      <c r="H13" s="1175"/>
      <c r="I13" s="1175"/>
      <c r="J13" s="1175"/>
      <c r="K13" s="1175"/>
      <c r="L13" s="1176"/>
      <c r="M13" s="1174" t="s">
        <v>556</v>
      </c>
      <c r="N13" s="1175"/>
      <c r="O13" s="1175"/>
      <c r="P13" s="1175"/>
      <c r="Q13" s="1175"/>
      <c r="R13" s="1175"/>
      <c r="S13" s="1176"/>
      <c r="T13" s="1174" t="s">
        <v>557</v>
      </c>
      <c r="U13" s="1175"/>
      <c r="V13" s="1175"/>
      <c r="W13" s="1175"/>
      <c r="X13" s="1175"/>
      <c r="Y13" s="1175"/>
      <c r="Z13" s="1176"/>
      <c r="AA13" s="520"/>
    </row>
    <row r="14" spans="1:31" ht="20.100000000000001" customHeight="1" x14ac:dyDescent="0.2">
      <c r="A14" s="1171" t="s">
        <v>559</v>
      </c>
      <c r="B14" s="1171"/>
      <c r="C14" s="1171"/>
      <c r="D14" s="1171"/>
      <c r="E14" s="1181"/>
      <c r="F14" s="1179" t="s">
        <v>560</v>
      </c>
      <c r="G14" s="1180"/>
      <c r="H14" s="1180"/>
      <c r="I14" s="306"/>
      <c r="J14" s="306"/>
      <c r="K14" s="307"/>
      <c r="L14" s="572" t="s">
        <v>7</v>
      </c>
      <c r="M14" s="1179" t="s">
        <v>560</v>
      </c>
      <c r="N14" s="1180"/>
      <c r="O14" s="1180"/>
      <c r="P14" s="306"/>
      <c r="Q14" s="306"/>
      <c r="R14" s="307"/>
      <c r="S14" s="572" t="s">
        <v>7</v>
      </c>
      <c r="T14" s="1179" t="s">
        <v>560</v>
      </c>
      <c r="U14" s="1180"/>
      <c r="V14" s="1180"/>
      <c r="W14" s="306"/>
      <c r="X14" s="306"/>
      <c r="Y14" s="307"/>
      <c r="Z14" s="572" t="s">
        <v>7</v>
      </c>
      <c r="AA14" s="520"/>
    </row>
    <row r="15" spans="1:31" ht="24" customHeight="1" x14ac:dyDescent="0.2">
      <c r="A15" s="1168" t="e">
        <f>D8</f>
        <v>#N/A</v>
      </c>
      <c r="B15" s="1169"/>
      <c r="C15" s="1169"/>
      <c r="D15" s="1169"/>
      <c r="E15" s="1170"/>
      <c r="F15" s="228"/>
      <c r="G15" s="229"/>
      <c r="H15" s="229"/>
      <c r="I15" s="229"/>
      <c r="J15" s="229"/>
      <c r="K15" s="230" t="s">
        <v>561</v>
      </c>
      <c r="L15" s="231"/>
      <c r="M15" s="228"/>
      <c r="N15" s="229"/>
      <c r="O15" s="229"/>
      <c r="P15" s="229"/>
      <c r="Q15" s="229"/>
      <c r="R15" s="230" t="s">
        <v>561</v>
      </c>
      <c r="S15" s="231"/>
      <c r="T15" s="228"/>
      <c r="U15" s="229"/>
      <c r="V15" s="229"/>
      <c r="W15" s="229"/>
      <c r="X15" s="229"/>
      <c r="Y15" s="230" t="s">
        <v>561</v>
      </c>
      <c r="Z15" s="231"/>
      <c r="AA15" s="520"/>
    </row>
    <row r="16" spans="1:31" ht="24" customHeight="1" x14ac:dyDescent="0.2">
      <c r="A16" s="1168" t="e">
        <f>D9</f>
        <v>#N/A</v>
      </c>
      <c r="B16" s="1169"/>
      <c r="C16" s="1169"/>
      <c r="D16" s="1169"/>
      <c r="E16" s="1170"/>
      <c r="F16" s="228"/>
      <c r="G16" s="229"/>
      <c r="H16" s="229"/>
      <c r="I16" s="229"/>
      <c r="J16" s="229"/>
      <c r="K16" s="230" t="s">
        <v>561</v>
      </c>
      <c r="L16" s="231"/>
      <c r="M16" s="228"/>
      <c r="N16" s="229"/>
      <c r="O16" s="229"/>
      <c r="P16" s="229"/>
      <c r="Q16" s="229"/>
      <c r="R16" s="230" t="s">
        <v>561</v>
      </c>
      <c r="S16" s="231"/>
      <c r="T16" s="228"/>
      <c r="U16" s="229"/>
      <c r="V16" s="229"/>
      <c r="W16" s="229"/>
      <c r="X16" s="229"/>
      <c r="Y16" s="230" t="s">
        <v>561</v>
      </c>
      <c r="Z16" s="231"/>
      <c r="AA16" s="520"/>
    </row>
    <row r="17" spans="1:27" ht="24" customHeight="1" x14ac:dyDescent="0.2">
      <c r="A17" s="1168" t="e">
        <f>D10</f>
        <v>#N/A</v>
      </c>
      <c r="B17" s="1169"/>
      <c r="C17" s="1169"/>
      <c r="D17" s="1169"/>
      <c r="E17" s="1170"/>
      <c r="F17" s="228"/>
      <c r="G17" s="229"/>
      <c r="H17" s="229"/>
      <c r="I17" s="229"/>
      <c r="J17" s="229"/>
      <c r="K17" s="230" t="s">
        <v>561</v>
      </c>
      <c r="L17" s="231"/>
      <c r="M17" s="228"/>
      <c r="N17" s="229"/>
      <c r="O17" s="229"/>
      <c r="P17" s="229"/>
      <c r="Q17" s="229"/>
      <c r="R17" s="230" t="s">
        <v>561</v>
      </c>
      <c r="S17" s="231"/>
      <c r="T17" s="228"/>
      <c r="U17" s="229"/>
      <c r="V17" s="229"/>
      <c r="W17" s="229"/>
      <c r="X17" s="229"/>
      <c r="Y17" s="230" t="s">
        <v>561</v>
      </c>
      <c r="Z17" s="231"/>
      <c r="AA17" s="520"/>
    </row>
    <row r="18" spans="1:27" ht="24" customHeight="1" thickBot="1" x14ac:dyDescent="0.25">
      <c r="A18" s="1168" t="e">
        <f>D11</f>
        <v>#N/A</v>
      </c>
      <c r="B18" s="1169"/>
      <c r="C18" s="1169"/>
      <c r="D18" s="1169"/>
      <c r="E18" s="1170"/>
      <c r="F18" s="228"/>
      <c r="G18" s="229"/>
      <c r="H18" s="229"/>
      <c r="I18" s="229"/>
      <c r="J18" s="229"/>
      <c r="K18" s="230" t="s">
        <v>561</v>
      </c>
      <c r="L18" s="232"/>
      <c r="M18" s="228"/>
      <c r="N18" s="229"/>
      <c r="O18" s="229"/>
      <c r="P18" s="229"/>
      <c r="Q18" s="229"/>
      <c r="R18" s="230" t="s">
        <v>561</v>
      </c>
      <c r="S18" s="232"/>
      <c r="T18" s="228"/>
      <c r="U18" s="229"/>
      <c r="V18" s="229"/>
      <c r="W18" s="229"/>
      <c r="X18" s="229"/>
      <c r="Y18" s="230" t="s">
        <v>561</v>
      </c>
      <c r="Z18" s="232"/>
      <c r="AA18" s="520"/>
    </row>
    <row r="19" spans="1:27" ht="24" customHeight="1" thickBot="1" x14ac:dyDescent="0.25">
      <c r="F19" s="1177" t="s">
        <v>562</v>
      </c>
      <c r="G19" s="1178"/>
      <c r="H19" s="1178"/>
      <c r="I19" s="235"/>
      <c r="J19" s="235"/>
      <c r="K19" s="237" t="s">
        <v>561</v>
      </c>
      <c r="L19" s="239"/>
      <c r="M19" s="1177" t="s">
        <v>563</v>
      </c>
      <c r="N19" s="1178"/>
      <c r="O19" s="1178"/>
      <c r="P19" s="235"/>
      <c r="Q19" s="235"/>
      <c r="R19" s="237" t="s">
        <v>561</v>
      </c>
      <c r="S19" s="239"/>
      <c r="T19" s="1177" t="s">
        <v>564</v>
      </c>
      <c r="U19" s="1178"/>
      <c r="V19" s="1178"/>
      <c r="W19" s="235"/>
      <c r="X19" s="235"/>
      <c r="Y19" s="237" t="s">
        <v>561</v>
      </c>
      <c r="Z19" s="239"/>
      <c r="AA19" s="520"/>
    </row>
    <row r="20" spans="1:27" ht="9" customHeight="1" thickBot="1" x14ac:dyDescent="0.25">
      <c r="H20" s="249"/>
      <c r="I20" s="249"/>
      <c r="J20" s="249"/>
      <c r="K20" s="249"/>
      <c r="L20" s="249"/>
      <c r="M20" s="249"/>
      <c r="N20" s="249"/>
      <c r="O20" s="249"/>
      <c r="P20" s="249"/>
      <c r="Q20" s="249"/>
      <c r="R20" s="230"/>
      <c r="T20" s="249"/>
      <c r="U20" s="249"/>
      <c r="V20" s="249"/>
      <c r="W20" s="249"/>
      <c r="X20" s="249"/>
      <c r="Y20" s="230"/>
      <c r="AA20" s="520"/>
    </row>
    <row r="21" spans="1:27" ht="20.25" customHeight="1" thickBot="1" x14ac:dyDescent="0.25">
      <c r="F21" s="1174" t="s">
        <v>558</v>
      </c>
      <c r="G21" s="1175"/>
      <c r="H21" s="1175"/>
      <c r="I21" s="1175"/>
      <c r="J21" s="1175"/>
      <c r="K21" s="1175"/>
      <c r="L21" s="1176"/>
      <c r="M21" s="1174" t="s">
        <v>902</v>
      </c>
      <c r="N21" s="1175"/>
      <c r="O21" s="1175"/>
      <c r="P21" s="1175"/>
      <c r="Q21" s="1175"/>
      <c r="R21" s="1175"/>
      <c r="S21" s="1176"/>
      <c r="T21" s="1174" t="s">
        <v>907</v>
      </c>
      <c r="U21" s="1175"/>
      <c r="V21" s="1175"/>
      <c r="W21" s="1175"/>
      <c r="X21" s="1175"/>
      <c r="Y21" s="1175"/>
      <c r="Z21" s="1176"/>
      <c r="AA21" s="520"/>
    </row>
    <row r="22" spans="1:27" ht="20.100000000000001" customHeight="1" x14ac:dyDescent="0.2">
      <c r="F22" s="1179" t="s">
        <v>560</v>
      </c>
      <c r="G22" s="1180"/>
      <c r="H22" s="1180"/>
      <c r="I22" s="306"/>
      <c r="J22" s="306"/>
      <c r="K22" s="307"/>
      <c r="L22" s="572" t="s">
        <v>7</v>
      </c>
      <c r="M22" s="1179" t="s">
        <v>560</v>
      </c>
      <c r="N22" s="1180"/>
      <c r="O22" s="1180"/>
      <c r="P22" s="306"/>
      <c r="Q22" s="306"/>
      <c r="R22" s="307"/>
      <c r="S22" s="572" t="s">
        <v>7</v>
      </c>
      <c r="T22" s="1179" t="s">
        <v>560</v>
      </c>
      <c r="U22" s="1180"/>
      <c r="V22" s="1180"/>
      <c r="W22" s="306"/>
      <c r="X22" s="306"/>
      <c r="Y22" s="307"/>
      <c r="Z22" s="572" t="s">
        <v>7</v>
      </c>
      <c r="AA22" s="520"/>
    </row>
    <row r="23" spans="1:27" ht="20.100000000000001" customHeight="1" x14ac:dyDescent="0.2">
      <c r="A23" s="1075" t="s">
        <v>559</v>
      </c>
      <c r="B23" s="1075"/>
      <c r="C23" s="1075"/>
      <c r="D23" s="1075"/>
      <c r="E23" s="1089"/>
      <c r="F23" s="228"/>
      <c r="G23" s="229"/>
      <c r="H23" s="229"/>
      <c r="I23" s="229"/>
      <c r="J23" s="229"/>
      <c r="K23" s="230" t="s">
        <v>561</v>
      </c>
      <c r="L23" s="231"/>
      <c r="M23" s="228"/>
      <c r="N23" s="229"/>
      <c r="O23" s="229"/>
      <c r="P23" s="229"/>
      <c r="Q23" s="229"/>
      <c r="R23" s="230" t="s">
        <v>561</v>
      </c>
      <c r="S23" s="231"/>
      <c r="T23" s="228"/>
      <c r="U23" s="229"/>
      <c r="V23" s="229"/>
      <c r="W23" s="229"/>
      <c r="X23" s="229"/>
      <c r="Y23" s="230" t="s">
        <v>561</v>
      </c>
      <c r="Z23" s="231"/>
      <c r="AA23" s="520"/>
    </row>
    <row r="24" spans="1:27" ht="24" customHeight="1" x14ac:dyDescent="0.2">
      <c r="A24" s="1168" t="e">
        <f>A15</f>
        <v>#N/A</v>
      </c>
      <c r="B24" s="1169"/>
      <c r="C24" s="1169"/>
      <c r="D24" s="1169"/>
      <c r="E24" s="1170"/>
      <c r="F24" s="228"/>
      <c r="G24" s="229"/>
      <c r="H24" s="229"/>
      <c r="I24" s="229"/>
      <c r="J24" s="229"/>
      <c r="K24" s="230" t="s">
        <v>561</v>
      </c>
      <c r="L24" s="231"/>
      <c r="M24" s="228"/>
      <c r="N24" s="229"/>
      <c r="O24" s="229"/>
      <c r="P24" s="229"/>
      <c r="Q24" s="229"/>
      <c r="R24" s="230" t="s">
        <v>561</v>
      </c>
      <c r="S24" s="231"/>
      <c r="T24" s="228"/>
      <c r="U24" s="229"/>
      <c r="V24" s="229"/>
      <c r="W24" s="229"/>
      <c r="X24" s="229"/>
      <c r="Y24" s="230" t="s">
        <v>561</v>
      </c>
      <c r="Z24" s="231"/>
      <c r="AA24" s="520"/>
    </row>
    <row r="25" spans="1:27" ht="24" customHeight="1" x14ac:dyDescent="0.2">
      <c r="A25" s="1168" t="e">
        <f>A16</f>
        <v>#N/A</v>
      </c>
      <c r="B25" s="1169"/>
      <c r="C25" s="1169"/>
      <c r="D25" s="1169"/>
      <c r="E25" s="1170"/>
      <c r="F25" s="228"/>
      <c r="G25" s="229"/>
      <c r="H25" s="229"/>
      <c r="I25" s="229"/>
      <c r="J25" s="229"/>
      <c r="K25" s="230" t="s">
        <v>561</v>
      </c>
      <c r="L25" s="231"/>
      <c r="M25" s="228"/>
      <c r="N25" s="229"/>
      <c r="O25" s="229"/>
      <c r="P25" s="229"/>
      <c r="Q25" s="229"/>
      <c r="R25" s="230" t="s">
        <v>561</v>
      </c>
      <c r="S25" s="231"/>
      <c r="T25" s="228"/>
      <c r="U25" s="229"/>
      <c r="V25" s="229"/>
      <c r="W25" s="229"/>
      <c r="X25" s="229"/>
      <c r="Y25" s="230" t="s">
        <v>561</v>
      </c>
      <c r="Z25" s="231"/>
      <c r="AA25" s="520"/>
    </row>
    <row r="26" spans="1:27" ht="24" customHeight="1" thickBot="1" x14ac:dyDescent="0.25">
      <c r="A26" s="1168" t="e">
        <f>A17</f>
        <v>#N/A</v>
      </c>
      <c r="B26" s="1169"/>
      <c r="C26" s="1169"/>
      <c r="D26" s="1169"/>
      <c r="E26" s="1170"/>
      <c r="F26" s="228"/>
      <c r="G26" s="229"/>
      <c r="H26" s="229"/>
      <c r="I26" s="229"/>
      <c r="J26" s="229"/>
      <c r="K26" s="230" t="s">
        <v>561</v>
      </c>
      <c r="L26" s="232"/>
      <c r="M26" s="228"/>
      <c r="N26" s="229"/>
      <c r="O26" s="229"/>
      <c r="P26" s="229"/>
      <c r="Q26" s="229"/>
      <c r="R26" s="230" t="s">
        <v>561</v>
      </c>
      <c r="S26" s="232"/>
      <c r="T26" s="228"/>
      <c r="U26" s="229"/>
      <c r="V26" s="229"/>
      <c r="W26" s="229"/>
      <c r="X26" s="229"/>
      <c r="Y26" s="230" t="s">
        <v>561</v>
      </c>
      <c r="Z26" s="232"/>
      <c r="AA26" s="520"/>
    </row>
    <row r="27" spans="1:27" ht="24" customHeight="1" thickBot="1" x14ac:dyDescent="0.25">
      <c r="A27" s="1168" t="e">
        <f>A18</f>
        <v>#N/A</v>
      </c>
      <c r="B27" s="1169"/>
      <c r="C27" s="1169"/>
      <c r="D27" s="1169"/>
      <c r="E27" s="1170"/>
      <c r="F27" s="1177" t="s">
        <v>565</v>
      </c>
      <c r="G27" s="1178"/>
      <c r="H27" s="1178"/>
      <c r="I27" s="235"/>
      <c r="J27" s="235"/>
      <c r="K27" s="237" t="s">
        <v>561</v>
      </c>
      <c r="L27" s="239"/>
      <c r="M27" s="1177" t="s">
        <v>903</v>
      </c>
      <c r="N27" s="1178"/>
      <c r="O27" s="1178"/>
      <c r="P27" s="235"/>
      <c r="Q27" s="235"/>
      <c r="R27" s="237" t="s">
        <v>561</v>
      </c>
      <c r="S27" s="239"/>
      <c r="T27" s="1177" t="s">
        <v>904</v>
      </c>
      <c r="U27" s="1178"/>
      <c r="V27" s="1178"/>
      <c r="W27" s="235"/>
      <c r="X27" s="235"/>
      <c r="Y27" s="237" t="s">
        <v>561</v>
      </c>
      <c r="Z27" s="239"/>
      <c r="AA27" s="520"/>
    </row>
    <row r="28" spans="1:27" ht="8.25" customHeight="1" x14ac:dyDescent="0.2">
      <c r="H28" s="249"/>
      <c r="I28" s="249"/>
      <c r="J28" s="249"/>
      <c r="K28" s="249"/>
      <c r="L28" s="249"/>
      <c r="M28" s="249"/>
      <c r="N28" s="249"/>
      <c r="O28" s="249"/>
      <c r="P28" s="249"/>
      <c r="Q28" s="249"/>
      <c r="R28" s="230"/>
      <c r="T28" s="249"/>
      <c r="U28" s="249"/>
      <c r="V28" s="249"/>
      <c r="W28" s="249"/>
      <c r="X28" s="249"/>
      <c r="Y28" s="230"/>
      <c r="AA28" s="520"/>
    </row>
    <row r="29" spans="1:27" ht="16.5" customHeight="1" thickBot="1" x14ac:dyDescent="0.25">
      <c r="A29" s="578" t="s">
        <v>851</v>
      </c>
      <c r="B29" s="566"/>
      <c r="C29" s="566"/>
      <c r="D29" s="566"/>
      <c r="E29" s="566"/>
      <c r="F29" s="566"/>
      <c r="G29" s="566"/>
      <c r="H29" s="566"/>
      <c r="I29" s="566"/>
      <c r="J29" s="566"/>
      <c r="K29" s="566"/>
      <c r="M29" s="241"/>
      <c r="O29" s="578" t="s">
        <v>522</v>
      </c>
      <c r="P29" s="566"/>
      <c r="Q29" s="566"/>
      <c r="R29" s="566"/>
      <c r="S29" s="566"/>
      <c r="T29" s="566"/>
      <c r="U29" s="566"/>
      <c r="V29" s="566"/>
      <c r="W29" s="520"/>
      <c r="X29" s="1159" t="s">
        <v>908</v>
      </c>
      <c r="Y29" s="1160"/>
      <c r="Z29" s="1161"/>
    </row>
    <row r="30" spans="1:27" ht="24" customHeight="1" x14ac:dyDescent="0.2">
      <c r="A30" s="577" t="s">
        <v>1</v>
      </c>
      <c r="B30" s="567"/>
      <c r="C30" s="567"/>
      <c r="D30" s="567"/>
      <c r="E30" s="567"/>
      <c r="F30" s="567"/>
      <c r="G30" s="568"/>
      <c r="H30" s="1086" t="s">
        <v>520</v>
      </c>
      <c r="I30" s="1087"/>
      <c r="J30" s="1087"/>
      <c r="K30" s="1088"/>
      <c r="M30" s="577" t="s">
        <v>1</v>
      </c>
      <c r="N30" s="567"/>
      <c r="O30" s="567"/>
      <c r="P30" s="567"/>
      <c r="Q30" s="567"/>
      <c r="R30" s="567"/>
      <c r="S30" s="585" t="s">
        <v>520</v>
      </c>
      <c r="T30" s="586"/>
      <c r="U30" s="586"/>
      <c r="V30" s="587"/>
      <c r="X30" s="1162"/>
      <c r="Y30" s="1163"/>
      <c r="Z30" s="1164"/>
    </row>
    <row r="31" spans="1:27" ht="27" customHeight="1" thickBot="1" x14ac:dyDescent="0.25">
      <c r="A31" s="242"/>
      <c r="B31" s="243"/>
      <c r="C31" s="243"/>
      <c r="D31" s="243"/>
      <c r="E31" s="243"/>
      <c r="F31" s="243"/>
      <c r="G31" s="244"/>
      <c r="H31" s="242"/>
      <c r="I31" s="243"/>
      <c r="J31" s="243"/>
      <c r="K31" s="244"/>
      <c r="M31" s="242"/>
      <c r="N31" s="243"/>
      <c r="O31" s="243"/>
      <c r="P31" s="243"/>
      <c r="Q31" s="243"/>
      <c r="R31" s="243"/>
      <c r="S31" s="242"/>
      <c r="T31" s="243"/>
      <c r="U31" s="243"/>
      <c r="V31" s="244"/>
      <c r="X31" s="1165"/>
      <c r="Y31" s="1166"/>
      <c r="Z31" s="1167"/>
    </row>
  </sheetData>
  <mergeCells count="53">
    <mergeCell ref="W6:X6"/>
    <mergeCell ref="Z6:Z11"/>
    <mergeCell ref="B2:C2"/>
    <mergeCell ref="A3:H3"/>
    <mergeCell ref="I3:N3"/>
    <mergeCell ref="O3:S3"/>
    <mergeCell ref="T3:Z3"/>
    <mergeCell ref="I4:N4"/>
    <mergeCell ref="O4:S4"/>
    <mergeCell ref="I5:N6"/>
    <mergeCell ref="A4:H4"/>
    <mergeCell ref="Q8:R8"/>
    <mergeCell ref="Q9:R9"/>
    <mergeCell ref="Q10:R10"/>
    <mergeCell ref="Q11:R11"/>
    <mergeCell ref="Q7:R7"/>
    <mergeCell ref="T13:Z13"/>
    <mergeCell ref="A14:E14"/>
    <mergeCell ref="F14:H14"/>
    <mergeCell ref="M14:O14"/>
    <mergeCell ref="T14:V14"/>
    <mergeCell ref="M13:S13"/>
    <mergeCell ref="A26:E26"/>
    <mergeCell ref="A27:E27"/>
    <mergeCell ref="F19:H19"/>
    <mergeCell ref="M19:O19"/>
    <mergeCell ref="T19:V19"/>
    <mergeCell ref="F21:L21"/>
    <mergeCell ref="M21:S21"/>
    <mergeCell ref="T21:Z21"/>
    <mergeCell ref="F22:H22"/>
    <mergeCell ref="M22:O22"/>
    <mergeCell ref="T22:V22"/>
    <mergeCell ref="F27:H27"/>
    <mergeCell ref="M27:O27"/>
    <mergeCell ref="T27:V27"/>
    <mergeCell ref="A24:E24"/>
    <mergeCell ref="H30:K30"/>
    <mergeCell ref="X29:Z29"/>
    <mergeCell ref="X30:Z31"/>
    <mergeCell ref="A25:E25"/>
    <mergeCell ref="N7:O7"/>
    <mergeCell ref="A15:E15"/>
    <mergeCell ref="A16:E16"/>
    <mergeCell ref="A17:E17"/>
    <mergeCell ref="A18:E18"/>
    <mergeCell ref="D7:K7"/>
    <mergeCell ref="N8:O8"/>
    <mergeCell ref="N9:O9"/>
    <mergeCell ref="N10:O10"/>
    <mergeCell ref="N11:O11"/>
    <mergeCell ref="A23:E23"/>
    <mergeCell ref="F13:L13"/>
  </mergeCells>
  <pageMargins left="0.23622047244094491" right="0.23622047244094491" top="0.74803149606299213" bottom="0.74803149606299213" header="0.31496062992125984" footer="0.31496062992125984"/>
  <pageSetup paperSize="9" scale="7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9"/>
  <dimension ref="A1:FN707"/>
  <sheetViews>
    <sheetView zoomScale="85" zoomScaleNormal="85" workbookViewId="0">
      <pane ySplit="2" topLeftCell="A3" activePane="bottomLeft" state="frozenSplit"/>
      <selection pane="bottomLeft" activeCell="F1" sqref="F1"/>
    </sheetView>
  </sheetViews>
  <sheetFormatPr baseColWidth="10" defaultRowHeight="12.75" x14ac:dyDescent="0.2"/>
  <cols>
    <col min="1" max="1" width="5.85546875" style="3" bestFit="1" customWidth="1"/>
    <col min="2" max="2" width="10.28515625" style="33" bestFit="1" customWidth="1"/>
    <col min="3" max="3" width="23.140625" bestFit="1" customWidth="1"/>
    <col min="4" max="4" width="12.7109375" bestFit="1" customWidth="1"/>
    <col min="5" max="5" width="21.140625" bestFit="1" customWidth="1"/>
    <col min="6" max="6" width="30.42578125" bestFit="1" customWidth="1"/>
    <col min="7" max="7" width="9.7109375" bestFit="1" customWidth="1"/>
    <col min="8" max="8" width="61.85546875" bestFit="1" customWidth="1"/>
    <col min="9" max="9" width="10.42578125" bestFit="1" customWidth="1"/>
    <col min="10" max="10" width="20.42578125" bestFit="1" customWidth="1"/>
    <col min="11" max="11" width="14.42578125" bestFit="1" customWidth="1"/>
    <col min="12" max="12" width="17" bestFit="1" customWidth="1"/>
    <col min="13" max="13" width="10.140625" bestFit="1" customWidth="1"/>
    <col min="14" max="14" width="19" bestFit="1" customWidth="1"/>
    <col min="15" max="15" width="8.140625" bestFit="1" customWidth="1"/>
    <col min="16" max="16" width="30.42578125" bestFit="1" customWidth="1"/>
    <col min="17" max="17" width="13" bestFit="1" customWidth="1"/>
    <col min="18" max="18" width="27.140625" bestFit="1" customWidth="1"/>
    <col min="19" max="19" width="6.7109375" bestFit="1" customWidth="1"/>
    <col min="20" max="20" width="8.5703125" bestFit="1" customWidth="1"/>
    <col min="21" max="21" width="15.140625" bestFit="1" customWidth="1"/>
    <col min="22" max="99" width="3.140625" bestFit="1" customWidth="1"/>
    <col min="100" max="158" width="4.140625" bestFit="1" customWidth="1"/>
    <col min="159" max="159" width="12.5703125" bestFit="1" customWidth="1"/>
    <col min="162" max="162" width="10.42578125" bestFit="1" customWidth="1"/>
    <col min="163" max="163" width="14" bestFit="1" customWidth="1"/>
  </cols>
  <sheetData>
    <row r="1" spans="1:170" s="38" customFormat="1" ht="21" customHeight="1" x14ac:dyDescent="0.2">
      <c r="A1" s="37"/>
      <c r="B1" s="838"/>
      <c r="E1" s="39" t="s">
        <v>373</v>
      </c>
      <c r="F1" s="426" t="str">
        <f>CATEG</f>
        <v>Collèges Mixtes Etablissement</v>
      </c>
      <c r="H1" s="38">
        <f>COUNTIF(B3:B315,CATEG_IMPORTEE)</f>
        <v>0</v>
      </c>
      <c r="I1" s="38" t="s">
        <v>624</v>
      </c>
      <c r="J1" s="38">
        <f>H1/4</f>
        <v>0</v>
      </c>
      <c r="K1" s="38" t="s">
        <v>625</v>
      </c>
      <c r="P1" s="348" t="str">
        <f>CATEG</f>
        <v>Collèges Mixtes Etablissement</v>
      </c>
    </row>
    <row r="2" spans="1:170" s="33" customFormat="1" x14ac:dyDescent="0.2">
      <c r="A2" s="31" t="s">
        <v>770</v>
      </c>
      <c r="B2" s="32"/>
      <c r="C2" s="32"/>
      <c r="D2" s="32"/>
      <c r="E2" s="32"/>
      <c r="F2" s="32"/>
      <c r="G2" s="32"/>
      <c r="H2" s="32"/>
      <c r="I2" s="32"/>
      <c r="J2" s="32"/>
      <c r="K2" s="534"/>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D2" s="33" t="s">
        <v>374</v>
      </c>
      <c r="FF2" s="459" t="s">
        <v>810</v>
      </c>
      <c r="FG2" s="459" t="s">
        <v>811</v>
      </c>
      <c r="FI2" s="730" t="s">
        <v>1009</v>
      </c>
      <c r="FK2" s="730" t="s">
        <v>1028</v>
      </c>
      <c r="FL2" s="730" t="s">
        <v>1029</v>
      </c>
      <c r="FM2" s="730"/>
      <c r="FN2" s="471" t="s">
        <v>1078</v>
      </c>
    </row>
    <row r="3" spans="1:170" s="33" customFormat="1" x14ac:dyDescent="0.2">
      <c r="A3" s="34" t="s">
        <v>53</v>
      </c>
      <c r="B3" s="35"/>
      <c r="C3" s="35"/>
      <c r="D3" s="35"/>
      <c r="E3" s="729"/>
      <c r="F3" s="35"/>
      <c r="G3" s="35"/>
      <c r="H3" s="35"/>
      <c r="I3" s="35"/>
      <c r="J3" s="35"/>
      <c r="K3" s="35"/>
      <c r="L3" s="729"/>
      <c r="M3" s="35"/>
      <c r="N3" s="35"/>
      <c r="O3" s="35"/>
      <c r="P3" s="35"/>
      <c r="Q3" s="35"/>
      <c r="R3" s="729"/>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458">
        <f>VALUE(B3)</f>
        <v>0</v>
      </c>
      <c r="FD3">
        <f t="shared" ref="FD3:FD66" si="0">INT(FC3/10000000)</f>
        <v>0</v>
      </c>
      <c r="FE3" t="e">
        <f t="shared" ref="FE3:FE66" si="1">VLOOKUP(FD3,Table_acad,2)</f>
        <v>#N/A</v>
      </c>
      <c r="FF3" s="460">
        <v>1</v>
      </c>
      <c r="FG3" s="461" t="s">
        <v>855</v>
      </c>
      <c r="FH3" s="730"/>
      <c r="FI3" s="731" t="e">
        <f>DATEVALUE(E3)</f>
        <v>#VALUE!</v>
      </c>
      <c r="FK3" s="471" t="str">
        <f>LEFT(B3,5)&amp;" "&amp;RIGHT(B3,4)</f>
        <v xml:space="preserve"> </v>
      </c>
      <c r="FL3" s="730">
        <f>N3</f>
        <v>0</v>
      </c>
      <c r="FM3" s="471" t="str">
        <f>IF(FN3="jeune coach","oui","")</f>
        <v/>
      </c>
      <c r="FN3" s="730">
        <f t="shared" ref="FN3:FN66" si="2">L3</f>
        <v>0</v>
      </c>
    </row>
    <row r="4" spans="1:170" s="33" customFormat="1" x14ac:dyDescent="0.2">
      <c r="A4" s="34" t="s">
        <v>54</v>
      </c>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458">
        <f t="shared" ref="FC4:FC67" si="3">VALUE(B4)</f>
        <v>0</v>
      </c>
      <c r="FD4">
        <f t="shared" si="0"/>
        <v>0</v>
      </c>
      <c r="FE4" t="e">
        <f t="shared" si="1"/>
        <v>#N/A</v>
      </c>
      <c r="FF4" s="460">
        <v>2</v>
      </c>
      <c r="FG4" s="461" t="s">
        <v>597</v>
      </c>
      <c r="FI4" s="731" t="e">
        <f t="shared" ref="FI4:FI67" si="4">DATEVALUE(E4)</f>
        <v>#VALUE!</v>
      </c>
      <c r="FK4" s="471" t="str">
        <f t="shared" ref="FK4:FK67" si="5">LEFT(B4,5)&amp;" "&amp;RIGHT(B4,4)</f>
        <v xml:space="preserve"> </v>
      </c>
      <c r="FL4" s="730">
        <f t="shared" ref="FL4:FL67" si="6">N4</f>
        <v>0</v>
      </c>
      <c r="FM4" s="471" t="str">
        <f t="shared" ref="FM4:FM67" si="7">IF(FN4="jeune coach","oui","")</f>
        <v/>
      </c>
      <c r="FN4" s="730">
        <f t="shared" si="2"/>
        <v>0</v>
      </c>
    </row>
    <row r="5" spans="1:170" s="33" customFormat="1" x14ac:dyDescent="0.2">
      <c r="A5" s="34" t="s">
        <v>55</v>
      </c>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458">
        <f t="shared" si="3"/>
        <v>0</v>
      </c>
      <c r="FD5">
        <f t="shared" si="0"/>
        <v>0</v>
      </c>
      <c r="FE5" t="e">
        <f t="shared" si="1"/>
        <v>#N/A</v>
      </c>
      <c r="FF5" s="460">
        <v>3</v>
      </c>
      <c r="FG5" s="461" t="s">
        <v>856</v>
      </c>
      <c r="FI5" s="731" t="e">
        <f t="shared" si="4"/>
        <v>#VALUE!</v>
      </c>
      <c r="FK5" s="471" t="str">
        <f t="shared" si="5"/>
        <v xml:space="preserve"> </v>
      </c>
      <c r="FL5" s="730">
        <f t="shared" si="6"/>
        <v>0</v>
      </c>
      <c r="FM5" s="471" t="str">
        <f t="shared" si="7"/>
        <v/>
      </c>
      <c r="FN5" s="730">
        <f t="shared" si="2"/>
        <v>0</v>
      </c>
    </row>
    <row r="6" spans="1:170" s="33" customFormat="1" x14ac:dyDescent="0.2">
      <c r="A6" s="34" t="s">
        <v>56</v>
      </c>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458">
        <f t="shared" si="3"/>
        <v>0</v>
      </c>
      <c r="FD6">
        <f t="shared" si="0"/>
        <v>0</v>
      </c>
      <c r="FE6" t="e">
        <f t="shared" si="1"/>
        <v>#N/A</v>
      </c>
      <c r="FF6" s="460">
        <v>4</v>
      </c>
      <c r="FG6" s="461" t="s">
        <v>857</v>
      </c>
      <c r="FI6" s="731" t="e">
        <f t="shared" si="4"/>
        <v>#VALUE!</v>
      </c>
      <c r="FK6" s="471" t="str">
        <f t="shared" si="5"/>
        <v xml:space="preserve"> </v>
      </c>
      <c r="FL6" s="730">
        <f t="shared" si="6"/>
        <v>0</v>
      </c>
      <c r="FM6" s="471" t="str">
        <f t="shared" si="7"/>
        <v/>
      </c>
      <c r="FN6" s="730">
        <f t="shared" si="2"/>
        <v>0</v>
      </c>
    </row>
    <row r="7" spans="1:170" s="33" customFormat="1" x14ac:dyDescent="0.2">
      <c r="A7" s="34" t="s">
        <v>57</v>
      </c>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c r="DT7" s="35"/>
      <c r="DU7" s="35"/>
      <c r="DV7" s="35"/>
      <c r="DW7" s="35"/>
      <c r="DX7" s="35"/>
      <c r="DY7" s="35"/>
      <c r="DZ7" s="35"/>
      <c r="EA7" s="35"/>
      <c r="EB7" s="35"/>
      <c r="EC7" s="35"/>
      <c r="ED7" s="35"/>
      <c r="EE7" s="35"/>
      <c r="EF7" s="35"/>
      <c r="EG7" s="35"/>
      <c r="EH7" s="35"/>
      <c r="EI7" s="35"/>
      <c r="EJ7" s="35"/>
      <c r="EK7" s="35"/>
      <c r="EL7" s="35"/>
      <c r="EM7" s="35"/>
      <c r="EN7" s="35"/>
      <c r="EO7" s="35"/>
      <c r="EP7" s="35"/>
      <c r="EQ7" s="35"/>
      <c r="ER7" s="35"/>
      <c r="ES7" s="35"/>
      <c r="ET7" s="35"/>
      <c r="EU7" s="35"/>
      <c r="EV7" s="35"/>
      <c r="EW7" s="35"/>
      <c r="EX7" s="35"/>
      <c r="EY7" s="35"/>
      <c r="EZ7" s="35"/>
      <c r="FA7" s="35"/>
      <c r="FB7" s="35"/>
      <c r="FC7" s="458">
        <f t="shared" si="3"/>
        <v>0</v>
      </c>
      <c r="FD7">
        <f t="shared" si="0"/>
        <v>0</v>
      </c>
      <c r="FE7" t="e">
        <f t="shared" si="1"/>
        <v>#N/A</v>
      </c>
      <c r="FF7" s="460">
        <v>5</v>
      </c>
      <c r="FG7" s="461" t="s">
        <v>858</v>
      </c>
      <c r="FI7" s="731" t="e">
        <f t="shared" si="4"/>
        <v>#VALUE!</v>
      </c>
      <c r="FK7" s="471" t="str">
        <f t="shared" si="5"/>
        <v xml:space="preserve"> </v>
      </c>
      <c r="FL7" s="730">
        <f t="shared" si="6"/>
        <v>0</v>
      </c>
      <c r="FM7" s="471" t="str">
        <f t="shared" si="7"/>
        <v/>
      </c>
      <c r="FN7" s="730">
        <f t="shared" si="2"/>
        <v>0</v>
      </c>
    </row>
    <row r="8" spans="1:170" s="33" customFormat="1" x14ac:dyDescent="0.2">
      <c r="A8" s="34" t="s">
        <v>58</v>
      </c>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5"/>
      <c r="DR8" s="35"/>
      <c r="DS8" s="35"/>
      <c r="DT8" s="35"/>
      <c r="DU8" s="35"/>
      <c r="DV8" s="35"/>
      <c r="DW8" s="35"/>
      <c r="DX8" s="35"/>
      <c r="DY8" s="35"/>
      <c r="DZ8" s="35"/>
      <c r="EA8" s="35"/>
      <c r="EB8" s="35"/>
      <c r="EC8" s="35"/>
      <c r="ED8" s="35"/>
      <c r="EE8" s="35"/>
      <c r="EF8" s="35"/>
      <c r="EG8" s="35"/>
      <c r="EH8" s="35"/>
      <c r="EI8" s="35"/>
      <c r="EJ8" s="35"/>
      <c r="EK8" s="35"/>
      <c r="EL8" s="35"/>
      <c r="EM8" s="35"/>
      <c r="EN8" s="35"/>
      <c r="EO8" s="35"/>
      <c r="EP8" s="35"/>
      <c r="EQ8" s="35"/>
      <c r="ER8" s="35"/>
      <c r="ES8" s="35"/>
      <c r="ET8" s="35"/>
      <c r="EU8" s="35"/>
      <c r="EV8" s="35"/>
      <c r="EW8" s="35"/>
      <c r="EX8" s="35"/>
      <c r="EY8" s="35"/>
      <c r="EZ8" s="35"/>
      <c r="FA8" s="35"/>
      <c r="FB8" s="35"/>
      <c r="FC8" s="458">
        <f t="shared" si="3"/>
        <v>0</v>
      </c>
      <c r="FD8">
        <f t="shared" si="0"/>
        <v>0</v>
      </c>
      <c r="FE8" t="e">
        <f t="shared" si="1"/>
        <v>#N/A</v>
      </c>
      <c r="FF8" s="460">
        <v>6</v>
      </c>
      <c r="FG8" s="461" t="s">
        <v>859</v>
      </c>
      <c r="FI8" s="731" t="e">
        <f t="shared" si="4"/>
        <v>#VALUE!</v>
      </c>
      <c r="FK8" s="471" t="str">
        <f t="shared" si="5"/>
        <v xml:space="preserve"> </v>
      </c>
      <c r="FL8" s="730">
        <f t="shared" si="6"/>
        <v>0</v>
      </c>
      <c r="FM8" s="471" t="str">
        <f t="shared" si="7"/>
        <v/>
      </c>
      <c r="FN8" s="730">
        <f t="shared" si="2"/>
        <v>0</v>
      </c>
    </row>
    <row r="9" spans="1:170" s="33" customFormat="1" x14ac:dyDescent="0.2">
      <c r="A9" s="34" t="s">
        <v>59</v>
      </c>
      <c r="B9" s="35"/>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c r="ER9" s="35"/>
      <c r="ES9" s="35"/>
      <c r="ET9" s="35"/>
      <c r="EU9" s="35"/>
      <c r="EV9" s="35"/>
      <c r="EW9" s="35"/>
      <c r="EX9" s="35"/>
      <c r="EY9" s="35"/>
      <c r="EZ9" s="35"/>
      <c r="FA9" s="35"/>
      <c r="FB9" s="35"/>
      <c r="FC9" s="458">
        <f t="shared" si="3"/>
        <v>0</v>
      </c>
      <c r="FD9">
        <f t="shared" si="0"/>
        <v>0</v>
      </c>
      <c r="FE9" t="e">
        <f t="shared" si="1"/>
        <v>#N/A</v>
      </c>
      <c r="FF9" s="460">
        <v>7</v>
      </c>
      <c r="FG9" s="461" t="s">
        <v>860</v>
      </c>
      <c r="FI9" s="731" t="e">
        <f t="shared" si="4"/>
        <v>#VALUE!</v>
      </c>
      <c r="FK9" s="471" t="str">
        <f t="shared" si="5"/>
        <v xml:space="preserve"> </v>
      </c>
      <c r="FL9" s="730">
        <f t="shared" si="6"/>
        <v>0</v>
      </c>
      <c r="FM9" s="471" t="str">
        <f t="shared" si="7"/>
        <v/>
      </c>
      <c r="FN9" s="730">
        <f t="shared" si="2"/>
        <v>0</v>
      </c>
    </row>
    <row r="10" spans="1:170" s="33" customFormat="1" x14ac:dyDescent="0.2">
      <c r="A10" s="34" t="s">
        <v>60</v>
      </c>
      <c r="B10" s="35"/>
      <c r="C10" s="35"/>
      <c r="D10" s="35"/>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c r="DU10" s="35"/>
      <c r="DV10" s="35"/>
      <c r="DW10" s="35"/>
      <c r="DX10" s="35"/>
      <c r="DY10" s="35"/>
      <c r="DZ10" s="35"/>
      <c r="EA10" s="35"/>
      <c r="EB10" s="35"/>
      <c r="EC10" s="35"/>
      <c r="ED10" s="35"/>
      <c r="EE10" s="35"/>
      <c r="EF10" s="35"/>
      <c r="EG10" s="35"/>
      <c r="EH10" s="35"/>
      <c r="EI10" s="35"/>
      <c r="EJ10" s="35"/>
      <c r="EK10" s="35"/>
      <c r="EL10" s="35"/>
      <c r="EM10" s="35"/>
      <c r="EN10" s="35"/>
      <c r="EO10" s="35"/>
      <c r="EP10" s="35"/>
      <c r="EQ10" s="35"/>
      <c r="ER10" s="35"/>
      <c r="ES10" s="35"/>
      <c r="ET10" s="35"/>
      <c r="EU10" s="35"/>
      <c r="EV10" s="35"/>
      <c r="EW10" s="35"/>
      <c r="EX10" s="35"/>
      <c r="EY10" s="35"/>
      <c r="EZ10" s="35"/>
      <c r="FA10" s="35"/>
      <c r="FB10" s="35"/>
      <c r="FC10" s="458">
        <f t="shared" si="3"/>
        <v>0</v>
      </c>
      <c r="FD10">
        <f t="shared" si="0"/>
        <v>0</v>
      </c>
      <c r="FE10" t="e">
        <f t="shared" si="1"/>
        <v>#N/A</v>
      </c>
      <c r="FF10" s="460">
        <v>8</v>
      </c>
      <c r="FG10" s="461" t="s">
        <v>861</v>
      </c>
      <c r="FI10" s="731" t="e">
        <f t="shared" si="4"/>
        <v>#VALUE!</v>
      </c>
      <c r="FK10" s="471" t="str">
        <f t="shared" si="5"/>
        <v xml:space="preserve"> </v>
      </c>
      <c r="FL10" s="730">
        <f t="shared" si="6"/>
        <v>0</v>
      </c>
      <c r="FM10" s="471" t="str">
        <f t="shared" si="7"/>
        <v/>
      </c>
      <c r="FN10" s="730">
        <f t="shared" si="2"/>
        <v>0</v>
      </c>
    </row>
    <row r="11" spans="1:170" s="33" customFormat="1" x14ac:dyDescent="0.2">
      <c r="A11" s="34" t="s">
        <v>61</v>
      </c>
      <c r="B11" s="35"/>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c r="DU11" s="35"/>
      <c r="DV11" s="35"/>
      <c r="DW11" s="35"/>
      <c r="DX11" s="35"/>
      <c r="DY11" s="35"/>
      <c r="DZ11" s="35"/>
      <c r="EA11" s="35"/>
      <c r="EB11" s="35"/>
      <c r="EC11" s="35"/>
      <c r="ED11" s="35"/>
      <c r="EE11" s="35"/>
      <c r="EF11" s="35"/>
      <c r="EG11" s="35"/>
      <c r="EH11" s="35"/>
      <c r="EI11" s="35"/>
      <c r="EJ11" s="35"/>
      <c r="EK11" s="35"/>
      <c r="EL11" s="35"/>
      <c r="EM11" s="35"/>
      <c r="EN11" s="35"/>
      <c r="EO11" s="35"/>
      <c r="EP11" s="35"/>
      <c r="EQ11" s="35"/>
      <c r="ER11" s="35"/>
      <c r="ES11" s="35"/>
      <c r="ET11" s="35"/>
      <c r="EU11" s="35"/>
      <c r="EV11" s="35"/>
      <c r="EW11" s="35"/>
      <c r="EX11" s="35"/>
      <c r="EY11" s="35"/>
      <c r="EZ11" s="35"/>
      <c r="FA11" s="35"/>
      <c r="FB11" s="35"/>
      <c r="FC11" s="458">
        <f t="shared" si="3"/>
        <v>0</v>
      </c>
      <c r="FD11">
        <f t="shared" si="0"/>
        <v>0</v>
      </c>
      <c r="FE11" t="e">
        <f t="shared" si="1"/>
        <v>#N/A</v>
      </c>
      <c r="FF11" s="460">
        <v>9</v>
      </c>
      <c r="FG11" s="526" t="s">
        <v>862</v>
      </c>
      <c r="FI11" s="731" t="e">
        <f t="shared" si="4"/>
        <v>#VALUE!</v>
      </c>
      <c r="FK11" s="471" t="str">
        <f t="shared" si="5"/>
        <v xml:space="preserve"> </v>
      </c>
      <c r="FL11" s="730">
        <f t="shared" si="6"/>
        <v>0</v>
      </c>
      <c r="FM11" s="471" t="str">
        <f t="shared" si="7"/>
        <v/>
      </c>
      <c r="FN11" s="730">
        <f t="shared" si="2"/>
        <v>0</v>
      </c>
    </row>
    <row r="12" spans="1:170" s="33" customFormat="1" x14ac:dyDescent="0.2">
      <c r="A12" s="34" t="s">
        <v>62</v>
      </c>
      <c r="B12" s="35"/>
      <c r="C12" s="35"/>
      <c r="D12" s="35"/>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c r="BZ12" s="35"/>
      <c r="CA12" s="35"/>
      <c r="CB12" s="35"/>
      <c r="CC12" s="35"/>
      <c r="CD12" s="35"/>
      <c r="CE12" s="35"/>
      <c r="CF12" s="35"/>
      <c r="CG12" s="35"/>
      <c r="CH12" s="35"/>
      <c r="CI12" s="35"/>
      <c r="CJ12" s="35"/>
      <c r="CK12" s="35"/>
      <c r="CL12" s="35"/>
      <c r="CM12" s="35"/>
      <c r="CN12" s="35"/>
      <c r="CO12" s="35"/>
      <c r="CP12" s="35"/>
      <c r="CQ12" s="35"/>
      <c r="CR12" s="35"/>
      <c r="CS12" s="35"/>
      <c r="CT12" s="35"/>
      <c r="CU12" s="35"/>
      <c r="CV12" s="35"/>
      <c r="CW12" s="35"/>
      <c r="CX12" s="35"/>
      <c r="CY12" s="35"/>
      <c r="CZ12" s="35"/>
      <c r="DA12" s="35"/>
      <c r="DB12" s="35"/>
      <c r="DC12" s="35"/>
      <c r="DD12" s="35"/>
      <c r="DE12" s="35"/>
      <c r="DF12" s="35"/>
      <c r="DG12" s="35"/>
      <c r="DH12" s="35"/>
      <c r="DI12" s="35"/>
      <c r="DJ12" s="35"/>
      <c r="DK12" s="35"/>
      <c r="DL12" s="35"/>
      <c r="DM12" s="35"/>
      <c r="DN12" s="35"/>
      <c r="DO12" s="35"/>
      <c r="DP12" s="35"/>
      <c r="DQ12" s="35"/>
      <c r="DR12" s="35"/>
      <c r="DS12" s="35"/>
      <c r="DT12" s="35"/>
      <c r="DU12" s="35"/>
      <c r="DV12" s="35"/>
      <c r="DW12" s="35"/>
      <c r="DX12" s="35"/>
      <c r="DY12" s="35"/>
      <c r="DZ12" s="35"/>
      <c r="EA12" s="35"/>
      <c r="EB12" s="35"/>
      <c r="EC12" s="35"/>
      <c r="ED12" s="35"/>
      <c r="EE12" s="35"/>
      <c r="EF12" s="35"/>
      <c r="EG12" s="35"/>
      <c r="EH12" s="35"/>
      <c r="EI12" s="35"/>
      <c r="EJ12" s="35"/>
      <c r="EK12" s="35"/>
      <c r="EL12" s="35"/>
      <c r="EM12" s="35"/>
      <c r="EN12" s="35"/>
      <c r="EO12" s="35"/>
      <c r="EP12" s="35"/>
      <c r="EQ12" s="35"/>
      <c r="ER12" s="35"/>
      <c r="ES12" s="35"/>
      <c r="ET12" s="35"/>
      <c r="EU12" s="35"/>
      <c r="EV12" s="35"/>
      <c r="EW12" s="35"/>
      <c r="EX12" s="35"/>
      <c r="EY12" s="35"/>
      <c r="EZ12" s="35"/>
      <c r="FA12" s="35"/>
      <c r="FB12" s="35"/>
      <c r="FC12" s="458">
        <f t="shared" si="3"/>
        <v>0</v>
      </c>
      <c r="FD12">
        <f t="shared" si="0"/>
        <v>0</v>
      </c>
      <c r="FE12" t="e">
        <f t="shared" si="1"/>
        <v>#N/A</v>
      </c>
      <c r="FF12" s="460">
        <v>10</v>
      </c>
      <c r="FG12" s="526" t="s">
        <v>863</v>
      </c>
      <c r="FI12" s="731" t="e">
        <f t="shared" si="4"/>
        <v>#VALUE!</v>
      </c>
      <c r="FK12" s="471" t="str">
        <f t="shared" si="5"/>
        <v xml:space="preserve"> </v>
      </c>
      <c r="FL12" s="730">
        <f t="shared" si="6"/>
        <v>0</v>
      </c>
      <c r="FM12" s="471" t="str">
        <f t="shared" si="7"/>
        <v/>
      </c>
      <c r="FN12" s="730">
        <f t="shared" si="2"/>
        <v>0</v>
      </c>
    </row>
    <row r="13" spans="1:170" s="33" customFormat="1" x14ac:dyDescent="0.2">
      <c r="A13" s="34" t="s">
        <v>63</v>
      </c>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458">
        <f t="shared" si="3"/>
        <v>0</v>
      </c>
      <c r="FD13">
        <f t="shared" si="0"/>
        <v>0</v>
      </c>
      <c r="FE13" t="e">
        <f t="shared" si="1"/>
        <v>#N/A</v>
      </c>
      <c r="FF13" s="460">
        <v>11</v>
      </c>
      <c r="FG13" s="526" t="s">
        <v>864</v>
      </c>
      <c r="FI13" s="731" t="e">
        <f t="shared" si="4"/>
        <v>#VALUE!</v>
      </c>
      <c r="FK13" s="471" t="str">
        <f t="shared" si="5"/>
        <v xml:space="preserve"> </v>
      </c>
      <c r="FL13" s="730">
        <f t="shared" si="6"/>
        <v>0</v>
      </c>
      <c r="FM13" s="471" t="str">
        <f t="shared" si="7"/>
        <v/>
      </c>
      <c r="FN13" s="730">
        <f t="shared" si="2"/>
        <v>0</v>
      </c>
    </row>
    <row r="14" spans="1:170" s="33" customFormat="1" x14ac:dyDescent="0.2">
      <c r="A14" s="34" t="s">
        <v>64</v>
      </c>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35"/>
      <c r="DI14" s="35"/>
      <c r="DJ14" s="35"/>
      <c r="DK14" s="35"/>
      <c r="DL14" s="35"/>
      <c r="DM14" s="35"/>
      <c r="DN14" s="35"/>
      <c r="DO14" s="35"/>
      <c r="DP14" s="35"/>
      <c r="DQ14" s="35"/>
      <c r="DR14" s="35"/>
      <c r="DS14" s="35"/>
      <c r="DT14" s="35"/>
      <c r="DU14" s="35"/>
      <c r="DV14" s="35"/>
      <c r="DW14" s="35"/>
      <c r="DX14" s="35"/>
      <c r="DY14" s="35"/>
      <c r="DZ14" s="35"/>
      <c r="EA14" s="35"/>
      <c r="EB14" s="35"/>
      <c r="EC14" s="35"/>
      <c r="ED14" s="35"/>
      <c r="EE14" s="35"/>
      <c r="EF14" s="35"/>
      <c r="EG14" s="35"/>
      <c r="EH14" s="35"/>
      <c r="EI14" s="35"/>
      <c r="EJ14" s="35"/>
      <c r="EK14" s="35"/>
      <c r="EL14" s="35"/>
      <c r="EM14" s="35"/>
      <c r="EN14" s="35"/>
      <c r="EO14" s="35"/>
      <c r="EP14" s="35"/>
      <c r="EQ14" s="35"/>
      <c r="ER14" s="35"/>
      <c r="ES14" s="35"/>
      <c r="ET14" s="35"/>
      <c r="EU14" s="35"/>
      <c r="EV14" s="35"/>
      <c r="EW14" s="35"/>
      <c r="EX14" s="35"/>
      <c r="EY14" s="35"/>
      <c r="EZ14" s="35"/>
      <c r="FA14" s="35"/>
      <c r="FB14" s="35"/>
      <c r="FC14" s="458">
        <f t="shared" si="3"/>
        <v>0</v>
      </c>
      <c r="FD14">
        <f t="shared" si="0"/>
        <v>0</v>
      </c>
      <c r="FE14" t="e">
        <f t="shared" si="1"/>
        <v>#N/A</v>
      </c>
      <c r="FF14" s="460">
        <v>12</v>
      </c>
      <c r="FG14" s="461" t="s">
        <v>600</v>
      </c>
      <c r="FI14" s="731" t="e">
        <f t="shared" si="4"/>
        <v>#VALUE!</v>
      </c>
      <c r="FK14" s="471" t="str">
        <f t="shared" si="5"/>
        <v xml:space="preserve"> </v>
      </c>
      <c r="FL14" s="730">
        <f t="shared" si="6"/>
        <v>0</v>
      </c>
      <c r="FM14" s="471" t="str">
        <f t="shared" si="7"/>
        <v/>
      </c>
      <c r="FN14" s="730">
        <f t="shared" si="2"/>
        <v>0</v>
      </c>
    </row>
    <row r="15" spans="1:170" s="33" customFormat="1" x14ac:dyDescent="0.2">
      <c r="A15" s="34" t="s">
        <v>65</v>
      </c>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c r="DT15" s="35"/>
      <c r="DU15" s="35"/>
      <c r="DV15" s="35"/>
      <c r="DW15" s="35"/>
      <c r="DX15" s="35"/>
      <c r="DY15" s="35"/>
      <c r="DZ15" s="35"/>
      <c r="EA15" s="35"/>
      <c r="EB15" s="35"/>
      <c r="EC15" s="35"/>
      <c r="ED15" s="35"/>
      <c r="EE15" s="35"/>
      <c r="EF15" s="35"/>
      <c r="EG15" s="35"/>
      <c r="EH15" s="35"/>
      <c r="EI15" s="35"/>
      <c r="EJ15" s="35"/>
      <c r="EK15" s="35"/>
      <c r="EL15" s="35"/>
      <c r="EM15" s="35"/>
      <c r="EN15" s="35"/>
      <c r="EO15" s="35"/>
      <c r="EP15" s="35"/>
      <c r="EQ15" s="35"/>
      <c r="ER15" s="35"/>
      <c r="ES15" s="35"/>
      <c r="ET15" s="35"/>
      <c r="EU15" s="35"/>
      <c r="EV15" s="35"/>
      <c r="EW15" s="35"/>
      <c r="EX15" s="35"/>
      <c r="EY15" s="35"/>
      <c r="EZ15" s="35"/>
      <c r="FA15" s="35"/>
      <c r="FB15" s="35"/>
      <c r="FC15" s="458">
        <f t="shared" si="3"/>
        <v>0</v>
      </c>
      <c r="FD15">
        <f t="shared" si="0"/>
        <v>0</v>
      </c>
      <c r="FE15" t="e">
        <f t="shared" si="1"/>
        <v>#N/A</v>
      </c>
      <c r="FF15" s="460">
        <v>13</v>
      </c>
      <c r="FG15" s="461" t="s">
        <v>865</v>
      </c>
      <c r="FI15" s="731" t="e">
        <f t="shared" si="4"/>
        <v>#VALUE!</v>
      </c>
      <c r="FK15" s="471" t="str">
        <f t="shared" si="5"/>
        <v xml:space="preserve"> </v>
      </c>
      <c r="FL15" s="730">
        <f t="shared" si="6"/>
        <v>0</v>
      </c>
      <c r="FM15" s="471" t="str">
        <f t="shared" si="7"/>
        <v/>
      </c>
      <c r="FN15" s="730">
        <f t="shared" si="2"/>
        <v>0</v>
      </c>
    </row>
    <row r="16" spans="1:170" s="33" customFormat="1" x14ac:dyDescent="0.2">
      <c r="A16" s="34" t="s">
        <v>66</v>
      </c>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458">
        <f t="shared" si="3"/>
        <v>0</v>
      </c>
      <c r="FD16">
        <f t="shared" si="0"/>
        <v>0</v>
      </c>
      <c r="FE16" t="e">
        <f t="shared" si="1"/>
        <v>#N/A</v>
      </c>
      <c r="FF16" s="460">
        <v>14</v>
      </c>
      <c r="FG16" s="461" t="s">
        <v>866</v>
      </c>
      <c r="FI16" s="731" t="e">
        <f t="shared" si="4"/>
        <v>#VALUE!</v>
      </c>
      <c r="FK16" s="471" t="str">
        <f t="shared" si="5"/>
        <v xml:space="preserve"> </v>
      </c>
      <c r="FL16" s="730">
        <f t="shared" si="6"/>
        <v>0</v>
      </c>
      <c r="FM16" s="471" t="str">
        <f t="shared" si="7"/>
        <v/>
      </c>
      <c r="FN16" s="730">
        <f t="shared" si="2"/>
        <v>0</v>
      </c>
    </row>
    <row r="17" spans="1:170" s="33" customFormat="1" x14ac:dyDescent="0.2">
      <c r="A17" s="34" t="s">
        <v>67</v>
      </c>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458">
        <f t="shared" si="3"/>
        <v>0</v>
      </c>
      <c r="FD17">
        <f t="shared" si="0"/>
        <v>0</v>
      </c>
      <c r="FE17" t="e">
        <f t="shared" si="1"/>
        <v>#N/A</v>
      </c>
      <c r="FF17" s="460">
        <v>15</v>
      </c>
      <c r="FG17" s="461" t="s">
        <v>867</v>
      </c>
      <c r="FI17" s="731" t="e">
        <f t="shared" si="4"/>
        <v>#VALUE!</v>
      </c>
      <c r="FK17" s="471" t="str">
        <f t="shared" si="5"/>
        <v xml:space="preserve"> </v>
      </c>
      <c r="FL17" s="730">
        <f t="shared" si="6"/>
        <v>0</v>
      </c>
      <c r="FM17" s="471" t="str">
        <f t="shared" si="7"/>
        <v/>
      </c>
      <c r="FN17" s="730">
        <f t="shared" si="2"/>
        <v>0</v>
      </c>
    </row>
    <row r="18" spans="1:170" s="33" customFormat="1" x14ac:dyDescent="0.2">
      <c r="A18" s="34" t="s">
        <v>68</v>
      </c>
      <c r="B18" s="35"/>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458">
        <f t="shared" si="3"/>
        <v>0</v>
      </c>
      <c r="FD18">
        <f t="shared" si="0"/>
        <v>0</v>
      </c>
      <c r="FE18" t="e">
        <f t="shared" si="1"/>
        <v>#N/A</v>
      </c>
      <c r="FF18" s="460">
        <v>16</v>
      </c>
      <c r="FG18" s="461" t="s">
        <v>868</v>
      </c>
      <c r="FI18" s="731" t="e">
        <f t="shared" si="4"/>
        <v>#VALUE!</v>
      </c>
      <c r="FK18" s="471" t="str">
        <f t="shared" si="5"/>
        <v xml:space="preserve"> </v>
      </c>
      <c r="FL18" s="730">
        <f t="shared" si="6"/>
        <v>0</v>
      </c>
      <c r="FM18" s="471" t="str">
        <f t="shared" si="7"/>
        <v/>
      </c>
      <c r="FN18" s="730">
        <f t="shared" si="2"/>
        <v>0</v>
      </c>
    </row>
    <row r="19" spans="1:170" s="33" customFormat="1" x14ac:dyDescent="0.2">
      <c r="A19" s="34" t="s">
        <v>69</v>
      </c>
      <c r="B19" s="35"/>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458">
        <f t="shared" si="3"/>
        <v>0</v>
      </c>
      <c r="FD19">
        <f t="shared" si="0"/>
        <v>0</v>
      </c>
      <c r="FE19" t="e">
        <f t="shared" si="1"/>
        <v>#N/A</v>
      </c>
      <c r="FF19" s="460">
        <v>17</v>
      </c>
      <c r="FG19" s="461" t="s">
        <v>606</v>
      </c>
      <c r="FI19" s="731" t="e">
        <f t="shared" si="4"/>
        <v>#VALUE!</v>
      </c>
      <c r="FK19" s="471" t="str">
        <f t="shared" si="5"/>
        <v xml:space="preserve"> </v>
      </c>
      <c r="FL19" s="730">
        <f t="shared" si="6"/>
        <v>0</v>
      </c>
      <c r="FM19" s="471" t="str">
        <f t="shared" si="7"/>
        <v/>
      </c>
      <c r="FN19" s="730">
        <f t="shared" si="2"/>
        <v>0</v>
      </c>
    </row>
    <row r="20" spans="1:170" s="33" customFormat="1" x14ac:dyDescent="0.2">
      <c r="A20" s="34" t="s">
        <v>70</v>
      </c>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458">
        <f t="shared" si="3"/>
        <v>0</v>
      </c>
      <c r="FD20">
        <f t="shared" si="0"/>
        <v>0</v>
      </c>
      <c r="FE20" t="e">
        <f t="shared" si="1"/>
        <v>#N/A</v>
      </c>
      <c r="FF20" s="460">
        <v>18</v>
      </c>
      <c r="FG20" s="461" t="s">
        <v>869</v>
      </c>
      <c r="FI20" s="731" t="e">
        <f t="shared" si="4"/>
        <v>#VALUE!</v>
      </c>
      <c r="FK20" s="471" t="str">
        <f t="shared" si="5"/>
        <v xml:space="preserve"> </v>
      </c>
      <c r="FL20" s="730">
        <f t="shared" si="6"/>
        <v>0</v>
      </c>
      <c r="FM20" s="471" t="str">
        <f t="shared" si="7"/>
        <v/>
      </c>
      <c r="FN20" s="730">
        <f t="shared" si="2"/>
        <v>0</v>
      </c>
    </row>
    <row r="21" spans="1:170" s="33" customFormat="1" x14ac:dyDescent="0.2">
      <c r="A21" s="34" t="s">
        <v>71</v>
      </c>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458">
        <f t="shared" si="3"/>
        <v>0</v>
      </c>
      <c r="FD21">
        <f t="shared" si="0"/>
        <v>0</v>
      </c>
      <c r="FE21" t="e">
        <f t="shared" si="1"/>
        <v>#N/A</v>
      </c>
      <c r="FF21" s="460">
        <v>19</v>
      </c>
      <c r="FG21" s="461" t="s">
        <v>771</v>
      </c>
      <c r="FI21" s="731" t="e">
        <f t="shared" si="4"/>
        <v>#VALUE!</v>
      </c>
      <c r="FK21" s="471" t="str">
        <f t="shared" si="5"/>
        <v xml:space="preserve"> </v>
      </c>
      <c r="FL21" s="730">
        <f t="shared" si="6"/>
        <v>0</v>
      </c>
      <c r="FM21" s="471" t="str">
        <f t="shared" si="7"/>
        <v/>
      </c>
      <c r="FN21" s="730">
        <f t="shared" si="2"/>
        <v>0</v>
      </c>
    </row>
    <row r="22" spans="1:170" s="33" customFormat="1" x14ac:dyDescent="0.2">
      <c r="A22" s="34" t="s">
        <v>72</v>
      </c>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458">
        <f t="shared" si="3"/>
        <v>0</v>
      </c>
      <c r="FD22">
        <f t="shared" si="0"/>
        <v>0</v>
      </c>
      <c r="FE22" t="e">
        <f t="shared" si="1"/>
        <v>#N/A</v>
      </c>
      <c r="FF22" s="460">
        <v>20</v>
      </c>
      <c r="FG22" s="461" t="s">
        <v>870</v>
      </c>
      <c r="FI22" s="731" t="e">
        <f t="shared" si="4"/>
        <v>#VALUE!</v>
      </c>
      <c r="FK22" s="471" t="str">
        <f t="shared" si="5"/>
        <v xml:space="preserve"> </v>
      </c>
      <c r="FL22" s="730">
        <f t="shared" si="6"/>
        <v>0</v>
      </c>
      <c r="FM22" s="471" t="str">
        <f t="shared" si="7"/>
        <v/>
      </c>
      <c r="FN22" s="730">
        <f t="shared" si="2"/>
        <v>0</v>
      </c>
    </row>
    <row r="23" spans="1:170" s="33" customFormat="1" x14ac:dyDescent="0.2">
      <c r="A23" s="34" t="s">
        <v>73</v>
      </c>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458">
        <f t="shared" si="3"/>
        <v>0</v>
      </c>
      <c r="FD23">
        <f t="shared" si="0"/>
        <v>0</v>
      </c>
      <c r="FE23" t="e">
        <f t="shared" si="1"/>
        <v>#N/A</v>
      </c>
      <c r="FF23" s="460">
        <v>21</v>
      </c>
      <c r="FG23" s="461" t="s">
        <v>772</v>
      </c>
      <c r="FI23" s="731" t="e">
        <f t="shared" si="4"/>
        <v>#VALUE!</v>
      </c>
      <c r="FK23" s="471" t="str">
        <f t="shared" si="5"/>
        <v xml:space="preserve"> </v>
      </c>
      <c r="FL23" s="730">
        <f t="shared" si="6"/>
        <v>0</v>
      </c>
      <c r="FM23" s="471" t="str">
        <f t="shared" si="7"/>
        <v/>
      </c>
      <c r="FN23" s="730">
        <f t="shared" si="2"/>
        <v>0</v>
      </c>
    </row>
    <row r="24" spans="1:170" s="33" customFormat="1" x14ac:dyDescent="0.2">
      <c r="A24" s="34" t="s">
        <v>74</v>
      </c>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458">
        <f t="shared" si="3"/>
        <v>0</v>
      </c>
      <c r="FD24">
        <f t="shared" si="0"/>
        <v>0</v>
      </c>
      <c r="FE24" t="e">
        <f t="shared" si="1"/>
        <v>#N/A</v>
      </c>
      <c r="FF24" s="460">
        <v>22</v>
      </c>
      <c r="FG24" s="461" t="s">
        <v>871</v>
      </c>
      <c r="FI24" s="731" t="e">
        <f t="shared" si="4"/>
        <v>#VALUE!</v>
      </c>
      <c r="FK24" s="471" t="str">
        <f t="shared" si="5"/>
        <v xml:space="preserve"> </v>
      </c>
      <c r="FL24" s="730">
        <f t="shared" si="6"/>
        <v>0</v>
      </c>
      <c r="FM24" s="471" t="str">
        <f t="shared" si="7"/>
        <v/>
      </c>
      <c r="FN24" s="730">
        <f t="shared" si="2"/>
        <v>0</v>
      </c>
    </row>
    <row r="25" spans="1:170" s="33" customFormat="1" x14ac:dyDescent="0.2">
      <c r="A25" s="34" t="s">
        <v>75</v>
      </c>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5"/>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5"/>
      <c r="EV25" s="35"/>
      <c r="EW25" s="35"/>
      <c r="EX25" s="35"/>
      <c r="EY25" s="35"/>
      <c r="EZ25" s="35"/>
      <c r="FA25" s="35"/>
      <c r="FB25" s="35"/>
      <c r="FC25" s="458">
        <f t="shared" si="3"/>
        <v>0</v>
      </c>
      <c r="FD25">
        <f t="shared" si="0"/>
        <v>0</v>
      </c>
      <c r="FE25" t="e">
        <f t="shared" si="1"/>
        <v>#N/A</v>
      </c>
      <c r="FF25" s="460">
        <v>23</v>
      </c>
      <c r="FG25" s="461" t="s">
        <v>872</v>
      </c>
      <c r="FI25" s="731" t="e">
        <f t="shared" si="4"/>
        <v>#VALUE!</v>
      </c>
      <c r="FK25" s="471" t="str">
        <f t="shared" si="5"/>
        <v xml:space="preserve"> </v>
      </c>
      <c r="FL25" s="730">
        <f t="shared" si="6"/>
        <v>0</v>
      </c>
      <c r="FM25" s="471" t="str">
        <f t="shared" si="7"/>
        <v/>
      </c>
      <c r="FN25" s="730">
        <f t="shared" si="2"/>
        <v>0</v>
      </c>
    </row>
    <row r="26" spans="1:170" s="33" customFormat="1" x14ac:dyDescent="0.2">
      <c r="A26" s="34" t="s">
        <v>76</v>
      </c>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458">
        <f t="shared" si="3"/>
        <v>0</v>
      </c>
      <c r="FD26">
        <f t="shared" si="0"/>
        <v>0</v>
      </c>
      <c r="FE26" t="e">
        <f t="shared" si="1"/>
        <v>#N/A</v>
      </c>
      <c r="FF26" s="460">
        <v>24</v>
      </c>
      <c r="FG26" s="461" t="s">
        <v>773</v>
      </c>
      <c r="FI26" s="731" t="e">
        <f t="shared" si="4"/>
        <v>#VALUE!</v>
      </c>
      <c r="FK26" s="471" t="str">
        <f t="shared" si="5"/>
        <v xml:space="preserve"> </v>
      </c>
      <c r="FL26" s="730">
        <f t="shared" si="6"/>
        <v>0</v>
      </c>
      <c r="FM26" s="471" t="str">
        <f t="shared" si="7"/>
        <v/>
      </c>
      <c r="FN26" s="730">
        <f t="shared" si="2"/>
        <v>0</v>
      </c>
    </row>
    <row r="27" spans="1:170" s="33" customFormat="1" x14ac:dyDescent="0.2">
      <c r="A27" s="34" t="s">
        <v>77</v>
      </c>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c r="DI27" s="35"/>
      <c r="DJ27" s="35"/>
      <c r="DK27" s="35"/>
      <c r="DL27" s="35"/>
      <c r="DM27" s="35"/>
      <c r="DN27" s="35"/>
      <c r="DO27" s="35"/>
      <c r="DP27" s="35"/>
      <c r="DQ27" s="35"/>
      <c r="DR27" s="35"/>
      <c r="DS27" s="35"/>
      <c r="DT27" s="35"/>
      <c r="DU27" s="35"/>
      <c r="DV27" s="35"/>
      <c r="DW27" s="35"/>
      <c r="DX27" s="35"/>
      <c r="DY27" s="35"/>
      <c r="DZ27" s="35"/>
      <c r="EA27" s="35"/>
      <c r="EB27" s="35"/>
      <c r="EC27" s="35"/>
      <c r="ED27" s="35"/>
      <c r="EE27" s="35"/>
      <c r="EF27" s="35"/>
      <c r="EG27" s="35"/>
      <c r="EH27" s="35"/>
      <c r="EI27" s="35"/>
      <c r="EJ27" s="35"/>
      <c r="EK27" s="35"/>
      <c r="EL27" s="35"/>
      <c r="EM27" s="35"/>
      <c r="EN27" s="35"/>
      <c r="EO27" s="35"/>
      <c r="EP27" s="35"/>
      <c r="EQ27" s="35"/>
      <c r="ER27" s="35"/>
      <c r="ES27" s="35"/>
      <c r="ET27" s="35"/>
      <c r="EU27" s="35"/>
      <c r="EV27" s="35"/>
      <c r="EW27" s="35"/>
      <c r="EX27" s="35"/>
      <c r="EY27" s="35"/>
      <c r="EZ27" s="35"/>
      <c r="FA27" s="35"/>
      <c r="FB27" s="35"/>
      <c r="FC27" s="458">
        <f t="shared" si="3"/>
        <v>0</v>
      </c>
      <c r="FD27">
        <f t="shared" si="0"/>
        <v>0</v>
      </c>
      <c r="FE27" t="e">
        <f t="shared" si="1"/>
        <v>#N/A</v>
      </c>
      <c r="FF27" s="460">
        <v>25</v>
      </c>
      <c r="FG27" s="461" t="s">
        <v>873</v>
      </c>
      <c r="FI27" s="731" t="e">
        <f t="shared" si="4"/>
        <v>#VALUE!</v>
      </c>
      <c r="FK27" s="471" t="str">
        <f t="shared" si="5"/>
        <v xml:space="preserve"> </v>
      </c>
      <c r="FL27" s="730">
        <f t="shared" si="6"/>
        <v>0</v>
      </c>
      <c r="FM27" s="471" t="str">
        <f t="shared" si="7"/>
        <v/>
      </c>
      <c r="FN27" s="730">
        <f t="shared" si="2"/>
        <v>0</v>
      </c>
    </row>
    <row r="28" spans="1:170" s="33" customFormat="1" x14ac:dyDescent="0.2">
      <c r="A28" s="34" t="s">
        <v>78</v>
      </c>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35"/>
      <c r="DI28" s="35"/>
      <c r="DJ28" s="35"/>
      <c r="DK28" s="35"/>
      <c r="DL28" s="35"/>
      <c r="DM28" s="35"/>
      <c r="DN28" s="35"/>
      <c r="DO28" s="35"/>
      <c r="DP28" s="35"/>
      <c r="DQ28" s="35"/>
      <c r="DR28" s="35"/>
      <c r="DS28" s="35"/>
      <c r="DT28" s="35"/>
      <c r="DU28" s="35"/>
      <c r="DV28" s="35"/>
      <c r="DW28" s="35"/>
      <c r="DX28" s="35"/>
      <c r="DY28" s="35"/>
      <c r="DZ28" s="35"/>
      <c r="EA28" s="35"/>
      <c r="EB28" s="35"/>
      <c r="EC28" s="35"/>
      <c r="ED28" s="35"/>
      <c r="EE28" s="35"/>
      <c r="EF28" s="35"/>
      <c r="EG28" s="35"/>
      <c r="EH28" s="35"/>
      <c r="EI28" s="35"/>
      <c r="EJ28" s="35"/>
      <c r="EK28" s="35"/>
      <c r="EL28" s="35"/>
      <c r="EM28" s="35"/>
      <c r="EN28" s="35"/>
      <c r="EO28" s="35"/>
      <c r="EP28" s="35"/>
      <c r="EQ28" s="35"/>
      <c r="ER28" s="35"/>
      <c r="ES28" s="35"/>
      <c r="ET28" s="35"/>
      <c r="EU28" s="35"/>
      <c r="EV28" s="35"/>
      <c r="EW28" s="35"/>
      <c r="EX28" s="35"/>
      <c r="EY28" s="35"/>
      <c r="EZ28" s="35"/>
      <c r="FA28" s="35"/>
      <c r="FB28" s="35"/>
      <c r="FC28" s="458">
        <f t="shared" si="3"/>
        <v>0</v>
      </c>
      <c r="FD28">
        <f t="shared" si="0"/>
        <v>0</v>
      </c>
      <c r="FE28" t="e">
        <f t="shared" si="1"/>
        <v>#N/A</v>
      </c>
      <c r="FF28" s="460">
        <v>26</v>
      </c>
      <c r="FG28" s="461" t="s">
        <v>874</v>
      </c>
      <c r="FI28" s="731" t="e">
        <f t="shared" si="4"/>
        <v>#VALUE!</v>
      </c>
      <c r="FK28" s="471" t="str">
        <f t="shared" si="5"/>
        <v xml:space="preserve"> </v>
      </c>
      <c r="FL28" s="730">
        <f t="shared" si="6"/>
        <v>0</v>
      </c>
      <c r="FM28" s="471" t="str">
        <f t="shared" si="7"/>
        <v/>
      </c>
      <c r="FN28" s="730">
        <f t="shared" si="2"/>
        <v>0</v>
      </c>
    </row>
    <row r="29" spans="1:170" s="33" customFormat="1" x14ac:dyDescent="0.2">
      <c r="A29" s="34" t="s">
        <v>79</v>
      </c>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35"/>
      <c r="DN29" s="35"/>
      <c r="DO29" s="35"/>
      <c r="DP29" s="35"/>
      <c r="DQ29" s="35"/>
      <c r="DR29" s="35"/>
      <c r="DS29" s="35"/>
      <c r="DT29" s="35"/>
      <c r="DU29" s="35"/>
      <c r="DV29" s="35"/>
      <c r="DW29" s="35"/>
      <c r="DX29" s="35"/>
      <c r="DY29" s="35"/>
      <c r="DZ29" s="35"/>
      <c r="EA29" s="35"/>
      <c r="EB29" s="35"/>
      <c r="EC29" s="35"/>
      <c r="ED29" s="35"/>
      <c r="EE29" s="35"/>
      <c r="EF29" s="35"/>
      <c r="EG29" s="35"/>
      <c r="EH29" s="35"/>
      <c r="EI29" s="35"/>
      <c r="EJ29" s="35"/>
      <c r="EK29" s="35"/>
      <c r="EL29" s="35"/>
      <c r="EM29" s="35"/>
      <c r="EN29" s="35"/>
      <c r="EO29" s="35"/>
      <c r="EP29" s="35"/>
      <c r="EQ29" s="35"/>
      <c r="ER29" s="35"/>
      <c r="ES29" s="35"/>
      <c r="ET29" s="35"/>
      <c r="EU29" s="35"/>
      <c r="EV29" s="35"/>
      <c r="EW29" s="35"/>
      <c r="EX29" s="35"/>
      <c r="EY29" s="35"/>
      <c r="EZ29" s="35"/>
      <c r="FA29" s="35"/>
      <c r="FB29" s="35"/>
      <c r="FC29" s="458">
        <f t="shared" si="3"/>
        <v>0</v>
      </c>
      <c r="FD29">
        <f t="shared" si="0"/>
        <v>0</v>
      </c>
      <c r="FE29" t="e">
        <f t="shared" si="1"/>
        <v>#N/A</v>
      </c>
      <c r="FF29" s="460">
        <v>27</v>
      </c>
      <c r="FG29" s="461" t="s">
        <v>875</v>
      </c>
      <c r="FI29" s="731" t="e">
        <f t="shared" si="4"/>
        <v>#VALUE!</v>
      </c>
      <c r="FK29" s="471" t="str">
        <f t="shared" si="5"/>
        <v xml:space="preserve"> </v>
      </c>
      <c r="FL29" s="730">
        <f t="shared" si="6"/>
        <v>0</v>
      </c>
      <c r="FM29" s="471" t="str">
        <f t="shared" si="7"/>
        <v/>
      </c>
      <c r="FN29" s="730">
        <f t="shared" si="2"/>
        <v>0</v>
      </c>
    </row>
    <row r="30" spans="1:170" s="33" customFormat="1" x14ac:dyDescent="0.2">
      <c r="A30" s="34" t="s">
        <v>80</v>
      </c>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35"/>
      <c r="DV30" s="35"/>
      <c r="DW30" s="35"/>
      <c r="DX30" s="35"/>
      <c r="DY30" s="35"/>
      <c r="DZ30" s="35"/>
      <c r="EA30" s="35"/>
      <c r="EB30" s="35"/>
      <c r="EC30" s="35"/>
      <c r="ED30" s="35"/>
      <c r="EE30" s="35"/>
      <c r="EF30" s="35"/>
      <c r="EG30" s="35"/>
      <c r="EH30" s="35"/>
      <c r="EI30" s="35"/>
      <c r="EJ30" s="35"/>
      <c r="EK30" s="35"/>
      <c r="EL30" s="35"/>
      <c r="EM30" s="35"/>
      <c r="EN30" s="35"/>
      <c r="EO30" s="35"/>
      <c r="EP30" s="35"/>
      <c r="EQ30" s="35"/>
      <c r="ER30" s="35"/>
      <c r="ES30" s="35"/>
      <c r="ET30" s="35"/>
      <c r="EU30" s="35"/>
      <c r="EV30" s="35"/>
      <c r="EW30" s="35"/>
      <c r="EX30" s="35"/>
      <c r="EY30" s="35"/>
      <c r="EZ30" s="35"/>
      <c r="FA30" s="35"/>
      <c r="FB30" s="35"/>
      <c r="FC30" s="458">
        <f t="shared" si="3"/>
        <v>0</v>
      </c>
      <c r="FD30">
        <f t="shared" si="0"/>
        <v>0</v>
      </c>
      <c r="FE30" t="e">
        <f t="shared" si="1"/>
        <v>#N/A</v>
      </c>
      <c r="FF30" s="460">
        <v>28</v>
      </c>
      <c r="FG30" s="461" t="s">
        <v>876</v>
      </c>
      <c r="FI30" s="731" t="e">
        <f t="shared" si="4"/>
        <v>#VALUE!</v>
      </c>
      <c r="FK30" s="471" t="str">
        <f t="shared" si="5"/>
        <v xml:space="preserve"> </v>
      </c>
      <c r="FL30" s="730">
        <f t="shared" si="6"/>
        <v>0</v>
      </c>
      <c r="FM30" s="471" t="str">
        <f t="shared" si="7"/>
        <v/>
      </c>
      <c r="FN30" s="730">
        <f t="shared" si="2"/>
        <v>0</v>
      </c>
    </row>
    <row r="31" spans="1:170" s="33" customFormat="1" x14ac:dyDescent="0.2">
      <c r="A31" s="34" t="s">
        <v>81</v>
      </c>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c r="DA31" s="35"/>
      <c r="DB31" s="35"/>
      <c r="DC31" s="35"/>
      <c r="DD31" s="35"/>
      <c r="DE31" s="35"/>
      <c r="DF31" s="35"/>
      <c r="DG31" s="35"/>
      <c r="DH31" s="35"/>
      <c r="DI31" s="35"/>
      <c r="DJ31" s="35"/>
      <c r="DK31" s="35"/>
      <c r="DL31" s="35"/>
      <c r="DM31" s="35"/>
      <c r="DN31" s="35"/>
      <c r="DO31" s="35"/>
      <c r="DP31" s="35"/>
      <c r="DQ31" s="35"/>
      <c r="DR31" s="35"/>
      <c r="DS31" s="35"/>
      <c r="DT31" s="35"/>
      <c r="DU31" s="35"/>
      <c r="DV31" s="35"/>
      <c r="DW31" s="35"/>
      <c r="DX31" s="35"/>
      <c r="DY31" s="35"/>
      <c r="DZ31" s="35"/>
      <c r="EA31" s="35"/>
      <c r="EB31" s="35"/>
      <c r="EC31" s="35"/>
      <c r="ED31" s="35"/>
      <c r="EE31" s="35"/>
      <c r="EF31" s="35"/>
      <c r="EG31" s="35"/>
      <c r="EH31" s="35"/>
      <c r="EI31" s="35"/>
      <c r="EJ31" s="35"/>
      <c r="EK31" s="35"/>
      <c r="EL31" s="35"/>
      <c r="EM31" s="35"/>
      <c r="EN31" s="35"/>
      <c r="EO31" s="35"/>
      <c r="EP31" s="35"/>
      <c r="EQ31" s="35"/>
      <c r="ER31" s="35"/>
      <c r="ES31" s="35"/>
      <c r="ET31" s="35"/>
      <c r="EU31" s="35"/>
      <c r="EV31" s="35"/>
      <c r="EW31" s="35"/>
      <c r="EX31" s="35"/>
      <c r="EY31" s="35"/>
      <c r="EZ31" s="35"/>
      <c r="FA31" s="35"/>
      <c r="FB31" s="35"/>
      <c r="FC31" s="458">
        <f t="shared" si="3"/>
        <v>0</v>
      </c>
      <c r="FD31">
        <f t="shared" si="0"/>
        <v>0</v>
      </c>
      <c r="FE31" t="e">
        <f t="shared" si="1"/>
        <v>#N/A</v>
      </c>
      <c r="FF31" s="460">
        <v>29</v>
      </c>
      <c r="FG31" s="461" t="s">
        <v>877</v>
      </c>
      <c r="FI31" s="731" t="e">
        <f t="shared" si="4"/>
        <v>#VALUE!</v>
      </c>
      <c r="FK31" s="471" t="str">
        <f t="shared" si="5"/>
        <v xml:space="preserve"> </v>
      </c>
      <c r="FL31" s="730">
        <f t="shared" si="6"/>
        <v>0</v>
      </c>
      <c r="FM31" s="471" t="str">
        <f t="shared" si="7"/>
        <v/>
      </c>
      <c r="FN31" s="730">
        <f t="shared" si="2"/>
        <v>0</v>
      </c>
    </row>
    <row r="32" spans="1:170" s="33" customFormat="1" x14ac:dyDescent="0.2">
      <c r="A32" s="34" t="s">
        <v>82</v>
      </c>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c r="DT32" s="35"/>
      <c r="DU32" s="35"/>
      <c r="DV32" s="35"/>
      <c r="DW32" s="35"/>
      <c r="DX32" s="35"/>
      <c r="DY32" s="35"/>
      <c r="DZ32" s="35"/>
      <c r="EA32" s="35"/>
      <c r="EB32" s="35"/>
      <c r="EC32" s="35"/>
      <c r="ED32" s="35"/>
      <c r="EE32" s="35"/>
      <c r="EF32" s="35"/>
      <c r="EG32" s="35"/>
      <c r="EH32" s="35"/>
      <c r="EI32" s="35"/>
      <c r="EJ32" s="35"/>
      <c r="EK32" s="35"/>
      <c r="EL32" s="35"/>
      <c r="EM32" s="35"/>
      <c r="EN32" s="35"/>
      <c r="EO32" s="35"/>
      <c r="EP32" s="35"/>
      <c r="EQ32" s="35"/>
      <c r="ER32" s="35"/>
      <c r="ES32" s="35"/>
      <c r="ET32" s="35"/>
      <c r="EU32" s="35"/>
      <c r="EV32" s="35"/>
      <c r="EW32" s="35"/>
      <c r="EX32" s="35"/>
      <c r="EY32" s="35"/>
      <c r="EZ32" s="35"/>
      <c r="FA32" s="35"/>
      <c r="FB32" s="35"/>
      <c r="FC32" s="458">
        <f t="shared" si="3"/>
        <v>0</v>
      </c>
      <c r="FD32">
        <f t="shared" si="0"/>
        <v>0</v>
      </c>
      <c r="FE32" t="e">
        <f t="shared" si="1"/>
        <v>#N/A</v>
      </c>
      <c r="FF32" s="460">
        <v>30</v>
      </c>
      <c r="FG32" s="461" t="s">
        <v>878</v>
      </c>
      <c r="FI32" s="731" t="e">
        <f t="shared" si="4"/>
        <v>#VALUE!</v>
      </c>
      <c r="FK32" s="471" t="str">
        <f t="shared" si="5"/>
        <v xml:space="preserve"> </v>
      </c>
      <c r="FL32" s="730">
        <f t="shared" si="6"/>
        <v>0</v>
      </c>
      <c r="FM32" s="471" t="str">
        <f t="shared" si="7"/>
        <v/>
      </c>
      <c r="FN32" s="730">
        <f t="shared" si="2"/>
        <v>0</v>
      </c>
    </row>
    <row r="33" spans="1:170" s="33" customFormat="1" x14ac:dyDescent="0.2">
      <c r="A33" s="34" t="s">
        <v>83</v>
      </c>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35"/>
      <c r="BW33" s="35"/>
      <c r="BX33" s="35"/>
      <c r="BY33" s="35"/>
      <c r="BZ33" s="35"/>
      <c r="CA33" s="35"/>
      <c r="CB33" s="35"/>
      <c r="CC33" s="35"/>
      <c r="CD33" s="35"/>
      <c r="CE33" s="35"/>
      <c r="CF33" s="35"/>
      <c r="CG33" s="35"/>
      <c r="CH33" s="35"/>
      <c r="CI33" s="35"/>
      <c r="CJ33" s="35"/>
      <c r="CK33" s="35"/>
      <c r="CL33" s="35"/>
      <c r="CM33" s="35"/>
      <c r="CN33" s="35"/>
      <c r="CO33" s="35"/>
      <c r="CP33" s="35"/>
      <c r="CQ33" s="35"/>
      <c r="CR33" s="35"/>
      <c r="CS33" s="35"/>
      <c r="CT33" s="35"/>
      <c r="CU33" s="35"/>
      <c r="CV33" s="35"/>
      <c r="CW33" s="35"/>
      <c r="CX33" s="35"/>
      <c r="CY33" s="35"/>
      <c r="CZ33" s="35"/>
      <c r="DA33" s="35"/>
      <c r="DB33" s="35"/>
      <c r="DC33" s="35"/>
      <c r="DD33" s="35"/>
      <c r="DE33" s="35"/>
      <c r="DF33" s="35"/>
      <c r="DG33" s="35"/>
      <c r="DH33" s="35"/>
      <c r="DI33" s="35"/>
      <c r="DJ33" s="35"/>
      <c r="DK33" s="35"/>
      <c r="DL33" s="35"/>
      <c r="DM33" s="35"/>
      <c r="DN33" s="35"/>
      <c r="DO33" s="35"/>
      <c r="DP33" s="35"/>
      <c r="DQ33" s="35"/>
      <c r="DR33" s="35"/>
      <c r="DS33" s="35"/>
      <c r="DT33" s="35"/>
      <c r="DU33" s="35"/>
      <c r="DV33" s="35"/>
      <c r="DW33" s="35"/>
      <c r="DX33" s="35"/>
      <c r="DY33" s="35"/>
      <c r="DZ33" s="35"/>
      <c r="EA33" s="35"/>
      <c r="EB33" s="35"/>
      <c r="EC33" s="35"/>
      <c r="ED33" s="35"/>
      <c r="EE33" s="35"/>
      <c r="EF33" s="35"/>
      <c r="EG33" s="35"/>
      <c r="EH33" s="35"/>
      <c r="EI33" s="35"/>
      <c r="EJ33" s="35"/>
      <c r="EK33" s="35"/>
      <c r="EL33" s="35"/>
      <c r="EM33" s="35"/>
      <c r="EN33" s="35"/>
      <c r="EO33" s="35"/>
      <c r="EP33" s="35"/>
      <c r="EQ33" s="35"/>
      <c r="ER33" s="35"/>
      <c r="ES33" s="35"/>
      <c r="ET33" s="35"/>
      <c r="EU33" s="35"/>
      <c r="EV33" s="35"/>
      <c r="EW33" s="35"/>
      <c r="EX33" s="35"/>
      <c r="EY33" s="35"/>
      <c r="EZ33" s="35"/>
      <c r="FA33" s="35"/>
      <c r="FB33" s="35"/>
      <c r="FC33" s="458">
        <f t="shared" si="3"/>
        <v>0</v>
      </c>
      <c r="FD33">
        <f t="shared" si="0"/>
        <v>0</v>
      </c>
      <c r="FE33" t="e">
        <f t="shared" si="1"/>
        <v>#N/A</v>
      </c>
      <c r="FF33" s="460">
        <v>31</v>
      </c>
      <c r="FG33" s="461" t="s">
        <v>879</v>
      </c>
      <c r="FI33" s="731" t="e">
        <f t="shared" si="4"/>
        <v>#VALUE!</v>
      </c>
      <c r="FK33" s="471" t="str">
        <f t="shared" si="5"/>
        <v xml:space="preserve"> </v>
      </c>
      <c r="FL33" s="730">
        <f t="shared" si="6"/>
        <v>0</v>
      </c>
      <c r="FM33" s="471" t="str">
        <f t="shared" si="7"/>
        <v/>
      </c>
      <c r="FN33" s="730">
        <f t="shared" si="2"/>
        <v>0</v>
      </c>
    </row>
    <row r="34" spans="1:170" s="33" customFormat="1" x14ac:dyDescent="0.2">
      <c r="A34" s="34" t="s">
        <v>84</v>
      </c>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35"/>
      <c r="BM34" s="35"/>
      <c r="BN34" s="35"/>
      <c r="BO34" s="35"/>
      <c r="BP34" s="35"/>
      <c r="BQ34" s="35"/>
      <c r="BR34" s="35"/>
      <c r="BS34" s="35"/>
      <c r="BT34" s="35"/>
      <c r="BU34" s="35"/>
      <c r="BV34" s="35"/>
      <c r="BW34" s="35"/>
      <c r="BX34" s="35"/>
      <c r="BY34" s="35"/>
      <c r="BZ34" s="35"/>
      <c r="CA34" s="35"/>
      <c r="CB34" s="35"/>
      <c r="CC34" s="35"/>
      <c r="CD34" s="35"/>
      <c r="CE34" s="35"/>
      <c r="CF34" s="35"/>
      <c r="CG34" s="35"/>
      <c r="CH34" s="35"/>
      <c r="CI34" s="35"/>
      <c r="CJ34" s="35"/>
      <c r="CK34" s="35"/>
      <c r="CL34" s="35"/>
      <c r="CM34" s="35"/>
      <c r="CN34" s="35"/>
      <c r="CO34" s="35"/>
      <c r="CP34" s="35"/>
      <c r="CQ34" s="35"/>
      <c r="CR34" s="35"/>
      <c r="CS34" s="35"/>
      <c r="CT34" s="35"/>
      <c r="CU34" s="35"/>
      <c r="CV34" s="35"/>
      <c r="CW34" s="35"/>
      <c r="CX34" s="35"/>
      <c r="CY34" s="35"/>
      <c r="CZ34" s="35"/>
      <c r="DA34" s="35"/>
      <c r="DB34" s="35"/>
      <c r="DC34" s="35"/>
      <c r="DD34" s="35"/>
      <c r="DE34" s="35"/>
      <c r="DF34" s="35"/>
      <c r="DG34" s="35"/>
      <c r="DH34" s="35"/>
      <c r="DI34" s="35"/>
      <c r="DJ34" s="35"/>
      <c r="DK34" s="35"/>
      <c r="DL34" s="35"/>
      <c r="DM34" s="35"/>
      <c r="DN34" s="35"/>
      <c r="DO34" s="35"/>
      <c r="DP34" s="35"/>
      <c r="DQ34" s="35"/>
      <c r="DR34" s="35"/>
      <c r="DS34" s="35"/>
      <c r="DT34" s="35"/>
      <c r="DU34" s="35"/>
      <c r="DV34" s="35"/>
      <c r="DW34" s="35"/>
      <c r="DX34" s="35"/>
      <c r="DY34" s="35"/>
      <c r="DZ34" s="35"/>
      <c r="EA34" s="35"/>
      <c r="EB34" s="35"/>
      <c r="EC34" s="35"/>
      <c r="ED34" s="35"/>
      <c r="EE34" s="35"/>
      <c r="EF34" s="35"/>
      <c r="EG34" s="35"/>
      <c r="EH34" s="35"/>
      <c r="EI34" s="35"/>
      <c r="EJ34" s="35"/>
      <c r="EK34" s="35"/>
      <c r="EL34" s="35"/>
      <c r="EM34" s="35"/>
      <c r="EN34" s="35"/>
      <c r="EO34" s="35"/>
      <c r="EP34" s="35"/>
      <c r="EQ34" s="35"/>
      <c r="ER34" s="35"/>
      <c r="ES34" s="35"/>
      <c r="ET34" s="35"/>
      <c r="EU34" s="35"/>
      <c r="EV34" s="35"/>
      <c r="EW34" s="35"/>
      <c r="EX34" s="35"/>
      <c r="EY34" s="35"/>
      <c r="EZ34" s="35"/>
      <c r="FA34" s="35"/>
      <c r="FB34" s="35"/>
      <c r="FC34" s="458">
        <f t="shared" si="3"/>
        <v>0</v>
      </c>
      <c r="FD34">
        <f t="shared" si="0"/>
        <v>0</v>
      </c>
      <c r="FE34" t="e">
        <f t="shared" si="1"/>
        <v>#N/A</v>
      </c>
      <c r="FF34" s="460">
        <v>32</v>
      </c>
      <c r="FG34" s="461" t="s">
        <v>880</v>
      </c>
      <c r="FI34" s="731" t="e">
        <f t="shared" si="4"/>
        <v>#VALUE!</v>
      </c>
      <c r="FK34" s="471" t="str">
        <f t="shared" si="5"/>
        <v xml:space="preserve"> </v>
      </c>
      <c r="FL34" s="730">
        <f t="shared" si="6"/>
        <v>0</v>
      </c>
      <c r="FM34" s="471" t="str">
        <f t="shared" si="7"/>
        <v/>
      </c>
      <c r="FN34" s="730">
        <f t="shared" si="2"/>
        <v>0</v>
      </c>
    </row>
    <row r="35" spans="1:170" s="33" customFormat="1" x14ac:dyDescent="0.2">
      <c r="A35" s="34" t="s">
        <v>85</v>
      </c>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35"/>
      <c r="BM35" s="35"/>
      <c r="BN35" s="35"/>
      <c r="BO35" s="35"/>
      <c r="BP35" s="35"/>
      <c r="BQ35" s="35"/>
      <c r="BR35" s="35"/>
      <c r="BS35" s="35"/>
      <c r="BT35" s="35"/>
      <c r="BU35" s="35"/>
      <c r="BV35" s="35"/>
      <c r="BW35" s="35"/>
      <c r="BX35" s="35"/>
      <c r="BY35" s="35"/>
      <c r="BZ35" s="35"/>
      <c r="CA35" s="35"/>
      <c r="CB35" s="35"/>
      <c r="CC35" s="35"/>
      <c r="CD35" s="35"/>
      <c r="CE35" s="35"/>
      <c r="CF35" s="35"/>
      <c r="CG35" s="35"/>
      <c r="CH35" s="35"/>
      <c r="CI35" s="35"/>
      <c r="CJ35" s="35"/>
      <c r="CK35" s="35"/>
      <c r="CL35" s="35"/>
      <c r="CM35" s="35"/>
      <c r="CN35" s="35"/>
      <c r="CO35" s="35"/>
      <c r="CP35" s="35"/>
      <c r="CQ35" s="35"/>
      <c r="CR35" s="35"/>
      <c r="CS35" s="35"/>
      <c r="CT35" s="35"/>
      <c r="CU35" s="35"/>
      <c r="CV35" s="35"/>
      <c r="CW35" s="35"/>
      <c r="CX35" s="35"/>
      <c r="CY35" s="35"/>
      <c r="CZ35" s="35"/>
      <c r="DA35" s="35"/>
      <c r="DB35" s="35"/>
      <c r="DC35" s="35"/>
      <c r="DD35" s="35"/>
      <c r="DE35" s="35"/>
      <c r="DF35" s="35"/>
      <c r="DG35" s="35"/>
      <c r="DH35" s="35"/>
      <c r="DI35" s="35"/>
      <c r="DJ35" s="35"/>
      <c r="DK35" s="35"/>
      <c r="DL35" s="35"/>
      <c r="DM35" s="35"/>
      <c r="DN35" s="35"/>
      <c r="DO35" s="35"/>
      <c r="DP35" s="35"/>
      <c r="DQ35" s="35"/>
      <c r="DR35" s="35"/>
      <c r="DS35" s="35"/>
      <c r="DT35" s="35"/>
      <c r="DU35" s="35"/>
      <c r="DV35" s="35"/>
      <c r="DW35" s="35"/>
      <c r="DX35" s="35"/>
      <c r="DY35" s="35"/>
      <c r="DZ35" s="35"/>
      <c r="EA35" s="35"/>
      <c r="EB35" s="35"/>
      <c r="EC35" s="35"/>
      <c r="ED35" s="35"/>
      <c r="EE35" s="35"/>
      <c r="EF35" s="35"/>
      <c r="EG35" s="35"/>
      <c r="EH35" s="35"/>
      <c r="EI35" s="35"/>
      <c r="EJ35" s="35"/>
      <c r="EK35" s="35"/>
      <c r="EL35" s="35"/>
      <c r="EM35" s="35"/>
      <c r="EN35" s="35"/>
      <c r="EO35" s="35"/>
      <c r="EP35" s="35"/>
      <c r="EQ35" s="35"/>
      <c r="ER35" s="35"/>
      <c r="ES35" s="35"/>
      <c r="ET35" s="35"/>
      <c r="EU35" s="35"/>
      <c r="EV35" s="35"/>
      <c r="EW35" s="35"/>
      <c r="EX35" s="35"/>
      <c r="EY35" s="35"/>
      <c r="EZ35" s="35"/>
      <c r="FA35" s="35"/>
      <c r="FB35" s="35"/>
      <c r="FC35" s="458">
        <f t="shared" si="3"/>
        <v>0</v>
      </c>
      <c r="FD35">
        <f t="shared" si="0"/>
        <v>0</v>
      </c>
      <c r="FE35" t="e">
        <f t="shared" si="1"/>
        <v>#N/A</v>
      </c>
      <c r="FI35" s="731" t="e">
        <f t="shared" si="4"/>
        <v>#VALUE!</v>
      </c>
      <c r="FK35" s="471" t="str">
        <f t="shared" si="5"/>
        <v xml:space="preserve"> </v>
      </c>
      <c r="FL35" s="730">
        <f t="shared" si="6"/>
        <v>0</v>
      </c>
      <c r="FM35" s="471" t="str">
        <f t="shared" si="7"/>
        <v/>
      </c>
      <c r="FN35" s="730">
        <f t="shared" si="2"/>
        <v>0</v>
      </c>
    </row>
    <row r="36" spans="1:170" s="33" customFormat="1" x14ac:dyDescent="0.2">
      <c r="A36" s="34" t="s">
        <v>86</v>
      </c>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c r="DM36" s="35"/>
      <c r="DN36" s="35"/>
      <c r="DO36" s="35"/>
      <c r="DP36" s="35"/>
      <c r="DQ36" s="35"/>
      <c r="DR36" s="35"/>
      <c r="DS36" s="35"/>
      <c r="DT36" s="35"/>
      <c r="DU36" s="35"/>
      <c r="DV36" s="35"/>
      <c r="DW36" s="35"/>
      <c r="DX36" s="35"/>
      <c r="DY36" s="35"/>
      <c r="DZ36" s="35"/>
      <c r="EA36" s="35"/>
      <c r="EB36" s="35"/>
      <c r="EC36" s="35"/>
      <c r="ED36" s="35"/>
      <c r="EE36" s="35"/>
      <c r="EF36" s="35"/>
      <c r="EG36" s="35"/>
      <c r="EH36" s="35"/>
      <c r="EI36" s="35"/>
      <c r="EJ36" s="35"/>
      <c r="EK36" s="35"/>
      <c r="EL36" s="35"/>
      <c r="EM36" s="35"/>
      <c r="EN36" s="35"/>
      <c r="EO36" s="35"/>
      <c r="EP36" s="35"/>
      <c r="EQ36" s="35"/>
      <c r="ER36" s="35"/>
      <c r="ES36" s="35"/>
      <c r="ET36" s="35"/>
      <c r="EU36" s="35"/>
      <c r="EV36" s="35"/>
      <c r="EW36" s="35"/>
      <c r="EX36" s="35"/>
      <c r="EY36" s="35"/>
      <c r="EZ36" s="35"/>
      <c r="FA36" s="35"/>
      <c r="FB36" s="35"/>
      <c r="FC36" s="458">
        <f t="shared" si="3"/>
        <v>0</v>
      </c>
      <c r="FD36">
        <f t="shared" si="0"/>
        <v>0</v>
      </c>
      <c r="FE36" t="e">
        <f t="shared" si="1"/>
        <v>#N/A</v>
      </c>
      <c r="FI36" s="731" t="e">
        <f t="shared" si="4"/>
        <v>#VALUE!</v>
      </c>
      <c r="FK36" s="471" t="str">
        <f t="shared" si="5"/>
        <v xml:space="preserve"> </v>
      </c>
      <c r="FL36" s="730">
        <f t="shared" si="6"/>
        <v>0</v>
      </c>
      <c r="FM36" s="471" t="str">
        <f t="shared" si="7"/>
        <v/>
      </c>
      <c r="FN36" s="730">
        <f t="shared" si="2"/>
        <v>0</v>
      </c>
    </row>
    <row r="37" spans="1:170" s="33" customFormat="1" x14ac:dyDescent="0.2">
      <c r="A37" s="34" t="s">
        <v>87</v>
      </c>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35"/>
      <c r="DI37" s="35"/>
      <c r="DJ37" s="35"/>
      <c r="DK37" s="35"/>
      <c r="DL37" s="35"/>
      <c r="DM37" s="35"/>
      <c r="DN37" s="35"/>
      <c r="DO37" s="35"/>
      <c r="DP37" s="35"/>
      <c r="DQ37" s="35"/>
      <c r="DR37" s="35"/>
      <c r="DS37" s="35"/>
      <c r="DT37" s="35"/>
      <c r="DU37" s="35"/>
      <c r="DV37" s="35"/>
      <c r="DW37" s="35"/>
      <c r="DX37" s="35"/>
      <c r="DY37" s="35"/>
      <c r="DZ37" s="35"/>
      <c r="EA37" s="35"/>
      <c r="EB37" s="35"/>
      <c r="EC37" s="35"/>
      <c r="ED37" s="35"/>
      <c r="EE37" s="35"/>
      <c r="EF37" s="35"/>
      <c r="EG37" s="35"/>
      <c r="EH37" s="35"/>
      <c r="EI37" s="35"/>
      <c r="EJ37" s="35"/>
      <c r="EK37" s="35"/>
      <c r="EL37" s="35"/>
      <c r="EM37" s="35"/>
      <c r="EN37" s="35"/>
      <c r="EO37" s="35"/>
      <c r="EP37" s="35"/>
      <c r="EQ37" s="35"/>
      <c r="ER37" s="35"/>
      <c r="ES37" s="35"/>
      <c r="ET37" s="35"/>
      <c r="EU37" s="35"/>
      <c r="EV37" s="35"/>
      <c r="EW37" s="35"/>
      <c r="EX37" s="35"/>
      <c r="EY37" s="35"/>
      <c r="EZ37" s="35"/>
      <c r="FA37" s="35"/>
      <c r="FB37" s="35"/>
      <c r="FC37" s="458">
        <f t="shared" si="3"/>
        <v>0</v>
      </c>
      <c r="FD37">
        <f t="shared" si="0"/>
        <v>0</v>
      </c>
      <c r="FE37" t="e">
        <f t="shared" si="1"/>
        <v>#N/A</v>
      </c>
      <c r="FI37" s="731" t="e">
        <f t="shared" si="4"/>
        <v>#VALUE!</v>
      </c>
      <c r="FK37" s="471" t="str">
        <f t="shared" si="5"/>
        <v xml:space="preserve"> </v>
      </c>
      <c r="FL37" s="730">
        <f t="shared" si="6"/>
        <v>0</v>
      </c>
      <c r="FM37" s="471" t="str">
        <f t="shared" si="7"/>
        <v/>
      </c>
      <c r="FN37" s="730">
        <f t="shared" si="2"/>
        <v>0</v>
      </c>
    </row>
    <row r="38" spans="1:170" s="33" customFormat="1" x14ac:dyDescent="0.2">
      <c r="A38" s="34" t="s">
        <v>88</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c r="DA38" s="35"/>
      <c r="DB38" s="35"/>
      <c r="DC38" s="35"/>
      <c r="DD38" s="35"/>
      <c r="DE38" s="35"/>
      <c r="DF38" s="35"/>
      <c r="DG38" s="35"/>
      <c r="DH38" s="35"/>
      <c r="DI38" s="35"/>
      <c r="DJ38" s="35"/>
      <c r="DK38" s="35"/>
      <c r="DL38" s="35"/>
      <c r="DM38" s="35"/>
      <c r="DN38" s="35"/>
      <c r="DO38" s="35"/>
      <c r="DP38" s="35"/>
      <c r="DQ38" s="35"/>
      <c r="DR38" s="35"/>
      <c r="DS38" s="35"/>
      <c r="DT38" s="35"/>
      <c r="DU38" s="35"/>
      <c r="DV38" s="35"/>
      <c r="DW38" s="35"/>
      <c r="DX38" s="35"/>
      <c r="DY38" s="35"/>
      <c r="DZ38" s="35"/>
      <c r="EA38" s="35"/>
      <c r="EB38" s="35"/>
      <c r="EC38" s="35"/>
      <c r="ED38" s="35"/>
      <c r="EE38" s="35"/>
      <c r="EF38" s="35"/>
      <c r="EG38" s="35"/>
      <c r="EH38" s="35"/>
      <c r="EI38" s="35"/>
      <c r="EJ38" s="35"/>
      <c r="EK38" s="35"/>
      <c r="EL38" s="35"/>
      <c r="EM38" s="35"/>
      <c r="EN38" s="35"/>
      <c r="EO38" s="35"/>
      <c r="EP38" s="35"/>
      <c r="EQ38" s="35"/>
      <c r="ER38" s="35"/>
      <c r="ES38" s="35"/>
      <c r="ET38" s="35"/>
      <c r="EU38" s="35"/>
      <c r="EV38" s="35"/>
      <c r="EW38" s="35"/>
      <c r="EX38" s="35"/>
      <c r="EY38" s="35"/>
      <c r="EZ38" s="35"/>
      <c r="FA38" s="35"/>
      <c r="FB38" s="35"/>
      <c r="FC38" s="458">
        <f t="shared" si="3"/>
        <v>0</v>
      </c>
      <c r="FD38">
        <f t="shared" si="0"/>
        <v>0</v>
      </c>
      <c r="FE38" t="e">
        <f t="shared" si="1"/>
        <v>#N/A</v>
      </c>
      <c r="FI38" s="731" t="e">
        <f t="shared" si="4"/>
        <v>#VALUE!</v>
      </c>
      <c r="FK38" s="471" t="str">
        <f t="shared" si="5"/>
        <v xml:space="preserve"> </v>
      </c>
      <c r="FL38" s="730">
        <f t="shared" si="6"/>
        <v>0</v>
      </c>
      <c r="FM38" s="471" t="str">
        <f t="shared" si="7"/>
        <v/>
      </c>
      <c r="FN38" s="730">
        <f t="shared" si="2"/>
        <v>0</v>
      </c>
    </row>
    <row r="39" spans="1:170" s="33" customFormat="1" x14ac:dyDescent="0.2">
      <c r="A39" s="34" t="s">
        <v>89</v>
      </c>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c r="DR39" s="35"/>
      <c r="DS39" s="35"/>
      <c r="DT39" s="35"/>
      <c r="DU39" s="35"/>
      <c r="DV39" s="35"/>
      <c r="DW39" s="35"/>
      <c r="DX39" s="35"/>
      <c r="DY39" s="35"/>
      <c r="DZ39" s="35"/>
      <c r="EA39" s="35"/>
      <c r="EB39" s="35"/>
      <c r="EC39" s="35"/>
      <c r="ED39" s="35"/>
      <c r="EE39" s="35"/>
      <c r="EF39" s="35"/>
      <c r="EG39" s="35"/>
      <c r="EH39" s="35"/>
      <c r="EI39" s="35"/>
      <c r="EJ39" s="35"/>
      <c r="EK39" s="35"/>
      <c r="EL39" s="35"/>
      <c r="EM39" s="35"/>
      <c r="EN39" s="35"/>
      <c r="EO39" s="35"/>
      <c r="EP39" s="35"/>
      <c r="EQ39" s="35"/>
      <c r="ER39" s="35"/>
      <c r="ES39" s="35"/>
      <c r="ET39" s="35"/>
      <c r="EU39" s="35"/>
      <c r="EV39" s="35"/>
      <c r="EW39" s="35"/>
      <c r="EX39" s="35"/>
      <c r="EY39" s="35"/>
      <c r="EZ39" s="35"/>
      <c r="FA39" s="35"/>
      <c r="FB39" s="35"/>
      <c r="FC39" s="458">
        <f t="shared" si="3"/>
        <v>0</v>
      </c>
      <c r="FD39">
        <f t="shared" si="0"/>
        <v>0</v>
      </c>
      <c r="FE39" t="e">
        <f t="shared" si="1"/>
        <v>#N/A</v>
      </c>
      <c r="FI39" s="731" t="e">
        <f t="shared" si="4"/>
        <v>#VALUE!</v>
      </c>
      <c r="FK39" s="471" t="str">
        <f t="shared" si="5"/>
        <v xml:space="preserve"> </v>
      </c>
      <c r="FL39" s="730">
        <f t="shared" si="6"/>
        <v>0</v>
      </c>
      <c r="FM39" s="471" t="str">
        <f t="shared" si="7"/>
        <v/>
      </c>
      <c r="FN39" s="730">
        <f t="shared" si="2"/>
        <v>0</v>
      </c>
    </row>
    <row r="40" spans="1:170" s="33" customFormat="1" x14ac:dyDescent="0.2">
      <c r="A40" s="34" t="s">
        <v>90</v>
      </c>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5"/>
      <c r="DR40" s="35"/>
      <c r="DS40" s="35"/>
      <c r="DT40" s="35"/>
      <c r="DU40" s="35"/>
      <c r="DV40" s="35"/>
      <c r="DW40" s="35"/>
      <c r="DX40" s="35"/>
      <c r="DY40" s="35"/>
      <c r="DZ40" s="35"/>
      <c r="EA40" s="35"/>
      <c r="EB40" s="35"/>
      <c r="EC40" s="35"/>
      <c r="ED40" s="35"/>
      <c r="EE40" s="35"/>
      <c r="EF40" s="35"/>
      <c r="EG40" s="35"/>
      <c r="EH40" s="35"/>
      <c r="EI40" s="35"/>
      <c r="EJ40" s="35"/>
      <c r="EK40" s="35"/>
      <c r="EL40" s="35"/>
      <c r="EM40" s="35"/>
      <c r="EN40" s="35"/>
      <c r="EO40" s="35"/>
      <c r="EP40" s="35"/>
      <c r="EQ40" s="35"/>
      <c r="ER40" s="35"/>
      <c r="ES40" s="35"/>
      <c r="ET40" s="35"/>
      <c r="EU40" s="35"/>
      <c r="EV40" s="35"/>
      <c r="EW40" s="35"/>
      <c r="EX40" s="35"/>
      <c r="EY40" s="35"/>
      <c r="EZ40" s="35"/>
      <c r="FA40" s="35"/>
      <c r="FB40" s="35"/>
      <c r="FC40" s="458">
        <f t="shared" si="3"/>
        <v>0</v>
      </c>
      <c r="FD40">
        <f t="shared" si="0"/>
        <v>0</v>
      </c>
      <c r="FE40" t="e">
        <f t="shared" si="1"/>
        <v>#N/A</v>
      </c>
      <c r="FI40" s="731" t="e">
        <f t="shared" si="4"/>
        <v>#VALUE!</v>
      </c>
      <c r="FK40" s="471" t="str">
        <f t="shared" si="5"/>
        <v xml:space="preserve"> </v>
      </c>
      <c r="FL40" s="730">
        <f t="shared" si="6"/>
        <v>0</v>
      </c>
      <c r="FM40" s="471" t="str">
        <f t="shared" si="7"/>
        <v/>
      </c>
      <c r="FN40" s="730">
        <f t="shared" si="2"/>
        <v>0</v>
      </c>
    </row>
    <row r="41" spans="1:170" s="33" customFormat="1" x14ac:dyDescent="0.2">
      <c r="A41" s="34" t="s">
        <v>91</v>
      </c>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35"/>
      <c r="DS41" s="35"/>
      <c r="DT41" s="35"/>
      <c r="DU41" s="35"/>
      <c r="DV41" s="35"/>
      <c r="DW41" s="35"/>
      <c r="DX41" s="35"/>
      <c r="DY41" s="35"/>
      <c r="DZ41" s="35"/>
      <c r="EA41" s="35"/>
      <c r="EB41" s="35"/>
      <c r="EC41" s="35"/>
      <c r="ED41" s="35"/>
      <c r="EE41" s="35"/>
      <c r="EF41" s="35"/>
      <c r="EG41" s="35"/>
      <c r="EH41" s="35"/>
      <c r="EI41" s="35"/>
      <c r="EJ41" s="35"/>
      <c r="EK41" s="35"/>
      <c r="EL41" s="35"/>
      <c r="EM41" s="35"/>
      <c r="EN41" s="35"/>
      <c r="EO41" s="35"/>
      <c r="EP41" s="35"/>
      <c r="EQ41" s="35"/>
      <c r="ER41" s="35"/>
      <c r="ES41" s="35"/>
      <c r="ET41" s="35"/>
      <c r="EU41" s="35"/>
      <c r="EV41" s="35"/>
      <c r="EW41" s="35"/>
      <c r="EX41" s="35"/>
      <c r="EY41" s="35"/>
      <c r="EZ41" s="35"/>
      <c r="FA41" s="35"/>
      <c r="FB41" s="35"/>
      <c r="FC41" s="458">
        <f t="shared" si="3"/>
        <v>0</v>
      </c>
      <c r="FD41">
        <f t="shared" si="0"/>
        <v>0</v>
      </c>
      <c r="FE41" t="e">
        <f t="shared" si="1"/>
        <v>#N/A</v>
      </c>
      <c r="FI41" s="731" t="e">
        <f t="shared" si="4"/>
        <v>#VALUE!</v>
      </c>
      <c r="FK41" s="471" t="str">
        <f t="shared" si="5"/>
        <v xml:space="preserve"> </v>
      </c>
      <c r="FL41" s="730">
        <f t="shared" si="6"/>
        <v>0</v>
      </c>
      <c r="FM41" s="471" t="str">
        <f t="shared" si="7"/>
        <v/>
      </c>
      <c r="FN41" s="730">
        <f t="shared" si="2"/>
        <v>0</v>
      </c>
    </row>
    <row r="42" spans="1:170" s="33" customFormat="1" x14ac:dyDescent="0.2">
      <c r="A42" s="34" t="s">
        <v>92</v>
      </c>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c r="DR42" s="35"/>
      <c r="DS42" s="35"/>
      <c r="DT42" s="35"/>
      <c r="DU42" s="35"/>
      <c r="DV42" s="35"/>
      <c r="DW42" s="35"/>
      <c r="DX42" s="35"/>
      <c r="DY42" s="35"/>
      <c r="DZ42" s="35"/>
      <c r="EA42" s="35"/>
      <c r="EB42" s="35"/>
      <c r="EC42" s="35"/>
      <c r="ED42" s="35"/>
      <c r="EE42" s="35"/>
      <c r="EF42" s="35"/>
      <c r="EG42" s="35"/>
      <c r="EH42" s="35"/>
      <c r="EI42" s="35"/>
      <c r="EJ42" s="35"/>
      <c r="EK42" s="35"/>
      <c r="EL42" s="35"/>
      <c r="EM42" s="35"/>
      <c r="EN42" s="35"/>
      <c r="EO42" s="35"/>
      <c r="EP42" s="35"/>
      <c r="EQ42" s="35"/>
      <c r="ER42" s="35"/>
      <c r="ES42" s="35"/>
      <c r="ET42" s="35"/>
      <c r="EU42" s="35"/>
      <c r="EV42" s="35"/>
      <c r="EW42" s="35"/>
      <c r="EX42" s="35"/>
      <c r="EY42" s="35"/>
      <c r="EZ42" s="35"/>
      <c r="FA42" s="35"/>
      <c r="FB42" s="35"/>
      <c r="FC42" s="458">
        <f t="shared" si="3"/>
        <v>0</v>
      </c>
      <c r="FD42">
        <f t="shared" si="0"/>
        <v>0</v>
      </c>
      <c r="FE42" t="e">
        <f t="shared" si="1"/>
        <v>#N/A</v>
      </c>
      <c r="FI42" s="731" t="e">
        <f t="shared" si="4"/>
        <v>#VALUE!</v>
      </c>
      <c r="FK42" s="471" t="str">
        <f t="shared" si="5"/>
        <v xml:space="preserve"> </v>
      </c>
      <c r="FL42" s="730">
        <f t="shared" si="6"/>
        <v>0</v>
      </c>
      <c r="FM42" s="471" t="str">
        <f t="shared" si="7"/>
        <v/>
      </c>
      <c r="FN42" s="730">
        <f t="shared" si="2"/>
        <v>0</v>
      </c>
    </row>
    <row r="43" spans="1:170" s="33" customFormat="1" x14ac:dyDescent="0.2">
      <c r="A43" s="34" t="s">
        <v>93</v>
      </c>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35"/>
      <c r="DS43" s="35"/>
      <c r="DT43" s="35"/>
      <c r="DU43" s="35"/>
      <c r="DV43" s="35"/>
      <c r="DW43" s="35"/>
      <c r="DX43" s="35"/>
      <c r="DY43" s="35"/>
      <c r="DZ43" s="35"/>
      <c r="EA43" s="35"/>
      <c r="EB43" s="35"/>
      <c r="EC43" s="35"/>
      <c r="ED43" s="35"/>
      <c r="EE43" s="35"/>
      <c r="EF43" s="35"/>
      <c r="EG43" s="35"/>
      <c r="EH43" s="35"/>
      <c r="EI43" s="35"/>
      <c r="EJ43" s="35"/>
      <c r="EK43" s="35"/>
      <c r="EL43" s="35"/>
      <c r="EM43" s="35"/>
      <c r="EN43" s="35"/>
      <c r="EO43" s="35"/>
      <c r="EP43" s="35"/>
      <c r="EQ43" s="35"/>
      <c r="ER43" s="35"/>
      <c r="ES43" s="35"/>
      <c r="ET43" s="35"/>
      <c r="EU43" s="35"/>
      <c r="EV43" s="35"/>
      <c r="EW43" s="35"/>
      <c r="EX43" s="35"/>
      <c r="EY43" s="35"/>
      <c r="EZ43" s="35"/>
      <c r="FA43" s="35"/>
      <c r="FB43" s="35"/>
      <c r="FC43" s="458">
        <f t="shared" si="3"/>
        <v>0</v>
      </c>
      <c r="FD43">
        <f t="shared" si="0"/>
        <v>0</v>
      </c>
      <c r="FE43" t="e">
        <f t="shared" si="1"/>
        <v>#N/A</v>
      </c>
      <c r="FI43" s="731" t="e">
        <f t="shared" si="4"/>
        <v>#VALUE!</v>
      </c>
      <c r="FK43" s="471" t="str">
        <f t="shared" si="5"/>
        <v xml:space="preserve"> </v>
      </c>
      <c r="FL43" s="730">
        <f t="shared" si="6"/>
        <v>0</v>
      </c>
      <c r="FM43" s="471" t="str">
        <f t="shared" si="7"/>
        <v/>
      </c>
      <c r="FN43" s="730">
        <f t="shared" si="2"/>
        <v>0</v>
      </c>
    </row>
    <row r="44" spans="1:170" s="33" customFormat="1" x14ac:dyDescent="0.2">
      <c r="A44" s="34" t="s">
        <v>94</v>
      </c>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c r="DR44" s="35"/>
      <c r="DS44" s="35"/>
      <c r="DT44" s="35"/>
      <c r="DU44" s="35"/>
      <c r="DV44" s="35"/>
      <c r="DW44" s="35"/>
      <c r="DX44" s="35"/>
      <c r="DY44" s="35"/>
      <c r="DZ44" s="35"/>
      <c r="EA44" s="35"/>
      <c r="EB44" s="35"/>
      <c r="EC44" s="35"/>
      <c r="ED44" s="35"/>
      <c r="EE44" s="35"/>
      <c r="EF44" s="35"/>
      <c r="EG44" s="35"/>
      <c r="EH44" s="35"/>
      <c r="EI44" s="35"/>
      <c r="EJ44" s="35"/>
      <c r="EK44" s="35"/>
      <c r="EL44" s="35"/>
      <c r="EM44" s="35"/>
      <c r="EN44" s="35"/>
      <c r="EO44" s="35"/>
      <c r="EP44" s="35"/>
      <c r="EQ44" s="35"/>
      <c r="ER44" s="35"/>
      <c r="ES44" s="35"/>
      <c r="ET44" s="35"/>
      <c r="EU44" s="35"/>
      <c r="EV44" s="35"/>
      <c r="EW44" s="35"/>
      <c r="EX44" s="35"/>
      <c r="EY44" s="35"/>
      <c r="EZ44" s="35"/>
      <c r="FA44" s="35"/>
      <c r="FB44" s="35"/>
      <c r="FC44" s="458">
        <f t="shared" si="3"/>
        <v>0</v>
      </c>
      <c r="FD44">
        <f t="shared" si="0"/>
        <v>0</v>
      </c>
      <c r="FE44" t="e">
        <f t="shared" si="1"/>
        <v>#N/A</v>
      </c>
      <c r="FI44" s="731" t="e">
        <f t="shared" si="4"/>
        <v>#VALUE!</v>
      </c>
      <c r="FK44" s="471" t="str">
        <f t="shared" si="5"/>
        <v xml:space="preserve"> </v>
      </c>
      <c r="FL44" s="730">
        <f t="shared" si="6"/>
        <v>0</v>
      </c>
      <c r="FM44" s="471" t="str">
        <f t="shared" si="7"/>
        <v/>
      </c>
      <c r="FN44" s="730">
        <f t="shared" si="2"/>
        <v>0</v>
      </c>
    </row>
    <row r="45" spans="1:170" s="33" customFormat="1" x14ac:dyDescent="0.2">
      <c r="A45" s="34" t="s">
        <v>95</v>
      </c>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BW45" s="35"/>
      <c r="BX45" s="35"/>
      <c r="BY45" s="35"/>
      <c r="BZ45" s="35"/>
      <c r="CA45" s="35"/>
      <c r="CB45" s="35"/>
      <c r="CC45" s="35"/>
      <c r="CD45" s="35"/>
      <c r="CE45" s="35"/>
      <c r="CF45" s="35"/>
      <c r="CG45" s="35"/>
      <c r="CH45" s="35"/>
      <c r="CI45" s="35"/>
      <c r="CJ45" s="35"/>
      <c r="CK45" s="35"/>
      <c r="CL45" s="35"/>
      <c r="CM45" s="35"/>
      <c r="CN45" s="35"/>
      <c r="CO45" s="35"/>
      <c r="CP45" s="35"/>
      <c r="CQ45" s="35"/>
      <c r="CR45" s="35"/>
      <c r="CS45" s="35"/>
      <c r="CT45" s="35"/>
      <c r="CU45" s="35"/>
      <c r="CV45" s="35"/>
      <c r="CW45" s="35"/>
      <c r="CX45" s="35"/>
      <c r="CY45" s="35"/>
      <c r="CZ45" s="35"/>
      <c r="DA45" s="35"/>
      <c r="DB45" s="35"/>
      <c r="DC45" s="35"/>
      <c r="DD45" s="35"/>
      <c r="DE45" s="35"/>
      <c r="DF45" s="35"/>
      <c r="DG45" s="35"/>
      <c r="DH45" s="35"/>
      <c r="DI45" s="35"/>
      <c r="DJ45" s="35"/>
      <c r="DK45" s="35"/>
      <c r="DL45" s="35"/>
      <c r="DM45" s="35"/>
      <c r="DN45" s="35"/>
      <c r="DO45" s="35"/>
      <c r="DP45" s="35"/>
      <c r="DQ45" s="35"/>
      <c r="DR45" s="35"/>
      <c r="DS45" s="35"/>
      <c r="DT45" s="35"/>
      <c r="DU45" s="35"/>
      <c r="DV45" s="35"/>
      <c r="DW45" s="35"/>
      <c r="DX45" s="35"/>
      <c r="DY45" s="35"/>
      <c r="DZ45" s="35"/>
      <c r="EA45" s="35"/>
      <c r="EB45" s="35"/>
      <c r="EC45" s="35"/>
      <c r="ED45" s="35"/>
      <c r="EE45" s="35"/>
      <c r="EF45" s="35"/>
      <c r="EG45" s="35"/>
      <c r="EH45" s="35"/>
      <c r="EI45" s="35"/>
      <c r="EJ45" s="35"/>
      <c r="EK45" s="35"/>
      <c r="EL45" s="35"/>
      <c r="EM45" s="35"/>
      <c r="EN45" s="35"/>
      <c r="EO45" s="35"/>
      <c r="EP45" s="35"/>
      <c r="EQ45" s="35"/>
      <c r="ER45" s="35"/>
      <c r="ES45" s="35"/>
      <c r="ET45" s="35"/>
      <c r="EU45" s="35"/>
      <c r="EV45" s="35"/>
      <c r="EW45" s="35"/>
      <c r="EX45" s="35"/>
      <c r="EY45" s="35"/>
      <c r="EZ45" s="35"/>
      <c r="FA45" s="35"/>
      <c r="FB45" s="35"/>
      <c r="FC45" s="458">
        <f t="shared" si="3"/>
        <v>0</v>
      </c>
      <c r="FD45">
        <f t="shared" si="0"/>
        <v>0</v>
      </c>
      <c r="FE45" t="e">
        <f t="shared" si="1"/>
        <v>#N/A</v>
      </c>
      <c r="FI45" s="731" t="e">
        <f t="shared" si="4"/>
        <v>#VALUE!</v>
      </c>
      <c r="FK45" s="471" t="str">
        <f t="shared" si="5"/>
        <v xml:space="preserve"> </v>
      </c>
      <c r="FL45" s="730">
        <f t="shared" si="6"/>
        <v>0</v>
      </c>
      <c r="FM45" s="471" t="str">
        <f t="shared" si="7"/>
        <v/>
      </c>
      <c r="FN45" s="730">
        <f t="shared" si="2"/>
        <v>0</v>
      </c>
    </row>
    <row r="46" spans="1:170" s="33" customFormat="1" x14ac:dyDescent="0.2">
      <c r="A46" s="34" t="s">
        <v>96</v>
      </c>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c r="BO46" s="35"/>
      <c r="BP46" s="35"/>
      <c r="BQ46" s="35"/>
      <c r="BR46" s="35"/>
      <c r="BS46" s="35"/>
      <c r="BT46" s="35"/>
      <c r="BU46" s="35"/>
      <c r="BV46" s="35"/>
      <c r="BW46" s="35"/>
      <c r="BX46" s="35"/>
      <c r="BY46" s="35"/>
      <c r="BZ46" s="35"/>
      <c r="CA46" s="35"/>
      <c r="CB46" s="35"/>
      <c r="CC46" s="35"/>
      <c r="CD46" s="35"/>
      <c r="CE46" s="35"/>
      <c r="CF46" s="35"/>
      <c r="CG46" s="35"/>
      <c r="CH46" s="35"/>
      <c r="CI46" s="35"/>
      <c r="CJ46" s="35"/>
      <c r="CK46" s="35"/>
      <c r="CL46" s="35"/>
      <c r="CM46" s="35"/>
      <c r="CN46" s="35"/>
      <c r="CO46" s="35"/>
      <c r="CP46" s="35"/>
      <c r="CQ46" s="35"/>
      <c r="CR46" s="35"/>
      <c r="CS46" s="35"/>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c r="DR46" s="35"/>
      <c r="DS46" s="35"/>
      <c r="DT46" s="35"/>
      <c r="DU46" s="35"/>
      <c r="DV46" s="35"/>
      <c r="DW46" s="35"/>
      <c r="DX46" s="35"/>
      <c r="DY46" s="35"/>
      <c r="DZ46" s="35"/>
      <c r="EA46" s="35"/>
      <c r="EB46" s="35"/>
      <c r="EC46" s="35"/>
      <c r="ED46" s="35"/>
      <c r="EE46" s="35"/>
      <c r="EF46" s="35"/>
      <c r="EG46" s="35"/>
      <c r="EH46" s="35"/>
      <c r="EI46" s="35"/>
      <c r="EJ46" s="35"/>
      <c r="EK46" s="35"/>
      <c r="EL46" s="35"/>
      <c r="EM46" s="35"/>
      <c r="EN46" s="35"/>
      <c r="EO46" s="35"/>
      <c r="EP46" s="35"/>
      <c r="EQ46" s="35"/>
      <c r="ER46" s="35"/>
      <c r="ES46" s="35"/>
      <c r="ET46" s="35"/>
      <c r="EU46" s="35"/>
      <c r="EV46" s="35"/>
      <c r="EW46" s="35"/>
      <c r="EX46" s="35"/>
      <c r="EY46" s="35"/>
      <c r="EZ46" s="35"/>
      <c r="FA46" s="35"/>
      <c r="FB46" s="35"/>
      <c r="FC46" s="458">
        <f t="shared" si="3"/>
        <v>0</v>
      </c>
      <c r="FD46">
        <f t="shared" si="0"/>
        <v>0</v>
      </c>
      <c r="FE46" t="e">
        <f t="shared" si="1"/>
        <v>#N/A</v>
      </c>
      <c r="FI46" s="731" t="e">
        <f t="shared" si="4"/>
        <v>#VALUE!</v>
      </c>
      <c r="FK46" s="471" t="str">
        <f t="shared" si="5"/>
        <v xml:space="preserve"> </v>
      </c>
      <c r="FL46" s="730">
        <f t="shared" si="6"/>
        <v>0</v>
      </c>
      <c r="FM46" s="471" t="str">
        <f t="shared" si="7"/>
        <v/>
      </c>
      <c r="FN46" s="730">
        <f t="shared" si="2"/>
        <v>0</v>
      </c>
    </row>
    <row r="47" spans="1:170" s="33" customFormat="1" x14ac:dyDescent="0.2">
      <c r="A47" s="34" t="s">
        <v>97</v>
      </c>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c r="DR47" s="35"/>
      <c r="DS47" s="35"/>
      <c r="DT47" s="35"/>
      <c r="DU47" s="35"/>
      <c r="DV47" s="35"/>
      <c r="DW47" s="35"/>
      <c r="DX47" s="35"/>
      <c r="DY47" s="35"/>
      <c r="DZ47" s="35"/>
      <c r="EA47" s="35"/>
      <c r="EB47" s="35"/>
      <c r="EC47" s="35"/>
      <c r="ED47" s="35"/>
      <c r="EE47" s="35"/>
      <c r="EF47" s="35"/>
      <c r="EG47" s="35"/>
      <c r="EH47" s="35"/>
      <c r="EI47" s="35"/>
      <c r="EJ47" s="35"/>
      <c r="EK47" s="35"/>
      <c r="EL47" s="35"/>
      <c r="EM47" s="35"/>
      <c r="EN47" s="35"/>
      <c r="EO47" s="35"/>
      <c r="EP47" s="35"/>
      <c r="EQ47" s="35"/>
      <c r="ER47" s="35"/>
      <c r="ES47" s="35"/>
      <c r="ET47" s="35"/>
      <c r="EU47" s="35"/>
      <c r="EV47" s="35"/>
      <c r="EW47" s="35"/>
      <c r="EX47" s="35"/>
      <c r="EY47" s="35"/>
      <c r="EZ47" s="35"/>
      <c r="FA47" s="35"/>
      <c r="FB47" s="35"/>
      <c r="FC47" s="458">
        <f t="shared" si="3"/>
        <v>0</v>
      </c>
      <c r="FD47">
        <f t="shared" si="0"/>
        <v>0</v>
      </c>
      <c r="FE47" t="e">
        <f t="shared" si="1"/>
        <v>#N/A</v>
      </c>
      <c r="FI47" s="731" t="e">
        <f t="shared" si="4"/>
        <v>#VALUE!</v>
      </c>
      <c r="FK47" s="471" t="str">
        <f t="shared" si="5"/>
        <v xml:space="preserve"> </v>
      </c>
      <c r="FL47" s="730">
        <f t="shared" si="6"/>
        <v>0</v>
      </c>
      <c r="FM47" s="471" t="str">
        <f t="shared" si="7"/>
        <v/>
      </c>
      <c r="FN47" s="730">
        <f t="shared" si="2"/>
        <v>0</v>
      </c>
    </row>
    <row r="48" spans="1:170" s="33" customFormat="1" x14ac:dyDescent="0.2">
      <c r="A48" s="34" t="s">
        <v>98</v>
      </c>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35"/>
      <c r="DS48" s="35"/>
      <c r="DT48" s="35"/>
      <c r="DU48" s="35"/>
      <c r="DV48" s="35"/>
      <c r="DW48" s="35"/>
      <c r="DX48" s="35"/>
      <c r="DY48" s="35"/>
      <c r="DZ48" s="35"/>
      <c r="EA48" s="35"/>
      <c r="EB48" s="35"/>
      <c r="EC48" s="35"/>
      <c r="ED48" s="35"/>
      <c r="EE48" s="35"/>
      <c r="EF48" s="35"/>
      <c r="EG48" s="35"/>
      <c r="EH48" s="35"/>
      <c r="EI48" s="35"/>
      <c r="EJ48" s="35"/>
      <c r="EK48" s="35"/>
      <c r="EL48" s="35"/>
      <c r="EM48" s="35"/>
      <c r="EN48" s="35"/>
      <c r="EO48" s="35"/>
      <c r="EP48" s="35"/>
      <c r="EQ48" s="35"/>
      <c r="ER48" s="35"/>
      <c r="ES48" s="35"/>
      <c r="ET48" s="35"/>
      <c r="EU48" s="35"/>
      <c r="EV48" s="35"/>
      <c r="EW48" s="35"/>
      <c r="EX48" s="35"/>
      <c r="EY48" s="35"/>
      <c r="EZ48" s="35"/>
      <c r="FA48" s="35"/>
      <c r="FB48" s="35"/>
      <c r="FC48" s="458">
        <f t="shared" si="3"/>
        <v>0</v>
      </c>
      <c r="FD48">
        <f t="shared" si="0"/>
        <v>0</v>
      </c>
      <c r="FE48" t="e">
        <f t="shared" si="1"/>
        <v>#N/A</v>
      </c>
      <c r="FI48" s="731" t="e">
        <f t="shared" si="4"/>
        <v>#VALUE!</v>
      </c>
      <c r="FK48" s="471" t="str">
        <f t="shared" si="5"/>
        <v xml:space="preserve"> </v>
      </c>
      <c r="FL48" s="730">
        <f t="shared" si="6"/>
        <v>0</v>
      </c>
      <c r="FM48" s="471" t="str">
        <f t="shared" si="7"/>
        <v/>
      </c>
      <c r="FN48" s="730">
        <f t="shared" si="2"/>
        <v>0</v>
      </c>
    </row>
    <row r="49" spans="1:170" s="33" customFormat="1" x14ac:dyDescent="0.2">
      <c r="A49" s="34" t="s">
        <v>99</v>
      </c>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35"/>
      <c r="DS49" s="35"/>
      <c r="DT49" s="35"/>
      <c r="DU49" s="35"/>
      <c r="DV49" s="35"/>
      <c r="DW49" s="35"/>
      <c r="DX49" s="35"/>
      <c r="DY49" s="35"/>
      <c r="DZ49" s="35"/>
      <c r="EA49" s="35"/>
      <c r="EB49" s="35"/>
      <c r="EC49" s="35"/>
      <c r="ED49" s="35"/>
      <c r="EE49" s="35"/>
      <c r="EF49" s="35"/>
      <c r="EG49" s="35"/>
      <c r="EH49" s="35"/>
      <c r="EI49" s="35"/>
      <c r="EJ49" s="35"/>
      <c r="EK49" s="35"/>
      <c r="EL49" s="35"/>
      <c r="EM49" s="35"/>
      <c r="EN49" s="35"/>
      <c r="EO49" s="35"/>
      <c r="EP49" s="35"/>
      <c r="EQ49" s="35"/>
      <c r="ER49" s="35"/>
      <c r="ES49" s="35"/>
      <c r="ET49" s="35"/>
      <c r="EU49" s="35"/>
      <c r="EV49" s="35"/>
      <c r="EW49" s="35"/>
      <c r="EX49" s="35"/>
      <c r="EY49" s="35"/>
      <c r="EZ49" s="35"/>
      <c r="FA49" s="35"/>
      <c r="FB49" s="35"/>
      <c r="FC49" s="458">
        <f t="shared" si="3"/>
        <v>0</v>
      </c>
      <c r="FD49">
        <f t="shared" si="0"/>
        <v>0</v>
      </c>
      <c r="FE49" t="e">
        <f t="shared" si="1"/>
        <v>#N/A</v>
      </c>
      <c r="FI49" s="731" t="e">
        <f t="shared" si="4"/>
        <v>#VALUE!</v>
      </c>
      <c r="FK49" s="471" t="str">
        <f t="shared" si="5"/>
        <v xml:space="preserve"> </v>
      </c>
      <c r="FL49" s="730">
        <f t="shared" si="6"/>
        <v>0</v>
      </c>
      <c r="FM49" s="471" t="str">
        <f t="shared" si="7"/>
        <v/>
      </c>
      <c r="FN49" s="730">
        <f t="shared" si="2"/>
        <v>0</v>
      </c>
    </row>
    <row r="50" spans="1:170" s="33" customFormat="1" x14ac:dyDescent="0.2">
      <c r="A50" s="34" t="s">
        <v>100</v>
      </c>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c r="DD50" s="35"/>
      <c r="DE50" s="35"/>
      <c r="DF50" s="35"/>
      <c r="DG50" s="35"/>
      <c r="DH50" s="35"/>
      <c r="DI50" s="35"/>
      <c r="DJ50" s="35"/>
      <c r="DK50" s="35"/>
      <c r="DL50" s="35"/>
      <c r="DM50" s="35"/>
      <c r="DN50" s="35"/>
      <c r="DO50" s="35"/>
      <c r="DP50" s="35"/>
      <c r="DQ50" s="35"/>
      <c r="DR50" s="35"/>
      <c r="DS50" s="35"/>
      <c r="DT50" s="35"/>
      <c r="DU50" s="35"/>
      <c r="DV50" s="35"/>
      <c r="DW50" s="35"/>
      <c r="DX50" s="35"/>
      <c r="DY50" s="35"/>
      <c r="DZ50" s="35"/>
      <c r="EA50" s="35"/>
      <c r="EB50" s="35"/>
      <c r="EC50" s="35"/>
      <c r="ED50" s="35"/>
      <c r="EE50" s="35"/>
      <c r="EF50" s="35"/>
      <c r="EG50" s="35"/>
      <c r="EH50" s="35"/>
      <c r="EI50" s="35"/>
      <c r="EJ50" s="35"/>
      <c r="EK50" s="35"/>
      <c r="EL50" s="35"/>
      <c r="EM50" s="35"/>
      <c r="EN50" s="35"/>
      <c r="EO50" s="35"/>
      <c r="EP50" s="35"/>
      <c r="EQ50" s="35"/>
      <c r="ER50" s="35"/>
      <c r="ES50" s="35"/>
      <c r="ET50" s="35"/>
      <c r="EU50" s="35"/>
      <c r="EV50" s="35"/>
      <c r="EW50" s="35"/>
      <c r="EX50" s="35"/>
      <c r="EY50" s="35"/>
      <c r="EZ50" s="35"/>
      <c r="FA50" s="35"/>
      <c r="FB50" s="35"/>
      <c r="FC50" s="458">
        <f t="shared" si="3"/>
        <v>0</v>
      </c>
      <c r="FD50">
        <f t="shared" si="0"/>
        <v>0</v>
      </c>
      <c r="FE50" t="e">
        <f t="shared" si="1"/>
        <v>#N/A</v>
      </c>
      <c r="FI50" s="731" t="e">
        <f t="shared" si="4"/>
        <v>#VALUE!</v>
      </c>
      <c r="FK50" s="471" t="str">
        <f t="shared" si="5"/>
        <v xml:space="preserve"> </v>
      </c>
      <c r="FL50" s="730">
        <f t="shared" si="6"/>
        <v>0</v>
      </c>
      <c r="FM50" s="471" t="str">
        <f t="shared" si="7"/>
        <v/>
      </c>
      <c r="FN50" s="730">
        <f t="shared" si="2"/>
        <v>0</v>
      </c>
    </row>
    <row r="51" spans="1:170" s="33" customFormat="1" x14ac:dyDescent="0.2">
      <c r="A51" s="34" t="s">
        <v>101</v>
      </c>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5"/>
      <c r="CK51" s="35"/>
      <c r="CL51" s="35"/>
      <c r="CM51" s="35"/>
      <c r="CN51" s="35"/>
      <c r="CO51" s="35"/>
      <c r="CP51" s="35"/>
      <c r="CQ51" s="35"/>
      <c r="CR51" s="35"/>
      <c r="CS51" s="35"/>
      <c r="CT51" s="35"/>
      <c r="CU51" s="35"/>
      <c r="CV51" s="35"/>
      <c r="CW51" s="35"/>
      <c r="CX51" s="35"/>
      <c r="CY51" s="35"/>
      <c r="CZ51" s="35"/>
      <c r="DA51" s="35"/>
      <c r="DB51" s="35"/>
      <c r="DC51" s="35"/>
      <c r="DD51" s="35"/>
      <c r="DE51" s="35"/>
      <c r="DF51" s="35"/>
      <c r="DG51" s="35"/>
      <c r="DH51" s="35"/>
      <c r="DI51" s="35"/>
      <c r="DJ51" s="35"/>
      <c r="DK51" s="35"/>
      <c r="DL51" s="35"/>
      <c r="DM51" s="35"/>
      <c r="DN51" s="35"/>
      <c r="DO51" s="35"/>
      <c r="DP51" s="35"/>
      <c r="DQ51" s="35"/>
      <c r="DR51" s="35"/>
      <c r="DS51" s="35"/>
      <c r="DT51" s="35"/>
      <c r="DU51" s="35"/>
      <c r="DV51" s="35"/>
      <c r="DW51" s="35"/>
      <c r="DX51" s="35"/>
      <c r="DY51" s="35"/>
      <c r="DZ51" s="35"/>
      <c r="EA51" s="35"/>
      <c r="EB51" s="35"/>
      <c r="EC51" s="35"/>
      <c r="ED51" s="35"/>
      <c r="EE51" s="35"/>
      <c r="EF51" s="35"/>
      <c r="EG51" s="35"/>
      <c r="EH51" s="35"/>
      <c r="EI51" s="35"/>
      <c r="EJ51" s="35"/>
      <c r="EK51" s="35"/>
      <c r="EL51" s="35"/>
      <c r="EM51" s="35"/>
      <c r="EN51" s="35"/>
      <c r="EO51" s="35"/>
      <c r="EP51" s="35"/>
      <c r="EQ51" s="35"/>
      <c r="ER51" s="35"/>
      <c r="ES51" s="35"/>
      <c r="ET51" s="35"/>
      <c r="EU51" s="35"/>
      <c r="EV51" s="35"/>
      <c r="EW51" s="35"/>
      <c r="EX51" s="35"/>
      <c r="EY51" s="35"/>
      <c r="EZ51" s="35"/>
      <c r="FA51" s="35"/>
      <c r="FB51" s="35"/>
      <c r="FC51" s="458">
        <f t="shared" si="3"/>
        <v>0</v>
      </c>
      <c r="FD51">
        <f t="shared" si="0"/>
        <v>0</v>
      </c>
      <c r="FE51" t="e">
        <f t="shared" si="1"/>
        <v>#N/A</v>
      </c>
      <c r="FI51" s="731" t="e">
        <f t="shared" si="4"/>
        <v>#VALUE!</v>
      </c>
      <c r="FK51" s="471" t="str">
        <f t="shared" si="5"/>
        <v xml:space="preserve"> </v>
      </c>
      <c r="FL51" s="730">
        <f t="shared" si="6"/>
        <v>0</v>
      </c>
      <c r="FM51" s="471" t="str">
        <f t="shared" si="7"/>
        <v/>
      </c>
      <c r="FN51" s="730">
        <f t="shared" si="2"/>
        <v>0</v>
      </c>
    </row>
    <row r="52" spans="1:170" s="33" customFormat="1" x14ac:dyDescent="0.2">
      <c r="A52" s="34" t="s">
        <v>102</v>
      </c>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c r="BO52" s="35"/>
      <c r="BP52" s="35"/>
      <c r="BQ52" s="35"/>
      <c r="BR52" s="35"/>
      <c r="BS52" s="35"/>
      <c r="BT52" s="35"/>
      <c r="BU52" s="35"/>
      <c r="BV52" s="35"/>
      <c r="BW52" s="35"/>
      <c r="BX52" s="35"/>
      <c r="BY52" s="35"/>
      <c r="BZ52" s="35"/>
      <c r="CA52" s="35"/>
      <c r="CB52" s="35"/>
      <c r="CC52" s="35"/>
      <c r="CD52" s="35"/>
      <c r="CE52" s="35"/>
      <c r="CF52" s="35"/>
      <c r="CG52" s="35"/>
      <c r="CH52" s="35"/>
      <c r="CI52" s="35"/>
      <c r="CJ52" s="35"/>
      <c r="CK52" s="35"/>
      <c r="CL52" s="35"/>
      <c r="CM52" s="35"/>
      <c r="CN52" s="35"/>
      <c r="CO52" s="35"/>
      <c r="CP52" s="35"/>
      <c r="CQ52" s="35"/>
      <c r="CR52" s="35"/>
      <c r="CS52" s="35"/>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c r="DR52" s="35"/>
      <c r="DS52" s="35"/>
      <c r="DT52" s="35"/>
      <c r="DU52" s="35"/>
      <c r="DV52" s="35"/>
      <c r="DW52" s="35"/>
      <c r="DX52" s="35"/>
      <c r="DY52" s="35"/>
      <c r="DZ52" s="35"/>
      <c r="EA52" s="35"/>
      <c r="EB52" s="35"/>
      <c r="EC52" s="35"/>
      <c r="ED52" s="35"/>
      <c r="EE52" s="35"/>
      <c r="EF52" s="35"/>
      <c r="EG52" s="35"/>
      <c r="EH52" s="35"/>
      <c r="EI52" s="35"/>
      <c r="EJ52" s="35"/>
      <c r="EK52" s="35"/>
      <c r="EL52" s="35"/>
      <c r="EM52" s="35"/>
      <c r="EN52" s="35"/>
      <c r="EO52" s="35"/>
      <c r="EP52" s="35"/>
      <c r="EQ52" s="35"/>
      <c r="ER52" s="35"/>
      <c r="ES52" s="35"/>
      <c r="ET52" s="35"/>
      <c r="EU52" s="35"/>
      <c r="EV52" s="35"/>
      <c r="EW52" s="35"/>
      <c r="EX52" s="35"/>
      <c r="EY52" s="35"/>
      <c r="EZ52" s="35"/>
      <c r="FA52" s="35"/>
      <c r="FB52" s="35"/>
      <c r="FC52" s="458">
        <f t="shared" si="3"/>
        <v>0</v>
      </c>
      <c r="FD52">
        <f t="shared" si="0"/>
        <v>0</v>
      </c>
      <c r="FE52" t="e">
        <f t="shared" si="1"/>
        <v>#N/A</v>
      </c>
      <c r="FI52" s="731" t="e">
        <f t="shared" si="4"/>
        <v>#VALUE!</v>
      </c>
      <c r="FK52" s="471" t="str">
        <f t="shared" si="5"/>
        <v xml:space="preserve"> </v>
      </c>
      <c r="FL52" s="730">
        <f t="shared" si="6"/>
        <v>0</v>
      </c>
      <c r="FM52" s="471" t="str">
        <f t="shared" si="7"/>
        <v/>
      </c>
      <c r="FN52" s="730">
        <f t="shared" si="2"/>
        <v>0</v>
      </c>
    </row>
    <row r="53" spans="1:170" s="33" customFormat="1" x14ac:dyDescent="0.2">
      <c r="A53" s="34" t="s">
        <v>103</v>
      </c>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c r="BT53" s="35"/>
      <c r="BU53" s="35"/>
      <c r="BV53" s="35"/>
      <c r="BW53" s="35"/>
      <c r="BX53" s="35"/>
      <c r="BY53" s="35"/>
      <c r="BZ53" s="35"/>
      <c r="CA53" s="35"/>
      <c r="CB53" s="35"/>
      <c r="CC53" s="35"/>
      <c r="CD53" s="35"/>
      <c r="CE53" s="35"/>
      <c r="CF53" s="35"/>
      <c r="CG53" s="35"/>
      <c r="CH53" s="35"/>
      <c r="CI53" s="35"/>
      <c r="CJ53" s="35"/>
      <c r="CK53" s="35"/>
      <c r="CL53" s="35"/>
      <c r="CM53" s="35"/>
      <c r="CN53" s="35"/>
      <c r="CO53" s="35"/>
      <c r="CP53" s="35"/>
      <c r="CQ53" s="35"/>
      <c r="CR53" s="35"/>
      <c r="CS53" s="35"/>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35"/>
      <c r="DS53" s="35"/>
      <c r="DT53" s="35"/>
      <c r="DU53" s="35"/>
      <c r="DV53" s="35"/>
      <c r="DW53" s="35"/>
      <c r="DX53" s="35"/>
      <c r="DY53" s="35"/>
      <c r="DZ53" s="35"/>
      <c r="EA53" s="35"/>
      <c r="EB53" s="35"/>
      <c r="EC53" s="35"/>
      <c r="ED53" s="35"/>
      <c r="EE53" s="35"/>
      <c r="EF53" s="35"/>
      <c r="EG53" s="35"/>
      <c r="EH53" s="35"/>
      <c r="EI53" s="35"/>
      <c r="EJ53" s="35"/>
      <c r="EK53" s="35"/>
      <c r="EL53" s="35"/>
      <c r="EM53" s="35"/>
      <c r="EN53" s="35"/>
      <c r="EO53" s="35"/>
      <c r="EP53" s="35"/>
      <c r="EQ53" s="35"/>
      <c r="ER53" s="35"/>
      <c r="ES53" s="35"/>
      <c r="ET53" s="35"/>
      <c r="EU53" s="35"/>
      <c r="EV53" s="35"/>
      <c r="EW53" s="35"/>
      <c r="EX53" s="35"/>
      <c r="EY53" s="35"/>
      <c r="EZ53" s="35"/>
      <c r="FA53" s="35"/>
      <c r="FB53" s="35"/>
      <c r="FC53" s="458">
        <f t="shared" si="3"/>
        <v>0</v>
      </c>
      <c r="FD53">
        <f t="shared" si="0"/>
        <v>0</v>
      </c>
      <c r="FE53" t="e">
        <f t="shared" si="1"/>
        <v>#N/A</v>
      </c>
      <c r="FI53" s="731" t="e">
        <f t="shared" si="4"/>
        <v>#VALUE!</v>
      </c>
      <c r="FK53" s="471" t="str">
        <f t="shared" si="5"/>
        <v xml:space="preserve"> </v>
      </c>
      <c r="FL53" s="730">
        <f t="shared" si="6"/>
        <v>0</v>
      </c>
      <c r="FM53" s="471" t="str">
        <f t="shared" si="7"/>
        <v/>
      </c>
      <c r="FN53" s="730">
        <f t="shared" si="2"/>
        <v>0</v>
      </c>
    </row>
    <row r="54" spans="1:170" s="33" customFormat="1" x14ac:dyDescent="0.2">
      <c r="A54" s="34" t="s">
        <v>104</v>
      </c>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35"/>
      <c r="DS54" s="35"/>
      <c r="DT54" s="35"/>
      <c r="DU54" s="35"/>
      <c r="DV54" s="35"/>
      <c r="DW54" s="35"/>
      <c r="DX54" s="35"/>
      <c r="DY54" s="35"/>
      <c r="DZ54" s="35"/>
      <c r="EA54" s="35"/>
      <c r="EB54" s="35"/>
      <c r="EC54" s="35"/>
      <c r="ED54" s="35"/>
      <c r="EE54" s="35"/>
      <c r="EF54" s="35"/>
      <c r="EG54" s="35"/>
      <c r="EH54" s="35"/>
      <c r="EI54" s="35"/>
      <c r="EJ54" s="35"/>
      <c r="EK54" s="35"/>
      <c r="EL54" s="35"/>
      <c r="EM54" s="35"/>
      <c r="EN54" s="35"/>
      <c r="EO54" s="35"/>
      <c r="EP54" s="35"/>
      <c r="EQ54" s="35"/>
      <c r="ER54" s="35"/>
      <c r="ES54" s="35"/>
      <c r="ET54" s="35"/>
      <c r="EU54" s="35"/>
      <c r="EV54" s="35"/>
      <c r="EW54" s="35"/>
      <c r="EX54" s="35"/>
      <c r="EY54" s="35"/>
      <c r="EZ54" s="35"/>
      <c r="FA54" s="35"/>
      <c r="FB54" s="35"/>
      <c r="FC54" s="458">
        <f t="shared" si="3"/>
        <v>0</v>
      </c>
      <c r="FD54">
        <f t="shared" si="0"/>
        <v>0</v>
      </c>
      <c r="FE54" t="e">
        <f t="shared" si="1"/>
        <v>#N/A</v>
      </c>
      <c r="FI54" s="731" t="e">
        <f t="shared" si="4"/>
        <v>#VALUE!</v>
      </c>
      <c r="FK54" s="471" t="str">
        <f t="shared" si="5"/>
        <v xml:space="preserve"> </v>
      </c>
      <c r="FL54" s="730">
        <f t="shared" si="6"/>
        <v>0</v>
      </c>
      <c r="FM54" s="471" t="str">
        <f t="shared" si="7"/>
        <v/>
      </c>
      <c r="FN54" s="730">
        <f t="shared" si="2"/>
        <v>0</v>
      </c>
    </row>
    <row r="55" spans="1:170" s="33" customFormat="1" x14ac:dyDescent="0.2">
      <c r="A55" s="34" t="s">
        <v>105</v>
      </c>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35"/>
      <c r="DS55" s="35"/>
      <c r="DT55" s="35"/>
      <c r="DU55" s="35"/>
      <c r="DV55" s="35"/>
      <c r="DW55" s="35"/>
      <c r="DX55" s="35"/>
      <c r="DY55" s="35"/>
      <c r="DZ55" s="35"/>
      <c r="EA55" s="35"/>
      <c r="EB55" s="35"/>
      <c r="EC55" s="35"/>
      <c r="ED55" s="35"/>
      <c r="EE55" s="35"/>
      <c r="EF55" s="35"/>
      <c r="EG55" s="35"/>
      <c r="EH55" s="35"/>
      <c r="EI55" s="35"/>
      <c r="EJ55" s="35"/>
      <c r="EK55" s="35"/>
      <c r="EL55" s="35"/>
      <c r="EM55" s="35"/>
      <c r="EN55" s="35"/>
      <c r="EO55" s="35"/>
      <c r="EP55" s="35"/>
      <c r="EQ55" s="35"/>
      <c r="ER55" s="35"/>
      <c r="ES55" s="35"/>
      <c r="ET55" s="35"/>
      <c r="EU55" s="35"/>
      <c r="EV55" s="35"/>
      <c r="EW55" s="35"/>
      <c r="EX55" s="35"/>
      <c r="EY55" s="35"/>
      <c r="EZ55" s="35"/>
      <c r="FA55" s="35"/>
      <c r="FB55" s="35"/>
      <c r="FC55" s="458">
        <f t="shared" si="3"/>
        <v>0</v>
      </c>
      <c r="FD55">
        <f t="shared" si="0"/>
        <v>0</v>
      </c>
      <c r="FE55" t="e">
        <f t="shared" si="1"/>
        <v>#N/A</v>
      </c>
      <c r="FI55" s="731" t="e">
        <f t="shared" si="4"/>
        <v>#VALUE!</v>
      </c>
      <c r="FK55" s="471" t="str">
        <f t="shared" si="5"/>
        <v xml:space="preserve"> </v>
      </c>
      <c r="FL55" s="730">
        <f t="shared" si="6"/>
        <v>0</v>
      </c>
      <c r="FM55" s="471" t="str">
        <f t="shared" si="7"/>
        <v/>
      </c>
      <c r="FN55" s="730">
        <f t="shared" si="2"/>
        <v>0</v>
      </c>
    </row>
    <row r="56" spans="1:170" s="33" customFormat="1" x14ac:dyDescent="0.2">
      <c r="A56" s="34" t="s">
        <v>106</v>
      </c>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c r="DA56" s="35"/>
      <c r="DB56" s="35"/>
      <c r="DC56" s="35"/>
      <c r="DD56" s="35"/>
      <c r="DE56" s="35"/>
      <c r="DF56" s="35"/>
      <c r="DG56" s="35"/>
      <c r="DH56" s="35"/>
      <c r="DI56" s="35"/>
      <c r="DJ56" s="35"/>
      <c r="DK56" s="35"/>
      <c r="DL56" s="35"/>
      <c r="DM56" s="35"/>
      <c r="DN56" s="35"/>
      <c r="DO56" s="35"/>
      <c r="DP56" s="35"/>
      <c r="DQ56" s="35"/>
      <c r="DR56" s="35"/>
      <c r="DS56" s="35"/>
      <c r="DT56" s="35"/>
      <c r="DU56" s="35"/>
      <c r="DV56" s="35"/>
      <c r="DW56" s="35"/>
      <c r="DX56" s="35"/>
      <c r="DY56" s="35"/>
      <c r="DZ56" s="35"/>
      <c r="EA56" s="35"/>
      <c r="EB56" s="35"/>
      <c r="EC56" s="35"/>
      <c r="ED56" s="35"/>
      <c r="EE56" s="35"/>
      <c r="EF56" s="35"/>
      <c r="EG56" s="35"/>
      <c r="EH56" s="35"/>
      <c r="EI56" s="35"/>
      <c r="EJ56" s="35"/>
      <c r="EK56" s="35"/>
      <c r="EL56" s="35"/>
      <c r="EM56" s="35"/>
      <c r="EN56" s="35"/>
      <c r="EO56" s="35"/>
      <c r="EP56" s="35"/>
      <c r="EQ56" s="35"/>
      <c r="ER56" s="35"/>
      <c r="ES56" s="35"/>
      <c r="ET56" s="35"/>
      <c r="EU56" s="35"/>
      <c r="EV56" s="35"/>
      <c r="EW56" s="35"/>
      <c r="EX56" s="35"/>
      <c r="EY56" s="35"/>
      <c r="EZ56" s="35"/>
      <c r="FA56" s="35"/>
      <c r="FB56" s="35"/>
      <c r="FC56" s="458">
        <f t="shared" si="3"/>
        <v>0</v>
      </c>
      <c r="FD56">
        <f t="shared" si="0"/>
        <v>0</v>
      </c>
      <c r="FE56" t="e">
        <f t="shared" si="1"/>
        <v>#N/A</v>
      </c>
      <c r="FI56" s="731" t="e">
        <f t="shared" si="4"/>
        <v>#VALUE!</v>
      </c>
      <c r="FK56" s="471" t="str">
        <f t="shared" si="5"/>
        <v xml:space="preserve"> </v>
      </c>
      <c r="FL56" s="730">
        <f t="shared" si="6"/>
        <v>0</v>
      </c>
      <c r="FM56" s="471" t="str">
        <f t="shared" si="7"/>
        <v/>
      </c>
      <c r="FN56" s="730">
        <f t="shared" si="2"/>
        <v>0</v>
      </c>
    </row>
    <row r="57" spans="1:170" s="33" customFormat="1" x14ac:dyDescent="0.2">
      <c r="A57" s="34" t="s">
        <v>107</v>
      </c>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35"/>
      <c r="DS57" s="35"/>
      <c r="DT57" s="35"/>
      <c r="DU57" s="35"/>
      <c r="DV57" s="35"/>
      <c r="DW57" s="35"/>
      <c r="DX57" s="35"/>
      <c r="DY57" s="35"/>
      <c r="DZ57" s="35"/>
      <c r="EA57" s="35"/>
      <c r="EB57" s="35"/>
      <c r="EC57" s="35"/>
      <c r="ED57" s="35"/>
      <c r="EE57" s="35"/>
      <c r="EF57" s="35"/>
      <c r="EG57" s="35"/>
      <c r="EH57" s="35"/>
      <c r="EI57" s="35"/>
      <c r="EJ57" s="35"/>
      <c r="EK57" s="35"/>
      <c r="EL57" s="35"/>
      <c r="EM57" s="35"/>
      <c r="EN57" s="35"/>
      <c r="EO57" s="35"/>
      <c r="EP57" s="35"/>
      <c r="EQ57" s="35"/>
      <c r="ER57" s="35"/>
      <c r="ES57" s="35"/>
      <c r="ET57" s="35"/>
      <c r="EU57" s="35"/>
      <c r="EV57" s="35"/>
      <c r="EW57" s="35"/>
      <c r="EX57" s="35"/>
      <c r="EY57" s="35"/>
      <c r="EZ57" s="35"/>
      <c r="FA57" s="35"/>
      <c r="FB57" s="35"/>
      <c r="FC57" s="458">
        <f t="shared" si="3"/>
        <v>0</v>
      </c>
      <c r="FD57">
        <f t="shared" si="0"/>
        <v>0</v>
      </c>
      <c r="FE57" t="e">
        <f t="shared" si="1"/>
        <v>#N/A</v>
      </c>
      <c r="FI57" s="731" t="e">
        <f t="shared" si="4"/>
        <v>#VALUE!</v>
      </c>
      <c r="FK57" s="471" t="str">
        <f t="shared" si="5"/>
        <v xml:space="preserve"> </v>
      </c>
      <c r="FL57" s="730">
        <f t="shared" si="6"/>
        <v>0</v>
      </c>
      <c r="FM57" s="471" t="str">
        <f t="shared" si="7"/>
        <v/>
      </c>
      <c r="FN57" s="730">
        <f t="shared" si="2"/>
        <v>0</v>
      </c>
    </row>
    <row r="58" spans="1:170" s="33" customFormat="1" x14ac:dyDescent="0.2">
      <c r="A58" s="34" t="s">
        <v>108</v>
      </c>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35"/>
      <c r="DI58" s="35"/>
      <c r="DJ58" s="35"/>
      <c r="DK58" s="35"/>
      <c r="DL58" s="35"/>
      <c r="DM58" s="35"/>
      <c r="DN58" s="35"/>
      <c r="DO58" s="35"/>
      <c r="DP58" s="35"/>
      <c r="DQ58" s="35"/>
      <c r="DR58" s="35"/>
      <c r="DS58" s="35"/>
      <c r="DT58" s="35"/>
      <c r="DU58" s="35"/>
      <c r="DV58" s="35"/>
      <c r="DW58" s="35"/>
      <c r="DX58" s="35"/>
      <c r="DY58" s="35"/>
      <c r="DZ58" s="35"/>
      <c r="EA58" s="35"/>
      <c r="EB58" s="35"/>
      <c r="EC58" s="35"/>
      <c r="ED58" s="35"/>
      <c r="EE58" s="35"/>
      <c r="EF58" s="35"/>
      <c r="EG58" s="35"/>
      <c r="EH58" s="35"/>
      <c r="EI58" s="35"/>
      <c r="EJ58" s="35"/>
      <c r="EK58" s="35"/>
      <c r="EL58" s="35"/>
      <c r="EM58" s="35"/>
      <c r="EN58" s="35"/>
      <c r="EO58" s="35"/>
      <c r="EP58" s="35"/>
      <c r="EQ58" s="35"/>
      <c r="ER58" s="35"/>
      <c r="ES58" s="35"/>
      <c r="ET58" s="35"/>
      <c r="EU58" s="35"/>
      <c r="EV58" s="35"/>
      <c r="EW58" s="35"/>
      <c r="EX58" s="35"/>
      <c r="EY58" s="35"/>
      <c r="EZ58" s="35"/>
      <c r="FA58" s="35"/>
      <c r="FB58" s="35"/>
      <c r="FC58" s="458">
        <f t="shared" si="3"/>
        <v>0</v>
      </c>
      <c r="FD58">
        <f t="shared" si="0"/>
        <v>0</v>
      </c>
      <c r="FE58" t="e">
        <f t="shared" si="1"/>
        <v>#N/A</v>
      </c>
      <c r="FI58" s="731" t="e">
        <f t="shared" si="4"/>
        <v>#VALUE!</v>
      </c>
      <c r="FK58" s="471" t="str">
        <f t="shared" si="5"/>
        <v xml:space="preserve"> </v>
      </c>
      <c r="FL58" s="730">
        <f t="shared" si="6"/>
        <v>0</v>
      </c>
      <c r="FM58" s="471" t="str">
        <f t="shared" si="7"/>
        <v/>
      </c>
      <c r="FN58" s="730">
        <f t="shared" si="2"/>
        <v>0</v>
      </c>
    </row>
    <row r="59" spans="1:170" s="33" customFormat="1" x14ac:dyDescent="0.2">
      <c r="A59" s="34" t="s">
        <v>109</v>
      </c>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35"/>
      <c r="DS59" s="35"/>
      <c r="DT59" s="35"/>
      <c r="DU59" s="35"/>
      <c r="DV59" s="35"/>
      <c r="DW59" s="35"/>
      <c r="DX59" s="35"/>
      <c r="DY59" s="35"/>
      <c r="DZ59" s="35"/>
      <c r="EA59" s="35"/>
      <c r="EB59" s="35"/>
      <c r="EC59" s="35"/>
      <c r="ED59" s="35"/>
      <c r="EE59" s="35"/>
      <c r="EF59" s="35"/>
      <c r="EG59" s="35"/>
      <c r="EH59" s="35"/>
      <c r="EI59" s="35"/>
      <c r="EJ59" s="35"/>
      <c r="EK59" s="35"/>
      <c r="EL59" s="35"/>
      <c r="EM59" s="35"/>
      <c r="EN59" s="35"/>
      <c r="EO59" s="35"/>
      <c r="EP59" s="35"/>
      <c r="EQ59" s="35"/>
      <c r="ER59" s="35"/>
      <c r="ES59" s="35"/>
      <c r="ET59" s="35"/>
      <c r="EU59" s="35"/>
      <c r="EV59" s="35"/>
      <c r="EW59" s="35"/>
      <c r="EX59" s="35"/>
      <c r="EY59" s="35"/>
      <c r="EZ59" s="35"/>
      <c r="FA59" s="35"/>
      <c r="FB59" s="35"/>
      <c r="FC59" s="458">
        <f t="shared" si="3"/>
        <v>0</v>
      </c>
      <c r="FD59">
        <f t="shared" si="0"/>
        <v>0</v>
      </c>
      <c r="FE59" t="e">
        <f t="shared" si="1"/>
        <v>#N/A</v>
      </c>
      <c r="FI59" s="731" t="e">
        <f t="shared" si="4"/>
        <v>#VALUE!</v>
      </c>
      <c r="FK59" s="471" t="str">
        <f t="shared" si="5"/>
        <v xml:space="preserve"> </v>
      </c>
      <c r="FL59" s="730">
        <f t="shared" si="6"/>
        <v>0</v>
      </c>
      <c r="FM59" s="471" t="str">
        <f t="shared" si="7"/>
        <v/>
      </c>
      <c r="FN59" s="730">
        <f t="shared" si="2"/>
        <v>0</v>
      </c>
    </row>
    <row r="60" spans="1:170" s="33" customFormat="1" x14ac:dyDescent="0.2">
      <c r="A60" s="34" t="s">
        <v>110</v>
      </c>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c r="CP60" s="35"/>
      <c r="CQ60" s="35"/>
      <c r="CR60" s="35"/>
      <c r="CS60" s="35"/>
      <c r="CT60" s="35"/>
      <c r="CU60" s="35"/>
      <c r="CV60" s="35"/>
      <c r="CW60" s="35"/>
      <c r="CX60" s="35"/>
      <c r="CY60" s="35"/>
      <c r="CZ60" s="35"/>
      <c r="DA60" s="35"/>
      <c r="DB60" s="35"/>
      <c r="DC60" s="35"/>
      <c r="DD60" s="35"/>
      <c r="DE60" s="35"/>
      <c r="DF60" s="35"/>
      <c r="DG60" s="35"/>
      <c r="DH60" s="35"/>
      <c r="DI60" s="35"/>
      <c r="DJ60" s="35"/>
      <c r="DK60" s="35"/>
      <c r="DL60" s="35"/>
      <c r="DM60" s="35"/>
      <c r="DN60" s="35"/>
      <c r="DO60" s="35"/>
      <c r="DP60" s="35"/>
      <c r="DQ60" s="35"/>
      <c r="DR60" s="35"/>
      <c r="DS60" s="35"/>
      <c r="DT60" s="35"/>
      <c r="DU60" s="35"/>
      <c r="DV60" s="35"/>
      <c r="DW60" s="35"/>
      <c r="DX60" s="35"/>
      <c r="DY60" s="35"/>
      <c r="DZ60" s="35"/>
      <c r="EA60" s="35"/>
      <c r="EB60" s="35"/>
      <c r="EC60" s="35"/>
      <c r="ED60" s="35"/>
      <c r="EE60" s="35"/>
      <c r="EF60" s="35"/>
      <c r="EG60" s="35"/>
      <c r="EH60" s="35"/>
      <c r="EI60" s="35"/>
      <c r="EJ60" s="35"/>
      <c r="EK60" s="35"/>
      <c r="EL60" s="35"/>
      <c r="EM60" s="35"/>
      <c r="EN60" s="35"/>
      <c r="EO60" s="35"/>
      <c r="EP60" s="35"/>
      <c r="EQ60" s="35"/>
      <c r="ER60" s="35"/>
      <c r="ES60" s="35"/>
      <c r="ET60" s="35"/>
      <c r="EU60" s="35"/>
      <c r="EV60" s="35"/>
      <c r="EW60" s="35"/>
      <c r="EX60" s="35"/>
      <c r="EY60" s="35"/>
      <c r="EZ60" s="35"/>
      <c r="FA60" s="35"/>
      <c r="FB60" s="35"/>
      <c r="FC60" s="458">
        <f t="shared" si="3"/>
        <v>0</v>
      </c>
      <c r="FD60">
        <f t="shared" si="0"/>
        <v>0</v>
      </c>
      <c r="FE60" t="e">
        <f t="shared" si="1"/>
        <v>#N/A</v>
      </c>
      <c r="FI60" s="731" t="e">
        <f t="shared" si="4"/>
        <v>#VALUE!</v>
      </c>
      <c r="FK60" s="471" t="str">
        <f t="shared" si="5"/>
        <v xml:space="preserve"> </v>
      </c>
      <c r="FL60" s="730">
        <f t="shared" si="6"/>
        <v>0</v>
      </c>
      <c r="FM60" s="471" t="str">
        <f t="shared" si="7"/>
        <v/>
      </c>
      <c r="FN60" s="730">
        <f t="shared" si="2"/>
        <v>0</v>
      </c>
    </row>
    <row r="61" spans="1:170" s="33" customFormat="1" x14ac:dyDescent="0.2">
      <c r="A61" s="34" t="s">
        <v>111</v>
      </c>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c r="CJ61" s="35"/>
      <c r="CK61" s="35"/>
      <c r="CL61" s="35"/>
      <c r="CM61" s="35"/>
      <c r="CN61" s="35"/>
      <c r="CO61" s="35"/>
      <c r="CP61" s="35"/>
      <c r="CQ61" s="35"/>
      <c r="CR61" s="35"/>
      <c r="CS61" s="35"/>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35"/>
      <c r="DS61" s="35"/>
      <c r="DT61" s="35"/>
      <c r="DU61" s="35"/>
      <c r="DV61" s="35"/>
      <c r="DW61" s="35"/>
      <c r="DX61" s="35"/>
      <c r="DY61" s="35"/>
      <c r="DZ61" s="35"/>
      <c r="EA61" s="35"/>
      <c r="EB61" s="35"/>
      <c r="EC61" s="35"/>
      <c r="ED61" s="35"/>
      <c r="EE61" s="35"/>
      <c r="EF61" s="35"/>
      <c r="EG61" s="35"/>
      <c r="EH61" s="35"/>
      <c r="EI61" s="35"/>
      <c r="EJ61" s="35"/>
      <c r="EK61" s="35"/>
      <c r="EL61" s="35"/>
      <c r="EM61" s="35"/>
      <c r="EN61" s="35"/>
      <c r="EO61" s="35"/>
      <c r="EP61" s="35"/>
      <c r="EQ61" s="35"/>
      <c r="ER61" s="35"/>
      <c r="ES61" s="35"/>
      <c r="ET61" s="35"/>
      <c r="EU61" s="35"/>
      <c r="EV61" s="35"/>
      <c r="EW61" s="35"/>
      <c r="EX61" s="35"/>
      <c r="EY61" s="35"/>
      <c r="EZ61" s="35"/>
      <c r="FA61" s="35"/>
      <c r="FB61" s="35"/>
      <c r="FC61" s="458">
        <f t="shared" si="3"/>
        <v>0</v>
      </c>
      <c r="FD61">
        <f t="shared" si="0"/>
        <v>0</v>
      </c>
      <c r="FE61" t="e">
        <f t="shared" si="1"/>
        <v>#N/A</v>
      </c>
      <c r="FI61" s="731" t="e">
        <f t="shared" si="4"/>
        <v>#VALUE!</v>
      </c>
      <c r="FK61" s="471" t="str">
        <f t="shared" si="5"/>
        <v xml:space="preserve"> </v>
      </c>
      <c r="FL61" s="730">
        <f t="shared" si="6"/>
        <v>0</v>
      </c>
      <c r="FM61" s="471" t="str">
        <f t="shared" si="7"/>
        <v/>
      </c>
      <c r="FN61" s="730">
        <f t="shared" si="2"/>
        <v>0</v>
      </c>
    </row>
    <row r="62" spans="1:170" s="33" customFormat="1" x14ac:dyDescent="0.2">
      <c r="A62" s="34" t="s">
        <v>112</v>
      </c>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458">
        <f t="shared" si="3"/>
        <v>0</v>
      </c>
      <c r="FD62">
        <f t="shared" si="0"/>
        <v>0</v>
      </c>
      <c r="FE62" t="e">
        <f t="shared" si="1"/>
        <v>#N/A</v>
      </c>
      <c r="FI62" s="731" t="e">
        <f t="shared" si="4"/>
        <v>#VALUE!</v>
      </c>
      <c r="FK62" s="471" t="str">
        <f t="shared" si="5"/>
        <v xml:space="preserve"> </v>
      </c>
      <c r="FL62" s="730">
        <f t="shared" si="6"/>
        <v>0</v>
      </c>
      <c r="FM62" s="471" t="str">
        <f t="shared" si="7"/>
        <v/>
      </c>
      <c r="FN62" s="730">
        <f t="shared" si="2"/>
        <v>0</v>
      </c>
    </row>
    <row r="63" spans="1:170" s="33" customFormat="1" x14ac:dyDescent="0.2">
      <c r="A63" s="34" t="s">
        <v>113</v>
      </c>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458">
        <f t="shared" si="3"/>
        <v>0</v>
      </c>
      <c r="FD63">
        <f t="shared" si="0"/>
        <v>0</v>
      </c>
      <c r="FE63" t="e">
        <f t="shared" si="1"/>
        <v>#N/A</v>
      </c>
      <c r="FI63" s="731" t="e">
        <f t="shared" si="4"/>
        <v>#VALUE!</v>
      </c>
      <c r="FK63" s="471" t="str">
        <f t="shared" si="5"/>
        <v xml:space="preserve"> </v>
      </c>
      <c r="FL63" s="730">
        <f t="shared" si="6"/>
        <v>0</v>
      </c>
      <c r="FM63" s="471" t="str">
        <f t="shared" si="7"/>
        <v/>
      </c>
      <c r="FN63" s="730">
        <f t="shared" si="2"/>
        <v>0</v>
      </c>
    </row>
    <row r="64" spans="1:170" s="33" customFormat="1" x14ac:dyDescent="0.2">
      <c r="A64" s="34" t="s">
        <v>114</v>
      </c>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458">
        <f t="shared" si="3"/>
        <v>0</v>
      </c>
      <c r="FD64">
        <f t="shared" si="0"/>
        <v>0</v>
      </c>
      <c r="FE64" t="e">
        <f t="shared" si="1"/>
        <v>#N/A</v>
      </c>
      <c r="FI64" s="731" t="e">
        <f t="shared" si="4"/>
        <v>#VALUE!</v>
      </c>
      <c r="FK64" s="471" t="str">
        <f t="shared" si="5"/>
        <v xml:space="preserve"> </v>
      </c>
      <c r="FL64" s="730">
        <f t="shared" si="6"/>
        <v>0</v>
      </c>
      <c r="FM64" s="471" t="str">
        <f t="shared" si="7"/>
        <v/>
      </c>
      <c r="FN64" s="730">
        <f t="shared" si="2"/>
        <v>0</v>
      </c>
    </row>
    <row r="65" spans="1:170" s="33" customFormat="1" x14ac:dyDescent="0.2">
      <c r="A65" s="34" t="s">
        <v>115</v>
      </c>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458">
        <f t="shared" si="3"/>
        <v>0</v>
      </c>
      <c r="FD65">
        <f t="shared" si="0"/>
        <v>0</v>
      </c>
      <c r="FE65" t="e">
        <f t="shared" si="1"/>
        <v>#N/A</v>
      </c>
      <c r="FI65" s="731" t="e">
        <f t="shared" si="4"/>
        <v>#VALUE!</v>
      </c>
      <c r="FK65" s="471" t="str">
        <f t="shared" si="5"/>
        <v xml:space="preserve"> </v>
      </c>
      <c r="FL65" s="730">
        <f t="shared" si="6"/>
        <v>0</v>
      </c>
      <c r="FM65" s="471" t="str">
        <f t="shared" si="7"/>
        <v/>
      </c>
      <c r="FN65" s="730">
        <f t="shared" si="2"/>
        <v>0</v>
      </c>
    </row>
    <row r="66" spans="1:170" s="33" customFormat="1" x14ac:dyDescent="0.2">
      <c r="A66" s="34" t="s">
        <v>116</v>
      </c>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c r="BO66" s="35"/>
      <c r="BP66" s="35"/>
      <c r="BQ66" s="35"/>
      <c r="BR66" s="35"/>
      <c r="BS66" s="35"/>
      <c r="BT66" s="35"/>
      <c r="BU66" s="35"/>
      <c r="BV66" s="35"/>
      <c r="BW66" s="35"/>
      <c r="BX66" s="35"/>
      <c r="BY66" s="35"/>
      <c r="BZ66" s="35"/>
      <c r="CA66" s="35"/>
      <c r="CB66" s="35"/>
      <c r="CC66" s="35"/>
      <c r="CD66" s="35"/>
      <c r="CE66" s="35"/>
      <c r="CF66" s="35"/>
      <c r="CG66" s="35"/>
      <c r="CH66" s="35"/>
      <c r="CI66" s="35"/>
      <c r="CJ66" s="35"/>
      <c r="CK66" s="35"/>
      <c r="CL66" s="35"/>
      <c r="CM66" s="35"/>
      <c r="CN66" s="35"/>
      <c r="CO66" s="35"/>
      <c r="CP66" s="35"/>
      <c r="CQ66" s="35"/>
      <c r="CR66" s="35"/>
      <c r="CS66" s="35"/>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35"/>
      <c r="DS66" s="35"/>
      <c r="DT66" s="35"/>
      <c r="DU66" s="35"/>
      <c r="DV66" s="35"/>
      <c r="DW66" s="35"/>
      <c r="DX66" s="35"/>
      <c r="DY66" s="35"/>
      <c r="DZ66" s="35"/>
      <c r="EA66" s="35"/>
      <c r="EB66" s="35"/>
      <c r="EC66" s="35"/>
      <c r="ED66" s="35"/>
      <c r="EE66" s="35"/>
      <c r="EF66" s="35"/>
      <c r="EG66" s="35"/>
      <c r="EH66" s="35"/>
      <c r="EI66" s="35"/>
      <c r="EJ66" s="35"/>
      <c r="EK66" s="35"/>
      <c r="EL66" s="35"/>
      <c r="EM66" s="35"/>
      <c r="EN66" s="35"/>
      <c r="EO66" s="35"/>
      <c r="EP66" s="35"/>
      <c r="EQ66" s="35"/>
      <c r="ER66" s="35"/>
      <c r="ES66" s="35"/>
      <c r="ET66" s="35"/>
      <c r="EU66" s="35"/>
      <c r="EV66" s="35"/>
      <c r="EW66" s="35"/>
      <c r="EX66" s="35"/>
      <c r="EY66" s="35"/>
      <c r="EZ66" s="35"/>
      <c r="FA66" s="35"/>
      <c r="FB66" s="35"/>
      <c r="FC66" s="458">
        <f t="shared" si="3"/>
        <v>0</v>
      </c>
      <c r="FD66">
        <f t="shared" si="0"/>
        <v>0</v>
      </c>
      <c r="FE66" t="e">
        <f t="shared" si="1"/>
        <v>#N/A</v>
      </c>
      <c r="FI66" s="731" t="e">
        <f t="shared" si="4"/>
        <v>#VALUE!</v>
      </c>
      <c r="FK66" s="471" t="str">
        <f t="shared" si="5"/>
        <v xml:space="preserve"> </v>
      </c>
      <c r="FL66" s="730">
        <f t="shared" si="6"/>
        <v>0</v>
      </c>
      <c r="FM66" s="471" t="str">
        <f t="shared" si="7"/>
        <v/>
      </c>
      <c r="FN66" s="730">
        <f t="shared" si="2"/>
        <v>0</v>
      </c>
    </row>
    <row r="67" spans="1:170" s="33" customFormat="1" x14ac:dyDescent="0.2">
      <c r="A67" s="34" t="s">
        <v>117</v>
      </c>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c r="BO67" s="35"/>
      <c r="BP67" s="35"/>
      <c r="BQ67" s="35"/>
      <c r="BR67" s="35"/>
      <c r="BS67" s="35"/>
      <c r="BT67" s="35"/>
      <c r="BU67" s="35"/>
      <c r="BV67" s="35"/>
      <c r="BW67" s="35"/>
      <c r="BX67" s="35"/>
      <c r="BY67" s="35"/>
      <c r="BZ67" s="35"/>
      <c r="CA67" s="35"/>
      <c r="CB67" s="35"/>
      <c r="CC67" s="35"/>
      <c r="CD67" s="35"/>
      <c r="CE67" s="35"/>
      <c r="CF67" s="35"/>
      <c r="CG67" s="35"/>
      <c r="CH67" s="35"/>
      <c r="CI67" s="35"/>
      <c r="CJ67" s="35"/>
      <c r="CK67" s="35"/>
      <c r="CL67" s="35"/>
      <c r="CM67" s="35"/>
      <c r="CN67" s="35"/>
      <c r="CO67" s="35"/>
      <c r="CP67" s="35"/>
      <c r="CQ67" s="35"/>
      <c r="CR67" s="35"/>
      <c r="CS67" s="35"/>
      <c r="CT67" s="35"/>
      <c r="CU67" s="35"/>
      <c r="CV67" s="35"/>
      <c r="CW67" s="35"/>
      <c r="CX67" s="35"/>
      <c r="CY67" s="35"/>
      <c r="CZ67" s="35"/>
      <c r="DA67" s="35"/>
      <c r="DB67" s="35"/>
      <c r="DC67" s="35"/>
      <c r="DD67" s="35"/>
      <c r="DE67" s="35"/>
      <c r="DF67" s="35"/>
      <c r="DG67" s="35"/>
      <c r="DH67" s="35"/>
      <c r="DI67" s="35"/>
      <c r="DJ67" s="35"/>
      <c r="DK67" s="35"/>
      <c r="DL67" s="35"/>
      <c r="DM67" s="35"/>
      <c r="DN67" s="35"/>
      <c r="DO67" s="35"/>
      <c r="DP67" s="35"/>
      <c r="DQ67" s="35"/>
      <c r="DR67" s="35"/>
      <c r="DS67" s="35"/>
      <c r="DT67" s="35"/>
      <c r="DU67" s="35"/>
      <c r="DV67" s="35"/>
      <c r="DW67" s="35"/>
      <c r="DX67" s="35"/>
      <c r="DY67" s="35"/>
      <c r="DZ67" s="35"/>
      <c r="EA67" s="35"/>
      <c r="EB67" s="35"/>
      <c r="EC67" s="35"/>
      <c r="ED67" s="35"/>
      <c r="EE67" s="35"/>
      <c r="EF67" s="35"/>
      <c r="EG67" s="35"/>
      <c r="EH67" s="35"/>
      <c r="EI67" s="35"/>
      <c r="EJ67" s="35"/>
      <c r="EK67" s="35"/>
      <c r="EL67" s="35"/>
      <c r="EM67" s="35"/>
      <c r="EN67" s="35"/>
      <c r="EO67" s="35"/>
      <c r="EP67" s="35"/>
      <c r="EQ67" s="35"/>
      <c r="ER67" s="35"/>
      <c r="ES67" s="35"/>
      <c r="ET67" s="35"/>
      <c r="EU67" s="35"/>
      <c r="EV67" s="35"/>
      <c r="EW67" s="35"/>
      <c r="EX67" s="35"/>
      <c r="EY67" s="35"/>
      <c r="EZ67" s="35"/>
      <c r="FA67" s="35"/>
      <c r="FB67" s="35"/>
      <c r="FC67" s="458">
        <f t="shared" si="3"/>
        <v>0</v>
      </c>
      <c r="FD67">
        <f t="shared" ref="FD67:FD130" si="8">INT(FC67/10000000)</f>
        <v>0</v>
      </c>
      <c r="FE67" t="e">
        <f t="shared" ref="FE67:FE130" si="9">VLOOKUP(FD67,Table_acad,2)</f>
        <v>#N/A</v>
      </c>
      <c r="FI67" s="731" t="e">
        <f t="shared" si="4"/>
        <v>#VALUE!</v>
      </c>
      <c r="FK67" s="471" t="str">
        <f t="shared" si="5"/>
        <v xml:space="preserve"> </v>
      </c>
      <c r="FL67" s="730">
        <f t="shared" si="6"/>
        <v>0</v>
      </c>
      <c r="FM67" s="471" t="str">
        <f t="shared" si="7"/>
        <v/>
      </c>
      <c r="FN67" s="730">
        <f t="shared" ref="FN67:FN110" si="10">L67</f>
        <v>0</v>
      </c>
    </row>
    <row r="68" spans="1:170" s="33" customFormat="1" x14ac:dyDescent="0.2">
      <c r="A68" s="34" t="s">
        <v>118</v>
      </c>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c r="BO68" s="35"/>
      <c r="BP68" s="35"/>
      <c r="BQ68" s="35"/>
      <c r="BR68" s="35"/>
      <c r="BS68" s="35"/>
      <c r="BT68" s="35"/>
      <c r="BU68" s="35"/>
      <c r="BV68" s="35"/>
      <c r="BW68" s="35"/>
      <c r="BX68" s="35"/>
      <c r="BY68" s="35"/>
      <c r="BZ68" s="35"/>
      <c r="CA68" s="35"/>
      <c r="CB68" s="35"/>
      <c r="CC68" s="35"/>
      <c r="CD68" s="35"/>
      <c r="CE68" s="35"/>
      <c r="CF68" s="35"/>
      <c r="CG68" s="35"/>
      <c r="CH68" s="35"/>
      <c r="CI68" s="35"/>
      <c r="CJ68" s="35"/>
      <c r="CK68" s="35"/>
      <c r="CL68" s="35"/>
      <c r="CM68" s="35"/>
      <c r="CN68" s="35"/>
      <c r="CO68" s="35"/>
      <c r="CP68" s="35"/>
      <c r="CQ68" s="35"/>
      <c r="CR68" s="35"/>
      <c r="CS68" s="35"/>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35"/>
      <c r="DS68" s="35"/>
      <c r="DT68" s="35"/>
      <c r="DU68" s="35"/>
      <c r="DV68" s="35"/>
      <c r="DW68" s="35"/>
      <c r="DX68" s="35"/>
      <c r="DY68" s="35"/>
      <c r="DZ68" s="35"/>
      <c r="EA68" s="35"/>
      <c r="EB68" s="35"/>
      <c r="EC68" s="35"/>
      <c r="ED68" s="35"/>
      <c r="EE68" s="35"/>
      <c r="EF68" s="35"/>
      <c r="EG68" s="35"/>
      <c r="EH68" s="35"/>
      <c r="EI68" s="35"/>
      <c r="EJ68" s="35"/>
      <c r="EK68" s="35"/>
      <c r="EL68" s="35"/>
      <c r="EM68" s="35"/>
      <c r="EN68" s="35"/>
      <c r="EO68" s="35"/>
      <c r="EP68" s="35"/>
      <c r="EQ68" s="35"/>
      <c r="ER68" s="35"/>
      <c r="ES68" s="35"/>
      <c r="ET68" s="35"/>
      <c r="EU68" s="35"/>
      <c r="EV68" s="35"/>
      <c r="EW68" s="35"/>
      <c r="EX68" s="35"/>
      <c r="EY68" s="35"/>
      <c r="EZ68" s="35"/>
      <c r="FA68" s="35"/>
      <c r="FB68" s="35"/>
      <c r="FC68" s="458">
        <f t="shared" ref="FC68:FC131" si="11">VALUE(B68)</f>
        <v>0</v>
      </c>
      <c r="FD68">
        <f t="shared" si="8"/>
        <v>0</v>
      </c>
      <c r="FE68" t="e">
        <f t="shared" si="9"/>
        <v>#N/A</v>
      </c>
      <c r="FI68" s="731" t="e">
        <f t="shared" ref="FI68:FI131" si="12">DATEVALUE(E68)</f>
        <v>#VALUE!</v>
      </c>
      <c r="FK68" s="471" t="str">
        <f t="shared" ref="FK68:FK131" si="13">LEFT(B68,5)&amp;" "&amp;RIGHT(B68,4)</f>
        <v xml:space="preserve"> </v>
      </c>
      <c r="FL68" s="730">
        <f t="shared" ref="FL68:FL131" si="14">N68</f>
        <v>0</v>
      </c>
      <c r="FM68" s="471" t="str">
        <f t="shared" ref="FM68:FM131" si="15">IF(FN68="jeune coach","oui","")</f>
        <v/>
      </c>
      <c r="FN68" s="730">
        <f t="shared" si="10"/>
        <v>0</v>
      </c>
    </row>
    <row r="69" spans="1:170" s="33" customFormat="1" x14ac:dyDescent="0.2">
      <c r="A69" s="34" t="s">
        <v>119</v>
      </c>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c r="BO69" s="35"/>
      <c r="BP69" s="35"/>
      <c r="BQ69" s="35"/>
      <c r="BR69" s="35"/>
      <c r="BS69" s="35"/>
      <c r="BT69" s="35"/>
      <c r="BU69" s="35"/>
      <c r="BV69" s="35"/>
      <c r="BW69" s="35"/>
      <c r="BX69" s="35"/>
      <c r="BY69" s="35"/>
      <c r="BZ69" s="35"/>
      <c r="CA69" s="35"/>
      <c r="CB69" s="35"/>
      <c r="CC69" s="35"/>
      <c r="CD69" s="35"/>
      <c r="CE69" s="35"/>
      <c r="CF69" s="35"/>
      <c r="CG69" s="35"/>
      <c r="CH69" s="35"/>
      <c r="CI69" s="35"/>
      <c r="CJ69" s="35"/>
      <c r="CK69" s="35"/>
      <c r="CL69" s="35"/>
      <c r="CM69" s="35"/>
      <c r="CN69" s="35"/>
      <c r="CO69" s="35"/>
      <c r="CP69" s="35"/>
      <c r="CQ69" s="35"/>
      <c r="CR69" s="35"/>
      <c r="CS69" s="35"/>
      <c r="CT69" s="35"/>
      <c r="CU69" s="35"/>
      <c r="CV69" s="35"/>
      <c r="CW69" s="35"/>
      <c r="CX69" s="35"/>
      <c r="CY69" s="35"/>
      <c r="CZ69" s="35"/>
      <c r="DA69" s="35"/>
      <c r="DB69" s="35"/>
      <c r="DC69" s="35"/>
      <c r="DD69" s="35"/>
      <c r="DE69" s="35"/>
      <c r="DF69" s="35"/>
      <c r="DG69" s="35"/>
      <c r="DH69" s="35"/>
      <c r="DI69" s="35"/>
      <c r="DJ69" s="35"/>
      <c r="DK69" s="35"/>
      <c r="DL69" s="35"/>
      <c r="DM69" s="35"/>
      <c r="DN69" s="35"/>
      <c r="DO69" s="35"/>
      <c r="DP69" s="35"/>
      <c r="DQ69" s="35"/>
      <c r="DR69" s="35"/>
      <c r="DS69" s="35"/>
      <c r="DT69" s="35"/>
      <c r="DU69" s="35"/>
      <c r="DV69" s="35"/>
      <c r="DW69" s="35"/>
      <c r="DX69" s="35"/>
      <c r="DY69" s="35"/>
      <c r="DZ69" s="35"/>
      <c r="EA69" s="35"/>
      <c r="EB69" s="35"/>
      <c r="EC69" s="35"/>
      <c r="ED69" s="35"/>
      <c r="EE69" s="35"/>
      <c r="EF69" s="35"/>
      <c r="EG69" s="35"/>
      <c r="EH69" s="35"/>
      <c r="EI69" s="35"/>
      <c r="EJ69" s="35"/>
      <c r="EK69" s="35"/>
      <c r="EL69" s="35"/>
      <c r="EM69" s="35"/>
      <c r="EN69" s="35"/>
      <c r="EO69" s="35"/>
      <c r="EP69" s="35"/>
      <c r="EQ69" s="35"/>
      <c r="ER69" s="35"/>
      <c r="ES69" s="35"/>
      <c r="ET69" s="35"/>
      <c r="EU69" s="35"/>
      <c r="EV69" s="35"/>
      <c r="EW69" s="35"/>
      <c r="EX69" s="35"/>
      <c r="EY69" s="35"/>
      <c r="EZ69" s="35"/>
      <c r="FA69" s="35"/>
      <c r="FB69" s="35"/>
      <c r="FC69" s="458">
        <f t="shared" si="11"/>
        <v>0</v>
      </c>
      <c r="FD69">
        <f t="shared" si="8"/>
        <v>0</v>
      </c>
      <c r="FE69" t="e">
        <f t="shared" si="9"/>
        <v>#N/A</v>
      </c>
      <c r="FI69" s="731" t="e">
        <f t="shared" si="12"/>
        <v>#VALUE!</v>
      </c>
      <c r="FK69" s="471" t="str">
        <f t="shared" si="13"/>
        <v xml:space="preserve"> </v>
      </c>
      <c r="FL69" s="730">
        <f t="shared" si="14"/>
        <v>0</v>
      </c>
      <c r="FM69" s="471" t="str">
        <f t="shared" si="15"/>
        <v/>
      </c>
      <c r="FN69" s="730">
        <f t="shared" si="10"/>
        <v>0</v>
      </c>
    </row>
    <row r="70" spans="1:170" s="33" customFormat="1" x14ac:dyDescent="0.2">
      <c r="A70" s="34" t="s">
        <v>120</v>
      </c>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c r="BO70" s="35"/>
      <c r="BP70" s="35"/>
      <c r="BQ70" s="35"/>
      <c r="BR70" s="35"/>
      <c r="BS70" s="35"/>
      <c r="BT70" s="35"/>
      <c r="BU70" s="35"/>
      <c r="BV70" s="35"/>
      <c r="BW70" s="35"/>
      <c r="BX70" s="35"/>
      <c r="BY70" s="35"/>
      <c r="BZ70" s="35"/>
      <c r="CA70" s="35"/>
      <c r="CB70" s="35"/>
      <c r="CC70" s="35"/>
      <c r="CD70" s="35"/>
      <c r="CE70" s="35"/>
      <c r="CF70" s="35"/>
      <c r="CG70" s="35"/>
      <c r="CH70" s="35"/>
      <c r="CI70" s="35"/>
      <c r="CJ70" s="35"/>
      <c r="CK70" s="35"/>
      <c r="CL70" s="35"/>
      <c r="CM70" s="35"/>
      <c r="CN70" s="35"/>
      <c r="CO70" s="35"/>
      <c r="CP70" s="35"/>
      <c r="CQ70" s="35"/>
      <c r="CR70" s="35"/>
      <c r="CS70" s="35"/>
      <c r="CT70" s="35"/>
      <c r="CU70" s="35"/>
      <c r="CV70" s="35"/>
      <c r="CW70" s="35"/>
      <c r="CX70" s="35"/>
      <c r="CY70" s="35"/>
      <c r="CZ70" s="35"/>
      <c r="DA70" s="35"/>
      <c r="DB70" s="35"/>
      <c r="DC70" s="35"/>
      <c r="DD70" s="35"/>
      <c r="DE70" s="35"/>
      <c r="DF70" s="35"/>
      <c r="DG70" s="35"/>
      <c r="DH70" s="35"/>
      <c r="DI70" s="35"/>
      <c r="DJ70" s="35"/>
      <c r="DK70" s="35"/>
      <c r="DL70" s="35"/>
      <c r="DM70" s="35"/>
      <c r="DN70" s="35"/>
      <c r="DO70" s="35"/>
      <c r="DP70" s="35"/>
      <c r="DQ70" s="35"/>
      <c r="DR70" s="35"/>
      <c r="DS70" s="35"/>
      <c r="DT70" s="35"/>
      <c r="DU70" s="35"/>
      <c r="DV70" s="35"/>
      <c r="DW70" s="35"/>
      <c r="DX70" s="35"/>
      <c r="DY70" s="35"/>
      <c r="DZ70" s="35"/>
      <c r="EA70" s="35"/>
      <c r="EB70" s="35"/>
      <c r="EC70" s="35"/>
      <c r="ED70" s="35"/>
      <c r="EE70" s="35"/>
      <c r="EF70" s="35"/>
      <c r="EG70" s="35"/>
      <c r="EH70" s="35"/>
      <c r="EI70" s="35"/>
      <c r="EJ70" s="35"/>
      <c r="EK70" s="35"/>
      <c r="EL70" s="35"/>
      <c r="EM70" s="35"/>
      <c r="EN70" s="35"/>
      <c r="EO70" s="35"/>
      <c r="EP70" s="35"/>
      <c r="EQ70" s="35"/>
      <c r="ER70" s="35"/>
      <c r="ES70" s="35"/>
      <c r="ET70" s="35"/>
      <c r="EU70" s="35"/>
      <c r="EV70" s="35"/>
      <c r="EW70" s="35"/>
      <c r="EX70" s="35"/>
      <c r="EY70" s="35"/>
      <c r="EZ70" s="35"/>
      <c r="FA70" s="35"/>
      <c r="FB70" s="35"/>
      <c r="FC70" s="458">
        <f t="shared" si="11"/>
        <v>0</v>
      </c>
      <c r="FD70">
        <f t="shared" si="8"/>
        <v>0</v>
      </c>
      <c r="FE70" t="e">
        <f t="shared" si="9"/>
        <v>#N/A</v>
      </c>
      <c r="FI70" s="731" t="e">
        <f t="shared" si="12"/>
        <v>#VALUE!</v>
      </c>
      <c r="FK70" s="471" t="str">
        <f t="shared" si="13"/>
        <v xml:space="preserve"> </v>
      </c>
      <c r="FL70" s="730">
        <f t="shared" si="14"/>
        <v>0</v>
      </c>
      <c r="FM70" s="471" t="str">
        <f t="shared" si="15"/>
        <v/>
      </c>
      <c r="FN70" s="730">
        <f t="shared" si="10"/>
        <v>0</v>
      </c>
    </row>
    <row r="71" spans="1:170" s="33" customFormat="1" x14ac:dyDescent="0.2">
      <c r="A71" s="34" t="s">
        <v>121</v>
      </c>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35"/>
      <c r="BM71" s="35"/>
      <c r="BN71" s="35"/>
      <c r="BO71" s="35"/>
      <c r="BP71" s="35"/>
      <c r="BQ71" s="35"/>
      <c r="BR71" s="35"/>
      <c r="BS71" s="35"/>
      <c r="BT71" s="35"/>
      <c r="BU71" s="35"/>
      <c r="BV71" s="35"/>
      <c r="BW71" s="35"/>
      <c r="BX71" s="35"/>
      <c r="BY71" s="35"/>
      <c r="BZ71" s="35"/>
      <c r="CA71" s="35"/>
      <c r="CB71" s="35"/>
      <c r="CC71" s="35"/>
      <c r="CD71" s="35"/>
      <c r="CE71" s="35"/>
      <c r="CF71" s="35"/>
      <c r="CG71" s="35"/>
      <c r="CH71" s="35"/>
      <c r="CI71" s="35"/>
      <c r="CJ71" s="35"/>
      <c r="CK71" s="35"/>
      <c r="CL71" s="35"/>
      <c r="CM71" s="35"/>
      <c r="CN71" s="35"/>
      <c r="CO71" s="35"/>
      <c r="CP71" s="35"/>
      <c r="CQ71" s="35"/>
      <c r="CR71" s="35"/>
      <c r="CS71" s="35"/>
      <c r="CT71" s="35"/>
      <c r="CU71" s="35"/>
      <c r="CV71" s="35"/>
      <c r="CW71" s="35"/>
      <c r="CX71" s="35"/>
      <c r="CY71" s="35"/>
      <c r="CZ71" s="35"/>
      <c r="DA71" s="35"/>
      <c r="DB71" s="35"/>
      <c r="DC71" s="35"/>
      <c r="DD71" s="35"/>
      <c r="DE71" s="35"/>
      <c r="DF71" s="35"/>
      <c r="DG71" s="35"/>
      <c r="DH71" s="35"/>
      <c r="DI71" s="35"/>
      <c r="DJ71" s="35"/>
      <c r="DK71" s="35"/>
      <c r="DL71" s="35"/>
      <c r="DM71" s="35"/>
      <c r="DN71" s="35"/>
      <c r="DO71" s="35"/>
      <c r="DP71" s="35"/>
      <c r="DQ71" s="35"/>
      <c r="DR71" s="35"/>
      <c r="DS71" s="35"/>
      <c r="DT71" s="35"/>
      <c r="DU71" s="35"/>
      <c r="DV71" s="35"/>
      <c r="DW71" s="35"/>
      <c r="DX71" s="35"/>
      <c r="DY71" s="35"/>
      <c r="DZ71" s="35"/>
      <c r="EA71" s="35"/>
      <c r="EB71" s="35"/>
      <c r="EC71" s="35"/>
      <c r="ED71" s="35"/>
      <c r="EE71" s="35"/>
      <c r="EF71" s="35"/>
      <c r="EG71" s="35"/>
      <c r="EH71" s="35"/>
      <c r="EI71" s="35"/>
      <c r="EJ71" s="35"/>
      <c r="EK71" s="35"/>
      <c r="EL71" s="35"/>
      <c r="EM71" s="35"/>
      <c r="EN71" s="35"/>
      <c r="EO71" s="35"/>
      <c r="EP71" s="35"/>
      <c r="EQ71" s="35"/>
      <c r="ER71" s="35"/>
      <c r="ES71" s="35"/>
      <c r="ET71" s="35"/>
      <c r="EU71" s="35"/>
      <c r="EV71" s="35"/>
      <c r="EW71" s="35"/>
      <c r="EX71" s="35"/>
      <c r="EY71" s="35"/>
      <c r="EZ71" s="35"/>
      <c r="FA71" s="35"/>
      <c r="FB71" s="35"/>
      <c r="FC71" s="458">
        <f t="shared" si="11"/>
        <v>0</v>
      </c>
      <c r="FD71">
        <f t="shared" si="8"/>
        <v>0</v>
      </c>
      <c r="FE71" t="e">
        <f t="shared" si="9"/>
        <v>#N/A</v>
      </c>
      <c r="FI71" s="731" t="e">
        <f t="shared" si="12"/>
        <v>#VALUE!</v>
      </c>
      <c r="FK71" s="471" t="str">
        <f t="shared" si="13"/>
        <v xml:space="preserve"> </v>
      </c>
      <c r="FL71" s="730">
        <f t="shared" si="14"/>
        <v>0</v>
      </c>
      <c r="FM71" s="471" t="str">
        <f t="shared" si="15"/>
        <v/>
      </c>
      <c r="FN71" s="730">
        <f t="shared" si="10"/>
        <v>0</v>
      </c>
    </row>
    <row r="72" spans="1:170" s="33" customFormat="1" x14ac:dyDescent="0.2">
      <c r="A72" s="34" t="s">
        <v>122</v>
      </c>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c r="BN72" s="35"/>
      <c r="BO72" s="35"/>
      <c r="BP72" s="35"/>
      <c r="BQ72" s="35"/>
      <c r="BR72" s="35"/>
      <c r="BS72" s="35"/>
      <c r="BT72" s="35"/>
      <c r="BU72" s="35"/>
      <c r="BV72" s="35"/>
      <c r="BW72" s="35"/>
      <c r="BX72" s="35"/>
      <c r="BY72" s="35"/>
      <c r="BZ72" s="35"/>
      <c r="CA72" s="35"/>
      <c r="CB72" s="35"/>
      <c r="CC72" s="35"/>
      <c r="CD72" s="35"/>
      <c r="CE72" s="35"/>
      <c r="CF72" s="35"/>
      <c r="CG72" s="35"/>
      <c r="CH72" s="35"/>
      <c r="CI72" s="35"/>
      <c r="CJ72" s="35"/>
      <c r="CK72" s="35"/>
      <c r="CL72" s="35"/>
      <c r="CM72" s="35"/>
      <c r="CN72" s="35"/>
      <c r="CO72" s="35"/>
      <c r="CP72" s="35"/>
      <c r="CQ72" s="35"/>
      <c r="CR72" s="35"/>
      <c r="CS72" s="35"/>
      <c r="CT72" s="35"/>
      <c r="CU72" s="35"/>
      <c r="CV72" s="35"/>
      <c r="CW72" s="35"/>
      <c r="CX72" s="35"/>
      <c r="CY72" s="35"/>
      <c r="CZ72" s="35"/>
      <c r="DA72" s="35"/>
      <c r="DB72" s="35"/>
      <c r="DC72" s="35"/>
      <c r="DD72" s="35"/>
      <c r="DE72" s="35"/>
      <c r="DF72" s="35"/>
      <c r="DG72" s="35"/>
      <c r="DH72" s="35"/>
      <c r="DI72" s="35"/>
      <c r="DJ72" s="35"/>
      <c r="DK72" s="35"/>
      <c r="DL72" s="35"/>
      <c r="DM72" s="35"/>
      <c r="DN72" s="35"/>
      <c r="DO72" s="35"/>
      <c r="DP72" s="35"/>
      <c r="DQ72" s="35"/>
      <c r="DR72" s="35"/>
      <c r="DS72" s="35"/>
      <c r="DT72" s="35"/>
      <c r="DU72" s="35"/>
      <c r="DV72" s="35"/>
      <c r="DW72" s="35"/>
      <c r="DX72" s="35"/>
      <c r="DY72" s="35"/>
      <c r="DZ72" s="35"/>
      <c r="EA72" s="35"/>
      <c r="EB72" s="35"/>
      <c r="EC72" s="35"/>
      <c r="ED72" s="35"/>
      <c r="EE72" s="35"/>
      <c r="EF72" s="35"/>
      <c r="EG72" s="35"/>
      <c r="EH72" s="35"/>
      <c r="EI72" s="35"/>
      <c r="EJ72" s="35"/>
      <c r="EK72" s="35"/>
      <c r="EL72" s="35"/>
      <c r="EM72" s="35"/>
      <c r="EN72" s="35"/>
      <c r="EO72" s="35"/>
      <c r="EP72" s="35"/>
      <c r="EQ72" s="35"/>
      <c r="ER72" s="35"/>
      <c r="ES72" s="35"/>
      <c r="ET72" s="35"/>
      <c r="EU72" s="35"/>
      <c r="EV72" s="35"/>
      <c r="EW72" s="35"/>
      <c r="EX72" s="35"/>
      <c r="EY72" s="35"/>
      <c r="EZ72" s="35"/>
      <c r="FA72" s="35"/>
      <c r="FB72" s="35"/>
      <c r="FC72" s="458">
        <f t="shared" si="11"/>
        <v>0</v>
      </c>
      <c r="FD72">
        <f t="shared" si="8"/>
        <v>0</v>
      </c>
      <c r="FE72" t="e">
        <f t="shared" si="9"/>
        <v>#N/A</v>
      </c>
      <c r="FI72" s="731" t="e">
        <f t="shared" si="12"/>
        <v>#VALUE!</v>
      </c>
      <c r="FK72" s="471" t="str">
        <f t="shared" si="13"/>
        <v xml:space="preserve"> </v>
      </c>
      <c r="FL72" s="730">
        <f t="shared" si="14"/>
        <v>0</v>
      </c>
      <c r="FM72" s="471" t="str">
        <f t="shared" si="15"/>
        <v/>
      </c>
      <c r="FN72" s="730">
        <f t="shared" si="10"/>
        <v>0</v>
      </c>
    </row>
    <row r="73" spans="1:170" s="33" customFormat="1" x14ac:dyDescent="0.2">
      <c r="A73" s="34" t="s">
        <v>123</v>
      </c>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c r="BO73" s="35"/>
      <c r="BP73" s="35"/>
      <c r="BQ73" s="35"/>
      <c r="BR73" s="35"/>
      <c r="BS73" s="35"/>
      <c r="BT73" s="35"/>
      <c r="BU73" s="35"/>
      <c r="BV73" s="35"/>
      <c r="BW73" s="35"/>
      <c r="BX73" s="35"/>
      <c r="BY73" s="35"/>
      <c r="BZ73" s="35"/>
      <c r="CA73" s="35"/>
      <c r="CB73" s="35"/>
      <c r="CC73" s="35"/>
      <c r="CD73" s="35"/>
      <c r="CE73" s="35"/>
      <c r="CF73" s="35"/>
      <c r="CG73" s="35"/>
      <c r="CH73" s="35"/>
      <c r="CI73" s="35"/>
      <c r="CJ73" s="35"/>
      <c r="CK73" s="35"/>
      <c r="CL73" s="35"/>
      <c r="CM73" s="35"/>
      <c r="CN73" s="35"/>
      <c r="CO73" s="35"/>
      <c r="CP73" s="35"/>
      <c r="CQ73" s="35"/>
      <c r="CR73" s="35"/>
      <c r="CS73" s="35"/>
      <c r="CT73" s="35"/>
      <c r="CU73" s="35"/>
      <c r="CV73" s="35"/>
      <c r="CW73" s="35"/>
      <c r="CX73" s="35"/>
      <c r="CY73" s="35"/>
      <c r="CZ73" s="35"/>
      <c r="DA73" s="35"/>
      <c r="DB73" s="35"/>
      <c r="DC73" s="35"/>
      <c r="DD73" s="35"/>
      <c r="DE73" s="35"/>
      <c r="DF73" s="35"/>
      <c r="DG73" s="35"/>
      <c r="DH73" s="35"/>
      <c r="DI73" s="35"/>
      <c r="DJ73" s="35"/>
      <c r="DK73" s="35"/>
      <c r="DL73" s="35"/>
      <c r="DM73" s="35"/>
      <c r="DN73" s="35"/>
      <c r="DO73" s="35"/>
      <c r="DP73" s="35"/>
      <c r="DQ73" s="35"/>
      <c r="DR73" s="35"/>
      <c r="DS73" s="35"/>
      <c r="DT73" s="35"/>
      <c r="DU73" s="35"/>
      <c r="DV73" s="35"/>
      <c r="DW73" s="35"/>
      <c r="DX73" s="35"/>
      <c r="DY73" s="35"/>
      <c r="DZ73" s="35"/>
      <c r="EA73" s="35"/>
      <c r="EB73" s="35"/>
      <c r="EC73" s="35"/>
      <c r="ED73" s="35"/>
      <c r="EE73" s="35"/>
      <c r="EF73" s="35"/>
      <c r="EG73" s="35"/>
      <c r="EH73" s="35"/>
      <c r="EI73" s="35"/>
      <c r="EJ73" s="35"/>
      <c r="EK73" s="35"/>
      <c r="EL73" s="35"/>
      <c r="EM73" s="35"/>
      <c r="EN73" s="35"/>
      <c r="EO73" s="35"/>
      <c r="EP73" s="35"/>
      <c r="EQ73" s="35"/>
      <c r="ER73" s="35"/>
      <c r="ES73" s="35"/>
      <c r="ET73" s="35"/>
      <c r="EU73" s="35"/>
      <c r="EV73" s="35"/>
      <c r="EW73" s="35"/>
      <c r="EX73" s="35"/>
      <c r="EY73" s="35"/>
      <c r="EZ73" s="35"/>
      <c r="FA73" s="35"/>
      <c r="FB73" s="35"/>
      <c r="FC73" s="458">
        <f t="shared" si="11"/>
        <v>0</v>
      </c>
      <c r="FD73">
        <f t="shared" si="8"/>
        <v>0</v>
      </c>
      <c r="FE73" t="e">
        <f t="shared" si="9"/>
        <v>#N/A</v>
      </c>
      <c r="FI73" s="731" t="e">
        <f t="shared" si="12"/>
        <v>#VALUE!</v>
      </c>
      <c r="FK73" s="471" t="str">
        <f t="shared" si="13"/>
        <v xml:space="preserve"> </v>
      </c>
      <c r="FL73" s="730">
        <f t="shared" si="14"/>
        <v>0</v>
      </c>
      <c r="FM73" s="471" t="str">
        <f t="shared" si="15"/>
        <v/>
      </c>
      <c r="FN73" s="730">
        <f t="shared" si="10"/>
        <v>0</v>
      </c>
    </row>
    <row r="74" spans="1:170" s="33" customFormat="1" x14ac:dyDescent="0.2">
      <c r="A74" s="34" t="s">
        <v>124</v>
      </c>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c r="BO74" s="35"/>
      <c r="BP74" s="35"/>
      <c r="BQ74" s="35"/>
      <c r="BR74" s="35"/>
      <c r="BS74" s="35"/>
      <c r="BT74" s="35"/>
      <c r="BU74" s="35"/>
      <c r="BV74" s="35"/>
      <c r="BW74" s="35"/>
      <c r="BX74" s="35"/>
      <c r="BY74" s="35"/>
      <c r="BZ74" s="35"/>
      <c r="CA74" s="35"/>
      <c r="CB74" s="35"/>
      <c r="CC74" s="35"/>
      <c r="CD74" s="35"/>
      <c r="CE74" s="35"/>
      <c r="CF74" s="35"/>
      <c r="CG74" s="35"/>
      <c r="CH74" s="35"/>
      <c r="CI74" s="35"/>
      <c r="CJ74" s="35"/>
      <c r="CK74" s="35"/>
      <c r="CL74" s="35"/>
      <c r="CM74" s="35"/>
      <c r="CN74" s="35"/>
      <c r="CO74" s="35"/>
      <c r="CP74" s="35"/>
      <c r="CQ74" s="35"/>
      <c r="CR74" s="35"/>
      <c r="CS74" s="35"/>
      <c r="CT74" s="35"/>
      <c r="CU74" s="35"/>
      <c r="CV74" s="35"/>
      <c r="CW74" s="35"/>
      <c r="CX74" s="35"/>
      <c r="CY74" s="35"/>
      <c r="CZ74" s="35"/>
      <c r="DA74" s="35"/>
      <c r="DB74" s="35"/>
      <c r="DC74" s="35"/>
      <c r="DD74" s="35"/>
      <c r="DE74" s="35"/>
      <c r="DF74" s="35"/>
      <c r="DG74" s="35"/>
      <c r="DH74" s="35"/>
      <c r="DI74" s="35"/>
      <c r="DJ74" s="35"/>
      <c r="DK74" s="35"/>
      <c r="DL74" s="35"/>
      <c r="DM74" s="35"/>
      <c r="DN74" s="35"/>
      <c r="DO74" s="35"/>
      <c r="DP74" s="35"/>
      <c r="DQ74" s="35"/>
      <c r="DR74" s="35"/>
      <c r="DS74" s="35"/>
      <c r="DT74" s="35"/>
      <c r="DU74" s="35"/>
      <c r="DV74" s="35"/>
      <c r="DW74" s="35"/>
      <c r="DX74" s="35"/>
      <c r="DY74" s="35"/>
      <c r="DZ74" s="35"/>
      <c r="EA74" s="35"/>
      <c r="EB74" s="35"/>
      <c r="EC74" s="35"/>
      <c r="ED74" s="35"/>
      <c r="EE74" s="35"/>
      <c r="EF74" s="35"/>
      <c r="EG74" s="35"/>
      <c r="EH74" s="35"/>
      <c r="EI74" s="35"/>
      <c r="EJ74" s="35"/>
      <c r="EK74" s="35"/>
      <c r="EL74" s="35"/>
      <c r="EM74" s="35"/>
      <c r="EN74" s="35"/>
      <c r="EO74" s="35"/>
      <c r="EP74" s="35"/>
      <c r="EQ74" s="35"/>
      <c r="ER74" s="35"/>
      <c r="ES74" s="35"/>
      <c r="ET74" s="35"/>
      <c r="EU74" s="35"/>
      <c r="EV74" s="35"/>
      <c r="EW74" s="35"/>
      <c r="EX74" s="35"/>
      <c r="EY74" s="35"/>
      <c r="EZ74" s="35"/>
      <c r="FA74" s="35"/>
      <c r="FB74" s="35"/>
      <c r="FC74" s="458">
        <f t="shared" si="11"/>
        <v>0</v>
      </c>
      <c r="FD74">
        <f t="shared" si="8"/>
        <v>0</v>
      </c>
      <c r="FE74" t="e">
        <f t="shared" si="9"/>
        <v>#N/A</v>
      </c>
      <c r="FI74" s="731" t="e">
        <f t="shared" si="12"/>
        <v>#VALUE!</v>
      </c>
      <c r="FK74" s="471" t="str">
        <f t="shared" si="13"/>
        <v xml:space="preserve"> </v>
      </c>
      <c r="FL74" s="730">
        <f t="shared" si="14"/>
        <v>0</v>
      </c>
      <c r="FM74" s="471" t="str">
        <f t="shared" si="15"/>
        <v/>
      </c>
      <c r="FN74" s="730">
        <f t="shared" si="10"/>
        <v>0</v>
      </c>
    </row>
    <row r="75" spans="1:170" s="33" customFormat="1" x14ac:dyDescent="0.2">
      <c r="A75" s="34" t="s">
        <v>125</v>
      </c>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c r="BO75" s="35"/>
      <c r="BP75" s="35"/>
      <c r="BQ75" s="35"/>
      <c r="BR75" s="35"/>
      <c r="BS75" s="35"/>
      <c r="BT75" s="35"/>
      <c r="BU75" s="35"/>
      <c r="BV75" s="35"/>
      <c r="BW75" s="35"/>
      <c r="BX75" s="35"/>
      <c r="BY75" s="35"/>
      <c r="BZ75" s="35"/>
      <c r="CA75" s="35"/>
      <c r="CB75" s="35"/>
      <c r="CC75" s="35"/>
      <c r="CD75" s="35"/>
      <c r="CE75" s="35"/>
      <c r="CF75" s="35"/>
      <c r="CG75" s="35"/>
      <c r="CH75" s="35"/>
      <c r="CI75" s="35"/>
      <c r="CJ75" s="35"/>
      <c r="CK75" s="35"/>
      <c r="CL75" s="35"/>
      <c r="CM75" s="35"/>
      <c r="CN75" s="35"/>
      <c r="CO75" s="35"/>
      <c r="CP75" s="35"/>
      <c r="CQ75" s="35"/>
      <c r="CR75" s="35"/>
      <c r="CS75" s="35"/>
      <c r="CT75" s="35"/>
      <c r="CU75" s="35"/>
      <c r="CV75" s="35"/>
      <c r="CW75" s="35"/>
      <c r="CX75" s="35"/>
      <c r="CY75" s="35"/>
      <c r="CZ75" s="35"/>
      <c r="DA75" s="35"/>
      <c r="DB75" s="35"/>
      <c r="DC75" s="35"/>
      <c r="DD75" s="35"/>
      <c r="DE75" s="35"/>
      <c r="DF75" s="35"/>
      <c r="DG75" s="35"/>
      <c r="DH75" s="35"/>
      <c r="DI75" s="35"/>
      <c r="DJ75" s="35"/>
      <c r="DK75" s="35"/>
      <c r="DL75" s="35"/>
      <c r="DM75" s="35"/>
      <c r="DN75" s="35"/>
      <c r="DO75" s="35"/>
      <c r="DP75" s="35"/>
      <c r="DQ75" s="35"/>
      <c r="DR75" s="35"/>
      <c r="DS75" s="35"/>
      <c r="DT75" s="35"/>
      <c r="DU75" s="35"/>
      <c r="DV75" s="35"/>
      <c r="DW75" s="35"/>
      <c r="DX75" s="35"/>
      <c r="DY75" s="35"/>
      <c r="DZ75" s="35"/>
      <c r="EA75" s="35"/>
      <c r="EB75" s="35"/>
      <c r="EC75" s="35"/>
      <c r="ED75" s="35"/>
      <c r="EE75" s="35"/>
      <c r="EF75" s="35"/>
      <c r="EG75" s="35"/>
      <c r="EH75" s="35"/>
      <c r="EI75" s="35"/>
      <c r="EJ75" s="35"/>
      <c r="EK75" s="35"/>
      <c r="EL75" s="35"/>
      <c r="EM75" s="35"/>
      <c r="EN75" s="35"/>
      <c r="EO75" s="35"/>
      <c r="EP75" s="35"/>
      <c r="EQ75" s="35"/>
      <c r="ER75" s="35"/>
      <c r="ES75" s="35"/>
      <c r="ET75" s="35"/>
      <c r="EU75" s="35"/>
      <c r="EV75" s="35"/>
      <c r="EW75" s="35"/>
      <c r="EX75" s="35"/>
      <c r="EY75" s="35"/>
      <c r="EZ75" s="35"/>
      <c r="FA75" s="35"/>
      <c r="FB75" s="35"/>
      <c r="FC75" s="458">
        <f t="shared" si="11"/>
        <v>0</v>
      </c>
      <c r="FD75">
        <f t="shared" si="8"/>
        <v>0</v>
      </c>
      <c r="FE75" t="e">
        <f t="shared" si="9"/>
        <v>#N/A</v>
      </c>
      <c r="FI75" s="731" t="e">
        <f t="shared" si="12"/>
        <v>#VALUE!</v>
      </c>
      <c r="FK75" s="471" t="str">
        <f t="shared" si="13"/>
        <v xml:space="preserve"> </v>
      </c>
      <c r="FL75" s="730">
        <f t="shared" si="14"/>
        <v>0</v>
      </c>
      <c r="FM75" s="471" t="str">
        <f t="shared" si="15"/>
        <v/>
      </c>
      <c r="FN75" s="730">
        <f t="shared" si="10"/>
        <v>0</v>
      </c>
    </row>
    <row r="76" spans="1:170" s="33" customFormat="1" x14ac:dyDescent="0.2">
      <c r="A76" s="34" t="s">
        <v>126</v>
      </c>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c r="BT76" s="35"/>
      <c r="BU76" s="35"/>
      <c r="BV76" s="35"/>
      <c r="BW76" s="35"/>
      <c r="BX76" s="35"/>
      <c r="BY76" s="35"/>
      <c r="BZ76" s="35"/>
      <c r="CA76" s="35"/>
      <c r="CB76" s="35"/>
      <c r="CC76" s="35"/>
      <c r="CD76" s="35"/>
      <c r="CE76" s="35"/>
      <c r="CF76" s="35"/>
      <c r="CG76" s="35"/>
      <c r="CH76" s="35"/>
      <c r="CI76" s="35"/>
      <c r="CJ76" s="35"/>
      <c r="CK76" s="35"/>
      <c r="CL76" s="35"/>
      <c r="CM76" s="35"/>
      <c r="CN76" s="35"/>
      <c r="CO76" s="35"/>
      <c r="CP76" s="35"/>
      <c r="CQ76" s="35"/>
      <c r="CR76" s="35"/>
      <c r="CS76" s="35"/>
      <c r="CT76" s="35"/>
      <c r="CU76" s="35"/>
      <c r="CV76" s="35"/>
      <c r="CW76" s="35"/>
      <c r="CX76" s="35"/>
      <c r="CY76" s="35"/>
      <c r="CZ76" s="35"/>
      <c r="DA76" s="35"/>
      <c r="DB76" s="35"/>
      <c r="DC76" s="35"/>
      <c r="DD76" s="35"/>
      <c r="DE76" s="35"/>
      <c r="DF76" s="35"/>
      <c r="DG76" s="35"/>
      <c r="DH76" s="35"/>
      <c r="DI76" s="35"/>
      <c r="DJ76" s="35"/>
      <c r="DK76" s="35"/>
      <c r="DL76" s="35"/>
      <c r="DM76" s="35"/>
      <c r="DN76" s="35"/>
      <c r="DO76" s="35"/>
      <c r="DP76" s="35"/>
      <c r="DQ76" s="35"/>
      <c r="DR76" s="35"/>
      <c r="DS76" s="35"/>
      <c r="DT76" s="35"/>
      <c r="DU76" s="35"/>
      <c r="DV76" s="35"/>
      <c r="DW76" s="35"/>
      <c r="DX76" s="35"/>
      <c r="DY76" s="35"/>
      <c r="DZ76" s="35"/>
      <c r="EA76" s="35"/>
      <c r="EB76" s="35"/>
      <c r="EC76" s="35"/>
      <c r="ED76" s="35"/>
      <c r="EE76" s="35"/>
      <c r="EF76" s="35"/>
      <c r="EG76" s="35"/>
      <c r="EH76" s="35"/>
      <c r="EI76" s="35"/>
      <c r="EJ76" s="35"/>
      <c r="EK76" s="35"/>
      <c r="EL76" s="35"/>
      <c r="EM76" s="35"/>
      <c r="EN76" s="35"/>
      <c r="EO76" s="35"/>
      <c r="EP76" s="35"/>
      <c r="EQ76" s="35"/>
      <c r="ER76" s="35"/>
      <c r="ES76" s="35"/>
      <c r="ET76" s="35"/>
      <c r="EU76" s="35"/>
      <c r="EV76" s="35"/>
      <c r="EW76" s="35"/>
      <c r="EX76" s="35"/>
      <c r="EY76" s="35"/>
      <c r="EZ76" s="35"/>
      <c r="FA76" s="35"/>
      <c r="FB76" s="35"/>
      <c r="FC76" s="458">
        <f t="shared" si="11"/>
        <v>0</v>
      </c>
      <c r="FD76">
        <f t="shared" si="8"/>
        <v>0</v>
      </c>
      <c r="FE76" t="e">
        <f t="shared" si="9"/>
        <v>#N/A</v>
      </c>
      <c r="FI76" s="731" t="e">
        <f t="shared" si="12"/>
        <v>#VALUE!</v>
      </c>
      <c r="FK76" s="471" t="str">
        <f t="shared" si="13"/>
        <v xml:space="preserve"> </v>
      </c>
      <c r="FL76" s="730">
        <f t="shared" si="14"/>
        <v>0</v>
      </c>
      <c r="FM76" s="471" t="str">
        <f t="shared" si="15"/>
        <v/>
      </c>
      <c r="FN76" s="730">
        <f t="shared" si="10"/>
        <v>0</v>
      </c>
    </row>
    <row r="77" spans="1:170" s="33" customFormat="1" x14ac:dyDescent="0.2">
      <c r="A77" s="34" t="s">
        <v>127</v>
      </c>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c r="BO77" s="35"/>
      <c r="BP77" s="35"/>
      <c r="BQ77" s="35"/>
      <c r="BR77" s="35"/>
      <c r="BS77" s="35"/>
      <c r="BT77" s="35"/>
      <c r="BU77" s="35"/>
      <c r="BV77" s="35"/>
      <c r="BW77" s="35"/>
      <c r="BX77" s="35"/>
      <c r="BY77" s="35"/>
      <c r="BZ77" s="35"/>
      <c r="CA77" s="35"/>
      <c r="CB77" s="35"/>
      <c r="CC77" s="35"/>
      <c r="CD77" s="35"/>
      <c r="CE77" s="35"/>
      <c r="CF77" s="35"/>
      <c r="CG77" s="35"/>
      <c r="CH77" s="35"/>
      <c r="CI77" s="35"/>
      <c r="CJ77" s="35"/>
      <c r="CK77" s="35"/>
      <c r="CL77" s="35"/>
      <c r="CM77" s="35"/>
      <c r="CN77" s="35"/>
      <c r="CO77" s="35"/>
      <c r="CP77" s="35"/>
      <c r="CQ77" s="35"/>
      <c r="CR77" s="35"/>
      <c r="CS77" s="35"/>
      <c r="CT77" s="35"/>
      <c r="CU77" s="35"/>
      <c r="CV77" s="35"/>
      <c r="CW77" s="35"/>
      <c r="CX77" s="35"/>
      <c r="CY77" s="35"/>
      <c r="CZ77" s="35"/>
      <c r="DA77" s="35"/>
      <c r="DB77" s="35"/>
      <c r="DC77" s="35"/>
      <c r="DD77" s="35"/>
      <c r="DE77" s="35"/>
      <c r="DF77" s="35"/>
      <c r="DG77" s="35"/>
      <c r="DH77" s="35"/>
      <c r="DI77" s="35"/>
      <c r="DJ77" s="35"/>
      <c r="DK77" s="35"/>
      <c r="DL77" s="35"/>
      <c r="DM77" s="35"/>
      <c r="DN77" s="35"/>
      <c r="DO77" s="35"/>
      <c r="DP77" s="35"/>
      <c r="DQ77" s="35"/>
      <c r="DR77" s="35"/>
      <c r="DS77" s="35"/>
      <c r="DT77" s="35"/>
      <c r="DU77" s="35"/>
      <c r="DV77" s="35"/>
      <c r="DW77" s="35"/>
      <c r="DX77" s="35"/>
      <c r="DY77" s="35"/>
      <c r="DZ77" s="35"/>
      <c r="EA77" s="35"/>
      <c r="EB77" s="35"/>
      <c r="EC77" s="35"/>
      <c r="ED77" s="35"/>
      <c r="EE77" s="35"/>
      <c r="EF77" s="35"/>
      <c r="EG77" s="35"/>
      <c r="EH77" s="35"/>
      <c r="EI77" s="35"/>
      <c r="EJ77" s="35"/>
      <c r="EK77" s="35"/>
      <c r="EL77" s="35"/>
      <c r="EM77" s="35"/>
      <c r="EN77" s="35"/>
      <c r="EO77" s="35"/>
      <c r="EP77" s="35"/>
      <c r="EQ77" s="35"/>
      <c r="ER77" s="35"/>
      <c r="ES77" s="35"/>
      <c r="ET77" s="35"/>
      <c r="EU77" s="35"/>
      <c r="EV77" s="35"/>
      <c r="EW77" s="35"/>
      <c r="EX77" s="35"/>
      <c r="EY77" s="35"/>
      <c r="EZ77" s="35"/>
      <c r="FA77" s="35"/>
      <c r="FB77" s="35"/>
      <c r="FC77" s="458">
        <f t="shared" si="11"/>
        <v>0</v>
      </c>
      <c r="FD77">
        <f t="shared" si="8"/>
        <v>0</v>
      </c>
      <c r="FE77" t="e">
        <f t="shared" si="9"/>
        <v>#N/A</v>
      </c>
      <c r="FI77" s="731" t="e">
        <f t="shared" si="12"/>
        <v>#VALUE!</v>
      </c>
      <c r="FK77" s="471" t="str">
        <f t="shared" si="13"/>
        <v xml:space="preserve"> </v>
      </c>
      <c r="FL77" s="730">
        <f t="shared" si="14"/>
        <v>0</v>
      </c>
      <c r="FM77" s="471" t="str">
        <f t="shared" si="15"/>
        <v/>
      </c>
      <c r="FN77" s="730">
        <f t="shared" si="10"/>
        <v>0</v>
      </c>
    </row>
    <row r="78" spans="1:170" s="33" customFormat="1" x14ac:dyDescent="0.2">
      <c r="A78" s="34" t="s">
        <v>128</v>
      </c>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c r="CT78" s="35"/>
      <c r="CU78" s="35"/>
      <c r="CV78" s="35"/>
      <c r="CW78" s="35"/>
      <c r="CX78" s="35"/>
      <c r="CY78" s="35"/>
      <c r="CZ78" s="35"/>
      <c r="DA78" s="35"/>
      <c r="DB78" s="35"/>
      <c r="DC78" s="35"/>
      <c r="DD78" s="35"/>
      <c r="DE78" s="35"/>
      <c r="DF78" s="35"/>
      <c r="DG78" s="35"/>
      <c r="DH78" s="35"/>
      <c r="DI78" s="35"/>
      <c r="DJ78" s="35"/>
      <c r="DK78" s="35"/>
      <c r="DL78" s="35"/>
      <c r="DM78" s="35"/>
      <c r="DN78" s="35"/>
      <c r="DO78" s="35"/>
      <c r="DP78" s="35"/>
      <c r="DQ78" s="35"/>
      <c r="DR78" s="35"/>
      <c r="DS78" s="35"/>
      <c r="DT78" s="35"/>
      <c r="DU78" s="35"/>
      <c r="DV78" s="35"/>
      <c r="DW78" s="35"/>
      <c r="DX78" s="35"/>
      <c r="DY78" s="35"/>
      <c r="DZ78" s="35"/>
      <c r="EA78" s="35"/>
      <c r="EB78" s="35"/>
      <c r="EC78" s="35"/>
      <c r="ED78" s="35"/>
      <c r="EE78" s="35"/>
      <c r="EF78" s="35"/>
      <c r="EG78" s="35"/>
      <c r="EH78" s="35"/>
      <c r="EI78" s="35"/>
      <c r="EJ78" s="35"/>
      <c r="EK78" s="35"/>
      <c r="EL78" s="35"/>
      <c r="EM78" s="35"/>
      <c r="EN78" s="35"/>
      <c r="EO78" s="35"/>
      <c r="EP78" s="35"/>
      <c r="EQ78" s="35"/>
      <c r="ER78" s="35"/>
      <c r="ES78" s="35"/>
      <c r="ET78" s="35"/>
      <c r="EU78" s="35"/>
      <c r="EV78" s="35"/>
      <c r="EW78" s="35"/>
      <c r="EX78" s="35"/>
      <c r="EY78" s="35"/>
      <c r="EZ78" s="35"/>
      <c r="FA78" s="35"/>
      <c r="FB78" s="35"/>
      <c r="FC78" s="458">
        <f t="shared" si="11"/>
        <v>0</v>
      </c>
      <c r="FD78">
        <f t="shared" si="8"/>
        <v>0</v>
      </c>
      <c r="FE78" t="e">
        <f t="shared" si="9"/>
        <v>#N/A</v>
      </c>
      <c r="FI78" s="731" t="e">
        <f t="shared" si="12"/>
        <v>#VALUE!</v>
      </c>
      <c r="FK78" s="471" t="str">
        <f t="shared" si="13"/>
        <v xml:space="preserve"> </v>
      </c>
      <c r="FL78" s="730">
        <f t="shared" si="14"/>
        <v>0</v>
      </c>
      <c r="FM78" s="471" t="str">
        <f t="shared" si="15"/>
        <v/>
      </c>
      <c r="FN78" s="730">
        <f t="shared" si="10"/>
        <v>0</v>
      </c>
    </row>
    <row r="79" spans="1:170" s="33" customFormat="1" x14ac:dyDescent="0.2">
      <c r="A79" s="34" t="s">
        <v>129</v>
      </c>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458">
        <f t="shared" si="11"/>
        <v>0</v>
      </c>
      <c r="FD79">
        <f t="shared" si="8"/>
        <v>0</v>
      </c>
      <c r="FE79" t="e">
        <f t="shared" si="9"/>
        <v>#N/A</v>
      </c>
      <c r="FI79" s="731" t="e">
        <f t="shared" si="12"/>
        <v>#VALUE!</v>
      </c>
      <c r="FK79" s="471" t="str">
        <f t="shared" si="13"/>
        <v xml:space="preserve"> </v>
      </c>
      <c r="FL79" s="730">
        <f t="shared" si="14"/>
        <v>0</v>
      </c>
      <c r="FM79" s="471" t="str">
        <f t="shared" si="15"/>
        <v/>
      </c>
      <c r="FN79" s="730">
        <f t="shared" si="10"/>
        <v>0</v>
      </c>
    </row>
    <row r="80" spans="1:170" s="33" customFormat="1" x14ac:dyDescent="0.2">
      <c r="A80" s="34" t="s">
        <v>130</v>
      </c>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35"/>
      <c r="BS80" s="35"/>
      <c r="BT80" s="35"/>
      <c r="BU80" s="35"/>
      <c r="BV80" s="35"/>
      <c r="BW80" s="35"/>
      <c r="BX80" s="35"/>
      <c r="BY80" s="35"/>
      <c r="BZ80" s="35"/>
      <c r="CA80" s="35"/>
      <c r="CB80" s="35"/>
      <c r="CC80" s="35"/>
      <c r="CD80" s="35"/>
      <c r="CE80" s="35"/>
      <c r="CF80" s="35"/>
      <c r="CG80" s="35"/>
      <c r="CH80" s="35"/>
      <c r="CI80" s="35"/>
      <c r="CJ80" s="35"/>
      <c r="CK80" s="35"/>
      <c r="CL80" s="35"/>
      <c r="CM80" s="35"/>
      <c r="CN80" s="35"/>
      <c r="CO80" s="35"/>
      <c r="CP80" s="35"/>
      <c r="CQ80" s="35"/>
      <c r="CR80" s="35"/>
      <c r="CS80" s="35"/>
      <c r="CT80" s="35"/>
      <c r="CU80" s="35"/>
      <c r="CV80" s="35"/>
      <c r="CW80" s="35"/>
      <c r="CX80" s="35"/>
      <c r="CY80" s="35"/>
      <c r="CZ80" s="35"/>
      <c r="DA80" s="35"/>
      <c r="DB80" s="35"/>
      <c r="DC80" s="35"/>
      <c r="DD80" s="35"/>
      <c r="DE80" s="35"/>
      <c r="DF80" s="35"/>
      <c r="DG80" s="35"/>
      <c r="DH80" s="35"/>
      <c r="DI80" s="35"/>
      <c r="DJ80" s="35"/>
      <c r="DK80" s="35"/>
      <c r="DL80" s="35"/>
      <c r="DM80" s="35"/>
      <c r="DN80" s="35"/>
      <c r="DO80" s="35"/>
      <c r="DP80" s="35"/>
      <c r="DQ80" s="35"/>
      <c r="DR80" s="35"/>
      <c r="DS80" s="35"/>
      <c r="DT80" s="35"/>
      <c r="DU80" s="35"/>
      <c r="DV80" s="35"/>
      <c r="DW80" s="35"/>
      <c r="DX80" s="35"/>
      <c r="DY80" s="35"/>
      <c r="DZ80" s="35"/>
      <c r="EA80" s="35"/>
      <c r="EB80" s="35"/>
      <c r="EC80" s="35"/>
      <c r="ED80" s="35"/>
      <c r="EE80" s="35"/>
      <c r="EF80" s="35"/>
      <c r="EG80" s="35"/>
      <c r="EH80" s="35"/>
      <c r="EI80" s="35"/>
      <c r="EJ80" s="35"/>
      <c r="EK80" s="35"/>
      <c r="EL80" s="35"/>
      <c r="EM80" s="35"/>
      <c r="EN80" s="35"/>
      <c r="EO80" s="35"/>
      <c r="EP80" s="35"/>
      <c r="EQ80" s="35"/>
      <c r="ER80" s="35"/>
      <c r="ES80" s="35"/>
      <c r="ET80" s="35"/>
      <c r="EU80" s="35"/>
      <c r="EV80" s="35"/>
      <c r="EW80" s="35"/>
      <c r="EX80" s="35"/>
      <c r="EY80" s="35"/>
      <c r="EZ80" s="35"/>
      <c r="FA80" s="35"/>
      <c r="FB80" s="35"/>
      <c r="FC80" s="458">
        <f t="shared" si="11"/>
        <v>0</v>
      </c>
      <c r="FD80">
        <f t="shared" si="8"/>
        <v>0</v>
      </c>
      <c r="FE80" t="e">
        <f t="shared" si="9"/>
        <v>#N/A</v>
      </c>
      <c r="FI80" s="731" t="e">
        <f t="shared" si="12"/>
        <v>#VALUE!</v>
      </c>
      <c r="FK80" s="471" t="str">
        <f t="shared" si="13"/>
        <v xml:space="preserve"> </v>
      </c>
      <c r="FL80" s="730">
        <f t="shared" si="14"/>
        <v>0</v>
      </c>
      <c r="FM80" s="471" t="str">
        <f t="shared" si="15"/>
        <v/>
      </c>
      <c r="FN80" s="730">
        <f t="shared" si="10"/>
        <v>0</v>
      </c>
    </row>
    <row r="81" spans="1:170" s="33" customFormat="1" x14ac:dyDescent="0.2">
      <c r="A81" s="34" t="s">
        <v>131</v>
      </c>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5"/>
      <c r="CT81" s="35"/>
      <c r="CU81" s="35"/>
      <c r="CV81" s="35"/>
      <c r="CW81" s="35"/>
      <c r="CX81" s="35"/>
      <c r="CY81" s="35"/>
      <c r="CZ81" s="35"/>
      <c r="DA81" s="35"/>
      <c r="DB81" s="35"/>
      <c r="DC81" s="35"/>
      <c r="DD81" s="35"/>
      <c r="DE81" s="35"/>
      <c r="DF81" s="35"/>
      <c r="DG81" s="35"/>
      <c r="DH81" s="35"/>
      <c r="DI81" s="35"/>
      <c r="DJ81" s="35"/>
      <c r="DK81" s="35"/>
      <c r="DL81" s="35"/>
      <c r="DM81" s="35"/>
      <c r="DN81" s="35"/>
      <c r="DO81" s="35"/>
      <c r="DP81" s="35"/>
      <c r="DQ81" s="35"/>
      <c r="DR81" s="35"/>
      <c r="DS81" s="35"/>
      <c r="DT81" s="35"/>
      <c r="DU81" s="35"/>
      <c r="DV81" s="35"/>
      <c r="DW81" s="35"/>
      <c r="DX81" s="35"/>
      <c r="DY81" s="35"/>
      <c r="DZ81" s="35"/>
      <c r="EA81" s="35"/>
      <c r="EB81" s="35"/>
      <c r="EC81" s="35"/>
      <c r="ED81" s="35"/>
      <c r="EE81" s="35"/>
      <c r="EF81" s="35"/>
      <c r="EG81" s="35"/>
      <c r="EH81" s="35"/>
      <c r="EI81" s="35"/>
      <c r="EJ81" s="35"/>
      <c r="EK81" s="35"/>
      <c r="EL81" s="35"/>
      <c r="EM81" s="35"/>
      <c r="EN81" s="35"/>
      <c r="EO81" s="35"/>
      <c r="EP81" s="35"/>
      <c r="EQ81" s="35"/>
      <c r="ER81" s="35"/>
      <c r="ES81" s="35"/>
      <c r="ET81" s="35"/>
      <c r="EU81" s="35"/>
      <c r="EV81" s="35"/>
      <c r="EW81" s="35"/>
      <c r="EX81" s="35"/>
      <c r="EY81" s="35"/>
      <c r="EZ81" s="35"/>
      <c r="FA81" s="35"/>
      <c r="FB81" s="35"/>
      <c r="FC81" s="458">
        <f t="shared" si="11"/>
        <v>0</v>
      </c>
      <c r="FD81">
        <f t="shared" si="8"/>
        <v>0</v>
      </c>
      <c r="FE81" t="e">
        <f t="shared" si="9"/>
        <v>#N/A</v>
      </c>
      <c r="FI81" s="731" t="e">
        <f t="shared" si="12"/>
        <v>#VALUE!</v>
      </c>
      <c r="FK81" s="471" t="str">
        <f t="shared" si="13"/>
        <v xml:space="preserve"> </v>
      </c>
      <c r="FL81" s="730">
        <f t="shared" si="14"/>
        <v>0</v>
      </c>
      <c r="FM81" s="471" t="str">
        <f t="shared" si="15"/>
        <v/>
      </c>
      <c r="FN81" s="730">
        <f t="shared" si="10"/>
        <v>0</v>
      </c>
    </row>
    <row r="82" spans="1:170" s="33" customFormat="1" x14ac:dyDescent="0.2">
      <c r="A82" s="34" t="s">
        <v>132</v>
      </c>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35"/>
      <c r="CT82" s="35"/>
      <c r="CU82" s="35"/>
      <c r="CV82" s="35"/>
      <c r="CW82" s="35"/>
      <c r="CX82" s="35"/>
      <c r="CY82" s="35"/>
      <c r="CZ82" s="35"/>
      <c r="DA82" s="35"/>
      <c r="DB82" s="35"/>
      <c r="DC82" s="35"/>
      <c r="DD82" s="35"/>
      <c r="DE82" s="35"/>
      <c r="DF82" s="35"/>
      <c r="DG82" s="35"/>
      <c r="DH82" s="35"/>
      <c r="DI82" s="35"/>
      <c r="DJ82" s="35"/>
      <c r="DK82" s="35"/>
      <c r="DL82" s="35"/>
      <c r="DM82" s="35"/>
      <c r="DN82" s="35"/>
      <c r="DO82" s="35"/>
      <c r="DP82" s="35"/>
      <c r="DQ82" s="35"/>
      <c r="DR82" s="35"/>
      <c r="DS82" s="35"/>
      <c r="DT82" s="35"/>
      <c r="DU82" s="35"/>
      <c r="DV82" s="35"/>
      <c r="DW82" s="35"/>
      <c r="DX82" s="35"/>
      <c r="DY82" s="35"/>
      <c r="DZ82" s="35"/>
      <c r="EA82" s="35"/>
      <c r="EB82" s="35"/>
      <c r="EC82" s="35"/>
      <c r="ED82" s="35"/>
      <c r="EE82" s="35"/>
      <c r="EF82" s="35"/>
      <c r="EG82" s="35"/>
      <c r="EH82" s="35"/>
      <c r="EI82" s="35"/>
      <c r="EJ82" s="35"/>
      <c r="EK82" s="35"/>
      <c r="EL82" s="35"/>
      <c r="EM82" s="35"/>
      <c r="EN82" s="35"/>
      <c r="EO82" s="35"/>
      <c r="EP82" s="35"/>
      <c r="EQ82" s="35"/>
      <c r="ER82" s="35"/>
      <c r="ES82" s="35"/>
      <c r="ET82" s="35"/>
      <c r="EU82" s="35"/>
      <c r="EV82" s="35"/>
      <c r="EW82" s="35"/>
      <c r="EX82" s="35"/>
      <c r="EY82" s="35"/>
      <c r="EZ82" s="35"/>
      <c r="FA82" s="35"/>
      <c r="FB82" s="35"/>
      <c r="FC82" s="458">
        <f t="shared" si="11"/>
        <v>0</v>
      </c>
      <c r="FD82">
        <f t="shared" si="8"/>
        <v>0</v>
      </c>
      <c r="FE82" t="e">
        <f t="shared" si="9"/>
        <v>#N/A</v>
      </c>
      <c r="FI82" s="731" t="e">
        <f t="shared" si="12"/>
        <v>#VALUE!</v>
      </c>
      <c r="FK82" s="471" t="str">
        <f t="shared" si="13"/>
        <v xml:space="preserve"> </v>
      </c>
      <c r="FL82" s="730">
        <f t="shared" si="14"/>
        <v>0</v>
      </c>
      <c r="FM82" s="471" t="str">
        <f t="shared" si="15"/>
        <v/>
      </c>
      <c r="FN82" s="730">
        <f t="shared" si="10"/>
        <v>0</v>
      </c>
    </row>
    <row r="83" spans="1:170" s="33" customFormat="1" x14ac:dyDescent="0.2">
      <c r="A83" s="34" t="s">
        <v>133</v>
      </c>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c r="DA83" s="35"/>
      <c r="DB83" s="35"/>
      <c r="DC83" s="35"/>
      <c r="DD83" s="35"/>
      <c r="DE83" s="35"/>
      <c r="DF83" s="35"/>
      <c r="DG83" s="35"/>
      <c r="DH83" s="35"/>
      <c r="DI83" s="35"/>
      <c r="DJ83" s="35"/>
      <c r="DK83" s="35"/>
      <c r="DL83" s="35"/>
      <c r="DM83" s="35"/>
      <c r="DN83" s="35"/>
      <c r="DO83" s="35"/>
      <c r="DP83" s="35"/>
      <c r="DQ83" s="35"/>
      <c r="DR83" s="35"/>
      <c r="DS83" s="35"/>
      <c r="DT83" s="35"/>
      <c r="DU83" s="35"/>
      <c r="DV83" s="35"/>
      <c r="DW83" s="35"/>
      <c r="DX83" s="35"/>
      <c r="DY83" s="35"/>
      <c r="DZ83" s="35"/>
      <c r="EA83" s="35"/>
      <c r="EB83" s="35"/>
      <c r="EC83" s="35"/>
      <c r="ED83" s="35"/>
      <c r="EE83" s="35"/>
      <c r="EF83" s="35"/>
      <c r="EG83" s="35"/>
      <c r="EH83" s="35"/>
      <c r="EI83" s="35"/>
      <c r="EJ83" s="35"/>
      <c r="EK83" s="35"/>
      <c r="EL83" s="35"/>
      <c r="EM83" s="35"/>
      <c r="EN83" s="35"/>
      <c r="EO83" s="35"/>
      <c r="EP83" s="35"/>
      <c r="EQ83" s="35"/>
      <c r="ER83" s="35"/>
      <c r="ES83" s="35"/>
      <c r="ET83" s="35"/>
      <c r="EU83" s="35"/>
      <c r="EV83" s="35"/>
      <c r="EW83" s="35"/>
      <c r="EX83" s="35"/>
      <c r="EY83" s="35"/>
      <c r="EZ83" s="35"/>
      <c r="FA83" s="35"/>
      <c r="FB83" s="35"/>
      <c r="FC83" s="458">
        <f t="shared" si="11"/>
        <v>0</v>
      </c>
      <c r="FD83">
        <f t="shared" si="8"/>
        <v>0</v>
      </c>
      <c r="FE83" t="e">
        <f t="shared" si="9"/>
        <v>#N/A</v>
      </c>
      <c r="FI83" s="731" t="e">
        <f t="shared" si="12"/>
        <v>#VALUE!</v>
      </c>
      <c r="FK83" s="471" t="str">
        <f t="shared" si="13"/>
        <v xml:space="preserve"> </v>
      </c>
      <c r="FL83" s="730">
        <f t="shared" si="14"/>
        <v>0</v>
      </c>
      <c r="FM83" s="471" t="str">
        <f t="shared" si="15"/>
        <v/>
      </c>
      <c r="FN83" s="730">
        <f t="shared" si="10"/>
        <v>0</v>
      </c>
    </row>
    <row r="84" spans="1:170" s="33" customFormat="1" x14ac:dyDescent="0.2">
      <c r="A84" s="34" t="s">
        <v>134</v>
      </c>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35"/>
      <c r="CT84" s="35"/>
      <c r="CU84" s="35"/>
      <c r="CV84" s="35"/>
      <c r="CW84" s="35"/>
      <c r="CX84" s="35"/>
      <c r="CY84" s="35"/>
      <c r="CZ84" s="35"/>
      <c r="DA84" s="35"/>
      <c r="DB84" s="35"/>
      <c r="DC84" s="35"/>
      <c r="DD84" s="35"/>
      <c r="DE84" s="35"/>
      <c r="DF84" s="35"/>
      <c r="DG84" s="35"/>
      <c r="DH84" s="35"/>
      <c r="DI84" s="35"/>
      <c r="DJ84" s="35"/>
      <c r="DK84" s="35"/>
      <c r="DL84" s="35"/>
      <c r="DM84" s="35"/>
      <c r="DN84" s="35"/>
      <c r="DO84" s="35"/>
      <c r="DP84" s="35"/>
      <c r="DQ84" s="35"/>
      <c r="DR84" s="35"/>
      <c r="DS84" s="35"/>
      <c r="DT84" s="35"/>
      <c r="DU84" s="35"/>
      <c r="DV84" s="35"/>
      <c r="DW84" s="35"/>
      <c r="DX84" s="35"/>
      <c r="DY84" s="35"/>
      <c r="DZ84" s="35"/>
      <c r="EA84" s="35"/>
      <c r="EB84" s="35"/>
      <c r="EC84" s="35"/>
      <c r="ED84" s="35"/>
      <c r="EE84" s="35"/>
      <c r="EF84" s="35"/>
      <c r="EG84" s="35"/>
      <c r="EH84" s="35"/>
      <c r="EI84" s="35"/>
      <c r="EJ84" s="35"/>
      <c r="EK84" s="35"/>
      <c r="EL84" s="35"/>
      <c r="EM84" s="35"/>
      <c r="EN84" s="35"/>
      <c r="EO84" s="35"/>
      <c r="EP84" s="35"/>
      <c r="EQ84" s="35"/>
      <c r="ER84" s="35"/>
      <c r="ES84" s="35"/>
      <c r="ET84" s="35"/>
      <c r="EU84" s="35"/>
      <c r="EV84" s="35"/>
      <c r="EW84" s="35"/>
      <c r="EX84" s="35"/>
      <c r="EY84" s="35"/>
      <c r="EZ84" s="35"/>
      <c r="FA84" s="35"/>
      <c r="FB84" s="35"/>
      <c r="FC84" s="458">
        <f t="shared" si="11"/>
        <v>0</v>
      </c>
      <c r="FD84">
        <f t="shared" si="8"/>
        <v>0</v>
      </c>
      <c r="FE84" t="e">
        <f t="shared" si="9"/>
        <v>#N/A</v>
      </c>
      <c r="FI84" s="731" t="e">
        <f t="shared" si="12"/>
        <v>#VALUE!</v>
      </c>
      <c r="FK84" s="471" t="str">
        <f t="shared" si="13"/>
        <v xml:space="preserve"> </v>
      </c>
      <c r="FL84" s="730">
        <f t="shared" si="14"/>
        <v>0</v>
      </c>
      <c r="FM84" s="471" t="str">
        <f t="shared" si="15"/>
        <v/>
      </c>
      <c r="FN84" s="730">
        <f t="shared" si="10"/>
        <v>0</v>
      </c>
    </row>
    <row r="85" spans="1:170" s="33" customFormat="1" x14ac:dyDescent="0.2">
      <c r="A85" s="34" t="s">
        <v>135</v>
      </c>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c r="CF85" s="35"/>
      <c r="CG85" s="35"/>
      <c r="CH85" s="35"/>
      <c r="CI85" s="35"/>
      <c r="CJ85" s="35"/>
      <c r="CK85" s="35"/>
      <c r="CL85" s="35"/>
      <c r="CM85" s="35"/>
      <c r="CN85" s="35"/>
      <c r="CO85" s="35"/>
      <c r="CP85" s="35"/>
      <c r="CQ85" s="35"/>
      <c r="CR85" s="35"/>
      <c r="CS85" s="35"/>
      <c r="CT85" s="35"/>
      <c r="CU85" s="35"/>
      <c r="CV85" s="35"/>
      <c r="CW85" s="35"/>
      <c r="CX85" s="35"/>
      <c r="CY85" s="35"/>
      <c r="CZ85" s="35"/>
      <c r="DA85" s="35"/>
      <c r="DB85" s="35"/>
      <c r="DC85" s="35"/>
      <c r="DD85" s="35"/>
      <c r="DE85" s="35"/>
      <c r="DF85" s="35"/>
      <c r="DG85" s="35"/>
      <c r="DH85" s="35"/>
      <c r="DI85" s="35"/>
      <c r="DJ85" s="35"/>
      <c r="DK85" s="35"/>
      <c r="DL85" s="35"/>
      <c r="DM85" s="35"/>
      <c r="DN85" s="35"/>
      <c r="DO85" s="35"/>
      <c r="DP85" s="35"/>
      <c r="DQ85" s="35"/>
      <c r="DR85" s="35"/>
      <c r="DS85" s="35"/>
      <c r="DT85" s="35"/>
      <c r="DU85" s="35"/>
      <c r="DV85" s="35"/>
      <c r="DW85" s="35"/>
      <c r="DX85" s="35"/>
      <c r="DY85" s="35"/>
      <c r="DZ85" s="35"/>
      <c r="EA85" s="35"/>
      <c r="EB85" s="35"/>
      <c r="EC85" s="35"/>
      <c r="ED85" s="35"/>
      <c r="EE85" s="35"/>
      <c r="EF85" s="35"/>
      <c r="EG85" s="35"/>
      <c r="EH85" s="35"/>
      <c r="EI85" s="35"/>
      <c r="EJ85" s="35"/>
      <c r="EK85" s="35"/>
      <c r="EL85" s="35"/>
      <c r="EM85" s="35"/>
      <c r="EN85" s="35"/>
      <c r="EO85" s="35"/>
      <c r="EP85" s="35"/>
      <c r="EQ85" s="35"/>
      <c r="ER85" s="35"/>
      <c r="ES85" s="35"/>
      <c r="ET85" s="35"/>
      <c r="EU85" s="35"/>
      <c r="EV85" s="35"/>
      <c r="EW85" s="35"/>
      <c r="EX85" s="35"/>
      <c r="EY85" s="35"/>
      <c r="EZ85" s="35"/>
      <c r="FA85" s="35"/>
      <c r="FB85" s="35"/>
      <c r="FC85" s="458">
        <f t="shared" si="11"/>
        <v>0</v>
      </c>
      <c r="FD85">
        <f t="shared" si="8"/>
        <v>0</v>
      </c>
      <c r="FE85" t="e">
        <f t="shared" si="9"/>
        <v>#N/A</v>
      </c>
      <c r="FI85" s="731" t="e">
        <f t="shared" si="12"/>
        <v>#VALUE!</v>
      </c>
      <c r="FK85" s="471" t="str">
        <f t="shared" si="13"/>
        <v xml:space="preserve"> </v>
      </c>
      <c r="FL85" s="730">
        <f t="shared" si="14"/>
        <v>0</v>
      </c>
      <c r="FM85" s="471" t="str">
        <f t="shared" si="15"/>
        <v/>
      </c>
      <c r="FN85" s="730">
        <f t="shared" si="10"/>
        <v>0</v>
      </c>
    </row>
    <row r="86" spans="1:170" s="33" customFormat="1" x14ac:dyDescent="0.2">
      <c r="A86" s="34" t="s">
        <v>136</v>
      </c>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5"/>
      <c r="DJ86" s="35"/>
      <c r="DK86" s="35"/>
      <c r="DL86" s="35"/>
      <c r="DM86" s="35"/>
      <c r="DN86" s="35"/>
      <c r="DO86" s="35"/>
      <c r="DP86" s="35"/>
      <c r="DQ86" s="35"/>
      <c r="DR86" s="35"/>
      <c r="DS86" s="35"/>
      <c r="DT86" s="35"/>
      <c r="DU86" s="35"/>
      <c r="DV86" s="35"/>
      <c r="DW86" s="35"/>
      <c r="DX86" s="35"/>
      <c r="DY86" s="35"/>
      <c r="DZ86" s="35"/>
      <c r="EA86" s="35"/>
      <c r="EB86" s="35"/>
      <c r="EC86" s="35"/>
      <c r="ED86" s="35"/>
      <c r="EE86" s="35"/>
      <c r="EF86" s="35"/>
      <c r="EG86" s="35"/>
      <c r="EH86" s="35"/>
      <c r="EI86" s="35"/>
      <c r="EJ86" s="35"/>
      <c r="EK86" s="35"/>
      <c r="EL86" s="35"/>
      <c r="EM86" s="35"/>
      <c r="EN86" s="35"/>
      <c r="EO86" s="35"/>
      <c r="EP86" s="35"/>
      <c r="EQ86" s="35"/>
      <c r="ER86" s="35"/>
      <c r="ES86" s="35"/>
      <c r="ET86" s="35"/>
      <c r="EU86" s="35"/>
      <c r="EV86" s="35"/>
      <c r="EW86" s="35"/>
      <c r="EX86" s="35"/>
      <c r="EY86" s="35"/>
      <c r="EZ86" s="35"/>
      <c r="FA86" s="35"/>
      <c r="FB86" s="35"/>
      <c r="FC86" s="458">
        <f t="shared" si="11"/>
        <v>0</v>
      </c>
      <c r="FD86">
        <f t="shared" si="8"/>
        <v>0</v>
      </c>
      <c r="FE86" t="e">
        <f t="shared" si="9"/>
        <v>#N/A</v>
      </c>
      <c r="FI86" s="731" t="e">
        <f t="shared" si="12"/>
        <v>#VALUE!</v>
      </c>
      <c r="FK86" s="471" t="str">
        <f t="shared" si="13"/>
        <v xml:space="preserve"> </v>
      </c>
      <c r="FL86" s="730">
        <f t="shared" si="14"/>
        <v>0</v>
      </c>
      <c r="FM86" s="471" t="str">
        <f t="shared" si="15"/>
        <v/>
      </c>
      <c r="FN86" s="730">
        <f t="shared" si="10"/>
        <v>0</v>
      </c>
    </row>
    <row r="87" spans="1:170" s="33" customFormat="1" x14ac:dyDescent="0.2">
      <c r="A87" s="34" t="s">
        <v>137</v>
      </c>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35"/>
      <c r="DL87" s="35"/>
      <c r="DM87" s="35"/>
      <c r="DN87" s="35"/>
      <c r="DO87" s="35"/>
      <c r="DP87" s="35"/>
      <c r="DQ87" s="35"/>
      <c r="DR87" s="35"/>
      <c r="DS87" s="35"/>
      <c r="DT87" s="35"/>
      <c r="DU87" s="35"/>
      <c r="DV87" s="35"/>
      <c r="DW87" s="35"/>
      <c r="DX87" s="35"/>
      <c r="DY87" s="35"/>
      <c r="DZ87" s="35"/>
      <c r="EA87" s="35"/>
      <c r="EB87" s="35"/>
      <c r="EC87" s="35"/>
      <c r="ED87" s="35"/>
      <c r="EE87" s="35"/>
      <c r="EF87" s="35"/>
      <c r="EG87" s="35"/>
      <c r="EH87" s="35"/>
      <c r="EI87" s="35"/>
      <c r="EJ87" s="35"/>
      <c r="EK87" s="35"/>
      <c r="EL87" s="35"/>
      <c r="EM87" s="35"/>
      <c r="EN87" s="35"/>
      <c r="EO87" s="35"/>
      <c r="EP87" s="35"/>
      <c r="EQ87" s="35"/>
      <c r="ER87" s="35"/>
      <c r="ES87" s="35"/>
      <c r="ET87" s="35"/>
      <c r="EU87" s="35"/>
      <c r="EV87" s="35"/>
      <c r="EW87" s="35"/>
      <c r="EX87" s="35"/>
      <c r="EY87" s="35"/>
      <c r="EZ87" s="35"/>
      <c r="FA87" s="35"/>
      <c r="FB87" s="35"/>
      <c r="FC87" s="458">
        <f t="shared" si="11"/>
        <v>0</v>
      </c>
      <c r="FD87">
        <f t="shared" si="8"/>
        <v>0</v>
      </c>
      <c r="FE87" t="e">
        <f t="shared" si="9"/>
        <v>#N/A</v>
      </c>
      <c r="FI87" s="731" t="e">
        <f t="shared" si="12"/>
        <v>#VALUE!</v>
      </c>
      <c r="FK87" s="471" t="str">
        <f t="shared" si="13"/>
        <v xml:space="preserve"> </v>
      </c>
      <c r="FL87" s="730">
        <f t="shared" si="14"/>
        <v>0</v>
      </c>
      <c r="FM87" s="471" t="str">
        <f t="shared" si="15"/>
        <v/>
      </c>
      <c r="FN87" s="730">
        <f t="shared" si="10"/>
        <v>0</v>
      </c>
    </row>
    <row r="88" spans="1:170" s="33" customFormat="1" x14ac:dyDescent="0.2">
      <c r="A88" s="34" t="s">
        <v>138</v>
      </c>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35"/>
      <c r="DI88" s="35"/>
      <c r="DJ88" s="35"/>
      <c r="DK88" s="35"/>
      <c r="DL88" s="35"/>
      <c r="DM88" s="35"/>
      <c r="DN88" s="35"/>
      <c r="DO88" s="35"/>
      <c r="DP88" s="35"/>
      <c r="DQ88" s="35"/>
      <c r="DR88" s="35"/>
      <c r="DS88" s="35"/>
      <c r="DT88" s="35"/>
      <c r="DU88" s="35"/>
      <c r="DV88" s="35"/>
      <c r="DW88" s="35"/>
      <c r="DX88" s="35"/>
      <c r="DY88" s="35"/>
      <c r="DZ88" s="35"/>
      <c r="EA88" s="35"/>
      <c r="EB88" s="35"/>
      <c r="EC88" s="35"/>
      <c r="ED88" s="35"/>
      <c r="EE88" s="35"/>
      <c r="EF88" s="35"/>
      <c r="EG88" s="35"/>
      <c r="EH88" s="35"/>
      <c r="EI88" s="35"/>
      <c r="EJ88" s="35"/>
      <c r="EK88" s="35"/>
      <c r="EL88" s="35"/>
      <c r="EM88" s="35"/>
      <c r="EN88" s="35"/>
      <c r="EO88" s="35"/>
      <c r="EP88" s="35"/>
      <c r="EQ88" s="35"/>
      <c r="ER88" s="35"/>
      <c r="ES88" s="35"/>
      <c r="ET88" s="35"/>
      <c r="EU88" s="35"/>
      <c r="EV88" s="35"/>
      <c r="EW88" s="35"/>
      <c r="EX88" s="35"/>
      <c r="EY88" s="35"/>
      <c r="EZ88" s="35"/>
      <c r="FA88" s="35"/>
      <c r="FB88" s="35"/>
      <c r="FC88" s="458">
        <f t="shared" si="11"/>
        <v>0</v>
      </c>
      <c r="FD88">
        <f t="shared" si="8"/>
        <v>0</v>
      </c>
      <c r="FE88" t="e">
        <f t="shared" si="9"/>
        <v>#N/A</v>
      </c>
      <c r="FI88" s="731" t="e">
        <f t="shared" si="12"/>
        <v>#VALUE!</v>
      </c>
      <c r="FK88" s="471" t="str">
        <f t="shared" si="13"/>
        <v xml:space="preserve"> </v>
      </c>
      <c r="FL88" s="730">
        <f t="shared" si="14"/>
        <v>0</v>
      </c>
      <c r="FM88" s="471" t="str">
        <f t="shared" si="15"/>
        <v/>
      </c>
      <c r="FN88" s="730">
        <f t="shared" si="10"/>
        <v>0</v>
      </c>
    </row>
    <row r="89" spans="1:170" s="33" customFormat="1" x14ac:dyDescent="0.2">
      <c r="A89" s="34" t="s">
        <v>139</v>
      </c>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c r="BN89" s="35"/>
      <c r="BO89" s="35"/>
      <c r="BP89" s="35"/>
      <c r="BQ89" s="35"/>
      <c r="BR89" s="35"/>
      <c r="BS89" s="35"/>
      <c r="BT89" s="35"/>
      <c r="BU89" s="35"/>
      <c r="BV89" s="35"/>
      <c r="BW89" s="35"/>
      <c r="BX89" s="35"/>
      <c r="BY89" s="35"/>
      <c r="BZ89" s="35"/>
      <c r="CA89" s="35"/>
      <c r="CB89" s="35"/>
      <c r="CC89" s="35"/>
      <c r="CD89" s="35"/>
      <c r="CE89" s="35"/>
      <c r="CF89" s="35"/>
      <c r="CG89" s="35"/>
      <c r="CH89" s="35"/>
      <c r="CI89" s="35"/>
      <c r="CJ89" s="35"/>
      <c r="CK89" s="35"/>
      <c r="CL89" s="35"/>
      <c r="CM89" s="35"/>
      <c r="CN89" s="35"/>
      <c r="CO89" s="35"/>
      <c r="CP89" s="35"/>
      <c r="CQ89" s="35"/>
      <c r="CR89" s="35"/>
      <c r="CS89" s="35"/>
      <c r="CT89" s="35"/>
      <c r="CU89" s="35"/>
      <c r="CV89" s="35"/>
      <c r="CW89" s="35"/>
      <c r="CX89" s="35"/>
      <c r="CY89" s="35"/>
      <c r="CZ89" s="35"/>
      <c r="DA89" s="35"/>
      <c r="DB89" s="35"/>
      <c r="DC89" s="35"/>
      <c r="DD89" s="35"/>
      <c r="DE89" s="35"/>
      <c r="DF89" s="35"/>
      <c r="DG89" s="35"/>
      <c r="DH89" s="35"/>
      <c r="DI89" s="35"/>
      <c r="DJ89" s="35"/>
      <c r="DK89" s="35"/>
      <c r="DL89" s="35"/>
      <c r="DM89" s="35"/>
      <c r="DN89" s="35"/>
      <c r="DO89" s="35"/>
      <c r="DP89" s="35"/>
      <c r="DQ89" s="35"/>
      <c r="DR89" s="35"/>
      <c r="DS89" s="35"/>
      <c r="DT89" s="35"/>
      <c r="DU89" s="35"/>
      <c r="DV89" s="35"/>
      <c r="DW89" s="35"/>
      <c r="DX89" s="35"/>
      <c r="DY89" s="35"/>
      <c r="DZ89" s="35"/>
      <c r="EA89" s="35"/>
      <c r="EB89" s="35"/>
      <c r="EC89" s="35"/>
      <c r="ED89" s="35"/>
      <c r="EE89" s="35"/>
      <c r="EF89" s="35"/>
      <c r="EG89" s="35"/>
      <c r="EH89" s="35"/>
      <c r="EI89" s="35"/>
      <c r="EJ89" s="35"/>
      <c r="EK89" s="35"/>
      <c r="EL89" s="35"/>
      <c r="EM89" s="35"/>
      <c r="EN89" s="35"/>
      <c r="EO89" s="35"/>
      <c r="EP89" s="35"/>
      <c r="EQ89" s="35"/>
      <c r="ER89" s="35"/>
      <c r="ES89" s="35"/>
      <c r="ET89" s="35"/>
      <c r="EU89" s="35"/>
      <c r="EV89" s="35"/>
      <c r="EW89" s="35"/>
      <c r="EX89" s="35"/>
      <c r="EY89" s="35"/>
      <c r="EZ89" s="35"/>
      <c r="FA89" s="35"/>
      <c r="FB89" s="35"/>
      <c r="FC89" s="458">
        <f t="shared" si="11"/>
        <v>0</v>
      </c>
      <c r="FD89">
        <f t="shared" si="8"/>
        <v>0</v>
      </c>
      <c r="FE89" t="e">
        <f t="shared" si="9"/>
        <v>#N/A</v>
      </c>
      <c r="FI89" s="731" t="e">
        <f t="shared" si="12"/>
        <v>#VALUE!</v>
      </c>
      <c r="FK89" s="471" t="str">
        <f t="shared" si="13"/>
        <v xml:space="preserve"> </v>
      </c>
      <c r="FL89" s="730">
        <f t="shared" si="14"/>
        <v>0</v>
      </c>
      <c r="FM89" s="471" t="str">
        <f t="shared" si="15"/>
        <v/>
      </c>
      <c r="FN89" s="730">
        <f t="shared" si="10"/>
        <v>0</v>
      </c>
    </row>
    <row r="90" spans="1:170" s="33" customFormat="1" x14ac:dyDescent="0.2">
      <c r="A90" s="34" t="s">
        <v>140</v>
      </c>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c r="BN90" s="35"/>
      <c r="BO90" s="35"/>
      <c r="BP90" s="35"/>
      <c r="BQ90" s="35"/>
      <c r="BR90" s="35"/>
      <c r="BS90" s="35"/>
      <c r="BT90" s="35"/>
      <c r="BU90" s="35"/>
      <c r="BV90" s="35"/>
      <c r="BW90" s="35"/>
      <c r="BX90" s="35"/>
      <c r="BY90" s="35"/>
      <c r="BZ90" s="35"/>
      <c r="CA90" s="35"/>
      <c r="CB90" s="35"/>
      <c r="CC90" s="35"/>
      <c r="CD90" s="35"/>
      <c r="CE90" s="35"/>
      <c r="CF90" s="35"/>
      <c r="CG90" s="35"/>
      <c r="CH90" s="35"/>
      <c r="CI90" s="35"/>
      <c r="CJ90" s="35"/>
      <c r="CK90" s="35"/>
      <c r="CL90" s="35"/>
      <c r="CM90" s="35"/>
      <c r="CN90" s="35"/>
      <c r="CO90" s="35"/>
      <c r="CP90" s="35"/>
      <c r="CQ90" s="35"/>
      <c r="CR90" s="35"/>
      <c r="CS90" s="35"/>
      <c r="CT90" s="35"/>
      <c r="CU90" s="35"/>
      <c r="CV90" s="35"/>
      <c r="CW90" s="35"/>
      <c r="CX90" s="35"/>
      <c r="CY90" s="35"/>
      <c r="CZ90" s="35"/>
      <c r="DA90" s="35"/>
      <c r="DB90" s="35"/>
      <c r="DC90" s="35"/>
      <c r="DD90" s="35"/>
      <c r="DE90" s="35"/>
      <c r="DF90" s="35"/>
      <c r="DG90" s="35"/>
      <c r="DH90" s="35"/>
      <c r="DI90" s="35"/>
      <c r="DJ90" s="35"/>
      <c r="DK90" s="35"/>
      <c r="DL90" s="35"/>
      <c r="DM90" s="35"/>
      <c r="DN90" s="35"/>
      <c r="DO90" s="35"/>
      <c r="DP90" s="35"/>
      <c r="DQ90" s="35"/>
      <c r="DR90" s="35"/>
      <c r="DS90" s="35"/>
      <c r="DT90" s="35"/>
      <c r="DU90" s="35"/>
      <c r="DV90" s="35"/>
      <c r="DW90" s="35"/>
      <c r="DX90" s="35"/>
      <c r="DY90" s="35"/>
      <c r="DZ90" s="35"/>
      <c r="EA90" s="35"/>
      <c r="EB90" s="35"/>
      <c r="EC90" s="35"/>
      <c r="ED90" s="35"/>
      <c r="EE90" s="35"/>
      <c r="EF90" s="35"/>
      <c r="EG90" s="35"/>
      <c r="EH90" s="35"/>
      <c r="EI90" s="35"/>
      <c r="EJ90" s="35"/>
      <c r="EK90" s="35"/>
      <c r="EL90" s="35"/>
      <c r="EM90" s="35"/>
      <c r="EN90" s="35"/>
      <c r="EO90" s="35"/>
      <c r="EP90" s="35"/>
      <c r="EQ90" s="35"/>
      <c r="ER90" s="35"/>
      <c r="ES90" s="35"/>
      <c r="ET90" s="35"/>
      <c r="EU90" s="35"/>
      <c r="EV90" s="35"/>
      <c r="EW90" s="35"/>
      <c r="EX90" s="35"/>
      <c r="EY90" s="35"/>
      <c r="EZ90" s="35"/>
      <c r="FA90" s="35"/>
      <c r="FB90" s="35"/>
      <c r="FC90" s="458">
        <f t="shared" si="11"/>
        <v>0</v>
      </c>
      <c r="FD90">
        <f t="shared" si="8"/>
        <v>0</v>
      </c>
      <c r="FE90" t="e">
        <f t="shared" si="9"/>
        <v>#N/A</v>
      </c>
      <c r="FI90" s="731" t="e">
        <f t="shared" si="12"/>
        <v>#VALUE!</v>
      </c>
      <c r="FK90" s="471" t="str">
        <f t="shared" si="13"/>
        <v xml:space="preserve"> </v>
      </c>
      <c r="FL90" s="730">
        <f t="shared" si="14"/>
        <v>0</v>
      </c>
      <c r="FM90" s="471" t="str">
        <f t="shared" si="15"/>
        <v/>
      </c>
      <c r="FN90" s="730">
        <f t="shared" si="10"/>
        <v>0</v>
      </c>
    </row>
    <row r="91" spans="1:170" s="33" customFormat="1" x14ac:dyDescent="0.2">
      <c r="A91" s="34" t="s">
        <v>141</v>
      </c>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c r="BN91" s="35"/>
      <c r="BO91" s="35"/>
      <c r="BP91" s="35"/>
      <c r="BQ91" s="35"/>
      <c r="BR91" s="35"/>
      <c r="BS91" s="35"/>
      <c r="BT91" s="35"/>
      <c r="BU91" s="35"/>
      <c r="BV91" s="35"/>
      <c r="BW91" s="35"/>
      <c r="BX91" s="35"/>
      <c r="BY91" s="35"/>
      <c r="BZ91" s="35"/>
      <c r="CA91" s="35"/>
      <c r="CB91" s="35"/>
      <c r="CC91" s="35"/>
      <c r="CD91" s="35"/>
      <c r="CE91" s="35"/>
      <c r="CF91" s="35"/>
      <c r="CG91" s="35"/>
      <c r="CH91" s="35"/>
      <c r="CI91" s="35"/>
      <c r="CJ91" s="35"/>
      <c r="CK91" s="35"/>
      <c r="CL91" s="35"/>
      <c r="CM91" s="35"/>
      <c r="CN91" s="35"/>
      <c r="CO91" s="35"/>
      <c r="CP91" s="35"/>
      <c r="CQ91" s="35"/>
      <c r="CR91" s="35"/>
      <c r="CS91" s="35"/>
      <c r="CT91" s="35"/>
      <c r="CU91" s="35"/>
      <c r="CV91" s="35"/>
      <c r="CW91" s="35"/>
      <c r="CX91" s="35"/>
      <c r="CY91" s="35"/>
      <c r="CZ91" s="35"/>
      <c r="DA91" s="35"/>
      <c r="DB91" s="35"/>
      <c r="DC91" s="35"/>
      <c r="DD91" s="35"/>
      <c r="DE91" s="35"/>
      <c r="DF91" s="35"/>
      <c r="DG91" s="35"/>
      <c r="DH91" s="35"/>
      <c r="DI91" s="35"/>
      <c r="DJ91" s="35"/>
      <c r="DK91" s="35"/>
      <c r="DL91" s="35"/>
      <c r="DM91" s="35"/>
      <c r="DN91" s="35"/>
      <c r="DO91" s="35"/>
      <c r="DP91" s="35"/>
      <c r="DQ91" s="35"/>
      <c r="DR91" s="35"/>
      <c r="DS91" s="35"/>
      <c r="DT91" s="35"/>
      <c r="DU91" s="35"/>
      <c r="DV91" s="35"/>
      <c r="DW91" s="35"/>
      <c r="DX91" s="35"/>
      <c r="DY91" s="35"/>
      <c r="DZ91" s="35"/>
      <c r="EA91" s="35"/>
      <c r="EB91" s="35"/>
      <c r="EC91" s="35"/>
      <c r="ED91" s="35"/>
      <c r="EE91" s="35"/>
      <c r="EF91" s="35"/>
      <c r="EG91" s="35"/>
      <c r="EH91" s="35"/>
      <c r="EI91" s="35"/>
      <c r="EJ91" s="35"/>
      <c r="EK91" s="35"/>
      <c r="EL91" s="35"/>
      <c r="EM91" s="35"/>
      <c r="EN91" s="35"/>
      <c r="EO91" s="35"/>
      <c r="EP91" s="35"/>
      <c r="EQ91" s="35"/>
      <c r="ER91" s="35"/>
      <c r="ES91" s="35"/>
      <c r="ET91" s="35"/>
      <c r="EU91" s="35"/>
      <c r="EV91" s="35"/>
      <c r="EW91" s="35"/>
      <c r="EX91" s="35"/>
      <c r="EY91" s="35"/>
      <c r="EZ91" s="35"/>
      <c r="FA91" s="35"/>
      <c r="FB91" s="35"/>
      <c r="FC91" s="458">
        <f t="shared" si="11"/>
        <v>0</v>
      </c>
      <c r="FD91">
        <f t="shared" si="8"/>
        <v>0</v>
      </c>
      <c r="FE91" t="e">
        <f t="shared" si="9"/>
        <v>#N/A</v>
      </c>
      <c r="FI91" s="731" t="e">
        <f t="shared" si="12"/>
        <v>#VALUE!</v>
      </c>
      <c r="FK91" s="471" t="str">
        <f t="shared" si="13"/>
        <v xml:space="preserve"> </v>
      </c>
      <c r="FL91" s="730">
        <f t="shared" si="14"/>
        <v>0</v>
      </c>
      <c r="FM91" s="471" t="str">
        <f t="shared" si="15"/>
        <v/>
      </c>
      <c r="FN91" s="730">
        <f t="shared" si="10"/>
        <v>0</v>
      </c>
    </row>
    <row r="92" spans="1:170" s="33" customFormat="1" x14ac:dyDescent="0.2">
      <c r="A92" s="34" t="s">
        <v>142</v>
      </c>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35"/>
      <c r="BT92" s="35"/>
      <c r="BU92" s="35"/>
      <c r="BV92" s="35"/>
      <c r="BW92" s="35"/>
      <c r="BX92" s="35"/>
      <c r="BY92" s="35"/>
      <c r="BZ92" s="35"/>
      <c r="CA92" s="35"/>
      <c r="CB92" s="35"/>
      <c r="CC92" s="35"/>
      <c r="CD92" s="35"/>
      <c r="CE92" s="35"/>
      <c r="CF92" s="35"/>
      <c r="CG92" s="35"/>
      <c r="CH92" s="35"/>
      <c r="CI92" s="35"/>
      <c r="CJ92" s="35"/>
      <c r="CK92" s="35"/>
      <c r="CL92" s="35"/>
      <c r="CM92" s="35"/>
      <c r="CN92" s="35"/>
      <c r="CO92" s="35"/>
      <c r="CP92" s="35"/>
      <c r="CQ92" s="35"/>
      <c r="CR92" s="35"/>
      <c r="CS92" s="35"/>
      <c r="CT92" s="35"/>
      <c r="CU92" s="35"/>
      <c r="CV92" s="35"/>
      <c r="CW92" s="35"/>
      <c r="CX92" s="35"/>
      <c r="CY92" s="35"/>
      <c r="CZ92" s="35"/>
      <c r="DA92" s="35"/>
      <c r="DB92" s="35"/>
      <c r="DC92" s="35"/>
      <c r="DD92" s="35"/>
      <c r="DE92" s="35"/>
      <c r="DF92" s="35"/>
      <c r="DG92" s="35"/>
      <c r="DH92" s="35"/>
      <c r="DI92" s="35"/>
      <c r="DJ92" s="35"/>
      <c r="DK92" s="35"/>
      <c r="DL92" s="35"/>
      <c r="DM92" s="35"/>
      <c r="DN92" s="35"/>
      <c r="DO92" s="35"/>
      <c r="DP92" s="35"/>
      <c r="DQ92" s="35"/>
      <c r="DR92" s="35"/>
      <c r="DS92" s="35"/>
      <c r="DT92" s="35"/>
      <c r="DU92" s="35"/>
      <c r="DV92" s="35"/>
      <c r="DW92" s="35"/>
      <c r="DX92" s="35"/>
      <c r="DY92" s="35"/>
      <c r="DZ92" s="35"/>
      <c r="EA92" s="35"/>
      <c r="EB92" s="35"/>
      <c r="EC92" s="35"/>
      <c r="ED92" s="35"/>
      <c r="EE92" s="35"/>
      <c r="EF92" s="35"/>
      <c r="EG92" s="35"/>
      <c r="EH92" s="35"/>
      <c r="EI92" s="35"/>
      <c r="EJ92" s="35"/>
      <c r="EK92" s="35"/>
      <c r="EL92" s="35"/>
      <c r="EM92" s="35"/>
      <c r="EN92" s="35"/>
      <c r="EO92" s="35"/>
      <c r="EP92" s="35"/>
      <c r="EQ92" s="35"/>
      <c r="ER92" s="35"/>
      <c r="ES92" s="35"/>
      <c r="ET92" s="35"/>
      <c r="EU92" s="35"/>
      <c r="EV92" s="35"/>
      <c r="EW92" s="35"/>
      <c r="EX92" s="35"/>
      <c r="EY92" s="35"/>
      <c r="EZ92" s="35"/>
      <c r="FA92" s="35"/>
      <c r="FB92" s="35"/>
      <c r="FC92" s="458">
        <f t="shared" si="11"/>
        <v>0</v>
      </c>
      <c r="FD92">
        <f t="shared" si="8"/>
        <v>0</v>
      </c>
      <c r="FE92" t="e">
        <f t="shared" si="9"/>
        <v>#N/A</v>
      </c>
      <c r="FI92" s="731" t="e">
        <f t="shared" si="12"/>
        <v>#VALUE!</v>
      </c>
      <c r="FK92" s="471" t="str">
        <f t="shared" si="13"/>
        <v xml:space="preserve"> </v>
      </c>
      <c r="FL92" s="730">
        <f t="shared" si="14"/>
        <v>0</v>
      </c>
      <c r="FM92" s="471" t="str">
        <f t="shared" si="15"/>
        <v/>
      </c>
      <c r="FN92" s="730">
        <f t="shared" si="10"/>
        <v>0</v>
      </c>
    </row>
    <row r="93" spans="1:170" s="33" customFormat="1" x14ac:dyDescent="0.2">
      <c r="A93" s="34" t="s">
        <v>143</v>
      </c>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c r="BK93" s="35"/>
      <c r="BL93" s="35"/>
      <c r="BM93" s="35"/>
      <c r="BN93" s="35"/>
      <c r="BO93" s="35"/>
      <c r="BP93" s="35"/>
      <c r="BQ93" s="35"/>
      <c r="BR93" s="35"/>
      <c r="BS93" s="35"/>
      <c r="BT93" s="35"/>
      <c r="BU93" s="35"/>
      <c r="BV93" s="35"/>
      <c r="BW93" s="35"/>
      <c r="BX93" s="35"/>
      <c r="BY93" s="35"/>
      <c r="BZ93" s="35"/>
      <c r="CA93" s="35"/>
      <c r="CB93" s="35"/>
      <c r="CC93" s="35"/>
      <c r="CD93" s="35"/>
      <c r="CE93" s="35"/>
      <c r="CF93" s="35"/>
      <c r="CG93" s="35"/>
      <c r="CH93" s="35"/>
      <c r="CI93" s="35"/>
      <c r="CJ93" s="35"/>
      <c r="CK93" s="35"/>
      <c r="CL93" s="35"/>
      <c r="CM93" s="35"/>
      <c r="CN93" s="35"/>
      <c r="CO93" s="35"/>
      <c r="CP93" s="35"/>
      <c r="CQ93" s="35"/>
      <c r="CR93" s="35"/>
      <c r="CS93" s="35"/>
      <c r="CT93" s="35"/>
      <c r="CU93" s="35"/>
      <c r="CV93" s="35"/>
      <c r="CW93" s="35"/>
      <c r="CX93" s="35"/>
      <c r="CY93" s="35"/>
      <c r="CZ93" s="35"/>
      <c r="DA93" s="35"/>
      <c r="DB93" s="35"/>
      <c r="DC93" s="35"/>
      <c r="DD93" s="35"/>
      <c r="DE93" s="35"/>
      <c r="DF93" s="35"/>
      <c r="DG93" s="35"/>
      <c r="DH93" s="35"/>
      <c r="DI93" s="35"/>
      <c r="DJ93" s="35"/>
      <c r="DK93" s="35"/>
      <c r="DL93" s="35"/>
      <c r="DM93" s="35"/>
      <c r="DN93" s="35"/>
      <c r="DO93" s="35"/>
      <c r="DP93" s="35"/>
      <c r="DQ93" s="35"/>
      <c r="DR93" s="35"/>
      <c r="DS93" s="35"/>
      <c r="DT93" s="35"/>
      <c r="DU93" s="35"/>
      <c r="DV93" s="35"/>
      <c r="DW93" s="35"/>
      <c r="DX93" s="35"/>
      <c r="DY93" s="35"/>
      <c r="DZ93" s="35"/>
      <c r="EA93" s="35"/>
      <c r="EB93" s="35"/>
      <c r="EC93" s="35"/>
      <c r="ED93" s="35"/>
      <c r="EE93" s="35"/>
      <c r="EF93" s="35"/>
      <c r="EG93" s="35"/>
      <c r="EH93" s="35"/>
      <c r="EI93" s="35"/>
      <c r="EJ93" s="35"/>
      <c r="EK93" s="35"/>
      <c r="EL93" s="35"/>
      <c r="EM93" s="35"/>
      <c r="EN93" s="35"/>
      <c r="EO93" s="35"/>
      <c r="EP93" s="35"/>
      <c r="EQ93" s="35"/>
      <c r="ER93" s="35"/>
      <c r="ES93" s="35"/>
      <c r="ET93" s="35"/>
      <c r="EU93" s="35"/>
      <c r="EV93" s="35"/>
      <c r="EW93" s="35"/>
      <c r="EX93" s="35"/>
      <c r="EY93" s="35"/>
      <c r="EZ93" s="35"/>
      <c r="FA93" s="35"/>
      <c r="FB93" s="35"/>
      <c r="FC93" s="458">
        <f t="shared" si="11"/>
        <v>0</v>
      </c>
      <c r="FD93">
        <f t="shared" si="8"/>
        <v>0</v>
      </c>
      <c r="FE93" t="e">
        <f t="shared" si="9"/>
        <v>#N/A</v>
      </c>
      <c r="FI93" s="731" t="e">
        <f t="shared" si="12"/>
        <v>#VALUE!</v>
      </c>
      <c r="FK93" s="471" t="str">
        <f t="shared" si="13"/>
        <v xml:space="preserve"> </v>
      </c>
      <c r="FL93" s="730">
        <f t="shared" si="14"/>
        <v>0</v>
      </c>
      <c r="FM93" s="471" t="str">
        <f t="shared" si="15"/>
        <v/>
      </c>
      <c r="FN93" s="730">
        <f t="shared" si="10"/>
        <v>0</v>
      </c>
    </row>
    <row r="94" spans="1:170" s="33" customFormat="1" x14ac:dyDescent="0.2">
      <c r="A94" s="34" t="s">
        <v>144</v>
      </c>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35"/>
      <c r="BM94" s="35"/>
      <c r="BN94" s="35"/>
      <c r="BO94" s="35"/>
      <c r="BP94" s="35"/>
      <c r="BQ94" s="35"/>
      <c r="BR94" s="35"/>
      <c r="BS94" s="35"/>
      <c r="BT94" s="35"/>
      <c r="BU94" s="35"/>
      <c r="BV94" s="35"/>
      <c r="BW94" s="35"/>
      <c r="BX94" s="35"/>
      <c r="BY94" s="35"/>
      <c r="BZ94" s="35"/>
      <c r="CA94" s="35"/>
      <c r="CB94" s="35"/>
      <c r="CC94" s="35"/>
      <c r="CD94" s="35"/>
      <c r="CE94" s="35"/>
      <c r="CF94" s="35"/>
      <c r="CG94" s="35"/>
      <c r="CH94" s="35"/>
      <c r="CI94" s="35"/>
      <c r="CJ94" s="35"/>
      <c r="CK94" s="35"/>
      <c r="CL94" s="35"/>
      <c r="CM94" s="35"/>
      <c r="CN94" s="35"/>
      <c r="CO94" s="35"/>
      <c r="CP94" s="35"/>
      <c r="CQ94" s="35"/>
      <c r="CR94" s="35"/>
      <c r="CS94" s="35"/>
      <c r="CT94" s="35"/>
      <c r="CU94" s="35"/>
      <c r="CV94" s="35"/>
      <c r="CW94" s="35"/>
      <c r="CX94" s="35"/>
      <c r="CY94" s="35"/>
      <c r="CZ94" s="35"/>
      <c r="DA94" s="35"/>
      <c r="DB94" s="35"/>
      <c r="DC94" s="35"/>
      <c r="DD94" s="35"/>
      <c r="DE94" s="35"/>
      <c r="DF94" s="35"/>
      <c r="DG94" s="35"/>
      <c r="DH94" s="35"/>
      <c r="DI94" s="35"/>
      <c r="DJ94" s="35"/>
      <c r="DK94" s="35"/>
      <c r="DL94" s="35"/>
      <c r="DM94" s="35"/>
      <c r="DN94" s="35"/>
      <c r="DO94" s="35"/>
      <c r="DP94" s="35"/>
      <c r="DQ94" s="35"/>
      <c r="DR94" s="35"/>
      <c r="DS94" s="35"/>
      <c r="DT94" s="35"/>
      <c r="DU94" s="35"/>
      <c r="DV94" s="35"/>
      <c r="DW94" s="35"/>
      <c r="DX94" s="35"/>
      <c r="DY94" s="35"/>
      <c r="DZ94" s="35"/>
      <c r="EA94" s="35"/>
      <c r="EB94" s="35"/>
      <c r="EC94" s="35"/>
      <c r="ED94" s="35"/>
      <c r="EE94" s="35"/>
      <c r="EF94" s="35"/>
      <c r="EG94" s="35"/>
      <c r="EH94" s="35"/>
      <c r="EI94" s="35"/>
      <c r="EJ94" s="35"/>
      <c r="EK94" s="35"/>
      <c r="EL94" s="35"/>
      <c r="EM94" s="35"/>
      <c r="EN94" s="35"/>
      <c r="EO94" s="35"/>
      <c r="EP94" s="35"/>
      <c r="EQ94" s="35"/>
      <c r="ER94" s="35"/>
      <c r="ES94" s="35"/>
      <c r="ET94" s="35"/>
      <c r="EU94" s="35"/>
      <c r="EV94" s="35"/>
      <c r="EW94" s="35"/>
      <c r="EX94" s="35"/>
      <c r="EY94" s="35"/>
      <c r="EZ94" s="35"/>
      <c r="FA94" s="35"/>
      <c r="FB94" s="35"/>
      <c r="FC94" s="458">
        <f t="shared" si="11"/>
        <v>0</v>
      </c>
      <c r="FD94">
        <f t="shared" si="8"/>
        <v>0</v>
      </c>
      <c r="FE94" t="e">
        <f t="shared" si="9"/>
        <v>#N/A</v>
      </c>
      <c r="FI94" s="731" t="e">
        <f t="shared" si="12"/>
        <v>#VALUE!</v>
      </c>
      <c r="FK94" s="471" t="str">
        <f t="shared" si="13"/>
        <v xml:space="preserve"> </v>
      </c>
      <c r="FL94" s="730">
        <f t="shared" si="14"/>
        <v>0</v>
      </c>
      <c r="FM94" s="471" t="str">
        <f t="shared" si="15"/>
        <v/>
      </c>
      <c r="FN94" s="730">
        <f t="shared" si="10"/>
        <v>0</v>
      </c>
    </row>
    <row r="95" spans="1:170" s="33" customFormat="1" x14ac:dyDescent="0.2">
      <c r="A95" s="34" t="s">
        <v>145</v>
      </c>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c r="BN95" s="35"/>
      <c r="BO95" s="35"/>
      <c r="BP95" s="35"/>
      <c r="BQ95" s="35"/>
      <c r="BR95" s="35"/>
      <c r="BS95" s="35"/>
      <c r="BT95" s="35"/>
      <c r="BU95" s="35"/>
      <c r="BV95" s="35"/>
      <c r="BW95" s="35"/>
      <c r="BX95" s="35"/>
      <c r="BY95" s="35"/>
      <c r="BZ95" s="35"/>
      <c r="CA95" s="35"/>
      <c r="CB95" s="35"/>
      <c r="CC95" s="35"/>
      <c r="CD95" s="35"/>
      <c r="CE95" s="35"/>
      <c r="CF95" s="35"/>
      <c r="CG95" s="35"/>
      <c r="CH95" s="35"/>
      <c r="CI95" s="35"/>
      <c r="CJ95" s="35"/>
      <c r="CK95" s="35"/>
      <c r="CL95" s="35"/>
      <c r="CM95" s="35"/>
      <c r="CN95" s="35"/>
      <c r="CO95" s="35"/>
      <c r="CP95" s="35"/>
      <c r="CQ95" s="35"/>
      <c r="CR95" s="35"/>
      <c r="CS95" s="35"/>
      <c r="CT95" s="35"/>
      <c r="CU95" s="35"/>
      <c r="CV95" s="35"/>
      <c r="CW95" s="35"/>
      <c r="CX95" s="35"/>
      <c r="CY95" s="35"/>
      <c r="CZ95" s="35"/>
      <c r="DA95" s="35"/>
      <c r="DB95" s="35"/>
      <c r="DC95" s="35"/>
      <c r="DD95" s="35"/>
      <c r="DE95" s="35"/>
      <c r="DF95" s="35"/>
      <c r="DG95" s="35"/>
      <c r="DH95" s="35"/>
      <c r="DI95" s="35"/>
      <c r="DJ95" s="35"/>
      <c r="DK95" s="35"/>
      <c r="DL95" s="35"/>
      <c r="DM95" s="35"/>
      <c r="DN95" s="35"/>
      <c r="DO95" s="35"/>
      <c r="DP95" s="35"/>
      <c r="DQ95" s="35"/>
      <c r="DR95" s="35"/>
      <c r="DS95" s="35"/>
      <c r="DT95" s="35"/>
      <c r="DU95" s="35"/>
      <c r="DV95" s="35"/>
      <c r="DW95" s="35"/>
      <c r="DX95" s="35"/>
      <c r="DY95" s="35"/>
      <c r="DZ95" s="35"/>
      <c r="EA95" s="35"/>
      <c r="EB95" s="35"/>
      <c r="EC95" s="35"/>
      <c r="ED95" s="35"/>
      <c r="EE95" s="35"/>
      <c r="EF95" s="35"/>
      <c r="EG95" s="35"/>
      <c r="EH95" s="35"/>
      <c r="EI95" s="35"/>
      <c r="EJ95" s="35"/>
      <c r="EK95" s="35"/>
      <c r="EL95" s="35"/>
      <c r="EM95" s="35"/>
      <c r="EN95" s="35"/>
      <c r="EO95" s="35"/>
      <c r="EP95" s="35"/>
      <c r="EQ95" s="35"/>
      <c r="ER95" s="35"/>
      <c r="ES95" s="35"/>
      <c r="ET95" s="35"/>
      <c r="EU95" s="35"/>
      <c r="EV95" s="35"/>
      <c r="EW95" s="35"/>
      <c r="EX95" s="35"/>
      <c r="EY95" s="35"/>
      <c r="EZ95" s="35"/>
      <c r="FA95" s="35"/>
      <c r="FB95" s="35"/>
      <c r="FC95" s="458">
        <f t="shared" si="11"/>
        <v>0</v>
      </c>
      <c r="FD95">
        <f t="shared" si="8"/>
        <v>0</v>
      </c>
      <c r="FE95" t="e">
        <f t="shared" si="9"/>
        <v>#N/A</v>
      </c>
      <c r="FI95" s="731" t="e">
        <f t="shared" si="12"/>
        <v>#VALUE!</v>
      </c>
      <c r="FK95" s="471" t="str">
        <f t="shared" si="13"/>
        <v xml:space="preserve"> </v>
      </c>
      <c r="FL95" s="730">
        <f t="shared" si="14"/>
        <v>0</v>
      </c>
      <c r="FM95" s="471" t="str">
        <f t="shared" si="15"/>
        <v/>
      </c>
      <c r="FN95" s="730">
        <f t="shared" si="10"/>
        <v>0</v>
      </c>
    </row>
    <row r="96" spans="1:170" s="33" customFormat="1" x14ac:dyDescent="0.2">
      <c r="A96" s="34" t="s">
        <v>146</v>
      </c>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c r="CT96" s="35"/>
      <c r="CU96" s="35"/>
      <c r="CV96" s="35"/>
      <c r="CW96" s="35"/>
      <c r="CX96" s="35"/>
      <c r="CY96" s="35"/>
      <c r="CZ96" s="35"/>
      <c r="DA96" s="35"/>
      <c r="DB96" s="35"/>
      <c r="DC96" s="35"/>
      <c r="DD96" s="35"/>
      <c r="DE96" s="35"/>
      <c r="DF96" s="35"/>
      <c r="DG96" s="35"/>
      <c r="DH96" s="35"/>
      <c r="DI96" s="35"/>
      <c r="DJ96" s="35"/>
      <c r="DK96" s="35"/>
      <c r="DL96" s="35"/>
      <c r="DM96" s="35"/>
      <c r="DN96" s="35"/>
      <c r="DO96" s="35"/>
      <c r="DP96" s="35"/>
      <c r="DQ96" s="35"/>
      <c r="DR96" s="35"/>
      <c r="DS96" s="35"/>
      <c r="DT96" s="35"/>
      <c r="DU96" s="35"/>
      <c r="DV96" s="35"/>
      <c r="DW96" s="35"/>
      <c r="DX96" s="35"/>
      <c r="DY96" s="35"/>
      <c r="DZ96" s="35"/>
      <c r="EA96" s="35"/>
      <c r="EB96" s="35"/>
      <c r="EC96" s="35"/>
      <c r="ED96" s="35"/>
      <c r="EE96" s="35"/>
      <c r="EF96" s="35"/>
      <c r="EG96" s="35"/>
      <c r="EH96" s="35"/>
      <c r="EI96" s="35"/>
      <c r="EJ96" s="35"/>
      <c r="EK96" s="35"/>
      <c r="EL96" s="35"/>
      <c r="EM96" s="35"/>
      <c r="EN96" s="35"/>
      <c r="EO96" s="35"/>
      <c r="EP96" s="35"/>
      <c r="EQ96" s="35"/>
      <c r="ER96" s="35"/>
      <c r="ES96" s="35"/>
      <c r="ET96" s="35"/>
      <c r="EU96" s="35"/>
      <c r="EV96" s="35"/>
      <c r="EW96" s="35"/>
      <c r="EX96" s="35"/>
      <c r="EY96" s="35"/>
      <c r="EZ96" s="35"/>
      <c r="FA96" s="35"/>
      <c r="FB96" s="35"/>
      <c r="FC96" s="458">
        <f t="shared" si="11"/>
        <v>0</v>
      </c>
      <c r="FD96">
        <f t="shared" si="8"/>
        <v>0</v>
      </c>
      <c r="FE96" t="e">
        <f t="shared" si="9"/>
        <v>#N/A</v>
      </c>
      <c r="FI96" s="731" t="e">
        <f t="shared" si="12"/>
        <v>#VALUE!</v>
      </c>
      <c r="FK96" s="471" t="str">
        <f t="shared" si="13"/>
        <v xml:space="preserve"> </v>
      </c>
      <c r="FL96" s="730">
        <f t="shared" si="14"/>
        <v>0</v>
      </c>
      <c r="FM96" s="471" t="str">
        <f t="shared" si="15"/>
        <v/>
      </c>
      <c r="FN96" s="730">
        <f t="shared" si="10"/>
        <v>0</v>
      </c>
    </row>
    <row r="97" spans="1:170" s="33" customFormat="1" x14ac:dyDescent="0.2">
      <c r="A97" s="34" t="s">
        <v>147</v>
      </c>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c r="BJ97" s="35"/>
      <c r="BK97" s="35"/>
      <c r="BL97" s="35"/>
      <c r="BM97" s="35"/>
      <c r="BN97" s="35"/>
      <c r="BO97" s="35"/>
      <c r="BP97" s="35"/>
      <c r="BQ97" s="35"/>
      <c r="BR97" s="35"/>
      <c r="BS97" s="35"/>
      <c r="BT97" s="35"/>
      <c r="BU97" s="35"/>
      <c r="BV97" s="35"/>
      <c r="BW97" s="35"/>
      <c r="BX97" s="35"/>
      <c r="BY97" s="35"/>
      <c r="BZ97" s="35"/>
      <c r="CA97" s="35"/>
      <c r="CB97" s="35"/>
      <c r="CC97" s="35"/>
      <c r="CD97" s="35"/>
      <c r="CE97" s="35"/>
      <c r="CF97" s="35"/>
      <c r="CG97" s="35"/>
      <c r="CH97" s="35"/>
      <c r="CI97" s="35"/>
      <c r="CJ97" s="35"/>
      <c r="CK97" s="35"/>
      <c r="CL97" s="35"/>
      <c r="CM97" s="35"/>
      <c r="CN97" s="35"/>
      <c r="CO97" s="35"/>
      <c r="CP97" s="35"/>
      <c r="CQ97" s="35"/>
      <c r="CR97" s="35"/>
      <c r="CS97" s="35"/>
      <c r="CT97" s="35"/>
      <c r="CU97" s="35"/>
      <c r="CV97" s="35"/>
      <c r="CW97" s="35"/>
      <c r="CX97" s="35"/>
      <c r="CY97" s="35"/>
      <c r="CZ97" s="35"/>
      <c r="DA97" s="35"/>
      <c r="DB97" s="35"/>
      <c r="DC97" s="35"/>
      <c r="DD97" s="35"/>
      <c r="DE97" s="35"/>
      <c r="DF97" s="35"/>
      <c r="DG97" s="35"/>
      <c r="DH97" s="35"/>
      <c r="DI97" s="35"/>
      <c r="DJ97" s="35"/>
      <c r="DK97" s="35"/>
      <c r="DL97" s="35"/>
      <c r="DM97" s="35"/>
      <c r="DN97" s="35"/>
      <c r="DO97" s="35"/>
      <c r="DP97" s="35"/>
      <c r="DQ97" s="35"/>
      <c r="DR97" s="35"/>
      <c r="DS97" s="35"/>
      <c r="DT97" s="35"/>
      <c r="DU97" s="35"/>
      <c r="DV97" s="35"/>
      <c r="DW97" s="35"/>
      <c r="DX97" s="35"/>
      <c r="DY97" s="35"/>
      <c r="DZ97" s="35"/>
      <c r="EA97" s="35"/>
      <c r="EB97" s="35"/>
      <c r="EC97" s="35"/>
      <c r="ED97" s="35"/>
      <c r="EE97" s="35"/>
      <c r="EF97" s="35"/>
      <c r="EG97" s="35"/>
      <c r="EH97" s="35"/>
      <c r="EI97" s="35"/>
      <c r="EJ97" s="35"/>
      <c r="EK97" s="35"/>
      <c r="EL97" s="35"/>
      <c r="EM97" s="35"/>
      <c r="EN97" s="35"/>
      <c r="EO97" s="35"/>
      <c r="EP97" s="35"/>
      <c r="EQ97" s="35"/>
      <c r="ER97" s="35"/>
      <c r="ES97" s="35"/>
      <c r="ET97" s="35"/>
      <c r="EU97" s="35"/>
      <c r="EV97" s="35"/>
      <c r="EW97" s="35"/>
      <c r="EX97" s="35"/>
      <c r="EY97" s="35"/>
      <c r="EZ97" s="35"/>
      <c r="FA97" s="35"/>
      <c r="FB97" s="35"/>
      <c r="FC97" s="458">
        <f t="shared" si="11"/>
        <v>0</v>
      </c>
      <c r="FD97">
        <f t="shared" si="8"/>
        <v>0</v>
      </c>
      <c r="FE97" t="e">
        <f t="shared" si="9"/>
        <v>#N/A</v>
      </c>
      <c r="FI97" s="731" t="e">
        <f t="shared" si="12"/>
        <v>#VALUE!</v>
      </c>
      <c r="FK97" s="471" t="str">
        <f t="shared" si="13"/>
        <v xml:space="preserve"> </v>
      </c>
      <c r="FL97" s="730">
        <f t="shared" si="14"/>
        <v>0</v>
      </c>
      <c r="FM97" s="471" t="str">
        <f t="shared" si="15"/>
        <v/>
      </c>
      <c r="FN97" s="730">
        <f t="shared" si="10"/>
        <v>0</v>
      </c>
    </row>
    <row r="98" spans="1:170" s="33" customFormat="1" x14ac:dyDescent="0.2">
      <c r="A98" s="34" t="s">
        <v>148</v>
      </c>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c r="BN98" s="35"/>
      <c r="BO98" s="35"/>
      <c r="BP98" s="35"/>
      <c r="BQ98" s="35"/>
      <c r="BR98" s="35"/>
      <c r="BS98" s="35"/>
      <c r="BT98" s="35"/>
      <c r="BU98" s="35"/>
      <c r="BV98" s="35"/>
      <c r="BW98" s="35"/>
      <c r="BX98" s="35"/>
      <c r="BY98" s="35"/>
      <c r="BZ98" s="35"/>
      <c r="CA98" s="35"/>
      <c r="CB98" s="35"/>
      <c r="CC98" s="35"/>
      <c r="CD98" s="35"/>
      <c r="CE98" s="35"/>
      <c r="CF98" s="35"/>
      <c r="CG98" s="35"/>
      <c r="CH98" s="35"/>
      <c r="CI98" s="35"/>
      <c r="CJ98" s="35"/>
      <c r="CK98" s="35"/>
      <c r="CL98" s="35"/>
      <c r="CM98" s="35"/>
      <c r="CN98" s="35"/>
      <c r="CO98" s="35"/>
      <c r="CP98" s="35"/>
      <c r="CQ98" s="35"/>
      <c r="CR98" s="35"/>
      <c r="CS98" s="35"/>
      <c r="CT98" s="35"/>
      <c r="CU98" s="35"/>
      <c r="CV98" s="35"/>
      <c r="CW98" s="35"/>
      <c r="CX98" s="35"/>
      <c r="CY98" s="35"/>
      <c r="CZ98" s="35"/>
      <c r="DA98" s="35"/>
      <c r="DB98" s="35"/>
      <c r="DC98" s="35"/>
      <c r="DD98" s="35"/>
      <c r="DE98" s="35"/>
      <c r="DF98" s="35"/>
      <c r="DG98" s="35"/>
      <c r="DH98" s="35"/>
      <c r="DI98" s="35"/>
      <c r="DJ98" s="35"/>
      <c r="DK98" s="35"/>
      <c r="DL98" s="35"/>
      <c r="DM98" s="35"/>
      <c r="DN98" s="35"/>
      <c r="DO98" s="35"/>
      <c r="DP98" s="35"/>
      <c r="DQ98" s="35"/>
      <c r="DR98" s="35"/>
      <c r="DS98" s="35"/>
      <c r="DT98" s="35"/>
      <c r="DU98" s="35"/>
      <c r="DV98" s="35"/>
      <c r="DW98" s="35"/>
      <c r="DX98" s="35"/>
      <c r="DY98" s="35"/>
      <c r="DZ98" s="35"/>
      <c r="EA98" s="35"/>
      <c r="EB98" s="35"/>
      <c r="EC98" s="35"/>
      <c r="ED98" s="35"/>
      <c r="EE98" s="35"/>
      <c r="EF98" s="35"/>
      <c r="EG98" s="35"/>
      <c r="EH98" s="35"/>
      <c r="EI98" s="35"/>
      <c r="EJ98" s="35"/>
      <c r="EK98" s="35"/>
      <c r="EL98" s="35"/>
      <c r="EM98" s="35"/>
      <c r="EN98" s="35"/>
      <c r="EO98" s="35"/>
      <c r="EP98" s="35"/>
      <c r="EQ98" s="35"/>
      <c r="ER98" s="35"/>
      <c r="ES98" s="35"/>
      <c r="ET98" s="35"/>
      <c r="EU98" s="35"/>
      <c r="EV98" s="35"/>
      <c r="EW98" s="35"/>
      <c r="EX98" s="35"/>
      <c r="EY98" s="35"/>
      <c r="EZ98" s="35"/>
      <c r="FA98" s="35"/>
      <c r="FB98" s="35"/>
      <c r="FC98" s="458">
        <f t="shared" si="11"/>
        <v>0</v>
      </c>
      <c r="FD98">
        <f t="shared" si="8"/>
        <v>0</v>
      </c>
      <c r="FE98" t="e">
        <f t="shared" si="9"/>
        <v>#N/A</v>
      </c>
      <c r="FI98" s="731" t="e">
        <f t="shared" si="12"/>
        <v>#VALUE!</v>
      </c>
      <c r="FK98" s="471" t="str">
        <f t="shared" si="13"/>
        <v xml:space="preserve"> </v>
      </c>
      <c r="FL98" s="730">
        <f t="shared" si="14"/>
        <v>0</v>
      </c>
      <c r="FM98" s="471" t="str">
        <f t="shared" si="15"/>
        <v/>
      </c>
      <c r="FN98" s="730">
        <f t="shared" si="10"/>
        <v>0</v>
      </c>
    </row>
    <row r="99" spans="1:170" s="33" customFormat="1" x14ac:dyDescent="0.2">
      <c r="A99" s="34" t="s">
        <v>149</v>
      </c>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c r="BN99" s="35"/>
      <c r="BO99" s="35"/>
      <c r="BP99" s="35"/>
      <c r="BQ99" s="35"/>
      <c r="BR99" s="35"/>
      <c r="BS99" s="35"/>
      <c r="BT99" s="35"/>
      <c r="BU99" s="35"/>
      <c r="BV99" s="35"/>
      <c r="BW99" s="35"/>
      <c r="BX99" s="35"/>
      <c r="BY99" s="35"/>
      <c r="BZ99" s="35"/>
      <c r="CA99" s="35"/>
      <c r="CB99" s="35"/>
      <c r="CC99" s="35"/>
      <c r="CD99" s="35"/>
      <c r="CE99" s="35"/>
      <c r="CF99" s="35"/>
      <c r="CG99" s="35"/>
      <c r="CH99" s="35"/>
      <c r="CI99" s="35"/>
      <c r="CJ99" s="35"/>
      <c r="CK99" s="35"/>
      <c r="CL99" s="35"/>
      <c r="CM99" s="35"/>
      <c r="CN99" s="35"/>
      <c r="CO99" s="35"/>
      <c r="CP99" s="35"/>
      <c r="CQ99" s="35"/>
      <c r="CR99" s="35"/>
      <c r="CS99" s="35"/>
      <c r="CT99" s="35"/>
      <c r="CU99" s="35"/>
      <c r="CV99" s="35"/>
      <c r="CW99" s="35"/>
      <c r="CX99" s="35"/>
      <c r="CY99" s="35"/>
      <c r="CZ99" s="35"/>
      <c r="DA99" s="35"/>
      <c r="DB99" s="35"/>
      <c r="DC99" s="35"/>
      <c r="DD99" s="35"/>
      <c r="DE99" s="35"/>
      <c r="DF99" s="35"/>
      <c r="DG99" s="35"/>
      <c r="DH99" s="35"/>
      <c r="DI99" s="35"/>
      <c r="DJ99" s="35"/>
      <c r="DK99" s="35"/>
      <c r="DL99" s="35"/>
      <c r="DM99" s="35"/>
      <c r="DN99" s="35"/>
      <c r="DO99" s="35"/>
      <c r="DP99" s="35"/>
      <c r="DQ99" s="35"/>
      <c r="DR99" s="35"/>
      <c r="DS99" s="35"/>
      <c r="DT99" s="35"/>
      <c r="DU99" s="35"/>
      <c r="DV99" s="35"/>
      <c r="DW99" s="35"/>
      <c r="DX99" s="35"/>
      <c r="DY99" s="35"/>
      <c r="DZ99" s="35"/>
      <c r="EA99" s="35"/>
      <c r="EB99" s="35"/>
      <c r="EC99" s="35"/>
      <c r="ED99" s="35"/>
      <c r="EE99" s="35"/>
      <c r="EF99" s="35"/>
      <c r="EG99" s="35"/>
      <c r="EH99" s="35"/>
      <c r="EI99" s="35"/>
      <c r="EJ99" s="35"/>
      <c r="EK99" s="35"/>
      <c r="EL99" s="35"/>
      <c r="EM99" s="35"/>
      <c r="EN99" s="35"/>
      <c r="EO99" s="35"/>
      <c r="EP99" s="35"/>
      <c r="EQ99" s="35"/>
      <c r="ER99" s="35"/>
      <c r="ES99" s="35"/>
      <c r="ET99" s="35"/>
      <c r="EU99" s="35"/>
      <c r="EV99" s="35"/>
      <c r="EW99" s="35"/>
      <c r="EX99" s="35"/>
      <c r="EY99" s="35"/>
      <c r="EZ99" s="35"/>
      <c r="FA99" s="35"/>
      <c r="FB99" s="35"/>
      <c r="FC99" s="458">
        <f t="shared" si="11"/>
        <v>0</v>
      </c>
      <c r="FD99">
        <f t="shared" si="8"/>
        <v>0</v>
      </c>
      <c r="FE99" t="e">
        <f t="shared" si="9"/>
        <v>#N/A</v>
      </c>
      <c r="FI99" s="731" t="e">
        <f t="shared" si="12"/>
        <v>#VALUE!</v>
      </c>
      <c r="FK99" s="471" t="str">
        <f t="shared" si="13"/>
        <v xml:space="preserve"> </v>
      </c>
      <c r="FL99" s="730">
        <f t="shared" si="14"/>
        <v>0</v>
      </c>
      <c r="FM99" s="471" t="str">
        <f t="shared" si="15"/>
        <v/>
      </c>
      <c r="FN99" s="730">
        <f t="shared" si="10"/>
        <v>0</v>
      </c>
    </row>
    <row r="100" spans="1:170" s="33" customFormat="1" x14ac:dyDescent="0.2">
      <c r="A100" s="34" t="s">
        <v>150</v>
      </c>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c r="BM100" s="35"/>
      <c r="BN100" s="35"/>
      <c r="BO100" s="35"/>
      <c r="BP100" s="35"/>
      <c r="BQ100" s="35"/>
      <c r="BR100" s="35"/>
      <c r="BS100" s="35"/>
      <c r="BT100" s="35"/>
      <c r="BU100" s="35"/>
      <c r="BV100" s="35"/>
      <c r="BW100" s="35"/>
      <c r="BX100" s="35"/>
      <c r="BY100" s="35"/>
      <c r="BZ100" s="35"/>
      <c r="CA100" s="35"/>
      <c r="CB100" s="35"/>
      <c r="CC100" s="35"/>
      <c r="CD100" s="35"/>
      <c r="CE100" s="35"/>
      <c r="CF100" s="35"/>
      <c r="CG100" s="35"/>
      <c r="CH100" s="35"/>
      <c r="CI100" s="35"/>
      <c r="CJ100" s="35"/>
      <c r="CK100" s="35"/>
      <c r="CL100" s="35"/>
      <c r="CM100" s="35"/>
      <c r="CN100" s="35"/>
      <c r="CO100" s="35"/>
      <c r="CP100" s="35"/>
      <c r="CQ100" s="35"/>
      <c r="CR100" s="35"/>
      <c r="CS100" s="35"/>
      <c r="CT100" s="35"/>
      <c r="CU100" s="35"/>
      <c r="CV100" s="35"/>
      <c r="CW100" s="35"/>
      <c r="CX100" s="35"/>
      <c r="CY100" s="35"/>
      <c r="CZ100" s="35"/>
      <c r="DA100" s="35"/>
      <c r="DB100" s="35"/>
      <c r="DC100" s="35"/>
      <c r="DD100" s="35"/>
      <c r="DE100" s="35"/>
      <c r="DF100" s="35"/>
      <c r="DG100" s="35"/>
      <c r="DH100" s="35"/>
      <c r="DI100" s="35"/>
      <c r="DJ100" s="35"/>
      <c r="DK100" s="35"/>
      <c r="DL100" s="35"/>
      <c r="DM100" s="35"/>
      <c r="DN100" s="35"/>
      <c r="DO100" s="35"/>
      <c r="DP100" s="35"/>
      <c r="DQ100" s="35"/>
      <c r="DR100" s="35"/>
      <c r="DS100" s="35"/>
      <c r="DT100" s="35"/>
      <c r="DU100" s="35"/>
      <c r="DV100" s="35"/>
      <c r="DW100" s="35"/>
      <c r="DX100" s="35"/>
      <c r="DY100" s="35"/>
      <c r="DZ100" s="35"/>
      <c r="EA100" s="35"/>
      <c r="EB100" s="35"/>
      <c r="EC100" s="35"/>
      <c r="ED100" s="35"/>
      <c r="EE100" s="35"/>
      <c r="EF100" s="35"/>
      <c r="EG100" s="35"/>
      <c r="EH100" s="35"/>
      <c r="EI100" s="35"/>
      <c r="EJ100" s="35"/>
      <c r="EK100" s="35"/>
      <c r="EL100" s="35"/>
      <c r="EM100" s="35"/>
      <c r="EN100" s="35"/>
      <c r="EO100" s="35"/>
      <c r="EP100" s="35"/>
      <c r="EQ100" s="35"/>
      <c r="ER100" s="35"/>
      <c r="ES100" s="35"/>
      <c r="ET100" s="35"/>
      <c r="EU100" s="35"/>
      <c r="EV100" s="35"/>
      <c r="EW100" s="35"/>
      <c r="EX100" s="35"/>
      <c r="EY100" s="35"/>
      <c r="EZ100" s="35"/>
      <c r="FA100" s="35"/>
      <c r="FB100" s="35"/>
      <c r="FC100" s="458">
        <f t="shared" si="11"/>
        <v>0</v>
      </c>
      <c r="FD100">
        <f t="shared" si="8"/>
        <v>0</v>
      </c>
      <c r="FE100" t="e">
        <f t="shared" si="9"/>
        <v>#N/A</v>
      </c>
      <c r="FI100" s="731" t="e">
        <f t="shared" si="12"/>
        <v>#VALUE!</v>
      </c>
      <c r="FK100" s="471" t="str">
        <f t="shared" si="13"/>
        <v xml:space="preserve"> </v>
      </c>
      <c r="FL100" s="730">
        <f t="shared" si="14"/>
        <v>0</v>
      </c>
      <c r="FM100" s="471" t="str">
        <f t="shared" si="15"/>
        <v/>
      </c>
      <c r="FN100" s="730">
        <f t="shared" si="10"/>
        <v>0</v>
      </c>
    </row>
    <row r="101" spans="1:170" s="33" customFormat="1" x14ac:dyDescent="0.2">
      <c r="A101" s="34" t="s">
        <v>151</v>
      </c>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c r="BM101" s="35"/>
      <c r="BN101" s="35"/>
      <c r="BO101" s="35"/>
      <c r="BP101" s="35"/>
      <c r="BQ101" s="35"/>
      <c r="BR101" s="35"/>
      <c r="BS101" s="35"/>
      <c r="BT101" s="35"/>
      <c r="BU101" s="35"/>
      <c r="BV101" s="35"/>
      <c r="BW101" s="35"/>
      <c r="BX101" s="35"/>
      <c r="BY101" s="35"/>
      <c r="BZ101" s="35"/>
      <c r="CA101" s="35"/>
      <c r="CB101" s="35"/>
      <c r="CC101" s="35"/>
      <c r="CD101" s="35"/>
      <c r="CE101" s="35"/>
      <c r="CF101" s="35"/>
      <c r="CG101" s="35"/>
      <c r="CH101" s="35"/>
      <c r="CI101" s="35"/>
      <c r="CJ101" s="35"/>
      <c r="CK101" s="35"/>
      <c r="CL101" s="35"/>
      <c r="CM101" s="35"/>
      <c r="CN101" s="35"/>
      <c r="CO101" s="35"/>
      <c r="CP101" s="35"/>
      <c r="CQ101" s="35"/>
      <c r="CR101" s="35"/>
      <c r="CS101" s="35"/>
      <c r="CT101" s="35"/>
      <c r="CU101" s="35"/>
      <c r="CV101" s="35"/>
      <c r="CW101" s="35"/>
      <c r="CX101" s="35"/>
      <c r="CY101" s="35"/>
      <c r="CZ101" s="35"/>
      <c r="DA101" s="35"/>
      <c r="DB101" s="35"/>
      <c r="DC101" s="35"/>
      <c r="DD101" s="35"/>
      <c r="DE101" s="35"/>
      <c r="DF101" s="35"/>
      <c r="DG101" s="35"/>
      <c r="DH101" s="35"/>
      <c r="DI101" s="35"/>
      <c r="DJ101" s="35"/>
      <c r="DK101" s="35"/>
      <c r="DL101" s="35"/>
      <c r="DM101" s="35"/>
      <c r="DN101" s="35"/>
      <c r="DO101" s="35"/>
      <c r="DP101" s="35"/>
      <c r="DQ101" s="35"/>
      <c r="DR101" s="35"/>
      <c r="DS101" s="35"/>
      <c r="DT101" s="35"/>
      <c r="DU101" s="35"/>
      <c r="DV101" s="35"/>
      <c r="DW101" s="35"/>
      <c r="DX101" s="35"/>
      <c r="DY101" s="35"/>
      <c r="DZ101" s="35"/>
      <c r="EA101" s="35"/>
      <c r="EB101" s="35"/>
      <c r="EC101" s="35"/>
      <c r="ED101" s="35"/>
      <c r="EE101" s="35"/>
      <c r="EF101" s="35"/>
      <c r="EG101" s="35"/>
      <c r="EH101" s="35"/>
      <c r="EI101" s="35"/>
      <c r="EJ101" s="35"/>
      <c r="EK101" s="35"/>
      <c r="EL101" s="35"/>
      <c r="EM101" s="35"/>
      <c r="EN101" s="35"/>
      <c r="EO101" s="35"/>
      <c r="EP101" s="35"/>
      <c r="EQ101" s="35"/>
      <c r="ER101" s="35"/>
      <c r="ES101" s="35"/>
      <c r="ET101" s="35"/>
      <c r="EU101" s="35"/>
      <c r="EV101" s="35"/>
      <c r="EW101" s="35"/>
      <c r="EX101" s="35"/>
      <c r="EY101" s="35"/>
      <c r="EZ101" s="35"/>
      <c r="FA101" s="35"/>
      <c r="FB101" s="35"/>
      <c r="FC101" s="458">
        <f t="shared" si="11"/>
        <v>0</v>
      </c>
      <c r="FD101">
        <f t="shared" si="8"/>
        <v>0</v>
      </c>
      <c r="FE101" t="e">
        <f t="shared" si="9"/>
        <v>#N/A</v>
      </c>
      <c r="FI101" s="731" t="e">
        <f t="shared" si="12"/>
        <v>#VALUE!</v>
      </c>
      <c r="FK101" s="471" t="str">
        <f t="shared" si="13"/>
        <v xml:space="preserve"> </v>
      </c>
      <c r="FL101" s="730">
        <f t="shared" si="14"/>
        <v>0</v>
      </c>
      <c r="FM101" s="471" t="str">
        <f t="shared" si="15"/>
        <v/>
      </c>
      <c r="FN101" s="730">
        <f t="shared" si="10"/>
        <v>0</v>
      </c>
    </row>
    <row r="102" spans="1:170" s="33" customFormat="1" x14ac:dyDescent="0.2">
      <c r="A102" s="34" t="s">
        <v>152</v>
      </c>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c r="CT102" s="35"/>
      <c r="CU102" s="35"/>
      <c r="CV102" s="35"/>
      <c r="CW102" s="35"/>
      <c r="CX102" s="35"/>
      <c r="CY102" s="35"/>
      <c r="CZ102" s="35"/>
      <c r="DA102" s="35"/>
      <c r="DB102" s="35"/>
      <c r="DC102" s="35"/>
      <c r="DD102" s="35"/>
      <c r="DE102" s="35"/>
      <c r="DF102" s="35"/>
      <c r="DG102" s="35"/>
      <c r="DH102" s="35"/>
      <c r="DI102" s="35"/>
      <c r="DJ102" s="35"/>
      <c r="DK102" s="35"/>
      <c r="DL102" s="35"/>
      <c r="DM102" s="35"/>
      <c r="DN102" s="35"/>
      <c r="DO102" s="35"/>
      <c r="DP102" s="35"/>
      <c r="DQ102" s="35"/>
      <c r="DR102" s="35"/>
      <c r="DS102" s="35"/>
      <c r="DT102" s="35"/>
      <c r="DU102" s="35"/>
      <c r="DV102" s="35"/>
      <c r="DW102" s="35"/>
      <c r="DX102" s="35"/>
      <c r="DY102" s="35"/>
      <c r="DZ102" s="35"/>
      <c r="EA102" s="35"/>
      <c r="EB102" s="35"/>
      <c r="EC102" s="35"/>
      <c r="ED102" s="35"/>
      <c r="EE102" s="35"/>
      <c r="EF102" s="35"/>
      <c r="EG102" s="35"/>
      <c r="EH102" s="35"/>
      <c r="EI102" s="35"/>
      <c r="EJ102" s="35"/>
      <c r="EK102" s="35"/>
      <c r="EL102" s="35"/>
      <c r="EM102" s="35"/>
      <c r="EN102" s="35"/>
      <c r="EO102" s="35"/>
      <c r="EP102" s="35"/>
      <c r="EQ102" s="35"/>
      <c r="ER102" s="35"/>
      <c r="ES102" s="35"/>
      <c r="ET102" s="35"/>
      <c r="EU102" s="35"/>
      <c r="EV102" s="35"/>
      <c r="EW102" s="35"/>
      <c r="EX102" s="35"/>
      <c r="EY102" s="35"/>
      <c r="EZ102" s="35"/>
      <c r="FA102" s="35"/>
      <c r="FB102" s="35"/>
      <c r="FC102" s="458">
        <f t="shared" si="11"/>
        <v>0</v>
      </c>
      <c r="FD102">
        <f t="shared" si="8"/>
        <v>0</v>
      </c>
      <c r="FE102" t="e">
        <f t="shared" si="9"/>
        <v>#N/A</v>
      </c>
      <c r="FI102" s="731" t="e">
        <f t="shared" si="12"/>
        <v>#VALUE!</v>
      </c>
      <c r="FK102" s="471" t="str">
        <f t="shared" si="13"/>
        <v xml:space="preserve"> </v>
      </c>
      <c r="FL102" s="730">
        <f t="shared" si="14"/>
        <v>0</v>
      </c>
      <c r="FM102" s="471" t="str">
        <f t="shared" si="15"/>
        <v/>
      </c>
      <c r="FN102" s="730">
        <f t="shared" si="10"/>
        <v>0</v>
      </c>
    </row>
    <row r="103" spans="1:170" s="33" customFormat="1" x14ac:dyDescent="0.2">
      <c r="A103" s="34" t="s">
        <v>153</v>
      </c>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c r="BN103" s="35"/>
      <c r="BO103" s="35"/>
      <c r="BP103" s="35"/>
      <c r="BQ103" s="35"/>
      <c r="BR103" s="35"/>
      <c r="BS103" s="35"/>
      <c r="BT103" s="35"/>
      <c r="BU103" s="35"/>
      <c r="BV103" s="35"/>
      <c r="BW103" s="35"/>
      <c r="BX103" s="35"/>
      <c r="BY103" s="35"/>
      <c r="BZ103" s="35"/>
      <c r="CA103" s="35"/>
      <c r="CB103" s="35"/>
      <c r="CC103" s="35"/>
      <c r="CD103" s="35"/>
      <c r="CE103" s="35"/>
      <c r="CF103" s="35"/>
      <c r="CG103" s="35"/>
      <c r="CH103" s="35"/>
      <c r="CI103" s="35"/>
      <c r="CJ103" s="35"/>
      <c r="CK103" s="35"/>
      <c r="CL103" s="35"/>
      <c r="CM103" s="35"/>
      <c r="CN103" s="35"/>
      <c r="CO103" s="35"/>
      <c r="CP103" s="35"/>
      <c r="CQ103" s="35"/>
      <c r="CR103" s="35"/>
      <c r="CS103" s="35"/>
      <c r="CT103" s="35"/>
      <c r="CU103" s="35"/>
      <c r="CV103" s="35"/>
      <c r="CW103" s="35"/>
      <c r="CX103" s="35"/>
      <c r="CY103" s="35"/>
      <c r="CZ103" s="35"/>
      <c r="DA103" s="35"/>
      <c r="DB103" s="35"/>
      <c r="DC103" s="35"/>
      <c r="DD103" s="35"/>
      <c r="DE103" s="35"/>
      <c r="DF103" s="35"/>
      <c r="DG103" s="35"/>
      <c r="DH103" s="35"/>
      <c r="DI103" s="35"/>
      <c r="DJ103" s="35"/>
      <c r="DK103" s="35"/>
      <c r="DL103" s="35"/>
      <c r="DM103" s="35"/>
      <c r="DN103" s="35"/>
      <c r="DO103" s="35"/>
      <c r="DP103" s="35"/>
      <c r="DQ103" s="35"/>
      <c r="DR103" s="35"/>
      <c r="DS103" s="35"/>
      <c r="DT103" s="35"/>
      <c r="DU103" s="35"/>
      <c r="DV103" s="35"/>
      <c r="DW103" s="35"/>
      <c r="DX103" s="35"/>
      <c r="DY103" s="35"/>
      <c r="DZ103" s="35"/>
      <c r="EA103" s="35"/>
      <c r="EB103" s="35"/>
      <c r="EC103" s="35"/>
      <c r="ED103" s="35"/>
      <c r="EE103" s="35"/>
      <c r="EF103" s="35"/>
      <c r="EG103" s="35"/>
      <c r="EH103" s="35"/>
      <c r="EI103" s="35"/>
      <c r="EJ103" s="35"/>
      <c r="EK103" s="35"/>
      <c r="EL103" s="35"/>
      <c r="EM103" s="35"/>
      <c r="EN103" s="35"/>
      <c r="EO103" s="35"/>
      <c r="EP103" s="35"/>
      <c r="EQ103" s="35"/>
      <c r="ER103" s="35"/>
      <c r="ES103" s="35"/>
      <c r="ET103" s="35"/>
      <c r="EU103" s="35"/>
      <c r="EV103" s="35"/>
      <c r="EW103" s="35"/>
      <c r="EX103" s="35"/>
      <c r="EY103" s="35"/>
      <c r="EZ103" s="35"/>
      <c r="FA103" s="35"/>
      <c r="FB103" s="35"/>
      <c r="FC103" s="458">
        <f t="shared" si="11"/>
        <v>0</v>
      </c>
      <c r="FD103">
        <f t="shared" si="8"/>
        <v>0</v>
      </c>
      <c r="FE103" t="e">
        <f t="shared" si="9"/>
        <v>#N/A</v>
      </c>
      <c r="FI103" s="731" t="e">
        <f t="shared" si="12"/>
        <v>#VALUE!</v>
      </c>
      <c r="FK103" s="471" t="str">
        <f t="shared" si="13"/>
        <v xml:space="preserve"> </v>
      </c>
      <c r="FL103" s="730">
        <f t="shared" si="14"/>
        <v>0</v>
      </c>
      <c r="FM103" s="471" t="str">
        <f t="shared" si="15"/>
        <v/>
      </c>
      <c r="FN103" s="730">
        <f t="shared" si="10"/>
        <v>0</v>
      </c>
    </row>
    <row r="104" spans="1:170" s="33" customFormat="1" x14ac:dyDescent="0.2">
      <c r="A104" s="34" t="s">
        <v>154</v>
      </c>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35"/>
      <c r="BS104" s="35"/>
      <c r="BT104" s="35"/>
      <c r="BU104" s="35"/>
      <c r="BV104" s="35"/>
      <c r="BW104" s="35"/>
      <c r="BX104" s="35"/>
      <c r="BY104" s="35"/>
      <c r="BZ104" s="35"/>
      <c r="CA104" s="35"/>
      <c r="CB104" s="35"/>
      <c r="CC104" s="35"/>
      <c r="CD104" s="35"/>
      <c r="CE104" s="35"/>
      <c r="CF104" s="35"/>
      <c r="CG104" s="35"/>
      <c r="CH104" s="35"/>
      <c r="CI104" s="35"/>
      <c r="CJ104" s="35"/>
      <c r="CK104" s="35"/>
      <c r="CL104" s="35"/>
      <c r="CM104" s="35"/>
      <c r="CN104" s="35"/>
      <c r="CO104" s="35"/>
      <c r="CP104" s="35"/>
      <c r="CQ104" s="35"/>
      <c r="CR104" s="35"/>
      <c r="CS104" s="35"/>
      <c r="CT104" s="35"/>
      <c r="CU104" s="35"/>
      <c r="CV104" s="35"/>
      <c r="CW104" s="35"/>
      <c r="CX104" s="35"/>
      <c r="CY104" s="35"/>
      <c r="CZ104" s="35"/>
      <c r="DA104" s="35"/>
      <c r="DB104" s="35"/>
      <c r="DC104" s="35"/>
      <c r="DD104" s="35"/>
      <c r="DE104" s="35"/>
      <c r="DF104" s="35"/>
      <c r="DG104" s="35"/>
      <c r="DH104" s="35"/>
      <c r="DI104" s="35"/>
      <c r="DJ104" s="35"/>
      <c r="DK104" s="35"/>
      <c r="DL104" s="35"/>
      <c r="DM104" s="35"/>
      <c r="DN104" s="35"/>
      <c r="DO104" s="35"/>
      <c r="DP104" s="35"/>
      <c r="DQ104" s="35"/>
      <c r="DR104" s="35"/>
      <c r="DS104" s="35"/>
      <c r="DT104" s="35"/>
      <c r="DU104" s="35"/>
      <c r="DV104" s="35"/>
      <c r="DW104" s="35"/>
      <c r="DX104" s="35"/>
      <c r="DY104" s="35"/>
      <c r="DZ104" s="35"/>
      <c r="EA104" s="35"/>
      <c r="EB104" s="35"/>
      <c r="EC104" s="35"/>
      <c r="ED104" s="35"/>
      <c r="EE104" s="35"/>
      <c r="EF104" s="35"/>
      <c r="EG104" s="35"/>
      <c r="EH104" s="35"/>
      <c r="EI104" s="35"/>
      <c r="EJ104" s="35"/>
      <c r="EK104" s="35"/>
      <c r="EL104" s="35"/>
      <c r="EM104" s="35"/>
      <c r="EN104" s="35"/>
      <c r="EO104" s="35"/>
      <c r="EP104" s="35"/>
      <c r="EQ104" s="35"/>
      <c r="ER104" s="35"/>
      <c r="ES104" s="35"/>
      <c r="ET104" s="35"/>
      <c r="EU104" s="35"/>
      <c r="EV104" s="35"/>
      <c r="EW104" s="35"/>
      <c r="EX104" s="35"/>
      <c r="EY104" s="35"/>
      <c r="EZ104" s="35"/>
      <c r="FA104" s="35"/>
      <c r="FB104" s="35"/>
      <c r="FC104" s="458">
        <f t="shared" si="11"/>
        <v>0</v>
      </c>
      <c r="FD104">
        <f t="shared" si="8"/>
        <v>0</v>
      </c>
      <c r="FE104" t="e">
        <f t="shared" si="9"/>
        <v>#N/A</v>
      </c>
      <c r="FI104" s="731" t="e">
        <f t="shared" si="12"/>
        <v>#VALUE!</v>
      </c>
      <c r="FK104" s="471" t="str">
        <f t="shared" si="13"/>
        <v xml:space="preserve"> </v>
      </c>
      <c r="FL104" s="730">
        <f t="shared" si="14"/>
        <v>0</v>
      </c>
      <c r="FM104" s="471" t="str">
        <f t="shared" si="15"/>
        <v/>
      </c>
      <c r="FN104" s="730">
        <f t="shared" si="10"/>
        <v>0</v>
      </c>
    </row>
    <row r="105" spans="1:170" s="33" customFormat="1" x14ac:dyDescent="0.2">
      <c r="A105" s="34" t="s">
        <v>155</v>
      </c>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c r="BL105" s="35"/>
      <c r="BM105" s="35"/>
      <c r="BN105" s="35"/>
      <c r="BO105" s="35"/>
      <c r="BP105" s="35"/>
      <c r="BQ105" s="35"/>
      <c r="BR105" s="35"/>
      <c r="BS105" s="35"/>
      <c r="BT105" s="35"/>
      <c r="BU105" s="35"/>
      <c r="BV105" s="35"/>
      <c r="BW105" s="35"/>
      <c r="BX105" s="35"/>
      <c r="BY105" s="35"/>
      <c r="BZ105" s="35"/>
      <c r="CA105" s="35"/>
      <c r="CB105" s="35"/>
      <c r="CC105" s="35"/>
      <c r="CD105" s="35"/>
      <c r="CE105" s="35"/>
      <c r="CF105" s="35"/>
      <c r="CG105" s="35"/>
      <c r="CH105" s="35"/>
      <c r="CI105" s="35"/>
      <c r="CJ105" s="35"/>
      <c r="CK105" s="35"/>
      <c r="CL105" s="35"/>
      <c r="CM105" s="35"/>
      <c r="CN105" s="35"/>
      <c r="CO105" s="35"/>
      <c r="CP105" s="35"/>
      <c r="CQ105" s="35"/>
      <c r="CR105" s="35"/>
      <c r="CS105" s="35"/>
      <c r="CT105" s="35"/>
      <c r="CU105" s="35"/>
      <c r="CV105" s="35"/>
      <c r="CW105" s="35"/>
      <c r="CX105" s="35"/>
      <c r="CY105" s="35"/>
      <c r="CZ105" s="35"/>
      <c r="DA105" s="35"/>
      <c r="DB105" s="35"/>
      <c r="DC105" s="35"/>
      <c r="DD105" s="35"/>
      <c r="DE105" s="35"/>
      <c r="DF105" s="35"/>
      <c r="DG105" s="35"/>
      <c r="DH105" s="35"/>
      <c r="DI105" s="35"/>
      <c r="DJ105" s="35"/>
      <c r="DK105" s="35"/>
      <c r="DL105" s="35"/>
      <c r="DM105" s="35"/>
      <c r="DN105" s="35"/>
      <c r="DO105" s="35"/>
      <c r="DP105" s="35"/>
      <c r="DQ105" s="35"/>
      <c r="DR105" s="35"/>
      <c r="DS105" s="35"/>
      <c r="DT105" s="35"/>
      <c r="DU105" s="35"/>
      <c r="DV105" s="35"/>
      <c r="DW105" s="35"/>
      <c r="DX105" s="35"/>
      <c r="DY105" s="35"/>
      <c r="DZ105" s="35"/>
      <c r="EA105" s="35"/>
      <c r="EB105" s="35"/>
      <c r="EC105" s="35"/>
      <c r="ED105" s="35"/>
      <c r="EE105" s="35"/>
      <c r="EF105" s="35"/>
      <c r="EG105" s="35"/>
      <c r="EH105" s="35"/>
      <c r="EI105" s="35"/>
      <c r="EJ105" s="35"/>
      <c r="EK105" s="35"/>
      <c r="EL105" s="35"/>
      <c r="EM105" s="35"/>
      <c r="EN105" s="35"/>
      <c r="EO105" s="35"/>
      <c r="EP105" s="35"/>
      <c r="EQ105" s="35"/>
      <c r="ER105" s="35"/>
      <c r="ES105" s="35"/>
      <c r="ET105" s="35"/>
      <c r="EU105" s="35"/>
      <c r="EV105" s="35"/>
      <c r="EW105" s="35"/>
      <c r="EX105" s="35"/>
      <c r="EY105" s="35"/>
      <c r="EZ105" s="35"/>
      <c r="FA105" s="35"/>
      <c r="FB105" s="35"/>
      <c r="FC105" s="458">
        <f t="shared" si="11"/>
        <v>0</v>
      </c>
      <c r="FD105">
        <f t="shared" si="8"/>
        <v>0</v>
      </c>
      <c r="FE105" t="e">
        <f t="shared" si="9"/>
        <v>#N/A</v>
      </c>
      <c r="FI105" s="731" t="e">
        <f t="shared" si="12"/>
        <v>#VALUE!</v>
      </c>
      <c r="FK105" s="471" t="str">
        <f t="shared" si="13"/>
        <v xml:space="preserve"> </v>
      </c>
      <c r="FL105" s="730">
        <f t="shared" si="14"/>
        <v>0</v>
      </c>
      <c r="FM105" s="471" t="str">
        <f t="shared" si="15"/>
        <v/>
      </c>
      <c r="FN105" s="730">
        <f t="shared" si="10"/>
        <v>0</v>
      </c>
    </row>
    <row r="106" spans="1:170" s="33" customFormat="1" x14ac:dyDescent="0.2">
      <c r="A106" s="34" t="s">
        <v>156</v>
      </c>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c r="BN106" s="35"/>
      <c r="BO106" s="35"/>
      <c r="BP106" s="35"/>
      <c r="BQ106" s="35"/>
      <c r="BR106" s="35"/>
      <c r="BS106" s="35"/>
      <c r="BT106" s="35"/>
      <c r="BU106" s="35"/>
      <c r="BV106" s="35"/>
      <c r="BW106" s="35"/>
      <c r="BX106" s="35"/>
      <c r="BY106" s="35"/>
      <c r="BZ106" s="35"/>
      <c r="CA106" s="35"/>
      <c r="CB106" s="35"/>
      <c r="CC106" s="35"/>
      <c r="CD106" s="35"/>
      <c r="CE106" s="35"/>
      <c r="CF106" s="35"/>
      <c r="CG106" s="35"/>
      <c r="CH106" s="35"/>
      <c r="CI106" s="35"/>
      <c r="CJ106" s="35"/>
      <c r="CK106" s="35"/>
      <c r="CL106" s="35"/>
      <c r="CM106" s="35"/>
      <c r="CN106" s="35"/>
      <c r="CO106" s="35"/>
      <c r="CP106" s="35"/>
      <c r="CQ106" s="35"/>
      <c r="CR106" s="35"/>
      <c r="CS106" s="35"/>
      <c r="CT106" s="35"/>
      <c r="CU106" s="35"/>
      <c r="CV106" s="35"/>
      <c r="CW106" s="35"/>
      <c r="CX106" s="35"/>
      <c r="CY106" s="35"/>
      <c r="CZ106" s="35"/>
      <c r="DA106" s="35"/>
      <c r="DB106" s="35"/>
      <c r="DC106" s="35"/>
      <c r="DD106" s="35"/>
      <c r="DE106" s="35"/>
      <c r="DF106" s="35"/>
      <c r="DG106" s="35"/>
      <c r="DH106" s="35"/>
      <c r="DI106" s="35"/>
      <c r="DJ106" s="35"/>
      <c r="DK106" s="35"/>
      <c r="DL106" s="35"/>
      <c r="DM106" s="35"/>
      <c r="DN106" s="35"/>
      <c r="DO106" s="35"/>
      <c r="DP106" s="35"/>
      <c r="DQ106" s="35"/>
      <c r="DR106" s="35"/>
      <c r="DS106" s="35"/>
      <c r="DT106" s="35"/>
      <c r="DU106" s="35"/>
      <c r="DV106" s="35"/>
      <c r="DW106" s="35"/>
      <c r="DX106" s="35"/>
      <c r="DY106" s="35"/>
      <c r="DZ106" s="35"/>
      <c r="EA106" s="35"/>
      <c r="EB106" s="35"/>
      <c r="EC106" s="35"/>
      <c r="ED106" s="35"/>
      <c r="EE106" s="35"/>
      <c r="EF106" s="35"/>
      <c r="EG106" s="35"/>
      <c r="EH106" s="35"/>
      <c r="EI106" s="35"/>
      <c r="EJ106" s="35"/>
      <c r="EK106" s="35"/>
      <c r="EL106" s="35"/>
      <c r="EM106" s="35"/>
      <c r="EN106" s="35"/>
      <c r="EO106" s="35"/>
      <c r="EP106" s="35"/>
      <c r="EQ106" s="35"/>
      <c r="ER106" s="35"/>
      <c r="ES106" s="35"/>
      <c r="ET106" s="35"/>
      <c r="EU106" s="35"/>
      <c r="EV106" s="35"/>
      <c r="EW106" s="35"/>
      <c r="EX106" s="35"/>
      <c r="EY106" s="35"/>
      <c r="EZ106" s="35"/>
      <c r="FA106" s="35"/>
      <c r="FB106" s="35"/>
      <c r="FC106" s="458">
        <f t="shared" si="11"/>
        <v>0</v>
      </c>
      <c r="FD106">
        <f t="shared" si="8"/>
        <v>0</v>
      </c>
      <c r="FE106" t="e">
        <f t="shared" si="9"/>
        <v>#N/A</v>
      </c>
      <c r="FI106" s="731" t="e">
        <f t="shared" si="12"/>
        <v>#VALUE!</v>
      </c>
      <c r="FK106" s="471" t="str">
        <f t="shared" si="13"/>
        <v xml:space="preserve"> </v>
      </c>
      <c r="FL106" s="730">
        <f t="shared" si="14"/>
        <v>0</v>
      </c>
      <c r="FM106" s="471" t="str">
        <f t="shared" si="15"/>
        <v/>
      </c>
      <c r="FN106" s="730">
        <f t="shared" si="10"/>
        <v>0</v>
      </c>
    </row>
    <row r="107" spans="1:170" s="33" customFormat="1" x14ac:dyDescent="0.2">
      <c r="A107" s="34" t="s">
        <v>157</v>
      </c>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c r="BO107" s="35"/>
      <c r="BP107" s="35"/>
      <c r="BQ107" s="35"/>
      <c r="BR107" s="35"/>
      <c r="BS107" s="35"/>
      <c r="BT107" s="35"/>
      <c r="BU107" s="35"/>
      <c r="BV107" s="35"/>
      <c r="BW107" s="35"/>
      <c r="BX107" s="35"/>
      <c r="BY107" s="35"/>
      <c r="BZ107" s="35"/>
      <c r="CA107" s="35"/>
      <c r="CB107" s="35"/>
      <c r="CC107" s="35"/>
      <c r="CD107" s="35"/>
      <c r="CE107" s="35"/>
      <c r="CF107" s="35"/>
      <c r="CG107" s="35"/>
      <c r="CH107" s="35"/>
      <c r="CI107" s="35"/>
      <c r="CJ107" s="35"/>
      <c r="CK107" s="35"/>
      <c r="CL107" s="35"/>
      <c r="CM107" s="35"/>
      <c r="CN107" s="35"/>
      <c r="CO107" s="35"/>
      <c r="CP107" s="35"/>
      <c r="CQ107" s="35"/>
      <c r="CR107" s="35"/>
      <c r="CS107" s="35"/>
      <c r="CT107" s="35"/>
      <c r="CU107" s="35"/>
      <c r="CV107" s="35"/>
      <c r="CW107" s="35"/>
      <c r="CX107" s="35"/>
      <c r="CY107" s="35"/>
      <c r="CZ107" s="35"/>
      <c r="DA107" s="35"/>
      <c r="DB107" s="35"/>
      <c r="DC107" s="35"/>
      <c r="DD107" s="35"/>
      <c r="DE107" s="35"/>
      <c r="DF107" s="35"/>
      <c r="DG107" s="35"/>
      <c r="DH107" s="35"/>
      <c r="DI107" s="35"/>
      <c r="DJ107" s="35"/>
      <c r="DK107" s="35"/>
      <c r="DL107" s="35"/>
      <c r="DM107" s="35"/>
      <c r="DN107" s="35"/>
      <c r="DO107" s="35"/>
      <c r="DP107" s="35"/>
      <c r="DQ107" s="35"/>
      <c r="DR107" s="35"/>
      <c r="DS107" s="35"/>
      <c r="DT107" s="35"/>
      <c r="DU107" s="35"/>
      <c r="DV107" s="35"/>
      <c r="DW107" s="35"/>
      <c r="DX107" s="35"/>
      <c r="DY107" s="35"/>
      <c r="DZ107" s="35"/>
      <c r="EA107" s="35"/>
      <c r="EB107" s="35"/>
      <c r="EC107" s="35"/>
      <c r="ED107" s="35"/>
      <c r="EE107" s="35"/>
      <c r="EF107" s="35"/>
      <c r="EG107" s="35"/>
      <c r="EH107" s="35"/>
      <c r="EI107" s="35"/>
      <c r="EJ107" s="35"/>
      <c r="EK107" s="35"/>
      <c r="EL107" s="35"/>
      <c r="EM107" s="35"/>
      <c r="EN107" s="35"/>
      <c r="EO107" s="35"/>
      <c r="EP107" s="35"/>
      <c r="EQ107" s="35"/>
      <c r="ER107" s="35"/>
      <c r="ES107" s="35"/>
      <c r="ET107" s="35"/>
      <c r="EU107" s="35"/>
      <c r="EV107" s="35"/>
      <c r="EW107" s="35"/>
      <c r="EX107" s="35"/>
      <c r="EY107" s="35"/>
      <c r="EZ107" s="35"/>
      <c r="FA107" s="35"/>
      <c r="FB107" s="35"/>
      <c r="FC107" s="458">
        <f t="shared" si="11"/>
        <v>0</v>
      </c>
      <c r="FD107">
        <f t="shared" si="8"/>
        <v>0</v>
      </c>
      <c r="FE107" t="e">
        <f t="shared" si="9"/>
        <v>#N/A</v>
      </c>
      <c r="FI107" s="731" t="e">
        <f t="shared" si="12"/>
        <v>#VALUE!</v>
      </c>
      <c r="FK107" s="471" t="str">
        <f t="shared" si="13"/>
        <v xml:space="preserve"> </v>
      </c>
      <c r="FL107" s="730">
        <f t="shared" si="14"/>
        <v>0</v>
      </c>
      <c r="FM107" s="471" t="str">
        <f t="shared" si="15"/>
        <v/>
      </c>
      <c r="FN107" s="730">
        <f t="shared" si="10"/>
        <v>0</v>
      </c>
    </row>
    <row r="108" spans="1:170" s="33" customFormat="1" x14ac:dyDescent="0.2">
      <c r="A108" s="34" t="s">
        <v>158</v>
      </c>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c r="BM108" s="35"/>
      <c r="BN108" s="35"/>
      <c r="BO108" s="35"/>
      <c r="BP108" s="35"/>
      <c r="BQ108" s="35"/>
      <c r="BR108" s="35"/>
      <c r="BS108" s="35"/>
      <c r="BT108" s="35"/>
      <c r="BU108" s="35"/>
      <c r="BV108" s="35"/>
      <c r="BW108" s="35"/>
      <c r="BX108" s="35"/>
      <c r="BY108" s="35"/>
      <c r="BZ108" s="35"/>
      <c r="CA108" s="35"/>
      <c r="CB108" s="35"/>
      <c r="CC108" s="35"/>
      <c r="CD108" s="35"/>
      <c r="CE108" s="35"/>
      <c r="CF108" s="35"/>
      <c r="CG108" s="35"/>
      <c r="CH108" s="35"/>
      <c r="CI108" s="35"/>
      <c r="CJ108" s="35"/>
      <c r="CK108" s="35"/>
      <c r="CL108" s="35"/>
      <c r="CM108" s="35"/>
      <c r="CN108" s="35"/>
      <c r="CO108" s="35"/>
      <c r="CP108" s="35"/>
      <c r="CQ108" s="35"/>
      <c r="CR108" s="35"/>
      <c r="CS108" s="35"/>
      <c r="CT108" s="35"/>
      <c r="CU108" s="35"/>
      <c r="CV108" s="35"/>
      <c r="CW108" s="35"/>
      <c r="CX108" s="35"/>
      <c r="CY108" s="35"/>
      <c r="CZ108" s="35"/>
      <c r="DA108" s="35"/>
      <c r="DB108" s="35"/>
      <c r="DC108" s="35"/>
      <c r="DD108" s="35"/>
      <c r="DE108" s="35"/>
      <c r="DF108" s="35"/>
      <c r="DG108" s="35"/>
      <c r="DH108" s="35"/>
      <c r="DI108" s="35"/>
      <c r="DJ108" s="35"/>
      <c r="DK108" s="35"/>
      <c r="DL108" s="35"/>
      <c r="DM108" s="35"/>
      <c r="DN108" s="35"/>
      <c r="DO108" s="35"/>
      <c r="DP108" s="35"/>
      <c r="DQ108" s="35"/>
      <c r="DR108" s="35"/>
      <c r="DS108" s="35"/>
      <c r="DT108" s="35"/>
      <c r="DU108" s="35"/>
      <c r="DV108" s="35"/>
      <c r="DW108" s="35"/>
      <c r="DX108" s="35"/>
      <c r="DY108" s="35"/>
      <c r="DZ108" s="35"/>
      <c r="EA108" s="35"/>
      <c r="EB108" s="35"/>
      <c r="EC108" s="35"/>
      <c r="ED108" s="35"/>
      <c r="EE108" s="35"/>
      <c r="EF108" s="35"/>
      <c r="EG108" s="35"/>
      <c r="EH108" s="35"/>
      <c r="EI108" s="35"/>
      <c r="EJ108" s="35"/>
      <c r="EK108" s="35"/>
      <c r="EL108" s="35"/>
      <c r="EM108" s="35"/>
      <c r="EN108" s="35"/>
      <c r="EO108" s="35"/>
      <c r="EP108" s="35"/>
      <c r="EQ108" s="35"/>
      <c r="ER108" s="35"/>
      <c r="ES108" s="35"/>
      <c r="ET108" s="35"/>
      <c r="EU108" s="35"/>
      <c r="EV108" s="35"/>
      <c r="EW108" s="35"/>
      <c r="EX108" s="35"/>
      <c r="EY108" s="35"/>
      <c r="EZ108" s="35"/>
      <c r="FA108" s="35"/>
      <c r="FB108" s="35"/>
      <c r="FC108" s="458">
        <f t="shared" si="11"/>
        <v>0</v>
      </c>
      <c r="FD108">
        <f t="shared" si="8"/>
        <v>0</v>
      </c>
      <c r="FE108" t="e">
        <f t="shared" si="9"/>
        <v>#N/A</v>
      </c>
      <c r="FI108" s="731" t="e">
        <f t="shared" si="12"/>
        <v>#VALUE!</v>
      </c>
      <c r="FK108" s="471" t="str">
        <f t="shared" si="13"/>
        <v xml:space="preserve"> </v>
      </c>
      <c r="FL108" s="730">
        <f t="shared" si="14"/>
        <v>0</v>
      </c>
      <c r="FM108" s="471" t="str">
        <f t="shared" si="15"/>
        <v/>
      </c>
      <c r="FN108" s="730">
        <f t="shared" si="10"/>
        <v>0</v>
      </c>
    </row>
    <row r="109" spans="1:170" s="33" customFormat="1" x14ac:dyDescent="0.2">
      <c r="A109" s="34" t="s">
        <v>159</v>
      </c>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c r="BO109" s="35"/>
      <c r="BP109" s="35"/>
      <c r="BQ109" s="35"/>
      <c r="BR109" s="35"/>
      <c r="BS109" s="35"/>
      <c r="BT109" s="35"/>
      <c r="BU109" s="35"/>
      <c r="BV109" s="35"/>
      <c r="BW109" s="35"/>
      <c r="BX109" s="35"/>
      <c r="BY109" s="35"/>
      <c r="BZ109" s="35"/>
      <c r="CA109" s="35"/>
      <c r="CB109" s="35"/>
      <c r="CC109" s="35"/>
      <c r="CD109" s="35"/>
      <c r="CE109" s="35"/>
      <c r="CF109" s="35"/>
      <c r="CG109" s="35"/>
      <c r="CH109" s="35"/>
      <c r="CI109" s="35"/>
      <c r="CJ109" s="35"/>
      <c r="CK109" s="35"/>
      <c r="CL109" s="35"/>
      <c r="CM109" s="35"/>
      <c r="CN109" s="35"/>
      <c r="CO109" s="35"/>
      <c r="CP109" s="35"/>
      <c r="CQ109" s="35"/>
      <c r="CR109" s="35"/>
      <c r="CS109" s="35"/>
      <c r="CT109" s="35"/>
      <c r="CU109" s="35"/>
      <c r="CV109" s="35"/>
      <c r="CW109" s="35"/>
      <c r="CX109" s="35"/>
      <c r="CY109" s="35"/>
      <c r="CZ109" s="35"/>
      <c r="DA109" s="35"/>
      <c r="DB109" s="35"/>
      <c r="DC109" s="35"/>
      <c r="DD109" s="35"/>
      <c r="DE109" s="35"/>
      <c r="DF109" s="35"/>
      <c r="DG109" s="35"/>
      <c r="DH109" s="35"/>
      <c r="DI109" s="35"/>
      <c r="DJ109" s="35"/>
      <c r="DK109" s="35"/>
      <c r="DL109" s="35"/>
      <c r="DM109" s="35"/>
      <c r="DN109" s="35"/>
      <c r="DO109" s="35"/>
      <c r="DP109" s="35"/>
      <c r="DQ109" s="35"/>
      <c r="DR109" s="35"/>
      <c r="DS109" s="35"/>
      <c r="DT109" s="35"/>
      <c r="DU109" s="35"/>
      <c r="DV109" s="35"/>
      <c r="DW109" s="35"/>
      <c r="DX109" s="35"/>
      <c r="DY109" s="35"/>
      <c r="DZ109" s="35"/>
      <c r="EA109" s="35"/>
      <c r="EB109" s="35"/>
      <c r="EC109" s="35"/>
      <c r="ED109" s="35"/>
      <c r="EE109" s="35"/>
      <c r="EF109" s="35"/>
      <c r="EG109" s="35"/>
      <c r="EH109" s="35"/>
      <c r="EI109" s="35"/>
      <c r="EJ109" s="35"/>
      <c r="EK109" s="35"/>
      <c r="EL109" s="35"/>
      <c r="EM109" s="35"/>
      <c r="EN109" s="35"/>
      <c r="EO109" s="35"/>
      <c r="EP109" s="35"/>
      <c r="EQ109" s="35"/>
      <c r="ER109" s="35"/>
      <c r="ES109" s="35"/>
      <c r="ET109" s="35"/>
      <c r="EU109" s="35"/>
      <c r="EV109" s="35"/>
      <c r="EW109" s="35"/>
      <c r="EX109" s="35"/>
      <c r="EY109" s="35"/>
      <c r="EZ109" s="35"/>
      <c r="FA109" s="35"/>
      <c r="FB109" s="35"/>
      <c r="FC109" s="458">
        <f t="shared" si="11"/>
        <v>0</v>
      </c>
      <c r="FD109">
        <f t="shared" si="8"/>
        <v>0</v>
      </c>
      <c r="FE109" t="e">
        <f t="shared" si="9"/>
        <v>#N/A</v>
      </c>
      <c r="FI109" s="731" t="e">
        <f t="shared" si="12"/>
        <v>#VALUE!</v>
      </c>
      <c r="FK109" s="471" t="str">
        <f t="shared" si="13"/>
        <v xml:space="preserve"> </v>
      </c>
      <c r="FL109" s="730">
        <f t="shared" si="14"/>
        <v>0</v>
      </c>
      <c r="FM109" s="471" t="str">
        <f t="shared" si="15"/>
        <v/>
      </c>
      <c r="FN109" s="730">
        <f t="shared" si="10"/>
        <v>0</v>
      </c>
    </row>
    <row r="110" spans="1:170" s="33" customFormat="1" x14ac:dyDescent="0.2">
      <c r="A110" s="34" t="s">
        <v>160</v>
      </c>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c r="BM110" s="35"/>
      <c r="BN110" s="35"/>
      <c r="BO110" s="35"/>
      <c r="BP110" s="35"/>
      <c r="BQ110" s="35"/>
      <c r="BR110" s="35"/>
      <c r="BS110" s="35"/>
      <c r="BT110" s="35"/>
      <c r="BU110" s="35"/>
      <c r="BV110" s="35"/>
      <c r="BW110" s="35"/>
      <c r="BX110" s="35"/>
      <c r="BY110" s="35"/>
      <c r="BZ110" s="35"/>
      <c r="CA110" s="35"/>
      <c r="CB110" s="35"/>
      <c r="CC110" s="35"/>
      <c r="CD110" s="35"/>
      <c r="CE110" s="35"/>
      <c r="CF110" s="35"/>
      <c r="CG110" s="35"/>
      <c r="CH110" s="35"/>
      <c r="CI110" s="35"/>
      <c r="CJ110" s="35"/>
      <c r="CK110" s="35"/>
      <c r="CL110" s="35"/>
      <c r="CM110" s="35"/>
      <c r="CN110" s="35"/>
      <c r="CO110" s="35"/>
      <c r="CP110" s="35"/>
      <c r="CQ110" s="35"/>
      <c r="CR110" s="35"/>
      <c r="CS110" s="35"/>
      <c r="CT110" s="35"/>
      <c r="CU110" s="35"/>
      <c r="CV110" s="35"/>
      <c r="CW110" s="35"/>
      <c r="CX110" s="35"/>
      <c r="CY110" s="35"/>
      <c r="CZ110" s="35"/>
      <c r="DA110" s="35"/>
      <c r="DB110" s="35"/>
      <c r="DC110" s="35"/>
      <c r="DD110" s="35"/>
      <c r="DE110" s="35"/>
      <c r="DF110" s="35"/>
      <c r="DG110" s="35"/>
      <c r="DH110" s="35"/>
      <c r="DI110" s="35"/>
      <c r="DJ110" s="35"/>
      <c r="DK110" s="35"/>
      <c r="DL110" s="35"/>
      <c r="DM110" s="35"/>
      <c r="DN110" s="35"/>
      <c r="DO110" s="35"/>
      <c r="DP110" s="35"/>
      <c r="DQ110" s="35"/>
      <c r="DR110" s="35"/>
      <c r="DS110" s="35"/>
      <c r="DT110" s="35"/>
      <c r="DU110" s="35"/>
      <c r="DV110" s="35"/>
      <c r="DW110" s="35"/>
      <c r="DX110" s="35"/>
      <c r="DY110" s="35"/>
      <c r="DZ110" s="35"/>
      <c r="EA110" s="35"/>
      <c r="EB110" s="35"/>
      <c r="EC110" s="35"/>
      <c r="ED110" s="35"/>
      <c r="EE110" s="35"/>
      <c r="EF110" s="35"/>
      <c r="EG110" s="35"/>
      <c r="EH110" s="35"/>
      <c r="EI110" s="35"/>
      <c r="EJ110" s="35"/>
      <c r="EK110" s="35"/>
      <c r="EL110" s="35"/>
      <c r="EM110" s="35"/>
      <c r="EN110" s="35"/>
      <c r="EO110" s="35"/>
      <c r="EP110" s="35"/>
      <c r="EQ110" s="35"/>
      <c r="ER110" s="35"/>
      <c r="ES110" s="35"/>
      <c r="ET110" s="35"/>
      <c r="EU110" s="35"/>
      <c r="EV110" s="35"/>
      <c r="EW110" s="35"/>
      <c r="EX110" s="35"/>
      <c r="EY110" s="35"/>
      <c r="EZ110" s="35"/>
      <c r="FA110" s="35"/>
      <c r="FB110" s="35"/>
      <c r="FC110" s="458">
        <f t="shared" si="11"/>
        <v>0</v>
      </c>
      <c r="FD110">
        <f t="shared" si="8"/>
        <v>0</v>
      </c>
      <c r="FE110" t="e">
        <f t="shared" si="9"/>
        <v>#N/A</v>
      </c>
      <c r="FI110" s="731" t="e">
        <f t="shared" si="12"/>
        <v>#VALUE!</v>
      </c>
      <c r="FK110" s="471" t="str">
        <f t="shared" si="13"/>
        <v xml:space="preserve"> </v>
      </c>
      <c r="FL110" s="730">
        <f t="shared" si="14"/>
        <v>0</v>
      </c>
      <c r="FM110" s="471" t="str">
        <f t="shared" si="15"/>
        <v/>
      </c>
      <c r="FN110" s="730">
        <f t="shared" si="10"/>
        <v>0</v>
      </c>
    </row>
    <row r="111" spans="1:170" s="33" customFormat="1" x14ac:dyDescent="0.2">
      <c r="A111" s="34" t="s">
        <v>161</v>
      </c>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c r="BL111" s="35"/>
      <c r="BM111" s="35"/>
      <c r="BN111" s="35"/>
      <c r="BO111" s="35"/>
      <c r="BP111" s="35"/>
      <c r="BQ111" s="35"/>
      <c r="BR111" s="35"/>
      <c r="BS111" s="35"/>
      <c r="BT111" s="35"/>
      <c r="BU111" s="35"/>
      <c r="BV111" s="35"/>
      <c r="BW111" s="35"/>
      <c r="BX111" s="35"/>
      <c r="BY111" s="35"/>
      <c r="BZ111" s="35"/>
      <c r="CA111" s="35"/>
      <c r="CB111" s="35"/>
      <c r="CC111" s="35"/>
      <c r="CD111" s="35"/>
      <c r="CE111" s="35"/>
      <c r="CF111" s="35"/>
      <c r="CG111" s="35"/>
      <c r="CH111" s="35"/>
      <c r="CI111" s="35"/>
      <c r="CJ111" s="35"/>
      <c r="CK111" s="35"/>
      <c r="CL111" s="35"/>
      <c r="CM111" s="35"/>
      <c r="CN111" s="35"/>
      <c r="CO111" s="35"/>
      <c r="CP111" s="35"/>
      <c r="CQ111" s="35"/>
      <c r="CR111" s="35"/>
      <c r="CS111" s="35"/>
      <c r="CT111" s="35"/>
      <c r="CU111" s="35"/>
      <c r="CV111" s="35"/>
      <c r="CW111" s="35"/>
      <c r="CX111" s="35"/>
      <c r="CY111" s="35"/>
      <c r="CZ111" s="35"/>
      <c r="DA111" s="35"/>
      <c r="DB111" s="35"/>
      <c r="DC111" s="35"/>
      <c r="DD111" s="35"/>
      <c r="DE111" s="35"/>
      <c r="DF111" s="35"/>
      <c r="DG111" s="35"/>
      <c r="DH111" s="35"/>
      <c r="DI111" s="35"/>
      <c r="DJ111" s="35"/>
      <c r="DK111" s="35"/>
      <c r="DL111" s="35"/>
      <c r="DM111" s="35"/>
      <c r="DN111" s="35"/>
      <c r="DO111" s="35"/>
      <c r="DP111" s="35"/>
      <c r="DQ111" s="35"/>
      <c r="DR111" s="35"/>
      <c r="DS111" s="35"/>
      <c r="DT111" s="35"/>
      <c r="DU111" s="35"/>
      <c r="DV111" s="35"/>
      <c r="DW111" s="35"/>
      <c r="DX111" s="35"/>
      <c r="DY111" s="35"/>
      <c r="DZ111" s="35"/>
      <c r="EA111" s="35"/>
      <c r="EB111" s="35"/>
      <c r="EC111" s="35"/>
      <c r="ED111" s="35"/>
      <c r="EE111" s="35"/>
      <c r="EF111" s="35"/>
      <c r="EG111" s="35"/>
      <c r="EH111" s="35"/>
      <c r="EI111" s="35"/>
      <c r="EJ111" s="35"/>
      <c r="EK111" s="35"/>
      <c r="EL111" s="35"/>
      <c r="EM111" s="35"/>
      <c r="EN111" s="35"/>
      <c r="EO111" s="35"/>
      <c r="EP111" s="35"/>
      <c r="EQ111" s="35"/>
      <c r="ER111" s="35"/>
      <c r="ES111" s="35"/>
      <c r="ET111" s="35"/>
      <c r="EU111" s="35"/>
      <c r="EV111" s="35"/>
      <c r="EW111" s="35"/>
      <c r="EX111" s="35"/>
      <c r="EY111" s="35"/>
      <c r="EZ111" s="35"/>
      <c r="FA111" s="35"/>
      <c r="FB111" s="35"/>
      <c r="FC111" s="458">
        <f t="shared" si="11"/>
        <v>0</v>
      </c>
      <c r="FD111">
        <f t="shared" si="8"/>
        <v>0</v>
      </c>
      <c r="FE111" t="e">
        <f t="shared" si="9"/>
        <v>#N/A</v>
      </c>
      <c r="FI111" s="731" t="e">
        <f t="shared" si="12"/>
        <v>#VALUE!</v>
      </c>
      <c r="FK111" s="471" t="str">
        <f t="shared" si="13"/>
        <v xml:space="preserve"> </v>
      </c>
      <c r="FL111" s="730">
        <f t="shared" si="14"/>
        <v>0</v>
      </c>
      <c r="FM111" s="471" t="str">
        <f t="shared" si="15"/>
        <v/>
      </c>
      <c r="FN111" s="730">
        <f>L111</f>
        <v>0</v>
      </c>
    </row>
    <row r="112" spans="1:170" s="33" customFormat="1" x14ac:dyDescent="0.2">
      <c r="A112" s="34" t="s">
        <v>162</v>
      </c>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c r="BM112" s="35"/>
      <c r="BN112" s="35"/>
      <c r="BO112" s="35"/>
      <c r="BP112" s="35"/>
      <c r="BQ112" s="35"/>
      <c r="BR112" s="35"/>
      <c r="BS112" s="35"/>
      <c r="BT112" s="35"/>
      <c r="BU112" s="35"/>
      <c r="BV112" s="35"/>
      <c r="BW112" s="35"/>
      <c r="BX112" s="35"/>
      <c r="BY112" s="35"/>
      <c r="BZ112" s="35"/>
      <c r="CA112" s="35"/>
      <c r="CB112" s="35"/>
      <c r="CC112" s="35"/>
      <c r="CD112" s="35"/>
      <c r="CE112" s="35"/>
      <c r="CF112" s="35"/>
      <c r="CG112" s="35"/>
      <c r="CH112" s="35"/>
      <c r="CI112" s="35"/>
      <c r="CJ112" s="35"/>
      <c r="CK112" s="35"/>
      <c r="CL112" s="35"/>
      <c r="CM112" s="35"/>
      <c r="CN112" s="35"/>
      <c r="CO112" s="35"/>
      <c r="CP112" s="35"/>
      <c r="CQ112" s="35"/>
      <c r="CR112" s="35"/>
      <c r="CS112" s="35"/>
      <c r="CT112" s="35"/>
      <c r="CU112" s="35"/>
      <c r="CV112" s="35"/>
      <c r="CW112" s="35"/>
      <c r="CX112" s="35"/>
      <c r="CY112" s="35"/>
      <c r="CZ112" s="35"/>
      <c r="DA112" s="35"/>
      <c r="DB112" s="35"/>
      <c r="DC112" s="35"/>
      <c r="DD112" s="35"/>
      <c r="DE112" s="35"/>
      <c r="DF112" s="35"/>
      <c r="DG112" s="35"/>
      <c r="DH112" s="35"/>
      <c r="DI112" s="35"/>
      <c r="DJ112" s="35"/>
      <c r="DK112" s="35"/>
      <c r="DL112" s="35"/>
      <c r="DM112" s="35"/>
      <c r="DN112" s="35"/>
      <c r="DO112" s="35"/>
      <c r="DP112" s="35"/>
      <c r="DQ112" s="35"/>
      <c r="DR112" s="35"/>
      <c r="DS112" s="35"/>
      <c r="DT112" s="35"/>
      <c r="DU112" s="35"/>
      <c r="DV112" s="35"/>
      <c r="DW112" s="35"/>
      <c r="DX112" s="35"/>
      <c r="DY112" s="35"/>
      <c r="DZ112" s="35"/>
      <c r="EA112" s="35"/>
      <c r="EB112" s="35"/>
      <c r="EC112" s="35"/>
      <c r="ED112" s="35"/>
      <c r="EE112" s="35"/>
      <c r="EF112" s="35"/>
      <c r="EG112" s="35"/>
      <c r="EH112" s="35"/>
      <c r="EI112" s="35"/>
      <c r="EJ112" s="35"/>
      <c r="EK112" s="35"/>
      <c r="EL112" s="35"/>
      <c r="EM112" s="35"/>
      <c r="EN112" s="35"/>
      <c r="EO112" s="35"/>
      <c r="EP112" s="35"/>
      <c r="EQ112" s="35"/>
      <c r="ER112" s="35"/>
      <c r="ES112" s="35"/>
      <c r="ET112" s="35"/>
      <c r="EU112" s="35"/>
      <c r="EV112" s="35"/>
      <c r="EW112" s="35"/>
      <c r="EX112" s="35"/>
      <c r="EY112" s="35"/>
      <c r="EZ112" s="35"/>
      <c r="FA112" s="35"/>
      <c r="FB112" s="35"/>
      <c r="FC112" s="458">
        <f t="shared" si="11"/>
        <v>0</v>
      </c>
      <c r="FD112">
        <f t="shared" si="8"/>
        <v>0</v>
      </c>
      <c r="FE112" t="e">
        <f t="shared" si="9"/>
        <v>#N/A</v>
      </c>
      <c r="FI112" s="731" t="e">
        <f t="shared" si="12"/>
        <v>#VALUE!</v>
      </c>
      <c r="FK112" s="471" t="str">
        <f t="shared" si="13"/>
        <v xml:space="preserve"> </v>
      </c>
      <c r="FL112" s="730">
        <f t="shared" si="14"/>
        <v>0</v>
      </c>
      <c r="FM112" s="471" t="str">
        <f t="shared" si="15"/>
        <v/>
      </c>
      <c r="FN112" s="730">
        <f t="shared" ref="FN112:FN175" si="16">L112</f>
        <v>0</v>
      </c>
    </row>
    <row r="113" spans="1:170" s="33" customFormat="1" x14ac:dyDescent="0.2">
      <c r="A113" s="34" t="s">
        <v>163</v>
      </c>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c r="BM113" s="35"/>
      <c r="BN113" s="35"/>
      <c r="BO113" s="35"/>
      <c r="BP113" s="35"/>
      <c r="BQ113" s="35"/>
      <c r="BR113" s="35"/>
      <c r="BS113" s="35"/>
      <c r="BT113" s="35"/>
      <c r="BU113" s="35"/>
      <c r="BV113" s="35"/>
      <c r="BW113" s="35"/>
      <c r="BX113" s="35"/>
      <c r="BY113" s="35"/>
      <c r="BZ113" s="35"/>
      <c r="CA113" s="35"/>
      <c r="CB113" s="35"/>
      <c r="CC113" s="35"/>
      <c r="CD113" s="35"/>
      <c r="CE113" s="35"/>
      <c r="CF113" s="35"/>
      <c r="CG113" s="35"/>
      <c r="CH113" s="35"/>
      <c r="CI113" s="35"/>
      <c r="CJ113" s="35"/>
      <c r="CK113" s="35"/>
      <c r="CL113" s="35"/>
      <c r="CM113" s="35"/>
      <c r="CN113" s="35"/>
      <c r="CO113" s="35"/>
      <c r="CP113" s="35"/>
      <c r="CQ113" s="35"/>
      <c r="CR113" s="35"/>
      <c r="CS113" s="35"/>
      <c r="CT113" s="35"/>
      <c r="CU113" s="35"/>
      <c r="CV113" s="35"/>
      <c r="CW113" s="35"/>
      <c r="CX113" s="35"/>
      <c r="CY113" s="35"/>
      <c r="CZ113" s="35"/>
      <c r="DA113" s="35"/>
      <c r="DB113" s="35"/>
      <c r="DC113" s="35"/>
      <c r="DD113" s="35"/>
      <c r="DE113" s="35"/>
      <c r="DF113" s="35"/>
      <c r="DG113" s="35"/>
      <c r="DH113" s="35"/>
      <c r="DI113" s="35"/>
      <c r="DJ113" s="35"/>
      <c r="DK113" s="35"/>
      <c r="DL113" s="35"/>
      <c r="DM113" s="35"/>
      <c r="DN113" s="35"/>
      <c r="DO113" s="35"/>
      <c r="DP113" s="35"/>
      <c r="DQ113" s="35"/>
      <c r="DR113" s="35"/>
      <c r="DS113" s="35"/>
      <c r="DT113" s="35"/>
      <c r="DU113" s="35"/>
      <c r="DV113" s="35"/>
      <c r="DW113" s="35"/>
      <c r="DX113" s="35"/>
      <c r="DY113" s="35"/>
      <c r="DZ113" s="35"/>
      <c r="EA113" s="35"/>
      <c r="EB113" s="35"/>
      <c r="EC113" s="35"/>
      <c r="ED113" s="35"/>
      <c r="EE113" s="35"/>
      <c r="EF113" s="35"/>
      <c r="EG113" s="35"/>
      <c r="EH113" s="35"/>
      <c r="EI113" s="35"/>
      <c r="EJ113" s="35"/>
      <c r="EK113" s="35"/>
      <c r="EL113" s="35"/>
      <c r="EM113" s="35"/>
      <c r="EN113" s="35"/>
      <c r="EO113" s="35"/>
      <c r="EP113" s="35"/>
      <c r="EQ113" s="35"/>
      <c r="ER113" s="35"/>
      <c r="ES113" s="35"/>
      <c r="ET113" s="35"/>
      <c r="EU113" s="35"/>
      <c r="EV113" s="35"/>
      <c r="EW113" s="35"/>
      <c r="EX113" s="35"/>
      <c r="EY113" s="35"/>
      <c r="EZ113" s="35"/>
      <c r="FA113" s="35"/>
      <c r="FB113" s="35"/>
      <c r="FC113" s="458">
        <f t="shared" si="11"/>
        <v>0</v>
      </c>
      <c r="FD113">
        <f t="shared" si="8"/>
        <v>0</v>
      </c>
      <c r="FE113" t="e">
        <f t="shared" si="9"/>
        <v>#N/A</v>
      </c>
      <c r="FI113" s="731" t="e">
        <f t="shared" si="12"/>
        <v>#VALUE!</v>
      </c>
      <c r="FK113" s="471" t="str">
        <f t="shared" si="13"/>
        <v xml:space="preserve"> </v>
      </c>
      <c r="FL113" s="730">
        <f t="shared" si="14"/>
        <v>0</v>
      </c>
      <c r="FM113" s="471" t="str">
        <f t="shared" si="15"/>
        <v/>
      </c>
      <c r="FN113" s="730">
        <f t="shared" si="16"/>
        <v>0</v>
      </c>
    </row>
    <row r="114" spans="1:170" s="33" customFormat="1" x14ac:dyDescent="0.2">
      <c r="A114" s="34" t="s">
        <v>164</v>
      </c>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35"/>
      <c r="CC114" s="35"/>
      <c r="CD114" s="35"/>
      <c r="CE114" s="35"/>
      <c r="CF114" s="35"/>
      <c r="CG114" s="35"/>
      <c r="CH114" s="35"/>
      <c r="CI114" s="35"/>
      <c r="CJ114" s="35"/>
      <c r="CK114" s="35"/>
      <c r="CL114" s="35"/>
      <c r="CM114" s="35"/>
      <c r="CN114" s="35"/>
      <c r="CO114" s="35"/>
      <c r="CP114" s="35"/>
      <c r="CQ114" s="35"/>
      <c r="CR114" s="35"/>
      <c r="CS114" s="35"/>
      <c r="CT114" s="35"/>
      <c r="CU114" s="35"/>
      <c r="CV114" s="35"/>
      <c r="CW114" s="35"/>
      <c r="CX114" s="35"/>
      <c r="CY114" s="35"/>
      <c r="CZ114" s="35"/>
      <c r="DA114" s="35"/>
      <c r="DB114" s="35"/>
      <c r="DC114" s="35"/>
      <c r="DD114" s="35"/>
      <c r="DE114" s="35"/>
      <c r="DF114" s="35"/>
      <c r="DG114" s="35"/>
      <c r="DH114" s="35"/>
      <c r="DI114" s="35"/>
      <c r="DJ114" s="35"/>
      <c r="DK114" s="35"/>
      <c r="DL114" s="35"/>
      <c r="DM114" s="35"/>
      <c r="DN114" s="35"/>
      <c r="DO114" s="35"/>
      <c r="DP114" s="35"/>
      <c r="DQ114" s="35"/>
      <c r="DR114" s="35"/>
      <c r="DS114" s="35"/>
      <c r="DT114" s="35"/>
      <c r="DU114" s="35"/>
      <c r="DV114" s="35"/>
      <c r="DW114" s="35"/>
      <c r="DX114" s="35"/>
      <c r="DY114" s="35"/>
      <c r="DZ114" s="35"/>
      <c r="EA114" s="35"/>
      <c r="EB114" s="35"/>
      <c r="EC114" s="35"/>
      <c r="ED114" s="35"/>
      <c r="EE114" s="35"/>
      <c r="EF114" s="35"/>
      <c r="EG114" s="35"/>
      <c r="EH114" s="35"/>
      <c r="EI114" s="35"/>
      <c r="EJ114" s="35"/>
      <c r="EK114" s="35"/>
      <c r="EL114" s="35"/>
      <c r="EM114" s="35"/>
      <c r="EN114" s="35"/>
      <c r="EO114" s="35"/>
      <c r="EP114" s="35"/>
      <c r="EQ114" s="35"/>
      <c r="ER114" s="35"/>
      <c r="ES114" s="35"/>
      <c r="ET114" s="35"/>
      <c r="EU114" s="35"/>
      <c r="EV114" s="35"/>
      <c r="EW114" s="35"/>
      <c r="EX114" s="35"/>
      <c r="EY114" s="35"/>
      <c r="EZ114" s="35"/>
      <c r="FA114" s="35"/>
      <c r="FB114" s="35"/>
      <c r="FC114" s="458">
        <f t="shared" si="11"/>
        <v>0</v>
      </c>
      <c r="FD114">
        <f t="shared" si="8"/>
        <v>0</v>
      </c>
      <c r="FE114" t="e">
        <f t="shared" si="9"/>
        <v>#N/A</v>
      </c>
      <c r="FI114" s="731" t="e">
        <f t="shared" si="12"/>
        <v>#VALUE!</v>
      </c>
      <c r="FK114" s="471" t="str">
        <f t="shared" si="13"/>
        <v xml:space="preserve"> </v>
      </c>
      <c r="FL114" s="730">
        <f t="shared" si="14"/>
        <v>0</v>
      </c>
      <c r="FM114" s="471" t="str">
        <f t="shared" si="15"/>
        <v/>
      </c>
      <c r="FN114" s="730">
        <f t="shared" si="16"/>
        <v>0</v>
      </c>
    </row>
    <row r="115" spans="1:170" s="33" customFormat="1" x14ac:dyDescent="0.2">
      <c r="A115" s="34" t="s">
        <v>165</v>
      </c>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35"/>
      <c r="BS115" s="35"/>
      <c r="BT115" s="35"/>
      <c r="BU115" s="35"/>
      <c r="BV115" s="35"/>
      <c r="BW115" s="35"/>
      <c r="BX115" s="35"/>
      <c r="BY115" s="35"/>
      <c r="BZ115" s="35"/>
      <c r="CA115" s="35"/>
      <c r="CB115" s="35"/>
      <c r="CC115" s="35"/>
      <c r="CD115" s="35"/>
      <c r="CE115" s="35"/>
      <c r="CF115" s="35"/>
      <c r="CG115" s="35"/>
      <c r="CH115" s="35"/>
      <c r="CI115" s="35"/>
      <c r="CJ115" s="35"/>
      <c r="CK115" s="35"/>
      <c r="CL115" s="35"/>
      <c r="CM115" s="35"/>
      <c r="CN115" s="35"/>
      <c r="CO115" s="35"/>
      <c r="CP115" s="35"/>
      <c r="CQ115" s="35"/>
      <c r="CR115" s="35"/>
      <c r="CS115" s="35"/>
      <c r="CT115" s="35"/>
      <c r="CU115" s="35"/>
      <c r="CV115" s="35"/>
      <c r="CW115" s="35"/>
      <c r="CX115" s="35"/>
      <c r="CY115" s="35"/>
      <c r="CZ115" s="35"/>
      <c r="DA115" s="35"/>
      <c r="DB115" s="35"/>
      <c r="DC115" s="35"/>
      <c r="DD115" s="35"/>
      <c r="DE115" s="35"/>
      <c r="DF115" s="35"/>
      <c r="DG115" s="35"/>
      <c r="DH115" s="35"/>
      <c r="DI115" s="35"/>
      <c r="DJ115" s="35"/>
      <c r="DK115" s="35"/>
      <c r="DL115" s="35"/>
      <c r="DM115" s="35"/>
      <c r="DN115" s="35"/>
      <c r="DO115" s="35"/>
      <c r="DP115" s="35"/>
      <c r="DQ115" s="35"/>
      <c r="DR115" s="35"/>
      <c r="DS115" s="35"/>
      <c r="DT115" s="35"/>
      <c r="DU115" s="35"/>
      <c r="DV115" s="35"/>
      <c r="DW115" s="35"/>
      <c r="DX115" s="35"/>
      <c r="DY115" s="35"/>
      <c r="DZ115" s="35"/>
      <c r="EA115" s="35"/>
      <c r="EB115" s="35"/>
      <c r="EC115" s="35"/>
      <c r="ED115" s="35"/>
      <c r="EE115" s="35"/>
      <c r="EF115" s="35"/>
      <c r="EG115" s="35"/>
      <c r="EH115" s="35"/>
      <c r="EI115" s="35"/>
      <c r="EJ115" s="35"/>
      <c r="EK115" s="35"/>
      <c r="EL115" s="35"/>
      <c r="EM115" s="35"/>
      <c r="EN115" s="35"/>
      <c r="EO115" s="35"/>
      <c r="EP115" s="35"/>
      <c r="EQ115" s="35"/>
      <c r="ER115" s="35"/>
      <c r="ES115" s="35"/>
      <c r="ET115" s="35"/>
      <c r="EU115" s="35"/>
      <c r="EV115" s="35"/>
      <c r="EW115" s="35"/>
      <c r="EX115" s="35"/>
      <c r="EY115" s="35"/>
      <c r="EZ115" s="35"/>
      <c r="FA115" s="35"/>
      <c r="FB115" s="35"/>
      <c r="FC115" s="458">
        <f t="shared" si="11"/>
        <v>0</v>
      </c>
      <c r="FD115">
        <f t="shared" si="8"/>
        <v>0</v>
      </c>
      <c r="FE115" t="e">
        <f t="shared" si="9"/>
        <v>#N/A</v>
      </c>
      <c r="FI115" s="731" t="e">
        <f t="shared" si="12"/>
        <v>#VALUE!</v>
      </c>
      <c r="FK115" s="471" t="str">
        <f t="shared" si="13"/>
        <v xml:space="preserve"> </v>
      </c>
      <c r="FL115" s="730">
        <f t="shared" si="14"/>
        <v>0</v>
      </c>
      <c r="FM115" s="471" t="str">
        <f t="shared" si="15"/>
        <v/>
      </c>
      <c r="FN115" s="730">
        <f t="shared" si="16"/>
        <v>0</v>
      </c>
    </row>
    <row r="116" spans="1:170" s="33" customFormat="1" x14ac:dyDescent="0.2">
      <c r="A116" s="34" t="s">
        <v>166</v>
      </c>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c r="BO116" s="35"/>
      <c r="BP116" s="35"/>
      <c r="BQ116" s="35"/>
      <c r="BR116" s="35"/>
      <c r="BS116" s="35"/>
      <c r="BT116" s="35"/>
      <c r="BU116" s="35"/>
      <c r="BV116" s="35"/>
      <c r="BW116" s="35"/>
      <c r="BX116" s="35"/>
      <c r="BY116" s="35"/>
      <c r="BZ116" s="35"/>
      <c r="CA116" s="35"/>
      <c r="CB116" s="35"/>
      <c r="CC116" s="35"/>
      <c r="CD116" s="35"/>
      <c r="CE116" s="35"/>
      <c r="CF116" s="35"/>
      <c r="CG116" s="35"/>
      <c r="CH116" s="35"/>
      <c r="CI116" s="35"/>
      <c r="CJ116" s="35"/>
      <c r="CK116" s="35"/>
      <c r="CL116" s="35"/>
      <c r="CM116" s="35"/>
      <c r="CN116" s="35"/>
      <c r="CO116" s="35"/>
      <c r="CP116" s="35"/>
      <c r="CQ116" s="35"/>
      <c r="CR116" s="35"/>
      <c r="CS116" s="35"/>
      <c r="CT116" s="35"/>
      <c r="CU116" s="35"/>
      <c r="CV116" s="35"/>
      <c r="CW116" s="35"/>
      <c r="CX116" s="35"/>
      <c r="CY116" s="35"/>
      <c r="CZ116" s="35"/>
      <c r="DA116" s="35"/>
      <c r="DB116" s="35"/>
      <c r="DC116" s="35"/>
      <c r="DD116" s="35"/>
      <c r="DE116" s="35"/>
      <c r="DF116" s="35"/>
      <c r="DG116" s="35"/>
      <c r="DH116" s="35"/>
      <c r="DI116" s="35"/>
      <c r="DJ116" s="35"/>
      <c r="DK116" s="35"/>
      <c r="DL116" s="35"/>
      <c r="DM116" s="35"/>
      <c r="DN116" s="35"/>
      <c r="DO116" s="35"/>
      <c r="DP116" s="35"/>
      <c r="DQ116" s="35"/>
      <c r="DR116" s="35"/>
      <c r="DS116" s="35"/>
      <c r="DT116" s="35"/>
      <c r="DU116" s="35"/>
      <c r="DV116" s="35"/>
      <c r="DW116" s="35"/>
      <c r="DX116" s="35"/>
      <c r="DY116" s="35"/>
      <c r="DZ116" s="35"/>
      <c r="EA116" s="35"/>
      <c r="EB116" s="35"/>
      <c r="EC116" s="35"/>
      <c r="ED116" s="35"/>
      <c r="EE116" s="35"/>
      <c r="EF116" s="35"/>
      <c r="EG116" s="35"/>
      <c r="EH116" s="35"/>
      <c r="EI116" s="35"/>
      <c r="EJ116" s="35"/>
      <c r="EK116" s="35"/>
      <c r="EL116" s="35"/>
      <c r="EM116" s="35"/>
      <c r="EN116" s="35"/>
      <c r="EO116" s="35"/>
      <c r="EP116" s="35"/>
      <c r="EQ116" s="35"/>
      <c r="ER116" s="35"/>
      <c r="ES116" s="35"/>
      <c r="ET116" s="35"/>
      <c r="EU116" s="35"/>
      <c r="EV116" s="35"/>
      <c r="EW116" s="35"/>
      <c r="EX116" s="35"/>
      <c r="EY116" s="35"/>
      <c r="EZ116" s="35"/>
      <c r="FA116" s="35"/>
      <c r="FB116" s="35"/>
      <c r="FC116" s="458">
        <f t="shared" si="11"/>
        <v>0</v>
      </c>
      <c r="FD116">
        <f t="shared" si="8"/>
        <v>0</v>
      </c>
      <c r="FE116" t="e">
        <f t="shared" si="9"/>
        <v>#N/A</v>
      </c>
      <c r="FI116" s="731" t="e">
        <f t="shared" si="12"/>
        <v>#VALUE!</v>
      </c>
      <c r="FK116" s="471" t="str">
        <f t="shared" si="13"/>
        <v xml:space="preserve"> </v>
      </c>
      <c r="FL116" s="730">
        <f t="shared" si="14"/>
        <v>0</v>
      </c>
      <c r="FM116" s="471" t="str">
        <f t="shared" si="15"/>
        <v/>
      </c>
      <c r="FN116" s="730">
        <f t="shared" si="16"/>
        <v>0</v>
      </c>
    </row>
    <row r="117" spans="1:170" s="33" customFormat="1" x14ac:dyDescent="0.2">
      <c r="A117" s="34" t="s">
        <v>167</v>
      </c>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c r="BL117" s="35"/>
      <c r="BM117" s="35"/>
      <c r="BN117" s="35"/>
      <c r="BO117" s="35"/>
      <c r="BP117" s="35"/>
      <c r="BQ117" s="35"/>
      <c r="BR117" s="35"/>
      <c r="BS117" s="35"/>
      <c r="BT117" s="35"/>
      <c r="BU117" s="35"/>
      <c r="BV117" s="35"/>
      <c r="BW117" s="35"/>
      <c r="BX117" s="35"/>
      <c r="BY117" s="35"/>
      <c r="BZ117" s="35"/>
      <c r="CA117" s="35"/>
      <c r="CB117" s="35"/>
      <c r="CC117" s="35"/>
      <c r="CD117" s="35"/>
      <c r="CE117" s="35"/>
      <c r="CF117" s="35"/>
      <c r="CG117" s="35"/>
      <c r="CH117" s="35"/>
      <c r="CI117" s="35"/>
      <c r="CJ117" s="35"/>
      <c r="CK117" s="35"/>
      <c r="CL117" s="35"/>
      <c r="CM117" s="35"/>
      <c r="CN117" s="35"/>
      <c r="CO117" s="35"/>
      <c r="CP117" s="35"/>
      <c r="CQ117" s="35"/>
      <c r="CR117" s="35"/>
      <c r="CS117" s="35"/>
      <c r="CT117" s="35"/>
      <c r="CU117" s="35"/>
      <c r="CV117" s="35"/>
      <c r="CW117" s="35"/>
      <c r="CX117" s="35"/>
      <c r="CY117" s="35"/>
      <c r="CZ117" s="35"/>
      <c r="DA117" s="35"/>
      <c r="DB117" s="35"/>
      <c r="DC117" s="35"/>
      <c r="DD117" s="35"/>
      <c r="DE117" s="35"/>
      <c r="DF117" s="35"/>
      <c r="DG117" s="35"/>
      <c r="DH117" s="35"/>
      <c r="DI117" s="35"/>
      <c r="DJ117" s="35"/>
      <c r="DK117" s="35"/>
      <c r="DL117" s="35"/>
      <c r="DM117" s="35"/>
      <c r="DN117" s="35"/>
      <c r="DO117" s="35"/>
      <c r="DP117" s="35"/>
      <c r="DQ117" s="35"/>
      <c r="DR117" s="35"/>
      <c r="DS117" s="35"/>
      <c r="DT117" s="35"/>
      <c r="DU117" s="35"/>
      <c r="DV117" s="35"/>
      <c r="DW117" s="35"/>
      <c r="DX117" s="35"/>
      <c r="DY117" s="35"/>
      <c r="DZ117" s="35"/>
      <c r="EA117" s="35"/>
      <c r="EB117" s="35"/>
      <c r="EC117" s="35"/>
      <c r="ED117" s="35"/>
      <c r="EE117" s="35"/>
      <c r="EF117" s="35"/>
      <c r="EG117" s="35"/>
      <c r="EH117" s="35"/>
      <c r="EI117" s="35"/>
      <c r="EJ117" s="35"/>
      <c r="EK117" s="35"/>
      <c r="EL117" s="35"/>
      <c r="EM117" s="35"/>
      <c r="EN117" s="35"/>
      <c r="EO117" s="35"/>
      <c r="EP117" s="35"/>
      <c r="EQ117" s="35"/>
      <c r="ER117" s="35"/>
      <c r="ES117" s="35"/>
      <c r="ET117" s="35"/>
      <c r="EU117" s="35"/>
      <c r="EV117" s="35"/>
      <c r="EW117" s="35"/>
      <c r="EX117" s="35"/>
      <c r="EY117" s="35"/>
      <c r="EZ117" s="35"/>
      <c r="FA117" s="35"/>
      <c r="FB117" s="35"/>
      <c r="FC117" s="458">
        <f t="shared" si="11"/>
        <v>0</v>
      </c>
      <c r="FD117">
        <f t="shared" si="8"/>
        <v>0</v>
      </c>
      <c r="FE117" t="e">
        <f t="shared" si="9"/>
        <v>#N/A</v>
      </c>
      <c r="FI117" s="731" t="e">
        <f t="shared" si="12"/>
        <v>#VALUE!</v>
      </c>
      <c r="FK117" s="471" t="str">
        <f t="shared" si="13"/>
        <v xml:space="preserve"> </v>
      </c>
      <c r="FL117" s="730">
        <f t="shared" si="14"/>
        <v>0</v>
      </c>
      <c r="FM117" s="471" t="str">
        <f t="shared" si="15"/>
        <v/>
      </c>
      <c r="FN117" s="730">
        <f t="shared" si="16"/>
        <v>0</v>
      </c>
    </row>
    <row r="118" spans="1:170" s="33" customFormat="1" x14ac:dyDescent="0.2">
      <c r="A118" s="34" t="s">
        <v>168</v>
      </c>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c r="BN118" s="35"/>
      <c r="BO118" s="35"/>
      <c r="BP118" s="35"/>
      <c r="BQ118" s="35"/>
      <c r="BR118" s="35"/>
      <c r="BS118" s="35"/>
      <c r="BT118" s="35"/>
      <c r="BU118" s="35"/>
      <c r="BV118" s="35"/>
      <c r="BW118" s="35"/>
      <c r="BX118" s="35"/>
      <c r="BY118" s="35"/>
      <c r="BZ118" s="35"/>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c r="CX118" s="35"/>
      <c r="CY118" s="35"/>
      <c r="CZ118" s="35"/>
      <c r="DA118" s="35"/>
      <c r="DB118" s="35"/>
      <c r="DC118" s="35"/>
      <c r="DD118" s="35"/>
      <c r="DE118" s="35"/>
      <c r="DF118" s="35"/>
      <c r="DG118" s="35"/>
      <c r="DH118" s="35"/>
      <c r="DI118" s="35"/>
      <c r="DJ118" s="35"/>
      <c r="DK118" s="35"/>
      <c r="DL118" s="35"/>
      <c r="DM118" s="35"/>
      <c r="DN118" s="35"/>
      <c r="DO118" s="35"/>
      <c r="DP118" s="35"/>
      <c r="DQ118" s="35"/>
      <c r="DR118" s="35"/>
      <c r="DS118" s="35"/>
      <c r="DT118" s="35"/>
      <c r="DU118" s="35"/>
      <c r="DV118" s="35"/>
      <c r="DW118" s="35"/>
      <c r="DX118" s="35"/>
      <c r="DY118" s="35"/>
      <c r="DZ118" s="35"/>
      <c r="EA118" s="35"/>
      <c r="EB118" s="35"/>
      <c r="EC118" s="35"/>
      <c r="ED118" s="35"/>
      <c r="EE118" s="35"/>
      <c r="EF118" s="35"/>
      <c r="EG118" s="35"/>
      <c r="EH118" s="35"/>
      <c r="EI118" s="35"/>
      <c r="EJ118" s="35"/>
      <c r="EK118" s="35"/>
      <c r="EL118" s="35"/>
      <c r="EM118" s="35"/>
      <c r="EN118" s="35"/>
      <c r="EO118" s="35"/>
      <c r="EP118" s="35"/>
      <c r="EQ118" s="35"/>
      <c r="ER118" s="35"/>
      <c r="ES118" s="35"/>
      <c r="ET118" s="35"/>
      <c r="EU118" s="35"/>
      <c r="EV118" s="35"/>
      <c r="EW118" s="35"/>
      <c r="EX118" s="35"/>
      <c r="EY118" s="35"/>
      <c r="EZ118" s="35"/>
      <c r="FA118" s="35"/>
      <c r="FB118" s="35"/>
      <c r="FC118" s="458">
        <f t="shared" si="11"/>
        <v>0</v>
      </c>
      <c r="FD118">
        <f t="shared" si="8"/>
        <v>0</v>
      </c>
      <c r="FE118" t="e">
        <f t="shared" si="9"/>
        <v>#N/A</v>
      </c>
      <c r="FI118" s="731" t="e">
        <f t="shared" si="12"/>
        <v>#VALUE!</v>
      </c>
      <c r="FK118" s="471" t="str">
        <f t="shared" si="13"/>
        <v xml:space="preserve"> </v>
      </c>
      <c r="FL118" s="730">
        <f t="shared" si="14"/>
        <v>0</v>
      </c>
      <c r="FM118" s="471" t="str">
        <f t="shared" si="15"/>
        <v/>
      </c>
      <c r="FN118" s="730">
        <f t="shared" si="16"/>
        <v>0</v>
      </c>
    </row>
    <row r="119" spans="1:170" s="33" customFormat="1" x14ac:dyDescent="0.2">
      <c r="A119" s="34" t="s">
        <v>169</v>
      </c>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c r="BN119" s="35"/>
      <c r="BO119" s="35"/>
      <c r="BP119" s="35"/>
      <c r="BQ119" s="35"/>
      <c r="BR119" s="35"/>
      <c r="BS119" s="35"/>
      <c r="BT119" s="35"/>
      <c r="BU119" s="35"/>
      <c r="BV119" s="35"/>
      <c r="BW119" s="35"/>
      <c r="BX119" s="35"/>
      <c r="BY119" s="35"/>
      <c r="BZ119" s="35"/>
      <c r="CA119" s="35"/>
      <c r="CB119" s="35"/>
      <c r="CC119" s="35"/>
      <c r="CD119" s="35"/>
      <c r="CE119" s="35"/>
      <c r="CF119" s="35"/>
      <c r="CG119" s="35"/>
      <c r="CH119" s="35"/>
      <c r="CI119" s="35"/>
      <c r="CJ119" s="35"/>
      <c r="CK119" s="35"/>
      <c r="CL119" s="35"/>
      <c r="CM119" s="35"/>
      <c r="CN119" s="35"/>
      <c r="CO119" s="35"/>
      <c r="CP119" s="35"/>
      <c r="CQ119" s="35"/>
      <c r="CR119" s="35"/>
      <c r="CS119" s="35"/>
      <c r="CT119" s="35"/>
      <c r="CU119" s="35"/>
      <c r="CV119" s="35"/>
      <c r="CW119" s="35"/>
      <c r="CX119" s="35"/>
      <c r="CY119" s="35"/>
      <c r="CZ119" s="35"/>
      <c r="DA119" s="35"/>
      <c r="DB119" s="35"/>
      <c r="DC119" s="35"/>
      <c r="DD119" s="35"/>
      <c r="DE119" s="35"/>
      <c r="DF119" s="35"/>
      <c r="DG119" s="35"/>
      <c r="DH119" s="35"/>
      <c r="DI119" s="35"/>
      <c r="DJ119" s="35"/>
      <c r="DK119" s="35"/>
      <c r="DL119" s="35"/>
      <c r="DM119" s="35"/>
      <c r="DN119" s="35"/>
      <c r="DO119" s="35"/>
      <c r="DP119" s="35"/>
      <c r="DQ119" s="35"/>
      <c r="DR119" s="35"/>
      <c r="DS119" s="35"/>
      <c r="DT119" s="35"/>
      <c r="DU119" s="35"/>
      <c r="DV119" s="35"/>
      <c r="DW119" s="35"/>
      <c r="DX119" s="35"/>
      <c r="DY119" s="35"/>
      <c r="DZ119" s="35"/>
      <c r="EA119" s="35"/>
      <c r="EB119" s="35"/>
      <c r="EC119" s="35"/>
      <c r="ED119" s="35"/>
      <c r="EE119" s="35"/>
      <c r="EF119" s="35"/>
      <c r="EG119" s="35"/>
      <c r="EH119" s="35"/>
      <c r="EI119" s="35"/>
      <c r="EJ119" s="35"/>
      <c r="EK119" s="35"/>
      <c r="EL119" s="35"/>
      <c r="EM119" s="35"/>
      <c r="EN119" s="35"/>
      <c r="EO119" s="35"/>
      <c r="EP119" s="35"/>
      <c r="EQ119" s="35"/>
      <c r="ER119" s="35"/>
      <c r="ES119" s="35"/>
      <c r="ET119" s="35"/>
      <c r="EU119" s="35"/>
      <c r="EV119" s="35"/>
      <c r="EW119" s="35"/>
      <c r="EX119" s="35"/>
      <c r="EY119" s="35"/>
      <c r="EZ119" s="35"/>
      <c r="FA119" s="35"/>
      <c r="FB119" s="35"/>
      <c r="FC119" s="458">
        <f t="shared" si="11"/>
        <v>0</v>
      </c>
      <c r="FD119">
        <f t="shared" si="8"/>
        <v>0</v>
      </c>
      <c r="FE119" t="e">
        <f t="shared" si="9"/>
        <v>#N/A</v>
      </c>
      <c r="FI119" s="731" t="e">
        <f t="shared" si="12"/>
        <v>#VALUE!</v>
      </c>
      <c r="FK119" s="471" t="str">
        <f t="shared" si="13"/>
        <v xml:space="preserve"> </v>
      </c>
      <c r="FL119" s="730">
        <f t="shared" si="14"/>
        <v>0</v>
      </c>
      <c r="FM119" s="471" t="str">
        <f t="shared" si="15"/>
        <v/>
      </c>
      <c r="FN119" s="730">
        <f t="shared" si="16"/>
        <v>0</v>
      </c>
    </row>
    <row r="120" spans="1:170" s="33" customFormat="1" x14ac:dyDescent="0.2">
      <c r="A120" s="34" t="s">
        <v>170</v>
      </c>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c r="BN120" s="35"/>
      <c r="BO120" s="35"/>
      <c r="BP120" s="35"/>
      <c r="BQ120" s="35"/>
      <c r="BR120" s="35"/>
      <c r="BS120" s="35"/>
      <c r="BT120" s="35"/>
      <c r="BU120" s="35"/>
      <c r="BV120" s="35"/>
      <c r="BW120" s="35"/>
      <c r="BX120" s="35"/>
      <c r="BY120" s="35"/>
      <c r="BZ120" s="35"/>
      <c r="CA120" s="35"/>
      <c r="CB120" s="35"/>
      <c r="CC120" s="35"/>
      <c r="CD120" s="35"/>
      <c r="CE120" s="35"/>
      <c r="CF120" s="35"/>
      <c r="CG120" s="35"/>
      <c r="CH120" s="35"/>
      <c r="CI120" s="35"/>
      <c r="CJ120" s="35"/>
      <c r="CK120" s="35"/>
      <c r="CL120" s="35"/>
      <c r="CM120" s="35"/>
      <c r="CN120" s="35"/>
      <c r="CO120" s="35"/>
      <c r="CP120" s="35"/>
      <c r="CQ120" s="35"/>
      <c r="CR120" s="35"/>
      <c r="CS120" s="35"/>
      <c r="CT120" s="35"/>
      <c r="CU120" s="35"/>
      <c r="CV120" s="35"/>
      <c r="CW120" s="35"/>
      <c r="CX120" s="35"/>
      <c r="CY120" s="35"/>
      <c r="CZ120" s="35"/>
      <c r="DA120" s="35"/>
      <c r="DB120" s="35"/>
      <c r="DC120" s="35"/>
      <c r="DD120" s="35"/>
      <c r="DE120" s="35"/>
      <c r="DF120" s="35"/>
      <c r="DG120" s="35"/>
      <c r="DH120" s="35"/>
      <c r="DI120" s="35"/>
      <c r="DJ120" s="35"/>
      <c r="DK120" s="35"/>
      <c r="DL120" s="35"/>
      <c r="DM120" s="35"/>
      <c r="DN120" s="35"/>
      <c r="DO120" s="35"/>
      <c r="DP120" s="35"/>
      <c r="DQ120" s="35"/>
      <c r="DR120" s="35"/>
      <c r="DS120" s="35"/>
      <c r="DT120" s="35"/>
      <c r="DU120" s="35"/>
      <c r="DV120" s="35"/>
      <c r="DW120" s="35"/>
      <c r="DX120" s="35"/>
      <c r="DY120" s="35"/>
      <c r="DZ120" s="35"/>
      <c r="EA120" s="35"/>
      <c r="EB120" s="35"/>
      <c r="EC120" s="35"/>
      <c r="ED120" s="35"/>
      <c r="EE120" s="35"/>
      <c r="EF120" s="35"/>
      <c r="EG120" s="35"/>
      <c r="EH120" s="35"/>
      <c r="EI120" s="35"/>
      <c r="EJ120" s="35"/>
      <c r="EK120" s="35"/>
      <c r="EL120" s="35"/>
      <c r="EM120" s="35"/>
      <c r="EN120" s="35"/>
      <c r="EO120" s="35"/>
      <c r="EP120" s="35"/>
      <c r="EQ120" s="35"/>
      <c r="ER120" s="35"/>
      <c r="ES120" s="35"/>
      <c r="ET120" s="35"/>
      <c r="EU120" s="35"/>
      <c r="EV120" s="35"/>
      <c r="EW120" s="35"/>
      <c r="EX120" s="35"/>
      <c r="EY120" s="35"/>
      <c r="EZ120" s="35"/>
      <c r="FA120" s="35"/>
      <c r="FB120" s="35"/>
      <c r="FC120" s="458">
        <f t="shared" si="11"/>
        <v>0</v>
      </c>
      <c r="FD120">
        <f t="shared" si="8"/>
        <v>0</v>
      </c>
      <c r="FE120" t="e">
        <f t="shared" si="9"/>
        <v>#N/A</v>
      </c>
      <c r="FI120" s="731" t="e">
        <f t="shared" si="12"/>
        <v>#VALUE!</v>
      </c>
      <c r="FK120" s="471" t="str">
        <f t="shared" si="13"/>
        <v xml:space="preserve"> </v>
      </c>
      <c r="FL120" s="730">
        <f t="shared" si="14"/>
        <v>0</v>
      </c>
      <c r="FM120" s="471" t="str">
        <f t="shared" si="15"/>
        <v/>
      </c>
      <c r="FN120" s="730">
        <f t="shared" si="16"/>
        <v>0</v>
      </c>
    </row>
    <row r="121" spans="1:170" s="33" customFormat="1" x14ac:dyDescent="0.2">
      <c r="A121" s="34" t="s">
        <v>171</v>
      </c>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c r="BN121" s="35"/>
      <c r="BO121" s="35"/>
      <c r="BP121" s="35"/>
      <c r="BQ121" s="35"/>
      <c r="BR121" s="35"/>
      <c r="BS121" s="35"/>
      <c r="BT121" s="35"/>
      <c r="BU121" s="35"/>
      <c r="BV121" s="35"/>
      <c r="BW121" s="35"/>
      <c r="BX121" s="35"/>
      <c r="BY121" s="35"/>
      <c r="BZ121" s="35"/>
      <c r="CA121" s="35"/>
      <c r="CB121" s="35"/>
      <c r="CC121" s="35"/>
      <c r="CD121" s="35"/>
      <c r="CE121" s="35"/>
      <c r="CF121" s="35"/>
      <c r="CG121" s="35"/>
      <c r="CH121" s="35"/>
      <c r="CI121" s="35"/>
      <c r="CJ121" s="35"/>
      <c r="CK121" s="35"/>
      <c r="CL121" s="35"/>
      <c r="CM121" s="35"/>
      <c r="CN121" s="35"/>
      <c r="CO121" s="35"/>
      <c r="CP121" s="35"/>
      <c r="CQ121" s="35"/>
      <c r="CR121" s="35"/>
      <c r="CS121" s="35"/>
      <c r="CT121" s="35"/>
      <c r="CU121" s="35"/>
      <c r="CV121" s="35"/>
      <c r="CW121" s="35"/>
      <c r="CX121" s="35"/>
      <c r="CY121" s="35"/>
      <c r="CZ121" s="35"/>
      <c r="DA121" s="35"/>
      <c r="DB121" s="35"/>
      <c r="DC121" s="35"/>
      <c r="DD121" s="35"/>
      <c r="DE121" s="35"/>
      <c r="DF121" s="35"/>
      <c r="DG121" s="35"/>
      <c r="DH121" s="35"/>
      <c r="DI121" s="35"/>
      <c r="DJ121" s="35"/>
      <c r="DK121" s="35"/>
      <c r="DL121" s="35"/>
      <c r="DM121" s="35"/>
      <c r="DN121" s="35"/>
      <c r="DO121" s="35"/>
      <c r="DP121" s="35"/>
      <c r="DQ121" s="35"/>
      <c r="DR121" s="35"/>
      <c r="DS121" s="35"/>
      <c r="DT121" s="35"/>
      <c r="DU121" s="35"/>
      <c r="DV121" s="35"/>
      <c r="DW121" s="35"/>
      <c r="DX121" s="35"/>
      <c r="DY121" s="35"/>
      <c r="DZ121" s="35"/>
      <c r="EA121" s="35"/>
      <c r="EB121" s="35"/>
      <c r="EC121" s="35"/>
      <c r="ED121" s="35"/>
      <c r="EE121" s="35"/>
      <c r="EF121" s="35"/>
      <c r="EG121" s="35"/>
      <c r="EH121" s="35"/>
      <c r="EI121" s="35"/>
      <c r="EJ121" s="35"/>
      <c r="EK121" s="35"/>
      <c r="EL121" s="35"/>
      <c r="EM121" s="35"/>
      <c r="EN121" s="35"/>
      <c r="EO121" s="35"/>
      <c r="EP121" s="35"/>
      <c r="EQ121" s="35"/>
      <c r="ER121" s="35"/>
      <c r="ES121" s="35"/>
      <c r="ET121" s="35"/>
      <c r="EU121" s="35"/>
      <c r="EV121" s="35"/>
      <c r="EW121" s="35"/>
      <c r="EX121" s="35"/>
      <c r="EY121" s="35"/>
      <c r="EZ121" s="35"/>
      <c r="FA121" s="35"/>
      <c r="FB121" s="35"/>
      <c r="FC121" s="458">
        <f t="shared" si="11"/>
        <v>0</v>
      </c>
      <c r="FD121">
        <f t="shared" si="8"/>
        <v>0</v>
      </c>
      <c r="FE121" t="e">
        <f t="shared" si="9"/>
        <v>#N/A</v>
      </c>
      <c r="FI121" s="731" t="e">
        <f t="shared" si="12"/>
        <v>#VALUE!</v>
      </c>
      <c r="FK121" s="471" t="str">
        <f t="shared" si="13"/>
        <v xml:space="preserve"> </v>
      </c>
      <c r="FL121" s="730">
        <f t="shared" si="14"/>
        <v>0</v>
      </c>
      <c r="FM121" s="471" t="str">
        <f t="shared" si="15"/>
        <v/>
      </c>
      <c r="FN121" s="730">
        <f t="shared" si="16"/>
        <v>0</v>
      </c>
    </row>
    <row r="122" spans="1:170" s="33" customFormat="1" x14ac:dyDescent="0.2">
      <c r="A122" s="34" t="s">
        <v>172</v>
      </c>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c r="BO122" s="35"/>
      <c r="BP122" s="35"/>
      <c r="BQ122" s="35"/>
      <c r="BR122" s="35"/>
      <c r="BS122" s="35"/>
      <c r="BT122" s="35"/>
      <c r="BU122" s="35"/>
      <c r="BV122" s="35"/>
      <c r="BW122" s="35"/>
      <c r="BX122" s="35"/>
      <c r="BY122" s="35"/>
      <c r="BZ122" s="35"/>
      <c r="CA122" s="35"/>
      <c r="CB122" s="35"/>
      <c r="CC122" s="35"/>
      <c r="CD122" s="35"/>
      <c r="CE122" s="35"/>
      <c r="CF122" s="35"/>
      <c r="CG122" s="35"/>
      <c r="CH122" s="35"/>
      <c r="CI122" s="35"/>
      <c r="CJ122" s="35"/>
      <c r="CK122" s="35"/>
      <c r="CL122" s="35"/>
      <c r="CM122" s="35"/>
      <c r="CN122" s="35"/>
      <c r="CO122" s="35"/>
      <c r="CP122" s="35"/>
      <c r="CQ122" s="35"/>
      <c r="CR122" s="35"/>
      <c r="CS122" s="35"/>
      <c r="CT122" s="35"/>
      <c r="CU122" s="35"/>
      <c r="CV122" s="35"/>
      <c r="CW122" s="35"/>
      <c r="CX122" s="35"/>
      <c r="CY122" s="35"/>
      <c r="CZ122" s="35"/>
      <c r="DA122" s="35"/>
      <c r="DB122" s="35"/>
      <c r="DC122" s="35"/>
      <c r="DD122" s="35"/>
      <c r="DE122" s="35"/>
      <c r="DF122" s="35"/>
      <c r="DG122" s="35"/>
      <c r="DH122" s="35"/>
      <c r="DI122" s="35"/>
      <c r="DJ122" s="35"/>
      <c r="DK122" s="35"/>
      <c r="DL122" s="35"/>
      <c r="DM122" s="35"/>
      <c r="DN122" s="35"/>
      <c r="DO122" s="35"/>
      <c r="DP122" s="35"/>
      <c r="DQ122" s="35"/>
      <c r="DR122" s="35"/>
      <c r="DS122" s="35"/>
      <c r="DT122" s="35"/>
      <c r="DU122" s="35"/>
      <c r="DV122" s="35"/>
      <c r="DW122" s="35"/>
      <c r="DX122" s="35"/>
      <c r="DY122" s="35"/>
      <c r="DZ122" s="35"/>
      <c r="EA122" s="35"/>
      <c r="EB122" s="35"/>
      <c r="EC122" s="35"/>
      <c r="ED122" s="35"/>
      <c r="EE122" s="35"/>
      <c r="EF122" s="35"/>
      <c r="EG122" s="35"/>
      <c r="EH122" s="35"/>
      <c r="EI122" s="35"/>
      <c r="EJ122" s="35"/>
      <c r="EK122" s="35"/>
      <c r="EL122" s="35"/>
      <c r="EM122" s="35"/>
      <c r="EN122" s="35"/>
      <c r="EO122" s="35"/>
      <c r="EP122" s="35"/>
      <c r="EQ122" s="35"/>
      <c r="ER122" s="35"/>
      <c r="ES122" s="35"/>
      <c r="ET122" s="35"/>
      <c r="EU122" s="35"/>
      <c r="EV122" s="35"/>
      <c r="EW122" s="35"/>
      <c r="EX122" s="35"/>
      <c r="EY122" s="35"/>
      <c r="EZ122" s="35"/>
      <c r="FA122" s="35"/>
      <c r="FB122" s="35"/>
      <c r="FC122" s="458">
        <f t="shared" si="11"/>
        <v>0</v>
      </c>
      <c r="FD122">
        <f t="shared" si="8"/>
        <v>0</v>
      </c>
      <c r="FE122" t="e">
        <f t="shared" si="9"/>
        <v>#N/A</v>
      </c>
      <c r="FI122" s="731" t="e">
        <f t="shared" si="12"/>
        <v>#VALUE!</v>
      </c>
      <c r="FK122" s="471" t="str">
        <f t="shared" si="13"/>
        <v xml:space="preserve"> </v>
      </c>
      <c r="FL122" s="730">
        <f t="shared" si="14"/>
        <v>0</v>
      </c>
      <c r="FM122" s="471" t="str">
        <f t="shared" si="15"/>
        <v/>
      </c>
      <c r="FN122" s="730">
        <f t="shared" si="16"/>
        <v>0</v>
      </c>
    </row>
    <row r="123" spans="1:170" s="33" customFormat="1" x14ac:dyDescent="0.2">
      <c r="A123" s="34" t="s">
        <v>173</v>
      </c>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35"/>
      <c r="BT123" s="35"/>
      <c r="BU123" s="35"/>
      <c r="BV123" s="35"/>
      <c r="BW123" s="35"/>
      <c r="BX123" s="35"/>
      <c r="BY123" s="35"/>
      <c r="BZ123" s="35"/>
      <c r="CA123" s="35"/>
      <c r="CB123" s="35"/>
      <c r="CC123" s="35"/>
      <c r="CD123" s="35"/>
      <c r="CE123" s="35"/>
      <c r="CF123" s="35"/>
      <c r="CG123" s="35"/>
      <c r="CH123" s="35"/>
      <c r="CI123" s="35"/>
      <c r="CJ123" s="35"/>
      <c r="CK123" s="35"/>
      <c r="CL123" s="35"/>
      <c r="CM123" s="35"/>
      <c r="CN123" s="35"/>
      <c r="CO123" s="35"/>
      <c r="CP123" s="35"/>
      <c r="CQ123" s="35"/>
      <c r="CR123" s="35"/>
      <c r="CS123" s="35"/>
      <c r="CT123" s="35"/>
      <c r="CU123" s="35"/>
      <c r="CV123" s="35"/>
      <c r="CW123" s="35"/>
      <c r="CX123" s="35"/>
      <c r="CY123" s="35"/>
      <c r="CZ123" s="35"/>
      <c r="DA123" s="35"/>
      <c r="DB123" s="35"/>
      <c r="DC123" s="35"/>
      <c r="DD123" s="35"/>
      <c r="DE123" s="35"/>
      <c r="DF123" s="35"/>
      <c r="DG123" s="35"/>
      <c r="DH123" s="35"/>
      <c r="DI123" s="35"/>
      <c r="DJ123" s="35"/>
      <c r="DK123" s="35"/>
      <c r="DL123" s="35"/>
      <c r="DM123" s="35"/>
      <c r="DN123" s="35"/>
      <c r="DO123" s="35"/>
      <c r="DP123" s="35"/>
      <c r="DQ123" s="35"/>
      <c r="DR123" s="35"/>
      <c r="DS123" s="35"/>
      <c r="DT123" s="35"/>
      <c r="DU123" s="35"/>
      <c r="DV123" s="35"/>
      <c r="DW123" s="35"/>
      <c r="DX123" s="35"/>
      <c r="DY123" s="35"/>
      <c r="DZ123" s="35"/>
      <c r="EA123" s="35"/>
      <c r="EB123" s="35"/>
      <c r="EC123" s="35"/>
      <c r="ED123" s="35"/>
      <c r="EE123" s="35"/>
      <c r="EF123" s="35"/>
      <c r="EG123" s="35"/>
      <c r="EH123" s="35"/>
      <c r="EI123" s="35"/>
      <c r="EJ123" s="35"/>
      <c r="EK123" s="35"/>
      <c r="EL123" s="35"/>
      <c r="EM123" s="35"/>
      <c r="EN123" s="35"/>
      <c r="EO123" s="35"/>
      <c r="EP123" s="35"/>
      <c r="EQ123" s="35"/>
      <c r="ER123" s="35"/>
      <c r="ES123" s="35"/>
      <c r="ET123" s="35"/>
      <c r="EU123" s="35"/>
      <c r="EV123" s="35"/>
      <c r="EW123" s="35"/>
      <c r="EX123" s="35"/>
      <c r="EY123" s="35"/>
      <c r="EZ123" s="35"/>
      <c r="FA123" s="35"/>
      <c r="FB123" s="35"/>
      <c r="FC123" s="458">
        <f t="shared" si="11"/>
        <v>0</v>
      </c>
      <c r="FD123">
        <f t="shared" si="8"/>
        <v>0</v>
      </c>
      <c r="FE123" t="e">
        <f t="shared" si="9"/>
        <v>#N/A</v>
      </c>
      <c r="FI123" s="731" t="e">
        <f t="shared" si="12"/>
        <v>#VALUE!</v>
      </c>
      <c r="FK123" s="471" t="str">
        <f t="shared" si="13"/>
        <v xml:space="preserve"> </v>
      </c>
      <c r="FL123" s="730">
        <f t="shared" si="14"/>
        <v>0</v>
      </c>
      <c r="FM123" s="471" t="str">
        <f t="shared" si="15"/>
        <v/>
      </c>
      <c r="FN123" s="730">
        <f t="shared" si="16"/>
        <v>0</v>
      </c>
    </row>
    <row r="124" spans="1:170" s="33" customFormat="1" x14ac:dyDescent="0.2">
      <c r="A124" s="34" t="s">
        <v>174</v>
      </c>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c r="BJ124" s="35"/>
      <c r="BK124" s="35"/>
      <c r="BL124" s="35"/>
      <c r="BM124" s="35"/>
      <c r="BN124" s="35"/>
      <c r="BO124" s="35"/>
      <c r="BP124" s="35"/>
      <c r="BQ124" s="35"/>
      <c r="BR124" s="35"/>
      <c r="BS124" s="35"/>
      <c r="BT124" s="35"/>
      <c r="BU124" s="35"/>
      <c r="BV124" s="35"/>
      <c r="BW124" s="35"/>
      <c r="BX124" s="35"/>
      <c r="BY124" s="35"/>
      <c r="BZ124" s="35"/>
      <c r="CA124" s="35"/>
      <c r="CB124" s="35"/>
      <c r="CC124" s="35"/>
      <c r="CD124" s="35"/>
      <c r="CE124" s="35"/>
      <c r="CF124" s="35"/>
      <c r="CG124" s="35"/>
      <c r="CH124" s="35"/>
      <c r="CI124" s="35"/>
      <c r="CJ124" s="35"/>
      <c r="CK124" s="35"/>
      <c r="CL124" s="35"/>
      <c r="CM124" s="35"/>
      <c r="CN124" s="35"/>
      <c r="CO124" s="35"/>
      <c r="CP124" s="35"/>
      <c r="CQ124" s="35"/>
      <c r="CR124" s="35"/>
      <c r="CS124" s="35"/>
      <c r="CT124" s="35"/>
      <c r="CU124" s="35"/>
      <c r="CV124" s="35"/>
      <c r="CW124" s="35"/>
      <c r="CX124" s="35"/>
      <c r="CY124" s="35"/>
      <c r="CZ124" s="35"/>
      <c r="DA124" s="35"/>
      <c r="DB124" s="35"/>
      <c r="DC124" s="35"/>
      <c r="DD124" s="35"/>
      <c r="DE124" s="35"/>
      <c r="DF124" s="35"/>
      <c r="DG124" s="35"/>
      <c r="DH124" s="35"/>
      <c r="DI124" s="35"/>
      <c r="DJ124" s="35"/>
      <c r="DK124" s="35"/>
      <c r="DL124" s="35"/>
      <c r="DM124" s="35"/>
      <c r="DN124" s="35"/>
      <c r="DO124" s="35"/>
      <c r="DP124" s="35"/>
      <c r="DQ124" s="35"/>
      <c r="DR124" s="35"/>
      <c r="DS124" s="35"/>
      <c r="DT124" s="35"/>
      <c r="DU124" s="35"/>
      <c r="DV124" s="35"/>
      <c r="DW124" s="35"/>
      <c r="DX124" s="35"/>
      <c r="DY124" s="35"/>
      <c r="DZ124" s="35"/>
      <c r="EA124" s="35"/>
      <c r="EB124" s="35"/>
      <c r="EC124" s="35"/>
      <c r="ED124" s="35"/>
      <c r="EE124" s="35"/>
      <c r="EF124" s="35"/>
      <c r="EG124" s="35"/>
      <c r="EH124" s="35"/>
      <c r="EI124" s="35"/>
      <c r="EJ124" s="35"/>
      <c r="EK124" s="35"/>
      <c r="EL124" s="35"/>
      <c r="EM124" s="35"/>
      <c r="EN124" s="35"/>
      <c r="EO124" s="35"/>
      <c r="EP124" s="35"/>
      <c r="EQ124" s="35"/>
      <c r="ER124" s="35"/>
      <c r="ES124" s="35"/>
      <c r="ET124" s="35"/>
      <c r="EU124" s="35"/>
      <c r="EV124" s="35"/>
      <c r="EW124" s="35"/>
      <c r="EX124" s="35"/>
      <c r="EY124" s="35"/>
      <c r="EZ124" s="35"/>
      <c r="FA124" s="35"/>
      <c r="FB124" s="35"/>
      <c r="FC124" s="458">
        <f t="shared" si="11"/>
        <v>0</v>
      </c>
      <c r="FD124">
        <f t="shared" si="8"/>
        <v>0</v>
      </c>
      <c r="FE124" t="e">
        <f t="shared" si="9"/>
        <v>#N/A</v>
      </c>
      <c r="FI124" s="731" t="e">
        <f t="shared" si="12"/>
        <v>#VALUE!</v>
      </c>
      <c r="FK124" s="471" t="str">
        <f t="shared" si="13"/>
        <v xml:space="preserve"> </v>
      </c>
      <c r="FL124" s="730">
        <f t="shared" si="14"/>
        <v>0</v>
      </c>
      <c r="FM124" s="471" t="str">
        <f t="shared" si="15"/>
        <v/>
      </c>
      <c r="FN124" s="730">
        <f t="shared" si="16"/>
        <v>0</v>
      </c>
    </row>
    <row r="125" spans="1:170" s="33" customFormat="1" x14ac:dyDescent="0.2">
      <c r="A125" s="34" t="s">
        <v>175</v>
      </c>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s="35"/>
      <c r="BI125" s="35"/>
      <c r="BJ125" s="35"/>
      <c r="BK125" s="35"/>
      <c r="BL125" s="35"/>
      <c r="BM125" s="35"/>
      <c r="BN125" s="35"/>
      <c r="BO125" s="35"/>
      <c r="BP125" s="35"/>
      <c r="BQ125" s="35"/>
      <c r="BR125" s="35"/>
      <c r="BS125" s="35"/>
      <c r="BT125" s="35"/>
      <c r="BU125" s="35"/>
      <c r="BV125" s="35"/>
      <c r="BW125" s="35"/>
      <c r="BX125" s="35"/>
      <c r="BY125" s="35"/>
      <c r="BZ125" s="35"/>
      <c r="CA125" s="35"/>
      <c r="CB125" s="35"/>
      <c r="CC125" s="35"/>
      <c r="CD125" s="35"/>
      <c r="CE125" s="35"/>
      <c r="CF125" s="35"/>
      <c r="CG125" s="35"/>
      <c r="CH125" s="35"/>
      <c r="CI125" s="35"/>
      <c r="CJ125" s="35"/>
      <c r="CK125" s="35"/>
      <c r="CL125" s="35"/>
      <c r="CM125" s="35"/>
      <c r="CN125" s="35"/>
      <c r="CO125" s="35"/>
      <c r="CP125" s="35"/>
      <c r="CQ125" s="35"/>
      <c r="CR125" s="35"/>
      <c r="CS125" s="35"/>
      <c r="CT125" s="35"/>
      <c r="CU125" s="35"/>
      <c r="CV125" s="35"/>
      <c r="CW125" s="35"/>
      <c r="CX125" s="35"/>
      <c r="CY125" s="35"/>
      <c r="CZ125" s="35"/>
      <c r="DA125" s="35"/>
      <c r="DB125" s="35"/>
      <c r="DC125" s="35"/>
      <c r="DD125" s="35"/>
      <c r="DE125" s="35"/>
      <c r="DF125" s="35"/>
      <c r="DG125" s="35"/>
      <c r="DH125" s="35"/>
      <c r="DI125" s="35"/>
      <c r="DJ125" s="35"/>
      <c r="DK125" s="35"/>
      <c r="DL125" s="35"/>
      <c r="DM125" s="35"/>
      <c r="DN125" s="35"/>
      <c r="DO125" s="35"/>
      <c r="DP125" s="35"/>
      <c r="DQ125" s="35"/>
      <c r="DR125" s="35"/>
      <c r="DS125" s="35"/>
      <c r="DT125" s="35"/>
      <c r="DU125" s="35"/>
      <c r="DV125" s="35"/>
      <c r="DW125" s="35"/>
      <c r="DX125" s="35"/>
      <c r="DY125" s="35"/>
      <c r="DZ125" s="35"/>
      <c r="EA125" s="35"/>
      <c r="EB125" s="35"/>
      <c r="EC125" s="35"/>
      <c r="ED125" s="35"/>
      <c r="EE125" s="35"/>
      <c r="EF125" s="35"/>
      <c r="EG125" s="35"/>
      <c r="EH125" s="35"/>
      <c r="EI125" s="35"/>
      <c r="EJ125" s="35"/>
      <c r="EK125" s="35"/>
      <c r="EL125" s="35"/>
      <c r="EM125" s="35"/>
      <c r="EN125" s="35"/>
      <c r="EO125" s="35"/>
      <c r="EP125" s="35"/>
      <c r="EQ125" s="35"/>
      <c r="ER125" s="35"/>
      <c r="ES125" s="35"/>
      <c r="ET125" s="35"/>
      <c r="EU125" s="35"/>
      <c r="EV125" s="35"/>
      <c r="EW125" s="35"/>
      <c r="EX125" s="35"/>
      <c r="EY125" s="35"/>
      <c r="EZ125" s="35"/>
      <c r="FA125" s="35"/>
      <c r="FB125" s="35"/>
      <c r="FC125" s="458">
        <f t="shared" si="11"/>
        <v>0</v>
      </c>
      <c r="FD125">
        <f t="shared" si="8"/>
        <v>0</v>
      </c>
      <c r="FE125" t="e">
        <f t="shared" si="9"/>
        <v>#N/A</v>
      </c>
      <c r="FI125" s="731" t="e">
        <f t="shared" si="12"/>
        <v>#VALUE!</v>
      </c>
      <c r="FK125" s="471" t="str">
        <f t="shared" si="13"/>
        <v xml:space="preserve"> </v>
      </c>
      <c r="FL125" s="730">
        <f t="shared" si="14"/>
        <v>0</v>
      </c>
      <c r="FM125" s="471" t="str">
        <f t="shared" si="15"/>
        <v/>
      </c>
      <c r="FN125" s="730">
        <f t="shared" si="16"/>
        <v>0</v>
      </c>
    </row>
    <row r="126" spans="1:170" s="33" customFormat="1" x14ac:dyDescent="0.2">
      <c r="A126" s="34" t="s">
        <v>176</v>
      </c>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c r="BL126" s="35"/>
      <c r="BM126" s="35"/>
      <c r="BN126" s="35"/>
      <c r="BO126" s="35"/>
      <c r="BP126" s="35"/>
      <c r="BQ126" s="35"/>
      <c r="BR126" s="35"/>
      <c r="BS126" s="35"/>
      <c r="BT126" s="35"/>
      <c r="BU126" s="35"/>
      <c r="BV126" s="35"/>
      <c r="BW126" s="35"/>
      <c r="BX126" s="35"/>
      <c r="BY126" s="35"/>
      <c r="BZ126" s="35"/>
      <c r="CA126" s="35"/>
      <c r="CB126" s="35"/>
      <c r="CC126" s="35"/>
      <c r="CD126" s="35"/>
      <c r="CE126" s="35"/>
      <c r="CF126" s="35"/>
      <c r="CG126" s="35"/>
      <c r="CH126" s="35"/>
      <c r="CI126" s="35"/>
      <c r="CJ126" s="35"/>
      <c r="CK126" s="35"/>
      <c r="CL126" s="35"/>
      <c r="CM126" s="35"/>
      <c r="CN126" s="35"/>
      <c r="CO126" s="35"/>
      <c r="CP126" s="35"/>
      <c r="CQ126" s="35"/>
      <c r="CR126" s="35"/>
      <c r="CS126" s="35"/>
      <c r="CT126" s="35"/>
      <c r="CU126" s="35"/>
      <c r="CV126" s="35"/>
      <c r="CW126" s="35"/>
      <c r="CX126" s="35"/>
      <c r="CY126" s="35"/>
      <c r="CZ126" s="35"/>
      <c r="DA126" s="35"/>
      <c r="DB126" s="35"/>
      <c r="DC126" s="35"/>
      <c r="DD126" s="35"/>
      <c r="DE126" s="35"/>
      <c r="DF126" s="35"/>
      <c r="DG126" s="35"/>
      <c r="DH126" s="35"/>
      <c r="DI126" s="35"/>
      <c r="DJ126" s="35"/>
      <c r="DK126" s="35"/>
      <c r="DL126" s="35"/>
      <c r="DM126" s="35"/>
      <c r="DN126" s="35"/>
      <c r="DO126" s="35"/>
      <c r="DP126" s="35"/>
      <c r="DQ126" s="35"/>
      <c r="DR126" s="35"/>
      <c r="DS126" s="35"/>
      <c r="DT126" s="35"/>
      <c r="DU126" s="35"/>
      <c r="DV126" s="35"/>
      <c r="DW126" s="35"/>
      <c r="DX126" s="35"/>
      <c r="DY126" s="35"/>
      <c r="DZ126" s="35"/>
      <c r="EA126" s="35"/>
      <c r="EB126" s="35"/>
      <c r="EC126" s="35"/>
      <c r="ED126" s="35"/>
      <c r="EE126" s="35"/>
      <c r="EF126" s="35"/>
      <c r="EG126" s="35"/>
      <c r="EH126" s="35"/>
      <c r="EI126" s="35"/>
      <c r="EJ126" s="35"/>
      <c r="EK126" s="35"/>
      <c r="EL126" s="35"/>
      <c r="EM126" s="35"/>
      <c r="EN126" s="35"/>
      <c r="EO126" s="35"/>
      <c r="EP126" s="35"/>
      <c r="EQ126" s="35"/>
      <c r="ER126" s="35"/>
      <c r="ES126" s="35"/>
      <c r="ET126" s="35"/>
      <c r="EU126" s="35"/>
      <c r="EV126" s="35"/>
      <c r="EW126" s="35"/>
      <c r="EX126" s="35"/>
      <c r="EY126" s="35"/>
      <c r="EZ126" s="35"/>
      <c r="FA126" s="35"/>
      <c r="FB126" s="35"/>
      <c r="FC126" s="458">
        <f t="shared" si="11"/>
        <v>0</v>
      </c>
      <c r="FD126">
        <f t="shared" si="8"/>
        <v>0</v>
      </c>
      <c r="FE126" t="e">
        <f t="shared" si="9"/>
        <v>#N/A</v>
      </c>
      <c r="FI126" s="731" t="e">
        <f t="shared" si="12"/>
        <v>#VALUE!</v>
      </c>
      <c r="FK126" s="471" t="str">
        <f t="shared" si="13"/>
        <v xml:space="preserve"> </v>
      </c>
      <c r="FL126" s="730">
        <f t="shared" si="14"/>
        <v>0</v>
      </c>
      <c r="FM126" s="471" t="str">
        <f t="shared" si="15"/>
        <v/>
      </c>
      <c r="FN126" s="730">
        <f t="shared" si="16"/>
        <v>0</v>
      </c>
    </row>
    <row r="127" spans="1:170" s="33" customFormat="1" x14ac:dyDescent="0.2">
      <c r="A127" s="34" t="s">
        <v>177</v>
      </c>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s="35"/>
      <c r="BI127" s="35"/>
      <c r="BJ127" s="35"/>
      <c r="BK127" s="35"/>
      <c r="BL127" s="35"/>
      <c r="BM127" s="35"/>
      <c r="BN127" s="35"/>
      <c r="BO127" s="35"/>
      <c r="BP127" s="35"/>
      <c r="BQ127" s="35"/>
      <c r="BR127" s="35"/>
      <c r="BS127" s="35"/>
      <c r="BT127" s="35"/>
      <c r="BU127" s="35"/>
      <c r="BV127" s="35"/>
      <c r="BW127" s="35"/>
      <c r="BX127" s="35"/>
      <c r="BY127" s="35"/>
      <c r="BZ127" s="35"/>
      <c r="CA127" s="35"/>
      <c r="CB127" s="35"/>
      <c r="CC127" s="35"/>
      <c r="CD127" s="35"/>
      <c r="CE127" s="35"/>
      <c r="CF127" s="35"/>
      <c r="CG127" s="35"/>
      <c r="CH127" s="35"/>
      <c r="CI127" s="35"/>
      <c r="CJ127" s="35"/>
      <c r="CK127" s="35"/>
      <c r="CL127" s="35"/>
      <c r="CM127" s="35"/>
      <c r="CN127" s="35"/>
      <c r="CO127" s="35"/>
      <c r="CP127" s="35"/>
      <c r="CQ127" s="35"/>
      <c r="CR127" s="35"/>
      <c r="CS127" s="35"/>
      <c r="CT127" s="35"/>
      <c r="CU127" s="35"/>
      <c r="CV127" s="35"/>
      <c r="CW127" s="35"/>
      <c r="CX127" s="35"/>
      <c r="CY127" s="35"/>
      <c r="CZ127" s="35"/>
      <c r="DA127" s="35"/>
      <c r="DB127" s="35"/>
      <c r="DC127" s="35"/>
      <c r="DD127" s="35"/>
      <c r="DE127" s="35"/>
      <c r="DF127" s="35"/>
      <c r="DG127" s="35"/>
      <c r="DH127" s="35"/>
      <c r="DI127" s="35"/>
      <c r="DJ127" s="35"/>
      <c r="DK127" s="35"/>
      <c r="DL127" s="35"/>
      <c r="DM127" s="35"/>
      <c r="DN127" s="35"/>
      <c r="DO127" s="35"/>
      <c r="DP127" s="35"/>
      <c r="DQ127" s="35"/>
      <c r="DR127" s="35"/>
      <c r="DS127" s="35"/>
      <c r="DT127" s="35"/>
      <c r="DU127" s="35"/>
      <c r="DV127" s="35"/>
      <c r="DW127" s="35"/>
      <c r="DX127" s="35"/>
      <c r="DY127" s="35"/>
      <c r="DZ127" s="35"/>
      <c r="EA127" s="35"/>
      <c r="EB127" s="35"/>
      <c r="EC127" s="35"/>
      <c r="ED127" s="35"/>
      <c r="EE127" s="35"/>
      <c r="EF127" s="35"/>
      <c r="EG127" s="35"/>
      <c r="EH127" s="35"/>
      <c r="EI127" s="35"/>
      <c r="EJ127" s="35"/>
      <c r="EK127" s="35"/>
      <c r="EL127" s="35"/>
      <c r="EM127" s="35"/>
      <c r="EN127" s="35"/>
      <c r="EO127" s="35"/>
      <c r="EP127" s="35"/>
      <c r="EQ127" s="35"/>
      <c r="ER127" s="35"/>
      <c r="ES127" s="35"/>
      <c r="ET127" s="35"/>
      <c r="EU127" s="35"/>
      <c r="EV127" s="35"/>
      <c r="EW127" s="35"/>
      <c r="EX127" s="35"/>
      <c r="EY127" s="35"/>
      <c r="EZ127" s="35"/>
      <c r="FA127" s="35"/>
      <c r="FB127" s="35"/>
      <c r="FC127" s="458">
        <f t="shared" si="11"/>
        <v>0</v>
      </c>
      <c r="FD127">
        <f t="shared" si="8"/>
        <v>0</v>
      </c>
      <c r="FE127" t="e">
        <f t="shared" si="9"/>
        <v>#N/A</v>
      </c>
      <c r="FI127" s="731" t="e">
        <f t="shared" si="12"/>
        <v>#VALUE!</v>
      </c>
      <c r="FK127" s="471" t="str">
        <f t="shared" si="13"/>
        <v xml:space="preserve"> </v>
      </c>
      <c r="FL127" s="730">
        <f t="shared" si="14"/>
        <v>0</v>
      </c>
      <c r="FM127" s="471" t="str">
        <f t="shared" si="15"/>
        <v/>
      </c>
      <c r="FN127" s="730">
        <f t="shared" si="16"/>
        <v>0</v>
      </c>
    </row>
    <row r="128" spans="1:170" s="33" customFormat="1" x14ac:dyDescent="0.2">
      <c r="A128" s="34" t="s">
        <v>178</v>
      </c>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35"/>
      <c r="BS128" s="35"/>
      <c r="BT128" s="35"/>
      <c r="BU128" s="35"/>
      <c r="BV128" s="35"/>
      <c r="BW128" s="35"/>
      <c r="BX128" s="35"/>
      <c r="BY128" s="35"/>
      <c r="BZ128" s="35"/>
      <c r="CA128" s="35"/>
      <c r="CB128" s="35"/>
      <c r="CC128" s="35"/>
      <c r="CD128" s="35"/>
      <c r="CE128" s="35"/>
      <c r="CF128" s="35"/>
      <c r="CG128" s="35"/>
      <c r="CH128" s="35"/>
      <c r="CI128" s="35"/>
      <c r="CJ128" s="35"/>
      <c r="CK128" s="35"/>
      <c r="CL128" s="35"/>
      <c r="CM128" s="35"/>
      <c r="CN128" s="35"/>
      <c r="CO128" s="35"/>
      <c r="CP128" s="35"/>
      <c r="CQ128" s="35"/>
      <c r="CR128" s="35"/>
      <c r="CS128" s="35"/>
      <c r="CT128" s="35"/>
      <c r="CU128" s="35"/>
      <c r="CV128" s="35"/>
      <c r="CW128" s="35"/>
      <c r="CX128" s="35"/>
      <c r="CY128" s="35"/>
      <c r="CZ128" s="35"/>
      <c r="DA128" s="35"/>
      <c r="DB128" s="35"/>
      <c r="DC128" s="35"/>
      <c r="DD128" s="35"/>
      <c r="DE128" s="35"/>
      <c r="DF128" s="35"/>
      <c r="DG128" s="35"/>
      <c r="DH128" s="35"/>
      <c r="DI128" s="35"/>
      <c r="DJ128" s="35"/>
      <c r="DK128" s="35"/>
      <c r="DL128" s="35"/>
      <c r="DM128" s="35"/>
      <c r="DN128" s="35"/>
      <c r="DO128" s="35"/>
      <c r="DP128" s="35"/>
      <c r="DQ128" s="35"/>
      <c r="DR128" s="35"/>
      <c r="DS128" s="35"/>
      <c r="DT128" s="35"/>
      <c r="DU128" s="35"/>
      <c r="DV128" s="35"/>
      <c r="DW128" s="35"/>
      <c r="DX128" s="35"/>
      <c r="DY128" s="35"/>
      <c r="DZ128" s="35"/>
      <c r="EA128" s="35"/>
      <c r="EB128" s="35"/>
      <c r="EC128" s="35"/>
      <c r="ED128" s="35"/>
      <c r="EE128" s="35"/>
      <c r="EF128" s="35"/>
      <c r="EG128" s="35"/>
      <c r="EH128" s="35"/>
      <c r="EI128" s="35"/>
      <c r="EJ128" s="35"/>
      <c r="EK128" s="35"/>
      <c r="EL128" s="35"/>
      <c r="EM128" s="35"/>
      <c r="EN128" s="35"/>
      <c r="EO128" s="35"/>
      <c r="EP128" s="35"/>
      <c r="EQ128" s="35"/>
      <c r="ER128" s="35"/>
      <c r="ES128" s="35"/>
      <c r="ET128" s="35"/>
      <c r="EU128" s="35"/>
      <c r="EV128" s="35"/>
      <c r="EW128" s="35"/>
      <c r="EX128" s="35"/>
      <c r="EY128" s="35"/>
      <c r="EZ128" s="35"/>
      <c r="FA128" s="35"/>
      <c r="FB128" s="35"/>
      <c r="FC128" s="458">
        <f t="shared" si="11"/>
        <v>0</v>
      </c>
      <c r="FD128">
        <f t="shared" si="8"/>
        <v>0</v>
      </c>
      <c r="FE128" t="e">
        <f t="shared" si="9"/>
        <v>#N/A</v>
      </c>
      <c r="FI128" s="731" t="e">
        <f t="shared" si="12"/>
        <v>#VALUE!</v>
      </c>
      <c r="FK128" s="471" t="str">
        <f t="shared" si="13"/>
        <v xml:space="preserve"> </v>
      </c>
      <c r="FL128" s="730">
        <f t="shared" si="14"/>
        <v>0</v>
      </c>
      <c r="FM128" s="471" t="str">
        <f t="shared" si="15"/>
        <v/>
      </c>
      <c r="FN128" s="730">
        <f t="shared" si="16"/>
        <v>0</v>
      </c>
    </row>
    <row r="129" spans="1:170" s="33" customFormat="1" x14ac:dyDescent="0.2">
      <c r="A129" s="34" t="s">
        <v>179</v>
      </c>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c r="BJ129" s="35"/>
      <c r="BK129" s="35"/>
      <c r="BL129" s="35"/>
      <c r="BM129" s="35"/>
      <c r="BN129" s="35"/>
      <c r="BO129" s="35"/>
      <c r="BP129" s="35"/>
      <c r="BQ129" s="35"/>
      <c r="BR129" s="35"/>
      <c r="BS129" s="35"/>
      <c r="BT129" s="35"/>
      <c r="BU129" s="35"/>
      <c r="BV129" s="35"/>
      <c r="BW129" s="35"/>
      <c r="BX129" s="35"/>
      <c r="BY129" s="35"/>
      <c r="BZ129" s="35"/>
      <c r="CA129" s="35"/>
      <c r="CB129" s="35"/>
      <c r="CC129" s="35"/>
      <c r="CD129" s="35"/>
      <c r="CE129" s="35"/>
      <c r="CF129" s="35"/>
      <c r="CG129" s="35"/>
      <c r="CH129" s="35"/>
      <c r="CI129" s="35"/>
      <c r="CJ129" s="35"/>
      <c r="CK129" s="35"/>
      <c r="CL129" s="35"/>
      <c r="CM129" s="35"/>
      <c r="CN129" s="35"/>
      <c r="CO129" s="35"/>
      <c r="CP129" s="35"/>
      <c r="CQ129" s="35"/>
      <c r="CR129" s="35"/>
      <c r="CS129" s="35"/>
      <c r="CT129" s="35"/>
      <c r="CU129" s="35"/>
      <c r="CV129" s="35"/>
      <c r="CW129" s="35"/>
      <c r="CX129" s="35"/>
      <c r="CY129" s="35"/>
      <c r="CZ129" s="35"/>
      <c r="DA129" s="35"/>
      <c r="DB129" s="35"/>
      <c r="DC129" s="35"/>
      <c r="DD129" s="35"/>
      <c r="DE129" s="35"/>
      <c r="DF129" s="35"/>
      <c r="DG129" s="35"/>
      <c r="DH129" s="35"/>
      <c r="DI129" s="35"/>
      <c r="DJ129" s="35"/>
      <c r="DK129" s="35"/>
      <c r="DL129" s="35"/>
      <c r="DM129" s="35"/>
      <c r="DN129" s="35"/>
      <c r="DO129" s="35"/>
      <c r="DP129" s="35"/>
      <c r="DQ129" s="35"/>
      <c r="DR129" s="35"/>
      <c r="DS129" s="35"/>
      <c r="DT129" s="35"/>
      <c r="DU129" s="35"/>
      <c r="DV129" s="35"/>
      <c r="DW129" s="35"/>
      <c r="DX129" s="35"/>
      <c r="DY129" s="35"/>
      <c r="DZ129" s="35"/>
      <c r="EA129" s="35"/>
      <c r="EB129" s="35"/>
      <c r="EC129" s="35"/>
      <c r="ED129" s="35"/>
      <c r="EE129" s="35"/>
      <c r="EF129" s="35"/>
      <c r="EG129" s="35"/>
      <c r="EH129" s="35"/>
      <c r="EI129" s="35"/>
      <c r="EJ129" s="35"/>
      <c r="EK129" s="35"/>
      <c r="EL129" s="35"/>
      <c r="EM129" s="35"/>
      <c r="EN129" s="35"/>
      <c r="EO129" s="35"/>
      <c r="EP129" s="35"/>
      <c r="EQ129" s="35"/>
      <c r="ER129" s="35"/>
      <c r="ES129" s="35"/>
      <c r="ET129" s="35"/>
      <c r="EU129" s="35"/>
      <c r="EV129" s="35"/>
      <c r="EW129" s="35"/>
      <c r="EX129" s="35"/>
      <c r="EY129" s="35"/>
      <c r="EZ129" s="35"/>
      <c r="FA129" s="35"/>
      <c r="FB129" s="35"/>
      <c r="FC129" s="458">
        <f t="shared" si="11"/>
        <v>0</v>
      </c>
      <c r="FD129">
        <f t="shared" si="8"/>
        <v>0</v>
      </c>
      <c r="FE129" t="e">
        <f t="shared" si="9"/>
        <v>#N/A</v>
      </c>
      <c r="FI129" s="731" t="e">
        <f t="shared" si="12"/>
        <v>#VALUE!</v>
      </c>
      <c r="FK129" s="471" t="str">
        <f t="shared" si="13"/>
        <v xml:space="preserve"> </v>
      </c>
      <c r="FL129" s="730">
        <f t="shared" si="14"/>
        <v>0</v>
      </c>
      <c r="FM129" s="471" t="str">
        <f t="shared" si="15"/>
        <v/>
      </c>
      <c r="FN129" s="730">
        <f t="shared" si="16"/>
        <v>0</v>
      </c>
    </row>
    <row r="130" spans="1:170" s="33" customFormat="1" x14ac:dyDescent="0.2">
      <c r="A130" s="34" t="s">
        <v>180</v>
      </c>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c r="CX130" s="35"/>
      <c r="CY130" s="35"/>
      <c r="CZ130" s="35"/>
      <c r="DA130" s="35"/>
      <c r="DB130" s="35"/>
      <c r="DC130" s="35"/>
      <c r="DD130" s="35"/>
      <c r="DE130" s="35"/>
      <c r="DF130" s="35"/>
      <c r="DG130" s="35"/>
      <c r="DH130" s="35"/>
      <c r="DI130" s="35"/>
      <c r="DJ130" s="35"/>
      <c r="DK130" s="35"/>
      <c r="DL130" s="35"/>
      <c r="DM130" s="35"/>
      <c r="DN130" s="35"/>
      <c r="DO130" s="35"/>
      <c r="DP130" s="35"/>
      <c r="DQ130" s="35"/>
      <c r="DR130" s="35"/>
      <c r="DS130" s="35"/>
      <c r="DT130" s="35"/>
      <c r="DU130" s="35"/>
      <c r="DV130" s="35"/>
      <c r="DW130" s="35"/>
      <c r="DX130" s="35"/>
      <c r="DY130" s="35"/>
      <c r="DZ130" s="35"/>
      <c r="EA130" s="35"/>
      <c r="EB130" s="35"/>
      <c r="EC130" s="35"/>
      <c r="ED130" s="35"/>
      <c r="EE130" s="35"/>
      <c r="EF130" s="35"/>
      <c r="EG130" s="35"/>
      <c r="EH130" s="35"/>
      <c r="EI130" s="35"/>
      <c r="EJ130" s="35"/>
      <c r="EK130" s="35"/>
      <c r="EL130" s="35"/>
      <c r="EM130" s="35"/>
      <c r="EN130" s="35"/>
      <c r="EO130" s="35"/>
      <c r="EP130" s="35"/>
      <c r="EQ130" s="35"/>
      <c r="ER130" s="35"/>
      <c r="ES130" s="35"/>
      <c r="ET130" s="35"/>
      <c r="EU130" s="35"/>
      <c r="EV130" s="35"/>
      <c r="EW130" s="35"/>
      <c r="EX130" s="35"/>
      <c r="EY130" s="35"/>
      <c r="EZ130" s="35"/>
      <c r="FA130" s="35"/>
      <c r="FB130" s="35"/>
      <c r="FC130" s="458">
        <f t="shared" si="11"/>
        <v>0</v>
      </c>
      <c r="FD130">
        <f t="shared" si="8"/>
        <v>0</v>
      </c>
      <c r="FE130" t="e">
        <f t="shared" si="9"/>
        <v>#N/A</v>
      </c>
      <c r="FI130" s="731" t="e">
        <f t="shared" si="12"/>
        <v>#VALUE!</v>
      </c>
      <c r="FK130" s="471" t="str">
        <f t="shared" si="13"/>
        <v xml:space="preserve"> </v>
      </c>
      <c r="FL130" s="730">
        <f t="shared" si="14"/>
        <v>0</v>
      </c>
      <c r="FM130" s="471" t="str">
        <f t="shared" si="15"/>
        <v/>
      </c>
      <c r="FN130" s="730">
        <f t="shared" si="16"/>
        <v>0</v>
      </c>
    </row>
    <row r="131" spans="1:170" s="33" customFormat="1" x14ac:dyDescent="0.2">
      <c r="A131" s="34" t="s">
        <v>181</v>
      </c>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35"/>
      <c r="BI131" s="35"/>
      <c r="BJ131" s="35"/>
      <c r="BK131" s="35"/>
      <c r="BL131" s="35"/>
      <c r="BM131" s="35"/>
      <c r="BN131" s="35"/>
      <c r="BO131" s="35"/>
      <c r="BP131" s="35"/>
      <c r="BQ131" s="35"/>
      <c r="BR131" s="35"/>
      <c r="BS131" s="35"/>
      <c r="BT131" s="35"/>
      <c r="BU131" s="35"/>
      <c r="BV131" s="35"/>
      <c r="BW131" s="35"/>
      <c r="BX131" s="35"/>
      <c r="BY131" s="35"/>
      <c r="BZ131" s="35"/>
      <c r="CA131" s="35"/>
      <c r="CB131" s="35"/>
      <c r="CC131" s="35"/>
      <c r="CD131" s="35"/>
      <c r="CE131" s="35"/>
      <c r="CF131" s="35"/>
      <c r="CG131" s="35"/>
      <c r="CH131" s="35"/>
      <c r="CI131" s="35"/>
      <c r="CJ131" s="35"/>
      <c r="CK131" s="35"/>
      <c r="CL131" s="35"/>
      <c r="CM131" s="35"/>
      <c r="CN131" s="35"/>
      <c r="CO131" s="35"/>
      <c r="CP131" s="35"/>
      <c r="CQ131" s="35"/>
      <c r="CR131" s="35"/>
      <c r="CS131" s="35"/>
      <c r="CT131" s="35"/>
      <c r="CU131" s="35"/>
      <c r="CV131" s="35"/>
      <c r="CW131" s="35"/>
      <c r="CX131" s="35"/>
      <c r="CY131" s="35"/>
      <c r="CZ131" s="35"/>
      <c r="DA131" s="35"/>
      <c r="DB131" s="35"/>
      <c r="DC131" s="35"/>
      <c r="DD131" s="35"/>
      <c r="DE131" s="35"/>
      <c r="DF131" s="35"/>
      <c r="DG131" s="35"/>
      <c r="DH131" s="35"/>
      <c r="DI131" s="35"/>
      <c r="DJ131" s="35"/>
      <c r="DK131" s="35"/>
      <c r="DL131" s="35"/>
      <c r="DM131" s="35"/>
      <c r="DN131" s="35"/>
      <c r="DO131" s="35"/>
      <c r="DP131" s="35"/>
      <c r="DQ131" s="35"/>
      <c r="DR131" s="35"/>
      <c r="DS131" s="35"/>
      <c r="DT131" s="35"/>
      <c r="DU131" s="35"/>
      <c r="DV131" s="35"/>
      <c r="DW131" s="35"/>
      <c r="DX131" s="35"/>
      <c r="DY131" s="35"/>
      <c r="DZ131" s="35"/>
      <c r="EA131" s="35"/>
      <c r="EB131" s="35"/>
      <c r="EC131" s="35"/>
      <c r="ED131" s="35"/>
      <c r="EE131" s="35"/>
      <c r="EF131" s="35"/>
      <c r="EG131" s="35"/>
      <c r="EH131" s="35"/>
      <c r="EI131" s="35"/>
      <c r="EJ131" s="35"/>
      <c r="EK131" s="35"/>
      <c r="EL131" s="35"/>
      <c r="EM131" s="35"/>
      <c r="EN131" s="35"/>
      <c r="EO131" s="35"/>
      <c r="EP131" s="35"/>
      <c r="EQ131" s="35"/>
      <c r="ER131" s="35"/>
      <c r="ES131" s="35"/>
      <c r="ET131" s="35"/>
      <c r="EU131" s="35"/>
      <c r="EV131" s="35"/>
      <c r="EW131" s="35"/>
      <c r="EX131" s="35"/>
      <c r="EY131" s="35"/>
      <c r="EZ131" s="35"/>
      <c r="FA131" s="35"/>
      <c r="FB131" s="35"/>
      <c r="FC131" s="458">
        <f t="shared" si="11"/>
        <v>0</v>
      </c>
      <c r="FD131">
        <f t="shared" ref="FD131:FD194" si="17">INT(FC131/10000000)</f>
        <v>0</v>
      </c>
      <c r="FE131" t="e">
        <f t="shared" ref="FE131:FE194" si="18">VLOOKUP(FD131,Table_acad,2)</f>
        <v>#N/A</v>
      </c>
      <c r="FI131" s="731" t="e">
        <f t="shared" si="12"/>
        <v>#VALUE!</v>
      </c>
      <c r="FK131" s="471" t="str">
        <f t="shared" si="13"/>
        <v xml:space="preserve"> </v>
      </c>
      <c r="FL131" s="730">
        <f t="shared" si="14"/>
        <v>0</v>
      </c>
      <c r="FM131" s="471" t="str">
        <f t="shared" si="15"/>
        <v/>
      </c>
      <c r="FN131" s="730">
        <f t="shared" si="16"/>
        <v>0</v>
      </c>
    </row>
    <row r="132" spans="1:170" s="33" customFormat="1" x14ac:dyDescent="0.2">
      <c r="A132" s="34" t="s">
        <v>182</v>
      </c>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c r="BN132" s="35"/>
      <c r="BO132" s="35"/>
      <c r="BP132" s="35"/>
      <c r="BQ132" s="35"/>
      <c r="BR132" s="35"/>
      <c r="BS132" s="35"/>
      <c r="BT132" s="35"/>
      <c r="BU132" s="35"/>
      <c r="BV132" s="35"/>
      <c r="BW132" s="35"/>
      <c r="BX132" s="35"/>
      <c r="BY132" s="35"/>
      <c r="BZ132" s="35"/>
      <c r="CA132" s="35"/>
      <c r="CB132" s="35"/>
      <c r="CC132" s="35"/>
      <c r="CD132" s="35"/>
      <c r="CE132" s="35"/>
      <c r="CF132" s="35"/>
      <c r="CG132" s="35"/>
      <c r="CH132" s="35"/>
      <c r="CI132" s="35"/>
      <c r="CJ132" s="35"/>
      <c r="CK132" s="35"/>
      <c r="CL132" s="35"/>
      <c r="CM132" s="35"/>
      <c r="CN132" s="35"/>
      <c r="CO132" s="35"/>
      <c r="CP132" s="35"/>
      <c r="CQ132" s="35"/>
      <c r="CR132" s="35"/>
      <c r="CS132" s="35"/>
      <c r="CT132" s="35"/>
      <c r="CU132" s="35"/>
      <c r="CV132" s="35"/>
      <c r="CW132" s="35"/>
      <c r="CX132" s="35"/>
      <c r="CY132" s="35"/>
      <c r="CZ132" s="35"/>
      <c r="DA132" s="35"/>
      <c r="DB132" s="35"/>
      <c r="DC132" s="35"/>
      <c r="DD132" s="35"/>
      <c r="DE132" s="35"/>
      <c r="DF132" s="35"/>
      <c r="DG132" s="35"/>
      <c r="DH132" s="35"/>
      <c r="DI132" s="35"/>
      <c r="DJ132" s="35"/>
      <c r="DK132" s="35"/>
      <c r="DL132" s="35"/>
      <c r="DM132" s="35"/>
      <c r="DN132" s="35"/>
      <c r="DO132" s="35"/>
      <c r="DP132" s="35"/>
      <c r="DQ132" s="35"/>
      <c r="DR132" s="35"/>
      <c r="DS132" s="35"/>
      <c r="DT132" s="35"/>
      <c r="DU132" s="35"/>
      <c r="DV132" s="35"/>
      <c r="DW132" s="35"/>
      <c r="DX132" s="35"/>
      <c r="DY132" s="35"/>
      <c r="DZ132" s="35"/>
      <c r="EA132" s="35"/>
      <c r="EB132" s="35"/>
      <c r="EC132" s="35"/>
      <c r="ED132" s="35"/>
      <c r="EE132" s="35"/>
      <c r="EF132" s="35"/>
      <c r="EG132" s="35"/>
      <c r="EH132" s="35"/>
      <c r="EI132" s="35"/>
      <c r="EJ132" s="35"/>
      <c r="EK132" s="35"/>
      <c r="EL132" s="35"/>
      <c r="EM132" s="35"/>
      <c r="EN132" s="35"/>
      <c r="EO132" s="35"/>
      <c r="EP132" s="35"/>
      <c r="EQ132" s="35"/>
      <c r="ER132" s="35"/>
      <c r="ES132" s="35"/>
      <c r="ET132" s="35"/>
      <c r="EU132" s="35"/>
      <c r="EV132" s="35"/>
      <c r="EW132" s="35"/>
      <c r="EX132" s="35"/>
      <c r="EY132" s="35"/>
      <c r="EZ132" s="35"/>
      <c r="FA132" s="35"/>
      <c r="FB132" s="35"/>
      <c r="FC132" s="458">
        <f t="shared" ref="FC132:FC195" si="19">VALUE(B132)</f>
        <v>0</v>
      </c>
      <c r="FD132">
        <f t="shared" si="17"/>
        <v>0</v>
      </c>
      <c r="FE132" t="e">
        <f t="shared" si="18"/>
        <v>#N/A</v>
      </c>
      <c r="FI132" s="731" t="e">
        <f t="shared" ref="FI132:FI195" si="20">DATEVALUE(E132)</f>
        <v>#VALUE!</v>
      </c>
      <c r="FK132" s="471" t="str">
        <f t="shared" ref="FK132:FK195" si="21">LEFT(B132,5)&amp;" "&amp;RIGHT(B132,4)</f>
        <v xml:space="preserve"> </v>
      </c>
      <c r="FL132" s="730">
        <f t="shared" ref="FL132:FL195" si="22">N132</f>
        <v>0</v>
      </c>
      <c r="FM132" s="471" t="str">
        <f t="shared" ref="FM132:FM195" si="23">IF(FN132="jeune coach","oui","")</f>
        <v/>
      </c>
      <c r="FN132" s="730">
        <f t="shared" si="16"/>
        <v>0</v>
      </c>
    </row>
    <row r="133" spans="1:170" s="33" customFormat="1" x14ac:dyDescent="0.2">
      <c r="A133" s="34" t="s">
        <v>183</v>
      </c>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c r="BN133" s="35"/>
      <c r="BO133" s="35"/>
      <c r="BP133" s="35"/>
      <c r="BQ133" s="35"/>
      <c r="BR133" s="35"/>
      <c r="BS133" s="35"/>
      <c r="BT133" s="35"/>
      <c r="BU133" s="35"/>
      <c r="BV133" s="35"/>
      <c r="BW133" s="35"/>
      <c r="BX133" s="35"/>
      <c r="BY133" s="35"/>
      <c r="BZ133" s="35"/>
      <c r="CA133" s="35"/>
      <c r="CB133" s="35"/>
      <c r="CC133" s="35"/>
      <c r="CD133" s="35"/>
      <c r="CE133" s="35"/>
      <c r="CF133" s="35"/>
      <c r="CG133" s="35"/>
      <c r="CH133" s="35"/>
      <c r="CI133" s="35"/>
      <c r="CJ133" s="35"/>
      <c r="CK133" s="35"/>
      <c r="CL133" s="35"/>
      <c r="CM133" s="35"/>
      <c r="CN133" s="35"/>
      <c r="CO133" s="35"/>
      <c r="CP133" s="35"/>
      <c r="CQ133" s="35"/>
      <c r="CR133" s="35"/>
      <c r="CS133" s="35"/>
      <c r="CT133" s="35"/>
      <c r="CU133" s="35"/>
      <c r="CV133" s="35"/>
      <c r="CW133" s="35"/>
      <c r="CX133" s="35"/>
      <c r="CY133" s="35"/>
      <c r="CZ133" s="35"/>
      <c r="DA133" s="35"/>
      <c r="DB133" s="35"/>
      <c r="DC133" s="35"/>
      <c r="DD133" s="35"/>
      <c r="DE133" s="35"/>
      <c r="DF133" s="35"/>
      <c r="DG133" s="35"/>
      <c r="DH133" s="35"/>
      <c r="DI133" s="35"/>
      <c r="DJ133" s="35"/>
      <c r="DK133" s="35"/>
      <c r="DL133" s="35"/>
      <c r="DM133" s="35"/>
      <c r="DN133" s="35"/>
      <c r="DO133" s="35"/>
      <c r="DP133" s="35"/>
      <c r="DQ133" s="35"/>
      <c r="DR133" s="35"/>
      <c r="DS133" s="35"/>
      <c r="DT133" s="35"/>
      <c r="DU133" s="35"/>
      <c r="DV133" s="35"/>
      <c r="DW133" s="35"/>
      <c r="DX133" s="35"/>
      <c r="DY133" s="35"/>
      <c r="DZ133" s="35"/>
      <c r="EA133" s="35"/>
      <c r="EB133" s="35"/>
      <c r="EC133" s="35"/>
      <c r="ED133" s="35"/>
      <c r="EE133" s="35"/>
      <c r="EF133" s="35"/>
      <c r="EG133" s="35"/>
      <c r="EH133" s="35"/>
      <c r="EI133" s="35"/>
      <c r="EJ133" s="35"/>
      <c r="EK133" s="35"/>
      <c r="EL133" s="35"/>
      <c r="EM133" s="35"/>
      <c r="EN133" s="35"/>
      <c r="EO133" s="35"/>
      <c r="EP133" s="35"/>
      <c r="EQ133" s="35"/>
      <c r="ER133" s="35"/>
      <c r="ES133" s="35"/>
      <c r="ET133" s="35"/>
      <c r="EU133" s="35"/>
      <c r="EV133" s="35"/>
      <c r="EW133" s="35"/>
      <c r="EX133" s="35"/>
      <c r="EY133" s="35"/>
      <c r="EZ133" s="35"/>
      <c r="FA133" s="35"/>
      <c r="FB133" s="35"/>
      <c r="FC133" s="458">
        <f t="shared" si="19"/>
        <v>0</v>
      </c>
      <c r="FD133">
        <f t="shared" si="17"/>
        <v>0</v>
      </c>
      <c r="FE133" t="e">
        <f t="shared" si="18"/>
        <v>#N/A</v>
      </c>
      <c r="FI133" s="731" t="e">
        <f t="shared" si="20"/>
        <v>#VALUE!</v>
      </c>
      <c r="FK133" s="471" t="str">
        <f t="shared" si="21"/>
        <v xml:space="preserve"> </v>
      </c>
      <c r="FL133" s="730">
        <f t="shared" si="22"/>
        <v>0</v>
      </c>
      <c r="FM133" s="471" t="str">
        <f t="shared" si="23"/>
        <v/>
      </c>
      <c r="FN133" s="730">
        <f t="shared" si="16"/>
        <v>0</v>
      </c>
    </row>
    <row r="134" spans="1:170" s="33" customFormat="1" x14ac:dyDescent="0.2">
      <c r="A134" s="34" t="s">
        <v>184</v>
      </c>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c r="BN134" s="35"/>
      <c r="BO134" s="35"/>
      <c r="BP134" s="35"/>
      <c r="BQ134" s="35"/>
      <c r="BR134" s="35"/>
      <c r="BS134" s="35"/>
      <c r="BT134" s="35"/>
      <c r="BU134" s="35"/>
      <c r="BV134" s="35"/>
      <c r="BW134" s="35"/>
      <c r="BX134" s="35"/>
      <c r="BY134" s="35"/>
      <c r="BZ134" s="35"/>
      <c r="CA134" s="35"/>
      <c r="CB134" s="35"/>
      <c r="CC134" s="35"/>
      <c r="CD134" s="35"/>
      <c r="CE134" s="35"/>
      <c r="CF134" s="35"/>
      <c r="CG134" s="35"/>
      <c r="CH134" s="35"/>
      <c r="CI134" s="35"/>
      <c r="CJ134" s="35"/>
      <c r="CK134" s="35"/>
      <c r="CL134" s="35"/>
      <c r="CM134" s="35"/>
      <c r="CN134" s="35"/>
      <c r="CO134" s="35"/>
      <c r="CP134" s="35"/>
      <c r="CQ134" s="35"/>
      <c r="CR134" s="35"/>
      <c r="CS134" s="35"/>
      <c r="CT134" s="35"/>
      <c r="CU134" s="35"/>
      <c r="CV134" s="35"/>
      <c r="CW134" s="35"/>
      <c r="CX134" s="35"/>
      <c r="CY134" s="35"/>
      <c r="CZ134" s="35"/>
      <c r="DA134" s="35"/>
      <c r="DB134" s="35"/>
      <c r="DC134" s="35"/>
      <c r="DD134" s="35"/>
      <c r="DE134" s="35"/>
      <c r="DF134" s="35"/>
      <c r="DG134" s="35"/>
      <c r="DH134" s="35"/>
      <c r="DI134" s="35"/>
      <c r="DJ134" s="35"/>
      <c r="DK134" s="35"/>
      <c r="DL134" s="35"/>
      <c r="DM134" s="35"/>
      <c r="DN134" s="35"/>
      <c r="DO134" s="35"/>
      <c r="DP134" s="35"/>
      <c r="DQ134" s="35"/>
      <c r="DR134" s="35"/>
      <c r="DS134" s="35"/>
      <c r="DT134" s="35"/>
      <c r="DU134" s="35"/>
      <c r="DV134" s="35"/>
      <c r="DW134" s="35"/>
      <c r="DX134" s="35"/>
      <c r="DY134" s="35"/>
      <c r="DZ134" s="35"/>
      <c r="EA134" s="35"/>
      <c r="EB134" s="35"/>
      <c r="EC134" s="35"/>
      <c r="ED134" s="35"/>
      <c r="EE134" s="35"/>
      <c r="EF134" s="35"/>
      <c r="EG134" s="35"/>
      <c r="EH134" s="35"/>
      <c r="EI134" s="35"/>
      <c r="EJ134" s="35"/>
      <c r="EK134" s="35"/>
      <c r="EL134" s="35"/>
      <c r="EM134" s="35"/>
      <c r="EN134" s="35"/>
      <c r="EO134" s="35"/>
      <c r="EP134" s="35"/>
      <c r="EQ134" s="35"/>
      <c r="ER134" s="35"/>
      <c r="ES134" s="35"/>
      <c r="ET134" s="35"/>
      <c r="EU134" s="35"/>
      <c r="EV134" s="35"/>
      <c r="EW134" s="35"/>
      <c r="EX134" s="35"/>
      <c r="EY134" s="35"/>
      <c r="EZ134" s="35"/>
      <c r="FA134" s="35"/>
      <c r="FB134" s="35"/>
      <c r="FC134" s="458">
        <f t="shared" si="19"/>
        <v>0</v>
      </c>
      <c r="FD134">
        <f t="shared" si="17"/>
        <v>0</v>
      </c>
      <c r="FE134" t="e">
        <f t="shared" si="18"/>
        <v>#N/A</v>
      </c>
      <c r="FI134" s="731" t="e">
        <f t="shared" si="20"/>
        <v>#VALUE!</v>
      </c>
      <c r="FK134" s="471" t="str">
        <f t="shared" si="21"/>
        <v xml:space="preserve"> </v>
      </c>
      <c r="FL134" s="730">
        <f t="shared" si="22"/>
        <v>0</v>
      </c>
      <c r="FM134" s="471" t="str">
        <f t="shared" si="23"/>
        <v/>
      </c>
      <c r="FN134" s="730">
        <f t="shared" si="16"/>
        <v>0</v>
      </c>
    </row>
    <row r="135" spans="1:170" s="33" customFormat="1" x14ac:dyDescent="0.2">
      <c r="A135" s="34" t="s">
        <v>185</v>
      </c>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5"/>
      <c r="BM135" s="35"/>
      <c r="BN135" s="35"/>
      <c r="BO135" s="35"/>
      <c r="BP135" s="35"/>
      <c r="BQ135" s="35"/>
      <c r="BR135" s="35"/>
      <c r="BS135" s="35"/>
      <c r="BT135" s="35"/>
      <c r="BU135" s="35"/>
      <c r="BV135" s="35"/>
      <c r="BW135" s="35"/>
      <c r="BX135" s="35"/>
      <c r="BY135" s="35"/>
      <c r="BZ135" s="35"/>
      <c r="CA135" s="35"/>
      <c r="CB135" s="35"/>
      <c r="CC135" s="35"/>
      <c r="CD135" s="35"/>
      <c r="CE135" s="35"/>
      <c r="CF135" s="35"/>
      <c r="CG135" s="35"/>
      <c r="CH135" s="35"/>
      <c r="CI135" s="35"/>
      <c r="CJ135" s="35"/>
      <c r="CK135" s="35"/>
      <c r="CL135" s="35"/>
      <c r="CM135" s="35"/>
      <c r="CN135" s="35"/>
      <c r="CO135" s="35"/>
      <c r="CP135" s="35"/>
      <c r="CQ135" s="35"/>
      <c r="CR135" s="35"/>
      <c r="CS135" s="35"/>
      <c r="CT135" s="35"/>
      <c r="CU135" s="35"/>
      <c r="CV135" s="35"/>
      <c r="CW135" s="35"/>
      <c r="CX135" s="35"/>
      <c r="CY135" s="35"/>
      <c r="CZ135" s="35"/>
      <c r="DA135" s="35"/>
      <c r="DB135" s="35"/>
      <c r="DC135" s="35"/>
      <c r="DD135" s="35"/>
      <c r="DE135" s="35"/>
      <c r="DF135" s="35"/>
      <c r="DG135" s="35"/>
      <c r="DH135" s="35"/>
      <c r="DI135" s="35"/>
      <c r="DJ135" s="35"/>
      <c r="DK135" s="35"/>
      <c r="DL135" s="35"/>
      <c r="DM135" s="35"/>
      <c r="DN135" s="35"/>
      <c r="DO135" s="35"/>
      <c r="DP135" s="35"/>
      <c r="DQ135" s="35"/>
      <c r="DR135" s="35"/>
      <c r="DS135" s="35"/>
      <c r="DT135" s="35"/>
      <c r="DU135" s="35"/>
      <c r="DV135" s="35"/>
      <c r="DW135" s="35"/>
      <c r="DX135" s="35"/>
      <c r="DY135" s="35"/>
      <c r="DZ135" s="35"/>
      <c r="EA135" s="35"/>
      <c r="EB135" s="35"/>
      <c r="EC135" s="35"/>
      <c r="ED135" s="35"/>
      <c r="EE135" s="35"/>
      <c r="EF135" s="35"/>
      <c r="EG135" s="35"/>
      <c r="EH135" s="35"/>
      <c r="EI135" s="35"/>
      <c r="EJ135" s="35"/>
      <c r="EK135" s="35"/>
      <c r="EL135" s="35"/>
      <c r="EM135" s="35"/>
      <c r="EN135" s="35"/>
      <c r="EO135" s="35"/>
      <c r="EP135" s="35"/>
      <c r="EQ135" s="35"/>
      <c r="ER135" s="35"/>
      <c r="ES135" s="35"/>
      <c r="ET135" s="35"/>
      <c r="EU135" s="35"/>
      <c r="EV135" s="35"/>
      <c r="EW135" s="35"/>
      <c r="EX135" s="35"/>
      <c r="EY135" s="35"/>
      <c r="EZ135" s="35"/>
      <c r="FA135" s="35"/>
      <c r="FB135" s="35"/>
      <c r="FC135" s="458">
        <f t="shared" si="19"/>
        <v>0</v>
      </c>
      <c r="FD135">
        <f t="shared" si="17"/>
        <v>0</v>
      </c>
      <c r="FE135" t="e">
        <f t="shared" si="18"/>
        <v>#N/A</v>
      </c>
      <c r="FI135" s="731" t="e">
        <f t="shared" si="20"/>
        <v>#VALUE!</v>
      </c>
      <c r="FK135" s="471" t="str">
        <f t="shared" si="21"/>
        <v xml:space="preserve"> </v>
      </c>
      <c r="FL135" s="730">
        <f t="shared" si="22"/>
        <v>0</v>
      </c>
      <c r="FM135" s="471" t="str">
        <f t="shared" si="23"/>
        <v/>
      </c>
      <c r="FN135" s="730">
        <f t="shared" si="16"/>
        <v>0</v>
      </c>
    </row>
    <row r="136" spans="1:170" s="33" customFormat="1" x14ac:dyDescent="0.2">
      <c r="A136" s="34" t="s">
        <v>186</v>
      </c>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c r="BJ136" s="35"/>
      <c r="BK136" s="35"/>
      <c r="BL136" s="35"/>
      <c r="BM136" s="35"/>
      <c r="BN136" s="35"/>
      <c r="BO136" s="35"/>
      <c r="BP136" s="35"/>
      <c r="BQ136" s="35"/>
      <c r="BR136" s="35"/>
      <c r="BS136" s="35"/>
      <c r="BT136" s="35"/>
      <c r="BU136" s="35"/>
      <c r="BV136" s="35"/>
      <c r="BW136" s="35"/>
      <c r="BX136" s="35"/>
      <c r="BY136" s="35"/>
      <c r="BZ136" s="35"/>
      <c r="CA136" s="35"/>
      <c r="CB136" s="35"/>
      <c r="CC136" s="35"/>
      <c r="CD136" s="35"/>
      <c r="CE136" s="35"/>
      <c r="CF136" s="35"/>
      <c r="CG136" s="35"/>
      <c r="CH136" s="35"/>
      <c r="CI136" s="35"/>
      <c r="CJ136" s="35"/>
      <c r="CK136" s="35"/>
      <c r="CL136" s="35"/>
      <c r="CM136" s="35"/>
      <c r="CN136" s="35"/>
      <c r="CO136" s="35"/>
      <c r="CP136" s="35"/>
      <c r="CQ136" s="35"/>
      <c r="CR136" s="35"/>
      <c r="CS136" s="35"/>
      <c r="CT136" s="35"/>
      <c r="CU136" s="35"/>
      <c r="CV136" s="35"/>
      <c r="CW136" s="35"/>
      <c r="CX136" s="35"/>
      <c r="CY136" s="35"/>
      <c r="CZ136" s="35"/>
      <c r="DA136" s="35"/>
      <c r="DB136" s="35"/>
      <c r="DC136" s="35"/>
      <c r="DD136" s="35"/>
      <c r="DE136" s="35"/>
      <c r="DF136" s="35"/>
      <c r="DG136" s="35"/>
      <c r="DH136" s="35"/>
      <c r="DI136" s="35"/>
      <c r="DJ136" s="35"/>
      <c r="DK136" s="35"/>
      <c r="DL136" s="35"/>
      <c r="DM136" s="35"/>
      <c r="DN136" s="35"/>
      <c r="DO136" s="35"/>
      <c r="DP136" s="35"/>
      <c r="DQ136" s="35"/>
      <c r="DR136" s="35"/>
      <c r="DS136" s="35"/>
      <c r="DT136" s="35"/>
      <c r="DU136" s="35"/>
      <c r="DV136" s="35"/>
      <c r="DW136" s="35"/>
      <c r="DX136" s="35"/>
      <c r="DY136" s="35"/>
      <c r="DZ136" s="35"/>
      <c r="EA136" s="35"/>
      <c r="EB136" s="35"/>
      <c r="EC136" s="35"/>
      <c r="ED136" s="35"/>
      <c r="EE136" s="35"/>
      <c r="EF136" s="35"/>
      <c r="EG136" s="35"/>
      <c r="EH136" s="35"/>
      <c r="EI136" s="35"/>
      <c r="EJ136" s="35"/>
      <c r="EK136" s="35"/>
      <c r="EL136" s="35"/>
      <c r="EM136" s="35"/>
      <c r="EN136" s="35"/>
      <c r="EO136" s="35"/>
      <c r="EP136" s="35"/>
      <c r="EQ136" s="35"/>
      <c r="ER136" s="35"/>
      <c r="ES136" s="35"/>
      <c r="ET136" s="35"/>
      <c r="EU136" s="35"/>
      <c r="EV136" s="35"/>
      <c r="EW136" s="35"/>
      <c r="EX136" s="35"/>
      <c r="EY136" s="35"/>
      <c r="EZ136" s="35"/>
      <c r="FA136" s="35"/>
      <c r="FB136" s="35"/>
      <c r="FC136" s="458">
        <f t="shared" si="19"/>
        <v>0</v>
      </c>
      <c r="FD136">
        <f t="shared" si="17"/>
        <v>0</v>
      </c>
      <c r="FE136" t="e">
        <f t="shared" si="18"/>
        <v>#N/A</v>
      </c>
      <c r="FI136" s="731" t="e">
        <f t="shared" si="20"/>
        <v>#VALUE!</v>
      </c>
      <c r="FK136" s="471" t="str">
        <f t="shared" si="21"/>
        <v xml:space="preserve"> </v>
      </c>
      <c r="FL136" s="730">
        <f t="shared" si="22"/>
        <v>0</v>
      </c>
      <c r="FM136" s="471" t="str">
        <f t="shared" si="23"/>
        <v/>
      </c>
      <c r="FN136" s="730">
        <f t="shared" si="16"/>
        <v>0</v>
      </c>
    </row>
    <row r="137" spans="1:170" s="33" customFormat="1" x14ac:dyDescent="0.2">
      <c r="A137" s="34" t="s">
        <v>187</v>
      </c>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s="35"/>
      <c r="BI137" s="35"/>
      <c r="BJ137" s="35"/>
      <c r="BK137" s="35"/>
      <c r="BL137" s="35"/>
      <c r="BM137" s="35"/>
      <c r="BN137" s="35"/>
      <c r="BO137" s="35"/>
      <c r="BP137" s="35"/>
      <c r="BQ137" s="35"/>
      <c r="BR137" s="35"/>
      <c r="BS137" s="35"/>
      <c r="BT137" s="35"/>
      <c r="BU137" s="35"/>
      <c r="BV137" s="35"/>
      <c r="BW137" s="35"/>
      <c r="BX137" s="35"/>
      <c r="BY137" s="35"/>
      <c r="BZ137" s="35"/>
      <c r="CA137" s="35"/>
      <c r="CB137" s="35"/>
      <c r="CC137" s="35"/>
      <c r="CD137" s="35"/>
      <c r="CE137" s="35"/>
      <c r="CF137" s="35"/>
      <c r="CG137" s="35"/>
      <c r="CH137" s="35"/>
      <c r="CI137" s="35"/>
      <c r="CJ137" s="35"/>
      <c r="CK137" s="35"/>
      <c r="CL137" s="35"/>
      <c r="CM137" s="35"/>
      <c r="CN137" s="35"/>
      <c r="CO137" s="35"/>
      <c r="CP137" s="35"/>
      <c r="CQ137" s="35"/>
      <c r="CR137" s="35"/>
      <c r="CS137" s="35"/>
      <c r="CT137" s="35"/>
      <c r="CU137" s="35"/>
      <c r="CV137" s="35"/>
      <c r="CW137" s="35"/>
      <c r="CX137" s="35"/>
      <c r="CY137" s="35"/>
      <c r="CZ137" s="35"/>
      <c r="DA137" s="35"/>
      <c r="DB137" s="35"/>
      <c r="DC137" s="35"/>
      <c r="DD137" s="35"/>
      <c r="DE137" s="35"/>
      <c r="DF137" s="35"/>
      <c r="DG137" s="35"/>
      <c r="DH137" s="35"/>
      <c r="DI137" s="35"/>
      <c r="DJ137" s="35"/>
      <c r="DK137" s="35"/>
      <c r="DL137" s="35"/>
      <c r="DM137" s="35"/>
      <c r="DN137" s="35"/>
      <c r="DO137" s="35"/>
      <c r="DP137" s="35"/>
      <c r="DQ137" s="35"/>
      <c r="DR137" s="35"/>
      <c r="DS137" s="35"/>
      <c r="DT137" s="35"/>
      <c r="DU137" s="35"/>
      <c r="DV137" s="35"/>
      <c r="DW137" s="35"/>
      <c r="DX137" s="35"/>
      <c r="DY137" s="35"/>
      <c r="DZ137" s="35"/>
      <c r="EA137" s="35"/>
      <c r="EB137" s="35"/>
      <c r="EC137" s="35"/>
      <c r="ED137" s="35"/>
      <c r="EE137" s="35"/>
      <c r="EF137" s="35"/>
      <c r="EG137" s="35"/>
      <c r="EH137" s="35"/>
      <c r="EI137" s="35"/>
      <c r="EJ137" s="35"/>
      <c r="EK137" s="35"/>
      <c r="EL137" s="35"/>
      <c r="EM137" s="35"/>
      <c r="EN137" s="35"/>
      <c r="EO137" s="35"/>
      <c r="EP137" s="35"/>
      <c r="EQ137" s="35"/>
      <c r="ER137" s="35"/>
      <c r="ES137" s="35"/>
      <c r="ET137" s="35"/>
      <c r="EU137" s="35"/>
      <c r="EV137" s="35"/>
      <c r="EW137" s="35"/>
      <c r="EX137" s="35"/>
      <c r="EY137" s="35"/>
      <c r="EZ137" s="35"/>
      <c r="FA137" s="35"/>
      <c r="FB137" s="35"/>
      <c r="FC137" s="458">
        <f t="shared" si="19"/>
        <v>0</v>
      </c>
      <c r="FD137">
        <f t="shared" si="17"/>
        <v>0</v>
      </c>
      <c r="FE137" t="e">
        <f t="shared" si="18"/>
        <v>#N/A</v>
      </c>
      <c r="FI137" s="731" t="e">
        <f t="shared" si="20"/>
        <v>#VALUE!</v>
      </c>
      <c r="FK137" s="471" t="str">
        <f t="shared" si="21"/>
        <v xml:space="preserve"> </v>
      </c>
      <c r="FL137" s="730">
        <f t="shared" si="22"/>
        <v>0</v>
      </c>
      <c r="FM137" s="471" t="str">
        <f t="shared" si="23"/>
        <v/>
      </c>
      <c r="FN137" s="730">
        <f t="shared" si="16"/>
        <v>0</v>
      </c>
    </row>
    <row r="138" spans="1:170" s="33" customFormat="1" x14ac:dyDescent="0.2">
      <c r="A138" s="34" t="s">
        <v>188</v>
      </c>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c r="BJ138" s="35"/>
      <c r="BK138" s="35"/>
      <c r="BL138" s="35"/>
      <c r="BM138" s="35"/>
      <c r="BN138" s="35"/>
      <c r="BO138" s="35"/>
      <c r="BP138" s="35"/>
      <c r="BQ138" s="35"/>
      <c r="BR138" s="35"/>
      <c r="BS138" s="35"/>
      <c r="BT138" s="35"/>
      <c r="BU138" s="35"/>
      <c r="BV138" s="35"/>
      <c r="BW138" s="35"/>
      <c r="BX138" s="35"/>
      <c r="BY138" s="35"/>
      <c r="BZ138" s="35"/>
      <c r="CA138" s="35"/>
      <c r="CB138" s="35"/>
      <c r="CC138" s="35"/>
      <c r="CD138" s="35"/>
      <c r="CE138" s="35"/>
      <c r="CF138" s="35"/>
      <c r="CG138" s="35"/>
      <c r="CH138" s="35"/>
      <c r="CI138" s="35"/>
      <c r="CJ138" s="35"/>
      <c r="CK138" s="35"/>
      <c r="CL138" s="35"/>
      <c r="CM138" s="35"/>
      <c r="CN138" s="35"/>
      <c r="CO138" s="35"/>
      <c r="CP138" s="35"/>
      <c r="CQ138" s="35"/>
      <c r="CR138" s="35"/>
      <c r="CS138" s="35"/>
      <c r="CT138" s="35"/>
      <c r="CU138" s="35"/>
      <c r="CV138" s="35"/>
      <c r="CW138" s="35"/>
      <c r="CX138" s="35"/>
      <c r="CY138" s="35"/>
      <c r="CZ138" s="35"/>
      <c r="DA138" s="35"/>
      <c r="DB138" s="35"/>
      <c r="DC138" s="35"/>
      <c r="DD138" s="35"/>
      <c r="DE138" s="35"/>
      <c r="DF138" s="35"/>
      <c r="DG138" s="35"/>
      <c r="DH138" s="35"/>
      <c r="DI138" s="35"/>
      <c r="DJ138" s="35"/>
      <c r="DK138" s="35"/>
      <c r="DL138" s="35"/>
      <c r="DM138" s="35"/>
      <c r="DN138" s="35"/>
      <c r="DO138" s="35"/>
      <c r="DP138" s="35"/>
      <c r="DQ138" s="35"/>
      <c r="DR138" s="35"/>
      <c r="DS138" s="35"/>
      <c r="DT138" s="35"/>
      <c r="DU138" s="35"/>
      <c r="DV138" s="35"/>
      <c r="DW138" s="35"/>
      <c r="DX138" s="35"/>
      <c r="DY138" s="35"/>
      <c r="DZ138" s="35"/>
      <c r="EA138" s="35"/>
      <c r="EB138" s="35"/>
      <c r="EC138" s="35"/>
      <c r="ED138" s="35"/>
      <c r="EE138" s="35"/>
      <c r="EF138" s="35"/>
      <c r="EG138" s="35"/>
      <c r="EH138" s="35"/>
      <c r="EI138" s="35"/>
      <c r="EJ138" s="35"/>
      <c r="EK138" s="35"/>
      <c r="EL138" s="35"/>
      <c r="EM138" s="35"/>
      <c r="EN138" s="35"/>
      <c r="EO138" s="35"/>
      <c r="EP138" s="35"/>
      <c r="EQ138" s="35"/>
      <c r="ER138" s="35"/>
      <c r="ES138" s="35"/>
      <c r="ET138" s="35"/>
      <c r="EU138" s="35"/>
      <c r="EV138" s="35"/>
      <c r="EW138" s="35"/>
      <c r="EX138" s="35"/>
      <c r="EY138" s="35"/>
      <c r="EZ138" s="35"/>
      <c r="FA138" s="35"/>
      <c r="FB138" s="35"/>
      <c r="FC138" s="458">
        <f t="shared" si="19"/>
        <v>0</v>
      </c>
      <c r="FD138">
        <f t="shared" si="17"/>
        <v>0</v>
      </c>
      <c r="FE138" t="e">
        <f t="shared" si="18"/>
        <v>#N/A</v>
      </c>
      <c r="FI138" s="731" t="e">
        <f t="shared" si="20"/>
        <v>#VALUE!</v>
      </c>
      <c r="FK138" s="471" t="str">
        <f t="shared" si="21"/>
        <v xml:space="preserve"> </v>
      </c>
      <c r="FL138" s="730">
        <f t="shared" si="22"/>
        <v>0</v>
      </c>
      <c r="FM138" s="471" t="str">
        <f t="shared" si="23"/>
        <v/>
      </c>
      <c r="FN138" s="730">
        <f t="shared" si="16"/>
        <v>0</v>
      </c>
    </row>
    <row r="139" spans="1:170" s="33" customFormat="1" x14ac:dyDescent="0.2">
      <c r="A139" s="34" t="s">
        <v>189</v>
      </c>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c r="BI139" s="35"/>
      <c r="BJ139" s="35"/>
      <c r="BK139" s="35"/>
      <c r="BL139" s="35"/>
      <c r="BM139" s="35"/>
      <c r="BN139" s="35"/>
      <c r="BO139" s="35"/>
      <c r="BP139" s="35"/>
      <c r="BQ139" s="35"/>
      <c r="BR139" s="35"/>
      <c r="BS139" s="35"/>
      <c r="BT139" s="35"/>
      <c r="BU139" s="35"/>
      <c r="BV139" s="35"/>
      <c r="BW139" s="35"/>
      <c r="BX139" s="35"/>
      <c r="BY139" s="35"/>
      <c r="BZ139" s="35"/>
      <c r="CA139" s="35"/>
      <c r="CB139" s="35"/>
      <c r="CC139" s="35"/>
      <c r="CD139" s="35"/>
      <c r="CE139" s="35"/>
      <c r="CF139" s="35"/>
      <c r="CG139" s="35"/>
      <c r="CH139" s="35"/>
      <c r="CI139" s="35"/>
      <c r="CJ139" s="35"/>
      <c r="CK139" s="35"/>
      <c r="CL139" s="35"/>
      <c r="CM139" s="35"/>
      <c r="CN139" s="35"/>
      <c r="CO139" s="35"/>
      <c r="CP139" s="35"/>
      <c r="CQ139" s="35"/>
      <c r="CR139" s="35"/>
      <c r="CS139" s="35"/>
      <c r="CT139" s="35"/>
      <c r="CU139" s="35"/>
      <c r="CV139" s="35"/>
      <c r="CW139" s="35"/>
      <c r="CX139" s="35"/>
      <c r="CY139" s="35"/>
      <c r="CZ139" s="35"/>
      <c r="DA139" s="35"/>
      <c r="DB139" s="35"/>
      <c r="DC139" s="35"/>
      <c r="DD139" s="35"/>
      <c r="DE139" s="35"/>
      <c r="DF139" s="35"/>
      <c r="DG139" s="35"/>
      <c r="DH139" s="35"/>
      <c r="DI139" s="35"/>
      <c r="DJ139" s="35"/>
      <c r="DK139" s="35"/>
      <c r="DL139" s="35"/>
      <c r="DM139" s="35"/>
      <c r="DN139" s="35"/>
      <c r="DO139" s="35"/>
      <c r="DP139" s="35"/>
      <c r="DQ139" s="35"/>
      <c r="DR139" s="35"/>
      <c r="DS139" s="35"/>
      <c r="DT139" s="35"/>
      <c r="DU139" s="35"/>
      <c r="DV139" s="35"/>
      <c r="DW139" s="35"/>
      <c r="DX139" s="35"/>
      <c r="DY139" s="35"/>
      <c r="DZ139" s="35"/>
      <c r="EA139" s="35"/>
      <c r="EB139" s="35"/>
      <c r="EC139" s="35"/>
      <c r="ED139" s="35"/>
      <c r="EE139" s="35"/>
      <c r="EF139" s="35"/>
      <c r="EG139" s="35"/>
      <c r="EH139" s="35"/>
      <c r="EI139" s="35"/>
      <c r="EJ139" s="35"/>
      <c r="EK139" s="35"/>
      <c r="EL139" s="35"/>
      <c r="EM139" s="35"/>
      <c r="EN139" s="35"/>
      <c r="EO139" s="35"/>
      <c r="EP139" s="35"/>
      <c r="EQ139" s="35"/>
      <c r="ER139" s="35"/>
      <c r="ES139" s="35"/>
      <c r="ET139" s="35"/>
      <c r="EU139" s="35"/>
      <c r="EV139" s="35"/>
      <c r="EW139" s="35"/>
      <c r="EX139" s="35"/>
      <c r="EY139" s="35"/>
      <c r="EZ139" s="35"/>
      <c r="FA139" s="35"/>
      <c r="FB139" s="35"/>
      <c r="FC139" s="458">
        <f t="shared" si="19"/>
        <v>0</v>
      </c>
      <c r="FD139">
        <f t="shared" si="17"/>
        <v>0</v>
      </c>
      <c r="FE139" t="e">
        <f t="shared" si="18"/>
        <v>#N/A</v>
      </c>
      <c r="FI139" s="731" t="e">
        <f t="shared" si="20"/>
        <v>#VALUE!</v>
      </c>
      <c r="FK139" s="471" t="str">
        <f t="shared" si="21"/>
        <v xml:space="preserve"> </v>
      </c>
      <c r="FL139" s="730">
        <f t="shared" si="22"/>
        <v>0</v>
      </c>
      <c r="FM139" s="471" t="str">
        <f t="shared" si="23"/>
        <v/>
      </c>
      <c r="FN139" s="730">
        <f t="shared" si="16"/>
        <v>0</v>
      </c>
    </row>
    <row r="140" spans="1:170" s="33" customFormat="1" x14ac:dyDescent="0.2">
      <c r="A140" s="34" t="s">
        <v>190</v>
      </c>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s="35"/>
      <c r="BI140" s="35"/>
      <c r="BJ140" s="35"/>
      <c r="BK140" s="35"/>
      <c r="BL140" s="35"/>
      <c r="BM140" s="35"/>
      <c r="BN140" s="35"/>
      <c r="BO140" s="35"/>
      <c r="BP140" s="35"/>
      <c r="BQ140" s="35"/>
      <c r="BR140" s="35"/>
      <c r="BS140" s="35"/>
      <c r="BT140" s="35"/>
      <c r="BU140" s="35"/>
      <c r="BV140" s="35"/>
      <c r="BW140" s="35"/>
      <c r="BX140" s="35"/>
      <c r="BY140" s="35"/>
      <c r="BZ140" s="35"/>
      <c r="CA140" s="35"/>
      <c r="CB140" s="35"/>
      <c r="CC140" s="35"/>
      <c r="CD140" s="35"/>
      <c r="CE140" s="35"/>
      <c r="CF140" s="35"/>
      <c r="CG140" s="35"/>
      <c r="CH140" s="35"/>
      <c r="CI140" s="35"/>
      <c r="CJ140" s="35"/>
      <c r="CK140" s="35"/>
      <c r="CL140" s="35"/>
      <c r="CM140" s="35"/>
      <c r="CN140" s="35"/>
      <c r="CO140" s="35"/>
      <c r="CP140" s="35"/>
      <c r="CQ140" s="35"/>
      <c r="CR140" s="35"/>
      <c r="CS140" s="35"/>
      <c r="CT140" s="35"/>
      <c r="CU140" s="35"/>
      <c r="CV140" s="35"/>
      <c r="CW140" s="35"/>
      <c r="CX140" s="35"/>
      <c r="CY140" s="35"/>
      <c r="CZ140" s="35"/>
      <c r="DA140" s="35"/>
      <c r="DB140" s="35"/>
      <c r="DC140" s="35"/>
      <c r="DD140" s="35"/>
      <c r="DE140" s="35"/>
      <c r="DF140" s="35"/>
      <c r="DG140" s="35"/>
      <c r="DH140" s="35"/>
      <c r="DI140" s="35"/>
      <c r="DJ140" s="35"/>
      <c r="DK140" s="35"/>
      <c r="DL140" s="35"/>
      <c r="DM140" s="35"/>
      <c r="DN140" s="35"/>
      <c r="DO140" s="35"/>
      <c r="DP140" s="35"/>
      <c r="DQ140" s="35"/>
      <c r="DR140" s="35"/>
      <c r="DS140" s="35"/>
      <c r="DT140" s="35"/>
      <c r="DU140" s="35"/>
      <c r="DV140" s="35"/>
      <c r="DW140" s="35"/>
      <c r="DX140" s="35"/>
      <c r="DY140" s="35"/>
      <c r="DZ140" s="35"/>
      <c r="EA140" s="35"/>
      <c r="EB140" s="35"/>
      <c r="EC140" s="35"/>
      <c r="ED140" s="35"/>
      <c r="EE140" s="35"/>
      <c r="EF140" s="35"/>
      <c r="EG140" s="35"/>
      <c r="EH140" s="35"/>
      <c r="EI140" s="35"/>
      <c r="EJ140" s="35"/>
      <c r="EK140" s="35"/>
      <c r="EL140" s="35"/>
      <c r="EM140" s="35"/>
      <c r="EN140" s="35"/>
      <c r="EO140" s="35"/>
      <c r="EP140" s="35"/>
      <c r="EQ140" s="35"/>
      <c r="ER140" s="35"/>
      <c r="ES140" s="35"/>
      <c r="ET140" s="35"/>
      <c r="EU140" s="35"/>
      <c r="EV140" s="35"/>
      <c r="EW140" s="35"/>
      <c r="EX140" s="35"/>
      <c r="EY140" s="35"/>
      <c r="EZ140" s="35"/>
      <c r="FA140" s="35"/>
      <c r="FB140" s="35"/>
      <c r="FC140" s="458">
        <f t="shared" si="19"/>
        <v>0</v>
      </c>
      <c r="FD140">
        <f t="shared" si="17"/>
        <v>0</v>
      </c>
      <c r="FE140" t="e">
        <f t="shared" si="18"/>
        <v>#N/A</v>
      </c>
      <c r="FI140" s="731" t="e">
        <f t="shared" si="20"/>
        <v>#VALUE!</v>
      </c>
      <c r="FK140" s="471" t="str">
        <f t="shared" si="21"/>
        <v xml:space="preserve"> </v>
      </c>
      <c r="FL140" s="730">
        <f t="shared" si="22"/>
        <v>0</v>
      </c>
      <c r="FM140" s="471" t="str">
        <f t="shared" si="23"/>
        <v/>
      </c>
      <c r="FN140" s="730">
        <f t="shared" si="16"/>
        <v>0</v>
      </c>
    </row>
    <row r="141" spans="1:170" s="33" customFormat="1" x14ac:dyDescent="0.2">
      <c r="A141" s="34" t="s">
        <v>191</v>
      </c>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c r="BM141" s="35"/>
      <c r="BN141" s="35"/>
      <c r="BO141" s="35"/>
      <c r="BP141" s="35"/>
      <c r="BQ141" s="35"/>
      <c r="BR141" s="35"/>
      <c r="BS141" s="35"/>
      <c r="BT141" s="35"/>
      <c r="BU141" s="35"/>
      <c r="BV141" s="35"/>
      <c r="BW141" s="35"/>
      <c r="BX141" s="35"/>
      <c r="BY141" s="35"/>
      <c r="BZ141" s="35"/>
      <c r="CA141" s="35"/>
      <c r="CB141" s="35"/>
      <c r="CC141" s="35"/>
      <c r="CD141" s="35"/>
      <c r="CE141" s="35"/>
      <c r="CF141" s="35"/>
      <c r="CG141" s="35"/>
      <c r="CH141" s="35"/>
      <c r="CI141" s="35"/>
      <c r="CJ141" s="35"/>
      <c r="CK141" s="35"/>
      <c r="CL141" s="35"/>
      <c r="CM141" s="35"/>
      <c r="CN141" s="35"/>
      <c r="CO141" s="35"/>
      <c r="CP141" s="35"/>
      <c r="CQ141" s="35"/>
      <c r="CR141" s="35"/>
      <c r="CS141" s="35"/>
      <c r="CT141" s="35"/>
      <c r="CU141" s="35"/>
      <c r="CV141" s="35"/>
      <c r="CW141" s="35"/>
      <c r="CX141" s="35"/>
      <c r="CY141" s="35"/>
      <c r="CZ141" s="35"/>
      <c r="DA141" s="35"/>
      <c r="DB141" s="35"/>
      <c r="DC141" s="35"/>
      <c r="DD141" s="35"/>
      <c r="DE141" s="35"/>
      <c r="DF141" s="35"/>
      <c r="DG141" s="35"/>
      <c r="DH141" s="35"/>
      <c r="DI141" s="35"/>
      <c r="DJ141" s="35"/>
      <c r="DK141" s="35"/>
      <c r="DL141" s="35"/>
      <c r="DM141" s="35"/>
      <c r="DN141" s="35"/>
      <c r="DO141" s="35"/>
      <c r="DP141" s="35"/>
      <c r="DQ141" s="35"/>
      <c r="DR141" s="35"/>
      <c r="DS141" s="35"/>
      <c r="DT141" s="35"/>
      <c r="DU141" s="35"/>
      <c r="DV141" s="35"/>
      <c r="DW141" s="35"/>
      <c r="DX141" s="35"/>
      <c r="DY141" s="35"/>
      <c r="DZ141" s="35"/>
      <c r="EA141" s="35"/>
      <c r="EB141" s="35"/>
      <c r="EC141" s="35"/>
      <c r="ED141" s="35"/>
      <c r="EE141" s="35"/>
      <c r="EF141" s="35"/>
      <c r="EG141" s="35"/>
      <c r="EH141" s="35"/>
      <c r="EI141" s="35"/>
      <c r="EJ141" s="35"/>
      <c r="EK141" s="35"/>
      <c r="EL141" s="35"/>
      <c r="EM141" s="35"/>
      <c r="EN141" s="35"/>
      <c r="EO141" s="35"/>
      <c r="EP141" s="35"/>
      <c r="EQ141" s="35"/>
      <c r="ER141" s="35"/>
      <c r="ES141" s="35"/>
      <c r="ET141" s="35"/>
      <c r="EU141" s="35"/>
      <c r="EV141" s="35"/>
      <c r="EW141" s="35"/>
      <c r="EX141" s="35"/>
      <c r="EY141" s="35"/>
      <c r="EZ141" s="35"/>
      <c r="FA141" s="35"/>
      <c r="FB141" s="35"/>
      <c r="FC141" s="458">
        <f t="shared" si="19"/>
        <v>0</v>
      </c>
      <c r="FD141">
        <f t="shared" si="17"/>
        <v>0</v>
      </c>
      <c r="FE141" t="e">
        <f t="shared" si="18"/>
        <v>#N/A</v>
      </c>
      <c r="FI141" s="731" t="e">
        <f t="shared" si="20"/>
        <v>#VALUE!</v>
      </c>
      <c r="FK141" s="471" t="str">
        <f t="shared" si="21"/>
        <v xml:space="preserve"> </v>
      </c>
      <c r="FL141" s="730">
        <f t="shared" si="22"/>
        <v>0</v>
      </c>
      <c r="FM141" s="471" t="str">
        <f t="shared" si="23"/>
        <v/>
      </c>
      <c r="FN141" s="730">
        <f t="shared" si="16"/>
        <v>0</v>
      </c>
    </row>
    <row r="142" spans="1:170" s="33" customFormat="1" x14ac:dyDescent="0.2">
      <c r="A142" s="34" t="s">
        <v>192</v>
      </c>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s="35"/>
      <c r="BI142" s="35"/>
      <c r="BJ142" s="35"/>
      <c r="BK142" s="35"/>
      <c r="BL142" s="35"/>
      <c r="BM142" s="35"/>
      <c r="BN142" s="35"/>
      <c r="BO142" s="35"/>
      <c r="BP142" s="35"/>
      <c r="BQ142" s="35"/>
      <c r="BR142" s="35"/>
      <c r="BS142" s="35"/>
      <c r="BT142" s="35"/>
      <c r="BU142" s="35"/>
      <c r="BV142" s="35"/>
      <c r="BW142" s="35"/>
      <c r="BX142" s="35"/>
      <c r="BY142" s="35"/>
      <c r="BZ142" s="35"/>
      <c r="CA142" s="35"/>
      <c r="CB142" s="35"/>
      <c r="CC142" s="35"/>
      <c r="CD142" s="35"/>
      <c r="CE142" s="35"/>
      <c r="CF142" s="35"/>
      <c r="CG142" s="35"/>
      <c r="CH142" s="35"/>
      <c r="CI142" s="35"/>
      <c r="CJ142" s="35"/>
      <c r="CK142" s="35"/>
      <c r="CL142" s="35"/>
      <c r="CM142" s="35"/>
      <c r="CN142" s="35"/>
      <c r="CO142" s="35"/>
      <c r="CP142" s="35"/>
      <c r="CQ142" s="35"/>
      <c r="CR142" s="35"/>
      <c r="CS142" s="35"/>
      <c r="CT142" s="35"/>
      <c r="CU142" s="35"/>
      <c r="CV142" s="35"/>
      <c r="CW142" s="35"/>
      <c r="CX142" s="35"/>
      <c r="CY142" s="35"/>
      <c r="CZ142" s="35"/>
      <c r="DA142" s="35"/>
      <c r="DB142" s="35"/>
      <c r="DC142" s="35"/>
      <c r="DD142" s="35"/>
      <c r="DE142" s="35"/>
      <c r="DF142" s="35"/>
      <c r="DG142" s="35"/>
      <c r="DH142" s="35"/>
      <c r="DI142" s="35"/>
      <c r="DJ142" s="35"/>
      <c r="DK142" s="35"/>
      <c r="DL142" s="35"/>
      <c r="DM142" s="35"/>
      <c r="DN142" s="35"/>
      <c r="DO142" s="35"/>
      <c r="DP142" s="35"/>
      <c r="DQ142" s="35"/>
      <c r="DR142" s="35"/>
      <c r="DS142" s="35"/>
      <c r="DT142" s="35"/>
      <c r="DU142" s="35"/>
      <c r="DV142" s="35"/>
      <c r="DW142" s="35"/>
      <c r="DX142" s="35"/>
      <c r="DY142" s="35"/>
      <c r="DZ142" s="35"/>
      <c r="EA142" s="35"/>
      <c r="EB142" s="35"/>
      <c r="EC142" s="35"/>
      <c r="ED142" s="35"/>
      <c r="EE142" s="35"/>
      <c r="EF142" s="35"/>
      <c r="EG142" s="35"/>
      <c r="EH142" s="35"/>
      <c r="EI142" s="35"/>
      <c r="EJ142" s="35"/>
      <c r="EK142" s="35"/>
      <c r="EL142" s="35"/>
      <c r="EM142" s="35"/>
      <c r="EN142" s="35"/>
      <c r="EO142" s="35"/>
      <c r="EP142" s="35"/>
      <c r="EQ142" s="35"/>
      <c r="ER142" s="35"/>
      <c r="ES142" s="35"/>
      <c r="ET142" s="35"/>
      <c r="EU142" s="35"/>
      <c r="EV142" s="35"/>
      <c r="EW142" s="35"/>
      <c r="EX142" s="35"/>
      <c r="EY142" s="35"/>
      <c r="EZ142" s="35"/>
      <c r="FA142" s="35"/>
      <c r="FB142" s="35"/>
      <c r="FC142" s="458">
        <f t="shared" si="19"/>
        <v>0</v>
      </c>
      <c r="FD142">
        <f t="shared" si="17"/>
        <v>0</v>
      </c>
      <c r="FE142" t="e">
        <f t="shared" si="18"/>
        <v>#N/A</v>
      </c>
      <c r="FI142" s="731" t="e">
        <f t="shared" si="20"/>
        <v>#VALUE!</v>
      </c>
      <c r="FK142" s="471" t="str">
        <f t="shared" si="21"/>
        <v xml:space="preserve"> </v>
      </c>
      <c r="FL142" s="730">
        <f t="shared" si="22"/>
        <v>0</v>
      </c>
      <c r="FM142" s="471" t="str">
        <f t="shared" si="23"/>
        <v/>
      </c>
      <c r="FN142" s="730">
        <f t="shared" si="16"/>
        <v>0</v>
      </c>
    </row>
    <row r="143" spans="1:170" s="33" customFormat="1" x14ac:dyDescent="0.2">
      <c r="A143" s="34" t="s">
        <v>193</v>
      </c>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c r="BI143" s="35"/>
      <c r="BJ143" s="35"/>
      <c r="BK143" s="35"/>
      <c r="BL143" s="35"/>
      <c r="BM143" s="35"/>
      <c r="BN143" s="35"/>
      <c r="BO143" s="35"/>
      <c r="BP143" s="35"/>
      <c r="BQ143" s="35"/>
      <c r="BR143" s="35"/>
      <c r="BS143" s="35"/>
      <c r="BT143" s="35"/>
      <c r="BU143" s="35"/>
      <c r="BV143" s="35"/>
      <c r="BW143" s="35"/>
      <c r="BX143" s="35"/>
      <c r="BY143" s="35"/>
      <c r="BZ143" s="35"/>
      <c r="CA143" s="35"/>
      <c r="CB143" s="35"/>
      <c r="CC143" s="35"/>
      <c r="CD143" s="35"/>
      <c r="CE143" s="35"/>
      <c r="CF143" s="35"/>
      <c r="CG143" s="35"/>
      <c r="CH143" s="35"/>
      <c r="CI143" s="35"/>
      <c r="CJ143" s="35"/>
      <c r="CK143" s="35"/>
      <c r="CL143" s="35"/>
      <c r="CM143" s="35"/>
      <c r="CN143" s="35"/>
      <c r="CO143" s="35"/>
      <c r="CP143" s="35"/>
      <c r="CQ143" s="35"/>
      <c r="CR143" s="35"/>
      <c r="CS143" s="35"/>
      <c r="CT143" s="35"/>
      <c r="CU143" s="35"/>
      <c r="CV143" s="35"/>
      <c r="CW143" s="35"/>
      <c r="CX143" s="35"/>
      <c r="CY143" s="35"/>
      <c r="CZ143" s="35"/>
      <c r="DA143" s="35"/>
      <c r="DB143" s="35"/>
      <c r="DC143" s="35"/>
      <c r="DD143" s="35"/>
      <c r="DE143" s="35"/>
      <c r="DF143" s="35"/>
      <c r="DG143" s="35"/>
      <c r="DH143" s="35"/>
      <c r="DI143" s="35"/>
      <c r="DJ143" s="35"/>
      <c r="DK143" s="35"/>
      <c r="DL143" s="35"/>
      <c r="DM143" s="35"/>
      <c r="DN143" s="35"/>
      <c r="DO143" s="35"/>
      <c r="DP143" s="35"/>
      <c r="DQ143" s="35"/>
      <c r="DR143" s="35"/>
      <c r="DS143" s="35"/>
      <c r="DT143" s="35"/>
      <c r="DU143" s="35"/>
      <c r="DV143" s="35"/>
      <c r="DW143" s="35"/>
      <c r="DX143" s="35"/>
      <c r="DY143" s="35"/>
      <c r="DZ143" s="35"/>
      <c r="EA143" s="35"/>
      <c r="EB143" s="35"/>
      <c r="EC143" s="35"/>
      <c r="ED143" s="35"/>
      <c r="EE143" s="35"/>
      <c r="EF143" s="35"/>
      <c r="EG143" s="35"/>
      <c r="EH143" s="35"/>
      <c r="EI143" s="35"/>
      <c r="EJ143" s="35"/>
      <c r="EK143" s="35"/>
      <c r="EL143" s="35"/>
      <c r="EM143" s="35"/>
      <c r="EN143" s="35"/>
      <c r="EO143" s="35"/>
      <c r="EP143" s="35"/>
      <c r="EQ143" s="35"/>
      <c r="ER143" s="35"/>
      <c r="ES143" s="35"/>
      <c r="ET143" s="35"/>
      <c r="EU143" s="35"/>
      <c r="EV143" s="35"/>
      <c r="EW143" s="35"/>
      <c r="EX143" s="35"/>
      <c r="EY143" s="35"/>
      <c r="EZ143" s="35"/>
      <c r="FA143" s="35"/>
      <c r="FB143" s="35"/>
      <c r="FC143" s="458">
        <f t="shared" si="19"/>
        <v>0</v>
      </c>
      <c r="FD143">
        <f t="shared" si="17"/>
        <v>0</v>
      </c>
      <c r="FE143" t="e">
        <f t="shared" si="18"/>
        <v>#N/A</v>
      </c>
      <c r="FI143" s="731" t="e">
        <f t="shared" si="20"/>
        <v>#VALUE!</v>
      </c>
      <c r="FK143" s="471" t="str">
        <f t="shared" si="21"/>
        <v xml:space="preserve"> </v>
      </c>
      <c r="FL143" s="730">
        <f t="shared" si="22"/>
        <v>0</v>
      </c>
      <c r="FM143" s="471" t="str">
        <f t="shared" si="23"/>
        <v/>
      </c>
      <c r="FN143" s="730">
        <f t="shared" si="16"/>
        <v>0</v>
      </c>
    </row>
    <row r="144" spans="1:170" s="33" customFormat="1" x14ac:dyDescent="0.2">
      <c r="A144" s="34" t="s">
        <v>194</v>
      </c>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c r="BN144" s="35"/>
      <c r="BO144" s="35"/>
      <c r="BP144" s="35"/>
      <c r="BQ144" s="35"/>
      <c r="BR144" s="35"/>
      <c r="BS144" s="35"/>
      <c r="BT144" s="35"/>
      <c r="BU144" s="35"/>
      <c r="BV144" s="35"/>
      <c r="BW144" s="35"/>
      <c r="BX144" s="35"/>
      <c r="BY144" s="35"/>
      <c r="BZ144" s="35"/>
      <c r="CA144" s="35"/>
      <c r="CB144" s="35"/>
      <c r="CC144" s="35"/>
      <c r="CD144" s="35"/>
      <c r="CE144" s="35"/>
      <c r="CF144" s="35"/>
      <c r="CG144" s="35"/>
      <c r="CH144" s="35"/>
      <c r="CI144" s="35"/>
      <c r="CJ144" s="35"/>
      <c r="CK144" s="35"/>
      <c r="CL144" s="35"/>
      <c r="CM144" s="35"/>
      <c r="CN144" s="35"/>
      <c r="CO144" s="35"/>
      <c r="CP144" s="35"/>
      <c r="CQ144" s="35"/>
      <c r="CR144" s="35"/>
      <c r="CS144" s="35"/>
      <c r="CT144" s="35"/>
      <c r="CU144" s="35"/>
      <c r="CV144" s="35"/>
      <c r="CW144" s="35"/>
      <c r="CX144" s="35"/>
      <c r="CY144" s="35"/>
      <c r="CZ144" s="35"/>
      <c r="DA144" s="35"/>
      <c r="DB144" s="35"/>
      <c r="DC144" s="35"/>
      <c r="DD144" s="35"/>
      <c r="DE144" s="35"/>
      <c r="DF144" s="35"/>
      <c r="DG144" s="35"/>
      <c r="DH144" s="35"/>
      <c r="DI144" s="35"/>
      <c r="DJ144" s="35"/>
      <c r="DK144" s="35"/>
      <c r="DL144" s="35"/>
      <c r="DM144" s="35"/>
      <c r="DN144" s="35"/>
      <c r="DO144" s="35"/>
      <c r="DP144" s="35"/>
      <c r="DQ144" s="35"/>
      <c r="DR144" s="35"/>
      <c r="DS144" s="35"/>
      <c r="DT144" s="35"/>
      <c r="DU144" s="35"/>
      <c r="DV144" s="35"/>
      <c r="DW144" s="35"/>
      <c r="DX144" s="35"/>
      <c r="DY144" s="35"/>
      <c r="DZ144" s="35"/>
      <c r="EA144" s="35"/>
      <c r="EB144" s="35"/>
      <c r="EC144" s="35"/>
      <c r="ED144" s="35"/>
      <c r="EE144" s="35"/>
      <c r="EF144" s="35"/>
      <c r="EG144" s="35"/>
      <c r="EH144" s="35"/>
      <c r="EI144" s="35"/>
      <c r="EJ144" s="35"/>
      <c r="EK144" s="35"/>
      <c r="EL144" s="35"/>
      <c r="EM144" s="35"/>
      <c r="EN144" s="35"/>
      <c r="EO144" s="35"/>
      <c r="EP144" s="35"/>
      <c r="EQ144" s="35"/>
      <c r="ER144" s="35"/>
      <c r="ES144" s="35"/>
      <c r="ET144" s="35"/>
      <c r="EU144" s="35"/>
      <c r="EV144" s="35"/>
      <c r="EW144" s="35"/>
      <c r="EX144" s="35"/>
      <c r="EY144" s="35"/>
      <c r="EZ144" s="35"/>
      <c r="FA144" s="35"/>
      <c r="FB144" s="35"/>
      <c r="FC144" s="458">
        <f t="shared" si="19"/>
        <v>0</v>
      </c>
      <c r="FD144">
        <f t="shared" si="17"/>
        <v>0</v>
      </c>
      <c r="FE144" t="e">
        <f t="shared" si="18"/>
        <v>#N/A</v>
      </c>
      <c r="FI144" s="731" t="e">
        <f t="shared" si="20"/>
        <v>#VALUE!</v>
      </c>
      <c r="FK144" s="471" t="str">
        <f t="shared" si="21"/>
        <v xml:space="preserve"> </v>
      </c>
      <c r="FL144" s="730">
        <f t="shared" si="22"/>
        <v>0</v>
      </c>
      <c r="FM144" s="471" t="str">
        <f t="shared" si="23"/>
        <v/>
      </c>
      <c r="FN144" s="730">
        <f t="shared" si="16"/>
        <v>0</v>
      </c>
    </row>
    <row r="145" spans="1:170" s="33" customFormat="1" x14ac:dyDescent="0.2">
      <c r="A145" s="34" t="s">
        <v>195</v>
      </c>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35"/>
      <c r="CC145" s="35"/>
      <c r="CD145" s="35"/>
      <c r="CE145" s="35"/>
      <c r="CF145" s="35"/>
      <c r="CG145" s="35"/>
      <c r="CH145" s="35"/>
      <c r="CI145" s="35"/>
      <c r="CJ145" s="35"/>
      <c r="CK145" s="35"/>
      <c r="CL145" s="35"/>
      <c r="CM145" s="35"/>
      <c r="CN145" s="35"/>
      <c r="CO145" s="35"/>
      <c r="CP145" s="35"/>
      <c r="CQ145" s="35"/>
      <c r="CR145" s="35"/>
      <c r="CS145" s="35"/>
      <c r="CT145" s="35"/>
      <c r="CU145" s="35"/>
      <c r="CV145" s="35"/>
      <c r="CW145" s="35"/>
      <c r="CX145" s="35"/>
      <c r="CY145" s="35"/>
      <c r="CZ145" s="35"/>
      <c r="DA145" s="35"/>
      <c r="DB145" s="35"/>
      <c r="DC145" s="35"/>
      <c r="DD145" s="35"/>
      <c r="DE145" s="35"/>
      <c r="DF145" s="35"/>
      <c r="DG145" s="35"/>
      <c r="DH145" s="35"/>
      <c r="DI145" s="35"/>
      <c r="DJ145" s="35"/>
      <c r="DK145" s="35"/>
      <c r="DL145" s="35"/>
      <c r="DM145" s="35"/>
      <c r="DN145" s="35"/>
      <c r="DO145" s="35"/>
      <c r="DP145" s="35"/>
      <c r="DQ145" s="35"/>
      <c r="DR145" s="35"/>
      <c r="DS145" s="35"/>
      <c r="DT145" s="35"/>
      <c r="DU145" s="35"/>
      <c r="DV145" s="35"/>
      <c r="DW145" s="35"/>
      <c r="DX145" s="35"/>
      <c r="DY145" s="35"/>
      <c r="DZ145" s="35"/>
      <c r="EA145" s="35"/>
      <c r="EB145" s="35"/>
      <c r="EC145" s="35"/>
      <c r="ED145" s="35"/>
      <c r="EE145" s="35"/>
      <c r="EF145" s="35"/>
      <c r="EG145" s="35"/>
      <c r="EH145" s="35"/>
      <c r="EI145" s="35"/>
      <c r="EJ145" s="35"/>
      <c r="EK145" s="35"/>
      <c r="EL145" s="35"/>
      <c r="EM145" s="35"/>
      <c r="EN145" s="35"/>
      <c r="EO145" s="35"/>
      <c r="EP145" s="35"/>
      <c r="EQ145" s="35"/>
      <c r="ER145" s="35"/>
      <c r="ES145" s="35"/>
      <c r="ET145" s="35"/>
      <c r="EU145" s="35"/>
      <c r="EV145" s="35"/>
      <c r="EW145" s="35"/>
      <c r="EX145" s="35"/>
      <c r="EY145" s="35"/>
      <c r="EZ145" s="35"/>
      <c r="FA145" s="35"/>
      <c r="FB145" s="35"/>
      <c r="FC145" s="458">
        <f t="shared" si="19"/>
        <v>0</v>
      </c>
      <c r="FD145">
        <f t="shared" si="17"/>
        <v>0</v>
      </c>
      <c r="FE145" t="e">
        <f t="shared" si="18"/>
        <v>#N/A</v>
      </c>
      <c r="FI145" s="731" t="e">
        <f t="shared" si="20"/>
        <v>#VALUE!</v>
      </c>
      <c r="FK145" s="471" t="str">
        <f t="shared" si="21"/>
        <v xml:space="preserve"> </v>
      </c>
      <c r="FL145" s="730">
        <f t="shared" si="22"/>
        <v>0</v>
      </c>
      <c r="FM145" s="471" t="str">
        <f t="shared" si="23"/>
        <v/>
      </c>
      <c r="FN145" s="730">
        <f t="shared" si="16"/>
        <v>0</v>
      </c>
    </row>
    <row r="146" spans="1:170" s="33" customFormat="1" x14ac:dyDescent="0.2">
      <c r="A146" s="34" t="s">
        <v>196</v>
      </c>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35"/>
      <c r="BS146" s="35"/>
      <c r="BT146" s="35"/>
      <c r="BU146" s="35"/>
      <c r="BV146" s="35"/>
      <c r="BW146" s="35"/>
      <c r="BX146" s="35"/>
      <c r="BY146" s="35"/>
      <c r="BZ146" s="35"/>
      <c r="CA146" s="35"/>
      <c r="CB146" s="35"/>
      <c r="CC146" s="35"/>
      <c r="CD146" s="35"/>
      <c r="CE146" s="35"/>
      <c r="CF146" s="35"/>
      <c r="CG146" s="35"/>
      <c r="CH146" s="35"/>
      <c r="CI146" s="35"/>
      <c r="CJ146" s="35"/>
      <c r="CK146" s="35"/>
      <c r="CL146" s="35"/>
      <c r="CM146" s="35"/>
      <c r="CN146" s="35"/>
      <c r="CO146" s="35"/>
      <c r="CP146" s="35"/>
      <c r="CQ146" s="35"/>
      <c r="CR146" s="35"/>
      <c r="CS146" s="35"/>
      <c r="CT146" s="35"/>
      <c r="CU146" s="35"/>
      <c r="CV146" s="35"/>
      <c r="CW146" s="35"/>
      <c r="CX146" s="35"/>
      <c r="CY146" s="35"/>
      <c r="CZ146" s="35"/>
      <c r="DA146" s="35"/>
      <c r="DB146" s="35"/>
      <c r="DC146" s="35"/>
      <c r="DD146" s="35"/>
      <c r="DE146" s="35"/>
      <c r="DF146" s="35"/>
      <c r="DG146" s="35"/>
      <c r="DH146" s="35"/>
      <c r="DI146" s="35"/>
      <c r="DJ146" s="35"/>
      <c r="DK146" s="35"/>
      <c r="DL146" s="35"/>
      <c r="DM146" s="35"/>
      <c r="DN146" s="35"/>
      <c r="DO146" s="35"/>
      <c r="DP146" s="35"/>
      <c r="DQ146" s="35"/>
      <c r="DR146" s="35"/>
      <c r="DS146" s="35"/>
      <c r="DT146" s="35"/>
      <c r="DU146" s="35"/>
      <c r="DV146" s="35"/>
      <c r="DW146" s="35"/>
      <c r="DX146" s="35"/>
      <c r="DY146" s="35"/>
      <c r="DZ146" s="35"/>
      <c r="EA146" s="35"/>
      <c r="EB146" s="35"/>
      <c r="EC146" s="35"/>
      <c r="ED146" s="35"/>
      <c r="EE146" s="35"/>
      <c r="EF146" s="35"/>
      <c r="EG146" s="35"/>
      <c r="EH146" s="35"/>
      <c r="EI146" s="35"/>
      <c r="EJ146" s="35"/>
      <c r="EK146" s="35"/>
      <c r="EL146" s="35"/>
      <c r="EM146" s="35"/>
      <c r="EN146" s="35"/>
      <c r="EO146" s="35"/>
      <c r="EP146" s="35"/>
      <c r="EQ146" s="35"/>
      <c r="ER146" s="35"/>
      <c r="ES146" s="35"/>
      <c r="ET146" s="35"/>
      <c r="EU146" s="35"/>
      <c r="EV146" s="35"/>
      <c r="EW146" s="35"/>
      <c r="EX146" s="35"/>
      <c r="EY146" s="35"/>
      <c r="EZ146" s="35"/>
      <c r="FA146" s="35"/>
      <c r="FB146" s="35"/>
      <c r="FC146" s="458">
        <f t="shared" si="19"/>
        <v>0</v>
      </c>
      <c r="FD146">
        <f t="shared" si="17"/>
        <v>0</v>
      </c>
      <c r="FE146" t="e">
        <f t="shared" si="18"/>
        <v>#N/A</v>
      </c>
      <c r="FI146" s="731" t="e">
        <f t="shared" si="20"/>
        <v>#VALUE!</v>
      </c>
      <c r="FK146" s="471" t="str">
        <f t="shared" si="21"/>
        <v xml:space="preserve"> </v>
      </c>
      <c r="FL146" s="730">
        <f t="shared" si="22"/>
        <v>0</v>
      </c>
      <c r="FM146" s="471" t="str">
        <f t="shared" si="23"/>
        <v/>
      </c>
      <c r="FN146" s="730">
        <f t="shared" si="16"/>
        <v>0</v>
      </c>
    </row>
    <row r="147" spans="1:170" s="33" customFormat="1" x14ac:dyDescent="0.2">
      <c r="A147" s="34" t="s">
        <v>197</v>
      </c>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c r="DG147" s="35"/>
      <c r="DH147" s="35"/>
      <c r="DI147" s="35"/>
      <c r="DJ147" s="35"/>
      <c r="DK147" s="35"/>
      <c r="DL147" s="35"/>
      <c r="DM147" s="35"/>
      <c r="DN147" s="35"/>
      <c r="DO147" s="35"/>
      <c r="DP147" s="35"/>
      <c r="DQ147" s="35"/>
      <c r="DR147" s="35"/>
      <c r="DS147" s="35"/>
      <c r="DT147" s="35"/>
      <c r="DU147" s="35"/>
      <c r="DV147" s="35"/>
      <c r="DW147" s="35"/>
      <c r="DX147" s="35"/>
      <c r="DY147" s="35"/>
      <c r="DZ147" s="35"/>
      <c r="EA147" s="35"/>
      <c r="EB147" s="35"/>
      <c r="EC147" s="35"/>
      <c r="ED147" s="35"/>
      <c r="EE147" s="35"/>
      <c r="EF147" s="35"/>
      <c r="EG147" s="35"/>
      <c r="EH147" s="35"/>
      <c r="EI147" s="35"/>
      <c r="EJ147" s="35"/>
      <c r="EK147" s="35"/>
      <c r="EL147" s="35"/>
      <c r="EM147" s="35"/>
      <c r="EN147" s="35"/>
      <c r="EO147" s="35"/>
      <c r="EP147" s="35"/>
      <c r="EQ147" s="35"/>
      <c r="ER147" s="35"/>
      <c r="ES147" s="35"/>
      <c r="ET147" s="35"/>
      <c r="EU147" s="35"/>
      <c r="EV147" s="35"/>
      <c r="EW147" s="35"/>
      <c r="EX147" s="35"/>
      <c r="EY147" s="35"/>
      <c r="EZ147" s="35"/>
      <c r="FA147" s="35"/>
      <c r="FB147" s="35"/>
      <c r="FC147" s="458">
        <f t="shared" si="19"/>
        <v>0</v>
      </c>
      <c r="FD147">
        <f t="shared" si="17"/>
        <v>0</v>
      </c>
      <c r="FE147" t="e">
        <f t="shared" si="18"/>
        <v>#N/A</v>
      </c>
      <c r="FI147" s="731" t="e">
        <f t="shared" si="20"/>
        <v>#VALUE!</v>
      </c>
      <c r="FK147" s="471" t="str">
        <f t="shared" si="21"/>
        <v xml:space="preserve"> </v>
      </c>
      <c r="FL147" s="730">
        <f t="shared" si="22"/>
        <v>0</v>
      </c>
      <c r="FM147" s="471" t="str">
        <f t="shared" si="23"/>
        <v/>
      </c>
      <c r="FN147" s="730">
        <f t="shared" si="16"/>
        <v>0</v>
      </c>
    </row>
    <row r="148" spans="1:170" s="33" customFormat="1" x14ac:dyDescent="0.2">
      <c r="A148" s="34" t="s">
        <v>198</v>
      </c>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c r="BN148" s="35"/>
      <c r="BO148" s="35"/>
      <c r="BP148" s="35"/>
      <c r="BQ148" s="35"/>
      <c r="BR148" s="35"/>
      <c r="BS148" s="35"/>
      <c r="BT148" s="35"/>
      <c r="BU148" s="35"/>
      <c r="BV148" s="35"/>
      <c r="BW148" s="35"/>
      <c r="BX148" s="35"/>
      <c r="BY148" s="35"/>
      <c r="BZ148" s="35"/>
      <c r="CA148" s="35"/>
      <c r="CB148" s="35"/>
      <c r="CC148" s="35"/>
      <c r="CD148" s="35"/>
      <c r="CE148" s="35"/>
      <c r="CF148" s="35"/>
      <c r="CG148" s="35"/>
      <c r="CH148" s="35"/>
      <c r="CI148" s="35"/>
      <c r="CJ148" s="35"/>
      <c r="CK148" s="35"/>
      <c r="CL148" s="35"/>
      <c r="CM148" s="35"/>
      <c r="CN148" s="35"/>
      <c r="CO148" s="35"/>
      <c r="CP148" s="35"/>
      <c r="CQ148" s="35"/>
      <c r="CR148" s="35"/>
      <c r="CS148" s="35"/>
      <c r="CT148" s="35"/>
      <c r="CU148" s="35"/>
      <c r="CV148" s="35"/>
      <c r="CW148" s="35"/>
      <c r="CX148" s="35"/>
      <c r="CY148" s="35"/>
      <c r="CZ148" s="35"/>
      <c r="DA148" s="35"/>
      <c r="DB148" s="35"/>
      <c r="DC148" s="35"/>
      <c r="DD148" s="35"/>
      <c r="DE148" s="35"/>
      <c r="DF148" s="35"/>
      <c r="DG148" s="35"/>
      <c r="DH148" s="35"/>
      <c r="DI148" s="35"/>
      <c r="DJ148" s="35"/>
      <c r="DK148" s="35"/>
      <c r="DL148" s="35"/>
      <c r="DM148" s="35"/>
      <c r="DN148" s="35"/>
      <c r="DO148" s="35"/>
      <c r="DP148" s="35"/>
      <c r="DQ148" s="35"/>
      <c r="DR148" s="35"/>
      <c r="DS148" s="35"/>
      <c r="DT148" s="35"/>
      <c r="DU148" s="35"/>
      <c r="DV148" s="35"/>
      <c r="DW148" s="35"/>
      <c r="DX148" s="35"/>
      <c r="DY148" s="35"/>
      <c r="DZ148" s="35"/>
      <c r="EA148" s="35"/>
      <c r="EB148" s="35"/>
      <c r="EC148" s="35"/>
      <c r="ED148" s="35"/>
      <c r="EE148" s="35"/>
      <c r="EF148" s="35"/>
      <c r="EG148" s="35"/>
      <c r="EH148" s="35"/>
      <c r="EI148" s="35"/>
      <c r="EJ148" s="35"/>
      <c r="EK148" s="35"/>
      <c r="EL148" s="35"/>
      <c r="EM148" s="35"/>
      <c r="EN148" s="35"/>
      <c r="EO148" s="35"/>
      <c r="EP148" s="35"/>
      <c r="EQ148" s="35"/>
      <c r="ER148" s="35"/>
      <c r="ES148" s="35"/>
      <c r="ET148" s="35"/>
      <c r="EU148" s="35"/>
      <c r="EV148" s="35"/>
      <c r="EW148" s="35"/>
      <c r="EX148" s="35"/>
      <c r="EY148" s="35"/>
      <c r="EZ148" s="35"/>
      <c r="FA148" s="35"/>
      <c r="FB148" s="35"/>
      <c r="FC148" s="458">
        <f t="shared" si="19"/>
        <v>0</v>
      </c>
      <c r="FD148">
        <f t="shared" si="17"/>
        <v>0</v>
      </c>
      <c r="FE148" t="e">
        <f t="shared" si="18"/>
        <v>#N/A</v>
      </c>
      <c r="FI148" s="731" t="e">
        <f t="shared" si="20"/>
        <v>#VALUE!</v>
      </c>
      <c r="FK148" s="471" t="str">
        <f t="shared" si="21"/>
        <v xml:space="preserve"> </v>
      </c>
      <c r="FL148" s="730">
        <f t="shared" si="22"/>
        <v>0</v>
      </c>
      <c r="FM148" s="471" t="str">
        <f t="shared" si="23"/>
        <v/>
      </c>
      <c r="FN148" s="730">
        <f t="shared" si="16"/>
        <v>0</v>
      </c>
    </row>
    <row r="149" spans="1:170" s="33" customFormat="1" x14ac:dyDescent="0.2">
      <c r="A149" s="34" t="s">
        <v>199</v>
      </c>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c r="CG149" s="35"/>
      <c r="CH149" s="35"/>
      <c r="CI149" s="35"/>
      <c r="CJ149" s="35"/>
      <c r="CK149" s="35"/>
      <c r="CL149" s="35"/>
      <c r="CM149" s="35"/>
      <c r="CN149" s="35"/>
      <c r="CO149" s="35"/>
      <c r="CP149" s="35"/>
      <c r="CQ149" s="35"/>
      <c r="CR149" s="35"/>
      <c r="CS149" s="35"/>
      <c r="CT149" s="35"/>
      <c r="CU149" s="35"/>
      <c r="CV149" s="35"/>
      <c r="CW149" s="35"/>
      <c r="CX149" s="35"/>
      <c r="CY149" s="35"/>
      <c r="CZ149" s="35"/>
      <c r="DA149" s="35"/>
      <c r="DB149" s="35"/>
      <c r="DC149" s="35"/>
      <c r="DD149" s="35"/>
      <c r="DE149" s="35"/>
      <c r="DF149" s="35"/>
      <c r="DG149" s="35"/>
      <c r="DH149" s="35"/>
      <c r="DI149" s="35"/>
      <c r="DJ149" s="35"/>
      <c r="DK149" s="35"/>
      <c r="DL149" s="35"/>
      <c r="DM149" s="35"/>
      <c r="DN149" s="35"/>
      <c r="DO149" s="35"/>
      <c r="DP149" s="35"/>
      <c r="DQ149" s="35"/>
      <c r="DR149" s="35"/>
      <c r="DS149" s="35"/>
      <c r="DT149" s="35"/>
      <c r="DU149" s="35"/>
      <c r="DV149" s="35"/>
      <c r="DW149" s="35"/>
      <c r="DX149" s="35"/>
      <c r="DY149" s="35"/>
      <c r="DZ149" s="35"/>
      <c r="EA149" s="35"/>
      <c r="EB149" s="35"/>
      <c r="EC149" s="35"/>
      <c r="ED149" s="35"/>
      <c r="EE149" s="35"/>
      <c r="EF149" s="35"/>
      <c r="EG149" s="35"/>
      <c r="EH149" s="35"/>
      <c r="EI149" s="35"/>
      <c r="EJ149" s="35"/>
      <c r="EK149" s="35"/>
      <c r="EL149" s="35"/>
      <c r="EM149" s="35"/>
      <c r="EN149" s="35"/>
      <c r="EO149" s="35"/>
      <c r="EP149" s="35"/>
      <c r="EQ149" s="35"/>
      <c r="ER149" s="35"/>
      <c r="ES149" s="35"/>
      <c r="ET149" s="35"/>
      <c r="EU149" s="35"/>
      <c r="EV149" s="35"/>
      <c r="EW149" s="35"/>
      <c r="EX149" s="35"/>
      <c r="EY149" s="35"/>
      <c r="EZ149" s="35"/>
      <c r="FA149" s="35"/>
      <c r="FB149" s="35"/>
      <c r="FC149" s="458">
        <f t="shared" si="19"/>
        <v>0</v>
      </c>
      <c r="FD149">
        <f t="shared" si="17"/>
        <v>0</v>
      </c>
      <c r="FE149" t="e">
        <f t="shared" si="18"/>
        <v>#N/A</v>
      </c>
      <c r="FI149" s="731" t="e">
        <f t="shared" si="20"/>
        <v>#VALUE!</v>
      </c>
      <c r="FK149" s="471" t="str">
        <f t="shared" si="21"/>
        <v xml:space="preserve"> </v>
      </c>
      <c r="FL149" s="730">
        <f t="shared" si="22"/>
        <v>0</v>
      </c>
      <c r="FM149" s="471" t="str">
        <f t="shared" si="23"/>
        <v/>
      </c>
      <c r="FN149" s="730">
        <f t="shared" si="16"/>
        <v>0</v>
      </c>
    </row>
    <row r="150" spans="1:170" s="33" customFormat="1" x14ac:dyDescent="0.2">
      <c r="A150" s="34" t="s">
        <v>200</v>
      </c>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5"/>
      <c r="CT150" s="35"/>
      <c r="CU150" s="35"/>
      <c r="CV150" s="35"/>
      <c r="CW150" s="35"/>
      <c r="CX150" s="35"/>
      <c r="CY150" s="35"/>
      <c r="CZ150" s="35"/>
      <c r="DA150" s="35"/>
      <c r="DB150" s="35"/>
      <c r="DC150" s="35"/>
      <c r="DD150" s="35"/>
      <c r="DE150" s="35"/>
      <c r="DF150" s="35"/>
      <c r="DG150" s="35"/>
      <c r="DH150" s="35"/>
      <c r="DI150" s="35"/>
      <c r="DJ150" s="35"/>
      <c r="DK150" s="35"/>
      <c r="DL150" s="35"/>
      <c r="DM150" s="35"/>
      <c r="DN150" s="35"/>
      <c r="DO150" s="35"/>
      <c r="DP150" s="35"/>
      <c r="DQ150" s="35"/>
      <c r="DR150" s="35"/>
      <c r="DS150" s="35"/>
      <c r="DT150" s="35"/>
      <c r="DU150" s="35"/>
      <c r="DV150" s="35"/>
      <c r="DW150" s="35"/>
      <c r="DX150" s="35"/>
      <c r="DY150" s="35"/>
      <c r="DZ150" s="35"/>
      <c r="EA150" s="35"/>
      <c r="EB150" s="35"/>
      <c r="EC150" s="35"/>
      <c r="ED150" s="35"/>
      <c r="EE150" s="35"/>
      <c r="EF150" s="35"/>
      <c r="EG150" s="35"/>
      <c r="EH150" s="35"/>
      <c r="EI150" s="35"/>
      <c r="EJ150" s="35"/>
      <c r="EK150" s="35"/>
      <c r="EL150" s="35"/>
      <c r="EM150" s="35"/>
      <c r="EN150" s="35"/>
      <c r="EO150" s="35"/>
      <c r="EP150" s="35"/>
      <c r="EQ150" s="35"/>
      <c r="ER150" s="35"/>
      <c r="ES150" s="35"/>
      <c r="ET150" s="35"/>
      <c r="EU150" s="35"/>
      <c r="EV150" s="35"/>
      <c r="EW150" s="35"/>
      <c r="EX150" s="35"/>
      <c r="EY150" s="35"/>
      <c r="EZ150" s="35"/>
      <c r="FA150" s="35"/>
      <c r="FB150" s="35"/>
      <c r="FC150" s="458">
        <f t="shared" si="19"/>
        <v>0</v>
      </c>
      <c r="FD150">
        <f t="shared" si="17"/>
        <v>0</v>
      </c>
      <c r="FE150" t="e">
        <f t="shared" si="18"/>
        <v>#N/A</v>
      </c>
      <c r="FI150" s="731" t="e">
        <f t="shared" si="20"/>
        <v>#VALUE!</v>
      </c>
      <c r="FK150" s="471" t="str">
        <f t="shared" si="21"/>
        <v xml:space="preserve"> </v>
      </c>
      <c r="FL150" s="730">
        <f t="shared" si="22"/>
        <v>0</v>
      </c>
      <c r="FM150" s="471" t="str">
        <f t="shared" si="23"/>
        <v/>
      </c>
      <c r="FN150" s="730">
        <f t="shared" si="16"/>
        <v>0</v>
      </c>
    </row>
    <row r="151" spans="1:170" s="33" customFormat="1" x14ac:dyDescent="0.2">
      <c r="A151" s="34" t="s">
        <v>201</v>
      </c>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35"/>
      <c r="CT151" s="35"/>
      <c r="CU151" s="35"/>
      <c r="CV151" s="35"/>
      <c r="CW151" s="35"/>
      <c r="CX151" s="35"/>
      <c r="CY151" s="35"/>
      <c r="CZ151" s="35"/>
      <c r="DA151" s="35"/>
      <c r="DB151" s="35"/>
      <c r="DC151" s="35"/>
      <c r="DD151" s="35"/>
      <c r="DE151" s="35"/>
      <c r="DF151" s="35"/>
      <c r="DG151" s="35"/>
      <c r="DH151" s="35"/>
      <c r="DI151" s="35"/>
      <c r="DJ151" s="35"/>
      <c r="DK151" s="35"/>
      <c r="DL151" s="35"/>
      <c r="DM151" s="35"/>
      <c r="DN151" s="35"/>
      <c r="DO151" s="35"/>
      <c r="DP151" s="35"/>
      <c r="DQ151" s="35"/>
      <c r="DR151" s="35"/>
      <c r="DS151" s="35"/>
      <c r="DT151" s="35"/>
      <c r="DU151" s="35"/>
      <c r="DV151" s="35"/>
      <c r="DW151" s="35"/>
      <c r="DX151" s="35"/>
      <c r="DY151" s="35"/>
      <c r="DZ151" s="35"/>
      <c r="EA151" s="35"/>
      <c r="EB151" s="35"/>
      <c r="EC151" s="35"/>
      <c r="ED151" s="35"/>
      <c r="EE151" s="35"/>
      <c r="EF151" s="35"/>
      <c r="EG151" s="35"/>
      <c r="EH151" s="35"/>
      <c r="EI151" s="35"/>
      <c r="EJ151" s="35"/>
      <c r="EK151" s="35"/>
      <c r="EL151" s="35"/>
      <c r="EM151" s="35"/>
      <c r="EN151" s="35"/>
      <c r="EO151" s="35"/>
      <c r="EP151" s="35"/>
      <c r="EQ151" s="35"/>
      <c r="ER151" s="35"/>
      <c r="ES151" s="35"/>
      <c r="ET151" s="35"/>
      <c r="EU151" s="35"/>
      <c r="EV151" s="35"/>
      <c r="EW151" s="35"/>
      <c r="EX151" s="35"/>
      <c r="EY151" s="35"/>
      <c r="EZ151" s="35"/>
      <c r="FA151" s="35"/>
      <c r="FB151" s="35"/>
      <c r="FC151" s="458">
        <f t="shared" si="19"/>
        <v>0</v>
      </c>
      <c r="FD151">
        <f t="shared" si="17"/>
        <v>0</v>
      </c>
      <c r="FE151" t="e">
        <f t="shared" si="18"/>
        <v>#N/A</v>
      </c>
      <c r="FI151" s="731" t="e">
        <f t="shared" si="20"/>
        <v>#VALUE!</v>
      </c>
      <c r="FK151" s="471" t="str">
        <f t="shared" si="21"/>
        <v xml:space="preserve"> </v>
      </c>
      <c r="FL151" s="730">
        <f t="shared" si="22"/>
        <v>0</v>
      </c>
      <c r="FM151" s="471" t="str">
        <f t="shared" si="23"/>
        <v/>
      </c>
      <c r="FN151" s="730">
        <f t="shared" si="16"/>
        <v>0</v>
      </c>
    </row>
    <row r="152" spans="1:170" s="33" customFormat="1" x14ac:dyDescent="0.2">
      <c r="A152" s="34" t="s">
        <v>202</v>
      </c>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35"/>
      <c r="BS152" s="35"/>
      <c r="BT152" s="35"/>
      <c r="BU152" s="35"/>
      <c r="BV152" s="35"/>
      <c r="BW152" s="35"/>
      <c r="BX152" s="35"/>
      <c r="BY152" s="35"/>
      <c r="BZ152" s="35"/>
      <c r="CA152" s="35"/>
      <c r="CB152" s="35"/>
      <c r="CC152" s="35"/>
      <c r="CD152" s="35"/>
      <c r="CE152" s="35"/>
      <c r="CF152" s="35"/>
      <c r="CG152" s="35"/>
      <c r="CH152" s="35"/>
      <c r="CI152" s="35"/>
      <c r="CJ152" s="35"/>
      <c r="CK152" s="35"/>
      <c r="CL152" s="35"/>
      <c r="CM152" s="35"/>
      <c r="CN152" s="35"/>
      <c r="CO152" s="35"/>
      <c r="CP152" s="35"/>
      <c r="CQ152" s="35"/>
      <c r="CR152" s="35"/>
      <c r="CS152" s="35"/>
      <c r="CT152" s="35"/>
      <c r="CU152" s="35"/>
      <c r="CV152" s="35"/>
      <c r="CW152" s="35"/>
      <c r="CX152" s="35"/>
      <c r="CY152" s="35"/>
      <c r="CZ152" s="35"/>
      <c r="DA152" s="35"/>
      <c r="DB152" s="35"/>
      <c r="DC152" s="35"/>
      <c r="DD152" s="35"/>
      <c r="DE152" s="35"/>
      <c r="DF152" s="35"/>
      <c r="DG152" s="35"/>
      <c r="DH152" s="35"/>
      <c r="DI152" s="35"/>
      <c r="DJ152" s="35"/>
      <c r="DK152" s="35"/>
      <c r="DL152" s="35"/>
      <c r="DM152" s="35"/>
      <c r="DN152" s="35"/>
      <c r="DO152" s="35"/>
      <c r="DP152" s="35"/>
      <c r="DQ152" s="35"/>
      <c r="DR152" s="35"/>
      <c r="DS152" s="35"/>
      <c r="DT152" s="35"/>
      <c r="DU152" s="35"/>
      <c r="DV152" s="35"/>
      <c r="DW152" s="35"/>
      <c r="DX152" s="35"/>
      <c r="DY152" s="35"/>
      <c r="DZ152" s="35"/>
      <c r="EA152" s="35"/>
      <c r="EB152" s="35"/>
      <c r="EC152" s="35"/>
      <c r="ED152" s="35"/>
      <c r="EE152" s="35"/>
      <c r="EF152" s="35"/>
      <c r="EG152" s="35"/>
      <c r="EH152" s="35"/>
      <c r="EI152" s="35"/>
      <c r="EJ152" s="35"/>
      <c r="EK152" s="35"/>
      <c r="EL152" s="35"/>
      <c r="EM152" s="35"/>
      <c r="EN152" s="35"/>
      <c r="EO152" s="35"/>
      <c r="EP152" s="35"/>
      <c r="EQ152" s="35"/>
      <c r="ER152" s="35"/>
      <c r="ES152" s="35"/>
      <c r="ET152" s="35"/>
      <c r="EU152" s="35"/>
      <c r="EV152" s="35"/>
      <c r="EW152" s="35"/>
      <c r="EX152" s="35"/>
      <c r="EY152" s="35"/>
      <c r="EZ152" s="35"/>
      <c r="FA152" s="35"/>
      <c r="FB152" s="35"/>
      <c r="FC152" s="458">
        <f t="shared" si="19"/>
        <v>0</v>
      </c>
      <c r="FD152">
        <f t="shared" si="17"/>
        <v>0</v>
      </c>
      <c r="FE152" t="e">
        <f t="shared" si="18"/>
        <v>#N/A</v>
      </c>
      <c r="FI152" s="731" t="e">
        <f t="shared" si="20"/>
        <v>#VALUE!</v>
      </c>
      <c r="FK152" s="471" t="str">
        <f t="shared" si="21"/>
        <v xml:space="preserve"> </v>
      </c>
      <c r="FL152" s="730">
        <f t="shared" si="22"/>
        <v>0</v>
      </c>
      <c r="FM152" s="471" t="str">
        <f t="shared" si="23"/>
        <v/>
      </c>
      <c r="FN152" s="730">
        <f t="shared" si="16"/>
        <v>0</v>
      </c>
    </row>
    <row r="153" spans="1:170" s="33" customFormat="1" x14ac:dyDescent="0.2">
      <c r="A153" s="34" t="s">
        <v>203</v>
      </c>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35"/>
      <c r="BT153" s="35"/>
      <c r="BU153" s="35"/>
      <c r="BV153" s="35"/>
      <c r="BW153" s="35"/>
      <c r="BX153" s="35"/>
      <c r="BY153" s="35"/>
      <c r="BZ153" s="35"/>
      <c r="CA153" s="35"/>
      <c r="CB153" s="35"/>
      <c r="CC153" s="35"/>
      <c r="CD153" s="35"/>
      <c r="CE153" s="35"/>
      <c r="CF153" s="35"/>
      <c r="CG153" s="35"/>
      <c r="CH153" s="35"/>
      <c r="CI153" s="35"/>
      <c r="CJ153" s="35"/>
      <c r="CK153" s="35"/>
      <c r="CL153" s="35"/>
      <c r="CM153" s="35"/>
      <c r="CN153" s="35"/>
      <c r="CO153" s="35"/>
      <c r="CP153" s="35"/>
      <c r="CQ153" s="35"/>
      <c r="CR153" s="35"/>
      <c r="CS153" s="35"/>
      <c r="CT153" s="35"/>
      <c r="CU153" s="35"/>
      <c r="CV153" s="35"/>
      <c r="CW153" s="35"/>
      <c r="CX153" s="35"/>
      <c r="CY153" s="35"/>
      <c r="CZ153" s="35"/>
      <c r="DA153" s="35"/>
      <c r="DB153" s="35"/>
      <c r="DC153" s="35"/>
      <c r="DD153" s="35"/>
      <c r="DE153" s="35"/>
      <c r="DF153" s="35"/>
      <c r="DG153" s="35"/>
      <c r="DH153" s="35"/>
      <c r="DI153" s="35"/>
      <c r="DJ153" s="35"/>
      <c r="DK153" s="35"/>
      <c r="DL153" s="35"/>
      <c r="DM153" s="35"/>
      <c r="DN153" s="35"/>
      <c r="DO153" s="35"/>
      <c r="DP153" s="35"/>
      <c r="DQ153" s="35"/>
      <c r="DR153" s="35"/>
      <c r="DS153" s="35"/>
      <c r="DT153" s="35"/>
      <c r="DU153" s="35"/>
      <c r="DV153" s="35"/>
      <c r="DW153" s="35"/>
      <c r="DX153" s="35"/>
      <c r="DY153" s="35"/>
      <c r="DZ153" s="35"/>
      <c r="EA153" s="35"/>
      <c r="EB153" s="35"/>
      <c r="EC153" s="35"/>
      <c r="ED153" s="35"/>
      <c r="EE153" s="35"/>
      <c r="EF153" s="35"/>
      <c r="EG153" s="35"/>
      <c r="EH153" s="35"/>
      <c r="EI153" s="35"/>
      <c r="EJ153" s="35"/>
      <c r="EK153" s="35"/>
      <c r="EL153" s="35"/>
      <c r="EM153" s="35"/>
      <c r="EN153" s="35"/>
      <c r="EO153" s="35"/>
      <c r="EP153" s="35"/>
      <c r="EQ153" s="35"/>
      <c r="ER153" s="35"/>
      <c r="ES153" s="35"/>
      <c r="ET153" s="35"/>
      <c r="EU153" s="35"/>
      <c r="EV153" s="35"/>
      <c r="EW153" s="35"/>
      <c r="EX153" s="35"/>
      <c r="EY153" s="35"/>
      <c r="EZ153" s="35"/>
      <c r="FA153" s="35"/>
      <c r="FB153" s="35"/>
      <c r="FC153" s="458">
        <f t="shared" si="19"/>
        <v>0</v>
      </c>
      <c r="FD153">
        <f t="shared" si="17"/>
        <v>0</v>
      </c>
      <c r="FE153" t="e">
        <f t="shared" si="18"/>
        <v>#N/A</v>
      </c>
      <c r="FI153" s="731" t="e">
        <f t="shared" si="20"/>
        <v>#VALUE!</v>
      </c>
      <c r="FK153" s="471" t="str">
        <f t="shared" si="21"/>
        <v xml:space="preserve"> </v>
      </c>
      <c r="FL153" s="730">
        <f t="shared" si="22"/>
        <v>0</v>
      </c>
      <c r="FM153" s="471" t="str">
        <f t="shared" si="23"/>
        <v/>
      </c>
      <c r="FN153" s="730">
        <f t="shared" si="16"/>
        <v>0</v>
      </c>
    </row>
    <row r="154" spans="1:170" s="33" customFormat="1" x14ac:dyDescent="0.2">
      <c r="A154" s="34" t="s">
        <v>204</v>
      </c>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c r="BJ154" s="35"/>
      <c r="BK154" s="35"/>
      <c r="BL154" s="35"/>
      <c r="BM154" s="35"/>
      <c r="BN154" s="35"/>
      <c r="BO154" s="35"/>
      <c r="BP154" s="35"/>
      <c r="BQ154" s="35"/>
      <c r="BR154" s="35"/>
      <c r="BS154" s="35"/>
      <c r="BT154" s="35"/>
      <c r="BU154" s="35"/>
      <c r="BV154" s="35"/>
      <c r="BW154" s="35"/>
      <c r="BX154" s="35"/>
      <c r="BY154" s="35"/>
      <c r="BZ154" s="35"/>
      <c r="CA154" s="35"/>
      <c r="CB154" s="35"/>
      <c r="CC154" s="35"/>
      <c r="CD154" s="35"/>
      <c r="CE154" s="35"/>
      <c r="CF154" s="35"/>
      <c r="CG154" s="35"/>
      <c r="CH154" s="35"/>
      <c r="CI154" s="35"/>
      <c r="CJ154" s="35"/>
      <c r="CK154" s="35"/>
      <c r="CL154" s="35"/>
      <c r="CM154" s="35"/>
      <c r="CN154" s="35"/>
      <c r="CO154" s="35"/>
      <c r="CP154" s="35"/>
      <c r="CQ154" s="35"/>
      <c r="CR154" s="35"/>
      <c r="CS154" s="35"/>
      <c r="CT154" s="35"/>
      <c r="CU154" s="35"/>
      <c r="CV154" s="35"/>
      <c r="CW154" s="35"/>
      <c r="CX154" s="35"/>
      <c r="CY154" s="35"/>
      <c r="CZ154" s="35"/>
      <c r="DA154" s="35"/>
      <c r="DB154" s="35"/>
      <c r="DC154" s="35"/>
      <c r="DD154" s="35"/>
      <c r="DE154" s="35"/>
      <c r="DF154" s="35"/>
      <c r="DG154" s="35"/>
      <c r="DH154" s="35"/>
      <c r="DI154" s="35"/>
      <c r="DJ154" s="35"/>
      <c r="DK154" s="35"/>
      <c r="DL154" s="35"/>
      <c r="DM154" s="35"/>
      <c r="DN154" s="35"/>
      <c r="DO154" s="35"/>
      <c r="DP154" s="35"/>
      <c r="DQ154" s="35"/>
      <c r="DR154" s="35"/>
      <c r="DS154" s="35"/>
      <c r="DT154" s="35"/>
      <c r="DU154" s="35"/>
      <c r="DV154" s="35"/>
      <c r="DW154" s="35"/>
      <c r="DX154" s="35"/>
      <c r="DY154" s="35"/>
      <c r="DZ154" s="35"/>
      <c r="EA154" s="35"/>
      <c r="EB154" s="35"/>
      <c r="EC154" s="35"/>
      <c r="ED154" s="35"/>
      <c r="EE154" s="35"/>
      <c r="EF154" s="35"/>
      <c r="EG154" s="35"/>
      <c r="EH154" s="35"/>
      <c r="EI154" s="35"/>
      <c r="EJ154" s="35"/>
      <c r="EK154" s="35"/>
      <c r="EL154" s="35"/>
      <c r="EM154" s="35"/>
      <c r="EN154" s="35"/>
      <c r="EO154" s="35"/>
      <c r="EP154" s="35"/>
      <c r="EQ154" s="35"/>
      <c r="ER154" s="35"/>
      <c r="ES154" s="35"/>
      <c r="ET154" s="35"/>
      <c r="EU154" s="35"/>
      <c r="EV154" s="35"/>
      <c r="EW154" s="35"/>
      <c r="EX154" s="35"/>
      <c r="EY154" s="35"/>
      <c r="EZ154" s="35"/>
      <c r="FA154" s="35"/>
      <c r="FB154" s="35"/>
      <c r="FC154" s="458">
        <f t="shared" si="19"/>
        <v>0</v>
      </c>
      <c r="FD154">
        <f t="shared" si="17"/>
        <v>0</v>
      </c>
      <c r="FE154" t="e">
        <f t="shared" si="18"/>
        <v>#N/A</v>
      </c>
      <c r="FI154" s="731" t="e">
        <f t="shared" si="20"/>
        <v>#VALUE!</v>
      </c>
      <c r="FK154" s="471" t="str">
        <f t="shared" si="21"/>
        <v xml:space="preserve"> </v>
      </c>
      <c r="FL154" s="730">
        <f t="shared" si="22"/>
        <v>0</v>
      </c>
      <c r="FM154" s="471" t="str">
        <f t="shared" si="23"/>
        <v/>
      </c>
      <c r="FN154" s="730">
        <f t="shared" si="16"/>
        <v>0</v>
      </c>
    </row>
    <row r="155" spans="1:170" s="33" customFormat="1" x14ac:dyDescent="0.2">
      <c r="A155" s="34" t="s">
        <v>205</v>
      </c>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c r="BJ155" s="35"/>
      <c r="BK155" s="35"/>
      <c r="BL155" s="35"/>
      <c r="BM155" s="35"/>
      <c r="BN155" s="35"/>
      <c r="BO155" s="35"/>
      <c r="BP155" s="35"/>
      <c r="BQ155" s="35"/>
      <c r="BR155" s="35"/>
      <c r="BS155" s="35"/>
      <c r="BT155" s="35"/>
      <c r="BU155" s="35"/>
      <c r="BV155" s="35"/>
      <c r="BW155" s="35"/>
      <c r="BX155" s="35"/>
      <c r="BY155" s="35"/>
      <c r="BZ155" s="35"/>
      <c r="CA155" s="35"/>
      <c r="CB155" s="35"/>
      <c r="CC155" s="35"/>
      <c r="CD155" s="35"/>
      <c r="CE155" s="35"/>
      <c r="CF155" s="35"/>
      <c r="CG155" s="35"/>
      <c r="CH155" s="35"/>
      <c r="CI155" s="35"/>
      <c r="CJ155" s="35"/>
      <c r="CK155" s="35"/>
      <c r="CL155" s="35"/>
      <c r="CM155" s="35"/>
      <c r="CN155" s="35"/>
      <c r="CO155" s="35"/>
      <c r="CP155" s="35"/>
      <c r="CQ155" s="35"/>
      <c r="CR155" s="35"/>
      <c r="CS155" s="35"/>
      <c r="CT155" s="35"/>
      <c r="CU155" s="35"/>
      <c r="CV155" s="35"/>
      <c r="CW155" s="35"/>
      <c r="CX155" s="35"/>
      <c r="CY155" s="35"/>
      <c r="CZ155" s="35"/>
      <c r="DA155" s="35"/>
      <c r="DB155" s="35"/>
      <c r="DC155" s="35"/>
      <c r="DD155" s="35"/>
      <c r="DE155" s="35"/>
      <c r="DF155" s="35"/>
      <c r="DG155" s="35"/>
      <c r="DH155" s="35"/>
      <c r="DI155" s="35"/>
      <c r="DJ155" s="35"/>
      <c r="DK155" s="35"/>
      <c r="DL155" s="35"/>
      <c r="DM155" s="35"/>
      <c r="DN155" s="35"/>
      <c r="DO155" s="35"/>
      <c r="DP155" s="35"/>
      <c r="DQ155" s="35"/>
      <c r="DR155" s="35"/>
      <c r="DS155" s="35"/>
      <c r="DT155" s="35"/>
      <c r="DU155" s="35"/>
      <c r="DV155" s="35"/>
      <c r="DW155" s="35"/>
      <c r="DX155" s="35"/>
      <c r="DY155" s="35"/>
      <c r="DZ155" s="35"/>
      <c r="EA155" s="35"/>
      <c r="EB155" s="35"/>
      <c r="EC155" s="35"/>
      <c r="ED155" s="35"/>
      <c r="EE155" s="35"/>
      <c r="EF155" s="35"/>
      <c r="EG155" s="35"/>
      <c r="EH155" s="35"/>
      <c r="EI155" s="35"/>
      <c r="EJ155" s="35"/>
      <c r="EK155" s="35"/>
      <c r="EL155" s="35"/>
      <c r="EM155" s="35"/>
      <c r="EN155" s="35"/>
      <c r="EO155" s="35"/>
      <c r="EP155" s="35"/>
      <c r="EQ155" s="35"/>
      <c r="ER155" s="35"/>
      <c r="ES155" s="35"/>
      <c r="ET155" s="35"/>
      <c r="EU155" s="35"/>
      <c r="EV155" s="35"/>
      <c r="EW155" s="35"/>
      <c r="EX155" s="35"/>
      <c r="EY155" s="35"/>
      <c r="EZ155" s="35"/>
      <c r="FA155" s="35"/>
      <c r="FB155" s="35"/>
      <c r="FC155" s="458">
        <f t="shared" si="19"/>
        <v>0</v>
      </c>
      <c r="FD155">
        <f t="shared" si="17"/>
        <v>0</v>
      </c>
      <c r="FE155" t="e">
        <f t="shared" si="18"/>
        <v>#N/A</v>
      </c>
      <c r="FI155" s="731" t="e">
        <f t="shared" si="20"/>
        <v>#VALUE!</v>
      </c>
      <c r="FK155" s="471" t="str">
        <f t="shared" si="21"/>
        <v xml:space="preserve"> </v>
      </c>
      <c r="FL155" s="730">
        <f t="shared" si="22"/>
        <v>0</v>
      </c>
      <c r="FM155" s="471" t="str">
        <f t="shared" si="23"/>
        <v/>
      </c>
      <c r="FN155" s="730">
        <f t="shared" si="16"/>
        <v>0</v>
      </c>
    </row>
    <row r="156" spans="1:170" s="33" customFormat="1" x14ac:dyDescent="0.2">
      <c r="A156" s="34" t="s">
        <v>206</v>
      </c>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c r="BG156" s="35"/>
      <c r="BH156" s="35"/>
      <c r="BI156" s="35"/>
      <c r="BJ156" s="35"/>
      <c r="BK156" s="35"/>
      <c r="BL156" s="35"/>
      <c r="BM156" s="35"/>
      <c r="BN156" s="35"/>
      <c r="BO156" s="35"/>
      <c r="BP156" s="35"/>
      <c r="BQ156" s="35"/>
      <c r="BR156" s="35"/>
      <c r="BS156" s="35"/>
      <c r="BT156" s="35"/>
      <c r="BU156" s="35"/>
      <c r="BV156" s="35"/>
      <c r="BW156" s="35"/>
      <c r="BX156" s="35"/>
      <c r="BY156" s="35"/>
      <c r="BZ156" s="35"/>
      <c r="CA156" s="35"/>
      <c r="CB156" s="35"/>
      <c r="CC156" s="35"/>
      <c r="CD156" s="35"/>
      <c r="CE156" s="35"/>
      <c r="CF156" s="35"/>
      <c r="CG156" s="35"/>
      <c r="CH156" s="35"/>
      <c r="CI156" s="35"/>
      <c r="CJ156" s="35"/>
      <c r="CK156" s="35"/>
      <c r="CL156" s="35"/>
      <c r="CM156" s="35"/>
      <c r="CN156" s="35"/>
      <c r="CO156" s="35"/>
      <c r="CP156" s="35"/>
      <c r="CQ156" s="35"/>
      <c r="CR156" s="35"/>
      <c r="CS156" s="35"/>
      <c r="CT156" s="35"/>
      <c r="CU156" s="35"/>
      <c r="CV156" s="35"/>
      <c r="CW156" s="35"/>
      <c r="CX156" s="35"/>
      <c r="CY156" s="35"/>
      <c r="CZ156" s="35"/>
      <c r="DA156" s="35"/>
      <c r="DB156" s="35"/>
      <c r="DC156" s="35"/>
      <c r="DD156" s="35"/>
      <c r="DE156" s="35"/>
      <c r="DF156" s="35"/>
      <c r="DG156" s="35"/>
      <c r="DH156" s="35"/>
      <c r="DI156" s="35"/>
      <c r="DJ156" s="35"/>
      <c r="DK156" s="35"/>
      <c r="DL156" s="35"/>
      <c r="DM156" s="35"/>
      <c r="DN156" s="35"/>
      <c r="DO156" s="35"/>
      <c r="DP156" s="35"/>
      <c r="DQ156" s="35"/>
      <c r="DR156" s="35"/>
      <c r="DS156" s="35"/>
      <c r="DT156" s="35"/>
      <c r="DU156" s="35"/>
      <c r="DV156" s="35"/>
      <c r="DW156" s="35"/>
      <c r="DX156" s="35"/>
      <c r="DY156" s="35"/>
      <c r="DZ156" s="35"/>
      <c r="EA156" s="35"/>
      <c r="EB156" s="35"/>
      <c r="EC156" s="35"/>
      <c r="ED156" s="35"/>
      <c r="EE156" s="35"/>
      <c r="EF156" s="35"/>
      <c r="EG156" s="35"/>
      <c r="EH156" s="35"/>
      <c r="EI156" s="35"/>
      <c r="EJ156" s="35"/>
      <c r="EK156" s="35"/>
      <c r="EL156" s="35"/>
      <c r="EM156" s="35"/>
      <c r="EN156" s="35"/>
      <c r="EO156" s="35"/>
      <c r="EP156" s="35"/>
      <c r="EQ156" s="35"/>
      <c r="ER156" s="35"/>
      <c r="ES156" s="35"/>
      <c r="ET156" s="35"/>
      <c r="EU156" s="35"/>
      <c r="EV156" s="35"/>
      <c r="EW156" s="35"/>
      <c r="EX156" s="35"/>
      <c r="EY156" s="35"/>
      <c r="EZ156" s="35"/>
      <c r="FA156" s="35"/>
      <c r="FB156" s="35"/>
      <c r="FC156" s="458">
        <f t="shared" si="19"/>
        <v>0</v>
      </c>
      <c r="FD156">
        <f t="shared" si="17"/>
        <v>0</v>
      </c>
      <c r="FE156" t="e">
        <f t="shared" si="18"/>
        <v>#N/A</v>
      </c>
      <c r="FI156" s="731" t="e">
        <f t="shared" si="20"/>
        <v>#VALUE!</v>
      </c>
      <c r="FK156" s="471" t="str">
        <f t="shared" si="21"/>
        <v xml:space="preserve"> </v>
      </c>
      <c r="FL156" s="730">
        <f t="shared" si="22"/>
        <v>0</v>
      </c>
      <c r="FM156" s="471" t="str">
        <f t="shared" si="23"/>
        <v/>
      </c>
      <c r="FN156" s="730">
        <f t="shared" si="16"/>
        <v>0</v>
      </c>
    </row>
    <row r="157" spans="1:170" s="33" customFormat="1" x14ac:dyDescent="0.2">
      <c r="A157" s="34" t="s">
        <v>207</v>
      </c>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c r="BL157" s="35"/>
      <c r="BM157" s="35"/>
      <c r="BN157" s="35"/>
      <c r="BO157" s="35"/>
      <c r="BP157" s="35"/>
      <c r="BQ157" s="35"/>
      <c r="BR157" s="35"/>
      <c r="BS157" s="35"/>
      <c r="BT157" s="35"/>
      <c r="BU157" s="35"/>
      <c r="BV157" s="35"/>
      <c r="BW157" s="35"/>
      <c r="BX157" s="35"/>
      <c r="BY157" s="35"/>
      <c r="BZ157" s="35"/>
      <c r="CA157" s="35"/>
      <c r="CB157" s="35"/>
      <c r="CC157" s="35"/>
      <c r="CD157" s="35"/>
      <c r="CE157" s="35"/>
      <c r="CF157" s="35"/>
      <c r="CG157" s="35"/>
      <c r="CH157" s="35"/>
      <c r="CI157" s="35"/>
      <c r="CJ157" s="35"/>
      <c r="CK157" s="35"/>
      <c r="CL157" s="35"/>
      <c r="CM157" s="35"/>
      <c r="CN157" s="35"/>
      <c r="CO157" s="35"/>
      <c r="CP157" s="35"/>
      <c r="CQ157" s="35"/>
      <c r="CR157" s="35"/>
      <c r="CS157" s="35"/>
      <c r="CT157" s="35"/>
      <c r="CU157" s="35"/>
      <c r="CV157" s="35"/>
      <c r="CW157" s="35"/>
      <c r="CX157" s="35"/>
      <c r="CY157" s="35"/>
      <c r="CZ157" s="35"/>
      <c r="DA157" s="35"/>
      <c r="DB157" s="35"/>
      <c r="DC157" s="35"/>
      <c r="DD157" s="35"/>
      <c r="DE157" s="35"/>
      <c r="DF157" s="35"/>
      <c r="DG157" s="35"/>
      <c r="DH157" s="35"/>
      <c r="DI157" s="35"/>
      <c r="DJ157" s="35"/>
      <c r="DK157" s="35"/>
      <c r="DL157" s="35"/>
      <c r="DM157" s="35"/>
      <c r="DN157" s="35"/>
      <c r="DO157" s="35"/>
      <c r="DP157" s="35"/>
      <c r="DQ157" s="35"/>
      <c r="DR157" s="35"/>
      <c r="DS157" s="35"/>
      <c r="DT157" s="35"/>
      <c r="DU157" s="35"/>
      <c r="DV157" s="35"/>
      <c r="DW157" s="35"/>
      <c r="DX157" s="35"/>
      <c r="DY157" s="35"/>
      <c r="DZ157" s="35"/>
      <c r="EA157" s="35"/>
      <c r="EB157" s="35"/>
      <c r="EC157" s="35"/>
      <c r="ED157" s="35"/>
      <c r="EE157" s="35"/>
      <c r="EF157" s="35"/>
      <c r="EG157" s="35"/>
      <c r="EH157" s="35"/>
      <c r="EI157" s="35"/>
      <c r="EJ157" s="35"/>
      <c r="EK157" s="35"/>
      <c r="EL157" s="35"/>
      <c r="EM157" s="35"/>
      <c r="EN157" s="35"/>
      <c r="EO157" s="35"/>
      <c r="EP157" s="35"/>
      <c r="EQ157" s="35"/>
      <c r="ER157" s="35"/>
      <c r="ES157" s="35"/>
      <c r="ET157" s="35"/>
      <c r="EU157" s="35"/>
      <c r="EV157" s="35"/>
      <c r="EW157" s="35"/>
      <c r="EX157" s="35"/>
      <c r="EY157" s="35"/>
      <c r="EZ157" s="35"/>
      <c r="FA157" s="35"/>
      <c r="FB157" s="35"/>
      <c r="FC157" s="458">
        <f t="shared" si="19"/>
        <v>0</v>
      </c>
      <c r="FD157">
        <f t="shared" si="17"/>
        <v>0</v>
      </c>
      <c r="FE157" t="e">
        <f t="shared" si="18"/>
        <v>#N/A</v>
      </c>
      <c r="FI157" s="731" t="e">
        <f t="shared" si="20"/>
        <v>#VALUE!</v>
      </c>
      <c r="FK157" s="471" t="str">
        <f t="shared" si="21"/>
        <v xml:space="preserve"> </v>
      </c>
      <c r="FL157" s="730">
        <f t="shared" si="22"/>
        <v>0</v>
      </c>
      <c r="FM157" s="471" t="str">
        <f t="shared" si="23"/>
        <v/>
      </c>
      <c r="FN157" s="730">
        <f t="shared" si="16"/>
        <v>0</v>
      </c>
    </row>
    <row r="158" spans="1:170" s="33" customFormat="1" x14ac:dyDescent="0.2">
      <c r="A158" s="34" t="s">
        <v>208</v>
      </c>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c r="BJ158" s="35"/>
      <c r="BK158" s="35"/>
      <c r="BL158" s="35"/>
      <c r="BM158" s="35"/>
      <c r="BN158" s="35"/>
      <c r="BO158" s="35"/>
      <c r="BP158" s="35"/>
      <c r="BQ158" s="35"/>
      <c r="BR158" s="35"/>
      <c r="BS158" s="35"/>
      <c r="BT158" s="35"/>
      <c r="BU158" s="35"/>
      <c r="BV158" s="35"/>
      <c r="BW158" s="35"/>
      <c r="BX158" s="35"/>
      <c r="BY158" s="35"/>
      <c r="BZ158" s="35"/>
      <c r="CA158" s="35"/>
      <c r="CB158" s="35"/>
      <c r="CC158" s="35"/>
      <c r="CD158" s="35"/>
      <c r="CE158" s="35"/>
      <c r="CF158" s="35"/>
      <c r="CG158" s="35"/>
      <c r="CH158" s="35"/>
      <c r="CI158" s="35"/>
      <c r="CJ158" s="35"/>
      <c r="CK158" s="35"/>
      <c r="CL158" s="35"/>
      <c r="CM158" s="35"/>
      <c r="CN158" s="35"/>
      <c r="CO158" s="35"/>
      <c r="CP158" s="35"/>
      <c r="CQ158" s="35"/>
      <c r="CR158" s="35"/>
      <c r="CS158" s="35"/>
      <c r="CT158" s="35"/>
      <c r="CU158" s="35"/>
      <c r="CV158" s="35"/>
      <c r="CW158" s="35"/>
      <c r="CX158" s="35"/>
      <c r="CY158" s="35"/>
      <c r="CZ158" s="35"/>
      <c r="DA158" s="35"/>
      <c r="DB158" s="35"/>
      <c r="DC158" s="35"/>
      <c r="DD158" s="35"/>
      <c r="DE158" s="35"/>
      <c r="DF158" s="35"/>
      <c r="DG158" s="35"/>
      <c r="DH158" s="35"/>
      <c r="DI158" s="35"/>
      <c r="DJ158" s="35"/>
      <c r="DK158" s="35"/>
      <c r="DL158" s="35"/>
      <c r="DM158" s="35"/>
      <c r="DN158" s="35"/>
      <c r="DO158" s="35"/>
      <c r="DP158" s="35"/>
      <c r="DQ158" s="35"/>
      <c r="DR158" s="35"/>
      <c r="DS158" s="35"/>
      <c r="DT158" s="35"/>
      <c r="DU158" s="35"/>
      <c r="DV158" s="35"/>
      <c r="DW158" s="35"/>
      <c r="DX158" s="35"/>
      <c r="DY158" s="35"/>
      <c r="DZ158" s="35"/>
      <c r="EA158" s="35"/>
      <c r="EB158" s="35"/>
      <c r="EC158" s="35"/>
      <c r="ED158" s="35"/>
      <c r="EE158" s="35"/>
      <c r="EF158" s="35"/>
      <c r="EG158" s="35"/>
      <c r="EH158" s="35"/>
      <c r="EI158" s="35"/>
      <c r="EJ158" s="35"/>
      <c r="EK158" s="35"/>
      <c r="EL158" s="35"/>
      <c r="EM158" s="35"/>
      <c r="EN158" s="35"/>
      <c r="EO158" s="35"/>
      <c r="EP158" s="35"/>
      <c r="EQ158" s="35"/>
      <c r="ER158" s="35"/>
      <c r="ES158" s="35"/>
      <c r="ET158" s="35"/>
      <c r="EU158" s="35"/>
      <c r="EV158" s="35"/>
      <c r="EW158" s="35"/>
      <c r="EX158" s="35"/>
      <c r="EY158" s="35"/>
      <c r="EZ158" s="35"/>
      <c r="FA158" s="35"/>
      <c r="FB158" s="35"/>
      <c r="FC158" s="458">
        <f t="shared" si="19"/>
        <v>0</v>
      </c>
      <c r="FD158">
        <f t="shared" si="17"/>
        <v>0</v>
      </c>
      <c r="FE158" t="e">
        <f t="shared" si="18"/>
        <v>#N/A</v>
      </c>
      <c r="FI158" s="731" t="e">
        <f t="shared" si="20"/>
        <v>#VALUE!</v>
      </c>
      <c r="FK158" s="471" t="str">
        <f t="shared" si="21"/>
        <v xml:space="preserve"> </v>
      </c>
      <c r="FL158" s="730">
        <f t="shared" si="22"/>
        <v>0</v>
      </c>
      <c r="FM158" s="471" t="str">
        <f t="shared" si="23"/>
        <v/>
      </c>
      <c r="FN158" s="730">
        <f t="shared" si="16"/>
        <v>0</v>
      </c>
    </row>
    <row r="159" spans="1:170" s="33" customFormat="1" x14ac:dyDescent="0.2">
      <c r="A159" s="34" t="s">
        <v>209</v>
      </c>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c r="BS159" s="35"/>
      <c r="BT159" s="35"/>
      <c r="BU159" s="35"/>
      <c r="BV159" s="35"/>
      <c r="BW159" s="35"/>
      <c r="BX159" s="35"/>
      <c r="BY159" s="35"/>
      <c r="BZ159" s="35"/>
      <c r="CA159" s="35"/>
      <c r="CB159" s="35"/>
      <c r="CC159" s="35"/>
      <c r="CD159" s="35"/>
      <c r="CE159" s="35"/>
      <c r="CF159" s="35"/>
      <c r="CG159" s="35"/>
      <c r="CH159" s="35"/>
      <c r="CI159" s="35"/>
      <c r="CJ159" s="35"/>
      <c r="CK159" s="35"/>
      <c r="CL159" s="35"/>
      <c r="CM159" s="35"/>
      <c r="CN159" s="35"/>
      <c r="CO159" s="35"/>
      <c r="CP159" s="35"/>
      <c r="CQ159" s="35"/>
      <c r="CR159" s="35"/>
      <c r="CS159" s="35"/>
      <c r="CT159" s="35"/>
      <c r="CU159" s="35"/>
      <c r="CV159" s="35"/>
      <c r="CW159" s="35"/>
      <c r="CX159" s="35"/>
      <c r="CY159" s="35"/>
      <c r="CZ159" s="35"/>
      <c r="DA159" s="35"/>
      <c r="DB159" s="35"/>
      <c r="DC159" s="35"/>
      <c r="DD159" s="35"/>
      <c r="DE159" s="35"/>
      <c r="DF159" s="35"/>
      <c r="DG159" s="35"/>
      <c r="DH159" s="35"/>
      <c r="DI159" s="35"/>
      <c r="DJ159" s="35"/>
      <c r="DK159" s="35"/>
      <c r="DL159" s="35"/>
      <c r="DM159" s="35"/>
      <c r="DN159" s="35"/>
      <c r="DO159" s="35"/>
      <c r="DP159" s="35"/>
      <c r="DQ159" s="35"/>
      <c r="DR159" s="35"/>
      <c r="DS159" s="35"/>
      <c r="DT159" s="35"/>
      <c r="DU159" s="35"/>
      <c r="DV159" s="35"/>
      <c r="DW159" s="35"/>
      <c r="DX159" s="35"/>
      <c r="DY159" s="35"/>
      <c r="DZ159" s="35"/>
      <c r="EA159" s="35"/>
      <c r="EB159" s="35"/>
      <c r="EC159" s="35"/>
      <c r="ED159" s="35"/>
      <c r="EE159" s="35"/>
      <c r="EF159" s="35"/>
      <c r="EG159" s="35"/>
      <c r="EH159" s="35"/>
      <c r="EI159" s="35"/>
      <c r="EJ159" s="35"/>
      <c r="EK159" s="35"/>
      <c r="EL159" s="35"/>
      <c r="EM159" s="35"/>
      <c r="EN159" s="35"/>
      <c r="EO159" s="35"/>
      <c r="EP159" s="35"/>
      <c r="EQ159" s="35"/>
      <c r="ER159" s="35"/>
      <c r="ES159" s="35"/>
      <c r="ET159" s="35"/>
      <c r="EU159" s="35"/>
      <c r="EV159" s="35"/>
      <c r="EW159" s="35"/>
      <c r="EX159" s="35"/>
      <c r="EY159" s="35"/>
      <c r="EZ159" s="35"/>
      <c r="FA159" s="35"/>
      <c r="FB159" s="35"/>
      <c r="FC159" s="458">
        <f t="shared" si="19"/>
        <v>0</v>
      </c>
      <c r="FD159">
        <f t="shared" si="17"/>
        <v>0</v>
      </c>
      <c r="FE159" t="e">
        <f t="shared" si="18"/>
        <v>#N/A</v>
      </c>
      <c r="FI159" s="731" t="e">
        <f t="shared" si="20"/>
        <v>#VALUE!</v>
      </c>
      <c r="FK159" s="471" t="str">
        <f t="shared" si="21"/>
        <v xml:space="preserve"> </v>
      </c>
      <c r="FL159" s="730">
        <f t="shared" si="22"/>
        <v>0</v>
      </c>
      <c r="FM159" s="471" t="str">
        <f t="shared" si="23"/>
        <v/>
      </c>
      <c r="FN159" s="730">
        <f t="shared" si="16"/>
        <v>0</v>
      </c>
    </row>
    <row r="160" spans="1:170" s="33" customFormat="1" x14ac:dyDescent="0.2">
      <c r="A160" s="34" t="s">
        <v>210</v>
      </c>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c r="BJ160" s="35"/>
      <c r="BK160" s="35"/>
      <c r="BL160" s="35"/>
      <c r="BM160" s="35"/>
      <c r="BN160" s="35"/>
      <c r="BO160" s="35"/>
      <c r="BP160" s="35"/>
      <c r="BQ160" s="35"/>
      <c r="BR160" s="35"/>
      <c r="BS160" s="35"/>
      <c r="BT160" s="35"/>
      <c r="BU160" s="35"/>
      <c r="BV160" s="35"/>
      <c r="BW160" s="35"/>
      <c r="BX160" s="35"/>
      <c r="BY160" s="35"/>
      <c r="BZ160" s="35"/>
      <c r="CA160" s="35"/>
      <c r="CB160" s="35"/>
      <c r="CC160" s="35"/>
      <c r="CD160" s="35"/>
      <c r="CE160" s="35"/>
      <c r="CF160" s="35"/>
      <c r="CG160" s="35"/>
      <c r="CH160" s="35"/>
      <c r="CI160" s="35"/>
      <c r="CJ160" s="35"/>
      <c r="CK160" s="35"/>
      <c r="CL160" s="35"/>
      <c r="CM160" s="35"/>
      <c r="CN160" s="35"/>
      <c r="CO160" s="35"/>
      <c r="CP160" s="35"/>
      <c r="CQ160" s="35"/>
      <c r="CR160" s="35"/>
      <c r="CS160" s="35"/>
      <c r="CT160" s="35"/>
      <c r="CU160" s="35"/>
      <c r="CV160" s="35"/>
      <c r="CW160" s="35"/>
      <c r="CX160" s="35"/>
      <c r="CY160" s="35"/>
      <c r="CZ160" s="35"/>
      <c r="DA160" s="35"/>
      <c r="DB160" s="35"/>
      <c r="DC160" s="35"/>
      <c r="DD160" s="35"/>
      <c r="DE160" s="35"/>
      <c r="DF160" s="35"/>
      <c r="DG160" s="35"/>
      <c r="DH160" s="35"/>
      <c r="DI160" s="35"/>
      <c r="DJ160" s="35"/>
      <c r="DK160" s="35"/>
      <c r="DL160" s="35"/>
      <c r="DM160" s="35"/>
      <c r="DN160" s="35"/>
      <c r="DO160" s="35"/>
      <c r="DP160" s="35"/>
      <c r="DQ160" s="35"/>
      <c r="DR160" s="35"/>
      <c r="DS160" s="35"/>
      <c r="DT160" s="35"/>
      <c r="DU160" s="35"/>
      <c r="DV160" s="35"/>
      <c r="DW160" s="35"/>
      <c r="DX160" s="35"/>
      <c r="DY160" s="35"/>
      <c r="DZ160" s="35"/>
      <c r="EA160" s="35"/>
      <c r="EB160" s="35"/>
      <c r="EC160" s="35"/>
      <c r="ED160" s="35"/>
      <c r="EE160" s="35"/>
      <c r="EF160" s="35"/>
      <c r="EG160" s="35"/>
      <c r="EH160" s="35"/>
      <c r="EI160" s="35"/>
      <c r="EJ160" s="35"/>
      <c r="EK160" s="35"/>
      <c r="EL160" s="35"/>
      <c r="EM160" s="35"/>
      <c r="EN160" s="35"/>
      <c r="EO160" s="35"/>
      <c r="EP160" s="35"/>
      <c r="EQ160" s="35"/>
      <c r="ER160" s="35"/>
      <c r="ES160" s="35"/>
      <c r="ET160" s="35"/>
      <c r="EU160" s="35"/>
      <c r="EV160" s="35"/>
      <c r="EW160" s="35"/>
      <c r="EX160" s="35"/>
      <c r="EY160" s="35"/>
      <c r="EZ160" s="35"/>
      <c r="FA160" s="35"/>
      <c r="FB160" s="35"/>
      <c r="FC160" s="458">
        <f t="shared" si="19"/>
        <v>0</v>
      </c>
      <c r="FD160">
        <f t="shared" si="17"/>
        <v>0</v>
      </c>
      <c r="FE160" t="e">
        <f t="shared" si="18"/>
        <v>#N/A</v>
      </c>
      <c r="FI160" s="731" t="e">
        <f t="shared" si="20"/>
        <v>#VALUE!</v>
      </c>
      <c r="FK160" s="471" t="str">
        <f t="shared" si="21"/>
        <v xml:space="preserve"> </v>
      </c>
      <c r="FL160" s="730">
        <f t="shared" si="22"/>
        <v>0</v>
      </c>
      <c r="FM160" s="471" t="str">
        <f t="shared" si="23"/>
        <v/>
      </c>
      <c r="FN160" s="730">
        <f t="shared" si="16"/>
        <v>0</v>
      </c>
    </row>
    <row r="161" spans="1:170" s="33" customFormat="1" x14ac:dyDescent="0.2">
      <c r="A161" s="34" t="s">
        <v>211</v>
      </c>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35"/>
      <c r="BM161" s="35"/>
      <c r="BN161" s="35"/>
      <c r="BO161" s="35"/>
      <c r="BP161" s="35"/>
      <c r="BQ161" s="35"/>
      <c r="BR161" s="35"/>
      <c r="BS161" s="35"/>
      <c r="BT161" s="35"/>
      <c r="BU161" s="35"/>
      <c r="BV161" s="35"/>
      <c r="BW161" s="35"/>
      <c r="BX161" s="35"/>
      <c r="BY161" s="35"/>
      <c r="BZ161" s="35"/>
      <c r="CA161" s="35"/>
      <c r="CB161" s="35"/>
      <c r="CC161" s="35"/>
      <c r="CD161" s="35"/>
      <c r="CE161" s="35"/>
      <c r="CF161" s="35"/>
      <c r="CG161" s="35"/>
      <c r="CH161" s="35"/>
      <c r="CI161" s="35"/>
      <c r="CJ161" s="35"/>
      <c r="CK161" s="35"/>
      <c r="CL161" s="35"/>
      <c r="CM161" s="35"/>
      <c r="CN161" s="35"/>
      <c r="CO161" s="35"/>
      <c r="CP161" s="35"/>
      <c r="CQ161" s="35"/>
      <c r="CR161" s="35"/>
      <c r="CS161" s="35"/>
      <c r="CT161" s="35"/>
      <c r="CU161" s="35"/>
      <c r="CV161" s="35"/>
      <c r="CW161" s="35"/>
      <c r="CX161" s="35"/>
      <c r="CY161" s="35"/>
      <c r="CZ161" s="35"/>
      <c r="DA161" s="35"/>
      <c r="DB161" s="35"/>
      <c r="DC161" s="35"/>
      <c r="DD161" s="35"/>
      <c r="DE161" s="35"/>
      <c r="DF161" s="35"/>
      <c r="DG161" s="35"/>
      <c r="DH161" s="35"/>
      <c r="DI161" s="35"/>
      <c r="DJ161" s="35"/>
      <c r="DK161" s="35"/>
      <c r="DL161" s="35"/>
      <c r="DM161" s="35"/>
      <c r="DN161" s="35"/>
      <c r="DO161" s="35"/>
      <c r="DP161" s="35"/>
      <c r="DQ161" s="35"/>
      <c r="DR161" s="35"/>
      <c r="DS161" s="35"/>
      <c r="DT161" s="35"/>
      <c r="DU161" s="35"/>
      <c r="DV161" s="35"/>
      <c r="DW161" s="35"/>
      <c r="DX161" s="35"/>
      <c r="DY161" s="35"/>
      <c r="DZ161" s="35"/>
      <c r="EA161" s="35"/>
      <c r="EB161" s="35"/>
      <c r="EC161" s="35"/>
      <c r="ED161" s="35"/>
      <c r="EE161" s="35"/>
      <c r="EF161" s="35"/>
      <c r="EG161" s="35"/>
      <c r="EH161" s="35"/>
      <c r="EI161" s="35"/>
      <c r="EJ161" s="35"/>
      <c r="EK161" s="35"/>
      <c r="EL161" s="35"/>
      <c r="EM161" s="35"/>
      <c r="EN161" s="35"/>
      <c r="EO161" s="35"/>
      <c r="EP161" s="35"/>
      <c r="EQ161" s="35"/>
      <c r="ER161" s="35"/>
      <c r="ES161" s="35"/>
      <c r="ET161" s="35"/>
      <c r="EU161" s="35"/>
      <c r="EV161" s="35"/>
      <c r="EW161" s="35"/>
      <c r="EX161" s="35"/>
      <c r="EY161" s="35"/>
      <c r="EZ161" s="35"/>
      <c r="FA161" s="35"/>
      <c r="FB161" s="35"/>
      <c r="FC161" s="458">
        <f t="shared" si="19"/>
        <v>0</v>
      </c>
      <c r="FD161">
        <f t="shared" si="17"/>
        <v>0</v>
      </c>
      <c r="FE161" t="e">
        <f t="shared" si="18"/>
        <v>#N/A</v>
      </c>
      <c r="FI161" s="731" t="e">
        <f t="shared" si="20"/>
        <v>#VALUE!</v>
      </c>
      <c r="FK161" s="471" t="str">
        <f t="shared" si="21"/>
        <v xml:space="preserve"> </v>
      </c>
      <c r="FL161" s="730">
        <f t="shared" si="22"/>
        <v>0</v>
      </c>
      <c r="FM161" s="471" t="str">
        <f t="shared" si="23"/>
        <v/>
      </c>
      <c r="FN161" s="730">
        <f t="shared" si="16"/>
        <v>0</v>
      </c>
    </row>
    <row r="162" spans="1:170" s="33" customFormat="1" x14ac:dyDescent="0.2">
      <c r="A162" s="34" t="s">
        <v>212</v>
      </c>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c r="BJ162" s="35"/>
      <c r="BK162" s="35"/>
      <c r="BL162" s="35"/>
      <c r="BM162" s="35"/>
      <c r="BN162" s="35"/>
      <c r="BO162" s="35"/>
      <c r="BP162" s="35"/>
      <c r="BQ162" s="35"/>
      <c r="BR162" s="35"/>
      <c r="BS162" s="35"/>
      <c r="BT162" s="35"/>
      <c r="BU162" s="35"/>
      <c r="BV162" s="35"/>
      <c r="BW162" s="35"/>
      <c r="BX162" s="35"/>
      <c r="BY162" s="35"/>
      <c r="BZ162" s="35"/>
      <c r="CA162" s="35"/>
      <c r="CB162" s="35"/>
      <c r="CC162" s="35"/>
      <c r="CD162" s="35"/>
      <c r="CE162" s="35"/>
      <c r="CF162" s="35"/>
      <c r="CG162" s="35"/>
      <c r="CH162" s="35"/>
      <c r="CI162" s="35"/>
      <c r="CJ162" s="35"/>
      <c r="CK162" s="35"/>
      <c r="CL162" s="35"/>
      <c r="CM162" s="35"/>
      <c r="CN162" s="35"/>
      <c r="CO162" s="35"/>
      <c r="CP162" s="35"/>
      <c r="CQ162" s="35"/>
      <c r="CR162" s="35"/>
      <c r="CS162" s="35"/>
      <c r="CT162" s="35"/>
      <c r="CU162" s="35"/>
      <c r="CV162" s="35"/>
      <c r="CW162" s="35"/>
      <c r="CX162" s="35"/>
      <c r="CY162" s="35"/>
      <c r="CZ162" s="35"/>
      <c r="DA162" s="35"/>
      <c r="DB162" s="35"/>
      <c r="DC162" s="35"/>
      <c r="DD162" s="35"/>
      <c r="DE162" s="35"/>
      <c r="DF162" s="35"/>
      <c r="DG162" s="35"/>
      <c r="DH162" s="35"/>
      <c r="DI162" s="35"/>
      <c r="DJ162" s="35"/>
      <c r="DK162" s="35"/>
      <c r="DL162" s="35"/>
      <c r="DM162" s="35"/>
      <c r="DN162" s="35"/>
      <c r="DO162" s="35"/>
      <c r="DP162" s="35"/>
      <c r="DQ162" s="35"/>
      <c r="DR162" s="35"/>
      <c r="DS162" s="35"/>
      <c r="DT162" s="35"/>
      <c r="DU162" s="35"/>
      <c r="DV162" s="35"/>
      <c r="DW162" s="35"/>
      <c r="DX162" s="35"/>
      <c r="DY162" s="35"/>
      <c r="DZ162" s="35"/>
      <c r="EA162" s="35"/>
      <c r="EB162" s="35"/>
      <c r="EC162" s="35"/>
      <c r="ED162" s="35"/>
      <c r="EE162" s="35"/>
      <c r="EF162" s="35"/>
      <c r="EG162" s="35"/>
      <c r="EH162" s="35"/>
      <c r="EI162" s="35"/>
      <c r="EJ162" s="35"/>
      <c r="EK162" s="35"/>
      <c r="EL162" s="35"/>
      <c r="EM162" s="35"/>
      <c r="EN162" s="35"/>
      <c r="EO162" s="35"/>
      <c r="EP162" s="35"/>
      <c r="EQ162" s="35"/>
      <c r="ER162" s="35"/>
      <c r="ES162" s="35"/>
      <c r="ET162" s="35"/>
      <c r="EU162" s="35"/>
      <c r="EV162" s="35"/>
      <c r="EW162" s="35"/>
      <c r="EX162" s="35"/>
      <c r="EY162" s="35"/>
      <c r="EZ162" s="35"/>
      <c r="FA162" s="35"/>
      <c r="FB162" s="35"/>
      <c r="FC162" s="458">
        <f t="shared" si="19"/>
        <v>0</v>
      </c>
      <c r="FD162">
        <f t="shared" si="17"/>
        <v>0</v>
      </c>
      <c r="FE162" t="e">
        <f t="shared" si="18"/>
        <v>#N/A</v>
      </c>
      <c r="FI162" s="731" t="e">
        <f t="shared" si="20"/>
        <v>#VALUE!</v>
      </c>
      <c r="FK162" s="471" t="str">
        <f t="shared" si="21"/>
        <v xml:space="preserve"> </v>
      </c>
      <c r="FL162" s="730">
        <f t="shared" si="22"/>
        <v>0</v>
      </c>
      <c r="FM162" s="471" t="str">
        <f t="shared" si="23"/>
        <v/>
      </c>
      <c r="FN162" s="730">
        <f t="shared" si="16"/>
        <v>0</v>
      </c>
    </row>
    <row r="163" spans="1:170" s="33" customFormat="1" x14ac:dyDescent="0.2">
      <c r="A163" s="34" t="s">
        <v>213</v>
      </c>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c r="BG163" s="35"/>
      <c r="BH163" s="35"/>
      <c r="BI163" s="35"/>
      <c r="BJ163" s="35"/>
      <c r="BK163" s="35"/>
      <c r="BL163" s="35"/>
      <c r="BM163" s="35"/>
      <c r="BN163" s="35"/>
      <c r="BO163" s="35"/>
      <c r="BP163" s="35"/>
      <c r="BQ163" s="35"/>
      <c r="BR163" s="35"/>
      <c r="BS163" s="35"/>
      <c r="BT163" s="35"/>
      <c r="BU163" s="35"/>
      <c r="BV163" s="35"/>
      <c r="BW163" s="35"/>
      <c r="BX163" s="35"/>
      <c r="BY163" s="35"/>
      <c r="BZ163" s="35"/>
      <c r="CA163" s="35"/>
      <c r="CB163" s="35"/>
      <c r="CC163" s="35"/>
      <c r="CD163" s="35"/>
      <c r="CE163" s="35"/>
      <c r="CF163" s="35"/>
      <c r="CG163" s="35"/>
      <c r="CH163" s="35"/>
      <c r="CI163" s="35"/>
      <c r="CJ163" s="35"/>
      <c r="CK163" s="35"/>
      <c r="CL163" s="35"/>
      <c r="CM163" s="35"/>
      <c r="CN163" s="35"/>
      <c r="CO163" s="35"/>
      <c r="CP163" s="35"/>
      <c r="CQ163" s="35"/>
      <c r="CR163" s="35"/>
      <c r="CS163" s="35"/>
      <c r="CT163" s="35"/>
      <c r="CU163" s="35"/>
      <c r="CV163" s="35"/>
      <c r="CW163" s="35"/>
      <c r="CX163" s="35"/>
      <c r="CY163" s="35"/>
      <c r="CZ163" s="35"/>
      <c r="DA163" s="35"/>
      <c r="DB163" s="35"/>
      <c r="DC163" s="35"/>
      <c r="DD163" s="35"/>
      <c r="DE163" s="35"/>
      <c r="DF163" s="35"/>
      <c r="DG163" s="35"/>
      <c r="DH163" s="35"/>
      <c r="DI163" s="35"/>
      <c r="DJ163" s="35"/>
      <c r="DK163" s="35"/>
      <c r="DL163" s="35"/>
      <c r="DM163" s="35"/>
      <c r="DN163" s="35"/>
      <c r="DO163" s="35"/>
      <c r="DP163" s="35"/>
      <c r="DQ163" s="35"/>
      <c r="DR163" s="35"/>
      <c r="DS163" s="35"/>
      <c r="DT163" s="35"/>
      <c r="DU163" s="35"/>
      <c r="DV163" s="35"/>
      <c r="DW163" s="35"/>
      <c r="DX163" s="35"/>
      <c r="DY163" s="35"/>
      <c r="DZ163" s="35"/>
      <c r="EA163" s="35"/>
      <c r="EB163" s="35"/>
      <c r="EC163" s="35"/>
      <c r="ED163" s="35"/>
      <c r="EE163" s="35"/>
      <c r="EF163" s="35"/>
      <c r="EG163" s="35"/>
      <c r="EH163" s="35"/>
      <c r="EI163" s="35"/>
      <c r="EJ163" s="35"/>
      <c r="EK163" s="35"/>
      <c r="EL163" s="35"/>
      <c r="EM163" s="35"/>
      <c r="EN163" s="35"/>
      <c r="EO163" s="35"/>
      <c r="EP163" s="35"/>
      <c r="EQ163" s="35"/>
      <c r="ER163" s="35"/>
      <c r="ES163" s="35"/>
      <c r="ET163" s="35"/>
      <c r="EU163" s="35"/>
      <c r="EV163" s="35"/>
      <c r="EW163" s="35"/>
      <c r="EX163" s="35"/>
      <c r="EY163" s="35"/>
      <c r="EZ163" s="35"/>
      <c r="FA163" s="35"/>
      <c r="FB163" s="35"/>
      <c r="FC163" s="458">
        <f t="shared" si="19"/>
        <v>0</v>
      </c>
      <c r="FD163">
        <f t="shared" si="17"/>
        <v>0</v>
      </c>
      <c r="FE163" t="e">
        <f t="shared" si="18"/>
        <v>#N/A</v>
      </c>
      <c r="FI163" s="731" t="e">
        <f t="shared" si="20"/>
        <v>#VALUE!</v>
      </c>
      <c r="FK163" s="471" t="str">
        <f t="shared" si="21"/>
        <v xml:space="preserve"> </v>
      </c>
      <c r="FL163" s="730">
        <f t="shared" si="22"/>
        <v>0</v>
      </c>
      <c r="FM163" s="471" t="str">
        <f t="shared" si="23"/>
        <v/>
      </c>
      <c r="FN163" s="730">
        <f t="shared" si="16"/>
        <v>0</v>
      </c>
    </row>
    <row r="164" spans="1:170" s="33" customFormat="1" x14ac:dyDescent="0.2">
      <c r="A164" s="34" t="s">
        <v>214</v>
      </c>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c r="BM164" s="35"/>
      <c r="BN164" s="35"/>
      <c r="BO164" s="35"/>
      <c r="BP164" s="35"/>
      <c r="BQ164" s="35"/>
      <c r="BR164" s="35"/>
      <c r="BS164" s="35"/>
      <c r="BT164" s="35"/>
      <c r="BU164" s="35"/>
      <c r="BV164" s="35"/>
      <c r="BW164" s="35"/>
      <c r="BX164" s="35"/>
      <c r="BY164" s="35"/>
      <c r="BZ164" s="35"/>
      <c r="CA164" s="35"/>
      <c r="CB164" s="35"/>
      <c r="CC164" s="35"/>
      <c r="CD164" s="35"/>
      <c r="CE164" s="35"/>
      <c r="CF164" s="35"/>
      <c r="CG164" s="35"/>
      <c r="CH164" s="35"/>
      <c r="CI164" s="35"/>
      <c r="CJ164" s="35"/>
      <c r="CK164" s="35"/>
      <c r="CL164" s="35"/>
      <c r="CM164" s="35"/>
      <c r="CN164" s="35"/>
      <c r="CO164" s="35"/>
      <c r="CP164" s="35"/>
      <c r="CQ164" s="35"/>
      <c r="CR164" s="35"/>
      <c r="CS164" s="35"/>
      <c r="CT164" s="35"/>
      <c r="CU164" s="35"/>
      <c r="CV164" s="35"/>
      <c r="CW164" s="35"/>
      <c r="CX164" s="35"/>
      <c r="CY164" s="35"/>
      <c r="CZ164" s="35"/>
      <c r="DA164" s="35"/>
      <c r="DB164" s="35"/>
      <c r="DC164" s="35"/>
      <c r="DD164" s="35"/>
      <c r="DE164" s="35"/>
      <c r="DF164" s="35"/>
      <c r="DG164" s="35"/>
      <c r="DH164" s="35"/>
      <c r="DI164" s="35"/>
      <c r="DJ164" s="35"/>
      <c r="DK164" s="35"/>
      <c r="DL164" s="35"/>
      <c r="DM164" s="35"/>
      <c r="DN164" s="35"/>
      <c r="DO164" s="35"/>
      <c r="DP164" s="35"/>
      <c r="DQ164" s="35"/>
      <c r="DR164" s="35"/>
      <c r="DS164" s="35"/>
      <c r="DT164" s="35"/>
      <c r="DU164" s="35"/>
      <c r="DV164" s="35"/>
      <c r="DW164" s="35"/>
      <c r="DX164" s="35"/>
      <c r="DY164" s="35"/>
      <c r="DZ164" s="35"/>
      <c r="EA164" s="35"/>
      <c r="EB164" s="35"/>
      <c r="EC164" s="35"/>
      <c r="ED164" s="35"/>
      <c r="EE164" s="35"/>
      <c r="EF164" s="35"/>
      <c r="EG164" s="35"/>
      <c r="EH164" s="35"/>
      <c r="EI164" s="35"/>
      <c r="EJ164" s="35"/>
      <c r="EK164" s="35"/>
      <c r="EL164" s="35"/>
      <c r="EM164" s="35"/>
      <c r="EN164" s="35"/>
      <c r="EO164" s="35"/>
      <c r="EP164" s="35"/>
      <c r="EQ164" s="35"/>
      <c r="ER164" s="35"/>
      <c r="ES164" s="35"/>
      <c r="ET164" s="35"/>
      <c r="EU164" s="35"/>
      <c r="EV164" s="35"/>
      <c r="EW164" s="35"/>
      <c r="EX164" s="35"/>
      <c r="EY164" s="35"/>
      <c r="EZ164" s="35"/>
      <c r="FA164" s="35"/>
      <c r="FB164" s="35"/>
      <c r="FC164" s="458">
        <f t="shared" si="19"/>
        <v>0</v>
      </c>
      <c r="FD164">
        <f t="shared" si="17"/>
        <v>0</v>
      </c>
      <c r="FE164" t="e">
        <f t="shared" si="18"/>
        <v>#N/A</v>
      </c>
      <c r="FI164" s="731" t="e">
        <f t="shared" si="20"/>
        <v>#VALUE!</v>
      </c>
      <c r="FK164" s="471" t="str">
        <f t="shared" si="21"/>
        <v xml:space="preserve"> </v>
      </c>
      <c r="FL164" s="730">
        <f t="shared" si="22"/>
        <v>0</v>
      </c>
      <c r="FM164" s="471" t="str">
        <f t="shared" si="23"/>
        <v/>
      </c>
      <c r="FN164" s="730">
        <f t="shared" si="16"/>
        <v>0</v>
      </c>
    </row>
    <row r="165" spans="1:170" s="33" customFormat="1" x14ac:dyDescent="0.2">
      <c r="A165" s="34" t="s">
        <v>215</v>
      </c>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s="35"/>
      <c r="BI165" s="35"/>
      <c r="BJ165" s="35"/>
      <c r="BK165" s="35"/>
      <c r="BL165" s="35"/>
      <c r="BM165" s="35"/>
      <c r="BN165" s="35"/>
      <c r="BO165" s="35"/>
      <c r="BP165" s="35"/>
      <c r="BQ165" s="35"/>
      <c r="BR165" s="35"/>
      <c r="BS165" s="35"/>
      <c r="BT165" s="35"/>
      <c r="BU165" s="35"/>
      <c r="BV165" s="35"/>
      <c r="BW165" s="35"/>
      <c r="BX165" s="35"/>
      <c r="BY165" s="35"/>
      <c r="BZ165" s="35"/>
      <c r="CA165" s="35"/>
      <c r="CB165" s="35"/>
      <c r="CC165" s="35"/>
      <c r="CD165" s="35"/>
      <c r="CE165" s="35"/>
      <c r="CF165" s="35"/>
      <c r="CG165" s="35"/>
      <c r="CH165" s="35"/>
      <c r="CI165" s="35"/>
      <c r="CJ165" s="35"/>
      <c r="CK165" s="35"/>
      <c r="CL165" s="35"/>
      <c r="CM165" s="35"/>
      <c r="CN165" s="35"/>
      <c r="CO165" s="35"/>
      <c r="CP165" s="35"/>
      <c r="CQ165" s="35"/>
      <c r="CR165" s="35"/>
      <c r="CS165" s="35"/>
      <c r="CT165" s="35"/>
      <c r="CU165" s="35"/>
      <c r="CV165" s="35"/>
      <c r="CW165" s="35"/>
      <c r="CX165" s="35"/>
      <c r="CY165" s="35"/>
      <c r="CZ165" s="35"/>
      <c r="DA165" s="35"/>
      <c r="DB165" s="35"/>
      <c r="DC165" s="35"/>
      <c r="DD165" s="35"/>
      <c r="DE165" s="35"/>
      <c r="DF165" s="35"/>
      <c r="DG165" s="35"/>
      <c r="DH165" s="35"/>
      <c r="DI165" s="35"/>
      <c r="DJ165" s="35"/>
      <c r="DK165" s="35"/>
      <c r="DL165" s="35"/>
      <c r="DM165" s="35"/>
      <c r="DN165" s="35"/>
      <c r="DO165" s="35"/>
      <c r="DP165" s="35"/>
      <c r="DQ165" s="35"/>
      <c r="DR165" s="35"/>
      <c r="DS165" s="35"/>
      <c r="DT165" s="35"/>
      <c r="DU165" s="35"/>
      <c r="DV165" s="35"/>
      <c r="DW165" s="35"/>
      <c r="DX165" s="35"/>
      <c r="DY165" s="35"/>
      <c r="DZ165" s="35"/>
      <c r="EA165" s="35"/>
      <c r="EB165" s="35"/>
      <c r="EC165" s="35"/>
      <c r="ED165" s="35"/>
      <c r="EE165" s="35"/>
      <c r="EF165" s="35"/>
      <c r="EG165" s="35"/>
      <c r="EH165" s="35"/>
      <c r="EI165" s="35"/>
      <c r="EJ165" s="35"/>
      <c r="EK165" s="35"/>
      <c r="EL165" s="35"/>
      <c r="EM165" s="35"/>
      <c r="EN165" s="35"/>
      <c r="EO165" s="35"/>
      <c r="EP165" s="35"/>
      <c r="EQ165" s="35"/>
      <c r="ER165" s="35"/>
      <c r="ES165" s="35"/>
      <c r="ET165" s="35"/>
      <c r="EU165" s="35"/>
      <c r="EV165" s="35"/>
      <c r="EW165" s="35"/>
      <c r="EX165" s="35"/>
      <c r="EY165" s="35"/>
      <c r="EZ165" s="35"/>
      <c r="FA165" s="35"/>
      <c r="FB165" s="35"/>
      <c r="FC165" s="458">
        <f t="shared" si="19"/>
        <v>0</v>
      </c>
      <c r="FD165">
        <f t="shared" si="17"/>
        <v>0</v>
      </c>
      <c r="FE165" t="e">
        <f t="shared" si="18"/>
        <v>#N/A</v>
      </c>
      <c r="FI165" s="731" t="e">
        <f t="shared" si="20"/>
        <v>#VALUE!</v>
      </c>
      <c r="FK165" s="471" t="str">
        <f t="shared" si="21"/>
        <v xml:space="preserve"> </v>
      </c>
      <c r="FL165" s="730">
        <f t="shared" si="22"/>
        <v>0</v>
      </c>
      <c r="FM165" s="471" t="str">
        <f t="shared" si="23"/>
        <v/>
      </c>
      <c r="FN165" s="730">
        <f t="shared" si="16"/>
        <v>0</v>
      </c>
    </row>
    <row r="166" spans="1:170" s="33" customFormat="1" x14ac:dyDescent="0.2">
      <c r="A166" s="34" t="s">
        <v>216</v>
      </c>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c r="BG166" s="35"/>
      <c r="BH166" s="35"/>
      <c r="BI166" s="35"/>
      <c r="BJ166" s="35"/>
      <c r="BK166" s="35"/>
      <c r="BL166" s="35"/>
      <c r="BM166" s="35"/>
      <c r="BN166" s="35"/>
      <c r="BO166" s="35"/>
      <c r="BP166" s="35"/>
      <c r="BQ166" s="35"/>
      <c r="BR166" s="35"/>
      <c r="BS166" s="35"/>
      <c r="BT166" s="35"/>
      <c r="BU166" s="35"/>
      <c r="BV166" s="35"/>
      <c r="BW166" s="35"/>
      <c r="BX166" s="35"/>
      <c r="BY166" s="35"/>
      <c r="BZ166" s="35"/>
      <c r="CA166" s="35"/>
      <c r="CB166" s="35"/>
      <c r="CC166" s="35"/>
      <c r="CD166" s="35"/>
      <c r="CE166" s="35"/>
      <c r="CF166" s="35"/>
      <c r="CG166" s="35"/>
      <c r="CH166" s="35"/>
      <c r="CI166" s="35"/>
      <c r="CJ166" s="35"/>
      <c r="CK166" s="35"/>
      <c r="CL166" s="35"/>
      <c r="CM166" s="35"/>
      <c r="CN166" s="35"/>
      <c r="CO166" s="35"/>
      <c r="CP166" s="35"/>
      <c r="CQ166" s="35"/>
      <c r="CR166" s="35"/>
      <c r="CS166" s="35"/>
      <c r="CT166" s="35"/>
      <c r="CU166" s="35"/>
      <c r="CV166" s="35"/>
      <c r="CW166" s="35"/>
      <c r="CX166" s="35"/>
      <c r="CY166" s="35"/>
      <c r="CZ166" s="35"/>
      <c r="DA166" s="35"/>
      <c r="DB166" s="35"/>
      <c r="DC166" s="35"/>
      <c r="DD166" s="35"/>
      <c r="DE166" s="35"/>
      <c r="DF166" s="35"/>
      <c r="DG166" s="35"/>
      <c r="DH166" s="35"/>
      <c r="DI166" s="35"/>
      <c r="DJ166" s="35"/>
      <c r="DK166" s="35"/>
      <c r="DL166" s="35"/>
      <c r="DM166" s="35"/>
      <c r="DN166" s="35"/>
      <c r="DO166" s="35"/>
      <c r="DP166" s="35"/>
      <c r="DQ166" s="35"/>
      <c r="DR166" s="35"/>
      <c r="DS166" s="35"/>
      <c r="DT166" s="35"/>
      <c r="DU166" s="35"/>
      <c r="DV166" s="35"/>
      <c r="DW166" s="35"/>
      <c r="DX166" s="35"/>
      <c r="DY166" s="35"/>
      <c r="DZ166" s="35"/>
      <c r="EA166" s="35"/>
      <c r="EB166" s="35"/>
      <c r="EC166" s="35"/>
      <c r="ED166" s="35"/>
      <c r="EE166" s="35"/>
      <c r="EF166" s="35"/>
      <c r="EG166" s="35"/>
      <c r="EH166" s="35"/>
      <c r="EI166" s="35"/>
      <c r="EJ166" s="35"/>
      <c r="EK166" s="35"/>
      <c r="EL166" s="35"/>
      <c r="EM166" s="35"/>
      <c r="EN166" s="35"/>
      <c r="EO166" s="35"/>
      <c r="EP166" s="35"/>
      <c r="EQ166" s="35"/>
      <c r="ER166" s="35"/>
      <c r="ES166" s="35"/>
      <c r="ET166" s="35"/>
      <c r="EU166" s="35"/>
      <c r="EV166" s="35"/>
      <c r="EW166" s="35"/>
      <c r="EX166" s="35"/>
      <c r="EY166" s="35"/>
      <c r="EZ166" s="35"/>
      <c r="FA166" s="35"/>
      <c r="FB166" s="35"/>
      <c r="FC166" s="458">
        <f t="shared" si="19"/>
        <v>0</v>
      </c>
      <c r="FD166">
        <f t="shared" si="17"/>
        <v>0</v>
      </c>
      <c r="FE166" t="e">
        <f t="shared" si="18"/>
        <v>#N/A</v>
      </c>
      <c r="FI166" s="731" t="e">
        <f t="shared" si="20"/>
        <v>#VALUE!</v>
      </c>
      <c r="FK166" s="471" t="str">
        <f t="shared" si="21"/>
        <v xml:space="preserve"> </v>
      </c>
      <c r="FL166" s="730">
        <f t="shared" si="22"/>
        <v>0</v>
      </c>
      <c r="FM166" s="471" t="str">
        <f t="shared" si="23"/>
        <v/>
      </c>
      <c r="FN166" s="730">
        <f t="shared" si="16"/>
        <v>0</v>
      </c>
    </row>
    <row r="167" spans="1:170" s="33" customFormat="1" x14ac:dyDescent="0.2">
      <c r="A167" s="34" t="s">
        <v>217</v>
      </c>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c r="BG167" s="35"/>
      <c r="BH167" s="35"/>
      <c r="BI167" s="35"/>
      <c r="BJ167" s="35"/>
      <c r="BK167" s="35"/>
      <c r="BL167" s="35"/>
      <c r="BM167" s="35"/>
      <c r="BN167" s="35"/>
      <c r="BO167" s="35"/>
      <c r="BP167" s="35"/>
      <c r="BQ167" s="35"/>
      <c r="BR167" s="35"/>
      <c r="BS167" s="35"/>
      <c r="BT167" s="35"/>
      <c r="BU167" s="35"/>
      <c r="BV167" s="35"/>
      <c r="BW167" s="35"/>
      <c r="BX167" s="35"/>
      <c r="BY167" s="35"/>
      <c r="BZ167" s="35"/>
      <c r="CA167" s="35"/>
      <c r="CB167" s="35"/>
      <c r="CC167" s="35"/>
      <c r="CD167" s="35"/>
      <c r="CE167" s="35"/>
      <c r="CF167" s="35"/>
      <c r="CG167" s="35"/>
      <c r="CH167" s="35"/>
      <c r="CI167" s="35"/>
      <c r="CJ167" s="35"/>
      <c r="CK167" s="35"/>
      <c r="CL167" s="35"/>
      <c r="CM167" s="35"/>
      <c r="CN167" s="35"/>
      <c r="CO167" s="35"/>
      <c r="CP167" s="35"/>
      <c r="CQ167" s="35"/>
      <c r="CR167" s="35"/>
      <c r="CS167" s="35"/>
      <c r="CT167" s="35"/>
      <c r="CU167" s="35"/>
      <c r="CV167" s="35"/>
      <c r="CW167" s="35"/>
      <c r="CX167" s="35"/>
      <c r="CY167" s="35"/>
      <c r="CZ167" s="35"/>
      <c r="DA167" s="35"/>
      <c r="DB167" s="35"/>
      <c r="DC167" s="35"/>
      <c r="DD167" s="35"/>
      <c r="DE167" s="35"/>
      <c r="DF167" s="35"/>
      <c r="DG167" s="35"/>
      <c r="DH167" s="35"/>
      <c r="DI167" s="35"/>
      <c r="DJ167" s="35"/>
      <c r="DK167" s="35"/>
      <c r="DL167" s="35"/>
      <c r="DM167" s="35"/>
      <c r="DN167" s="35"/>
      <c r="DO167" s="35"/>
      <c r="DP167" s="35"/>
      <c r="DQ167" s="35"/>
      <c r="DR167" s="35"/>
      <c r="DS167" s="35"/>
      <c r="DT167" s="35"/>
      <c r="DU167" s="35"/>
      <c r="DV167" s="35"/>
      <c r="DW167" s="35"/>
      <c r="DX167" s="35"/>
      <c r="DY167" s="35"/>
      <c r="DZ167" s="35"/>
      <c r="EA167" s="35"/>
      <c r="EB167" s="35"/>
      <c r="EC167" s="35"/>
      <c r="ED167" s="35"/>
      <c r="EE167" s="35"/>
      <c r="EF167" s="35"/>
      <c r="EG167" s="35"/>
      <c r="EH167" s="35"/>
      <c r="EI167" s="35"/>
      <c r="EJ167" s="35"/>
      <c r="EK167" s="35"/>
      <c r="EL167" s="35"/>
      <c r="EM167" s="35"/>
      <c r="EN167" s="35"/>
      <c r="EO167" s="35"/>
      <c r="EP167" s="35"/>
      <c r="EQ167" s="35"/>
      <c r="ER167" s="35"/>
      <c r="ES167" s="35"/>
      <c r="ET167" s="35"/>
      <c r="EU167" s="35"/>
      <c r="EV167" s="35"/>
      <c r="EW167" s="35"/>
      <c r="EX167" s="35"/>
      <c r="EY167" s="35"/>
      <c r="EZ167" s="35"/>
      <c r="FA167" s="35"/>
      <c r="FB167" s="35"/>
      <c r="FC167" s="458">
        <f t="shared" si="19"/>
        <v>0</v>
      </c>
      <c r="FD167">
        <f t="shared" si="17"/>
        <v>0</v>
      </c>
      <c r="FE167" t="e">
        <f t="shared" si="18"/>
        <v>#N/A</v>
      </c>
      <c r="FI167" s="731" t="e">
        <f t="shared" si="20"/>
        <v>#VALUE!</v>
      </c>
      <c r="FK167" s="471" t="str">
        <f t="shared" si="21"/>
        <v xml:space="preserve"> </v>
      </c>
      <c r="FL167" s="730">
        <f t="shared" si="22"/>
        <v>0</v>
      </c>
      <c r="FM167" s="471" t="str">
        <f t="shared" si="23"/>
        <v/>
      </c>
      <c r="FN167" s="730">
        <f t="shared" si="16"/>
        <v>0</v>
      </c>
    </row>
    <row r="168" spans="1:170" s="33" customFormat="1" x14ac:dyDescent="0.2">
      <c r="A168" s="34" t="s">
        <v>218</v>
      </c>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c r="BJ168" s="35"/>
      <c r="BK168" s="35"/>
      <c r="BL168" s="35"/>
      <c r="BM168" s="35"/>
      <c r="BN168" s="35"/>
      <c r="BO168" s="35"/>
      <c r="BP168" s="35"/>
      <c r="BQ168" s="35"/>
      <c r="BR168" s="35"/>
      <c r="BS168" s="35"/>
      <c r="BT168" s="35"/>
      <c r="BU168" s="35"/>
      <c r="BV168" s="35"/>
      <c r="BW168" s="35"/>
      <c r="BX168" s="35"/>
      <c r="BY168" s="35"/>
      <c r="BZ168" s="35"/>
      <c r="CA168" s="35"/>
      <c r="CB168" s="35"/>
      <c r="CC168" s="35"/>
      <c r="CD168" s="35"/>
      <c r="CE168" s="35"/>
      <c r="CF168" s="35"/>
      <c r="CG168" s="35"/>
      <c r="CH168" s="35"/>
      <c r="CI168" s="35"/>
      <c r="CJ168" s="35"/>
      <c r="CK168" s="35"/>
      <c r="CL168" s="35"/>
      <c r="CM168" s="35"/>
      <c r="CN168" s="35"/>
      <c r="CO168" s="35"/>
      <c r="CP168" s="35"/>
      <c r="CQ168" s="35"/>
      <c r="CR168" s="35"/>
      <c r="CS168" s="35"/>
      <c r="CT168" s="35"/>
      <c r="CU168" s="35"/>
      <c r="CV168" s="35"/>
      <c r="CW168" s="35"/>
      <c r="CX168" s="35"/>
      <c r="CY168" s="35"/>
      <c r="CZ168" s="35"/>
      <c r="DA168" s="35"/>
      <c r="DB168" s="35"/>
      <c r="DC168" s="35"/>
      <c r="DD168" s="35"/>
      <c r="DE168" s="35"/>
      <c r="DF168" s="35"/>
      <c r="DG168" s="35"/>
      <c r="DH168" s="35"/>
      <c r="DI168" s="35"/>
      <c r="DJ168" s="35"/>
      <c r="DK168" s="35"/>
      <c r="DL168" s="35"/>
      <c r="DM168" s="35"/>
      <c r="DN168" s="35"/>
      <c r="DO168" s="35"/>
      <c r="DP168" s="35"/>
      <c r="DQ168" s="35"/>
      <c r="DR168" s="35"/>
      <c r="DS168" s="35"/>
      <c r="DT168" s="35"/>
      <c r="DU168" s="35"/>
      <c r="DV168" s="35"/>
      <c r="DW168" s="35"/>
      <c r="DX168" s="35"/>
      <c r="DY168" s="35"/>
      <c r="DZ168" s="35"/>
      <c r="EA168" s="35"/>
      <c r="EB168" s="35"/>
      <c r="EC168" s="35"/>
      <c r="ED168" s="35"/>
      <c r="EE168" s="35"/>
      <c r="EF168" s="35"/>
      <c r="EG168" s="35"/>
      <c r="EH168" s="35"/>
      <c r="EI168" s="35"/>
      <c r="EJ168" s="35"/>
      <c r="EK168" s="35"/>
      <c r="EL168" s="35"/>
      <c r="EM168" s="35"/>
      <c r="EN168" s="35"/>
      <c r="EO168" s="35"/>
      <c r="EP168" s="35"/>
      <c r="EQ168" s="35"/>
      <c r="ER168" s="35"/>
      <c r="ES168" s="35"/>
      <c r="ET168" s="35"/>
      <c r="EU168" s="35"/>
      <c r="EV168" s="35"/>
      <c r="EW168" s="35"/>
      <c r="EX168" s="35"/>
      <c r="EY168" s="35"/>
      <c r="EZ168" s="35"/>
      <c r="FA168" s="35"/>
      <c r="FB168" s="35"/>
      <c r="FC168" s="458">
        <f t="shared" si="19"/>
        <v>0</v>
      </c>
      <c r="FD168">
        <f t="shared" si="17"/>
        <v>0</v>
      </c>
      <c r="FE168" t="e">
        <f t="shared" si="18"/>
        <v>#N/A</v>
      </c>
      <c r="FI168" s="731" t="e">
        <f t="shared" si="20"/>
        <v>#VALUE!</v>
      </c>
      <c r="FK168" s="471" t="str">
        <f t="shared" si="21"/>
        <v xml:space="preserve"> </v>
      </c>
      <c r="FL168" s="730">
        <f t="shared" si="22"/>
        <v>0</v>
      </c>
      <c r="FM168" s="471" t="str">
        <f t="shared" si="23"/>
        <v/>
      </c>
      <c r="FN168" s="730">
        <f t="shared" si="16"/>
        <v>0</v>
      </c>
    </row>
    <row r="169" spans="1:170" s="33" customFormat="1" x14ac:dyDescent="0.2">
      <c r="A169" s="34" t="s">
        <v>219</v>
      </c>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s="35"/>
      <c r="BI169" s="35"/>
      <c r="BJ169" s="35"/>
      <c r="BK169" s="35"/>
      <c r="BL169" s="35"/>
      <c r="BM169" s="35"/>
      <c r="BN169" s="35"/>
      <c r="BO169" s="35"/>
      <c r="BP169" s="35"/>
      <c r="BQ169" s="35"/>
      <c r="BR169" s="35"/>
      <c r="BS169" s="35"/>
      <c r="BT169" s="35"/>
      <c r="BU169" s="35"/>
      <c r="BV169" s="35"/>
      <c r="BW169" s="35"/>
      <c r="BX169" s="35"/>
      <c r="BY169" s="35"/>
      <c r="BZ169" s="35"/>
      <c r="CA169" s="35"/>
      <c r="CB169" s="35"/>
      <c r="CC169" s="35"/>
      <c r="CD169" s="35"/>
      <c r="CE169" s="35"/>
      <c r="CF169" s="35"/>
      <c r="CG169" s="35"/>
      <c r="CH169" s="35"/>
      <c r="CI169" s="35"/>
      <c r="CJ169" s="35"/>
      <c r="CK169" s="35"/>
      <c r="CL169" s="35"/>
      <c r="CM169" s="35"/>
      <c r="CN169" s="35"/>
      <c r="CO169" s="35"/>
      <c r="CP169" s="35"/>
      <c r="CQ169" s="35"/>
      <c r="CR169" s="35"/>
      <c r="CS169" s="35"/>
      <c r="CT169" s="35"/>
      <c r="CU169" s="35"/>
      <c r="CV169" s="35"/>
      <c r="CW169" s="35"/>
      <c r="CX169" s="35"/>
      <c r="CY169" s="35"/>
      <c r="CZ169" s="35"/>
      <c r="DA169" s="35"/>
      <c r="DB169" s="35"/>
      <c r="DC169" s="35"/>
      <c r="DD169" s="35"/>
      <c r="DE169" s="35"/>
      <c r="DF169" s="35"/>
      <c r="DG169" s="35"/>
      <c r="DH169" s="35"/>
      <c r="DI169" s="35"/>
      <c r="DJ169" s="35"/>
      <c r="DK169" s="35"/>
      <c r="DL169" s="35"/>
      <c r="DM169" s="35"/>
      <c r="DN169" s="35"/>
      <c r="DO169" s="35"/>
      <c r="DP169" s="35"/>
      <c r="DQ169" s="35"/>
      <c r="DR169" s="35"/>
      <c r="DS169" s="35"/>
      <c r="DT169" s="35"/>
      <c r="DU169" s="35"/>
      <c r="DV169" s="35"/>
      <c r="DW169" s="35"/>
      <c r="DX169" s="35"/>
      <c r="DY169" s="35"/>
      <c r="DZ169" s="35"/>
      <c r="EA169" s="35"/>
      <c r="EB169" s="35"/>
      <c r="EC169" s="35"/>
      <c r="ED169" s="35"/>
      <c r="EE169" s="35"/>
      <c r="EF169" s="35"/>
      <c r="EG169" s="35"/>
      <c r="EH169" s="35"/>
      <c r="EI169" s="35"/>
      <c r="EJ169" s="35"/>
      <c r="EK169" s="35"/>
      <c r="EL169" s="35"/>
      <c r="EM169" s="35"/>
      <c r="EN169" s="35"/>
      <c r="EO169" s="35"/>
      <c r="EP169" s="35"/>
      <c r="EQ169" s="35"/>
      <c r="ER169" s="35"/>
      <c r="ES169" s="35"/>
      <c r="ET169" s="35"/>
      <c r="EU169" s="35"/>
      <c r="EV169" s="35"/>
      <c r="EW169" s="35"/>
      <c r="EX169" s="35"/>
      <c r="EY169" s="35"/>
      <c r="EZ169" s="35"/>
      <c r="FA169" s="35"/>
      <c r="FB169" s="35"/>
      <c r="FC169" s="458">
        <f t="shared" si="19"/>
        <v>0</v>
      </c>
      <c r="FD169">
        <f t="shared" si="17"/>
        <v>0</v>
      </c>
      <c r="FE169" t="e">
        <f t="shared" si="18"/>
        <v>#N/A</v>
      </c>
      <c r="FI169" s="731" t="e">
        <f t="shared" si="20"/>
        <v>#VALUE!</v>
      </c>
      <c r="FK169" s="471" t="str">
        <f t="shared" si="21"/>
        <v xml:space="preserve"> </v>
      </c>
      <c r="FL169" s="730">
        <f t="shared" si="22"/>
        <v>0</v>
      </c>
      <c r="FM169" s="471" t="str">
        <f t="shared" si="23"/>
        <v/>
      </c>
      <c r="FN169" s="730">
        <f t="shared" si="16"/>
        <v>0</v>
      </c>
    </row>
    <row r="170" spans="1:170" s="33" customFormat="1" x14ac:dyDescent="0.2">
      <c r="A170" s="34" t="s">
        <v>220</v>
      </c>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s="35"/>
      <c r="BI170" s="35"/>
      <c r="BJ170" s="35"/>
      <c r="BK170" s="35"/>
      <c r="BL170" s="35"/>
      <c r="BM170" s="35"/>
      <c r="BN170" s="35"/>
      <c r="BO170" s="35"/>
      <c r="BP170" s="35"/>
      <c r="BQ170" s="35"/>
      <c r="BR170" s="35"/>
      <c r="BS170" s="35"/>
      <c r="BT170" s="35"/>
      <c r="BU170" s="35"/>
      <c r="BV170" s="35"/>
      <c r="BW170" s="35"/>
      <c r="BX170" s="35"/>
      <c r="BY170" s="35"/>
      <c r="BZ170" s="35"/>
      <c r="CA170" s="35"/>
      <c r="CB170" s="35"/>
      <c r="CC170" s="35"/>
      <c r="CD170" s="35"/>
      <c r="CE170" s="35"/>
      <c r="CF170" s="35"/>
      <c r="CG170" s="35"/>
      <c r="CH170" s="35"/>
      <c r="CI170" s="35"/>
      <c r="CJ170" s="35"/>
      <c r="CK170" s="35"/>
      <c r="CL170" s="35"/>
      <c r="CM170" s="35"/>
      <c r="CN170" s="35"/>
      <c r="CO170" s="35"/>
      <c r="CP170" s="35"/>
      <c r="CQ170" s="35"/>
      <c r="CR170" s="35"/>
      <c r="CS170" s="35"/>
      <c r="CT170" s="35"/>
      <c r="CU170" s="35"/>
      <c r="CV170" s="35"/>
      <c r="CW170" s="35"/>
      <c r="CX170" s="35"/>
      <c r="CY170" s="35"/>
      <c r="CZ170" s="35"/>
      <c r="DA170" s="35"/>
      <c r="DB170" s="35"/>
      <c r="DC170" s="35"/>
      <c r="DD170" s="35"/>
      <c r="DE170" s="35"/>
      <c r="DF170" s="35"/>
      <c r="DG170" s="35"/>
      <c r="DH170" s="35"/>
      <c r="DI170" s="35"/>
      <c r="DJ170" s="35"/>
      <c r="DK170" s="35"/>
      <c r="DL170" s="35"/>
      <c r="DM170" s="35"/>
      <c r="DN170" s="35"/>
      <c r="DO170" s="35"/>
      <c r="DP170" s="35"/>
      <c r="DQ170" s="35"/>
      <c r="DR170" s="35"/>
      <c r="DS170" s="35"/>
      <c r="DT170" s="35"/>
      <c r="DU170" s="35"/>
      <c r="DV170" s="35"/>
      <c r="DW170" s="35"/>
      <c r="DX170" s="35"/>
      <c r="DY170" s="35"/>
      <c r="DZ170" s="35"/>
      <c r="EA170" s="35"/>
      <c r="EB170" s="35"/>
      <c r="EC170" s="35"/>
      <c r="ED170" s="35"/>
      <c r="EE170" s="35"/>
      <c r="EF170" s="35"/>
      <c r="EG170" s="35"/>
      <c r="EH170" s="35"/>
      <c r="EI170" s="35"/>
      <c r="EJ170" s="35"/>
      <c r="EK170" s="35"/>
      <c r="EL170" s="35"/>
      <c r="EM170" s="35"/>
      <c r="EN170" s="35"/>
      <c r="EO170" s="35"/>
      <c r="EP170" s="35"/>
      <c r="EQ170" s="35"/>
      <c r="ER170" s="35"/>
      <c r="ES170" s="35"/>
      <c r="ET170" s="35"/>
      <c r="EU170" s="35"/>
      <c r="EV170" s="35"/>
      <c r="EW170" s="35"/>
      <c r="EX170" s="35"/>
      <c r="EY170" s="35"/>
      <c r="EZ170" s="35"/>
      <c r="FA170" s="35"/>
      <c r="FB170" s="35"/>
      <c r="FC170" s="458">
        <f t="shared" si="19"/>
        <v>0</v>
      </c>
      <c r="FD170">
        <f t="shared" si="17"/>
        <v>0</v>
      </c>
      <c r="FE170" t="e">
        <f t="shared" si="18"/>
        <v>#N/A</v>
      </c>
      <c r="FI170" s="731" t="e">
        <f t="shared" si="20"/>
        <v>#VALUE!</v>
      </c>
      <c r="FK170" s="471" t="str">
        <f t="shared" si="21"/>
        <v xml:space="preserve"> </v>
      </c>
      <c r="FL170" s="730">
        <f t="shared" si="22"/>
        <v>0</v>
      </c>
      <c r="FM170" s="471" t="str">
        <f t="shared" si="23"/>
        <v/>
      </c>
      <c r="FN170" s="730">
        <f t="shared" si="16"/>
        <v>0</v>
      </c>
    </row>
    <row r="171" spans="1:170" s="33" customFormat="1" x14ac:dyDescent="0.2">
      <c r="A171" s="34" t="s">
        <v>221</v>
      </c>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c r="BG171" s="35"/>
      <c r="BH171" s="35"/>
      <c r="BI171" s="35"/>
      <c r="BJ171" s="35"/>
      <c r="BK171" s="35"/>
      <c r="BL171" s="35"/>
      <c r="BM171" s="35"/>
      <c r="BN171" s="35"/>
      <c r="BO171" s="35"/>
      <c r="BP171" s="35"/>
      <c r="BQ171" s="35"/>
      <c r="BR171" s="35"/>
      <c r="BS171" s="35"/>
      <c r="BT171" s="35"/>
      <c r="BU171" s="35"/>
      <c r="BV171" s="35"/>
      <c r="BW171" s="35"/>
      <c r="BX171" s="35"/>
      <c r="BY171" s="35"/>
      <c r="BZ171" s="35"/>
      <c r="CA171" s="35"/>
      <c r="CB171" s="35"/>
      <c r="CC171" s="35"/>
      <c r="CD171" s="35"/>
      <c r="CE171" s="35"/>
      <c r="CF171" s="35"/>
      <c r="CG171" s="35"/>
      <c r="CH171" s="35"/>
      <c r="CI171" s="35"/>
      <c r="CJ171" s="35"/>
      <c r="CK171" s="35"/>
      <c r="CL171" s="35"/>
      <c r="CM171" s="35"/>
      <c r="CN171" s="35"/>
      <c r="CO171" s="35"/>
      <c r="CP171" s="35"/>
      <c r="CQ171" s="35"/>
      <c r="CR171" s="35"/>
      <c r="CS171" s="35"/>
      <c r="CT171" s="35"/>
      <c r="CU171" s="35"/>
      <c r="CV171" s="35"/>
      <c r="CW171" s="35"/>
      <c r="CX171" s="35"/>
      <c r="CY171" s="35"/>
      <c r="CZ171" s="35"/>
      <c r="DA171" s="35"/>
      <c r="DB171" s="35"/>
      <c r="DC171" s="35"/>
      <c r="DD171" s="35"/>
      <c r="DE171" s="35"/>
      <c r="DF171" s="35"/>
      <c r="DG171" s="35"/>
      <c r="DH171" s="35"/>
      <c r="DI171" s="35"/>
      <c r="DJ171" s="35"/>
      <c r="DK171" s="35"/>
      <c r="DL171" s="35"/>
      <c r="DM171" s="35"/>
      <c r="DN171" s="35"/>
      <c r="DO171" s="35"/>
      <c r="DP171" s="35"/>
      <c r="DQ171" s="35"/>
      <c r="DR171" s="35"/>
      <c r="DS171" s="35"/>
      <c r="DT171" s="35"/>
      <c r="DU171" s="35"/>
      <c r="DV171" s="35"/>
      <c r="DW171" s="35"/>
      <c r="DX171" s="35"/>
      <c r="DY171" s="35"/>
      <c r="DZ171" s="35"/>
      <c r="EA171" s="35"/>
      <c r="EB171" s="35"/>
      <c r="EC171" s="35"/>
      <c r="ED171" s="35"/>
      <c r="EE171" s="35"/>
      <c r="EF171" s="35"/>
      <c r="EG171" s="35"/>
      <c r="EH171" s="35"/>
      <c r="EI171" s="35"/>
      <c r="EJ171" s="35"/>
      <c r="EK171" s="35"/>
      <c r="EL171" s="35"/>
      <c r="EM171" s="35"/>
      <c r="EN171" s="35"/>
      <c r="EO171" s="35"/>
      <c r="EP171" s="35"/>
      <c r="EQ171" s="35"/>
      <c r="ER171" s="35"/>
      <c r="ES171" s="35"/>
      <c r="ET171" s="35"/>
      <c r="EU171" s="35"/>
      <c r="EV171" s="35"/>
      <c r="EW171" s="35"/>
      <c r="EX171" s="35"/>
      <c r="EY171" s="35"/>
      <c r="EZ171" s="35"/>
      <c r="FA171" s="35"/>
      <c r="FB171" s="35"/>
      <c r="FC171" s="458">
        <f t="shared" si="19"/>
        <v>0</v>
      </c>
      <c r="FD171">
        <f t="shared" si="17"/>
        <v>0</v>
      </c>
      <c r="FE171" t="e">
        <f t="shared" si="18"/>
        <v>#N/A</v>
      </c>
      <c r="FI171" s="731" t="e">
        <f t="shared" si="20"/>
        <v>#VALUE!</v>
      </c>
      <c r="FK171" s="471" t="str">
        <f t="shared" si="21"/>
        <v xml:space="preserve"> </v>
      </c>
      <c r="FL171" s="730">
        <f t="shared" si="22"/>
        <v>0</v>
      </c>
      <c r="FM171" s="471" t="str">
        <f t="shared" si="23"/>
        <v/>
      </c>
      <c r="FN171" s="730">
        <f t="shared" si="16"/>
        <v>0</v>
      </c>
    </row>
    <row r="172" spans="1:170" s="33" customFormat="1" x14ac:dyDescent="0.2">
      <c r="A172" s="34" t="s">
        <v>222</v>
      </c>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c r="BG172" s="35"/>
      <c r="BH172" s="35"/>
      <c r="BI172" s="35"/>
      <c r="BJ172" s="35"/>
      <c r="BK172" s="35"/>
      <c r="BL172" s="35"/>
      <c r="BM172" s="35"/>
      <c r="BN172" s="35"/>
      <c r="BO172" s="35"/>
      <c r="BP172" s="35"/>
      <c r="BQ172" s="35"/>
      <c r="BR172" s="35"/>
      <c r="BS172" s="35"/>
      <c r="BT172" s="35"/>
      <c r="BU172" s="35"/>
      <c r="BV172" s="35"/>
      <c r="BW172" s="35"/>
      <c r="BX172" s="35"/>
      <c r="BY172" s="35"/>
      <c r="BZ172" s="35"/>
      <c r="CA172" s="35"/>
      <c r="CB172" s="35"/>
      <c r="CC172" s="35"/>
      <c r="CD172" s="35"/>
      <c r="CE172" s="35"/>
      <c r="CF172" s="35"/>
      <c r="CG172" s="35"/>
      <c r="CH172" s="35"/>
      <c r="CI172" s="35"/>
      <c r="CJ172" s="35"/>
      <c r="CK172" s="35"/>
      <c r="CL172" s="35"/>
      <c r="CM172" s="35"/>
      <c r="CN172" s="35"/>
      <c r="CO172" s="35"/>
      <c r="CP172" s="35"/>
      <c r="CQ172" s="35"/>
      <c r="CR172" s="35"/>
      <c r="CS172" s="35"/>
      <c r="CT172" s="35"/>
      <c r="CU172" s="35"/>
      <c r="CV172" s="35"/>
      <c r="CW172" s="35"/>
      <c r="CX172" s="35"/>
      <c r="CY172" s="35"/>
      <c r="CZ172" s="35"/>
      <c r="DA172" s="35"/>
      <c r="DB172" s="35"/>
      <c r="DC172" s="35"/>
      <c r="DD172" s="35"/>
      <c r="DE172" s="35"/>
      <c r="DF172" s="35"/>
      <c r="DG172" s="35"/>
      <c r="DH172" s="35"/>
      <c r="DI172" s="35"/>
      <c r="DJ172" s="35"/>
      <c r="DK172" s="35"/>
      <c r="DL172" s="35"/>
      <c r="DM172" s="35"/>
      <c r="DN172" s="35"/>
      <c r="DO172" s="35"/>
      <c r="DP172" s="35"/>
      <c r="DQ172" s="35"/>
      <c r="DR172" s="35"/>
      <c r="DS172" s="35"/>
      <c r="DT172" s="35"/>
      <c r="DU172" s="35"/>
      <c r="DV172" s="35"/>
      <c r="DW172" s="35"/>
      <c r="DX172" s="35"/>
      <c r="DY172" s="35"/>
      <c r="DZ172" s="35"/>
      <c r="EA172" s="35"/>
      <c r="EB172" s="35"/>
      <c r="EC172" s="35"/>
      <c r="ED172" s="35"/>
      <c r="EE172" s="35"/>
      <c r="EF172" s="35"/>
      <c r="EG172" s="35"/>
      <c r="EH172" s="35"/>
      <c r="EI172" s="35"/>
      <c r="EJ172" s="35"/>
      <c r="EK172" s="35"/>
      <c r="EL172" s="35"/>
      <c r="EM172" s="35"/>
      <c r="EN172" s="35"/>
      <c r="EO172" s="35"/>
      <c r="EP172" s="35"/>
      <c r="EQ172" s="35"/>
      <c r="ER172" s="35"/>
      <c r="ES172" s="35"/>
      <c r="ET172" s="35"/>
      <c r="EU172" s="35"/>
      <c r="EV172" s="35"/>
      <c r="EW172" s="35"/>
      <c r="EX172" s="35"/>
      <c r="EY172" s="35"/>
      <c r="EZ172" s="35"/>
      <c r="FA172" s="35"/>
      <c r="FB172" s="35"/>
      <c r="FC172" s="458">
        <f t="shared" si="19"/>
        <v>0</v>
      </c>
      <c r="FD172">
        <f t="shared" si="17"/>
        <v>0</v>
      </c>
      <c r="FE172" t="e">
        <f t="shared" si="18"/>
        <v>#N/A</v>
      </c>
      <c r="FI172" s="731" t="e">
        <f t="shared" si="20"/>
        <v>#VALUE!</v>
      </c>
      <c r="FK172" s="471" t="str">
        <f t="shared" si="21"/>
        <v xml:space="preserve"> </v>
      </c>
      <c r="FL172" s="730">
        <f t="shared" si="22"/>
        <v>0</v>
      </c>
      <c r="FM172" s="471" t="str">
        <f t="shared" si="23"/>
        <v/>
      </c>
      <c r="FN172" s="730">
        <f t="shared" si="16"/>
        <v>0</v>
      </c>
    </row>
    <row r="173" spans="1:170" s="33" customFormat="1" x14ac:dyDescent="0.2">
      <c r="A173" s="34" t="s">
        <v>223</v>
      </c>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c r="BG173" s="35"/>
      <c r="BH173" s="35"/>
      <c r="BI173" s="35"/>
      <c r="BJ173" s="35"/>
      <c r="BK173" s="35"/>
      <c r="BL173" s="35"/>
      <c r="BM173" s="35"/>
      <c r="BN173" s="35"/>
      <c r="BO173" s="35"/>
      <c r="BP173" s="35"/>
      <c r="BQ173" s="35"/>
      <c r="BR173" s="35"/>
      <c r="BS173" s="35"/>
      <c r="BT173" s="35"/>
      <c r="BU173" s="35"/>
      <c r="BV173" s="35"/>
      <c r="BW173" s="35"/>
      <c r="BX173" s="35"/>
      <c r="BY173" s="35"/>
      <c r="BZ173" s="35"/>
      <c r="CA173" s="35"/>
      <c r="CB173" s="35"/>
      <c r="CC173" s="35"/>
      <c r="CD173" s="35"/>
      <c r="CE173" s="35"/>
      <c r="CF173" s="35"/>
      <c r="CG173" s="35"/>
      <c r="CH173" s="35"/>
      <c r="CI173" s="35"/>
      <c r="CJ173" s="35"/>
      <c r="CK173" s="35"/>
      <c r="CL173" s="35"/>
      <c r="CM173" s="35"/>
      <c r="CN173" s="35"/>
      <c r="CO173" s="35"/>
      <c r="CP173" s="35"/>
      <c r="CQ173" s="35"/>
      <c r="CR173" s="35"/>
      <c r="CS173" s="35"/>
      <c r="CT173" s="35"/>
      <c r="CU173" s="35"/>
      <c r="CV173" s="35"/>
      <c r="CW173" s="35"/>
      <c r="CX173" s="35"/>
      <c r="CY173" s="35"/>
      <c r="CZ173" s="35"/>
      <c r="DA173" s="35"/>
      <c r="DB173" s="35"/>
      <c r="DC173" s="35"/>
      <c r="DD173" s="35"/>
      <c r="DE173" s="35"/>
      <c r="DF173" s="35"/>
      <c r="DG173" s="35"/>
      <c r="DH173" s="35"/>
      <c r="DI173" s="35"/>
      <c r="DJ173" s="35"/>
      <c r="DK173" s="35"/>
      <c r="DL173" s="35"/>
      <c r="DM173" s="35"/>
      <c r="DN173" s="35"/>
      <c r="DO173" s="35"/>
      <c r="DP173" s="35"/>
      <c r="DQ173" s="35"/>
      <c r="DR173" s="35"/>
      <c r="DS173" s="35"/>
      <c r="DT173" s="35"/>
      <c r="DU173" s="35"/>
      <c r="DV173" s="35"/>
      <c r="DW173" s="35"/>
      <c r="DX173" s="35"/>
      <c r="DY173" s="35"/>
      <c r="DZ173" s="35"/>
      <c r="EA173" s="35"/>
      <c r="EB173" s="35"/>
      <c r="EC173" s="35"/>
      <c r="ED173" s="35"/>
      <c r="EE173" s="35"/>
      <c r="EF173" s="35"/>
      <c r="EG173" s="35"/>
      <c r="EH173" s="35"/>
      <c r="EI173" s="35"/>
      <c r="EJ173" s="35"/>
      <c r="EK173" s="35"/>
      <c r="EL173" s="35"/>
      <c r="EM173" s="35"/>
      <c r="EN173" s="35"/>
      <c r="EO173" s="35"/>
      <c r="EP173" s="35"/>
      <c r="EQ173" s="35"/>
      <c r="ER173" s="35"/>
      <c r="ES173" s="35"/>
      <c r="ET173" s="35"/>
      <c r="EU173" s="35"/>
      <c r="EV173" s="35"/>
      <c r="EW173" s="35"/>
      <c r="EX173" s="35"/>
      <c r="EY173" s="35"/>
      <c r="EZ173" s="35"/>
      <c r="FA173" s="35"/>
      <c r="FB173" s="35"/>
      <c r="FC173" s="458">
        <f t="shared" si="19"/>
        <v>0</v>
      </c>
      <c r="FD173">
        <f t="shared" si="17"/>
        <v>0</v>
      </c>
      <c r="FE173" t="e">
        <f t="shared" si="18"/>
        <v>#N/A</v>
      </c>
      <c r="FI173" s="731" t="e">
        <f t="shared" si="20"/>
        <v>#VALUE!</v>
      </c>
      <c r="FK173" s="471" t="str">
        <f t="shared" si="21"/>
        <v xml:space="preserve"> </v>
      </c>
      <c r="FL173" s="730">
        <f t="shared" si="22"/>
        <v>0</v>
      </c>
      <c r="FM173" s="471" t="str">
        <f t="shared" si="23"/>
        <v/>
      </c>
      <c r="FN173" s="730">
        <f t="shared" si="16"/>
        <v>0</v>
      </c>
    </row>
    <row r="174" spans="1:170" s="33" customFormat="1" x14ac:dyDescent="0.2">
      <c r="A174" s="34" t="s">
        <v>224</v>
      </c>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c r="BG174" s="35"/>
      <c r="BH174" s="35"/>
      <c r="BI174" s="35"/>
      <c r="BJ174" s="35"/>
      <c r="BK174" s="35"/>
      <c r="BL174" s="35"/>
      <c r="BM174" s="35"/>
      <c r="BN174" s="35"/>
      <c r="BO174" s="35"/>
      <c r="BP174" s="35"/>
      <c r="BQ174" s="35"/>
      <c r="BR174" s="35"/>
      <c r="BS174" s="35"/>
      <c r="BT174" s="35"/>
      <c r="BU174" s="35"/>
      <c r="BV174" s="35"/>
      <c r="BW174" s="35"/>
      <c r="BX174" s="35"/>
      <c r="BY174" s="35"/>
      <c r="BZ174" s="35"/>
      <c r="CA174" s="35"/>
      <c r="CB174" s="35"/>
      <c r="CC174" s="35"/>
      <c r="CD174" s="35"/>
      <c r="CE174" s="35"/>
      <c r="CF174" s="35"/>
      <c r="CG174" s="35"/>
      <c r="CH174" s="35"/>
      <c r="CI174" s="35"/>
      <c r="CJ174" s="35"/>
      <c r="CK174" s="35"/>
      <c r="CL174" s="35"/>
      <c r="CM174" s="35"/>
      <c r="CN174" s="35"/>
      <c r="CO174" s="35"/>
      <c r="CP174" s="35"/>
      <c r="CQ174" s="35"/>
      <c r="CR174" s="35"/>
      <c r="CS174" s="35"/>
      <c r="CT174" s="35"/>
      <c r="CU174" s="35"/>
      <c r="CV174" s="35"/>
      <c r="CW174" s="35"/>
      <c r="CX174" s="35"/>
      <c r="CY174" s="35"/>
      <c r="CZ174" s="35"/>
      <c r="DA174" s="35"/>
      <c r="DB174" s="35"/>
      <c r="DC174" s="35"/>
      <c r="DD174" s="35"/>
      <c r="DE174" s="35"/>
      <c r="DF174" s="35"/>
      <c r="DG174" s="35"/>
      <c r="DH174" s="35"/>
      <c r="DI174" s="35"/>
      <c r="DJ174" s="35"/>
      <c r="DK174" s="35"/>
      <c r="DL174" s="35"/>
      <c r="DM174" s="35"/>
      <c r="DN174" s="35"/>
      <c r="DO174" s="35"/>
      <c r="DP174" s="35"/>
      <c r="DQ174" s="35"/>
      <c r="DR174" s="35"/>
      <c r="DS174" s="35"/>
      <c r="DT174" s="35"/>
      <c r="DU174" s="35"/>
      <c r="DV174" s="35"/>
      <c r="DW174" s="35"/>
      <c r="DX174" s="35"/>
      <c r="DY174" s="35"/>
      <c r="DZ174" s="35"/>
      <c r="EA174" s="35"/>
      <c r="EB174" s="35"/>
      <c r="EC174" s="35"/>
      <c r="ED174" s="35"/>
      <c r="EE174" s="35"/>
      <c r="EF174" s="35"/>
      <c r="EG174" s="35"/>
      <c r="EH174" s="35"/>
      <c r="EI174" s="35"/>
      <c r="EJ174" s="35"/>
      <c r="EK174" s="35"/>
      <c r="EL174" s="35"/>
      <c r="EM174" s="35"/>
      <c r="EN174" s="35"/>
      <c r="EO174" s="35"/>
      <c r="EP174" s="35"/>
      <c r="EQ174" s="35"/>
      <c r="ER174" s="35"/>
      <c r="ES174" s="35"/>
      <c r="ET174" s="35"/>
      <c r="EU174" s="35"/>
      <c r="EV174" s="35"/>
      <c r="EW174" s="35"/>
      <c r="EX174" s="35"/>
      <c r="EY174" s="35"/>
      <c r="EZ174" s="35"/>
      <c r="FA174" s="35"/>
      <c r="FB174" s="35"/>
      <c r="FC174" s="458">
        <f t="shared" si="19"/>
        <v>0</v>
      </c>
      <c r="FD174">
        <f t="shared" si="17"/>
        <v>0</v>
      </c>
      <c r="FE174" t="e">
        <f t="shared" si="18"/>
        <v>#N/A</v>
      </c>
      <c r="FI174" s="731" t="e">
        <f t="shared" si="20"/>
        <v>#VALUE!</v>
      </c>
      <c r="FK174" s="471" t="str">
        <f t="shared" si="21"/>
        <v xml:space="preserve"> </v>
      </c>
      <c r="FL174" s="730">
        <f t="shared" si="22"/>
        <v>0</v>
      </c>
      <c r="FM174" s="471" t="str">
        <f t="shared" si="23"/>
        <v/>
      </c>
      <c r="FN174" s="730">
        <f t="shared" si="16"/>
        <v>0</v>
      </c>
    </row>
    <row r="175" spans="1:170" s="33" customFormat="1" x14ac:dyDescent="0.2">
      <c r="A175" s="34" t="s">
        <v>225</v>
      </c>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c r="BG175" s="35"/>
      <c r="BH175" s="35"/>
      <c r="BI175" s="35"/>
      <c r="BJ175" s="35"/>
      <c r="BK175" s="35"/>
      <c r="BL175" s="35"/>
      <c r="BM175" s="35"/>
      <c r="BN175" s="35"/>
      <c r="BO175" s="35"/>
      <c r="BP175" s="35"/>
      <c r="BQ175" s="35"/>
      <c r="BR175" s="35"/>
      <c r="BS175" s="35"/>
      <c r="BT175" s="35"/>
      <c r="BU175" s="35"/>
      <c r="BV175" s="35"/>
      <c r="BW175" s="35"/>
      <c r="BX175" s="35"/>
      <c r="BY175" s="35"/>
      <c r="BZ175" s="35"/>
      <c r="CA175" s="35"/>
      <c r="CB175" s="35"/>
      <c r="CC175" s="35"/>
      <c r="CD175" s="35"/>
      <c r="CE175" s="35"/>
      <c r="CF175" s="35"/>
      <c r="CG175" s="35"/>
      <c r="CH175" s="35"/>
      <c r="CI175" s="35"/>
      <c r="CJ175" s="35"/>
      <c r="CK175" s="35"/>
      <c r="CL175" s="35"/>
      <c r="CM175" s="35"/>
      <c r="CN175" s="35"/>
      <c r="CO175" s="35"/>
      <c r="CP175" s="35"/>
      <c r="CQ175" s="35"/>
      <c r="CR175" s="35"/>
      <c r="CS175" s="35"/>
      <c r="CT175" s="35"/>
      <c r="CU175" s="35"/>
      <c r="CV175" s="35"/>
      <c r="CW175" s="35"/>
      <c r="CX175" s="35"/>
      <c r="CY175" s="35"/>
      <c r="CZ175" s="35"/>
      <c r="DA175" s="35"/>
      <c r="DB175" s="35"/>
      <c r="DC175" s="35"/>
      <c r="DD175" s="35"/>
      <c r="DE175" s="35"/>
      <c r="DF175" s="35"/>
      <c r="DG175" s="35"/>
      <c r="DH175" s="35"/>
      <c r="DI175" s="35"/>
      <c r="DJ175" s="35"/>
      <c r="DK175" s="35"/>
      <c r="DL175" s="35"/>
      <c r="DM175" s="35"/>
      <c r="DN175" s="35"/>
      <c r="DO175" s="35"/>
      <c r="DP175" s="35"/>
      <c r="DQ175" s="35"/>
      <c r="DR175" s="35"/>
      <c r="DS175" s="35"/>
      <c r="DT175" s="35"/>
      <c r="DU175" s="35"/>
      <c r="DV175" s="35"/>
      <c r="DW175" s="35"/>
      <c r="DX175" s="35"/>
      <c r="DY175" s="35"/>
      <c r="DZ175" s="35"/>
      <c r="EA175" s="35"/>
      <c r="EB175" s="35"/>
      <c r="EC175" s="35"/>
      <c r="ED175" s="35"/>
      <c r="EE175" s="35"/>
      <c r="EF175" s="35"/>
      <c r="EG175" s="35"/>
      <c r="EH175" s="35"/>
      <c r="EI175" s="35"/>
      <c r="EJ175" s="35"/>
      <c r="EK175" s="35"/>
      <c r="EL175" s="35"/>
      <c r="EM175" s="35"/>
      <c r="EN175" s="35"/>
      <c r="EO175" s="35"/>
      <c r="EP175" s="35"/>
      <c r="EQ175" s="35"/>
      <c r="ER175" s="35"/>
      <c r="ES175" s="35"/>
      <c r="ET175" s="35"/>
      <c r="EU175" s="35"/>
      <c r="EV175" s="35"/>
      <c r="EW175" s="35"/>
      <c r="EX175" s="35"/>
      <c r="EY175" s="35"/>
      <c r="EZ175" s="35"/>
      <c r="FA175" s="35"/>
      <c r="FB175" s="35"/>
      <c r="FC175" s="458">
        <f t="shared" si="19"/>
        <v>0</v>
      </c>
      <c r="FD175">
        <f t="shared" si="17"/>
        <v>0</v>
      </c>
      <c r="FE175" t="e">
        <f t="shared" si="18"/>
        <v>#N/A</v>
      </c>
      <c r="FI175" s="731" t="e">
        <f t="shared" si="20"/>
        <v>#VALUE!</v>
      </c>
      <c r="FK175" s="471" t="str">
        <f t="shared" si="21"/>
        <v xml:space="preserve"> </v>
      </c>
      <c r="FL175" s="730">
        <f t="shared" si="22"/>
        <v>0</v>
      </c>
      <c r="FM175" s="471" t="str">
        <f t="shared" si="23"/>
        <v/>
      </c>
      <c r="FN175" s="730">
        <f t="shared" si="16"/>
        <v>0</v>
      </c>
    </row>
    <row r="176" spans="1:170" s="33" customFormat="1" x14ac:dyDescent="0.2">
      <c r="A176" s="34" t="s">
        <v>226</v>
      </c>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c r="BO176" s="35"/>
      <c r="BP176" s="35"/>
      <c r="BQ176" s="35"/>
      <c r="BR176" s="35"/>
      <c r="BS176" s="35"/>
      <c r="BT176" s="35"/>
      <c r="BU176" s="35"/>
      <c r="BV176" s="35"/>
      <c r="BW176" s="35"/>
      <c r="BX176" s="35"/>
      <c r="BY176" s="35"/>
      <c r="BZ176" s="35"/>
      <c r="CA176" s="35"/>
      <c r="CB176" s="35"/>
      <c r="CC176" s="35"/>
      <c r="CD176" s="35"/>
      <c r="CE176" s="35"/>
      <c r="CF176" s="35"/>
      <c r="CG176" s="35"/>
      <c r="CH176" s="35"/>
      <c r="CI176" s="35"/>
      <c r="CJ176" s="35"/>
      <c r="CK176" s="35"/>
      <c r="CL176" s="35"/>
      <c r="CM176" s="35"/>
      <c r="CN176" s="35"/>
      <c r="CO176" s="35"/>
      <c r="CP176" s="35"/>
      <c r="CQ176" s="35"/>
      <c r="CR176" s="35"/>
      <c r="CS176" s="35"/>
      <c r="CT176" s="35"/>
      <c r="CU176" s="35"/>
      <c r="CV176" s="35"/>
      <c r="CW176" s="35"/>
      <c r="CX176" s="35"/>
      <c r="CY176" s="35"/>
      <c r="CZ176" s="35"/>
      <c r="DA176" s="35"/>
      <c r="DB176" s="35"/>
      <c r="DC176" s="35"/>
      <c r="DD176" s="35"/>
      <c r="DE176" s="35"/>
      <c r="DF176" s="35"/>
      <c r="DG176" s="35"/>
      <c r="DH176" s="35"/>
      <c r="DI176" s="35"/>
      <c r="DJ176" s="35"/>
      <c r="DK176" s="35"/>
      <c r="DL176" s="35"/>
      <c r="DM176" s="35"/>
      <c r="DN176" s="35"/>
      <c r="DO176" s="35"/>
      <c r="DP176" s="35"/>
      <c r="DQ176" s="35"/>
      <c r="DR176" s="35"/>
      <c r="DS176" s="35"/>
      <c r="DT176" s="35"/>
      <c r="DU176" s="35"/>
      <c r="DV176" s="35"/>
      <c r="DW176" s="35"/>
      <c r="DX176" s="35"/>
      <c r="DY176" s="35"/>
      <c r="DZ176" s="35"/>
      <c r="EA176" s="35"/>
      <c r="EB176" s="35"/>
      <c r="EC176" s="35"/>
      <c r="ED176" s="35"/>
      <c r="EE176" s="35"/>
      <c r="EF176" s="35"/>
      <c r="EG176" s="35"/>
      <c r="EH176" s="35"/>
      <c r="EI176" s="35"/>
      <c r="EJ176" s="35"/>
      <c r="EK176" s="35"/>
      <c r="EL176" s="35"/>
      <c r="EM176" s="35"/>
      <c r="EN176" s="35"/>
      <c r="EO176" s="35"/>
      <c r="EP176" s="35"/>
      <c r="EQ176" s="35"/>
      <c r="ER176" s="35"/>
      <c r="ES176" s="35"/>
      <c r="ET176" s="35"/>
      <c r="EU176" s="35"/>
      <c r="EV176" s="35"/>
      <c r="EW176" s="35"/>
      <c r="EX176" s="35"/>
      <c r="EY176" s="35"/>
      <c r="EZ176" s="35"/>
      <c r="FA176" s="35"/>
      <c r="FB176" s="35"/>
      <c r="FC176" s="458">
        <f t="shared" si="19"/>
        <v>0</v>
      </c>
      <c r="FD176">
        <f t="shared" si="17"/>
        <v>0</v>
      </c>
      <c r="FE176" t="e">
        <f t="shared" si="18"/>
        <v>#N/A</v>
      </c>
      <c r="FI176" s="731" t="e">
        <f t="shared" si="20"/>
        <v>#VALUE!</v>
      </c>
      <c r="FK176" s="471" t="str">
        <f t="shared" si="21"/>
        <v xml:space="preserve"> </v>
      </c>
      <c r="FL176" s="730">
        <f t="shared" si="22"/>
        <v>0</v>
      </c>
      <c r="FM176" s="471" t="str">
        <f t="shared" si="23"/>
        <v/>
      </c>
      <c r="FN176" s="730">
        <f t="shared" ref="FN176:FN239" si="24">L176</f>
        <v>0</v>
      </c>
    </row>
    <row r="177" spans="1:170" s="33" customFormat="1" x14ac:dyDescent="0.2">
      <c r="A177" s="34" t="s">
        <v>227</v>
      </c>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c r="BG177" s="35"/>
      <c r="BH177" s="35"/>
      <c r="BI177" s="35"/>
      <c r="BJ177" s="35"/>
      <c r="BK177" s="35"/>
      <c r="BL177" s="35"/>
      <c r="BM177" s="35"/>
      <c r="BN177" s="35"/>
      <c r="BO177" s="35"/>
      <c r="BP177" s="35"/>
      <c r="BQ177" s="35"/>
      <c r="BR177" s="35"/>
      <c r="BS177" s="35"/>
      <c r="BT177" s="35"/>
      <c r="BU177" s="35"/>
      <c r="BV177" s="35"/>
      <c r="BW177" s="35"/>
      <c r="BX177" s="35"/>
      <c r="BY177" s="35"/>
      <c r="BZ177" s="35"/>
      <c r="CA177" s="35"/>
      <c r="CB177" s="35"/>
      <c r="CC177" s="35"/>
      <c r="CD177" s="35"/>
      <c r="CE177" s="35"/>
      <c r="CF177" s="35"/>
      <c r="CG177" s="35"/>
      <c r="CH177" s="35"/>
      <c r="CI177" s="35"/>
      <c r="CJ177" s="35"/>
      <c r="CK177" s="35"/>
      <c r="CL177" s="35"/>
      <c r="CM177" s="35"/>
      <c r="CN177" s="35"/>
      <c r="CO177" s="35"/>
      <c r="CP177" s="35"/>
      <c r="CQ177" s="35"/>
      <c r="CR177" s="35"/>
      <c r="CS177" s="35"/>
      <c r="CT177" s="35"/>
      <c r="CU177" s="35"/>
      <c r="CV177" s="35"/>
      <c r="CW177" s="35"/>
      <c r="CX177" s="35"/>
      <c r="CY177" s="35"/>
      <c r="CZ177" s="35"/>
      <c r="DA177" s="35"/>
      <c r="DB177" s="35"/>
      <c r="DC177" s="35"/>
      <c r="DD177" s="35"/>
      <c r="DE177" s="35"/>
      <c r="DF177" s="35"/>
      <c r="DG177" s="35"/>
      <c r="DH177" s="35"/>
      <c r="DI177" s="35"/>
      <c r="DJ177" s="35"/>
      <c r="DK177" s="35"/>
      <c r="DL177" s="35"/>
      <c r="DM177" s="35"/>
      <c r="DN177" s="35"/>
      <c r="DO177" s="35"/>
      <c r="DP177" s="35"/>
      <c r="DQ177" s="35"/>
      <c r="DR177" s="35"/>
      <c r="DS177" s="35"/>
      <c r="DT177" s="35"/>
      <c r="DU177" s="35"/>
      <c r="DV177" s="35"/>
      <c r="DW177" s="35"/>
      <c r="DX177" s="35"/>
      <c r="DY177" s="35"/>
      <c r="DZ177" s="35"/>
      <c r="EA177" s="35"/>
      <c r="EB177" s="35"/>
      <c r="EC177" s="35"/>
      <c r="ED177" s="35"/>
      <c r="EE177" s="35"/>
      <c r="EF177" s="35"/>
      <c r="EG177" s="35"/>
      <c r="EH177" s="35"/>
      <c r="EI177" s="35"/>
      <c r="EJ177" s="35"/>
      <c r="EK177" s="35"/>
      <c r="EL177" s="35"/>
      <c r="EM177" s="35"/>
      <c r="EN177" s="35"/>
      <c r="EO177" s="35"/>
      <c r="EP177" s="35"/>
      <c r="EQ177" s="35"/>
      <c r="ER177" s="35"/>
      <c r="ES177" s="35"/>
      <c r="ET177" s="35"/>
      <c r="EU177" s="35"/>
      <c r="EV177" s="35"/>
      <c r="EW177" s="35"/>
      <c r="EX177" s="35"/>
      <c r="EY177" s="35"/>
      <c r="EZ177" s="35"/>
      <c r="FA177" s="35"/>
      <c r="FB177" s="35"/>
      <c r="FC177" s="458">
        <f t="shared" si="19"/>
        <v>0</v>
      </c>
      <c r="FD177">
        <f t="shared" si="17"/>
        <v>0</v>
      </c>
      <c r="FE177" t="e">
        <f t="shared" si="18"/>
        <v>#N/A</v>
      </c>
      <c r="FI177" s="731" t="e">
        <f t="shared" si="20"/>
        <v>#VALUE!</v>
      </c>
      <c r="FK177" s="471" t="str">
        <f t="shared" si="21"/>
        <v xml:space="preserve"> </v>
      </c>
      <c r="FL177" s="730">
        <f t="shared" si="22"/>
        <v>0</v>
      </c>
      <c r="FM177" s="471" t="str">
        <f t="shared" si="23"/>
        <v/>
      </c>
      <c r="FN177" s="730">
        <f t="shared" si="24"/>
        <v>0</v>
      </c>
    </row>
    <row r="178" spans="1:170" s="33" customFormat="1" x14ac:dyDescent="0.2">
      <c r="A178" s="34" t="s">
        <v>228</v>
      </c>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c r="BG178" s="35"/>
      <c r="BH178" s="35"/>
      <c r="BI178" s="35"/>
      <c r="BJ178" s="35"/>
      <c r="BK178" s="35"/>
      <c r="BL178" s="35"/>
      <c r="BM178" s="35"/>
      <c r="BN178" s="35"/>
      <c r="BO178" s="35"/>
      <c r="BP178" s="35"/>
      <c r="BQ178" s="35"/>
      <c r="BR178" s="35"/>
      <c r="BS178" s="35"/>
      <c r="BT178" s="35"/>
      <c r="BU178" s="35"/>
      <c r="BV178" s="35"/>
      <c r="BW178" s="35"/>
      <c r="BX178" s="35"/>
      <c r="BY178" s="35"/>
      <c r="BZ178" s="35"/>
      <c r="CA178" s="35"/>
      <c r="CB178" s="35"/>
      <c r="CC178" s="35"/>
      <c r="CD178" s="35"/>
      <c r="CE178" s="35"/>
      <c r="CF178" s="35"/>
      <c r="CG178" s="35"/>
      <c r="CH178" s="35"/>
      <c r="CI178" s="35"/>
      <c r="CJ178" s="35"/>
      <c r="CK178" s="35"/>
      <c r="CL178" s="35"/>
      <c r="CM178" s="35"/>
      <c r="CN178" s="35"/>
      <c r="CO178" s="35"/>
      <c r="CP178" s="35"/>
      <c r="CQ178" s="35"/>
      <c r="CR178" s="35"/>
      <c r="CS178" s="35"/>
      <c r="CT178" s="35"/>
      <c r="CU178" s="35"/>
      <c r="CV178" s="35"/>
      <c r="CW178" s="35"/>
      <c r="CX178" s="35"/>
      <c r="CY178" s="35"/>
      <c r="CZ178" s="35"/>
      <c r="DA178" s="35"/>
      <c r="DB178" s="35"/>
      <c r="DC178" s="35"/>
      <c r="DD178" s="35"/>
      <c r="DE178" s="35"/>
      <c r="DF178" s="35"/>
      <c r="DG178" s="35"/>
      <c r="DH178" s="35"/>
      <c r="DI178" s="35"/>
      <c r="DJ178" s="35"/>
      <c r="DK178" s="35"/>
      <c r="DL178" s="35"/>
      <c r="DM178" s="35"/>
      <c r="DN178" s="35"/>
      <c r="DO178" s="35"/>
      <c r="DP178" s="35"/>
      <c r="DQ178" s="35"/>
      <c r="DR178" s="35"/>
      <c r="DS178" s="35"/>
      <c r="DT178" s="35"/>
      <c r="DU178" s="35"/>
      <c r="DV178" s="35"/>
      <c r="DW178" s="35"/>
      <c r="DX178" s="35"/>
      <c r="DY178" s="35"/>
      <c r="DZ178" s="35"/>
      <c r="EA178" s="35"/>
      <c r="EB178" s="35"/>
      <c r="EC178" s="35"/>
      <c r="ED178" s="35"/>
      <c r="EE178" s="35"/>
      <c r="EF178" s="35"/>
      <c r="EG178" s="35"/>
      <c r="EH178" s="35"/>
      <c r="EI178" s="35"/>
      <c r="EJ178" s="35"/>
      <c r="EK178" s="35"/>
      <c r="EL178" s="35"/>
      <c r="EM178" s="35"/>
      <c r="EN178" s="35"/>
      <c r="EO178" s="35"/>
      <c r="EP178" s="35"/>
      <c r="EQ178" s="35"/>
      <c r="ER178" s="35"/>
      <c r="ES178" s="35"/>
      <c r="ET178" s="35"/>
      <c r="EU178" s="35"/>
      <c r="EV178" s="35"/>
      <c r="EW178" s="35"/>
      <c r="EX178" s="35"/>
      <c r="EY178" s="35"/>
      <c r="EZ178" s="35"/>
      <c r="FA178" s="35"/>
      <c r="FB178" s="35"/>
      <c r="FC178" s="458">
        <f t="shared" si="19"/>
        <v>0</v>
      </c>
      <c r="FD178">
        <f t="shared" si="17"/>
        <v>0</v>
      </c>
      <c r="FE178" t="e">
        <f t="shared" si="18"/>
        <v>#N/A</v>
      </c>
      <c r="FI178" s="731" t="e">
        <f t="shared" si="20"/>
        <v>#VALUE!</v>
      </c>
      <c r="FK178" s="471" t="str">
        <f t="shared" si="21"/>
        <v xml:space="preserve"> </v>
      </c>
      <c r="FL178" s="730">
        <f t="shared" si="22"/>
        <v>0</v>
      </c>
      <c r="FM178" s="471" t="str">
        <f t="shared" si="23"/>
        <v/>
      </c>
      <c r="FN178" s="730">
        <f t="shared" si="24"/>
        <v>0</v>
      </c>
    </row>
    <row r="179" spans="1:170" s="33" customFormat="1" x14ac:dyDescent="0.2">
      <c r="A179" s="34" t="s">
        <v>229</v>
      </c>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c r="BG179" s="35"/>
      <c r="BH179" s="35"/>
      <c r="BI179" s="35"/>
      <c r="BJ179" s="35"/>
      <c r="BK179" s="35"/>
      <c r="BL179" s="35"/>
      <c r="BM179" s="35"/>
      <c r="BN179" s="35"/>
      <c r="BO179" s="35"/>
      <c r="BP179" s="35"/>
      <c r="BQ179" s="35"/>
      <c r="BR179" s="35"/>
      <c r="BS179" s="35"/>
      <c r="BT179" s="35"/>
      <c r="BU179" s="35"/>
      <c r="BV179" s="35"/>
      <c r="BW179" s="35"/>
      <c r="BX179" s="35"/>
      <c r="BY179" s="35"/>
      <c r="BZ179" s="35"/>
      <c r="CA179" s="35"/>
      <c r="CB179" s="35"/>
      <c r="CC179" s="35"/>
      <c r="CD179" s="35"/>
      <c r="CE179" s="35"/>
      <c r="CF179" s="35"/>
      <c r="CG179" s="35"/>
      <c r="CH179" s="35"/>
      <c r="CI179" s="35"/>
      <c r="CJ179" s="35"/>
      <c r="CK179" s="35"/>
      <c r="CL179" s="35"/>
      <c r="CM179" s="35"/>
      <c r="CN179" s="35"/>
      <c r="CO179" s="35"/>
      <c r="CP179" s="35"/>
      <c r="CQ179" s="35"/>
      <c r="CR179" s="35"/>
      <c r="CS179" s="35"/>
      <c r="CT179" s="35"/>
      <c r="CU179" s="35"/>
      <c r="CV179" s="35"/>
      <c r="CW179" s="35"/>
      <c r="CX179" s="35"/>
      <c r="CY179" s="35"/>
      <c r="CZ179" s="35"/>
      <c r="DA179" s="35"/>
      <c r="DB179" s="35"/>
      <c r="DC179" s="35"/>
      <c r="DD179" s="35"/>
      <c r="DE179" s="35"/>
      <c r="DF179" s="35"/>
      <c r="DG179" s="35"/>
      <c r="DH179" s="35"/>
      <c r="DI179" s="35"/>
      <c r="DJ179" s="35"/>
      <c r="DK179" s="35"/>
      <c r="DL179" s="35"/>
      <c r="DM179" s="35"/>
      <c r="DN179" s="35"/>
      <c r="DO179" s="35"/>
      <c r="DP179" s="35"/>
      <c r="DQ179" s="35"/>
      <c r="DR179" s="35"/>
      <c r="DS179" s="35"/>
      <c r="DT179" s="35"/>
      <c r="DU179" s="35"/>
      <c r="DV179" s="35"/>
      <c r="DW179" s="35"/>
      <c r="DX179" s="35"/>
      <c r="DY179" s="35"/>
      <c r="DZ179" s="35"/>
      <c r="EA179" s="35"/>
      <c r="EB179" s="35"/>
      <c r="EC179" s="35"/>
      <c r="ED179" s="35"/>
      <c r="EE179" s="35"/>
      <c r="EF179" s="35"/>
      <c r="EG179" s="35"/>
      <c r="EH179" s="35"/>
      <c r="EI179" s="35"/>
      <c r="EJ179" s="35"/>
      <c r="EK179" s="35"/>
      <c r="EL179" s="35"/>
      <c r="EM179" s="35"/>
      <c r="EN179" s="35"/>
      <c r="EO179" s="35"/>
      <c r="EP179" s="35"/>
      <c r="EQ179" s="35"/>
      <c r="ER179" s="35"/>
      <c r="ES179" s="35"/>
      <c r="ET179" s="35"/>
      <c r="EU179" s="35"/>
      <c r="EV179" s="35"/>
      <c r="EW179" s="35"/>
      <c r="EX179" s="35"/>
      <c r="EY179" s="35"/>
      <c r="EZ179" s="35"/>
      <c r="FA179" s="35"/>
      <c r="FB179" s="35"/>
      <c r="FC179" s="458">
        <f t="shared" si="19"/>
        <v>0</v>
      </c>
      <c r="FD179">
        <f t="shared" si="17"/>
        <v>0</v>
      </c>
      <c r="FE179" t="e">
        <f t="shared" si="18"/>
        <v>#N/A</v>
      </c>
      <c r="FI179" s="731" t="e">
        <f t="shared" si="20"/>
        <v>#VALUE!</v>
      </c>
      <c r="FK179" s="471" t="str">
        <f t="shared" si="21"/>
        <v xml:space="preserve"> </v>
      </c>
      <c r="FL179" s="730">
        <f t="shared" si="22"/>
        <v>0</v>
      </c>
      <c r="FM179" s="471" t="str">
        <f t="shared" si="23"/>
        <v/>
      </c>
      <c r="FN179" s="730">
        <f t="shared" si="24"/>
        <v>0</v>
      </c>
    </row>
    <row r="180" spans="1:170" s="33" customFormat="1" x14ac:dyDescent="0.2">
      <c r="A180" s="34" t="s">
        <v>230</v>
      </c>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c r="BG180" s="35"/>
      <c r="BH180" s="35"/>
      <c r="BI180" s="35"/>
      <c r="BJ180" s="35"/>
      <c r="BK180" s="35"/>
      <c r="BL180" s="35"/>
      <c r="BM180" s="35"/>
      <c r="BN180" s="35"/>
      <c r="BO180" s="35"/>
      <c r="BP180" s="35"/>
      <c r="BQ180" s="35"/>
      <c r="BR180" s="35"/>
      <c r="BS180" s="35"/>
      <c r="BT180" s="35"/>
      <c r="BU180" s="35"/>
      <c r="BV180" s="35"/>
      <c r="BW180" s="35"/>
      <c r="BX180" s="35"/>
      <c r="BY180" s="35"/>
      <c r="BZ180" s="35"/>
      <c r="CA180" s="35"/>
      <c r="CB180" s="35"/>
      <c r="CC180" s="35"/>
      <c r="CD180" s="35"/>
      <c r="CE180" s="35"/>
      <c r="CF180" s="35"/>
      <c r="CG180" s="35"/>
      <c r="CH180" s="35"/>
      <c r="CI180" s="35"/>
      <c r="CJ180" s="35"/>
      <c r="CK180" s="35"/>
      <c r="CL180" s="35"/>
      <c r="CM180" s="35"/>
      <c r="CN180" s="35"/>
      <c r="CO180" s="35"/>
      <c r="CP180" s="35"/>
      <c r="CQ180" s="35"/>
      <c r="CR180" s="35"/>
      <c r="CS180" s="35"/>
      <c r="CT180" s="35"/>
      <c r="CU180" s="35"/>
      <c r="CV180" s="35"/>
      <c r="CW180" s="35"/>
      <c r="CX180" s="35"/>
      <c r="CY180" s="35"/>
      <c r="CZ180" s="35"/>
      <c r="DA180" s="35"/>
      <c r="DB180" s="35"/>
      <c r="DC180" s="35"/>
      <c r="DD180" s="35"/>
      <c r="DE180" s="35"/>
      <c r="DF180" s="35"/>
      <c r="DG180" s="35"/>
      <c r="DH180" s="35"/>
      <c r="DI180" s="35"/>
      <c r="DJ180" s="35"/>
      <c r="DK180" s="35"/>
      <c r="DL180" s="35"/>
      <c r="DM180" s="35"/>
      <c r="DN180" s="35"/>
      <c r="DO180" s="35"/>
      <c r="DP180" s="35"/>
      <c r="DQ180" s="35"/>
      <c r="DR180" s="35"/>
      <c r="DS180" s="35"/>
      <c r="DT180" s="35"/>
      <c r="DU180" s="35"/>
      <c r="DV180" s="35"/>
      <c r="DW180" s="35"/>
      <c r="DX180" s="35"/>
      <c r="DY180" s="35"/>
      <c r="DZ180" s="35"/>
      <c r="EA180" s="35"/>
      <c r="EB180" s="35"/>
      <c r="EC180" s="35"/>
      <c r="ED180" s="35"/>
      <c r="EE180" s="35"/>
      <c r="EF180" s="35"/>
      <c r="EG180" s="35"/>
      <c r="EH180" s="35"/>
      <c r="EI180" s="35"/>
      <c r="EJ180" s="35"/>
      <c r="EK180" s="35"/>
      <c r="EL180" s="35"/>
      <c r="EM180" s="35"/>
      <c r="EN180" s="35"/>
      <c r="EO180" s="35"/>
      <c r="EP180" s="35"/>
      <c r="EQ180" s="35"/>
      <c r="ER180" s="35"/>
      <c r="ES180" s="35"/>
      <c r="ET180" s="35"/>
      <c r="EU180" s="35"/>
      <c r="EV180" s="35"/>
      <c r="EW180" s="35"/>
      <c r="EX180" s="35"/>
      <c r="EY180" s="35"/>
      <c r="EZ180" s="35"/>
      <c r="FA180" s="35"/>
      <c r="FB180" s="35"/>
      <c r="FC180" s="458">
        <f t="shared" si="19"/>
        <v>0</v>
      </c>
      <c r="FD180">
        <f t="shared" si="17"/>
        <v>0</v>
      </c>
      <c r="FE180" t="e">
        <f t="shared" si="18"/>
        <v>#N/A</v>
      </c>
      <c r="FI180" s="731" t="e">
        <f t="shared" si="20"/>
        <v>#VALUE!</v>
      </c>
      <c r="FK180" s="471" t="str">
        <f t="shared" si="21"/>
        <v xml:space="preserve"> </v>
      </c>
      <c r="FL180" s="730">
        <f t="shared" si="22"/>
        <v>0</v>
      </c>
      <c r="FM180" s="471" t="str">
        <f t="shared" si="23"/>
        <v/>
      </c>
      <c r="FN180" s="730">
        <f t="shared" si="24"/>
        <v>0</v>
      </c>
    </row>
    <row r="181" spans="1:170" s="33" customFormat="1" x14ac:dyDescent="0.2">
      <c r="A181" s="34" t="s">
        <v>231</v>
      </c>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c r="BG181" s="35"/>
      <c r="BH181" s="35"/>
      <c r="BI181" s="35"/>
      <c r="BJ181" s="35"/>
      <c r="BK181" s="35"/>
      <c r="BL181" s="35"/>
      <c r="BM181" s="35"/>
      <c r="BN181" s="35"/>
      <c r="BO181" s="35"/>
      <c r="BP181" s="35"/>
      <c r="BQ181" s="35"/>
      <c r="BR181" s="35"/>
      <c r="BS181" s="35"/>
      <c r="BT181" s="35"/>
      <c r="BU181" s="35"/>
      <c r="BV181" s="35"/>
      <c r="BW181" s="35"/>
      <c r="BX181" s="35"/>
      <c r="BY181" s="35"/>
      <c r="BZ181" s="35"/>
      <c r="CA181" s="35"/>
      <c r="CB181" s="35"/>
      <c r="CC181" s="35"/>
      <c r="CD181" s="35"/>
      <c r="CE181" s="35"/>
      <c r="CF181" s="35"/>
      <c r="CG181" s="35"/>
      <c r="CH181" s="35"/>
      <c r="CI181" s="35"/>
      <c r="CJ181" s="35"/>
      <c r="CK181" s="35"/>
      <c r="CL181" s="35"/>
      <c r="CM181" s="35"/>
      <c r="CN181" s="35"/>
      <c r="CO181" s="35"/>
      <c r="CP181" s="35"/>
      <c r="CQ181" s="35"/>
      <c r="CR181" s="35"/>
      <c r="CS181" s="35"/>
      <c r="CT181" s="35"/>
      <c r="CU181" s="35"/>
      <c r="CV181" s="35"/>
      <c r="CW181" s="35"/>
      <c r="CX181" s="35"/>
      <c r="CY181" s="35"/>
      <c r="CZ181" s="35"/>
      <c r="DA181" s="35"/>
      <c r="DB181" s="35"/>
      <c r="DC181" s="35"/>
      <c r="DD181" s="35"/>
      <c r="DE181" s="35"/>
      <c r="DF181" s="35"/>
      <c r="DG181" s="35"/>
      <c r="DH181" s="35"/>
      <c r="DI181" s="35"/>
      <c r="DJ181" s="35"/>
      <c r="DK181" s="35"/>
      <c r="DL181" s="35"/>
      <c r="DM181" s="35"/>
      <c r="DN181" s="35"/>
      <c r="DO181" s="35"/>
      <c r="DP181" s="35"/>
      <c r="DQ181" s="35"/>
      <c r="DR181" s="35"/>
      <c r="DS181" s="35"/>
      <c r="DT181" s="35"/>
      <c r="DU181" s="35"/>
      <c r="DV181" s="35"/>
      <c r="DW181" s="35"/>
      <c r="DX181" s="35"/>
      <c r="DY181" s="35"/>
      <c r="DZ181" s="35"/>
      <c r="EA181" s="35"/>
      <c r="EB181" s="35"/>
      <c r="EC181" s="35"/>
      <c r="ED181" s="35"/>
      <c r="EE181" s="35"/>
      <c r="EF181" s="35"/>
      <c r="EG181" s="35"/>
      <c r="EH181" s="35"/>
      <c r="EI181" s="35"/>
      <c r="EJ181" s="35"/>
      <c r="EK181" s="35"/>
      <c r="EL181" s="35"/>
      <c r="EM181" s="35"/>
      <c r="EN181" s="35"/>
      <c r="EO181" s="35"/>
      <c r="EP181" s="35"/>
      <c r="EQ181" s="35"/>
      <c r="ER181" s="35"/>
      <c r="ES181" s="35"/>
      <c r="ET181" s="35"/>
      <c r="EU181" s="35"/>
      <c r="EV181" s="35"/>
      <c r="EW181" s="35"/>
      <c r="EX181" s="35"/>
      <c r="EY181" s="35"/>
      <c r="EZ181" s="35"/>
      <c r="FA181" s="35"/>
      <c r="FB181" s="35"/>
      <c r="FC181" s="458">
        <f t="shared" si="19"/>
        <v>0</v>
      </c>
      <c r="FD181">
        <f t="shared" si="17"/>
        <v>0</v>
      </c>
      <c r="FE181" t="e">
        <f t="shared" si="18"/>
        <v>#N/A</v>
      </c>
      <c r="FI181" s="731" t="e">
        <f t="shared" si="20"/>
        <v>#VALUE!</v>
      </c>
      <c r="FK181" s="471" t="str">
        <f t="shared" si="21"/>
        <v xml:space="preserve"> </v>
      </c>
      <c r="FL181" s="730">
        <f t="shared" si="22"/>
        <v>0</v>
      </c>
      <c r="FM181" s="471" t="str">
        <f t="shared" si="23"/>
        <v/>
      </c>
      <c r="FN181" s="730">
        <f t="shared" si="24"/>
        <v>0</v>
      </c>
    </row>
    <row r="182" spans="1:170" s="33" customFormat="1" x14ac:dyDescent="0.2">
      <c r="A182" s="34" t="s">
        <v>232</v>
      </c>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c r="BG182" s="35"/>
      <c r="BH182" s="35"/>
      <c r="BI182" s="35"/>
      <c r="BJ182" s="35"/>
      <c r="BK182" s="35"/>
      <c r="BL182" s="35"/>
      <c r="BM182" s="35"/>
      <c r="BN182" s="35"/>
      <c r="BO182" s="35"/>
      <c r="BP182" s="35"/>
      <c r="BQ182" s="35"/>
      <c r="BR182" s="35"/>
      <c r="BS182" s="35"/>
      <c r="BT182" s="35"/>
      <c r="BU182" s="35"/>
      <c r="BV182" s="35"/>
      <c r="BW182" s="35"/>
      <c r="BX182" s="35"/>
      <c r="BY182" s="35"/>
      <c r="BZ182" s="35"/>
      <c r="CA182" s="35"/>
      <c r="CB182" s="35"/>
      <c r="CC182" s="35"/>
      <c r="CD182" s="35"/>
      <c r="CE182" s="35"/>
      <c r="CF182" s="35"/>
      <c r="CG182" s="35"/>
      <c r="CH182" s="35"/>
      <c r="CI182" s="35"/>
      <c r="CJ182" s="35"/>
      <c r="CK182" s="35"/>
      <c r="CL182" s="35"/>
      <c r="CM182" s="35"/>
      <c r="CN182" s="35"/>
      <c r="CO182" s="35"/>
      <c r="CP182" s="35"/>
      <c r="CQ182" s="35"/>
      <c r="CR182" s="35"/>
      <c r="CS182" s="35"/>
      <c r="CT182" s="35"/>
      <c r="CU182" s="35"/>
      <c r="CV182" s="35"/>
      <c r="CW182" s="35"/>
      <c r="CX182" s="35"/>
      <c r="CY182" s="35"/>
      <c r="CZ182" s="35"/>
      <c r="DA182" s="35"/>
      <c r="DB182" s="35"/>
      <c r="DC182" s="35"/>
      <c r="DD182" s="35"/>
      <c r="DE182" s="35"/>
      <c r="DF182" s="35"/>
      <c r="DG182" s="35"/>
      <c r="DH182" s="35"/>
      <c r="DI182" s="35"/>
      <c r="DJ182" s="35"/>
      <c r="DK182" s="35"/>
      <c r="DL182" s="35"/>
      <c r="DM182" s="35"/>
      <c r="DN182" s="35"/>
      <c r="DO182" s="35"/>
      <c r="DP182" s="35"/>
      <c r="DQ182" s="35"/>
      <c r="DR182" s="35"/>
      <c r="DS182" s="35"/>
      <c r="DT182" s="35"/>
      <c r="DU182" s="35"/>
      <c r="DV182" s="35"/>
      <c r="DW182" s="35"/>
      <c r="DX182" s="35"/>
      <c r="DY182" s="35"/>
      <c r="DZ182" s="35"/>
      <c r="EA182" s="35"/>
      <c r="EB182" s="35"/>
      <c r="EC182" s="35"/>
      <c r="ED182" s="35"/>
      <c r="EE182" s="35"/>
      <c r="EF182" s="35"/>
      <c r="EG182" s="35"/>
      <c r="EH182" s="35"/>
      <c r="EI182" s="35"/>
      <c r="EJ182" s="35"/>
      <c r="EK182" s="35"/>
      <c r="EL182" s="35"/>
      <c r="EM182" s="35"/>
      <c r="EN182" s="35"/>
      <c r="EO182" s="35"/>
      <c r="EP182" s="35"/>
      <c r="EQ182" s="35"/>
      <c r="ER182" s="35"/>
      <c r="ES182" s="35"/>
      <c r="ET182" s="35"/>
      <c r="EU182" s="35"/>
      <c r="EV182" s="35"/>
      <c r="EW182" s="35"/>
      <c r="EX182" s="35"/>
      <c r="EY182" s="35"/>
      <c r="EZ182" s="35"/>
      <c r="FA182" s="35"/>
      <c r="FB182" s="35"/>
      <c r="FC182" s="458">
        <f t="shared" si="19"/>
        <v>0</v>
      </c>
      <c r="FD182">
        <f t="shared" si="17"/>
        <v>0</v>
      </c>
      <c r="FE182" t="e">
        <f t="shared" si="18"/>
        <v>#N/A</v>
      </c>
      <c r="FI182" s="731" t="e">
        <f t="shared" si="20"/>
        <v>#VALUE!</v>
      </c>
      <c r="FK182" s="471" t="str">
        <f t="shared" si="21"/>
        <v xml:space="preserve"> </v>
      </c>
      <c r="FL182" s="730">
        <f t="shared" si="22"/>
        <v>0</v>
      </c>
      <c r="FM182" s="471" t="str">
        <f t="shared" si="23"/>
        <v/>
      </c>
      <c r="FN182" s="730">
        <f t="shared" si="24"/>
        <v>0</v>
      </c>
    </row>
    <row r="183" spans="1:170" s="33" customFormat="1" x14ac:dyDescent="0.2">
      <c r="A183" s="34" t="s">
        <v>233</v>
      </c>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c r="BG183" s="35"/>
      <c r="BH183" s="35"/>
      <c r="BI183" s="35"/>
      <c r="BJ183" s="35"/>
      <c r="BK183" s="35"/>
      <c r="BL183" s="35"/>
      <c r="BM183" s="35"/>
      <c r="BN183" s="35"/>
      <c r="BO183" s="35"/>
      <c r="BP183" s="35"/>
      <c r="BQ183" s="35"/>
      <c r="BR183" s="35"/>
      <c r="BS183" s="35"/>
      <c r="BT183" s="35"/>
      <c r="BU183" s="35"/>
      <c r="BV183" s="35"/>
      <c r="BW183" s="35"/>
      <c r="BX183" s="35"/>
      <c r="BY183" s="35"/>
      <c r="BZ183" s="35"/>
      <c r="CA183" s="35"/>
      <c r="CB183" s="35"/>
      <c r="CC183" s="35"/>
      <c r="CD183" s="35"/>
      <c r="CE183" s="35"/>
      <c r="CF183" s="35"/>
      <c r="CG183" s="35"/>
      <c r="CH183" s="35"/>
      <c r="CI183" s="35"/>
      <c r="CJ183" s="35"/>
      <c r="CK183" s="35"/>
      <c r="CL183" s="35"/>
      <c r="CM183" s="35"/>
      <c r="CN183" s="35"/>
      <c r="CO183" s="35"/>
      <c r="CP183" s="35"/>
      <c r="CQ183" s="35"/>
      <c r="CR183" s="35"/>
      <c r="CS183" s="35"/>
      <c r="CT183" s="35"/>
      <c r="CU183" s="35"/>
      <c r="CV183" s="35"/>
      <c r="CW183" s="35"/>
      <c r="CX183" s="35"/>
      <c r="CY183" s="35"/>
      <c r="CZ183" s="35"/>
      <c r="DA183" s="35"/>
      <c r="DB183" s="35"/>
      <c r="DC183" s="35"/>
      <c r="DD183" s="35"/>
      <c r="DE183" s="35"/>
      <c r="DF183" s="35"/>
      <c r="DG183" s="35"/>
      <c r="DH183" s="35"/>
      <c r="DI183" s="35"/>
      <c r="DJ183" s="35"/>
      <c r="DK183" s="35"/>
      <c r="DL183" s="35"/>
      <c r="DM183" s="35"/>
      <c r="DN183" s="35"/>
      <c r="DO183" s="35"/>
      <c r="DP183" s="35"/>
      <c r="DQ183" s="35"/>
      <c r="DR183" s="35"/>
      <c r="DS183" s="35"/>
      <c r="DT183" s="35"/>
      <c r="DU183" s="35"/>
      <c r="DV183" s="35"/>
      <c r="DW183" s="35"/>
      <c r="DX183" s="35"/>
      <c r="DY183" s="35"/>
      <c r="DZ183" s="35"/>
      <c r="EA183" s="35"/>
      <c r="EB183" s="35"/>
      <c r="EC183" s="35"/>
      <c r="ED183" s="35"/>
      <c r="EE183" s="35"/>
      <c r="EF183" s="35"/>
      <c r="EG183" s="35"/>
      <c r="EH183" s="35"/>
      <c r="EI183" s="35"/>
      <c r="EJ183" s="35"/>
      <c r="EK183" s="35"/>
      <c r="EL183" s="35"/>
      <c r="EM183" s="35"/>
      <c r="EN183" s="35"/>
      <c r="EO183" s="35"/>
      <c r="EP183" s="35"/>
      <c r="EQ183" s="35"/>
      <c r="ER183" s="35"/>
      <c r="ES183" s="35"/>
      <c r="ET183" s="35"/>
      <c r="EU183" s="35"/>
      <c r="EV183" s="35"/>
      <c r="EW183" s="35"/>
      <c r="EX183" s="35"/>
      <c r="EY183" s="35"/>
      <c r="EZ183" s="35"/>
      <c r="FA183" s="35"/>
      <c r="FB183" s="35"/>
      <c r="FC183" s="458">
        <f t="shared" si="19"/>
        <v>0</v>
      </c>
      <c r="FD183">
        <f t="shared" si="17"/>
        <v>0</v>
      </c>
      <c r="FE183" t="e">
        <f t="shared" si="18"/>
        <v>#N/A</v>
      </c>
      <c r="FI183" s="731" t="e">
        <f t="shared" si="20"/>
        <v>#VALUE!</v>
      </c>
      <c r="FK183" s="471" t="str">
        <f t="shared" si="21"/>
        <v xml:space="preserve"> </v>
      </c>
      <c r="FL183" s="730">
        <f t="shared" si="22"/>
        <v>0</v>
      </c>
      <c r="FM183" s="471" t="str">
        <f t="shared" si="23"/>
        <v/>
      </c>
      <c r="FN183" s="730">
        <f t="shared" si="24"/>
        <v>0</v>
      </c>
    </row>
    <row r="184" spans="1:170" s="33" customFormat="1" x14ac:dyDescent="0.2">
      <c r="A184" s="34" t="s">
        <v>234</v>
      </c>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c r="BG184" s="35"/>
      <c r="BH184" s="35"/>
      <c r="BI184" s="35"/>
      <c r="BJ184" s="35"/>
      <c r="BK184" s="35"/>
      <c r="BL184" s="35"/>
      <c r="BM184" s="35"/>
      <c r="BN184" s="35"/>
      <c r="BO184" s="35"/>
      <c r="BP184" s="35"/>
      <c r="BQ184" s="35"/>
      <c r="BR184" s="35"/>
      <c r="BS184" s="35"/>
      <c r="BT184" s="35"/>
      <c r="BU184" s="35"/>
      <c r="BV184" s="35"/>
      <c r="BW184" s="35"/>
      <c r="BX184" s="35"/>
      <c r="BY184" s="35"/>
      <c r="BZ184" s="35"/>
      <c r="CA184" s="35"/>
      <c r="CB184" s="35"/>
      <c r="CC184" s="35"/>
      <c r="CD184" s="35"/>
      <c r="CE184" s="35"/>
      <c r="CF184" s="35"/>
      <c r="CG184" s="35"/>
      <c r="CH184" s="35"/>
      <c r="CI184" s="35"/>
      <c r="CJ184" s="35"/>
      <c r="CK184" s="35"/>
      <c r="CL184" s="35"/>
      <c r="CM184" s="35"/>
      <c r="CN184" s="35"/>
      <c r="CO184" s="35"/>
      <c r="CP184" s="35"/>
      <c r="CQ184" s="35"/>
      <c r="CR184" s="35"/>
      <c r="CS184" s="35"/>
      <c r="CT184" s="35"/>
      <c r="CU184" s="35"/>
      <c r="CV184" s="35"/>
      <c r="CW184" s="35"/>
      <c r="CX184" s="35"/>
      <c r="CY184" s="35"/>
      <c r="CZ184" s="35"/>
      <c r="DA184" s="35"/>
      <c r="DB184" s="35"/>
      <c r="DC184" s="35"/>
      <c r="DD184" s="35"/>
      <c r="DE184" s="35"/>
      <c r="DF184" s="35"/>
      <c r="DG184" s="35"/>
      <c r="DH184" s="35"/>
      <c r="DI184" s="35"/>
      <c r="DJ184" s="35"/>
      <c r="DK184" s="35"/>
      <c r="DL184" s="35"/>
      <c r="DM184" s="35"/>
      <c r="DN184" s="35"/>
      <c r="DO184" s="35"/>
      <c r="DP184" s="35"/>
      <c r="DQ184" s="35"/>
      <c r="DR184" s="35"/>
      <c r="DS184" s="35"/>
      <c r="DT184" s="35"/>
      <c r="DU184" s="35"/>
      <c r="DV184" s="35"/>
      <c r="DW184" s="35"/>
      <c r="DX184" s="35"/>
      <c r="DY184" s="35"/>
      <c r="DZ184" s="35"/>
      <c r="EA184" s="35"/>
      <c r="EB184" s="35"/>
      <c r="EC184" s="35"/>
      <c r="ED184" s="35"/>
      <c r="EE184" s="35"/>
      <c r="EF184" s="35"/>
      <c r="EG184" s="35"/>
      <c r="EH184" s="35"/>
      <c r="EI184" s="35"/>
      <c r="EJ184" s="35"/>
      <c r="EK184" s="35"/>
      <c r="EL184" s="35"/>
      <c r="EM184" s="35"/>
      <c r="EN184" s="35"/>
      <c r="EO184" s="35"/>
      <c r="EP184" s="35"/>
      <c r="EQ184" s="35"/>
      <c r="ER184" s="35"/>
      <c r="ES184" s="35"/>
      <c r="ET184" s="35"/>
      <c r="EU184" s="35"/>
      <c r="EV184" s="35"/>
      <c r="EW184" s="35"/>
      <c r="EX184" s="35"/>
      <c r="EY184" s="35"/>
      <c r="EZ184" s="35"/>
      <c r="FA184" s="35"/>
      <c r="FB184" s="35"/>
      <c r="FC184" s="458">
        <f t="shared" si="19"/>
        <v>0</v>
      </c>
      <c r="FD184">
        <f t="shared" si="17"/>
        <v>0</v>
      </c>
      <c r="FE184" t="e">
        <f t="shared" si="18"/>
        <v>#N/A</v>
      </c>
      <c r="FI184" s="731" t="e">
        <f t="shared" si="20"/>
        <v>#VALUE!</v>
      </c>
      <c r="FK184" s="471" t="str">
        <f t="shared" si="21"/>
        <v xml:space="preserve"> </v>
      </c>
      <c r="FL184" s="730">
        <f t="shared" si="22"/>
        <v>0</v>
      </c>
      <c r="FM184" s="471" t="str">
        <f t="shared" si="23"/>
        <v/>
      </c>
      <c r="FN184" s="730">
        <f t="shared" si="24"/>
        <v>0</v>
      </c>
    </row>
    <row r="185" spans="1:170" s="33" customFormat="1" x14ac:dyDescent="0.2">
      <c r="A185" s="34" t="s">
        <v>235</v>
      </c>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c r="BG185" s="35"/>
      <c r="BH185" s="35"/>
      <c r="BI185" s="35"/>
      <c r="BJ185" s="35"/>
      <c r="BK185" s="35"/>
      <c r="BL185" s="35"/>
      <c r="BM185" s="35"/>
      <c r="BN185" s="35"/>
      <c r="BO185" s="35"/>
      <c r="BP185" s="35"/>
      <c r="BQ185" s="35"/>
      <c r="BR185" s="35"/>
      <c r="BS185" s="35"/>
      <c r="BT185" s="35"/>
      <c r="BU185" s="35"/>
      <c r="BV185" s="35"/>
      <c r="BW185" s="35"/>
      <c r="BX185" s="35"/>
      <c r="BY185" s="35"/>
      <c r="BZ185" s="35"/>
      <c r="CA185" s="35"/>
      <c r="CB185" s="35"/>
      <c r="CC185" s="35"/>
      <c r="CD185" s="35"/>
      <c r="CE185" s="35"/>
      <c r="CF185" s="35"/>
      <c r="CG185" s="35"/>
      <c r="CH185" s="35"/>
      <c r="CI185" s="35"/>
      <c r="CJ185" s="35"/>
      <c r="CK185" s="35"/>
      <c r="CL185" s="35"/>
      <c r="CM185" s="35"/>
      <c r="CN185" s="35"/>
      <c r="CO185" s="35"/>
      <c r="CP185" s="35"/>
      <c r="CQ185" s="35"/>
      <c r="CR185" s="35"/>
      <c r="CS185" s="35"/>
      <c r="CT185" s="35"/>
      <c r="CU185" s="35"/>
      <c r="CV185" s="35"/>
      <c r="CW185" s="35"/>
      <c r="CX185" s="35"/>
      <c r="CY185" s="35"/>
      <c r="CZ185" s="35"/>
      <c r="DA185" s="35"/>
      <c r="DB185" s="35"/>
      <c r="DC185" s="35"/>
      <c r="DD185" s="35"/>
      <c r="DE185" s="35"/>
      <c r="DF185" s="35"/>
      <c r="DG185" s="35"/>
      <c r="DH185" s="35"/>
      <c r="DI185" s="35"/>
      <c r="DJ185" s="35"/>
      <c r="DK185" s="35"/>
      <c r="DL185" s="35"/>
      <c r="DM185" s="35"/>
      <c r="DN185" s="35"/>
      <c r="DO185" s="35"/>
      <c r="DP185" s="35"/>
      <c r="DQ185" s="35"/>
      <c r="DR185" s="35"/>
      <c r="DS185" s="35"/>
      <c r="DT185" s="35"/>
      <c r="DU185" s="35"/>
      <c r="DV185" s="35"/>
      <c r="DW185" s="35"/>
      <c r="DX185" s="35"/>
      <c r="DY185" s="35"/>
      <c r="DZ185" s="35"/>
      <c r="EA185" s="35"/>
      <c r="EB185" s="35"/>
      <c r="EC185" s="35"/>
      <c r="ED185" s="35"/>
      <c r="EE185" s="35"/>
      <c r="EF185" s="35"/>
      <c r="EG185" s="35"/>
      <c r="EH185" s="35"/>
      <c r="EI185" s="35"/>
      <c r="EJ185" s="35"/>
      <c r="EK185" s="35"/>
      <c r="EL185" s="35"/>
      <c r="EM185" s="35"/>
      <c r="EN185" s="35"/>
      <c r="EO185" s="35"/>
      <c r="EP185" s="35"/>
      <c r="EQ185" s="35"/>
      <c r="ER185" s="35"/>
      <c r="ES185" s="35"/>
      <c r="ET185" s="35"/>
      <c r="EU185" s="35"/>
      <c r="EV185" s="35"/>
      <c r="EW185" s="35"/>
      <c r="EX185" s="35"/>
      <c r="EY185" s="35"/>
      <c r="EZ185" s="35"/>
      <c r="FA185" s="35"/>
      <c r="FB185" s="35"/>
      <c r="FC185" s="458">
        <f t="shared" si="19"/>
        <v>0</v>
      </c>
      <c r="FD185">
        <f t="shared" si="17"/>
        <v>0</v>
      </c>
      <c r="FE185" t="e">
        <f t="shared" si="18"/>
        <v>#N/A</v>
      </c>
      <c r="FI185" s="731" t="e">
        <f t="shared" si="20"/>
        <v>#VALUE!</v>
      </c>
      <c r="FK185" s="471" t="str">
        <f t="shared" si="21"/>
        <v xml:space="preserve"> </v>
      </c>
      <c r="FL185" s="730">
        <f t="shared" si="22"/>
        <v>0</v>
      </c>
      <c r="FM185" s="471" t="str">
        <f t="shared" si="23"/>
        <v/>
      </c>
      <c r="FN185" s="730">
        <f t="shared" si="24"/>
        <v>0</v>
      </c>
    </row>
    <row r="186" spans="1:170" s="33" customFormat="1" x14ac:dyDescent="0.2">
      <c r="A186" s="34" t="s">
        <v>236</v>
      </c>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c r="BG186" s="35"/>
      <c r="BH186" s="35"/>
      <c r="BI186" s="35"/>
      <c r="BJ186" s="35"/>
      <c r="BK186" s="35"/>
      <c r="BL186" s="35"/>
      <c r="BM186" s="35"/>
      <c r="BN186" s="35"/>
      <c r="BO186" s="35"/>
      <c r="BP186" s="35"/>
      <c r="BQ186" s="35"/>
      <c r="BR186" s="35"/>
      <c r="BS186" s="35"/>
      <c r="BT186" s="35"/>
      <c r="BU186" s="35"/>
      <c r="BV186" s="35"/>
      <c r="BW186" s="35"/>
      <c r="BX186" s="35"/>
      <c r="BY186" s="35"/>
      <c r="BZ186" s="35"/>
      <c r="CA186" s="35"/>
      <c r="CB186" s="35"/>
      <c r="CC186" s="35"/>
      <c r="CD186" s="35"/>
      <c r="CE186" s="35"/>
      <c r="CF186" s="35"/>
      <c r="CG186" s="35"/>
      <c r="CH186" s="35"/>
      <c r="CI186" s="35"/>
      <c r="CJ186" s="35"/>
      <c r="CK186" s="35"/>
      <c r="CL186" s="35"/>
      <c r="CM186" s="35"/>
      <c r="CN186" s="35"/>
      <c r="CO186" s="35"/>
      <c r="CP186" s="35"/>
      <c r="CQ186" s="35"/>
      <c r="CR186" s="35"/>
      <c r="CS186" s="35"/>
      <c r="CT186" s="35"/>
      <c r="CU186" s="35"/>
      <c r="CV186" s="35"/>
      <c r="CW186" s="35"/>
      <c r="CX186" s="35"/>
      <c r="CY186" s="35"/>
      <c r="CZ186" s="35"/>
      <c r="DA186" s="35"/>
      <c r="DB186" s="35"/>
      <c r="DC186" s="35"/>
      <c r="DD186" s="35"/>
      <c r="DE186" s="35"/>
      <c r="DF186" s="35"/>
      <c r="DG186" s="35"/>
      <c r="DH186" s="35"/>
      <c r="DI186" s="35"/>
      <c r="DJ186" s="35"/>
      <c r="DK186" s="35"/>
      <c r="DL186" s="35"/>
      <c r="DM186" s="35"/>
      <c r="DN186" s="35"/>
      <c r="DO186" s="35"/>
      <c r="DP186" s="35"/>
      <c r="DQ186" s="35"/>
      <c r="DR186" s="35"/>
      <c r="DS186" s="35"/>
      <c r="DT186" s="35"/>
      <c r="DU186" s="35"/>
      <c r="DV186" s="35"/>
      <c r="DW186" s="35"/>
      <c r="DX186" s="35"/>
      <c r="DY186" s="35"/>
      <c r="DZ186" s="35"/>
      <c r="EA186" s="35"/>
      <c r="EB186" s="35"/>
      <c r="EC186" s="35"/>
      <c r="ED186" s="35"/>
      <c r="EE186" s="35"/>
      <c r="EF186" s="35"/>
      <c r="EG186" s="35"/>
      <c r="EH186" s="35"/>
      <c r="EI186" s="35"/>
      <c r="EJ186" s="35"/>
      <c r="EK186" s="35"/>
      <c r="EL186" s="35"/>
      <c r="EM186" s="35"/>
      <c r="EN186" s="35"/>
      <c r="EO186" s="35"/>
      <c r="EP186" s="35"/>
      <c r="EQ186" s="35"/>
      <c r="ER186" s="35"/>
      <c r="ES186" s="35"/>
      <c r="ET186" s="35"/>
      <c r="EU186" s="35"/>
      <c r="EV186" s="35"/>
      <c r="EW186" s="35"/>
      <c r="EX186" s="35"/>
      <c r="EY186" s="35"/>
      <c r="EZ186" s="35"/>
      <c r="FA186" s="35"/>
      <c r="FB186" s="35"/>
      <c r="FC186" s="458">
        <f t="shared" si="19"/>
        <v>0</v>
      </c>
      <c r="FD186">
        <f t="shared" si="17"/>
        <v>0</v>
      </c>
      <c r="FE186" t="e">
        <f t="shared" si="18"/>
        <v>#N/A</v>
      </c>
      <c r="FI186" s="731" t="e">
        <f t="shared" si="20"/>
        <v>#VALUE!</v>
      </c>
      <c r="FK186" s="471" t="str">
        <f t="shared" si="21"/>
        <v xml:space="preserve"> </v>
      </c>
      <c r="FL186" s="730">
        <f t="shared" si="22"/>
        <v>0</v>
      </c>
      <c r="FM186" s="471" t="str">
        <f t="shared" si="23"/>
        <v/>
      </c>
      <c r="FN186" s="730">
        <f t="shared" si="24"/>
        <v>0</v>
      </c>
    </row>
    <row r="187" spans="1:170" s="33" customFormat="1" x14ac:dyDescent="0.2">
      <c r="A187" s="34" t="s">
        <v>237</v>
      </c>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c r="BG187" s="35"/>
      <c r="BH187" s="35"/>
      <c r="BI187" s="35"/>
      <c r="BJ187" s="35"/>
      <c r="BK187" s="35"/>
      <c r="BL187" s="35"/>
      <c r="BM187" s="35"/>
      <c r="BN187" s="35"/>
      <c r="BO187" s="35"/>
      <c r="BP187" s="35"/>
      <c r="BQ187" s="35"/>
      <c r="BR187" s="35"/>
      <c r="BS187" s="35"/>
      <c r="BT187" s="35"/>
      <c r="BU187" s="35"/>
      <c r="BV187" s="35"/>
      <c r="BW187" s="35"/>
      <c r="BX187" s="35"/>
      <c r="BY187" s="35"/>
      <c r="BZ187" s="35"/>
      <c r="CA187" s="35"/>
      <c r="CB187" s="35"/>
      <c r="CC187" s="35"/>
      <c r="CD187" s="35"/>
      <c r="CE187" s="35"/>
      <c r="CF187" s="35"/>
      <c r="CG187" s="35"/>
      <c r="CH187" s="35"/>
      <c r="CI187" s="35"/>
      <c r="CJ187" s="35"/>
      <c r="CK187" s="35"/>
      <c r="CL187" s="35"/>
      <c r="CM187" s="35"/>
      <c r="CN187" s="35"/>
      <c r="CO187" s="35"/>
      <c r="CP187" s="35"/>
      <c r="CQ187" s="35"/>
      <c r="CR187" s="35"/>
      <c r="CS187" s="35"/>
      <c r="CT187" s="35"/>
      <c r="CU187" s="35"/>
      <c r="CV187" s="35"/>
      <c r="CW187" s="35"/>
      <c r="CX187" s="35"/>
      <c r="CY187" s="35"/>
      <c r="CZ187" s="35"/>
      <c r="DA187" s="35"/>
      <c r="DB187" s="35"/>
      <c r="DC187" s="35"/>
      <c r="DD187" s="35"/>
      <c r="DE187" s="35"/>
      <c r="DF187" s="35"/>
      <c r="DG187" s="35"/>
      <c r="DH187" s="35"/>
      <c r="DI187" s="35"/>
      <c r="DJ187" s="35"/>
      <c r="DK187" s="35"/>
      <c r="DL187" s="35"/>
      <c r="DM187" s="35"/>
      <c r="DN187" s="35"/>
      <c r="DO187" s="35"/>
      <c r="DP187" s="35"/>
      <c r="DQ187" s="35"/>
      <c r="DR187" s="35"/>
      <c r="DS187" s="35"/>
      <c r="DT187" s="35"/>
      <c r="DU187" s="35"/>
      <c r="DV187" s="35"/>
      <c r="DW187" s="35"/>
      <c r="DX187" s="35"/>
      <c r="DY187" s="35"/>
      <c r="DZ187" s="35"/>
      <c r="EA187" s="35"/>
      <c r="EB187" s="35"/>
      <c r="EC187" s="35"/>
      <c r="ED187" s="35"/>
      <c r="EE187" s="35"/>
      <c r="EF187" s="35"/>
      <c r="EG187" s="35"/>
      <c r="EH187" s="35"/>
      <c r="EI187" s="35"/>
      <c r="EJ187" s="35"/>
      <c r="EK187" s="35"/>
      <c r="EL187" s="35"/>
      <c r="EM187" s="35"/>
      <c r="EN187" s="35"/>
      <c r="EO187" s="35"/>
      <c r="EP187" s="35"/>
      <c r="EQ187" s="35"/>
      <c r="ER187" s="35"/>
      <c r="ES187" s="35"/>
      <c r="ET187" s="35"/>
      <c r="EU187" s="35"/>
      <c r="EV187" s="35"/>
      <c r="EW187" s="35"/>
      <c r="EX187" s="35"/>
      <c r="EY187" s="35"/>
      <c r="EZ187" s="35"/>
      <c r="FA187" s="35"/>
      <c r="FB187" s="35"/>
      <c r="FC187" s="458">
        <f t="shared" si="19"/>
        <v>0</v>
      </c>
      <c r="FD187">
        <f t="shared" si="17"/>
        <v>0</v>
      </c>
      <c r="FE187" t="e">
        <f t="shared" si="18"/>
        <v>#N/A</v>
      </c>
      <c r="FI187" s="731" t="e">
        <f t="shared" si="20"/>
        <v>#VALUE!</v>
      </c>
      <c r="FK187" s="471" t="str">
        <f t="shared" si="21"/>
        <v xml:space="preserve"> </v>
      </c>
      <c r="FL187" s="730">
        <f t="shared" si="22"/>
        <v>0</v>
      </c>
      <c r="FM187" s="471" t="str">
        <f t="shared" si="23"/>
        <v/>
      </c>
      <c r="FN187" s="730">
        <f t="shared" si="24"/>
        <v>0</v>
      </c>
    </row>
    <row r="188" spans="1:170" s="33" customFormat="1" x14ac:dyDescent="0.2">
      <c r="A188" s="34" t="s">
        <v>238</v>
      </c>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c r="BG188" s="35"/>
      <c r="BH188" s="35"/>
      <c r="BI188" s="35"/>
      <c r="BJ188" s="35"/>
      <c r="BK188" s="35"/>
      <c r="BL188" s="35"/>
      <c r="BM188" s="35"/>
      <c r="BN188" s="35"/>
      <c r="BO188" s="35"/>
      <c r="BP188" s="35"/>
      <c r="BQ188" s="35"/>
      <c r="BR188" s="35"/>
      <c r="BS188" s="35"/>
      <c r="BT188" s="35"/>
      <c r="BU188" s="35"/>
      <c r="BV188" s="35"/>
      <c r="BW188" s="35"/>
      <c r="BX188" s="35"/>
      <c r="BY188" s="35"/>
      <c r="BZ188" s="35"/>
      <c r="CA188" s="35"/>
      <c r="CB188" s="35"/>
      <c r="CC188" s="35"/>
      <c r="CD188" s="35"/>
      <c r="CE188" s="35"/>
      <c r="CF188" s="35"/>
      <c r="CG188" s="35"/>
      <c r="CH188" s="35"/>
      <c r="CI188" s="35"/>
      <c r="CJ188" s="35"/>
      <c r="CK188" s="35"/>
      <c r="CL188" s="35"/>
      <c r="CM188" s="35"/>
      <c r="CN188" s="35"/>
      <c r="CO188" s="35"/>
      <c r="CP188" s="35"/>
      <c r="CQ188" s="35"/>
      <c r="CR188" s="35"/>
      <c r="CS188" s="35"/>
      <c r="CT188" s="35"/>
      <c r="CU188" s="35"/>
      <c r="CV188" s="35"/>
      <c r="CW188" s="35"/>
      <c r="CX188" s="35"/>
      <c r="CY188" s="35"/>
      <c r="CZ188" s="35"/>
      <c r="DA188" s="35"/>
      <c r="DB188" s="35"/>
      <c r="DC188" s="35"/>
      <c r="DD188" s="35"/>
      <c r="DE188" s="35"/>
      <c r="DF188" s="35"/>
      <c r="DG188" s="35"/>
      <c r="DH188" s="35"/>
      <c r="DI188" s="35"/>
      <c r="DJ188" s="35"/>
      <c r="DK188" s="35"/>
      <c r="DL188" s="35"/>
      <c r="DM188" s="35"/>
      <c r="DN188" s="35"/>
      <c r="DO188" s="35"/>
      <c r="DP188" s="35"/>
      <c r="DQ188" s="35"/>
      <c r="DR188" s="35"/>
      <c r="DS188" s="35"/>
      <c r="DT188" s="35"/>
      <c r="DU188" s="35"/>
      <c r="DV188" s="35"/>
      <c r="DW188" s="35"/>
      <c r="DX188" s="35"/>
      <c r="DY188" s="35"/>
      <c r="DZ188" s="35"/>
      <c r="EA188" s="35"/>
      <c r="EB188" s="35"/>
      <c r="EC188" s="35"/>
      <c r="ED188" s="35"/>
      <c r="EE188" s="35"/>
      <c r="EF188" s="35"/>
      <c r="EG188" s="35"/>
      <c r="EH188" s="35"/>
      <c r="EI188" s="35"/>
      <c r="EJ188" s="35"/>
      <c r="EK188" s="35"/>
      <c r="EL188" s="35"/>
      <c r="EM188" s="35"/>
      <c r="EN188" s="35"/>
      <c r="EO188" s="35"/>
      <c r="EP188" s="35"/>
      <c r="EQ188" s="35"/>
      <c r="ER188" s="35"/>
      <c r="ES188" s="35"/>
      <c r="ET188" s="35"/>
      <c r="EU188" s="35"/>
      <c r="EV188" s="35"/>
      <c r="EW188" s="35"/>
      <c r="EX188" s="35"/>
      <c r="EY188" s="35"/>
      <c r="EZ188" s="35"/>
      <c r="FA188" s="35"/>
      <c r="FB188" s="35"/>
      <c r="FC188" s="458">
        <f t="shared" si="19"/>
        <v>0</v>
      </c>
      <c r="FD188">
        <f t="shared" si="17"/>
        <v>0</v>
      </c>
      <c r="FE188" t="e">
        <f t="shared" si="18"/>
        <v>#N/A</v>
      </c>
      <c r="FI188" s="731" t="e">
        <f t="shared" si="20"/>
        <v>#VALUE!</v>
      </c>
      <c r="FK188" s="471" t="str">
        <f t="shared" si="21"/>
        <v xml:space="preserve"> </v>
      </c>
      <c r="FL188" s="730">
        <f t="shared" si="22"/>
        <v>0</v>
      </c>
      <c r="FM188" s="471" t="str">
        <f t="shared" si="23"/>
        <v/>
      </c>
      <c r="FN188" s="730">
        <f t="shared" si="24"/>
        <v>0</v>
      </c>
    </row>
    <row r="189" spans="1:170" s="33" customFormat="1" x14ac:dyDescent="0.2">
      <c r="A189" s="34" t="s">
        <v>239</v>
      </c>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5"/>
      <c r="BM189" s="35"/>
      <c r="BN189" s="35"/>
      <c r="BO189" s="35"/>
      <c r="BP189" s="35"/>
      <c r="BQ189" s="35"/>
      <c r="BR189" s="35"/>
      <c r="BS189" s="35"/>
      <c r="BT189" s="35"/>
      <c r="BU189" s="35"/>
      <c r="BV189" s="35"/>
      <c r="BW189" s="35"/>
      <c r="BX189" s="35"/>
      <c r="BY189" s="35"/>
      <c r="BZ189" s="35"/>
      <c r="CA189" s="35"/>
      <c r="CB189" s="35"/>
      <c r="CC189" s="35"/>
      <c r="CD189" s="35"/>
      <c r="CE189" s="35"/>
      <c r="CF189" s="35"/>
      <c r="CG189" s="35"/>
      <c r="CH189" s="35"/>
      <c r="CI189" s="35"/>
      <c r="CJ189" s="35"/>
      <c r="CK189" s="35"/>
      <c r="CL189" s="35"/>
      <c r="CM189" s="35"/>
      <c r="CN189" s="35"/>
      <c r="CO189" s="35"/>
      <c r="CP189" s="35"/>
      <c r="CQ189" s="35"/>
      <c r="CR189" s="35"/>
      <c r="CS189" s="35"/>
      <c r="CT189" s="35"/>
      <c r="CU189" s="35"/>
      <c r="CV189" s="35"/>
      <c r="CW189" s="35"/>
      <c r="CX189" s="35"/>
      <c r="CY189" s="35"/>
      <c r="CZ189" s="35"/>
      <c r="DA189" s="35"/>
      <c r="DB189" s="35"/>
      <c r="DC189" s="35"/>
      <c r="DD189" s="35"/>
      <c r="DE189" s="35"/>
      <c r="DF189" s="35"/>
      <c r="DG189" s="35"/>
      <c r="DH189" s="35"/>
      <c r="DI189" s="35"/>
      <c r="DJ189" s="35"/>
      <c r="DK189" s="35"/>
      <c r="DL189" s="35"/>
      <c r="DM189" s="35"/>
      <c r="DN189" s="35"/>
      <c r="DO189" s="35"/>
      <c r="DP189" s="35"/>
      <c r="DQ189" s="35"/>
      <c r="DR189" s="35"/>
      <c r="DS189" s="35"/>
      <c r="DT189" s="35"/>
      <c r="DU189" s="35"/>
      <c r="DV189" s="35"/>
      <c r="DW189" s="35"/>
      <c r="DX189" s="35"/>
      <c r="DY189" s="35"/>
      <c r="DZ189" s="35"/>
      <c r="EA189" s="35"/>
      <c r="EB189" s="35"/>
      <c r="EC189" s="35"/>
      <c r="ED189" s="35"/>
      <c r="EE189" s="35"/>
      <c r="EF189" s="35"/>
      <c r="EG189" s="35"/>
      <c r="EH189" s="35"/>
      <c r="EI189" s="35"/>
      <c r="EJ189" s="35"/>
      <c r="EK189" s="35"/>
      <c r="EL189" s="35"/>
      <c r="EM189" s="35"/>
      <c r="EN189" s="35"/>
      <c r="EO189" s="35"/>
      <c r="EP189" s="35"/>
      <c r="EQ189" s="35"/>
      <c r="ER189" s="35"/>
      <c r="ES189" s="35"/>
      <c r="ET189" s="35"/>
      <c r="EU189" s="35"/>
      <c r="EV189" s="35"/>
      <c r="EW189" s="35"/>
      <c r="EX189" s="35"/>
      <c r="EY189" s="35"/>
      <c r="EZ189" s="35"/>
      <c r="FA189" s="35"/>
      <c r="FB189" s="35"/>
      <c r="FC189" s="458">
        <f t="shared" si="19"/>
        <v>0</v>
      </c>
      <c r="FD189">
        <f t="shared" si="17"/>
        <v>0</v>
      </c>
      <c r="FE189" t="e">
        <f t="shared" si="18"/>
        <v>#N/A</v>
      </c>
      <c r="FI189" s="731" t="e">
        <f t="shared" si="20"/>
        <v>#VALUE!</v>
      </c>
      <c r="FK189" s="471" t="str">
        <f t="shared" si="21"/>
        <v xml:space="preserve"> </v>
      </c>
      <c r="FL189" s="730">
        <f t="shared" si="22"/>
        <v>0</v>
      </c>
      <c r="FM189" s="471" t="str">
        <f t="shared" si="23"/>
        <v/>
      </c>
      <c r="FN189" s="730">
        <f t="shared" si="24"/>
        <v>0</v>
      </c>
    </row>
    <row r="190" spans="1:170" s="33" customFormat="1" x14ac:dyDescent="0.2">
      <c r="A190" s="34" t="s">
        <v>240</v>
      </c>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c r="BJ190" s="35"/>
      <c r="BK190" s="35"/>
      <c r="BL190" s="35"/>
      <c r="BM190" s="35"/>
      <c r="BN190" s="35"/>
      <c r="BO190" s="35"/>
      <c r="BP190" s="35"/>
      <c r="BQ190" s="35"/>
      <c r="BR190" s="35"/>
      <c r="BS190" s="35"/>
      <c r="BT190" s="35"/>
      <c r="BU190" s="35"/>
      <c r="BV190" s="35"/>
      <c r="BW190" s="35"/>
      <c r="BX190" s="35"/>
      <c r="BY190" s="35"/>
      <c r="BZ190" s="35"/>
      <c r="CA190" s="35"/>
      <c r="CB190" s="35"/>
      <c r="CC190" s="35"/>
      <c r="CD190" s="35"/>
      <c r="CE190" s="35"/>
      <c r="CF190" s="35"/>
      <c r="CG190" s="35"/>
      <c r="CH190" s="35"/>
      <c r="CI190" s="35"/>
      <c r="CJ190" s="35"/>
      <c r="CK190" s="35"/>
      <c r="CL190" s="35"/>
      <c r="CM190" s="35"/>
      <c r="CN190" s="35"/>
      <c r="CO190" s="35"/>
      <c r="CP190" s="35"/>
      <c r="CQ190" s="35"/>
      <c r="CR190" s="35"/>
      <c r="CS190" s="35"/>
      <c r="CT190" s="35"/>
      <c r="CU190" s="35"/>
      <c r="CV190" s="35"/>
      <c r="CW190" s="35"/>
      <c r="CX190" s="35"/>
      <c r="CY190" s="35"/>
      <c r="CZ190" s="35"/>
      <c r="DA190" s="35"/>
      <c r="DB190" s="35"/>
      <c r="DC190" s="35"/>
      <c r="DD190" s="35"/>
      <c r="DE190" s="35"/>
      <c r="DF190" s="35"/>
      <c r="DG190" s="35"/>
      <c r="DH190" s="35"/>
      <c r="DI190" s="35"/>
      <c r="DJ190" s="35"/>
      <c r="DK190" s="35"/>
      <c r="DL190" s="35"/>
      <c r="DM190" s="35"/>
      <c r="DN190" s="35"/>
      <c r="DO190" s="35"/>
      <c r="DP190" s="35"/>
      <c r="DQ190" s="35"/>
      <c r="DR190" s="35"/>
      <c r="DS190" s="35"/>
      <c r="DT190" s="35"/>
      <c r="DU190" s="35"/>
      <c r="DV190" s="35"/>
      <c r="DW190" s="35"/>
      <c r="DX190" s="35"/>
      <c r="DY190" s="35"/>
      <c r="DZ190" s="35"/>
      <c r="EA190" s="35"/>
      <c r="EB190" s="35"/>
      <c r="EC190" s="35"/>
      <c r="ED190" s="35"/>
      <c r="EE190" s="35"/>
      <c r="EF190" s="35"/>
      <c r="EG190" s="35"/>
      <c r="EH190" s="35"/>
      <c r="EI190" s="35"/>
      <c r="EJ190" s="35"/>
      <c r="EK190" s="35"/>
      <c r="EL190" s="35"/>
      <c r="EM190" s="35"/>
      <c r="EN190" s="35"/>
      <c r="EO190" s="35"/>
      <c r="EP190" s="35"/>
      <c r="EQ190" s="35"/>
      <c r="ER190" s="35"/>
      <c r="ES190" s="35"/>
      <c r="ET190" s="35"/>
      <c r="EU190" s="35"/>
      <c r="EV190" s="35"/>
      <c r="EW190" s="35"/>
      <c r="EX190" s="35"/>
      <c r="EY190" s="35"/>
      <c r="EZ190" s="35"/>
      <c r="FA190" s="35"/>
      <c r="FB190" s="35"/>
      <c r="FC190" s="458">
        <f t="shared" si="19"/>
        <v>0</v>
      </c>
      <c r="FD190">
        <f t="shared" si="17"/>
        <v>0</v>
      </c>
      <c r="FE190" t="e">
        <f t="shared" si="18"/>
        <v>#N/A</v>
      </c>
      <c r="FI190" s="731" t="e">
        <f t="shared" si="20"/>
        <v>#VALUE!</v>
      </c>
      <c r="FK190" s="471" t="str">
        <f t="shared" si="21"/>
        <v xml:space="preserve"> </v>
      </c>
      <c r="FL190" s="730">
        <f t="shared" si="22"/>
        <v>0</v>
      </c>
      <c r="FM190" s="471" t="str">
        <f t="shared" si="23"/>
        <v/>
      </c>
      <c r="FN190" s="730">
        <f t="shared" si="24"/>
        <v>0</v>
      </c>
    </row>
    <row r="191" spans="1:170" s="33" customFormat="1" x14ac:dyDescent="0.2">
      <c r="A191" s="34" t="s">
        <v>241</v>
      </c>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c r="BG191" s="35"/>
      <c r="BH191" s="35"/>
      <c r="BI191" s="35"/>
      <c r="BJ191" s="35"/>
      <c r="BK191" s="35"/>
      <c r="BL191" s="35"/>
      <c r="BM191" s="35"/>
      <c r="BN191" s="35"/>
      <c r="BO191" s="35"/>
      <c r="BP191" s="35"/>
      <c r="BQ191" s="35"/>
      <c r="BR191" s="35"/>
      <c r="BS191" s="35"/>
      <c r="BT191" s="35"/>
      <c r="BU191" s="35"/>
      <c r="BV191" s="35"/>
      <c r="BW191" s="35"/>
      <c r="BX191" s="35"/>
      <c r="BY191" s="35"/>
      <c r="BZ191" s="35"/>
      <c r="CA191" s="35"/>
      <c r="CB191" s="35"/>
      <c r="CC191" s="35"/>
      <c r="CD191" s="35"/>
      <c r="CE191" s="35"/>
      <c r="CF191" s="35"/>
      <c r="CG191" s="35"/>
      <c r="CH191" s="35"/>
      <c r="CI191" s="35"/>
      <c r="CJ191" s="35"/>
      <c r="CK191" s="35"/>
      <c r="CL191" s="35"/>
      <c r="CM191" s="35"/>
      <c r="CN191" s="35"/>
      <c r="CO191" s="35"/>
      <c r="CP191" s="35"/>
      <c r="CQ191" s="35"/>
      <c r="CR191" s="35"/>
      <c r="CS191" s="35"/>
      <c r="CT191" s="35"/>
      <c r="CU191" s="35"/>
      <c r="CV191" s="35"/>
      <c r="CW191" s="35"/>
      <c r="CX191" s="35"/>
      <c r="CY191" s="35"/>
      <c r="CZ191" s="35"/>
      <c r="DA191" s="35"/>
      <c r="DB191" s="35"/>
      <c r="DC191" s="35"/>
      <c r="DD191" s="35"/>
      <c r="DE191" s="35"/>
      <c r="DF191" s="35"/>
      <c r="DG191" s="35"/>
      <c r="DH191" s="35"/>
      <c r="DI191" s="35"/>
      <c r="DJ191" s="35"/>
      <c r="DK191" s="35"/>
      <c r="DL191" s="35"/>
      <c r="DM191" s="35"/>
      <c r="DN191" s="35"/>
      <c r="DO191" s="35"/>
      <c r="DP191" s="35"/>
      <c r="DQ191" s="35"/>
      <c r="DR191" s="35"/>
      <c r="DS191" s="35"/>
      <c r="DT191" s="35"/>
      <c r="DU191" s="35"/>
      <c r="DV191" s="35"/>
      <c r="DW191" s="35"/>
      <c r="DX191" s="35"/>
      <c r="DY191" s="35"/>
      <c r="DZ191" s="35"/>
      <c r="EA191" s="35"/>
      <c r="EB191" s="35"/>
      <c r="EC191" s="35"/>
      <c r="ED191" s="35"/>
      <c r="EE191" s="35"/>
      <c r="EF191" s="35"/>
      <c r="EG191" s="35"/>
      <c r="EH191" s="35"/>
      <c r="EI191" s="35"/>
      <c r="EJ191" s="35"/>
      <c r="EK191" s="35"/>
      <c r="EL191" s="35"/>
      <c r="EM191" s="35"/>
      <c r="EN191" s="35"/>
      <c r="EO191" s="35"/>
      <c r="EP191" s="35"/>
      <c r="EQ191" s="35"/>
      <c r="ER191" s="35"/>
      <c r="ES191" s="35"/>
      <c r="ET191" s="35"/>
      <c r="EU191" s="35"/>
      <c r="EV191" s="35"/>
      <c r="EW191" s="35"/>
      <c r="EX191" s="35"/>
      <c r="EY191" s="35"/>
      <c r="EZ191" s="35"/>
      <c r="FA191" s="35"/>
      <c r="FB191" s="35"/>
      <c r="FC191" s="458">
        <f t="shared" si="19"/>
        <v>0</v>
      </c>
      <c r="FD191">
        <f t="shared" si="17"/>
        <v>0</v>
      </c>
      <c r="FE191" t="e">
        <f t="shared" si="18"/>
        <v>#N/A</v>
      </c>
      <c r="FI191" s="731" t="e">
        <f t="shared" si="20"/>
        <v>#VALUE!</v>
      </c>
      <c r="FK191" s="471" t="str">
        <f t="shared" si="21"/>
        <v xml:space="preserve"> </v>
      </c>
      <c r="FL191" s="730">
        <f t="shared" si="22"/>
        <v>0</v>
      </c>
      <c r="FM191" s="471" t="str">
        <f t="shared" si="23"/>
        <v/>
      </c>
      <c r="FN191" s="730">
        <f t="shared" si="24"/>
        <v>0</v>
      </c>
    </row>
    <row r="192" spans="1:170" s="33" customFormat="1" x14ac:dyDescent="0.2">
      <c r="A192" s="34" t="s">
        <v>242</v>
      </c>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c r="BG192" s="35"/>
      <c r="BH192" s="35"/>
      <c r="BI192" s="35"/>
      <c r="BJ192" s="35"/>
      <c r="BK192" s="35"/>
      <c r="BL192" s="35"/>
      <c r="BM192" s="35"/>
      <c r="BN192" s="35"/>
      <c r="BO192" s="35"/>
      <c r="BP192" s="35"/>
      <c r="BQ192" s="35"/>
      <c r="BR192" s="35"/>
      <c r="BS192" s="35"/>
      <c r="BT192" s="35"/>
      <c r="BU192" s="35"/>
      <c r="BV192" s="35"/>
      <c r="BW192" s="35"/>
      <c r="BX192" s="35"/>
      <c r="BY192" s="35"/>
      <c r="BZ192" s="35"/>
      <c r="CA192" s="35"/>
      <c r="CB192" s="35"/>
      <c r="CC192" s="35"/>
      <c r="CD192" s="35"/>
      <c r="CE192" s="35"/>
      <c r="CF192" s="35"/>
      <c r="CG192" s="35"/>
      <c r="CH192" s="35"/>
      <c r="CI192" s="35"/>
      <c r="CJ192" s="35"/>
      <c r="CK192" s="35"/>
      <c r="CL192" s="35"/>
      <c r="CM192" s="35"/>
      <c r="CN192" s="35"/>
      <c r="CO192" s="35"/>
      <c r="CP192" s="35"/>
      <c r="CQ192" s="35"/>
      <c r="CR192" s="35"/>
      <c r="CS192" s="35"/>
      <c r="CT192" s="35"/>
      <c r="CU192" s="35"/>
      <c r="CV192" s="35"/>
      <c r="CW192" s="35"/>
      <c r="CX192" s="35"/>
      <c r="CY192" s="35"/>
      <c r="CZ192" s="35"/>
      <c r="DA192" s="35"/>
      <c r="DB192" s="35"/>
      <c r="DC192" s="35"/>
      <c r="DD192" s="35"/>
      <c r="DE192" s="35"/>
      <c r="DF192" s="35"/>
      <c r="DG192" s="35"/>
      <c r="DH192" s="35"/>
      <c r="DI192" s="35"/>
      <c r="DJ192" s="35"/>
      <c r="DK192" s="35"/>
      <c r="DL192" s="35"/>
      <c r="DM192" s="35"/>
      <c r="DN192" s="35"/>
      <c r="DO192" s="35"/>
      <c r="DP192" s="35"/>
      <c r="DQ192" s="35"/>
      <c r="DR192" s="35"/>
      <c r="DS192" s="35"/>
      <c r="DT192" s="35"/>
      <c r="DU192" s="35"/>
      <c r="DV192" s="35"/>
      <c r="DW192" s="35"/>
      <c r="DX192" s="35"/>
      <c r="DY192" s="35"/>
      <c r="DZ192" s="35"/>
      <c r="EA192" s="35"/>
      <c r="EB192" s="35"/>
      <c r="EC192" s="35"/>
      <c r="ED192" s="35"/>
      <c r="EE192" s="35"/>
      <c r="EF192" s="35"/>
      <c r="EG192" s="35"/>
      <c r="EH192" s="35"/>
      <c r="EI192" s="35"/>
      <c r="EJ192" s="35"/>
      <c r="EK192" s="35"/>
      <c r="EL192" s="35"/>
      <c r="EM192" s="35"/>
      <c r="EN192" s="35"/>
      <c r="EO192" s="35"/>
      <c r="EP192" s="35"/>
      <c r="EQ192" s="35"/>
      <c r="ER192" s="35"/>
      <c r="ES192" s="35"/>
      <c r="ET192" s="35"/>
      <c r="EU192" s="35"/>
      <c r="EV192" s="35"/>
      <c r="EW192" s="35"/>
      <c r="EX192" s="35"/>
      <c r="EY192" s="35"/>
      <c r="EZ192" s="35"/>
      <c r="FA192" s="35"/>
      <c r="FB192" s="35"/>
      <c r="FC192" s="458">
        <f t="shared" si="19"/>
        <v>0</v>
      </c>
      <c r="FD192">
        <f t="shared" si="17"/>
        <v>0</v>
      </c>
      <c r="FE192" t="e">
        <f t="shared" si="18"/>
        <v>#N/A</v>
      </c>
      <c r="FI192" s="731" t="e">
        <f t="shared" si="20"/>
        <v>#VALUE!</v>
      </c>
      <c r="FK192" s="471" t="str">
        <f t="shared" si="21"/>
        <v xml:space="preserve"> </v>
      </c>
      <c r="FL192" s="730">
        <f t="shared" si="22"/>
        <v>0</v>
      </c>
      <c r="FM192" s="471" t="str">
        <f t="shared" si="23"/>
        <v/>
      </c>
      <c r="FN192" s="730">
        <f t="shared" si="24"/>
        <v>0</v>
      </c>
    </row>
    <row r="193" spans="1:170" s="33" customFormat="1" x14ac:dyDescent="0.2">
      <c r="A193" s="34" t="s">
        <v>243</v>
      </c>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c r="BG193" s="35"/>
      <c r="BH193" s="35"/>
      <c r="BI193" s="35"/>
      <c r="BJ193" s="35"/>
      <c r="BK193" s="35"/>
      <c r="BL193" s="35"/>
      <c r="BM193" s="35"/>
      <c r="BN193" s="35"/>
      <c r="BO193" s="35"/>
      <c r="BP193" s="35"/>
      <c r="BQ193" s="35"/>
      <c r="BR193" s="35"/>
      <c r="BS193" s="35"/>
      <c r="BT193" s="35"/>
      <c r="BU193" s="35"/>
      <c r="BV193" s="35"/>
      <c r="BW193" s="35"/>
      <c r="BX193" s="35"/>
      <c r="BY193" s="35"/>
      <c r="BZ193" s="35"/>
      <c r="CA193" s="35"/>
      <c r="CB193" s="35"/>
      <c r="CC193" s="35"/>
      <c r="CD193" s="35"/>
      <c r="CE193" s="35"/>
      <c r="CF193" s="35"/>
      <c r="CG193" s="35"/>
      <c r="CH193" s="35"/>
      <c r="CI193" s="35"/>
      <c r="CJ193" s="35"/>
      <c r="CK193" s="35"/>
      <c r="CL193" s="35"/>
      <c r="CM193" s="35"/>
      <c r="CN193" s="35"/>
      <c r="CO193" s="35"/>
      <c r="CP193" s="35"/>
      <c r="CQ193" s="35"/>
      <c r="CR193" s="35"/>
      <c r="CS193" s="35"/>
      <c r="CT193" s="35"/>
      <c r="CU193" s="35"/>
      <c r="CV193" s="35"/>
      <c r="CW193" s="35"/>
      <c r="CX193" s="35"/>
      <c r="CY193" s="35"/>
      <c r="CZ193" s="35"/>
      <c r="DA193" s="35"/>
      <c r="DB193" s="35"/>
      <c r="DC193" s="35"/>
      <c r="DD193" s="35"/>
      <c r="DE193" s="35"/>
      <c r="DF193" s="35"/>
      <c r="DG193" s="35"/>
      <c r="DH193" s="35"/>
      <c r="DI193" s="35"/>
      <c r="DJ193" s="35"/>
      <c r="DK193" s="35"/>
      <c r="DL193" s="35"/>
      <c r="DM193" s="35"/>
      <c r="DN193" s="35"/>
      <c r="DO193" s="35"/>
      <c r="DP193" s="35"/>
      <c r="DQ193" s="35"/>
      <c r="DR193" s="35"/>
      <c r="DS193" s="35"/>
      <c r="DT193" s="35"/>
      <c r="DU193" s="35"/>
      <c r="DV193" s="35"/>
      <c r="DW193" s="35"/>
      <c r="DX193" s="35"/>
      <c r="DY193" s="35"/>
      <c r="DZ193" s="35"/>
      <c r="EA193" s="35"/>
      <c r="EB193" s="35"/>
      <c r="EC193" s="35"/>
      <c r="ED193" s="35"/>
      <c r="EE193" s="35"/>
      <c r="EF193" s="35"/>
      <c r="EG193" s="35"/>
      <c r="EH193" s="35"/>
      <c r="EI193" s="35"/>
      <c r="EJ193" s="35"/>
      <c r="EK193" s="35"/>
      <c r="EL193" s="35"/>
      <c r="EM193" s="35"/>
      <c r="EN193" s="35"/>
      <c r="EO193" s="35"/>
      <c r="EP193" s="35"/>
      <c r="EQ193" s="35"/>
      <c r="ER193" s="35"/>
      <c r="ES193" s="35"/>
      <c r="ET193" s="35"/>
      <c r="EU193" s="35"/>
      <c r="EV193" s="35"/>
      <c r="EW193" s="35"/>
      <c r="EX193" s="35"/>
      <c r="EY193" s="35"/>
      <c r="EZ193" s="35"/>
      <c r="FA193" s="35"/>
      <c r="FB193" s="35"/>
      <c r="FC193" s="458">
        <f t="shared" si="19"/>
        <v>0</v>
      </c>
      <c r="FD193">
        <f t="shared" si="17"/>
        <v>0</v>
      </c>
      <c r="FE193" t="e">
        <f t="shared" si="18"/>
        <v>#N/A</v>
      </c>
      <c r="FI193" s="731" t="e">
        <f t="shared" si="20"/>
        <v>#VALUE!</v>
      </c>
      <c r="FK193" s="471" t="str">
        <f t="shared" si="21"/>
        <v xml:space="preserve"> </v>
      </c>
      <c r="FL193" s="730">
        <f t="shared" si="22"/>
        <v>0</v>
      </c>
      <c r="FM193" s="471" t="str">
        <f t="shared" si="23"/>
        <v/>
      </c>
      <c r="FN193" s="730">
        <f t="shared" si="24"/>
        <v>0</v>
      </c>
    </row>
    <row r="194" spans="1:170" s="33" customFormat="1" x14ac:dyDescent="0.2">
      <c r="A194" s="34" t="s">
        <v>244</v>
      </c>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c r="BG194" s="35"/>
      <c r="BH194" s="35"/>
      <c r="BI194" s="35"/>
      <c r="BJ194" s="35"/>
      <c r="BK194" s="35"/>
      <c r="BL194" s="35"/>
      <c r="BM194" s="35"/>
      <c r="BN194" s="35"/>
      <c r="BO194" s="35"/>
      <c r="BP194" s="35"/>
      <c r="BQ194" s="35"/>
      <c r="BR194" s="35"/>
      <c r="BS194" s="35"/>
      <c r="BT194" s="35"/>
      <c r="BU194" s="35"/>
      <c r="BV194" s="35"/>
      <c r="BW194" s="35"/>
      <c r="BX194" s="35"/>
      <c r="BY194" s="35"/>
      <c r="BZ194" s="35"/>
      <c r="CA194" s="35"/>
      <c r="CB194" s="35"/>
      <c r="CC194" s="35"/>
      <c r="CD194" s="35"/>
      <c r="CE194" s="35"/>
      <c r="CF194" s="35"/>
      <c r="CG194" s="35"/>
      <c r="CH194" s="35"/>
      <c r="CI194" s="35"/>
      <c r="CJ194" s="35"/>
      <c r="CK194" s="35"/>
      <c r="CL194" s="35"/>
      <c r="CM194" s="35"/>
      <c r="CN194" s="35"/>
      <c r="CO194" s="35"/>
      <c r="CP194" s="35"/>
      <c r="CQ194" s="35"/>
      <c r="CR194" s="35"/>
      <c r="CS194" s="35"/>
      <c r="CT194" s="35"/>
      <c r="CU194" s="35"/>
      <c r="CV194" s="35"/>
      <c r="CW194" s="35"/>
      <c r="CX194" s="35"/>
      <c r="CY194" s="35"/>
      <c r="CZ194" s="35"/>
      <c r="DA194" s="35"/>
      <c r="DB194" s="35"/>
      <c r="DC194" s="35"/>
      <c r="DD194" s="35"/>
      <c r="DE194" s="35"/>
      <c r="DF194" s="35"/>
      <c r="DG194" s="35"/>
      <c r="DH194" s="35"/>
      <c r="DI194" s="35"/>
      <c r="DJ194" s="35"/>
      <c r="DK194" s="35"/>
      <c r="DL194" s="35"/>
      <c r="DM194" s="35"/>
      <c r="DN194" s="35"/>
      <c r="DO194" s="35"/>
      <c r="DP194" s="35"/>
      <c r="DQ194" s="35"/>
      <c r="DR194" s="35"/>
      <c r="DS194" s="35"/>
      <c r="DT194" s="35"/>
      <c r="DU194" s="35"/>
      <c r="DV194" s="35"/>
      <c r="DW194" s="35"/>
      <c r="DX194" s="35"/>
      <c r="DY194" s="35"/>
      <c r="DZ194" s="35"/>
      <c r="EA194" s="35"/>
      <c r="EB194" s="35"/>
      <c r="EC194" s="35"/>
      <c r="ED194" s="35"/>
      <c r="EE194" s="35"/>
      <c r="EF194" s="35"/>
      <c r="EG194" s="35"/>
      <c r="EH194" s="35"/>
      <c r="EI194" s="35"/>
      <c r="EJ194" s="35"/>
      <c r="EK194" s="35"/>
      <c r="EL194" s="35"/>
      <c r="EM194" s="35"/>
      <c r="EN194" s="35"/>
      <c r="EO194" s="35"/>
      <c r="EP194" s="35"/>
      <c r="EQ194" s="35"/>
      <c r="ER194" s="35"/>
      <c r="ES194" s="35"/>
      <c r="ET194" s="35"/>
      <c r="EU194" s="35"/>
      <c r="EV194" s="35"/>
      <c r="EW194" s="35"/>
      <c r="EX194" s="35"/>
      <c r="EY194" s="35"/>
      <c r="EZ194" s="35"/>
      <c r="FA194" s="35"/>
      <c r="FB194" s="35"/>
      <c r="FC194" s="458">
        <f t="shared" si="19"/>
        <v>0</v>
      </c>
      <c r="FD194">
        <f t="shared" si="17"/>
        <v>0</v>
      </c>
      <c r="FE194" t="e">
        <f t="shared" si="18"/>
        <v>#N/A</v>
      </c>
      <c r="FI194" s="731" t="e">
        <f t="shared" si="20"/>
        <v>#VALUE!</v>
      </c>
      <c r="FK194" s="471" t="str">
        <f t="shared" si="21"/>
        <v xml:space="preserve"> </v>
      </c>
      <c r="FL194" s="730">
        <f t="shared" si="22"/>
        <v>0</v>
      </c>
      <c r="FM194" s="471" t="str">
        <f t="shared" si="23"/>
        <v/>
      </c>
      <c r="FN194" s="730">
        <f t="shared" si="24"/>
        <v>0</v>
      </c>
    </row>
    <row r="195" spans="1:170" s="33" customFormat="1" x14ac:dyDescent="0.2">
      <c r="A195" s="34" t="s">
        <v>245</v>
      </c>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c r="BG195" s="35"/>
      <c r="BH195" s="35"/>
      <c r="BI195" s="35"/>
      <c r="BJ195" s="35"/>
      <c r="BK195" s="35"/>
      <c r="BL195" s="35"/>
      <c r="BM195" s="35"/>
      <c r="BN195" s="35"/>
      <c r="BO195" s="35"/>
      <c r="BP195" s="35"/>
      <c r="BQ195" s="35"/>
      <c r="BR195" s="35"/>
      <c r="BS195" s="35"/>
      <c r="BT195" s="35"/>
      <c r="BU195" s="35"/>
      <c r="BV195" s="35"/>
      <c r="BW195" s="35"/>
      <c r="BX195" s="35"/>
      <c r="BY195" s="35"/>
      <c r="BZ195" s="35"/>
      <c r="CA195" s="35"/>
      <c r="CB195" s="35"/>
      <c r="CC195" s="35"/>
      <c r="CD195" s="35"/>
      <c r="CE195" s="35"/>
      <c r="CF195" s="35"/>
      <c r="CG195" s="35"/>
      <c r="CH195" s="35"/>
      <c r="CI195" s="35"/>
      <c r="CJ195" s="35"/>
      <c r="CK195" s="35"/>
      <c r="CL195" s="35"/>
      <c r="CM195" s="35"/>
      <c r="CN195" s="35"/>
      <c r="CO195" s="35"/>
      <c r="CP195" s="35"/>
      <c r="CQ195" s="35"/>
      <c r="CR195" s="35"/>
      <c r="CS195" s="35"/>
      <c r="CT195" s="35"/>
      <c r="CU195" s="35"/>
      <c r="CV195" s="35"/>
      <c r="CW195" s="35"/>
      <c r="CX195" s="35"/>
      <c r="CY195" s="35"/>
      <c r="CZ195" s="35"/>
      <c r="DA195" s="35"/>
      <c r="DB195" s="35"/>
      <c r="DC195" s="35"/>
      <c r="DD195" s="35"/>
      <c r="DE195" s="35"/>
      <c r="DF195" s="35"/>
      <c r="DG195" s="35"/>
      <c r="DH195" s="35"/>
      <c r="DI195" s="35"/>
      <c r="DJ195" s="35"/>
      <c r="DK195" s="35"/>
      <c r="DL195" s="35"/>
      <c r="DM195" s="35"/>
      <c r="DN195" s="35"/>
      <c r="DO195" s="35"/>
      <c r="DP195" s="35"/>
      <c r="DQ195" s="35"/>
      <c r="DR195" s="35"/>
      <c r="DS195" s="35"/>
      <c r="DT195" s="35"/>
      <c r="DU195" s="35"/>
      <c r="DV195" s="35"/>
      <c r="DW195" s="35"/>
      <c r="DX195" s="35"/>
      <c r="DY195" s="35"/>
      <c r="DZ195" s="35"/>
      <c r="EA195" s="35"/>
      <c r="EB195" s="35"/>
      <c r="EC195" s="35"/>
      <c r="ED195" s="35"/>
      <c r="EE195" s="35"/>
      <c r="EF195" s="35"/>
      <c r="EG195" s="35"/>
      <c r="EH195" s="35"/>
      <c r="EI195" s="35"/>
      <c r="EJ195" s="35"/>
      <c r="EK195" s="35"/>
      <c r="EL195" s="35"/>
      <c r="EM195" s="35"/>
      <c r="EN195" s="35"/>
      <c r="EO195" s="35"/>
      <c r="EP195" s="35"/>
      <c r="EQ195" s="35"/>
      <c r="ER195" s="35"/>
      <c r="ES195" s="35"/>
      <c r="ET195" s="35"/>
      <c r="EU195" s="35"/>
      <c r="EV195" s="35"/>
      <c r="EW195" s="35"/>
      <c r="EX195" s="35"/>
      <c r="EY195" s="35"/>
      <c r="EZ195" s="35"/>
      <c r="FA195" s="35"/>
      <c r="FB195" s="35"/>
      <c r="FC195" s="458">
        <f t="shared" si="19"/>
        <v>0</v>
      </c>
      <c r="FD195">
        <f t="shared" ref="FD195:FD258" si="25">INT(FC195/10000000)</f>
        <v>0</v>
      </c>
      <c r="FE195" t="e">
        <f t="shared" ref="FE195:FE258" si="26">VLOOKUP(FD195,Table_acad,2)</f>
        <v>#N/A</v>
      </c>
      <c r="FI195" s="731" t="e">
        <f t="shared" si="20"/>
        <v>#VALUE!</v>
      </c>
      <c r="FK195" s="471" t="str">
        <f t="shared" si="21"/>
        <v xml:space="preserve"> </v>
      </c>
      <c r="FL195" s="730">
        <f t="shared" si="22"/>
        <v>0</v>
      </c>
      <c r="FM195" s="471" t="str">
        <f t="shared" si="23"/>
        <v/>
      </c>
      <c r="FN195" s="730">
        <f t="shared" si="24"/>
        <v>0</v>
      </c>
    </row>
    <row r="196" spans="1:170" s="33" customFormat="1" x14ac:dyDescent="0.2">
      <c r="A196" s="34" t="s">
        <v>246</v>
      </c>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c r="BG196" s="35"/>
      <c r="BH196" s="35"/>
      <c r="BI196" s="35"/>
      <c r="BJ196" s="35"/>
      <c r="BK196" s="35"/>
      <c r="BL196" s="35"/>
      <c r="BM196" s="35"/>
      <c r="BN196" s="35"/>
      <c r="BO196" s="35"/>
      <c r="BP196" s="35"/>
      <c r="BQ196" s="35"/>
      <c r="BR196" s="35"/>
      <c r="BS196" s="35"/>
      <c r="BT196" s="35"/>
      <c r="BU196" s="35"/>
      <c r="BV196" s="35"/>
      <c r="BW196" s="35"/>
      <c r="BX196" s="35"/>
      <c r="BY196" s="35"/>
      <c r="BZ196" s="35"/>
      <c r="CA196" s="35"/>
      <c r="CB196" s="35"/>
      <c r="CC196" s="35"/>
      <c r="CD196" s="35"/>
      <c r="CE196" s="35"/>
      <c r="CF196" s="35"/>
      <c r="CG196" s="35"/>
      <c r="CH196" s="35"/>
      <c r="CI196" s="35"/>
      <c r="CJ196" s="35"/>
      <c r="CK196" s="35"/>
      <c r="CL196" s="35"/>
      <c r="CM196" s="35"/>
      <c r="CN196" s="35"/>
      <c r="CO196" s="35"/>
      <c r="CP196" s="35"/>
      <c r="CQ196" s="35"/>
      <c r="CR196" s="35"/>
      <c r="CS196" s="35"/>
      <c r="CT196" s="35"/>
      <c r="CU196" s="35"/>
      <c r="CV196" s="35"/>
      <c r="CW196" s="35"/>
      <c r="CX196" s="35"/>
      <c r="CY196" s="35"/>
      <c r="CZ196" s="35"/>
      <c r="DA196" s="35"/>
      <c r="DB196" s="35"/>
      <c r="DC196" s="35"/>
      <c r="DD196" s="35"/>
      <c r="DE196" s="35"/>
      <c r="DF196" s="35"/>
      <c r="DG196" s="35"/>
      <c r="DH196" s="35"/>
      <c r="DI196" s="35"/>
      <c r="DJ196" s="35"/>
      <c r="DK196" s="35"/>
      <c r="DL196" s="35"/>
      <c r="DM196" s="35"/>
      <c r="DN196" s="35"/>
      <c r="DO196" s="35"/>
      <c r="DP196" s="35"/>
      <c r="DQ196" s="35"/>
      <c r="DR196" s="35"/>
      <c r="DS196" s="35"/>
      <c r="DT196" s="35"/>
      <c r="DU196" s="35"/>
      <c r="DV196" s="35"/>
      <c r="DW196" s="35"/>
      <c r="DX196" s="35"/>
      <c r="DY196" s="35"/>
      <c r="DZ196" s="35"/>
      <c r="EA196" s="35"/>
      <c r="EB196" s="35"/>
      <c r="EC196" s="35"/>
      <c r="ED196" s="35"/>
      <c r="EE196" s="35"/>
      <c r="EF196" s="35"/>
      <c r="EG196" s="35"/>
      <c r="EH196" s="35"/>
      <c r="EI196" s="35"/>
      <c r="EJ196" s="35"/>
      <c r="EK196" s="35"/>
      <c r="EL196" s="35"/>
      <c r="EM196" s="35"/>
      <c r="EN196" s="35"/>
      <c r="EO196" s="35"/>
      <c r="EP196" s="35"/>
      <c r="EQ196" s="35"/>
      <c r="ER196" s="35"/>
      <c r="ES196" s="35"/>
      <c r="ET196" s="35"/>
      <c r="EU196" s="35"/>
      <c r="EV196" s="35"/>
      <c r="EW196" s="35"/>
      <c r="EX196" s="35"/>
      <c r="EY196" s="35"/>
      <c r="EZ196" s="35"/>
      <c r="FA196" s="35"/>
      <c r="FB196" s="35"/>
      <c r="FC196" s="458">
        <f t="shared" ref="FC196:FC259" si="27">VALUE(B196)</f>
        <v>0</v>
      </c>
      <c r="FD196">
        <f t="shared" si="25"/>
        <v>0</v>
      </c>
      <c r="FE196" t="e">
        <f t="shared" si="26"/>
        <v>#N/A</v>
      </c>
      <c r="FI196" s="731" t="e">
        <f t="shared" ref="FI196:FI259" si="28">DATEVALUE(E196)</f>
        <v>#VALUE!</v>
      </c>
      <c r="FK196" s="471" t="str">
        <f t="shared" ref="FK196:FK259" si="29">LEFT(B196,5)&amp;" "&amp;RIGHT(B196,4)</f>
        <v xml:space="preserve"> </v>
      </c>
      <c r="FL196" s="730">
        <f t="shared" ref="FL196:FL259" si="30">N196</f>
        <v>0</v>
      </c>
      <c r="FM196" s="471" t="str">
        <f t="shared" ref="FM196:FM259" si="31">IF(FN196="jeune coach","oui","")</f>
        <v/>
      </c>
      <c r="FN196" s="730">
        <f t="shared" si="24"/>
        <v>0</v>
      </c>
    </row>
    <row r="197" spans="1:170" s="33" customFormat="1" x14ac:dyDescent="0.2">
      <c r="A197" s="34" t="s">
        <v>247</v>
      </c>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c r="BG197" s="35"/>
      <c r="BH197" s="35"/>
      <c r="BI197" s="35"/>
      <c r="BJ197" s="35"/>
      <c r="BK197" s="35"/>
      <c r="BL197" s="35"/>
      <c r="BM197" s="35"/>
      <c r="BN197" s="35"/>
      <c r="BO197" s="35"/>
      <c r="BP197" s="35"/>
      <c r="BQ197" s="35"/>
      <c r="BR197" s="35"/>
      <c r="BS197" s="35"/>
      <c r="BT197" s="35"/>
      <c r="BU197" s="35"/>
      <c r="BV197" s="35"/>
      <c r="BW197" s="35"/>
      <c r="BX197" s="35"/>
      <c r="BY197" s="35"/>
      <c r="BZ197" s="35"/>
      <c r="CA197" s="35"/>
      <c r="CB197" s="35"/>
      <c r="CC197" s="35"/>
      <c r="CD197" s="35"/>
      <c r="CE197" s="35"/>
      <c r="CF197" s="35"/>
      <c r="CG197" s="35"/>
      <c r="CH197" s="35"/>
      <c r="CI197" s="35"/>
      <c r="CJ197" s="35"/>
      <c r="CK197" s="35"/>
      <c r="CL197" s="35"/>
      <c r="CM197" s="35"/>
      <c r="CN197" s="35"/>
      <c r="CO197" s="35"/>
      <c r="CP197" s="35"/>
      <c r="CQ197" s="35"/>
      <c r="CR197" s="35"/>
      <c r="CS197" s="35"/>
      <c r="CT197" s="35"/>
      <c r="CU197" s="35"/>
      <c r="CV197" s="35"/>
      <c r="CW197" s="35"/>
      <c r="CX197" s="35"/>
      <c r="CY197" s="35"/>
      <c r="CZ197" s="35"/>
      <c r="DA197" s="35"/>
      <c r="DB197" s="35"/>
      <c r="DC197" s="35"/>
      <c r="DD197" s="35"/>
      <c r="DE197" s="35"/>
      <c r="DF197" s="35"/>
      <c r="DG197" s="35"/>
      <c r="DH197" s="35"/>
      <c r="DI197" s="35"/>
      <c r="DJ197" s="35"/>
      <c r="DK197" s="35"/>
      <c r="DL197" s="35"/>
      <c r="DM197" s="35"/>
      <c r="DN197" s="35"/>
      <c r="DO197" s="35"/>
      <c r="DP197" s="35"/>
      <c r="DQ197" s="35"/>
      <c r="DR197" s="35"/>
      <c r="DS197" s="35"/>
      <c r="DT197" s="35"/>
      <c r="DU197" s="35"/>
      <c r="DV197" s="35"/>
      <c r="DW197" s="35"/>
      <c r="DX197" s="35"/>
      <c r="DY197" s="35"/>
      <c r="DZ197" s="35"/>
      <c r="EA197" s="35"/>
      <c r="EB197" s="35"/>
      <c r="EC197" s="35"/>
      <c r="ED197" s="35"/>
      <c r="EE197" s="35"/>
      <c r="EF197" s="35"/>
      <c r="EG197" s="35"/>
      <c r="EH197" s="35"/>
      <c r="EI197" s="35"/>
      <c r="EJ197" s="35"/>
      <c r="EK197" s="35"/>
      <c r="EL197" s="35"/>
      <c r="EM197" s="35"/>
      <c r="EN197" s="35"/>
      <c r="EO197" s="35"/>
      <c r="EP197" s="35"/>
      <c r="EQ197" s="35"/>
      <c r="ER197" s="35"/>
      <c r="ES197" s="35"/>
      <c r="ET197" s="35"/>
      <c r="EU197" s="35"/>
      <c r="EV197" s="35"/>
      <c r="EW197" s="35"/>
      <c r="EX197" s="35"/>
      <c r="EY197" s="35"/>
      <c r="EZ197" s="35"/>
      <c r="FA197" s="35"/>
      <c r="FB197" s="35"/>
      <c r="FC197" s="458">
        <f t="shared" si="27"/>
        <v>0</v>
      </c>
      <c r="FD197">
        <f t="shared" si="25"/>
        <v>0</v>
      </c>
      <c r="FE197" t="e">
        <f t="shared" si="26"/>
        <v>#N/A</v>
      </c>
      <c r="FI197" s="731" t="e">
        <f t="shared" si="28"/>
        <v>#VALUE!</v>
      </c>
      <c r="FK197" s="471" t="str">
        <f t="shared" si="29"/>
        <v xml:space="preserve"> </v>
      </c>
      <c r="FL197" s="730">
        <f t="shared" si="30"/>
        <v>0</v>
      </c>
      <c r="FM197" s="471" t="str">
        <f t="shared" si="31"/>
        <v/>
      </c>
      <c r="FN197" s="730">
        <f t="shared" si="24"/>
        <v>0</v>
      </c>
    </row>
    <row r="198" spans="1:170" s="33" customFormat="1" x14ac:dyDescent="0.2">
      <c r="A198" s="34" t="s">
        <v>248</v>
      </c>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c r="BG198" s="35"/>
      <c r="BH198" s="35"/>
      <c r="BI198" s="35"/>
      <c r="BJ198" s="35"/>
      <c r="BK198" s="35"/>
      <c r="BL198" s="35"/>
      <c r="BM198" s="35"/>
      <c r="BN198" s="35"/>
      <c r="BO198" s="35"/>
      <c r="BP198" s="35"/>
      <c r="BQ198" s="35"/>
      <c r="BR198" s="35"/>
      <c r="BS198" s="35"/>
      <c r="BT198" s="35"/>
      <c r="BU198" s="35"/>
      <c r="BV198" s="35"/>
      <c r="BW198" s="35"/>
      <c r="BX198" s="35"/>
      <c r="BY198" s="35"/>
      <c r="BZ198" s="35"/>
      <c r="CA198" s="35"/>
      <c r="CB198" s="35"/>
      <c r="CC198" s="35"/>
      <c r="CD198" s="35"/>
      <c r="CE198" s="35"/>
      <c r="CF198" s="35"/>
      <c r="CG198" s="35"/>
      <c r="CH198" s="35"/>
      <c r="CI198" s="35"/>
      <c r="CJ198" s="35"/>
      <c r="CK198" s="35"/>
      <c r="CL198" s="35"/>
      <c r="CM198" s="35"/>
      <c r="CN198" s="35"/>
      <c r="CO198" s="35"/>
      <c r="CP198" s="35"/>
      <c r="CQ198" s="35"/>
      <c r="CR198" s="35"/>
      <c r="CS198" s="35"/>
      <c r="CT198" s="35"/>
      <c r="CU198" s="35"/>
      <c r="CV198" s="35"/>
      <c r="CW198" s="35"/>
      <c r="CX198" s="35"/>
      <c r="CY198" s="35"/>
      <c r="CZ198" s="35"/>
      <c r="DA198" s="35"/>
      <c r="DB198" s="35"/>
      <c r="DC198" s="35"/>
      <c r="DD198" s="35"/>
      <c r="DE198" s="35"/>
      <c r="DF198" s="35"/>
      <c r="DG198" s="35"/>
      <c r="DH198" s="35"/>
      <c r="DI198" s="35"/>
      <c r="DJ198" s="35"/>
      <c r="DK198" s="35"/>
      <c r="DL198" s="35"/>
      <c r="DM198" s="35"/>
      <c r="DN198" s="35"/>
      <c r="DO198" s="35"/>
      <c r="DP198" s="35"/>
      <c r="DQ198" s="35"/>
      <c r="DR198" s="35"/>
      <c r="DS198" s="35"/>
      <c r="DT198" s="35"/>
      <c r="DU198" s="35"/>
      <c r="DV198" s="35"/>
      <c r="DW198" s="35"/>
      <c r="DX198" s="35"/>
      <c r="DY198" s="35"/>
      <c r="DZ198" s="35"/>
      <c r="EA198" s="35"/>
      <c r="EB198" s="35"/>
      <c r="EC198" s="35"/>
      <c r="ED198" s="35"/>
      <c r="EE198" s="35"/>
      <c r="EF198" s="35"/>
      <c r="EG198" s="35"/>
      <c r="EH198" s="35"/>
      <c r="EI198" s="35"/>
      <c r="EJ198" s="35"/>
      <c r="EK198" s="35"/>
      <c r="EL198" s="35"/>
      <c r="EM198" s="35"/>
      <c r="EN198" s="35"/>
      <c r="EO198" s="35"/>
      <c r="EP198" s="35"/>
      <c r="EQ198" s="35"/>
      <c r="ER198" s="35"/>
      <c r="ES198" s="35"/>
      <c r="ET198" s="35"/>
      <c r="EU198" s="35"/>
      <c r="EV198" s="35"/>
      <c r="EW198" s="35"/>
      <c r="EX198" s="35"/>
      <c r="EY198" s="35"/>
      <c r="EZ198" s="35"/>
      <c r="FA198" s="35"/>
      <c r="FB198" s="35"/>
      <c r="FC198" s="458">
        <f t="shared" si="27"/>
        <v>0</v>
      </c>
      <c r="FD198">
        <f t="shared" si="25"/>
        <v>0</v>
      </c>
      <c r="FE198" t="e">
        <f t="shared" si="26"/>
        <v>#N/A</v>
      </c>
      <c r="FI198" s="731" t="e">
        <f t="shared" si="28"/>
        <v>#VALUE!</v>
      </c>
      <c r="FK198" s="471" t="str">
        <f t="shared" si="29"/>
        <v xml:space="preserve"> </v>
      </c>
      <c r="FL198" s="730">
        <f t="shared" si="30"/>
        <v>0</v>
      </c>
      <c r="FM198" s="471" t="str">
        <f t="shared" si="31"/>
        <v/>
      </c>
      <c r="FN198" s="730">
        <f t="shared" si="24"/>
        <v>0</v>
      </c>
    </row>
    <row r="199" spans="1:170" s="33" customFormat="1" x14ac:dyDescent="0.2">
      <c r="A199" s="34" t="s">
        <v>249</v>
      </c>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c r="BG199" s="35"/>
      <c r="BH199" s="35"/>
      <c r="BI199" s="35"/>
      <c r="BJ199" s="35"/>
      <c r="BK199" s="35"/>
      <c r="BL199" s="35"/>
      <c r="BM199" s="35"/>
      <c r="BN199" s="35"/>
      <c r="BO199" s="35"/>
      <c r="BP199" s="35"/>
      <c r="BQ199" s="35"/>
      <c r="BR199" s="35"/>
      <c r="BS199" s="35"/>
      <c r="BT199" s="35"/>
      <c r="BU199" s="35"/>
      <c r="BV199" s="35"/>
      <c r="BW199" s="35"/>
      <c r="BX199" s="35"/>
      <c r="BY199" s="35"/>
      <c r="BZ199" s="35"/>
      <c r="CA199" s="35"/>
      <c r="CB199" s="35"/>
      <c r="CC199" s="35"/>
      <c r="CD199" s="35"/>
      <c r="CE199" s="35"/>
      <c r="CF199" s="35"/>
      <c r="CG199" s="35"/>
      <c r="CH199" s="35"/>
      <c r="CI199" s="35"/>
      <c r="CJ199" s="35"/>
      <c r="CK199" s="35"/>
      <c r="CL199" s="35"/>
      <c r="CM199" s="35"/>
      <c r="CN199" s="35"/>
      <c r="CO199" s="35"/>
      <c r="CP199" s="35"/>
      <c r="CQ199" s="35"/>
      <c r="CR199" s="35"/>
      <c r="CS199" s="35"/>
      <c r="CT199" s="35"/>
      <c r="CU199" s="35"/>
      <c r="CV199" s="35"/>
      <c r="CW199" s="35"/>
      <c r="CX199" s="35"/>
      <c r="CY199" s="35"/>
      <c r="CZ199" s="35"/>
      <c r="DA199" s="35"/>
      <c r="DB199" s="35"/>
      <c r="DC199" s="35"/>
      <c r="DD199" s="35"/>
      <c r="DE199" s="35"/>
      <c r="DF199" s="35"/>
      <c r="DG199" s="35"/>
      <c r="DH199" s="35"/>
      <c r="DI199" s="35"/>
      <c r="DJ199" s="35"/>
      <c r="DK199" s="35"/>
      <c r="DL199" s="35"/>
      <c r="DM199" s="35"/>
      <c r="DN199" s="35"/>
      <c r="DO199" s="35"/>
      <c r="DP199" s="35"/>
      <c r="DQ199" s="35"/>
      <c r="DR199" s="35"/>
      <c r="DS199" s="35"/>
      <c r="DT199" s="35"/>
      <c r="DU199" s="35"/>
      <c r="DV199" s="35"/>
      <c r="DW199" s="35"/>
      <c r="DX199" s="35"/>
      <c r="DY199" s="35"/>
      <c r="DZ199" s="35"/>
      <c r="EA199" s="35"/>
      <c r="EB199" s="35"/>
      <c r="EC199" s="35"/>
      <c r="ED199" s="35"/>
      <c r="EE199" s="35"/>
      <c r="EF199" s="35"/>
      <c r="EG199" s="35"/>
      <c r="EH199" s="35"/>
      <c r="EI199" s="35"/>
      <c r="EJ199" s="35"/>
      <c r="EK199" s="35"/>
      <c r="EL199" s="35"/>
      <c r="EM199" s="35"/>
      <c r="EN199" s="35"/>
      <c r="EO199" s="35"/>
      <c r="EP199" s="35"/>
      <c r="EQ199" s="35"/>
      <c r="ER199" s="35"/>
      <c r="ES199" s="35"/>
      <c r="ET199" s="35"/>
      <c r="EU199" s="35"/>
      <c r="EV199" s="35"/>
      <c r="EW199" s="35"/>
      <c r="EX199" s="35"/>
      <c r="EY199" s="35"/>
      <c r="EZ199" s="35"/>
      <c r="FA199" s="35"/>
      <c r="FB199" s="35"/>
      <c r="FC199" s="458">
        <f t="shared" si="27"/>
        <v>0</v>
      </c>
      <c r="FD199">
        <f t="shared" si="25"/>
        <v>0</v>
      </c>
      <c r="FE199" t="e">
        <f t="shared" si="26"/>
        <v>#N/A</v>
      </c>
      <c r="FI199" s="731" t="e">
        <f t="shared" si="28"/>
        <v>#VALUE!</v>
      </c>
      <c r="FK199" s="471" t="str">
        <f t="shared" si="29"/>
        <v xml:space="preserve"> </v>
      </c>
      <c r="FL199" s="730">
        <f t="shared" si="30"/>
        <v>0</v>
      </c>
      <c r="FM199" s="471" t="str">
        <f t="shared" si="31"/>
        <v/>
      </c>
      <c r="FN199" s="730">
        <f t="shared" si="24"/>
        <v>0</v>
      </c>
    </row>
    <row r="200" spans="1:170" s="33" customFormat="1" x14ac:dyDescent="0.2">
      <c r="A200" s="34" t="s">
        <v>250</v>
      </c>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35"/>
      <c r="BS200" s="35"/>
      <c r="BT200" s="35"/>
      <c r="BU200" s="35"/>
      <c r="BV200" s="35"/>
      <c r="BW200" s="35"/>
      <c r="BX200" s="35"/>
      <c r="BY200" s="35"/>
      <c r="BZ200" s="35"/>
      <c r="CA200" s="35"/>
      <c r="CB200" s="35"/>
      <c r="CC200" s="35"/>
      <c r="CD200" s="35"/>
      <c r="CE200" s="35"/>
      <c r="CF200" s="35"/>
      <c r="CG200" s="35"/>
      <c r="CH200" s="35"/>
      <c r="CI200" s="35"/>
      <c r="CJ200" s="35"/>
      <c r="CK200" s="35"/>
      <c r="CL200" s="35"/>
      <c r="CM200" s="35"/>
      <c r="CN200" s="35"/>
      <c r="CO200" s="35"/>
      <c r="CP200" s="35"/>
      <c r="CQ200" s="35"/>
      <c r="CR200" s="35"/>
      <c r="CS200" s="35"/>
      <c r="CT200" s="35"/>
      <c r="CU200" s="35"/>
      <c r="CV200" s="35"/>
      <c r="CW200" s="35"/>
      <c r="CX200" s="35"/>
      <c r="CY200" s="35"/>
      <c r="CZ200" s="35"/>
      <c r="DA200" s="35"/>
      <c r="DB200" s="35"/>
      <c r="DC200" s="35"/>
      <c r="DD200" s="35"/>
      <c r="DE200" s="35"/>
      <c r="DF200" s="35"/>
      <c r="DG200" s="35"/>
      <c r="DH200" s="35"/>
      <c r="DI200" s="35"/>
      <c r="DJ200" s="35"/>
      <c r="DK200" s="35"/>
      <c r="DL200" s="35"/>
      <c r="DM200" s="35"/>
      <c r="DN200" s="35"/>
      <c r="DO200" s="35"/>
      <c r="DP200" s="35"/>
      <c r="DQ200" s="35"/>
      <c r="DR200" s="35"/>
      <c r="DS200" s="35"/>
      <c r="DT200" s="35"/>
      <c r="DU200" s="35"/>
      <c r="DV200" s="35"/>
      <c r="DW200" s="35"/>
      <c r="DX200" s="35"/>
      <c r="DY200" s="35"/>
      <c r="DZ200" s="35"/>
      <c r="EA200" s="35"/>
      <c r="EB200" s="35"/>
      <c r="EC200" s="35"/>
      <c r="ED200" s="35"/>
      <c r="EE200" s="35"/>
      <c r="EF200" s="35"/>
      <c r="EG200" s="35"/>
      <c r="EH200" s="35"/>
      <c r="EI200" s="35"/>
      <c r="EJ200" s="35"/>
      <c r="EK200" s="35"/>
      <c r="EL200" s="35"/>
      <c r="EM200" s="35"/>
      <c r="EN200" s="35"/>
      <c r="EO200" s="35"/>
      <c r="EP200" s="35"/>
      <c r="EQ200" s="35"/>
      <c r="ER200" s="35"/>
      <c r="ES200" s="35"/>
      <c r="ET200" s="35"/>
      <c r="EU200" s="35"/>
      <c r="EV200" s="35"/>
      <c r="EW200" s="35"/>
      <c r="EX200" s="35"/>
      <c r="EY200" s="35"/>
      <c r="EZ200" s="35"/>
      <c r="FA200" s="35"/>
      <c r="FB200" s="35"/>
      <c r="FC200" s="458">
        <f t="shared" si="27"/>
        <v>0</v>
      </c>
      <c r="FD200">
        <f t="shared" si="25"/>
        <v>0</v>
      </c>
      <c r="FE200" t="e">
        <f t="shared" si="26"/>
        <v>#N/A</v>
      </c>
      <c r="FI200" s="731" t="e">
        <f t="shared" si="28"/>
        <v>#VALUE!</v>
      </c>
      <c r="FK200" s="471" t="str">
        <f t="shared" si="29"/>
        <v xml:space="preserve"> </v>
      </c>
      <c r="FL200" s="730">
        <f t="shared" si="30"/>
        <v>0</v>
      </c>
      <c r="FM200" s="471" t="str">
        <f t="shared" si="31"/>
        <v/>
      </c>
      <c r="FN200" s="730">
        <f t="shared" si="24"/>
        <v>0</v>
      </c>
    </row>
    <row r="201" spans="1:170" s="33" customFormat="1" x14ac:dyDescent="0.2">
      <c r="A201" s="34" t="s">
        <v>251</v>
      </c>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c r="BG201" s="35"/>
      <c r="BH201" s="35"/>
      <c r="BI201" s="35"/>
      <c r="BJ201" s="35"/>
      <c r="BK201" s="35"/>
      <c r="BL201" s="35"/>
      <c r="BM201" s="35"/>
      <c r="BN201" s="35"/>
      <c r="BO201" s="35"/>
      <c r="BP201" s="35"/>
      <c r="BQ201" s="35"/>
      <c r="BR201" s="35"/>
      <c r="BS201" s="35"/>
      <c r="BT201" s="35"/>
      <c r="BU201" s="35"/>
      <c r="BV201" s="35"/>
      <c r="BW201" s="35"/>
      <c r="BX201" s="35"/>
      <c r="BY201" s="35"/>
      <c r="BZ201" s="35"/>
      <c r="CA201" s="35"/>
      <c r="CB201" s="35"/>
      <c r="CC201" s="35"/>
      <c r="CD201" s="35"/>
      <c r="CE201" s="35"/>
      <c r="CF201" s="35"/>
      <c r="CG201" s="35"/>
      <c r="CH201" s="35"/>
      <c r="CI201" s="35"/>
      <c r="CJ201" s="35"/>
      <c r="CK201" s="35"/>
      <c r="CL201" s="35"/>
      <c r="CM201" s="35"/>
      <c r="CN201" s="35"/>
      <c r="CO201" s="35"/>
      <c r="CP201" s="35"/>
      <c r="CQ201" s="35"/>
      <c r="CR201" s="35"/>
      <c r="CS201" s="35"/>
      <c r="CT201" s="35"/>
      <c r="CU201" s="35"/>
      <c r="CV201" s="35"/>
      <c r="CW201" s="35"/>
      <c r="CX201" s="35"/>
      <c r="CY201" s="35"/>
      <c r="CZ201" s="35"/>
      <c r="DA201" s="35"/>
      <c r="DB201" s="35"/>
      <c r="DC201" s="35"/>
      <c r="DD201" s="35"/>
      <c r="DE201" s="35"/>
      <c r="DF201" s="35"/>
      <c r="DG201" s="35"/>
      <c r="DH201" s="35"/>
      <c r="DI201" s="35"/>
      <c r="DJ201" s="35"/>
      <c r="DK201" s="35"/>
      <c r="DL201" s="35"/>
      <c r="DM201" s="35"/>
      <c r="DN201" s="35"/>
      <c r="DO201" s="35"/>
      <c r="DP201" s="35"/>
      <c r="DQ201" s="35"/>
      <c r="DR201" s="35"/>
      <c r="DS201" s="35"/>
      <c r="DT201" s="35"/>
      <c r="DU201" s="35"/>
      <c r="DV201" s="35"/>
      <c r="DW201" s="35"/>
      <c r="DX201" s="35"/>
      <c r="DY201" s="35"/>
      <c r="DZ201" s="35"/>
      <c r="EA201" s="35"/>
      <c r="EB201" s="35"/>
      <c r="EC201" s="35"/>
      <c r="ED201" s="35"/>
      <c r="EE201" s="35"/>
      <c r="EF201" s="35"/>
      <c r="EG201" s="35"/>
      <c r="EH201" s="35"/>
      <c r="EI201" s="35"/>
      <c r="EJ201" s="35"/>
      <c r="EK201" s="35"/>
      <c r="EL201" s="35"/>
      <c r="EM201" s="35"/>
      <c r="EN201" s="35"/>
      <c r="EO201" s="35"/>
      <c r="EP201" s="35"/>
      <c r="EQ201" s="35"/>
      <c r="ER201" s="35"/>
      <c r="ES201" s="35"/>
      <c r="ET201" s="35"/>
      <c r="EU201" s="35"/>
      <c r="EV201" s="35"/>
      <c r="EW201" s="35"/>
      <c r="EX201" s="35"/>
      <c r="EY201" s="35"/>
      <c r="EZ201" s="35"/>
      <c r="FA201" s="35"/>
      <c r="FB201" s="35"/>
      <c r="FC201" s="458">
        <f t="shared" si="27"/>
        <v>0</v>
      </c>
      <c r="FD201">
        <f t="shared" si="25"/>
        <v>0</v>
      </c>
      <c r="FE201" t="e">
        <f t="shared" si="26"/>
        <v>#N/A</v>
      </c>
      <c r="FI201" s="731" t="e">
        <f t="shared" si="28"/>
        <v>#VALUE!</v>
      </c>
      <c r="FK201" s="471" t="str">
        <f t="shared" si="29"/>
        <v xml:space="preserve"> </v>
      </c>
      <c r="FL201" s="730">
        <f t="shared" si="30"/>
        <v>0</v>
      </c>
      <c r="FM201" s="471" t="str">
        <f t="shared" si="31"/>
        <v/>
      </c>
      <c r="FN201" s="730">
        <f t="shared" si="24"/>
        <v>0</v>
      </c>
    </row>
    <row r="202" spans="1:170" s="33" customFormat="1" x14ac:dyDescent="0.2">
      <c r="A202" s="34" t="s">
        <v>252</v>
      </c>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c r="BG202" s="35"/>
      <c r="BH202" s="35"/>
      <c r="BI202" s="35"/>
      <c r="BJ202" s="35"/>
      <c r="BK202" s="35"/>
      <c r="BL202" s="35"/>
      <c r="BM202" s="35"/>
      <c r="BN202" s="35"/>
      <c r="BO202" s="35"/>
      <c r="BP202" s="35"/>
      <c r="BQ202" s="35"/>
      <c r="BR202" s="35"/>
      <c r="BS202" s="35"/>
      <c r="BT202" s="35"/>
      <c r="BU202" s="35"/>
      <c r="BV202" s="35"/>
      <c r="BW202" s="35"/>
      <c r="BX202" s="35"/>
      <c r="BY202" s="35"/>
      <c r="BZ202" s="35"/>
      <c r="CA202" s="35"/>
      <c r="CB202" s="35"/>
      <c r="CC202" s="35"/>
      <c r="CD202" s="35"/>
      <c r="CE202" s="35"/>
      <c r="CF202" s="35"/>
      <c r="CG202" s="35"/>
      <c r="CH202" s="35"/>
      <c r="CI202" s="35"/>
      <c r="CJ202" s="35"/>
      <c r="CK202" s="35"/>
      <c r="CL202" s="35"/>
      <c r="CM202" s="35"/>
      <c r="CN202" s="35"/>
      <c r="CO202" s="35"/>
      <c r="CP202" s="35"/>
      <c r="CQ202" s="35"/>
      <c r="CR202" s="35"/>
      <c r="CS202" s="35"/>
      <c r="CT202" s="35"/>
      <c r="CU202" s="35"/>
      <c r="CV202" s="35"/>
      <c r="CW202" s="35"/>
      <c r="CX202" s="35"/>
      <c r="CY202" s="35"/>
      <c r="CZ202" s="35"/>
      <c r="DA202" s="35"/>
      <c r="DB202" s="35"/>
      <c r="DC202" s="35"/>
      <c r="DD202" s="35"/>
      <c r="DE202" s="35"/>
      <c r="DF202" s="35"/>
      <c r="DG202" s="35"/>
      <c r="DH202" s="35"/>
      <c r="DI202" s="35"/>
      <c r="DJ202" s="35"/>
      <c r="DK202" s="35"/>
      <c r="DL202" s="35"/>
      <c r="DM202" s="35"/>
      <c r="DN202" s="35"/>
      <c r="DO202" s="35"/>
      <c r="DP202" s="35"/>
      <c r="DQ202" s="35"/>
      <c r="DR202" s="35"/>
      <c r="DS202" s="35"/>
      <c r="DT202" s="35"/>
      <c r="DU202" s="35"/>
      <c r="DV202" s="35"/>
      <c r="DW202" s="35"/>
      <c r="DX202" s="35"/>
      <c r="DY202" s="35"/>
      <c r="DZ202" s="35"/>
      <c r="EA202" s="35"/>
      <c r="EB202" s="35"/>
      <c r="EC202" s="35"/>
      <c r="ED202" s="35"/>
      <c r="EE202" s="35"/>
      <c r="EF202" s="35"/>
      <c r="EG202" s="35"/>
      <c r="EH202" s="35"/>
      <c r="EI202" s="35"/>
      <c r="EJ202" s="35"/>
      <c r="EK202" s="35"/>
      <c r="EL202" s="35"/>
      <c r="EM202" s="35"/>
      <c r="EN202" s="35"/>
      <c r="EO202" s="35"/>
      <c r="EP202" s="35"/>
      <c r="EQ202" s="35"/>
      <c r="ER202" s="35"/>
      <c r="ES202" s="35"/>
      <c r="ET202" s="35"/>
      <c r="EU202" s="35"/>
      <c r="EV202" s="35"/>
      <c r="EW202" s="35"/>
      <c r="EX202" s="35"/>
      <c r="EY202" s="35"/>
      <c r="EZ202" s="35"/>
      <c r="FA202" s="35"/>
      <c r="FB202" s="35"/>
      <c r="FC202" s="458">
        <f t="shared" si="27"/>
        <v>0</v>
      </c>
      <c r="FD202">
        <f t="shared" si="25"/>
        <v>0</v>
      </c>
      <c r="FE202" t="e">
        <f t="shared" si="26"/>
        <v>#N/A</v>
      </c>
      <c r="FI202" s="731" t="e">
        <f t="shared" si="28"/>
        <v>#VALUE!</v>
      </c>
      <c r="FK202" s="471" t="str">
        <f t="shared" si="29"/>
        <v xml:space="preserve"> </v>
      </c>
      <c r="FL202" s="730">
        <f t="shared" si="30"/>
        <v>0</v>
      </c>
      <c r="FM202" s="471" t="str">
        <f t="shared" si="31"/>
        <v/>
      </c>
      <c r="FN202" s="730">
        <f t="shared" si="24"/>
        <v>0</v>
      </c>
    </row>
    <row r="203" spans="1:170" s="33" customFormat="1" x14ac:dyDescent="0.2">
      <c r="A203" s="34" t="s">
        <v>253</v>
      </c>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c r="BM203" s="35"/>
      <c r="BN203" s="35"/>
      <c r="BO203" s="35"/>
      <c r="BP203" s="35"/>
      <c r="BQ203" s="35"/>
      <c r="BR203" s="35"/>
      <c r="BS203" s="35"/>
      <c r="BT203" s="35"/>
      <c r="BU203" s="35"/>
      <c r="BV203" s="35"/>
      <c r="BW203" s="35"/>
      <c r="BX203" s="35"/>
      <c r="BY203" s="35"/>
      <c r="BZ203" s="35"/>
      <c r="CA203" s="35"/>
      <c r="CB203" s="35"/>
      <c r="CC203" s="35"/>
      <c r="CD203" s="35"/>
      <c r="CE203" s="35"/>
      <c r="CF203" s="35"/>
      <c r="CG203" s="35"/>
      <c r="CH203" s="35"/>
      <c r="CI203" s="35"/>
      <c r="CJ203" s="35"/>
      <c r="CK203" s="35"/>
      <c r="CL203" s="35"/>
      <c r="CM203" s="35"/>
      <c r="CN203" s="35"/>
      <c r="CO203" s="35"/>
      <c r="CP203" s="35"/>
      <c r="CQ203" s="35"/>
      <c r="CR203" s="35"/>
      <c r="CS203" s="35"/>
      <c r="CT203" s="35"/>
      <c r="CU203" s="35"/>
      <c r="CV203" s="35"/>
      <c r="CW203" s="35"/>
      <c r="CX203" s="35"/>
      <c r="CY203" s="35"/>
      <c r="CZ203" s="35"/>
      <c r="DA203" s="35"/>
      <c r="DB203" s="35"/>
      <c r="DC203" s="35"/>
      <c r="DD203" s="35"/>
      <c r="DE203" s="35"/>
      <c r="DF203" s="35"/>
      <c r="DG203" s="35"/>
      <c r="DH203" s="35"/>
      <c r="DI203" s="35"/>
      <c r="DJ203" s="35"/>
      <c r="DK203" s="35"/>
      <c r="DL203" s="35"/>
      <c r="DM203" s="35"/>
      <c r="DN203" s="35"/>
      <c r="DO203" s="35"/>
      <c r="DP203" s="35"/>
      <c r="DQ203" s="35"/>
      <c r="DR203" s="35"/>
      <c r="DS203" s="35"/>
      <c r="DT203" s="35"/>
      <c r="DU203" s="35"/>
      <c r="DV203" s="35"/>
      <c r="DW203" s="35"/>
      <c r="DX203" s="35"/>
      <c r="DY203" s="35"/>
      <c r="DZ203" s="35"/>
      <c r="EA203" s="35"/>
      <c r="EB203" s="35"/>
      <c r="EC203" s="35"/>
      <c r="ED203" s="35"/>
      <c r="EE203" s="35"/>
      <c r="EF203" s="35"/>
      <c r="EG203" s="35"/>
      <c r="EH203" s="35"/>
      <c r="EI203" s="35"/>
      <c r="EJ203" s="35"/>
      <c r="EK203" s="35"/>
      <c r="EL203" s="35"/>
      <c r="EM203" s="35"/>
      <c r="EN203" s="35"/>
      <c r="EO203" s="35"/>
      <c r="EP203" s="35"/>
      <c r="EQ203" s="35"/>
      <c r="ER203" s="35"/>
      <c r="ES203" s="35"/>
      <c r="ET203" s="35"/>
      <c r="EU203" s="35"/>
      <c r="EV203" s="35"/>
      <c r="EW203" s="35"/>
      <c r="EX203" s="35"/>
      <c r="EY203" s="35"/>
      <c r="EZ203" s="35"/>
      <c r="FA203" s="35"/>
      <c r="FB203" s="35"/>
      <c r="FC203" s="458">
        <f t="shared" si="27"/>
        <v>0</v>
      </c>
      <c r="FD203">
        <f t="shared" si="25"/>
        <v>0</v>
      </c>
      <c r="FE203" t="e">
        <f t="shared" si="26"/>
        <v>#N/A</v>
      </c>
      <c r="FI203" s="731" t="e">
        <f t="shared" si="28"/>
        <v>#VALUE!</v>
      </c>
      <c r="FK203" s="471" t="str">
        <f t="shared" si="29"/>
        <v xml:space="preserve"> </v>
      </c>
      <c r="FL203" s="730">
        <f t="shared" si="30"/>
        <v>0</v>
      </c>
      <c r="FM203" s="471" t="str">
        <f t="shared" si="31"/>
        <v/>
      </c>
      <c r="FN203" s="730">
        <f t="shared" si="24"/>
        <v>0</v>
      </c>
    </row>
    <row r="204" spans="1:170" s="33" customFormat="1" x14ac:dyDescent="0.2">
      <c r="A204" s="34" t="s">
        <v>254</v>
      </c>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c r="BG204" s="35"/>
      <c r="BH204" s="35"/>
      <c r="BI204" s="35"/>
      <c r="BJ204" s="35"/>
      <c r="BK204" s="35"/>
      <c r="BL204" s="35"/>
      <c r="BM204" s="35"/>
      <c r="BN204" s="35"/>
      <c r="BO204" s="35"/>
      <c r="BP204" s="35"/>
      <c r="BQ204" s="35"/>
      <c r="BR204" s="35"/>
      <c r="BS204" s="35"/>
      <c r="BT204" s="35"/>
      <c r="BU204" s="35"/>
      <c r="BV204" s="35"/>
      <c r="BW204" s="35"/>
      <c r="BX204" s="35"/>
      <c r="BY204" s="35"/>
      <c r="BZ204" s="35"/>
      <c r="CA204" s="35"/>
      <c r="CB204" s="35"/>
      <c r="CC204" s="35"/>
      <c r="CD204" s="35"/>
      <c r="CE204" s="35"/>
      <c r="CF204" s="35"/>
      <c r="CG204" s="35"/>
      <c r="CH204" s="35"/>
      <c r="CI204" s="35"/>
      <c r="CJ204" s="35"/>
      <c r="CK204" s="35"/>
      <c r="CL204" s="35"/>
      <c r="CM204" s="35"/>
      <c r="CN204" s="35"/>
      <c r="CO204" s="35"/>
      <c r="CP204" s="35"/>
      <c r="CQ204" s="35"/>
      <c r="CR204" s="35"/>
      <c r="CS204" s="35"/>
      <c r="CT204" s="35"/>
      <c r="CU204" s="35"/>
      <c r="CV204" s="35"/>
      <c r="CW204" s="35"/>
      <c r="CX204" s="35"/>
      <c r="CY204" s="35"/>
      <c r="CZ204" s="35"/>
      <c r="DA204" s="35"/>
      <c r="DB204" s="35"/>
      <c r="DC204" s="35"/>
      <c r="DD204" s="35"/>
      <c r="DE204" s="35"/>
      <c r="DF204" s="35"/>
      <c r="DG204" s="35"/>
      <c r="DH204" s="35"/>
      <c r="DI204" s="35"/>
      <c r="DJ204" s="35"/>
      <c r="DK204" s="35"/>
      <c r="DL204" s="35"/>
      <c r="DM204" s="35"/>
      <c r="DN204" s="35"/>
      <c r="DO204" s="35"/>
      <c r="DP204" s="35"/>
      <c r="DQ204" s="35"/>
      <c r="DR204" s="35"/>
      <c r="DS204" s="35"/>
      <c r="DT204" s="35"/>
      <c r="DU204" s="35"/>
      <c r="DV204" s="35"/>
      <c r="DW204" s="35"/>
      <c r="DX204" s="35"/>
      <c r="DY204" s="35"/>
      <c r="DZ204" s="35"/>
      <c r="EA204" s="35"/>
      <c r="EB204" s="35"/>
      <c r="EC204" s="35"/>
      <c r="ED204" s="35"/>
      <c r="EE204" s="35"/>
      <c r="EF204" s="35"/>
      <c r="EG204" s="35"/>
      <c r="EH204" s="35"/>
      <c r="EI204" s="35"/>
      <c r="EJ204" s="35"/>
      <c r="EK204" s="35"/>
      <c r="EL204" s="35"/>
      <c r="EM204" s="35"/>
      <c r="EN204" s="35"/>
      <c r="EO204" s="35"/>
      <c r="EP204" s="35"/>
      <c r="EQ204" s="35"/>
      <c r="ER204" s="35"/>
      <c r="ES204" s="35"/>
      <c r="ET204" s="35"/>
      <c r="EU204" s="35"/>
      <c r="EV204" s="35"/>
      <c r="EW204" s="35"/>
      <c r="EX204" s="35"/>
      <c r="EY204" s="35"/>
      <c r="EZ204" s="35"/>
      <c r="FA204" s="35"/>
      <c r="FB204" s="35"/>
      <c r="FC204" s="458">
        <f t="shared" si="27"/>
        <v>0</v>
      </c>
      <c r="FD204">
        <f t="shared" si="25"/>
        <v>0</v>
      </c>
      <c r="FE204" t="e">
        <f t="shared" si="26"/>
        <v>#N/A</v>
      </c>
      <c r="FI204" s="731" t="e">
        <f t="shared" si="28"/>
        <v>#VALUE!</v>
      </c>
      <c r="FK204" s="471" t="str">
        <f t="shared" si="29"/>
        <v xml:space="preserve"> </v>
      </c>
      <c r="FL204" s="730">
        <f t="shared" si="30"/>
        <v>0</v>
      </c>
      <c r="FM204" s="471" t="str">
        <f t="shared" si="31"/>
        <v/>
      </c>
      <c r="FN204" s="730">
        <f t="shared" si="24"/>
        <v>0</v>
      </c>
    </row>
    <row r="205" spans="1:170" s="33" customFormat="1" x14ac:dyDescent="0.2">
      <c r="A205" s="34" t="s">
        <v>255</v>
      </c>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c r="BG205" s="35"/>
      <c r="BH205" s="35"/>
      <c r="BI205" s="35"/>
      <c r="BJ205" s="35"/>
      <c r="BK205" s="35"/>
      <c r="BL205" s="35"/>
      <c r="BM205" s="35"/>
      <c r="BN205" s="35"/>
      <c r="BO205" s="35"/>
      <c r="BP205" s="35"/>
      <c r="BQ205" s="35"/>
      <c r="BR205" s="35"/>
      <c r="BS205" s="35"/>
      <c r="BT205" s="35"/>
      <c r="BU205" s="35"/>
      <c r="BV205" s="35"/>
      <c r="BW205" s="35"/>
      <c r="BX205" s="35"/>
      <c r="BY205" s="35"/>
      <c r="BZ205" s="35"/>
      <c r="CA205" s="35"/>
      <c r="CB205" s="35"/>
      <c r="CC205" s="35"/>
      <c r="CD205" s="35"/>
      <c r="CE205" s="35"/>
      <c r="CF205" s="35"/>
      <c r="CG205" s="35"/>
      <c r="CH205" s="35"/>
      <c r="CI205" s="35"/>
      <c r="CJ205" s="35"/>
      <c r="CK205" s="35"/>
      <c r="CL205" s="35"/>
      <c r="CM205" s="35"/>
      <c r="CN205" s="35"/>
      <c r="CO205" s="35"/>
      <c r="CP205" s="35"/>
      <c r="CQ205" s="35"/>
      <c r="CR205" s="35"/>
      <c r="CS205" s="35"/>
      <c r="CT205" s="35"/>
      <c r="CU205" s="35"/>
      <c r="CV205" s="35"/>
      <c r="CW205" s="35"/>
      <c r="CX205" s="35"/>
      <c r="CY205" s="35"/>
      <c r="CZ205" s="35"/>
      <c r="DA205" s="35"/>
      <c r="DB205" s="35"/>
      <c r="DC205" s="35"/>
      <c r="DD205" s="35"/>
      <c r="DE205" s="35"/>
      <c r="DF205" s="35"/>
      <c r="DG205" s="35"/>
      <c r="DH205" s="35"/>
      <c r="DI205" s="35"/>
      <c r="DJ205" s="35"/>
      <c r="DK205" s="35"/>
      <c r="DL205" s="35"/>
      <c r="DM205" s="35"/>
      <c r="DN205" s="35"/>
      <c r="DO205" s="35"/>
      <c r="DP205" s="35"/>
      <c r="DQ205" s="35"/>
      <c r="DR205" s="35"/>
      <c r="DS205" s="35"/>
      <c r="DT205" s="35"/>
      <c r="DU205" s="35"/>
      <c r="DV205" s="35"/>
      <c r="DW205" s="35"/>
      <c r="DX205" s="35"/>
      <c r="DY205" s="35"/>
      <c r="DZ205" s="35"/>
      <c r="EA205" s="35"/>
      <c r="EB205" s="35"/>
      <c r="EC205" s="35"/>
      <c r="ED205" s="35"/>
      <c r="EE205" s="35"/>
      <c r="EF205" s="35"/>
      <c r="EG205" s="35"/>
      <c r="EH205" s="35"/>
      <c r="EI205" s="35"/>
      <c r="EJ205" s="35"/>
      <c r="EK205" s="35"/>
      <c r="EL205" s="35"/>
      <c r="EM205" s="35"/>
      <c r="EN205" s="35"/>
      <c r="EO205" s="35"/>
      <c r="EP205" s="35"/>
      <c r="EQ205" s="35"/>
      <c r="ER205" s="35"/>
      <c r="ES205" s="35"/>
      <c r="ET205" s="35"/>
      <c r="EU205" s="35"/>
      <c r="EV205" s="35"/>
      <c r="EW205" s="35"/>
      <c r="EX205" s="35"/>
      <c r="EY205" s="35"/>
      <c r="EZ205" s="35"/>
      <c r="FA205" s="35"/>
      <c r="FB205" s="35"/>
      <c r="FC205" s="458">
        <f t="shared" si="27"/>
        <v>0</v>
      </c>
      <c r="FD205">
        <f t="shared" si="25"/>
        <v>0</v>
      </c>
      <c r="FE205" t="e">
        <f t="shared" si="26"/>
        <v>#N/A</v>
      </c>
      <c r="FI205" s="731" t="e">
        <f t="shared" si="28"/>
        <v>#VALUE!</v>
      </c>
      <c r="FK205" s="471" t="str">
        <f t="shared" si="29"/>
        <v xml:space="preserve"> </v>
      </c>
      <c r="FL205" s="730">
        <f t="shared" si="30"/>
        <v>0</v>
      </c>
      <c r="FM205" s="471" t="str">
        <f t="shared" si="31"/>
        <v/>
      </c>
      <c r="FN205" s="730">
        <f t="shared" si="24"/>
        <v>0</v>
      </c>
    </row>
    <row r="206" spans="1:170" s="33" customFormat="1" x14ac:dyDescent="0.2">
      <c r="A206" s="34" t="s">
        <v>256</v>
      </c>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c r="BG206" s="35"/>
      <c r="BH206" s="35"/>
      <c r="BI206" s="35"/>
      <c r="BJ206" s="35"/>
      <c r="BK206" s="35"/>
      <c r="BL206" s="35"/>
      <c r="BM206" s="35"/>
      <c r="BN206" s="35"/>
      <c r="BO206" s="35"/>
      <c r="BP206" s="35"/>
      <c r="BQ206" s="35"/>
      <c r="BR206" s="35"/>
      <c r="BS206" s="35"/>
      <c r="BT206" s="35"/>
      <c r="BU206" s="35"/>
      <c r="BV206" s="35"/>
      <c r="BW206" s="35"/>
      <c r="BX206" s="35"/>
      <c r="BY206" s="35"/>
      <c r="BZ206" s="35"/>
      <c r="CA206" s="35"/>
      <c r="CB206" s="35"/>
      <c r="CC206" s="35"/>
      <c r="CD206" s="35"/>
      <c r="CE206" s="35"/>
      <c r="CF206" s="35"/>
      <c r="CG206" s="35"/>
      <c r="CH206" s="35"/>
      <c r="CI206" s="35"/>
      <c r="CJ206" s="35"/>
      <c r="CK206" s="35"/>
      <c r="CL206" s="35"/>
      <c r="CM206" s="35"/>
      <c r="CN206" s="35"/>
      <c r="CO206" s="35"/>
      <c r="CP206" s="35"/>
      <c r="CQ206" s="35"/>
      <c r="CR206" s="35"/>
      <c r="CS206" s="35"/>
      <c r="CT206" s="35"/>
      <c r="CU206" s="35"/>
      <c r="CV206" s="35"/>
      <c r="CW206" s="35"/>
      <c r="CX206" s="35"/>
      <c r="CY206" s="35"/>
      <c r="CZ206" s="35"/>
      <c r="DA206" s="35"/>
      <c r="DB206" s="35"/>
      <c r="DC206" s="35"/>
      <c r="DD206" s="35"/>
      <c r="DE206" s="35"/>
      <c r="DF206" s="35"/>
      <c r="DG206" s="35"/>
      <c r="DH206" s="35"/>
      <c r="DI206" s="35"/>
      <c r="DJ206" s="35"/>
      <c r="DK206" s="35"/>
      <c r="DL206" s="35"/>
      <c r="DM206" s="35"/>
      <c r="DN206" s="35"/>
      <c r="DO206" s="35"/>
      <c r="DP206" s="35"/>
      <c r="DQ206" s="35"/>
      <c r="DR206" s="35"/>
      <c r="DS206" s="35"/>
      <c r="DT206" s="35"/>
      <c r="DU206" s="35"/>
      <c r="DV206" s="35"/>
      <c r="DW206" s="35"/>
      <c r="DX206" s="35"/>
      <c r="DY206" s="35"/>
      <c r="DZ206" s="35"/>
      <c r="EA206" s="35"/>
      <c r="EB206" s="35"/>
      <c r="EC206" s="35"/>
      <c r="ED206" s="35"/>
      <c r="EE206" s="35"/>
      <c r="EF206" s="35"/>
      <c r="EG206" s="35"/>
      <c r="EH206" s="35"/>
      <c r="EI206" s="35"/>
      <c r="EJ206" s="35"/>
      <c r="EK206" s="35"/>
      <c r="EL206" s="35"/>
      <c r="EM206" s="35"/>
      <c r="EN206" s="35"/>
      <c r="EO206" s="35"/>
      <c r="EP206" s="35"/>
      <c r="EQ206" s="35"/>
      <c r="ER206" s="35"/>
      <c r="ES206" s="35"/>
      <c r="ET206" s="35"/>
      <c r="EU206" s="35"/>
      <c r="EV206" s="35"/>
      <c r="EW206" s="35"/>
      <c r="EX206" s="35"/>
      <c r="EY206" s="35"/>
      <c r="EZ206" s="35"/>
      <c r="FA206" s="35"/>
      <c r="FB206" s="35"/>
      <c r="FC206" s="458">
        <f t="shared" si="27"/>
        <v>0</v>
      </c>
      <c r="FD206">
        <f t="shared" si="25"/>
        <v>0</v>
      </c>
      <c r="FE206" t="e">
        <f t="shared" si="26"/>
        <v>#N/A</v>
      </c>
      <c r="FI206" s="731" t="e">
        <f t="shared" si="28"/>
        <v>#VALUE!</v>
      </c>
      <c r="FK206" s="471" t="str">
        <f t="shared" si="29"/>
        <v xml:space="preserve"> </v>
      </c>
      <c r="FL206" s="730">
        <f t="shared" si="30"/>
        <v>0</v>
      </c>
      <c r="FM206" s="471" t="str">
        <f t="shared" si="31"/>
        <v/>
      </c>
      <c r="FN206" s="730">
        <f t="shared" si="24"/>
        <v>0</v>
      </c>
    </row>
    <row r="207" spans="1:170" s="33" customFormat="1" x14ac:dyDescent="0.2">
      <c r="A207" s="34" t="s">
        <v>257</v>
      </c>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35"/>
      <c r="BS207" s="35"/>
      <c r="BT207" s="35"/>
      <c r="BU207" s="35"/>
      <c r="BV207" s="35"/>
      <c r="BW207" s="35"/>
      <c r="BX207" s="35"/>
      <c r="BY207" s="35"/>
      <c r="BZ207" s="35"/>
      <c r="CA207" s="35"/>
      <c r="CB207" s="35"/>
      <c r="CC207" s="35"/>
      <c r="CD207" s="35"/>
      <c r="CE207" s="35"/>
      <c r="CF207" s="35"/>
      <c r="CG207" s="35"/>
      <c r="CH207" s="35"/>
      <c r="CI207" s="35"/>
      <c r="CJ207" s="35"/>
      <c r="CK207" s="35"/>
      <c r="CL207" s="35"/>
      <c r="CM207" s="35"/>
      <c r="CN207" s="35"/>
      <c r="CO207" s="35"/>
      <c r="CP207" s="35"/>
      <c r="CQ207" s="35"/>
      <c r="CR207" s="35"/>
      <c r="CS207" s="35"/>
      <c r="CT207" s="35"/>
      <c r="CU207" s="35"/>
      <c r="CV207" s="35"/>
      <c r="CW207" s="35"/>
      <c r="CX207" s="35"/>
      <c r="CY207" s="35"/>
      <c r="CZ207" s="35"/>
      <c r="DA207" s="35"/>
      <c r="DB207" s="35"/>
      <c r="DC207" s="35"/>
      <c r="DD207" s="35"/>
      <c r="DE207" s="35"/>
      <c r="DF207" s="35"/>
      <c r="DG207" s="35"/>
      <c r="DH207" s="35"/>
      <c r="DI207" s="35"/>
      <c r="DJ207" s="35"/>
      <c r="DK207" s="35"/>
      <c r="DL207" s="35"/>
      <c r="DM207" s="35"/>
      <c r="DN207" s="35"/>
      <c r="DO207" s="35"/>
      <c r="DP207" s="35"/>
      <c r="DQ207" s="35"/>
      <c r="DR207" s="35"/>
      <c r="DS207" s="35"/>
      <c r="DT207" s="35"/>
      <c r="DU207" s="35"/>
      <c r="DV207" s="35"/>
      <c r="DW207" s="35"/>
      <c r="DX207" s="35"/>
      <c r="DY207" s="35"/>
      <c r="DZ207" s="35"/>
      <c r="EA207" s="35"/>
      <c r="EB207" s="35"/>
      <c r="EC207" s="35"/>
      <c r="ED207" s="35"/>
      <c r="EE207" s="35"/>
      <c r="EF207" s="35"/>
      <c r="EG207" s="35"/>
      <c r="EH207" s="35"/>
      <c r="EI207" s="35"/>
      <c r="EJ207" s="35"/>
      <c r="EK207" s="35"/>
      <c r="EL207" s="35"/>
      <c r="EM207" s="35"/>
      <c r="EN207" s="35"/>
      <c r="EO207" s="35"/>
      <c r="EP207" s="35"/>
      <c r="EQ207" s="35"/>
      <c r="ER207" s="35"/>
      <c r="ES207" s="35"/>
      <c r="ET207" s="35"/>
      <c r="EU207" s="35"/>
      <c r="EV207" s="35"/>
      <c r="EW207" s="35"/>
      <c r="EX207" s="35"/>
      <c r="EY207" s="35"/>
      <c r="EZ207" s="35"/>
      <c r="FA207" s="35"/>
      <c r="FB207" s="35"/>
      <c r="FC207" s="458">
        <f t="shared" si="27"/>
        <v>0</v>
      </c>
      <c r="FD207">
        <f t="shared" si="25"/>
        <v>0</v>
      </c>
      <c r="FE207" t="e">
        <f t="shared" si="26"/>
        <v>#N/A</v>
      </c>
      <c r="FI207" s="731" t="e">
        <f t="shared" si="28"/>
        <v>#VALUE!</v>
      </c>
      <c r="FK207" s="471" t="str">
        <f t="shared" si="29"/>
        <v xml:space="preserve"> </v>
      </c>
      <c r="FL207" s="730">
        <f t="shared" si="30"/>
        <v>0</v>
      </c>
      <c r="FM207" s="471" t="str">
        <f t="shared" si="31"/>
        <v/>
      </c>
      <c r="FN207" s="730">
        <f t="shared" si="24"/>
        <v>0</v>
      </c>
    </row>
    <row r="208" spans="1:170" s="33" customFormat="1" x14ac:dyDescent="0.2">
      <c r="A208" s="34" t="s">
        <v>258</v>
      </c>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c r="BG208" s="35"/>
      <c r="BH208" s="35"/>
      <c r="BI208" s="35"/>
      <c r="BJ208" s="35"/>
      <c r="BK208" s="35"/>
      <c r="BL208" s="35"/>
      <c r="BM208" s="35"/>
      <c r="BN208" s="35"/>
      <c r="BO208" s="35"/>
      <c r="BP208" s="35"/>
      <c r="BQ208" s="35"/>
      <c r="BR208" s="35"/>
      <c r="BS208" s="35"/>
      <c r="BT208" s="35"/>
      <c r="BU208" s="35"/>
      <c r="BV208" s="35"/>
      <c r="BW208" s="35"/>
      <c r="BX208" s="35"/>
      <c r="BY208" s="35"/>
      <c r="BZ208" s="35"/>
      <c r="CA208" s="35"/>
      <c r="CB208" s="35"/>
      <c r="CC208" s="35"/>
      <c r="CD208" s="35"/>
      <c r="CE208" s="35"/>
      <c r="CF208" s="35"/>
      <c r="CG208" s="35"/>
      <c r="CH208" s="35"/>
      <c r="CI208" s="35"/>
      <c r="CJ208" s="35"/>
      <c r="CK208" s="35"/>
      <c r="CL208" s="35"/>
      <c r="CM208" s="35"/>
      <c r="CN208" s="35"/>
      <c r="CO208" s="35"/>
      <c r="CP208" s="35"/>
      <c r="CQ208" s="35"/>
      <c r="CR208" s="35"/>
      <c r="CS208" s="35"/>
      <c r="CT208" s="35"/>
      <c r="CU208" s="35"/>
      <c r="CV208" s="35"/>
      <c r="CW208" s="35"/>
      <c r="CX208" s="35"/>
      <c r="CY208" s="35"/>
      <c r="CZ208" s="35"/>
      <c r="DA208" s="35"/>
      <c r="DB208" s="35"/>
      <c r="DC208" s="35"/>
      <c r="DD208" s="35"/>
      <c r="DE208" s="35"/>
      <c r="DF208" s="35"/>
      <c r="DG208" s="35"/>
      <c r="DH208" s="35"/>
      <c r="DI208" s="35"/>
      <c r="DJ208" s="35"/>
      <c r="DK208" s="35"/>
      <c r="DL208" s="35"/>
      <c r="DM208" s="35"/>
      <c r="DN208" s="35"/>
      <c r="DO208" s="35"/>
      <c r="DP208" s="35"/>
      <c r="DQ208" s="35"/>
      <c r="DR208" s="35"/>
      <c r="DS208" s="35"/>
      <c r="DT208" s="35"/>
      <c r="DU208" s="35"/>
      <c r="DV208" s="35"/>
      <c r="DW208" s="35"/>
      <c r="DX208" s="35"/>
      <c r="DY208" s="35"/>
      <c r="DZ208" s="35"/>
      <c r="EA208" s="35"/>
      <c r="EB208" s="35"/>
      <c r="EC208" s="35"/>
      <c r="ED208" s="35"/>
      <c r="EE208" s="35"/>
      <c r="EF208" s="35"/>
      <c r="EG208" s="35"/>
      <c r="EH208" s="35"/>
      <c r="EI208" s="35"/>
      <c r="EJ208" s="35"/>
      <c r="EK208" s="35"/>
      <c r="EL208" s="35"/>
      <c r="EM208" s="35"/>
      <c r="EN208" s="35"/>
      <c r="EO208" s="35"/>
      <c r="EP208" s="35"/>
      <c r="EQ208" s="35"/>
      <c r="ER208" s="35"/>
      <c r="ES208" s="35"/>
      <c r="ET208" s="35"/>
      <c r="EU208" s="35"/>
      <c r="EV208" s="35"/>
      <c r="EW208" s="35"/>
      <c r="EX208" s="35"/>
      <c r="EY208" s="35"/>
      <c r="EZ208" s="35"/>
      <c r="FA208" s="35"/>
      <c r="FB208" s="35"/>
      <c r="FC208" s="458">
        <f t="shared" si="27"/>
        <v>0</v>
      </c>
      <c r="FD208">
        <f t="shared" si="25"/>
        <v>0</v>
      </c>
      <c r="FE208" t="e">
        <f t="shared" si="26"/>
        <v>#N/A</v>
      </c>
      <c r="FI208" s="731" t="e">
        <f t="shared" si="28"/>
        <v>#VALUE!</v>
      </c>
      <c r="FK208" s="471" t="str">
        <f t="shared" si="29"/>
        <v xml:space="preserve"> </v>
      </c>
      <c r="FL208" s="730">
        <f t="shared" si="30"/>
        <v>0</v>
      </c>
      <c r="FM208" s="471" t="str">
        <f t="shared" si="31"/>
        <v/>
      </c>
      <c r="FN208" s="730">
        <f t="shared" si="24"/>
        <v>0</v>
      </c>
    </row>
    <row r="209" spans="1:170" s="33" customFormat="1" x14ac:dyDescent="0.2">
      <c r="A209" s="34" t="s">
        <v>259</v>
      </c>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s="35"/>
      <c r="BI209" s="35"/>
      <c r="BJ209" s="35"/>
      <c r="BK209" s="35"/>
      <c r="BL209" s="35"/>
      <c r="BM209" s="35"/>
      <c r="BN209" s="35"/>
      <c r="BO209" s="35"/>
      <c r="BP209" s="35"/>
      <c r="BQ209" s="35"/>
      <c r="BR209" s="35"/>
      <c r="BS209" s="35"/>
      <c r="BT209" s="35"/>
      <c r="BU209" s="35"/>
      <c r="BV209" s="35"/>
      <c r="BW209" s="35"/>
      <c r="BX209" s="35"/>
      <c r="BY209" s="35"/>
      <c r="BZ209" s="35"/>
      <c r="CA209" s="35"/>
      <c r="CB209" s="35"/>
      <c r="CC209" s="35"/>
      <c r="CD209" s="35"/>
      <c r="CE209" s="35"/>
      <c r="CF209" s="35"/>
      <c r="CG209" s="35"/>
      <c r="CH209" s="35"/>
      <c r="CI209" s="35"/>
      <c r="CJ209" s="35"/>
      <c r="CK209" s="35"/>
      <c r="CL209" s="35"/>
      <c r="CM209" s="35"/>
      <c r="CN209" s="35"/>
      <c r="CO209" s="35"/>
      <c r="CP209" s="35"/>
      <c r="CQ209" s="35"/>
      <c r="CR209" s="35"/>
      <c r="CS209" s="35"/>
      <c r="CT209" s="35"/>
      <c r="CU209" s="35"/>
      <c r="CV209" s="35"/>
      <c r="CW209" s="35"/>
      <c r="CX209" s="35"/>
      <c r="CY209" s="35"/>
      <c r="CZ209" s="35"/>
      <c r="DA209" s="35"/>
      <c r="DB209" s="35"/>
      <c r="DC209" s="35"/>
      <c r="DD209" s="35"/>
      <c r="DE209" s="35"/>
      <c r="DF209" s="35"/>
      <c r="DG209" s="35"/>
      <c r="DH209" s="35"/>
      <c r="DI209" s="35"/>
      <c r="DJ209" s="35"/>
      <c r="DK209" s="35"/>
      <c r="DL209" s="35"/>
      <c r="DM209" s="35"/>
      <c r="DN209" s="35"/>
      <c r="DO209" s="35"/>
      <c r="DP209" s="35"/>
      <c r="DQ209" s="35"/>
      <c r="DR209" s="35"/>
      <c r="DS209" s="35"/>
      <c r="DT209" s="35"/>
      <c r="DU209" s="35"/>
      <c r="DV209" s="35"/>
      <c r="DW209" s="35"/>
      <c r="DX209" s="35"/>
      <c r="DY209" s="35"/>
      <c r="DZ209" s="35"/>
      <c r="EA209" s="35"/>
      <c r="EB209" s="35"/>
      <c r="EC209" s="35"/>
      <c r="ED209" s="35"/>
      <c r="EE209" s="35"/>
      <c r="EF209" s="35"/>
      <c r="EG209" s="35"/>
      <c r="EH209" s="35"/>
      <c r="EI209" s="35"/>
      <c r="EJ209" s="35"/>
      <c r="EK209" s="35"/>
      <c r="EL209" s="35"/>
      <c r="EM209" s="35"/>
      <c r="EN209" s="35"/>
      <c r="EO209" s="35"/>
      <c r="EP209" s="35"/>
      <c r="EQ209" s="35"/>
      <c r="ER209" s="35"/>
      <c r="ES209" s="35"/>
      <c r="ET209" s="35"/>
      <c r="EU209" s="35"/>
      <c r="EV209" s="35"/>
      <c r="EW209" s="35"/>
      <c r="EX209" s="35"/>
      <c r="EY209" s="35"/>
      <c r="EZ209" s="35"/>
      <c r="FA209" s="35"/>
      <c r="FB209" s="35"/>
      <c r="FC209" s="458">
        <f t="shared" si="27"/>
        <v>0</v>
      </c>
      <c r="FD209">
        <f t="shared" si="25"/>
        <v>0</v>
      </c>
      <c r="FE209" t="e">
        <f t="shared" si="26"/>
        <v>#N/A</v>
      </c>
      <c r="FI209" s="731" t="e">
        <f t="shared" si="28"/>
        <v>#VALUE!</v>
      </c>
      <c r="FK209" s="471" t="str">
        <f t="shared" si="29"/>
        <v xml:space="preserve"> </v>
      </c>
      <c r="FL209" s="730">
        <f t="shared" si="30"/>
        <v>0</v>
      </c>
      <c r="FM209" s="471" t="str">
        <f t="shared" si="31"/>
        <v/>
      </c>
      <c r="FN209" s="730">
        <f t="shared" si="24"/>
        <v>0</v>
      </c>
    </row>
    <row r="210" spans="1:170" s="33" customFormat="1" x14ac:dyDescent="0.2">
      <c r="A210" s="34" t="s">
        <v>260</v>
      </c>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s="35"/>
      <c r="BI210" s="35"/>
      <c r="BJ210" s="35"/>
      <c r="BK210" s="35"/>
      <c r="BL210" s="35"/>
      <c r="BM210" s="35"/>
      <c r="BN210" s="35"/>
      <c r="BO210" s="35"/>
      <c r="BP210" s="35"/>
      <c r="BQ210" s="35"/>
      <c r="BR210" s="35"/>
      <c r="BS210" s="35"/>
      <c r="BT210" s="35"/>
      <c r="BU210" s="35"/>
      <c r="BV210" s="35"/>
      <c r="BW210" s="35"/>
      <c r="BX210" s="35"/>
      <c r="BY210" s="35"/>
      <c r="BZ210" s="35"/>
      <c r="CA210" s="35"/>
      <c r="CB210" s="35"/>
      <c r="CC210" s="35"/>
      <c r="CD210" s="35"/>
      <c r="CE210" s="35"/>
      <c r="CF210" s="35"/>
      <c r="CG210" s="35"/>
      <c r="CH210" s="35"/>
      <c r="CI210" s="35"/>
      <c r="CJ210" s="35"/>
      <c r="CK210" s="35"/>
      <c r="CL210" s="35"/>
      <c r="CM210" s="35"/>
      <c r="CN210" s="35"/>
      <c r="CO210" s="35"/>
      <c r="CP210" s="35"/>
      <c r="CQ210" s="35"/>
      <c r="CR210" s="35"/>
      <c r="CS210" s="35"/>
      <c r="CT210" s="35"/>
      <c r="CU210" s="35"/>
      <c r="CV210" s="35"/>
      <c r="CW210" s="35"/>
      <c r="CX210" s="35"/>
      <c r="CY210" s="35"/>
      <c r="CZ210" s="35"/>
      <c r="DA210" s="35"/>
      <c r="DB210" s="35"/>
      <c r="DC210" s="35"/>
      <c r="DD210" s="35"/>
      <c r="DE210" s="35"/>
      <c r="DF210" s="35"/>
      <c r="DG210" s="35"/>
      <c r="DH210" s="35"/>
      <c r="DI210" s="35"/>
      <c r="DJ210" s="35"/>
      <c r="DK210" s="35"/>
      <c r="DL210" s="35"/>
      <c r="DM210" s="35"/>
      <c r="DN210" s="35"/>
      <c r="DO210" s="35"/>
      <c r="DP210" s="35"/>
      <c r="DQ210" s="35"/>
      <c r="DR210" s="35"/>
      <c r="DS210" s="35"/>
      <c r="DT210" s="35"/>
      <c r="DU210" s="35"/>
      <c r="DV210" s="35"/>
      <c r="DW210" s="35"/>
      <c r="DX210" s="35"/>
      <c r="DY210" s="35"/>
      <c r="DZ210" s="35"/>
      <c r="EA210" s="35"/>
      <c r="EB210" s="35"/>
      <c r="EC210" s="35"/>
      <c r="ED210" s="35"/>
      <c r="EE210" s="35"/>
      <c r="EF210" s="35"/>
      <c r="EG210" s="35"/>
      <c r="EH210" s="35"/>
      <c r="EI210" s="35"/>
      <c r="EJ210" s="35"/>
      <c r="EK210" s="35"/>
      <c r="EL210" s="35"/>
      <c r="EM210" s="35"/>
      <c r="EN210" s="35"/>
      <c r="EO210" s="35"/>
      <c r="EP210" s="35"/>
      <c r="EQ210" s="35"/>
      <c r="ER210" s="35"/>
      <c r="ES210" s="35"/>
      <c r="ET210" s="35"/>
      <c r="EU210" s="35"/>
      <c r="EV210" s="35"/>
      <c r="EW210" s="35"/>
      <c r="EX210" s="35"/>
      <c r="EY210" s="35"/>
      <c r="EZ210" s="35"/>
      <c r="FA210" s="35"/>
      <c r="FB210" s="35"/>
      <c r="FC210" s="458">
        <f t="shared" si="27"/>
        <v>0</v>
      </c>
      <c r="FD210">
        <f t="shared" si="25"/>
        <v>0</v>
      </c>
      <c r="FE210" t="e">
        <f t="shared" si="26"/>
        <v>#N/A</v>
      </c>
      <c r="FI210" s="731" t="e">
        <f t="shared" si="28"/>
        <v>#VALUE!</v>
      </c>
      <c r="FK210" s="471" t="str">
        <f t="shared" si="29"/>
        <v xml:space="preserve"> </v>
      </c>
      <c r="FL210" s="730">
        <f t="shared" si="30"/>
        <v>0</v>
      </c>
      <c r="FM210" s="471" t="str">
        <f t="shared" si="31"/>
        <v/>
      </c>
      <c r="FN210" s="730">
        <f t="shared" si="24"/>
        <v>0</v>
      </c>
    </row>
    <row r="211" spans="1:170" s="33" customFormat="1" x14ac:dyDescent="0.2">
      <c r="A211" s="34" t="s">
        <v>261</v>
      </c>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c r="BJ211" s="35"/>
      <c r="BK211" s="35"/>
      <c r="BL211" s="35"/>
      <c r="BM211" s="35"/>
      <c r="BN211" s="35"/>
      <c r="BO211" s="35"/>
      <c r="BP211" s="35"/>
      <c r="BQ211" s="35"/>
      <c r="BR211" s="35"/>
      <c r="BS211" s="35"/>
      <c r="BT211" s="35"/>
      <c r="BU211" s="35"/>
      <c r="BV211" s="35"/>
      <c r="BW211" s="35"/>
      <c r="BX211" s="35"/>
      <c r="BY211" s="35"/>
      <c r="BZ211" s="35"/>
      <c r="CA211" s="35"/>
      <c r="CB211" s="35"/>
      <c r="CC211" s="35"/>
      <c r="CD211" s="35"/>
      <c r="CE211" s="35"/>
      <c r="CF211" s="35"/>
      <c r="CG211" s="35"/>
      <c r="CH211" s="35"/>
      <c r="CI211" s="35"/>
      <c r="CJ211" s="35"/>
      <c r="CK211" s="35"/>
      <c r="CL211" s="35"/>
      <c r="CM211" s="35"/>
      <c r="CN211" s="35"/>
      <c r="CO211" s="35"/>
      <c r="CP211" s="35"/>
      <c r="CQ211" s="35"/>
      <c r="CR211" s="35"/>
      <c r="CS211" s="35"/>
      <c r="CT211" s="35"/>
      <c r="CU211" s="35"/>
      <c r="CV211" s="35"/>
      <c r="CW211" s="35"/>
      <c r="CX211" s="35"/>
      <c r="CY211" s="35"/>
      <c r="CZ211" s="35"/>
      <c r="DA211" s="35"/>
      <c r="DB211" s="35"/>
      <c r="DC211" s="35"/>
      <c r="DD211" s="35"/>
      <c r="DE211" s="35"/>
      <c r="DF211" s="35"/>
      <c r="DG211" s="35"/>
      <c r="DH211" s="35"/>
      <c r="DI211" s="35"/>
      <c r="DJ211" s="35"/>
      <c r="DK211" s="35"/>
      <c r="DL211" s="35"/>
      <c r="DM211" s="35"/>
      <c r="DN211" s="35"/>
      <c r="DO211" s="35"/>
      <c r="DP211" s="35"/>
      <c r="DQ211" s="35"/>
      <c r="DR211" s="35"/>
      <c r="DS211" s="35"/>
      <c r="DT211" s="35"/>
      <c r="DU211" s="35"/>
      <c r="DV211" s="35"/>
      <c r="DW211" s="35"/>
      <c r="DX211" s="35"/>
      <c r="DY211" s="35"/>
      <c r="DZ211" s="35"/>
      <c r="EA211" s="35"/>
      <c r="EB211" s="35"/>
      <c r="EC211" s="35"/>
      <c r="ED211" s="35"/>
      <c r="EE211" s="35"/>
      <c r="EF211" s="35"/>
      <c r="EG211" s="35"/>
      <c r="EH211" s="35"/>
      <c r="EI211" s="35"/>
      <c r="EJ211" s="35"/>
      <c r="EK211" s="35"/>
      <c r="EL211" s="35"/>
      <c r="EM211" s="35"/>
      <c r="EN211" s="35"/>
      <c r="EO211" s="35"/>
      <c r="EP211" s="35"/>
      <c r="EQ211" s="35"/>
      <c r="ER211" s="35"/>
      <c r="ES211" s="35"/>
      <c r="ET211" s="35"/>
      <c r="EU211" s="35"/>
      <c r="EV211" s="35"/>
      <c r="EW211" s="35"/>
      <c r="EX211" s="35"/>
      <c r="EY211" s="35"/>
      <c r="EZ211" s="35"/>
      <c r="FA211" s="35"/>
      <c r="FB211" s="35"/>
      <c r="FC211" s="458">
        <f t="shared" si="27"/>
        <v>0</v>
      </c>
      <c r="FD211">
        <f t="shared" si="25"/>
        <v>0</v>
      </c>
      <c r="FE211" t="e">
        <f t="shared" si="26"/>
        <v>#N/A</v>
      </c>
      <c r="FI211" s="731" t="e">
        <f t="shared" si="28"/>
        <v>#VALUE!</v>
      </c>
      <c r="FK211" s="471" t="str">
        <f t="shared" si="29"/>
        <v xml:space="preserve"> </v>
      </c>
      <c r="FL211" s="730">
        <f t="shared" si="30"/>
        <v>0</v>
      </c>
      <c r="FM211" s="471" t="str">
        <f t="shared" si="31"/>
        <v/>
      </c>
      <c r="FN211" s="730">
        <f t="shared" si="24"/>
        <v>0</v>
      </c>
    </row>
    <row r="212" spans="1:170" s="33" customFormat="1" x14ac:dyDescent="0.2">
      <c r="A212" s="34" t="s">
        <v>262</v>
      </c>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c r="BJ212" s="35"/>
      <c r="BK212" s="35"/>
      <c r="BL212" s="35"/>
      <c r="BM212" s="35"/>
      <c r="BN212" s="35"/>
      <c r="BO212" s="35"/>
      <c r="BP212" s="35"/>
      <c r="BQ212" s="35"/>
      <c r="BR212" s="35"/>
      <c r="BS212" s="35"/>
      <c r="BT212" s="35"/>
      <c r="BU212" s="35"/>
      <c r="BV212" s="35"/>
      <c r="BW212" s="35"/>
      <c r="BX212" s="35"/>
      <c r="BY212" s="35"/>
      <c r="BZ212" s="35"/>
      <c r="CA212" s="35"/>
      <c r="CB212" s="35"/>
      <c r="CC212" s="35"/>
      <c r="CD212" s="35"/>
      <c r="CE212" s="35"/>
      <c r="CF212" s="35"/>
      <c r="CG212" s="35"/>
      <c r="CH212" s="35"/>
      <c r="CI212" s="35"/>
      <c r="CJ212" s="35"/>
      <c r="CK212" s="35"/>
      <c r="CL212" s="35"/>
      <c r="CM212" s="35"/>
      <c r="CN212" s="35"/>
      <c r="CO212" s="35"/>
      <c r="CP212" s="35"/>
      <c r="CQ212" s="35"/>
      <c r="CR212" s="35"/>
      <c r="CS212" s="35"/>
      <c r="CT212" s="35"/>
      <c r="CU212" s="35"/>
      <c r="CV212" s="35"/>
      <c r="CW212" s="35"/>
      <c r="CX212" s="35"/>
      <c r="CY212" s="35"/>
      <c r="CZ212" s="35"/>
      <c r="DA212" s="35"/>
      <c r="DB212" s="35"/>
      <c r="DC212" s="35"/>
      <c r="DD212" s="35"/>
      <c r="DE212" s="35"/>
      <c r="DF212" s="35"/>
      <c r="DG212" s="35"/>
      <c r="DH212" s="35"/>
      <c r="DI212" s="35"/>
      <c r="DJ212" s="35"/>
      <c r="DK212" s="35"/>
      <c r="DL212" s="35"/>
      <c r="DM212" s="35"/>
      <c r="DN212" s="35"/>
      <c r="DO212" s="35"/>
      <c r="DP212" s="35"/>
      <c r="DQ212" s="35"/>
      <c r="DR212" s="35"/>
      <c r="DS212" s="35"/>
      <c r="DT212" s="35"/>
      <c r="DU212" s="35"/>
      <c r="DV212" s="35"/>
      <c r="DW212" s="35"/>
      <c r="DX212" s="35"/>
      <c r="DY212" s="35"/>
      <c r="DZ212" s="35"/>
      <c r="EA212" s="35"/>
      <c r="EB212" s="35"/>
      <c r="EC212" s="35"/>
      <c r="ED212" s="35"/>
      <c r="EE212" s="35"/>
      <c r="EF212" s="35"/>
      <c r="EG212" s="35"/>
      <c r="EH212" s="35"/>
      <c r="EI212" s="35"/>
      <c r="EJ212" s="35"/>
      <c r="EK212" s="35"/>
      <c r="EL212" s="35"/>
      <c r="EM212" s="35"/>
      <c r="EN212" s="35"/>
      <c r="EO212" s="35"/>
      <c r="EP212" s="35"/>
      <c r="EQ212" s="35"/>
      <c r="ER212" s="35"/>
      <c r="ES212" s="35"/>
      <c r="ET212" s="35"/>
      <c r="EU212" s="35"/>
      <c r="EV212" s="35"/>
      <c r="EW212" s="35"/>
      <c r="EX212" s="35"/>
      <c r="EY212" s="35"/>
      <c r="EZ212" s="35"/>
      <c r="FA212" s="35"/>
      <c r="FB212" s="35"/>
      <c r="FC212" s="458">
        <f t="shared" si="27"/>
        <v>0</v>
      </c>
      <c r="FD212">
        <f t="shared" si="25"/>
        <v>0</v>
      </c>
      <c r="FE212" t="e">
        <f t="shared" si="26"/>
        <v>#N/A</v>
      </c>
      <c r="FI212" s="731" t="e">
        <f t="shared" si="28"/>
        <v>#VALUE!</v>
      </c>
      <c r="FK212" s="471" t="str">
        <f t="shared" si="29"/>
        <v xml:space="preserve"> </v>
      </c>
      <c r="FL212" s="730">
        <f t="shared" si="30"/>
        <v>0</v>
      </c>
      <c r="FM212" s="471" t="str">
        <f t="shared" si="31"/>
        <v/>
      </c>
      <c r="FN212" s="730">
        <f t="shared" si="24"/>
        <v>0</v>
      </c>
    </row>
    <row r="213" spans="1:170" s="33" customFormat="1" x14ac:dyDescent="0.2">
      <c r="A213" s="34" t="s">
        <v>263</v>
      </c>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35"/>
      <c r="BS213" s="35"/>
      <c r="BT213" s="35"/>
      <c r="BU213" s="35"/>
      <c r="BV213" s="35"/>
      <c r="BW213" s="35"/>
      <c r="BX213" s="35"/>
      <c r="BY213" s="35"/>
      <c r="BZ213" s="35"/>
      <c r="CA213" s="35"/>
      <c r="CB213" s="35"/>
      <c r="CC213" s="35"/>
      <c r="CD213" s="35"/>
      <c r="CE213" s="35"/>
      <c r="CF213" s="35"/>
      <c r="CG213" s="35"/>
      <c r="CH213" s="35"/>
      <c r="CI213" s="35"/>
      <c r="CJ213" s="35"/>
      <c r="CK213" s="35"/>
      <c r="CL213" s="35"/>
      <c r="CM213" s="35"/>
      <c r="CN213" s="35"/>
      <c r="CO213" s="35"/>
      <c r="CP213" s="35"/>
      <c r="CQ213" s="35"/>
      <c r="CR213" s="35"/>
      <c r="CS213" s="35"/>
      <c r="CT213" s="35"/>
      <c r="CU213" s="35"/>
      <c r="CV213" s="35"/>
      <c r="CW213" s="35"/>
      <c r="CX213" s="35"/>
      <c r="CY213" s="35"/>
      <c r="CZ213" s="35"/>
      <c r="DA213" s="35"/>
      <c r="DB213" s="35"/>
      <c r="DC213" s="35"/>
      <c r="DD213" s="35"/>
      <c r="DE213" s="35"/>
      <c r="DF213" s="35"/>
      <c r="DG213" s="35"/>
      <c r="DH213" s="35"/>
      <c r="DI213" s="35"/>
      <c r="DJ213" s="35"/>
      <c r="DK213" s="35"/>
      <c r="DL213" s="35"/>
      <c r="DM213" s="35"/>
      <c r="DN213" s="35"/>
      <c r="DO213" s="35"/>
      <c r="DP213" s="35"/>
      <c r="DQ213" s="35"/>
      <c r="DR213" s="35"/>
      <c r="DS213" s="35"/>
      <c r="DT213" s="35"/>
      <c r="DU213" s="35"/>
      <c r="DV213" s="35"/>
      <c r="DW213" s="35"/>
      <c r="DX213" s="35"/>
      <c r="DY213" s="35"/>
      <c r="DZ213" s="35"/>
      <c r="EA213" s="35"/>
      <c r="EB213" s="35"/>
      <c r="EC213" s="35"/>
      <c r="ED213" s="35"/>
      <c r="EE213" s="35"/>
      <c r="EF213" s="35"/>
      <c r="EG213" s="35"/>
      <c r="EH213" s="35"/>
      <c r="EI213" s="35"/>
      <c r="EJ213" s="35"/>
      <c r="EK213" s="35"/>
      <c r="EL213" s="35"/>
      <c r="EM213" s="35"/>
      <c r="EN213" s="35"/>
      <c r="EO213" s="35"/>
      <c r="EP213" s="35"/>
      <c r="EQ213" s="35"/>
      <c r="ER213" s="35"/>
      <c r="ES213" s="35"/>
      <c r="ET213" s="35"/>
      <c r="EU213" s="35"/>
      <c r="EV213" s="35"/>
      <c r="EW213" s="35"/>
      <c r="EX213" s="35"/>
      <c r="EY213" s="35"/>
      <c r="EZ213" s="35"/>
      <c r="FA213" s="35"/>
      <c r="FB213" s="35"/>
      <c r="FC213" s="458">
        <f t="shared" si="27"/>
        <v>0</v>
      </c>
      <c r="FD213">
        <f t="shared" si="25"/>
        <v>0</v>
      </c>
      <c r="FE213" t="e">
        <f t="shared" si="26"/>
        <v>#N/A</v>
      </c>
      <c r="FI213" s="731" t="e">
        <f t="shared" si="28"/>
        <v>#VALUE!</v>
      </c>
      <c r="FK213" s="471" t="str">
        <f t="shared" si="29"/>
        <v xml:space="preserve"> </v>
      </c>
      <c r="FL213" s="730">
        <f t="shared" si="30"/>
        <v>0</v>
      </c>
      <c r="FM213" s="471" t="str">
        <f t="shared" si="31"/>
        <v/>
      </c>
      <c r="FN213" s="730">
        <f t="shared" si="24"/>
        <v>0</v>
      </c>
    </row>
    <row r="214" spans="1:170" s="33" customFormat="1" x14ac:dyDescent="0.2">
      <c r="A214" s="34" t="s">
        <v>264</v>
      </c>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c r="BN214" s="35"/>
      <c r="BO214" s="35"/>
      <c r="BP214" s="35"/>
      <c r="BQ214" s="35"/>
      <c r="BR214" s="35"/>
      <c r="BS214" s="35"/>
      <c r="BT214" s="35"/>
      <c r="BU214" s="35"/>
      <c r="BV214" s="35"/>
      <c r="BW214" s="35"/>
      <c r="BX214" s="35"/>
      <c r="BY214" s="35"/>
      <c r="BZ214" s="35"/>
      <c r="CA214" s="35"/>
      <c r="CB214" s="35"/>
      <c r="CC214" s="35"/>
      <c r="CD214" s="35"/>
      <c r="CE214" s="35"/>
      <c r="CF214" s="35"/>
      <c r="CG214" s="35"/>
      <c r="CH214" s="35"/>
      <c r="CI214" s="35"/>
      <c r="CJ214" s="35"/>
      <c r="CK214" s="35"/>
      <c r="CL214" s="35"/>
      <c r="CM214" s="35"/>
      <c r="CN214" s="35"/>
      <c r="CO214" s="35"/>
      <c r="CP214" s="35"/>
      <c r="CQ214" s="35"/>
      <c r="CR214" s="35"/>
      <c r="CS214" s="35"/>
      <c r="CT214" s="35"/>
      <c r="CU214" s="35"/>
      <c r="CV214" s="35"/>
      <c r="CW214" s="35"/>
      <c r="CX214" s="35"/>
      <c r="CY214" s="35"/>
      <c r="CZ214" s="35"/>
      <c r="DA214" s="35"/>
      <c r="DB214" s="35"/>
      <c r="DC214" s="35"/>
      <c r="DD214" s="35"/>
      <c r="DE214" s="35"/>
      <c r="DF214" s="35"/>
      <c r="DG214" s="35"/>
      <c r="DH214" s="35"/>
      <c r="DI214" s="35"/>
      <c r="DJ214" s="35"/>
      <c r="DK214" s="35"/>
      <c r="DL214" s="35"/>
      <c r="DM214" s="35"/>
      <c r="DN214" s="35"/>
      <c r="DO214" s="35"/>
      <c r="DP214" s="35"/>
      <c r="DQ214" s="35"/>
      <c r="DR214" s="35"/>
      <c r="DS214" s="35"/>
      <c r="DT214" s="35"/>
      <c r="DU214" s="35"/>
      <c r="DV214" s="35"/>
      <c r="DW214" s="35"/>
      <c r="DX214" s="35"/>
      <c r="DY214" s="35"/>
      <c r="DZ214" s="35"/>
      <c r="EA214" s="35"/>
      <c r="EB214" s="35"/>
      <c r="EC214" s="35"/>
      <c r="ED214" s="35"/>
      <c r="EE214" s="35"/>
      <c r="EF214" s="35"/>
      <c r="EG214" s="35"/>
      <c r="EH214" s="35"/>
      <c r="EI214" s="35"/>
      <c r="EJ214" s="35"/>
      <c r="EK214" s="35"/>
      <c r="EL214" s="35"/>
      <c r="EM214" s="35"/>
      <c r="EN214" s="35"/>
      <c r="EO214" s="35"/>
      <c r="EP214" s="35"/>
      <c r="EQ214" s="35"/>
      <c r="ER214" s="35"/>
      <c r="ES214" s="35"/>
      <c r="ET214" s="35"/>
      <c r="EU214" s="35"/>
      <c r="EV214" s="35"/>
      <c r="EW214" s="35"/>
      <c r="EX214" s="35"/>
      <c r="EY214" s="35"/>
      <c r="EZ214" s="35"/>
      <c r="FA214" s="35"/>
      <c r="FB214" s="35"/>
      <c r="FC214" s="458">
        <f t="shared" si="27"/>
        <v>0</v>
      </c>
      <c r="FD214">
        <f t="shared" si="25"/>
        <v>0</v>
      </c>
      <c r="FE214" t="e">
        <f t="shared" si="26"/>
        <v>#N/A</v>
      </c>
      <c r="FI214" s="731" t="e">
        <f t="shared" si="28"/>
        <v>#VALUE!</v>
      </c>
      <c r="FK214" s="471" t="str">
        <f t="shared" si="29"/>
        <v xml:space="preserve"> </v>
      </c>
      <c r="FL214" s="730">
        <f t="shared" si="30"/>
        <v>0</v>
      </c>
      <c r="FM214" s="471" t="str">
        <f t="shared" si="31"/>
        <v/>
      </c>
      <c r="FN214" s="730">
        <f t="shared" si="24"/>
        <v>0</v>
      </c>
    </row>
    <row r="215" spans="1:170" s="33" customFormat="1" x14ac:dyDescent="0.2">
      <c r="A215" s="34" t="s">
        <v>265</v>
      </c>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c r="BO215" s="35"/>
      <c r="BP215" s="35"/>
      <c r="BQ215" s="35"/>
      <c r="BR215" s="35"/>
      <c r="BS215" s="35"/>
      <c r="BT215" s="35"/>
      <c r="BU215" s="35"/>
      <c r="BV215" s="35"/>
      <c r="BW215" s="35"/>
      <c r="BX215" s="35"/>
      <c r="BY215" s="35"/>
      <c r="BZ215" s="35"/>
      <c r="CA215" s="35"/>
      <c r="CB215" s="35"/>
      <c r="CC215" s="35"/>
      <c r="CD215" s="35"/>
      <c r="CE215" s="35"/>
      <c r="CF215" s="35"/>
      <c r="CG215" s="35"/>
      <c r="CH215" s="35"/>
      <c r="CI215" s="35"/>
      <c r="CJ215" s="35"/>
      <c r="CK215" s="35"/>
      <c r="CL215" s="35"/>
      <c r="CM215" s="35"/>
      <c r="CN215" s="35"/>
      <c r="CO215" s="35"/>
      <c r="CP215" s="35"/>
      <c r="CQ215" s="35"/>
      <c r="CR215" s="35"/>
      <c r="CS215" s="35"/>
      <c r="CT215" s="35"/>
      <c r="CU215" s="35"/>
      <c r="CV215" s="35"/>
      <c r="CW215" s="35"/>
      <c r="CX215" s="35"/>
      <c r="CY215" s="35"/>
      <c r="CZ215" s="35"/>
      <c r="DA215" s="35"/>
      <c r="DB215" s="35"/>
      <c r="DC215" s="35"/>
      <c r="DD215" s="35"/>
      <c r="DE215" s="35"/>
      <c r="DF215" s="35"/>
      <c r="DG215" s="35"/>
      <c r="DH215" s="35"/>
      <c r="DI215" s="35"/>
      <c r="DJ215" s="35"/>
      <c r="DK215" s="35"/>
      <c r="DL215" s="35"/>
      <c r="DM215" s="35"/>
      <c r="DN215" s="35"/>
      <c r="DO215" s="35"/>
      <c r="DP215" s="35"/>
      <c r="DQ215" s="35"/>
      <c r="DR215" s="35"/>
      <c r="DS215" s="35"/>
      <c r="DT215" s="35"/>
      <c r="DU215" s="35"/>
      <c r="DV215" s="35"/>
      <c r="DW215" s="35"/>
      <c r="DX215" s="35"/>
      <c r="DY215" s="35"/>
      <c r="DZ215" s="35"/>
      <c r="EA215" s="35"/>
      <c r="EB215" s="35"/>
      <c r="EC215" s="35"/>
      <c r="ED215" s="35"/>
      <c r="EE215" s="35"/>
      <c r="EF215" s="35"/>
      <c r="EG215" s="35"/>
      <c r="EH215" s="35"/>
      <c r="EI215" s="35"/>
      <c r="EJ215" s="35"/>
      <c r="EK215" s="35"/>
      <c r="EL215" s="35"/>
      <c r="EM215" s="35"/>
      <c r="EN215" s="35"/>
      <c r="EO215" s="35"/>
      <c r="EP215" s="35"/>
      <c r="EQ215" s="35"/>
      <c r="ER215" s="35"/>
      <c r="ES215" s="35"/>
      <c r="ET215" s="35"/>
      <c r="EU215" s="35"/>
      <c r="EV215" s="35"/>
      <c r="EW215" s="35"/>
      <c r="EX215" s="35"/>
      <c r="EY215" s="35"/>
      <c r="EZ215" s="35"/>
      <c r="FA215" s="35"/>
      <c r="FB215" s="35"/>
      <c r="FC215" s="458">
        <f t="shared" si="27"/>
        <v>0</v>
      </c>
      <c r="FD215">
        <f t="shared" si="25"/>
        <v>0</v>
      </c>
      <c r="FE215" t="e">
        <f t="shared" si="26"/>
        <v>#N/A</v>
      </c>
      <c r="FI215" s="731" t="e">
        <f t="shared" si="28"/>
        <v>#VALUE!</v>
      </c>
      <c r="FK215" s="471" t="str">
        <f t="shared" si="29"/>
        <v xml:space="preserve"> </v>
      </c>
      <c r="FL215" s="730">
        <f t="shared" si="30"/>
        <v>0</v>
      </c>
      <c r="FM215" s="471" t="str">
        <f t="shared" si="31"/>
        <v/>
      </c>
      <c r="FN215" s="730">
        <f t="shared" si="24"/>
        <v>0</v>
      </c>
    </row>
    <row r="216" spans="1:170" s="33" customFormat="1" x14ac:dyDescent="0.2">
      <c r="A216" s="34" t="s">
        <v>266</v>
      </c>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c r="BJ216" s="35"/>
      <c r="BK216" s="35"/>
      <c r="BL216" s="35"/>
      <c r="BM216" s="35"/>
      <c r="BN216" s="35"/>
      <c r="BO216" s="35"/>
      <c r="BP216" s="35"/>
      <c r="BQ216" s="35"/>
      <c r="BR216" s="35"/>
      <c r="BS216" s="35"/>
      <c r="BT216" s="35"/>
      <c r="BU216" s="35"/>
      <c r="BV216" s="35"/>
      <c r="BW216" s="35"/>
      <c r="BX216" s="35"/>
      <c r="BY216" s="35"/>
      <c r="BZ216" s="35"/>
      <c r="CA216" s="35"/>
      <c r="CB216" s="35"/>
      <c r="CC216" s="35"/>
      <c r="CD216" s="35"/>
      <c r="CE216" s="35"/>
      <c r="CF216" s="35"/>
      <c r="CG216" s="35"/>
      <c r="CH216" s="35"/>
      <c r="CI216" s="35"/>
      <c r="CJ216" s="35"/>
      <c r="CK216" s="35"/>
      <c r="CL216" s="35"/>
      <c r="CM216" s="35"/>
      <c r="CN216" s="35"/>
      <c r="CO216" s="35"/>
      <c r="CP216" s="35"/>
      <c r="CQ216" s="35"/>
      <c r="CR216" s="35"/>
      <c r="CS216" s="35"/>
      <c r="CT216" s="35"/>
      <c r="CU216" s="35"/>
      <c r="CV216" s="35"/>
      <c r="CW216" s="35"/>
      <c r="CX216" s="35"/>
      <c r="CY216" s="35"/>
      <c r="CZ216" s="35"/>
      <c r="DA216" s="35"/>
      <c r="DB216" s="35"/>
      <c r="DC216" s="35"/>
      <c r="DD216" s="35"/>
      <c r="DE216" s="35"/>
      <c r="DF216" s="35"/>
      <c r="DG216" s="35"/>
      <c r="DH216" s="35"/>
      <c r="DI216" s="35"/>
      <c r="DJ216" s="35"/>
      <c r="DK216" s="35"/>
      <c r="DL216" s="35"/>
      <c r="DM216" s="35"/>
      <c r="DN216" s="35"/>
      <c r="DO216" s="35"/>
      <c r="DP216" s="35"/>
      <c r="DQ216" s="35"/>
      <c r="DR216" s="35"/>
      <c r="DS216" s="35"/>
      <c r="DT216" s="35"/>
      <c r="DU216" s="35"/>
      <c r="DV216" s="35"/>
      <c r="DW216" s="35"/>
      <c r="DX216" s="35"/>
      <c r="DY216" s="35"/>
      <c r="DZ216" s="35"/>
      <c r="EA216" s="35"/>
      <c r="EB216" s="35"/>
      <c r="EC216" s="35"/>
      <c r="ED216" s="35"/>
      <c r="EE216" s="35"/>
      <c r="EF216" s="35"/>
      <c r="EG216" s="35"/>
      <c r="EH216" s="35"/>
      <c r="EI216" s="35"/>
      <c r="EJ216" s="35"/>
      <c r="EK216" s="35"/>
      <c r="EL216" s="35"/>
      <c r="EM216" s="35"/>
      <c r="EN216" s="35"/>
      <c r="EO216" s="35"/>
      <c r="EP216" s="35"/>
      <c r="EQ216" s="35"/>
      <c r="ER216" s="35"/>
      <c r="ES216" s="35"/>
      <c r="ET216" s="35"/>
      <c r="EU216" s="35"/>
      <c r="EV216" s="35"/>
      <c r="EW216" s="35"/>
      <c r="EX216" s="35"/>
      <c r="EY216" s="35"/>
      <c r="EZ216" s="35"/>
      <c r="FA216" s="35"/>
      <c r="FB216" s="35"/>
      <c r="FC216" s="458">
        <f t="shared" si="27"/>
        <v>0</v>
      </c>
      <c r="FD216">
        <f t="shared" si="25"/>
        <v>0</v>
      </c>
      <c r="FE216" t="e">
        <f t="shared" si="26"/>
        <v>#N/A</v>
      </c>
      <c r="FI216" s="731" t="e">
        <f t="shared" si="28"/>
        <v>#VALUE!</v>
      </c>
      <c r="FK216" s="471" t="str">
        <f t="shared" si="29"/>
        <v xml:space="preserve"> </v>
      </c>
      <c r="FL216" s="730">
        <f t="shared" si="30"/>
        <v>0</v>
      </c>
      <c r="FM216" s="471" t="str">
        <f t="shared" si="31"/>
        <v/>
      </c>
      <c r="FN216" s="730">
        <f t="shared" si="24"/>
        <v>0</v>
      </c>
    </row>
    <row r="217" spans="1:170" s="33" customFormat="1" x14ac:dyDescent="0.2">
      <c r="A217" s="34" t="s">
        <v>267</v>
      </c>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c r="BJ217" s="35"/>
      <c r="BK217" s="35"/>
      <c r="BL217" s="35"/>
      <c r="BM217" s="35"/>
      <c r="BN217" s="35"/>
      <c r="BO217" s="35"/>
      <c r="BP217" s="35"/>
      <c r="BQ217" s="35"/>
      <c r="BR217" s="35"/>
      <c r="BS217" s="35"/>
      <c r="BT217" s="35"/>
      <c r="BU217" s="35"/>
      <c r="BV217" s="35"/>
      <c r="BW217" s="35"/>
      <c r="BX217" s="35"/>
      <c r="BY217" s="35"/>
      <c r="BZ217" s="35"/>
      <c r="CA217" s="35"/>
      <c r="CB217" s="35"/>
      <c r="CC217" s="35"/>
      <c r="CD217" s="35"/>
      <c r="CE217" s="35"/>
      <c r="CF217" s="35"/>
      <c r="CG217" s="35"/>
      <c r="CH217" s="35"/>
      <c r="CI217" s="35"/>
      <c r="CJ217" s="35"/>
      <c r="CK217" s="35"/>
      <c r="CL217" s="35"/>
      <c r="CM217" s="35"/>
      <c r="CN217" s="35"/>
      <c r="CO217" s="35"/>
      <c r="CP217" s="35"/>
      <c r="CQ217" s="35"/>
      <c r="CR217" s="35"/>
      <c r="CS217" s="35"/>
      <c r="CT217" s="35"/>
      <c r="CU217" s="35"/>
      <c r="CV217" s="35"/>
      <c r="CW217" s="35"/>
      <c r="CX217" s="35"/>
      <c r="CY217" s="35"/>
      <c r="CZ217" s="35"/>
      <c r="DA217" s="35"/>
      <c r="DB217" s="35"/>
      <c r="DC217" s="35"/>
      <c r="DD217" s="35"/>
      <c r="DE217" s="35"/>
      <c r="DF217" s="35"/>
      <c r="DG217" s="35"/>
      <c r="DH217" s="35"/>
      <c r="DI217" s="35"/>
      <c r="DJ217" s="35"/>
      <c r="DK217" s="35"/>
      <c r="DL217" s="35"/>
      <c r="DM217" s="35"/>
      <c r="DN217" s="35"/>
      <c r="DO217" s="35"/>
      <c r="DP217" s="35"/>
      <c r="DQ217" s="35"/>
      <c r="DR217" s="35"/>
      <c r="DS217" s="35"/>
      <c r="DT217" s="35"/>
      <c r="DU217" s="35"/>
      <c r="DV217" s="35"/>
      <c r="DW217" s="35"/>
      <c r="DX217" s="35"/>
      <c r="DY217" s="35"/>
      <c r="DZ217" s="35"/>
      <c r="EA217" s="35"/>
      <c r="EB217" s="35"/>
      <c r="EC217" s="35"/>
      <c r="ED217" s="35"/>
      <c r="EE217" s="35"/>
      <c r="EF217" s="35"/>
      <c r="EG217" s="35"/>
      <c r="EH217" s="35"/>
      <c r="EI217" s="35"/>
      <c r="EJ217" s="35"/>
      <c r="EK217" s="35"/>
      <c r="EL217" s="35"/>
      <c r="EM217" s="35"/>
      <c r="EN217" s="35"/>
      <c r="EO217" s="35"/>
      <c r="EP217" s="35"/>
      <c r="EQ217" s="35"/>
      <c r="ER217" s="35"/>
      <c r="ES217" s="35"/>
      <c r="ET217" s="35"/>
      <c r="EU217" s="35"/>
      <c r="EV217" s="35"/>
      <c r="EW217" s="35"/>
      <c r="EX217" s="35"/>
      <c r="EY217" s="35"/>
      <c r="EZ217" s="35"/>
      <c r="FA217" s="35"/>
      <c r="FB217" s="35"/>
      <c r="FC217" s="458">
        <f t="shared" si="27"/>
        <v>0</v>
      </c>
      <c r="FD217">
        <f t="shared" si="25"/>
        <v>0</v>
      </c>
      <c r="FE217" t="e">
        <f t="shared" si="26"/>
        <v>#N/A</v>
      </c>
      <c r="FI217" s="731" t="e">
        <f t="shared" si="28"/>
        <v>#VALUE!</v>
      </c>
      <c r="FK217" s="471" t="str">
        <f t="shared" si="29"/>
        <v xml:space="preserve"> </v>
      </c>
      <c r="FL217" s="730">
        <f t="shared" si="30"/>
        <v>0</v>
      </c>
      <c r="FM217" s="471" t="str">
        <f t="shared" si="31"/>
        <v/>
      </c>
      <c r="FN217" s="730">
        <f t="shared" si="24"/>
        <v>0</v>
      </c>
    </row>
    <row r="218" spans="1:170" s="33" customFormat="1" x14ac:dyDescent="0.2">
      <c r="A218" s="34" t="s">
        <v>268</v>
      </c>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c r="BL218" s="35"/>
      <c r="BM218" s="35"/>
      <c r="BN218" s="35"/>
      <c r="BO218" s="35"/>
      <c r="BP218" s="35"/>
      <c r="BQ218" s="35"/>
      <c r="BR218" s="35"/>
      <c r="BS218" s="35"/>
      <c r="BT218" s="35"/>
      <c r="BU218" s="35"/>
      <c r="BV218" s="35"/>
      <c r="BW218" s="35"/>
      <c r="BX218" s="35"/>
      <c r="BY218" s="35"/>
      <c r="BZ218" s="35"/>
      <c r="CA218" s="35"/>
      <c r="CB218" s="35"/>
      <c r="CC218" s="35"/>
      <c r="CD218" s="35"/>
      <c r="CE218" s="35"/>
      <c r="CF218" s="35"/>
      <c r="CG218" s="35"/>
      <c r="CH218" s="35"/>
      <c r="CI218" s="35"/>
      <c r="CJ218" s="35"/>
      <c r="CK218" s="35"/>
      <c r="CL218" s="35"/>
      <c r="CM218" s="35"/>
      <c r="CN218" s="35"/>
      <c r="CO218" s="35"/>
      <c r="CP218" s="35"/>
      <c r="CQ218" s="35"/>
      <c r="CR218" s="35"/>
      <c r="CS218" s="35"/>
      <c r="CT218" s="35"/>
      <c r="CU218" s="35"/>
      <c r="CV218" s="35"/>
      <c r="CW218" s="35"/>
      <c r="CX218" s="35"/>
      <c r="CY218" s="35"/>
      <c r="CZ218" s="35"/>
      <c r="DA218" s="35"/>
      <c r="DB218" s="35"/>
      <c r="DC218" s="35"/>
      <c r="DD218" s="35"/>
      <c r="DE218" s="35"/>
      <c r="DF218" s="35"/>
      <c r="DG218" s="35"/>
      <c r="DH218" s="35"/>
      <c r="DI218" s="35"/>
      <c r="DJ218" s="35"/>
      <c r="DK218" s="35"/>
      <c r="DL218" s="35"/>
      <c r="DM218" s="35"/>
      <c r="DN218" s="35"/>
      <c r="DO218" s="35"/>
      <c r="DP218" s="35"/>
      <c r="DQ218" s="35"/>
      <c r="DR218" s="35"/>
      <c r="DS218" s="35"/>
      <c r="DT218" s="35"/>
      <c r="DU218" s="35"/>
      <c r="DV218" s="35"/>
      <c r="DW218" s="35"/>
      <c r="DX218" s="35"/>
      <c r="DY218" s="35"/>
      <c r="DZ218" s="35"/>
      <c r="EA218" s="35"/>
      <c r="EB218" s="35"/>
      <c r="EC218" s="35"/>
      <c r="ED218" s="35"/>
      <c r="EE218" s="35"/>
      <c r="EF218" s="35"/>
      <c r="EG218" s="35"/>
      <c r="EH218" s="35"/>
      <c r="EI218" s="35"/>
      <c r="EJ218" s="35"/>
      <c r="EK218" s="35"/>
      <c r="EL218" s="35"/>
      <c r="EM218" s="35"/>
      <c r="EN218" s="35"/>
      <c r="EO218" s="35"/>
      <c r="EP218" s="35"/>
      <c r="EQ218" s="35"/>
      <c r="ER218" s="35"/>
      <c r="ES218" s="35"/>
      <c r="ET218" s="35"/>
      <c r="EU218" s="35"/>
      <c r="EV218" s="35"/>
      <c r="EW218" s="35"/>
      <c r="EX218" s="35"/>
      <c r="EY218" s="35"/>
      <c r="EZ218" s="35"/>
      <c r="FA218" s="35"/>
      <c r="FB218" s="35"/>
      <c r="FC218" s="458">
        <f t="shared" si="27"/>
        <v>0</v>
      </c>
      <c r="FD218">
        <f t="shared" si="25"/>
        <v>0</v>
      </c>
      <c r="FE218" t="e">
        <f t="shared" si="26"/>
        <v>#N/A</v>
      </c>
      <c r="FI218" s="731" t="e">
        <f t="shared" si="28"/>
        <v>#VALUE!</v>
      </c>
      <c r="FK218" s="471" t="str">
        <f t="shared" si="29"/>
        <v xml:space="preserve"> </v>
      </c>
      <c r="FL218" s="730">
        <f t="shared" si="30"/>
        <v>0</v>
      </c>
      <c r="FM218" s="471" t="str">
        <f t="shared" si="31"/>
        <v/>
      </c>
      <c r="FN218" s="730">
        <f t="shared" si="24"/>
        <v>0</v>
      </c>
    </row>
    <row r="219" spans="1:170" s="33" customFormat="1" x14ac:dyDescent="0.2">
      <c r="A219" s="34" t="s">
        <v>269</v>
      </c>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c r="BJ219" s="35"/>
      <c r="BK219" s="35"/>
      <c r="BL219" s="35"/>
      <c r="BM219" s="35"/>
      <c r="BN219" s="35"/>
      <c r="BO219" s="35"/>
      <c r="BP219" s="35"/>
      <c r="BQ219" s="35"/>
      <c r="BR219" s="35"/>
      <c r="BS219" s="35"/>
      <c r="BT219" s="35"/>
      <c r="BU219" s="35"/>
      <c r="BV219" s="35"/>
      <c r="BW219" s="35"/>
      <c r="BX219" s="35"/>
      <c r="BY219" s="35"/>
      <c r="BZ219" s="35"/>
      <c r="CA219" s="35"/>
      <c r="CB219" s="35"/>
      <c r="CC219" s="35"/>
      <c r="CD219" s="35"/>
      <c r="CE219" s="35"/>
      <c r="CF219" s="35"/>
      <c r="CG219" s="35"/>
      <c r="CH219" s="35"/>
      <c r="CI219" s="35"/>
      <c r="CJ219" s="35"/>
      <c r="CK219" s="35"/>
      <c r="CL219" s="35"/>
      <c r="CM219" s="35"/>
      <c r="CN219" s="35"/>
      <c r="CO219" s="35"/>
      <c r="CP219" s="35"/>
      <c r="CQ219" s="35"/>
      <c r="CR219" s="35"/>
      <c r="CS219" s="35"/>
      <c r="CT219" s="35"/>
      <c r="CU219" s="35"/>
      <c r="CV219" s="35"/>
      <c r="CW219" s="35"/>
      <c r="CX219" s="35"/>
      <c r="CY219" s="35"/>
      <c r="CZ219" s="35"/>
      <c r="DA219" s="35"/>
      <c r="DB219" s="35"/>
      <c r="DC219" s="35"/>
      <c r="DD219" s="35"/>
      <c r="DE219" s="35"/>
      <c r="DF219" s="35"/>
      <c r="DG219" s="35"/>
      <c r="DH219" s="35"/>
      <c r="DI219" s="35"/>
      <c r="DJ219" s="35"/>
      <c r="DK219" s="35"/>
      <c r="DL219" s="35"/>
      <c r="DM219" s="35"/>
      <c r="DN219" s="35"/>
      <c r="DO219" s="35"/>
      <c r="DP219" s="35"/>
      <c r="DQ219" s="35"/>
      <c r="DR219" s="35"/>
      <c r="DS219" s="35"/>
      <c r="DT219" s="35"/>
      <c r="DU219" s="35"/>
      <c r="DV219" s="35"/>
      <c r="DW219" s="35"/>
      <c r="DX219" s="35"/>
      <c r="DY219" s="35"/>
      <c r="DZ219" s="35"/>
      <c r="EA219" s="35"/>
      <c r="EB219" s="35"/>
      <c r="EC219" s="35"/>
      <c r="ED219" s="35"/>
      <c r="EE219" s="35"/>
      <c r="EF219" s="35"/>
      <c r="EG219" s="35"/>
      <c r="EH219" s="35"/>
      <c r="EI219" s="35"/>
      <c r="EJ219" s="35"/>
      <c r="EK219" s="35"/>
      <c r="EL219" s="35"/>
      <c r="EM219" s="35"/>
      <c r="EN219" s="35"/>
      <c r="EO219" s="35"/>
      <c r="EP219" s="35"/>
      <c r="EQ219" s="35"/>
      <c r="ER219" s="35"/>
      <c r="ES219" s="35"/>
      <c r="ET219" s="35"/>
      <c r="EU219" s="35"/>
      <c r="EV219" s="35"/>
      <c r="EW219" s="35"/>
      <c r="EX219" s="35"/>
      <c r="EY219" s="35"/>
      <c r="EZ219" s="35"/>
      <c r="FA219" s="35"/>
      <c r="FB219" s="35"/>
      <c r="FC219" s="458">
        <f t="shared" si="27"/>
        <v>0</v>
      </c>
      <c r="FD219">
        <f t="shared" si="25"/>
        <v>0</v>
      </c>
      <c r="FE219" t="e">
        <f t="shared" si="26"/>
        <v>#N/A</v>
      </c>
      <c r="FI219" s="731" t="e">
        <f t="shared" si="28"/>
        <v>#VALUE!</v>
      </c>
      <c r="FK219" s="471" t="str">
        <f t="shared" si="29"/>
        <v xml:space="preserve"> </v>
      </c>
      <c r="FL219" s="730">
        <f t="shared" si="30"/>
        <v>0</v>
      </c>
      <c r="FM219" s="471" t="str">
        <f t="shared" si="31"/>
        <v/>
      </c>
      <c r="FN219" s="730">
        <f t="shared" si="24"/>
        <v>0</v>
      </c>
    </row>
    <row r="220" spans="1:170" s="33" customFormat="1" x14ac:dyDescent="0.2">
      <c r="A220" s="34" t="s">
        <v>270</v>
      </c>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c r="BJ220" s="35"/>
      <c r="BK220" s="35"/>
      <c r="BL220" s="35"/>
      <c r="BM220" s="35"/>
      <c r="BN220" s="35"/>
      <c r="BO220" s="35"/>
      <c r="BP220" s="35"/>
      <c r="BQ220" s="35"/>
      <c r="BR220" s="35"/>
      <c r="BS220" s="35"/>
      <c r="BT220" s="35"/>
      <c r="BU220" s="35"/>
      <c r="BV220" s="35"/>
      <c r="BW220" s="35"/>
      <c r="BX220" s="35"/>
      <c r="BY220" s="35"/>
      <c r="BZ220" s="35"/>
      <c r="CA220" s="35"/>
      <c r="CB220" s="35"/>
      <c r="CC220" s="35"/>
      <c r="CD220" s="35"/>
      <c r="CE220" s="35"/>
      <c r="CF220" s="35"/>
      <c r="CG220" s="35"/>
      <c r="CH220" s="35"/>
      <c r="CI220" s="35"/>
      <c r="CJ220" s="35"/>
      <c r="CK220" s="35"/>
      <c r="CL220" s="35"/>
      <c r="CM220" s="35"/>
      <c r="CN220" s="35"/>
      <c r="CO220" s="35"/>
      <c r="CP220" s="35"/>
      <c r="CQ220" s="35"/>
      <c r="CR220" s="35"/>
      <c r="CS220" s="35"/>
      <c r="CT220" s="35"/>
      <c r="CU220" s="35"/>
      <c r="CV220" s="35"/>
      <c r="CW220" s="35"/>
      <c r="CX220" s="35"/>
      <c r="CY220" s="35"/>
      <c r="CZ220" s="35"/>
      <c r="DA220" s="35"/>
      <c r="DB220" s="35"/>
      <c r="DC220" s="35"/>
      <c r="DD220" s="35"/>
      <c r="DE220" s="35"/>
      <c r="DF220" s="35"/>
      <c r="DG220" s="35"/>
      <c r="DH220" s="35"/>
      <c r="DI220" s="35"/>
      <c r="DJ220" s="35"/>
      <c r="DK220" s="35"/>
      <c r="DL220" s="35"/>
      <c r="DM220" s="35"/>
      <c r="DN220" s="35"/>
      <c r="DO220" s="35"/>
      <c r="DP220" s="35"/>
      <c r="DQ220" s="35"/>
      <c r="DR220" s="35"/>
      <c r="DS220" s="35"/>
      <c r="DT220" s="35"/>
      <c r="DU220" s="35"/>
      <c r="DV220" s="35"/>
      <c r="DW220" s="35"/>
      <c r="DX220" s="35"/>
      <c r="DY220" s="35"/>
      <c r="DZ220" s="35"/>
      <c r="EA220" s="35"/>
      <c r="EB220" s="35"/>
      <c r="EC220" s="35"/>
      <c r="ED220" s="35"/>
      <c r="EE220" s="35"/>
      <c r="EF220" s="35"/>
      <c r="EG220" s="35"/>
      <c r="EH220" s="35"/>
      <c r="EI220" s="35"/>
      <c r="EJ220" s="35"/>
      <c r="EK220" s="35"/>
      <c r="EL220" s="35"/>
      <c r="EM220" s="35"/>
      <c r="EN220" s="35"/>
      <c r="EO220" s="35"/>
      <c r="EP220" s="35"/>
      <c r="EQ220" s="35"/>
      <c r="ER220" s="35"/>
      <c r="ES220" s="35"/>
      <c r="ET220" s="35"/>
      <c r="EU220" s="35"/>
      <c r="EV220" s="35"/>
      <c r="EW220" s="35"/>
      <c r="EX220" s="35"/>
      <c r="EY220" s="35"/>
      <c r="EZ220" s="35"/>
      <c r="FA220" s="35"/>
      <c r="FB220" s="35"/>
      <c r="FC220" s="458">
        <f t="shared" si="27"/>
        <v>0</v>
      </c>
      <c r="FD220">
        <f t="shared" si="25"/>
        <v>0</v>
      </c>
      <c r="FE220" t="e">
        <f t="shared" si="26"/>
        <v>#N/A</v>
      </c>
      <c r="FI220" s="731" t="e">
        <f t="shared" si="28"/>
        <v>#VALUE!</v>
      </c>
      <c r="FK220" s="471" t="str">
        <f t="shared" si="29"/>
        <v xml:space="preserve"> </v>
      </c>
      <c r="FL220" s="730">
        <f t="shared" si="30"/>
        <v>0</v>
      </c>
      <c r="FM220" s="471" t="str">
        <f t="shared" si="31"/>
        <v/>
      </c>
      <c r="FN220" s="730">
        <f t="shared" si="24"/>
        <v>0</v>
      </c>
    </row>
    <row r="221" spans="1:170" s="33" customFormat="1" x14ac:dyDescent="0.2">
      <c r="A221" s="34" t="s">
        <v>271</v>
      </c>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c r="BH221" s="35"/>
      <c r="BI221" s="35"/>
      <c r="BJ221" s="35"/>
      <c r="BK221" s="35"/>
      <c r="BL221" s="35"/>
      <c r="BM221" s="35"/>
      <c r="BN221" s="35"/>
      <c r="BO221" s="35"/>
      <c r="BP221" s="35"/>
      <c r="BQ221" s="35"/>
      <c r="BR221" s="35"/>
      <c r="BS221" s="35"/>
      <c r="BT221" s="35"/>
      <c r="BU221" s="35"/>
      <c r="BV221" s="35"/>
      <c r="BW221" s="35"/>
      <c r="BX221" s="35"/>
      <c r="BY221" s="35"/>
      <c r="BZ221" s="35"/>
      <c r="CA221" s="35"/>
      <c r="CB221" s="35"/>
      <c r="CC221" s="35"/>
      <c r="CD221" s="35"/>
      <c r="CE221" s="35"/>
      <c r="CF221" s="35"/>
      <c r="CG221" s="35"/>
      <c r="CH221" s="35"/>
      <c r="CI221" s="35"/>
      <c r="CJ221" s="35"/>
      <c r="CK221" s="35"/>
      <c r="CL221" s="35"/>
      <c r="CM221" s="35"/>
      <c r="CN221" s="35"/>
      <c r="CO221" s="35"/>
      <c r="CP221" s="35"/>
      <c r="CQ221" s="35"/>
      <c r="CR221" s="35"/>
      <c r="CS221" s="35"/>
      <c r="CT221" s="35"/>
      <c r="CU221" s="35"/>
      <c r="CV221" s="35"/>
      <c r="CW221" s="35"/>
      <c r="CX221" s="35"/>
      <c r="CY221" s="35"/>
      <c r="CZ221" s="35"/>
      <c r="DA221" s="35"/>
      <c r="DB221" s="35"/>
      <c r="DC221" s="35"/>
      <c r="DD221" s="35"/>
      <c r="DE221" s="35"/>
      <c r="DF221" s="35"/>
      <c r="DG221" s="35"/>
      <c r="DH221" s="35"/>
      <c r="DI221" s="35"/>
      <c r="DJ221" s="35"/>
      <c r="DK221" s="35"/>
      <c r="DL221" s="35"/>
      <c r="DM221" s="35"/>
      <c r="DN221" s="35"/>
      <c r="DO221" s="35"/>
      <c r="DP221" s="35"/>
      <c r="DQ221" s="35"/>
      <c r="DR221" s="35"/>
      <c r="DS221" s="35"/>
      <c r="DT221" s="35"/>
      <c r="DU221" s="35"/>
      <c r="DV221" s="35"/>
      <c r="DW221" s="35"/>
      <c r="DX221" s="35"/>
      <c r="DY221" s="35"/>
      <c r="DZ221" s="35"/>
      <c r="EA221" s="35"/>
      <c r="EB221" s="35"/>
      <c r="EC221" s="35"/>
      <c r="ED221" s="35"/>
      <c r="EE221" s="35"/>
      <c r="EF221" s="35"/>
      <c r="EG221" s="35"/>
      <c r="EH221" s="35"/>
      <c r="EI221" s="35"/>
      <c r="EJ221" s="35"/>
      <c r="EK221" s="35"/>
      <c r="EL221" s="35"/>
      <c r="EM221" s="35"/>
      <c r="EN221" s="35"/>
      <c r="EO221" s="35"/>
      <c r="EP221" s="35"/>
      <c r="EQ221" s="35"/>
      <c r="ER221" s="35"/>
      <c r="ES221" s="35"/>
      <c r="ET221" s="35"/>
      <c r="EU221" s="35"/>
      <c r="EV221" s="35"/>
      <c r="EW221" s="35"/>
      <c r="EX221" s="35"/>
      <c r="EY221" s="35"/>
      <c r="EZ221" s="35"/>
      <c r="FA221" s="35"/>
      <c r="FB221" s="35"/>
      <c r="FC221" s="458">
        <f t="shared" si="27"/>
        <v>0</v>
      </c>
      <c r="FD221">
        <f t="shared" si="25"/>
        <v>0</v>
      </c>
      <c r="FE221" t="e">
        <f t="shared" si="26"/>
        <v>#N/A</v>
      </c>
      <c r="FI221" s="731" t="e">
        <f t="shared" si="28"/>
        <v>#VALUE!</v>
      </c>
      <c r="FK221" s="471" t="str">
        <f t="shared" si="29"/>
        <v xml:space="preserve"> </v>
      </c>
      <c r="FL221" s="730">
        <f t="shared" si="30"/>
        <v>0</v>
      </c>
      <c r="FM221" s="471" t="str">
        <f t="shared" si="31"/>
        <v/>
      </c>
      <c r="FN221" s="730">
        <f t="shared" si="24"/>
        <v>0</v>
      </c>
    </row>
    <row r="222" spans="1:170" s="33" customFormat="1" x14ac:dyDescent="0.2">
      <c r="A222" s="34" t="s">
        <v>272</v>
      </c>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s="35"/>
      <c r="BI222" s="35"/>
      <c r="BJ222" s="35"/>
      <c r="BK222" s="35"/>
      <c r="BL222" s="35"/>
      <c r="BM222" s="35"/>
      <c r="BN222" s="35"/>
      <c r="BO222" s="35"/>
      <c r="BP222" s="35"/>
      <c r="BQ222" s="35"/>
      <c r="BR222" s="35"/>
      <c r="BS222" s="35"/>
      <c r="BT222" s="35"/>
      <c r="BU222" s="35"/>
      <c r="BV222" s="35"/>
      <c r="BW222" s="35"/>
      <c r="BX222" s="35"/>
      <c r="BY222" s="35"/>
      <c r="BZ222" s="35"/>
      <c r="CA222" s="35"/>
      <c r="CB222" s="35"/>
      <c r="CC222" s="35"/>
      <c r="CD222" s="35"/>
      <c r="CE222" s="35"/>
      <c r="CF222" s="35"/>
      <c r="CG222" s="35"/>
      <c r="CH222" s="35"/>
      <c r="CI222" s="35"/>
      <c r="CJ222" s="35"/>
      <c r="CK222" s="35"/>
      <c r="CL222" s="35"/>
      <c r="CM222" s="35"/>
      <c r="CN222" s="35"/>
      <c r="CO222" s="35"/>
      <c r="CP222" s="35"/>
      <c r="CQ222" s="35"/>
      <c r="CR222" s="35"/>
      <c r="CS222" s="35"/>
      <c r="CT222" s="35"/>
      <c r="CU222" s="35"/>
      <c r="CV222" s="35"/>
      <c r="CW222" s="35"/>
      <c r="CX222" s="35"/>
      <c r="CY222" s="35"/>
      <c r="CZ222" s="35"/>
      <c r="DA222" s="35"/>
      <c r="DB222" s="35"/>
      <c r="DC222" s="35"/>
      <c r="DD222" s="35"/>
      <c r="DE222" s="35"/>
      <c r="DF222" s="35"/>
      <c r="DG222" s="35"/>
      <c r="DH222" s="35"/>
      <c r="DI222" s="35"/>
      <c r="DJ222" s="35"/>
      <c r="DK222" s="35"/>
      <c r="DL222" s="35"/>
      <c r="DM222" s="35"/>
      <c r="DN222" s="35"/>
      <c r="DO222" s="35"/>
      <c r="DP222" s="35"/>
      <c r="DQ222" s="35"/>
      <c r="DR222" s="35"/>
      <c r="DS222" s="35"/>
      <c r="DT222" s="35"/>
      <c r="DU222" s="35"/>
      <c r="DV222" s="35"/>
      <c r="DW222" s="35"/>
      <c r="DX222" s="35"/>
      <c r="DY222" s="35"/>
      <c r="DZ222" s="35"/>
      <c r="EA222" s="35"/>
      <c r="EB222" s="35"/>
      <c r="EC222" s="35"/>
      <c r="ED222" s="35"/>
      <c r="EE222" s="35"/>
      <c r="EF222" s="35"/>
      <c r="EG222" s="35"/>
      <c r="EH222" s="35"/>
      <c r="EI222" s="35"/>
      <c r="EJ222" s="35"/>
      <c r="EK222" s="35"/>
      <c r="EL222" s="35"/>
      <c r="EM222" s="35"/>
      <c r="EN222" s="35"/>
      <c r="EO222" s="35"/>
      <c r="EP222" s="35"/>
      <c r="EQ222" s="35"/>
      <c r="ER222" s="35"/>
      <c r="ES222" s="35"/>
      <c r="ET222" s="35"/>
      <c r="EU222" s="35"/>
      <c r="EV222" s="35"/>
      <c r="EW222" s="35"/>
      <c r="EX222" s="35"/>
      <c r="EY222" s="35"/>
      <c r="EZ222" s="35"/>
      <c r="FA222" s="35"/>
      <c r="FB222" s="35"/>
      <c r="FC222" s="458">
        <f t="shared" si="27"/>
        <v>0</v>
      </c>
      <c r="FD222">
        <f t="shared" si="25"/>
        <v>0</v>
      </c>
      <c r="FE222" t="e">
        <f t="shared" si="26"/>
        <v>#N/A</v>
      </c>
      <c r="FI222" s="731" t="e">
        <f t="shared" si="28"/>
        <v>#VALUE!</v>
      </c>
      <c r="FK222" s="471" t="str">
        <f t="shared" si="29"/>
        <v xml:space="preserve"> </v>
      </c>
      <c r="FL222" s="730">
        <f t="shared" si="30"/>
        <v>0</v>
      </c>
      <c r="FM222" s="471" t="str">
        <f t="shared" si="31"/>
        <v/>
      </c>
      <c r="FN222" s="730">
        <f t="shared" si="24"/>
        <v>0</v>
      </c>
    </row>
    <row r="223" spans="1:170" s="33" customFormat="1" x14ac:dyDescent="0.2">
      <c r="A223" s="34" t="s">
        <v>273</v>
      </c>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c r="BG223" s="35"/>
      <c r="BH223" s="35"/>
      <c r="BI223" s="35"/>
      <c r="BJ223" s="35"/>
      <c r="BK223" s="35"/>
      <c r="BL223" s="35"/>
      <c r="BM223" s="35"/>
      <c r="BN223" s="35"/>
      <c r="BO223" s="35"/>
      <c r="BP223" s="35"/>
      <c r="BQ223" s="35"/>
      <c r="BR223" s="35"/>
      <c r="BS223" s="35"/>
      <c r="BT223" s="35"/>
      <c r="BU223" s="35"/>
      <c r="BV223" s="35"/>
      <c r="BW223" s="35"/>
      <c r="BX223" s="35"/>
      <c r="BY223" s="35"/>
      <c r="BZ223" s="35"/>
      <c r="CA223" s="35"/>
      <c r="CB223" s="35"/>
      <c r="CC223" s="35"/>
      <c r="CD223" s="35"/>
      <c r="CE223" s="35"/>
      <c r="CF223" s="35"/>
      <c r="CG223" s="35"/>
      <c r="CH223" s="35"/>
      <c r="CI223" s="35"/>
      <c r="CJ223" s="35"/>
      <c r="CK223" s="35"/>
      <c r="CL223" s="35"/>
      <c r="CM223" s="35"/>
      <c r="CN223" s="35"/>
      <c r="CO223" s="35"/>
      <c r="CP223" s="35"/>
      <c r="CQ223" s="35"/>
      <c r="CR223" s="35"/>
      <c r="CS223" s="35"/>
      <c r="CT223" s="35"/>
      <c r="CU223" s="35"/>
      <c r="CV223" s="35"/>
      <c r="CW223" s="35"/>
      <c r="CX223" s="35"/>
      <c r="CY223" s="35"/>
      <c r="CZ223" s="35"/>
      <c r="DA223" s="35"/>
      <c r="DB223" s="35"/>
      <c r="DC223" s="35"/>
      <c r="DD223" s="35"/>
      <c r="DE223" s="35"/>
      <c r="DF223" s="35"/>
      <c r="DG223" s="35"/>
      <c r="DH223" s="35"/>
      <c r="DI223" s="35"/>
      <c r="DJ223" s="35"/>
      <c r="DK223" s="35"/>
      <c r="DL223" s="35"/>
      <c r="DM223" s="35"/>
      <c r="DN223" s="35"/>
      <c r="DO223" s="35"/>
      <c r="DP223" s="35"/>
      <c r="DQ223" s="35"/>
      <c r="DR223" s="35"/>
      <c r="DS223" s="35"/>
      <c r="DT223" s="35"/>
      <c r="DU223" s="35"/>
      <c r="DV223" s="35"/>
      <c r="DW223" s="35"/>
      <c r="DX223" s="35"/>
      <c r="DY223" s="35"/>
      <c r="DZ223" s="35"/>
      <c r="EA223" s="35"/>
      <c r="EB223" s="35"/>
      <c r="EC223" s="35"/>
      <c r="ED223" s="35"/>
      <c r="EE223" s="35"/>
      <c r="EF223" s="35"/>
      <c r="EG223" s="35"/>
      <c r="EH223" s="35"/>
      <c r="EI223" s="35"/>
      <c r="EJ223" s="35"/>
      <c r="EK223" s="35"/>
      <c r="EL223" s="35"/>
      <c r="EM223" s="35"/>
      <c r="EN223" s="35"/>
      <c r="EO223" s="35"/>
      <c r="EP223" s="35"/>
      <c r="EQ223" s="35"/>
      <c r="ER223" s="35"/>
      <c r="ES223" s="35"/>
      <c r="ET223" s="35"/>
      <c r="EU223" s="35"/>
      <c r="EV223" s="35"/>
      <c r="EW223" s="35"/>
      <c r="EX223" s="35"/>
      <c r="EY223" s="35"/>
      <c r="EZ223" s="35"/>
      <c r="FA223" s="35"/>
      <c r="FB223" s="35"/>
      <c r="FC223" s="458">
        <f t="shared" si="27"/>
        <v>0</v>
      </c>
      <c r="FD223">
        <f t="shared" si="25"/>
        <v>0</v>
      </c>
      <c r="FE223" t="e">
        <f t="shared" si="26"/>
        <v>#N/A</v>
      </c>
      <c r="FI223" s="731" t="e">
        <f t="shared" si="28"/>
        <v>#VALUE!</v>
      </c>
      <c r="FK223" s="471" t="str">
        <f t="shared" si="29"/>
        <v xml:space="preserve"> </v>
      </c>
      <c r="FL223" s="730">
        <f t="shared" si="30"/>
        <v>0</v>
      </c>
      <c r="FM223" s="471" t="str">
        <f t="shared" si="31"/>
        <v/>
      </c>
      <c r="FN223" s="730">
        <f t="shared" si="24"/>
        <v>0</v>
      </c>
    </row>
    <row r="224" spans="1:170" s="33" customFormat="1" x14ac:dyDescent="0.2">
      <c r="A224" s="34" t="s">
        <v>274</v>
      </c>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c r="BN224" s="35"/>
      <c r="BO224" s="35"/>
      <c r="BP224" s="35"/>
      <c r="BQ224" s="35"/>
      <c r="BR224" s="35"/>
      <c r="BS224" s="35"/>
      <c r="BT224" s="35"/>
      <c r="BU224" s="35"/>
      <c r="BV224" s="35"/>
      <c r="BW224" s="35"/>
      <c r="BX224" s="35"/>
      <c r="BY224" s="35"/>
      <c r="BZ224" s="35"/>
      <c r="CA224" s="35"/>
      <c r="CB224" s="35"/>
      <c r="CC224" s="35"/>
      <c r="CD224" s="35"/>
      <c r="CE224" s="35"/>
      <c r="CF224" s="35"/>
      <c r="CG224" s="35"/>
      <c r="CH224" s="35"/>
      <c r="CI224" s="35"/>
      <c r="CJ224" s="35"/>
      <c r="CK224" s="35"/>
      <c r="CL224" s="35"/>
      <c r="CM224" s="35"/>
      <c r="CN224" s="35"/>
      <c r="CO224" s="35"/>
      <c r="CP224" s="35"/>
      <c r="CQ224" s="35"/>
      <c r="CR224" s="35"/>
      <c r="CS224" s="35"/>
      <c r="CT224" s="35"/>
      <c r="CU224" s="35"/>
      <c r="CV224" s="35"/>
      <c r="CW224" s="35"/>
      <c r="CX224" s="35"/>
      <c r="CY224" s="35"/>
      <c r="CZ224" s="35"/>
      <c r="DA224" s="35"/>
      <c r="DB224" s="35"/>
      <c r="DC224" s="35"/>
      <c r="DD224" s="35"/>
      <c r="DE224" s="35"/>
      <c r="DF224" s="35"/>
      <c r="DG224" s="35"/>
      <c r="DH224" s="35"/>
      <c r="DI224" s="35"/>
      <c r="DJ224" s="35"/>
      <c r="DK224" s="35"/>
      <c r="DL224" s="35"/>
      <c r="DM224" s="35"/>
      <c r="DN224" s="35"/>
      <c r="DO224" s="35"/>
      <c r="DP224" s="35"/>
      <c r="DQ224" s="35"/>
      <c r="DR224" s="35"/>
      <c r="DS224" s="35"/>
      <c r="DT224" s="35"/>
      <c r="DU224" s="35"/>
      <c r="DV224" s="35"/>
      <c r="DW224" s="35"/>
      <c r="DX224" s="35"/>
      <c r="DY224" s="35"/>
      <c r="DZ224" s="35"/>
      <c r="EA224" s="35"/>
      <c r="EB224" s="35"/>
      <c r="EC224" s="35"/>
      <c r="ED224" s="35"/>
      <c r="EE224" s="35"/>
      <c r="EF224" s="35"/>
      <c r="EG224" s="35"/>
      <c r="EH224" s="35"/>
      <c r="EI224" s="35"/>
      <c r="EJ224" s="35"/>
      <c r="EK224" s="35"/>
      <c r="EL224" s="35"/>
      <c r="EM224" s="35"/>
      <c r="EN224" s="35"/>
      <c r="EO224" s="35"/>
      <c r="EP224" s="35"/>
      <c r="EQ224" s="35"/>
      <c r="ER224" s="35"/>
      <c r="ES224" s="35"/>
      <c r="ET224" s="35"/>
      <c r="EU224" s="35"/>
      <c r="EV224" s="35"/>
      <c r="EW224" s="35"/>
      <c r="EX224" s="35"/>
      <c r="EY224" s="35"/>
      <c r="EZ224" s="35"/>
      <c r="FA224" s="35"/>
      <c r="FB224" s="35"/>
      <c r="FC224" s="458">
        <f t="shared" si="27"/>
        <v>0</v>
      </c>
      <c r="FD224">
        <f t="shared" si="25"/>
        <v>0</v>
      </c>
      <c r="FE224" t="e">
        <f t="shared" si="26"/>
        <v>#N/A</v>
      </c>
      <c r="FI224" s="731" t="e">
        <f t="shared" si="28"/>
        <v>#VALUE!</v>
      </c>
      <c r="FK224" s="471" t="str">
        <f t="shared" si="29"/>
        <v xml:space="preserve"> </v>
      </c>
      <c r="FL224" s="730">
        <f t="shared" si="30"/>
        <v>0</v>
      </c>
      <c r="FM224" s="471" t="str">
        <f t="shared" si="31"/>
        <v/>
      </c>
      <c r="FN224" s="730">
        <f t="shared" si="24"/>
        <v>0</v>
      </c>
    </row>
    <row r="225" spans="1:170" s="33" customFormat="1" x14ac:dyDescent="0.2">
      <c r="A225" s="34" t="s">
        <v>275</v>
      </c>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s="35"/>
      <c r="BI225" s="35"/>
      <c r="BJ225" s="35"/>
      <c r="BK225" s="35"/>
      <c r="BL225" s="35"/>
      <c r="BM225" s="35"/>
      <c r="BN225" s="35"/>
      <c r="BO225" s="35"/>
      <c r="BP225" s="35"/>
      <c r="BQ225" s="35"/>
      <c r="BR225" s="35"/>
      <c r="BS225" s="35"/>
      <c r="BT225" s="35"/>
      <c r="BU225" s="35"/>
      <c r="BV225" s="35"/>
      <c r="BW225" s="35"/>
      <c r="BX225" s="35"/>
      <c r="BY225" s="35"/>
      <c r="BZ225" s="35"/>
      <c r="CA225" s="35"/>
      <c r="CB225" s="35"/>
      <c r="CC225" s="35"/>
      <c r="CD225" s="35"/>
      <c r="CE225" s="35"/>
      <c r="CF225" s="35"/>
      <c r="CG225" s="35"/>
      <c r="CH225" s="35"/>
      <c r="CI225" s="35"/>
      <c r="CJ225" s="35"/>
      <c r="CK225" s="35"/>
      <c r="CL225" s="35"/>
      <c r="CM225" s="35"/>
      <c r="CN225" s="35"/>
      <c r="CO225" s="35"/>
      <c r="CP225" s="35"/>
      <c r="CQ225" s="35"/>
      <c r="CR225" s="35"/>
      <c r="CS225" s="35"/>
      <c r="CT225" s="35"/>
      <c r="CU225" s="35"/>
      <c r="CV225" s="35"/>
      <c r="CW225" s="35"/>
      <c r="CX225" s="35"/>
      <c r="CY225" s="35"/>
      <c r="CZ225" s="35"/>
      <c r="DA225" s="35"/>
      <c r="DB225" s="35"/>
      <c r="DC225" s="35"/>
      <c r="DD225" s="35"/>
      <c r="DE225" s="35"/>
      <c r="DF225" s="35"/>
      <c r="DG225" s="35"/>
      <c r="DH225" s="35"/>
      <c r="DI225" s="35"/>
      <c r="DJ225" s="35"/>
      <c r="DK225" s="35"/>
      <c r="DL225" s="35"/>
      <c r="DM225" s="35"/>
      <c r="DN225" s="35"/>
      <c r="DO225" s="35"/>
      <c r="DP225" s="35"/>
      <c r="DQ225" s="35"/>
      <c r="DR225" s="35"/>
      <c r="DS225" s="35"/>
      <c r="DT225" s="35"/>
      <c r="DU225" s="35"/>
      <c r="DV225" s="35"/>
      <c r="DW225" s="35"/>
      <c r="DX225" s="35"/>
      <c r="DY225" s="35"/>
      <c r="DZ225" s="35"/>
      <c r="EA225" s="35"/>
      <c r="EB225" s="35"/>
      <c r="EC225" s="35"/>
      <c r="ED225" s="35"/>
      <c r="EE225" s="35"/>
      <c r="EF225" s="35"/>
      <c r="EG225" s="35"/>
      <c r="EH225" s="35"/>
      <c r="EI225" s="35"/>
      <c r="EJ225" s="35"/>
      <c r="EK225" s="35"/>
      <c r="EL225" s="35"/>
      <c r="EM225" s="35"/>
      <c r="EN225" s="35"/>
      <c r="EO225" s="35"/>
      <c r="EP225" s="35"/>
      <c r="EQ225" s="35"/>
      <c r="ER225" s="35"/>
      <c r="ES225" s="35"/>
      <c r="ET225" s="35"/>
      <c r="EU225" s="35"/>
      <c r="EV225" s="35"/>
      <c r="EW225" s="35"/>
      <c r="EX225" s="35"/>
      <c r="EY225" s="35"/>
      <c r="EZ225" s="35"/>
      <c r="FA225" s="35"/>
      <c r="FB225" s="35"/>
      <c r="FC225" s="458">
        <f t="shared" si="27"/>
        <v>0</v>
      </c>
      <c r="FD225">
        <f t="shared" si="25"/>
        <v>0</v>
      </c>
      <c r="FE225" t="e">
        <f t="shared" si="26"/>
        <v>#N/A</v>
      </c>
      <c r="FI225" s="731" t="e">
        <f t="shared" si="28"/>
        <v>#VALUE!</v>
      </c>
      <c r="FK225" s="471" t="str">
        <f t="shared" si="29"/>
        <v xml:space="preserve"> </v>
      </c>
      <c r="FL225" s="730">
        <f t="shared" si="30"/>
        <v>0</v>
      </c>
      <c r="FM225" s="471" t="str">
        <f t="shared" si="31"/>
        <v/>
      </c>
      <c r="FN225" s="730">
        <f t="shared" si="24"/>
        <v>0</v>
      </c>
    </row>
    <row r="226" spans="1:170" s="33" customFormat="1" x14ac:dyDescent="0.2">
      <c r="A226" s="34" t="s">
        <v>276</v>
      </c>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c r="BG226" s="35"/>
      <c r="BH226" s="35"/>
      <c r="BI226" s="35"/>
      <c r="BJ226" s="35"/>
      <c r="BK226" s="35"/>
      <c r="BL226" s="35"/>
      <c r="BM226" s="35"/>
      <c r="BN226" s="35"/>
      <c r="BO226" s="35"/>
      <c r="BP226" s="35"/>
      <c r="BQ226" s="35"/>
      <c r="BR226" s="35"/>
      <c r="BS226" s="35"/>
      <c r="BT226" s="35"/>
      <c r="BU226" s="35"/>
      <c r="BV226" s="35"/>
      <c r="BW226" s="35"/>
      <c r="BX226" s="35"/>
      <c r="BY226" s="35"/>
      <c r="BZ226" s="35"/>
      <c r="CA226" s="35"/>
      <c r="CB226" s="35"/>
      <c r="CC226" s="35"/>
      <c r="CD226" s="35"/>
      <c r="CE226" s="35"/>
      <c r="CF226" s="35"/>
      <c r="CG226" s="35"/>
      <c r="CH226" s="35"/>
      <c r="CI226" s="35"/>
      <c r="CJ226" s="35"/>
      <c r="CK226" s="35"/>
      <c r="CL226" s="35"/>
      <c r="CM226" s="35"/>
      <c r="CN226" s="35"/>
      <c r="CO226" s="35"/>
      <c r="CP226" s="35"/>
      <c r="CQ226" s="35"/>
      <c r="CR226" s="35"/>
      <c r="CS226" s="35"/>
      <c r="CT226" s="35"/>
      <c r="CU226" s="35"/>
      <c r="CV226" s="35"/>
      <c r="CW226" s="35"/>
      <c r="CX226" s="35"/>
      <c r="CY226" s="35"/>
      <c r="CZ226" s="35"/>
      <c r="DA226" s="35"/>
      <c r="DB226" s="35"/>
      <c r="DC226" s="35"/>
      <c r="DD226" s="35"/>
      <c r="DE226" s="35"/>
      <c r="DF226" s="35"/>
      <c r="DG226" s="35"/>
      <c r="DH226" s="35"/>
      <c r="DI226" s="35"/>
      <c r="DJ226" s="35"/>
      <c r="DK226" s="35"/>
      <c r="DL226" s="35"/>
      <c r="DM226" s="35"/>
      <c r="DN226" s="35"/>
      <c r="DO226" s="35"/>
      <c r="DP226" s="35"/>
      <c r="DQ226" s="35"/>
      <c r="DR226" s="35"/>
      <c r="DS226" s="35"/>
      <c r="DT226" s="35"/>
      <c r="DU226" s="35"/>
      <c r="DV226" s="35"/>
      <c r="DW226" s="35"/>
      <c r="DX226" s="35"/>
      <c r="DY226" s="35"/>
      <c r="DZ226" s="35"/>
      <c r="EA226" s="35"/>
      <c r="EB226" s="35"/>
      <c r="EC226" s="35"/>
      <c r="ED226" s="35"/>
      <c r="EE226" s="35"/>
      <c r="EF226" s="35"/>
      <c r="EG226" s="35"/>
      <c r="EH226" s="35"/>
      <c r="EI226" s="35"/>
      <c r="EJ226" s="35"/>
      <c r="EK226" s="35"/>
      <c r="EL226" s="35"/>
      <c r="EM226" s="35"/>
      <c r="EN226" s="35"/>
      <c r="EO226" s="35"/>
      <c r="EP226" s="35"/>
      <c r="EQ226" s="35"/>
      <c r="ER226" s="35"/>
      <c r="ES226" s="35"/>
      <c r="ET226" s="35"/>
      <c r="EU226" s="35"/>
      <c r="EV226" s="35"/>
      <c r="EW226" s="35"/>
      <c r="EX226" s="35"/>
      <c r="EY226" s="35"/>
      <c r="EZ226" s="35"/>
      <c r="FA226" s="35"/>
      <c r="FB226" s="35"/>
      <c r="FC226" s="458">
        <f t="shared" si="27"/>
        <v>0</v>
      </c>
      <c r="FD226">
        <f t="shared" si="25"/>
        <v>0</v>
      </c>
      <c r="FE226" t="e">
        <f t="shared" si="26"/>
        <v>#N/A</v>
      </c>
      <c r="FI226" s="731" t="e">
        <f t="shared" si="28"/>
        <v>#VALUE!</v>
      </c>
      <c r="FK226" s="471" t="str">
        <f t="shared" si="29"/>
        <v xml:space="preserve"> </v>
      </c>
      <c r="FL226" s="730">
        <f t="shared" si="30"/>
        <v>0</v>
      </c>
      <c r="FM226" s="471" t="str">
        <f t="shared" si="31"/>
        <v/>
      </c>
      <c r="FN226" s="730">
        <f t="shared" si="24"/>
        <v>0</v>
      </c>
    </row>
    <row r="227" spans="1:170" s="33" customFormat="1" x14ac:dyDescent="0.2">
      <c r="A227" s="34" t="s">
        <v>277</v>
      </c>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5"/>
      <c r="BH227" s="35"/>
      <c r="BI227" s="35"/>
      <c r="BJ227" s="35"/>
      <c r="BK227" s="35"/>
      <c r="BL227" s="35"/>
      <c r="BM227" s="35"/>
      <c r="BN227" s="35"/>
      <c r="BO227" s="35"/>
      <c r="BP227" s="35"/>
      <c r="BQ227" s="35"/>
      <c r="BR227" s="35"/>
      <c r="BS227" s="35"/>
      <c r="BT227" s="35"/>
      <c r="BU227" s="35"/>
      <c r="BV227" s="35"/>
      <c r="BW227" s="35"/>
      <c r="BX227" s="35"/>
      <c r="BY227" s="35"/>
      <c r="BZ227" s="35"/>
      <c r="CA227" s="35"/>
      <c r="CB227" s="35"/>
      <c r="CC227" s="35"/>
      <c r="CD227" s="35"/>
      <c r="CE227" s="35"/>
      <c r="CF227" s="35"/>
      <c r="CG227" s="35"/>
      <c r="CH227" s="35"/>
      <c r="CI227" s="35"/>
      <c r="CJ227" s="35"/>
      <c r="CK227" s="35"/>
      <c r="CL227" s="35"/>
      <c r="CM227" s="35"/>
      <c r="CN227" s="35"/>
      <c r="CO227" s="35"/>
      <c r="CP227" s="35"/>
      <c r="CQ227" s="35"/>
      <c r="CR227" s="35"/>
      <c r="CS227" s="35"/>
      <c r="CT227" s="35"/>
      <c r="CU227" s="35"/>
      <c r="CV227" s="35"/>
      <c r="CW227" s="35"/>
      <c r="CX227" s="35"/>
      <c r="CY227" s="35"/>
      <c r="CZ227" s="35"/>
      <c r="DA227" s="35"/>
      <c r="DB227" s="35"/>
      <c r="DC227" s="35"/>
      <c r="DD227" s="35"/>
      <c r="DE227" s="35"/>
      <c r="DF227" s="35"/>
      <c r="DG227" s="35"/>
      <c r="DH227" s="35"/>
      <c r="DI227" s="35"/>
      <c r="DJ227" s="35"/>
      <c r="DK227" s="35"/>
      <c r="DL227" s="35"/>
      <c r="DM227" s="35"/>
      <c r="DN227" s="35"/>
      <c r="DO227" s="35"/>
      <c r="DP227" s="35"/>
      <c r="DQ227" s="35"/>
      <c r="DR227" s="35"/>
      <c r="DS227" s="35"/>
      <c r="DT227" s="35"/>
      <c r="DU227" s="35"/>
      <c r="DV227" s="35"/>
      <c r="DW227" s="35"/>
      <c r="DX227" s="35"/>
      <c r="DY227" s="35"/>
      <c r="DZ227" s="35"/>
      <c r="EA227" s="35"/>
      <c r="EB227" s="35"/>
      <c r="EC227" s="35"/>
      <c r="ED227" s="35"/>
      <c r="EE227" s="35"/>
      <c r="EF227" s="35"/>
      <c r="EG227" s="35"/>
      <c r="EH227" s="35"/>
      <c r="EI227" s="35"/>
      <c r="EJ227" s="35"/>
      <c r="EK227" s="35"/>
      <c r="EL227" s="35"/>
      <c r="EM227" s="35"/>
      <c r="EN227" s="35"/>
      <c r="EO227" s="35"/>
      <c r="EP227" s="35"/>
      <c r="EQ227" s="35"/>
      <c r="ER227" s="35"/>
      <c r="ES227" s="35"/>
      <c r="ET227" s="35"/>
      <c r="EU227" s="35"/>
      <c r="EV227" s="35"/>
      <c r="EW227" s="35"/>
      <c r="EX227" s="35"/>
      <c r="EY227" s="35"/>
      <c r="EZ227" s="35"/>
      <c r="FA227" s="35"/>
      <c r="FB227" s="35"/>
      <c r="FC227" s="458">
        <f t="shared" si="27"/>
        <v>0</v>
      </c>
      <c r="FD227">
        <f t="shared" si="25"/>
        <v>0</v>
      </c>
      <c r="FE227" t="e">
        <f t="shared" si="26"/>
        <v>#N/A</v>
      </c>
      <c r="FI227" s="731" t="e">
        <f t="shared" si="28"/>
        <v>#VALUE!</v>
      </c>
      <c r="FK227" s="471" t="str">
        <f t="shared" si="29"/>
        <v xml:space="preserve"> </v>
      </c>
      <c r="FL227" s="730">
        <f t="shared" si="30"/>
        <v>0</v>
      </c>
      <c r="FM227" s="471" t="str">
        <f t="shared" si="31"/>
        <v/>
      </c>
      <c r="FN227" s="730">
        <f t="shared" si="24"/>
        <v>0</v>
      </c>
    </row>
    <row r="228" spans="1:170" s="33" customFormat="1" x14ac:dyDescent="0.2">
      <c r="A228" s="34" t="s">
        <v>278</v>
      </c>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c r="BL228" s="35"/>
      <c r="BM228" s="35"/>
      <c r="BN228" s="35"/>
      <c r="BO228" s="35"/>
      <c r="BP228" s="35"/>
      <c r="BQ228" s="35"/>
      <c r="BR228" s="35"/>
      <c r="BS228" s="35"/>
      <c r="BT228" s="35"/>
      <c r="BU228" s="35"/>
      <c r="BV228" s="35"/>
      <c r="BW228" s="35"/>
      <c r="BX228" s="35"/>
      <c r="BY228" s="35"/>
      <c r="BZ228" s="35"/>
      <c r="CA228" s="35"/>
      <c r="CB228" s="35"/>
      <c r="CC228" s="35"/>
      <c r="CD228" s="35"/>
      <c r="CE228" s="35"/>
      <c r="CF228" s="35"/>
      <c r="CG228" s="35"/>
      <c r="CH228" s="35"/>
      <c r="CI228" s="35"/>
      <c r="CJ228" s="35"/>
      <c r="CK228" s="35"/>
      <c r="CL228" s="35"/>
      <c r="CM228" s="35"/>
      <c r="CN228" s="35"/>
      <c r="CO228" s="35"/>
      <c r="CP228" s="35"/>
      <c r="CQ228" s="35"/>
      <c r="CR228" s="35"/>
      <c r="CS228" s="35"/>
      <c r="CT228" s="35"/>
      <c r="CU228" s="35"/>
      <c r="CV228" s="35"/>
      <c r="CW228" s="35"/>
      <c r="CX228" s="35"/>
      <c r="CY228" s="35"/>
      <c r="CZ228" s="35"/>
      <c r="DA228" s="35"/>
      <c r="DB228" s="35"/>
      <c r="DC228" s="35"/>
      <c r="DD228" s="35"/>
      <c r="DE228" s="35"/>
      <c r="DF228" s="35"/>
      <c r="DG228" s="35"/>
      <c r="DH228" s="35"/>
      <c r="DI228" s="35"/>
      <c r="DJ228" s="35"/>
      <c r="DK228" s="35"/>
      <c r="DL228" s="35"/>
      <c r="DM228" s="35"/>
      <c r="DN228" s="35"/>
      <c r="DO228" s="35"/>
      <c r="DP228" s="35"/>
      <c r="DQ228" s="35"/>
      <c r="DR228" s="35"/>
      <c r="DS228" s="35"/>
      <c r="DT228" s="35"/>
      <c r="DU228" s="35"/>
      <c r="DV228" s="35"/>
      <c r="DW228" s="35"/>
      <c r="DX228" s="35"/>
      <c r="DY228" s="35"/>
      <c r="DZ228" s="35"/>
      <c r="EA228" s="35"/>
      <c r="EB228" s="35"/>
      <c r="EC228" s="35"/>
      <c r="ED228" s="35"/>
      <c r="EE228" s="35"/>
      <c r="EF228" s="35"/>
      <c r="EG228" s="35"/>
      <c r="EH228" s="35"/>
      <c r="EI228" s="35"/>
      <c r="EJ228" s="35"/>
      <c r="EK228" s="35"/>
      <c r="EL228" s="35"/>
      <c r="EM228" s="35"/>
      <c r="EN228" s="35"/>
      <c r="EO228" s="35"/>
      <c r="EP228" s="35"/>
      <c r="EQ228" s="35"/>
      <c r="ER228" s="35"/>
      <c r="ES228" s="35"/>
      <c r="ET228" s="35"/>
      <c r="EU228" s="35"/>
      <c r="EV228" s="35"/>
      <c r="EW228" s="35"/>
      <c r="EX228" s="35"/>
      <c r="EY228" s="35"/>
      <c r="EZ228" s="35"/>
      <c r="FA228" s="35"/>
      <c r="FB228" s="35"/>
      <c r="FC228" s="458">
        <f t="shared" si="27"/>
        <v>0</v>
      </c>
      <c r="FD228">
        <f t="shared" si="25"/>
        <v>0</v>
      </c>
      <c r="FE228" t="e">
        <f t="shared" si="26"/>
        <v>#N/A</v>
      </c>
      <c r="FI228" s="731" t="e">
        <f t="shared" si="28"/>
        <v>#VALUE!</v>
      </c>
      <c r="FK228" s="471" t="str">
        <f t="shared" si="29"/>
        <v xml:space="preserve"> </v>
      </c>
      <c r="FL228" s="730">
        <f t="shared" si="30"/>
        <v>0</v>
      </c>
      <c r="FM228" s="471" t="str">
        <f t="shared" si="31"/>
        <v/>
      </c>
      <c r="FN228" s="730">
        <f t="shared" si="24"/>
        <v>0</v>
      </c>
    </row>
    <row r="229" spans="1:170" s="33" customFormat="1" x14ac:dyDescent="0.2">
      <c r="A229" s="34" t="s">
        <v>279</v>
      </c>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c r="BG229" s="35"/>
      <c r="BH229" s="35"/>
      <c r="BI229" s="35"/>
      <c r="BJ229" s="35"/>
      <c r="BK229" s="35"/>
      <c r="BL229" s="35"/>
      <c r="BM229" s="35"/>
      <c r="BN229" s="35"/>
      <c r="BO229" s="35"/>
      <c r="BP229" s="35"/>
      <c r="BQ229" s="35"/>
      <c r="BR229" s="35"/>
      <c r="BS229" s="35"/>
      <c r="BT229" s="35"/>
      <c r="BU229" s="35"/>
      <c r="BV229" s="35"/>
      <c r="BW229" s="35"/>
      <c r="BX229" s="35"/>
      <c r="BY229" s="35"/>
      <c r="BZ229" s="35"/>
      <c r="CA229" s="35"/>
      <c r="CB229" s="35"/>
      <c r="CC229" s="35"/>
      <c r="CD229" s="35"/>
      <c r="CE229" s="35"/>
      <c r="CF229" s="35"/>
      <c r="CG229" s="35"/>
      <c r="CH229" s="35"/>
      <c r="CI229" s="35"/>
      <c r="CJ229" s="35"/>
      <c r="CK229" s="35"/>
      <c r="CL229" s="35"/>
      <c r="CM229" s="35"/>
      <c r="CN229" s="35"/>
      <c r="CO229" s="35"/>
      <c r="CP229" s="35"/>
      <c r="CQ229" s="35"/>
      <c r="CR229" s="35"/>
      <c r="CS229" s="35"/>
      <c r="CT229" s="35"/>
      <c r="CU229" s="35"/>
      <c r="CV229" s="35"/>
      <c r="CW229" s="35"/>
      <c r="CX229" s="35"/>
      <c r="CY229" s="35"/>
      <c r="CZ229" s="35"/>
      <c r="DA229" s="35"/>
      <c r="DB229" s="35"/>
      <c r="DC229" s="35"/>
      <c r="DD229" s="35"/>
      <c r="DE229" s="35"/>
      <c r="DF229" s="35"/>
      <c r="DG229" s="35"/>
      <c r="DH229" s="35"/>
      <c r="DI229" s="35"/>
      <c r="DJ229" s="35"/>
      <c r="DK229" s="35"/>
      <c r="DL229" s="35"/>
      <c r="DM229" s="35"/>
      <c r="DN229" s="35"/>
      <c r="DO229" s="35"/>
      <c r="DP229" s="35"/>
      <c r="DQ229" s="35"/>
      <c r="DR229" s="35"/>
      <c r="DS229" s="35"/>
      <c r="DT229" s="35"/>
      <c r="DU229" s="35"/>
      <c r="DV229" s="35"/>
      <c r="DW229" s="35"/>
      <c r="DX229" s="35"/>
      <c r="DY229" s="35"/>
      <c r="DZ229" s="35"/>
      <c r="EA229" s="35"/>
      <c r="EB229" s="35"/>
      <c r="EC229" s="35"/>
      <c r="ED229" s="35"/>
      <c r="EE229" s="35"/>
      <c r="EF229" s="35"/>
      <c r="EG229" s="35"/>
      <c r="EH229" s="35"/>
      <c r="EI229" s="35"/>
      <c r="EJ229" s="35"/>
      <c r="EK229" s="35"/>
      <c r="EL229" s="35"/>
      <c r="EM229" s="35"/>
      <c r="EN229" s="35"/>
      <c r="EO229" s="35"/>
      <c r="EP229" s="35"/>
      <c r="EQ229" s="35"/>
      <c r="ER229" s="35"/>
      <c r="ES229" s="35"/>
      <c r="ET229" s="35"/>
      <c r="EU229" s="35"/>
      <c r="EV229" s="35"/>
      <c r="EW229" s="35"/>
      <c r="EX229" s="35"/>
      <c r="EY229" s="35"/>
      <c r="EZ229" s="35"/>
      <c r="FA229" s="35"/>
      <c r="FB229" s="35"/>
      <c r="FC229" s="458">
        <f t="shared" si="27"/>
        <v>0</v>
      </c>
      <c r="FD229">
        <f t="shared" si="25"/>
        <v>0</v>
      </c>
      <c r="FE229" t="e">
        <f t="shared" si="26"/>
        <v>#N/A</v>
      </c>
      <c r="FI229" s="731" t="e">
        <f t="shared" si="28"/>
        <v>#VALUE!</v>
      </c>
      <c r="FK229" s="471" t="str">
        <f t="shared" si="29"/>
        <v xml:space="preserve"> </v>
      </c>
      <c r="FL229" s="730">
        <f t="shared" si="30"/>
        <v>0</v>
      </c>
      <c r="FM229" s="471" t="str">
        <f t="shared" si="31"/>
        <v/>
      </c>
      <c r="FN229" s="730">
        <f t="shared" si="24"/>
        <v>0</v>
      </c>
    </row>
    <row r="230" spans="1:170" s="33" customFormat="1" x14ac:dyDescent="0.2">
      <c r="A230" s="34" t="s">
        <v>280</v>
      </c>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c r="BG230" s="35"/>
      <c r="BH230" s="35"/>
      <c r="BI230" s="35"/>
      <c r="BJ230" s="35"/>
      <c r="BK230" s="35"/>
      <c r="BL230" s="35"/>
      <c r="BM230" s="35"/>
      <c r="BN230" s="35"/>
      <c r="BO230" s="35"/>
      <c r="BP230" s="35"/>
      <c r="BQ230" s="35"/>
      <c r="BR230" s="35"/>
      <c r="BS230" s="35"/>
      <c r="BT230" s="35"/>
      <c r="BU230" s="35"/>
      <c r="BV230" s="35"/>
      <c r="BW230" s="35"/>
      <c r="BX230" s="35"/>
      <c r="BY230" s="35"/>
      <c r="BZ230" s="35"/>
      <c r="CA230" s="35"/>
      <c r="CB230" s="35"/>
      <c r="CC230" s="35"/>
      <c r="CD230" s="35"/>
      <c r="CE230" s="35"/>
      <c r="CF230" s="35"/>
      <c r="CG230" s="35"/>
      <c r="CH230" s="35"/>
      <c r="CI230" s="35"/>
      <c r="CJ230" s="35"/>
      <c r="CK230" s="35"/>
      <c r="CL230" s="35"/>
      <c r="CM230" s="35"/>
      <c r="CN230" s="35"/>
      <c r="CO230" s="35"/>
      <c r="CP230" s="35"/>
      <c r="CQ230" s="35"/>
      <c r="CR230" s="35"/>
      <c r="CS230" s="35"/>
      <c r="CT230" s="35"/>
      <c r="CU230" s="35"/>
      <c r="CV230" s="35"/>
      <c r="CW230" s="35"/>
      <c r="CX230" s="35"/>
      <c r="CY230" s="35"/>
      <c r="CZ230" s="35"/>
      <c r="DA230" s="35"/>
      <c r="DB230" s="35"/>
      <c r="DC230" s="35"/>
      <c r="DD230" s="35"/>
      <c r="DE230" s="35"/>
      <c r="DF230" s="35"/>
      <c r="DG230" s="35"/>
      <c r="DH230" s="35"/>
      <c r="DI230" s="35"/>
      <c r="DJ230" s="35"/>
      <c r="DK230" s="35"/>
      <c r="DL230" s="35"/>
      <c r="DM230" s="35"/>
      <c r="DN230" s="35"/>
      <c r="DO230" s="35"/>
      <c r="DP230" s="35"/>
      <c r="DQ230" s="35"/>
      <c r="DR230" s="35"/>
      <c r="DS230" s="35"/>
      <c r="DT230" s="35"/>
      <c r="DU230" s="35"/>
      <c r="DV230" s="35"/>
      <c r="DW230" s="35"/>
      <c r="DX230" s="35"/>
      <c r="DY230" s="35"/>
      <c r="DZ230" s="35"/>
      <c r="EA230" s="35"/>
      <c r="EB230" s="35"/>
      <c r="EC230" s="35"/>
      <c r="ED230" s="35"/>
      <c r="EE230" s="35"/>
      <c r="EF230" s="35"/>
      <c r="EG230" s="35"/>
      <c r="EH230" s="35"/>
      <c r="EI230" s="35"/>
      <c r="EJ230" s="35"/>
      <c r="EK230" s="35"/>
      <c r="EL230" s="35"/>
      <c r="EM230" s="35"/>
      <c r="EN230" s="35"/>
      <c r="EO230" s="35"/>
      <c r="EP230" s="35"/>
      <c r="EQ230" s="35"/>
      <c r="ER230" s="35"/>
      <c r="ES230" s="35"/>
      <c r="ET230" s="35"/>
      <c r="EU230" s="35"/>
      <c r="EV230" s="35"/>
      <c r="EW230" s="35"/>
      <c r="EX230" s="35"/>
      <c r="EY230" s="35"/>
      <c r="EZ230" s="35"/>
      <c r="FA230" s="35"/>
      <c r="FB230" s="35"/>
      <c r="FC230" s="458">
        <f t="shared" si="27"/>
        <v>0</v>
      </c>
      <c r="FD230">
        <f t="shared" si="25"/>
        <v>0</v>
      </c>
      <c r="FE230" t="e">
        <f t="shared" si="26"/>
        <v>#N/A</v>
      </c>
      <c r="FI230" s="731" t="e">
        <f t="shared" si="28"/>
        <v>#VALUE!</v>
      </c>
      <c r="FK230" s="471" t="str">
        <f t="shared" si="29"/>
        <v xml:space="preserve"> </v>
      </c>
      <c r="FL230" s="730">
        <f t="shared" si="30"/>
        <v>0</v>
      </c>
      <c r="FM230" s="471" t="str">
        <f t="shared" si="31"/>
        <v/>
      </c>
      <c r="FN230" s="730">
        <f t="shared" si="24"/>
        <v>0</v>
      </c>
    </row>
    <row r="231" spans="1:170" s="33" customFormat="1" x14ac:dyDescent="0.2">
      <c r="A231" s="34" t="s">
        <v>281</v>
      </c>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c r="BG231" s="35"/>
      <c r="BH231" s="35"/>
      <c r="BI231" s="35"/>
      <c r="BJ231" s="35"/>
      <c r="BK231" s="35"/>
      <c r="BL231" s="35"/>
      <c r="BM231" s="35"/>
      <c r="BN231" s="35"/>
      <c r="BO231" s="35"/>
      <c r="BP231" s="35"/>
      <c r="BQ231" s="35"/>
      <c r="BR231" s="35"/>
      <c r="BS231" s="35"/>
      <c r="BT231" s="35"/>
      <c r="BU231" s="35"/>
      <c r="BV231" s="35"/>
      <c r="BW231" s="35"/>
      <c r="BX231" s="35"/>
      <c r="BY231" s="35"/>
      <c r="BZ231" s="35"/>
      <c r="CA231" s="35"/>
      <c r="CB231" s="35"/>
      <c r="CC231" s="35"/>
      <c r="CD231" s="35"/>
      <c r="CE231" s="35"/>
      <c r="CF231" s="35"/>
      <c r="CG231" s="35"/>
      <c r="CH231" s="35"/>
      <c r="CI231" s="35"/>
      <c r="CJ231" s="35"/>
      <c r="CK231" s="35"/>
      <c r="CL231" s="35"/>
      <c r="CM231" s="35"/>
      <c r="CN231" s="35"/>
      <c r="CO231" s="35"/>
      <c r="CP231" s="35"/>
      <c r="CQ231" s="35"/>
      <c r="CR231" s="35"/>
      <c r="CS231" s="35"/>
      <c r="CT231" s="35"/>
      <c r="CU231" s="35"/>
      <c r="CV231" s="35"/>
      <c r="CW231" s="35"/>
      <c r="CX231" s="35"/>
      <c r="CY231" s="35"/>
      <c r="CZ231" s="35"/>
      <c r="DA231" s="35"/>
      <c r="DB231" s="35"/>
      <c r="DC231" s="35"/>
      <c r="DD231" s="35"/>
      <c r="DE231" s="35"/>
      <c r="DF231" s="35"/>
      <c r="DG231" s="35"/>
      <c r="DH231" s="35"/>
      <c r="DI231" s="35"/>
      <c r="DJ231" s="35"/>
      <c r="DK231" s="35"/>
      <c r="DL231" s="35"/>
      <c r="DM231" s="35"/>
      <c r="DN231" s="35"/>
      <c r="DO231" s="35"/>
      <c r="DP231" s="35"/>
      <c r="DQ231" s="35"/>
      <c r="DR231" s="35"/>
      <c r="DS231" s="35"/>
      <c r="DT231" s="35"/>
      <c r="DU231" s="35"/>
      <c r="DV231" s="35"/>
      <c r="DW231" s="35"/>
      <c r="DX231" s="35"/>
      <c r="DY231" s="35"/>
      <c r="DZ231" s="35"/>
      <c r="EA231" s="35"/>
      <c r="EB231" s="35"/>
      <c r="EC231" s="35"/>
      <c r="ED231" s="35"/>
      <c r="EE231" s="35"/>
      <c r="EF231" s="35"/>
      <c r="EG231" s="35"/>
      <c r="EH231" s="35"/>
      <c r="EI231" s="35"/>
      <c r="EJ231" s="35"/>
      <c r="EK231" s="35"/>
      <c r="EL231" s="35"/>
      <c r="EM231" s="35"/>
      <c r="EN231" s="35"/>
      <c r="EO231" s="35"/>
      <c r="EP231" s="35"/>
      <c r="EQ231" s="35"/>
      <c r="ER231" s="35"/>
      <c r="ES231" s="35"/>
      <c r="ET231" s="35"/>
      <c r="EU231" s="35"/>
      <c r="EV231" s="35"/>
      <c r="EW231" s="35"/>
      <c r="EX231" s="35"/>
      <c r="EY231" s="35"/>
      <c r="EZ231" s="35"/>
      <c r="FA231" s="35"/>
      <c r="FB231" s="35"/>
      <c r="FC231" s="458">
        <f t="shared" si="27"/>
        <v>0</v>
      </c>
      <c r="FD231">
        <f t="shared" si="25"/>
        <v>0</v>
      </c>
      <c r="FE231" t="e">
        <f t="shared" si="26"/>
        <v>#N/A</v>
      </c>
      <c r="FI231" s="731" t="e">
        <f t="shared" si="28"/>
        <v>#VALUE!</v>
      </c>
      <c r="FK231" s="471" t="str">
        <f t="shared" si="29"/>
        <v xml:space="preserve"> </v>
      </c>
      <c r="FL231" s="730">
        <f t="shared" si="30"/>
        <v>0</v>
      </c>
      <c r="FM231" s="471" t="str">
        <f t="shared" si="31"/>
        <v/>
      </c>
      <c r="FN231" s="730">
        <f t="shared" si="24"/>
        <v>0</v>
      </c>
    </row>
    <row r="232" spans="1:170" s="33" customFormat="1" x14ac:dyDescent="0.2">
      <c r="A232" s="34" t="s">
        <v>282</v>
      </c>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c r="BJ232" s="35"/>
      <c r="BK232" s="35"/>
      <c r="BL232" s="35"/>
      <c r="BM232" s="35"/>
      <c r="BN232" s="35"/>
      <c r="BO232" s="35"/>
      <c r="BP232" s="35"/>
      <c r="BQ232" s="35"/>
      <c r="BR232" s="35"/>
      <c r="BS232" s="35"/>
      <c r="BT232" s="35"/>
      <c r="BU232" s="35"/>
      <c r="BV232" s="35"/>
      <c r="BW232" s="35"/>
      <c r="BX232" s="35"/>
      <c r="BY232" s="35"/>
      <c r="BZ232" s="35"/>
      <c r="CA232" s="35"/>
      <c r="CB232" s="35"/>
      <c r="CC232" s="35"/>
      <c r="CD232" s="35"/>
      <c r="CE232" s="35"/>
      <c r="CF232" s="35"/>
      <c r="CG232" s="35"/>
      <c r="CH232" s="35"/>
      <c r="CI232" s="35"/>
      <c r="CJ232" s="35"/>
      <c r="CK232" s="35"/>
      <c r="CL232" s="35"/>
      <c r="CM232" s="35"/>
      <c r="CN232" s="35"/>
      <c r="CO232" s="35"/>
      <c r="CP232" s="35"/>
      <c r="CQ232" s="35"/>
      <c r="CR232" s="35"/>
      <c r="CS232" s="35"/>
      <c r="CT232" s="35"/>
      <c r="CU232" s="35"/>
      <c r="CV232" s="35"/>
      <c r="CW232" s="35"/>
      <c r="CX232" s="35"/>
      <c r="CY232" s="35"/>
      <c r="CZ232" s="35"/>
      <c r="DA232" s="35"/>
      <c r="DB232" s="35"/>
      <c r="DC232" s="35"/>
      <c r="DD232" s="35"/>
      <c r="DE232" s="35"/>
      <c r="DF232" s="35"/>
      <c r="DG232" s="35"/>
      <c r="DH232" s="35"/>
      <c r="DI232" s="35"/>
      <c r="DJ232" s="35"/>
      <c r="DK232" s="35"/>
      <c r="DL232" s="35"/>
      <c r="DM232" s="35"/>
      <c r="DN232" s="35"/>
      <c r="DO232" s="35"/>
      <c r="DP232" s="35"/>
      <c r="DQ232" s="35"/>
      <c r="DR232" s="35"/>
      <c r="DS232" s="35"/>
      <c r="DT232" s="35"/>
      <c r="DU232" s="35"/>
      <c r="DV232" s="35"/>
      <c r="DW232" s="35"/>
      <c r="DX232" s="35"/>
      <c r="DY232" s="35"/>
      <c r="DZ232" s="35"/>
      <c r="EA232" s="35"/>
      <c r="EB232" s="35"/>
      <c r="EC232" s="35"/>
      <c r="ED232" s="35"/>
      <c r="EE232" s="35"/>
      <c r="EF232" s="35"/>
      <c r="EG232" s="35"/>
      <c r="EH232" s="35"/>
      <c r="EI232" s="35"/>
      <c r="EJ232" s="35"/>
      <c r="EK232" s="35"/>
      <c r="EL232" s="35"/>
      <c r="EM232" s="35"/>
      <c r="EN232" s="35"/>
      <c r="EO232" s="35"/>
      <c r="EP232" s="35"/>
      <c r="EQ232" s="35"/>
      <c r="ER232" s="35"/>
      <c r="ES232" s="35"/>
      <c r="ET232" s="35"/>
      <c r="EU232" s="35"/>
      <c r="EV232" s="35"/>
      <c r="EW232" s="35"/>
      <c r="EX232" s="35"/>
      <c r="EY232" s="35"/>
      <c r="EZ232" s="35"/>
      <c r="FA232" s="35"/>
      <c r="FB232" s="35"/>
      <c r="FC232" s="458">
        <f t="shared" si="27"/>
        <v>0</v>
      </c>
      <c r="FD232">
        <f t="shared" si="25"/>
        <v>0</v>
      </c>
      <c r="FE232" t="e">
        <f t="shared" si="26"/>
        <v>#N/A</v>
      </c>
      <c r="FI232" s="731" t="e">
        <f t="shared" si="28"/>
        <v>#VALUE!</v>
      </c>
      <c r="FK232" s="471" t="str">
        <f t="shared" si="29"/>
        <v xml:space="preserve"> </v>
      </c>
      <c r="FL232" s="730">
        <f t="shared" si="30"/>
        <v>0</v>
      </c>
      <c r="FM232" s="471" t="str">
        <f t="shared" si="31"/>
        <v/>
      </c>
      <c r="FN232" s="730">
        <f t="shared" si="24"/>
        <v>0</v>
      </c>
    </row>
    <row r="233" spans="1:170" s="33" customFormat="1" x14ac:dyDescent="0.2">
      <c r="A233" s="34" t="s">
        <v>283</v>
      </c>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c r="BO233" s="35"/>
      <c r="BP233" s="35"/>
      <c r="BQ233" s="35"/>
      <c r="BR233" s="35"/>
      <c r="BS233" s="35"/>
      <c r="BT233" s="35"/>
      <c r="BU233" s="35"/>
      <c r="BV233" s="35"/>
      <c r="BW233" s="35"/>
      <c r="BX233" s="35"/>
      <c r="BY233" s="35"/>
      <c r="BZ233" s="35"/>
      <c r="CA233" s="35"/>
      <c r="CB233" s="35"/>
      <c r="CC233" s="35"/>
      <c r="CD233" s="35"/>
      <c r="CE233" s="35"/>
      <c r="CF233" s="35"/>
      <c r="CG233" s="35"/>
      <c r="CH233" s="35"/>
      <c r="CI233" s="35"/>
      <c r="CJ233" s="35"/>
      <c r="CK233" s="35"/>
      <c r="CL233" s="35"/>
      <c r="CM233" s="35"/>
      <c r="CN233" s="35"/>
      <c r="CO233" s="35"/>
      <c r="CP233" s="35"/>
      <c r="CQ233" s="35"/>
      <c r="CR233" s="35"/>
      <c r="CS233" s="35"/>
      <c r="CT233" s="35"/>
      <c r="CU233" s="35"/>
      <c r="CV233" s="35"/>
      <c r="CW233" s="35"/>
      <c r="CX233" s="35"/>
      <c r="CY233" s="35"/>
      <c r="CZ233" s="35"/>
      <c r="DA233" s="35"/>
      <c r="DB233" s="35"/>
      <c r="DC233" s="35"/>
      <c r="DD233" s="35"/>
      <c r="DE233" s="35"/>
      <c r="DF233" s="35"/>
      <c r="DG233" s="35"/>
      <c r="DH233" s="35"/>
      <c r="DI233" s="35"/>
      <c r="DJ233" s="35"/>
      <c r="DK233" s="35"/>
      <c r="DL233" s="35"/>
      <c r="DM233" s="35"/>
      <c r="DN233" s="35"/>
      <c r="DO233" s="35"/>
      <c r="DP233" s="35"/>
      <c r="DQ233" s="35"/>
      <c r="DR233" s="35"/>
      <c r="DS233" s="35"/>
      <c r="DT233" s="35"/>
      <c r="DU233" s="35"/>
      <c r="DV233" s="35"/>
      <c r="DW233" s="35"/>
      <c r="DX233" s="35"/>
      <c r="DY233" s="35"/>
      <c r="DZ233" s="35"/>
      <c r="EA233" s="35"/>
      <c r="EB233" s="35"/>
      <c r="EC233" s="35"/>
      <c r="ED233" s="35"/>
      <c r="EE233" s="35"/>
      <c r="EF233" s="35"/>
      <c r="EG233" s="35"/>
      <c r="EH233" s="35"/>
      <c r="EI233" s="35"/>
      <c r="EJ233" s="35"/>
      <c r="EK233" s="35"/>
      <c r="EL233" s="35"/>
      <c r="EM233" s="35"/>
      <c r="EN233" s="35"/>
      <c r="EO233" s="35"/>
      <c r="EP233" s="35"/>
      <c r="EQ233" s="35"/>
      <c r="ER233" s="35"/>
      <c r="ES233" s="35"/>
      <c r="ET233" s="35"/>
      <c r="EU233" s="35"/>
      <c r="EV233" s="35"/>
      <c r="EW233" s="35"/>
      <c r="EX233" s="35"/>
      <c r="EY233" s="35"/>
      <c r="EZ233" s="35"/>
      <c r="FA233" s="35"/>
      <c r="FB233" s="35"/>
      <c r="FC233" s="458">
        <f t="shared" si="27"/>
        <v>0</v>
      </c>
      <c r="FD233">
        <f t="shared" si="25"/>
        <v>0</v>
      </c>
      <c r="FE233" t="e">
        <f t="shared" si="26"/>
        <v>#N/A</v>
      </c>
      <c r="FI233" s="731" t="e">
        <f t="shared" si="28"/>
        <v>#VALUE!</v>
      </c>
      <c r="FK233" s="471" t="str">
        <f t="shared" si="29"/>
        <v xml:space="preserve"> </v>
      </c>
      <c r="FL233" s="730">
        <f t="shared" si="30"/>
        <v>0</v>
      </c>
      <c r="FM233" s="471" t="str">
        <f t="shared" si="31"/>
        <v/>
      </c>
      <c r="FN233" s="730">
        <f t="shared" si="24"/>
        <v>0</v>
      </c>
    </row>
    <row r="234" spans="1:170" s="33" customFormat="1" x14ac:dyDescent="0.2">
      <c r="A234" s="34" t="s">
        <v>284</v>
      </c>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c r="BO234" s="35"/>
      <c r="BP234" s="35"/>
      <c r="BQ234" s="35"/>
      <c r="BR234" s="35"/>
      <c r="BS234" s="35"/>
      <c r="BT234" s="35"/>
      <c r="BU234" s="35"/>
      <c r="BV234" s="35"/>
      <c r="BW234" s="35"/>
      <c r="BX234" s="35"/>
      <c r="BY234" s="35"/>
      <c r="BZ234" s="35"/>
      <c r="CA234" s="35"/>
      <c r="CB234" s="35"/>
      <c r="CC234" s="35"/>
      <c r="CD234" s="35"/>
      <c r="CE234" s="35"/>
      <c r="CF234" s="35"/>
      <c r="CG234" s="35"/>
      <c r="CH234" s="35"/>
      <c r="CI234" s="35"/>
      <c r="CJ234" s="35"/>
      <c r="CK234" s="35"/>
      <c r="CL234" s="35"/>
      <c r="CM234" s="35"/>
      <c r="CN234" s="35"/>
      <c r="CO234" s="35"/>
      <c r="CP234" s="35"/>
      <c r="CQ234" s="35"/>
      <c r="CR234" s="35"/>
      <c r="CS234" s="35"/>
      <c r="CT234" s="35"/>
      <c r="CU234" s="35"/>
      <c r="CV234" s="35"/>
      <c r="CW234" s="35"/>
      <c r="CX234" s="35"/>
      <c r="CY234" s="35"/>
      <c r="CZ234" s="35"/>
      <c r="DA234" s="35"/>
      <c r="DB234" s="35"/>
      <c r="DC234" s="35"/>
      <c r="DD234" s="35"/>
      <c r="DE234" s="35"/>
      <c r="DF234" s="35"/>
      <c r="DG234" s="35"/>
      <c r="DH234" s="35"/>
      <c r="DI234" s="35"/>
      <c r="DJ234" s="35"/>
      <c r="DK234" s="35"/>
      <c r="DL234" s="35"/>
      <c r="DM234" s="35"/>
      <c r="DN234" s="35"/>
      <c r="DO234" s="35"/>
      <c r="DP234" s="35"/>
      <c r="DQ234" s="35"/>
      <c r="DR234" s="35"/>
      <c r="DS234" s="35"/>
      <c r="DT234" s="35"/>
      <c r="DU234" s="35"/>
      <c r="DV234" s="35"/>
      <c r="DW234" s="35"/>
      <c r="DX234" s="35"/>
      <c r="DY234" s="35"/>
      <c r="DZ234" s="35"/>
      <c r="EA234" s="35"/>
      <c r="EB234" s="35"/>
      <c r="EC234" s="35"/>
      <c r="ED234" s="35"/>
      <c r="EE234" s="35"/>
      <c r="EF234" s="35"/>
      <c r="EG234" s="35"/>
      <c r="EH234" s="35"/>
      <c r="EI234" s="35"/>
      <c r="EJ234" s="35"/>
      <c r="EK234" s="35"/>
      <c r="EL234" s="35"/>
      <c r="EM234" s="35"/>
      <c r="EN234" s="35"/>
      <c r="EO234" s="35"/>
      <c r="EP234" s="35"/>
      <c r="EQ234" s="35"/>
      <c r="ER234" s="35"/>
      <c r="ES234" s="35"/>
      <c r="ET234" s="35"/>
      <c r="EU234" s="35"/>
      <c r="EV234" s="35"/>
      <c r="EW234" s="35"/>
      <c r="EX234" s="35"/>
      <c r="EY234" s="35"/>
      <c r="EZ234" s="35"/>
      <c r="FA234" s="35"/>
      <c r="FB234" s="35"/>
      <c r="FC234" s="458">
        <f t="shared" si="27"/>
        <v>0</v>
      </c>
      <c r="FD234">
        <f t="shared" si="25"/>
        <v>0</v>
      </c>
      <c r="FE234" t="e">
        <f t="shared" si="26"/>
        <v>#N/A</v>
      </c>
      <c r="FI234" s="731" t="e">
        <f t="shared" si="28"/>
        <v>#VALUE!</v>
      </c>
      <c r="FK234" s="471" t="str">
        <f t="shared" si="29"/>
        <v xml:space="preserve"> </v>
      </c>
      <c r="FL234" s="730">
        <f t="shared" si="30"/>
        <v>0</v>
      </c>
      <c r="FM234" s="471" t="str">
        <f t="shared" si="31"/>
        <v/>
      </c>
      <c r="FN234" s="730">
        <f t="shared" si="24"/>
        <v>0</v>
      </c>
    </row>
    <row r="235" spans="1:170" s="33" customFormat="1" x14ac:dyDescent="0.2">
      <c r="A235" s="34" t="s">
        <v>285</v>
      </c>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s="35"/>
      <c r="BI235" s="35"/>
      <c r="BJ235" s="35"/>
      <c r="BK235" s="35"/>
      <c r="BL235" s="35"/>
      <c r="BM235" s="35"/>
      <c r="BN235" s="35"/>
      <c r="BO235" s="35"/>
      <c r="BP235" s="35"/>
      <c r="BQ235" s="35"/>
      <c r="BR235" s="35"/>
      <c r="BS235" s="35"/>
      <c r="BT235" s="35"/>
      <c r="BU235" s="35"/>
      <c r="BV235" s="35"/>
      <c r="BW235" s="35"/>
      <c r="BX235" s="35"/>
      <c r="BY235" s="35"/>
      <c r="BZ235" s="35"/>
      <c r="CA235" s="35"/>
      <c r="CB235" s="35"/>
      <c r="CC235" s="35"/>
      <c r="CD235" s="35"/>
      <c r="CE235" s="35"/>
      <c r="CF235" s="35"/>
      <c r="CG235" s="35"/>
      <c r="CH235" s="35"/>
      <c r="CI235" s="35"/>
      <c r="CJ235" s="35"/>
      <c r="CK235" s="35"/>
      <c r="CL235" s="35"/>
      <c r="CM235" s="35"/>
      <c r="CN235" s="35"/>
      <c r="CO235" s="35"/>
      <c r="CP235" s="35"/>
      <c r="CQ235" s="35"/>
      <c r="CR235" s="35"/>
      <c r="CS235" s="35"/>
      <c r="CT235" s="35"/>
      <c r="CU235" s="35"/>
      <c r="CV235" s="35"/>
      <c r="CW235" s="35"/>
      <c r="CX235" s="35"/>
      <c r="CY235" s="35"/>
      <c r="CZ235" s="35"/>
      <c r="DA235" s="35"/>
      <c r="DB235" s="35"/>
      <c r="DC235" s="35"/>
      <c r="DD235" s="35"/>
      <c r="DE235" s="35"/>
      <c r="DF235" s="35"/>
      <c r="DG235" s="35"/>
      <c r="DH235" s="35"/>
      <c r="DI235" s="35"/>
      <c r="DJ235" s="35"/>
      <c r="DK235" s="35"/>
      <c r="DL235" s="35"/>
      <c r="DM235" s="35"/>
      <c r="DN235" s="35"/>
      <c r="DO235" s="35"/>
      <c r="DP235" s="35"/>
      <c r="DQ235" s="35"/>
      <c r="DR235" s="35"/>
      <c r="DS235" s="35"/>
      <c r="DT235" s="35"/>
      <c r="DU235" s="35"/>
      <c r="DV235" s="35"/>
      <c r="DW235" s="35"/>
      <c r="DX235" s="35"/>
      <c r="DY235" s="35"/>
      <c r="DZ235" s="35"/>
      <c r="EA235" s="35"/>
      <c r="EB235" s="35"/>
      <c r="EC235" s="35"/>
      <c r="ED235" s="35"/>
      <c r="EE235" s="35"/>
      <c r="EF235" s="35"/>
      <c r="EG235" s="35"/>
      <c r="EH235" s="35"/>
      <c r="EI235" s="35"/>
      <c r="EJ235" s="35"/>
      <c r="EK235" s="35"/>
      <c r="EL235" s="35"/>
      <c r="EM235" s="35"/>
      <c r="EN235" s="35"/>
      <c r="EO235" s="35"/>
      <c r="EP235" s="35"/>
      <c r="EQ235" s="35"/>
      <c r="ER235" s="35"/>
      <c r="ES235" s="35"/>
      <c r="ET235" s="35"/>
      <c r="EU235" s="35"/>
      <c r="EV235" s="35"/>
      <c r="EW235" s="35"/>
      <c r="EX235" s="35"/>
      <c r="EY235" s="35"/>
      <c r="EZ235" s="35"/>
      <c r="FA235" s="35"/>
      <c r="FB235" s="35"/>
      <c r="FC235" s="458">
        <f t="shared" si="27"/>
        <v>0</v>
      </c>
      <c r="FD235">
        <f t="shared" si="25"/>
        <v>0</v>
      </c>
      <c r="FE235" t="e">
        <f t="shared" si="26"/>
        <v>#N/A</v>
      </c>
      <c r="FI235" s="731" t="e">
        <f t="shared" si="28"/>
        <v>#VALUE!</v>
      </c>
      <c r="FK235" s="471" t="str">
        <f t="shared" si="29"/>
        <v xml:space="preserve"> </v>
      </c>
      <c r="FL235" s="730">
        <f t="shared" si="30"/>
        <v>0</v>
      </c>
      <c r="FM235" s="471" t="str">
        <f t="shared" si="31"/>
        <v/>
      </c>
      <c r="FN235" s="730">
        <f t="shared" si="24"/>
        <v>0</v>
      </c>
    </row>
    <row r="236" spans="1:170" s="33" customFormat="1" x14ac:dyDescent="0.2">
      <c r="A236" s="34" t="s">
        <v>286</v>
      </c>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c r="BG236" s="35"/>
      <c r="BH236" s="35"/>
      <c r="BI236" s="35"/>
      <c r="BJ236" s="35"/>
      <c r="BK236" s="35"/>
      <c r="BL236" s="35"/>
      <c r="BM236" s="35"/>
      <c r="BN236" s="35"/>
      <c r="BO236" s="35"/>
      <c r="BP236" s="35"/>
      <c r="BQ236" s="35"/>
      <c r="BR236" s="35"/>
      <c r="BS236" s="35"/>
      <c r="BT236" s="35"/>
      <c r="BU236" s="35"/>
      <c r="BV236" s="35"/>
      <c r="BW236" s="35"/>
      <c r="BX236" s="35"/>
      <c r="BY236" s="35"/>
      <c r="BZ236" s="35"/>
      <c r="CA236" s="35"/>
      <c r="CB236" s="35"/>
      <c r="CC236" s="35"/>
      <c r="CD236" s="35"/>
      <c r="CE236" s="35"/>
      <c r="CF236" s="35"/>
      <c r="CG236" s="35"/>
      <c r="CH236" s="35"/>
      <c r="CI236" s="35"/>
      <c r="CJ236" s="35"/>
      <c r="CK236" s="35"/>
      <c r="CL236" s="35"/>
      <c r="CM236" s="35"/>
      <c r="CN236" s="35"/>
      <c r="CO236" s="35"/>
      <c r="CP236" s="35"/>
      <c r="CQ236" s="35"/>
      <c r="CR236" s="35"/>
      <c r="CS236" s="35"/>
      <c r="CT236" s="35"/>
      <c r="CU236" s="35"/>
      <c r="CV236" s="35"/>
      <c r="CW236" s="35"/>
      <c r="CX236" s="35"/>
      <c r="CY236" s="35"/>
      <c r="CZ236" s="35"/>
      <c r="DA236" s="35"/>
      <c r="DB236" s="35"/>
      <c r="DC236" s="35"/>
      <c r="DD236" s="35"/>
      <c r="DE236" s="35"/>
      <c r="DF236" s="35"/>
      <c r="DG236" s="35"/>
      <c r="DH236" s="35"/>
      <c r="DI236" s="35"/>
      <c r="DJ236" s="35"/>
      <c r="DK236" s="35"/>
      <c r="DL236" s="35"/>
      <c r="DM236" s="35"/>
      <c r="DN236" s="35"/>
      <c r="DO236" s="35"/>
      <c r="DP236" s="35"/>
      <c r="DQ236" s="35"/>
      <c r="DR236" s="35"/>
      <c r="DS236" s="35"/>
      <c r="DT236" s="35"/>
      <c r="DU236" s="35"/>
      <c r="DV236" s="35"/>
      <c r="DW236" s="35"/>
      <c r="DX236" s="35"/>
      <c r="DY236" s="35"/>
      <c r="DZ236" s="35"/>
      <c r="EA236" s="35"/>
      <c r="EB236" s="35"/>
      <c r="EC236" s="35"/>
      <c r="ED236" s="35"/>
      <c r="EE236" s="35"/>
      <c r="EF236" s="35"/>
      <c r="EG236" s="35"/>
      <c r="EH236" s="35"/>
      <c r="EI236" s="35"/>
      <c r="EJ236" s="35"/>
      <c r="EK236" s="35"/>
      <c r="EL236" s="35"/>
      <c r="EM236" s="35"/>
      <c r="EN236" s="35"/>
      <c r="EO236" s="35"/>
      <c r="EP236" s="35"/>
      <c r="EQ236" s="35"/>
      <c r="ER236" s="35"/>
      <c r="ES236" s="35"/>
      <c r="ET236" s="35"/>
      <c r="EU236" s="35"/>
      <c r="EV236" s="35"/>
      <c r="EW236" s="35"/>
      <c r="EX236" s="35"/>
      <c r="EY236" s="35"/>
      <c r="EZ236" s="35"/>
      <c r="FA236" s="35"/>
      <c r="FB236" s="35"/>
      <c r="FC236" s="458">
        <f t="shared" si="27"/>
        <v>0</v>
      </c>
      <c r="FD236">
        <f t="shared" si="25"/>
        <v>0</v>
      </c>
      <c r="FE236" t="e">
        <f t="shared" si="26"/>
        <v>#N/A</v>
      </c>
      <c r="FI236" s="731" t="e">
        <f t="shared" si="28"/>
        <v>#VALUE!</v>
      </c>
      <c r="FK236" s="471" t="str">
        <f t="shared" si="29"/>
        <v xml:space="preserve"> </v>
      </c>
      <c r="FL236" s="730">
        <f t="shared" si="30"/>
        <v>0</v>
      </c>
      <c r="FM236" s="471" t="str">
        <f t="shared" si="31"/>
        <v/>
      </c>
      <c r="FN236" s="730">
        <f t="shared" si="24"/>
        <v>0</v>
      </c>
    </row>
    <row r="237" spans="1:170" s="33" customFormat="1" x14ac:dyDescent="0.2">
      <c r="A237" s="34" t="s">
        <v>287</v>
      </c>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c r="BG237" s="35"/>
      <c r="BH237" s="35"/>
      <c r="BI237" s="35"/>
      <c r="BJ237" s="35"/>
      <c r="BK237" s="35"/>
      <c r="BL237" s="35"/>
      <c r="BM237" s="35"/>
      <c r="BN237" s="35"/>
      <c r="BO237" s="35"/>
      <c r="BP237" s="35"/>
      <c r="BQ237" s="35"/>
      <c r="BR237" s="35"/>
      <c r="BS237" s="35"/>
      <c r="BT237" s="35"/>
      <c r="BU237" s="35"/>
      <c r="BV237" s="35"/>
      <c r="BW237" s="35"/>
      <c r="BX237" s="35"/>
      <c r="BY237" s="35"/>
      <c r="BZ237" s="35"/>
      <c r="CA237" s="35"/>
      <c r="CB237" s="35"/>
      <c r="CC237" s="35"/>
      <c r="CD237" s="35"/>
      <c r="CE237" s="35"/>
      <c r="CF237" s="35"/>
      <c r="CG237" s="35"/>
      <c r="CH237" s="35"/>
      <c r="CI237" s="35"/>
      <c r="CJ237" s="35"/>
      <c r="CK237" s="35"/>
      <c r="CL237" s="35"/>
      <c r="CM237" s="35"/>
      <c r="CN237" s="35"/>
      <c r="CO237" s="35"/>
      <c r="CP237" s="35"/>
      <c r="CQ237" s="35"/>
      <c r="CR237" s="35"/>
      <c r="CS237" s="35"/>
      <c r="CT237" s="35"/>
      <c r="CU237" s="35"/>
      <c r="CV237" s="35"/>
      <c r="CW237" s="35"/>
      <c r="CX237" s="35"/>
      <c r="CY237" s="35"/>
      <c r="CZ237" s="35"/>
      <c r="DA237" s="35"/>
      <c r="DB237" s="35"/>
      <c r="DC237" s="35"/>
      <c r="DD237" s="35"/>
      <c r="DE237" s="35"/>
      <c r="DF237" s="35"/>
      <c r="DG237" s="35"/>
      <c r="DH237" s="35"/>
      <c r="DI237" s="35"/>
      <c r="DJ237" s="35"/>
      <c r="DK237" s="35"/>
      <c r="DL237" s="35"/>
      <c r="DM237" s="35"/>
      <c r="DN237" s="35"/>
      <c r="DO237" s="35"/>
      <c r="DP237" s="35"/>
      <c r="DQ237" s="35"/>
      <c r="DR237" s="35"/>
      <c r="DS237" s="35"/>
      <c r="DT237" s="35"/>
      <c r="DU237" s="35"/>
      <c r="DV237" s="35"/>
      <c r="DW237" s="35"/>
      <c r="DX237" s="35"/>
      <c r="DY237" s="35"/>
      <c r="DZ237" s="35"/>
      <c r="EA237" s="35"/>
      <c r="EB237" s="35"/>
      <c r="EC237" s="35"/>
      <c r="ED237" s="35"/>
      <c r="EE237" s="35"/>
      <c r="EF237" s="35"/>
      <c r="EG237" s="35"/>
      <c r="EH237" s="35"/>
      <c r="EI237" s="35"/>
      <c r="EJ237" s="35"/>
      <c r="EK237" s="35"/>
      <c r="EL237" s="35"/>
      <c r="EM237" s="35"/>
      <c r="EN237" s="35"/>
      <c r="EO237" s="35"/>
      <c r="EP237" s="35"/>
      <c r="EQ237" s="35"/>
      <c r="ER237" s="35"/>
      <c r="ES237" s="35"/>
      <c r="ET237" s="35"/>
      <c r="EU237" s="35"/>
      <c r="EV237" s="35"/>
      <c r="EW237" s="35"/>
      <c r="EX237" s="35"/>
      <c r="EY237" s="35"/>
      <c r="EZ237" s="35"/>
      <c r="FA237" s="35"/>
      <c r="FB237" s="35"/>
      <c r="FC237" s="458">
        <f t="shared" si="27"/>
        <v>0</v>
      </c>
      <c r="FD237">
        <f t="shared" si="25"/>
        <v>0</v>
      </c>
      <c r="FE237" t="e">
        <f t="shared" si="26"/>
        <v>#N/A</v>
      </c>
      <c r="FI237" s="731" t="e">
        <f t="shared" si="28"/>
        <v>#VALUE!</v>
      </c>
      <c r="FK237" s="471" t="str">
        <f t="shared" si="29"/>
        <v xml:space="preserve"> </v>
      </c>
      <c r="FL237" s="730">
        <f t="shared" si="30"/>
        <v>0</v>
      </c>
      <c r="FM237" s="471" t="str">
        <f t="shared" si="31"/>
        <v/>
      </c>
      <c r="FN237" s="730">
        <f t="shared" si="24"/>
        <v>0</v>
      </c>
    </row>
    <row r="238" spans="1:170" s="33" customFormat="1" x14ac:dyDescent="0.2">
      <c r="A238" s="34" t="s">
        <v>288</v>
      </c>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s="35"/>
      <c r="BI238" s="35"/>
      <c r="BJ238" s="35"/>
      <c r="BK238" s="35"/>
      <c r="BL238" s="35"/>
      <c r="BM238" s="35"/>
      <c r="BN238" s="35"/>
      <c r="BO238" s="35"/>
      <c r="BP238" s="35"/>
      <c r="BQ238" s="35"/>
      <c r="BR238" s="35"/>
      <c r="BS238" s="35"/>
      <c r="BT238" s="35"/>
      <c r="BU238" s="35"/>
      <c r="BV238" s="35"/>
      <c r="BW238" s="35"/>
      <c r="BX238" s="35"/>
      <c r="BY238" s="35"/>
      <c r="BZ238" s="35"/>
      <c r="CA238" s="35"/>
      <c r="CB238" s="35"/>
      <c r="CC238" s="35"/>
      <c r="CD238" s="35"/>
      <c r="CE238" s="35"/>
      <c r="CF238" s="35"/>
      <c r="CG238" s="35"/>
      <c r="CH238" s="35"/>
      <c r="CI238" s="35"/>
      <c r="CJ238" s="35"/>
      <c r="CK238" s="35"/>
      <c r="CL238" s="35"/>
      <c r="CM238" s="35"/>
      <c r="CN238" s="35"/>
      <c r="CO238" s="35"/>
      <c r="CP238" s="35"/>
      <c r="CQ238" s="35"/>
      <c r="CR238" s="35"/>
      <c r="CS238" s="35"/>
      <c r="CT238" s="35"/>
      <c r="CU238" s="35"/>
      <c r="CV238" s="35"/>
      <c r="CW238" s="35"/>
      <c r="CX238" s="35"/>
      <c r="CY238" s="35"/>
      <c r="CZ238" s="35"/>
      <c r="DA238" s="35"/>
      <c r="DB238" s="35"/>
      <c r="DC238" s="35"/>
      <c r="DD238" s="35"/>
      <c r="DE238" s="35"/>
      <c r="DF238" s="35"/>
      <c r="DG238" s="35"/>
      <c r="DH238" s="35"/>
      <c r="DI238" s="35"/>
      <c r="DJ238" s="35"/>
      <c r="DK238" s="35"/>
      <c r="DL238" s="35"/>
      <c r="DM238" s="35"/>
      <c r="DN238" s="35"/>
      <c r="DO238" s="35"/>
      <c r="DP238" s="35"/>
      <c r="DQ238" s="35"/>
      <c r="DR238" s="35"/>
      <c r="DS238" s="35"/>
      <c r="DT238" s="35"/>
      <c r="DU238" s="35"/>
      <c r="DV238" s="35"/>
      <c r="DW238" s="35"/>
      <c r="DX238" s="35"/>
      <c r="DY238" s="35"/>
      <c r="DZ238" s="35"/>
      <c r="EA238" s="35"/>
      <c r="EB238" s="35"/>
      <c r="EC238" s="35"/>
      <c r="ED238" s="35"/>
      <c r="EE238" s="35"/>
      <c r="EF238" s="35"/>
      <c r="EG238" s="35"/>
      <c r="EH238" s="35"/>
      <c r="EI238" s="35"/>
      <c r="EJ238" s="35"/>
      <c r="EK238" s="35"/>
      <c r="EL238" s="35"/>
      <c r="EM238" s="35"/>
      <c r="EN238" s="35"/>
      <c r="EO238" s="35"/>
      <c r="EP238" s="35"/>
      <c r="EQ238" s="35"/>
      <c r="ER238" s="35"/>
      <c r="ES238" s="35"/>
      <c r="ET238" s="35"/>
      <c r="EU238" s="35"/>
      <c r="EV238" s="35"/>
      <c r="EW238" s="35"/>
      <c r="EX238" s="35"/>
      <c r="EY238" s="35"/>
      <c r="EZ238" s="35"/>
      <c r="FA238" s="35"/>
      <c r="FB238" s="35"/>
      <c r="FC238" s="458">
        <f t="shared" si="27"/>
        <v>0</v>
      </c>
      <c r="FD238">
        <f t="shared" si="25"/>
        <v>0</v>
      </c>
      <c r="FE238" t="e">
        <f t="shared" si="26"/>
        <v>#N/A</v>
      </c>
      <c r="FI238" s="731" t="e">
        <f t="shared" si="28"/>
        <v>#VALUE!</v>
      </c>
      <c r="FK238" s="471" t="str">
        <f t="shared" si="29"/>
        <v xml:space="preserve"> </v>
      </c>
      <c r="FL238" s="730">
        <f t="shared" si="30"/>
        <v>0</v>
      </c>
      <c r="FM238" s="471" t="str">
        <f t="shared" si="31"/>
        <v/>
      </c>
      <c r="FN238" s="730">
        <f t="shared" si="24"/>
        <v>0</v>
      </c>
    </row>
    <row r="239" spans="1:170" s="33" customFormat="1" x14ac:dyDescent="0.2">
      <c r="A239" s="34" t="s">
        <v>289</v>
      </c>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c r="BJ239" s="35"/>
      <c r="BK239" s="35"/>
      <c r="BL239" s="35"/>
      <c r="BM239" s="35"/>
      <c r="BN239" s="35"/>
      <c r="BO239" s="35"/>
      <c r="BP239" s="35"/>
      <c r="BQ239" s="35"/>
      <c r="BR239" s="35"/>
      <c r="BS239" s="35"/>
      <c r="BT239" s="35"/>
      <c r="BU239" s="35"/>
      <c r="BV239" s="35"/>
      <c r="BW239" s="35"/>
      <c r="BX239" s="35"/>
      <c r="BY239" s="35"/>
      <c r="BZ239" s="35"/>
      <c r="CA239" s="35"/>
      <c r="CB239" s="35"/>
      <c r="CC239" s="35"/>
      <c r="CD239" s="35"/>
      <c r="CE239" s="35"/>
      <c r="CF239" s="35"/>
      <c r="CG239" s="35"/>
      <c r="CH239" s="35"/>
      <c r="CI239" s="35"/>
      <c r="CJ239" s="35"/>
      <c r="CK239" s="35"/>
      <c r="CL239" s="35"/>
      <c r="CM239" s="35"/>
      <c r="CN239" s="35"/>
      <c r="CO239" s="35"/>
      <c r="CP239" s="35"/>
      <c r="CQ239" s="35"/>
      <c r="CR239" s="35"/>
      <c r="CS239" s="35"/>
      <c r="CT239" s="35"/>
      <c r="CU239" s="35"/>
      <c r="CV239" s="35"/>
      <c r="CW239" s="35"/>
      <c r="CX239" s="35"/>
      <c r="CY239" s="35"/>
      <c r="CZ239" s="35"/>
      <c r="DA239" s="35"/>
      <c r="DB239" s="35"/>
      <c r="DC239" s="35"/>
      <c r="DD239" s="35"/>
      <c r="DE239" s="35"/>
      <c r="DF239" s="35"/>
      <c r="DG239" s="35"/>
      <c r="DH239" s="35"/>
      <c r="DI239" s="35"/>
      <c r="DJ239" s="35"/>
      <c r="DK239" s="35"/>
      <c r="DL239" s="35"/>
      <c r="DM239" s="35"/>
      <c r="DN239" s="35"/>
      <c r="DO239" s="35"/>
      <c r="DP239" s="35"/>
      <c r="DQ239" s="35"/>
      <c r="DR239" s="35"/>
      <c r="DS239" s="35"/>
      <c r="DT239" s="35"/>
      <c r="DU239" s="35"/>
      <c r="DV239" s="35"/>
      <c r="DW239" s="35"/>
      <c r="DX239" s="35"/>
      <c r="DY239" s="35"/>
      <c r="DZ239" s="35"/>
      <c r="EA239" s="35"/>
      <c r="EB239" s="35"/>
      <c r="EC239" s="35"/>
      <c r="ED239" s="35"/>
      <c r="EE239" s="35"/>
      <c r="EF239" s="35"/>
      <c r="EG239" s="35"/>
      <c r="EH239" s="35"/>
      <c r="EI239" s="35"/>
      <c r="EJ239" s="35"/>
      <c r="EK239" s="35"/>
      <c r="EL239" s="35"/>
      <c r="EM239" s="35"/>
      <c r="EN239" s="35"/>
      <c r="EO239" s="35"/>
      <c r="EP239" s="35"/>
      <c r="EQ239" s="35"/>
      <c r="ER239" s="35"/>
      <c r="ES239" s="35"/>
      <c r="ET239" s="35"/>
      <c r="EU239" s="35"/>
      <c r="EV239" s="35"/>
      <c r="EW239" s="35"/>
      <c r="EX239" s="35"/>
      <c r="EY239" s="35"/>
      <c r="EZ239" s="35"/>
      <c r="FA239" s="35"/>
      <c r="FB239" s="35"/>
      <c r="FC239" s="458">
        <f t="shared" si="27"/>
        <v>0</v>
      </c>
      <c r="FD239">
        <f t="shared" si="25"/>
        <v>0</v>
      </c>
      <c r="FE239" t="e">
        <f t="shared" si="26"/>
        <v>#N/A</v>
      </c>
      <c r="FI239" s="731" t="e">
        <f t="shared" si="28"/>
        <v>#VALUE!</v>
      </c>
      <c r="FK239" s="471" t="str">
        <f t="shared" si="29"/>
        <v xml:space="preserve"> </v>
      </c>
      <c r="FL239" s="730">
        <f t="shared" si="30"/>
        <v>0</v>
      </c>
      <c r="FM239" s="471" t="str">
        <f t="shared" si="31"/>
        <v/>
      </c>
      <c r="FN239" s="730">
        <f t="shared" si="24"/>
        <v>0</v>
      </c>
    </row>
    <row r="240" spans="1:170" s="33" customFormat="1" x14ac:dyDescent="0.2">
      <c r="A240" s="34" t="s">
        <v>290</v>
      </c>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c r="BJ240" s="35"/>
      <c r="BK240" s="35"/>
      <c r="BL240" s="35"/>
      <c r="BM240" s="35"/>
      <c r="BN240" s="35"/>
      <c r="BO240" s="35"/>
      <c r="BP240" s="35"/>
      <c r="BQ240" s="35"/>
      <c r="BR240" s="35"/>
      <c r="BS240" s="35"/>
      <c r="BT240" s="35"/>
      <c r="BU240" s="35"/>
      <c r="BV240" s="35"/>
      <c r="BW240" s="35"/>
      <c r="BX240" s="35"/>
      <c r="BY240" s="35"/>
      <c r="BZ240" s="35"/>
      <c r="CA240" s="35"/>
      <c r="CB240" s="35"/>
      <c r="CC240" s="35"/>
      <c r="CD240" s="35"/>
      <c r="CE240" s="35"/>
      <c r="CF240" s="35"/>
      <c r="CG240" s="35"/>
      <c r="CH240" s="35"/>
      <c r="CI240" s="35"/>
      <c r="CJ240" s="35"/>
      <c r="CK240" s="35"/>
      <c r="CL240" s="35"/>
      <c r="CM240" s="35"/>
      <c r="CN240" s="35"/>
      <c r="CO240" s="35"/>
      <c r="CP240" s="35"/>
      <c r="CQ240" s="35"/>
      <c r="CR240" s="35"/>
      <c r="CS240" s="35"/>
      <c r="CT240" s="35"/>
      <c r="CU240" s="35"/>
      <c r="CV240" s="35"/>
      <c r="CW240" s="35"/>
      <c r="CX240" s="35"/>
      <c r="CY240" s="35"/>
      <c r="CZ240" s="35"/>
      <c r="DA240" s="35"/>
      <c r="DB240" s="35"/>
      <c r="DC240" s="35"/>
      <c r="DD240" s="35"/>
      <c r="DE240" s="35"/>
      <c r="DF240" s="35"/>
      <c r="DG240" s="35"/>
      <c r="DH240" s="35"/>
      <c r="DI240" s="35"/>
      <c r="DJ240" s="35"/>
      <c r="DK240" s="35"/>
      <c r="DL240" s="35"/>
      <c r="DM240" s="35"/>
      <c r="DN240" s="35"/>
      <c r="DO240" s="35"/>
      <c r="DP240" s="35"/>
      <c r="DQ240" s="35"/>
      <c r="DR240" s="35"/>
      <c r="DS240" s="35"/>
      <c r="DT240" s="35"/>
      <c r="DU240" s="35"/>
      <c r="DV240" s="35"/>
      <c r="DW240" s="35"/>
      <c r="DX240" s="35"/>
      <c r="DY240" s="35"/>
      <c r="DZ240" s="35"/>
      <c r="EA240" s="35"/>
      <c r="EB240" s="35"/>
      <c r="EC240" s="35"/>
      <c r="ED240" s="35"/>
      <c r="EE240" s="35"/>
      <c r="EF240" s="35"/>
      <c r="EG240" s="35"/>
      <c r="EH240" s="35"/>
      <c r="EI240" s="35"/>
      <c r="EJ240" s="35"/>
      <c r="EK240" s="35"/>
      <c r="EL240" s="35"/>
      <c r="EM240" s="35"/>
      <c r="EN240" s="35"/>
      <c r="EO240" s="35"/>
      <c r="EP240" s="35"/>
      <c r="EQ240" s="35"/>
      <c r="ER240" s="35"/>
      <c r="ES240" s="35"/>
      <c r="ET240" s="35"/>
      <c r="EU240" s="35"/>
      <c r="EV240" s="35"/>
      <c r="EW240" s="35"/>
      <c r="EX240" s="35"/>
      <c r="EY240" s="35"/>
      <c r="EZ240" s="35"/>
      <c r="FA240" s="35"/>
      <c r="FB240" s="35"/>
      <c r="FC240" s="458">
        <f t="shared" si="27"/>
        <v>0</v>
      </c>
      <c r="FD240">
        <f t="shared" si="25"/>
        <v>0</v>
      </c>
      <c r="FE240" t="e">
        <f t="shared" si="26"/>
        <v>#N/A</v>
      </c>
      <c r="FI240" s="731" t="e">
        <f t="shared" si="28"/>
        <v>#VALUE!</v>
      </c>
      <c r="FK240" s="471" t="str">
        <f t="shared" si="29"/>
        <v xml:space="preserve"> </v>
      </c>
      <c r="FL240" s="730">
        <f t="shared" si="30"/>
        <v>0</v>
      </c>
      <c r="FM240" s="471" t="str">
        <f t="shared" si="31"/>
        <v/>
      </c>
      <c r="FN240" s="730">
        <f t="shared" ref="FN240:FN303" si="32">L240</f>
        <v>0</v>
      </c>
    </row>
    <row r="241" spans="1:170" s="33" customFormat="1" x14ac:dyDescent="0.2">
      <c r="A241" s="34" t="s">
        <v>291</v>
      </c>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c r="BG241" s="35"/>
      <c r="BH241" s="35"/>
      <c r="BI241" s="35"/>
      <c r="BJ241" s="35"/>
      <c r="BK241" s="35"/>
      <c r="BL241" s="35"/>
      <c r="BM241" s="35"/>
      <c r="BN241" s="35"/>
      <c r="BO241" s="35"/>
      <c r="BP241" s="35"/>
      <c r="BQ241" s="35"/>
      <c r="BR241" s="35"/>
      <c r="BS241" s="35"/>
      <c r="BT241" s="35"/>
      <c r="BU241" s="35"/>
      <c r="BV241" s="35"/>
      <c r="BW241" s="35"/>
      <c r="BX241" s="35"/>
      <c r="BY241" s="35"/>
      <c r="BZ241" s="35"/>
      <c r="CA241" s="35"/>
      <c r="CB241" s="35"/>
      <c r="CC241" s="35"/>
      <c r="CD241" s="35"/>
      <c r="CE241" s="35"/>
      <c r="CF241" s="35"/>
      <c r="CG241" s="35"/>
      <c r="CH241" s="35"/>
      <c r="CI241" s="35"/>
      <c r="CJ241" s="35"/>
      <c r="CK241" s="35"/>
      <c r="CL241" s="35"/>
      <c r="CM241" s="35"/>
      <c r="CN241" s="35"/>
      <c r="CO241" s="35"/>
      <c r="CP241" s="35"/>
      <c r="CQ241" s="35"/>
      <c r="CR241" s="35"/>
      <c r="CS241" s="35"/>
      <c r="CT241" s="35"/>
      <c r="CU241" s="35"/>
      <c r="CV241" s="35"/>
      <c r="CW241" s="35"/>
      <c r="CX241" s="35"/>
      <c r="CY241" s="35"/>
      <c r="CZ241" s="35"/>
      <c r="DA241" s="35"/>
      <c r="DB241" s="35"/>
      <c r="DC241" s="35"/>
      <c r="DD241" s="35"/>
      <c r="DE241" s="35"/>
      <c r="DF241" s="35"/>
      <c r="DG241" s="35"/>
      <c r="DH241" s="35"/>
      <c r="DI241" s="35"/>
      <c r="DJ241" s="35"/>
      <c r="DK241" s="35"/>
      <c r="DL241" s="35"/>
      <c r="DM241" s="35"/>
      <c r="DN241" s="35"/>
      <c r="DO241" s="35"/>
      <c r="DP241" s="35"/>
      <c r="DQ241" s="35"/>
      <c r="DR241" s="35"/>
      <c r="DS241" s="35"/>
      <c r="DT241" s="35"/>
      <c r="DU241" s="35"/>
      <c r="DV241" s="35"/>
      <c r="DW241" s="35"/>
      <c r="DX241" s="35"/>
      <c r="DY241" s="35"/>
      <c r="DZ241" s="35"/>
      <c r="EA241" s="35"/>
      <c r="EB241" s="35"/>
      <c r="EC241" s="35"/>
      <c r="ED241" s="35"/>
      <c r="EE241" s="35"/>
      <c r="EF241" s="35"/>
      <c r="EG241" s="35"/>
      <c r="EH241" s="35"/>
      <c r="EI241" s="35"/>
      <c r="EJ241" s="35"/>
      <c r="EK241" s="35"/>
      <c r="EL241" s="35"/>
      <c r="EM241" s="35"/>
      <c r="EN241" s="35"/>
      <c r="EO241" s="35"/>
      <c r="EP241" s="35"/>
      <c r="EQ241" s="35"/>
      <c r="ER241" s="35"/>
      <c r="ES241" s="35"/>
      <c r="ET241" s="35"/>
      <c r="EU241" s="35"/>
      <c r="EV241" s="35"/>
      <c r="EW241" s="35"/>
      <c r="EX241" s="35"/>
      <c r="EY241" s="35"/>
      <c r="EZ241" s="35"/>
      <c r="FA241" s="35"/>
      <c r="FB241" s="35"/>
      <c r="FC241" s="458">
        <f t="shared" si="27"/>
        <v>0</v>
      </c>
      <c r="FD241">
        <f t="shared" si="25"/>
        <v>0</v>
      </c>
      <c r="FE241" t="e">
        <f t="shared" si="26"/>
        <v>#N/A</v>
      </c>
      <c r="FI241" s="731" t="e">
        <f t="shared" si="28"/>
        <v>#VALUE!</v>
      </c>
      <c r="FK241" s="471" t="str">
        <f t="shared" si="29"/>
        <v xml:space="preserve"> </v>
      </c>
      <c r="FL241" s="730">
        <f t="shared" si="30"/>
        <v>0</v>
      </c>
      <c r="FM241" s="471" t="str">
        <f t="shared" si="31"/>
        <v/>
      </c>
      <c r="FN241" s="730">
        <f t="shared" si="32"/>
        <v>0</v>
      </c>
    </row>
    <row r="242" spans="1:170" s="33" customFormat="1" x14ac:dyDescent="0.2">
      <c r="A242" s="34" t="s">
        <v>292</v>
      </c>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c r="BG242" s="35"/>
      <c r="BH242" s="35"/>
      <c r="BI242" s="35"/>
      <c r="BJ242" s="35"/>
      <c r="BK242" s="35"/>
      <c r="BL242" s="35"/>
      <c r="BM242" s="35"/>
      <c r="BN242" s="35"/>
      <c r="BO242" s="35"/>
      <c r="BP242" s="35"/>
      <c r="BQ242" s="35"/>
      <c r="BR242" s="35"/>
      <c r="BS242" s="35"/>
      <c r="BT242" s="35"/>
      <c r="BU242" s="35"/>
      <c r="BV242" s="35"/>
      <c r="BW242" s="35"/>
      <c r="BX242" s="35"/>
      <c r="BY242" s="35"/>
      <c r="BZ242" s="35"/>
      <c r="CA242" s="35"/>
      <c r="CB242" s="35"/>
      <c r="CC242" s="35"/>
      <c r="CD242" s="35"/>
      <c r="CE242" s="35"/>
      <c r="CF242" s="35"/>
      <c r="CG242" s="35"/>
      <c r="CH242" s="35"/>
      <c r="CI242" s="35"/>
      <c r="CJ242" s="35"/>
      <c r="CK242" s="35"/>
      <c r="CL242" s="35"/>
      <c r="CM242" s="35"/>
      <c r="CN242" s="35"/>
      <c r="CO242" s="35"/>
      <c r="CP242" s="35"/>
      <c r="CQ242" s="35"/>
      <c r="CR242" s="35"/>
      <c r="CS242" s="35"/>
      <c r="CT242" s="35"/>
      <c r="CU242" s="35"/>
      <c r="CV242" s="35"/>
      <c r="CW242" s="35"/>
      <c r="CX242" s="35"/>
      <c r="CY242" s="35"/>
      <c r="CZ242" s="35"/>
      <c r="DA242" s="35"/>
      <c r="DB242" s="35"/>
      <c r="DC242" s="35"/>
      <c r="DD242" s="35"/>
      <c r="DE242" s="35"/>
      <c r="DF242" s="35"/>
      <c r="DG242" s="35"/>
      <c r="DH242" s="35"/>
      <c r="DI242" s="35"/>
      <c r="DJ242" s="35"/>
      <c r="DK242" s="35"/>
      <c r="DL242" s="35"/>
      <c r="DM242" s="35"/>
      <c r="DN242" s="35"/>
      <c r="DO242" s="35"/>
      <c r="DP242" s="35"/>
      <c r="DQ242" s="35"/>
      <c r="DR242" s="35"/>
      <c r="DS242" s="35"/>
      <c r="DT242" s="35"/>
      <c r="DU242" s="35"/>
      <c r="DV242" s="35"/>
      <c r="DW242" s="35"/>
      <c r="DX242" s="35"/>
      <c r="DY242" s="35"/>
      <c r="DZ242" s="35"/>
      <c r="EA242" s="35"/>
      <c r="EB242" s="35"/>
      <c r="EC242" s="35"/>
      <c r="ED242" s="35"/>
      <c r="EE242" s="35"/>
      <c r="EF242" s="35"/>
      <c r="EG242" s="35"/>
      <c r="EH242" s="35"/>
      <c r="EI242" s="35"/>
      <c r="EJ242" s="35"/>
      <c r="EK242" s="35"/>
      <c r="EL242" s="35"/>
      <c r="EM242" s="35"/>
      <c r="EN242" s="35"/>
      <c r="EO242" s="35"/>
      <c r="EP242" s="35"/>
      <c r="EQ242" s="35"/>
      <c r="ER242" s="35"/>
      <c r="ES242" s="35"/>
      <c r="ET242" s="35"/>
      <c r="EU242" s="35"/>
      <c r="EV242" s="35"/>
      <c r="EW242" s="35"/>
      <c r="EX242" s="35"/>
      <c r="EY242" s="35"/>
      <c r="EZ242" s="35"/>
      <c r="FA242" s="35"/>
      <c r="FB242" s="35"/>
      <c r="FC242" s="458">
        <f t="shared" si="27"/>
        <v>0</v>
      </c>
      <c r="FD242">
        <f t="shared" si="25"/>
        <v>0</v>
      </c>
      <c r="FE242" t="e">
        <f t="shared" si="26"/>
        <v>#N/A</v>
      </c>
      <c r="FI242" s="731" t="e">
        <f t="shared" si="28"/>
        <v>#VALUE!</v>
      </c>
      <c r="FK242" s="471" t="str">
        <f t="shared" si="29"/>
        <v xml:space="preserve"> </v>
      </c>
      <c r="FL242" s="730">
        <f t="shared" si="30"/>
        <v>0</v>
      </c>
      <c r="FM242" s="471" t="str">
        <f t="shared" si="31"/>
        <v/>
      </c>
      <c r="FN242" s="730">
        <f t="shared" si="32"/>
        <v>0</v>
      </c>
    </row>
    <row r="243" spans="1:170" s="33" customFormat="1" x14ac:dyDescent="0.2">
      <c r="A243" s="34" t="s">
        <v>293</v>
      </c>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s="35"/>
      <c r="BI243" s="35"/>
      <c r="BJ243" s="35"/>
      <c r="BK243" s="35"/>
      <c r="BL243" s="35"/>
      <c r="BM243" s="35"/>
      <c r="BN243" s="35"/>
      <c r="BO243" s="35"/>
      <c r="BP243" s="35"/>
      <c r="BQ243" s="35"/>
      <c r="BR243" s="35"/>
      <c r="BS243" s="35"/>
      <c r="BT243" s="35"/>
      <c r="BU243" s="35"/>
      <c r="BV243" s="35"/>
      <c r="BW243" s="35"/>
      <c r="BX243" s="35"/>
      <c r="BY243" s="35"/>
      <c r="BZ243" s="35"/>
      <c r="CA243" s="35"/>
      <c r="CB243" s="35"/>
      <c r="CC243" s="35"/>
      <c r="CD243" s="35"/>
      <c r="CE243" s="35"/>
      <c r="CF243" s="35"/>
      <c r="CG243" s="35"/>
      <c r="CH243" s="35"/>
      <c r="CI243" s="35"/>
      <c r="CJ243" s="35"/>
      <c r="CK243" s="35"/>
      <c r="CL243" s="35"/>
      <c r="CM243" s="35"/>
      <c r="CN243" s="35"/>
      <c r="CO243" s="35"/>
      <c r="CP243" s="35"/>
      <c r="CQ243" s="35"/>
      <c r="CR243" s="35"/>
      <c r="CS243" s="35"/>
      <c r="CT243" s="35"/>
      <c r="CU243" s="35"/>
      <c r="CV243" s="35"/>
      <c r="CW243" s="35"/>
      <c r="CX243" s="35"/>
      <c r="CY243" s="35"/>
      <c r="CZ243" s="35"/>
      <c r="DA243" s="35"/>
      <c r="DB243" s="35"/>
      <c r="DC243" s="35"/>
      <c r="DD243" s="35"/>
      <c r="DE243" s="35"/>
      <c r="DF243" s="35"/>
      <c r="DG243" s="35"/>
      <c r="DH243" s="35"/>
      <c r="DI243" s="35"/>
      <c r="DJ243" s="35"/>
      <c r="DK243" s="35"/>
      <c r="DL243" s="35"/>
      <c r="DM243" s="35"/>
      <c r="DN243" s="35"/>
      <c r="DO243" s="35"/>
      <c r="DP243" s="35"/>
      <c r="DQ243" s="35"/>
      <c r="DR243" s="35"/>
      <c r="DS243" s="35"/>
      <c r="DT243" s="35"/>
      <c r="DU243" s="35"/>
      <c r="DV243" s="35"/>
      <c r="DW243" s="35"/>
      <c r="DX243" s="35"/>
      <c r="DY243" s="35"/>
      <c r="DZ243" s="35"/>
      <c r="EA243" s="35"/>
      <c r="EB243" s="35"/>
      <c r="EC243" s="35"/>
      <c r="ED243" s="35"/>
      <c r="EE243" s="35"/>
      <c r="EF243" s="35"/>
      <c r="EG243" s="35"/>
      <c r="EH243" s="35"/>
      <c r="EI243" s="35"/>
      <c r="EJ243" s="35"/>
      <c r="EK243" s="35"/>
      <c r="EL243" s="35"/>
      <c r="EM243" s="35"/>
      <c r="EN243" s="35"/>
      <c r="EO243" s="35"/>
      <c r="EP243" s="35"/>
      <c r="EQ243" s="35"/>
      <c r="ER243" s="35"/>
      <c r="ES243" s="35"/>
      <c r="ET243" s="35"/>
      <c r="EU243" s="35"/>
      <c r="EV243" s="35"/>
      <c r="EW243" s="35"/>
      <c r="EX243" s="35"/>
      <c r="EY243" s="35"/>
      <c r="EZ243" s="35"/>
      <c r="FA243" s="35"/>
      <c r="FB243" s="35"/>
      <c r="FC243" s="458">
        <f t="shared" si="27"/>
        <v>0</v>
      </c>
      <c r="FD243">
        <f t="shared" si="25"/>
        <v>0</v>
      </c>
      <c r="FE243" t="e">
        <f t="shared" si="26"/>
        <v>#N/A</v>
      </c>
      <c r="FI243" s="731" t="e">
        <f t="shared" si="28"/>
        <v>#VALUE!</v>
      </c>
      <c r="FK243" s="471" t="str">
        <f t="shared" si="29"/>
        <v xml:space="preserve"> </v>
      </c>
      <c r="FL243" s="730">
        <f t="shared" si="30"/>
        <v>0</v>
      </c>
      <c r="FM243" s="471" t="str">
        <f t="shared" si="31"/>
        <v/>
      </c>
      <c r="FN243" s="730">
        <f t="shared" si="32"/>
        <v>0</v>
      </c>
    </row>
    <row r="244" spans="1:170" s="33" customFormat="1" x14ac:dyDescent="0.2">
      <c r="A244" s="34" t="s">
        <v>294</v>
      </c>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s="35"/>
      <c r="BI244" s="35"/>
      <c r="BJ244" s="35"/>
      <c r="BK244" s="35"/>
      <c r="BL244" s="35"/>
      <c r="BM244" s="35"/>
      <c r="BN244" s="35"/>
      <c r="BO244" s="35"/>
      <c r="BP244" s="35"/>
      <c r="BQ244" s="35"/>
      <c r="BR244" s="35"/>
      <c r="BS244" s="35"/>
      <c r="BT244" s="35"/>
      <c r="BU244" s="35"/>
      <c r="BV244" s="35"/>
      <c r="BW244" s="35"/>
      <c r="BX244" s="35"/>
      <c r="BY244" s="35"/>
      <c r="BZ244" s="35"/>
      <c r="CA244" s="35"/>
      <c r="CB244" s="35"/>
      <c r="CC244" s="35"/>
      <c r="CD244" s="35"/>
      <c r="CE244" s="35"/>
      <c r="CF244" s="35"/>
      <c r="CG244" s="35"/>
      <c r="CH244" s="35"/>
      <c r="CI244" s="35"/>
      <c r="CJ244" s="35"/>
      <c r="CK244" s="35"/>
      <c r="CL244" s="35"/>
      <c r="CM244" s="35"/>
      <c r="CN244" s="35"/>
      <c r="CO244" s="35"/>
      <c r="CP244" s="35"/>
      <c r="CQ244" s="35"/>
      <c r="CR244" s="35"/>
      <c r="CS244" s="35"/>
      <c r="CT244" s="35"/>
      <c r="CU244" s="35"/>
      <c r="CV244" s="35"/>
      <c r="CW244" s="35"/>
      <c r="CX244" s="35"/>
      <c r="CY244" s="35"/>
      <c r="CZ244" s="35"/>
      <c r="DA244" s="35"/>
      <c r="DB244" s="35"/>
      <c r="DC244" s="35"/>
      <c r="DD244" s="35"/>
      <c r="DE244" s="35"/>
      <c r="DF244" s="35"/>
      <c r="DG244" s="35"/>
      <c r="DH244" s="35"/>
      <c r="DI244" s="35"/>
      <c r="DJ244" s="35"/>
      <c r="DK244" s="35"/>
      <c r="DL244" s="35"/>
      <c r="DM244" s="35"/>
      <c r="DN244" s="35"/>
      <c r="DO244" s="35"/>
      <c r="DP244" s="35"/>
      <c r="DQ244" s="35"/>
      <c r="DR244" s="35"/>
      <c r="DS244" s="35"/>
      <c r="DT244" s="35"/>
      <c r="DU244" s="35"/>
      <c r="DV244" s="35"/>
      <c r="DW244" s="35"/>
      <c r="DX244" s="35"/>
      <c r="DY244" s="35"/>
      <c r="DZ244" s="35"/>
      <c r="EA244" s="35"/>
      <c r="EB244" s="35"/>
      <c r="EC244" s="35"/>
      <c r="ED244" s="35"/>
      <c r="EE244" s="35"/>
      <c r="EF244" s="35"/>
      <c r="EG244" s="35"/>
      <c r="EH244" s="35"/>
      <c r="EI244" s="35"/>
      <c r="EJ244" s="35"/>
      <c r="EK244" s="35"/>
      <c r="EL244" s="35"/>
      <c r="EM244" s="35"/>
      <c r="EN244" s="35"/>
      <c r="EO244" s="35"/>
      <c r="EP244" s="35"/>
      <c r="EQ244" s="35"/>
      <c r="ER244" s="35"/>
      <c r="ES244" s="35"/>
      <c r="ET244" s="35"/>
      <c r="EU244" s="35"/>
      <c r="EV244" s="35"/>
      <c r="EW244" s="35"/>
      <c r="EX244" s="35"/>
      <c r="EY244" s="35"/>
      <c r="EZ244" s="35"/>
      <c r="FA244" s="35"/>
      <c r="FB244" s="35"/>
      <c r="FC244" s="458">
        <f t="shared" si="27"/>
        <v>0</v>
      </c>
      <c r="FD244">
        <f t="shared" si="25"/>
        <v>0</v>
      </c>
      <c r="FE244" t="e">
        <f t="shared" si="26"/>
        <v>#N/A</v>
      </c>
      <c r="FI244" s="731" t="e">
        <f t="shared" si="28"/>
        <v>#VALUE!</v>
      </c>
      <c r="FK244" s="471" t="str">
        <f t="shared" si="29"/>
        <v xml:space="preserve"> </v>
      </c>
      <c r="FL244" s="730">
        <f t="shared" si="30"/>
        <v>0</v>
      </c>
      <c r="FM244" s="471" t="str">
        <f t="shared" si="31"/>
        <v/>
      </c>
      <c r="FN244" s="730">
        <f t="shared" si="32"/>
        <v>0</v>
      </c>
    </row>
    <row r="245" spans="1:170" s="33" customFormat="1" x14ac:dyDescent="0.2">
      <c r="A245" s="34" t="s">
        <v>295</v>
      </c>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c r="BI245" s="35"/>
      <c r="BJ245" s="35"/>
      <c r="BK245" s="35"/>
      <c r="BL245" s="35"/>
      <c r="BM245" s="35"/>
      <c r="BN245" s="35"/>
      <c r="BO245" s="35"/>
      <c r="BP245" s="35"/>
      <c r="BQ245" s="35"/>
      <c r="BR245" s="35"/>
      <c r="BS245" s="35"/>
      <c r="BT245" s="35"/>
      <c r="BU245" s="35"/>
      <c r="BV245" s="35"/>
      <c r="BW245" s="35"/>
      <c r="BX245" s="35"/>
      <c r="BY245" s="35"/>
      <c r="BZ245" s="35"/>
      <c r="CA245" s="35"/>
      <c r="CB245" s="35"/>
      <c r="CC245" s="35"/>
      <c r="CD245" s="35"/>
      <c r="CE245" s="35"/>
      <c r="CF245" s="35"/>
      <c r="CG245" s="35"/>
      <c r="CH245" s="35"/>
      <c r="CI245" s="35"/>
      <c r="CJ245" s="35"/>
      <c r="CK245" s="35"/>
      <c r="CL245" s="35"/>
      <c r="CM245" s="35"/>
      <c r="CN245" s="35"/>
      <c r="CO245" s="35"/>
      <c r="CP245" s="35"/>
      <c r="CQ245" s="35"/>
      <c r="CR245" s="35"/>
      <c r="CS245" s="35"/>
      <c r="CT245" s="35"/>
      <c r="CU245" s="35"/>
      <c r="CV245" s="35"/>
      <c r="CW245" s="35"/>
      <c r="CX245" s="35"/>
      <c r="CY245" s="35"/>
      <c r="CZ245" s="35"/>
      <c r="DA245" s="35"/>
      <c r="DB245" s="35"/>
      <c r="DC245" s="35"/>
      <c r="DD245" s="35"/>
      <c r="DE245" s="35"/>
      <c r="DF245" s="35"/>
      <c r="DG245" s="35"/>
      <c r="DH245" s="35"/>
      <c r="DI245" s="35"/>
      <c r="DJ245" s="35"/>
      <c r="DK245" s="35"/>
      <c r="DL245" s="35"/>
      <c r="DM245" s="35"/>
      <c r="DN245" s="35"/>
      <c r="DO245" s="35"/>
      <c r="DP245" s="35"/>
      <c r="DQ245" s="35"/>
      <c r="DR245" s="35"/>
      <c r="DS245" s="35"/>
      <c r="DT245" s="35"/>
      <c r="DU245" s="35"/>
      <c r="DV245" s="35"/>
      <c r="DW245" s="35"/>
      <c r="DX245" s="35"/>
      <c r="DY245" s="35"/>
      <c r="DZ245" s="35"/>
      <c r="EA245" s="35"/>
      <c r="EB245" s="35"/>
      <c r="EC245" s="35"/>
      <c r="ED245" s="35"/>
      <c r="EE245" s="35"/>
      <c r="EF245" s="35"/>
      <c r="EG245" s="35"/>
      <c r="EH245" s="35"/>
      <c r="EI245" s="35"/>
      <c r="EJ245" s="35"/>
      <c r="EK245" s="35"/>
      <c r="EL245" s="35"/>
      <c r="EM245" s="35"/>
      <c r="EN245" s="35"/>
      <c r="EO245" s="35"/>
      <c r="EP245" s="35"/>
      <c r="EQ245" s="35"/>
      <c r="ER245" s="35"/>
      <c r="ES245" s="35"/>
      <c r="ET245" s="35"/>
      <c r="EU245" s="35"/>
      <c r="EV245" s="35"/>
      <c r="EW245" s="35"/>
      <c r="EX245" s="35"/>
      <c r="EY245" s="35"/>
      <c r="EZ245" s="35"/>
      <c r="FA245" s="35"/>
      <c r="FB245" s="35"/>
      <c r="FC245" s="458">
        <f t="shared" si="27"/>
        <v>0</v>
      </c>
      <c r="FD245">
        <f t="shared" si="25"/>
        <v>0</v>
      </c>
      <c r="FE245" t="e">
        <f t="shared" si="26"/>
        <v>#N/A</v>
      </c>
      <c r="FI245" s="731" t="e">
        <f t="shared" si="28"/>
        <v>#VALUE!</v>
      </c>
      <c r="FK245" s="471" t="str">
        <f t="shared" si="29"/>
        <v xml:space="preserve"> </v>
      </c>
      <c r="FL245" s="730">
        <f t="shared" si="30"/>
        <v>0</v>
      </c>
      <c r="FM245" s="471" t="str">
        <f t="shared" si="31"/>
        <v/>
      </c>
      <c r="FN245" s="730">
        <f t="shared" si="32"/>
        <v>0</v>
      </c>
    </row>
    <row r="246" spans="1:170" s="33" customFormat="1" x14ac:dyDescent="0.2">
      <c r="A246" s="34" t="s">
        <v>296</v>
      </c>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c r="BJ246" s="35"/>
      <c r="BK246" s="35"/>
      <c r="BL246" s="35"/>
      <c r="BM246" s="35"/>
      <c r="BN246" s="35"/>
      <c r="BO246" s="35"/>
      <c r="BP246" s="35"/>
      <c r="BQ246" s="35"/>
      <c r="BR246" s="35"/>
      <c r="BS246" s="35"/>
      <c r="BT246" s="35"/>
      <c r="BU246" s="35"/>
      <c r="BV246" s="35"/>
      <c r="BW246" s="35"/>
      <c r="BX246" s="35"/>
      <c r="BY246" s="35"/>
      <c r="BZ246" s="35"/>
      <c r="CA246" s="35"/>
      <c r="CB246" s="35"/>
      <c r="CC246" s="35"/>
      <c r="CD246" s="35"/>
      <c r="CE246" s="35"/>
      <c r="CF246" s="35"/>
      <c r="CG246" s="35"/>
      <c r="CH246" s="35"/>
      <c r="CI246" s="35"/>
      <c r="CJ246" s="35"/>
      <c r="CK246" s="35"/>
      <c r="CL246" s="35"/>
      <c r="CM246" s="35"/>
      <c r="CN246" s="35"/>
      <c r="CO246" s="35"/>
      <c r="CP246" s="35"/>
      <c r="CQ246" s="35"/>
      <c r="CR246" s="35"/>
      <c r="CS246" s="35"/>
      <c r="CT246" s="35"/>
      <c r="CU246" s="35"/>
      <c r="CV246" s="35"/>
      <c r="CW246" s="35"/>
      <c r="CX246" s="35"/>
      <c r="CY246" s="35"/>
      <c r="CZ246" s="35"/>
      <c r="DA246" s="35"/>
      <c r="DB246" s="35"/>
      <c r="DC246" s="35"/>
      <c r="DD246" s="35"/>
      <c r="DE246" s="35"/>
      <c r="DF246" s="35"/>
      <c r="DG246" s="35"/>
      <c r="DH246" s="35"/>
      <c r="DI246" s="35"/>
      <c r="DJ246" s="35"/>
      <c r="DK246" s="35"/>
      <c r="DL246" s="35"/>
      <c r="DM246" s="35"/>
      <c r="DN246" s="35"/>
      <c r="DO246" s="35"/>
      <c r="DP246" s="35"/>
      <c r="DQ246" s="35"/>
      <c r="DR246" s="35"/>
      <c r="DS246" s="35"/>
      <c r="DT246" s="35"/>
      <c r="DU246" s="35"/>
      <c r="DV246" s="35"/>
      <c r="DW246" s="35"/>
      <c r="DX246" s="35"/>
      <c r="DY246" s="35"/>
      <c r="DZ246" s="35"/>
      <c r="EA246" s="35"/>
      <c r="EB246" s="35"/>
      <c r="EC246" s="35"/>
      <c r="ED246" s="35"/>
      <c r="EE246" s="35"/>
      <c r="EF246" s="35"/>
      <c r="EG246" s="35"/>
      <c r="EH246" s="35"/>
      <c r="EI246" s="35"/>
      <c r="EJ246" s="35"/>
      <c r="EK246" s="35"/>
      <c r="EL246" s="35"/>
      <c r="EM246" s="35"/>
      <c r="EN246" s="35"/>
      <c r="EO246" s="35"/>
      <c r="EP246" s="35"/>
      <c r="EQ246" s="35"/>
      <c r="ER246" s="35"/>
      <c r="ES246" s="35"/>
      <c r="ET246" s="35"/>
      <c r="EU246" s="35"/>
      <c r="EV246" s="35"/>
      <c r="EW246" s="35"/>
      <c r="EX246" s="35"/>
      <c r="EY246" s="35"/>
      <c r="EZ246" s="35"/>
      <c r="FA246" s="35"/>
      <c r="FB246" s="35"/>
      <c r="FC246" s="458">
        <f t="shared" si="27"/>
        <v>0</v>
      </c>
      <c r="FD246">
        <f t="shared" si="25"/>
        <v>0</v>
      </c>
      <c r="FE246" t="e">
        <f t="shared" si="26"/>
        <v>#N/A</v>
      </c>
      <c r="FI246" s="731" t="e">
        <f t="shared" si="28"/>
        <v>#VALUE!</v>
      </c>
      <c r="FK246" s="471" t="str">
        <f t="shared" si="29"/>
        <v xml:space="preserve"> </v>
      </c>
      <c r="FL246" s="730">
        <f t="shared" si="30"/>
        <v>0</v>
      </c>
      <c r="FM246" s="471" t="str">
        <f t="shared" si="31"/>
        <v/>
      </c>
      <c r="FN246" s="730">
        <f t="shared" si="32"/>
        <v>0</v>
      </c>
    </row>
    <row r="247" spans="1:170" s="33" customFormat="1" x14ac:dyDescent="0.2">
      <c r="A247" s="34" t="s">
        <v>297</v>
      </c>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s="35"/>
      <c r="BI247" s="35"/>
      <c r="BJ247" s="35"/>
      <c r="BK247" s="35"/>
      <c r="BL247" s="35"/>
      <c r="BM247" s="35"/>
      <c r="BN247" s="35"/>
      <c r="BO247" s="35"/>
      <c r="BP247" s="35"/>
      <c r="BQ247" s="35"/>
      <c r="BR247" s="35"/>
      <c r="BS247" s="35"/>
      <c r="BT247" s="35"/>
      <c r="BU247" s="35"/>
      <c r="BV247" s="35"/>
      <c r="BW247" s="35"/>
      <c r="BX247" s="35"/>
      <c r="BY247" s="35"/>
      <c r="BZ247" s="35"/>
      <c r="CA247" s="35"/>
      <c r="CB247" s="35"/>
      <c r="CC247" s="35"/>
      <c r="CD247" s="35"/>
      <c r="CE247" s="35"/>
      <c r="CF247" s="35"/>
      <c r="CG247" s="35"/>
      <c r="CH247" s="35"/>
      <c r="CI247" s="35"/>
      <c r="CJ247" s="35"/>
      <c r="CK247" s="35"/>
      <c r="CL247" s="35"/>
      <c r="CM247" s="35"/>
      <c r="CN247" s="35"/>
      <c r="CO247" s="35"/>
      <c r="CP247" s="35"/>
      <c r="CQ247" s="35"/>
      <c r="CR247" s="35"/>
      <c r="CS247" s="35"/>
      <c r="CT247" s="35"/>
      <c r="CU247" s="35"/>
      <c r="CV247" s="35"/>
      <c r="CW247" s="35"/>
      <c r="CX247" s="35"/>
      <c r="CY247" s="35"/>
      <c r="CZ247" s="35"/>
      <c r="DA247" s="35"/>
      <c r="DB247" s="35"/>
      <c r="DC247" s="35"/>
      <c r="DD247" s="35"/>
      <c r="DE247" s="35"/>
      <c r="DF247" s="35"/>
      <c r="DG247" s="35"/>
      <c r="DH247" s="35"/>
      <c r="DI247" s="35"/>
      <c r="DJ247" s="35"/>
      <c r="DK247" s="35"/>
      <c r="DL247" s="35"/>
      <c r="DM247" s="35"/>
      <c r="DN247" s="35"/>
      <c r="DO247" s="35"/>
      <c r="DP247" s="35"/>
      <c r="DQ247" s="35"/>
      <c r="DR247" s="35"/>
      <c r="DS247" s="35"/>
      <c r="DT247" s="35"/>
      <c r="DU247" s="35"/>
      <c r="DV247" s="35"/>
      <c r="DW247" s="35"/>
      <c r="DX247" s="35"/>
      <c r="DY247" s="35"/>
      <c r="DZ247" s="35"/>
      <c r="EA247" s="35"/>
      <c r="EB247" s="35"/>
      <c r="EC247" s="35"/>
      <c r="ED247" s="35"/>
      <c r="EE247" s="35"/>
      <c r="EF247" s="35"/>
      <c r="EG247" s="35"/>
      <c r="EH247" s="35"/>
      <c r="EI247" s="35"/>
      <c r="EJ247" s="35"/>
      <c r="EK247" s="35"/>
      <c r="EL247" s="35"/>
      <c r="EM247" s="35"/>
      <c r="EN247" s="35"/>
      <c r="EO247" s="35"/>
      <c r="EP247" s="35"/>
      <c r="EQ247" s="35"/>
      <c r="ER247" s="35"/>
      <c r="ES247" s="35"/>
      <c r="ET247" s="35"/>
      <c r="EU247" s="35"/>
      <c r="EV247" s="35"/>
      <c r="EW247" s="35"/>
      <c r="EX247" s="35"/>
      <c r="EY247" s="35"/>
      <c r="EZ247" s="35"/>
      <c r="FA247" s="35"/>
      <c r="FB247" s="35"/>
      <c r="FC247" s="458">
        <f t="shared" si="27"/>
        <v>0</v>
      </c>
      <c r="FD247">
        <f t="shared" si="25"/>
        <v>0</v>
      </c>
      <c r="FE247" t="e">
        <f t="shared" si="26"/>
        <v>#N/A</v>
      </c>
      <c r="FI247" s="731" t="e">
        <f t="shared" si="28"/>
        <v>#VALUE!</v>
      </c>
      <c r="FK247" s="471" t="str">
        <f t="shared" si="29"/>
        <v xml:space="preserve"> </v>
      </c>
      <c r="FL247" s="730">
        <f t="shared" si="30"/>
        <v>0</v>
      </c>
      <c r="FM247" s="471" t="str">
        <f t="shared" si="31"/>
        <v/>
      </c>
      <c r="FN247" s="730">
        <f t="shared" si="32"/>
        <v>0</v>
      </c>
    </row>
    <row r="248" spans="1:170" s="33" customFormat="1" x14ac:dyDescent="0.2">
      <c r="A248" s="34" t="s">
        <v>298</v>
      </c>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35"/>
      <c r="BS248" s="35"/>
      <c r="BT248" s="35"/>
      <c r="BU248" s="35"/>
      <c r="BV248" s="35"/>
      <c r="BW248" s="35"/>
      <c r="BX248" s="35"/>
      <c r="BY248" s="35"/>
      <c r="BZ248" s="35"/>
      <c r="CA248" s="35"/>
      <c r="CB248" s="35"/>
      <c r="CC248" s="35"/>
      <c r="CD248" s="35"/>
      <c r="CE248" s="35"/>
      <c r="CF248" s="35"/>
      <c r="CG248" s="35"/>
      <c r="CH248" s="35"/>
      <c r="CI248" s="35"/>
      <c r="CJ248" s="35"/>
      <c r="CK248" s="35"/>
      <c r="CL248" s="35"/>
      <c r="CM248" s="35"/>
      <c r="CN248" s="35"/>
      <c r="CO248" s="35"/>
      <c r="CP248" s="35"/>
      <c r="CQ248" s="35"/>
      <c r="CR248" s="35"/>
      <c r="CS248" s="35"/>
      <c r="CT248" s="35"/>
      <c r="CU248" s="35"/>
      <c r="CV248" s="35"/>
      <c r="CW248" s="35"/>
      <c r="CX248" s="35"/>
      <c r="CY248" s="35"/>
      <c r="CZ248" s="35"/>
      <c r="DA248" s="35"/>
      <c r="DB248" s="35"/>
      <c r="DC248" s="35"/>
      <c r="DD248" s="35"/>
      <c r="DE248" s="35"/>
      <c r="DF248" s="35"/>
      <c r="DG248" s="35"/>
      <c r="DH248" s="35"/>
      <c r="DI248" s="35"/>
      <c r="DJ248" s="35"/>
      <c r="DK248" s="35"/>
      <c r="DL248" s="35"/>
      <c r="DM248" s="35"/>
      <c r="DN248" s="35"/>
      <c r="DO248" s="35"/>
      <c r="DP248" s="35"/>
      <c r="DQ248" s="35"/>
      <c r="DR248" s="35"/>
      <c r="DS248" s="35"/>
      <c r="DT248" s="35"/>
      <c r="DU248" s="35"/>
      <c r="DV248" s="35"/>
      <c r="DW248" s="35"/>
      <c r="DX248" s="35"/>
      <c r="DY248" s="35"/>
      <c r="DZ248" s="35"/>
      <c r="EA248" s="35"/>
      <c r="EB248" s="35"/>
      <c r="EC248" s="35"/>
      <c r="ED248" s="35"/>
      <c r="EE248" s="35"/>
      <c r="EF248" s="35"/>
      <c r="EG248" s="35"/>
      <c r="EH248" s="35"/>
      <c r="EI248" s="35"/>
      <c r="EJ248" s="35"/>
      <c r="EK248" s="35"/>
      <c r="EL248" s="35"/>
      <c r="EM248" s="35"/>
      <c r="EN248" s="35"/>
      <c r="EO248" s="35"/>
      <c r="EP248" s="35"/>
      <c r="EQ248" s="35"/>
      <c r="ER248" s="35"/>
      <c r="ES248" s="35"/>
      <c r="ET248" s="35"/>
      <c r="EU248" s="35"/>
      <c r="EV248" s="35"/>
      <c r="EW248" s="35"/>
      <c r="EX248" s="35"/>
      <c r="EY248" s="35"/>
      <c r="EZ248" s="35"/>
      <c r="FA248" s="35"/>
      <c r="FB248" s="35"/>
      <c r="FC248" s="458">
        <f t="shared" si="27"/>
        <v>0</v>
      </c>
      <c r="FD248">
        <f t="shared" si="25"/>
        <v>0</v>
      </c>
      <c r="FE248" t="e">
        <f t="shared" si="26"/>
        <v>#N/A</v>
      </c>
      <c r="FI248" s="731" t="e">
        <f t="shared" si="28"/>
        <v>#VALUE!</v>
      </c>
      <c r="FK248" s="471" t="str">
        <f t="shared" si="29"/>
        <v xml:space="preserve"> </v>
      </c>
      <c r="FL248" s="730">
        <f t="shared" si="30"/>
        <v>0</v>
      </c>
      <c r="FM248" s="471" t="str">
        <f t="shared" si="31"/>
        <v/>
      </c>
      <c r="FN248" s="730">
        <f t="shared" si="32"/>
        <v>0</v>
      </c>
    </row>
    <row r="249" spans="1:170" s="33" customFormat="1" x14ac:dyDescent="0.2">
      <c r="A249" s="34" t="s">
        <v>299</v>
      </c>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c r="BG249" s="35"/>
      <c r="BH249" s="35"/>
      <c r="BI249" s="35"/>
      <c r="BJ249" s="35"/>
      <c r="BK249" s="35"/>
      <c r="BL249" s="35"/>
      <c r="BM249" s="35"/>
      <c r="BN249" s="35"/>
      <c r="BO249" s="35"/>
      <c r="BP249" s="35"/>
      <c r="BQ249" s="35"/>
      <c r="BR249" s="35"/>
      <c r="BS249" s="35"/>
      <c r="BT249" s="35"/>
      <c r="BU249" s="35"/>
      <c r="BV249" s="35"/>
      <c r="BW249" s="35"/>
      <c r="BX249" s="35"/>
      <c r="BY249" s="35"/>
      <c r="BZ249" s="35"/>
      <c r="CA249" s="35"/>
      <c r="CB249" s="35"/>
      <c r="CC249" s="35"/>
      <c r="CD249" s="35"/>
      <c r="CE249" s="35"/>
      <c r="CF249" s="35"/>
      <c r="CG249" s="35"/>
      <c r="CH249" s="35"/>
      <c r="CI249" s="35"/>
      <c r="CJ249" s="35"/>
      <c r="CK249" s="35"/>
      <c r="CL249" s="35"/>
      <c r="CM249" s="35"/>
      <c r="CN249" s="35"/>
      <c r="CO249" s="35"/>
      <c r="CP249" s="35"/>
      <c r="CQ249" s="35"/>
      <c r="CR249" s="35"/>
      <c r="CS249" s="35"/>
      <c r="CT249" s="35"/>
      <c r="CU249" s="35"/>
      <c r="CV249" s="35"/>
      <c r="CW249" s="35"/>
      <c r="CX249" s="35"/>
      <c r="CY249" s="35"/>
      <c r="CZ249" s="35"/>
      <c r="DA249" s="35"/>
      <c r="DB249" s="35"/>
      <c r="DC249" s="35"/>
      <c r="DD249" s="35"/>
      <c r="DE249" s="35"/>
      <c r="DF249" s="35"/>
      <c r="DG249" s="35"/>
      <c r="DH249" s="35"/>
      <c r="DI249" s="35"/>
      <c r="DJ249" s="35"/>
      <c r="DK249" s="35"/>
      <c r="DL249" s="35"/>
      <c r="DM249" s="35"/>
      <c r="DN249" s="35"/>
      <c r="DO249" s="35"/>
      <c r="DP249" s="35"/>
      <c r="DQ249" s="35"/>
      <c r="DR249" s="35"/>
      <c r="DS249" s="35"/>
      <c r="DT249" s="35"/>
      <c r="DU249" s="35"/>
      <c r="DV249" s="35"/>
      <c r="DW249" s="35"/>
      <c r="DX249" s="35"/>
      <c r="DY249" s="35"/>
      <c r="DZ249" s="35"/>
      <c r="EA249" s="35"/>
      <c r="EB249" s="35"/>
      <c r="EC249" s="35"/>
      <c r="ED249" s="35"/>
      <c r="EE249" s="35"/>
      <c r="EF249" s="35"/>
      <c r="EG249" s="35"/>
      <c r="EH249" s="35"/>
      <c r="EI249" s="35"/>
      <c r="EJ249" s="35"/>
      <c r="EK249" s="35"/>
      <c r="EL249" s="35"/>
      <c r="EM249" s="35"/>
      <c r="EN249" s="35"/>
      <c r="EO249" s="35"/>
      <c r="EP249" s="35"/>
      <c r="EQ249" s="35"/>
      <c r="ER249" s="35"/>
      <c r="ES249" s="35"/>
      <c r="ET249" s="35"/>
      <c r="EU249" s="35"/>
      <c r="EV249" s="35"/>
      <c r="EW249" s="35"/>
      <c r="EX249" s="35"/>
      <c r="EY249" s="35"/>
      <c r="EZ249" s="35"/>
      <c r="FA249" s="35"/>
      <c r="FB249" s="35"/>
      <c r="FC249" s="458">
        <f t="shared" si="27"/>
        <v>0</v>
      </c>
      <c r="FD249">
        <f t="shared" si="25"/>
        <v>0</v>
      </c>
      <c r="FE249" t="e">
        <f t="shared" si="26"/>
        <v>#N/A</v>
      </c>
      <c r="FI249" s="731" t="e">
        <f t="shared" si="28"/>
        <v>#VALUE!</v>
      </c>
      <c r="FK249" s="471" t="str">
        <f t="shared" si="29"/>
        <v xml:space="preserve"> </v>
      </c>
      <c r="FL249" s="730">
        <f t="shared" si="30"/>
        <v>0</v>
      </c>
      <c r="FM249" s="471" t="str">
        <f t="shared" si="31"/>
        <v/>
      </c>
      <c r="FN249" s="730">
        <f t="shared" si="32"/>
        <v>0</v>
      </c>
    </row>
    <row r="250" spans="1:170" s="33" customFormat="1" x14ac:dyDescent="0.2">
      <c r="A250" s="34" t="s">
        <v>300</v>
      </c>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c r="BI250" s="35"/>
      <c r="BJ250" s="35"/>
      <c r="BK250" s="35"/>
      <c r="BL250" s="35"/>
      <c r="BM250" s="35"/>
      <c r="BN250" s="35"/>
      <c r="BO250" s="35"/>
      <c r="BP250" s="35"/>
      <c r="BQ250" s="35"/>
      <c r="BR250" s="35"/>
      <c r="BS250" s="35"/>
      <c r="BT250" s="35"/>
      <c r="BU250" s="35"/>
      <c r="BV250" s="35"/>
      <c r="BW250" s="35"/>
      <c r="BX250" s="35"/>
      <c r="BY250" s="35"/>
      <c r="BZ250" s="35"/>
      <c r="CA250" s="35"/>
      <c r="CB250" s="35"/>
      <c r="CC250" s="35"/>
      <c r="CD250" s="35"/>
      <c r="CE250" s="35"/>
      <c r="CF250" s="35"/>
      <c r="CG250" s="35"/>
      <c r="CH250" s="35"/>
      <c r="CI250" s="35"/>
      <c r="CJ250" s="35"/>
      <c r="CK250" s="35"/>
      <c r="CL250" s="35"/>
      <c r="CM250" s="35"/>
      <c r="CN250" s="35"/>
      <c r="CO250" s="35"/>
      <c r="CP250" s="35"/>
      <c r="CQ250" s="35"/>
      <c r="CR250" s="35"/>
      <c r="CS250" s="35"/>
      <c r="CT250" s="35"/>
      <c r="CU250" s="35"/>
      <c r="CV250" s="35"/>
      <c r="CW250" s="35"/>
      <c r="CX250" s="35"/>
      <c r="CY250" s="35"/>
      <c r="CZ250" s="35"/>
      <c r="DA250" s="35"/>
      <c r="DB250" s="35"/>
      <c r="DC250" s="35"/>
      <c r="DD250" s="35"/>
      <c r="DE250" s="35"/>
      <c r="DF250" s="35"/>
      <c r="DG250" s="35"/>
      <c r="DH250" s="35"/>
      <c r="DI250" s="35"/>
      <c r="DJ250" s="35"/>
      <c r="DK250" s="35"/>
      <c r="DL250" s="35"/>
      <c r="DM250" s="35"/>
      <c r="DN250" s="35"/>
      <c r="DO250" s="35"/>
      <c r="DP250" s="35"/>
      <c r="DQ250" s="35"/>
      <c r="DR250" s="35"/>
      <c r="DS250" s="35"/>
      <c r="DT250" s="35"/>
      <c r="DU250" s="35"/>
      <c r="DV250" s="35"/>
      <c r="DW250" s="35"/>
      <c r="DX250" s="35"/>
      <c r="DY250" s="35"/>
      <c r="DZ250" s="35"/>
      <c r="EA250" s="35"/>
      <c r="EB250" s="35"/>
      <c r="EC250" s="35"/>
      <c r="ED250" s="35"/>
      <c r="EE250" s="35"/>
      <c r="EF250" s="35"/>
      <c r="EG250" s="35"/>
      <c r="EH250" s="35"/>
      <c r="EI250" s="35"/>
      <c r="EJ250" s="35"/>
      <c r="EK250" s="35"/>
      <c r="EL250" s="35"/>
      <c r="EM250" s="35"/>
      <c r="EN250" s="35"/>
      <c r="EO250" s="35"/>
      <c r="EP250" s="35"/>
      <c r="EQ250" s="35"/>
      <c r="ER250" s="35"/>
      <c r="ES250" s="35"/>
      <c r="ET250" s="35"/>
      <c r="EU250" s="35"/>
      <c r="EV250" s="35"/>
      <c r="EW250" s="35"/>
      <c r="EX250" s="35"/>
      <c r="EY250" s="35"/>
      <c r="EZ250" s="35"/>
      <c r="FA250" s="35"/>
      <c r="FB250" s="35"/>
      <c r="FC250" s="458">
        <f t="shared" si="27"/>
        <v>0</v>
      </c>
      <c r="FD250">
        <f t="shared" si="25"/>
        <v>0</v>
      </c>
      <c r="FE250" t="e">
        <f t="shared" si="26"/>
        <v>#N/A</v>
      </c>
      <c r="FI250" s="731" t="e">
        <f t="shared" si="28"/>
        <v>#VALUE!</v>
      </c>
      <c r="FK250" s="471" t="str">
        <f t="shared" si="29"/>
        <v xml:space="preserve"> </v>
      </c>
      <c r="FL250" s="730">
        <f t="shared" si="30"/>
        <v>0</v>
      </c>
      <c r="FM250" s="471" t="str">
        <f t="shared" si="31"/>
        <v/>
      </c>
      <c r="FN250" s="730">
        <f t="shared" si="32"/>
        <v>0</v>
      </c>
    </row>
    <row r="251" spans="1:170" s="33" customFormat="1" x14ac:dyDescent="0.2">
      <c r="A251" s="34" t="s">
        <v>301</v>
      </c>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c r="BI251" s="35"/>
      <c r="BJ251" s="35"/>
      <c r="BK251" s="35"/>
      <c r="BL251" s="35"/>
      <c r="BM251" s="35"/>
      <c r="BN251" s="35"/>
      <c r="BO251" s="35"/>
      <c r="BP251" s="35"/>
      <c r="BQ251" s="35"/>
      <c r="BR251" s="35"/>
      <c r="BS251" s="35"/>
      <c r="BT251" s="35"/>
      <c r="BU251" s="35"/>
      <c r="BV251" s="35"/>
      <c r="BW251" s="35"/>
      <c r="BX251" s="35"/>
      <c r="BY251" s="35"/>
      <c r="BZ251" s="35"/>
      <c r="CA251" s="35"/>
      <c r="CB251" s="35"/>
      <c r="CC251" s="35"/>
      <c r="CD251" s="35"/>
      <c r="CE251" s="35"/>
      <c r="CF251" s="35"/>
      <c r="CG251" s="35"/>
      <c r="CH251" s="35"/>
      <c r="CI251" s="35"/>
      <c r="CJ251" s="35"/>
      <c r="CK251" s="35"/>
      <c r="CL251" s="35"/>
      <c r="CM251" s="35"/>
      <c r="CN251" s="35"/>
      <c r="CO251" s="35"/>
      <c r="CP251" s="35"/>
      <c r="CQ251" s="35"/>
      <c r="CR251" s="35"/>
      <c r="CS251" s="35"/>
      <c r="CT251" s="35"/>
      <c r="CU251" s="35"/>
      <c r="CV251" s="35"/>
      <c r="CW251" s="35"/>
      <c r="CX251" s="35"/>
      <c r="CY251" s="35"/>
      <c r="CZ251" s="35"/>
      <c r="DA251" s="35"/>
      <c r="DB251" s="35"/>
      <c r="DC251" s="35"/>
      <c r="DD251" s="35"/>
      <c r="DE251" s="35"/>
      <c r="DF251" s="35"/>
      <c r="DG251" s="35"/>
      <c r="DH251" s="35"/>
      <c r="DI251" s="35"/>
      <c r="DJ251" s="35"/>
      <c r="DK251" s="35"/>
      <c r="DL251" s="35"/>
      <c r="DM251" s="35"/>
      <c r="DN251" s="35"/>
      <c r="DO251" s="35"/>
      <c r="DP251" s="35"/>
      <c r="DQ251" s="35"/>
      <c r="DR251" s="35"/>
      <c r="DS251" s="35"/>
      <c r="DT251" s="35"/>
      <c r="DU251" s="35"/>
      <c r="DV251" s="35"/>
      <c r="DW251" s="35"/>
      <c r="DX251" s="35"/>
      <c r="DY251" s="35"/>
      <c r="DZ251" s="35"/>
      <c r="EA251" s="35"/>
      <c r="EB251" s="35"/>
      <c r="EC251" s="35"/>
      <c r="ED251" s="35"/>
      <c r="EE251" s="35"/>
      <c r="EF251" s="35"/>
      <c r="EG251" s="35"/>
      <c r="EH251" s="35"/>
      <c r="EI251" s="35"/>
      <c r="EJ251" s="35"/>
      <c r="EK251" s="35"/>
      <c r="EL251" s="35"/>
      <c r="EM251" s="35"/>
      <c r="EN251" s="35"/>
      <c r="EO251" s="35"/>
      <c r="EP251" s="35"/>
      <c r="EQ251" s="35"/>
      <c r="ER251" s="35"/>
      <c r="ES251" s="35"/>
      <c r="ET251" s="35"/>
      <c r="EU251" s="35"/>
      <c r="EV251" s="35"/>
      <c r="EW251" s="35"/>
      <c r="EX251" s="35"/>
      <c r="EY251" s="35"/>
      <c r="EZ251" s="35"/>
      <c r="FA251" s="35"/>
      <c r="FB251" s="35"/>
      <c r="FC251" s="458">
        <f t="shared" si="27"/>
        <v>0</v>
      </c>
      <c r="FD251">
        <f t="shared" si="25"/>
        <v>0</v>
      </c>
      <c r="FE251" t="e">
        <f t="shared" si="26"/>
        <v>#N/A</v>
      </c>
      <c r="FI251" s="731" t="e">
        <f t="shared" si="28"/>
        <v>#VALUE!</v>
      </c>
      <c r="FK251" s="471" t="str">
        <f t="shared" si="29"/>
        <v xml:space="preserve"> </v>
      </c>
      <c r="FL251" s="730">
        <f t="shared" si="30"/>
        <v>0</v>
      </c>
      <c r="FM251" s="471" t="str">
        <f t="shared" si="31"/>
        <v/>
      </c>
      <c r="FN251" s="730">
        <f t="shared" si="32"/>
        <v>0</v>
      </c>
    </row>
    <row r="252" spans="1:170" s="33" customFormat="1" x14ac:dyDescent="0.2">
      <c r="A252" s="34" t="s">
        <v>302</v>
      </c>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c r="BI252" s="35"/>
      <c r="BJ252" s="35"/>
      <c r="BK252" s="35"/>
      <c r="BL252" s="35"/>
      <c r="BM252" s="35"/>
      <c r="BN252" s="35"/>
      <c r="BO252" s="35"/>
      <c r="BP252" s="35"/>
      <c r="BQ252" s="35"/>
      <c r="BR252" s="35"/>
      <c r="BS252" s="35"/>
      <c r="BT252" s="35"/>
      <c r="BU252" s="35"/>
      <c r="BV252" s="35"/>
      <c r="BW252" s="35"/>
      <c r="BX252" s="35"/>
      <c r="BY252" s="35"/>
      <c r="BZ252" s="35"/>
      <c r="CA252" s="35"/>
      <c r="CB252" s="35"/>
      <c r="CC252" s="35"/>
      <c r="CD252" s="35"/>
      <c r="CE252" s="35"/>
      <c r="CF252" s="35"/>
      <c r="CG252" s="35"/>
      <c r="CH252" s="35"/>
      <c r="CI252" s="35"/>
      <c r="CJ252" s="35"/>
      <c r="CK252" s="35"/>
      <c r="CL252" s="35"/>
      <c r="CM252" s="35"/>
      <c r="CN252" s="35"/>
      <c r="CO252" s="35"/>
      <c r="CP252" s="35"/>
      <c r="CQ252" s="35"/>
      <c r="CR252" s="35"/>
      <c r="CS252" s="35"/>
      <c r="CT252" s="35"/>
      <c r="CU252" s="35"/>
      <c r="CV252" s="35"/>
      <c r="CW252" s="35"/>
      <c r="CX252" s="35"/>
      <c r="CY252" s="35"/>
      <c r="CZ252" s="35"/>
      <c r="DA252" s="35"/>
      <c r="DB252" s="35"/>
      <c r="DC252" s="35"/>
      <c r="DD252" s="35"/>
      <c r="DE252" s="35"/>
      <c r="DF252" s="35"/>
      <c r="DG252" s="35"/>
      <c r="DH252" s="35"/>
      <c r="DI252" s="35"/>
      <c r="DJ252" s="35"/>
      <c r="DK252" s="35"/>
      <c r="DL252" s="35"/>
      <c r="DM252" s="35"/>
      <c r="DN252" s="35"/>
      <c r="DO252" s="35"/>
      <c r="DP252" s="35"/>
      <c r="DQ252" s="35"/>
      <c r="DR252" s="35"/>
      <c r="DS252" s="35"/>
      <c r="DT252" s="35"/>
      <c r="DU252" s="35"/>
      <c r="DV252" s="35"/>
      <c r="DW252" s="35"/>
      <c r="DX252" s="35"/>
      <c r="DY252" s="35"/>
      <c r="DZ252" s="35"/>
      <c r="EA252" s="35"/>
      <c r="EB252" s="35"/>
      <c r="EC252" s="35"/>
      <c r="ED252" s="35"/>
      <c r="EE252" s="35"/>
      <c r="EF252" s="35"/>
      <c r="EG252" s="35"/>
      <c r="EH252" s="35"/>
      <c r="EI252" s="35"/>
      <c r="EJ252" s="35"/>
      <c r="EK252" s="35"/>
      <c r="EL252" s="35"/>
      <c r="EM252" s="35"/>
      <c r="EN252" s="35"/>
      <c r="EO252" s="35"/>
      <c r="EP252" s="35"/>
      <c r="EQ252" s="35"/>
      <c r="ER252" s="35"/>
      <c r="ES252" s="35"/>
      <c r="ET252" s="35"/>
      <c r="EU252" s="35"/>
      <c r="EV252" s="35"/>
      <c r="EW252" s="35"/>
      <c r="EX252" s="35"/>
      <c r="EY252" s="35"/>
      <c r="EZ252" s="35"/>
      <c r="FA252" s="35"/>
      <c r="FB252" s="35"/>
      <c r="FC252" s="458">
        <f t="shared" si="27"/>
        <v>0</v>
      </c>
      <c r="FD252">
        <f t="shared" si="25"/>
        <v>0</v>
      </c>
      <c r="FE252" t="e">
        <f t="shared" si="26"/>
        <v>#N/A</v>
      </c>
      <c r="FI252" s="731" t="e">
        <f t="shared" si="28"/>
        <v>#VALUE!</v>
      </c>
      <c r="FK252" s="471" t="str">
        <f t="shared" si="29"/>
        <v xml:space="preserve"> </v>
      </c>
      <c r="FL252" s="730">
        <f t="shared" si="30"/>
        <v>0</v>
      </c>
      <c r="FM252" s="471" t="str">
        <f t="shared" si="31"/>
        <v/>
      </c>
      <c r="FN252" s="730">
        <f t="shared" si="32"/>
        <v>0</v>
      </c>
    </row>
    <row r="253" spans="1:170" s="33" customFormat="1" x14ac:dyDescent="0.2">
      <c r="A253" s="34" t="s">
        <v>303</v>
      </c>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s="35"/>
      <c r="BI253" s="35"/>
      <c r="BJ253" s="35"/>
      <c r="BK253" s="35"/>
      <c r="BL253" s="35"/>
      <c r="BM253" s="35"/>
      <c r="BN253" s="35"/>
      <c r="BO253" s="35"/>
      <c r="BP253" s="35"/>
      <c r="BQ253" s="35"/>
      <c r="BR253" s="35"/>
      <c r="BS253" s="35"/>
      <c r="BT253" s="35"/>
      <c r="BU253" s="35"/>
      <c r="BV253" s="35"/>
      <c r="BW253" s="35"/>
      <c r="BX253" s="35"/>
      <c r="BY253" s="35"/>
      <c r="BZ253" s="35"/>
      <c r="CA253" s="35"/>
      <c r="CB253" s="35"/>
      <c r="CC253" s="35"/>
      <c r="CD253" s="35"/>
      <c r="CE253" s="35"/>
      <c r="CF253" s="35"/>
      <c r="CG253" s="35"/>
      <c r="CH253" s="35"/>
      <c r="CI253" s="35"/>
      <c r="CJ253" s="35"/>
      <c r="CK253" s="35"/>
      <c r="CL253" s="35"/>
      <c r="CM253" s="35"/>
      <c r="CN253" s="35"/>
      <c r="CO253" s="35"/>
      <c r="CP253" s="35"/>
      <c r="CQ253" s="35"/>
      <c r="CR253" s="35"/>
      <c r="CS253" s="35"/>
      <c r="CT253" s="35"/>
      <c r="CU253" s="35"/>
      <c r="CV253" s="35"/>
      <c r="CW253" s="35"/>
      <c r="CX253" s="35"/>
      <c r="CY253" s="35"/>
      <c r="CZ253" s="35"/>
      <c r="DA253" s="35"/>
      <c r="DB253" s="35"/>
      <c r="DC253" s="35"/>
      <c r="DD253" s="35"/>
      <c r="DE253" s="35"/>
      <c r="DF253" s="35"/>
      <c r="DG253" s="35"/>
      <c r="DH253" s="35"/>
      <c r="DI253" s="35"/>
      <c r="DJ253" s="35"/>
      <c r="DK253" s="35"/>
      <c r="DL253" s="35"/>
      <c r="DM253" s="35"/>
      <c r="DN253" s="35"/>
      <c r="DO253" s="35"/>
      <c r="DP253" s="35"/>
      <c r="DQ253" s="35"/>
      <c r="DR253" s="35"/>
      <c r="DS253" s="35"/>
      <c r="DT253" s="35"/>
      <c r="DU253" s="35"/>
      <c r="DV253" s="35"/>
      <c r="DW253" s="35"/>
      <c r="DX253" s="35"/>
      <c r="DY253" s="35"/>
      <c r="DZ253" s="35"/>
      <c r="EA253" s="35"/>
      <c r="EB253" s="35"/>
      <c r="EC253" s="35"/>
      <c r="ED253" s="35"/>
      <c r="EE253" s="35"/>
      <c r="EF253" s="35"/>
      <c r="EG253" s="35"/>
      <c r="EH253" s="35"/>
      <c r="EI253" s="35"/>
      <c r="EJ253" s="35"/>
      <c r="EK253" s="35"/>
      <c r="EL253" s="35"/>
      <c r="EM253" s="35"/>
      <c r="EN253" s="35"/>
      <c r="EO253" s="35"/>
      <c r="EP253" s="35"/>
      <c r="EQ253" s="35"/>
      <c r="ER253" s="35"/>
      <c r="ES253" s="35"/>
      <c r="ET253" s="35"/>
      <c r="EU253" s="35"/>
      <c r="EV253" s="35"/>
      <c r="EW253" s="35"/>
      <c r="EX253" s="35"/>
      <c r="EY253" s="35"/>
      <c r="EZ253" s="35"/>
      <c r="FA253" s="35"/>
      <c r="FB253" s="35"/>
      <c r="FC253" s="458">
        <f t="shared" si="27"/>
        <v>0</v>
      </c>
      <c r="FD253">
        <f t="shared" si="25"/>
        <v>0</v>
      </c>
      <c r="FE253" t="e">
        <f t="shared" si="26"/>
        <v>#N/A</v>
      </c>
      <c r="FI253" s="731" t="e">
        <f t="shared" si="28"/>
        <v>#VALUE!</v>
      </c>
      <c r="FK253" s="471" t="str">
        <f t="shared" si="29"/>
        <v xml:space="preserve"> </v>
      </c>
      <c r="FL253" s="730">
        <f t="shared" si="30"/>
        <v>0</v>
      </c>
      <c r="FM253" s="471" t="str">
        <f t="shared" si="31"/>
        <v/>
      </c>
      <c r="FN253" s="730">
        <f t="shared" si="32"/>
        <v>0</v>
      </c>
    </row>
    <row r="254" spans="1:170" s="33" customFormat="1" x14ac:dyDescent="0.2">
      <c r="A254" s="34" t="s">
        <v>304</v>
      </c>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c r="BG254" s="35"/>
      <c r="BH254" s="35"/>
      <c r="BI254" s="35"/>
      <c r="BJ254" s="35"/>
      <c r="BK254" s="35"/>
      <c r="BL254" s="35"/>
      <c r="BM254" s="35"/>
      <c r="BN254" s="35"/>
      <c r="BO254" s="35"/>
      <c r="BP254" s="35"/>
      <c r="BQ254" s="35"/>
      <c r="BR254" s="35"/>
      <c r="BS254" s="35"/>
      <c r="BT254" s="35"/>
      <c r="BU254" s="35"/>
      <c r="BV254" s="35"/>
      <c r="BW254" s="35"/>
      <c r="BX254" s="35"/>
      <c r="BY254" s="35"/>
      <c r="BZ254" s="35"/>
      <c r="CA254" s="35"/>
      <c r="CB254" s="35"/>
      <c r="CC254" s="35"/>
      <c r="CD254" s="35"/>
      <c r="CE254" s="35"/>
      <c r="CF254" s="35"/>
      <c r="CG254" s="35"/>
      <c r="CH254" s="35"/>
      <c r="CI254" s="35"/>
      <c r="CJ254" s="35"/>
      <c r="CK254" s="35"/>
      <c r="CL254" s="35"/>
      <c r="CM254" s="35"/>
      <c r="CN254" s="35"/>
      <c r="CO254" s="35"/>
      <c r="CP254" s="35"/>
      <c r="CQ254" s="35"/>
      <c r="CR254" s="35"/>
      <c r="CS254" s="35"/>
      <c r="CT254" s="35"/>
      <c r="CU254" s="35"/>
      <c r="CV254" s="35"/>
      <c r="CW254" s="35"/>
      <c r="CX254" s="35"/>
      <c r="CY254" s="35"/>
      <c r="CZ254" s="35"/>
      <c r="DA254" s="35"/>
      <c r="DB254" s="35"/>
      <c r="DC254" s="35"/>
      <c r="DD254" s="35"/>
      <c r="DE254" s="35"/>
      <c r="DF254" s="35"/>
      <c r="DG254" s="35"/>
      <c r="DH254" s="35"/>
      <c r="DI254" s="35"/>
      <c r="DJ254" s="35"/>
      <c r="DK254" s="35"/>
      <c r="DL254" s="35"/>
      <c r="DM254" s="35"/>
      <c r="DN254" s="35"/>
      <c r="DO254" s="35"/>
      <c r="DP254" s="35"/>
      <c r="DQ254" s="35"/>
      <c r="DR254" s="35"/>
      <c r="DS254" s="35"/>
      <c r="DT254" s="35"/>
      <c r="DU254" s="35"/>
      <c r="DV254" s="35"/>
      <c r="DW254" s="35"/>
      <c r="DX254" s="35"/>
      <c r="DY254" s="35"/>
      <c r="DZ254" s="35"/>
      <c r="EA254" s="35"/>
      <c r="EB254" s="35"/>
      <c r="EC254" s="35"/>
      <c r="ED254" s="35"/>
      <c r="EE254" s="35"/>
      <c r="EF254" s="35"/>
      <c r="EG254" s="35"/>
      <c r="EH254" s="35"/>
      <c r="EI254" s="35"/>
      <c r="EJ254" s="35"/>
      <c r="EK254" s="35"/>
      <c r="EL254" s="35"/>
      <c r="EM254" s="35"/>
      <c r="EN254" s="35"/>
      <c r="EO254" s="35"/>
      <c r="EP254" s="35"/>
      <c r="EQ254" s="35"/>
      <c r="ER254" s="35"/>
      <c r="ES254" s="35"/>
      <c r="ET254" s="35"/>
      <c r="EU254" s="35"/>
      <c r="EV254" s="35"/>
      <c r="EW254" s="35"/>
      <c r="EX254" s="35"/>
      <c r="EY254" s="35"/>
      <c r="EZ254" s="35"/>
      <c r="FA254" s="35"/>
      <c r="FB254" s="35"/>
      <c r="FC254" s="458">
        <f t="shared" si="27"/>
        <v>0</v>
      </c>
      <c r="FD254">
        <f t="shared" si="25"/>
        <v>0</v>
      </c>
      <c r="FE254" t="e">
        <f t="shared" si="26"/>
        <v>#N/A</v>
      </c>
      <c r="FI254" s="731" t="e">
        <f t="shared" si="28"/>
        <v>#VALUE!</v>
      </c>
      <c r="FK254" s="471" t="str">
        <f t="shared" si="29"/>
        <v xml:space="preserve"> </v>
      </c>
      <c r="FL254" s="730">
        <f t="shared" si="30"/>
        <v>0</v>
      </c>
      <c r="FM254" s="471" t="str">
        <f t="shared" si="31"/>
        <v/>
      </c>
      <c r="FN254" s="730">
        <f t="shared" si="32"/>
        <v>0</v>
      </c>
    </row>
    <row r="255" spans="1:170" s="33" customFormat="1" x14ac:dyDescent="0.2">
      <c r="A255" s="34" t="s">
        <v>305</v>
      </c>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s="35"/>
      <c r="BI255" s="35"/>
      <c r="BJ255" s="35"/>
      <c r="BK255" s="35"/>
      <c r="BL255" s="35"/>
      <c r="BM255" s="35"/>
      <c r="BN255" s="35"/>
      <c r="BO255" s="35"/>
      <c r="BP255" s="35"/>
      <c r="BQ255" s="35"/>
      <c r="BR255" s="35"/>
      <c r="BS255" s="35"/>
      <c r="BT255" s="35"/>
      <c r="BU255" s="35"/>
      <c r="BV255" s="35"/>
      <c r="BW255" s="35"/>
      <c r="BX255" s="35"/>
      <c r="BY255" s="35"/>
      <c r="BZ255" s="35"/>
      <c r="CA255" s="35"/>
      <c r="CB255" s="35"/>
      <c r="CC255" s="35"/>
      <c r="CD255" s="35"/>
      <c r="CE255" s="35"/>
      <c r="CF255" s="35"/>
      <c r="CG255" s="35"/>
      <c r="CH255" s="35"/>
      <c r="CI255" s="35"/>
      <c r="CJ255" s="35"/>
      <c r="CK255" s="35"/>
      <c r="CL255" s="35"/>
      <c r="CM255" s="35"/>
      <c r="CN255" s="35"/>
      <c r="CO255" s="35"/>
      <c r="CP255" s="35"/>
      <c r="CQ255" s="35"/>
      <c r="CR255" s="35"/>
      <c r="CS255" s="35"/>
      <c r="CT255" s="35"/>
      <c r="CU255" s="35"/>
      <c r="CV255" s="35"/>
      <c r="CW255" s="35"/>
      <c r="CX255" s="35"/>
      <c r="CY255" s="35"/>
      <c r="CZ255" s="35"/>
      <c r="DA255" s="35"/>
      <c r="DB255" s="35"/>
      <c r="DC255" s="35"/>
      <c r="DD255" s="35"/>
      <c r="DE255" s="35"/>
      <c r="DF255" s="35"/>
      <c r="DG255" s="35"/>
      <c r="DH255" s="35"/>
      <c r="DI255" s="35"/>
      <c r="DJ255" s="35"/>
      <c r="DK255" s="35"/>
      <c r="DL255" s="35"/>
      <c r="DM255" s="35"/>
      <c r="DN255" s="35"/>
      <c r="DO255" s="35"/>
      <c r="DP255" s="35"/>
      <c r="DQ255" s="35"/>
      <c r="DR255" s="35"/>
      <c r="DS255" s="35"/>
      <c r="DT255" s="35"/>
      <c r="DU255" s="35"/>
      <c r="DV255" s="35"/>
      <c r="DW255" s="35"/>
      <c r="DX255" s="35"/>
      <c r="DY255" s="35"/>
      <c r="DZ255" s="35"/>
      <c r="EA255" s="35"/>
      <c r="EB255" s="35"/>
      <c r="EC255" s="35"/>
      <c r="ED255" s="35"/>
      <c r="EE255" s="35"/>
      <c r="EF255" s="35"/>
      <c r="EG255" s="35"/>
      <c r="EH255" s="35"/>
      <c r="EI255" s="35"/>
      <c r="EJ255" s="35"/>
      <c r="EK255" s="35"/>
      <c r="EL255" s="35"/>
      <c r="EM255" s="35"/>
      <c r="EN255" s="35"/>
      <c r="EO255" s="35"/>
      <c r="EP255" s="35"/>
      <c r="EQ255" s="35"/>
      <c r="ER255" s="35"/>
      <c r="ES255" s="35"/>
      <c r="ET255" s="35"/>
      <c r="EU255" s="35"/>
      <c r="EV255" s="35"/>
      <c r="EW255" s="35"/>
      <c r="EX255" s="35"/>
      <c r="EY255" s="35"/>
      <c r="EZ255" s="35"/>
      <c r="FA255" s="35"/>
      <c r="FB255" s="35"/>
      <c r="FC255" s="458">
        <f t="shared" si="27"/>
        <v>0</v>
      </c>
      <c r="FD255">
        <f t="shared" si="25"/>
        <v>0</v>
      </c>
      <c r="FE255" t="e">
        <f t="shared" si="26"/>
        <v>#N/A</v>
      </c>
      <c r="FI255" s="731" t="e">
        <f t="shared" si="28"/>
        <v>#VALUE!</v>
      </c>
      <c r="FK255" s="471" t="str">
        <f t="shared" si="29"/>
        <v xml:space="preserve"> </v>
      </c>
      <c r="FL255" s="730">
        <f t="shared" si="30"/>
        <v>0</v>
      </c>
      <c r="FM255" s="471" t="str">
        <f t="shared" si="31"/>
        <v/>
      </c>
      <c r="FN255" s="730">
        <f t="shared" si="32"/>
        <v>0</v>
      </c>
    </row>
    <row r="256" spans="1:170" s="33" customFormat="1" x14ac:dyDescent="0.2">
      <c r="A256" s="34" t="s">
        <v>306</v>
      </c>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s="35"/>
      <c r="BI256" s="35"/>
      <c r="BJ256" s="35"/>
      <c r="BK256" s="35"/>
      <c r="BL256" s="35"/>
      <c r="BM256" s="35"/>
      <c r="BN256" s="35"/>
      <c r="BO256" s="35"/>
      <c r="BP256" s="35"/>
      <c r="BQ256" s="35"/>
      <c r="BR256" s="35"/>
      <c r="BS256" s="35"/>
      <c r="BT256" s="35"/>
      <c r="BU256" s="35"/>
      <c r="BV256" s="35"/>
      <c r="BW256" s="35"/>
      <c r="BX256" s="35"/>
      <c r="BY256" s="35"/>
      <c r="BZ256" s="35"/>
      <c r="CA256" s="35"/>
      <c r="CB256" s="35"/>
      <c r="CC256" s="35"/>
      <c r="CD256" s="35"/>
      <c r="CE256" s="35"/>
      <c r="CF256" s="35"/>
      <c r="CG256" s="35"/>
      <c r="CH256" s="35"/>
      <c r="CI256" s="35"/>
      <c r="CJ256" s="35"/>
      <c r="CK256" s="35"/>
      <c r="CL256" s="35"/>
      <c r="CM256" s="35"/>
      <c r="CN256" s="35"/>
      <c r="CO256" s="35"/>
      <c r="CP256" s="35"/>
      <c r="CQ256" s="35"/>
      <c r="CR256" s="35"/>
      <c r="CS256" s="35"/>
      <c r="CT256" s="35"/>
      <c r="CU256" s="35"/>
      <c r="CV256" s="35"/>
      <c r="CW256" s="35"/>
      <c r="CX256" s="35"/>
      <c r="CY256" s="35"/>
      <c r="CZ256" s="35"/>
      <c r="DA256" s="35"/>
      <c r="DB256" s="35"/>
      <c r="DC256" s="35"/>
      <c r="DD256" s="35"/>
      <c r="DE256" s="35"/>
      <c r="DF256" s="35"/>
      <c r="DG256" s="35"/>
      <c r="DH256" s="35"/>
      <c r="DI256" s="35"/>
      <c r="DJ256" s="35"/>
      <c r="DK256" s="35"/>
      <c r="DL256" s="35"/>
      <c r="DM256" s="35"/>
      <c r="DN256" s="35"/>
      <c r="DO256" s="35"/>
      <c r="DP256" s="35"/>
      <c r="DQ256" s="35"/>
      <c r="DR256" s="35"/>
      <c r="DS256" s="35"/>
      <c r="DT256" s="35"/>
      <c r="DU256" s="35"/>
      <c r="DV256" s="35"/>
      <c r="DW256" s="35"/>
      <c r="DX256" s="35"/>
      <c r="DY256" s="35"/>
      <c r="DZ256" s="35"/>
      <c r="EA256" s="35"/>
      <c r="EB256" s="35"/>
      <c r="EC256" s="35"/>
      <c r="ED256" s="35"/>
      <c r="EE256" s="35"/>
      <c r="EF256" s="35"/>
      <c r="EG256" s="35"/>
      <c r="EH256" s="35"/>
      <c r="EI256" s="35"/>
      <c r="EJ256" s="35"/>
      <c r="EK256" s="35"/>
      <c r="EL256" s="35"/>
      <c r="EM256" s="35"/>
      <c r="EN256" s="35"/>
      <c r="EO256" s="35"/>
      <c r="EP256" s="35"/>
      <c r="EQ256" s="35"/>
      <c r="ER256" s="35"/>
      <c r="ES256" s="35"/>
      <c r="ET256" s="35"/>
      <c r="EU256" s="35"/>
      <c r="EV256" s="35"/>
      <c r="EW256" s="35"/>
      <c r="EX256" s="35"/>
      <c r="EY256" s="35"/>
      <c r="EZ256" s="35"/>
      <c r="FA256" s="35"/>
      <c r="FB256" s="35"/>
      <c r="FC256" s="458">
        <f t="shared" si="27"/>
        <v>0</v>
      </c>
      <c r="FD256">
        <f t="shared" si="25"/>
        <v>0</v>
      </c>
      <c r="FE256" t="e">
        <f t="shared" si="26"/>
        <v>#N/A</v>
      </c>
      <c r="FI256" s="731" t="e">
        <f t="shared" si="28"/>
        <v>#VALUE!</v>
      </c>
      <c r="FK256" s="471" t="str">
        <f t="shared" si="29"/>
        <v xml:space="preserve"> </v>
      </c>
      <c r="FL256" s="730">
        <f t="shared" si="30"/>
        <v>0</v>
      </c>
      <c r="FM256" s="471" t="str">
        <f t="shared" si="31"/>
        <v/>
      </c>
      <c r="FN256" s="730">
        <f t="shared" si="32"/>
        <v>0</v>
      </c>
    </row>
    <row r="257" spans="1:170" s="33" customFormat="1" x14ac:dyDescent="0.2">
      <c r="A257" s="34" t="s">
        <v>307</v>
      </c>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c r="BO257" s="35"/>
      <c r="BP257" s="35"/>
      <c r="BQ257" s="35"/>
      <c r="BR257" s="35"/>
      <c r="BS257" s="35"/>
      <c r="BT257" s="35"/>
      <c r="BU257" s="35"/>
      <c r="BV257" s="35"/>
      <c r="BW257" s="35"/>
      <c r="BX257" s="35"/>
      <c r="BY257" s="35"/>
      <c r="BZ257" s="35"/>
      <c r="CA257" s="35"/>
      <c r="CB257" s="35"/>
      <c r="CC257" s="35"/>
      <c r="CD257" s="35"/>
      <c r="CE257" s="35"/>
      <c r="CF257" s="35"/>
      <c r="CG257" s="35"/>
      <c r="CH257" s="35"/>
      <c r="CI257" s="35"/>
      <c r="CJ257" s="35"/>
      <c r="CK257" s="35"/>
      <c r="CL257" s="35"/>
      <c r="CM257" s="35"/>
      <c r="CN257" s="35"/>
      <c r="CO257" s="35"/>
      <c r="CP257" s="35"/>
      <c r="CQ257" s="35"/>
      <c r="CR257" s="35"/>
      <c r="CS257" s="35"/>
      <c r="CT257" s="35"/>
      <c r="CU257" s="35"/>
      <c r="CV257" s="35"/>
      <c r="CW257" s="35"/>
      <c r="CX257" s="35"/>
      <c r="CY257" s="35"/>
      <c r="CZ257" s="35"/>
      <c r="DA257" s="35"/>
      <c r="DB257" s="35"/>
      <c r="DC257" s="35"/>
      <c r="DD257" s="35"/>
      <c r="DE257" s="35"/>
      <c r="DF257" s="35"/>
      <c r="DG257" s="35"/>
      <c r="DH257" s="35"/>
      <c r="DI257" s="35"/>
      <c r="DJ257" s="35"/>
      <c r="DK257" s="35"/>
      <c r="DL257" s="35"/>
      <c r="DM257" s="35"/>
      <c r="DN257" s="35"/>
      <c r="DO257" s="35"/>
      <c r="DP257" s="35"/>
      <c r="DQ257" s="35"/>
      <c r="DR257" s="35"/>
      <c r="DS257" s="35"/>
      <c r="DT257" s="35"/>
      <c r="DU257" s="35"/>
      <c r="DV257" s="35"/>
      <c r="DW257" s="35"/>
      <c r="DX257" s="35"/>
      <c r="DY257" s="35"/>
      <c r="DZ257" s="35"/>
      <c r="EA257" s="35"/>
      <c r="EB257" s="35"/>
      <c r="EC257" s="35"/>
      <c r="ED257" s="35"/>
      <c r="EE257" s="35"/>
      <c r="EF257" s="35"/>
      <c r="EG257" s="35"/>
      <c r="EH257" s="35"/>
      <c r="EI257" s="35"/>
      <c r="EJ257" s="35"/>
      <c r="EK257" s="35"/>
      <c r="EL257" s="35"/>
      <c r="EM257" s="35"/>
      <c r="EN257" s="35"/>
      <c r="EO257" s="35"/>
      <c r="EP257" s="35"/>
      <c r="EQ257" s="35"/>
      <c r="ER257" s="35"/>
      <c r="ES257" s="35"/>
      <c r="ET257" s="35"/>
      <c r="EU257" s="35"/>
      <c r="EV257" s="35"/>
      <c r="EW257" s="35"/>
      <c r="EX257" s="35"/>
      <c r="EY257" s="35"/>
      <c r="EZ257" s="35"/>
      <c r="FA257" s="35"/>
      <c r="FB257" s="35"/>
      <c r="FC257" s="458">
        <f t="shared" si="27"/>
        <v>0</v>
      </c>
      <c r="FD257">
        <f t="shared" si="25"/>
        <v>0</v>
      </c>
      <c r="FE257" t="e">
        <f t="shared" si="26"/>
        <v>#N/A</v>
      </c>
      <c r="FI257" s="731" t="e">
        <f t="shared" si="28"/>
        <v>#VALUE!</v>
      </c>
      <c r="FK257" s="471" t="str">
        <f t="shared" si="29"/>
        <v xml:space="preserve"> </v>
      </c>
      <c r="FL257" s="730">
        <f t="shared" si="30"/>
        <v>0</v>
      </c>
      <c r="FM257" s="471" t="str">
        <f t="shared" si="31"/>
        <v/>
      </c>
      <c r="FN257" s="730">
        <f t="shared" si="32"/>
        <v>0</v>
      </c>
    </row>
    <row r="258" spans="1:170" s="33" customFormat="1" x14ac:dyDescent="0.2">
      <c r="A258" s="34" t="s">
        <v>308</v>
      </c>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c r="BG258" s="35"/>
      <c r="BH258" s="35"/>
      <c r="BI258" s="35"/>
      <c r="BJ258" s="35"/>
      <c r="BK258" s="35"/>
      <c r="BL258" s="35"/>
      <c r="BM258" s="35"/>
      <c r="BN258" s="35"/>
      <c r="BO258" s="35"/>
      <c r="BP258" s="35"/>
      <c r="BQ258" s="35"/>
      <c r="BR258" s="35"/>
      <c r="BS258" s="35"/>
      <c r="BT258" s="35"/>
      <c r="BU258" s="35"/>
      <c r="BV258" s="35"/>
      <c r="BW258" s="35"/>
      <c r="BX258" s="35"/>
      <c r="BY258" s="35"/>
      <c r="BZ258" s="35"/>
      <c r="CA258" s="35"/>
      <c r="CB258" s="35"/>
      <c r="CC258" s="35"/>
      <c r="CD258" s="35"/>
      <c r="CE258" s="35"/>
      <c r="CF258" s="35"/>
      <c r="CG258" s="35"/>
      <c r="CH258" s="35"/>
      <c r="CI258" s="35"/>
      <c r="CJ258" s="35"/>
      <c r="CK258" s="35"/>
      <c r="CL258" s="35"/>
      <c r="CM258" s="35"/>
      <c r="CN258" s="35"/>
      <c r="CO258" s="35"/>
      <c r="CP258" s="35"/>
      <c r="CQ258" s="35"/>
      <c r="CR258" s="35"/>
      <c r="CS258" s="35"/>
      <c r="CT258" s="35"/>
      <c r="CU258" s="35"/>
      <c r="CV258" s="35"/>
      <c r="CW258" s="35"/>
      <c r="CX258" s="35"/>
      <c r="CY258" s="35"/>
      <c r="CZ258" s="35"/>
      <c r="DA258" s="35"/>
      <c r="DB258" s="35"/>
      <c r="DC258" s="35"/>
      <c r="DD258" s="35"/>
      <c r="DE258" s="35"/>
      <c r="DF258" s="35"/>
      <c r="DG258" s="35"/>
      <c r="DH258" s="35"/>
      <c r="DI258" s="35"/>
      <c r="DJ258" s="35"/>
      <c r="DK258" s="35"/>
      <c r="DL258" s="35"/>
      <c r="DM258" s="35"/>
      <c r="DN258" s="35"/>
      <c r="DO258" s="35"/>
      <c r="DP258" s="35"/>
      <c r="DQ258" s="35"/>
      <c r="DR258" s="35"/>
      <c r="DS258" s="35"/>
      <c r="DT258" s="35"/>
      <c r="DU258" s="35"/>
      <c r="DV258" s="35"/>
      <c r="DW258" s="35"/>
      <c r="DX258" s="35"/>
      <c r="DY258" s="35"/>
      <c r="DZ258" s="35"/>
      <c r="EA258" s="35"/>
      <c r="EB258" s="35"/>
      <c r="EC258" s="35"/>
      <c r="ED258" s="35"/>
      <c r="EE258" s="35"/>
      <c r="EF258" s="35"/>
      <c r="EG258" s="35"/>
      <c r="EH258" s="35"/>
      <c r="EI258" s="35"/>
      <c r="EJ258" s="35"/>
      <c r="EK258" s="35"/>
      <c r="EL258" s="35"/>
      <c r="EM258" s="35"/>
      <c r="EN258" s="35"/>
      <c r="EO258" s="35"/>
      <c r="EP258" s="35"/>
      <c r="EQ258" s="35"/>
      <c r="ER258" s="35"/>
      <c r="ES258" s="35"/>
      <c r="ET258" s="35"/>
      <c r="EU258" s="35"/>
      <c r="EV258" s="35"/>
      <c r="EW258" s="35"/>
      <c r="EX258" s="35"/>
      <c r="EY258" s="35"/>
      <c r="EZ258" s="35"/>
      <c r="FA258" s="35"/>
      <c r="FB258" s="35"/>
      <c r="FC258" s="458">
        <f t="shared" si="27"/>
        <v>0</v>
      </c>
      <c r="FD258">
        <f t="shared" si="25"/>
        <v>0</v>
      </c>
      <c r="FE258" t="e">
        <f t="shared" si="26"/>
        <v>#N/A</v>
      </c>
      <c r="FI258" s="731" t="e">
        <f t="shared" si="28"/>
        <v>#VALUE!</v>
      </c>
      <c r="FK258" s="471" t="str">
        <f t="shared" si="29"/>
        <v xml:space="preserve"> </v>
      </c>
      <c r="FL258" s="730">
        <f t="shared" si="30"/>
        <v>0</v>
      </c>
      <c r="FM258" s="471" t="str">
        <f t="shared" si="31"/>
        <v/>
      </c>
      <c r="FN258" s="730">
        <f t="shared" si="32"/>
        <v>0</v>
      </c>
    </row>
    <row r="259" spans="1:170" s="33" customFormat="1" x14ac:dyDescent="0.2">
      <c r="A259" s="34" t="s">
        <v>309</v>
      </c>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35"/>
      <c r="BI259" s="35"/>
      <c r="BJ259" s="35"/>
      <c r="BK259" s="35"/>
      <c r="BL259" s="35"/>
      <c r="BM259" s="35"/>
      <c r="BN259" s="35"/>
      <c r="BO259" s="35"/>
      <c r="BP259" s="35"/>
      <c r="BQ259" s="35"/>
      <c r="BR259" s="35"/>
      <c r="BS259" s="35"/>
      <c r="BT259" s="35"/>
      <c r="BU259" s="35"/>
      <c r="BV259" s="35"/>
      <c r="BW259" s="35"/>
      <c r="BX259" s="35"/>
      <c r="BY259" s="35"/>
      <c r="BZ259" s="35"/>
      <c r="CA259" s="35"/>
      <c r="CB259" s="35"/>
      <c r="CC259" s="35"/>
      <c r="CD259" s="35"/>
      <c r="CE259" s="35"/>
      <c r="CF259" s="35"/>
      <c r="CG259" s="35"/>
      <c r="CH259" s="35"/>
      <c r="CI259" s="35"/>
      <c r="CJ259" s="35"/>
      <c r="CK259" s="35"/>
      <c r="CL259" s="35"/>
      <c r="CM259" s="35"/>
      <c r="CN259" s="35"/>
      <c r="CO259" s="35"/>
      <c r="CP259" s="35"/>
      <c r="CQ259" s="35"/>
      <c r="CR259" s="35"/>
      <c r="CS259" s="35"/>
      <c r="CT259" s="35"/>
      <c r="CU259" s="35"/>
      <c r="CV259" s="35"/>
      <c r="CW259" s="35"/>
      <c r="CX259" s="35"/>
      <c r="CY259" s="35"/>
      <c r="CZ259" s="35"/>
      <c r="DA259" s="35"/>
      <c r="DB259" s="35"/>
      <c r="DC259" s="35"/>
      <c r="DD259" s="35"/>
      <c r="DE259" s="35"/>
      <c r="DF259" s="35"/>
      <c r="DG259" s="35"/>
      <c r="DH259" s="35"/>
      <c r="DI259" s="35"/>
      <c r="DJ259" s="35"/>
      <c r="DK259" s="35"/>
      <c r="DL259" s="35"/>
      <c r="DM259" s="35"/>
      <c r="DN259" s="35"/>
      <c r="DO259" s="35"/>
      <c r="DP259" s="35"/>
      <c r="DQ259" s="35"/>
      <c r="DR259" s="35"/>
      <c r="DS259" s="35"/>
      <c r="DT259" s="35"/>
      <c r="DU259" s="35"/>
      <c r="DV259" s="35"/>
      <c r="DW259" s="35"/>
      <c r="DX259" s="35"/>
      <c r="DY259" s="35"/>
      <c r="DZ259" s="35"/>
      <c r="EA259" s="35"/>
      <c r="EB259" s="35"/>
      <c r="EC259" s="35"/>
      <c r="ED259" s="35"/>
      <c r="EE259" s="35"/>
      <c r="EF259" s="35"/>
      <c r="EG259" s="35"/>
      <c r="EH259" s="35"/>
      <c r="EI259" s="35"/>
      <c r="EJ259" s="35"/>
      <c r="EK259" s="35"/>
      <c r="EL259" s="35"/>
      <c r="EM259" s="35"/>
      <c r="EN259" s="35"/>
      <c r="EO259" s="35"/>
      <c r="EP259" s="35"/>
      <c r="EQ259" s="35"/>
      <c r="ER259" s="35"/>
      <c r="ES259" s="35"/>
      <c r="ET259" s="35"/>
      <c r="EU259" s="35"/>
      <c r="EV259" s="35"/>
      <c r="EW259" s="35"/>
      <c r="EX259" s="35"/>
      <c r="EY259" s="35"/>
      <c r="EZ259" s="35"/>
      <c r="FA259" s="35"/>
      <c r="FB259" s="35"/>
      <c r="FC259" s="458">
        <f t="shared" si="27"/>
        <v>0</v>
      </c>
      <c r="FD259">
        <f t="shared" ref="FD259:FD322" si="33">INT(FC259/10000000)</f>
        <v>0</v>
      </c>
      <c r="FE259" t="e">
        <f t="shared" ref="FE259:FE322" si="34">VLOOKUP(FD259,Table_acad,2)</f>
        <v>#N/A</v>
      </c>
      <c r="FI259" s="731" t="e">
        <f t="shared" si="28"/>
        <v>#VALUE!</v>
      </c>
      <c r="FK259" s="471" t="str">
        <f t="shared" si="29"/>
        <v xml:space="preserve"> </v>
      </c>
      <c r="FL259" s="730">
        <f t="shared" si="30"/>
        <v>0</v>
      </c>
      <c r="FM259" s="471" t="str">
        <f t="shared" si="31"/>
        <v/>
      </c>
      <c r="FN259" s="730">
        <f t="shared" si="32"/>
        <v>0</v>
      </c>
    </row>
    <row r="260" spans="1:170" s="33" customFormat="1" x14ac:dyDescent="0.2">
      <c r="A260" s="34" t="s">
        <v>310</v>
      </c>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c r="BG260" s="35"/>
      <c r="BH260" s="35"/>
      <c r="BI260" s="35"/>
      <c r="BJ260" s="35"/>
      <c r="BK260" s="35"/>
      <c r="BL260" s="35"/>
      <c r="BM260" s="35"/>
      <c r="BN260" s="35"/>
      <c r="BO260" s="35"/>
      <c r="BP260" s="35"/>
      <c r="BQ260" s="35"/>
      <c r="BR260" s="35"/>
      <c r="BS260" s="35"/>
      <c r="BT260" s="35"/>
      <c r="BU260" s="35"/>
      <c r="BV260" s="35"/>
      <c r="BW260" s="35"/>
      <c r="BX260" s="35"/>
      <c r="BY260" s="35"/>
      <c r="BZ260" s="35"/>
      <c r="CA260" s="35"/>
      <c r="CB260" s="35"/>
      <c r="CC260" s="35"/>
      <c r="CD260" s="35"/>
      <c r="CE260" s="35"/>
      <c r="CF260" s="35"/>
      <c r="CG260" s="35"/>
      <c r="CH260" s="35"/>
      <c r="CI260" s="35"/>
      <c r="CJ260" s="35"/>
      <c r="CK260" s="35"/>
      <c r="CL260" s="35"/>
      <c r="CM260" s="35"/>
      <c r="CN260" s="35"/>
      <c r="CO260" s="35"/>
      <c r="CP260" s="35"/>
      <c r="CQ260" s="35"/>
      <c r="CR260" s="35"/>
      <c r="CS260" s="35"/>
      <c r="CT260" s="35"/>
      <c r="CU260" s="35"/>
      <c r="CV260" s="35"/>
      <c r="CW260" s="35"/>
      <c r="CX260" s="35"/>
      <c r="CY260" s="35"/>
      <c r="CZ260" s="35"/>
      <c r="DA260" s="35"/>
      <c r="DB260" s="35"/>
      <c r="DC260" s="35"/>
      <c r="DD260" s="35"/>
      <c r="DE260" s="35"/>
      <c r="DF260" s="35"/>
      <c r="DG260" s="35"/>
      <c r="DH260" s="35"/>
      <c r="DI260" s="35"/>
      <c r="DJ260" s="35"/>
      <c r="DK260" s="35"/>
      <c r="DL260" s="35"/>
      <c r="DM260" s="35"/>
      <c r="DN260" s="35"/>
      <c r="DO260" s="35"/>
      <c r="DP260" s="35"/>
      <c r="DQ260" s="35"/>
      <c r="DR260" s="35"/>
      <c r="DS260" s="35"/>
      <c r="DT260" s="35"/>
      <c r="DU260" s="35"/>
      <c r="DV260" s="35"/>
      <c r="DW260" s="35"/>
      <c r="DX260" s="35"/>
      <c r="DY260" s="35"/>
      <c r="DZ260" s="35"/>
      <c r="EA260" s="35"/>
      <c r="EB260" s="35"/>
      <c r="EC260" s="35"/>
      <c r="ED260" s="35"/>
      <c r="EE260" s="35"/>
      <c r="EF260" s="35"/>
      <c r="EG260" s="35"/>
      <c r="EH260" s="35"/>
      <c r="EI260" s="35"/>
      <c r="EJ260" s="35"/>
      <c r="EK260" s="35"/>
      <c r="EL260" s="35"/>
      <c r="EM260" s="35"/>
      <c r="EN260" s="35"/>
      <c r="EO260" s="35"/>
      <c r="EP260" s="35"/>
      <c r="EQ260" s="35"/>
      <c r="ER260" s="35"/>
      <c r="ES260" s="35"/>
      <c r="ET260" s="35"/>
      <c r="EU260" s="35"/>
      <c r="EV260" s="35"/>
      <c r="EW260" s="35"/>
      <c r="EX260" s="35"/>
      <c r="EY260" s="35"/>
      <c r="EZ260" s="35"/>
      <c r="FA260" s="35"/>
      <c r="FB260" s="35"/>
      <c r="FC260" s="458">
        <f t="shared" ref="FC260:FC322" si="35">VALUE(B260)</f>
        <v>0</v>
      </c>
      <c r="FD260">
        <f t="shared" si="33"/>
        <v>0</v>
      </c>
      <c r="FE260" t="e">
        <f t="shared" si="34"/>
        <v>#N/A</v>
      </c>
      <c r="FI260" s="731" t="e">
        <f t="shared" ref="FI260:FI323" si="36">DATEVALUE(E260)</f>
        <v>#VALUE!</v>
      </c>
      <c r="FK260" s="471" t="str">
        <f t="shared" ref="FK260:FK323" si="37">LEFT(B260,5)&amp;" "&amp;RIGHT(B260,4)</f>
        <v xml:space="preserve"> </v>
      </c>
      <c r="FL260" s="730">
        <f t="shared" ref="FL260:FL323" si="38">N260</f>
        <v>0</v>
      </c>
      <c r="FM260" s="471" t="str">
        <f t="shared" ref="FM260:FM323" si="39">IF(FN260="jeune coach","oui","")</f>
        <v/>
      </c>
      <c r="FN260" s="730">
        <f t="shared" si="32"/>
        <v>0</v>
      </c>
    </row>
    <row r="261" spans="1:170" s="33" customFormat="1" x14ac:dyDescent="0.2">
      <c r="A261" s="34" t="s">
        <v>311</v>
      </c>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c r="BG261" s="35"/>
      <c r="BH261" s="35"/>
      <c r="BI261" s="35"/>
      <c r="BJ261" s="35"/>
      <c r="BK261" s="35"/>
      <c r="BL261" s="35"/>
      <c r="BM261" s="35"/>
      <c r="BN261" s="35"/>
      <c r="BO261" s="35"/>
      <c r="BP261" s="35"/>
      <c r="BQ261" s="35"/>
      <c r="BR261" s="35"/>
      <c r="BS261" s="35"/>
      <c r="BT261" s="35"/>
      <c r="BU261" s="35"/>
      <c r="BV261" s="35"/>
      <c r="BW261" s="35"/>
      <c r="BX261" s="35"/>
      <c r="BY261" s="35"/>
      <c r="BZ261" s="35"/>
      <c r="CA261" s="35"/>
      <c r="CB261" s="35"/>
      <c r="CC261" s="35"/>
      <c r="CD261" s="35"/>
      <c r="CE261" s="35"/>
      <c r="CF261" s="35"/>
      <c r="CG261" s="35"/>
      <c r="CH261" s="35"/>
      <c r="CI261" s="35"/>
      <c r="CJ261" s="35"/>
      <c r="CK261" s="35"/>
      <c r="CL261" s="35"/>
      <c r="CM261" s="35"/>
      <c r="CN261" s="35"/>
      <c r="CO261" s="35"/>
      <c r="CP261" s="35"/>
      <c r="CQ261" s="35"/>
      <c r="CR261" s="35"/>
      <c r="CS261" s="35"/>
      <c r="CT261" s="35"/>
      <c r="CU261" s="35"/>
      <c r="CV261" s="35"/>
      <c r="CW261" s="35"/>
      <c r="CX261" s="35"/>
      <c r="CY261" s="35"/>
      <c r="CZ261" s="35"/>
      <c r="DA261" s="35"/>
      <c r="DB261" s="35"/>
      <c r="DC261" s="35"/>
      <c r="DD261" s="35"/>
      <c r="DE261" s="35"/>
      <c r="DF261" s="35"/>
      <c r="DG261" s="35"/>
      <c r="DH261" s="35"/>
      <c r="DI261" s="35"/>
      <c r="DJ261" s="35"/>
      <c r="DK261" s="35"/>
      <c r="DL261" s="35"/>
      <c r="DM261" s="35"/>
      <c r="DN261" s="35"/>
      <c r="DO261" s="35"/>
      <c r="DP261" s="35"/>
      <c r="DQ261" s="35"/>
      <c r="DR261" s="35"/>
      <c r="DS261" s="35"/>
      <c r="DT261" s="35"/>
      <c r="DU261" s="35"/>
      <c r="DV261" s="35"/>
      <c r="DW261" s="35"/>
      <c r="DX261" s="35"/>
      <c r="DY261" s="35"/>
      <c r="DZ261" s="35"/>
      <c r="EA261" s="35"/>
      <c r="EB261" s="35"/>
      <c r="EC261" s="35"/>
      <c r="ED261" s="35"/>
      <c r="EE261" s="35"/>
      <c r="EF261" s="35"/>
      <c r="EG261" s="35"/>
      <c r="EH261" s="35"/>
      <c r="EI261" s="35"/>
      <c r="EJ261" s="35"/>
      <c r="EK261" s="35"/>
      <c r="EL261" s="35"/>
      <c r="EM261" s="35"/>
      <c r="EN261" s="35"/>
      <c r="EO261" s="35"/>
      <c r="EP261" s="35"/>
      <c r="EQ261" s="35"/>
      <c r="ER261" s="35"/>
      <c r="ES261" s="35"/>
      <c r="ET261" s="35"/>
      <c r="EU261" s="35"/>
      <c r="EV261" s="35"/>
      <c r="EW261" s="35"/>
      <c r="EX261" s="35"/>
      <c r="EY261" s="35"/>
      <c r="EZ261" s="35"/>
      <c r="FA261" s="35"/>
      <c r="FB261" s="35"/>
      <c r="FC261" s="458">
        <f t="shared" si="35"/>
        <v>0</v>
      </c>
      <c r="FD261">
        <f t="shared" si="33"/>
        <v>0</v>
      </c>
      <c r="FE261" t="e">
        <f t="shared" si="34"/>
        <v>#N/A</v>
      </c>
      <c r="FI261" s="731" t="e">
        <f t="shared" si="36"/>
        <v>#VALUE!</v>
      </c>
      <c r="FK261" s="471" t="str">
        <f t="shared" si="37"/>
        <v xml:space="preserve"> </v>
      </c>
      <c r="FL261" s="730">
        <f t="shared" si="38"/>
        <v>0</v>
      </c>
      <c r="FM261" s="471" t="str">
        <f t="shared" si="39"/>
        <v/>
      </c>
      <c r="FN261" s="730">
        <f t="shared" si="32"/>
        <v>0</v>
      </c>
    </row>
    <row r="262" spans="1:170" s="33" customFormat="1" x14ac:dyDescent="0.2">
      <c r="A262" s="34" t="s">
        <v>312</v>
      </c>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c r="BG262" s="35"/>
      <c r="BH262" s="35"/>
      <c r="BI262" s="35"/>
      <c r="BJ262" s="35"/>
      <c r="BK262" s="35"/>
      <c r="BL262" s="35"/>
      <c r="BM262" s="35"/>
      <c r="BN262" s="35"/>
      <c r="BO262" s="35"/>
      <c r="BP262" s="35"/>
      <c r="BQ262" s="35"/>
      <c r="BR262" s="35"/>
      <c r="BS262" s="35"/>
      <c r="BT262" s="35"/>
      <c r="BU262" s="35"/>
      <c r="BV262" s="35"/>
      <c r="BW262" s="35"/>
      <c r="BX262" s="35"/>
      <c r="BY262" s="35"/>
      <c r="BZ262" s="35"/>
      <c r="CA262" s="35"/>
      <c r="CB262" s="35"/>
      <c r="CC262" s="35"/>
      <c r="CD262" s="35"/>
      <c r="CE262" s="35"/>
      <c r="CF262" s="35"/>
      <c r="CG262" s="35"/>
      <c r="CH262" s="35"/>
      <c r="CI262" s="35"/>
      <c r="CJ262" s="35"/>
      <c r="CK262" s="35"/>
      <c r="CL262" s="35"/>
      <c r="CM262" s="35"/>
      <c r="CN262" s="35"/>
      <c r="CO262" s="35"/>
      <c r="CP262" s="35"/>
      <c r="CQ262" s="35"/>
      <c r="CR262" s="35"/>
      <c r="CS262" s="35"/>
      <c r="CT262" s="35"/>
      <c r="CU262" s="35"/>
      <c r="CV262" s="35"/>
      <c r="CW262" s="35"/>
      <c r="CX262" s="35"/>
      <c r="CY262" s="35"/>
      <c r="CZ262" s="35"/>
      <c r="DA262" s="35"/>
      <c r="DB262" s="35"/>
      <c r="DC262" s="35"/>
      <c r="DD262" s="35"/>
      <c r="DE262" s="35"/>
      <c r="DF262" s="35"/>
      <c r="DG262" s="35"/>
      <c r="DH262" s="35"/>
      <c r="DI262" s="35"/>
      <c r="DJ262" s="35"/>
      <c r="DK262" s="35"/>
      <c r="DL262" s="35"/>
      <c r="DM262" s="35"/>
      <c r="DN262" s="35"/>
      <c r="DO262" s="35"/>
      <c r="DP262" s="35"/>
      <c r="DQ262" s="35"/>
      <c r="DR262" s="35"/>
      <c r="DS262" s="35"/>
      <c r="DT262" s="35"/>
      <c r="DU262" s="35"/>
      <c r="DV262" s="35"/>
      <c r="DW262" s="35"/>
      <c r="DX262" s="35"/>
      <c r="DY262" s="35"/>
      <c r="DZ262" s="35"/>
      <c r="EA262" s="35"/>
      <c r="EB262" s="35"/>
      <c r="EC262" s="35"/>
      <c r="ED262" s="35"/>
      <c r="EE262" s="35"/>
      <c r="EF262" s="35"/>
      <c r="EG262" s="35"/>
      <c r="EH262" s="35"/>
      <c r="EI262" s="35"/>
      <c r="EJ262" s="35"/>
      <c r="EK262" s="35"/>
      <c r="EL262" s="35"/>
      <c r="EM262" s="35"/>
      <c r="EN262" s="35"/>
      <c r="EO262" s="35"/>
      <c r="EP262" s="35"/>
      <c r="EQ262" s="35"/>
      <c r="ER262" s="35"/>
      <c r="ES262" s="35"/>
      <c r="ET262" s="35"/>
      <c r="EU262" s="35"/>
      <c r="EV262" s="35"/>
      <c r="EW262" s="35"/>
      <c r="EX262" s="35"/>
      <c r="EY262" s="35"/>
      <c r="EZ262" s="35"/>
      <c r="FA262" s="35"/>
      <c r="FB262" s="35"/>
      <c r="FC262" s="458">
        <f t="shared" si="35"/>
        <v>0</v>
      </c>
      <c r="FD262">
        <f t="shared" si="33"/>
        <v>0</v>
      </c>
      <c r="FE262" t="e">
        <f t="shared" si="34"/>
        <v>#N/A</v>
      </c>
      <c r="FI262" s="731" t="e">
        <f t="shared" si="36"/>
        <v>#VALUE!</v>
      </c>
      <c r="FK262" s="471" t="str">
        <f t="shared" si="37"/>
        <v xml:space="preserve"> </v>
      </c>
      <c r="FL262" s="730">
        <f t="shared" si="38"/>
        <v>0</v>
      </c>
      <c r="FM262" s="471" t="str">
        <f t="shared" si="39"/>
        <v/>
      </c>
      <c r="FN262" s="730">
        <f t="shared" si="32"/>
        <v>0</v>
      </c>
    </row>
    <row r="263" spans="1:170" s="33" customFormat="1" x14ac:dyDescent="0.2">
      <c r="A263" s="34" t="s">
        <v>313</v>
      </c>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c r="BG263" s="35"/>
      <c r="BH263" s="35"/>
      <c r="BI263" s="35"/>
      <c r="BJ263" s="35"/>
      <c r="BK263" s="35"/>
      <c r="BL263" s="35"/>
      <c r="BM263" s="35"/>
      <c r="BN263" s="35"/>
      <c r="BO263" s="35"/>
      <c r="BP263" s="35"/>
      <c r="BQ263" s="35"/>
      <c r="BR263" s="35"/>
      <c r="BS263" s="35"/>
      <c r="BT263" s="35"/>
      <c r="BU263" s="35"/>
      <c r="BV263" s="35"/>
      <c r="BW263" s="35"/>
      <c r="BX263" s="35"/>
      <c r="BY263" s="35"/>
      <c r="BZ263" s="35"/>
      <c r="CA263" s="35"/>
      <c r="CB263" s="35"/>
      <c r="CC263" s="35"/>
      <c r="CD263" s="35"/>
      <c r="CE263" s="35"/>
      <c r="CF263" s="35"/>
      <c r="CG263" s="35"/>
      <c r="CH263" s="35"/>
      <c r="CI263" s="35"/>
      <c r="CJ263" s="35"/>
      <c r="CK263" s="35"/>
      <c r="CL263" s="35"/>
      <c r="CM263" s="35"/>
      <c r="CN263" s="35"/>
      <c r="CO263" s="35"/>
      <c r="CP263" s="35"/>
      <c r="CQ263" s="35"/>
      <c r="CR263" s="35"/>
      <c r="CS263" s="35"/>
      <c r="CT263" s="35"/>
      <c r="CU263" s="35"/>
      <c r="CV263" s="35"/>
      <c r="CW263" s="35"/>
      <c r="CX263" s="35"/>
      <c r="CY263" s="35"/>
      <c r="CZ263" s="35"/>
      <c r="DA263" s="35"/>
      <c r="DB263" s="35"/>
      <c r="DC263" s="35"/>
      <c r="DD263" s="35"/>
      <c r="DE263" s="35"/>
      <c r="DF263" s="35"/>
      <c r="DG263" s="35"/>
      <c r="DH263" s="35"/>
      <c r="DI263" s="35"/>
      <c r="DJ263" s="35"/>
      <c r="DK263" s="35"/>
      <c r="DL263" s="35"/>
      <c r="DM263" s="35"/>
      <c r="DN263" s="35"/>
      <c r="DO263" s="35"/>
      <c r="DP263" s="35"/>
      <c r="DQ263" s="35"/>
      <c r="DR263" s="35"/>
      <c r="DS263" s="35"/>
      <c r="DT263" s="35"/>
      <c r="DU263" s="35"/>
      <c r="DV263" s="35"/>
      <c r="DW263" s="35"/>
      <c r="DX263" s="35"/>
      <c r="DY263" s="35"/>
      <c r="DZ263" s="35"/>
      <c r="EA263" s="35"/>
      <c r="EB263" s="35"/>
      <c r="EC263" s="35"/>
      <c r="ED263" s="35"/>
      <c r="EE263" s="35"/>
      <c r="EF263" s="35"/>
      <c r="EG263" s="35"/>
      <c r="EH263" s="35"/>
      <c r="EI263" s="35"/>
      <c r="EJ263" s="35"/>
      <c r="EK263" s="35"/>
      <c r="EL263" s="35"/>
      <c r="EM263" s="35"/>
      <c r="EN263" s="35"/>
      <c r="EO263" s="35"/>
      <c r="EP263" s="35"/>
      <c r="EQ263" s="35"/>
      <c r="ER263" s="35"/>
      <c r="ES263" s="35"/>
      <c r="ET263" s="35"/>
      <c r="EU263" s="35"/>
      <c r="EV263" s="35"/>
      <c r="EW263" s="35"/>
      <c r="EX263" s="35"/>
      <c r="EY263" s="35"/>
      <c r="EZ263" s="35"/>
      <c r="FA263" s="35"/>
      <c r="FB263" s="35"/>
      <c r="FC263" s="458">
        <f t="shared" si="35"/>
        <v>0</v>
      </c>
      <c r="FD263">
        <f t="shared" si="33"/>
        <v>0</v>
      </c>
      <c r="FE263" t="e">
        <f t="shared" si="34"/>
        <v>#N/A</v>
      </c>
      <c r="FI263" s="731" t="e">
        <f t="shared" si="36"/>
        <v>#VALUE!</v>
      </c>
      <c r="FK263" s="471" t="str">
        <f t="shared" si="37"/>
        <v xml:space="preserve"> </v>
      </c>
      <c r="FL263" s="730">
        <f t="shared" si="38"/>
        <v>0</v>
      </c>
      <c r="FM263" s="471" t="str">
        <f t="shared" si="39"/>
        <v/>
      </c>
      <c r="FN263" s="730">
        <f t="shared" si="32"/>
        <v>0</v>
      </c>
    </row>
    <row r="264" spans="1:170" s="33" customFormat="1" x14ac:dyDescent="0.2">
      <c r="A264" s="34" t="s">
        <v>314</v>
      </c>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c r="BN264" s="35"/>
      <c r="BO264" s="35"/>
      <c r="BP264" s="35"/>
      <c r="BQ264" s="35"/>
      <c r="BR264" s="35"/>
      <c r="BS264" s="35"/>
      <c r="BT264" s="35"/>
      <c r="BU264" s="35"/>
      <c r="BV264" s="35"/>
      <c r="BW264" s="35"/>
      <c r="BX264" s="35"/>
      <c r="BY264" s="35"/>
      <c r="BZ264" s="35"/>
      <c r="CA264" s="35"/>
      <c r="CB264" s="35"/>
      <c r="CC264" s="35"/>
      <c r="CD264" s="35"/>
      <c r="CE264" s="35"/>
      <c r="CF264" s="35"/>
      <c r="CG264" s="35"/>
      <c r="CH264" s="35"/>
      <c r="CI264" s="35"/>
      <c r="CJ264" s="35"/>
      <c r="CK264" s="35"/>
      <c r="CL264" s="35"/>
      <c r="CM264" s="35"/>
      <c r="CN264" s="35"/>
      <c r="CO264" s="35"/>
      <c r="CP264" s="35"/>
      <c r="CQ264" s="35"/>
      <c r="CR264" s="35"/>
      <c r="CS264" s="35"/>
      <c r="CT264" s="35"/>
      <c r="CU264" s="35"/>
      <c r="CV264" s="35"/>
      <c r="CW264" s="35"/>
      <c r="CX264" s="35"/>
      <c r="CY264" s="35"/>
      <c r="CZ264" s="35"/>
      <c r="DA264" s="35"/>
      <c r="DB264" s="35"/>
      <c r="DC264" s="35"/>
      <c r="DD264" s="35"/>
      <c r="DE264" s="35"/>
      <c r="DF264" s="35"/>
      <c r="DG264" s="35"/>
      <c r="DH264" s="35"/>
      <c r="DI264" s="35"/>
      <c r="DJ264" s="35"/>
      <c r="DK264" s="35"/>
      <c r="DL264" s="35"/>
      <c r="DM264" s="35"/>
      <c r="DN264" s="35"/>
      <c r="DO264" s="35"/>
      <c r="DP264" s="35"/>
      <c r="DQ264" s="35"/>
      <c r="DR264" s="35"/>
      <c r="DS264" s="35"/>
      <c r="DT264" s="35"/>
      <c r="DU264" s="35"/>
      <c r="DV264" s="35"/>
      <c r="DW264" s="35"/>
      <c r="DX264" s="35"/>
      <c r="DY264" s="35"/>
      <c r="DZ264" s="35"/>
      <c r="EA264" s="35"/>
      <c r="EB264" s="35"/>
      <c r="EC264" s="35"/>
      <c r="ED264" s="35"/>
      <c r="EE264" s="35"/>
      <c r="EF264" s="35"/>
      <c r="EG264" s="35"/>
      <c r="EH264" s="35"/>
      <c r="EI264" s="35"/>
      <c r="EJ264" s="35"/>
      <c r="EK264" s="35"/>
      <c r="EL264" s="35"/>
      <c r="EM264" s="35"/>
      <c r="EN264" s="35"/>
      <c r="EO264" s="35"/>
      <c r="EP264" s="35"/>
      <c r="EQ264" s="35"/>
      <c r="ER264" s="35"/>
      <c r="ES264" s="35"/>
      <c r="ET264" s="35"/>
      <c r="EU264" s="35"/>
      <c r="EV264" s="35"/>
      <c r="EW264" s="35"/>
      <c r="EX264" s="35"/>
      <c r="EY264" s="35"/>
      <c r="EZ264" s="35"/>
      <c r="FA264" s="35"/>
      <c r="FB264" s="35"/>
      <c r="FC264" s="458">
        <f t="shared" si="35"/>
        <v>0</v>
      </c>
      <c r="FD264">
        <f t="shared" si="33"/>
        <v>0</v>
      </c>
      <c r="FE264" t="e">
        <f t="shared" si="34"/>
        <v>#N/A</v>
      </c>
      <c r="FI264" s="731" t="e">
        <f t="shared" si="36"/>
        <v>#VALUE!</v>
      </c>
      <c r="FK264" s="471" t="str">
        <f t="shared" si="37"/>
        <v xml:space="preserve"> </v>
      </c>
      <c r="FL264" s="730">
        <f t="shared" si="38"/>
        <v>0</v>
      </c>
      <c r="FM264" s="471" t="str">
        <f t="shared" si="39"/>
        <v/>
      </c>
      <c r="FN264" s="730">
        <f t="shared" si="32"/>
        <v>0</v>
      </c>
    </row>
    <row r="265" spans="1:170" s="33" customFormat="1" x14ac:dyDescent="0.2">
      <c r="A265" s="34" t="s">
        <v>315</v>
      </c>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c r="BO265" s="35"/>
      <c r="BP265" s="35"/>
      <c r="BQ265" s="35"/>
      <c r="BR265" s="35"/>
      <c r="BS265" s="35"/>
      <c r="BT265" s="35"/>
      <c r="BU265" s="35"/>
      <c r="BV265" s="35"/>
      <c r="BW265" s="35"/>
      <c r="BX265" s="35"/>
      <c r="BY265" s="35"/>
      <c r="BZ265" s="35"/>
      <c r="CA265" s="35"/>
      <c r="CB265" s="35"/>
      <c r="CC265" s="35"/>
      <c r="CD265" s="35"/>
      <c r="CE265" s="35"/>
      <c r="CF265" s="35"/>
      <c r="CG265" s="35"/>
      <c r="CH265" s="35"/>
      <c r="CI265" s="35"/>
      <c r="CJ265" s="35"/>
      <c r="CK265" s="35"/>
      <c r="CL265" s="35"/>
      <c r="CM265" s="35"/>
      <c r="CN265" s="35"/>
      <c r="CO265" s="35"/>
      <c r="CP265" s="35"/>
      <c r="CQ265" s="35"/>
      <c r="CR265" s="35"/>
      <c r="CS265" s="35"/>
      <c r="CT265" s="35"/>
      <c r="CU265" s="35"/>
      <c r="CV265" s="35"/>
      <c r="CW265" s="35"/>
      <c r="CX265" s="35"/>
      <c r="CY265" s="35"/>
      <c r="CZ265" s="35"/>
      <c r="DA265" s="35"/>
      <c r="DB265" s="35"/>
      <c r="DC265" s="35"/>
      <c r="DD265" s="35"/>
      <c r="DE265" s="35"/>
      <c r="DF265" s="35"/>
      <c r="DG265" s="35"/>
      <c r="DH265" s="35"/>
      <c r="DI265" s="35"/>
      <c r="DJ265" s="35"/>
      <c r="DK265" s="35"/>
      <c r="DL265" s="35"/>
      <c r="DM265" s="35"/>
      <c r="DN265" s="35"/>
      <c r="DO265" s="35"/>
      <c r="DP265" s="35"/>
      <c r="DQ265" s="35"/>
      <c r="DR265" s="35"/>
      <c r="DS265" s="35"/>
      <c r="DT265" s="35"/>
      <c r="DU265" s="35"/>
      <c r="DV265" s="35"/>
      <c r="DW265" s="35"/>
      <c r="DX265" s="35"/>
      <c r="DY265" s="35"/>
      <c r="DZ265" s="35"/>
      <c r="EA265" s="35"/>
      <c r="EB265" s="35"/>
      <c r="EC265" s="35"/>
      <c r="ED265" s="35"/>
      <c r="EE265" s="35"/>
      <c r="EF265" s="35"/>
      <c r="EG265" s="35"/>
      <c r="EH265" s="35"/>
      <c r="EI265" s="35"/>
      <c r="EJ265" s="35"/>
      <c r="EK265" s="35"/>
      <c r="EL265" s="35"/>
      <c r="EM265" s="35"/>
      <c r="EN265" s="35"/>
      <c r="EO265" s="35"/>
      <c r="EP265" s="35"/>
      <c r="EQ265" s="35"/>
      <c r="ER265" s="35"/>
      <c r="ES265" s="35"/>
      <c r="ET265" s="35"/>
      <c r="EU265" s="35"/>
      <c r="EV265" s="35"/>
      <c r="EW265" s="35"/>
      <c r="EX265" s="35"/>
      <c r="EY265" s="35"/>
      <c r="EZ265" s="35"/>
      <c r="FA265" s="35"/>
      <c r="FB265" s="35"/>
      <c r="FC265" s="458">
        <f t="shared" si="35"/>
        <v>0</v>
      </c>
      <c r="FD265">
        <f t="shared" si="33"/>
        <v>0</v>
      </c>
      <c r="FE265" t="e">
        <f t="shared" si="34"/>
        <v>#N/A</v>
      </c>
      <c r="FI265" s="731" t="e">
        <f t="shared" si="36"/>
        <v>#VALUE!</v>
      </c>
      <c r="FK265" s="471" t="str">
        <f t="shared" si="37"/>
        <v xml:space="preserve"> </v>
      </c>
      <c r="FL265" s="730">
        <f t="shared" si="38"/>
        <v>0</v>
      </c>
      <c r="FM265" s="471" t="str">
        <f t="shared" si="39"/>
        <v/>
      </c>
      <c r="FN265" s="730">
        <f t="shared" si="32"/>
        <v>0</v>
      </c>
    </row>
    <row r="266" spans="1:170" s="33" customFormat="1" x14ac:dyDescent="0.2">
      <c r="A266" s="34" t="s">
        <v>316</v>
      </c>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s="35"/>
      <c r="BI266" s="35"/>
      <c r="BJ266" s="35"/>
      <c r="BK266" s="35"/>
      <c r="BL266" s="35"/>
      <c r="BM266" s="35"/>
      <c r="BN266" s="35"/>
      <c r="BO266" s="35"/>
      <c r="BP266" s="35"/>
      <c r="BQ266" s="35"/>
      <c r="BR266" s="35"/>
      <c r="BS266" s="35"/>
      <c r="BT266" s="35"/>
      <c r="BU266" s="35"/>
      <c r="BV266" s="35"/>
      <c r="BW266" s="35"/>
      <c r="BX266" s="35"/>
      <c r="BY266" s="35"/>
      <c r="BZ266" s="35"/>
      <c r="CA266" s="35"/>
      <c r="CB266" s="35"/>
      <c r="CC266" s="35"/>
      <c r="CD266" s="35"/>
      <c r="CE266" s="35"/>
      <c r="CF266" s="35"/>
      <c r="CG266" s="35"/>
      <c r="CH266" s="35"/>
      <c r="CI266" s="35"/>
      <c r="CJ266" s="35"/>
      <c r="CK266" s="35"/>
      <c r="CL266" s="35"/>
      <c r="CM266" s="35"/>
      <c r="CN266" s="35"/>
      <c r="CO266" s="35"/>
      <c r="CP266" s="35"/>
      <c r="CQ266" s="35"/>
      <c r="CR266" s="35"/>
      <c r="CS266" s="35"/>
      <c r="CT266" s="35"/>
      <c r="CU266" s="35"/>
      <c r="CV266" s="35"/>
      <c r="CW266" s="35"/>
      <c r="CX266" s="35"/>
      <c r="CY266" s="35"/>
      <c r="CZ266" s="35"/>
      <c r="DA266" s="35"/>
      <c r="DB266" s="35"/>
      <c r="DC266" s="35"/>
      <c r="DD266" s="35"/>
      <c r="DE266" s="35"/>
      <c r="DF266" s="35"/>
      <c r="DG266" s="35"/>
      <c r="DH266" s="35"/>
      <c r="DI266" s="35"/>
      <c r="DJ266" s="35"/>
      <c r="DK266" s="35"/>
      <c r="DL266" s="35"/>
      <c r="DM266" s="35"/>
      <c r="DN266" s="35"/>
      <c r="DO266" s="35"/>
      <c r="DP266" s="35"/>
      <c r="DQ266" s="35"/>
      <c r="DR266" s="35"/>
      <c r="DS266" s="35"/>
      <c r="DT266" s="35"/>
      <c r="DU266" s="35"/>
      <c r="DV266" s="35"/>
      <c r="DW266" s="35"/>
      <c r="DX266" s="35"/>
      <c r="DY266" s="35"/>
      <c r="DZ266" s="35"/>
      <c r="EA266" s="35"/>
      <c r="EB266" s="35"/>
      <c r="EC266" s="35"/>
      <c r="ED266" s="35"/>
      <c r="EE266" s="35"/>
      <c r="EF266" s="35"/>
      <c r="EG266" s="35"/>
      <c r="EH266" s="35"/>
      <c r="EI266" s="35"/>
      <c r="EJ266" s="35"/>
      <c r="EK266" s="35"/>
      <c r="EL266" s="35"/>
      <c r="EM266" s="35"/>
      <c r="EN266" s="35"/>
      <c r="EO266" s="35"/>
      <c r="EP266" s="35"/>
      <c r="EQ266" s="35"/>
      <c r="ER266" s="35"/>
      <c r="ES266" s="35"/>
      <c r="ET266" s="35"/>
      <c r="EU266" s="35"/>
      <c r="EV266" s="35"/>
      <c r="EW266" s="35"/>
      <c r="EX266" s="35"/>
      <c r="EY266" s="35"/>
      <c r="EZ266" s="35"/>
      <c r="FA266" s="35"/>
      <c r="FB266" s="35"/>
      <c r="FC266" s="458">
        <f t="shared" si="35"/>
        <v>0</v>
      </c>
      <c r="FD266">
        <f t="shared" si="33"/>
        <v>0</v>
      </c>
      <c r="FE266" t="e">
        <f t="shared" si="34"/>
        <v>#N/A</v>
      </c>
      <c r="FI266" s="731" t="e">
        <f t="shared" si="36"/>
        <v>#VALUE!</v>
      </c>
      <c r="FK266" s="471" t="str">
        <f t="shared" si="37"/>
        <v xml:space="preserve"> </v>
      </c>
      <c r="FL266" s="730">
        <f t="shared" si="38"/>
        <v>0</v>
      </c>
      <c r="FM266" s="471" t="str">
        <f t="shared" si="39"/>
        <v/>
      </c>
      <c r="FN266" s="730">
        <f t="shared" si="32"/>
        <v>0</v>
      </c>
    </row>
    <row r="267" spans="1:170" s="33" customFormat="1" x14ac:dyDescent="0.2">
      <c r="A267" s="34" t="s">
        <v>317</v>
      </c>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s="35"/>
      <c r="BI267" s="35"/>
      <c r="BJ267" s="35"/>
      <c r="BK267" s="35"/>
      <c r="BL267" s="35"/>
      <c r="BM267" s="35"/>
      <c r="BN267" s="35"/>
      <c r="BO267" s="35"/>
      <c r="BP267" s="35"/>
      <c r="BQ267" s="35"/>
      <c r="BR267" s="35"/>
      <c r="BS267" s="35"/>
      <c r="BT267" s="35"/>
      <c r="BU267" s="35"/>
      <c r="BV267" s="35"/>
      <c r="BW267" s="35"/>
      <c r="BX267" s="35"/>
      <c r="BY267" s="35"/>
      <c r="BZ267" s="35"/>
      <c r="CA267" s="35"/>
      <c r="CB267" s="35"/>
      <c r="CC267" s="35"/>
      <c r="CD267" s="35"/>
      <c r="CE267" s="35"/>
      <c r="CF267" s="35"/>
      <c r="CG267" s="35"/>
      <c r="CH267" s="35"/>
      <c r="CI267" s="35"/>
      <c r="CJ267" s="35"/>
      <c r="CK267" s="35"/>
      <c r="CL267" s="35"/>
      <c r="CM267" s="35"/>
      <c r="CN267" s="35"/>
      <c r="CO267" s="35"/>
      <c r="CP267" s="35"/>
      <c r="CQ267" s="35"/>
      <c r="CR267" s="35"/>
      <c r="CS267" s="35"/>
      <c r="CT267" s="35"/>
      <c r="CU267" s="35"/>
      <c r="CV267" s="35"/>
      <c r="CW267" s="35"/>
      <c r="CX267" s="35"/>
      <c r="CY267" s="35"/>
      <c r="CZ267" s="35"/>
      <c r="DA267" s="35"/>
      <c r="DB267" s="35"/>
      <c r="DC267" s="35"/>
      <c r="DD267" s="35"/>
      <c r="DE267" s="35"/>
      <c r="DF267" s="35"/>
      <c r="DG267" s="35"/>
      <c r="DH267" s="35"/>
      <c r="DI267" s="35"/>
      <c r="DJ267" s="35"/>
      <c r="DK267" s="35"/>
      <c r="DL267" s="35"/>
      <c r="DM267" s="35"/>
      <c r="DN267" s="35"/>
      <c r="DO267" s="35"/>
      <c r="DP267" s="35"/>
      <c r="DQ267" s="35"/>
      <c r="DR267" s="35"/>
      <c r="DS267" s="35"/>
      <c r="DT267" s="35"/>
      <c r="DU267" s="35"/>
      <c r="DV267" s="35"/>
      <c r="DW267" s="35"/>
      <c r="DX267" s="35"/>
      <c r="DY267" s="35"/>
      <c r="DZ267" s="35"/>
      <c r="EA267" s="35"/>
      <c r="EB267" s="35"/>
      <c r="EC267" s="35"/>
      <c r="ED267" s="35"/>
      <c r="EE267" s="35"/>
      <c r="EF267" s="35"/>
      <c r="EG267" s="35"/>
      <c r="EH267" s="35"/>
      <c r="EI267" s="35"/>
      <c r="EJ267" s="35"/>
      <c r="EK267" s="35"/>
      <c r="EL267" s="35"/>
      <c r="EM267" s="35"/>
      <c r="EN267" s="35"/>
      <c r="EO267" s="35"/>
      <c r="EP267" s="35"/>
      <c r="EQ267" s="35"/>
      <c r="ER267" s="35"/>
      <c r="ES267" s="35"/>
      <c r="ET267" s="35"/>
      <c r="EU267" s="35"/>
      <c r="EV267" s="35"/>
      <c r="EW267" s="35"/>
      <c r="EX267" s="35"/>
      <c r="EY267" s="35"/>
      <c r="EZ267" s="35"/>
      <c r="FA267" s="35"/>
      <c r="FB267" s="35"/>
      <c r="FC267" s="458">
        <f t="shared" si="35"/>
        <v>0</v>
      </c>
      <c r="FD267">
        <f t="shared" si="33"/>
        <v>0</v>
      </c>
      <c r="FE267" t="e">
        <f t="shared" si="34"/>
        <v>#N/A</v>
      </c>
      <c r="FI267" s="731" t="e">
        <f t="shared" si="36"/>
        <v>#VALUE!</v>
      </c>
      <c r="FK267" s="471" t="str">
        <f t="shared" si="37"/>
        <v xml:space="preserve"> </v>
      </c>
      <c r="FL267" s="730">
        <f t="shared" si="38"/>
        <v>0</v>
      </c>
      <c r="FM267" s="471" t="str">
        <f t="shared" si="39"/>
        <v/>
      </c>
      <c r="FN267" s="730">
        <f t="shared" si="32"/>
        <v>0</v>
      </c>
    </row>
    <row r="268" spans="1:170" s="33" customFormat="1" x14ac:dyDescent="0.2">
      <c r="A268" s="34" t="s">
        <v>318</v>
      </c>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35"/>
      <c r="BI268" s="35"/>
      <c r="BJ268" s="35"/>
      <c r="BK268" s="35"/>
      <c r="BL268" s="35"/>
      <c r="BM268" s="35"/>
      <c r="BN268" s="35"/>
      <c r="BO268" s="35"/>
      <c r="BP268" s="35"/>
      <c r="BQ268" s="35"/>
      <c r="BR268" s="35"/>
      <c r="BS268" s="35"/>
      <c r="BT268" s="35"/>
      <c r="BU268" s="35"/>
      <c r="BV268" s="35"/>
      <c r="BW268" s="35"/>
      <c r="BX268" s="35"/>
      <c r="BY268" s="35"/>
      <c r="BZ268" s="35"/>
      <c r="CA268" s="35"/>
      <c r="CB268" s="35"/>
      <c r="CC268" s="35"/>
      <c r="CD268" s="35"/>
      <c r="CE268" s="35"/>
      <c r="CF268" s="35"/>
      <c r="CG268" s="35"/>
      <c r="CH268" s="35"/>
      <c r="CI268" s="35"/>
      <c r="CJ268" s="35"/>
      <c r="CK268" s="35"/>
      <c r="CL268" s="35"/>
      <c r="CM268" s="35"/>
      <c r="CN268" s="35"/>
      <c r="CO268" s="35"/>
      <c r="CP268" s="35"/>
      <c r="CQ268" s="35"/>
      <c r="CR268" s="35"/>
      <c r="CS268" s="35"/>
      <c r="CT268" s="35"/>
      <c r="CU268" s="35"/>
      <c r="CV268" s="35"/>
      <c r="CW268" s="35"/>
      <c r="CX268" s="35"/>
      <c r="CY268" s="35"/>
      <c r="CZ268" s="35"/>
      <c r="DA268" s="35"/>
      <c r="DB268" s="35"/>
      <c r="DC268" s="35"/>
      <c r="DD268" s="35"/>
      <c r="DE268" s="35"/>
      <c r="DF268" s="35"/>
      <c r="DG268" s="35"/>
      <c r="DH268" s="35"/>
      <c r="DI268" s="35"/>
      <c r="DJ268" s="35"/>
      <c r="DK268" s="35"/>
      <c r="DL268" s="35"/>
      <c r="DM268" s="35"/>
      <c r="DN268" s="35"/>
      <c r="DO268" s="35"/>
      <c r="DP268" s="35"/>
      <c r="DQ268" s="35"/>
      <c r="DR268" s="35"/>
      <c r="DS268" s="35"/>
      <c r="DT268" s="35"/>
      <c r="DU268" s="35"/>
      <c r="DV268" s="35"/>
      <c r="DW268" s="35"/>
      <c r="DX268" s="35"/>
      <c r="DY268" s="35"/>
      <c r="DZ268" s="35"/>
      <c r="EA268" s="35"/>
      <c r="EB268" s="35"/>
      <c r="EC268" s="35"/>
      <c r="ED268" s="35"/>
      <c r="EE268" s="35"/>
      <c r="EF268" s="35"/>
      <c r="EG268" s="35"/>
      <c r="EH268" s="35"/>
      <c r="EI268" s="35"/>
      <c r="EJ268" s="35"/>
      <c r="EK268" s="35"/>
      <c r="EL268" s="35"/>
      <c r="EM268" s="35"/>
      <c r="EN268" s="35"/>
      <c r="EO268" s="35"/>
      <c r="EP268" s="35"/>
      <c r="EQ268" s="35"/>
      <c r="ER268" s="35"/>
      <c r="ES268" s="35"/>
      <c r="ET268" s="35"/>
      <c r="EU268" s="35"/>
      <c r="EV268" s="35"/>
      <c r="EW268" s="35"/>
      <c r="EX268" s="35"/>
      <c r="EY268" s="35"/>
      <c r="EZ268" s="35"/>
      <c r="FA268" s="35"/>
      <c r="FB268" s="35"/>
      <c r="FC268" s="458">
        <f t="shared" si="35"/>
        <v>0</v>
      </c>
      <c r="FD268">
        <f t="shared" si="33"/>
        <v>0</v>
      </c>
      <c r="FE268" t="e">
        <f t="shared" si="34"/>
        <v>#N/A</v>
      </c>
      <c r="FI268" s="731" t="e">
        <f t="shared" si="36"/>
        <v>#VALUE!</v>
      </c>
      <c r="FK268" s="471" t="str">
        <f t="shared" si="37"/>
        <v xml:space="preserve"> </v>
      </c>
      <c r="FL268" s="730">
        <f t="shared" si="38"/>
        <v>0</v>
      </c>
      <c r="FM268" s="471" t="str">
        <f t="shared" si="39"/>
        <v/>
      </c>
      <c r="FN268" s="730">
        <f t="shared" si="32"/>
        <v>0</v>
      </c>
    </row>
    <row r="269" spans="1:170" s="33" customFormat="1" x14ac:dyDescent="0.2">
      <c r="A269" s="34" t="s">
        <v>319</v>
      </c>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c r="BJ269" s="35"/>
      <c r="BK269" s="35"/>
      <c r="BL269" s="35"/>
      <c r="BM269" s="35"/>
      <c r="BN269" s="35"/>
      <c r="BO269" s="35"/>
      <c r="BP269" s="35"/>
      <c r="BQ269" s="35"/>
      <c r="BR269" s="35"/>
      <c r="BS269" s="35"/>
      <c r="BT269" s="35"/>
      <c r="BU269" s="35"/>
      <c r="BV269" s="35"/>
      <c r="BW269" s="35"/>
      <c r="BX269" s="35"/>
      <c r="BY269" s="35"/>
      <c r="BZ269" s="35"/>
      <c r="CA269" s="35"/>
      <c r="CB269" s="35"/>
      <c r="CC269" s="35"/>
      <c r="CD269" s="35"/>
      <c r="CE269" s="35"/>
      <c r="CF269" s="35"/>
      <c r="CG269" s="35"/>
      <c r="CH269" s="35"/>
      <c r="CI269" s="35"/>
      <c r="CJ269" s="35"/>
      <c r="CK269" s="35"/>
      <c r="CL269" s="35"/>
      <c r="CM269" s="35"/>
      <c r="CN269" s="35"/>
      <c r="CO269" s="35"/>
      <c r="CP269" s="35"/>
      <c r="CQ269" s="35"/>
      <c r="CR269" s="35"/>
      <c r="CS269" s="35"/>
      <c r="CT269" s="35"/>
      <c r="CU269" s="35"/>
      <c r="CV269" s="35"/>
      <c r="CW269" s="35"/>
      <c r="CX269" s="35"/>
      <c r="CY269" s="35"/>
      <c r="CZ269" s="35"/>
      <c r="DA269" s="35"/>
      <c r="DB269" s="35"/>
      <c r="DC269" s="35"/>
      <c r="DD269" s="35"/>
      <c r="DE269" s="35"/>
      <c r="DF269" s="35"/>
      <c r="DG269" s="35"/>
      <c r="DH269" s="35"/>
      <c r="DI269" s="35"/>
      <c r="DJ269" s="35"/>
      <c r="DK269" s="35"/>
      <c r="DL269" s="35"/>
      <c r="DM269" s="35"/>
      <c r="DN269" s="35"/>
      <c r="DO269" s="35"/>
      <c r="DP269" s="35"/>
      <c r="DQ269" s="35"/>
      <c r="DR269" s="35"/>
      <c r="DS269" s="35"/>
      <c r="DT269" s="35"/>
      <c r="DU269" s="35"/>
      <c r="DV269" s="35"/>
      <c r="DW269" s="35"/>
      <c r="DX269" s="35"/>
      <c r="DY269" s="35"/>
      <c r="DZ269" s="35"/>
      <c r="EA269" s="35"/>
      <c r="EB269" s="35"/>
      <c r="EC269" s="35"/>
      <c r="ED269" s="35"/>
      <c r="EE269" s="35"/>
      <c r="EF269" s="35"/>
      <c r="EG269" s="35"/>
      <c r="EH269" s="35"/>
      <c r="EI269" s="35"/>
      <c r="EJ269" s="35"/>
      <c r="EK269" s="35"/>
      <c r="EL269" s="35"/>
      <c r="EM269" s="35"/>
      <c r="EN269" s="35"/>
      <c r="EO269" s="35"/>
      <c r="EP269" s="35"/>
      <c r="EQ269" s="35"/>
      <c r="ER269" s="35"/>
      <c r="ES269" s="35"/>
      <c r="ET269" s="35"/>
      <c r="EU269" s="35"/>
      <c r="EV269" s="35"/>
      <c r="EW269" s="35"/>
      <c r="EX269" s="35"/>
      <c r="EY269" s="35"/>
      <c r="EZ269" s="35"/>
      <c r="FA269" s="35"/>
      <c r="FB269" s="35"/>
      <c r="FC269" s="458">
        <f t="shared" si="35"/>
        <v>0</v>
      </c>
      <c r="FD269">
        <f t="shared" si="33"/>
        <v>0</v>
      </c>
      <c r="FE269" t="e">
        <f t="shared" si="34"/>
        <v>#N/A</v>
      </c>
      <c r="FI269" s="731" t="e">
        <f t="shared" si="36"/>
        <v>#VALUE!</v>
      </c>
      <c r="FK269" s="471" t="str">
        <f t="shared" si="37"/>
        <v xml:space="preserve"> </v>
      </c>
      <c r="FL269" s="730">
        <f t="shared" si="38"/>
        <v>0</v>
      </c>
      <c r="FM269" s="471" t="str">
        <f t="shared" si="39"/>
        <v/>
      </c>
      <c r="FN269" s="730">
        <f t="shared" si="32"/>
        <v>0</v>
      </c>
    </row>
    <row r="270" spans="1:170" s="33" customFormat="1" x14ac:dyDescent="0.2">
      <c r="A270" s="34" t="s">
        <v>320</v>
      </c>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c r="BJ270" s="35"/>
      <c r="BK270" s="35"/>
      <c r="BL270" s="35"/>
      <c r="BM270" s="35"/>
      <c r="BN270" s="35"/>
      <c r="BO270" s="35"/>
      <c r="BP270" s="35"/>
      <c r="BQ270" s="35"/>
      <c r="BR270" s="35"/>
      <c r="BS270" s="35"/>
      <c r="BT270" s="35"/>
      <c r="BU270" s="35"/>
      <c r="BV270" s="35"/>
      <c r="BW270" s="35"/>
      <c r="BX270" s="35"/>
      <c r="BY270" s="35"/>
      <c r="BZ270" s="35"/>
      <c r="CA270" s="35"/>
      <c r="CB270" s="35"/>
      <c r="CC270" s="35"/>
      <c r="CD270" s="35"/>
      <c r="CE270" s="35"/>
      <c r="CF270" s="35"/>
      <c r="CG270" s="35"/>
      <c r="CH270" s="35"/>
      <c r="CI270" s="35"/>
      <c r="CJ270" s="35"/>
      <c r="CK270" s="35"/>
      <c r="CL270" s="35"/>
      <c r="CM270" s="35"/>
      <c r="CN270" s="35"/>
      <c r="CO270" s="35"/>
      <c r="CP270" s="35"/>
      <c r="CQ270" s="35"/>
      <c r="CR270" s="35"/>
      <c r="CS270" s="35"/>
      <c r="CT270" s="35"/>
      <c r="CU270" s="35"/>
      <c r="CV270" s="35"/>
      <c r="CW270" s="35"/>
      <c r="CX270" s="35"/>
      <c r="CY270" s="35"/>
      <c r="CZ270" s="35"/>
      <c r="DA270" s="35"/>
      <c r="DB270" s="35"/>
      <c r="DC270" s="35"/>
      <c r="DD270" s="35"/>
      <c r="DE270" s="35"/>
      <c r="DF270" s="35"/>
      <c r="DG270" s="35"/>
      <c r="DH270" s="35"/>
      <c r="DI270" s="35"/>
      <c r="DJ270" s="35"/>
      <c r="DK270" s="35"/>
      <c r="DL270" s="35"/>
      <c r="DM270" s="35"/>
      <c r="DN270" s="35"/>
      <c r="DO270" s="35"/>
      <c r="DP270" s="35"/>
      <c r="DQ270" s="35"/>
      <c r="DR270" s="35"/>
      <c r="DS270" s="35"/>
      <c r="DT270" s="35"/>
      <c r="DU270" s="35"/>
      <c r="DV270" s="35"/>
      <c r="DW270" s="35"/>
      <c r="DX270" s="35"/>
      <c r="DY270" s="35"/>
      <c r="DZ270" s="35"/>
      <c r="EA270" s="35"/>
      <c r="EB270" s="35"/>
      <c r="EC270" s="35"/>
      <c r="ED270" s="35"/>
      <c r="EE270" s="35"/>
      <c r="EF270" s="35"/>
      <c r="EG270" s="35"/>
      <c r="EH270" s="35"/>
      <c r="EI270" s="35"/>
      <c r="EJ270" s="35"/>
      <c r="EK270" s="35"/>
      <c r="EL270" s="35"/>
      <c r="EM270" s="35"/>
      <c r="EN270" s="35"/>
      <c r="EO270" s="35"/>
      <c r="EP270" s="35"/>
      <c r="EQ270" s="35"/>
      <c r="ER270" s="35"/>
      <c r="ES270" s="35"/>
      <c r="ET270" s="35"/>
      <c r="EU270" s="35"/>
      <c r="EV270" s="35"/>
      <c r="EW270" s="35"/>
      <c r="EX270" s="35"/>
      <c r="EY270" s="35"/>
      <c r="EZ270" s="35"/>
      <c r="FA270" s="35"/>
      <c r="FB270" s="35"/>
      <c r="FC270" s="458">
        <f t="shared" si="35"/>
        <v>0</v>
      </c>
      <c r="FD270">
        <f t="shared" si="33"/>
        <v>0</v>
      </c>
      <c r="FE270" t="e">
        <f t="shared" si="34"/>
        <v>#N/A</v>
      </c>
      <c r="FI270" s="731" t="e">
        <f t="shared" si="36"/>
        <v>#VALUE!</v>
      </c>
      <c r="FK270" s="471" t="str">
        <f t="shared" si="37"/>
        <v xml:space="preserve"> </v>
      </c>
      <c r="FL270" s="730">
        <f t="shared" si="38"/>
        <v>0</v>
      </c>
      <c r="FM270" s="471" t="str">
        <f t="shared" si="39"/>
        <v/>
      </c>
      <c r="FN270" s="730">
        <f t="shared" si="32"/>
        <v>0</v>
      </c>
    </row>
    <row r="271" spans="1:170" s="33" customFormat="1" x14ac:dyDescent="0.2">
      <c r="A271" s="34" t="s">
        <v>321</v>
      </c>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c r="BO271" s="35"/>
      <c r="BP271" s="35"/>
      <c r="BQ271" s="35"/>
      <c r="BR271" s="35"/>
      <c r="BS271" s="35"/>
      <c r="BT271" s="35"/>
      <c r="BU271" s="35"/>
      <c r="BV271" s="35"/>
      <c r="BW271" s="35"/>
      <c r="BX271" s="35"/>
      <c r="BY271" s="35"/>
      <c r="BZ271" s="35"/>
      <c r="CA271" s="35"/>
      <c r="CB271" s="35"/>
      <c r="CC271" s="35"/>
      <c r="CD271" s="35"/>
      <c r="CE271" s="35"/>
      <c r="CF271" s="35"/>
      <c r="CG271" s="35"/>
      <c r="CH271" s="35"/>
      <c r="CI271" s="35"/>
      <c r="CJ271" s="35"/>
      <c r="CK271" s="35"/>
      <c r="CL271" s="35"/>
      <c r="CM271" s="35"/>
      <c r="CN271" s="35"/>
      <c r="CO271" s="35"/>
      <c r="CP271" s="35"/>
      <c r="CQ271" s="35"/>
      <c r="CR271" s="35"/>
      <c r="CS271" s="35"/>
      <c r="CT271" s="35"/>
      <c r="CU271" s="35"/>
      <c r="CV271" s="35"/>
      <c r="CW271" s="35"/>
      <c r="CX271" s="35"/>
      <c r="CY271" s="35"/>
      <c r="CZ271" s="35"/>
      <c r="DA271" s="35"/>
      <c r="DB271" s="35"/>
      <c r="DC271" s="35"/>
      <c r="DD271" s="35"/>
      <c r="DE271" s="35"/>
      <c r="DF271" s="35"/>
      <c r="DG271" s="35"/>
      <c r="DH271" s="35"/>
      <c r="DI271" s="35"/>
      <c r="DJ271" s="35"/>
      <c r="DK271" s="35"/>
      <c r="DL271" s="35"/>
      <c r="DM271" s="35"/>
      <c r="DN271" s="35"/>
      <c r="DO271" s="35"/>
      <c r="DP271" s="35"/>
      <c r="DQ271" s="35"/>
      <c r="DR271" s="35"/>
      <c r="DS271" s="35"/>
      <c r="DT271" s="35"/>
      <c r="DU271" s="35"/>
      <c r="DV271" s="35"/>
      <c r="DW271" s="35"/>
      <c r="DX271" s="35"/>
      <c r="DY271" s="35"/>
      <c r="DZ271" s="35"/>
      <c r="EA271" s="35"/>
      <c r="EB271" s="35"/>
      <c r="EC271" s="35"/>
      <c r="ED271" s="35"/>
      <c r="EE271" s="35"/>
      <c r="EF271" s="35"/>
      <c r="EG271" s="35"/>
      <c r="EH271" s="35"/>
      <c r="EI271" s="35"/>
      <c r="EJ271" s="35"/>
      <c r="EK271" s="35"/>
      <c r="EL271" s="35"/>
      <c r="EM271" s="35"/>
      <c r="EN271" s="35"/>
      <c r="EO271" s="35"/>
      <c r="EP271" s="35"/>
      <c r="EQ271" s="35"/>
      <c r="ER271" s="35"/>
      <c r="ES271" s="35"/>
      <c r="ET271" s="35"/>
      <c r="EU271" s="35"/>
      <c r="EV271" s="35"/>
      <c r="EW271" s="35"/>
      <c r="EX271" s="35"/>
      <c r="EY271" s="35"/>
      <c r="EZ271" s="35"/>
      <c r="FA271" s="35"/>
      <c r="FB271" s="35"/>
      <c r="FC271" s="458">
        <f t="shared" si="35"/>
        <v>0</v>
      </c>
      <c r="FD271">
        <f t="shared" si="33"/>
        <v>0</v>
      </c>
      <c r="FE271" t="e">
        <f t="shared" si="34"/>
        <v>#N/A</v>
      </c>
      <c r="FI271" s="731" t="e">
        <f t="shared" si="36"/>
        <v>#VALUE!</v>
      </c>
      <c r="FK271" s="471" t="str">
        <f t="shared" si="37"/>
        <v xml:space="preserve"> </v>
      </c>
      <c r="FL271" s="730">
        <f t="shared" si="38"/>
        <v>0</v>
      </c>
      <c r="FM271" s="471" t="str">
        <f t="shared" si="39"/>
        <v/>
      </c>
      <c r="FN271" s="730">
        <f t="shared" si="32"/>
        <v>0</v>
      </c>
    </row>
    <row r="272" spans="1:170" s="33" customFormat="1" x14ac:dyDescent="0.2">
      <c r="A272" s="34" t="s">
        <v>322</v>
      </c>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s="35"/>
      <c r="BI272" s="35"/>
      <c r="BJ272" s="35"/>
      <c r="BK272" s="35"/>
      <c r="BL272" s="35"/>
      <c r="BM272" s="35"/>
      <c r="BN272" s="35"/>
      <c r="BO272" s="35"/>
      <c r="BP272" s="35"/>
      <c r="BQ272" s="35"/>
      <c r="BR272" s="35"/>
      <c r="BS272" s="35"/>
      <c r="BT272" s="35"/>
      <c r="BU272" s="35"/>
      <c r="BV272" s="35"/>
      <c r="BW272" s="35"/>
      <c r="BX272" s="35"/>
      <c r="BY272" s="35"/>
      <c r="BZ272" s="35"/>
      <c r="CA272" s="35"/>
      <c r="CB272" s="35"/>
      <c r="CC272" s="35"/>
      <c r="CD272" s="35"/>
      <c r="CE272" s="35"/>
      <c r="CF272" s="35"/>
      <c r="CG272" s="35"/>
      <c r="CH272" s="35"/>
      <c r="CI272" s="35"/>
      <c r="CJ272" s="35"/>
      <c r="CK272" s="35"/>
      <c r="CL272" s="35"/>
      <c r="CM272" s="35"/>
      <c r="CN272" s="35"/>
      <c r="CO272" s="35"/>
      <c r="CP272" s="35"/>
      <c r="CQ272" s="35"/>
      <c r="CR272" s="35"/>
      <c r="CS272" s="35"/>
      <c r="CT272" s="35"/>
      <c r="CU272" s="35"/>
      <c r="CV272" s="35"/>
      <c r="CW272" s="35"/>
      <c r="CX272" s="35"/>
      <c r="CY272" s="35"/>
      <c r="CZ272" s="35"/>
      <c r="DA272" s="35"/>
      <c r="DB272" s="35"/>
      <c r="DC272" s="35"/>
      <c r="DD272" s="35"/>
      <c r="DE272" s="35"/>
      <c r="DF272" s="35"/>
      <c r="DG272" s="35"/>
      <c r="DH272" s="35"/>
      <c r="DI272" s="35"/>
      <c r="DJ272" s="35"/>
      <c r="DK272" s="35"/>
      <c r="DL272" s="35"/>
      <c r="DM272" s="35"/>
      <c r="DN272" s="35"/>
      <c r="DO272" s="35"/>
      <c r="DP272" s="35"/>
      <c r="DQ272" s="35"/>
      <c r="DR272" s="35"/>
      <c r="DS272" s="35"/>
      <c r="DT272" s="35"/>
      <c r="DU272" s="35"/>
      <c r="DV272" s="35"/>
      <c r="DW272" s="35"/>
      <c r="DX272" s="35"/>
      <c r="DY272" s="35"/>
      <c r="DZ272" s="35"/>
      <c r="EA272" s="35"/>
      <c r="EB272" s="35"/>
      <c r="EC272" s="35"/>
      <c r="ED272" s="35"/>
      <c r="EE272" s="35"/>
      <c r="EF272" s="35"/>
      <c r="EG272" s="35"/>
      <c r="EH272" s="35"/>
      <c r="EI272" s="35"/>
      <c r="EJ272" s="35"/>
      <c r="EK272" s="35"/>
      <c r="EL272" s="35"/>
      <c r="EM272" s="35"/>
      <c r="EN272" s="35"/>
      <c r="EO272" s="35"/>
      <c r="EP272" s="35"/>
      <c r="EQ272" s="35"/>
      <c r="ER272" s="35"/>
      <c r="ES272" s="35"/>
      <c r="ET272" s="35"/>
      <c r="EU272" s="35"/>
      <c r="EV272" s="35"/>
      <c r="EW272" s="35"/>
      <c r="EX272" s="35"/>
      <c r="EY272" s="35"/>
      <c r="EZ272" s="35"/>
      <c r="FA272" s="35"/>
      <c r="FB272" s="35"/>
      <c r="FC272" s="458">
        <f t="shared" si="35"/>
        <v>0</v>
      </c>
      <c r="FD272">
        <f t="shared" si="33"/>
        <v>0</v>
      </c>
      <c r="FE272" t="e">
        <f t="shared" si="34"/>
        <v>#N/A</v>
      </c>
      <c r="FI272" s="731" t="e">
        <f t="shared" si="36"/>
        <v>#VALUE!</v>
      </c>
      <c r="FK272" s="471" t="str">
        <f t="shared" si="37"/>
        <v xml:space="preserve"> </v>
      </c>
      <c r="FL272" s="730">
        <f t="shared" si="38"/>
        <v>0</v>
      </c>
      <c r="FM272" s="471" t="str">
        <f t="shared" si="39"/>
        <v/>
      </c>
      <c r="FN272" s="730">
        <f t="shared" si="32"/>
        <v>0</v>
      </c>
    </row>
    <row r="273" spans="1:170" s="33" customFormat="1" x14ac:dyDescent="0.2">
      <c r="A273" s="34" t="s">
        <v>323</v>
      </c>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c r="BG273" s="35"/>
      <c r="BH273" s="35"/>
      <c r="BI273" s="35"/>
      <c r="BJ273" s="35"/>
      <c r="BK273" s="35"/>
      <c r="BL273" s="35"/>
      <c r="BM273" s="35"/>
      <c r="BN273" s="35"/>
      <c r="BO273" s="35"/>
      <c r="BP273" s="35"/>
      <c r="BQ273" s="35"/>
      <c r="BR273" s="35"/>
      <c r="BS273" s="35"/>
      <c r="BT273" s="35"/>
      <c r="BU273" s="35"/>
      <c r="BV273" s="35"/>
      <c r="BW273" s="35"/>
      <c r="BX273" s="35"/>
      <c r="BY273" s="35"/>
      <c r="BZ273" s="35"/>
      <c r="CA273" s="35"/>
      <c r="CB273" s="35"/>
      <c r="CC273" s="35"/>
      <c r="CD273" s="35"/>
      <c r="CE273" s="35"/>
      <c r="CF273" s="35"/>
      <c r="CG273" s="35"/>
      <c r="CH273" s="35"/>
      <c r="CI273" s="35"/>
      <c r="CJ273" s="35"/>
      <c r="CK273" s="35"/>
      <c r="CL273" s="35"/>
      <c r="CM273" s="35"/>
      <c r="CN273" s="35"/>
      <c r="CO273" s="35"/>
      <c r="CP273" s="35"/>
      <c r="CQ273" s="35"/>
      <c r="CR273" s="35"/>
      <c r="CS273" s="35"/>
      <c r="CT273" s="35"/>
      <c r="CU273" s="35"/>
      <c r="CV273" s="35"/>
      <c r="CW273" s="35"/>
      <c r="CX273" s="35"/>
      <c r="CY273" s="35"/>
      <c r="CZ273" s="35"/>
      <c r="DA273" s="35"/>
      <c r="DB273" s="35"/>
      <c r="DC273" s="35"/>
      <c r="DD273" s="35"/>
      <c r="DE273" s="35"/>
      <c r="DF273" s="35"/>
      <c r="DG273" s="35"/>
      <c r="DH273" s="35"/>
      <c r="DI273" s="35"/>
      <c r="DJ273" s="35"/>
      <c r="DK273" s="35"/>
      <c r="DL273" s="35"/>
      <c r="DM273" s="35"/>
      <c r="DN273" s="35"/>
      <c r="DO273" s="35"/>
      <c r="DP273" s="35"/>
      <c r="DQ273" s="35"/>
      <c r="DR273" s="35"/>
      <c r="DS273" s="35"/>
      <c r="DT273" s="35"/>
      <c r="DU273" s="35"/>
      <c r="DV273" s="35"/>
      <c r="DW273" s="35"/>
      <c r="DX273" s="35"/>
      <c r="DY273" s="35"/>
      <c r="DZ273" s="35"/>
      <c r="EA273" s="35"/>
      <c r="EB273" s="35"/>
      <c r="EC273" s="35"/>
      <c r="ED273" s="35"/>
      <c r="EE273" s="35"/>
      <c r="EF273" s="35"/>
      <c r="EG273" s="35"/>
      <c r="EH273" s="35"/>
      <c r="EI273" s="35"/>
      <c r="EJ273" s="35"/>
      <c r="EK273" s="35"/>
      <c r="EL273" s="35"/>
      <c r="EM273" s="35"/>
      <c r="EN273" s="35"/>
      <c r="EO273" s="35"/>
      <c r="EP273" s="35"/>
      <c r="EQ273" s="35"/>
      <c r="ER273" s="35"/>
      <c r="ES273" s="35"/>
      <c r="ET273" s="35"/>
      <c r="EU273" s="35"/>
      <c r="EV273" s="35"/>
      <c r="EW273" s="35"/>
      <c r="EX273" s="35"/>
      <c r="EY273" s="35"/>
      <c r="EZ273" s="35"/>
      <c r="FA273" s="35"/>
      <c r="FB273" s="35"/>
      <c r="FC273" s="458">
        <f t="shared" si="35"/>
        <v>0</v>
      </c>
      <c r="FD273">
        <f t="shared" si="33"/>
        <v>0</v>
      </c>
      <c r="FE273" t="e">
        <f t="shared" si="34"/>
        <v>#N/A</v>
      </c>
      <c r="FI273" s="731" t="e">
        <f t="shared" si="36"/>
        <v>#VALUE!</v>
      </c>
      <c r="FK273" s="471" t="str">
        <f t="shared" si="37"/>
        <v xml:space="preserve"> </v>
      </c>
      <c r="FL273" s="730">
        <f t="shared" si="38"/>
        <v>0</v>
      </c>
      <c r="FM273" s="471" t="str">
        <f t="shared" si="39"/>
        <v/>
      </c>
      <c r="FN273" s="730">
        <f t="shared" si="32"/>
        <v>0</v>
      </c>
    </row>
    <row r="274" spans="1:170" s="33" customFormat="1" x14ac:dyDescent="0.2">
      <c r="A274" s="34" t="s">
        <v>324</v>
      </c>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35"/>
      <c r="BI274" s="35"/>
      <c r="BJ274" s="35"/>
      <c r="BK274" s="35"/>
      <c r="BL274" s="35"/>
      <c r="BM274" s="35"/>
      <c r="BN274" s="35"/>
      <c r="BO274" s="35"/>
      <c r="BP274" s="35"/>
      <c r="BQ274" s="35"/>
      <c r="BR274" s="35"/>
      <c r="BS274" s="35"/>
      <c r="BT274" s="35"/>
      <c r="BU274" s="35"/>
      <c r="BV274" s="35"/>
      <c r="BW274" s="35"/>
      <c r="BX274" s="35"/>
      <c r="BY274" s="35"/>
      <c r="BZ274" s="35"/>
      <c r="CA274" s="35"/>
      <c r="CB274" s="35"/>
      <c r="CC274" s="35"/>
      <c r="CD274" s="35"/>
      <c r="CE274" s="35"/>
      <c r="CF274" s="35"/>
      <c r="CG274" s="35"/>
      <c r="CH274" s="35"/>
      <c r="CI274" s="35"/>
      <c r="CJ274" s="35"/>
      <c r="CK274" s="35"/>
      <c r="CL274" s="35"/>
      <c r="CM274" s="35"/>
      <c r="CN274" s="35"/>
      <c r="CO274" s="35"/>
      <c r="CP274" s="35"/>
      <c r="CQ274" s="35"/>
      <c r="CR274" s="35"/>
      <c r="CS274" s="35"/>
      <c r="CT274" s="35"/>
      <c r="CU274" s="35"/>
      <c r="CV274" s="35"/>
      <c r="CW274" s="35"/>
      <c r="CX274" s="35"/>
      <c r="CY274" s="35"/>
      <c r="CZ274" s="35"/>
      <c r="DA274" s="35"/>
      <c r="DB274" s="35"/>
      <c r="DC274" s="35"/>
      <c r="DD274" s="35"/>
      <c r="DE274" s="35"/>
      <c r="DF274" s="35"/>
      <c r="DG274" s="35"/>
      <c r="DH274" s="35"/>
      <c r="DI274" s="35"/>
      <c r="DJ274" s="35"/>
      <c r="DK274" s="35"/>
      <c r="DL274" s="35"/>
      <c r="DM274" s="35"/>
      <c r="DN274" s="35"/>
      <c r="DO274" s="35"/>
      <c r="DP274" s="35"/>
      <c r="DQ274" s="35"/>
      <c r="DR274" s="35"/>
      <c r="DS274" s="35"/>
      <c r="DT274" s="35"/>
      <c r="DU274" s="35"/>
      <c r="DV274" s="35"/>
      <c r="DW274" s="35"/>
      <c r="DX274" s="35"/>
      <c r="DY274" s="35"/>
      <c r="DZ274" s="35"/>
      <c r="EA274" s="35"/>
      <c r="EB274" s="35"/>
      <c r="EC274" s="35"/>
      <c r="ED274" s="35"/>
      <c r="EE274" s="35"/>
      <c r="EF274" s="35"/>
      <c r="EG274" s="35"/>
      <c r="EH274" s="35"/>
      <c r="EI274" s="35"/>
      <c r="EJ274" s="35"/>
      <c r="EK274" s="35"/>
      <c r="EL274" s="35"/>
      <c r="EM274" s="35"/>
      <c r="EN274" s="35"/>
      <c r="EO274" s="35"/>
      <c r="EP274" s="35"/>
      <c r="EQ274" s="35"/>
      <c r="ER274" s="35"/>
      <c r="ES274" s="35"/>
      <c r="ET274" s="35"/>
      <c r="EU274" s="35"/>
      <c r="EV274" s="35"/>
      <c r="EW274" s="35"/>
      <c r="EX274" s="35"/>
      <c r="EY274" s="35"/>
      <c r="EZ274" s="35"/>
      <c r="FA274" s="35"/>
      <c r="FB274" s="35"/>
      <c r="FC274" s="458">
        <f t="shared" si="35"/>
        <v>0</v>
      </c>
      <c r="FD274">
        <f t="shared" si="33"/>
        <v>0</v>
      </c>
      <c r="FE274" t="e">
        <f t="shared" si="34"/>
        <v>#N/A</v>
      </c>
      <c r="FI274" s="731" t="e">
        <f t="shared" si="36"/>
        <v>#VALUE!</v>
      </c>
      <c r="FK274" s="471" t="str">
        <f t="shared" si="37"/>
        <v xml:space="preserve"> </v>
      </c>
      <c r="FL274" s="730">
        <f t="shared" si="38"/>
        <v>0</v>
      </c>
      <c r="FM274" s="471" t="str">
        <f t="shared" si="39"/>
        <v/>
      </c>
      <c r="FN274" s="730">
        <f t="shared" si="32"/>
        <v>0</v>
      </c>
    </row>
    <row r="275" spans="1:170" s="33" customFormat="1" x14ac:dyDescent="0.2">
      <c r="A275" s="34" t="s">
        <v>325</v>
      </c>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c r="BG275" s="35"/>
      <c r="BH275" s="35"/>
      <c r="BI275" s="35"/>
      <c r="BJ275" s="35"/>
      <c r="BK275" s="35"/>
      <c r="BL275" s="35"/>
      <c r="BM275" s="35"/>
      <c r="BN275" s="35"/>
      <c r="BO275" s="35"/>
      <c r="BP275" s="35"/>
      <c r="BQ275" s="35"/>
      <c r="BR275" s="35"/>
      <c r="BS275" s="35"/>
      <c r="BT275" s="35"/>
      <c r="BU275" s="35"/>
      <c r="BV275" s="35"/>
      <c r="BW275" s="35"/>
      <c r="BX275" s="35"/>
      <c r="BY275" s="35"/>
      <c r="BZ275" s="35"/>
      <c r="CA275" s="35"/>
      <c r="CB275" s="35"/>
      <c r="CC275" s="35"/>
      <c r="CD275" s="35"/>
      <c r="CE275" s="35"/>
      <c r="CF275" s="35"/>
      <c r="CG275" s="35"/>
      <c r="CH275" s="35"/>
      <c r="CI275" s="35"/>
      <c r="CJ275" s="35"/>
      <c r="CK275" s="35"/>
      <c r="CL275" s="35"/>
      <c r="CM275" s="35"/>
      <c r="CN275" s="35"/>
      <c r="CO275" s="35"/>
      <c r="CP275" s="35"/>
      <c r="CQ275" s="35"/>
      <c r="CR275" s="35"/>
      <c r="CS275" s="35"/>
      <c r="CT275" s="35"/>
      <c r="CU275" s="35"/>
      <c r="CV275" s="35"/>
      <c r="CW275" s="35"/>
      <c r="CX275" s="35"/>
      <c r="CY275" s="35"/>
      <c r="CZ275" s="35"/>
      <c r="DA275" s="35"/>
      <c r="DB275" s="35"/>
      <c r="DC275" s="35"/>
      <c r="DD275" s="35"/>
      <c r="DE275" s="35"/>
      <c r="DF275" s="35"/>
      <c r="DG275" s="35"/>
      <c r="DH275" s="35"/>
      <c r="DI275" s="35"/>
      <c r="DJ275" s="35"/>
      <c r="DK275" s="35"/>
      <c r="DL275" s="35"/>
      <c r="DM275" s="35"/>
      <c r="DN275" s="35"/>
      <c r="DO275" s="35"/>
      <c r="DP275" s="35"/>
      <c r="DQ275" s="35"/>
      <c r="DR275" s="35"/>
      <c r="DS275" s="35"/>
      <c r="DT275" s="35"/>
      <c r="DU275" s="35"/>
      <c r="DV275" s="35"/>
      <c r="DW275" s="35"/>
      <c r="DX275" s="35"/>
      <c r="DY275" s="35"/>
      <c r="DZ275" s="35"/>
      <c r="EA275" s="35"/>
      <c r="EB275" s="35"/>
      <c r="EC275" s="35"/>
      <c r="ED275" s="35"/>
      <c r="EE275" s="35"/>
      <c r="EF275" s="35"/>
      <c r="EG275" s="35"/>
      <c r="EH275" s="35"/>
      <c r="EI275" s="35"/>
      <c r="EJ275" s="35"/>
      <c r="EK275" s="35"/>
      <c r="EL275" s="35"/>
      <c r="EM275" s="35"/>
      <c r="EN275" s="35"/>
      <c r="EO275" s="35"/>
      <c r="EP275" s="35"/>
      <c r="EQ275" s="35"/>
      <c r="ER275" s="35"/>
      <c r="ES275" s="35"/>
      <c r="ET275" s="35"/>
      <c r="EU275" s="35"/>
      <c r="EV275" s="35"/>
      <c r="EW275" s="35"/>
      <c r="EX275" s="35"/>
      <c r="EY275" s="35"/>
      <c r="EZ275" s="35"/>
      <c r="FA275" s="35"/>
      <c r="FB275" s="35"/>
      <c r="FC275" s="458">
        <f t="shared" si="35"/>
        <v>0</v>
      </c>
      <c r="FD275">
        <f t="shared" si="33"/>
        <v>0</v>
      </c>
      <c r="FE275" t="e">
        <f t="shared" si="34"/>
        <v>#N/A</v>
      </c>
      <c r="FI275" s="731" t="e">
        <f t="shared" si="36"/>
        <v>#VALUE!</v>
      </c>
      <c r="FK275" s="471" t="str">
        <f t="shared" si="37"/>
        <v xml:space="preserve"> </v>
      </c>
      <c r="FL275" s="730">
        <f t="shared" si="38"/>
        <v>0</v>
      </c>
      <c r="FM275" s="471" t="str">
        <f t="shared" si="39"/>
        <v/>
      </c>
      <c r="FN275" s="730">
        <f t="shared" si="32"/>
        <v>0</v>
      </c>
    </row>
    <row r="276" spans="1:170" s="33" customFormat="1" x14ac:dyDescent="0.2">
      <c r="A276" s="34" t="s">
        <v>326</v>
      </c>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35"/>
      <c r="BI276" s="35"/>
      <c r="BJ276" s="35"/>
      <c r="BK276" s="35"/>
      <c r="BL276" s="35"/>
      <c r="BM276" s="35"/>
      <c r="BN276" s="35"/>
      <c r="BO276" s="35"/>
      <c r="BP276" s="35"/>
      <c r="BQ276" s="35"/>
      <c r="BR276" s="35"/>
      <c r="BS276" s="35"/>
      <c r="BT276" s="35"/>
      <c r="BU276" s="35"/>
      <c r="BV276" s="35"/>
      <c r="BW276" s="35"/>
      <c r="BX276" s="35"/>
      <c r="BY276" s="35"/>
      <c r="BZ276" s="35"/>
      <c r="CA276" s="35"/>
      <c r="CB276" s="35"/>
      <c r="CC276" s="35"/>
      <c r="CD276" s="35"/>
      <c r="CE276" s="35"/>
      <c r="CF276" s="35"/>
      <c r="CG276" s="35"/>
      <c r="CH276" s="35"/>
      <c r="CI276" s="35"/>
      <c r="CJ276" s="35"/>
      <c r="CK276" s="35"/>
      <c r="CL276" s="35"/>
      <c r="CM276" s="35"/>
      <c r="CN276" s="35"/>
      <c r="CO276" s="35"/>
      <c r="CP276" s="35"/>
      <c r="CQ276" s="35"/>
      <c r="CR276" s="35"/>
      <c r="CS276" s="35"/>
      <c r="CT276" s="35"/>
      <c r="CU276" s="35"/>
      <c r="CV276" s="35"/>
      <c r="CW276" s="35"/>
      <c r="CX276" s="35"/>
      <c r="CY276" s="35"/>
      <c r="CZ276" s="35"/>
      <c r="DA276" s="35"/>
      <c r="DB276" s="35"/>
      <c r="DC276" s="35"/>
      <c r="DD276" s="35"/>
      <c r="DE276" s="35"/>
      <c r="DF276" s="35"/>
      <c r="DG276" s="35"/>
      <c r="DH276" s="35"/>
      <c r="DI276" s="35"/>
      <c r="DJ276" s="35"/>
      <c r="DK276" s="35"/>
      <c r="DL276" s="35"/>
      <c r="DM276" s="35"/>
      <c r="DN276" s="35"/>
      <c r="DO276" s="35"/>
      <c r="DP276" s="35"/>
      <c r="DQ276" s="35"/>
      <c r="DR276" s="35"/>
      <c r="DS276" s="35"/>
      <c r="DT276" s="35"/>
      <c r="DU276" s="35"/>
      <c r="DV276" s="35"/>
      <c r="DW276" s="35"/>
      <c r="DX276" s="35"/>
      <c r="DY276" s="35"/>
      <c r="DZ276" s="35"/>
      <c r="EA276" s="35"/>
      <c r="EB276" s="35"/>
      <c r="EC276" s="35"/>
      <c r="ED276" s="35"/>
      <c r="EE276" s="35"/>
      <c r="EF276" s="35"/>
      <c r="EG276" s="35"/>
      <c r="EH276" s="35"/>
      <c r="EI276" s="35"/>
      <c r="EJ276" s="35"/>
      <c r="EK276" s="35"/>
      <c r="EL276" s="35"/>
      <c r="EM276" s="35"/>
      <c r="EN276" s="35"/>
      <c r="EO276" s="35"/>
      <c r="EP276" s="35"/>
      <c r="EQ276" s="35"/>
      <c r="ER276" s="35"/>
      <c r="ES276" s="35"/>
      <c r="ET276" s="35"/>
      <c r="EU276" s="35"/>
      <c r="EV276" s="35"/>
      <c r="EW276" s="35"/>
      <c r="EX276" s="35"/>
      <c r="EY276" s="35"/>
      <c r="EZ276" s="35"/>
      <c r="FA276" s="35"/>
      <c r="FB276" s="35"/>
      <c r="FC276" s="458">
        <f t="shared" si="35"/>
        <v>0</v>
      </c>
      <c r="FD276">
        <f t="shared" si="33"/>
        <v>0</v>
      </c>
      <c r="FE276" t="e">
        <f t="shared" si="34"/>
        <v>#N/A</v>
      </c>
      <c r="FI276" s="731" t="e">
        <f t="shared" si="36"/>
        <v>#VALUE!</v>
      </c>
      <c r="FK276" s="471" t="str">
        <f t="shared" si="37"/>
        <v xml:space="preserve"> </v>
      </c>
      <c r="FL276" s="730">
        <f t="shared" si="38"/>
        <v>0</v>
      </c>
      <c r="FM276" s="471" t="str">
        <f t="shared" si="39"/>
        <v/>
      </c>
      <c r="FN276" s="730">
        <f t="shared" si="32"/>
        <v>0</v>
      </c>
    </row>
    <row r="277" spans="1:170" s="33" customFormat="1" x14ac:dyDescent="0.2">
      <c r="A277" s="34" t="s">
        <v>327</v>
      </c>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c r="BJ277" s="35"/>
      <c r="BK277" s="35"/>
      <c r="BL277" s="35"/>
      <c r="BM277" s="35"/>
      <c r="BN277" s="35"/>
      <c r="BO277" s="35"/>
      <c r="BP277" s="35"/>
      <c r="BQ277" s="35"/>
      <c r="BR277" s="35"/>
      <c r="BS277" s="35"/>
      <c r="BT277" s="35"/>
      <c r="BU277" s="35"/>
      <c r="BV277" s="35"/>
      <c r="BW277" s="35"/>
      <c r="BX277" s="35"/>
      <c r="BY277" s="35"/>
      <c r="BZ277" s="35"/>
      <c r="CA277" s="35"/>
      <c r="CB277" s="35"/>
      <c r="CC277" s="35"/>
      <c r="CD277" s="35"/>
      <c r="CE277" s="35"/>
      <c r="CF277" s="35"/>
      <c r="CG277" s="35"/>
      <c r="CH277" s="35"/>
      <c r="CI277" s="35"/>
      <c r="CJ277" s="35"/>
      <c r="CK277" s="35"/>
      <c r="CL277" s="35"/>
      <c r="CM277" s="35"/>
      <c r="CN277" s="35"/>
      <c r="CO277" s="35"/>
      <c r="CP277" s="35"/>
      <c r="CQ277" s="35"/>
      <c r="CR277" s="35"/>
      <c r="CS277" s="35"/>
      <c r="CT277" s="35"/>
      <c r="CU277" s="35"/>
      <c r="CV277" s="35"/>
      <c r="CW277" s="35"/>
      <c r="CX277" s="35"/>
      <c r="CY277" s="35"/>
      <c r="CZ277" s="35"/>
      <c r="DA277" s="35"/>
      <c r="DB277" s="35"/>
      <c r="DC277" s="35"/>
      <c r="DD277" s="35"/>
      <c r="DE277" s="35"/>
      <c r="DF277" s="35"/>
      <c r="DG277" s="35"/>
      <c r="DH277" s="35"/>
      <c r="DI277" s="35"/>
      <c r="DJ277" s="35"/>
      <c r="DK277" s="35"/>
      <c r="DL277" s="35"/>
      <c r="DM277" s="35"/>
      <c r="DN277" s="35"/>
      <c r="DO277" s="35"/>
      <c r="DP277" s="35"/>
      <c r="DQ277" s="35"/>
      <c r="DR277" s="35"/>
      <c r="DS277" s="35"/>
      <c r="DT277" s="35"/>
      <c r="DU277" s="35"/>
      <c r="DV277" s="35"/>
      <c r="DW277" s="35"/>
      <c r="DX277" s="35"/>
      <c r="DY277" s="35"/>
      <c r="DZ277" s="35"/>
      <c r="EA277" s="35"/>
      <c r="EB277" s="35"/>
      <c r="EC277" s="35"/>
      <c r="ED277" s="35"/>
      <c r="EE277" s="35"/>
      <c r="EF277" s="35"/>
      <c r="EG277" s="35"/>
      <c r="EH277" s="35"/>
      <c r="EI277" s="35"/>
      <c r="EJ277" s="35"/>
      <c r="EK277" s="35"/>
      <c r="EL277" s="35"/>
      <c r="EM277" s="35"/>
      <c r="EN277" s="35"/>
      <c r="EO277" s="35"/>
      <c r="EP277" s="35"/>
      <c r="EQ277" s="35"/>
      <c r="ER277" s="35"/>
      <c r="ES277" s="35"/>
      <c r="ET277" s="35"/>
      <c r="EU277" s="35"/>
      <c r="EV277" s="35"/>
      <c r="EW277" s="35"/>
      <c r="EX277" s="35"/>
      <c r="EY277" s="35"/>
      <c r="EZ277" s="35"/>
      <c r="FA277" s="35"/>
      <c r="FB277" s="35"/>
      <c r="FC277" s="458">
        <f t="shared" si="35"/>
        <v>0</v>
      </c>
      <c r="FD277">
        <f t="shared" si="33"/>
        <v>0</v>
      </c>
      <c r="FE277" t="e">
        <f t="shared" si="34"/>
        <v>#N/A</v>
      </c>
      <c r="FI277" s="731" t="e">
        <f t="shared" si="36"/>
        <v>#VALUE!</v>
      </c>
      <c r="FK277" s="471" t="str">
        <f t="shared" si="37"/>
        <v xml:space="preserve"> </v>
      </c>
      <c r="FL277" s="730">
        <f t="shared" si="38"/>
        <v>0</v>
      </c>
      <c r="FM277" s="471" t="str">
        <f t="shared" si="39"/>
        <v/>
      </c>
      <c r="FN277" s="730">
        <f t="shared" si="32"/>
        <v>0</v>
      </c>
    </row>
    <row r="278" spans="1:170" s="33" customFormat="1" x14ac:dyDescent="0.2">
      <c r="A278" s="34" t="s">
        <v>328</v>
      </c>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35"/>
      <c r="BI278" s="35"/>
      <c r="BJ278" s="35"/>
      <c r="BK278" s="35"/>
      <c r="BL278" s="35"/>
      <c r="BM278" s="35"/>
      <c r="BN278" s="35"/>
      <c r="BO278" s="35"/>
      <c r="BP278" s="35"/>
      <c r="BQ278" s="35"/>
      <c r="BR278" s="35"/>
      <c r="BS278" s="35"/>
      <c r="BT278" s="35"/>
      <c r="BU278" s="35"/>
      <c r="BV278" s="35"/>
      <c r="BW278" s="35"/>
      <c r="BX278" s="35"/>
      <c r="BY278" s="35"/>
      <c r="BZ278" s="35"/>
      <c r="CA278" s="35"/>
      <c r="CB278" s="35"/>
      <c r="CC278" s="35"/>
      <c r="CD278" s="35"/>
      <c r="CE278" s="35"/>
      <c r="CF278" s="35"/>
      <c r="CG278" s="35"/>
      <c r="CH278" s="35"/>
      <c r="CI278" s="35"/>
      <c r="CJ278" s="35"/>
      <c r="CK278" s="35"/>
      <c r="CL278" s="35"/>
      <c r="CM278" s="35"/>
      <c r="CN278" s="35"/>
      <c r="CO278" s="35"/>
      <c r="CP278" s="35"/>
      <c r="CQ278" s="35"/>
      <c r="CR278" s="35"/>
      <c r="CS278" s="35"/>
      <c r="CT278" s="35"/>
      <c r="CU278" s="35"/>
      <c r="CV278" s="35"/>
      <c r="CW278" s="35"/>
      <c r="CX278" s="35"/>
      <c r="CY278" s="35"/>
      <c r="CZ278" s="35"/>
      <c r="DA278" s="35"/>
      <c r="DB278" s="35"/>
      <c r="DC278" s="35"/>
      <c r="DD278" s="35"/>
      <c r="DE278" s="35"/>
      <c r="DF278" s="35"/>
      <c r="DG278" s="35"/>
      <c r="DH278" s="35"/>
      <c r="DI278" s="35"/>
      <c r="DJ278" s="35"/>
      <c r="DK278" s="35"/>
      <c r="DL278" s="35"/>
      <c r="DM278" s="35"/>
      <c r="DN278" s="35"/>
      <c r="DO278" s="35"/>
      <c r="DP278" s="35"/>
      <c r="DQ278" s="35"/>
      <c r="DR278" s="35"/>
      <c r="DS278" s="35"/>
      <c r="DT278" s="35"/>
      <c r="DU278" s="35"/>
      <c r="DV278" s="35"/>
      <c r="DW278" s="35"/>
      <c r="DX278" s="35"/>
      <c r="DY278" s="35"/>
      <c r="DZ278" s="35"/>
      <c r="EA278" s="35"/>
      <c r="EB278" s="35"/>
      <c r="EC278" s="35"/>
      <c r="ED278" s="35"/>
      <c r="EE278" s="35"/>
      <c r="EF278" s="35"/>
      <c r="EG278" s="35"/>
      <c r="EH278" s="35"/>
      <c r="EI278" s="35"/>
      <c r="EJ278" s="35"/>
      <c r="EK278" s="35"/>
      <c r="EL278" s="35"/>
      <c r="EM278" s="35"/>
      <c r="EN278" s="35"/>
      <c r="EO278" s="35"/>
      <c r="EP278" s="35"/>
      <c r="EQ278" s="35"/>
      <c r="ER278" s="35"/>
      <c r="ES278" s="35"/>
      <c r="ET278" s="35"/>
      <c r="EU278" s="35"/>
      <c r="EV278" s="35"/>
      <c r="EW278" s="35"/>
      <c r="EX278" s="35"/>
      <c r="EY278" s="35"/>
      <c r="EZ278" s="35"/>
      <c r="FA278" s="35"/>
      <c r="FB278" s="35"/>
      <c r="FC278" s="458">
        <f t="shared" si="35"/>
        <v>0</v>
      </c>
      <c r="FD278">
        <f t="shared" si="33"/>
        <v>0</v>
      </c>
      <c r="FE278" t="e">
        <f t="shared" si="34"/>
        <v>#N/A</v>
      </c>
      <c r="FI278" s="731" t="e">
        <f t="shared" si="36"/>
        <v>#VALUE!</v>
      </c>
      <c r="FK278" s="471" t="str">
        <f t="shared" si="37"/>
        <v xml:space="preserve"> </v>
      </c>
      <c r="FL278" s="730">
        <f t="shared" si="38"/>
        <v>0</v>
      </c>
      <c r="FM278" s="471" t="str">
        <f t="shared" si="39"/>
        <v/>
      </c>
      <c r="FN278" s="730">
        <f t="shared" si="32"/>
        <v>0</v>
      </c>
    </row>
    <row r="279" spans="1:170" s="33" customFormat="1" x14ac:dyDescent="0.2">
      <c r="A279" s="34" t="s">
        <v>329</v>
      </c>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c r="BI279" s="35"/>
      <c r="BJ279" s="35"/>
      <c r="BK279" s="35"/>
      <c r="BL279" s="35"/>
      <c r="BM279" s="35"/>
      <c r="BN279" s="35"/>
      <c r="BO279" s="35"/>
      <c r="BP279" s="35"/>
      <c r="BQ279" s="35"/>
      <c r="BR279" s="35"/>
      <c r="BS279" s="35"/>
      <c r="BT279" s="35"/>
      <c r="BU279" s="35"/>
      <c r="BV279" s="35"/>
      <c r="BW279" s="35"/>
      <c r="BX279" s="35"/>
      <c r="BY279" s="35"/>
      <c r="BZ279" s="35"/>
      <c r="CA279" s="35"/>
      <c r="CB279" s="35"/>
      <c r="CC279" s="35"/>
      <c r="CD279" s="35"/>
      <c r="CE279" s="35"/>
      <c r="CF279" s="35"/>
      <c r="CG279" s="35"/>
      <c r="CH279" s="35"/>
      <c r="CI279" s="35"/>
      <c r="CJ279" s="35"/>
      <c r="CK279" s="35"/>
      <c r="CL279" s="35"/>
      <c r="CM279" s="35"/>
      <c r="CN279" s="35"/>
      <c r="CO279" s="35"/>
      <c r="CP279" s="35"/>
      <c r="CQ279" s="35"/>
      <c r="CR279" s="35"/>
      <c r="CS279" s="35"/>
      <c r="CT279" s="35"/>
      <c r="CU279" s="35"/>
      <c r="CV279" s="35"/>
      <c r="CW279" s="35"/>
      <c r="CX279" s="35"/>
      <c r="CY279" s="35"/>
      <c r="CZ279" s="35"/>
      <c r="DA279" s="35"/>
      <c r="DB279" s="35"/>
      <c r="DC279" s="35"/>
      <c r="DD279" s="35"/>
      <c r="DE279" s="35"/>
      <c r="DF279" s="35"/>
      <c r="DG279" s="35"/>
      <c r="DH279" s="35"/>
      <c r="DI279" s="35"/>
      <c r="DJ279" s="35"/>
      <c r="DK279" s="35"/>
      <c r="DL279" s="35"/>
      <c r="DM279" s="35"/>
      <c r="DN279" s="35"/>
      <c r="DO279" s="35"/>
      <c r="DP279" s="35"/>
      <c r="DQ279" s="35"/>
      <c r="DR279" s="35"/>
      <c r="DS279" s="35"/>
      <c r="DT279" s="35"/>
      <c r="DU279" s="35"/>
      <c r="DV279" s="35"/>
      <c r="DW279" s="35"/>
      <c r="DX279" s="35"/>
      <c r="DY279" s="35"/>
      <c r="DZ279" s="35"/>
      <c r="EA279" s="35"/>
      <c r="EB279" s="35"/>
      <c r="EC279" s="35"/>
      <c r="ED279" s="35"/>
      <c r="EE279" s="35"/>
      <c r="EF279" s="35"/>
      <c r="EG279" s="35"/>
      <c r="EH279" s="35"/>
      <c r="EI279" s="35"/>
      <c r="EJ279" s="35"/>
      <c r="EK279" s="35"/>
      <c r="EL279" s="35"/>
      <c r="EM279" s="35"/>
      <c r="EN279" s="35"/>
      <c r="EO279" s="35"/>
      <c r="EP279" s="35"/>
      <c r="EQ279" s="35"/>
      <c r="ER279" s="35"/>
      <c r="ES279" s="35"/>
      <c r="ET279" s="35"/>
      <c r="EU279" s="35"/>
      <c r="EV279" s="35"/>
      <c r="EW279" s="35"/>
      <c r="EX279" s="35"/>
      <c r="EY279" s="35"/>
      <c r="EZ279" s="35"/>
      <c r="FA279" s="35"/>
      <c r="FB279" s="35"/>
      <c r="FC279" s="458">
        <f t="shared" si="35"/>
        <v>0</v>
      </c>
      <c r="FD279">
        <f t="shared" si="33"/>
        <v>0</v>
      </c>
      <c r="FE279" t="e">
        <f t="shared" si="34"/>
        <v>#N/A</v>
      </c>
      <c r="FI279" s="731" t="e">
        <f t="shared" si="36"/>
        <v>#VALUE!</v>
      </c>
      <c r="FK279" s="471" t="str">
        <f t="shared" si="37"/>
        <v xml:space="preserve"> </v>
      </c>
      <c r="FL279" s="730">
        <f t="shared" si="38"/>
        <v>0</v>
      </c>
      <c r="FM279" s="471" t="str">
        <f t="shared" si="39"/>
        <v/>
      </c>
      <c r="FN279" s="730">
        <f t="shared" si="32"/>
        <v>0</v>
      </c>
    </row>
    <row r="280" spans="1:170" s="33" customFormat="1" x14ac:dyDescent="0.2">
      <c r="A280" s="34" t="s">
        <v>330</v>
      </c>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c r="BJ280" s="35"/>
      <c r="BK280" s="35"/>
      <c r="BL280" s="35"/>
      <c r="BM280" s="35"/>
      <c r="BN280" s="35"/>
      <c r="BO280" s="35"/>
      <c r="BP280" s="35"/>
      <c r="BQ280" s="35"/>
      <c r="BR280" s="35"/>
      <c r="BS280" s="35"/>
      <c r="BT280" s="35"/>
      <c r="BU280" s="35"/>
      <c r="BV280" s="35"/>
      <c r="BW280" s="35"/>
      <c r="BX280" s="35"/>
      <c r="BY280" s="35"/>
      <c r="BZ280" s="35"/>
      <c r="CA280" s="35"/>
      <c r="CB280" s="35"/>
      <c r="CC280" s="35"/>
      <c r="CD280" s="35"/>
      <c r="CE280" s="35"/>
      <c r="CF280" s="35"/>
      <c r="CG280" s="35"/>
      <c r="CH280" s="35"/>
      <c r="CI280" s="35"/>
      <c r="CJ280" s="35"/>
      <c r="CK280" s="35"/>
      <c r="CL280" s="35"/>
      <c r="CM280" s="35"/>
      <c r="CN280" s="35"/>
      <c r="CO280" s="35"/>
      <c r="CP280" s="35"/>
      <c r="CQ280" s="35"/>
      <c r="CR280" s="35"/>
      <c r="CS280" s="35"/>
      <c r="CT280" s="35"/>
      <c r="CU280" s="35"/>
      <c r="CV280" s="35"/>
      <c r="CW280" s="35"/>
      <c r="CX280" s="35"/>
      <c r="CY280" s="35"/>
      <c r="CZ280" s="35"/>
      <c r="DA280" s="35"/>
      <c r="DB280" s="35"/>
      <c r="DC280" s="35"/>
      <c r="DD280" s="35"/>
      <c r="DE280" s="35"/>
      <c r="DF280" s="35"/>
      <c r="DG280" s="35"/>
      <c r="DH280" s="35"/>
      <c r="DI280" s="35"/>
      <c r="DJ280" s="35"/>
      <c r="DK280" s="35"/>
      <c r="DL280" s="35"/>
      <c r="DM280" s="35"/>
      <c r="DN280" s="35"/>
      <c r="DO280" s="35"/>
      <c r="DP280" s="35"/>
      <c r="DQ280" s="35"/>
      <c r="DR280" s="35"/>
      <c r="DS280" s="35"/>
      <c r="DT280" s="35"/>
      <c r="DU280" s="35"/>
      <c r="DV280" s="35"/>
      <c r="DW280" s="35"/>
      <c r="DX280" s="35"/>
      <c r="DY280" s="35"/>
      <c r="DZ280" s="35"/>
      <c r="EA280" s="35"/>
      <c r="EB280" s="35"/>
      <c r="EC280" s="35"/>
      <c r="ED280" s="35"/>
      <c r="EE280" s="35"/>
      <c r="EF280" s="35"/>
      <c r="EG280" s="35"/>
      <c r="EH280" s="35"/>
      <c r="EI280" s="35"/>
      <c r="EJ280" s="35"/>
      <c r="EK280" s="35"/>
      <c r="EL280" s="35"/>
      <c r="EM280" s="35"/>
      <c r="EN280" s="35"/>
      <c r="EO280" s="35"/>
      <c r="EP280" s="35"/>
      <c r="EQ280" s="35"/>
      <c r="ER280" s="35"/>
      <c r="ES280" s="35"/>
      <c r="ET280" s="35"/>
      <c r="EU280" s="35"/>
      <c r="EV280" s="35"/>
      <c r="EW280" s="35"/>
      <c r="EX280" s="35"/>
      <c r="EY280" s="35"/>
      <c r="EZ280" s="35"/>
      <c r="FA280" s="35"/>
      <c r="FB280" s="35"/>
      <c r="FC280" s="458">
        <f t="shared" si="35"/>
        <v>0</v>
      </c>
      <c r="FD280">
        <f t="shared" si="33"/>
        <v>0</v>
      </c>
      <c r="FE280" t="e">
        <f t="shared" si="34"/>
        <v>#N/A</v>
      </c>
      <c r="FI280" s="731" t="e">
        <f t="shared" si="36"/>
        <v>#VALUE!</v>
      </c>
      <c r="FK280" s="471" t="str">
        <f t="shared" si="37"/>
        <v xml:space="preserve"> </v>
      </c>
      <c r="FL280" s="730">
        <f t="shared" si="38"/>
        <v>0</v>
      </c>
      <c r="FM280" s="471" t="str">
        <f t="shared" si="39"/>
        <v/>
      </c>
      <c r="FN280" s="730">
        <f t="shared" si="32"/>
        <v>0</v>
      </c>
    </row>
    <row r="281" spans="1:170" s="33" customFormat="1" x14ac:dyDescent="0.2">
      <c r="A281" s="34" t="s">
        <v>331</v>
      </c>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c r="BJ281" s="35"/>
      <c r="BK281" s="35"/>
      <c r="BL281" s="35"/>
      <c r="BM281" s="35"/>
      <c r="BN281" s="35"/>
      <c r="BO281" s="35"/>
      <c r="BP281" s="35"/>
      <c r="BQ281" s="35"/>
      <c r="BR281" s="35"/>
      <c r="BS281" s="35"/>
      <c r="BT281" s="35"/>
      <c r="BU281" s="35"/>
      <c r="BV281" s="35"/>
      <c r="BW281" s="35"/>
      <c r="BX281" s="35"/>
      <c r="BY281" s="35"/>
      <c r="BZ281" s="35"/>
      <c r="CA281" s="35"/>
      <c r="CB281" s="35"/>
      <c r="CC281" s="35"/>
      <c r="CD281" s="35"/>
      <c r="CE281" s="35"/>
      <c r="CF281" s="35"/>
      <c r="CG281" s="35"/>
      <c r="CH281" s="35"/>
      <c r="CI281" s="35"/>
      <c r="CJ281" s="35"/>
      <c r="CK281" s="35"/>
      <c r="CL281" s="35"/>
      <c r="CM281" s="35"/>
      <c r="CN281" s="35"/>
      <c r="CO281" s="35"/>
      <c r="CP281" s="35"/>
      <c r="CQ281" s="35"/>
      <c r="CR281" s="35"/>
      <c r="CS281" s="35"/>
      <c r="CT281" s="35"/>
      <c r="CU281" s="35"/>
      <c r="CV281" s="35"/>
      <c r="CW281" s="35"/>
      <c r="CX281" s="35"/>
      <c r="CY281" s="35"/>
      <c r="CZ281" s="35"/>
      <c r="DA281" s="35"/>
      <c r="DB281" s="35"/>
      <c r="DC281" s="35"/>
      <c r="DD281" s="35"/>
      <c r="DE281" s="35"/>
      <c r="DF281" s="35"/>
      <c r="DG281" s="35"/>
      <c r="DH281" s="35"/>
      <c r="DI281" s="35"/>
      <c r="DJ281" s="35"/>
      <c r="DK281" s="35"/>
      <c r="DL281" s="35"/>
      <c r="DM281" s="35"/>
      <c r="DN281" s="35"/>
      <c r="DO281" s="35"/>
      <c r="DP281" s="35"/>
      <c r="DQ281" s="35"/>
      <c r="DR281" s="35"/>
      <c r="DS281" s="35"/>
      <c r="DT281" s="35"/>
      <c r="DU281" s="35"/>
      <c r="DV281" s="35"/>
      <c r="DW281" s="35"/>
      <c r="DX281" s="35"/>
      <c r="DY281" s="35"/>
      <c r="DZ281" s="35"/>
      <c r="EA281" s="35"/>
      <c r="EB281" s="35"/>
      <c r="EC281" s="35"/>
      <c r="ED281" s="35"/>
      <c r="EE281" s="35"/>
      <c r="EF281" s="35"/>
      <c r="EG281" s="35"/>
      <c r="EH281" s="35"/>
      <c r="EI281" s="35"/>
      <c r="EJ281" s="35"/>
      <c r="EK281" s="35"/>
      <c r="EL281" s="35"/>
      <c r="EM281" s="35"/>
      <c r="EN281" s="35"/>
      <c r="EO281" s="35"/>
      <c r="EP281" s="35"/>
      <c r="EQ281" s="35"/>
      <c r="ER281" s="35"/>
      <c r="ES281" s="35"/>
      <c r="ET281" s="35"/>
      <c r="EU281" s="35"/>
      <c r="EV281" s="35"/>
      <c r="EW281" s="35"/>
      <c r="EX281" s="35"/>
      <c r="EY281" s="35"/>
      <c r="EZ281" s="35"/>
      <c r="FA281" s="35"/>
      <c r="FB281" s="35"/>
      <c r="FC281" s="458">
        <f t="shared" si="35"/>
        <v>0</v>
      </c>
      <c r="FD281">
        <f t="shared" si="33"/>
        <v>0</v>
      </c>
      <c r="FE281" t="e">
        <f t="shared" si="34"/>
        <v>#N/A</v>
      </c>
      <c r="FI281" s="731" t="e">
        <f t="shared" si="36"/>
        <v>#VALUE!</v>
      </c>
      <c r="FK281" s="471" t="str">
        <f t="shared" si="37"/>
        <v xml:space="preserve"> </v>
      </c>
      <c r="FL281" s="730">
        <f t="shared" si="38"/>
        <v>0</v>
      </c>
      <c r="FM281" s="471" t="str">
        <f t="shared" si="39"/>
        <v/>
      </c>
      <c r="FN281" s="730">
        <f t="shared" si="32"/>
        <v>0</v>
      </c>
    </row>
    <row r="282" spans="1:170" s="33" customFormat="1" x14ac:dyDescent="0.2">
      <c r="A282" s="34" t="s">
        <v>332</v>
      </c>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c r="BJ282" s="35"/>
      <c r="BK282" s="35"/>
      <c r="BL282" s="35"/>
      <c r="BM282" s="35"/>
      <c r="BN282" s="35"/>
      <c r="BO282" s="35"/>
      <c r="BP282" s="35"/>
      <c r="BQ282" s="35"/>
      <c r="BR282" s="35"/>
      <c r="BS282" s="35"/>
      <c r="BT282" s="35"/>
      <c r="BU282" s="35"/>
      <c r="BV282" s="35"/>
      <c r="BW282" s="35"/>
      <c r="BX282" s="35"/>
      <c r="BY282" s="35"/>
      <c r="BZ282" s="35"/>
      <c r="CA282" s="35"/>
      <c r="CB282" s="35"/>
      <c r="CC282" s="35"/>
      <c r="CD282" s="35"/>
      <c r="CE282" s="35"/>
      <c r="CF282" s="35"/>
      <c r="CG282" s="35"/>
      <c r="CH282" s="35"/>
      <c r="CI282" s="35"/>
      <c r="CJ282" s="35"/>
      <c r="CK282" s="35"/>
      <c r="CL282" s="35"/>
      <c r="CM282" s="35"/>
      <c r="CN282" s="35"/>
      <c r="CO282" s="35"/>
      <c r="CP282" s="35"/>
      <c r="CQ282" s="35"/>
      <c r="CR282" s="35"/>
      <c r="CS282" s="35"/>
      <c r="CT282" s="35"/>
      <c r="CU282" s="35"/>
      <c r="CV282" s="35"/>
      <c r="CW282" s="35"/>
      <c r="CX282" s="35"/>
      <c r="CY282" s="35"/>
      <c r="CZ282" s="35"/>
      <c r="DA282" s="35"/>
      <c r="DB282" s="35"/>
      <c r="DC282" s="35"/>
      <c r="DD282" s="35"/>
      <c r="DE282" s="35"/>
      <c r="DF282" s="35"/>
      <c r="DG282" s="35"/>
      <c r="DH282" s="35"/>
      <c r="DI282" s="35"/>
      <c r="DJ282" s="35"/>
      <c r="DK282" s="35"/>
      <c r="DL282" s="35"/>
      <c r="DM282" s="35"/>
      <c r="DN282" s="35"/>
      <c r="DO282" s="35"/>
      <c r="DP282" s="35"/>
      <c r="DQ282" s="35"/>
      <c r="DR282" s="35"/>
      <c r="DS282" s="35"/>
      <c r="DT282" s="35"/>
      <c r="DU282" s="35"/>
      <c r="DV282" s="35"/>
      <c r="DW282" s="35"/>
      <c r="DX282" s="35"/>
      <c r="DY282" s="35"/>
      <c r="DZ282" s="35"/>
      <c r="EA282" s="35"/>
      <c r="EB282" s="35"/>
      <c r="EC282" s="35"/>
      <c r="ED282" s="35"/>
      <c r="EE282" s="35"/>
      <c r="EF282" s="35"/>
      <c r="EG282" s="35"/>
      <c r="EH282" s="35"/>
      <c r="EI282" s="35"/>
      <c r="EJ282" s="35"/>
      <c r="EK282" s="35"/>
      <c r="EL282" s="35"/>
      <c r="EM282" s="35"/>
      <c r="EN282" s="35"/>
      <c r="EO282" s="35"/>
      <c r="EP282" s="35"/>
      <c r="EQ282" s="35"/>
      <c r="ER282" s="35"/>
      <c r="ES282" s="35"/>
      <c r="ET282" s="35"/>
      <c r="EU282" s="35"/>
      <c r="EV282" s="35"/>
      <c r="EW282" s="35"/>
      <c r="EX282" s="35"/>
      <c r="EY282" s="35"/>
      <c r="EZ282" s="35"/>
      <c r="FA282" s="35"/>
      <c r="FB282" s="35"/>
      <c r="FC282" s="458">
        <f t="shared" si="35"/>
        <v>0</v>
      </c>
      <c r="FD282">
        <f t="shared" si="33"/>
        <v>0</v>
      </c>
      <c r="FE282" t="e">
        <f t="shared" si="34"/>
        <v>#N/A</v>
      </c>
      <c r="FI282" s="731" t="e">
        <f t="shared" si="36"/>
        <v>#VALUE!</v>
      </c>
      <c r="FK282" s="471" t="str">
        <f t="shared" si="37"/>
        <v xml:space="preserve"> </v>
      </c>
      <c r="FL282" s="730">
        <f t="shared" si="38"/>
        <v>0</v>
      </c>
      <c r="FM282" s="471" t="str">
        <f t="shared" si="39"/>
        <v/>
      </c>
      <c r="FN282" s="730">
        <f t="shared" si="32"/>
        <v>0</v>
      </c>
    </row>
    <row r="283" spans="1:170" s="33" customFormat="1" x14ac:dyDescent="0.2">
      <c r="A283" s="34" t="s">
        <v>333</v>
      </c>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5"/>
      <c r="CT283" s="35"/>
      <c r="CU283" s="35"/>
      <c r="CV283" s="35"/>
      <c r="CW283" s="35"/>
      <c r="CX283" s="35"/>
      <c r="CY283" s="35"/>
      <c r="CZ283" s="35"/>
      <c r="DA283" s="35"/>
      <c r="DB283" s="35"/>
      <c r="DC283" s="35"/>
      <c r="DD283" s="35"/>
      <c r="DE283" s="35"/>
      <c r="DF283" s="35"/>
      <c r="DG283" s="35"/>
      <c r="DH283" s="35"/>
      <c r="DI283" s="35"/>
      <c r="DJ283" s="35"/>
      <c r="DK283" s="35"/>
      <c r="DL283" s="35"/>
      <c r="DM283" s="35"/>
      <c r="DN283" s="35"/>
      <c r="DO283" s="35"/>
      <c r="DP283" s="35"/>
      <c r="DQ283" s="35"/>
      <c r="DR283" s="35"/>
      <c r="DS283" s="35"/>
      <c r="DT283" s="35"/>
      <c r="DU283" s="35"/>
      <c r="DV283" s="35"/>
      <c r="DW283" s="35"/>
      <c r="DX283" s="35"/>
      <c r="DY283" s="35"/>
      <c r="DZ283" s="35"/>
      <c r="EA283" s="35"/>
      <c r="EB283" s="35"/>
      <c r="EC283" s="35"/>
      <c r="ED283" s="35"/>
      <c r="EE283" s="35"/>
      <c r="EF283" s="35"/>
      <c r="EG283" s="35"/>
      <c r="EH283" s="35"/>
      <c r="EI283" s="35"/>
      <c r="EJ283" s="35"/>
      <c r="EK283" s="35"/>
      <c r="EL283" s="35"/>
      <c r="EM283" s="35"/>
      <c r="EN283" s="35"/>
      <c r="EO283" s="35"/>
      <c r="EP283" s="35"/>
      <c r="EQ283" s="35"/>
      <c r="ER283" s="35"/>
      <c r="ES283" s="35"/>
      <c r="ET283" s="35"/>
      <c r="EU283" s="35"/>
      <c r="EV283" s="35"/>
      <c r="EW283" s="35"/>
      <c r="EX283" s="35"/>
      <c r="EY283" s="35"/>
      <c r="EZ283" s="35"/>
      <c r="FA283" s="35"/>
      <c r="FB283" s="35"/>
      <c r="FC283" s="458">
        <f t="shared" si="35"/>
        <v>0</v>
      </c>
      <c r="FD283">
        <f t="shared" si="33"/>
        <v>0</v>
      </c>
      <c r="FE283" t="e">
        <f t="shared" si="34"/>
        <v>#N/A</v>
      </c>
      <c r="FI283" s="731" t="e">
        <f t="shared" si="36"/>
        <v>#VALUE!</v>
      </c>
      <c r="FK283" s="471" t="str">
        <f t="shared" si="37"/>
        <v xml:space="preserve"> </v>
      </c>
      <c r="FL283" s="730">
        <f t="shared" si="38"/>
        <v>0</v>
      </c>
      <c r="FM283" s="471" t="str">
        <f t="shared" si="39"/>
        <v/>
      </c>
      <c r="FN283" s="730">
        <f t="shared" si="32"/>
        <v>0</v>
      </c>
    </row>
    <row r="284" spans="1:170" s="33" customFormat="1" x14ac:dyDescent="0.2">
      <c r="A284" s="34" t="s">
        <v>334</v>
      </c>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c r="BJ284" s="35"/>
      <c r="BK284" s="35"/>
      <c r="BL284" s="35"/>
      <c r="BM284" s="35"/>
      <c r="BN284" s="35"/>
      <c r="BO284" s="35"/>
      <c r="BP284" s="35"/>
      <c r="BQ284" s="35"/>
      <c r="BR284" s="35"/>
      <c r="BS284" s="35"/>
      <c r="BT284" s="35"/>
      <c r="BU284" s="35"/>
      <c r="BV284" s="35"/>
      <c r="BW284" s="35"/>
      <c r="BX284" s="35"/>
      <c r="BY284" s="35"/>
      <c r="BZ284" s="35"/>
      <c r="CA284" s="35"/>
      <c r="CB284" s="35"/>
      <c r="CC284" s="35"/>
      <c r="CD284" s="35"/>
      <c r="CE284" s="35"/>
      <c r="CF284" s="35"/>
      <c r="CG284" s="35"/>
      <c r="CH284" s="35"/>
      <c r="CI284" s="35"/>
      <c r="CJ284" s="35"/>
      <c r="CK284" s="35"/>
      <c r="CL284" s="35"/>
      <c r="CM284" s="35"/>
      <c r="CN284" s="35"/>
      <c r="CO284" s="35"/>
      <c r="CP284" s="35"/>
      <c r="CQ284" s="35"/>
      <c r="CR284" s="35"/>
      <c r="CS284" s="35"/>
      <c r="CT284" s="35"/>
      <c r="CU284" s="35"/>
      <c r="CV284" s="35"/>
      <c r="CW284" s="35"/>
      <c r="CX284" s="35"/>
      <c r="CY284" s="35"/>
      <c r="CZ284" s="35"/>
      <c r="DA284" s="35"/>
      <c r="DB284" s="35"/>
      <c r="DC284" s="35"/>
      <c r="DD284" s="35"/>
      <c r="DE284" s="35"/>
      <c r="DF284" s="35"/>
      <c r="DG284" s="35"/>
      <c r="DH284" s="35"/>
      <c r="DI284" s="35"/>
      <c r="DJ284" s="35"/>
      <c r="DK284" s="35"/>
      <c r="DL284" s="35"/>
      <c r="DM284" s="35"/>
      <c r="DN284" s="35"/>
      <c r="DO284" s="35"/>
      <c r="DP284" s="35"/>
      <c r="DQ284" s="35"/>
      <c r="DR284" s="35"/>
      <c r="DS284" s="35"/>
      <c r="DT284" s="35"/>
      <c r="DU284" s="35"/>
      <c r="DV284" s="35"/>
      <c r="DW284" s="35"/>
      <c r="DX284" s="35"/>
      <c r="DY284" s="35"/>
      <c r="DZ284" s="35"/>
      <c r="EA284" s="35"/>
      <c r="EB284" s="35"/>
      <c r="EC284" s="35"/>
      <c r="ED284" s="35"/>
      <c r="EE284" s="35"/>
      <c r="EF284" s="35"/>
      <c r="EG284" s="35"/>
      <c r="EH284" s="35"/>
      <c r="EI284" s="35"/>
      <c r="EJ284" s="35"/>
      <c r="EK284" s="35"/>
      <c r="EL284" s="35"/>
      <c r="EM284" s="35"/>
      <c r="EN284" s="35"/>
      <c r="EO284" s="35"/>
      <c r="EP284" s="35"/>
      <c r="EQ284" s="35"/>
      <c r="ER284" s="35"/>
      <c r="ES284" s="35"/>
      <c r="ET284" s="35"/>
      <c r="EU284" s="35"/>
      <c r="EV284" s="35"/>
      <c r="EW284" s="35"/>
      <c r="EX284" s="35"/>
      <c r="EY284" s="35"/>
      <c r="EZ284" s="35"/>
      <c r="FA284" s="35"/>
      <c r="FB284" s="35"/>
      <c r="FC284" s="458">
        <f t="shared" si="35"/>
        <v>0</v>
      </c>
      <c r="FD284">
        <f t="shared" si="33"/>
        <v>0</v>
      </c>
      <c r="FE284" t="e">
        <f t="shared" si="34"/>
        <v>#N/A</v>
      </c>
      <c r="FI284" s="731" t="e">
        <f t="shared" si="36"/>
        <v>#VALUE!</v>
      </c>
      <c r="FK284" s="471" t="str">
        <f t="shared" si="37"/>
        <v xml:space="preserve"> </v>
      </c>
      <c r="FL284" s="730">
        <f t="shared" si="38"/>
        <v>0</v>
      </c>
      <c r="FM284" s="471" t="str">
        <f t="shared" si="39"/>
        <v/>
      </c>
      <c r="FN284" s="730">
        <f t="shared" si="32"/>
        <v>0</v>
      </c>
    </row>
    <row r="285" spans="1:170" s="33" customFormat="1" x14ac:dyDescent="0.2">
      <c r="A285" s="34" t="s">
        <v>335</v>
      </c>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c r="BN285" s="35"/>
      <c r="BO285" s="35"/>
      <c r="BP285" s="35"/>
      <c r="BQ285" s="35"/>
      <c r="BR285" s="35"/>
      <c r="BS285" s="35"/>
      <c r="BT285" s="35"/>
      <c r="BU285" s="35"/>
      <c r="BV285" s="35"/>
      <c r="BW285" s="35"/>
      <c r="BX285" s="35"/>
      <c r="BY285" s="35"/>
      <c r="BZ285" s="35"/>
      <c r="CA285" s="35"/>
      <c r="CB285" s="35"/>
      <c r="CC285" s="35"/>
      <c r="CD285" s="35"/>
      <c r="CE285" s="35"/>
      <c r="CF285" s="35"/>
      <c r="CG285" s="35"/>
      <c r="CH285" s="35"/>
      <c r="CI285" s="35"/>
      <c r="CJ285" s="35"/>
      <c r="CK285" s="35"/>
      <c r="CL285" s="35"/>
      <c r="CM285" s="35"/>
      <c r="CN285" s="35"/>
      <c r="CO285" s="35"/>
      <c r="CP285" s="35"/>
      <c r="CQ285" s="35"/>
      <c r="CR285" s="35"/>
      <c r="CS285" s="35"/>
      <c r="CT285" s="35"/>
      <c r="CU285" s="35"/>
      <c r="CV285" s="35"/>
      <c r="CW285" s="35"/>
      <c r="CX285" s="35"/>
      <c r="CY285" s="35"/>
      <c r="CZ285" s="35"/>
      <c r="DA285" s="35"/>
      <c r="DB285" s="35"/>
      <c r="DC285" s="35"/>
      <c r="DD285" s="35"/>
      <c r="DE285" s="35"/>
      <c r="DF285" s="35"/>
      <c r="DG285" s="35"/>
      <c r="DH285" s="35"/>
      <c r="DI285" s="35"/>
      <c r="DJ285" s="35"/>
      <c r="DK285" s="35"/>
      <c r="DL285" s="35"/>
      <c r="DM285" s="35"/>
      <c r="DN285" s="35"/>
      <c r="DO285" s="35"/>
      <c r="DP285" s="35"/>
      <c r="DQ285" s="35"/>
      <c r="DR285" s="35"/>
      <c r="DS285" s="35"/>
      <c r="DT285" s="35"/>
      <c r="DU285" s="35"/>
      <c r="DV285" s="35"/>
      <c r="DW285" s="35"/>
      <c r="DX285" s="35"/>
      <c r="DY285" s="35"/>
      <c r="DZ285" s="35"/>
      <c r="EA285" s="35"/>
      <c r="EB285" s="35"/>
      <c r="EC285" s="35"/>
      <c r="ED285" s="35"/>
      <c r="EE285" s="35"/>
      <c r="EF285" s="35"/>
      <c r="EG285" s="35"/>
      <c r="EH285" s="35"/>
      <c r="EI285" s="35"/>
      <c r="EJ285" s="35"/>
      <c r="EK285" s="35"/>
      <c r="EL285" s="35"/>
      <c r="EM285" s="35"/>
      <c r="EN285" s="35"/>
      <c r="EO285" s="35"/>
      <c r="EP285" s="35"/>
      <c r="EQ285" s="35"/>
      <c r="ER285" s="35"/>
      <c r="ES285" s="35"/>
      <c r="ET285" s="35"/>
      <c r="EU285" s="35"/>
      <c r="EV285" s="35"/>
      <c r="EW285" s="35"/>
      <c r="EX285" s="35"/>
      <c r="EY285" s="35"/>
      <c r="EZ285" s="35"/>
      <c r="FA285" s="35"/>
      <c r="FB285" s="35"/>
      <c r="FC285" s="458">
        <f t="shared" si="35"/>
        <v>0</v>
      </c>
      <c r="FD285">
        <f t="shared" si="33"/>
        <v>0</v>
      </c>
      <c r="FE285" t="e">
        <f t="shared" si="34"/>
        <v>#N/A</v>
      </c>
      <c r="FI285" s="731" t="e">
        <f t="shared" si="36"/>
        <v>#VALUE!</v>
      </c>
      <c r="FK285" s="471" t="str">
        <f t="shared" si="37"/>
        <v xml:space="preserve"> </v>
      </c>
      <c r="FL285" s="730">
        <f t="shared" si="38"/>
        <v>0</v>
      </c>
      <c r="FM285" s="471" t="str">
        <f t="shared" si="39"/>
        <v/>
      </c>
      <c r="FN285" s="730">
        <f t="shared" si="32"/>
        <v>0</v>
      </c>
    </row>
    <row r="286" spans="1:170" s="33" customFormat="1" x14ac:dyDescent="0.2">
      <c r="A286" s="34" t="s">
        <v>336</v>
      </c>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c r="BG286" s="35"/>
      <c r="BH286" s="35"/>
      <c r="BI286" s="35"/>
      <c r="BJ286" s="35"/>
      <c r="BK286" s="35"/>
      <c r="BL286" s="35"/>
      <c r="BM286" s="35"/>
      <c r="BN286" s="35"/>
      <c r="BO286" s="35"/>
      <c r="BP286" s="35"/>
      <c r="BQ286" s="35"/>
      <c r="BR286" s="35"/>
      <c r="BS286" s="35"/>
      <c r="BT286" s="35"/>
      <c r="BU286" s="35"/>
      <c r="BV286" s="35"/>
      <c r="BW286" s="35"/>
      <c r="BX286" s="35"/>
      <c r="BY286" s="35"/>
      <c r="BZ286" s="35"/>
      <c r="CA286" s="35"/>
      <c r="CB286" s="35"/>
      <c r="CC286" s="35"/>
      <c r="CD286" s="35"/>
      <c r="CE286" s="35"/>
      <c r="CF286" s="35"/>
      <c r="CG286" s="35"/>
      <c r="CH286" s="35"/>
      <c r="CI286" s="35"/>
      <c r="CJ286" s="35"/>
      <c r="CK286" s="35"/>
      <c r="CL286" s="35"/>
      <c r="CM286" s="35"/>
      <c r="CN286" s="35"/>
      <c r="CO286" s="35"/>
      <c r="CP286" s="35"/>
      <c r="CQ286" s="35"/>
      <c r="CR286" s="35"/>
      <c r="CS286" s="35"/>
      <c r="CT286" s="35"/>
      <c r="CU286" s="35"/>
      <c r="CV286" s="35"/>
      <c r="CW286" s="35"/>
      <c r="CX286" s="35"/>
      <c r="CY286" s="35"/>
      <c r="CZ286" s="35"/>
      <c r="DA286" s="35"/>
      <c r="DB286" s="35"/>
      <c r="DC286" s="35"/>
      <c r="DD286" s="35"/>
      <c r="DE286" s="35"/>
      <c r="DF286" s="35"/>
      <c r="DG286" s="35"/>
      <c r="DH286" s="35"/>
      <c r="DI286" s="35"/>
      <c r="DJ286" s="35"/>
      <c r="DK286" s="35"/>
      <c r="DL286" s="35"/>
      <c r="DM286" s="35"/>
      <c r="DN286" s="35"/>
      <c r="DO286" s="35"/>
      <c r="DP286" s="35"/>
      <c r="DQ286" s="35"/>
      <c r="DR286" s="35"/>
      <c r="DS286" s="35"/>
      <c r="DT286" s="35"/>
      <c r="DU286" s="35"/>
      <c r="DV286" s="35"/>
      <c r="DW286" s="35"/>
      <c r="DX286" s="35"/>
      <c r="DY286" s="35"/>
      <c r="DZ286" s="35"/>
      <c r="EA286" s="35"/>
      <c r="EB286" s="35"/>
      <c r="EC286" s="35"/>
      <c r="ED286" s="35"/>
      <c r="EE286" s="35"/>
      <c r="EF286" s="35"/>
      <c r="EG286" s="35"/>
      <c r="EH286" s="35"/>
      <c r="EI286" s="35"/>
      <c r="EJ286" s="35"/>
      <c r="EK286" s="35"/>
      <c r="EL286" s="35"/>
      <c r="EM286" s="35"/>
      <c r="EN286" s="35"/>
      <c r="EO286" s="35"/>
      <c r="EP286" s="35"/>
      <c r="EQ286" s="35"/>
      <c r="ER286" s="35"/>
      <c r="ES286" s="35"/>
      <c r="ET286" s="35"/>
      <c r="EU286" s="35"/>
      <c r="EV286" s="35"/>
      <c r="EW286" s="35"/>
      <c r="EX286" s="35"/>
      <c r="EY286" s="35"/>
      <c r="EZ286" s="35"/>
      <c r="FA286" s="35"/>
      <c r="FB286" s="35"/>
      <c r="FC286" s="458">
        <f t="shared" si="35"/>
        <v>0</v>
      </c>
      <c r="FD286">
        <f t="shared" si="33"/>
        <v>0</v>
      </c>
      <c r="FE286" t="e">
        <f t="shared" si="34"/>
        <v>#N/A</v>
      </c>
      <c r="FI286" s="731" t="e">
        <f t="shared" si="36"/>
        <v>#VALUE!</v>
      </c>
      <c r="FK286" s="471" t="str">
        <f t="shared" si="37"/>
        <v xml:space="preserve"> </v>
      </c>
      <c r="FL286" s="730">
        <f t="shared" si="38"/>
        <v>0</v>
      </c>
      <c r="FM286" s="471" t="str">
        <f t="shared" si="39"/>
        <v/>
      </c>
      <c r="FN286" s="730">
        <f t="shared" si="32"/>
        <v>0</v>
      </c>
    </row>
    <row r="287" spans="1:170" s="33" customFormat="1" x14ac:dyDescent="0.2">
      <c r="A287" s="34" t="s">
        <v>337</v>
      </c>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c r="BG287" s="35"/>
      <c r="BH287" s="35"/>
      <c r="BI287" s="35"/>
      <c r="BJ287" s="35"/>
      <c r="BK287" s="35"/>
      <c r="BL287" s="35"/>
      <c r="BM287" s="35"/>
      <c r="BN287" s="35"/>
      <c r="BO287" s="35"/>
      <c r="BP287" s="35"/>
      <c r="BQ287" s="35"/>
      <c r="BR287" s="35"/>
      <c r="BS287" s="35"/>
      <c r="BT287" s="35"/>
      <c r="BU287" s="35"/>
      <c r="BV287" s="35"/>
      <c r="BW287" s="35"/>
      <c r="BX287" s="35"/>
      <c r="BY287" s="35"/>
      <c r="BZ287" s="35"/>
      <c r="CA287" s="35"/>
      <c r="CB287" s="35"/>
      <c r="CC287" s="35"/>
      <c r="CD287" s="35"/>
      <c r="CE287" s="35"/>
      <c r="CF287" s="35"/>
      <c r="CG287" s="35"/>
      <c r="CH287" s="35"/>
      <c r="CI287" s="35"/>
      <c r="CJ287" s="35"/>
      <c r="CK287" s="35"/>
      <c r="CL287" s="35"/>
      <c r="CM287" s="35"/>
      <c r="CN287" s="35"/>
      <c r="CO287" s="35"/>
      <c r="CP287" s="35"/>
      <c r="CQ287" s="35"/>
      <c r="CR287" s="35"/>
      <c r="CS287" s="35"/>
      <c r="CT287" s="35"/>
      <c r="CU287" s="35"/>
      <c r="CV287" s="35"/>
      <c r="CW287" s="35"/>
      <c r="CX287" s="35"/>
      <c r="CY287" s="35"/>
      <c r="CZ287" s="35"/>
      <c r="DA287" s="35"/>
      <c r="DB287" s="35"/>
      <c r="DC287" s="35"/>
      <c r="DD287" s="35"/>
      <c r="DE287" s="35"/>
      <c r="DF287" s="35"/>
      <c r="DG287" s="35"/>
      <c r="DH287" s="35"/>
      <c r="DI287" s="35"/>
      <c r="DJ287" s="35"/>
      <c r="DK287" s="35"/>
      <c r="DL287" s="35"/>
      <c r="DM287" s="35"/>
      <c r="DN287" s="35"/>
      <c r="DO287" s="35"/>
      <c r="DP287" s="35"/>
      <c r="DQ287" s="35"/>
      <c r="DR287" s="35"/>
      <c r="DS287" s="35"/>
      <c r="DT287" s="35"/>
      <c r="DU287" s="35"/>
      <c r="DV287" s="35"/>
      <c r="DW287" s="35"/>
      <c r="DX287" s="35"/>
      <c r="DY287" s="35"/>
      <c r="DZ287" s="35"/>
      <c r="EA287" s="35"/>
      <c r="EB287" s="35"/>
      <c r="EC287" s="35"/>
      <c r="ED287" s="35"/>
      <c r="EE287" s="35"/>
      <c r="EF287" s="35"/>
      <c r="EG287" s="35"/>
      <c r="EH287" s="35"/>
      <c r="EI287" s="35"/>
      <c r="EJ287" s="35"/>
      <c r="EK287" s="35"/>
      <c r="EL287" s="35"/>
      <c r="EM287" s="35"/>
      <c r="EN287" s="35"/>
      <c r="EO287" s="35"/>
      <c r="EP287" s="35"/>
      <c r="EQ287" s="35"/>
      <c r="ER287" s="35"/>
      <c r="ES287" s="35"/>
      <c r="ET287" s="35"/>
      <c r="EU287" s="35"/>
      <c r="EV287" s="35"/>
      <c r="EW287" s="35"/>
      <c r="EX287" s="35"/>
      <c r="EY287" s="35"/>
      <c r="EZ287" s="35"/>
      <c r="FA287" s="35"/>
      <c r="FB287" s="35"/>
      <c r="FC287" s="458">
        <f t="shared" si="35"/>
        <v>0</v>
      </c>
      <c r="FD287">
        <f t="shared" si="33"/>
        <v>0</v>
      </c>
      <c r="FE287" t="e">
        <f t="shared" si="34"/>
        <v>#N/A</v>
      </c>
      <c r="FI287" s="731" t="e">
        <f t="shared" si="36"/>
        <v>#VALUE!</v>
      </c>
      <c r="FK287" s="471" t="str">
        <f t="shared" si="37"/>
        <v xml:space="preserve"> </v>
      </c>
      <c r="FL287" s="730">
        <f t="shared" si="38"/>
        <v>0</v>
      </c>
      <c r="FM287" s="471" t="str">
        <f t="shared" si="39"/>
        <v/>
      </c>
      <c r="FN287" s="730">
        <f t="shared" si="32"/>
        <v>0</v>
      </c>
    </row>
    <row r="288" spans="1:170" s="33" customFormat="1" x14ac:dyDescent="0.2">
      <c r="A288" s="34" t="s">
        <v>338</v>
      </c>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c r="BG288" s="35"/>
      <c r="BH288" s="35"/>
      <c r="BI288" s="35"/>
      <c r="BJ288" s="35"/>
      <c r="BK288" s="35"/>
      <c r="BL288" s="35"/>
      <c r="BM288" s="35"/>
      <c r="BN288" s="35"/>
      <c r="BO288" s="35"/>
      <c r="BP288" s="35"/>
      <c r="BQ288" s="35"/>
      <c r="BR288" s="35"/>
      <c r="BS288" s="35"/>
      <c r="BT288" s="35"/>
      <c r="BU288" s="35"/>
      <c r="BV288" s="35"/>
      <c r="BW288" s="35"/>
      <c r="BX288" s="35"/>
      <c r="BY288" s="35"/>
      <c r="BZ288" s="35"/>
      <c r="CA288" s="35"/>
      <c r="CB288" s="35"/>
      <c r="CC288" s="35"/>
      <c r="CD288" s="35"/>
      <c r="CE288" s="35"/>
      <c r="CF288" s="35"/>
      <c r="CG288" s="35"/>
      <c r="CH288" s="35"/>
      <c r="CI288" s="35"/>
      <c r="CJ288" s="35"/>
      <c r="CK288" s="35"/>
      <c r="CL288" s="35"/>
      <c r="CM288" s="35"/>
      <c r="CN288" s="35"/>
      <c r="CO288" s="35"/>
      <c r="CP288" s="35"/>
      <c r="CQ288" s="35"/>
      <c r="CR288" s="35"/>
      <c r="CS288" s="35"/>
      <c r="CT288" s="35"/>
      <c r="CU288" s="35"/>
      <c r="CV288" s="35"/>
      <c r="CW288" s="35"/>
      <c r="CX288" s="35"/>
      <c r="CY288" s="35"/>
      <c r="CZ288" s="35"/>
      <c r="DA288" s="35"/>
      <c r="DB288" s="35"/>
      <c r="DC288" s="35"/>
      <c r="DD288" s="35"/>
      <c r="DE288" s="35"/>
      <c r="DF288" s="35"/>
      <c r="DG288" s="35"/>
      <c r="DH288" s="35"/>
      <c r="DI288" s="35"/>
      <c r="DJ288" s="35"/>
      <c r="DK288" s="35"/>
      <c r="DL288" s="35"/>
      <c r="DM288" s="35"/>
      <c r="DN288" s="35"/>
      <c r="DO288" s="35"/>
      <c r="DP288" s="35"/>
      <c r="DQ288" s="35"/>
      <c r="DR288" s="35"/>
      <c r="DS288" s="35"/>
      <c r="DT288" s="35"/>
      <c r="DU288" s="35"/>
      <c r="DV288" s="35"/>
      <c r="DW288" s="35"/>
      <c r="DX288" s="35"/>
      <c r="DY288" s="35"/>
      <c r="DZ288" s="35"/>
      <c r="EA288" s="35"/>
      <c r="EB288" s="35"/>
      <c r="EC288" s="35"/>
      <c r="ED288" s="35"/>
      <c r="EE288" s="35"/>
      <c r="EF288" s="35"/>
      <c r="EG288" s="35"/>
      <c r="EH288" s="35"/>
      <c r="EI288" s="35"/>
      <c r="EJ288" s="35"/>
      <c r="EK288" s="35"/>
      <c r="EL288" s="35"/>
      <c r="EM288" s="35"/>
      <c r="EN288" s="35"/>
      <c r="EO288" s="35"/>
      <c r="EP288" s="35"/>
      <c r="EQ288" s="35"/>
      <c r="ER288" s="35"/>
      <c r="ES288" s="35"/>
      <c r="ET288" s="35"/>
      <c r="EU288" s="35"/>
      <c r="EV288" s="35"/>
      <c r="EW288" s="35"/>
      <c r="EX288" s="35"/>
      <c r="EY288" s="35"/>
      <c r="EZ288" s="35"/>
      <c r="FA288" s="35"/>
      <c r="FB288" s="35"/>
      <c r="FC288" s="458">
        <f t="shared" si="35"/>
        <v>0</v>
      </c>
      <c r="FD288">
        <f t="shared" si="33"/>
        <v>0</v>
      </c>
      <c r="FE288" t="e">
        <f t="shared" si="34"/>
        <v>#N/A</v>
      </c>
      <c r="FI288" s="731" t="e">
        <f t="shared" si="36"/>
        <v>#VALUE!</v>
      </c>
      <c r="FK288" s="471" t="str">
        <f t="shared" si="37"/>
        <v xml:space="preserve"> </v>
      </c>
      <c r="FL288" s="730">
        <f t="shared" si="38"/>
        <v>0</v>
      </c>
      <c r="FM288" s="471" t="str">
        <f t="shared" si="39"/>
        <v/>
      </c>
      <c r="FN288" s="730">
        <f t="shared" si="32"/>
        <v>0</v>
      </c>
    </row>
    <row r="289" spans="1:170" s="33" customFormat="1" x14ac:dyDescent="0.2">
      <c r="A289" s="34" t="s">
        <v>339</v>
      </c>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c r="BG289" s="35"/>
      <c r="BH289" s="35"/>
      <c r="BI289" s="35"/>
      <c r="BJ289" s="35"/>
      <c r="BK289" s="35"/>
      <c r="BL289" s="35"/>
      <c r="BM289" s="35"/>
      <c r="BN289" s="35"/>
      <c r="BO289" s="35"/>
      <c r="BP289" s="35"/>
      <c r="BQ289" s="35"/>
      <c r="BR289" s="35"/>
      <c r="BS289" s="35"/>
      <c r="BT289" s="35"/>
      <c r="BU289" s="35"/>
      <c r="BV289" s="35"/>
      <c r="BW289" s="35"/>
      <c r="BX289" s="35"/>
      <c r="BY289" s="35"/>
      <c r="BZ289" s="35"/>
      <c r="CA289" s="35"/>
      <c r="CB289" s="35"/>
      <c r="CC289" s="35"/>
      <c r="CD289" s="35"/>
      <c r="CE289" s="35"/>
      <c r="CF289" s="35"/>
      <c r="CG289" s="35"/>
      <c r="CH289" s="35"/>
      <c r="CI289" s="35"/>
      <c r="CJ289" s="35"/>
      <c r="CK289" s="35"/>
      <c r="CL289" s="35"/>
      <c r="CM289" s="35"/>
      <c r="CN289" s="35"/>
      <c r="CO289" s="35"/>
      <c r="CP289" s="35"/>
      <c r="CQ289" s="35"/>
      <c r="CR289" s="35"/>
      <c r="CS289" s="35"/>
      <c r="CT289" s="35"/>
      <c r="CU289" s="35"/>
      <c r="CV289" s="35"/>
      <c r="CW289" s="35"/>
      <c r="CX289" s="35"/>
      <c r="CY289" s="35"/>
      <c r="CZ289" s="35"/>
      <c r="DA289" s="35"/>
      <c r="DB289" s="35"/>
      <c r="DC289" s="35"/>
      <c r="DD289" s="35"/>
      <c r="DE289" s="35"/>
      <c r="DF289" s="35"/>
      <c r="DG289" s="35"/>
      <c r="DH289" s="35"/>
      <c r="DI289" s="35"/>
      <c r="DJ289" s="35"/>
      <c r="DK289" s="35"/>
      <c r="DL289" s="35"/>
      <c r="DM289" s="35"/>
      <c r="DN289" s="35"/>
      <c r="DO289" s="35"/>
      <c r="DP289" s="35"/>
      <c r="DQ289" s="35"/>
      <c r="DR289" s="35"/>
      <c r="DS289" s="35"/>
      <c r="DT289" s="35"/>
      <c r="DU289" s="35"/>
      <c r="DV289" s="35"/>
      <c r="DW289" s="35"/>
      <c r="DX289" s="35"/>
      <c r="DY289" s="35"/>
      <c r="DZ289" s="35"/>
      <c r="EA289" s="35"/>
      <c r="EB289" s="35"/>
      <c r="EC289" s="35"/>
      <c r="ED289" s="35"/>
      <c r="EE289" s="35"/>
      <c r="EF289" s="35"/>
      <c r="EG289" s="35"/>
      <c r="EH289" s="35"/>
      <c r="EI289" s="35"/>
      <c r="EJ289" s="35"/>
      <c r="EK289" s="35"/>
      <c r="EL289" s="35"/>
      <c r="EM289" s="35"/>
      <c r="EN289" s="35"/>
      <c r="EO289" s="35"/>
      <c r="EP289" s="35"/>
      <c r="EQ289" s="35"/>
      <c r="ER289" s="35"/>
      <c r="ES289" s="35"/>
      <c r="ET289" s="35"/>
      <c r="EU289" s="35"/>
      <c r="EV289" s="35"/>
      <c r="EW289" s="35"/>
      <c r="EX289" s="35"/>
      <c r="EY289" s="35"/>
      <c r="EZ289" s="35"/>
      <c r="FA289" s="35"/>
      <c r="FB289" s="35"/>
      <c r="FC289" s="458">
        <f t="shared" si="35"/>
        <v>0</v>
      </c>
      <c r="FD289">
        <f t="shared" si="33"/>
        <v>0</v>
      </c>
      <c r="FE289" t="e">
        <f t="shared" si="34"/>
        <v>#N/A</v>
      </c>
      <c r="FI289" s="731" t="e">
        <f t="shared" si="36"/>
        <v>#VALUE!</v>
      </c>
      <c r="FK289" s="471" t="str">
        <f t="shared" si="37"/>
        <v xml:space="preserve"> </v>
      </c>
      <c r="FL289" s="730">
        <f t="shared" si="38"/>
        <v>0</v>
      </c>
      <c r="FM289" s="471" t="str">
        <f t="shared" si="39"/>
        <v/>
      </c>
      <c r="FN289" s="730">
        <f t="shared" si="32"/>
        <v>0</v>
      </c>
    </row>
    <row r="290" spans="1:170" s="33" customFormat="1" x14ac:dyDescent="0.2">
      <c r="A290" s="34" t="s">
        <v>340</v>
      </c>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c r="BG290" s="35"/>
      <c r="BH290" s="35"/>
      <c r="BI290" s="35"/>
      <c r="BJ290" s="35"/>
      <c r="BK290" s="35"/>
      <c r="BL290" s="35"/>
      <c r="BM290" s="35"/>
      <c r="BN290" s="35"/>
      <c r="BO290" s="35"/>
      <c r="BP290" s="35"/>
      <c r="BQ290" s="35"/>
      <c r="BR290" s="35"/>
      <c r="BS290" s="35"/>
      <c r="BT290" s="35"/>
      <c r="BU290" s="35"/>
      <c r="BV290" s="35"/>
      <c r="BW290" s="35"/>
      <c r="BX290" s="35"/>
      <c r="BY290" s="35"/>
      <c r="BZ290" s="35"/>
      <c r="CA290" s="35"/>
      <c r="CB290" s="35"/>
      <c r="CC290" s="35"/>
      <c r="CD290" s="35"/>
      <c r="CE290" s="35"/>
      <c r="CF290" s="35"/>
      <c r="CG290" s="35"/>
      <c r="CH290" s="35"/>
      <c r="CI290" s="35"/>
      <c r="CJ290" s="35"/>
      <c r="CK290" s="35"/>
      <c r="CL290" s="35"/>
      <c r="CM290" s="35"/>
      <c r="CN290" s="35"/>
      <c r="CO290" s="35"/>
      <c r="CP290" s="35"/>
      <c r="CQ290" s="35"/>
      <c r="CR290" s="35"/>
      <c r="CS290" s="35"/>
      <c r="CT290" s="35"/>
      <c r="CU290" s="35"/>
      <c r="CV290" s="35"/>
      <c r="CW290" s="35"/>
      <c r="CX290" s="35"/>
      <c r="CY290" s="35"/>
      <c r="CZ290" s="35"/>
      <c r="DA290" s="35"/>
      <c r="DB290" s="35"/>
      <c r="DC290" s="35"/>
      <c r="DD290" s="35"/>
      <c r="DE290" s="35"/>
      <c r="DF290" s="35"/>
      <c r="DG290" s="35"/>
      <c r="DH290" s="35"/>
      <c r="DI290" s="35"/>
      <c r="DJ290" s="35"/>
      <c r="DK290" s="35"/>
      <c r="DL290" s="35"/>
      <c r="DM290" s="35"/>
      <c r="DN290" s="35"/>
      <c r="DO290" s="35"/>
      <c r="DP290" s="35"/>
      <c r="DQ290" s="35"/>
      <c r="DR290" s="35"/>
      <c r="DS290" s="35"/>
      <c r="DT290" s="35"/>
      <c r="DU290" s="35"/>
      <c r="DV290" s="35"/>
      <c r="DW290" s="35"/>
      <c r="DX290" s="35"/>
      <c r="DY290" s="35"/>
      <c r="DZ290" s="35"/>
      <c r="EA290" s="35"/>
      <c r="EB290" s="35"/>
      <c r="EC290" s="35"/>
      <c r="ED290" s="35"/>
      <c r="EE290" s="35"/>
      <c r="EF290" s="35"/>
      <c r="EG290" s="35"/>
      <c r="EH290" s="35"/>
      <c r="EI290" s="35"/>
      <c r="EJ290" s="35"/>
      <c r="EK290" s="35"/>
      <c r="EL290" s="35"/>
      <c r="EM290" s="35"/>
      <c r="EN290" s="35"/>
      <c r="EO290" s="35"/>
      <c r="EP290" s="35"/>
      <c r="EQ290" s="35"/>
      <c r="ER290" s="35"/>
      <c r="ES290" s="35"/>
      <c r="ET290" s="35"/>
      <c r="EU290" s="35"/>
      <c r="EV290" s="35"/>
      <c r="EW290" s="35"/>
      <c r="EX290" s="35"/>
      <c r="EY290" s="35"/>
      <c r="EZ290" s="35"/>
      <c r="FA290" s="35"/>
      <c r="FB290" s="35"/>
      <c r="FC290" s="458">
        <f t="shared" si="35"/>
        <v>0</v>
      </c>
      <c r="FD290">
        <f t="shared" si="33"/>
        <v>0</v>
      </c>
      <c r="FE290" t="e">
        <f t="shared" si="34"/>
        <v>#N/A</v>
      </c>
      <c r="FI290" s="731" t="e">
        <f t="shared" si="36"/>
        <v>#VALUE!</v>
      </c>
      <c r="FK290" s="471" t="str">
        <f t="shared" si="37"/>
        <v xml:space="preserve"> </v>
      </c>
      <c r="FL290" s="730">
        <f t="shared" si="38"/>
        <v>0</v>
      </c>
      <c r="FM290" s="471" t="str">
        <f t="shared" si="39"/>
        <v/>
      </c>
      <c r="FN290" s="730">
        <f t="shared" si="32"/>
        <v>0</v>
      </c>
    </row>
    <row r="291" spans="1:170" s="33" customFormat="1" x14ac:dyDescent="0.2">
      <c r="A291" s="34" t="s">
        <v>341</v>
      </c>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c r="BG291" s="35"/>
      <c r="BH291" s="35"/>
      <c r="BI291" s="35"/>
      <c r="BJ291" s="35"/>
      <c r="BK291" s="35"/>
      <c r="BL291" s="35"/>
      <c r="BM291" s="35"/>
      <c r="BN291" s="35"/>
      <c r="BO291" s="35"/>
      <c r="BP291" s="35"/>
      <c r="BQ291" s="35"/>
      <c r="BR291" s="35"/>
      <c r="BS291" s="35"/>
      <c r="BT291" s="35"/>
      <c r="BU291" s="35"/>
      <c r="BV291" s="35"/>
      <c r="BW291" s="35"/>
      <c r="BX291" s="35"/>
      <c r="BY291" s="35"/>
      <c r="BZ291" s="35"/>
      <c r="CA291" s="35"/>
      <c r="CB291" s="35"/>
      <c r="CC291" s="35"/>
      <c r="CD291" s="35"/>
      <c r="CE291" s="35"/>
      <c r="CF291" s="35"/>
      <c r="CG291" s="35"/>
      <c r="CH291" s="35"/>
      <c r="CI291" s="35"/>
      <c r="CJ291" s="35"/>
      <c r="CK291" s="35"/>
      <c r="CL291" s="35"/>
      <c r="CM291" s="35"/>
      <c r="CN291" s="35"/>
      <c r="CO291" s="35"/>
      <c r="CP291" s="35"/>
      <c r="CQ291" s="35"/>
      <c r="CR291" s="35"/>
      <c r="CS291" s="35"/>
      <c r="CT291" s="35"/>
      <c r="CU291" s="35"/>
      <c r="CV291" s="35"/>
      <c r="CW291" s="35"/>
      <c r="CX291" s="35"/>
      <c r="CY291" s="35"/>
      <c r="CZ291" s="35"/>
      <c r="DA291" s="35"/>
      <c r="DB291" s="35"/>
      <c r="DC291" s="35"/>
      <c r="DD291" s="35"/>
      <c r="DE291" s="35"/>
      <c r="DF291" s="35"/>
      <c r="DG291" s="35"/>
      <c r="DH291" s="35"/>
      <c r="DI291" s="35"/>
      <c r="DJ291" s="35"/>
      <c r="DK291" s="35"/>
      <c r="DL291" s="35"/>
      <c r="DM291" s="35"/>
      <c r="DN291" s="35"/>
      <c r="DO291" s="35"/>
      <c r="DP291" s="35"/>
      <c r="DQ291" s="35"/>
      <c r="DR291" s="35"/>
      <c r="DS291" s="35"/>
      <c r="DT291" s="35"/>
      <c r="DU291" s="35"/>
      <c r="DV291" s="35"/>
      <c r="DW291" s="35"/>
      <c r="DX291" s="35"/>
      <c r="DY291" s="35"/>
      <c r="DZ291" s="35"/>
      <c r="EA291" s="35"/>
      <c r="EB291" s="35"/>
      <c r="EC291" s="35"/>
      <c r="ED291" s="35"/>
      <c r="EE291" s="35"/>
      <c r="EF291" s="35"/>
      <c r="EG291" s="35"/>
      <c r="EH291" s="35"/>
      <c r="EI291" s="35"/>
      <c r="EJ291" s="35"/>
      <c r="EK291" s="35"/>
      <c r="EL291" s="35"/>
      <c r="EM291" s="35"/>
      <c r="EN291" s="35"/>
      <c r="EO291" s="35"/>
      <c r="EP291" s="35"/>
      <c r="EQ291" s="35"/>
      <c r="ER291" s="35"/>
      <c r="ES291" s="35"/>
      <c r="ET291" s="35"/>
      <c r="EU291" s="35"/>
      <c r="EV291" s="35"/>
      <c r="EW291" s="35"/>
      <c r="EX291" s="35"/>
      <c r="EY291" s="35"/>
      <c r="EZ291" s="35"/>
      <c r="FA291" s="35"/>
      <c r="FB291" s="35"/>
      <c r="FC291" s="458">
        <f t="shared" si="35"/>
        <v>0</v>
      </c>
      <c r="FD291">
        <f t="shared" si="33"/>
        <v>0</v>
      </c>
      <c r="FE291" t="e">
        <f t="shared" si="34"/>
        <v>#N/A</v>
      </c>
      <c r="FI291" s="731" t="e">
        <f t="shared" si="36"/>
        <v>#VALUE!</v>
      </c>
      <c r="FK291" s="471" t="str">
        <f t="shared" si="37"/>
        <v xml:space="preserve"> </v>
      </c>
      <c r="FL291" s="730">
        <f t="shared" si="38"/>
        <v>0</v>
      </c>
      <c r="FM291" s="471" t="str">
        <f t="shared" si="39"/>
        <v/>
      </c>
      <c r="FN291" s="730">
        <f t="shared" si="32"/>
        <v>0</v>
      </c>
    </row>
    <row r="292" spans="1:170" s="33" customFormat="1" x14ac:dyDescent="0.2">
      <c r="A292" s="34" t="s">
        <v>342</v>
      </c>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c r="BG292" s="35"/>
      <c r="BH292" s="35"/>
      <c r="BI292" s="35"/>
      <c r="BJ292" s="35"/>
      <c r="BK292" s="35"/>
      <c r="BL292" s="35"/>
      <c r="BM292" s="35"/>
      <c r="BN292" s="35"/>
      <c r="BO292" s="35"/>
      <c r="BP292" s="35"/>
      <c r="BQ292" s="35"/>
      <c r="BR292" s="35"/>
      <c r="BS292" s="35"/>
      <c r="BT292" s="35"/>
      <c r="BU292" s="35"/>
      <c r="BV292" s="35"/>
      <c r="BW292" s="35"/>
      <c r="BX292" s="35"/>
      <c r="BY292" s="35"/>
      <c r="BZ292" s="35"/>
      <c r="CA292" s="35"/>
      <c r="CB292" s="35"/>
      <c r="CC292" s="35"/>
      <c r="CD292" s="35"/>
      <c r="CE292" s="35"/>
      <c r="CF292" s="35"/>
      <c r="CG292" s="35"/>
      <c r="CH292" s="35"/>
      <c r="CI292" s="35"/>
      <c r="CJ292" s="35"/>
      <c r="CK292" s="35"/>
      <c r="CL292" s="35"/>
      <c r="CM292" s="35"/>
      <c r="CN292" s="35"/>
      <c r="CO292" s="35"/>
      <c r="CP292" s="35"/>
      <c r="CQ292" s="35"/>
      <c r="CR292" s="35"/>
      <c r="CS292" s="35"/>
      <c r="CT292" s="35"/>
      <c r="CU292" s="35"/>
      <c r="CV292" s="35"/>
      <c r="CW292" s="35"/>
      <c r="CX292" s="35"/>
      <c r="CY292" s="35"/>
      <c r="CZ292" s="35"/>
      <c r="DA292" s="35"/>
      <c r="DB292" s="35"/>
      <c r="DC292" s="35"/>
      <c r="DD292" s="35"/>
      <c r="DE292" s="35"/>
      <c r="DF292" s="35"/>
      <c r="DG292" s="35"/>
      <c r="DH292" s="35"/>
      <c r="DI292" s="35"/>
      <c r="DJ292" s="35"/>
      <c r="DK292" s="35"/>
      <c r="DL292" s="35"/>
      <c r="DM292" s="35"/>
      <c r="DN292" s="35"/>
      <c r="DO292" s="35"/>
      <c r="DP292" s="35"/>
      <c r="DQ292" s="35"/>
      <c r="DR292" s="35"/>
      <c r="DS292" s="35"/>
      <c r="DT292" s="35"/>
      <c r="DU292" s="35"/>
      <c r="DV292" s="35"/>
      <c r="DW292" s="35"/>
      <c r="DX292" s="35"/>
      <c r="DY292" s="35"/>
      <c r="DZ292" s="35"/>
      <c r="EA292" s="35"/>
      <c r="EB292" s="35"/>
      <c r="EC292" s="35"/>
      <c r="ED292" s="35"/>
      <c r="EE292" s="35"/>
      <c r="EF292" s="35"/>
      <c r="EG292" s="35"/>
      <c r="EH292" s="35"/>
      <c r="EI292" s="35"/>
      <c r="EJ292" s="35"/>
      <c r="EK292" s="35"/>
      <c r="EL292" s="35"/>
      <c r="EM292" s="35"/>
      <c r="EN292" s="35"/>
      <c r="EO292" s="35"/>
      <c r="EP292" s="35"/>
      <c r="EQ292" s="35"/>
      <c r="ER292" s="35"/>
      <c r="ES292" s="35"/>
      <c r="ET292" s="35"/>
      <c r="EU292" s="35"/>
      <c r="EV292" s="35"/>
      <c r="EW292" s="35"/>
      <c r="EX292" s="35"/>
      <c r="EY292" s="35"/>
      <c r="EZ292" s="35"/>
      <c r="FA292" s="35"/>
      <c r="FB292" s="35"/>
      <c r="FC292" s="458">
        <f t="shared" si="35"/>
        <v>0</v>
      </c>
      <c r="FD292">
        <f t="shared" si="33"/>
        <v>0</v>
      </c>
      <c r="FE292" t="e">
        <f t="shared" si="34"/>
        <v>#N/A</v>
      </c>
      <c r="FI292" s="731" t="e">
        <f t="shared" si="36"/>
        <v>#VALUE!</v>
      </c>
      <c r="FK292" s="471" t="str">
        <f t="shared" si="37"/>
        <v xml:space="preserve"> </v>
      </c>
      <c r="FL292" s="730">
        <f t="shared" si="38"/>
        <v>0</v>
      </c>
      <c r="FM292" s="471" t="str">
        <f t="shared" si="39"/>
        <v/>
      </c>
      <c r="FN292" s="730">
        <f t="shared" si="32"/>
        <v>0</v>
      </c>
    </row>
    <row r="293" spans="1:170" s="33" customFormat="1" x14ac:dyDescent="0.2">
      <c r="A293" s="34" t="s">
        <v>343</v>
      </c>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c r="BG293" s="35"/>
      <c r="BH293" s="35"/>
      <c r="BI293" s="35"/>
      <c r="BJ293" s="35"/>
      <c r="BK293" s="35"/>
      <c r="BL293" s="35"/>
      <c r="BM293" s="35"/>
      <c r="BN293" s="35"/>
      <c r="BO293" s="35"/>
      <c r="BP293" s="35"/>
      <c r="BQ293" s="35"/>
      <c r="BR293" s="35"/>
      <c r="BS293" s="35"/>
      <c r="BT293" s="35"/>
      <c r="BU293" s="35"/>
      <c r="BV293" s="35"/>
      <c r="BW293" s="35"/>
      <c r="BX293" s="35"/>
      <c r="BY293" s="35"/>
      <c r="BZ293" s="35"/>
      <c r="CA293" s="35"/>
      <c r="CB293" s="35"/>
      <c r="CC293" s="35"/>
      <c r="CD293" s="35"/>
      <c r="CE293" s="35"/>
      <c r="CF293" s="35"/>
      <c r="CG293" s="35"/>
      <c r="CH293" s="35"/>
      <c r="CI293" s="35"/>
      <c r="CJ293" s="35"/>
      <c r="CK293" s="35"/>
      <c r="CL293" s="35"/>
      <c r="CM293" s="35"/>
      <c r="CN293" s="35"/>
      <c r="CO293" s="35"/>
      <c r="CP293" s="35"/>
      <c r="CQ293" s="35"/>
      <c r="CR293" s="35"/>
      <c r="CS293" s="35"/>
      <c r="CT293" s="35"/>
      <c r="CU293" s="35"/>
      <c r="CV293" s="35"/>
      <c r="CW293" s="35"/>
      <c r="CX293" s="35"/>
      <c r="CY293" s="35"/>
      <c r="CZ293" s="35"/>
      <c r="DA293" s="35"/>
      <c r="DB293" s="35"/>
      <c r="DC293" s="35"/>
      <c r="DD293" s="35"/>
      <c r="DE293" s="35"/>
      <c r="DF293" s="35"/>
      <c r="DG293" s="35"/>
      <c r="DH293" s="35"/>
      <c r="DI293" s="35"/>
      <c r="DJ293" s="35"/>
      <c r="DK293" s="35"/>
      <c r="DL293" s="35"/>
      <c r="DM293" s="35"/>
      <c r="DN293" s="35"/>
      <c r="DO293" s="35"/>
      <c r="DP293" s="35"/>
      <c r="DQ293" s="35"/>
      <c r="DR293" s="35"/>
      <c r="DS293" s="35"/>
      <c r="DT293" s="35"/>
      <c r="DU293" s="35"/>
      <c r="DV293" s="35"/>
      <c r="DW293" s="35"/>
      <c r="DX293" s="35"/>
      <c r="DY293" s="35"/>
      <c r="DZ293" s="35"/>
      <c r="EA293" s="35"/>
      <c r="EB293" s="35"/>
      <c r="EC293" s="35"/>
      <c r="ED293" s="35"/>
      <c r="EE293" s="35"/>
      <c r="EF293" s="35"/>
      <c r="EG293" s="35"/>
      <c r="EH293" s="35"/>
      <c r="EI293" s="35"/>
      <c r="EJ293" s="35"/>
      <c r="EK293" s="35"/>
      <c r="EL293" s="35"/>
      <c r="EM293" s="35"/>
      <c r="EN293" s="35"/>
      <c r="EO293" s="35"/>
      <c r="EP293" s="35"/>
      <c r="EQ293" s="35"/>
      <c r="ER293" s="35"/>
      <c r="ES293" s="35"/>
      <c r="ET293" s="35"/>
      <c r="EU293" s="35"/>
      <c r="EV293" s="35"/>
      <c r="EW293" s="35"/>
      <c r="EX293" s="35"/>
      <c r="EY293" s="35"/>
      <c r="EZ293" s="35"/>
      <c r="FA293" s="35"/>
      <c r="FB293" s="35"/>
      <c r="FC293" s="458">
        <f t="shared" si="35"/>
        <v>0</v>
      </c>
      <c r="FD293">
        <f t="shared" si="33"/>
        <v>0</v>
      </c>
      <c r="FE293" t="e">
        <f t="shared" si="34"/>
        <v>#N/A</v>
      </c>
      <c r="FI293" s="731" t="e">
        <f t="shared" si="36"/>
        <v>#VALUE!</v>
      </c>
      <c r="FK293" s="471" t="str">
        <f t="shared" si="37"/>
        <v xml:space="preserve"> </v>
      </c>
      <c r="FL293" s="730">
        <f t="shared" si="38"/>
        <v>0</v>
      </c>
      <c r="FM293" s="471" t="str">
        <f t="shared" si="39"/>
        <v/>
      </c>
      <c r="FN293" s="730">
        <f t="shared" si="32"/>
        <v>0</v>
      </c>
    </row>
    <row r="294" spans="1:170" s="33" customFormat="1" x14ac:dyDescent="0.2">
      <c r="A294" s="34" t="s">
        <v>344</v>
      </c>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c r="BG294" s="35"/>
      <c r="BH294" s="35"/>
      <c r="BI294" s="35"/>
      <c r="BJ294" s="35"/>
      <c r="BK294" s="35"/>
      <c r="BL294" s="35"/>
      <c r="BM294" s="35"/>
      <c r="BN294" s="35"/>
      <c r="BO294" s="35"/>
      <c r="BP294" s="35"/>
      <c r="BQ294" s="35"/>
      <c r="BR294" s="35"/>
      <c r="BS294" s="35"/>
      <c r="BT294" s="35"/>
      <c r="BU294" s="35"/>
      <c r="BV294" s="35"/>
      <c r="BW294" s="35"/>
      <c r="BX294" s="35"/>
      <c r="BY294" s="35"/>
      <c r="BZ294" s="35"/>
      <c r="CA294" s="35"/>
      <c r="CB294" s="35"/>
      <c r="CC294" s="35"/>
      <c r="CD294" s="35"/>
      <c r="CE294" s="35"/>
      <c r="CF294" s="35"/>
      <c r="CG294" s="35"/>
      <c r="CH294" s="35"/>
      <c r="CI294" s="35"/>
      <c r="CJ294" s="35"/>
      <c r="CK294" s="35"/>
      <c r="CL294" s="35"/>
      <c r="CM294" s="35"/>
      <c r="CN294" s="35"/>
      <c r="CO294" s="35"/>
      <c r="CP294" s="35"/>
      <c r="CQ294" s="35"/>
      <c r="CR294" s="35"/>
      <c r="CS294" s="35"/>
      <c r="CT294" s="35"/>
      <c r="CU294" s="35"/>
      <c r="CV294" s="35"/>
      <c r="CW294" s="35"/>
      <c r="CX294" s="35"/>
      <c r="CY294" s="35"/>
      <c r="CZ294" s="35"/>
      <c r="DA294" s="35"/>
      <c r="DB294" s="35"/>
      <c r="DC294" s="35"/>
      <c r="DD294" s="35"/>
      <c r="DE294" s="35"/>
      <c r="DF294" s="35"/>
      <c r="DG294" s="35"/>
      <c r="DH294" s="35"/>
      <c r="DI294" s="35"/>
      <c r="DJ294" s="35"/>
      <c r="DK294" s="35"/>
      <c r="DL294" s="35"/>
      <c r="DM294" s="35"/>
      <c r="DN294" s="35"/>
      <c r="DO294" s="35"/>
      <c r="DP294" s="35"/>
      <c r="DQ294" s="35"/>
      <c r="DR294" s="35"/>
      <c r="DS294" s="35"/>
      <c r="DT294" s="35"/>
      <c r="DU294" s="35"/>
      <c r="DV294" s="35"/>
      <c r="DW294" s="35"/>
      <c r="DX294" s="35"/>
      <c r="DY294" s="35"/>
      <c r="DZ294" s="35"/>
      <c r="EA294" s="35"/>
      <c r="EB294" s="35"/>
      <c r="EC294" s="35"/>
      <c r="ED294" s="35"/>
      <c r="EE294" s="35"/>
      <c r="EF294" s="35"/>
      <c r="EG294" s="35"/>
      <c r="EH294" s="35"/>
      <c r="EI294" s="35"/>
      <c r="EJ294" s="35"/>
      <c r="EK294" s="35"/>
      <c r="EL294" s="35"/>
      <c r="EM294" s="35"/>
      <c r="EN294" s="35"/>
      <c r="EO294" s="35"/>
      <c r="EP294" s="35"/>
      <c r="EQ294" s="35"/>
      <c r="ER294" s="35"/>
      <c r="ES294" s="35"/>
      <c r="ET294" s="35"/>
      <c r="EU294" s="35"/>
      <c r="EV294" s="35"/>
      <c r="EW294" s="35"/>
      <c r="EX294" s="35"/>
      <c r="EY294" s="35"/>
      <c r="EZ294" s="35"/>
      <c r="FA294" s="35"/>
      <c r="FB294" s="35"/>
      <c r="FC294" s="458">
        <f t="shared" si="35"/>
        <v>0</v>
      </c>
      <c r="FD294">
        <f t="shared" si="33"/>
        <v>0</v>
      </c>
      <c r="FE294" t="e">
        <f t="shared" si="34"/>
        <v>#N/A</v>
      </c>
      <c r="FI294" s="731" t="e">
        <f t="shared" si="36"/>
        <v>#VALUE!</v>
      </c>
      <c r="FK294" s="471" t="str">
        <f t="shared" si="37"/>
        <v xml:space="preserve"> </v>
      </c>
      <c r="FL294" s="730">
        <f t="shared" si="38"/>
        <v>0</v>
      </c>
      <c r="FM294" s="471" t="str">
        <f t="shared" si="39"/>
        <v/>
      </c>
      <c r="FN294" s="730">
        <f t="shared" si="32"/>
        <v>0</v>
      </c>
    </row>
    <row r="295" spans="1:170" s="33" customFormat="1" x14ac:dyDescent="0.2">
      <c r="A295" s="34" t="s">
        <v>345</v>
      </c>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c r="BN295" s="35"/>
      <c r="BO295" s="35"/>
      <c r="BP295" s="35"/>
      <c r="BQ295" s="35"/>
      <c r="BR295" s="35"/>
      <c r="BS295" s="35"/>
      <c r="BT295" s="35"/>
      <c r="BU295" s="35"/>
      <c r="BV295" s="35"/>
      <c r="BW295" s="35"/>
      <c r="BX295" s="35"/>
      <c r="BY295" s="35"/>
      <c r="BZ295" s="35"/>
      <c r="CA295" s="35"/>
      <c r="CB295" s="35"/>
      <c r="CC295" s="35"/>
      <c r="CD295" s="35"/>
      <c r="CE295" s="35"/>
      <c r="CF295" s="35"/>
      <c r="CG295" s="35"/>
      <c r="CH295" s="35"/>
      <c r="CI295" s="35"/>
      <c r="CJ295" s="35"/>
      <c r="CK295" s="35"/>
      <c r="CL295" s="35"/>
      <c r="CM295" s="35"/>
      <c r="CN295" s="35"/>
      <c r="CO295" s="35"/>
      <c r="CP295" s="35"/>
      <c r="CQ295" s="35"/>
      <c r="CR295" s="35"/>
      <c r="CS295" s="35"/>
      <c r="CT295" s="35"/>
      <c r="CU295" s="35"/>
      <c r="CV295" s="35"/>
      <c r="CW295" s="35"/>
      <c r="CX295" s="35"/>
      <c r="CY295" s="35"/>
      <c r="CZ295" s="35"/>
      <c r="DA295" s="35"/>
      <c r="DB295" s="35"/>
      <c r="DC295" s="35"/>
      <c r="DD295" s="35"/>
      <c r="DE295" s="35"/>
      <c r="DF295" s="35"/>
      <c r="DG295" s="35"/>
      <c r="DH295" s="35"/>
      <c r="DI295" s="35"/>
      <c r="DJ295" s="35"/>
      <c r="DK295" s="35"/>
      <c r="DL295" s="35"/>
      <c r="DM295" s="35"/>
      <c r="DN295" s="35"/>
      <c r="DO295" s="35"/>
      <c r="DP295" s="35"/>
      <c r="DQ295" s="35"/>
      <c r="DR295" s="35"/>
      <c r="DS295" s="35"/>
      <c r="DT295" s="35"/>
      <c r="DU295" s="35"/>
      <c r="DV295" s="35"/>
      <c r="DW295" s="35"/>
      <c r="DX295" s="35"/>
      <c r="DY295" s="35"/>
      <c r="DZ295" s="35"/>
      <c r="EA295" s="35"/>
      <c r="EB295" s="35"/>
      <c r="EC295" s="35"/>
      <c r="ED295" s="35"/>
      <c r="EE295" s="35"/>
      <c r="EF295" s="35"/>
      <c r="EG295" s="35"/>
      <c r="EH295" s="35"/>
      <c r="EI295" s="35"/>
      <c r="EJ295" s="35"/>
      <c r="EK295" s="35"/>
      <c r="EL295" s="35"/>
      <c r="EM295" s="35"/>
      <c r="EN295" s="35"/>
      <c r="EO295" s="35"/>
      <c r="EP295" s="35"/>
      <c r="EQ295" s="35"/>
      <c r="ER295" s="35"/>
      <c r="ES295" s="35"/>
      <c r="ET295" s="35"/>
      <c r="EU295" s="35"/>
      <c r="EV295" s="35"/>
      <c r="EW295" s="35"/>
      <c r="EX295" s="35"/>
      <c r="EY295" s="35"/>
      <c r="EZ295" s="35"/>
      <c r="FA295" s="35"/>
      <c r="FB295" s="35"/>
      <c r="FC295" s="458">
        <f t="shared" si="35"/>
        <v>0</v>
      </c>
      <c r="FD295">
        <f t="shared" si="33"/>
        <v>0</v>
      </c>
      <c r="FE295" t="e">
        <f t="shared" si="34"/>
        <v>#N/A</v>
      </c>
      <c r="FI295" s="731" t="e">
        <f t="shared" si="36"/>
        <v>#VALUE!</v>
      </c>
      <c r="FK295" s="471" t="str">
        <f t="shared" si="37"/>
        <v xml:space="preserve"> </v>
      </c>
      <c r="FL295" s="730">
        <f t="shared" si="38"/>
        <v>0</v>
      </c>
      <c r="FM295" s="471" t="str">
        <f t="shared" si="39"/>
        <v/>
      </c>
      <c r="FN295" s="730">
        <f t="shared" si="32"/>
        <v>0</v>
      </c>
    </row>
    <row r="296" spans="1:170" s="33" customFormat="1" x14ac:dyDescent="0.2">
      <c r="A296" s="34" t="s">
        <v>346</v>
      </c>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c r="BN296" s="35"/>
      <c r="BO296" s="35"/>
      <c r="BP296" s="35"/>
      <c r="BQ296" s="35"/>
      <c r="BR296" s="35"/>
      <c r="BS296" s="35"/>
      <c r="BT296" s="35"/>
      <c r="BU296" s="35"/>
      <c r="BV296" s="35"/>
      <c r="BW296" s="35"/>
      <c r="BX296" s="35"/>
      <c r="BY296" s="35"/>
      <c r="BZ296" s="35"/>
      <c r="CA296" s="35"/>
      <c r="CB296" s="35"/>
      <c r="CC296" s="35"/>
      <c r="CD296" s="35"/>
      <c r="CE296" s="35"/>
      <c r="CF296" s="35"/>
      <c r="CG296" s="35"/>
      <c r="CH296" s="35"/>
      <c r="CI296" s="35"/>
      <c r="CJ296" s="35"/>
      <c r="CK296" s="35"/>
      <c r="CL296" s="35"/>
      <c r="CM296" s="35"/>
      <c r="CN296" s="35"/>
      <c r="CO296" s="35"/>
      <c r="CP296" s="35"/>
      <c r="CQ296" s="35"/>
      <c r="CR296" s="35"/>
      <c r="CS296" s="35"/>
      <c r="CT296" s="35"/>
      <c r="CU296" s="35"/>
      <c r="CV296" s="35"/>
      <c r="CW296" s="35"/>
      <c r="CX296" s="35"/>
      <c r="CY296" s="35"/>
      <c r="CZ296" s="35"/>
      <c r="DA296" s="35"/>
      <c r="DB296" s="35"/>
      <c r="DC296" s="35"/>
      <c r="DD296" s="35"/>
      <c r="DE296" s="35"/>
      <c r="DF296" s="35"/>
      <c r="DG296" s="35"/>
      <c r="DH296" s="35"/>
      <c r="DI296" s="35"/>
      <c r="DJ296" s="35"/>
      <c r="DK296" s="35"/>
      <c r="DL296" s="35"/>
      <c r="DM296" s="35"/>
      <c r="DN296" s="35"/>
      <c r="DO296" s="35"/>
      <c r="DP296" s="35"/>
      <c r="DQ296" s="35"/>
      <c r="DR296" s="35"/>
      <c r="DS296" s="35"/>
      <c r="DT296" s="35"/>
      <c r="DU296" s="35"/>
      <c r="DV296" s="35"/>
      <c r="DW296" s="35"/>
      <c r="DX296" s="35"/>
      <c r="DY296" s="35"/>
      <c r="DZ296" s="35"/>
      <c r="EA296" s="35"/>
      <c r="EB296" s="35"/>
      <c r="EC296" s="35"/>
      <c r="ED296" s="35"/>
      <c r="EE296" s="35"/>
      <c r="EF296" s="35"/>
      <c r="EG296" s="35"/>
      <c r="EH296" s="35"/>
      <c r="EI296" s="35"/>
      <c r="EJ296" s="35"/>
      <c r="EK296" s="35"/>
      <c r="EL296" s="35"/>
      <c r="EM296" s="35"/>
      <c r="EN296" s="35"/>
      <c r="EO296" s="35"/>
      <c r="EP296" s="35"/>
      <c r="EQ296" s="35"/>
      <c r="ER296" s="35"/>
      <c r="ES296" s="35"/>
      <c r="ET296" s="35"/>
      <c r="EU296" s="35"/>
      <c r="EV296" s="35"/>
      <c r="EW296" s="35"/>
      <c r="EX296" s="35"/>
      <c r="EY296" s="35"/>
      <c r="EZ296" s="35"/>
      <c r="FA296" s="35"/>
      <c r="FB296" s="35"/>
      <c r="FC296" s="458">
        <f t="shared" si="35"/>
        <v>0</v>
      </c>
      <c r="FD296">
        <f t="shared" si="33"/>
        <v>0</v>
      </c>
      <c r="FE296" t="e">
        <f t="shared" si="34"/>
        <v>#N/A</v>
      </c>
      <c r="FI296" s="731" t="e">
        <f t="shared" si="36"/>
        <v>#VALUE!</v>
      </c>
      <c r="FK296" s="471" t="str">
        <f t="shared" si="37"/>
        <v xml:space="preserve"> </v>
      </c>
      <c r="FL296" s="730">
        <f t="shared" si="38"/>
        <v>0</v>
      </c>
      <c r="FM296" s="471" t="str">
        <f t="shared" si="39"/>
        <v/>
      </c>
      <c r="FN296" s="730">
        <f t="shared" si="32"/>
        <v>0</v>
      </c>
    </row>
    <row r="297" spans="1:170" s="33" customFormat="1" x14ac:dyDescent="0.2">
      <c r="A297" s="34" t="s">
        <v>347</v>
      </c>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c r="BG297" s="35"/>
      <c r="BH297" s="35"/>
      <c r="BI297" s="35"/>
      <c r="BJ297" s="35"/>
      <c r="BK297" s="35"/>
      <c r="BL297" s="35"/>
      <c r="BM297" s="35"/>
      <c r="BN297" s="35"/>
      <c r="BO297" s="35"/>
      <c r="BP297" s="35"/>
      <c r="BQ297" s="35"/>
      <c r="BR297" s="35"/>
      <c r="BS297" s="35"/>
      <c r="BT297" s="35"/>
      <c r="BU297" s="35"/>
      <c r="BV297" s="35"/>
      <c r="BW297" s="35"/>
      <c r="BX297" s="35"/>
      <c r="BY297" s="35"/>
      <c r="BZ297" s="35"/>
      <c r="CA297" s="35"/>
      <c r="CB297" s="35"/>
      <c r="CC297" s="35"/>
      <c r="CD297" s="35"/>
      <c r="CE297" s="35"/>
      <c r="CF297" s="35"/>
      <c r="CG297" s="35"/>
      <c r="CH297" s="35"/>
      <c r="CI297" s="35"/>
      <c r="CJ297" s="35"/>
      <c r="CK297" s="35"/>
      <c r="CL297" s="35"/>
      <c r="CM297" s="35"/>
      <c r="CN297" s="35"/>
      <c r="CO297" s="35"/>
      <c r="CP297" s="35"/>
      <c r="CQ297" s="35"/>
      <c r="CR297" s="35"/>
      <c r="CS297" s="35"/>
      <c r="CT297" s="35"/>
      <c r="CU297" s="35"/>
      <c r="CV297" s="35"/>
      <c r="CW297" s="35"/>
      <c r="CX297" s="35"/>
      <c r="CY297" s="35"/>
      <c r="CZ297" s="35"/>
      <c r="DA297" s="35"/>
      <c r="DB297" s="35"/>
      <c r="DC297" s="35"/>
      <c r="DD297" s="35"/>
      <c r="DE297" s="35"/>
      <c r="DF297" s="35"/>
      <c r="DG297" s="35"/>
      <c r="DH297" s="35"/>
      <c r="DI297" s="35"/>
      <c r="DJ297" s="35"/>
      <c r="DK297" s="35"/>
      <c r="DL297" s="35"/>
      <c r="DM297" s="35"/>
      <c r="DN297" s="35"/>
      <c r="DO297" s="35"/>
      <c r="DP297" s="35"/>
      <c r="DQ297" s="35"/>
      <c r="DR297" s="35"/>
      <c r="DS297" s="35"/>
      <c r="DT297" s="35"/>
      <c r="DU297" s="35"/>
      <c r="DV297" s="35"/>
      <c r="DW297" s="35"/>
      <c r="DX297" s="35"/>
      <c r="DY297" s="35"/>
      <c r="DZ297" s="35"/>
      <c r="EA297" s="35"/>
      <c r="EB297" s="35"/>
      <c r="EC297" s="35"/>
      <c r="ED297" s="35"/>
      <c r="EE297" s="35"/>
      <c r="EF297" s="35"/>
      <c r="EG297" s="35"/>
      <c r="EH297" s="35"/>
      <c r="EI297" s="35"/>
      <c r="EJ297" s="35"/>
      <c r="EK297" s="35"/>
      <c r="EL297" s="35"/>
      <c r="EM297" s="35"/>
      <c r="EN297" s="35"/>
      <c r="EO297" s="35"/>
      <c r="EP297" s="35"/>
      <c r="EQ297" s="35"/>
      <c r="ER297" s="35"/>
      <c r="ES297" s="35"/>
      <c r="ET297" s="35"/>
      <c r="EU297" s="35"/>
      <c r="EV297" s="35"/>
      <c r="EW297" s="35"/>
      <c r="EX297" s="35"/>
      <c r="EY297" s="35"/>
      <c r="EZ297" s="35"/>
      <c r="FA297" s="35"/>
      <c r="FB297" s="35"/>
      <c r="FC297" s="458">
        <f t="shared" si="35"/>
        <v>0</v>
      </c>
      <c r="FD297">
        <f t="shared" si="33"/>
        <v>0</v>
      </c>
      <c r="FE297" t="e">
        <f t="shared" si="34"/>
        <v>#N/A</v>
      </c>
      <c r="FI297" s="731" t="e">
        <f t="shared" si="36"/>
        <v>#VALUE!</v>
      </c>
      <c r="FK297" s="471" t="str">
        <f t="shared" si="37"/>
        <v xml:space="preserve"> </v>
      </c>
      <c r="FL297" s="730">
        <f t="shared" si="38"/>
        <v>0</v>
      </c>
      <c r="FM297" s="471" t="str">
        <f t="shared" si="39"/>
        <v/>
      </c>
      <c r="FN297" s="730">
        <f t="shared" si="32"/>
        <v>0</v>
      </c>
    </row>
    <row r="298" spans="1:170" s="33" customFormat="1" x14ac:dyDescent="0.2">
      <c r="A298" s="34" t="s">
        <v>348</v>
      </c>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c r="BI298" s="35"/>
      <c r="BJ298" s="35"/>
      <c r="BK298" s="35"/>
      <c r="BL298" s="35"/>
      <c r="BM298" s="35"/>
      <c r="BN298" s="35"/>
      <c r="BO298" s="35"/>
      <c r="BP298" s="35"/>
      <c r="BQ298" s="35"/>
      <c r="BR298" s="35"/>
      <c r="BS298" s="35"/>
      <c r="BT298" s="35"/>
      <c r="BU298" s="35"/>
      <c r="BV298" s="35"/>
      <c r="BW298" s="35"/>
      <c r="BX298" s="35"/>
      <c r="BY298" s="35"/>
      <c r="BZ298" s="35"/>
      <c r="CA298" s="35"/>
      <c r="CB298" s="35"/>
      <c r="CC298" s="35"/>
      <c r="CD298" s="35"/>
      <c r="CE298" s="35"/>
      <c r="CF298" s="35"/>
      <c r="CG298" s="35"/>
      <c r="CH298" s="35"/>
      <c r="CI298" s="35"/>
      <c r="CJ298" s="35"/>
      <c r="CK298" s="35"/>
      <c r="CL298" s="35"/>
      <c r="CM298" s="35"/>
      <c r="CN298" s="35"/>
      <c r="CO298" s="35"/>
      <c r="CP298" s="35"/>
      <c r="CQ298" s="35"/>
      <c r="CR298" s="35"/>
      <c r="CS298" s="35"/>
      <c r="CT298" s="35"/>
      <c r="CU298" s="35"/>
      <c r="CV298" s="35"/>
      <c r="CW298" s="35"/>
      <c r="CX298" s="35"/>
      <c r="CY298" s="35"/>
      <c r="CZ298" s="35"/>
      <c r="DA298" s="35"/>
      <c r="DB298" s="35"/>
      <c r="DC298" s="35"/>
      <c r="DD298" s="35"/>
      <c r="DE298" s="35"/>
      <c r="DF298" s="35"/>
      <c r="DG298" s="35"/>
      <c r="DH298" s="35"/>
      <c r="DI298" s="35"/>
      <c r="DJ298" s="35"/>
      <c r="DK298" s="35"/>
      <c r="DL298" s="35"/>
      <c r="DM298" s="35"/>
      <c r="DN298" s="35"/>
      <c r="DO298" s="35"/>
      <c r="DP298" s="35"/>
      <c r="DQ298" s="35"/>
      <c r="DR298" s="35"/>
      <c r="DS298" s="35"/>
      <c r="DT298" s="35"/>
      <c r="DU298" s="35"/>
      <c r="DV298" s="35"/>
      <c r="DW298" s="35"/>
      <c r="DX298" s="35"/>
      <c r="DY298" s="35"/>
      <c r="DZ298" s="35"/>
      <c r="EA298" s="35"/>
      <c r="EB298" s="35"/>
      <c r="EC298" s="35"/>
      <c r="ED298" s="35"/>
      <c r="EE298" s="35"/>
      <c r="EF298" s="35"/>
      <c r="EG298" s="35"/>
      <c r="EH298" s="35"/>
      <c r="EI298" s="35"/>
      <c r="EJ298" s="35"/>
      <c r="EK298" s="35"/>
      <c r="EL298" s="35"/>
      <c r="EM298" s="35"/>
      <c r="EN298" s="35"/>
      <c r="EO298" s="35"/>
      <c r="EP298" s="35"/>
      <c r="EQ298" s="35"/>
      <c r="ER298" s="35"/>
      <c r="ES298" s="35"/>
      <c r="ET298" s="35"/>
      <c r="EU298" s="35"/>
      <c r="EV298" s="35"/>
      <c r="EW298" s="35"/>
      <c r="EX298" s="35"/>
      <c r="EY298" s="35"/>
      <c r="EZ298" s="35"/>
      <c r="FA298" s="35"/>
      <c r="FB298" s="35"/>
      <c r="FC298" s="458">
        <f t="shared" si="35"/>
        <v>0</v>
      </c>
      <c r="FD298">
        <f t="shared" si="33"/>
        <v>0</v>
      </c>
      <c r="FE298" t="e">
        <f t="shared" si="34"/>
        <v>#N/A</v>
      </c>
      <c r="FI298" s="731" t="e">
        <f t="shared" si="36"/>
        <v>#VALUE!</v>
      </c>
      <c r="FK298" s="471" t="str">
        <f t="shared" si="37"/>
        <v xml:space="preserve"> </v>
      </c>
      <c r="FL298" s="730">
        <f t="shared" si="38"/>
        <v>0</v>
      </c>
      <c r="FM298" s="471" t="str">
        <f t="shared" si="39"/>
        <v/>
      </c>
      <c r="FN298" s="730">
        <f t="shared" si="32"/>
        <v>0</v>
      </c>
    </row>
    <row r="299" spans="1:170" s="33" customFormat="1" x14ac:dyDescent="0.2">
      <c r="A299" s="34" t="s">
        <v>349</v>
      </c>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c r="BG299" s="35"/>
      <c r="BH299" s="35"/>
      <c r="BI299" s="35"/>
      <c r="BJ299" s="35"/>
      <c r="BK299" s="35"/>
      <c r="BL299" s="35"/>
      <c r="BM299" s="35"/>
      <c r="BN299" s="35"/>
      <c r="BO299" s="35"/>
      <c r="BP299" s="35"/>
      <c r="BQ299" s="35"/>
      <c r="BR299" s="35"/>
      <c r="BS299" s="35"/>
      <c r="BT299" s="35"/>
      <c r="BU299" s="35"/>
      <c r="BV299" s="35"/>
      <c r="BW299" s="35"/>
      <c r="BX299" s="35"/>
      <c r="BY299" s="35"/>
      <c r="BZ299" s="35"/>
      <c r="CA299" s="35"/>
      <c r="CB299" s="35"/>
      <c r="CC299" s="35"/>
      <c r="CD299" s="35"/>
      <c r="CE299" s="35"/>
      <c r="CF299" s="35"/>
      <c r="CG299" s="35"/>
      <c r="CH299" s="35"/>
      <c r="CI299" s="35"/>
      <c r="CJ299" s="35"/>
      <c r="CK299" s="35"/>
      <c r="CL299" s="35"/>
      <c r="CM299" s="35"/>
      <c r="CN299" s="35"/>
      <c r="CO299" s="35"/>
      <c r="CP299" s="35"/>
      <c r="CQ299" s="35"/>
      <c r="CR299" s="35"/>
      <c r="CS299" s="35"/>
      <c r="CT299" s="35"/>
      <c r="CU299" s="35"/>
      <c r="CV299" s="35"/>
      <c r="CW299" s="35"/>
      <c r="CX299" s="35"/>
      <c r="CY299" s="35"/>
      <c r="CZ299" s="35"/>
      <c r="DA299" s="35"/>
      <c r="DB299" s="35"/>
      <c r="DC299" s="35"/>
      <c r="DD299" s="35"/>
      <c r="DE299" s="35"/>
      <c r="DF299" s="35"/>
      <c r="DG299" s="35"/>
      <c r="DH299" s="35"/>
      <c r="DI299" s="35"/>
      <c r="DJ299" s="35"/>
      <c r="DK299" s="35"/>
      <c r="DL299" s="35"/>
      <c r="DM299" s="35"/>
      <c r="DN299" s="35"/>
      <c r="DO299" s="35"/>
      <c r="DP299" s="35"/>
      <c r="DQ299" s="35"/>
      <c r="DR299" s="35"/>
      <c r="DS299" s="35"/>
      <c r="DT299" s="35"/>
      <c r="DU299" s="35"/>
      <c r="DV299" s="35"/>
      <c r="DW299" s="35"/>
      <c r="DX299" s="35"/>
      <c r="DY299" s="35"/>
      <c r="DZ299" s="35"/>
      <c r="EA299" s="35"/>
      <c r="EB299" s="35"/>
      <c r="EC299" s="35"/>
      <c r="ED299" s="35"/>
      <c r="EE299" s="35"/>
      <c r="EF299" s="35"/>
      <c r="EG299" s="35"/>
      <c r="EH299" s="35"/>
      <c r="EI299" s="35"/>
      <c r="EJ299" s="35"/>
      <c r="EK299" s="35"/>
      <c r="EL299" s="35"/>
      <c r="EM299" s="35"/>
      <c r="EN299" s="35"/>
      <c r="EO299" s="35"/>
      <c r="EP299" s="35"/>
      <c r="EQ299" s="35"/>
      <c r="ER299" s="35"/>
      <c r="ES299" s="35"/>
      <c r="ET299" s="35"/>
      <c r="EU299" s="35"/>
      <c r="EV299" s="35"/>
      <c r="EW299" s="35"/>
      <c r="EX299" s="35"/>
      <c r="EY299" s="35"/>
      <c r="EZ299" s="35"/>
      <c r="FA299" s="35"/>
      <c r="FB299" s="35"/>
      <c r="FC299" s="458">
        <f t="shared" si="35"/>
        <v>0</v>
      </c>
      <c r="FD299">
        <f t="shared" si="33"/>
        <v>0</v>
      </c>
      <c r="FE299" t="e">
        <f t="shared" si="34"/>
        <v>#N/A</v>
      </c>
      <c r="FI299" s="731" t="e">
        <f t="shared" si="36"/>
        <v>#VALUE!</v>
      </c>
      <c r="FK299" s="471" t="str">
        <f t="shared" si="37"/>
        <v xml:space="preserve"> </v>
      </c>
      <c r="FL299" s="730">
        <f t="shared" si="38"/>
        <v>0</v>
      </c>
      <c r="FM299" s="471" t="str">
        <f t="shared" si="39"/>
        <v/>
      </c>
      <c r="FN299" s="730">
        <f t="shared" si="32"/>
        <v>0</v>
      </c>
    </row>
    <row r="300" spans="1:170" s="33" customFormat="1" x14ac:dyDescent="0.2">
      <c r="A300" s="34" t="s">
        <v>350</v>
      </c>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c r="BN300" s="35"/>
      <c r="BO300" s="35"/>
      <c r="BP300" s="35"/>
      <c r="BQ300" s="35"/>
      <c r="BR300" s="35"/>
      <c r="BS300" s="35"/>
      <c r="BT300" s="35"/>
      <c r="BU300" s="35"/>
      <c r="BV300" s="35"/>
      <c r="BW300" s="35"/>
      <c r="BX300" s="35"/>
      <c r="BY300" s="35"/>
      <c r="BZ300" s="35"/>
      <c r="CA300" s="35"/>
      <c r="CB300" s="35"/>
      <c r="CC300" s="35"/>
      <c r="CD300" s="35"/>
      <c r="CE300" s="35"/>
      <c r="CF300" s="35"/>
      <c r="CG300" s="35"/>
      <c r="CH300" s="35"/>
      <c r="CI300" s="35"/>
      <c r="CJ300" s="35"/>
      <c r="CK300" s="35"/>
      <c r="CL300" s="35"/>
      <c r="CM300" s="35"/>
      <c r="CN300" s="35"/>
      <c r="CO300" s="35"/>
      <c r="CP300" s="35"/>
      <c r="CQ300" s="35"/>
      <c r="CR300" s="35"/>
      <c r="CS300" s="35"/>
      <c r="CT300" s="35"/>
      <c r="CU300" s="35"/>
      <c r="CV300" s="35"/>
      <c r="CW300" s="35"/>
      <c r="CX300" s="35"/>
      <c r="CY300" s="35"/>
      <c r="CZ300" s="35"/>
      <c r="DA300" s="35"/>
      <c r="DB300" s="35"/>
      <c r="DC300" s="35"/>
      <c r="DD300" s="35"/>
      <c r="DE300" s="35"/>
      <c r="DF300" s="35"/>
      <c r="DG300" s="35"/>
      <c r="DH300" s="35"/>
      <c r="DI300" s="35"/>
      <c r="DJ300" s="35"/>
      <c r="DK300" s="35"/>
      <c r="DL300" s="35"/>
      <c r="DM300" s="35"/>
      <c r="DN300" s="35"/>
      <c r="DO300" s="35"/>
      <c r="DP300" s="35"/>
      <c r="DQ300" s="35"/>
      <c r="DR300" s="35"/>
      <c r="DS300" s="35"/>
      <c r="DT300" s="35"/>
      <c r="DU300" s="35"/>
      <c r="DV300" s="35"/>
      <c r="DW300" s="35"/>
      <c r="DX300" s="35"/>
      <c r="DY300" s="35"/>
      <c r="DZ300" s="35"/>
      <c r="EA300" s="35"/>
      <c r="EB300" s="35"/>
      <c r="EC300" s="35"/>
      <c r="ED300" s="35"/>
      <c r="EE300" s="35"/>
      <c r="EF300" s="35"/>
      <c r="EG300" s="35"/>
      <c r="EH300" s="35"/>
      <c r="EI300" s="35"/>
      <c r="EJ300" s="35"/>
      <c r="EK300" s="35"/>
      <c r="EL300" s="35"/>
      <c r="EM300" s="35"/>
      <c r="EN300" s="35"/>
      <c r="EO300" s="35"/>
      <c r="EP300" s="35"/>
      <c r="EQ300" s="35"/>
      <c r="ER300" s="35"/>
      <c r="ES300" s="35"/>
      <c r="ET300" s="35"/>
      <c r="EU300" s="35"/>
      <c r="EV300" s="35"/>
      <c r="EW300" s="35"/>
      <c r="EX300" s="35"/>
      <c r="EY300" s="35"/>
      <c r="EZ300" s="35"/>
      <c r="FA300" s="35"/>
      <c r="FB300" s="35"/>
      <c r="FC300" s="458">
        <f t="shared" si="35"/>
        <v>0</v>
      </c>
      <c r="FD300">
        <f t="shared" si="33"/>
        <v>0</v>
      </c>
      <c r="FE300" t="e">
        <f t="shared" si="34"/>
        <v>#N/A</v>
      </c>
      <c r="FI300" s="731" t="e">
        <f t="shared" si="36"/>
        <v>#VALUE!</v>
      </c>
      <c r="FK300" s="471" t="str">
        <f t="shared" si="37"/>
        <v xml:space="preserve"> </v>
      </c>
      <c r="FL300" s="730">
        <f t="shared" si="38"/>
        <v>0</v>
      </c>
      <c r="FM300" s="471" t="str">
        <f t="shared" si="39"/>
        <v/>
      </c>
      <c r="FN300" s="730">
        <f t="shared" si="32"/>
        <v>0</v>
      </c>
    </row>
    <row r="301" spans="1:170" s="33" customFormat="1" x14ac:dyDescent="0.2">
      <c r="A301" s="34" t="s">
        <v>351</v>
      </c>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c r="BG301" s="35"/>
      <c r="BH301" s="35"/>
      <c r="BI301" s="35"/>
      <c r="BJ301" s="35"/>
      <c r="BK301" s="35"/>
      <c r="BL301" s="35"/>
      <c r="BM301" s="35"/>
      <c r="BN301" s="35"/>
      <c r="BO301" s="35"/>
      <c r="BP301" s="35"/>
      <c r="BQ301" s="35"/>
      <c r="BR301" s="35"/>
      <c r="BS301" s="35"/>
      <c r="BT301" s="35"/>
      <c r="BU301" s="35"/>
      <c r="BV301" s="35"/>
      <c r="BW301" s="35"/>
      <c r="BX301" s="35"/>
      <c r="BY301" s="35"/>
      <c r="BZ301" s="35"/>
      <c r="CA301" s="35"/>
      <c r="CB301" s="35"/>
      <c r="CC301" s="35"/>
      <c r="CD301" s="35"/>
      <c r="CE301" s="35"/>
      <c r="CF301" s="35"/>
      <c r="CG301" s="35"/>
      <c r="CH301" s="35"/>
      <c r="CI301" s="35"/>
      <c r="CJ301" s="35"/>
      <c r="CK301" s="35"/>
      <c r="CL301" s="35"/>
      <c r="CM301" s="35"/>
      <c r="CN301" s="35"/>
      <c r="CO301" s="35"/>
      <c r="CP301" s="35"/>
      <c r="CQ301" s="35"/>
      <c r="CR301" s="35"/>
      <c r="CS301" s="35"/>
      <c r="CT301" s="35"/>
      <c r="CU301" s="35"/>
      <c r="CV301" s="35"/>
      <c r="CW301" s="35"/>
      <c r="CX301" s="35"/>
      <c r="CY301" s="35"/>
      <c r="CZ301" s="35"/>
      <c r="DA301" s="35"/>
      <c r="DB301" s="35"/>
      <c r="DC301" s="35"/>
      <c r="DD301" s="35"/>
      <c r="DE301" s="35"/>
      <c r="DF301" s="35"/>
      <c r="DG301" s="35"/>
      <c r="DH301" s="35"/>
      <c r="DI301" s="35"/>
      <c r="DJ301" s="35"/>
      <c r="DK301" s="35"/>
      <c r="DL301" s="35"/>
      <c r="DM301" s="35"/>
      <c r="DN301" s="35"/>
      <c r="DO301" s="35"/>
      <c r="DP301" s="35"/>
      <c r="DQ301" s="35"/>
      <c r="DR301" s="35"/>
      <c r="DS301" s="35"/>
      <c r="DT301" s="35"/>
      <c r="DU301" s="35"/>
      <c r="DV301" s="35"/>
      <c r="DW301" s="35"/>
      <c r="DX301" s="35"/>
      <c r="DY301" s="35"/>
      <c r="DZ301" s="35"/>
      <c r="EA301" s="35"/>
      <c r="EB301" s="35"/>
      <c r="EC301" s="35"/>
      <c r="ED301" s="35"/>
      <c r="EE301" s="35"/>
      <c r="EF301" s="35"/>
      <c r="EG301" s="35"/>
      <c r="EH301" s="35"/>
      <c r="EI301" s="35"/>
      <c r="EJ301" s="35"/>
      <c r="EK301" s="35"/>
      <c r="EL301" s="35"/>
      <c r="EM301" s="35"/>
      <c r="EN301" s="35"/>
      <c r="EO301" s="35"/>
      <c r="EP301" s="35"/>
      <c r="EQ301" s="35"/>
      <c r="ER301" s="35"/>
      <c r="ES301" s="35"/>
      <c r="ET301" s="35"/>
      <c r="EU301" s="35"/>
      <c r="EV301" s="35"/>
      <c r="EW301" s="35"/>
      <c r="EX301" s="35"/>
      <c r="EY301" s="35"/>
      <c r="EZ301" s="35"/>
      <c r="FA301" s="35"/>
      <c r="FB301" s="35"/>
      <c r="FC301" s="458">
        <f t="shared" si="35"/>
        <v>0</v>
      </c>
      <c r="FD301">
        <f t="shared" si="33"/>
        <v>0</v>
      </c>
      <c r="FE301" t="e">
        <f t="shared" si="34"/>
        <v>#N/A</v>
      </c>
      <c r="FI301" s="731" t="e">
        <f t="shared" si="36"/>
        <v>#VALUE!</v>
      </c>
      <c r="FK301" s="471" t="str">
        <f t="shared" si="37"/>
        <v xml:space="preserve"> </v>
      </c>
      <c r="FL301" s="730">
        <f t="shared" si="38"/>
        <v>0</v>
      </c>
      <c r="FM301" s="471" t="str">
        <f t="shared" si="39"/>
        <v/>
      </c>
      <c r="FN301" s="730">
        <f t="shared" si="32"/>
        <v>0</v>
      </c>
    </row>
    <row r="302" spans="1:170" s="33" customFormat="1" x14ac:dyDescent="0.2">
      <c r="A302" s="34" t="s">
        <v>352</v>
      </c>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c r="BG302" s="35"/>
      <c r="BH302" s="35"/>
      <c r="BI302" s="35"/>
      <c r="BJ302" s="35"/>
      <c r="BK302" s="35"/>
      <c r="BL302" s="35"/>
      <c r="BM302" s="35"/>
      <c r="BN302" s="35"/>
      <c r="BO302" s="35"/>
      <c r="BP302" s="35"/>
      <c r="BQ302" s="35"/>
      <c r="BR302" s="35"/>
      <c r="BS302" s="35"/>
      <c r="BT302" s="35"/>
      <c r="BU302" s="35"/>
      <c r="BV302" s="35"/>
      <c r="BW302" s="35"/>
      <c r="BX302" s="35"/>
      <c r="BY302" s="35"/>
      <c r="BZ302" s="35"/>
      <c r="CA302" s="35"/>
      <c r="CB302" s="35"/>
      <c r="CC302" s="35"/>
      <c r="CD302" s="35"/>
      <c r="CE302" s="35"/>
      <c r="CF302" s="35"/>
      <c r="CG302" s="35"/>
      <c r="CH302" s="35"/>
      <c r="CI302" s="35"/>
      <c r="CJ302" s="35"/>
      <c r="CK302" s="35"/>
      <c r="CL302" s="35"/>
      <c r="CM302" s="35"/>
      <c r="CN302" s="35"/>
      <c r="CO302" s="35"/>
      <c r="CP302" s="35"/>
      <c r="CQ302" s="35"/>
      <c r="CR302" s="35"/>
      <c r="CS302" s="35"/>
      <c r="CT302" s="35"/>
      <c r="CU302" s="35"/>
      <c r="CV302" s="35"/>
      <c r="CW302" s="35"/>
      <c r="CX302" s="35"/>
      <c r="CY302" s="35"/>
      <c r="CZ302" s="35"/>
      <c r="DA302" s="35"/>
      <c r="DB302" s="35"/>
      <c r="DC302" s="35"/>
      <c r="DD302" s="35"/>
      <c r="DE302" s="35"/>
      <c r="DF302" s="35"/>
      <c r="DG302" s="35"/>
      <c r="DH302" s="35"/>
      <c r="DI302" s="35"/>
      <c r="DJ302" s="35"/>
      <c r="DK302" s="35"/>
      <c r="DL302" s="35"/>
      <c r="DM302" s="35"/>
      <c r="DN302" s="35"/>
      <c r="DO302" s="35"/>
      <c r="DP302" s="35"/>
      <c r="DQ302" s="35"/>
      <c r="DR302" s="35"/>
      <c r="DS302" s="35"/>
      <c r="DT302" s="35"/>
      <c r="DU302" s="35"/>
      <c r="DV302" s="35"/>
      <c r="DW302" s="35"/>
      <c r="DX302" s="35"/>
      <c r="DY302" s="35"/>
      <c r="DZ302" s="35"/>
      <c r="EA302" s="35"/>
      <c r="EB302" s="35"/>
      <c r="EC302" s="35"/>
      <c r="ED302" s="35"/>
      <c r="EE302" s="35"/>
      <c r="EF302" s="35"/>
      <c r="EG302" s="35"/>
      <c r="EH302" s="35"/>
      <c r="EI302" s="35"/>
      <c r="EJ302" s="35"/>
      <c r="EK302" s="35"/>
      <c r="EL302" s="35"/>
      <c r="EM302" s="35"/>
      <c r="EN302" s="35"/>
      <c r="EO302" s="35"/>
      <c r="EP302" s="35"/>
      <c r="EQ302" s="35"/>
      <c r="ER302" s="35"/>
      <c r="ES302" s="35"/>
      <c r="ET302" s="35"/>
      <c r="EU302" s="35"/>
      <c r="EV302" s="35"/>
      <c r="EW302" s="35"/>
      <c r="EX302" s="35"/>
      <c r="EY302" s="35"/>
      <c r="EZ302" s="35"/>
      <c r="FA302" s="35"/>
      <c r="FB302" s="35"/>
      <c r="FC302" s="458">
        <f t="shared" si="35"/>
        <v>0</v>
      </c>
      <c r="FD302">
        <f t="shared" si="33"/>
        <v>0</v>
      </c>
      <c r="FE302" t="e">
        <f t="shared" si="34"/>
        <v>#N/A</v>
      </c>
      <c r="FI302" s="731" t="e">
        <f t="shared" si="36"/>
        <v>#VALUE!</v>
      </c>
      <c r="FK302" s="471" t="str">
        <f t="shared" si="37"/>
        <v xml:space="preserve"> </v>
      </c>
      <c r="FL302" s="730">
        <f t="shared" si="38"/>
        <v>0</v>
      </c>
      <c r="FM302" s="471" t="str">
        <f t="shared" si="39"/>
        <v/>
      </c>
      <c r="FN302" s="730">
        <f t="shared" si="32"/>
        <v>0</v>
      </c>
    </row>
    <row r="303" spans="1:170" s="33" customFormat="1" x14ac:dyDescent="0.2">
      <c r="A303" s="34" t="s">
        <v>353</v>
      </c>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c r="BG303" s="35"/>
      <c r="BH303" s="35"/>
      <c r="BI303" s="35"/>
      <c r="BJ303" s="35"/>
      <c r="BK303" s="35"/>
      <c r="BL303" s="35"/>
      <c r="BM303" s="35"/>
      <c r="BN303" s="35"/>
      <c r="BO303" s="35"/>
      <c r="BP303" s="35"/>
      <c r="BQ303" s="35"/>
      <c r="BR303" s="35"/>
      <c r="BS303" s="35"/>
      <c r="BT303" s="35"/>
      <c r="BU303" s="35"/>
      <c r="BV303" s="35"/>
      <c r="BW303" s="35"/>
      <c r="BX303" s="35"/>
      <c r="BY303" s="35"/>
      <c r="BZ303" s="35"/>
      <c r="CA303" s="35"/>
      <c r="CB303" s="35"/>
      <c r="CC303" s="35"/>
      <c r="CD303" s="35"/>
      <c r="CE303" s="35"/>
      <c r="CF303" s="35"/>
      <c r="CG303" s="35"/>
      <c r="CH303" s="35"/>
      <c r="CI303" s="35"/>
      <c r="CJ303" s="35"/>
      <c r="CK303" s="35"/>
      <c r="CL303" s="35"/>
      <c r="CM303" s="35"/>
      <c r="CN303" s="35"/>
      <c r="CO303" s="35"/>
      <c r="CP303" s="35"/>
      <c r="CQ303" s="35"/>
      <c r="CR303" s="35"/>
      <c r="CS303" s="35"/>
      <c r="CT303" s="35"/>
      <c r="CU303" s="35"/>
      <c r="CV303" s="35"/>
      <c r="CW303" s="35"/>
      <c r="CX303" s="35"/>
      <c r="CY303" s="35"/>
      <c r="CZ303" s="35"/>
      <c r="DA303" s="35"/>
      <c r="DB303" s="35"/>
      <c r="DC303" s="35"/>
      <c r="DD303" s="35"/>
      <c r="DE303" s="35"/>
      <c r="DF303" s="35"/>
      <c r="DG303" s="35"/>
      <c r="DH303" s="35"/>
      <c r="DI303" s="35"/>
      <c r="DJ303" s="35"/>
      <c r="DK303" s="35"/>
      <c r="DL303" s="35"/>
      <c r="DM303" s="35"/>
      <c r="DN303" s="35"/>
      <c r="DO303" s="35"/>
      <c r="DP303" s="35"/>
      <c r="DQ303" s="35"/>
      <c r="DR303" s="35"/>
      <c r="DS303" s="35"/>
      <c r="DT303" s="35"/>
      <c r="DU303" s="35"/>
      <c r="DV303" s="35"/>
      <c r="DW303" s="35"/>
      <c r="DX303" s="35"/>
      <c r="DY303" s="35"/>
      <c r="DZ303" s="35"/>
      <c r="EA303" s="35"/>
      <c r="EB303" s="35"/>
      <c r="EC303" s="35"/>
      <c r="ED303" s="35"/>
      <c r="EE303" s="35"/>
      <c r="EF303" s="35"/>
      <c r="EG303" s="35"/>
      <c r="EH303" s="35"/>
      <c r="EI303" s="35"/>
      <c r="EJ303" s="35"/>
      <c r="EK303" s="35"/>
      <c r="EL303" s="35"/>
      <c r="EM303" s="35"/>
      <c r="EN303" s="35"/>
      <c r="EO303" s="35"/>
      <c r="EP303" s="35"/>
      <c r="EQ303" s="35"/>
      <c r="ER303" s="35"/>
      <c r="ES303" s="35"/>
      <c r="ET303" s="35"/>
      <c r="EU303" s="35"/>
      <c r="EV303" s="35"/>
      <c r="EW303" s="35"/>
      <c r="EX303" s="35"/>
      <c r="EY303" s="35"/>
      <c r="EZ303" s="35"/>
      <c r="FA303" s="35"/>
      <c r="FB303" s="35"/>
      <c r="FC303" s="458">
        <f t="shared" si="35"/>
        <v>0</v>
      </c>
      <c r="FD303">
        <f t="shared" si="33"/>
        <v>0</v>
      </c>
      <c r="FE303" t="e">
        <f t="shared" si="34"/>
        <v>#N/A</v>
      </c>
      <c r="FI303" s="731" t="e">
        <f t="shared" si="36"/>
        <v>#VALUE!</v>
      </c>
      <c r="FK303" s="471" t="str">
        <f t="shared" si="37"/>
        <v xml:space="preserve"> </v>
      </c>
      <c r="FL303" s="730">
        <f t="shared" si="38"/>
        <v>0</v>
      </c>
      <c r="FM303" s="471" t="str">
        <f t="shared" si="39"/>
        <v/>
      </c>
      <c r="FN303" s="730">
        <f t="shared" si="32"/>
        <v>0</v>
      </c>
    </row>
    <row r="304" spans="1:170" s="33" customFormat="1" x14ac:dyDescent="0.2">
      <c r="A304" s="34" t="s">
        <v>354</v>
      </c>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c r="BG304" s="35"/>
      <c r="BH304" s="35"/>
      <c r="BI304" s="35"/>
      <c r="BJ304" s="35"/>
      <c r="BK304" s="35"/>
      <c r="BL304" s="35"/>
      <c r="BM304" s="35"/>
      <c r="BN304" s="35"/>
      <c r="BO304" s="35"/>
      <c r="BP304" s="35"/>
      <c r="BQ304" s="35"/>
      <c r="BR304" s="35"/>
      <c r="BS304" s="35"/>
      <c r="BT304" s="35"/>
      <c r="BU304" s="35"/>
      <c r="BV304" s="35"/>
      <c r="BW304" s="35"/>
      <c r="BX304" s="35"/>
      <c r="BY304" s="35"/>
      <c r="BZ304" s="35"/>
      <c r="CA304" s="35"/>
      <c r="CB304" s="35"/>
      <c r="CC304" s="35"/>
      <c r="CD304" s="35"/>
      <c r="CE304" s="35"/>
      <c r="CF304" s="35"/>
      <c r="CG304" s="35"/>
      <c r="CH304" s="35"/>
      <c r="CI304" s="35"/>
      <c r="CJ304" s="35"/>
      <c r="CK304" s="35"/>
      <c r="CL304" s="35"/>
      <c r="CM304" s="35"/>
      <c r="CN304" s="35"/>
      <c r="CO304" s="35"/>
      <c r="CP304" s="35"/>
      <c r="CQ304" s="35"/>
      <c r="CR304" s="35"/>
      <c r="CS304" s="35"/>
      <c r="CT304" s="35"/>
      <c r="CU304" s="35"/>
      <c r="CV304" s="35"/>
      <c r="CW304" s="35"/>
      <c r="CX304" s="35"/>
      <c r="CY304" s="35"/>
      <c r="CZ304" s="35"/>
      <c r="DA304" s="35"/>
      <c r="DB304" s="35"/>
      <c r="DC304" s="35"/>
      <c r="DD304" s="35"/>
      <c r="DE304" s="35"/>
      <c r="DF304" s="35"/>
      <c r="DG304" s="35"/>
      <c r="DH304" s="35"/>
      <c r="DI304" s="35"/>
      <c r="DJ304" s="35"/>
      <c r="DK304" s="35"/>
      <c r="DL304" s="35"/>
      <c r="DM304" s="35"/>
      <c r="DN304" s="35"/>
      <c r="DO304" s="35"/>
      <c r="DP304" s="35"/>
      <c r="DQ304" s="35"/>
      <c r="DR304" s="35"/>
      <c r="DS304" s="35"/>
      <c r="DT304" s="35"/>
      <c r="DU304" s="35"/>
      <c r="DV304" s="35"/>
      <c r="DW304" s="35"/>
      <c r="DX304" s="35"/>
      <c r="DY304" s="35"/>
      <c r="DZ304" s="35"/>
      <c r="EA304" s="35"/>
      <c r="EB304" s="35"/>
      <c r="EC304" s="35"/>
      <c r="ED304" s="35"/>
      <c r="EE304" s="35"/>
      <c r="EF304" s="35"/>
      <c r="EG304" s="35"/>
      <c r="EH304" s="35"/>
      <c r="EI304" s="35"/>
      <c r="EJ304" s="35"/>
      <c r="EK304" s="35"/>
      <c r="EL304" s="35"/>
      <c r="EM304" s="35"/>
      <c r="EN304" s="35"/>
      <c r="EO304" s="35"/>
      <c r="EP304" s="35"/>
      <c r="EQ304" s="35"/>
      <c r="ER304" s="35"/>
      <c r="ES304" s="35"/>
      <c r="ET304" s="35"/>
      <c r="EU304" s="35"/>
      <c r="EV304" s="35"/>
      <c r="EW304" s="35"/>
      <c r="EX304" s="35"/>
      <c r="EY304" s="35"/>
      <c r="EZ304" s="35"/>
      <c r="FA304" s="35"/>
      <c r="FB304" s="35"/>
      <c r="FC304" s="458">
        <f t="shared" si="35"/>
        <v>0</v>
      </c>
      <c r="FD304">
        <f t="shared" si="33"/>
        <v>0</v>
      </c>
      <c r="FE304" t="e">
        <f t="shared" si="34"/>
        <v>#N/A</v>
      </c>
      <c r="FI304" s="731" t="e">
        <f t="shared" si="36"/>
        <v>#VALUE!</v>
      </c>
      <c r="FK304" s="471" t="str">
        <f t="shared" si="37"/>
        <v xml:space="preserve"> </v>
      </c>
      <c r="FL304" s="730">
        <f t="shared" si="38"/>
        <v>0</v>
      </c>
      <c r="FM304" s="471" t="str">
        <f t="shared" si="39"/>
        <v/>
      </c>
      <c r="FN304" s="730">
        <f t="shared" ref="FN304:FN342" si="40">L304</f>
        <v>0</v>
      </c>
    </row>
    <row r="305" spans="1:170" s="33" customFormat="1" x14ac:dyDescent="0.2">
      <c r="A305" s="34" t="s">
        <v>355</v>
      </c>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G305" s="35"/>
      <c r="BH305" s="35"/>
      <c r="BI305" s="35"/>
      <c r="BJ305" s="35"/>
      <c r="BK305" s="35"/>
      <c r="BL305" s="35"/>
      <c r="BM305" s="35"/>
      <c r="BN305" s="35"/>
      <c r="BO305" s="35"/>
      <c r="BP305" s="35"/>
      <c r="BQ305" s="35"/>
      <c r="BR305" s="35"/>
      <c r="BS305" s="35"/>
      <c r="BT305" s="35"/>
      <c r="BU305" s="35"/>
      <c r="BV305" s="35"/>
      <c r="BW305" s="35"/>
      <c r="BX305" s="35"/>
      <c r="BY305" s="35"/>
      <c r="BZ305" s="35"/>
      <c r="CA305" s="35"/>
      <c r="CB305" s="35"/>
      <c r="CC305" s="35"/>
      <c r="CD305" s="35"/>
      <c r="CE305" s="35"/>
      <c r="CF305" s="35"/>
      <c r="CG305" s="35"/>
      <c r="CH305" s="35"/>
      <c r="CI305" s="35"/>
      <c r="CJ305" s="35"/>
      <c r="CK305" s="35"/>
      <c r="CL305" s="35"/>
      <c r="CM305" s="35"/>
      <c r="CN305" s="35"/>
      <c r="CO305" s="35"/>
      <c r="CP305" s="35"/>
      <c r="CQ305" s="35"/>
      <c r="CR305" s="35"/>
      <c r="CS305" s="35"/>
      <c r="CT305" s="35"/>
      <c r="CU305" s="35"/>
      <c r="CV305" s="35"/>
      <c r="CW305" s="35"/>
      <c r="CX305" s="35"/>
      <c r="CY305" s="35"/>
      <c r="CZ305" s="35"/>
      <c r="DA305" s="35"/>
      <c r="DB305" s="35"/>
      <c r="DC305" s="35"/>
      <c r="DD305" s="35"/>
      <c r="DE305" s="35"/>
      <c r="DF305" s="35"/>
      <c r="DG305" s="35"/>
      <c r="DH305" s="35"/>
      <c r="DI305" s="35"/>
      <c r="DJ305" s="35"/>
      <c r="DK305" s="35"/>
      <c r="DL305" s="35"/>
      <c r="DM305" s="35"/>
      <c r="DN305" s="35"/>
      <c r="DO305" s="35"/>
      <c r="DP305" s="35"/>
      <c r="DQ305" s="35"/>
      <c r="DR305" s="35"/>
      <c r="DS305" s="35"/>
      <c r="DT305" s="35"/>
      <c r="DU305" s="35"/>
      <c r="DV305" s="35"/>
      <c r="DW305" s="35"/>
      <c r="DX305" s="35"/>
      <c r="DY305" s="35"/>
      <c r="DZ305" s="35"/>
      <c r="EA305" s="35"/>
      <c r="EB305" s="35"/>
      <c r="EC305" s="35"/>
      <c r="ED305" s="35"/>
      <c r="EE305" s="35"/>
      <c r="EF305" s="35"/>
      <c r="EG305" s="35"/>
      <c r="EH305" s="35"/>
      <c r="EI305" s="35"/>
      <c r="EJ305" s="35"/>
      <c r="EK305" s="35"/>
      <c r="EL305" s="35"/>
      <c r="EM305" s="35"/>
      <c r="EN305" s="35"/>
      <c r="EO305" s="35"/>
      <c r="EP305" s="35"/>
      <c r="EQ305" s="35"/>
      <c r="ER305" s="35"/>
      <c r="ES305" s="35"/>
      <c r="ET305" s="35"/>
      <c r="EU305" s="35"/>
      <c r="EV305" s="35"/>
      <c r="EW305" s="35"/>
      <c r="EX305" s="35"/>
      <c r="EY305" s="35"/>
      <c r="EZ305" s="35"/>
      <c r="FA305" s="35"/>
      <c r="FB305" s="35"/>
      <c r="FC305" s="458">
        <f t="shared" si="35"/>
        <v>0</v>
      </c>
      <c r="FD305">
        <f t="shared" si="33"/>
        <v>0</v>
      </c>
      <c r="FE305" t="e">
        <f t="shared" si="34"/>
        <v>#N/A</v>
      </c>
      <c r="FI305" s="731" t="e">
        <f t="shared" si="36"/>
        <v>#VALUE!</v>
      </c>
      <c r="FK305" s="471" t="str">
        <f t="shared" si="37"/>
        <v xml:space="preserve"> </v>
      </c>
      <c r="FL305" s="730">
        <f t="shared" si="38"/>
        <v>0</v>
      </c>
      <c r="FM305" s="471" t="str">
        <f t="shared" si="39"/>
        <v/>
      </c>
      <c r="FN305" s="730">
        <f t="shared" si="40"/>
        <v>0</v>
      </c>
    </row>
    <row r="306" spans="1:170" s="33" customFormat="1" x14ac:dyDescent="0.2">
      <c r="A306" s="34" t="s">
        <v>356</v>
      </c>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s="35"/>
      <c r="BI306" s="35"/>
      <c r="BJ306" s="35"/>
      <c r="BK306" s="35"/>
      <c r="BL306" s="35"/>
      <c r="BM306" s="35"/>
      <c r="BN306" s="35"/>
      <c r="BO306" s="35"/>
      <c r="BP306" s="35"/>
      <c r="BQ306" s="35"/>
      <c r="BR306" s="35"/>
      <c r="BS306" s="35"/>
      <c r="BT306" s="35"/>
      <c r="BU306" s="35"/>
      <c r="BV306" s="35"/>
      <c r="BW306" s="35"/>
      <c r="BX306" s="35"/>
      <c r="BY306" s="35"/>
      <c r="BZ306" s="35"/>
      <c r="CA306" s="35"/>
      <c r="CB306" s="35"/>
      <c r="CC306" s="35"/>
      <c r="CD306" s="35"/>
      <c r="CE306" s="35"/>
      <c r="CF306" s="35"/>
      <c r="CG306" s="35"/>
      <c r="CH306" s="35"/>
      <c r="CI306" s="35"/>
      <c r="CJ306" s="35"/>
      <c r="CK306" s="35"/>
      <c r="CL306" s="35"/>
      <c r="CM306" s="35"/>
      <c r="CN306" s="35"/>
      <c r="CO306" s="35"/>
      <c r="CP306" s="35"/>
      <c r="CQ306" s="35"/>
      <c r="CR306" s="35"/>
      <c r="CS306" s="35"/>
      <c r="CT306" s="35"/>
      <c r="CU306" s="35"/>
      <c r="CV306" s="35"/>
      <c r="CW306" s="35"/>
      <c r="CX306" s="35"/>
      <c r="CY306" s="35"/>
      <c r="CZ306" s="35"/>
      <c r="DA306" s="35"/>
      <c r="DB306" s="35"/>
      <c r="DC306" s="35"/>
      <c r="DD306" s="35"/>
      <c r="DE306" s="35"/>
      <c r="DF306" s="35"/>
      <c r="DG306" s="35"/>
      <c r="DH306" s="35"/>
      <c r="DI306" s="35"/>
      <c r="DJ306" s="35"/>
      <c r="DK306" s="35"/>
      <c r="DL306" s="35"/>
      <c r="DM306" s="35"/>
      <c r="DN306" s="35"/>
      <c r="DO306" s="35"/>
      <c r="DP306" s="35"/>
      <c r="DQ306" s="35"/>
      <c r="DR306" s="35"/>
      <c r="DS306" s="35"/>
      <c r="DT306" s="35"/>
      <c r="DU306" s="35"/>
      <c r="DV306" s="35"/>
      <c r="DW306" s="35"/>
      <c r="DX306" s="35"/>
      <c r="DY306" s="35"/>
      <c r="DZ306" s="35"/>
      <c r="EA306" s="35"/>
      <c r="EB306" s="35"/>
      <c r="EC306" s="35"/>
      <c r="ED306" s="35"/>
      <c r="EE306" s="35"/>
      <c r="EF306" s="35"/>
      <c r="EG306" s="35"/>
      <c r="EH306" s="35"/>
      <c r="EI306" s="35"/>
      <c r="EJ306" s="35"/>
      <c r="EK306" s="35"/>
      <c r="EL306" s="35"/>
      <c r="EM306" s="35"/>
      <c r="EN306" s="35"/>
      <c r="EO306" s="35"/>
      <c r="EP306" s="35"/>
      <c r="EQ306" s="35"/>
      <c r="ER306" s="35"/>
      <c r="ES306" s="35"/>
      <c r="ET306" s="35"/>
      <c r="EU306" s="35"/>
      <c r="EV306" s="35"/>
      <c r="EW306" s="35"/>
      <c r="EX306" s="35"/>
      <c r="EY306" s="35"/>
      <c r="EZ306" s="35"/>
      <c r="FA306" s="35"/>
      <c r="FB306" s="35"/>
      <c r="FC306" s="458">
        <f t="shared" si="35"/>
        <v>0</v>
      </c>
      <c r="FD306">
        <f t="shared" si="33"/>
        <v>0</v>
      </c>
      <c r="FE306" t="e">
        <f t="shared" si="34"/>
        <v>#N/A</v>
      </c>
      <c r="FI306" s="731" t="e">
        <f t="shared" si="36"/>
        <v>#VALUE!</v>
      </c>
      <c r="FK306" s="471" t="str">
        <f t="shared" si="37"/>
        <v xml:space="preserve"> </v>
      </c>
      <c r="FL306" s="730">
        <f t="shared" si="38"/>
        <v>0</v>
      </c>
      <c r="FM306" s="471" t="str">
        <f t="shared" si="39"/>
        <v/>
      </c>
      <c r="FN306" s="730">
        <f t="shared" si="40"/>
        <v>0</v>
      </c>
    </row>
    <row r="307" spans="1:170" s="33" customFormat="1" x14ac:dyDescent="0.2">
      <c r="A307" s="34" t="s">
        <v>357</v>
      </c>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c r="BG307" s="35"/>
      <c r="BH307" s="35"/>
      <c r="BI307" s="35"/>
      <c r="BJ307" s="35"/>
      <c r="BK307" s="35"/>
      <c r="BL307" s="35"/>
      <c r="BM307" s="35"/>
      <c r="BN307" s="35"/>
      <c r="BO307" s="35"/>
      <c r="BP307" s="35"/>
      <c r="BQ307" s="35"/>
      <c r="BR307" s="35"/>
      <c r="BS307" s="35"/>
      <c r="BT307" s="35"/>
      <c r="BU307" s="35"/>
      <c r="BV307" s="35"/>
      <c r="BW307" s="35"/>
      <c r="BX307" s="35"/>
      <c r="BY307" s="35"/>
      <c r="BZ307" s="35"/>
      <c r="CA307" s="35"/>
      <c r="CB307" s="35"/>
      <c r="CC307" s="35"/>
      <c r="CD307" s="35"/>
      <c r="CE307" s="35"/>
      <c r="CF307" s="35"/>
      <c r="CG307" s="35"/>
      <c r="CH307" s="35"/>
      <c r="CI307" s="35"/>
      <c r="CJ307" s="35"/>
      <c r="CK307" s="35"/>
      <c r="CL307" s="35"/>
      <c r="CM307" s="35"/>
      <c r="CN307" s="35"/>
      <c r="CO307" s="35"/>
      <c r="CP307" s="35"/>
      <c r="CQ307" s="35"/>
      <c r="CR307" s="35"/>
      <c r="CS307" s="35"/>
      <c r="CT307" s="35"/>
      <c r="CU307" s="35"/>
      <c r="CV307" s="35"/>
      <c r="CW307" s="35"/>
      <c r="CX307" s="35"/>
      <c r="CY307" s="35"/>
      <c r="CZ307" s="35"/>
      <c r="DA307" s="35"/>
      <c r="DB307" s="35"/>
      <c r="DC307" s="35"/>
      <c r="DD307" s="35"/>
      <c r="DE307" s="35"/>
      <c r="DF307" s="35"/>
      <c r="DG307" s="35"/>
      <c r="DH307" s="35"/>
      <c r="DI307" s="35"/>
      <c r="DJ307" s="35"/>
      <c r="DK307" s="35"/>
      <c r="DL307" s="35"/>
      <c r="DM307" s="35"/>
      <c r="DN307" s="35"/>
      <c r="DO307" s="35"/>
      <c r="DP307" s="35"/>
      <c r="DQ307" s="35"/>
      <c r="DR307" s="35"/>
      <c r="DS307" s="35"/>
      <c r="DT307" s="35"/>
      <c r="DU307" s="35"/>
      <c r="DV307" s="35"/>
      <c r="DW307" s="35"/>
      <c r="DX307" s="35"/>
      <c r="DY307" s="35"/>
      <c r="DZ307" s="35"/>
      <c r="EA307" s="35"/>
      <c r="EB307" s="35"/>
      <c r="EC307" s="35"/>
      <c r="ED307" s="35"/>
      <c r="EE307" s="35"/>
      <c r="EF307" s="35"/>
      <c r="EG307" s="35"/>
      <c r="EH307" s="35"/>
      <c r="EI307" s="35"/>
      <c r="EJ307" s="35"/>
      <c r="EK307" s="35"/>
      <c r="EL307" s="35"/>
      <c r="EM307" s="35"/>
      <c r="EN307" s="35"/>
      <c r="EO307" s="35"/>
      <c r="EP307" s="35"/>
      <c r="EQ307" s="35"/>
      <c r="ER307" s="35"/>
      <c r="ES307" s="35"/>
      <c r="ET307" s="35"/>
      <c r="EU307" s="35"/>
      <c r="EV307" s="35"/>
      <c r="EW307" s="35"/>
      <c r="EX307" s="35"/>
      <c r="EY307" s="35"/>
      <c r="EZ307" s="35"/>
      <c r="FA307" s="35"/>
      <c r="FB307" s="35"/>
      <c r="FC307" s="458">
        <f t="shared" si="35"/>
        <v>0</v>
      </c>
      <c r="FD307">
        <f t="shared" si="33"/>
        <v>0</v>
      </c>
      <c r="FE307" t="e">
        <f t="shared" si="34"/>
        <v>#N/A</v>
      </c>
      <c r="FI307" s="731" t="e">
        <f t="shared" si="36"/>
        <v>#VALUE!</v>
      </c>
      <c r="FK307" s="471" t="str">
        <f t="shared" si="37"/>
        <v xml:space="preserve"> </v>
      </c>
      <c r="FL307" s="730">
        <f t="shared" si="38"/>
        <v>0</v>
      </c>
      <c r="FM307" s="471" t="str">
        <f t="shared" si="39"/>
        <v/>
      </c>
      <c r="FN307" s="730">
        <f t="shared" si="40"/>
        <v>0</v>
      </c>
    </row>
    <row r="308" spans="1:170" s="33" customFormat="1" x14ac:dyDescent="0.2">
      <c r="A308" s="34" t="s">
        <v>358</v>
      </c>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s="35"/>
      <c r="BI308" s="35"/>
      <c r="BJ308" s="35"/>
      <c r="BK308" s="35"/>
      <c r="BL308" s="35"/>
      <c r="BM308" s="35"/>
      <c r="BN308" s="35"/>
      <c r="BO308" s="35"/>
      <c r="BP308" s="35"/>
      <c r="BQ308" s="35"/>
      <c r="BR308" s="35"/>
      <c r="BS308" s="35"/>
      <c r="BT308" s="35"/>
      <c r="BU308" s="35"/>
      <c r="BV308" s="35"/>
      <c r="BW308" s="35"/>
      <c r="BX308" s="35"/>
      <c r="BY308" s="35"/>
      <c r="BZ308" s="35"/>
      <c r="CA308" s="35"/>
      <c r="CB308" s="35"/>
      <c r="CC308" s="35"/>
      <c r="CD308" s="35"/>
      <c r="CE308" s="35"/>
      <c r="CF308" s="35"/>
      <c r="CG308" s="35"/>
      <c r="CH308" s="35"/>
      <c r="CI308" s="35"/>
      <c r="CJ308" s="35"/>
      <c r="CK308" s="35"/>
      <c r="CL308" s="35"/>
      <c r="CM308" s="35"/>
      <c r="CN308" s="35"/>
      <c r="CO308" s="35"/>
      <c r="CP308" s="35"/>
      <c r="CQ308" s="35"/>
      <c r="CR308" s="35"/>
      <c r="CS308" s="35"/>
      <c r="CT308" s="35"/>
      <c r="CU308" s="35"/>
      <c r="CV308" s="35"/>
      <c r="CW308" s="35"/>
      <c r="CX308" s="35"/>
      <c r="CY308" s="35"/>
      <c r="CZ308" s="35"/>
      <c r="DA308" s="35"/>
      <c r="DB308" s="35"/>
      <c r="DC308" s="35"/>
      <c r="DD308" s="35"/>
      <c r="DE308" s="35"/>
      <c r="DF308" s="35"/>
      <c r="DG308" s="35"/>
      <c r="DH308" s="35"/>
      <c r="DI308" s="35"/>
      <c r="DJ308" s="35"/>
      <c r="DK308" s="35"/>
      <c r="DL308" s="35"/>
      <c r="DM308" s="35"/>
      <c r="DN308" s="35"/>
      <c r="DO308" s="35"/>
      <c r="DP308" s="35"/>
      <c r="DQ308" s="35"/>
      <c r="DR308" s="35"/>
      <c r="DS308" s="35"/>
      <c r="DT308" s="35"/>
      <c r="DU308" s="35"/>
      <c r="DV308" s="35"/>
      <c r="DW308" s="35"/>
      <c r="DX308" s="35"/>
      <c r="DY308" s="35"/>
      <c r="DZ308" s="35"/>
      <c r="EA308" s="35"/>
      <c r="EB308" s="35"/>
      <c r="EC308" s="35"/>
      <c r="ED308" s="35"/>
      <c r="EE308" s="35"/>
      <c r="EF308" s="35"/>
      <c r="EG308" s="35"/>
      <c r="EH308" s="35"/>
      <c r="EI308" s="35"/>
      <c r="EJ308" s="35"/>
      <c r="EK308" s="35"/>
      <c r="EL308" s="35"/>
      <c r="EM308" s="35"/>
      <c r="EN308" s="35"/>
      <c r="EO308" s="35"/>
      <c r="EP308" s="35"/>
      <c r="EQ308" s="35"/>
      <c r="ER308" s="35"/>
      <c r="ES308" s="35"/>
      <c r="ET308" s="35"/>
      <c r="EU308" s="35"/>
      <c r="EV308" s="35"/>
      <c r="EW308" s="35"/>
      <c r="EX308" s="35"/>
      <c r="EY308" s="35"/>
      <c r="EZ308" s="35"/>
      <c r="FA308" s="35"/>
      <c r="FB308" s="35"/>
      <c r="FC308" s="458">
        <f t="shared" si="35"/>
        <v>0</v>
      </c>
      <c r="FD308">
        <f t="shared" si="33"/>
        <v>0</v>
      </c>
      <c r="FE308" t="e">
        <f t="shared" si="34"/>
        <v>#N/A</v>
      </c>
      <c r="FI308" s="731" t="e">
        <f t="shared" si="36"/>
        <v>#VALUE!</v>
      </c>
      <c r="FK308" s="471" t="str">
        <f t="shared" si="37"/>
        <v xml:space="preserve"> </v>
      </c>
      <c r="FL308" s="730">
        <f t="shared" si="38"/>
        <v>0</v>
      </c>
      <c r="FM308" s="471" t="str">
        <f t="shared" si="39"/>
        <v/>
      </c>
      <c r="FN308" s="730">
        <f t="shared" si="40"/>
        <v>0</v>
      </c>
    </row>
    <row r="309" spans="1:170" s="33" customFormat="1" x14ac:dyDescent="0.2">
      <c r="A309" s="34" t="s">
        <v>359</v>
      </c>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35"/>
      <c r="BI309" s="35"/>
      <c r="BJ309" s="35"/>
      <c r="BK309" s="35"/>
      <c r="BL309" s="35"/>
      <c r="BM309" s="35"/>
      <c r="BN309" s="35"/>
      <c r="BO309" s="35"/>
      <c r="BP309" s="35"/>
      <c r="BQ309" s="35"/>
      <c r="BR309" s="35"/>
      <c r="BS309" s="35"/>
      <c r="BT309" s="35"/>
      <c r="BU309" s="35"/>
      <c r="BV309" s="35"/>
      <c r="BW309" s="35"/>
      <c r="BX309" s="35"/>
      <c r="BY309" s="35"/>
      <c r="BZ309" s="35"/>
      <c r="CA309" s="35"/>
      <c r="CB309" s="35"/>
      <c r="CC309" s="35"/>
      <c r="CD309" s="35"/>
      <c r="CE309" s="35"/>
      <c r="CF309" s="35"/>
      <c r="CG309" s="35"/>
      <c r="CH309" s="35"/>
      <c r="CI309" s="35"/>
      <c r="CJ309" s="35"/>
      <c r="CK309" s="35"/>
      <c r="CL309" s="35"/>
      <c r="CM309" s="35"/>
      <c r="CN309" s="35"/>
      <c r="CO309" s="35"/>
      <c r="CP309" s="35"/>
      <c r="CQ309" s="35"/>
      <c r="CR309" s="35"/>
      <c r="CS309" s="35"/>
      <c r="CT309" s="35"/>
      <c r="CU309" s="35"/>
      <c r="CV309" s="35"/>
      <c r="CW309" s="35"/>
      <c r="CX309" s="35"/>
      <c r="CY309" s="35"/>
      <c r="CZ309" s="35"/>
      <c r="DA309" s="35"/>
      <c r="DB309" s="35"/>
      <c r="DC309" s="35"/>
      <c r="DD309" s="35"/>
      <c r="DE309" s="35"/>
      <c r="DF309" s="35"/>
      <c r="DG309" s="35"/>
      <c r="DH309" s="35"/>
      <c r="DI309" s="35"/>
      <c r="DJ309" s="35"/>
      <c r="DK309" s="35"/>
      <c r="DL309" s="35"/>
      <c r="DM309" s="35"/>
      <c r="DN309" s="35"/>
      <c r="DO309" s="35"/>
      <c r="DP309" s="35"/>
      <c r="DQ309" s="35"/>
      <c r="DR309" s="35"/>
      <c r="DS309" s="35"/>
      <c r="DT309" s="35"/>
      <c r="DU309" s="35"/>
      <c r="DV309" s="35"/>
      <c r="DW309" s="35"/>
      <c r="DX309" s="35"/>
      <c r="DY309" s="35"/>
      <c r="DZ309" s="35"/>
      <c r="EA309" s="35"/>
      <c r="EB309" s="35"/>
      <c r="EC309" s="35"/>
      <c r="ED309" s="35"/>
      <c r="EE309" s="35"/>
      <c r="EF309" s="35"/>
      <c r="EG309" s="35"/>
      <c r="EH309" s="35"/>
      <c r="EI309" s="35"/>
      <c r="EJ309" s="35"/>
      <c r="EK309" s="35"/>
      <c r="EL309" s="35"/>
      <c r="EM309" s="35"/>
      <c r="EN309" s="35"/>
      <c r="EO309" s="35"/>
      <c r="EP309" s="35"/>
      <c r="EQ309" s="35"/>
      <c r="ER309" s="35"/>
      <c r="ES309" s="35"/>
      <c r="ET309" s="35"/>
      <c r="EU309" s="35"/>
      <c r="EV309" s="35"/>
      <c r="EW309" s="35"/>
      <c r="EX309" s="35"/>
      <c r="EY309" s="35"/>
      <c r="EZ309" s="35"/>
      <c r="FA309" s="35"/>
      <c r="FB309" s="35"/>
      <c r="FC309" s="458">
        <f t="shared" si="35"/>
        <v>0</v>
      </c>
      <c r="FD309">
        <f t="shared" si="33"/>
        <v>0</v>
      </c>
      <c r="FE309" t="e">
        <f t="shared" si="34"/>
        <v>#N/A</v>
      </c>
      <c r="FI309" s="731" t="e">
        <f t="shared" si="36"/>
        <v>#VALUE!</v>
      </c>
      <c r="FK309" s="471" t="str">
        <f t="shared" si="37"/>
        <v xml:space="preserve"> </v>
      </c>
      <c r="FL309" s="730">
        <f t="shared" si="38"/>
        <v>0</v>
      </c>
      <c r="FM309" s="471" t="str">
        <f t="shared" si="39"/>
        <v/>
      </c>
      <c r="FN309" s="730">
        <f t="shared" si="40"/>
        <v>0</v>
      </c>
    </row>
    <row r="310" spans="1:170" s="33" customFormat="1" x14ac:dyDescent="0.2">
      <c r="A310" s="34" t="s">
        <v>360</v>
      </c>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c r="BG310" s="35"/>
      <c r="BH310" s="35"/>
      <c r="BI310" s="35"/>
      <c r="BJ310" s="35"/>
      <c r="BK310" s="35"/>
      <c r="BL310" s="35"/>
      <c r="BM310" s="35"/>
      <c r="BN310" s="35"/>
      <c r="BO310" s="35"/>
      <c r="BP310" s="35"/>
      <c r="BQ310" s="35"/>
      <c r="BR310" s="35"/>
      <c r="BS310" s="35"/>
      <c r="BT310" s="35"/>
      <c r="BU310" s="35"/>
      <c r="BV310" s="35"/>
      <c r="BW310" s="35"/>
      <c r="BX310" s="35"/>
      <c r="BY310" s="35"/>
      <c r="BZ310" s="35"/>
      <c r="CA310" s="35"/>
      <c r="CB310" s="35"/>
      <c r="CC310" s="35"/>
      <c r="CD310" s="35"/>
      <c r="CE310" s="35"/>
      <c r="CF310" s="35"/>
      <c r="CG310" s="35"/>
      <c r="CH310" s="35"/>
      <c r="CI310" s="35"/>
      <c r="CJ310" s="35"/>
      <c r="CK310" s="35"/>
      <c r="CL310" s="35"/>
      <c r="CM310" s="35"/>
      <c r="CN310" s="35"/>
      <c r="CO310" s="35"/>
      <c r="CP310" s="35"/>
      <c r="CQ310" s="35"/>
      <c r="CR310" s="35"/>
      <c r="CS310" s="35"/>
      <c r="CT310" s="35"/>
      <c r="CU310" s="35"/>
      <c r="CV310" s="35"/>
      <c r="CW310" s="35"/>
      <c r="CX310" s="35"/>
      <c r="CY310" s="35"/>
      <c r="CZ310" s="35"/>
      <c r="DA310" s="35"/>
      <c r="DB310" s="35"/>
      <c r="DC310" s="35"/>
      <c r="DD310" s="35"/>
      <c r="DE310" s="35"/>
      <c r="DF310" s="35"/>
      <c r="DG310" s="35"/>
      <c r="DH310" s="35"/>
      <c r="DI310" s="35"/>
      <c r="DJ310" s="35"/>
      <c r="DK310" s="35"/>
      <c r="DL310" s="35"/>
      <c r="DM310" s="35"/>
      <c r="DN310" s="35"/>
      <c r="DO310" s="35"/>
      <c r="DP310" s="35"/>
      <c r="DQ310" s="35"/>
      <c r="DR310" s="35"/>
      <c r="DS310" s="35"/>
      <c r="DT310" s="35"/>
      <c r="DU310" s="35"/>
      <c r="DV310" s="35"/>
      <c r="DW310" s="35"/>
      <c r="DX310" s="35"/>
      <c r="DY310" s="35"/>
      <c r="DZ310" s="35"/>
      <c r="EA310" s="35"/>
      <c r="EB310" s="35"/>
      <c r="EC310" s="35"/>
      <c r="ED310" s="35"/>
      <c r="EE310" s="35"/>
      <c r="EF310" s="35"/>
      <c r="EG310" s="35"/>
      <c r="EH310" s="35"/>
      <c r="EI310" s="35"/>
      <c r="EJ310" s="35"/>
      <c r="EK310" s="35"/>
      <c r="EL310" s="35"/>
      <c r="EM310" s="35"/>
      <c r="EN310" s="35"/>
      <c r="EO310" s="35"/>
      <c r="EP310" s="35"/>
      <c r="EQ310" s="35"/>
      <c r="ER310" s="35"/>
      <c r="ES310" s="35"/>
      <c r="ET310" s="35"/>
      <c r="EU310" s="35"/>
      <c r="EV310" s="35"/>
      <c r="EW310" s="35"/>
      <c r="EX310" s="35"/>
      <c r="EY310" s="35"/>
      <c r="EZ310" s="35"/>
      <c r="FA310" s="35"/>
      <c r="FB310" s="35"/>
      <c r="FC310" s="458">
        <f t="shared" si="35"/>
        <v>0</v>
      </c>
      <c r="FD310">
        <f t="shared" si="33"/>
        <v>0</v>
      </c>
      <c r="FE310" t="e">
        <f t="shared" si="34"/>
        <v>#N/A</v>
      </c>
      <c r="FI310" s="731" t="e">
        <f t="shared" si="36"/>
        <v>#VALUE!</v>
      </c>
      <c r="FK310" s="471" t="str">
        <f t="shared" si="37"/>
        <v xml:space="preserve"> </v>
      </c>
      <c r="FL310" s="730">
        <f t="shared" si="38"/>
        <v>0</v>
      </c>
      <c r="FM310" s="471" t="str">
        <f t="shared" si="39"/>
        <v/>
      </c>
      <c r="FN310" s="730">
        <f t="shared" si="40"/>
        <v>0</v>
      </c>
    </row>
    <row r="311" spans="1:170" s="33" customFormat="1" x14ac:dyDescent="0.2">
      <c r="A311" s="34" t="s">
        <v>361</v>
      </c>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c r="BI311" s="35"/>
      <c r="BJ311" s="35"/>
      <c r="BK311" s="35"/>
      <c r="BL311" s="35"/>
      <c r="BM311" s="35"/>
      <c r="BN311" s="35"/>
      <c r="BO311" s="35"/>
      <c r="BP311" s="35"/>
      <c r="BQ311" s="35"/>
      <c r="BR311" s="35"/>
      <c r="BS311" s="35"/>
      <c r="BT311" s="35"/>
      <c r="BU311" s="35"/>
      <c r="BV311" s="35"/>
      <c r="BW311" s="35"/>
      <c r="BX311" s="35"/>
      <c r="BY311" s="35"/>
      <c r="BZ311" s="35"/>
      <c r="CA311" s="35"/>
      <c r="CB311" s="35"/>
      <c r="CC311" s="35"/>
      <c r="CD311" s="35"/>
      <c r="CE311" s="35"/>
      <c r="CF311" s="35"/>
      <c r="CG311" s="35"/>
      <c r="CH311" s="35"/>
      <c r="CI311" s="35"/>
      <c r="CJ311" s="35"/>
      <c r="CK311" s="35"/>
      <c r="CL311" s="35"/>
      <c r="CM311" s="35"/>
      <c r="CN311" s="35"/>
      <c r="CO311" s="35"/>
      <c r="CP311" s="35"/>
      <c r="CQ311" s="35"/>
      <c r="CR311" s="35"/>
      <c r="CS311" s="35"/>
      <c r="CT311" s="35"/>
      <c r="CU311" s="35"/>
      <c r="CV311" s="35"/>
      <c r="CW311" s="35"/>
      <c r="CX311" s="35"/>
      <c r="CY311" s="35"/>
      <c r="CZ311" s="35"/>
      <c r="DA311" s="35"/>
      <c r="DB311" s="35"/>
      <c r="DC311" s="35"/>
      <c r="DD311" s="35"/>
      <c r="DE311" s="35"/>
      <c r="DF311" s="35"/>
      <c r="DG311" s="35"/>
      <c r="DH311" s="35"/>
      <c r="DI311" s="35"/>
      <c r="DJ311" s="35"/>
      <c r="DK311" s="35"/>
      <c r="DL311" s="35"/>
      <c r="DM311" s="35"/>
      <c r="DN311" s="35"/>
      <c r="DO311" s="35"/>
      <c r="DP311" s="35"/>
      <c r="DQ311" s="35"/>
      <c r="DR311" s="35"/>
      <c r="DS311" s="35"/>
      <c r="DT311" s="35"/>
      <c r="DU311" s="35"/>
      <c r="DV311" s="35"/>
      <c r="DW311" s="35"/>
      <c r="DX311" s="35"/>
      <c r="DY311" s="35"/>
      <c r="DZ311" s="35"/>
      <c r="EA311" s="35"/>
      <c r="EB311" s="35"/>
      <c r="EC311" s="35"/>
      <c r="ED311" s="35"/>
      <c r="EE311" s="35"/>
      <c r="EF311" s="35"/>
      <c r="EG311" s="35"/>
      <c r="EH311" s="35"/>
      <c r="EI311" s="35"/>
      <c r="EJ311" s="35"/>
      <c r="EK311" s="35"/>
      <c r="EL311" s="35"/>
      <c r="EM311" s="35"/>
      <c r="EN311" s="35"/>
      <c r="EO311" s="35"/>
      <c r="EP311" s="35"/>
      <c r="EQ311" s="35"/>
      <c r="ER311" s="35"/>
      <c r="ES311" s="35"/>
      <c r="ET311" s="35"/>
      <c r="EU311" s="35"/>
      <c r="EV311" s="35"/>
      <c r="EW311" s="35"/>
      <c r="EX311" s="35"/>
      <c r="EY311" s="35"/>
      <c r="EZ311" s="35"/>
      <c r="FA311" s="35"/>
      <c r="FB311" s="35"/>
      <c r="FC311" s="458">
        <f t="shared" si="35"/>
        <v>0</v>
      </c>
      <c r="FD311">
        <f t="shared" si="33"/>
        <v>0</v>
      </c>
      <c r="FE311" t="e">
        <f t="shared" si="34"/>
        <v>#N/A</v>
      </c>
      <c r="FI311" s="731" t="e">
        <f t="shared" si="36"/>
        <v>#VALUE!</v>
      </c>
      <c r="FK311" s="471" t="str">
        <f t="shared" si="37"/>
        <v xml:space="preserve"> </v>
      </c>
      <c r="FL311" s="730">
        <f t="shared" si="38"/>
        <v>0</v>
      </c>
      <c r="FM311" s="471" t="str">
        <f t="shared" si="39"/>
        <v/>
      </c>
      <c r="FN311" s="730">
        <f t="shared" si="40"/>
        <v>0</v>
      </c>
    </row>
    <row r="312" spans="1:170" s="33" customFormat="1" x14ac:dyDescent="0.2">
      <c r="A312" s="34" t="s">
        <v>362</v>
      </c>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c r="BG312" s="35"/>
      <c r="BH312" s="35"/>
      <c r="BI312" s="35"/>
      <c r="BJ312" s="35"/>
      <c r="BK312" s="35"/>
      <c r="BL312" s="35"/>
      <c r="BM312" s="35"/>
      <c r="BN312" s="35"/>
      <c r="BO312" s="35"/>
      <c r="BP312" s="35"/>
      <c r="BQ312" s="35"/>
      <c r="BR312" s="35"/>
      <c r="BS312" s="35"/>
      <c r="BT312" s="35"/>
      <c r="BU312" s="35"/>
      <c r="BV312" s="35"/>
      <c r="BW312" s="35"/>
      <c r="BX312" s="35"/>
      <c r="BY312" s="35"/>
      <c r="BZ312" s="35"/>
      <c r="CA312" s="35"/>
      <c r="CB312" s="35"/>
      <c r="CC312" s="35"/>
      <c r="CD312" s="35"/>
      <c r="CE312" s="35"/>
      <c r="CF312" s="35"/>
      <c r="CG312" s="35"/>
      <c r="CH312" s="35"/>
      <c r="CI312" s="35"/>
      <c r="CJ312" s="35"/>
      <c r="CK312" s="35"/>
      <c r="CL312" s="35"/>
      <c r="CM312" s="35"/>
      <c r="CN312" s="35"/>
      <c r="CO312" s="35"/>
      <c r="CP312" s="35"/>
      <c r="CQ312" s="35"/>
      <c r="CR312" s="35"/>
      <c r="CS312" s="35"/>
      <c r="CT312" s="35"/>
      <c r="CU312" s="35"/>
      <c r="CV312" s="35"/>
      <c r="CW312" s="35"/>
      <c r="CX312" s="35"/>
      <c r="CY312" s="35"/>
      <c r="CZ312" s="35"/>
      <c r="DA312" s="35"/>
      <c r="DB312" s="35"/>
      <c r="DC312" s="35"/>
      <c r="DD312" s="35"/>
      <c r="DE312" s="35"/>
      <c r="DF312" s="35"/>
      <c r="DG312" s="35"/>
      <c r="DH312" s="35"/>
      <c r="DI312" s="35"/>
      <c r="DJ312" s="35"/>
      <c r="DK312" s="35"/>
      <c r="DL312" s="35"/>
      <c r="DM312" s="35"/>
      <c r="DN312" s="35"/>
      <c r="DO312" s="35"/>
      <c r="DP312" s="35"/>
      <c r="DQ312" s="35"/>
      <c r="DR312" s="35"/>
      <c r="DS312" s="35"/>
      <c r="DT312" s="35"/>
      <c r="DU312" s="35"/>
      <c r="DV312" s="35"/>
      <c r="DW312" s="35"/>
      <c r="DX312" s="35"/>
      <c r="DY312" s="35"/>
      <c r="DZ312" s="35"/>
      <c r="EA312" s="35"/>
      <c r="EB312" s="35"/>
      <c r="EC312" s="35"/>
      <c r="ED312" s="35"/>
      <c r="EE312" s="35"/>
      <c r="EF312" s="35"/>
      <c r="EG312" s="35"/>
      <c r="EH312" s="35"/>
      <c r="EI312" s="35"/>
      <c r="EJ312" s="35"/>
      <c r="EK312" s="35"/>
      <c r="EL312" s="35"/>
      <c r="EM312" s="35"/>
      <c r="EN312" s="35"/>
      <c r="EO312" s="35"/>
      <c r="EP312" s="35"/>
      <c r="EQ312" s="35"/>
      <c r="ER312" s="35"/>
      <c r="ES312" s="35"/>
      <c r="ET312" s="35"/>
      <c r="EU312" s="35"/>
      <c r="EV312" s="35"/>
      <c r="EW312" s="35"/>
      <c r="EX312" s="35"/>
      <c r="EY312" s="35"/>
      <c r="EZ312" s="35"/>
      <c r="FA312" s="35"/>
      <c r="FB312" s="35"/>
      <c r="FC312" s="458">
        <f t="shared" si="35"/>
        <v>0</v>
      </c>
      <c r="FD312">
        <f t="shared" si="33"/>
        <v>0</v>
      </c>
      <c r="FE312" t="e">
        <f t="shared" si="34"/>
        <v>#N/A</v>
      </c>
      <c r="FI312" s="731" t="e">
        <f t="shared" si="36"/>
        <v>#VALUE!</v>
      </c>
      <c r="FK312" s="471" t="str">
        <f t="shared" si="37"/>
        <v xml:space="preserve"> </v>
      </c>
      <c r="FL312" s="730">
        <f t="shared" si="38"/>
        <v>0</v>
      </c>
      <c r="FM312" s="471" t="str">
        <f t="shared" si="39"/>
        <v/>
      </c>
      <c r="FN312" s="730">
        <f t="shared" si="40"/>
        <v>0</v>
      </c>
    </row>
    <row r="313" spans="1:170" s="33" customFormat="1" x14ac:dyDescent="0.2">
      <c r="A313" s="34" t="s">
        <v>363</v>
      </c>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c r="BG313" s="35"/>
      <c r="BH313" s="35"/>
      <c r="BI313" s="35"/>
      <c r="BJ313" s="35"/>
      <c r="BK313" s="35"/>
      <c r="BL313" s="35"/>
      <c r="BM313" s="35"/>
      <c r="BN313" s="35"/>
      <c r="BO313" s="35"/>
      <c r="BP313" s="35"/>
      <c r="BQ313" s="35"/>
      <c r="BR313" s="35"/>
      <c r="BS313" s="35"/>
      <c r="BT313" s="35"/>
      <c r="BU313" s="35"/>
      <c r="BV313" s="35"/>
      <c r="BW313" s="35"/>
      <c r="BX313" s="35"/>
      <c r="BY313" s="35"/>
      <c r="BZ313" s="35"/>
      <c r="CA313" s="35"/>
      <c r="CB313" s="35"/>
      <c r="CC313" s="35"/>
      <c r="CD313" s="35"/>
      <c r="CE313" s="35"/>
      <c r="CF313" s="35"/>
      <c r="CG313" s="35"/>
      <c r="CH313" s="35"/>
      <c r="CI313" s="35"/>
      <c r="CJ313" s="35"/>
      <c r="CK313" s="35"/>
      <c r="CL313" s="35"/>
      <c r="CM313" s="35"/>
      <c r="CN313" s="35"/>
      <c r="CO313" s="35"/>
      <c r="CP313" s="35"/>
      <c r="CQ313" s="35"/>
      <c r="CR313" s="35"/>
      <c r="CS313" s="35"/>
      <c r="CT313" s="35"/>
      <c r="CU313" s="35"/>
      <c r="CV313" s="35"/>
      <c r="CW313" s="35"/>
      <c r="CX313" s="35"/>
      <c r="CY313" s="35"/>
      <c r="CZ313" s="35"/>
      <c r="DA313" s="35"/>
      <c r="DB313" s="35"/>
      <c r="DC313" s="35"/>
      <c r="DD313" s="35"/>
      <c r="DE313" s="35"/>
      <c r="DF313" s="35"/>
      <c r="DG313" s="35"/>
      <c r="DH313" s="35"/>
      <c r="DI313" s="35"/>
      <c r="DJ313" s="35"/>
      <c r="DK313" s="35"/>
      <c r="DL313" s="35"/>
      <c r="DM313" s="35"/>
      <c r="DN313" s="35"/>
      <c r="DO313" s="35"/>
      <c r="DP313" s="35"/>
      <c r="DQ313" s="35"/>
      <c r="DR313" s="35"/>
      <c r="DS313" s="35"/>
      <c r="DT313" s="35"/>
      <c r="DU313" s="35"/>
      <c r="DV313" s="35"/>
      <c r="DW313" s="35"/>
      <c r="DX313" s="35"/>
      <c r="DY313" s="35"/>
      <c r="DZ313" s="35"/>
      <c r="EA313" s="35"/>
      <c r="EB313" s="35"/>
      <c r="EC313" s="35"/>
      <c r="ED313" s="35"/>
      <c r="EE313" s="35"/>
      <c r="EF313" s="35"/>
      <c r="EG313" s="35"/>
      <c r="EH313" s="35"/>
      <c r="EI313" s="35"/>
      <c r="EJ313" s="35"/>
      <c r="EK313" s="35"/>
      <c r="EL313" s="35"/>
      <c r="EM313" s="35"/>
      <c r="EN313" s="35"/>
      <c r="EO313" s="35"/>
      <c r="EP313" s="35"/>
      <c r="EQ313" s="35"/>
      <c r="ER313" s="35"/>
      <c r="ES313" s="35"/>
      <c r="ET313" s="35"/>
      <c r="EU313" s="35"/>
      <c r="EV313" s="35"/>
      <c r="EW313" s="35"/>
      <c r="EX313" s="35"/>
      <c r="EY313" s="35"/>
      <c r="EZ313" s="35"/>
      <c r="FA313" s="35"/>
      <c r="FB313" s="35"/>
      <c r="FC313" s="458">
        <f t="shared" si="35"/>
        <v>0</v>
      </c>
      <c r="FD313">
        <f t="shared" si="33"/>
        <v>0</v>
      </c>
      <c r="FE313" t="e">
        <f t="shared" si="34"/>
        <v>#N/A</v>
      </c>
      <c r="FI313" s="731" t="e">
        <f t="shared" si="36"/>
        <v>#VALUE!</v>
      </c>
      <c r="FK313" s="471" t="str">
        <f t="shared" si="37"/>
        <v xml:space="preserve"> </v>
      </c>
      <c r="FL313" s="730">
        <f t="shared" si="38"/>
        <v>0</v>
      </c>
      <c r="FM313" s="471" t="str">
        <f t="shared" si="39"/>
        <v/>
      </c>
      <c r="FN313" s="730">
        <f t="shared" si="40"/>
        <v>0</v>
      </c>
    </row>
    <row r="314" spans="1:170" s="33" customFormat="1" x14ac:dyDescent="0.2">
      <c r="A314" s="34" t="s">
        <v>364</v>
      </c>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c r="BG314" s="35"/>
      <c r="BH314" s="35"/>
      <c r="BI314" s="35"/>
      <c r="BJ314" s="35"/>
      <c r="BK314" s="35"/>
      <c r="BL314" s="35"/>
      <c r="BM314" s="35"/>
      <c r="BN314" s="35"/>
      <c r="BO314" s="35"/>
      <c r="BP314" s="35"/>
      <c r="BQ314" s="35"/>
      <c r="BR314" s="35"/>
      <c r="BS314" s="35"/>
      <c r="BT314" s="35"/>
      <c r="BU314" s="35"/>
      <c r="BV314" s="35"/>
      <c r="BW314" s="35"/>
      <c r="BX314" s="35"/>
      <c r="BY314" s="35"/>
      <c r="BZ314" s="35"/>
      <c r="CA314" s="35"/>
      <c r="CB314" s="35"/>
      <c r="CC314" s="35"/>
      <c r="CD314" s="35"/>
      <c r="CE314" s="35"/>
      <c r="CF314" s="35"/>
      <c r="CG314" s="35"/>
      <c r="CH314" s="35"/>
      <c r="CI314" s="35"/>
      <c r="CJ314" s="35"/>
      <c r="CK314" s="35"/>
      <c r="CL314" s="35"/>
      <c r="CM314" s="35"/>
      <c r="CN314" s="35"/>
      <c r="CO314" s="35"/>
      <c r="CP314" s="35"/>
      <c r="CQ314" s="35"/>
      <c r="CR314" s="35"/>
      <c r="CS314" s="35"/>
      <c r="CT314" s="35"/>
      <c r="CU314" s="35"/>
      <c r="CV314" s="35"/>
      <c r="CW314" s="35"/>
      <c r="CX314" s="35"/>
      <c r="CY314" s="35"/>
      <c r="CZ314" s="35"/>
      <c r="DA314" s="35"/>
      <c r="DB314" s="35"/>
      <c r="DC314" s="35"/>
      <c r="DD314" s="35"/>
      <c r="DE314" s="35"/>
      <c r="DF314" s="35"/>
      <c r="DG314" s="35"/>
      <c r="DH314" s="35"/>
      <c r="DI314" s="35"/>
      <c r="DJ314" s="35"/>
      <c r="DK314" s="35"/>
      <c r="DL314" s="35"/>
      <c r="DM314" s="35"/>
      <c r="DN314" s="35"/>
      <c r="DO314" s="35"/>
      <c r="DP314" s="35"/>
      <c r="DQ314" s="35"/>
      <c r="DR314" s="35"/>
      <c r="DS314" s="35"/>
      <c r="DT314" s="35"/>
      <c r="DU314" s="35"/>
      <c r="DV314" s="35"/>
      <c r="DW314" s="35"/>
      <c r="DX314" s="35"/>
      <c r="DY314" s="35"/>
      <c r="DZ314" s="35"/>
      <c r="EA314" s="35"/>
      <c r="EB314" s="35"/>
      <c r="EC314" s="35"/>
      <c r="ED314" s="35"/>
      <c r="EE314" s="35"/>
      <c r="EF314" s="35"/>
      <c r="EG314" s="35"/>
      <c r="EH314" s="35"/>
      <c r="EI314" s="35"/>
      <c r="EJ314" s="35"/>
      <c r="EK314" s="35"/>
      <c r="EL314" s="35"/>
      <c r="EM314" s="35"/>
      <c r="EN314" s="35"/>
      <c r="EO314" s="35"/>
      <c r="EP314" s="35"/>
      <c r="EQ314" s="35"/>
      <c r="ER314" s="35"/>
      <c r="ES314" s="35"/>
      <c r="ET314" s="35"/>
      <c r="EU314" s="35"/>
      <c r="EV314" s="35"/>
      <c r="EW314" s="35"/>
      <c r="EX314" s="35"/>
      <c r="EY314" s="35"/>
      <c r="EZ314" s="35"/>
      <c r="FA314" s="35"/>
      <c r="FB314" s="35"/>
      <c r="FC314" s="458">
        <f t="shared" si="35"/>
        <v>0</v>
      </c>
      <c r="FD314">
        <f t="shared" si="33"/>
        <v>0</v>
      </c>
      <c r="FE314" t="e">
        <f t="shared" si="34"/>
        <v>#N/A</v>
      </c>
      <c r="FI314" s="731" t="e">
        <f t="shared" si="36"/>
        <v>#VALUE!</v>
      </c>
      <c r="FK314" s="471" t="str">
        <f t="shared" si="37"/>
        <v xml:space="preserve"> </v>
      </c>
      <c r="FL314" s="730">
        <f t="shared" si="38"/>
        <v>0</v>
      </c>
      <c r="FM314" s="471" t="str">
        <f t="shared" si="39"/>
        <v/>
      </c>
      <c r="FN314" s="730">
        <f t="shared" si="40"/>
        <v>0</v>
      </c>
    </row>
    <row r="315" spans="1:170" s="33" customFormat="1" x14ac:dyDescent="0.2">
      <c r="A315" s="34" t="s">
        <v>365</v>
      </c>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c r="BG315" s="35"/>
      <c r="BH315" s="35"/>
      <c r="BI315" s="35"/>
      <c r="BJ315" s="35"/>
      <c r="BK315" s="35"/>
      <c r="BL315" s="35"/>
      <c r="BM315" s="35"/>
      <c r="BN315" s="35"/>
      <c r="BO315" s="35"/>
      <c r="BP315" s="35"/>
      <c r="BQ315" s="35"/>
      <c r="BR315" s="35"/>
      <c r="BS315" s="35"/>
      <c r="BT315" s="35"/>
      <c r="BU315" s="35"/>
      <c r="BV315" s="35"/>
      <c r="BW315" s="35"/>
      <c r="BX315" s="35"/>
      <c r="BY315" s="35"/>
      <c r="BZ315" s="35"/>
      <c r="CA315" s="35"/>
      <c r="CB315" s="35"/>
      <c r="CC315" s="35"/>
      <c r="CD315" s="35"/>
      <c r="CE315" s="35"/>
      <c r="CF315" s="35"/>
      <c r="CG315" s="35"/>
      <c r="CH315" s="35"/>
      <c r="CI315" s="35"/>
      <c r="CJ315" s="35"/>
      <c r="CK315" s="35"/>
      <c r="CL315" s="35"/>
      <c r="CM315" s="35"/>
      <c r="CN315" s="35"/>
      <c r="CO315" s="35"/>
      <c r="CP315" s="35"/>
      <c r="CQ315" s="35"/>
      <c r="CR315" s="35"/>
      <c r="CS315" s="35"/>
      <c r="CT315" s="35"/>
      <c r="CU315" s="35"/>
      <c r="CV315" s="35"/>
      <c r="CW315" s="35"/>
      <c r="CX315" s="35"/>
      <c r="CY315" s="35"/>
      <c r="CZ315" s="35"/>
      <c r="DA315" s="35"/>
      <c r="DB315" s="35"/>
      <c r="DC315" s="35"/>
      <c r="DD315" s="35"/>
      <c r="DE315" s="35"/>
      <c r="DF315" s="35"/>
      <c r="DG315" s="35"/>
      <c r="DH315" s="35"/>
      <c r="DI315" s="35"/>
      <c r="DJ315" s="35"/>
      <c r="DK315" s="35"/>
      <c r="DL315" s="35"/>
      <c r="DM315" s="35"/>
      <c r="DN315" s="35"/>
      <c r="DO315" s="35"/>
      <c r="DP315" s="35"/>
      <c r="DQ315" s="35"/>
      <c r="DR315" s="35"/>
      <c r="DS315" s="35"/>
      <c r="DT315" s="35"/>
      <c r="DU315" s="35"/>
      <c r="DV315" s="35"/>
      <c r="DW315" s="35"/>
      <c r="DX315" s="35"/>
      <c r="DY315" s="35"/>
      <c r="DZ315" s="35"/>
      <c r="EA315" s="35"/>
      <c r="EB315" s="35"/>
      <c r="EC315" s="35"/>
      <c r="ED315" s="35"/>
      <c r="EE315" s="35"/>
      <c r="EF315" s="35"/>
      <c r="EG315" s="35"/>
      <c r="EH315" s="35"/>
      <c r="EI315" s="35"/>
      <c r="EJ315" s="35"/>
      <c r="EK315" s="35"/>
      <c r="EL315" s="35"/>
      <c r="EM315" s="35"/>
      <c r="EN315" s="35"/>
      <c r="EO315" s="35"/>
      <c r="EP315" s="35"/>
      <c r="EQ315" s="35"/>
      <c r="ER315" s="35"/>
      <c r="ES315" s="35"/>
      <c r="ET315" s="35"/>
      <c r="EU315" s="35"/>
      <c r="EV315" s="35"/>
      <c r="EW315" s="35"/>
      <c r="EX315" s="35"/>
      <c r="EY315" s="35"/>
      <c r="EZ315" s="35"/>
      <c r="FA315" s="35"/>
      <c r="FB315" s="35"/>
      <c r="FC315" s="458">
        <f t="shared" si="35"/>
        <v>0</v>
      </c>
      <c r="FD315">
        <f t="shared" si="33"/>
        <v>0</v>
      </c>
      <c r="FE315" t="e">
        <f t="shared" si="34"/>
        <v>#N/A</v>
      </c>
      <c r="FI315" s="731" t="e">
        <f t="shared" si="36"/>
        <v>#VALUE!</v>
      </c>
      <c r="FK315" s="471" t="str">
        <f t="shared" si="37"/>
        <v xml:space="preserve"> </v>
      </c>
      <c r="FL315" s="730">
        <f t="shared" si="38"/>
        <v>0</v>
      </c>
      <c r="FM315" s="471" t="str">
        <f t="shared" si="39"/>
        <v/>
      </c>
      <c r="FN315" s="730">
        <f t="shared" si="40"/>
        <v>0</v>
      </c>
    </row>
    <row r="316" spans="1:170" s="33" customFormat="1" x14ac:dyDescent="0.2">
      <c r="A316" s="34" t="s">
        <v>366</v>
      </c>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c r="BG316" s="35"/>
      <c r="BH316" s="35"/>
      <c r="BI316" s="35"/>
      <c r="BJ316" s="35"/>
      <c r="BK316" s="35"/>
      <c r="BL316" s="35"/>
      <c r="BM316" s="35"/>
      <c r="BN316" s="35"/>
      <c r="BO316" s="35"/>
      <c r="BP316" s="35"/>
      <c r="BQ316" s="35"/>
      <c r="BR316" s="35"/>
      <c r="BS316" s="35"/>
      <c r="BT316" s="35"/>
      <c r="BU316" s="35"/>
      <c r="BV316" s="35"/>
      <c r="BW316" s="35"/>
      <c r="BX316" s="35"/>
      <c r="BY316" s="35"/>
      <c r="BZ316" s="35"/>
      <c r="CA316" s="35"/>
      <c r="CB316" s="35"/>
      <c r="CC316" s="35"/>
      <c r="CD316" s="35"/>
      <c r="CE316" s="35"/>
      <c r="CF316" s="35"/>
      <c r="CG316" s="35"/>
      <c r="CH316" s="35"/>
      <c r="CI316" s="35"/>
      <c r="CJ316" s="35"/>
      <c r="CK316" s="35"/>
      <c r="CL316" s="35"/>
      <c r="CM316" s="35"/>
      <c r="CN316" s="35"/>
      <c r="CO316" s="35"/>
      <c r="CP316" s="35"/>
      <c r="CQ316" s="35"/>
      <c r="CR316" s="35"/>
      <c r="CS316" s="35"/>
      <c r="CT316" s="35"/>
      <c r="CU316" s="35"/>
      <c r="CV316" s="35"/>
      <c r="CW316" s="35"/>
      <c r="CX316" s="35"/>
      <c r="CY316" s="35"/>
      <c r="CZ316" s="35"/>
      <c r="DA316" s="35"/>
      <c r="DB316" s="35"/>
      <c r="DC316" s="35"/>
      <c r="DD316" s="35"/>
      <c r="DE316" s="35"/>
      <c r="DF316" s="35"/>
      <c r="DG316" s="35"/>
      <c r="DH316" s="35"/>
      <c r="DI316" s="35"/>
      <c r="DJ316" s="35"/>
      <c r="DK316" s="35"/>
      <c r="DL316" s="35"/>
      <c r="DM316" s="35"/>
      <c r="DN316" s="35"/>
      <c r="DO316" s="35"/>
      <c r="DP316" s="35"/>
      <c r="DQ316" s="35"/>
      <c r="DR316" s="35"/>
      <c r="DS316" s="35"/>
      <c r="DT316" s="35"/>
      <c r="DU316" s="35"/>
      <c r="DV316" s="35"/>
      <c r="DW316" s="35"/>
      <c r="DX316" s="35"/>
      <c r="DY316" s="35"/>
      <c r="DZ316" s="35"/>
      <c r="EA316" s="35"/>
      <c r="EB316" s="35"/>
      <c r="EC316" s="35"/>
      <c r="ED316" s="35"/>
      <c r="EE316" s="35"/>
      <c r="EF316" s="35"/>
      <c r="EG316" s="35"/>
      <c r="EH316" s="35"/>
      <c r="EI316" s="35"/>
      <c r="EJ316" s="35"/>
      <c r="EK316" s="35"/>
      <c r="EL316" s="35"/>
      <c r="EM316" s="35"/>
      <c r="EN316" s="35"/>
      <c r="EO316" s="35"/>
      <c r="EP316" s="35"/>
      <c r="EQ316" s="35"/>
      <c r="ER316" s="35"/>
      <c r="ES316" s="35"/>
      <c r="ET316" s="35"/>
      <c r="EU316" s="35"/>
      <c r="EV316" s="35"/>
      <c r="EW316" s="35"/>
      <c r="EX316" s="35"/>
      <c r="EY316" s="35"/>
      <c r="EZ316" s="35"/>
      <c r="FA316" s="35"/>
      <c r="FB316" s="35"/>
      <c r="FC316" s="458">
        <f t="shared" si="35"/>
        <v>0</v>
      </c>
      <c r="FD316">
        <f t="shared" si="33"/>
        <v>0</v>
      </c>
      <c r="FE316" t="e">
        <f t="shared" si="34"/>
        <v>#N/A</v>
      </c>
      <c r="FI316" s="731" t="e">
        <f t="shared" si="36"/>
        <v>#VALUE!</v>
      </c>
      <c r="FK316" s="471" t="str">
        <f t="shared" si="37"/>
        <v xml:space="preserve"> </v>
      </c>
      <c r="FL316" s="730">
        <f t="shared" si="38"/>
        <v>0</v>
      </c>
      <c r="FM316" s="471" t="str">
        <f t="shared" si="39"/>
        <v/>
      </c>
      <c r="FN316" s="730">
        <f t="shared" si="40"/>
        <v>0</v>
      </c>
    </row>
    <row r="317" spans="1:170" s="33" customFormat="1" x14ac:dyDescent="0.2">
      <c r="A317" s="34" t="s">
        <v>367</v>
      </c>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c r="BN317" s="35"/>
      <c r="BO317" s="35"/>
      <c r="BP317" s="35"/>
      <c r="BQ317" s="35"/>
      <c r="BR317" s="35"/>
      <c r="BS317" s="35"/>
      <c r="BT317" s="35"/>
      <c r="BU317" s="35"/>
      <c r="BV317" s="35"/>
      <c r="BW317" s="35"/>
      <c r="BX317" s="35"/>
      <c r="BY317" s="35"/>
      <c r="BZ317" s="35"/>
      <c r="CA317" s="35"/>
      <c r="CB317" s="35"/>
      <c r="CC317" s="35"/>
      <c r="CD317" s="35"/>
      <c r="CE317" s="35"/>
      <c r="CF317" s="35"/>
      <c r="CG317" s="35"/>
      <c r="CH317" s="35"/>
      <c r="CI317" s="35"/>
      <c r="CJ317" s="35"/>
      <c r="CK317" s="35"/>
      <c r="CL317" s="35"/>
      <c r="CM317" s="35"/>
      <c r="CN317" s="35"/>
      <c r="CO317" s="35"/>
      <c r="CP317" s="35"/>
      <c r="CQ317" s="35"/>
      <c r="CR317" s="35"/>
      <c r="CS317" s="35"/>
      <c r="CT317" s="35"/>
      <c r="CU317" s="35"/>
      <c r="CV317" s="35"/>
      <c r="CW317" s="35"/>
      <c r="CX317" s="35"/>
      <c r="CY317" s="35"/>
      <c r="CZ317" s="35"/>
      <c r="DA317" s="35"/>
      <c r="DB317" s="35"/>
      <c r="DC317" s="35"/>
      <c r="DD317" s="35"/>
      <c r="DE317" s="35"/>
      <c r="DF317" s="35"/>
      <c r="DG317" s="35"/>
      <c r="DH317" s="35"/>
      <c r="DI317" s="35"/>
      <c r="DJ317" s="35"/>
      <c r="DK317" s="35"/>
      <c r="DL317" s="35"/>
      <c r="DM317" s="35"/>
      <c r="DN317" s="35"/>
      <c r="DO317" s="35"/>
      <c r="DP317" s="35"/>
      <c r="DQ317" s="35"/>
      <c r="DR317" s="35"/>
      <c r="DS317" s="35"/>
      <c r="DT317" s="35"/>
      <c r="DU317" s="35"/>
      <c r="DV317" s="35"/>
      <c r="DW317" s="35"/>
      <c r="DX317" s="35"/>
      <c r="DY317" s="35"/>
      <c r="DZ317" s="35"/>
      <c r="EA317" s="35"/>
      <c r="EB317" s="35"/>
      <c r="EC317" s="35"/>
      <c r="ED317" s="35"/>
      <c r="EE317" s="35"/>
      <c r="EF317" s="35"/>
      <c r="EG317" s="35"/>
      <c r="EH317" s="35"/>
      <c r="EI317" s="35"/>
      <c r="EJ317" s="35"/>
      <c r="EK317" s="35"/>
      <c r="EL317" s="35"/>
      <c r="EM317" s="35"/>
      <c r="EN317" s="35"/>
      <c r="EO317" s="35"/>
      <c r="EP317" s="35"/>
      <c r="EQ317" s="35"/>
      <c r="ER317" s="35"/>
      <c r="ES317" s="35"/>
      <c r="ET317" s="35"/>
      <c r="EU317" s="35"/>
      <c r="EV317" s="35"/>
      <c r="EW317" s="35"/>
      <c r="EX317" s="35"/>
      <c r="EY317" s="35"/>
      <c r="EZ317" s="35"/>
      <c r="FA317" s="35"/>
      <c r="FB317" s="35"/>
      <c r="FC317" s="458">
        <f t="shared" si="35"/>
        <v>0</v>
      </c>
      <c r="FD317">
        <f t="shared" si="33"/>
        <v>0</v>
      </c>
      <c r="FE317" t="e">
        <f t="shared" si="34"/>
        <v>#N/A</v>
      </c>
      <c r="FI317" s="731" t="e">
        <f t="shared" si="36"/>
        <v>#VALUE!</v>
      </c>
      <c r="FK317" s="471" t="str">
        <f t="shared" si="37"/>
        <v xml:space="preserve"> </v>
      </c>
      <c r="FL317" s="730">
        <f t="shared" si="38"/>
        <v>0</v>
      </c>
      <c r="FM317" s="471" t="str">
        <f t="shared" si="39"/>
        <v/>
      </c>
      <c r="FN317" s="730">
        <f t="shared" si="40"/>
        <v>0</v>
      </c>
    </row>
    <row r="318" spans="1:170" s="33" customFormat="1" x14ac:dyDescent="0.2">
      <c r="A318" s="34" t="s">
        <v>368</v>
      </c>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c r="BG318" s="35"/>
      <c r="BH318" s="35"/>
      <c r="BI318" s="35"/>
      <c r="BJ318" s="35"/>
      <c r="BK318" s="35"/>
      <c r="BL318" s="35"/>
      <c r="BM318" s="35"/>
      <c r="BN318" s="35"/>
      <c r="BO318" s="35"/>
      <c r="BP318" s="35"/>
      <c r="BQ318" s="35"/>
      <c r="BR318" s="35"/>
      <c r="BS318" s="35"/>
      <c r="BT318" s="35"/>
      <c r="BU318" s="35"/>
      <c r="BV318" s="35"/>
      <c r="BW318" s="35"/>
      <c r="BX318" s="35"/>
      <c r="BY318" s="35"/>
      <c r="BZ318" s="35"/>
      <c r="CA318" s="35"/>
      <c r="CB318" s="35"/>
      <c r="CC318" s="35"/>
      <c r="CD318" s="35"/>
      <c r="CE318" s="35"/>
      <c r="CF318" s="35"/>
      <c r="CG318" s="35"/>
      <c r="CH318" s="35"/>
      <c r="CI318" s="35"/>
      <c r="CJ318" s="35"/>
      <c r="CK318" s="35"/>
      <c r="CL318" s="35"/>
      <c r="CM318" s="35"/>
      <c r="CN318" s="35"/>
      <c r="CO318" s="35"/>
      <c r="CP318" s="35"/>
      <c r="CQ318" s="35"/>
      <c r="CR318" s="35"/>
      <c r="CS318" s="35"/>
      <c r="CT318" s="35"/>
      <c r="CU318" s="35"/>
      <c r="CV318" s="35"/>
      <c r="CW318" s="35"/>
      <c r="CX318" s="35"/>
      <c r="CY318" s="35"/>
      <c r="CZ318" s="35"/>
      <c r="DA318" s="35"/>
      <c r="DB318" s="35"/>
      <c r="DC318" s="35"/>
      <c r="DD318" s="35"/>
      <c r="DE318" s="35"/>
      <c r="DF318" s="35"/>
      <c r="DG318" s="35"/>
      <c r="DH318" s="35"/>
      <c r="DI318" s="35"/>
      <c r="DJ318" s="35"/>
      <c r="DK318" s="35"/>
      <c r="DL318" s="35"/>
      <c r="DM318" s="35"/>
      <c r="DN318" s="35"/>
      <c r="DO318" s="35"/>
      <c r="DP318" s="35"/>
      <c r="DQ318" s="35"/>
      <c r="DR318" s="35"/>
      <c r="DS318" s="35"/>
      <c r="DT318" s="35"/>
      <c r="DU318" s="35"/>
      <c r="DV318" s="35"/>
      <c r="DW318" s="35"/>
      <c r="DX318" s="35"/>
      <c r="DY318" s="35"/>
      <c r="DZ318" s="35"/>
      <c r="EA318" s="35"/>
      <c r="EB318" s="35"/>
      <c r="EC318" s="35"/>
      <c r="ED318" s="35"/>
      <c r="EE318" s="35"/>
      <c r="EF318" s="35"/>
      <c r="EG318" s="35"/>
      <c r="EH318" s="35"/>
      <c r="EI318" s="35"/>
      <c r="EJ318" s="35"/>
      <c r="EK318" s="35"/>
      <c r="EL318" s="35"/>
      <c r="EM318" s="35"/>
      <c r="EN318" s="35"/>
      <c r="EO318" s="35"/>
      <c r="EP318" s="35"/>
      <c r="EQ318" s="35"/>
      <c r="ER318" s="35"/>
      <c r="ES318" s="35"/>
      <c r="ET318" s="35"/>
      <c r="EU318" s="35"/>
      <c r="EV318" s="35"/>
      <c r="EW318" s="35"/>
      <c r="EX318" s="35"/>
      <c r="EY318" s="35"/>
      <c r="EZ318" s="35"/>
      <c r="FA318" s="35"/>
      <c r="FB318" s="35"/>
      <c r="FC318" s="458">
        <f t="shared" si="35"/>
        <v>0</v>
      </c>
      <c r="FD318">
        <f t="shared" si="33"/>
        <v>0</v>
      </c>
      <c r="FE318" t="e">
        <f t="shared" si="34"/>
        <v>#N/A</v>
      </c>
      <c r="FI318" s="731" t="e">
        <f t="shared" si="36"/>
        <v>#VALUE!</v>
      </c>
      <c r="FK318" s="471" t="str">
        <f t="shared" si="37"/>
        <v xml:space="preserve"> </v>
      </c>
      <c r="FL318" s="730">
        <f t="shared" si="38"/>
        <v>0</v>
      </c>
      <c r="FM318" s="471" t="str">
        <f t="shared" si="39"/>
        <v/>
      </c>
      <c r="FN318" s="730">
        <f t="shared" si="40"/>
        <v>0</v>
      </c>
    </row>
    <row r="319" spans="1:170" s="33" customFormat="1" x14ac:dyDescent="0.2">
      <c r="A319" s="34" t="s">
        <v>369</v>
      </c>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c r="BL319" s="35"/>
      <c r="BM319" s="35"/>
      <c r="BN319" s="35"/>
      <c r="BO319" s="35"/>
      <c r="BP319" s="35"/>
      <c r="BQ319" s="35"/>
      <c r="BR319" s="35"/>
      <c r="BS319" s="35"/>
      <c r="BT319" s="35"/>
      <c r="BU319" s="35"/>
      <c r="BV319" s="35"/>
      <c r="BW319" s="35"/>
      <c r="BX319" s="35"/>
      <c r="BY319" s="35"/>
      <c r="BZ319" s="35"/>
      <c r="CA319" s="35"/>
      <c r="CB319" s="35"/>
      <c r="CC319" s="35"/>
      <c r="CD319" s="35"/>
      <c r="CE319" s="35"/>
      <c r="CF319" s="35"/>
      <c r="CG319" s="35"/>
      <c r="CH319" s="35"/>
      <c r="CI319" s="35"/>
      <c r="CJ319" s="35"/>
      <c r="CK319" s="35"/>
      <c r="CL319" s="35"/>
      <c r="CM319" s="35"/>
      <c r="CN319" s="35"/>
      <c r="CO319" s="35"/>
      <c r="CP319" s="35"/>
      <c r="CQ319" s="35"/>
      <c r="CR319" s="35"/>
      <c r="CS319" s="35"/>
      <c r="CT319" s="35"/>
      <c r="CU319" s="35"/>
      <c r="CV319" s="35"/>
      <c r="CW319" s="35"/>
      <c r="CX319" s="35"/>
      <c r="CY319" s="35"/>
      <c r="CZ319" s="35"/>
      <c r="DA319" s="35"/>
      <c r="DB319" s="35"/>
      <c r="DC319" s="35"/>
      <c r="DD319" s="35"/>
      <c r="DE319" s="35"/>
      <c r="DF319" s="35"/>
      <c r="DG319" s="35"/>
      <c r="DH319" s="35"/>
      <c r="DI319" s="35"/>
      <c r="DJ319" s="35"/>
      <c r="DK319" s="35"/>
      <c r="DL319" s="35"/>
      <c r="DM319" s="35"/>
      <c r="DN319" s="35"/>
      <c r="DO319" s="35"/>
      <c r="DP319" s="35"/>
      <c r="DQ319" s="35"/>
      <c r="DR319" s="35"/>
      <c r="DS319" s="35"/>
      <c r="DT319" s="35"/>
      <c r="DU319" s="35"/>
      <c r="DV319" s="35"/>
      <c r="DW319" s="35"/>
      <c r="DX319" s="35"/>
      <c r="DY319" s="35"/>
      <c r="DZ319" s="35"/>
      <c r="EA319" s="35"/>
      <c r="EB319" s="35"/>
      <c r="EC319" s="35"/>
      <c r="ED319" s="35"/>
      <c r="EE319" s="35"/>
      <c r="EF319" s="35"/>
      <c r="EG319" s="35"/>
      <c r="EH319" s="35"/>
      <c r="EI319" s="35"/>
      <c r="EJ319" s="35"/>
      <c r="EK319" s="35"/>
      <c r="EL319" s="35"/>
      <c r="EM319" s="35"/>
      <c r="EN319" s="35"/>
      <c r="EO319" s="35"/>
      <c r="EP319" s="35"/>
      <c r="EQ319" s="35"/>
      <c r="ER319" s="35"/>
      <c r="ES319" s="35"/>
      <c r="ET319" s="35"/>
      <c r="EU319" s="35"/>
      <c r="EV319" s="35"/>
      <c r="EW319" s="35"/>
      <c r="EX319" s="35"/>
      <c r="EY319" s="35"/>
      <c r="EZ319" s="35"/>
      <c r="FA319" s="35"/>
      <c r="FB319" s="35"/>
      <c r="FC319" s="458">
        <f t="shared" si="35"/>
        <v>0</v>
      </c>
      <c r="FD319">
        <f t="shared" si="33"/>
        <v>0</v>
      </c>
      <c r="FE319" t="e">
        <f t="shared" si="34"/>
        <v>#N/A</v>
      </c>
      <c r="FI319" s="731" t="e">
        <f t="shared" si="36"/>
        <v>#VALUE!</v>
      </c>
      <c r="FK319" s="471" t="str">
        <f t="shared" si="37"/>
        <v xml:space="preserve"> </v>
      </c>
      <c r="FL319" s="730">
        <f t="shared" si="38"/>
        <v>0</v>
      </c>
      <c r="FM319" s="471" t="str">
        <f t="shared" si="39"/>
        <v/>
      </c>
      <c r="FN319" s="730">
        <f t="shared" si="40"/>
        <v>0</v>
      </c>
    </row>
    <row r="320" spans="1:170" s="33" customFormat="1" x14ac:dyDescent="0.2">
      <c r="A320" s="34" t="s">
        <v>370</v>
      </c>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c r="BG320" s="35"/>
      <c r="BH320" s="35"/>
      <c r="BI320" s="35"/>
      <c r="BJ320" s="35"/>
      <c r="BK320" s="35"/>
      <c r="BL320" s="35"/>
      <c r="BM320" s="35"/>
      <c r="BN320" s="35"/>
      <c r="BO320" s="35"/>
      <c r="BP320" s="35"/>
      <c r="BQ320" s="35"/>
      <c r="BR320" s="35"/>
      <c r="BS320" s="35"/>
      <c r="BT320" s="35"/>
      <c r="BU320" s="35"/>
      <c r="BV320" s="35"/>
      <c r="BW320" s="35"/>
      <c r="BX320" s="35"/>
      <c r="BY320" s="35"/>
      <c r="BZ320" s="35"/>
      <c r="CA320" s="35"/>
      <c r="CB320" s="35"/>
      <c r="CC320" s="35"/>
      <c r="CD320" s="35"/>
      <c r="CE320" s="35"/>
      <c r="CF320" s="35"/>
      <c r="CG320" s="35"/>
      <c r="CH320" s="35"/>
      <c r="CI320" s="35"/>
      <c r="CJ320" s="35"/>
      <c r="CK320" s="35"/>
      <c r="CL320" s="35"/>
      <c r="CM320" s="35"/>
      <c r="CN320" s="35"/>
      <c r="CO320" s="35"/>
      <c r="CP320" s="35"/>
      <c r="CQ320" s="35"/>
      <c r="CR320" s="35"/>
      <c r="CS320" s="35"/>
      <c r="CT320" s="35"/>
      <c r="CU320" s="35"/>
      <c r="CV320" s="35"/>
      <c r="CW320" s="35"/>
      <c r="CX320" s="35"/>
      <c r="CY320" s="35"/>
      <c r="CZ320" s="35"/>
      <c r="DA320" s="35"/>
      <c r="DB320" s="35"/>
      <c r="DC320" s="35"/>
      <c r="DD320" s="35"/>
      <c r="DE320" s="35"/>
      <c r="DF320" s="35"/>
      <c r="DG320" s="35"/>
      <c r="DH320" s="35"/>
      <c r="DI320" s="35"/>
      <c r="DJ320" s="35"/>
      <c r="DK320" s="35"/>
      <c r="DL320" s="35"/>
      <c r="DM320" s="35"/>
      <c r="DN320" s="35"/>
      <c r="DO320" s="35"/>
      <c r="DP320" s="35"/>
      <c r="DQ320" s="35"/>
      <c r="DR320" s="35"/>
      <c r="DS320" s="35"/>
      <c r="DT320" s="35"/>
      <c r="DU320" s="35"/>
      <c r="DV320" s="35"/>
      <c r="DW320" s="35"/>
      <c r="DX320" s="35"/>
      <c r="DY320" s="35"/>
      <c r="DZ320" s="35"/>
      <c r="EA320" s="35"/>
      <c r="EB320" s="35"/>
      <c r="EC320" s="35"/>
      <c r="ED320" s="35"/>
      <c r="EE320" s="35"/>
      <c r="EF320" s="35"/>
      <c r="EG320" s="35"/>
      <c r="EH320" s="35"/>
      <c r="EI320" s="35"/>
      <c r="EJ320" s="35"/>
      <c r="EK320" s="35"/>
      <c r="EL320" s="35"/>
      <c r="EM320" s="35"/>
      <c r="EN320" s="35"/>
      <c r="EO320" s="35"/>
      <c r="EP320" s="35"/>
      <c r="EQ320" s="35"/>
      <c r="ER320" s="35"/>
      <c r="ES320" s="35"/>
      <c r="ET320" s="35"/>
      <c r="EU320" s="35"/>
      <c r="EV320" s="35"/>
      <c r="EW320" s="35"/>
      <c r="EX320" s="35"/>
      <c r="EY320" s="35"/>
      <c r="EZ320" s="35"/>
      <c r="FA320" s="35"/>
      <c r="FB320" s="35"/>
      <c r="FC320" s="458">
        <f t="shared" si="35"/>
        <v>0</v>
      </c>
      <c r="FD320">
        <f t="shared" si="33"/>
        <v>0</v>
      </c>
      <c r="FE320" t="e">
        <f t="shared" si="34"/>
        <v>#N/A</v>
      </c>
      <c r="FI320" s="731" t="e">
        <f t="shared" si="36"/>
        <v>#VALUE!</v>
      </c>
      <c r="FK320" s="471" t="str">
        <f t="shared" si="37"/>
        <v xml:space="preserve"> </v>
      </c>
      <c r="FL320" s="730">
        <f t="shared" si="38"/>
        <v>0</v>
      </c>
      <c r="FM320" s="471" t="str">
        <f t="shared" si="39"/>
        <v/>
      </c>
      <c r="FN320" s="730">
        <f t="shared" si="40"/>
        <v>0</v>
      </c>
    </row>
    <row r="321" spans="1:170" s="33" customFormat="1" x14ac:dyDescent="0.2">
      <c r="A321" s="34" t="s">
        <v>371</v>
      </c>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c r="BG321" s="35"/>
      <c r="BH321" s="35"/>
      <c r="BI321" s="35"/>
      <c r="BJ321" s="35"/>
      <c r="BK321" s="35"/>
      <c r="BL321" s="35"/>
      <c r="BM321" s="35"/>
      <c r="BN321" s="35"/>
      <c r="BO321" s="35"/>
      <c r="BP321" s="35"/>
      <c r="BQ321" s="35"/>
      <c r="BR321" s="35"/>
      <c r="BS321" s="35"/>
      <c r="BT321" s="35"/>
      <c r="BU321" s="35"/>
      <c r="BV321" s="35"/>
      <c r="BW321" s="35"/>
      <c r="BX321" s="35"/>
      <c r="BY321" s="35"/>
      <c r="BZ321" s="35"/>
      <c r="CA321" s="35"/>
      <c r="CB321" s="35"/>
      <c r="CC321" s="35"/>
      <c r="CD321" s="35"/>
      <c r="CE321" s="35"/>
      <c r="CF321" s="35"/>
      <c r="CG321" s="35"/>
      <c r="CH321" s="35"/>
      <c r="CI321" s="35"/>
      <c r="CJ321" s="35"/>
      <c r="CK321" s="35"/>
      <c r="CL321" s="35"/>
      <c r="CM321" s="35"/>
      <c r="CN321" s="35"/>
      <c r="CO321" s="35"/>
      <c r="CP321" s="35"/>
      <c r="CQ321" s="35"/>
      <c r="CR321" s="35"/>
      <c r="CS321" s="35"/>
      <c r="CT321" s="35"/>
      <c r="CU321" s="35"/>
      <c r="CV321" s="35"/>
      <c r="CW321" s="35"/>
      <c r="CX321" s="35"/>
      <c r="CY321" s="35"/>
      <c r="CZ321" s="35"/>
      <c r="DA321" s="35"/>
      <c r="DB321" s="35"/>
      <c r="DC321" s="35"/>
      <c r="DD321" s="35"/>
      <c r="DE321" s="35"/>
      <c r="DF321" s="35"/>
      <c r="DG321" s="35"/>
      <c r="DH321" s="35"/>
      <c r="DI321" s="35"/>
      <c r="DJ321" s="35"/>
      <c r="DK321" s="35"/>
      <c r="DL321" s="35"/>
      <c r="DM321" s="35"/>
      <c r="DN321" s="35"/>
      <c r="DO321" s="35"/>
      <c r="DP321" s="35"/>
      <c r="DQ321" s="35"/>
      <c r="DR321" s="35"/>
      <c r="DS321" s="35"/>
      <c r="DT321" s="35"/>
      <c r="DU321" s="35"/>
      <c r="DV321" s="35"/>
      <c r="DW321" s="35"/>
      <c r="DX321" s="35"/>
      <c r="DY321" s="35"/>
      <c r="DZ321" s="35"/>
      <c r="EA321" s="35"/>
      <c r="EB321" s="35"/>
      <c r="EC321" s="35"/>
      <c r="ED321" s="35"/>
      <c r="EE321" s="35"/>
      <c r="EF321" s="35"/>
      <c r="EG321" s="35"/>
      <c r="EH321" s="35"/>
      <c r="EI321" s="35"/>
      <c r="EJ321" s="35"/>
      <c r="EK321" s="35"/>
      <c r="EL321" s="35"/>
      <c r="EM321" s="35"/>
      <c r="EN321" s="35"/>
      <c r="EO321" s="35"/>
      <c r="EP321" s="35"/>
      <c r="EQ321" s="35"/>
      <c r="ER321" s="35"/>
      <c r="ES321" s="35"/>
      <c r="ET321" s="35"/>
      <c r="EU321" s="35"/>
      <c r="EV321" s="35"/>
      <c r="EW321" s="35"/>
      <c r="EX321" s="35"/>
      <c r="EY321" s="35"/>
      <c r="EZ321" s="35"/>
      <c r="FA321" s="35"/>
      <c r="FB321" s="35"/>
      <c r="FC321" s="458">
        <f t="shared" si="35"/>
        <v>0</v>
      </c>
      <c r="FD321">
        <f t="shared" si="33"/>
        <v>0</v>
      </c>
      <c r="FE321" t="e">
        <f t="shared" si="34"/>
        <v>#N/A</v>
      </c>
      <c r="FI321" s="731" t="e">
        <f t="shared" si="36"/>
        <v>#VALUE!</v>
      </c>
      <c r="FK321" s="471" t="str">
        <f t="shared" si="37"/>
        <v xml:space="preserve"> </v>
      </c>
      <c r="FL321" s="730">
        <f t="shared" si="38"/>
        <v>0</v>
      </c>
      <c r="FM321" s="471" t="str">
        <f t="shared" si="39"/>
        <v/>
      </c>
      <c r="FN321" s="730">
        <f t="shared" si="40"/>
        <v>0</v>
      </c>
    </row>
    <row r="322" spans="1:170" s="33" customFormat="1" x14ac:dyDescent="0.2">
      <c r="A322" s="34" t="s">
        <v>372</v>
      </c>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s="35"/>
      <c r="BI322" s="35"/>
      <c r="BJ322" s="35"/>
      <c r="BK322" s="35"/>
      <c r="BL322" s="35"/>
      <c r="BM322" s="35"/>
      <c r="BN322" s="35"/>
      <c r="BO322" s="35"/>
      <c r="BP322" s="35"/>
      <c r="BQ322" s="35"/>
      <c r="BR322" s="35"/>
      <c r="BS322" s="35"/>
      <c r="BT322" s="35"/>
      <c r="BU322" s="35"/>
      <c r="BV322" s="35"/>
      <c r="BW322" s="35"/>
      <c r="BX322" s="35"/>
      <c r="BY322" s="35"/>
      <c r="BZ322" s="35"/>
      <c r="CA322" s="35"/>
      <c r="CB322" s="35"/>
      <c r="CC322" s="35"/>
      <c r="CD322" s="35"/>
      <c r="CE322" s="35"/>
      <c r="CF322" s="35"/>
      <c r="CG322" s="35"/>
      <c r="CH322" s="35"/>
      <c r="CI322" s="35"/>
      <c r="CJ322" s="35"/>
      <c r="CK322" s="35"/>
      <c r="CL322" s="35"/>
      <c r="CM322" s="35"/>
      <c r="CN322" s="35"/>
      <c r="CO322" s="35"/>
      <c r="CP322" s="35"/>
      <c r="CQ322" s="35"/>
      <c r="CR322" s="35"/>
      <c r="CS322" s="35"/>
      <c r="CT322" s="35"/>
      <c r="CU322" s="35"/>
      <c r="CV322" s="35"/>
      <c r="CW322" s="35"/>
      <c r="CX322" s="35"/>
      <c r="CY322" s="35"/>
      <c r="CZ322" s="35"/>
      <c r="DA322" s="35"/>
      <c r="DB322" s="35"/>
      <c r="DC322" s="35"/>
      <c r="DD322" s="35"/>
      <c r="DE322" s="35"/>
      <c r="DF322" s="35"/>
      <c r="DG322" s="35"/>
      <c r="DH322" s="35"/>
      <c r="DI322" s="35"/>
      <c r="DJ322" s="35"/>
      <c r="DK322" s="35"/>
      <c r="DL322" s="35"/>
      <c r="DM322" s="35"/>
      <c r="DN322" s="35"/>
      <c r="DO322" s="35"/>
      <c r="DP322" s="35"/>
      <c r="DQ322" s="35"/>
      <c r="DR322" s="35"/>
      <c r="DS322" s="35"/>
      <c r="DT322" s="35"/>
      <c r="DU322" s="35"/>
      <c r="DV322" s="35"/>
      <c r="DW322" s="35"/>
      <c r="DX322" s="35"/>
      <c r="DY322" s="35"/>
      <c r="DZ322" s="35"/>
      <c r="EA322" s="35"/>
      <c r="EB322" s="35"/>
      <c r="EC322" s="35"/>
      <c r="ED322" s="35"/>
      <c r="EE322" s="35"/>
      <c r="EF322" s="35"/>
      <c r="EG322" s="35"/>
      <c r="EH322" s="35"/>
      <c r="EI322" s="35"/>
      <c r="EJ322" s="35"/>
      <c r="EK322" s="35"/>
      <c r="EL322" s="35"/>
      <c r="EM322" s="35"/>
      <c r="EN322" s="35"/>
      <c r="EO322" s="35"/>
      <c r="EP322" s="35"/>
      <c r="EQ322" s="35"/>
      <c r="ER322" s="35"/>
      <c r="ES322" s="35"/>
      <c r="ET322" s="35"/>
      <c r="EU322" s="35"/>
      <c r="EV322" s="35"/>
      <c r="EW322" s="35"/>
      <c r="EX322" s="35"/>
      <c r="EY322" s="35"/>
      <c r="EZ322" s="35"/>
      <c r="FA322" s="35"/>
      <c r="FB322" s="35"/>
      <c r="FC322" s="458">
        <f t="shared" si="35"/>
        <v>0</v>
      </c>
      <c r="FD322">
        <f t="shared" si="33"/>
        <v>0</v>
      </c>
      <c r="FE322" t="e">
        <f t="shared" si="34"/>
        <v>#N/A</v>
      </c>
      <c r="FI322" s="731" t="e">
        <f t="shared" si="36"/>
        <v>#VALUE!</v>
      </c>
      <c r="FK322" s="471" t="str">
        <f t="shared" si="37"/>
        <v xml:space="preserve"> </v>
      </c>
      <c r="FL322" s="730">
        <f t="shared" si="38"/>
        <v>0</v>
      </c>
      <c r="FM322" s="471" t="str">
        <f t="shared" si="39"/>
        <v/>
      </c>
      <c r="FN322" s="730">
        <f t="shared" si="40"/>
        <v>0</v>
      </c>
    </row>
    <row r="323" spans="1:170" x14ac:dyDescent="0.2">
      <c r="A323" s="34" t="s">
        <v>944</v>
      </c>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c r="BG323" s="35"/>
      <c r="BH323" s="35"/>
      <c r="BI323" s="35"/>
      <c r="BJ323" s="35"/>
      <c r="BK323" s="35"/>
      <c r="BL323" s="35"/>
      <c r="BM323" s="35"/>
      <c r="BN323" s="35"/>
      <c r="BO323" s="35"/>
      <c r="BP323" s="35"/>
      <c r="BQ323" s="35"/>
      <c r="BR323" s="35"/>
      <c r="BS323" s="35"/>
      <c r="BT323" s="35"/>
      <c r="BU323" s="35"/>
      <c r="BV323" s="35"/>
      <c r="BW323" s="35"/>
      <c r="BX323" s="35"/>
      <c r="BY323" s="35"/>
      <c r="BZ323" s="35"/>
      <c r="CA323" s="35"/>
      <c r="CB323" s="35"/>
      <c r="CC323" s="35"/>
      <c r="CD323" s="35"/>
      <c r="CE323" s="35"/>
      <c r="CF323" s="35"/>
      <c r="CG323" s="35"/>
      <c r="CH323" s="35"/>
      <c r="CI323" s="35"/>
      <c r="CJ323" s="35"/>
      <c r="CK323" s="35"/>
      <c r="CL323" s="35"/>
      <c r="CM323" s="35"/>
      <c r="CN323" s="35"/>
      <c r="CO323" s="35"/>
      <c r="CP323" s="35"/>
      <c r="CQ323" s="35"/>
      <c r="CR323" s="35"/>
      <c r="CS323" s="35"/>
      <c r="CT323" s="35"/>
      <c r="CU323" s="35"/>
      <c r="CV323" s="35"/>
      <c r="CW323" s="35"/>
      <c r="CX323" s="35"/>
      <c r="CY323" s="35"/>
      <c r="CZ323" s="35"/>
      <c r="DA323" s="35"/>
      <c r="DB323" s="35"/>
      <c r="DC323" s="35"/>
      <c r="DD323" s="35"/>
      <c r="DE323" s="35"/>
      <c r="DF323" s="35"/>
      <c r="DG323" s="35"/>
      <c r="DH323" s="35"/>
      <c r="DI323" s="35"/>
      <c r="DJ323" s="35"/>
      <c r="DK323" s="35"/>
      <c r="DL323" s="35"/>
      <c r="DM323" s="35"/>
      <c r="DN323" s="35"/>
      <c r="DO323" s="35"/>
      <c r="DP323" s="35"/>
      <c r="DQ323" s="35"/>
      <c r="DR323" s="35"/>
      <c r="DS323" s="35"/>
      <c r="DT323" s="35"/>
      <c r="DU323" s="35"/>
      <c r="DV323" s="35"/>
      <c r="DW323" s="35"/>
      <c r="DX323" s="35"/>
      <c r="DY323" s="35"/>
      <c r="DZ323" s="35"/>
      <c r="EA323" s="35"/>
      <c r="EB323" s="35"/>
      <c r="EC323" s="35"/>
      <c r="ED323" s="35"/>
      <c r="EE323" s="35"/>
      <c r="EF323" s="35"/>
      <c r="EG323" s="35"/>
      <c r="EH323" s="35"/>
      <c r="EI323" s="35"/>
      <c r="EJ323" s="35"/>
      <c r="EK323" s="35"/>
      <c r="EL323" s="35"/>
      <c r="EM323" s="35"/>
      <c r="EN323" s="35"/>
      <c r="EO323" s="35"/>
      <c r="EP323" s="35"/>
      <c r="EQ323" s="35"/>
      <c r="ER323" s="35"/>
      <c r="ES323" s="35"/>
      <c r="ET323" s="35"/>
      <c r="EU323" s="35"/>
      <c r="EV323" s="35"/>
      <c r="EW323" s="35"/>
      <c r="EX323" s="35"/>
      <c r="EY323" s="35"/>
      <c r="EZ323" s="35"/>
      <c r="FA323" s="35"/>
      <c r="FB323" s="35"/>
      <c r="FC323" s="458">
        <f t="shared" ref="FC323:FC342" si="41">VALUE(B323)</f>
        <v>0</v>
      </c>
      <c r="FD323">
        <f t="shared" ref="FD323:FD342" si="42">INT(FC323/10000000)</f>
        <v>0</v>
      </c>
      <c r="FE323" t="e">
        <f t="shared" ref="FE323:FE342" si="43">VLOOKUP(FD323,Table_acad,2)</f>
        <v>#N/A</v>
      </c>
      <c r="FI323" s="731" t="e">
        <f t="shared" si="36"/>
        <v>#VALUE!</v>
      </c>
      <c r="FK323" s="471" t="str">
        <f t="shared" si="37"/>
        <v xml:space="preserve"> </v>
      </c>
      <c r="FL323" s="730">
        <f t="shared" si="38"/>
        <v>0</v>
      </c>
      <c r="FM323" s="471" t="str">
        <f t="shared" si="39"/>
        <v/>
      </c>
      <c r="FN323" s="730">
        <f t="shared" si="40"/>
        <v>0</v>
      </c>
    </row>
    <row r="324" spans="1:170" s="33" customFormat="1" x14ac:dyDescent="0.2">
      <c r="A324" s="34" t="s">
        <v>945</v>
      </c>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c r="BG324" s="35"/>
      <c r="BH324" s="35"/>
      <c r="BI324" s="35"/>
      <c r="BJ324" s="35"/>
      <c r="BK324" s="35"/>
      <c r="BL324" s="35"/>
      <c r="BM324" s="35"/>
      <c r="BN324" s="35"/>
      <c r="BO324" s="35"/>
      <c r="BP324" s="35"/>
      <c r="BQ324" s="35"/>
      <c r="BR324" s="35"/>
      <c r="BS324" s="35"/>
      <c r="BT324" s="35"/>
      <c r="BU324" s="35"/>
      <c r="BV324" s="35"/>
      <c r="BW324" s="35"/>
      <c r="BX324" s="35"/>
      <c r="BY324" s="35"/>
      <c r="BZ324" s="35"/>
      <c r="CA324" s="35"/>
      <c r="CB324" s="35"/>
      <c r="CC324" s="35"/>
      <c r="CD324" s="35"/>
      <c r="CE324" s="35"/>
      <c r="CF324" s="35"/>
      <c r="CG324" s="35"/>
      <c r="CH324" s="35"/>
      <c r="CI324" s="35"/>
      <c r="CJ324" s="35"/>
      <c r="CK324" s="35"/>
      <c r="CL324" s="35"/>
      <c r="CM324" s="35"/>
      <c r="CN324" s="35"/>
      <c r="CO324" s="35"/>
      <c r="CP324" s="35"/>
      <c r="CQ324" s="35"/>
      <c r="CR324" s="35"/>
      <c r="CS324" s="35"/>
      <c r="CT324" s="35"/>
      <c r="CU324" s="35"/>
      <c r="CV324" s="35"/>
      <c r="CW324" s="35"/>
      <c r="CX324" s="35"/>
      <c r="CY324" s="35"/>
      <c r="CZ324" s="35"/>
      <c r="DA324" s="35"/>
      <c r="DB324" s="35"/>
      <c r="DC324" s="35"/>
      <c r="DD324" s="35"/>
      <c r="DE324" s="35"/>
      <c r="DF324" s="35"/>
      <c r="DG324" s="35"/>
      <c r="DH324" s="35"/>
      <c r="DI324" s="35"/>
      <c r="DJ324" s="35"/>
      <c r="DK324" s="35"/>
      <c r="DL324" s="35"/>
      <c r="DM324" s="35"/>
      <c r="DN324" s="35"/>
      <c r="DO324" s="35"/>
      <c r="DP324" s="35"/>
      <c r="DQ324" s="35"/>
      <c r="DR324" s="35"/>
      <c r="DS324" s="35"/>
      <c r="DT324" s="35"/>
      <c r="DU324" s="35"/>
      <c r="DV324" s="35"/>
      <c r="DW324" s="35"/>
      <c r="DX324" s="35"/>
      <c r="DY324" s="35"/>
      <c r="DZ324" s="35"/>
      <c r="EA324" s="35"/>
      <c r="EB324" s="35"/>
      <c r="EC324" s="35"/>
      <c r="ED324" s="35"/>
      <c r="EE324" s="35"/>
      <c r="EF324" s="35"/>
      <c r="EG324" s="35"/>
      <c r="EH324" s="35"/>
      <c r="EI324" s="35"/>
      <c r="EJ324" s="35"/>
      <c r="EK324" s="35"/>
      <c r="EL324" s="35"/>
      <c r="EM324" s="35"/>
      <c r="EN324" s="35"/>
      <c r="EO324" s="35"/>
      <c r="EP324" s="35"/>
      <c r="EQ324" s="35"/>
      <c r="ER324" s="35"/>
      <c r="ES324" s="35"/>
      <c r="ET324" s="35"/>
      <c r="EU324" s="35"/>
      <c r="EV324" s="35"/>
      <c r="EW324" s="35"/>
      <c r="EX324" s="35"/>
      <c r="EY324" s="35"/>
      <c r="EZ324" s="35"/>
      <c r="FA324" s="35"/>
      <c r="FB324" s="35"/>
      <c r="FC324" s="458">
        <f t="shared" si="41"/>
        <v>0</v>
      </c>
      <c r="FD324">
        <f t="shared" si="42"/>
        <v>0</v>
      </c>
      <c r="FE324" t="e">
        <f t="shared" si="43"/>
        <v>#N/A</v>
      </c>
      <c r="FI324" s="731" t="e">
        <f t="shared" ref="FI324:FI342" si="44">DATEVALUE(E324)</f>
        <v>#VALUE!</v>
      </c>
      <c r="FK324" s="471" t="str">
        <f t="shared" ref="FK324:FK342" si="45">LEFT(B324,5)&amp;" "&amp;RIGHT(B324,4)</f>
        <v xml:space="preserve"> </v>
      </c>
      <c r="FL324" s="730">
        <f t="shared" ref="FL324:FL342" si="46">N324</f>
        <v>0</v>
      </c>
      <c r="FM324" s="471" t="str">
        <f t="shared" ref="FM324:FM342" si="47">IF(FN324="jeune coach","oui","")</f>
        <v/>
      </c>
      <c r="FN324" s="730">
        <f t="shared" si="40"/>
        <v>0</v>
      </c>
    </row>
    <row r="325" spans="1:170" s="33" customFormat="1" x14ac:dyDescent="0.2">
      <c r="A325" s="34" t="s">
        <v>946</v>
      </c>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s="35"/>
      <c r="BI325" s="35"/>
      <c r="BJ325" s="35"/>
      <c r="BK325" s="35"/>
      <c r="BL325" s="35"/>
      <c r="BM325" s="35"/>
      <c r="BN325" s="35"/>
      <c r="BO325" s="35"/>
      <c r="BP325" s="35"/>
      <c r="BQ325" s="35"/>
      <c r="BR325" s="35"/>
      <c r="BS325" s="35"/>
      <c r="BT325" s="35"/>
      <c r="BU325" s="35"/>
      <c r="BV325" s="35"/>
      <c r="BW325" s="35"/>
      <c r="BX325" s="35"/>
      <c r="BY325" s="35"/>
      <c r="BZ325" s="35"/>
      <c r="CA325" s="35"/>
      <c r="CB325" s="35"/>
      <c r="CC325" s="35"/>
      <c r="CD325" s="35"/>
      <c r="CE325" s="35"/>
      <c r="CF325" s="35"/>
      <c r="CG325" s="35"/>
      <c r="CH325" s="35"/>
      <c r="CI325" s="35"/>
      <c r="CJ325" s="35"/>
      <c r="CK325" s="35"/>
      <c r="CL325" s="35"/>
      <c r="CM325" s="35"/>
      <c r="CN325" s="35"/>
      <c r="CO325" s="35"/>
      <c r="CP325" s="35"/>
      <c r="CQ325" s="35"/>
      <c r="CR325" s="35"/>
      <c r="CS325" s="35"/>
      <c r="CT325" s="35"/>
      <c r="CU325" s="35"/>
      <c r="CV325" s="35"/>
      <c r="CW325" s="35"/>
      <c r="CX325" s="35"/>
      <c r="CY325" s="35"/>
      <c r="CZ325" s="35"/>
      <c r="DA325" s="35"/>
      <c r="DB325" s="35"/>
      <c r="DC325" s="35"/>
      <c r="DD325" s="35"/>
      <c r="DE325" s="35"/>
      <c r="DF325" s="35"/>
      <c r="DG325" s="35"/>
      <c r="DH325" s="35"/>
      <c r="DI325" s="35"/>
      <c r="DJ325" s="35"/>
      <c r="DK325" s="35"/>
      <c r="DL325" s="35"/>
      <c r="DM325" s="35"/>
      <c r="DN325" s="35"/>
      <c r="DO325" s="35"/>
      <c r="DP325" s="35"/>
      <c r="DQ325" s="35"/>
      <c r="DR325" s="35"/>
      <c r="DS325" s="35"/>
      <c r="DT325" s="35"/>
      <c r="DU325" s="35"/>
      <c r="DV325" s="35"/>
      <c r="DW325" s="35"/>
      <c r="DX325" s="35"/>
      <c r="DY325" s="35"/>
      <c r="DZ325" s="35"/>
      <c r="EA325" s="35"/>
      <c r="EB325" s="35"/>
      <c r="EC325" s="35"/>
      <c r="ED325" s="35"/>
      <c r="EE325" s="35"/>
      <c r="EF325" s="35"/>
      <c r="EG325" s="35"/>
      <c r="EH325" s="35"/>
      <c r="EI325" s="35"/>
      <c r="EJ325" s="35"/>
      <c r="EK325" s="35"/>
      <c r="EL325" s="35"/>
      <c r="EM325" s="35"/>
      <c r="EN325" s="35"/>
      <c r="EO325" s="35"/>
      <c r="EP325" s="35"/>
      <c r="EQ325" s="35"/>
      <c r="ER325" s="35"/>
      <c r="ES325" s="35"/>
      <c r="ET325" s="35"/>
      <c r="EU325" s="35"/>
      <c r="EV325" s="35"/>
      <c r="EW325" s="35"/>
      <c r="EX325" s="35"/>
      <c r="EY325" s="35"/>
      <c r="EZ325" s="35"/>
      <c r="FA325" s="35"/>
      <c r="FB325" s="35"/>
      <c r="FC325" s="458">
        <f t="shared" si="41"/>
        <v>0</v>
      </c>
      <c r="FD325">
        <f t="shared" si="42"/>
        <v>0</v>
      </c>
      <c r="FE325" t="e">
        <f t="shared" si="43"/>
        <v>#N/A</v>
      </c>
      <c r="FI325" s="731" t="e">
        <f t="shared" si="44"/>
        <v>#VALUE!</v>
      </c>
      <c r="FK325" s="471" t="str">
        <f t="shared" si="45"/>
        <v xml:space="preserve"> </v>
      </c>
      <c r="FL325" s="730">
        <f t="shared" si="46"/>
        <v>0</v>
      </c>
      <c r="FM325" s="471" t="str">
        <f t="shared" si="47"/>
        <v/>
      </c>
      <c r="FN325" s="730">
        <f t="shared" si="40"/>
        <v>0</v>
      </c>
    </row>
    <row r="326" spans="1:170" x14ac:dyDescent="0.2">
      <c r="A326" s="34" t="s">
        <v>947</v>
      </c>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35"/>
      <c r="BJ326" s="35"/>
      <c r="BK326" s="35"/>
      <c r="BL326" s="35"/>
      <c r="BM326" s="35"/>
      <c r="BN326" s="35"/>
      <c r="BO326" s="35"/>
      <c r="BP326" s="35"/>
      <c r="BQ326" s="35"/>
      <c r="BR326" s="35"/>
      <c r="BS326" s="35"/>
      <c r="BT326" s="35"/>
      <c r="BU326" s="35"/>
      <c r="BV326" s="35"/>
      <c r="BW326" s="35"/>
      <c r="BX326" s="35"/>
      <c r="BY326" s="35"/>
      <c r="BZ326" s="35"/>
      <c r="CA326" s="35"/>
      <c r="CB326" s="35"/>
      <c r="CC326" s="35"/>
      <c r="CD326" s="35"/>
      <c r="CE326" s="35"/>
      <c r="CF326" s="35"/>
      <c r="CG326" s="35"/>
      <c r="CH326" s="35"/>
      <c r="CI326" s="35"/>
      <c r="CJ326" s="35"/>
      <c r="CK326" s="35"/>
      <c r="CL326" s="35"/>
      <c r="CM326" s="35"/>
      <c r="CN326" s="35"/>
      <c r="CO326" s="35"/>
      <c r="CP326" s="35"/>
      <c r="CQ326" s="35"/>
      <c r="CR326" s="35"/>
      <c r="CS326" s="35"/>
      <c r="CT326" s="35"/>
      <c r="CU326" s="35"/>
      <c r="CV326" s="35"/>
      <c r="CW326" s="35"/>
      <c r="CX326" s="35"/>
      <c r="CY326" s="35"/>
      <c r="CZ326" s="35"/>
      <c r="DA326" s="35"/>
      <c r="DB326" s="35"/>
      <c r="DC326" s="35"/>
      <c r="DD326" s="35"/>
      <c r="DE326" s="35"/>
      <c r="DF326" s="35"/>
      <c r="DG326" s="35"/>
      <c r="DH326" s="35"/>
      <c r="DI326" s="35"/>
      <c r="DJ326" s="35"/>
      <c r="DK326" s="35"/>
      <c r="DL326" s="35"/>
      <c r="DM326" s="35"/>
      <c r="DN326" s="35"/>
      <c r="DO326" s="35"/>
      <c r="DP326" s="35"/>
      <c r="DQ326" s="35"/>
      <c r="DR326" s="35"/>
      <c r="DS326" s="35"/>
      <c r="DT326" s="35"/>
      <c r="DU326" s="35"/>
      <c r="DV326" s="35"/>
      <c r="DW326" s="35"/>
      <c r="DX326" s="35"/>
      <c r="DY326" s="35"/>
      <c r="DZ326" s="35"/>
      <c r="EA326" s="35"/>
      <c r="EB326" s="35"/>
      <c r="EC326" s="35"/>
      <c r="ED326" s="35"/>
      <c r="EE326" s="35"/>
      <c r="EF326" s="35"/>
      <c r="EG326" s="35"/>
      <c r="EH326" s="35"/>
      <c r="EI326" s="35"/>
      <c r="EJ326" s="35"/>
      <c r="EK326" s="35"/>
      <c r="EL326" s="35"/>
      <c r="EM326" s="35"/>
      <c r="EN326" s="35"/>
      <c r="EO326" s="35"/>
      <c r="EP326" s="35"/>
      <c r="EQ326" s="35"/>
      <c r="ER326" s="35"/>
      <c r="ES326" s="35"/>
      <c r="ET326" s="35"/>
      <c r="EU326" s="35"/>
      <c r="EV326" s="35"/>
      <c r="EW326" s="35"/>
      <c r="EX326" s="35"/>
      <c r="EY326" s="35"/>
      <c r="EZ326" s="35"/>
      <c r="FA326" s="35"/>
      <c r="FB326" s="35"/>
      <c r="FC326" s="458">
        <f t="shared" si="41"/>
        <v>0</v>
      </c>
      <c r="FD326">
        <f t="shared" si="42"/>
        <v>0</v>
      </c>
      <c r="FE326" t="e">
        <f t="shared" si="43"/>
        <v>#N/A</v>
      </c>
      <c r="FI326" s="731" t="e">
        <f t="shared" si="44"/>
        <v>#VALUE!</v>
      </c>
      <c r="FK326" s="471" t="str">
        <f t="shared" si="45"/>
        <v xml:space="preserve"> </v>
      </c>
      <c r="FL326" s="730">
        <f t="shared" si="46"/>
        <v>0</v>
      </c>
      <c r="FM326" s="471" t="str">
        <f t="shared" si="47"/>
        <v/>
      </c>
      <c r="FN326" s="730">
        <f t="shared" si="40"/>
        <v>0</v>
      </c>
    </row>
    <row r="327" spans="1:170" x14ac:dyDescent="0.2">
      <c r="A327" s="34" t="s">
        <v>948</v>
      </c>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c r="BN327" s="35"/>
      <c r="BO327" s="35"/>
      <c r="BP327" s="35"/>
      <c r="BQ327" s="35"/>
      <c r="BR327" s="35"/>
      <c r="BS327" s="35"/>
      <c r="BT327" s="35"/>
      <c r="BU327" s="35"/>
      <c r="BV327" s="35"/>
      <c r="BW327" s="35"/>
      <c r="BX327" s="35"/>
      <c r="BY327" s="35"/>
      <c r="BZ327" s="35"/>
      <c r="CA327" s="35"/>
      <c r="CB327" s="35"/>
      <c r="CC327" s="35"/>
      <c r="CD327" s="35"/>
      <c r="CE327" s="35"/>
      <c r="CF327" s="35"/>
      <c r="CG327" s="35"/>
      <c r="CH327" s="35"/>
      <c r="CI327" s="35"/>
      <c r="CJ327" s="35"/>
      <c r="CK327" s="35"/>
      <c r="CL327" s="35"/>
      <c r="CM327" s="35"/>
      <c r="CN327" s="35"/>
      <c r="CO327" s="35"/>
      <c r="CP327" s="35"/>
      <c r="CQ327" s="35"/>
      <c r="CR327" s="35"/>
      <c r="CS327" s="35"/>
      <c r="CT327" s="35"/>
      <c r="CU327" s="35"/>
      <c r="CV327" s="35"/>
      <c r="CW327" s="35"/>
      <c r="CX327" s="35"/>
      <c r="CY327" s="35"/>
      <c r="CZ327" s="35"/>
      <c r="DA327" s="35"/>
      <c r="DB327" s="35"/>
      <c r="DC327" s="35"/>
      <c r="DD327" s="35"/>
      <c r="DE327" s="35"/>
      <c r="DF327" s="35"/>
      <c r="DG327" s="35"/>
      <c r="DH327" s="35"/>
      <c r="DI327" s="35"/>
      <c r="DJ327" s="35"/>
      <c r="DK327" s="35"/>
      <c r="DL327" s="35"/>
      <c r="DM327" s="35"/>
      <c r="DN327" s="35"/>
      <c r="DO327" s="35"/>
      <c r="DP327" s="35"/>
      <c r="DQ327" s="35"/>
      <c r="DR327" s="35"/>
      <c r="DS327" s="35"/>
      <c r="DT327" s="35"/>
      <c r="DU327" s="35"/>
      <c r="DV327" s="35"/>
      <c r="DW327" s="35"/>
      <c r="DX327" s="35"/>
      <c r="DY327" s="35"/>
      <c r="DZ327" s="35"/>
      <c r="EA327" s="35"/>
      <c r="EB327" s="35"/>
      <c r="EC327" s="35"/>
      <c r="ED327" s="35"/>
      <c r="EE327" s="35"/>
      <c r="EF327" s="35"/>
      <c r="EG327" s="35"/>
      <c r="EH327" s="35"/>
      <c r="EI327" s="35"/>
      <c r="EJ327" s="35"/>
      <c r="EK327" s="35"/>
      <c r="EL327" s="35"/>
      <c r="EM327" s="35"/>
      <c r="EN327" s="35"/>
      <c r="EO327" s="35"/>
      <c r="EP327" s="35"/>
      <c r="EQ327" s="35"/>
      <c r="ER327" s="35"/>
      <c r="ES327" s="35"/>
      <c r="ET327" s="35"/>
      <c r="EU327" s="35"/>
      <c r="EV327" s="35"/>
      <c r="EW327" s="35"/>
      <c r="EX327" s="35"/>
      <c r="EY327" s="35"/>
      <c r="EZ327" s="35"/>
      <c r="FA327" s="35"/>
      <c r="FB327" s="35"/>
      <c r="FC327" s="458">
        <f t="shared" si="41"/>
        <v>0</v>
      </c>
      <c r="FD327">
        <f t="shared" si="42"/>
        <v>0</v>
      </c>
      <c r="FE327" t="e">
        <f t="shared" si="43"/>
        <v>#N/A</v>
      </c>
      <c r="FI327" s="731" t="e">
        <f t="shared" si="44"/>
        <v>#VALUE!</v>
      </c>
      <c r="FK327" s="471" t="str">
        <f t="shared" si="45"/>
        <v xml:space="preserve"> </v>
      </c>
      <c r="FL327" s="730">
        <f t="shared" si="46"/>
        <v>0</v>
      </c>
      <c r="FM327" s="471" t="str">
        <f t="shared" si="47"/>
        <v/>
      </c>
      <c r="FN327" s="730">
        <f t="shared" si="40"/>
        <v>0</v>
      </c>
    </row>
    <row r="328" spans="1:170" x14ac:dyDescent="0.2">
      <c r="A328" s="34" t="s">
        <v>949</v>
      </c>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c r="BG328" s="35"/>
      <c r="BH328" s="35"/>
      <c r="BI328" s="35"/>
      <c r="BJ328" s="35"/>
      <c r="BK328" s="35"/>
      <c r="BL328" s="35"/>
      <c r="BM328" s="35"/>
      <c r="BN328" s="35"/>
      <c r="BO328" s="35"/>
      <c r="BP328" s="35"/>
      <c r="BQ328" s="35"/>
      <c r="BR328" s="35"/>
      <c r="BS328" s="35"/>
      <c r="BT328" s="35"/>
      <c r="BU328" s="35"/>
      <c r="BV328" s="35"/>
      <c r="BW328" s="35"/>
      <c r="BX328" s="35"/>
      <c r="BY328" s="35"/>
      <c r="BZ328" s="35"/>
      <c r="CA328" s="35"/>
      <c r="CB328" s="35"/>
      <c r="CC328" s="35"/>
      <c r="CD328" s="35"/>
      <c r="CE328" s="35"/>
      <c r="CF328" s="35"/>
      <c r="CG328" s="35"/>
      <c r="CH328" s="35"/>
      <c r="CI328" s="35"/>
      <c r="CJ328" s="35"/>
      <c r="CK328" s="35"/>
      <c r="CL328" s="35"/>
      <c r="CM328" s="35"/>
      <c r="CN328" s="35"/>
      <c r="CO328" s="35"/>
      <c r="CP328" s="35"/>
      <c r="CQ328" s="35"/>
      <c r="CR328" s="35"/>
      <c r="CS328" s="35"/>
      <c r="CT328" s="35"/>
      <c r="CU328" s="35"/>
      <c r="CV328" s="35"/>
      <c r="CW328" s="35"/>
      <c r="CX328" s="35"/>
      <c r="CY328" s="35"/>
      <c r="CZ328" s="35"/>
      <c r="DA328" s="35"/>
      <c r="DB328" s="35"/>
      <c r="DC328" s="35"/>
      <c r="DD328" s="35"/>
      <c r="DE328" s="35"/>
      <c r="DF328" s="35"/>
      <c r="DG328" s="35"/>
      <c r="DH328" s="35"/>
      <c r="DI328" s="35"/>
      <c r="DJ328" s="35"/>
      <c r="DK328" s="35"/>
      <c r="DL328" s="35"/>
      <c r="DM328" s="35"/>
      <c r="DN328" s="35"/>
      <c r="DO328" s="35"/>
      <c r="DP328" s="35"/>
      <c r="DQ328" s="35"/>
      <c r="DR328" s="35"/>
      <c r="DS328" s="35"/>
      <c r="DT328" s="35"/>
      <c r="DU328" s="35"/>
      <c r="DV328" s="35"/>
      <c r="DW328" s="35"/>
      <c r="DX328" s="35"/>
      <c r="DY328" s="35"/>
      <c r="DZ328" s="35"/>
      <c r="EA328" s="35"/>
      <c r="EB328" s="35"/>
      <c r="EC328" s="35"/>
      <c r="ED328" s="35"/>
      <c r="EE328" s="35"/>
      <c r="EF328" s="35"/>
      <c r="EG328" s="35"/>
      <c r="EH328" s="35"/>
      <c r="EI328" s="35"/>
      <c r="EJ328" s="35"/>
      <c r="EK328" s="35"/>
      <c r="EL328" s="35"/>
      <c r="EM328" s="35"/>
      <c r="EN328" s="35"/>
      <c r="EO328" s="35"/>
      <c r="EP328" s="35"/>
      <c r="EQ328" s="35"/>
      <c r="ER328" s="35"/>
      <c r="ES328" s="35"/>
      <c r="ET328" s="35"/>
      <c r="EU328" s="35"/>
      <c r="EV328" s="35"/>
      <c r="EW328" s="35"/>
      <c r="EX328" s="35"/>
      <c r="EY328" s="35"/>
      <c r="EZ328" s="35"/>
      <c r="FA328" s="35"/>
      <c r="FB328" s="35"/>
      <c r="FC328" s="458">
        <f t="shared" si="41"/>
        <v>0</v>
      </c>
      <c r="FD328">
        <f t="shared" si="42"/>
        <v>0</v>
      </c>
      <c r="FE328" t="e">
        <f t="shared" si="43"/>
        <v>#N/A</v>
      </c>
      <c r="FI328" s="731" t="e">
        <f t="shared" si="44"/>
        <v>#VALUE!</v>
      </c>
      <c r="FK328" s="471" t="str">
        <f t="shared" si="45"/>
        <v xml:space="preserve"> </v>
      </c>
      <c r="FL328" s="730">
        <f t="shared" si="46"/>
        <v>0</v>
      </c>
      <c r="FM328" s="471" t="str">
        <f t="shared" si="47"/>
        <v/>
      </c>
      <c r="FN328" s="730">
        <f t="shared" si="40"/>
        <v>0</v>
      </c>
    </row>
    <row r="329" spans="1:170" x14ac:dyDescent="0.2">
      <c r="A329" s="34" t="s">
        <v>950</v>
      </c>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c r="BI329" s="35"/>
      <c r="BJ329" s="35"/>
      <c r="BK329" s="35"/>
      <c r="BL329" s="35"/>
      <c r="BM329" s="35"/>
      <c r="BN329" s="35"/>
      <c r="BO329" s="35"/>
      <c r="BP329" s="35"/>
      <c r="BQ329" s="35"/>
      <c r="BR329" s="35"/>
      <c r="BS329" s="35"/>
      <c r="BT329" s="35"/>
      <c r="BU329" s="35"/>
      <c r="BV329" s="35"/>
      <c r="BW329" s="35"/>
      <c r="BX329" s="35"/>
      <c r="BY329" s="35"/>
      <c r="BZ329" s="35"/>
      <c r="CA329" s="35"/>
      <c r="CB329" s="35"/>
      <c r="CC329" s="35"/>
      <c r="CD329" s="35"/>
      <c r="CE329" s="35"/>
      <c r="CF329" s="35"/>
      <c r="CG329" s="35"/>
      <c r="CH329" s="35"/>
      <c r="CI329" s="35"/>
      <c r="CJ329" s="35"/>
      <c r="CK329" s="35"/>
      <c r="CL329" s="35"/>
      <c r="CM329" s="35"/>
      <c r="CN329" s="35"/>
      <c r="CO329" s="35"/>
      <c r="CP329" s="35"/>
      <c r="CQ329" s="35"/>
      <c r="CR329" s="35"/>
      <c r="CS329" s="35"/>
      <c r="CT329" s="35"/>
      <c r="CU329" s="35"/>
      <c r="CV329" s="35"/>
      <c r="CW329" s="35"/>
      <c r="CX329" s="35"/>
      <c r="CY329" s="35"/>
      <c r="CZ329" s="35"/>
      <c r="DA329" s="35"/>
      <c r="DB329" s="35"/>
      <c r="DC329" s="35"/>
      <c r="DD329" s="35"/>
      <c r="DE329" s="35"/>
      <c r="DF329" s="35"/>
      <c r="DG329" s="35"/>
      <c r="DH329" s="35"/>
      <c r="DI329" s="35"/>
      <c r="DJ329" s="35"/>
      <c r="DK329" s="35"/>
      <c r="DL329" s="35"/>
      <c r="DM329" s="35"/>
      <c r="DN329" s="35"/>
      <c r="DO329" s="35"/>
      <c r="DP329" s="35"/>
      <c r="DQ329" s="35"/>
      <c r="DR329" s="35"/>
      <c r="DS329" s="35"/>
      <c r="DT329" s="35"/>
      <c r="DU329" s="35"/>
      <c r="DV329" s="35"/>
      <c r="DW329" s="35"/>
      <c r="DX329" s="35"/>
      <c r="DY329" s="35"/>
      <c r="DZ329" s="35"/>
      <c r="EA329" s="35"/>
      <c r="EB329" s="35"/>
      <c r="EC329" s="35"/>
      <c r="ED329" s="35"/>
      <c r="EE329" s="35"/>
      <c r="EF329" s="35"/>
      <c r="EG329" s="35"/>
      <c r="EH329" s="35"/>
      <c r="EI329" s="35"/>
      <c r="EJ329" s="35"/>
      <c r="EK329" s="35"/>
      <c r="EL329" s="35"/>
      <c r="EM329" s="35"/>
      <c r="EN329" s="35"/>
      <c r="EO329" s="35"/>
      <c r="EP329" s="35"/>
      <c r="EQ329" s="35"/>
      <c r="ER329" s="35"/>
      <c r="ES329" s="35"/>
      <c r="ET329" s="35"/>
      <c r="EU329" s="35"/>
      <c r="EV329" s="35"/>
      <c r="EW329" s="35"/>
      <c r="EX329" s="35"/>
      <c r="EY329" s="35"/>
      <c r="EZ329" s="35"/>
      <c r="FA329" s="35"/>
      <c r="FB329" s="35"/>
      <c r="FC329" s="458">
        <f t="shared" si="41"/>
        <v>0</v>
      </c>
      <c r="FD329">
        <f t="shared" si="42"/>
        <v>0</v>
      </c>
      <c r="FE329" t="e">
        <f t="shared" si="43"/>
        <v>#N/A</v>
      </c>
      <c r="FI329" s="731" t="e">
        <f t="shared" si="44"/>
        <v>#VALUE!</v>
      </c>
      <c r="FK329" s="471" t="str">
        <f t="shared" si="45"/>
        <v xml:space="preserve"> </v>
      </c>
      <c r="FL329" s="730">
        <f t="shared" si="46"/>
        <v>0</v>
      </c>
      <c r="FM329" s="471" t="str">
        <f t="shared" si="47"/>
        <v/>
      </c>
      <c r="FN329" s="730">
        <f t="shared" si="40"/>
        <v>0</v>
      </c>
    </row>
    <row r="330" spans="1:170" x14ac:dyDescent="0.2">
      <c r="A330" s="34" t="s">
        <v>951</v>
      </c>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c r="BG330" s="35"/>
      <c r="BH330" s="35"/>
      <c r="BI330" s="35"/>
      <c r="BJ330" s="35"/>
      <c r="BK330" s="35"/>
      <c r="BL330" s="35"/>
      <c r="BM330" s="35"/>
      <c r="BN330" s="35"/>
      <c r="BO330" s="35"/>
      <c r="BP330" s="35"/>
      <c r="BQ330" s="35"/>
      <c r="BR330" s="35"/>
      <c r="BS330" s="35"/>
      <c r="BT330" s="35"/>
      <c r="BU330" s="35"/>
      <c r="BV330" s="35"/>
      <c r="BW330" s="35"/>
      <c r="BX330" s="35"/>
      <c r="BY330" s="35"/>
      <c r="BZ330" s="35"/>
      <c r="CA330" s="35"/>
      <c r="CB330" s="35"/>
      <c r="CC330" s="35"/>
      <c r="CD330" s="35"/>
      <c r="CE330" s="35"/>
      <c r="CF330" s="35"/>
      <c r="CG330" s="35"/>
      <c r="CH330" s="35"/>
      <c r="CI330" s="35"/>
      <c r="CJ330" s="35"/>
      <c r="CK330" s="35"/>
      <c r="CL330" s="35"/>
      <c r="CM330" s="35"/>
      <c r="CN330" s="35"/>
      <c r="CO330" s="35"/>
      <c r="CP330" s="35"/>
      <c r="CQ330" s="35"/>
      <c r="CR330" s="35"/>
      <c r="CS330" s="35"/>
      <c r="CT330" s="35"/>
      <c r="CU330" s="35"/>
      <c r="CV330" s="35"/>
      <c r="CW330" s="35"/>
      <c r="CX330" s="35"/>
      <c r="CY330" s="35"/>
      <c r="CZ330" s="35"/>
      <c r="DA330" s="35"/>
      <c r="DB330" s="35"/>
      <c r="DC330" s="35"/>
      <c r="DD330" s="35"/>
      <c r="DE330" s="35"/>
      <c r="DF330" s="35"/>
      <c r="DG330" s="35"/>
      <c r="DH330" s="35"/>
      <c r="DI330" s="35"/>
      <c r="DJ330" s="35"/>
      <c r="DK330" s="35"/>
      <c r="DL330" s="35"/>
      <c r="DM330" s="35"/>
      <c r="DN330" s="35"/>
      <c r="DO330" s="35"/>
      <c r="DP330" s="35"/>
      <c r="DQ330" s="35"/>
      <c r="DR330" s="35"/>
      <c r="DS330" s="35"/>
      <c r="DT330" s="35"/>
      <c r="DU330" s="35"/>
      <c r="DV330" s="35"/>
      <c r="DW330" s="35"/>
      <c r="DX330" s="35"/>
      <c r="DY330" s="35"/>
      <c r="DZ330" s="35"/>
      <c r="EA330" s="35"/>
      <c r="EB330" s="35"/>
      <c r="EC330" s="35"/>
      <c r="ED330" s="35"/>
      <c r="EE330" s="35"/>
      <c r="EF330" s="35"/>
      <c r="EG330" s="35"/>
      <c r="EH330" s="35"/>
      <c r="EI330" s="35"/>
      <c r="EJ330" s="35"/>
      <c r="EK330" s="35"/>
      <c r="EL330" s="35"/>
      <c r="EM330" s="35"/>
      <c r="EN330" s="35"/>
      <c r="EO330" s="35"/>
      <c r="EP330" s="35"/>
      <c r="EQ330" s="35"/>
      <c r="ER330" s="35"/>
      <c r="ES330" s="35"/>
      <c r="ET330" s="35"/>
      <c r="EU330" s="35"/>
      <c r="EV330" s="35"/>
      <c r="EW330" s="35"/>
      <c r="EX330" s="35"/>
      <c r="EY330" s="35"/>
      <c r="EZ330" s="35"/>
      <c r="FA330" s="35"/>
      <c r="FB330" s="35"/>
      <c r="FC330" s="458">
        <f t="shared" si="41"/>
        <v>0</v>
      </c>
      <c r="FD330">
        <f t="shared" si="42"/>
        <v>0</v>
      </c>
      <c r="FE330" t="e">
        <f t="shared" si="43"/>
        <v>#N/A</v>
      </c>
      <c r="FI330" s="731" t="e">
        <f t="shared" si="44"/>
        <v>#VALUE!</v>
      </c>
      <c r="FK330" s="471" t="str">
        <f t="shared" si="45"/>
        <v xml:space="preserve"> </v>
      </c>
      <c r="FL330" s="730">
        <f t="shared" si="46"/>
        <v>0</v>
      </c>
      <c r="FM330" s="471" t="str">
        <f t="shared" si="47"/>
        <v/>
      </c>
      <c r="FN330" s="730">
        <f t="shared" si="40"/>
        <v>0</v>
      </c>
    </row>
    <row r="331" spans="1:170" x14ac:dyDescent="0.2">
      <c r="A331" s="34" t="s">
        <v>952</v>
      </c>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c r="BG331" s="35"/>
      <c r="BH331" s="35"/>
      <c r="BI331" s="35"/>
      <c r="BJ331" s="35"/>
      <c r="BK331" s="35"/>
      <c r="BL331" s="35"/>
      <c r="BM331" s="35"/>
      <c r="BN331" s="35"/>
      <c r="BO331" s="35"/>
      <c r="BP331" s="35"/>
      <c r="BQ331" s="35"/>
      <c r="BR331" s="35"/>
      <c r="BS331" s="35"/>
      <c r="BT331" s="35"/>
      <c r="BU331" s="35"/>
      <c r="BV331" s="35"/>
      <c r="BW331" s="35"/>
      <c r="BX331" s="35"/>
      <c r="BY331" s="35"/>
      <c r="BZ331" s="35"/>
      <c r="CA331" s="35"/>
      <c r="CB331" s="35"/>
      <c r="CC331" s="35"/>
      <c r="CD331" s="35"/>
      <c r="CE331" s="35"/>
      <c r="CF331" s="35"/>
      <c r="CG331" s="35"/>
      <c r="CH331" s="35"/>
      <c r="CI331" s="35"/>
      <c r="CJ331" s="35"/>
      <c r="CK331" s="35"/>
      <c r="CL331" s="35"/>
      <c r="CM331" s="35"/>
      <c r="CN331" s="35"/>
      <c r="CO331" s="35"/>
      <c r="CP331" s="35"/>
      <c r="CQ331" s="35"/>
      <c r="CR331" s="35"/>
      <c r="CS331" s="35"/>
      <c r="CT331" s="35"/>
      <c r="CU331" s="35"/>
      <c r="CV331" s="35"/>
      <c r="CW331" s="35"/>
      <c r="CX331" s="35"/>
      <c r="CY331" s="35"/>
      <c r="CZ331" s="35"/>
      <c r="DA331" s="35"/>
      <c r="DB331" s="35"/>
      <c r="DC331" s="35"/>
      <c r="DD331" s="35"/>
      <c r="DE331" s="35"/>
      <c r="DF331" s="35"/>
      <c r="DG331" s="35"/>
      <c r="DH331" s="35"/>
      <c r="DI331" s="35"/>
      <c r="DJ331" s="35"/>
      <c r="DK331" s="35"/>
      <c r="DL331" s="35"/>
      <c r="DM331" s="35"/>
      <c r="DN331" s="35"/>
      <c r="DO331" s="35"/>
      <c r="DP331" s="35"/>
      <c r="DQ331" s="35"/>
      <c r="DR331" s="35"/>
      <c r="DS331" s="35"/>
      <c r="DT331" s="35"/>
      <c r="DU331" s="35"/>
      <c r="DV331" s="35"/>
      <c r="DW331" s="35"/>
      <c r="DX331" s="35"/>
      <c r="DY331" s="35"/>
      <c r="DZ331" s="35"/>
      <c r="EA331" s="35"/>
      <c r="EB331" s="35"/>
      <c r="EC331" s="35"/>
      <c r="ED331" s="35"/>
      <c r="EE331" s="35"/>
      <c r="EF331" s="35"/>
      <c r="EG331" s="35"/>
      <c r="EH331" s="35"/>
      <c r="EI331" s="35"/>
      <c r="EJ331" s="35"/>
      <c r="EK331" s="35"/>
      <c r="EL331" s="35"/>
      <c r="EM331" s="35"/>
      <c r="EN331" s="35"/>
      <c r="EO331" s="35"/>
      <c r="EP331" s="35"/>
      <c r="EQ331" s="35"/>
      <c r="ER331" s="35"/>
      <c r="ES331" s="35"/>
      <c r="ET331" s="35"/>
      <c r="EU331" s="35"/>
      <c r="EV331" s="35"/>
      <c r="EW331" s="35"/>
      <c r="EX331" s="35"/>
      <c r="EY331" s="35"/>
      <c r="EZ331" s="35"/>
      <c r="FA331" s="35"/>
      <c r="FB331" s="35"/>
      <c r="FC331" s="458">
        <f t="shared" si="41"/>
        <v>0</v>
      </c>
      <c r="FD331">
        <f t="shared" si="42"/>
        <v>0</v>
      </c>
      <c r="FE331" t="e">
        <f t="shared" si="43"/>
        <v>#N/A</v>
      </c>
      <c r="FI331" s="731" t="e">
        <f t="shared" si="44"/>
        <v>#VALUE!</v>
      </c>
      <c r="FK331" s="471" t="str">
        <f t="shared" si="45"/>
        <v xml:space="preserve"> </v>
      </c>
      <c r="FL331" s="730">
        <f t="shared" si="46"/>
        <v>0</v>
      </c>
      <c r="FM331" s="471" t="str">
        <f t="shared" si="47"/>
        <v/>
      </c>
      <c r="FN331" s="730">
        <f t="shared" si="40"/>
        <v>0</v>
      </c>
    </row>
    <row r="332" spans="1:170" x14ac:dyDescent="0.2">
      <c r="A332" s="34" t="s">
        <v>953</v>
      </c>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c r="BG332" s="35"/>
      <c r="BH332" s="35"/>
      <c r="BI332" s="35"/>
      <c r="BJ332" s="35"/>
      <c r="BK332" s="35"/>
      <c r="BL332" s="35"/>
      <c r="BM332" s="35"/>
      <c r="BN332" s="35"/>
      <c r="BO332" s="35"/>
      <c r="BP332" s="35"/>
      <c r="BQ332" s="35"/>
      <c r="BR332" s="35"/>
      <c r="BS332" s="35"/>
      <c r="BT332" s="35"/>
      <c r="BU332" s="35"/>
      <c r="BV332" s="35"/>
      <c r="BW332" s="35"/>
      <c r="BX332" s="35"/>
      <c r="BY332" s="35"/>
      <c r="BZ332" s="35"/>
      <c r="CA332" s="35"/>
      <c r="CB332" s="35"/>
      <c r="CC332" s="35"/>
      <c r="CD332" s="35"/>
      <c r="CE332" s="35"/>
      <c r="CF332" s="35"/>
      <c r="CG332" s="35"/>
      <c r="CH332" s="35"/>
      <c r="CI332" s="35"/>
      <c r="CJ332" s="35"/>
      <c r="CK332" s="35"/>
      <c r="CL332" s="35"/>
      <c r="CM332" s="35"/>
      <c r="CN332" s="35"/>
      <c r="CO332" s="35"/>
      <c r="CP332" s="35"/>
      <c r="CQ332" s="35"/>
      <c r="CR332" s="35"/>
      <c r="CS332" s="35"/>
      <c r="CT332" s="35"/>
      <c r="CU332" s="35"/>
      <c r="CV332" s="35"/>
      <c r="CW332" s="35"/>
      <c r="CX332" s="35"/>
      <c r="CY332" s="35"/>
      <c r="CZ332" s="35"/>
      <c r="DA332" s="35"/>
      <c r="DB332" s="35"/>
      <c r="DC332" s="35"/>
      <c r="DD332" s="35"/>
      <c r="DE332" s="35"/>
      <c r="DF332" s="35"/>
      <c r="DG332" s="35"/>
      <c r="DH332" s="35"/>
      <c r="DI332" s="35"/>
      <c r="DJ332" s="35"/>
      <c r="DK332" s="35"/>
      <c r="DL332" s="35"/>
      <c r="DM332" s="35"/>
      <c r="DN332" s="35"/>
      <c r="DO332" s="35"/>
      <c r="DP332" s="35"/>
      <c r="DQ332" s="35"/>
      <c r="DR332" s="35"/>
      <c r="DS332" s="35"/>
      <c r="DT332" s="35"/>
      <c r="DU332" s="35"/>
      <c r="DV332" s="35"/>
      <c r="DW332" s="35"/>
      <c r="DX332" s="35"/>
      <c r="DY332" s="35"/>
      <c r="DZ332" s="35"/>
      <c r="EA332" s="35"/>
      <c r="EB332" s="35"/>
      <c r="EC332" s="35"/>
      <c r="ED332" s="35"/>
      <c r="EE332" s="35"/>
      <c r="EF332" s="35"/>
      <c r="EG332" s="35"/>
      <c r="EH332" s="35"/>
      <c r="EI332" s="35"/>
      <c r="EJ332" s="35"/>
      <c r="EK332" s="35"/>
      <c r="EL332" s="35"/>
      <c r="EM332" s="35"/>
      <c r="EN332" s="35"/>
      <c r="EO332" s="35"/>
      <c r="EP332" s="35"/>
      <c r="EQ332" s="35"/>
      <c r="ER332" s="35"/>
      <c r="ES332" s="35"/>
      <c r="ET332" s="35"/>
      <c r="EU332" s="35"/>
      <c r="EV332" s="35"/>
      <c r="EW332" s="35"/>
      <c r="EX332" s="35"/>
      <c r="EY332" s="35"/>
      <c r="EZ332" s="35"/>
      <c r="FA332" s="35"/>
      <c r="FB332" s="35"/>
      <c r="FC332" s="458">
        <f t="shared" si="41"/>
        <v>0</v>
      </c>
      <c r="FD332">
        <f t="shared" si="42"/>
        <v>0</v>
      </c>
      <c r="FE332" t="e">
        <f t="shared" si="43"/>
        <v>#N/A</v>
      </c>
      <c r="FI332" s="731" t="e">
        <f t="shared" si="44"/>
        <v>#VALUE!</v>
      </c>
      <c r="FK332" s="471" t="str">
        <f t="shared" si="45"/>
        <v xml:space="preserve"> </v>
      </c>
      <c r="FL332" s="730">
        <f t="shared" si="46"/>
        <v>0</v>
      </c>
      <c r="FM332" s="471" t="str">
        <f t="shared" si="47"/>
        <v/>
      </c>
      <c r="FN332" s="730">
        <f t="shared" si="40"/>
        <v>0</v>
      </c>
    </row>
    <row r="333" spans="1:170" x14ac:dyDescent="0.2">
      <c r="A333" s="34" t="s">
        <v>954</v>
      </c>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c r="BG333" s="35"/>
      <c r="BH333" s="35"/>
      <c r="BI333" s="35"/>
      <c r="BJ333" s="35"/>
      <c r="BK333" s="35"/>
      <c r="BL333" s="35"/>
      <c r="BM333" s="35"/>
      <c r="BN333" s="35"/>
      <c r="BO333" s="35"/>
      <c r="BP333" s="35"/>
      <c r="BQ333" s="35"/>
      <c r="BR333" s="35"/>
      <c r="BS333" s="35"/>
      <c r="BT333" s="35"/>
      <c r="BU333" s="35"/>
      <c r="BV333" s="35"/>
      <c r="BW333" s="35"/>
      <c r="BX333" s="35"/>
      <c r="BY333" s="35"/>
      <c r="BZ333" s="35"/>
      <c r="CA333" s="35"/>
      <c r="CB333" s="35"/>
      <c r="CC333" s="35"/>
      <c r="CD333" s="35"/>
      <c r="CE333" s="35"/>
      <c r="CF333" s="35"/>
      <c r="CG333" s="35"/>
      <c r="CH333" s="35"/>
      <c r="CI333" s="35"/>
      <c r="CJ333" s="35"/>
      <c r="CK333" s="35"/>
      <c r="CL333" s="35"/>
      <c r="CM333" s="35"/>
      <c r="CN333" s="35"/>
      <c r="CO333" s="35"/>
      <c r="CP333" s="35"/>
      <c r="CQ333" s="35"/>
      <c r="CR333" s="35"/>
      <c r="CS333" s="35"/>
      <c r="CT333" s="35"/>
      <c r="CU333" s="35"/>
      <c r="CV333" s="35"/>
      <c r="CW333" s="35"/>
      <c r="CX333" s="35"/>
      <c r="CY333" s="35"/>
      <c r="CZ333" s="35"/>
      <c r="DA333" s="35"/>
      <c r="DB333" s="35"/>
      <c r="DC333" s="35"/>
      <c r="DD333" s="35"/>
      <c r="DE333" s="35"/>
      <c r="DF333" s="35"/>
      <c r="DG333" s="35"/>
      <c r="DH333" s="35"/>
      <c r="DI333" s="35"/>
      <c r="DJ333" s="35"/>
      <c r="DK333" s="35"/>
      <c r="DL333" s="35"/>
      <c r="DM333" s="35"/>
      <c r="DN333" s="35"/>
      <c r="DO333" s="35"/>
      <c r="DP333" s="35"/>
      <c r="DQ333" s="35"/>
      <c r="DR333" s="35"/>
      <c r="DS333" s="35"/>
      <c r="DT333" s="35"/>
      <c r="DU333" s="35"/>
      <c r="DV333" s="35"/>
      <c r="DW333" s="35"/>
      <c r="DX333" s="35"/>
      <c r="DY333" s="35"/>
      <c r="DZ333" s="35"/>
      <c r="EA333" s="35"/>
      <c r="EB333" s="35"/>
      <c r="EC333" s="35"/>
      <c r="ED333" s="35"/>
      <c r="EE333" s="35"/>
      <c r="EF333" s="35"/>
      <c r="EG333" s="35"/>
      <c r="EH333" s="35"/>
      <c r="EI333" s="35"/>
      <c r="EJ333" s="35"/>
      <c r="EK333" s="35"/>
      <c r="EL333" s="35"/>
      <c r="EM333" s="35"/>
      <c r="EN333" s="35"/>
      <c r="EO333" s="35"/>
      <c r="EP333" s="35"/>
      <c r="EQ333" s="35"/>
      <c r="ER333" s="35"/>
      <c r="ES333" s="35"/>
      <c r="ET333" s="35"/>
      <c r="EU333" s="35"/>
      <c r="EV333" s="35"/>
      <c r="EW333" s="35"/>
      <c r="EX333" s="35"/>
      <c r="EY333" s="35"/>
      <c r="EZ333" s="35"/>
      <c r="FA333" s="35"/>
      <c r="FB333" s="35"/>
      <c r="FC333" s="458">
        <f t="shared" si="41"/>
        <v>0</v>
      </c>
      <c r="FD333">
        <f t="shared" si="42"/>
        <v>0</v>
      </c>
      <c r="FE333" t="e">
        <f t="shared" si="43"/>
        <v>#N/A</v>
      </c>
      <c r="FI333" s="731" t="e">
        <f t="shared" si="44"/>
        <v>#VALUE!</v>
      </c>
      <c r="FK333" s="471" t="str">
        <f t="shared" si="45"/>
        <v xml:space="preserve"> </v>
      </c>
      <c r="FL333" s="730">
        <f t="shared" si="46"/>
        <v>0</v>
      </c>
      <c r="FM333" s="471" t="str">
        <f t="shared" si="47"/>
        <v/>
      </c>
      <c r="FN333" s="730">
        <f t="shared" si="40"/>
        <v>0</v>
      </c>
    </row>
    <row r="334" spans="1:170" x14ac:dyDescent="0.2">
      <c r="A334" s="34" t="s">
        <v>955</v>
      </c>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5"/>
      <c r="BP334" s="35"/>
      <c r="BQ334" s="35"/>
      <c r="BR334" s="35"/>
      <c r="BS334" s="35"/>
      <c r="BT334" s="35"/>
      <c r="BU334" s="35"/>
      <c r="BV334" s="35"/>
      <c r="BW334" s="35"/>
      <c r="BX334" s="35"/>
      <c r="BY334" s="35"/>
      <c r="BZ334" s="35"/>
      <c r="CA334" s="35"/>
      <c r="CB334" s="35"/>
      <c r="CC334" s="35"/>
      <c r="CD334" s="35"/>
      <c r="CE334" s="35"/>
      <c r="CF334" s="35"/>
      <c r="CG334" s="35"/>
      <c r="CH334" s="35"/>
      <c r="CI334" s="35"/>
      <c r="CJ334" s="35"/>
      <c r="CK334" s="35"/>
      <c r="CL334" s="35"/>
      <c r="CM334" s="35"/>
      <c r="CN334" s="35"/>
      <c r="CO334" s="35"/>
      <c r="CP334" s="35"/>
      <c r="CQ334" s="35"/>
      <c r="CR334" s="35"/>
      <c r="CS334" s="35"/>
      <c r="CT334" s="35"/>
      <c r="CU334" s="35"/>
      <c r="CV334" s="35"/>
      <c r="CW334" s="35"/>
      <c r="CX334" s="35"/>
      <c r="CY334" s="35"/>
      <c r="CZ334" s="35"/>
      <c r="DA334" s="35"/>
      <c r="DB334" s="35"/>
      <c r="DC334" s="35"/>
      <c r="DD334" s="35"/>
      <c r="DE334" s="35"/>
      <c r="DF334" s="35"/>
      <c r="DG334" s="35"/>
      <c r="DH334" s="35"/>
      <c r="DI334" s="35"/>
      <c r="DJ334" s="35"/>
      <c r="DK334" s="35"/>
      <c r="DL334" s="35"/>
      <c r="DM334" s="35"/>
      <c r="DN334" s="35"/>
      <c r="DO334" s="35"/>
      <c r="DP334" s="35"/>
      <c r="DQ334" s="35"/>
      <c r="DR334" s="35"/>
      <c r="DS334" s="35"/>
      <c r="DT334" s="35"/>
      <c r="DU334" s="35"/>
      <c r="DV334" s="35"/>
      <c r="DW334" s="35"/>
      <c r="DX334" s="35"/>
      <c r="DY334" s="35"/>
      <c r="DZ334" s="35"/>
      <c r="EA334" s="35"/>
      <c r="EB334" s="35"/>
      <c r="EC334" s="35"/>
      <c r="ED334" s="35"/>
      <c r="EE334" s="35"/>
      <c r="EF334" s="35"/>
      <c r="EG334" s="35"/>
      <c r="EH334" s="35"/>
      <c r="EI334" s="35"/>
      <c r="EJ334" s="35"/>
      <c r="EK334" s="35"/>
      <c r="EL334" s="35"/>
      <c r="EM334" s="35"/>
      <c r="EN334" s="35"/>
      <c r="EO334" s="35"/>
      <c r="EP334" s="35"/>
      <c r="EQ334" s="35"/>
      <c r="ER334" s="35"/>
      <c r="ES334" s="35"/>
      <c r="ET334" s="35"/>
      <c r="EU334" s="35"/>
      <c r="EV334" s="35"/>
      <c r="EW334" s="35"/>
      <c r="EX334" s="35"/>
      <c r="EY334" s="35"/>
      <c r="EZ334" s="35"/>
      <c r="FA334" s="35"/>
      <c r="FB334" s="35"/>
      <c r="FC334" s="458">
        <f t="shared" si="41"/>
        <v>0</v>
      </c>
      <c r="FD334">
        <f t="shared" si="42"/>
        <v>0</v>
      </c>
      <c r="FE334" t="e">
        <f t="shared" si="43"/>
        <v>#N/A</v>
      </c>
      <c r="FI334" s="731" t="e">
        <f t="shared" si="44"/>
        <v>#VALUE!</v>
      </c>
      <c r="FK334" s="471" t="str">
        <f t="shared" si="45"/>
        <v xml:space="preserve"> </v>
      </c>
      <c r="FL334" s="730">
        <f t="shared" si="46"/>
        <v>0</v>
      </c>
      <c r="FM334" s="471" t="str">
        <f t="shared" si="47"/>
        <v/>
      </c>
      <c r="FN334" s="730">
        <f t="shared" si="40"/>
        <v>0</v>
      </c>
    </row>
    <row r="335" spans="1:170" x14ac:dyDescent="0.2">
      <c r="A335" s="34" t="s">
        <v>956</v>
      </c>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c r="BI335" s="35"/>
      <c r="BJ335" s="35"/>
      <c r="BK335" s="35"/>
      <c r="BL335" s="35"/>
      <c r="BM335" s="35"/>
      <c r="BN335" s="35"/>
      <c r="BO335" s="35"/>
      <c r="BP335" s="35"/>
      <c r="BQ335" s="35"/>
      <c r="BR335" s="35"/>
      <c r="BS335" s="35"/>
      <c r="BT335" s="35"/>
      <c r="BU335" s="35"/>
      <c r="BV335" s="35"/>
      <c r="BW335" s="35"/>
      <c r="BX335" s="35"/>
      <c r="BY335" s="35"/>
      <c r="BZ335" s="35"/>
      <c r="CA335" s="35"/>
      <c r="CB335" s="35"/>
      <c r="CC335" s="35"/>
      <c r="CD335" s="35"/>
      <c r="CE335" s="35"/>
      <c r="CF335" s="35"/>
      <c r="CG335" s="35"/>
      <c r="CH335" s="35"/>
      <c r="CI335" s="35"/>
      <c r="CJ335" s="35"/>
      <c r="CK335" s="35"/>
      <c r="CL335" s="35"/>
      <c r="CM335" s="35"/>
      <c r="CN335" s="35"/>
      <c r="CO335" s="35"/>
      <c r="CP335" s="35"/>
      <c r="CQ335" s="35"/>
      <c r="CR335" s="35"/>
      <c r="CS335" s="35"/>
      <c r="CT335" s="35"/>
      <c r="CU335" s="35"/>
      <c r="CV335" s="35"/>
      <c r="CW335" s="35"/>
      <c r="CX335" s="35"/>
      <c r="CY335" s="35"/>
      <c r="CZ335" s="35"/>
      <c r="DA335" s="35"/>
      <c r="DB335" s="35"/>
      <c r="DC335" s="35"/>
      <c r="DD335" s="35"/>
      <c r="DE335" s="35"/>
      <c r="DF335" s="35"/>
      <c r="DG335" s="35"/>
      <c r="DH335" s="35"/>
      <c r="DI335" s="35"/>
      <c r="DJ335" s="35"/>
      <c r="DK335" s="35"/>
      <c r="DL335" s="35"/>
      <c r="DM335" s="35"/>
      <c r="DN335" s="35"/>
      <c r="DO335" s="35"/>
      <c r="DP335" s="35"/>
      <c r="DQ335" s="35"/>
      <c r="DR335" s="35"/>
      <c r="DS335" s="35"/>
      <c r="DT335" s="35"/>
      <c r="DU335" s="35"/>
      <c r="DV335" s="35"/>
      <c r="DW335" s="35"/>
      <c r="DX335" s="35"/>
      <c r="DY335" s="35"/>
      <c r="DZ335" s="35"/>
      <c r="EA335" s="35"/>
      <c r="EB335" s="35"/>
      <c r="EC335" s="35"/>
      <c r="ED335" s="35"/>
      <c r="EE335" s="35"/>
      <c r="EF335" s="35"/>
      <c r="EG335" s="35"/>
      <c r="EH335" s="35"/>
      <c r="EI335" s="35"/>
      <c r="EJ335" s="35"/>
      <c r="EK335" s="35"/>
      <c r="EL335" s="35"/>
      <c r="EM335" s="35"/>
      <c r="EN335" s="35"/>
      <c r="EO335" s="35"/>
      <c r="EP335" s="35"/>
      <c r="EQ335" s="35"/>
      <c r="ER335" s="35"/>
      <c r="ES335" s="35"/>
      <c r="ET335" s="35"/>
      <c r="EU335" s="35"/>
      <c r="EV335" s="35"/>
      <c r="EW335" s="35"/>
      <c r="EX335" s="35"/>
      <c r="EY335" s="35"/>
      <c r="EZ335" s="35"/>
      <c r="FA335" s="35"/>
      <c r="FB335" s="35"/>
      <c r="FC335" s="458">
        <f t="shared" si="41"/>
        <v>0</v>
      </c>
      <c r="FD335">
        <f t="shared" si="42"/>
        <v>0</v>
      </c>
      <c r="FE335" t="e">
        <f t="shared" si="43"/>
        <v>#N/A</v>
      </c>
      <c r="FI335" s="731" t="e">
        <f t="shared" si="44"/>
        <v>#VALUE!</v>
      </c>
      <c r="FK335" s="471" t="str">
        <f t="shared" si="45"/>
        <v xml:space="preserve"> </v>
      </c>
      <c r="FL335" s="730">
        <f t="shared" si="46"/>
        <v>0</v>
      </c>
      <c r="FM335" s="471" t="str">
        <f t="shared" si="47"/>
        <v/>
      </c>
      <c r="FN335" s="730">
        <f t="shared" si="40"/>
        <v>0</v>
      </c>
    </row>
    <row r="336" spans="1:170" x14ac:dyDescent="0.2">
      <c r="A336" s="34" t="s">
        <v>957</v>
      </c>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c r="BG336" s="35"/>
      <c r="BH336" s="35"/>
      <c r="BI336" s="35"/>
      <c r="BJ336" s="35"/>
      <c r="BK336" s="35"/>
      <c r="BL336" s="35"/>
      <c r="BM336" s="35"/>
      <c r="BN336" s="35"/>
      <c r="BO336" s="35"/>
      <c r="BP336" s="35"/>
      <c r="BQ336" s="35"/>
      <c r="BR336" s="35"/>
      <c r="BS336" s="35"/>
      <c r="BT336" s="35"/>
      <c r="BU336" s="35"/>
      <c r="BV336" s="35"/>
      <c r="BW336" s="35"/>
      <c r="BX336" s="35"/>
      <c r="BY336" s="35"/>
      <c r="BZ336" s="35"/>
      <c r="CA336" s="35"/>
      <c r="CB336" s="35"/>
      <c r="CC336" s="35"/>
      <c r="CD336" s="35"/>
      <c r="CE336" s="35"/>
      <c r="CF336" s="35"/>
      <c r="CG336" s="35"/>
      <c r="CH336" s="35"/>
      <c r="CI336" s="35"/>
      <c r="CJ336" s="35"/>
      <c r="CK336" s="35"/>
      <c r="CL336" s="35"/>
      <c r="CM336" s="35"/>
      <c r="CN336" s="35"/>
      <c r="CO336" s="35"/>
      <c r="CP336" s="35"/>
      <c r="CQ336" s="35"/>
      <c r="CR336" s="35"/>
      <c r="CS336" s="35"/>
      <c r="CT336" s="35"/>
      <c r="CU336" s="35"/>
      <c r="CV336" s="35"/>
      <c r="CW336" s="35"/>
      <c r="CX336" s="35"/>
      <c r="CY336" s="35"/>
      <c r="CZ336" s="35"/>
      <c r="DA336" s="35"/>
      <c r="DB336" s="35"/>
      <c r="DC336" s="35"/>
      <c r="DD336" s="35"/>
      <c r="DE336" s="35"/>
      <c r="DF336" s="35"/>
      <c r="DG336" s="35"/>
      <c r="DH336" s="35"/>
      <c r="DI336" s="35"/>
      <c r="DJ336" s="35"/>
      <c r="DK336" s="35"/>
      <c r="DL336" s="35"/>
      <c r="DM336" s="35"/>
      <c r="DN336" s="35"/>
      <c r="DO336" s="35"/>
      <c r="DP336" s="35"/>
      <c r="DQ336" s="35"/>
      <c r="DR336" s="35"/>
      <c r="DS336" s="35"/>
      <c r="DT336" s="35"/>
      <c r="DU336" s="35"/>
      <c r="DV336" s="35"/>
      <c r="DW336" s="35"/>
      <c r="DX336" s="35"/>
      <c r="DY336" s="35"/>
      <c r="DZ336" s="35"/>
      <c r="EA336" s="35"/>
      <c r="EB336" s="35"/>
      <c r="EC336" s="35"/>
      <c r="ED336" s="35"/>
      <c r="EE336" s="35"/>
      <c r="EF336" s="35"/>
      <c r="EG336" s="35"/>
      <c r="EH336" s="35"/>
      <c r="EI336" s="35"/>
      <c r="EJ336" s="35"/>
      <c r="EK336" s="35"/>
      <c r="EL336" s="35"/>
      <c r="EM336" s="35"/>
      <c r="EN336" s="35"/>
      <c r="EO336" s="35"/>
      <c r="EP336" s="35"/>
      <c r="EQ336" s="35"/>
      <c r="ER336" s="35"/>
      <c r="ES336" s="35"/>
      <c r="ET336" s="35"/>
      <c r="EU336" s="35"/>
      <c r="EV336" s="35"/>
      <c r="EW336" s="35"/>
      <c r="EX336" s="35"/>
      <c r="EY336" s="35"/>
      <c r="EZ336" s="35"/>
      <c r="FA336" s="35"/>
      <c r="FB336" s="35"/>
      <c r="FC336" s="458">
        <f t="shared" si="41"/>
        <v>0</v>
      </c>
      <c r="FD336">
        <f t="shared" si="42"/>
        <v>0</v>
      </c>
      <c r="FE336" t="e">
        <f t="shared" si="43"/>
        <v>#N/A</v>
      </c>
      <c r="FI336" s="731" t="e">
        <f t="shared" si="44"/>
        <v>#VALUE!</v>
      </c>
      <c r="FK336" s="471" t="str">
        <f t="shared" si="45"/>
        <v xml:space="preserve"> </v>
      </c>
      <c r="FL336" s="730">
        <f t="shared" si="46"/>
        <v>0</v>
      </c>
      <c r="FM336" s="471" t="str">
        <f t="shared" si="47"/>
        <v/>
      </c>
      <c r="FN336" s="730">
        <f t="shared" si="40"/>
        <v>0</v>
      </c>
    </row>
    <row r="337" spans="1:170" x14ac:dyDescent="0.2">
      <c r="A337" s="34" t="s">
        <v>958</v>
      </c>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c r="BG337" s="35"/>
      <c r="BH337" s="35"/>
      <c r="BI337" s="35"/>
      <c r="BJ337" s="35"/>
      <c r="BK337" s="35"/>
      <c r="BL337" s="35"/>
      <c r="BM337" s="35"/>
      <c r="BN337" s="35"/>
      <c r="BO337" s="35"/>
      <c r="BP337" s="35"/>
      <c r="BQ337" s="35"/>
      <c r="BR337" s="35"/>
      <c r="BS337" s="35"/>
      <c r="BT337" s="35"/>
      <c r="BU337" s="35"/>
      <c r="BV337" s="35"/>
      <c r="BW337" s="35"/>
      <c r="BX337" s="35"/>
      <c r="BY337" s="35"/>
      <c r="BZ337" s="35"/>
      <c r="CA337" s="35"/>
      <c r="CB337" s="35"/>
      <c r="CC337" s="35"/>
      <c r="CD337" s="35"/>
      <c r="CE337" s="35"/>
      <c r="CF337" s="35"/>
      <c r="CG337" s="35"/>
      <c r="CH337" s="35"/>
      <c r="CI337" s="35"/>
      <c r="CJ337" s="35"/>
      <c r="CK337" s="35"/>
      <c r="CL337" s="35"/>
      <c r="CM337" s="35"/>
      <c r="CN337" s="35"/>
      <c r="CO337" s="35"/>
      <c r="CP337" s="35"/>
      <c r="CQ337" s="35"/>
      <c r="CR337" s="35"/>
      <c r="CS337" s="35"/>
      <c r="CT337" s="35"/>
      <c r="CU337" s="35"/>
      <c r="CV337" s="35"/>
      <c r="CW337" s="35"/>
      <c r="CX337" s="35"/>
      <c r="CY337" s="35"/>
      <c r="CZ337" s="35"/>
      <c r="DA337" s="35"/>
      <c r="DB337" s="35"/>
      <c r="DC337" s="35"/>
      <c r="DD337" s="35"/>
      <c r="DE337" s="35"/>
      <c r="DF337" s="35"/>
      <c r="DG337" s="35"/>
      <c r="DH337" s="35"/>
      <c r="DI337" s="35"/>
      <c r="DJ337" s="35"/>
      <c r="DK337" s="35"/>
      <c r="DL337" s="35"/>
      <c r="DM337" s="35"/>
      <c r="DN337" s="35"/>
      <c r="DO337" s="35"/>
      <c r="DP337" s="35"/>
      <c r="DQ337" s="35"/>
      <c r="DR337" s="35"/>
      <c r="DS337" s="35"/>
      <c r="DT337" s="35"/>
      <c r="DU337" s="35"/>
      <c r="DV337" s="35"/>
      <c r="DW337" s="35"/>
      <c r="DX337" s="35"/>
      <c r="DY337" s="35"/>
      <c r="DZ337" s="35"/>
      <c r="EA337" s="35"/>
      <c r="EB337" s="35"/>
      <c r="EC337" s="35"/>
      <c r="ED337" s="35"/>
      <c r="EE337" s="35"/>
      <c r="EF337" s="35"/>
      <c r="EG337" s="35"/>
      <c r="EH337" s="35"/>
      <c r="EI337" s="35"/>
      <c r="EJ337" s="35"/>
      <c r="EK337" s="35"/>
      <c r="EL337" s="35"/>
      <c r="EM337" s="35"/>
      <c r="EN337" s="35"/>
      <c r="EO337" s="35"/>
      <c r="EP337" s="35"/>
      <c r="EQ337" s="35"/>
      <c r="ER337" s="35"/>
      <c r="ES337" s="35"/>
      <c r="ET337" s="35"/>
      <c r="EU337" s="35"/>
      <c r="EV337" s="35"/>
      <c r="EW337" s="35"/>
      <c r="EX337" s="35"/>
      <c r="EY337" s="35"/>
      <c r="EZ337" s="35"/>
      <c r="FA337" s="35"/>
      <c r="FB337" s="35"/>
      <c r="FC337" s="458">
        <f t="shared" si="41"/>
        <v>0</v>
      </c>
      <c r="FD337">
        <f t="shared" si="42"/>
        <v>0</v>
      </c>
      <c r="FE337" t="e">
        <f t="shared" si="43"/>
        <v>#N/A</v>
      </c>
      <c r="FI337" s="731" t="e">
        <f t="shared" si="44"/>
        <v>#VALUE!</v>
      </c>
      <c r="FK337" s="471" t="str">
        <f t="shared" si="45"/>
        <v xml:space="preserve"> </v>
      </c>
      <c r="FL337" s="730">
        <f t="shared" si="46"/>
        <v>0</v>
      </c>
      <c r="FM337" s="471" t="str">
        <f t="shared" si="47"/>
        <v/>
      </c>
      <c r="FN337" s="730">
        <f t="shared" si="40"/>
        <v>0</v>
      </c>
    </row>
    <row r="338" spans="1:170" x14ac:dyDescent="0.2">
      <c r="A338" s="34" t="s">
        <v>959</v>
      </c>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c r="BG338" s="35"/>
      <c r="BH338" s="35"/>
      <c r="BI338" s="35"/>
      <c r="BJ338" s="35"/>
      <c r="BK338" s="35"/>
      <c r="BL338" s="35"/>
      <c r="BM338" s="35"/>
      <c r="BN338" s="35"/>
      <c r="BO338" s="35"/>
      <c r="BP338" s="35"/>
      <c r="BQ338" s="35"/>
      <c r="BR338" s="35"/>
      <c r="BS338" s="35"/>
      <c r="BT338" s="35"/>
      <c r="BU338" s="35"/>
      <c r="BV338" s="35"/>
      <c r="BW338" s="35"/>
      <c r="BX338" s="35"/>
      <c r="BY338" s="35"/>
      <c r="BZ338" s="35"/>
      <c r="CA338" s="35"/>
      <c r="CB338" s="35"/>
      <c r="CC338" s="35"/>
      <c r="CD338" s="35"/>
      <c r="CE338" s="35"/>
      <c r="CF338" s="35"/>
      <c r="CG338" s="35"/>
      <c r="CH338" s="35"/>
      <c r="CI338" s="35"/>
      <c r="CJ338" s="35"/>
      <c r="CK338" s="35"/>
      <c r="CL338" s="35"/>
      <c r="CM338" s="35"/>
      <c r="CN338" s="35"/>
      <c r="CO338" s="35"/>
      <c r="CP338" s="35"/>
      <c r="CQ338" s="35"/>
      <c r="CR338" s="35"/>
      <c r="CS338" s="35"/>
      <c r="CT338" s="35"/>
      <c r="CU338" s="35"/>
      <c r="CV338" s="35"/>
      <c r="CW338" s="35"/>
      <c r="CX338" s="35"/>
      <c r="CY338" s="35"/>
      <c r="CZ338" s="35"/>
      <c r="DA338" s="35"/>
      <c r="DB338" s="35"/>
      <c r="DC338" s="35"/>
      <c r="DD338" s="35"/>
      <c r="DE338" s="35"/>
      <c r="DF338" s="35"/>
      <c r="DG338" s="35"/>
      <c r="DH338" s="35"/>
      <c r="DI338" s="35"/>
      <c r="DJ338" s="35"/>
      <c r="DK338" s="35"/>
      <c r="DL338" s="35"/>
      <c r="DM338" s="35"/>
      <c r="DN338" s="35"/>
      <c r="DO338" s="35"/>
      <c r="DP338" s="35"/>
      <c r="DQ338" s="35"/>
      <c r="DR338" s="35"/>
      <c r="DS338" s="35"/>
      <c r="DT338" s="35"/>
      <c r="DU338" s="35"/>
      <c r="DV338" s="35"/>
      <c r="DW338" s="35"/>
      <c r="DX338" s="35"/>
      <c r="DY338" s="35"/>
      <c r="DZ338" s="35"/>
      <c r="EA338" s="35"/>
      <c r="EB338" s="35"/>
      <c r="EC338" s="35"/>
      <c r="ED338" s="35"/>
      <c r="EE338" s="35"/>
      <c r="EF338" s="35"/>
      <c r="EG338" s="35"/>
      <c r="EH338" s="35"/>
      <c r="EI338" s="35"/>
      <c r="EJ338" s="35"/>
      <c r="EK338" s="35"/>
      <c r="EL338" s="35"/>
      <c r="EM338" s="35"/>
      <c r="EN338" s="35"/>
      <c r="EO338" s="35"/>
      <c r="EP338" s="35"/>
      <c r="EQ338" s="35"/>
      <c r="ER338" s="35"/>
      <c r="ES338" s="35"/>
      <c r="ET338" s="35"/>
      <c r="EU338" s="35"/>
      <c r="EV338" s="35"/>
      <c r="EW338" s="35"/>
      <c r="EX338" s="35"/>
      <c r="EY338" s="35"/>
      <c r="EZ338" s="35"/>
      <c r="FA338" s="35"/>
      <c r="FB338" s="35"/>
      <c r="FC338" s="458">
        <f t="shared" si="41"/>
        <v>0</v>
      </c>
      <c r="FD338">
        <f t="shared" si="42"/>
        <v>0</v>
      </c>
      <c r="FE338" t="e">
        <f t="shared" si="43"/>
        <v>#N/A</v>
      </c>
      <c r="FI338" s="731" t="e">
        <f t="shared" si="44"/>
        <v>#VALUE!</v>
      </c>
      <c r="FK338" s="471" t="str">
        <f t="shared" si="45"/>
        <v xml:space="preserve"> </v>
      </c>
      <c r="FL338" s="730">
        <f t="shared" si="46"/>
        <v>0</v>
      </c>
      <c r="FM338" s="471" t="str">
        <f t="shared" si="47"/>
        <v/>
      </c>
      <c r="FN338" s="730">
        <f t="shared" si="40"/>
        <v>0</v>
      </c>
    </row>
    <row r="339" spans="1:170" x14ac:dyDescent="0.2">
      <c r="A339" s="34" t="s">
        <v>960</v>
      </c>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c r="BG339" s="35"/>
      <c r="BH339" s="35"/>
      <c r="BI339" s="35"/>
      <c r="BJ339" s="35"/>
      <c r="BK339" s="35"/>
      <c r="BL339" s="35"/>
      <c r="BM339" s="35"/>
      <c r="BN339" s="35"/>
      <c r="BO339" s="35"/>
      <c r="BP339" s="35"/>
      <c r="BQ339" s="35"/>
      <c r="BR339" s="35"/>
      <c r="BS339" s="35"/>
      <c r="BT339" s="35"/>
      <c r="BU339" s="35"/>
      <c r="BV339" s="35"/>
      <c r="BW339" s="35"/>
      <c r="BX339" s="35"/>
      <c r="BY339" s="35"/>
      <c r="BZ339" s="35"/>
      <c r="CA339" s="35"/>
      <c r="CB339" s="35"/>
      <c r="CC339" s="35"/>
      <c r="CD339" s="35"/>
      <c r="CE339" s="35"/>
      <c r="CF339" s="35"/>
      <c r="CG339" s="35"/>
      <c r="CH339" s="35"/>
      <c r="CI339" s="35"/>
      <c r="CJ339" s="35"/>
      <c r="CK339" s="35"/>
      <c r="CL339" s="35"/>
      <c r="CM339" s="35"/>
      <c r="CN339" s="35"/>
      <c r="CO339" s="35"/>
      <c r="CP339" s="35"/>
      <c r="CQ339" s="35"/>
      <c r="CR339" s="35"/>
      <c r="CS339" s="35"/>
      <c r="CT339" s="35"/>
      <c r="CU339" s="35"/>
      <c r="CV339" s="35"/>
      <c r="CW339" s="35"/>
      <c r="CX339" s="35"/>
      <c r="CY339" s="35"/>
      <c r="CZ339" s="35"/>
      <c r="DA339" s="35"/>
      <c r="DB339" s="35"/>
      <c r="DC339" s="35"/>
      <c r="DD339" s="35"/>
      <c r="DE339" s="35"/>
      <c r="DF339" s="35"/>
      <c r="DG339" s="35"/>
      <c r="DH339" s="35"/>
      <c r="DI339" s="35"/>
      <c r="DJ339" s="35"/>
      <c r="DK339" s="35"/>
      <c r="DL339" s="35"/>
      <c r="DM339" s="35"/>
      <c r="DN339" s="35"/>
      <c r="DO339" s="35"/>
      <c r="DP339" s="35"/>
      <c r="DQ339" s="35"/>
      <c r="DR339" s="35"/>
      <c r="DS339" s="35"/>
      <c r="DT339" s="35"/>
      <c r="DU339" s="35"/>
      <c r="DV339" s="35"/>
      <c r="DW339" s="35"/>
      <c r="DX339" s="35"/>
      <c r="DY339" s="35"/>
      <c r="DZ339" s="35"/>
      <c r="EA339" s="35"/>
      <c r="EB339" s="35"/>
      <c r="EC339" s="35"/>
      <c r="ED339" s="35"/>
      <c r="EE339" s="35"/>
      <c r="EF339" s="35"/>
      <c r="EG339" s="35"/>
      <c r="EH339" s="35"/>
      <c r="EI339" s="35"/>
      <c r="EJ339" s="35"/>
      <c r="EK339" s="35"/>
      <c r="EL339" s="35"/>
      <c r="EM339" s="35"/>
      <c r="EN339" s="35"/>
      <c r="EO339" s="35"/>
      <c r="EP339" s="35"/>
      <c r="EQ339" s="35"/>
      <c r="ER339" s="35"/>
      <c r="ES339" s="35"/>
      <c r="ET339" s="35"/>
      <c r="EU339" s="35"/>
      <c r="EV339" s="35"/>
      <c r="EW339" s="35"/>
      <c r="EX339" s="35"/>
      <c r="EY339" s="35"/>
      <c r="EZ339" s="35"/>
      <c r="FA339" s="35"/>
      <c r="FB339" s="35"/>
      <c r="FC339" s="458">
        <f t="shared" si="41"/>
        <v>0</v>
      </c>
      <c r="FD339">
        <f t="shared" si="42"/>
        <v>0</v>
      </c>
      <c r="FE339" t="e">
        <f t="shared" si="43"/>
        <v>#N/A</v>
      </c>
      <c r="FI339" s="731" t="e">
        <f t="shared" si="44"/>
        <v>#VALUE!</v>
      </c>
      <c r="FK339" s="471" t="str">
        <f t="shared" si="45"/>
        <v xml:space="preserve"> </v>
      </c>
      <c r="FL339" s="730">
        <f t="shared" si="46"/>
        <v>0</v>
      </c>
      <c r="FM339" s="471" t="str">
        <f t="shared" si="47"/>
        <v/>
      </c>
      <c r="FN339" s="730">
        <f t="shared" si="40"/>
        <v>0</v>
      </c>
    </row>
    <row r="340" spans="1:170" x14ac:dyDescent="0.2">
      <c r="A340" s="34" t="s">
        <v>961</v>
      </c>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c r="BG340" s="35"/>
      <c r="BH340" s="35"/>
      <c r="BI340" s="35"/>
      <c r="BJ340" s="35"/>
      <c r="BK340" s="35"/>
      <c r="BL340" s="35"/>
      <c r="BM340" s="35"/>
      <c r="BN340" s="35"/>
      <c r="BO340" s="35"/>
      <c r="BP340" s="35"/>
      <c r="BQ340" s="35"/>
      <c r="BR340" s="35"/>
      <c r="BS340" s="35"/>
      <c r="BT340" s="35"/>
      <c r="BU340" s="35"/>
      <c r="BV340" s="35"/>
      <c r="BW340" s="35"/>
      <c r="BX340" s="35"/>
      <c r="BY340" s="35"/>
      <c r="BZ340" s="35"/>
      <c r="CA340" s="35"/>
      <c r="CB340" s="35"/>
      <c r="CC340" s="35"/>
      <c r="CD340" s="35"/>
      <c r="CE340" s="35"/>
      <c r="CF340" s="35"/>
      <c r="CG340" s="35"/>
      <c r="CH340" s="35"/>
      <c r="CI340" s="35"/>
      <c r="CJ340" s="35"/>
      <c r="CK340" s="35"/>
      <c r="CL340" s="35"/>
      <c r="CM340" s="35"/>
      <c r="CN340" s="35"/>
      <c r="CO340" s="35"/>
      <c r="CP340" s="35"/>
      <c r="CQ340" s="35"/>
      <c r="CR340" s="35"/>
      <c r="CS340" s="35"/>
      <c r="CT340" s="35"/>
      <c r="CU340" s="35"/>
      <c r="CV340" s="35"/>
      <c r="CW340" s="35"/>
      <c r="CX340" s="35"/>
      <c r="CY340" s="35"/>
      <c r="CZ340" s="35"/>
      <c r="DA340" s="35"/>
      <c r="DB340" s="35"/>
      <c r="DC340" s="35"/>
      <c r="DD340" s="35"/>
      <c r="DE340" s="35"/>
      <c r="DF340" s="35"/>
      <c r="DG340" s="35"/>
      <c r="DH340" s="35"/>
      <c r="DI340" s="35"/>
      <c r="DJ340" s="35"/>
      <c r="DK340" s="35"/>
      <c r="DL340" s="35"/>
      <c r="DM340" s="35"/>
      <c r="DN340" s="35"/>
      <c r="DO340" s="35"/>
      <c r="DP340" s="35"/>
      <c r="DQ340" s="35"/>
      <c r="DR340" s="35"/>
      <c r="DS340" s="35"/>
      <c r="DT340" s="35"/>
      <c r="DU340" s="35"/>
      <c r="DV340" s="35"/>
      <c r="DW340" s="35"/>
      <c r="DX340" s="35"/>
      <c r="DY340" s="35"/>
      <c r="DZ340" s="35"/>
      <c r="EA340" s="35"/>
      <c r="EB340" s="35"/>
      <c r="EC340" s="35"/>
      <c r="ED340" s="35"/>
      <c r="EE340" s="35"/>
      <c r="EF340" s="35"/>
      <c r="EG340" s="35"/>
      <c r="EH340" s="35"/>
      <c r="EI340" s="35"/>
      <c r="EJ340" s="35"/>
      <c r="EK340" s="35"/>
      <c r="EL340" s="35"/>
      <c r="EM340" s="35"/>
      <c r="EN340" s="35"/>
      <c r="EO340" s="35"/>
      <c r="EP340" s="35"/>
      <c r="EQ340" s="35"/>
      <c r="ER340" s="35"/>
      <c r="ES340" s="35"/>
      <c r="ET340" s="35"/>
      <c r="EU340" s="35"/>
      <c r="EV340" s="35"/>
      <c r="EW340" s="35"/>
      <c r="EX340" s="35"/>
      <c r="EY340" s="35"/>
      <c r="EZ340" s="35"/>
      <c r="FA340" s="35"/>
      <c r="FB340" s="35"/>
      <c r="FC340" s="458">
        <f t="shared" si="41"/>
        <v>0</v>
      </c>
      <c r="FD340">
        <f t="shared" si="42"/>
        <v>0</v>
      </c>
      <c r="FE340" t="e">
        <f t="shared" si="43"/>
        <v>#N/A</v>
      </c>
      <c r="FI340" s="731" t="e">
        <f t="shared" si="44"/>
        <v>#VALUE!</v>
      </c>
      <c r="FK340" s="471" t="str">
        <f t="shared" si="45"/>
        <v xml:space="preserve"> </v>
      </c>
      <c r="FL340" s="730">
        <f t="shared" si="46"/>
        <v>0</v>
      </c>
      <c r="FM340" s="471" t="str">
        <f t="shared" si="47"/>
        <v/>
      </c>
      <c r="FN340" s="730">
        <f t="shared" si="40"/>
        <v>0</v>
      </c>
    </row>
    <row r="341" spans="1:170" x14ac:dyDescent="0.2">
      <c r="A341" s="34" t="s">
        <v>962</v>
      </c>
      <c r="B341" s="35"/>
      <c r="C341" s="35"/>
      <c r="D341" s="35"/>
      <c r="E341" s="728"/>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c r="BG341" s="35"/>
      <c r="BH341" s="35"/>
      <c r="BI341" s="35"/>
      <c r="BJ341" s="35"/>
      <c r="BK341" s="35"/>
      <c r="BL341" s="35"/>
      <c r="BM341" s="35"/>
      <c r="BN341" s="35"/>
      <c r="BO341" s="35"/>
      <c r="BP341" s="35"/>
      <c r="BQ341" s="35"/>
      <c r="BR341" s="35"/>
      <c r="BS341" s="35"/>
      <c r="BT341" s="35"/>
      <c r="BU341" s="35"/>
      <c r="BV341" s="35"/>
      <c r="BW341" s="35"/>
      <c r="BX341" s="35"/>
      <c r="BY341" s="35"/>
      <c r="BZ341" s="35"/>
      <c r="CA341" s="35"/>
      <c r="CB341" s="35"/>
      <c r="CC341" s="35"/>
      <c r="CD341" s="35"/>
      <c r="CE341" s="35"/>
      <c r="CF341" s="35"/>
      <c r="CG341" s="35"/>
      <c r="CH341" s="35"/>
      <c r="CI341" s="35"/>
      <c r="CJ341" s="35"/>
      <c r="CK341" s="35"/>
      <c r="CL341" s="35"/>
      <c r="CM341" s="35"/>
      <c r="CN341" s="35"/>
      <c r="CO341" s="35"/>
      <c r="CP341" s="35"/>
      <c r="CQ341" s="35"/>
      <c r="CR341" s="35"/>
      <c r="CS341" s="35"/>
      <c r="CT341" s="35"/>
      <c r="CU341" s="35"/>
      <c r="CV341" s="35"/>
      <c r="CW341" s="35"/>
      <c r="CX341" s="35"/>
      <c r="CY341" s="35"/>
      <c r="CZ341" s="35"/>
      <c r="DA341" s="35"/>
      <c r="DB341" s="35"/>
      <c r="DC341" s="35"/>
      <c r="DD341" s="35"/>
      <c r="DE341" s="35"/>
      <c r="DF341" s="35"/>
      <c r="DG341" s="35"/>
      <c r="DH341" s="35"/>
      <c r="DI341" s="35"/>
      <c r="DJ341" s="35"/>
      <c r="DK341" s="35"/>
      <c r="DL341" s="35"/>
      <c r="DM341" s="35"/>
      <c r="DN341" s="35"/>
      <c r="DO341" s="35"/>
      <c r="DP341" s="35"/>
      <c r="DQ341" s="35"/>
      <c r="DR341" s="35"/>
      <c r="DS341" s="35"/>
      <c r="DT341" s="35"/>
      <c r="DU341" s="35"/>
      <c r="DV341" s="35"/>
      <c r="DW341" s="35"/>
      <c r="DX341" s="35"/>
      <c r="DY341" s="35"/>
      <c r="DZ341" s="35"/>
      <c r="EA341" s="35"/>
      <c r="EB341" s="35"/>
      <c r="EC341" s="35"/>
      <c r="ED341" s="35"/>
      <c r="EE341" s="35"/>
      <c r="EF341" s="35"/>
      <c r="EG341" s="35"/>
      <c r="EH341" s="35"/>
      <c r="EI341" s="35"/>
      <c r="EJ341" s="35"/>
      <c r="EK341" s="35"/>
      <c r="EL341" s="35"/>
      <c r="EM341" s="35"/>
      <c r="EN341" s="35"/>
      <c r="EO341" s="35"/>
      <c r="EP341" s="35"/>
      <c r="EQ341" s="35"/>
      <c r="ER341" s="35"/>
      <c r="ES341" s="35"/>
      <c r="ET341" s="35"/>
      <c r="EU341" s="35"/>
      <c r="EV341" s="35"/>
      <c r="EW341" s="35"/>
      <c r="EX341" s="35"/>
      <c r="EY341" s="35"/>
      <c r="EZ341" s="35"/>
      <c r="FA341" s="35"/>
      <c r="FB341" s="35"/>
      <c r="FC341" s="458">
        <f t="shared" si="41"/>
        <v>0</v>
      </c>
      <c r="FD341">
        <f t="shared" si="42"/>
        <v>0</v>
      </c>
      <c r="FE341" t="e">
        <f t="shared" si="43"/>
        <v>#N/A</v>
      </c>
      <c r="FI341" s="731" t="e">
        <f t="shared" si="44"/>
        <v>#VALUE!</v>
      </c>
      <c r="FK341" s="471" t="str">
        <f t="shared" si="45"/>
        <v xml:space="preserve"> </v>
      </c>
      <c r="FL341" s="730">
        <f t="shared" si="46"/>
        <v>0</v>
      </c>
      <c r="FM341" s="471" t="str">
        <f t="shared" si="47"/>
        <v/>
      </c>
      <c r="FN341" s="730">
        <f t="shared" si="40"/>
        <v>0</v>
      </c>
    </row>
    <row r="342" spans="1:170" x14ac:dyDescent="0.2">
      <c r="A342" s="34" t="s">
        <v>963</v>
      </c>
      <c r="B342" s="35"/>
      <c r="C342" s="35"/>
      <c r="D342" s="35"/>
      <c r="E342" s="728"/>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c r="BG342" s="35"/>
      <c r="BH342" s="35"/>
      <c r="BI342" s="35"/>
      <c r="BJ342" s="35"/>
      <c r="BK342" s="35"/>
      <c r="BL342" s="35"/>
      <c r="BM342" s="35"/>
      <c r="BN342" s="35"/>
      <c r="BO342" s="35"/>
      <c r="BP342" s="35"/>
      <c r="BQ342" s="35"/>
      <c r="BR342" s="35"/>
      <c r="BS342" s="35"/>
      <c r="BT342" s="35"/>
      <c r="BU342" s="35"/>
      <c r="BV342" s="35"/>
      <c r="BW342" s="35"/>
      <c r="BX342" s="35"/>
      <c r="BY342" s="35"/>
      <c r="BZ342" s="35"/>
      <c r="CA342" s="35"/>
      <c r="CB342" s="35"/>
      <c r="CC342" s="35"/>
      <c r="CD342" s="35"/>
      <c r="CE342" s="35"/>
      <c r="CF342" s="35"/>
      <c r="CG342" s="35"/>
      <c r="CH342" s="35"/>
      <c r="CI342" s="35"/>
      <c r="CJ342" s="35"/>
      <c r="CK342" s="35"/>
      <c r="CL342" s="35"/>
      <c r="CM342" s="35"/>
      <c r="CN342" s="35"/>
      <c r="CO342" s="35"/>
      <c r="CP342" s="35"/>
      <c r="CQ342" s="35"/>
      <c r="CR342" s="35"/>
      <c r="CS342" s="35"/>
      <c r="CT342" s="35"/>
      <c r="CU342" s="35"/>
      <c r="CV342" s="35"/>
      <c r="CW342" s="35"/>
      <c r="CX342" s="35"/>
      <c r="CY342" s="35"/>
      <c r="CZ342" s="35"/>
      <c r="DA342" s="35"/>
      <c r="DB342" s="35"/>
      <c r="DC342" s="35"/>
      <c r="DD342" s="35"/>
      <c r="DE342" s="35"/>
      <c r="DF342" s="35"/>
      <c r="DG342" s="35"/>
      <c r="DH342" s="35"/>
      <c r="DI342" s="35"/>
      <c r="DJ342" s="35"/>
      <c r="DK342" s="35"/>
      <c r="DL342" s="35"/>
      <c r="DM342" s="35"/>
      <c r="DN342" s="35"/>
      <c r="DO342" s="35"/>
      <c r="DP342" s="35"/>
      <c r="DQ342" s="35"/>
      <c r="DR342" s="35"/>
      <c r="DS342" s="35"/>
      <c r="DT342" s="35"/>
      <c r="DU342" s="35"/>
      <c r="DV342" s="35"/>
      <c r="DW342" s="35"/>
      <c r="DX342" s="35"/>
      <c r="DY342" s="35"/>
      <c r="DZ342" s="35"/>
      <c r="EA342" s="35"/>
      <c r="EB342" s="35"/>
      <c r="EC342" s="35"/>
      <c r="ED342" s="35"/>
      <c r="EE342" s="35"/>
      <c r="EF342" s="35"/>
      <c r="EG342" s="35"/>
      <c r="EH342" s="35"/>
      <c r="EI342" s="35"/>
      <c r="EJ342" s="35"/>
      <c r="EK342" s="35"/>
      <c r="EL342" s="35"/>
      <c r="EM342" s="35"/>
      <c r="EN342" s="35"/>
      <c r="EO342" s="35"/>
      <c r="EP342" s="35"/>
      <c r="EQ342" s="35"/>
      <c r="ER342" s="35"/>
      <c r="ES342" s="35"/>
      <c r="ET342" s="35"/>
      <c r="EU342" s="35"/>
      <c r="EV342" s="35"/>
      <c r="EW342" s="35"/>
      <c r="EX342" s="35"/>
      <c r="EY342" s="35"/>
      <c r="EZ342" s="35"/>
      <c r="FA342" s="35"/>
      <c r="FB342" s="35"/>
      <c r="FC342" s="458">
        <f t="shared" si="41"/>
        <v>0</v>
      </c>
      <c r="FD342">
        <f t="shared" si="42"/>
        <v>0</v>
      </c>
      <c r="FE342" t="e">
        <f t="shared" si="43"/>
        <v>#N/A</v>
      </c>
      <c r="FI342" s="731" t="e">
        <f t="shared" si="44"/>
        <v>#VALUE!</v>
      </c>
      <c r="FK342" s="471" t="str">
        <f t="shared" si="45"/>
        <v xml:space="preserve"> </v>
      </c>
      <c r="FL342" s="730">
        <f t="shared" si="46"/>
        <v>0</v>
      </c>
      <c r="FM342" s="471" t="str">
        <f t="shared" si="47"/>
        <v/>
      </c>
      <c r="FN342" s="730">
        <f t="shared" si="40"/>
        <v>0</v>
      </c>
    </row>
    <row r="350" spans="1:170" x14ac:dyDescent="0.2">
      <c r="A350" s="36" t="s">
        <v>53</v>
      </c>
      <c r="B350" s="36" t="s">
        <v>54</v>
      </c>
      <c r="C350" s="36" t="s">
        <v>55</v>
      </c>
      <c r="D350" s="36" t="s">
        <v>56</v>
      </c>
      <c r="E350" s="36" t="s">
        <v>57</v>
      </c>
      <c r="F350" s="36" t="s">
        <v>58</v>
      </c>
      <c r="G350" s="36" t="s">
        <v>59</v>
      </c>
      <c r="H350" s="36" t="s">
        <v>60</v>
      </c>
      <c r="I350" s="36" t="s">
        <v>61</v>
      </c>
      <c r="J350" s="36" t="s">
        <v>62</v>
      </c>
      <c r="K350" s="36" t="s">
        <v>63</v>
      </c>
      <c r="L350" s="36" t="s">
        <v>64</v>
      </c>
      <c r="M350" s="36" t="s">
        <v>65</v>
      </c>
      <c r="N350" s="36" t="s">
        <v>66</v>
      </c>
      <c r="O350" s="36" t="s">
        <v>67</v>
      </c>
      <c r="P350" s="36" t="s">
        <v>68</v>
      </c>
      <c r="Q350" s="36" t="s">
        <v>69</v>
      </c>
      <c r="R350" s="36" t="s">
        <v>70</v>
      </c>
      <c r="S350" s="36" t="s">
        <v>71</v>
      </c>
      <c r="T350" s="36" t="s">
        <v>72</v>
      </c>
      <c r="U350" s="36" t="s">
        <v>73</v>
      </c>
      <c r="V350" s="36" t="s">
        <v>74</v>
      </c>
      <c r="W350" s="36" t="s">
        <v>75</v>
      </c>
      <c r="X350" s="36" t="s">
        <v>76</v>
      </c>
      <c r="Y350" s="36" t="s">
        <v>77</v>
      </c>
      <c r="Z350" s="36" t="s">
        <v>78</v>
      </c>
      <c r="AA350" s="36" t="s">
        <v>79</v>
      </c>
      <c r="AB350" s="36" t="s">
        <v>80</v>
      </c>
      <c r="AC350" s="36" t="s">
        <v>81</v>
      </c>
      <c r="AD350" s="36" t="s">
        <v>82</v>
      </c>
      <c r="AE350" s="36" t="s">
        <v>83</v>
      </c>
      <c r="AF350" s="36" t="s">
        <v>84</v>
      </c>
      <c r="AG350" s="36" t="s">
        <v>85</v>
      </c>
      <c r="AH350" s="36" t="s">
        <v>86</v>
      </c>
      <c r="AI350" s="36" t="s">
        <v>87</v>
      </c>
      <c r="AJ350" s="36" t="s">
        <v>88</v>
      </c>
      <c r="AK350" s="36" t="s">
        <v>89</v>
      </c>
      <c r="AL350" s="36" t="s">
        <v>90</v>
      </c>
      <c r="AM350" s="36" t="s">
        <v>91</v>
      </c>
      <c r="AN350" s="36" t="s">
        <v>92</v>
      </c>
      <c r="AO350" s="36" t="s">
        <v>93</v>
      </c>
      <c r="AP350" s="36" t="s">
        <v>94</v>
      </c>
      <c r="AQ350" s="36" t="s">
        <v>95</v>
      </c>
      <c r="AR350" s="36" t="s">
        <v>96</v>
      </c>
      <c r="AS350" s="36" t="s">
        <v>97</v>
      </c>
      <c r="AT350" s="36" t="s">
        <v>98</v>
      </c>
      <c r="AU350" s="36" t="s">
        <v>99</v>
      </c>
      <c r="AV350" s="36" t="s">
        <v>100</v>
      </c>
      <c r="AW350" s="36" t="s">
        <v>101</v>
      </c>
      <c r="AX350" s="36" t="s">
        <v>102</v>
      </c>
      <c r="AY350" s="36" t="s">
        <v>103</v>
      </c>
      <c r="AZ350" s="36" t="s">
        <v>104</v>
      </c>
      <c r="BA350" s="36" t="s">
        <v>105</v>
      </c>
      <c r="BB350" s="36" t="s">
        <v>106</v>
      </c>
      <c r="BC350" s="36" t="s">
        <v>107</v>
      </c>
      <c r="BD350" s="36" t="s">
        <v>108</v>
      </c>
      <c r="BE350" s="36" t="s">
        <v>109</v>
      </c>
      <c r="BF350" s="36" t="s">
        <v>110</v>
      </c>
      <c r="BG350" s="36" t="s">
        <v>111</v>
      </c>
      <c r="BH350" s="36" t="s">
        <v>112</v>
      </c>
      <c r="BI350" s="36" t="s">
        <v>113</v>
      </c>
      <c r="BJ350" s="36" t="s">
        <v>114</v>
      </c>
      <c r="BK350" s="36" t="s">
        <v>115</v>
      </c>
      <c r="BL350" s="36" t="s">
        <v>116</v>
      </c>
      <c r="BM350" s="36" t="s">
        <v>117</v>
      </c>
      <c r="BN350" s="36" t="s">
        <v>118</v>
      </c>
      <c r="BO350" s="36" t="s">
        <v>119</v>
      </c>
      <c r="BP350" s="36" t="s">
        <v>120</v>
      </c>
      <c r="BQ350" s="36" t="s">
        <v>121</v>
      </c>
      <c r="BR350" s="36" t="s">
        <v>122</v>
      </c>
      <c r="BS350" s="36" t="s">
        <v>123</v>
      </c>
      <c r="BT350" s="36" t="s">
        <v>124</v>
      </c>
      <c r="BU350" s="36" t="s">
        <v>125</v>
      </c>
      <c r="BV350" s="36" t="s">
        <v>126</v>
      </c>
      <c r="BW350" s="36" t="s">
        <v>127</v>
      </c>
      <c r="BX350" s="36" t="s">
        <v>128</v>
      </c>
      <c r="BY350" s="36" t="s">
        <v>129</v>
      </c>
      <c r="BZ350" s="36" t="s">
        <v>130</v>
      </c>
      <c r="CA350" s="36" t="s">
        <v>131</v>
      </c>
      <c r="CB350" s="36" t="s">
        <v>132</v>
      </c>
      <c r="CC350" s="36" t="s">
        <v>133</v>
      </c>
      <c r="CD350" s="36" t="s">
        <v>134</v>
      </c>
      <c r="CE350" s="36" t="s">
        <v>135</v>
      </c>
      <c r="CF350" s="36" t="s">
        <v>136</v>
      </c>
      <c r="CG350" s="36" t="s">
        <v>137</v>
      </c>
      <c r="CH350" s="36" t="s">
        <v>138</v>
      </c>
      <c r="CI350" s="36" t="s">
        <v>139</v>
      </c>
      <c r="CJ350" s="36" t="s">
        <v>140</v>
      </c>
      <c r="CK350" s="36" t="s">
        <v>141</v>
      </c>
      <c r="CL350" s="36" t="s">
        <v>142</v>
      </c>
      <c r="CM350" s="36" t="s">
        <v>143</v>
      </c>
      <c r="CN350" s="36" t="s">
        <v>144</v>
      </c>
      <c r="CO350" s="36" t="s">
        <v>145</v>
      </c>
      <c r="CP350" s="36" t="s">
        <v>146</v>
      </c>
      <c r="CQ350" s="36" t="s">
        <v>147</v>
      </c>
      <c r="CR350" s="36" t="s">
        <v>148</v>
      </c>
      <c r="CS350" s="36" t="s">
        <v>149</v>
      </c>
      <c r="CT350" s="36" t="s">
        <v>150</v>
      </c>
      <c r="CU350" s="36" t="s">
        <v>151</v>
      </c>
      <c r="CV350" s="36" t="s">
        <v>152</v>
      </c>
      <c r="CW350" s="36" t="s">
        <v>153</v>
      </c>
      <c r="CX350" s="36" t="s">
        <v>154</v>
      </c>
      <c r="CY350" s="36" t="s">
        <v>155</v>
      </c>
      <c r="CZ350" s="36" t="s">
        <v>156</v>
      </c>
      <c r="DA350" s="36" t="s">
        <v>157</v>
      </c>
      <c r="DB350" s="36" t="s">
        <v>158</v>
      </c>
      <c r="DC350" s="36" t="s">
        <v>159</v>
      </c>
      <c r="DD350" s="36" t="s">
        <v>160</v>
      </c>
      <c r="DE350" s="36" t="s">
        <v>161</v>
      </c>
      <c r="DF350" s="36" t="s">
        <v>162</v>
      </c>
      <c r="DG350" s="36" t="s">
        <v>163</v>
      </c>
      <c r="DH350" s="36" t="s">
        <v>164</v>
      </c>
      <c r="DI350" s="36" t="s">
        <v>165</v>
      </c>
      <c r="DJ350" s="36" t="s">
        <v>166</v>
      </c>
      <c r="DK350" s="36" t="s">
        <v>167</v>
      </c>
      <c r="DL350" s="36" t="s">
        <v>168</v>
      </c>
      <c r="DM350" s="36" t="s">
        <v>169</v>
      </c>
      <c r="DN350" s="36" t="s">
        <v>170</v>
      </c>
      <c r="DO350" s="36" t="s">
        <v>171</v>
      </c>
      <c r="DP350" s="36" t="s">
        <v>172</v>
      </c>
      <c r="DQ350" s="36" t="s">
        <v>173</v>
      </c>
      <c r="DR350" s="36" t="s">
        <v>174</v>
      </c>
      <c r="DS350" s="36" t="s">
        <v>175</v>
      </c>
      <c r="DT350" s="36" t="s">
        <v>176</v>
      </c>
      <c r="DU350" s="36" t="s">
        <v>177</v>
      </c>
      <c r="DV350" s="36" t="s">
        <v>178</v>
      </c>
      <c r="DW350" s="36" t="s">
        <v>179</v>
      </c>
      <c r="DX350" s="36" t="s">
        <v>180</v>
      </c>
      <c r="DY350" s="36" t="s">
        <v>181</v>
      </c>
      <c r="DZ350" s="36" t="s">
        <v>182</v>
      </c>
      <c r="EA350" s="36" t="s">
        <v>183</v>
      </c>
      <c r="EB350" s="36" t="s">
        <v>184</v>
      </c>
      <c r="EC350" s="36" t="s">
        <v>185</v>
      </c>
      <c r="ED350" s="36" t="s">
        <v>186</v>
      </c>
      <c r="EE350" s="36" t="s">
        <v>187</v>
      </c>
      <c r="EF350" s="36" t="s">
        <v>188</v>
      </c>
      <c r="EG350" s="36" t="s">
        <v>189</v>
      </c>
      <c r="EH350" s="36" t="s">
        <v>190</v>
      </c>
      <c r="EI350" s="36" t="s">
        <v>191</v>
      </c>
      <c r="EJ350" s="36" t="s">
        <v>192</v>
      </c>
      <c r="EK350" s="36" t="s">
        <v>193</v>
      </c>
      <c r="EL350" s="36" t="s">
        <v>194</v>
      </c>
      <c r="EM350" s="36" t="s">
        <v>195</v>
      </c>
      <c r="EN350" s="36" t="s">
        <v>196</v>
      </c>
      <c r="EO350" s="36" t="s">
        <v>197</v>
      </c>
      <c r="EP350" s="36" t="s">
        <v>198</v>
      </c>
      <c r="EQ350" s="36" t="s">
        <v>199</v>
      </c>
      <c r="ER350" s="36" t="s">
        <v>200</v>
      </c>
      <c r="ES350" s="36" t="s">
        <v>201</v>
      </c>
      <c r="ET350" s="36" t="s">
        <v>202</v>
      </c>
      <c r="EU350" s="36" t="s">
        <v>203</v>
      </c>
      <c r="EV350" s="36" t="s">
        <v>204</v>
      </c>
      <c r="EW350" s="36" t="s">
        <v>205</v>
      </c>
      <c r="EX350" s="36" t="s">
        <v>206</v>
      </c>
      <c r="EY350" s="36" t="s">
        <v>207</v>
      </c>
      <c r="EZ350" s="36" t="s">
        <v>208</v>
      </c>
      <c r="FA350" s="36" t="s">
        <v>209</v>
      </c>
      <c r="FB350" s="36" t="s">
        <v>210</v>
      </c>
      <c r="FC350" s="36" t="s">
        <v>211</v>
      </c>
      <c r="FD350" s="36" t="s">
        <v>212</v>
      </c>
      <c r="FE350" s="36" t="s">
        <v>213</v>
      </c>
      <c r="FF350" s="36" t="s">
        <v>214</v>
      </c>
      <c r="FG350" s="36" t="s">
        <v>215</v>
      </c>
      <c r="FH350" s="36" t="s">
        <v>216</v>
      </c>
      <c r="FI350" s="36" t="s">
        <v>217</v>
      </c>
    </row>
    <row r="707" spans="3:3" x14ac:dyDescent="0.2">
      <c r="C707">
        <v>1</v>
      </c>
    </row>
  </sheetData>
  <sheetProtection sheet="1" objects="1" scenarios="1"/>
  <sortState xmlns:xlrd2="http://schemas.microsoft.com/office/spreadsheetml/2017/richdata2" ref="FK3:FL342">
    <sortCondition ref="FK3"/>
  </sortState>
  <phoneticPr fontId="0"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33">
    <tabColor rgb="FF00FF00"/>
  </sheetPr>
  <dimension ref="A1:AA791"/>
  <sheetViews>
    <sheetView view="pageBreakPreview" zoomScale="70" zoomScaleSheetLayoutView="70" workbookViewId="0">
      <selection activeCell="AC19" sqref="AC19"/>
    </sheetView>
  </sheetViews>
  <sheetFormatPr baseColWidth="10" defaultRowHeight="12.75" x14ac:dyDescent="0.2"/>
  <cols>
    <col min="1" max="1" width="12.85546875" style="217" customWidth="1"/>
    <col min="2" max="3" width="5.28515625" style="217" customWidth="1"/>
    <col min="4" max="5" width="2.28515625" style="217" customWidth="1"/>
    <col min="6" max="10" width="7.140625" style="217" customWidth="1"/>
    <col min="11" max="11" width="5.28515625" style="217" customWidth="1"/>
    <col min="12" max="12" width="10.140625" style="217" bestFit="1" customWidth="1"/>
    <col min="13" max="17" width="7.140625" style="217" customWidth="1"/>
    <col min="18" max="18" width="5.28515625" style="217" customWidth="1"/>
    <col min="19" max="19" width="10.5703125" style="217" customWidth="1"/>
    <col min="20" max="24" width="7.140625" style="217" customWidth="1"/>
    <col min="25" max="25" width="5.28515625" style="217" customWidth="1"/>
    <col min="26" max="26" width="9.140625" style="217" customWidth="1"/>
    <col min="27" max="27" width="1.140625" style="217" customWidth="1"/>
    <col min="28" max="16384" width="11.42578125" style="217"/>
  </cols>
  <sheetData>
    <row r="1" spans="1:27" ht="6.75" customHeight="1" x14ac:dyDescent="0.2">
      <c r="AA1" s="611"/>
    </row>
    <row r="2" spans="1:27" s="218" customFormat="1" ht="23.25" customHeight="1" x14ac:dyDescent="0.2">
      <c r="A2" s="218" t="s">
        <v>628</v>
      </c>
      <c r="B2" s="1103">
        <f>Num_Cible</f>
        <v>1</v>
      </c>
      <c r="C2" s="1104"/>
      <c r="D2" s="569"/>
      <c r="E2" s="218" t="str">
        <f>Championnat</f>
        <v>Championnat de France de Tir à l'ARC</v>
      </c>
      <c r="P2" s="1192"/>
      <c r="Q2" s="1192"/>
      <c r="R2" s="1192"/>
      <c r="S2" s="1192"/>
      <c r="T2" s="1193" t="str">
        <f>CATEG_IMPORTEE</f>
        <v>Collèges Mixtes Etablissement</v>
      </c>
      <c r="U2" s="1193"/>
      <c r="V2" s="1193"/>
      <c r="W2" s="1193"/>
      <c r="X2" s="1193"/>
      <c r="Y2" s="1193"/>
      <c r="Z2" s="1193"/>
      <c r="AA2" s="609"/>
    </row>
    <row r="3" spans="1:27" ht="27" customHeight="1" thickBot="1" x14ac:dyDescent="0.25">
      <c r="A3" s="1069" t="s">
        <v>0</v>
      </c>
      <c r="B3" s="1069"/>
      <c r="C3" s="1069"/>
      <c r="D3" s="1069"/>
      <c r="E3" s="1069"/>
      <c r="F3" s="1069"/>
      <c r="G3" s="1069"/>
      <c r="H3" s="1069"/>
      <c r="I3" s="1125" t="s">
        <v>374</v>
      </c>
      <c r="J3" s="1125"/>
      <c r="K3" s="1125"/>
      <c r="L3" s="1125"/>
      <c r="M3" s="1125"/>
      <c r="N3" s="1069"/>
      <c r="O3" s="595"/>
      <c r="P3" s="1192"/>
      <c r="Q3" s="1192"/>
      <c r="R3" s="1192"/>
      <c r="S3" s="1192"/>
      <c r="T3" s="1184" t="str">
        <f>LIEU&amp;" du "&amp;DATE</f>
        <v>L’Isle sur la Sorgue du 27 au 31 mars 2023</v>
      </c>
      <c r="U3" s="1184"/>
      <c r="V3" s="1184"/>
      <c r="W3" s="1184"/>
      <c r="X3" s="1184"/>
      <c r="Y3" s="1184"/>
      <c r="Z3" s="1184"/>
      <c r="AA3" s="608"/>
    </row>
    <row r="4" spans="1:27" ht="24" customHeight="1" thickBot="1" x14ac:dyDescent="0.25">
      <c r="A4" s="1185" t="e">
        <f>VLOOKUP(H8,ID_archer_cible,2,FALSE)</f>
        <v>#N/A</v>
      </c>
      <c r="B4" s="1186"/>
      <c r="C4" s="1186"/>
      <c r="D4" s="1186"/>
      <c r="E4" s="1186"/>
      <c r="F4" s="1186"/>
      <c r="G4" s="1186"/>
      <c r="H4" s="1187"/>
      <c r="I4" s="1185" t="e">
        <f>VLOOKUP(H8,ID_archer_cible,4,FALSE)</f>
        <v>#N/A</v>
      </c>
      <c r="J4" s="1186"/>
      <c r="K4" s="1186"/>
      <c r="L4" s="1186"/>
      <c r="M4" s="1186"/>
      <c r="N4" s="1187"/>
      <c r="O4" s="596"/>
      <c r="P4" s="1192"/>
      <c r="Q4" s="1192"/>
      <c r="R4" s="1192"/>
      <c r="S4" s="1192"/>
      <c r="T4" s="520"/>
      <c r="U4" s="520"/>
      <c r="V4" s="520"/>
      <c r="W4" s="520"/>
      <c r="X4" s="520"/>
      <c r="Y4" s="520"/>
      <c r="Z4" s="520"/>
      <c r="AA4" s="520"/>
    </row>
    <row r="5" spans="1:27" ht="6" customHeight="1" x14ac:dyDescent="0.2">
      <c r="I5" s="1188" t="e">
        <f>"("&amp;VLOOKUP(H8,ID_archer_cible,3,FALSE)&amp;")"</f>
        <v>#N/A</v>
      </c>
      <c r="J5" s="1188"/>
      <c r="K5" s="1188"/>
      <c r="L5" s="1188"/>
      <c r="M5" s="1188"/>
      <c r="N5" s="1188"/>
      <c r="P5" s="1192"/>
      <c r="Q5" s="1192"/>
      <c r="R5" s="1192"/>
      <c r="S5" s="1192"/>
      <c r="AA5" s="611"/>
    </row>
    <row r="6" spans="1:27" ht="17.25" customHeight="1" x14ac:dyDescent="0.2">
      <c r="E6" s="584"/>
      <c r="F6" s="584"/>
      <c r="G6" s="584"/>
      <c r="H6" s="584"/>
      <c r="I6" s="1189"/>
      <c r="J6" s="1189"/>
      <c r="K6" s="1189"/>
      <c r="L6" s="1189"/>
      <c r="M6" s="1189"/>
      <c r="N6" s="1189"/>
      <c r="P6" s="1192"/>
      <c r="Q6" s="1192"/>
      <c r="R6" s="1192"/>
      <c r="S6" s="1192"/>
      <c r="AA6" s="611"/>
    </row>
    <row r="7" spans="1:27" ht="23.25" customHeight="1" x14ac:dyDescent="0.2">
      <c r="A7" s="593" t="s">
        <v>906</v>
      </c>
      <c r="B7" s="588"/>
      <c r="C7" s="588"/>
      <c r="D7" s="588"/>
      <c r="E7" s="588"/>
      <c r="F7" s="588"/>
      <c r="G7" s="588"/>
      <c r="H7" s="594" t="s">
        <v>552</v>
      </c>
      <c r="I7" s="573" t="s">
        <v>893</v>
      </c>
      <c r="J7" s="1075" t="s">
        <v>550</v>
      </c>
      <c r="K7" s="1075"/>
      <c r="L7" s="573" t="s">
        <v>905</v>
      </c>
      <c r="M7" s="252" t="s">
        <v>551</v>
      </c>
      <c r="S7" s="573" t="s">
        <v>905</v>
      </c>
      <c r="T7" s="573" t="s">
        <v>893</v>
      </c>
      <c r="U7" s="573" t="s">
        <v>893</v>
      </c>
      <c r="V7" s="1075" t="s">
        <v>550</v>
      </c>
      <c r="W7" s="1075"/>
      <c r="X7" s="252" t="s">
        <v>551</v>
      </c>
      <c r="Y7" s="571"/>
      <c r="Z7" s="571"/>
      <c r="AA7" s="612"/>
    </row>
    <row r="8" spans="1:27" ht="23.25" customHeight="1" x14ac:dyDescent="0.2">
      <c r="A8" s="580" t="e">
        <f>VLOOKUP(H8,ID_archer_cible,5,FALSE)&amp;"    "&amp;VLOOKUP(H8,ID_archer_cible,6,FALSE)</f>
        <v>#N/A</v>
      </c>
      <c r="B8" s="581"/>
      <c r="C8" s="582"/>
      <c r="D8" s="575"/>
      <c r="E8" s="223"/>
      <c r="F8" s="223"/>
      <c r="G8" s="223"/>
      <c r="H8" s="589" t="str">
        <f>B2&amp;"A"</f>
        <v>1A</v>
      </c>
      <c r="I8" s="574" t="e">
        <f>VLOOKUP(H8,ID_archer_cible,9,FALSE)</f>
        <v>#N/A</v>
      </c>
      <c r="J8" s="1075" t="e">
        <f>VLOOKUP(H8,ID_archer_cible,8,FALSE)</f>
        <v>#N/A</v>
      </c>
      <c r="K8" s="1075"/>
      <c r="L8" s="610" t="e">
        <f>VLOOKUP(H8,ID_archer_cible,7,FALSE)</f>
        <v>#N/A</v>
      </c>
      <c r="M8" s="589" t="e">
        <f>VLOOKUP(H8,ID_archer_cible,10,FALSE)</f>
        <v>#N/A</v>
      </c>
      <c r="N8" s="597" t="e">
        <f>VLOOKUP(T8,ID_archer_cible,5,FALSE)&amp;"    "&amp;VLOOKUP(T8,ID_archer_cible,6,FALSE)</f>
        <v>#N/A</v>
      </c>
      <c r="O8" s="581"/>
      <c r="P8" s="582"/>
      <c r="Q8" s="575"/>
      <c r="R8" s="223"/>
      <c r="S8" s="579" t="e">
        <f>VLOOKUP(T8,ID_archer_cible,7,FALSE)</f>
        <v>#N/A</v>
      </c>
      <c r="T8" s="589" t="str">
        <f>B2&amp;"C"</f>
        <v>1C</v>
      </c>
      <c r="U8" s="574" t="e">
        <f>VLOOKUP(T8,ID_archer_cible,9,FALSE)</f>
        <v>#N/A</v>
      </c>
      <c r="V8" s="1172" t="e">
        <f>VLOOKUP(T8,ID_archer_cible,8,FALSE)</f>
        <v>#N/A</v>
      </c>
      <c r="W8" s="1173"/>
      <c r="X8" s="574" t="e">
        <f>VLOOKUP(T8,ID_archer_cible,10,FALSE)</f>
        <v>#N/A</v>
      </c>
      <c r="AA8" s="611"/>
    </row>
    <row r="9" spans="1:27" ht="23.25" customHeight="1" x14ac:dyDescent="0.2">
      <c r="A9" s="580" t="e">
        <f>VLOOKUP(H9,ID_archer_cible,5,FALSE)&amp;"    "&amp;VLOOKUP(H9,ID_archer_cible,6,FALSE)</f>
        <v>#N/A</v>
      </c>
      <c r="B9" s="581"/>
      <c r="C9" s="582"/>
      <c r="D9" s="575"/>
      <c r="E9" s="223"/>
      <c r="F9" s="223"/>
      <c r="G9" s="223"/>
      <c r="H9" s="589" t="str">
        <f>B2&amp;"B"</f>
        <v>1B</v>
      </c>
      <c r="I9" s="574" t="e">
        <f>VLOOKUP(H9,ID_archer_cible,9,FALSE)</f>
        <v>#N/A</v>
      </c>
      <c r="J9" s="1075" t="e">
        <f>VLOOKUP(H9,ID_archer_cible,8,FALSE)</f>
        <v>#N/A</v>
      </c>
      <c r="K9" s="1075"/>
      <c r="L9" s="610" t="e">
        <f>VLOOKUP(H9,ID_archer_cible,7,FALSE)</f>
        <v>#N/A</v>
      </c>
      <c r="M9" s="589" t="e">
        <f>VLOOKUP(H9,ID_archer_cible,10,FALSE)</f>
        <v>#N/A</v>
      </c>
      <c r="N9" s="597" t="e">
        <f>VLOOKUP(T9,ID_archer_cible,5,FALSE)&amp;"    "&amp;VLOOKUP(T9,ID_archer_cible,6,FALSE)</f>
        <v>#N/A</v>
      </c>
      <c r="O9" s="581"/>
      <c r="P9" s="582"/>
      <c r="Q9" s="575"/>
      <c r="R9" s="223"/>
      <c r="S9" s="579" t="e">
        <f>VLOOKUP(T9,ID_archer_cible,7,FALSE)</f>
        <v>#N/A</v>
      </c>
      <c r="T9" s="589" t="str">
        <f>B2&amp;"D"</f>
        <v>1D</v>
      </c>
      <c r="U9" s="574" t="e">
        <f>VLOOKUP(T9,ID_archer_cible,9,FALSE)</f>
        <v>#N/A</v>
      </c>
      <c r="V9" s="1172" t="e">
        <f>VLOOKUP(T9,ID_archer_cible,8,FALSE)</f>
        <v>#N/A</v>
      </c>
      <c r="W9" s="1173"/>
      <c r="X9" s="574" t="e">
        <f>VLOOKUP(T9,ID_archer_cible,10,FALSE)</f>
        <v>#N/A</v>
      </c>
      <c r="AA9" s="611"/>
    </row>
    <row r="10" spans="1:27" ht="15" customHeight="1" thickBot="1" x14ac:dyDescent="0.25">
      <c r="AA10" s="611"/>
    </row>
    <row r="11" spans="1:27" ht="20.25" customHeight="1" thickBot="1" x14ac:dyDescent="0.25">
      <c r="F11" s="1174" t="s">
        <v>555</v>
      </c>
      <c r="G11" s="1175"/>
      <c r="H11" s="1175"/>
      <c r="I11" s="1175"/>
      <c r="J11" s="1175"/>
      <c r="K11" s="1175"/>
      <c r="L11" s="1176"/>
      <c r="M11" s="1174" t="s">
        <v>556</v>
      </c>
      <c r="N11" s="1175"/>
      <c r="O11" s="1175"/>
      <c r="P11" s="1175"/>
      <c r="Q11" s="1175"/>
      <c r="R11" s="1175"/>
      <c r="S11" s="1176"/>
      <c r="T11" s="1174" t="s">
        <v>557</v>
      </c>
      <c r="U11" s="1175"/>
      <c r="V11" s="1175"/>
      <c r="W11" s="1175"/>
      <c r="X11" s="1175"/>
      <c r="Y11" s="1175"/>
      <c r="Z11" s="1176"/>
      <c r="AA11" s="613"/>
    </row>
    <row r="12" spans="1:27" ht="30.75" customHeight="1" x14ac:dyDescent="0.2">
      <c r="A12" s="1171" t="s">
        <v>559</v>
      </c>
      <c r="B12" s="1171"/>
      <c r="C12" s="1171"/>
      <c r="D12" s="1171"/>
      <c r="E12" s="1181"/>
      <c r="F12" s="1179" t="s">
        <v>560</v>
      </c>
      <c r="G12" s="1180"/>
      <c r="H12" s="1180"/>
      <c r="I12" s="306"/>
      <c r="J12" s="306"/>
      <c r="K12" s="307"/>
      <c r="L12" s="572" t="s">
        <v>7</v>
      </c>
      <c r="M12" s="1179" t="s">
        <v>560</v>
      </c>
      <c r="N12" s="1180"/>
      <c r="O12" s="1180"/>
      <c r="P12" s="306"/>
      <c r="Q12" s="306"/>
      <c r="R12" s="307"/>
      <c r="S12" s="572" t="s">
        <v>7</v>
      </c>
      <c r="T12" s="1179" t="s">
        <v>560</v>
      </c>
      <c r="U12" s="1180"/>
      <c r="V12" s="1180"/>
      <c r="W12" s="306"/>
      <c r="X12" s="306"/>
      <c r="Y12" s="307"/>
      <c r="Z12" s="572" t="s">
        <v>7</v>
      </c>
      <c r="AA12" s="614"/>
    </row>
    <row r="13" spans="1:27" ht="30.75" customHeight="1" x14ac:dyDescent="0.2">
      <c r="A13" s="1168" t="e">
        <f>A8</f>
        <v>#N/A</v>
      </c>
      <c r="B13" s="1169"/>
      <c r="C13" s="1169"/>
      <c r="D13" s="1169"/>
      <c r="E13" s="1170"/>
      <c r="F13" s="228"/>
      <c r="G13" s="229"/>
      <c r="H13" s="229"/>
      <c r="I13" s="229"/>
      <c r="J13" s="229"/>
      <c r="K13" s="230" t="s">
        <v>561</v>
      </c>
      <c r="L13" s="231"/>
      <c r="M13" s="228"/>
      <c r="N13" s="229"/>
      <c r="O13" s="229"/>
      <c r="P13" s="229"/>
      <c r="Q13" s="229"/>
      <c r="R13" s="230" t="s">
        <v>561</v>
      </c>
      <c r="S13" s="231"/>
      <c r="T13" s="228"/>
      <c r="U13" s="229"/>
      <c r="V13" s="229"/>
      <c r="W13" s="229"/>
      <c r="X13" s="229"/>
      <c r="Y13" s="230" t="s">
        <v>561</v>
      </c>
      <c r="Z13" s="231"/>
      <c r="AA13" s="611"/>
    </row>
    <row r="14" spans="1:27" ht="30.75" customHeight="1" x14ac:dyDescent="0.2">
      <c r="A14" s="1168" t="e">
        <f>A9</f>
        <v>#N/A</v>
      </c>
      <c r="B14" s="1169"/>
      <c r="C14" s="1169"/>
      <c r="D14" s="1169"/>
      <c r="E14" s="1170"/>
      <c r="F14" s="228"/>
      <c r="G14" s="229"/>
      <c r="H14" s="229"/>
      <c r="I14" s="229"/>
      <c r="J14" s="229"/>
      <c r="K14" s="230" t="s">
        <v>561</v>
      </c>
      <c r="L14" s="231"/>
      <c r="M14" s="228"/>
      <c r="N14" s="229"/>
      <c r="O14" s="229"/>
      <c r="P14" s="229"/>
      <c r="Q14" s="229"/>
      <c r="R14" s="230" t="s">
        <v>561</v>
      </c>
      <c r="S14" s="231"/>
      <c r="T14" s="228"/>
      <c r="U14" s="229"/>
      <c r="V14" s="229"/>
      <c r="W14" s="229"/>
      <c r="X14" s="229"/>
      <c r="Y14" s="230" t="s">
        <v>561</v>
      </c>
      <c r="Z14" s="231"/>
      <c r="AA14" s="611"/>
    </row>
    <row r="15" spans="1:27" ht="30.75" customHeight="1" x14ac:dyDescent="0.2">
      <c r="A15" s="1168" t="e">
        <f>N8</f>
        <v>#N/A</v>
      </c>
      <c r="B15" s="1169"/>
      <c r="C15" s="1169"/>
      <c r="D15" s="1169"/>
      <c r="E15" s="1170"/>
      <c r="F15" s="228"/>
      <c r="G15" s="229"/>
      <c r="H15" s="229"/>
      <c r="I15" s="229"/>
      <c r="J15" s="229"/>
      <c r="K15" s="230" t="s">
        <v>561</v>
      </c>
      <c r="L15" s="231"/>
      <c r="M15" s="228"/>
      <c r="N15" s="229"/>
      <c r="O15" s="229"/>
      <c r="P15" s="229"/>
      <c r="Q15" s="229"/>
      <c r="R15" s="230" t="s">
        <v>561</v>
      </c>
      <c r="S15" s="231"/>
      <c r="T15" s="228"/>
      <c r="U15" s="229"/>
      <c r="V15" s="229"/>
      <c r="W15" s="229"/>
      <c r="X15" s="229"/>
      <c r="Y15" s="230" t="s">
        <v>561</v>
      </c>
      <c r="Z15" s="231"/>
      <c r="AA15" s="611"/>
    </row>
    <row r="16" spans="1:27" ht="30.75" customHeight="1" thickBot="1" x14ac:dyDescent="0.25">
      <c r="A16" s="1168" t="e">
        <f>N9</f>
        <v>#N/A</v>
      </c>
      <c r="B16" s="1169"/>
      <c r="C16" s="1169"/>
      <c r="D16" s="1169"/>
      <c r="E16" s="1170"/>
      <c r="F16" s="228"/>
      <c r="G16" s="229"/>
      <c r="H16" s="229"/>
      <c r="I16" s="229"/>
      <c r="J16" s="229"/>
      <c r="K16" s="230" t="s">
        <v>561</v>
      </c>
      <c r="L16" s="232"/>
      <c r="M16" s="228"/>
      <c r="N16" s="229"/>
      <c r="O16" s="229"/>
      <c r="P16" s="229"/>
      <c r="Q16" s="229"/>
      <c r="R16" s="230" t="s">
        <v>561</v>
      </c>
      <c r="S16" s="232"/>
      <c r="T16" s="228"/>
      <c r="U16" s="229"/>
      <c r="V16" s="229"/>
      <c r="W16" s="229"/>
      <c r="X16" s="229"/>
      <c r="Y16" s="230" t="s">
        <v>561</v>
      </c>
      <c r="Z16" s="232"/>
      <c r="AA16" s="611"/>
    </row>
    <row r="17" spans="1:27" ht="30.75" customHeight="1" thickBot="1" x14ac:dyDescent="0.25">
      <c r="F17" s="1177" t="s">
        <v>562</v>
      </c>
      <c r="G17" s="1178"/>
      <c r="H17" s="1178"/>
      <c r="I17" s="235"/>
      <c r="J17" s="235"/>
      <c r="K17" s="237" t="s">
        <v>561</v>
      </c>
      <c r="L17" s="239"/>
      <c r="M17" s="1177" t="s">
        <v>563</v>
      </c>
      <c r="N17" s="1178"/>
      <c r="O17" s="1178"/>
      <c r="P17" s="235"/>
      <c r="Q17" s="235"/>
      <c r="R17" s="237" t="s">
        <v>561</v>
      </c>
      <c r="S17" s="239"/>
      <c r="T17" s="1177" t="s">
        <v>564</v>
      </c>
      <c r="U17" s="1178"/>
      <c r="V17" s="1178"/>
      <c r="W17" s="235"/>
      <c r="X17" s="235"/>
      <c r="Y17" s="237" t="s">
        <v>561</v>
      </c>
      <c r="Z17" s="239"/>
      <c r="AA17" s="615"/>
    </row>
    <row r="18" spans="1:27" ht="9" customHeight="1" thickBot="1" x14ac:dyDescent="0.25">
      <c r="H18" s="249"/>
      <c r="I18" s="249"/>
      <c r="J18" s="249"/>
      <c r="K18" s="249"/>
      <c r="L18" s="249"/>
      <c r="M18" s="249"/>
      <c r="N18" s="249"/>
      <c r="O18" s="249"/>
      <c r="P18" s="249"/>
      <c r="Q18" s="249"/>
      <c r="R18" s="230"/>
      <c r="T18" s="249"/>
      <c r="U18" s="249"/>
      <c r="V18" s="249"/>
      <c r="W18" s="249"/>
      <c r="X18" s="249"/>
      <c r="Y18" s="230"/>
      <c r="AA18" s="611"/>
    </row>
    <row r="19" spans="1:27" ht="30.75" customHeight="1" thickBot="1" x14ac:dyDescent="0.25">
      <c r="F19" s="1174" t="s">
        <v>558</v>
      </c>
      <c r="G19" s="1175"/>
      <c r="H19" s="1175"/>
      <c r="I19" s="1175"/>
      <c r="J19" s="1175"/>
      <c r="K19" s="1175"/>
      <c r="L19" s="1176"/>
      <c r="M19" s="1174" t="s">
        <v>902</v>
      </c>
      <c r="N19" s="1175"/>
      <c r="O19" s="1175"/>
      <c r="P19" s="1175"/>
      <c r="Q19" s="1175"/>
      <c r="R19" s="1175"/>
      <c r="S19" s="1176"/>
      <c r="T19" s="1174" t="s">
        <v>907</v>
      </c>
      <c r="U19" s="1175"/>
      <c r="V19" s="1175"/>
      <c r="W19" s="1175"/>
      <c r="X19" s="1175"/>
      <c r="Y19" s="1175"/>
      <c r="Z19" s="1176"/>
      <c r="AA19" s="613"/>
    </row>
    <row r="20" spans="1:27" ht="30.75" customHeight="1" x14ac:dyDescent="0.2">
      <c r="A20" s="1171" t="str">
        <f>A12</f>
        <v>NOM - PRENOM</v>
      </c>
      <c r="B20" s="1171"/>
      <c r="C20" s="1171"/>
      <c r="D20" s="1171"/>
      <c r="E20" s="1181"/>
      <c r="F20" s="1179" t="s">
        <v>560</v>
      </c>
      <c r="G20" s="1180"/>
      <c r="H20" s="1180"/>
      <c r="I20" s="306"/>
      <c r="J20" s="306"/>
      <c r="K20" s="307"/>
      <c r="L20" s="572" t="s">
        <v>7</v>
      </c>
      <c r="M20" s="1179" t="s">
        <v>560</v>
      </c>
      <c r="N20" s="1180"/>
      <c r="O20" s="1180"/>
      <c r="P20" s="306"/>
      <c r="Q20" s="306"/>
      <c r="R20" s="307"/>
      <c r="S20" s="572" t="s">
        <v>7</v>
      </c>
      <c r="T20" s="1179" t="s">
        <v>560</v>
      </c>
      <c r="U20" s="1180"/>
      <c r="V20" s="1180"/>
      <c r="W20" s="306"/>
      <c r="X20" s="306"/>
      <c r="Y20" s="307"/>
      <c r="Z20" s="572" t="s">
        <v>7</v>
      </c>
      <c r="AA20" s="614"/>
    </row>
    <row r="21" spans="1:27" ht="30.75" customHeight="1" x14ac:dyDescent="0.2">
      <c r="A21" s="605" t="e">
        <f>A13</f>
        <v>#N/A</v>
      </c>
      <c r="B21" s="606"/>
      <c r="C21" s="606"/>
      <c r="D21" s="606"/>
      <c r="E21" s="607"/>
      <c r="F21" s="228"/>
      <c r="G21" s="229"/>
      <c r="H21" s="229"/>
      <c r="I21" s="229"/>
      <c r="J21" s="229"/>
      <c r="K21" s="230" t="s">
        <v>561</v>
      </c>
      <c r="L21" s="231"/>
      <c r="M21" s="228"/>
      <c r="N21" s="229"/>
      <c r="O21" s="229"/>
      <c r="P21" s="229"/>
      <c r="Q21" s="229"/>
      <c r="R21" s="230" t="s">
        <v>561</v>
      </c>
      <c r="S21" s="231"/>
      <c r="T21" s="228"/>
      <c r="U21" s="229"/>
      <c r="V21" s="229"/>
      <c r="W21" s="229"/>
      <c r="X21" s="229"/>
      <c r="Y21" s="230" t="s">
        <v>561</v>
      </c>
      <c r="Z21" s="231"/>
      <c r="AA21" s="611"/>
    </row>
    <row r="22" spans="1:27" ht="30.75" customHeight="1" x14ac:dyDescent="0.2">
      <c r="A22" s="605" t="e">
        <f>A14</f>
        <v>#N/A</v>
      </c>
      <c r="B22" s="606"/>
      <c r="C22" s="606"/>
      <c r="D22" s="606"/>
      <c r="E22" s="607"/>
      <c r="F22" s="228"/>
      <c r="G22" s="229"/>
      <c r="H22" s="229"/>
      <c r="I22" s="229"/>
      <c r="J22" s="229"/>
      <c r="K22" s="230" t="s">
        <v>561</v>
      </c>
      <c r="L22" s="231"/>
      <c r="M22" s="228"/>
      <c r="N22" s="229"/>
      <c r="O22" s="229"/>
      <c r="P22" s="229"/>
      <c r="Q22" s="229"/>
      <c r="R22" s="230" t="s">
        <v>561</v>
      </c>
      <c r="S22" s="231"/>
      <c r="T22" s="228"/>
      <c r="U22" s="229"/>
      <c r="V22" s="229"/>
      <c r="W22" s="229"/>
      <c r="X22" s="229"/>
      <c r="Y22" s="230" t="s">
        <v>561</v>
      </c>
      <c r="Z22" s="231"/>
      <c r="AA22" s="611"/>
    </row>
    <row r="23" spans="1:27" ht="30.75" customHeight="1" x14ac:dyDescent="0.2">
      <c r="A23" s="605" t="e">
        <f>A15</f>
        <v>#N/A</v>
      </c>
      <c r="B23" s="606"/>
      <c r="C23" s="606"/>
      <c r="D23" s="606"/>
      <c r="E23" s="607"/>
      <c r="F23" s="228"/>
      <c r="G23" s="229"/>
      <c r="H23" s="229"/>
      <c r="I23" s="229"/>
      <c r="J23" s="229"/>
      <c r="K23" s="230" t="s">
        <v>561</v>
      </c>
      <c r="L23" s="231"/>
      <c r="M23" s="228"/>
      <c r="N23" s="229"/>
      <c r="O23" s="229"/>
      <c r="P23" s="229"/>
      <c r="Q23" s="229"/>
      <c r="R23" s="230" t="s">
        <v>561</v>
      </c>
      <c r="S23" s="231"/>
      <c r="T23" s="228"/>
      <c r="U23" s="229"/>
      <c r="V23" s="229"/>
      <c r="W23" s="229"/>
      <c r="X23" s="229"/>
      <c r="Y23" s="230" t="s">
        <v>561</v>
      </c>
      <c r="Z23" s="231"/>
      <c r="AA23" s="611"/>
    </row>
    <row r="24" spans="1:27" ht="30.75" customHeight="1" thickBot="1" x14ac:dyDescent="0.25">
      <c r="A24" s="605" t="e">
        <f>A16</f>
        <v>#N/A</v>
      </c>
      <c r="B24" s="606"/>
      <c r="C24" s="606"/>
      <c r="D24" s="606"/>
      <c r="E24" s="607"/>
      <c r="F24" s="228"/>
      <c r="G24" s="229"/>
      <c r="H24" s="229"/>
      <c r="I24" s="229"/>
      <c r="J24" s="229"/>
      <c r="K24" s="230" t="s">
        <v>561</v>
      </c>
      <c r="L24" s="232"/>
      <c r="M24" s="228"/>
      <c r="N24" s="229"/>
      <c r="O24" s="229"/>
      <c r="P24" s="229"/>
      <c r="Q24" s="229"/>
      <c r="R24" s="230" t="s">
        <v>561</v>
      </c>
      <c r="S24" s="232"/>
      <c r="T24" s="228"/>
      <c r="U24" s="229"/>
      <c r="V24" s="229"/>
      <c r="W24" s="229"/>
      <c r="X24" s="229"/>
      <c r="Y24" s="230" t="s">
        <v>561</v>
      </c>
      <c r="Z24" s="232"/>
      <c r="AA24" s="611"/>
    </row>
    <row r="25" spans="1:27" ht="24" customHeight="1" thickBot="1" x14ac:dyDescent="0.25">
      <c r="F25" s="1177" t="s">
        <v>565</v>
      </c>
      <c r="G25" s="1178"/>
      <c r="H25" s="1178"/>
      <c r="I25" s="235"/>
      <c r="J25" s="235"/>
      <c r="K25" s="237" t="s">
        <v>561</v>
      </c>
      <c r="L25" s="239"/>
      <c r="M25" s="1177" t="s">
        <v>903</v>
      </c>
      <c r="N25" s="1178"/>
      <c r="O25" s="1178"/>
      <c r="P25" s="235"/>
      <c r="Q25" s="235"/>
      <c r="R25" s="237" t="s">
        <v>561</v>
      </c>
      <c r="S25" s="239"/>
      <c r="T25" s="1177" t="s">
        <v>904</v>
      </c>
      <c r="U25" s="1178"/>
      <c r="V25" s="1178"/>
      <c r="W25" s="235"/>
      <c r="X25" s="235"/>
      <c r="Y25" s="237" t="s">
        <v>561</v>
      </c>
      <c r="Z25" s="239"/>
      <c r="AA25" s="611"/>
    </row>
    <row r="26" spans="1:27" ht="8.25" customHeight="1" thickBot="1" x14ac:dyDescent="0.25">
      <c r="A26" s="592"/>
      <c r="B26" s="592"/>
      <c r="C26" s="592"/>
      <c r="D26" s="592"/>
      <c r="E26" s="592"/>
      <c r="F26" s="249"/>
      <c r="G26" s="249"/>
      <c r="H26" s="249"/>
      <c r="I26" s="249"/>
      <c r="J26" s="249"/>
      <c r="K26" s="230"/>
      <c r="L26" s="249"/>
      <c r="M26" s="230"/>
      <c r="N26" s="249"/>
      <c r="O26" s="230"/>
      <c r="P26" s="249"/>
      <c r="Q26" s="230"/>
      <c r="R26" s="249"/>
      <c r="S26" s="230"/>
      <c r="T26" s="249"/>
      <c r="U26" s="230"/>
      <c r="V26" s="249"/>
      <c r="W26" s="249"/>
      <c r="X26" s="249"/>
      <c r="Y26" s="230"/>
      <c r="AA26" s="611"/>
    </row>
    <row r="27" spans="1:27" ht="16.5" customHeight="1" thickBot="1" x14ac:dyDescent="0.25">
      <c r="A27" s="1200" t="s">
        <v>915</v>
      </c>
      <c r="B27" s="1200"/>
      <c r="C27" s="1200"/>
      <c r="D27" s="1200"/>
      <c r="E27" s="249"/>
      <c r="F27" s="1198" t="s">
        <v>909</v>
      </c>
      <c r="G27" s="1199"/>
      <c r="H27" s="1199"/>
      <c r="I27" s="1198" t="s">
        <v>910</v>
      </c>
      <c r="J27" s="1199"/>
      <c r="K27" s="1199"/>
      <c r="L27" s="1198" t="s">
        <v>911</v>
      </c>
      <c r="M27" s="1199"/>
      <c r="N27" s="1199"/>
      <c r="O27" s="1198" t="s">
        <v>912</v>
      </c>
      <c r="P27" s="1199"/>
      <c r="Q27" s="1199"/>
      <c r="R27" s="1198" t="s">
        <v>913</v>
      </c>
      <c r="S27" s="1199"/>
      <c r="T27" s="1199"/>
      <c r="U27" s="1198" t="s">
        <v>916</v>
      </c>
      <c r="V27" s="1199"/>
      <c r="W27" s="1199"/>
      <c r="X27" s="1194" t="s">
        <v>908</v>
      </c>
      <c r="Y27" s="1195"/>
      <c r="Z27" s="1196"/>
      <c r="AA27" s="616"/>
    </row>
    <row r="28" spans="1:27" ht="30.75" customHeight="1" x14ac:dyDescent="0.2">
      <c r="A28" s="1200"/>
      <c r="B28" s="1200"/>
      <c r="C28" s="1200"/>
      <c r="D28" s="1200"/>
      <c r="E28" s="249"/>
      <c r="F28" s="1197"/>
      <c r="G28" s="1197"/>
      <c r="H28" s="1197"/>
      <c r="I28" s="1197"/>
      <c r="J28" s="1197"/>
      <c r="K28" s="1197"/>
      <c r="L28" s="1197"/>
      <c r="M28" s="1197"/>
      <c r="N28" s="1197"/>
      <c r="O28" s="1197"/>
      <c r="P28" s="1197"/>
      <c r="Q28" s="1197"/>
      <c r="R28" s="1197"/>
      <c r="S28" s="1197"/>
      <c r="T28" s="1197"/>
      <c r="U28" s="1197"/>
      <c r="V28" s="1197"/>
      <c r="W28" s="1197"/>
      <c r="X28" s="1162"/>
      <c r="Y28" s="1163"/>
      <c r="Z28" s="1164"/>
      <c r="AA28" s="614"/>
    </row>
    <row r="29" spans="1:27" ht="30.75" customHeight="1" thickBot="1" x14ac:dyDescent="0.25">
      <c r="A29" s="1200"/>
      <c r="B29" s="1200"/>
      <c r="C29" s="1200"/>
      <c r="D29" s="1200"/>
      <c r="E29" s="249"/>
      <c r="F29" s="1201" t="s">
        <v>914</v>
      </c>
      <c r="G29" s="1201"/>
      <c r="H29" s="1201"/>
      <c r="I29" s="1197"/>
      <c r="J29" s="1197"/>
      <c r="K29" s="1197"/>
      <c r="L29" s="1197"/>
      <c r="M29" s="1197"/>
      <c r="N29" s="1197"/>
      <c r="O29" s="1197"/>
      <c r="P29" s="1197"/>
      <c r="Q29" s="1197"/>
      <c r="R29" s="1197"/>
      <c r="S29" s="1197"/>
      <c r="T29" s="1197"/>
      <c r="U29" s="1197"/>
      <c r="V29" s="1197"/>
      <c r="W29" s="1197"/>
      <c r="X29" s="1165"/>
      <c r="Y29" s="1166"/>
      <c r="Z29" s="1167"/>
      <c r="AA29" s="614"/>
    </row>
    <row r="30" spans="1:27" ht="19.5" customHeight="1" x14ac:dyDescent="0.2">
      <c r="A30" s="578" t="s">
        <v>851</v>
      </c>
      <c r="B30" s="566"/>
      <c r="C30" s="566"/>
      <c r="D30" s="566"/>
      <c r="E30" s="566"/>
      <c r="F30" s="566"/>
      <c r="G30" s="566"/>
      <c r="H30" s="566"/>
      <c r="I30" s="566"/>
      <c r="J30" s="566"/>
      <c r="K30" s="566"/>
      <c r="M30" s="241"/>
      <c r="O30" s="578" t="s">
        <v>522</v>
      </c>
      <c r="P30" s="566"/>
      <c r="Q30" s="566"/>
      <c r="R30" s="566"/>
      <c r="S30" s="566"/>
      <c r="T30" s="566"/>
      <c r="U30" s="566"/>
      <c r="V30" s="566"/>
      <c r="W30" s="520"/>
      <c r="AA30" s="611"/>
    </row>
    <row r="31" spans="1:27" x14ac:dyDescent="0.2">
      <c r="A31" s="577" t="s">
        <v>1</v>
      </c>
      <c r="B31" s="567"/>
      <c r="C31" s="567"/>
      <c r="D31" s="567"/>
      <c r="E31" s="567"/>
      <c r="F31" s="567"/>
      <c r="G31" s="568"/>
      <c r="H31" s="1086" t="s">
        <v>520</v>
      </c>
      <c r="I31" s="1087"/>
      <c r="J31" s="1087"/>
      <c r="K31" s="1088"/>
      <c r="M31" s="577" t="s">
        <v>1</v>
      </c>
      <c r="N31" s="567"/>
      <c r="O31" s="567"/>
      <c r="P31" s="567"/>
      <c r="Q31" s="567"/>
      <c r="R31" s="567"/>
      <c r="S31" s="585" t="s">
        <v>520</v>
      </c>
      <c r="T31" s="586"/>
      <c r="U31" s="586"/>
      <c r="V31" s="587"/>
      <c r="AA31" s="611"/>
    </row>
    <row r="32" spans="1:27" ht="69" customHeight="1" x14ac:dyDescent="0.2">
      <c r="A32" s="242"/>
      <c r="B32" s="243"/>
      <c r="C32" s="243"/>
      <c r="D32" s="243"/>
      <c r="E32" s="243"/>
      <c r="F32" s="243"/>
      <c r="G32" s="244"/>
      <c r="H32" s="242"/>
      <c r="I32" s="243"/>
      <c r="J32" s="243"/>
      <c r="K32" s="244"/>
      <c r="M32" s="242"/>
      <c r="N32" s="243"/>
      <c r="O32" s="243"/>
      <c r="P32" s="243"/>
      <c r="Q32" s="243"/>
      <c r="R32" s="243"/>
      <c r="S32" s="242"/>
      <c r="T32" s="243"/>
      <c r="U32" s="243"/>
      <c r="V32" s="244"/>
      <c r="AA32" s="611"/>
    </row>
    <row r="33" spans="1:27" x14ac:dyDescent="0.2">
      <c r="AA33" s="611"/>
    </row>
    <row r="34" spans="1:27" ht="6.75" customHeight="1" x14ac:dyDescent="0.2">
      <c r="AA34" s="611"/>
    </row>
    <row r="35" spans="1:27" s="218" customFormat="1" ht="23.25" customHeight="1" x14ac:dyDescent="0.2">
      <c r="A35" s="218" t="s">
        <v>628</v>
      </c>
      <c r="B35" s="1103">
        <f>B2+1</f>
        <v>2</v>
      </c>
      <c r="C35" s="1104"/>
      <c r="D35" s="569"/>
      <c r="E35" s="218" t="str">
        <f>Championnat</f>
        <v>Championnat de France de Tir à l'ARC</v>
      </c>
      <c r="P35" s="1192"/>
      <c r="Q35" s="1192"/>
      <c r="R35" s="1192"/>
      <c r="S35" s="1192"/>
      <c r="T35" s="1193" t="str">
        <f>CATEG_IMPORTEE</f>
        <v>Collèges Mixtes Etablissement</v>
      </c>
      <c r="U35" s="1193"/>
      <c r="V35" s="1193"/>
      <c r="W35" s="1193"/>
      <c r="X35" s="1193"/>
      <c r="Y35" s="1193"/>
      <c r="Z35" s="1193"/>
      <c r="AA35" s="609"/>
    </row>
    <row r="36" spans="1:27" ht="27" customHeight="1" thickBot="1" x14ac:dyDescent="0.25">
      <c r="A36" s="1069" t="s">
        <v>0</v>
      </c>
      <c r="B36" s="1069"/>
      <c r="C36" s="1069"/>
      <c r="D36" s="1069"/>
      <c r="E36" s="1069"/>
      <c r="F36" s="1069"/>
      <c r="G36" s="1069"/>
      <c r="H36" s="1069"/>
      <c r="I36" s="1125" t="s">
        <v>374</v>
      </c>
      <c r="J36" s="1125"/>
      <c r="K36" s="1125"/>
      <c r="L36" s="1125"/>
      <c r="M36" s="1125"/>
      <c r="N36" s="1069"/>
      <c r="O36" s="595"/>
      <c r="P36" s="1192"/>
      <c r="Q36" s="1192"/>
      <c r="R36" s="1192"/>
      <c r="S36" s="1192"/>
      <c r="T36" s="1184" t="str">
        <f>LIEU&amp;" du "&amp;DATE</f>
        <v>L’Isle sur la Sorgue du 27 au 31 mars 2023</v>
      </c>
      <c r="U36" s="1184"/>
      <c r="V36" s="1184"/>
      <c r="W36" s="1184"/>
      <c r="X36" s="1184"/>
      <c r="Y36" s="1184"/>
      <c r="Z36" s="1184"/>
      <c r="AA36" s="608"/>
    </row>
    <row r="37" spans="1:27" ht="24" customHeight="1" thickBot="1" x14ac:dyDescent="0.25">
      <c r="A37" s="1185" t="e">
        <f>VLOOKUP(H41,ID_archer_cible,2,FALSE)</f>
        <v>#N/A</v>
      </c>
      <c r="B37" s="1186"/>
      <c r="C37" s="1186"/>
      <c r="D37" s="1186"/>
      <c r="E37" s="1186"/>
      <c r="F37" s="1186"/>
      <c r="G37" s="1186"/>
      <c r="H37" s="1187"/>
      <c r="I37" s="1185" t="e">
        <f>VLOOKUP(H41,ID_archer_cible,4,FALSE)</f>
        <v>#N/A</v>
      </c>
      <c r="J37" s="1186"/>
      <c r="K37" s="1186"/>
      <c r="L37" s="1186"/>
      <c r="M37" s="1186"/>
      <c r="N37" s="1187"/>
      <c r="O37" s="596"/>
      <c r="P37" s="1192"/>
      <c r="Q37" s="1192"/>
      <c r="R37" s="1192"/>
      <c r="S37" s="1192"/>
      <c r="T37" s="520"/>
      <c r="U37" s="520"/>
      <c r="V37" s="520"/>
      <c r="W37" s="520"/>
      <c r="X37" s="520"/>
      <c r="Y37" s="520"/>
      <c r="Z37" s="520"/>
      <c r="AA37" s="520"/>
    </row>
    <row r="38" spans="1:27" ht="6" customHeight="1" x14ac:dyDescent="0.2">
      <c r="I38" s="1188" t="e">
        <f>"("&amp;VLOOKUP(H41,ID_archer_cible,3,FALSE)&amp;")"</f>
        <v>#N/A</v>
      </c>
      <c r="J38" s="1188"/>
      <c r="K38" s="1188"/>
      <c r="L38" s="1188"/>
      <c r="M38" s="1188"/>
      <c r="N38" s="1188"/>
      <c r="P38" s="1192"/>
      <c r="Q38" s="1192"/>
      <c r="R38" s="1192"/>
      <c r="S38" s="1192"/>
      <c r="AA38" s="611"/>
    </row>
    <row r="39" spans="1:27" ht="17.25" customHeight="1" x14ac:dyDescent="0.2">
      <c r="E39" s="584"/>
      <c r="F39" s="584"/>
      <c r="G39" s="584"/>
      <c r="H39" s="584"/>
      <c r="I39" s="1189"/>
      <c r="J39" s="1189"/>
      <c r="K39" s="1189"/>
      <c r="L39" s="1189"/>
      <c r="M39" s="1189"/>
      <c r="N39" s="1189"/>
      <c r="P39" s="1192"/>
      <c r="Q39" s="1192"/>
      <c r="R39" s="1192"/>
      <c r="S39" s="1192"/>
      <c r="AA39" s="611"/>
    </row>
    <row r="40" spans="1:27" ht="23.25" customHeight="1" x14ac:dyDescent="0.2">
      <c r="A40" s="593" t="s">
        <v>906</v>
      </c>
      <c r="B40" s="588"/>
      <c r="C40" s="588"/>
      <c r="D40" s="588"/>
      <c r="E40" s="588"/>
      <c r="F40" s="588"/>
      <c r="G40" s="588"/>
      <c r="H40" s="594" t="s">
        <v>552</v>
      </c>
      <c r="I40" s="573" t="s">
        <v>893</v>
      </c>
      <c r="J40" s="1075" t="s">
        <v>550</v>
      </c>
      <c r="K40" s="1075"/>
      <c r="L40" s="573" t="s">
        <v>905</v>
      </c>
      <c r="M40" s="252" t="s">
        <v>551</v>
      </c>
      <c r="S40" s="573" t="s">
        <v>905</v>
      </c>
      <c r="T40" s="573" t="s">
        <v>893</v>
      </c>
      <c r="U40" s="573" t="s">
        <v>893</v>
      </c>
      <c r="V40" s="1075" t="s">
        <v>550</v>
      </c>
      <c r="W40" s="1075"/>
      <c r="X40" s="252" t="s">
        <v>551</v>
      </c>
      <c r="Y40" s="571"/>
      <c r="Z40" s="571"/>
      <c r="AA40" s="612"/>
    </row>
    <row r="41" spans="1:27" ht="23.25" customHeight="1" x14ac:dyDescent="0.2">
      <c r="A41" s="580" t="e">
        <f>VLOOKUP(H41,ID_archer_cible,5,FALSE)&amp;"    "&amp;VLOOKUP(H41,ID_archer_cible,6,FALSE)</f>
        <v>#N/A</v>
      </c>
      <c r="B41" s="581"/>
      <c r="C41" s="582"/>
      <c r="D41" s="575"/>
      <c r="E41" s="223"/>
      <c r="F41" s="223"/>
      <c r="G41" s="223"/>
      <c r="H41" s="589" t="str">
        <f>B35&amp;"A"</f>
        <v>2A</v>
      </c>
      <c r="I41" s="574" t="e">
        <f>VLOOKUP(H41,ID_archer_cible,9,FALSE)</f>
        <v>#N/A</v>
      </c>
      <c r="J41" s="1075" t="e">
        <f>VLOOKUP(H41,ID_archer_cible,8,FALSE)</f>
        <v>#N/A</v>
      </c>
      <c r="K41" s="1075"/>
      <c r="L41" s="610" t="e">
        <f>VLOOKUP(H41,ID_archer_cible,7,FALSE)</f>
        <v>#N/A</v>
      </c>
      <c r="M41" s="589" t="e">
        <f>VLOOKUP(H41,ID_archer_cible,10,FALSE)</f>
        <v>#N/A</v>
      </c>
      <c r="N41" s="597" t="e">
        <f>VLOOKUP(T41,ID_archer_cible,5,FALSE)&amp;"    "&amp;VLOOKUP(T41,ID_archer_cible,6,FALSE)</f>
        <v>#N/A</v>
      </c>
      <c r="O41" s="581"/>
      <c r="P41" s="582"/>
      <c r="Q41" s="575"/>
      <c r="R41" s="223"/>
      <c r="S41" s="579" t="e">
        <f>VLOOKUP(T41,ID_archer_cible,7,FALSE)</f>
        <v>#N/A</v>
      </c>
      <c r="T41" s="589" t="str">
        <f>B35&amp;"C"</f>
        <v>2C</v>
      </c>
      <c r="U41" s="574" t="e">
        <f>VLOOKUP(T41,ID_archer_cible,9,FALSE)</f>
        <v>#N/A</v>
      </c>
      <c r="V41" s="1172" t="e">
        <f>VLOOKUP(T41,ID_archer_cible,8,FALSE)</f>
        <v>#N/A</v>
      </c>
      <c r="W41" s="1173"/>
      <c r="X41" s="574" t="e">
        <f>VLOOKUP(T41,ID_archer_cible,10,FALSE)</f>
        <v>#N/A</v>
      </c>
      <c r="AA41" s="611"/>
    </row>
    <row r="42" spans="1:27" ht="23.25" customHeight="1" x14ac:dyDescent="0.2">
      <c r="A42" s="580" t="e">
        <f>VLOOKUP(H42,ID_archer_cible,5,FALSE)&amp;"    "&amp;VLOOKUP(H42,ID_archer_cible,6,FALSE)</f>
        <v>#N/A</v>
      </c>
      <c r="B42" s="581"/>
      <c r="C42" s="582"/>
      <c r="D42" s="575"/>
      <c r="E42" s="223"/>
      <c r="F42" s="223"/>
      <c r="G42" s="223"/>
      <c r="H42" s="589" t="str">
        <f>B35&amp;"B"</f>
        <v>2B</v>
      </c>
      <c r="I42" s="574" t="e">
        <f>VLOOKUP(H42,ID_archer_cible,9,FALSE)</f>
        <v>#N/A</v>
      </c>
      <c r="J42" s="1075" t="e">
        <f>VLOOKUP(H42,ID_archer_cible,8,FALSE)</f>
        <v>#N/A</v>
      </c>
      <c r="K42" s="1075"/>
      <c r="L42" s="610" t="e">
        <f>VLOOKUP(H42,ID_archer_cible,7,FALSE)</f>
        <v>#N/A</v>
      </c>
      <c r="M42" s="589" t="e">
        <f>VLOOKUP(H42,ID_archer_cible,10,FALSE)</f>
        <v>#N/A</v>
      </c>
      <c r="N42" s="597" t="e">
        <f>VLOOKUP(T42,ID_archer_cible,5,FALSE)&amp;"    "&amp;VLOOKUP(T42,ID_archer_cible,6,FALSE)</f>
        <v>#N/A</v>
      </c>
      <c r="O42" s="581"/>
      <c r="P42" s="582"/>
      <c r="Q42" s="575"/>
      <c r="R42" s="223"/>
      <c r="S42" s="579" t="e">
        <f>VLOOKUP(T42,ID_archer_cible,7,FALSE)</f>
        <v>#N/A</v>
      </c>
      <c r="T42" s="589" t="str">
        <f>B35&amp;"D"</f>
        <v>2D</v>
      </c>
      <c r="U42" s="574" t="e">
        <f>VLOOKUP(T42,ID_archer_cible,9,FALSE)</f>
        <v>#N/A</v>
      </c>
      <c r="V42" s="1172" t="e">
        <f>VLOOKUP(T42,ID_archer_cible,8,FALSE)</f>
        <v>#N/A</v>
      </c>
      <c r="W42" s="1173"/>
      <c r="X42" s="574" t="e">
        <f>VLOOKUP(T42,ID_archer_cible,10,FALSE)</f>
        <v>#N/A</v>
      </c>
      <c r="AA42" s="611"/>
    </row>
    <row r="43" spans="1:27" ht="15" customHeight="1" thickBot="1" x14ac:dyDescent="0.25">
      <c r="AA43" s="611"/>
    </row>
    <row r="44" spans="1:27" ht="20.25" customHeight="1" thickBot="1" x14ac:dyDescent="0.25">
      <c r="F44" s="1174" t="s">
        <v>555</v>
      </c>
      <c r="G44" s="1175"/>
      <c r="H44" s="1175"/>
      <c r="I44" s="1175"/>
      <c r="J44" s="1175"/>
      <c r="K44" s="1175"/>
      <c r="L44" s="1176"/>
      <c r="M44" s="1174" t="s">
        <v>556</v>
      </c>
      <c r="N44" s="1175"/>
      <c r="O44" s="1175"/>
      <c r="P44" s="1175"/>
      <c r="Q44" s="1175"/>
      <c r="R44" s="1175"/>
      <c r="S44" s="1176"/>
      <c r="T44" s="1174" t="s">
        <v>557</v>
      </c>
      <c r="U44" s="1175"/>
      <c r="V44" s="1175"/>
      <c r="W44" s="1175"/>
      <c r="X44" s="1175"/>
      <c r="Y44" s="1175"/>
      <c r="Z44" s="1176"/>
      <c r="AA44" s="613"/>
    </row>
    <row r="45" spans="1:27" ht="30.75" customHeight="1" x14ac:dyDescent="0.2">
      <c r="A45" s="1171" t="s">
        <v>559</v>
      </c>
      <c r="B45" s="1171"/>
      <c r="C45" s="1171"/>
      <c r="D45" s="1171"/>
      <c r="E45" s="1181"/>
      <c r="F45" s="1179" t="s">
        <v>560</v>
      </c>
      <c r="G45" s="1180"/>
      <c r="H45" s="1180"/>
      <c r="I45" s="306"/>
      <c r="J45" s="306"/>
      <c r="K45" s="307"/>
      <c r="L45" s="572" t="s">
        <v>7</v>
      </c>
      <c r="M45" s="1179" t="s">
        <v>560</v>
      </c>
      <c r="N45" s="1180"/>
      <c r="O45" s="1180"/>
      <c r="P45" s="306"/>
      <c r="Q45" s="306"/>
      <c r="R45" s="307"/>
      <c r="S45" s="572" t="s">
        <v>7</v>
      </c>
      <c r="T45" s="1179" t="s">
        <v>560</v>
      </c>
      <c r="U45" s="1180"/>
      <c r="V45" s="1180"/>
      <c r="W45" s="306"/>
      <c r="X45" s="306"/>
      <c r="Y45" s="307"/>
      <c r="Z45" s="572" t="s">
        <v>7</v>
      </c>
      <c r="AA45" s="614"/>
    </row>
    <row r="46" spans="1:27" ht="30.75" customHeight="1" x14ac:dyDescent="0.2">
      <c r="A46" s="1168" t="e">
        <f>A41</f>
        <v>#N/A</v>
      </c>
      <c r="B46" s="1169"/>
      <c r="C46" s="1169"/>
      <c r="D46" s="1169"/>
      <c r="E46" s="1170"/>
      <c r="F46" s="228"/>
      <c r="G46" s="229"/>
      <c r="H46" s="229"/>
      <c r="I46" s="229"/>
      <c r="J46" s="229"/>
      <c r="K46" s="230" t="s">
        <v>561</v>
      </c>
      <c r="L46" s="231"/>
      <c r="M46" s="228"/>
      <c r="N46" s="229"/>
      <c r="O46" s="229"/>
      <c r="P46" s="229"/>
      <c r="Q46" s="229"/>
      <c r="R46" s="230" t="s">
        <v>561</v>
      </c>
      <c r="S46" s="231"/>
      <c r="T46" s="228"/>
      <c r="U46" s="229"/>
      <c r="V46" s="229"/>
      <c r="W46" s="229"/>
      <c r="X46" s="229"/>
      <c r="Y46" s="230" t="s">
        <v>561</v>
      </c>
      <c r="Z46" s="231"/>
      <c r="AA46" s="611"/>
    </row>
    <row r="47" spans="1:27" ht="30.75" customHeight="1" x14ac:dyDescent="0.2">
      <c r="A47" s="1168" t="e">
        <f>A42</f>
        <v>#N/A</v>
      </c>
      <c r="B47" s="1169"/>
      <c r="C47" s="1169"/>
      <c r="D47" s="1169"/>
      <c r="E47" s="1170"/>
      <c r="F47" s="228"/>
      <c r="G47" s="229"/>
      <c r="H47" s="229"/>
      <c r="I47" s="229"/>
      <c r="J47" s="229"/>
      <c r="K47" s="230" t="s">
        <v>561</v>
      </c>
      <c r="L47" s="231"/>
      <c r="M47" s="228"/>
      <c r="N47" s="229"/>
      <c r="O47" s="229"/>
      <c r="P47" s="229"/>
      <c r="Q47" s="229"/>
      <c r="R47" s="230" t="s">
        <v>561</v>
      </c>
      <c r="S47" s="231"/>
      <c r="T47" s="228"/>
      <c r="U47" s="229"/>
      <c r="V47" s="229"/>
      <c r="W47" s="229"/>
      <c r="X47" s="229"/>
      <c r="Y47" s="230" t="s">
        <v>561</v>
      </c>
      <c r="Z47" s="231"/>
      <c r="AA47" s="611"/>
    </row>
    <row r="48" spans="1:27" ht="30.75" customHeight="1" x14ac:dyDescent="0.2">
      <c r="A48" s="1168" t="e">
        <f>N41</f>
        <v>#N/A</v>
      </c>
      <c r="B48" s="1169"/>
      <c r="C48" s="1169"/>
      <c r="D48" s="1169"/>
      <c r="E48" s="1170"/>
      <c r="F48" s="228"/>
      <c r="G48" s="229"/>
      <c r="H48" s="229"/>
      <c r="I48" s="229"/>
      <c r="J48" s="229"/>
      <c r="K48" s="230" t="s">
        <v>561</v>
      </c>
      <c r="L48" s="231"/>
      <c r="M48" s="228"/>
      <c r="N48" s="229"/>
      <c r="O48" s="229"/>
      <c r="P48" s="229"/>
      <c r="Q48" s="229"/>
      <c r="R48" s="230" t="s">
        <v>561</v>
      </c>
      <c r="S48" s="231"/>
      <c r="T48" s="228"/>
      <c r="U48" s="229"/>
      <c r="V48" s="229"/>
      <c r="W48" s="229"/>
      <c r="X48" s="229"/>
      <c r="Y48" s="230" t="s">
        <v>561</v>
      </c>
      <c r="Z48" s="231"/>
      <c r="AA48" s="611"/>
    </row>
    <row r="49" spans="1:27" ht="30.75" customHeight="1" thickBot="1" x14ac:dyDescent="0.25">
      <c r="A49" s="1168" t="e">
        <f>N42</f>
        <v>#N/A</v>
      </c>
      <c r="B49" s="1169"/>
      <c r="C49" s="1169"/>
      <c r="D49" s="1169"/>
      <c r="E49" s="1170"/>
      <c r="F49" s="228"/>
      <c r="G49" s="229"/>
      <c r="H49" s="229"/>
      <c r="I49" s="229"/>
      <c r="J49" s="229"/>
      <c r="K49" s="230" t="s">
        <v>561</v>
      </c>
      <c r="L49" s="232"/>
      <c r="M49" s="228"/>
      <c r="N49" s="229"/>
      <c r="O49" s="229"/>
      <c r="P49" s="229"/>
      <c r="Q49" s="229"/>
      <c r="R49" s="230" t="s">
        <v>561</v>
      </c>
      <c r="S49" s="232"/>
      <c r="T49" s="228"/>
      <c r="U49" s="229"/>
      <c r="V49" s="229"/>
      <c r="W49" s="229"/>
      <c r="X49" s="229"/>
      <c r="Y49" s="230" t="s">
        <v>561</v>
      </c>
      <c r="Z49" s="232"/>
      <c r="AA49" s="611"/>
    </row>
    <row r="50" spans="1:27" ht="30.75" customHeight="1" thickBot="1" x14ac:dyDescent="0.25">
      <c r="F50" s="1177" t="s">
        <v>562</v>
      </c>
      <c r="G50" s="1178"/>
      <c r="H50" s="1178"/>
      <c r="I50" s="235"/>
      <c r="J50" s="235"/>
      <c r="K50" s="237" t="s">
        <v>561</v>
      </c>
      <c r="L50" s="239"/>
      <c r="M50" s="1177" t="s">
        <v>563</v>
      </c>
      <c r="N50" s="1178"/>
      <c r="O50" s="1178"/>
      <c r="P50" s="235"/>
      <c r="Q50" s="235"/>
      <c r="R50" s="237" t="s">
        <v>561</v>
      </c>
      <c r="S50" s="239"/>
      <c r="T50" s="1177" t="s">
        <v>564</v>
      </c>
      <c r="U50" s="1178"/>
      <c r="V50" s="1178"/>
      <c r="W50" s="235"/>
      <c r="X50" s="235"/>
      <c r="Y50" s="237" t="s">
        <v>561</v>
      </c>
      <c r="Z50" s="239"/>
      <c r="AA50" s="615"/>
    </row>
    <row r="51" spans="1:27" ht="9" customHeight="1" thickBot="1" x14ac:dyDescent="0.25">
      <c r="H51" s="249"/>
      <c r="I51" s="249"/>
      <c r="J51" s="249"/>
      <c r="K51" s="249"/>
      <c r="L51" s="249"/>
      <c r="M51" s="249"/>
      <c r="N51" s="249"/>
      <c r="O51" s="249"/>
      <c r="P51" s="249"/>
      <c r="Q51" s="249"/>
      <c r="R51" s="230"/>
      <c r="T51" s="249"/>
      <c r="U51" s="249"/>
      <c r="V51" s="249"/>
      <c r="W51" s="249"/>
      <c r="X51" s="249"/>
      <c r="Y51" s="230"/>
      <c r="AA51" s="611"/>
    </row>
    <row r="52" spans="1:27" ht="30.75" customHeight="1" thickBot="1" x14ac:dyDescent="0.25">
      <c r="F52" s="1174" t="s">
        <v>558</v>
      </c>
      <c r="G52" s="1175"/>
      <c r="H52" s="1175"/>
      <c r="I52" s="1175"/>
      <c r="J52" s="1175"/>
      <c r="K52" s="1175"/>
      <c r="L52" s="1176"/>
      <c r="M52" s="1174" t="s">
        <v>902</v>
      </c>
      <c r="N52" s="1175"/>
      <c r="O52" s="1175"/>
      <c r="P52" s="1175"/>
      <c r="Q52" s="1175"/>
      <c r="R52" s="1175"/>
      <c r="S52" s="1176"/>
      <c r="T52" s="1174" t="s">
        <v>907</v>
      </c>
      <c r="U52" s="1175"/>
      <c r="V52" s="1175"/>
      <c r="W52" s="1175"/>
      <c r="X52" s="1175"/>
      <c r="Y52" s="1175"/>
      <c r="Z52" s="1176"/>
      <c r="AA52" s="613"/>
    </row>
    <row r="53" spans="1:27" ht="30.75" customHeight="1" x14ac:dyDescent="0.2">
      <c r="A53" s="1171" t="str">
        <f>A45</f>
        <v>NOM - PRENOM</v>
      </c>
      <c r="B53" s="1171"/>
      <c r="C53" s="1171"/>
      <c r="D53" s="1171"/>
      <c r="E53" s="1181"/>
      <c r="F53" s="1179" t="s">
        <v>560</v>
      </c>
      <c r="G53" s="1180"/>
      <c r="H53" s="1180"/>
      <c r="I53" s="306"/>
      <c r="J53" s="306"/>
      <c r="K53" s="307"/>
      <c r="L53" s="572" t="s">
        <v>7</v>
      </c>
      <c r="M53" s="1179" t="s">
        <v>560</v>
      </c>
      <c r="N53" s="1180"/>
      <c r="O53" s="1180"/>
      <c r="P53" s="306"/>
      <c r="Q53" s="306"/>
      <c r="R53" s="307"/>
      <c r="S53" s="572" t="s">
        <v>7</v>
      </c>
      <c r="T53" s="1179" t="s">
        <v>560</v>
      </c>
      <c r="U53" s="1180"/>
      <c r="V53" s="1180"/>
      <c r="W53" s="306"/>
      <c r="X53" s="306"/>
      <c r="Y53" s="307"/>
      <c r="Z53" s="572" t="s">
        <v>7</v>
      </c>
      <c r="AA53" s="614"/>
    </row>
    <row r="54" spans="1:27" ht="30.75" customHeight="1" x14ac:dyDescent="0.2">
      <c r="A54" s="605" t="e">
        <f>A46</f>
        <v>#N/A</v>
      </c>
      <c r="B54" s="606"/>
      <c r="C54" s="606"/>
      <c r="D54" s="606"/>
      <c r="E54" s="607"/>
      <c r="F54" s="228"/>
      <c r="G54" s="229"/>
      <c r="H54" s="229"/>
      <c r="I54" s="229"/>
      <c r="J54" s="229"/>
      <c r="K54" s="230" t="s">
        <v>561</v>
      </c>
      <c r="L54" s="231"/>
      <c r="M54" s="228"/>
      <c r="N54" s="229"/>
      <c r="O54" s="229"/>
      <c r="P54" s="229"/>
      <c r="Q54" s="229"/>
      <c r="R54" s="230" t="s">
        <v>561</v>
      </c>
      <c r="S54" s="231"/>
      <c r="T54" s="228"/>
      <c r="U54" s="229"/>
      <c r="V54" s="229"/>
      <c r="W54" s="229"/>
      <c r="X54" s="229"/>
      <c r="Y54" s="230" t="s">
        <v>561</v>
      </c>
      <c r="Z54" s="231"/>
      <c r="AA54" s="611"/>
    </row>
    <row r="55" spans="1:27" ht="30.75" customHeight="1" x14ac:dyDescent="0.2">
      <c r="A55" s="605" t="e">
        <f>A47</f>
        <v>#N/A</v>
      </c>
      <c r="B55" s="606"/>
      <c r="C55" s="606"/>
      <c r="D55" s="606"/>
      <c r="E55" s="607"/>
      <c r="F55" s="228"/>
      <c r="G55" s="229"/>
      <c r="H55" s="229"/>
      <c r="I55" s="229"/>
      <c r="J55" s="229"/>
      <c r="K55" s="230" t="s">
        <v>561</v>
      </c>
      <c r="L55" s="231"/>
      <c r="M55" s="228"/>
      <c r="N55" s="229"/>
      <c r="O55" s="229"/>
      <c r="P55" s="229"/>
      <c r="Q55" s="229"/>
      <c r="R55" s="230" t="s">
        <v>561</v>
      </c>
      <c r="S55" s="231"/>
      <c r="T55" s="228"/>
      <c r="U55" s="229"/>
      <c r="V55" s="229"/>
      <c r="W55" s="229"/>
      <c r="X55" s="229"/>
      <c r="Y55" s="230" t="s">
        <v>561</v>
      </c>
      <c r="Z55" s="231"/>
      <c r="AA55" s="611"/>
    </row>
    <row r="56" spans="1:27" ht="30.75" customHeight="1" x14ac:dyDescent="0.2">
      <c r="A56" s="605" t="e">
        <f>A48</f>
        <v>#N/A</v>
      </c>
      <c r="B56" s="606"/>
      <c r="C56" s="606"/>
      <c r="D56" s="606"/>
      <c r="E56" s="607"/>
      <c r="F56" s="228"/>
      <c r="G56" s="229"/>
      <c r="H56" s="229"/>
      <c r="I56" s="229"/>
      <c r="J56" s="229"/>
      <c r="K56" s="230" t="s">
        <v>561</v>
      </c>
      <c r="L56" s="231"/>
      <c r="M56" s="228"/>
      <c r="N56" s="229"/>
      <c r="O56" s="229"/>
      <c r="P56" s="229"/>
      <c r="Q56" s="229"/>
      <c r="R56" s="230" t="s">
        <v>561</v>
      </c>
      <c r="S56" s="231"/>
      <c r="T56" s="228"/>
      <c r="U56" s="229"/>
      <c r="V56" s="229"/>
      <c r="W56" s="229"/>
      <c r="X56" s="229"/>
      <c r="Y56" s="230" t="s">
        <v>561</v>
      </c>
      <c r="Z56" s="231"/>
      <c r="AA56" s="611"/>
    </row>
    <row r="57" spans="1:27" ht="30.75" customHeight="1" thickBot="1" x14ac:dyDescent="0.25">
      <c r="A57" s="605" t="e">
        <f>A49</f>
        <v>#N/A</v>
      </c>
      <c r="B57" s="606"/>
      <c r="C57" s="606"/>
      <c r="D57" s="606"/>
      <c r="E57" s="607"/>
      <c r="F57" s="228"/>
      <c r="G57" s="229"/>
      <c r="H57" s="229"/>
      <c r="I57" s="229"/>
      <c r="J57" s="229"/>
      <c r="K57" s="230" t="s">
        <v>561</v>
      </c>
      <c r="L57" s="232"/>
      <c r="M57" s="228"/>
      <c r="N57" s="229"/>
      <c r="O57" s="229"/>
      <c r="P57" s="229"/>
      <c r="Q57" s="229"/>
      <c r="R57" s="230" t="s">
        <v>561</v>
      </c>
      <c r="S57" s="232"/>
      <c r="T57" s="228"/>
      <c r="U57" s="229"/>
      <c r="V57" s="229"/>
      <c r="W57" s="229"/>
      <c r="X57" s="229"/>
      <c r="Y57" s="230" t="s">
        <v>561</v>
      </c>
      <c r="Z57" s="232"/>
      <c r="AA57" s="611"/>
    </row>
    <row r="58" spans="1:27" ht="24" customHeight="1" thickBot="1" x14ac:dyDescent="0.25">
      <c r="F58" s="1177" t="s">
        <v>565</v>
      </c>
      <c r="G58" s="1178"/>
      <c r="H58" s="1178"/>
      <c r="I58" s="235"/>
      <c r="J58" s="235"/>
      <c r="K58" s="237" t="s">
        <v>561</v>
      </c>
      <c r="L58" s="239"/>
      <c r="M58" s="1177" t="s">
        <v>903</v>
      </c>
      <c r="N58" s="1178"/>
      <c r="O58" s="1178"/>
      <c r="P58" s="235"/>
      <c r="Q58" s="235"/>
      <c r="R58" s="237" t="s">
        <v>561</v>
      </c>
      <c r="S58" s="239"/>
      <c r="T58" s="1177" t="s">
        <v>904</v>
      </c>
      <c r="U58" s="1178"/>
      <c r="V58" s="1178"/>
      <c r="W58" s="235"/>
      <c r="X58" s="235"/>
      <c r="Y58" s="237" t="s">
        <v>561</v>
      </c>
      <c r="Z58" s="239"/>
      <c r="AA58" s="611"/>
    </row>
    <row r="59" spans="1:27" ht="8.25" customHeight="1" thickBot="1" x14ac:dyDescent="0.25">
      <c r="A59" s="592"/>
      <c r="B59" s="592"/>
      <c r="C59" s="592"/>
      <c r="D59" s="592"/>
      <c r="E59" s="592"/>
      <c r="F59" s="249"/>
      <c r="G59" s="249"/>
      <c r="H59" s="249"/>
      <c r="I59" s="249"/>
      <c r="J59" s="249"/>
      <c r="K59" s="230"/>
      <c r="L59" s="249"/>
      <c r="M59" s="230"/>
      <c r="N59" s="249"/>
      <c r="O59" s="230"/>
      <c r="P59" s="249"/>
      <c r="Q59" s="230"/>
      <c r="R59" s="249"/>
      <c r="S59" s="230"/>
      <c r="T59" s="249"/>
      <c r="U59" s="230"/>
      <c r="V59" s="249"/>
      <c r="W59" s="249"/>
      <c r="X59" s="249"/>
      <c r="Y59" s="230"/>
      <c r="AA59" s="611"/>
    </row>
    <row r="60" spans="1:27" ht="16.5" customHeight="1" thickBot="1" x14ac:dyDescent="0.25">
      <c r="A60" s="1200" t="s">
        <v>915</v>
      </c>
      <c r="B60" s="1200"/>
      <c r="C60" s="1200"/>
      <c r="D60" s="1200"/>
      <c r="E60" s="249"/>
      <c r="F60" s="1198" t="s">
        <v>909</v>
      </c>
      <c r="G60" s="1199"/>
      <c r="H60" s="1199"/>
      <c r="I60" s="1198" t="s">
        <v>910</v>
      </c>
      <c r="J60" s="1199"/>
      <c r="K60" s="1199"/>
      <c r="L60" s="1198" t="s">
        <v>911</v>
      </c>
      <c r="M60" s="1199"/>
      <c r="N60" s="1199"/>
      <c r="O60" s="1198" t="s">
        <v>912</v>
      </c>
      <c r="P60" s="1199"/>
      <c r="Q60" s="1199"/>
      <c r="R60" s="1198" t="s">
        <v>913</v>
      </c>
      <c r="S60" s="1199"/>
      <c r="T60" s="1199"/>
      <c r="U60" s="1198" t="s">
        <v>916</v>
      </c>
      <c r="V60" s="1199"/>
      <c r="W60" s="1199"/>
      <c r="X60" s="1194" t="s">
        <v>908</v>
      </c>
      <c r="Y60" s="1195"/>
      <c r="Z60" s="1196"/>
      <c r="AA60" s="616"/>
    </row>
    <row r="61" spans="1:27" ht="30.75" customHeight="1" x14ac:dyDescent="0.2">
      <c r="A61" s="1200"/>
      <c r="B61" s="1200"/>
      <c r="C61" s="1200"/>
      <c r="D61" s="1200"/>
      <c r="E61" s="249"/>
      <c r="F61" s="1197"/>
      <c r="G61" s="1197"/>
      <c r="H61" s="1197"/>
      <c r="I61" s="1197"/>
      <c r="J61" s="1197"/>
      <c r="K61" s="1197"/>
      <c r="L61" s="1197"/>
      <c r="M61" s="1197"/>
      <c r="N61" s="1197"/>
      <c r="O61" s="1197"/>
      <c r="P61" s="1197"/>
      <c r="Q61" s="1197"/>
      <c r="R61" s="1197"/>
      <c r="S61" s="1197"/>
      <c r="T61" s="1197"/>
      <c r="U61" s="1197"/>
      <c r="V61" s="1197"/>
      <c r="W61" s="1197"/>
      <c r="X61" s="1162"/>
      <c r="Y61" s="1163"/>
      <c r="Z61" s="1164"/>
      <c r="AA61" s="614"/>
    </row>
    <row r="62" spans="1:27" ht="30.75" customHeight="1" thickBot="1" x14ac:dyDescent="0.25">
      <c r="A62" s="1200"/>
      <c r="B62" s="1200"/>
      <c r="C62" s="1200"/>
      <c r="D62" s="1200"/>
      <c r="E62" s="249"/>
      <c r="F62" s="1201" t="s">
        <v>914</v>
      </c>
      <c r="G62" s="1201"/>
      <c r="H62" s="1201"/>
      <c r="I62" s="1197"/>
      <c r="J62" s="1197"/>
      <c r="K62" s="1197"/>
      <c r="L62" s="1197"/>
      <c r="M62" s="1197"/>
      <c r="N62" s="1197"/>
      <c r="O62" s="1197"/>
      <c r="P62" s="1197"/>
      <c r="Q62" s="1197"/>
      <c r="R62" s="1197"/>
      <c r="S62" s="1197"/>
      <c r="T62" s="1197"/>
      <c r="U62" s="1197"/>
      <c r="V62" s="1197"/>
      <c r="W62" s="1197"/>
      <c r="X62" s="1165"/>
      <c r="Y62" s="1166"/>
      <c r="Z62" s="1167"/>
      <c r="AA62" s="614"/>
    </row>
    <row r="63" spans="1:27" ht="19.5" customHeight="1" x14ac:dyDescent="0.2">
      <c r="A63" s="578" t="s">
        <v>851</v>
      </c>
      <c r="B63" s="566"/>
      <c r="C63" s="566"/>
      <c r="D63" s="566"/>
      <c r="E63" s="566"/>
      <c r="F63" s="566"/>
      <c r="G63" s="566"/>
      <c r="H63" s="566"/>
      <c r="I63" s="566"/>
      <c r="J63" s="566"/>
      <c r="K63" s="566"/>
      <c r="M63" s="241"/>
      <c r="O63" s="578" t="s">
        <v>522</v>
      </c>
      <c r="P63" s="566"/>
      <c r="Q63" s="566"/>
      <c r="R63" s="566"/>
      <c r="S63" s="566"/>
      <c r="T63" s="566"/>
      <c r="U63" s="566"/>
      <c r="V63" s="566"/>
      <c r="W63" s="520"/>
      <c r="AA63" s="611"/>
    </row>
    <row r="64" spans="1:27" x14ac:dyDescent="0.2">
      <c r="A64" s="577" t="s">
        <v>1</v>
      </c>
      <c r="B64" s="567"/>
      <c r="C64" s="567"/>
      <c r="D64" s="567"/>
      <c r="E64" s="567"/>
      <c r="F64" s="567"/>
      <c r="G64" s="568"/>
      <c r="H64" s="1086" t="s">
        <v>520</v>
      </c>
      <c r="I64" s="1087"/>
      <c r="J64" s="1087"/>
      <c r="K64" s="1088"/>
      <c r="M64" s="577" t="s">
        <v>1</v>
      </c>
      <c r="N64" s="567"/>
      <c r="O64" s="567"/>
      <c r="P64" s="567"/>
      <c r="Q64" s="567"/>
      <c r="R64" s="567"/>
      <c r="S64" s="585" t="s">
        <v>520</v>
      </c>
      <c r="T64" s="586"/>
      <c r="U64" s="586"/>
      <c r="V64" s="587"/>
      <c r="AA64" s="611"/>
    </row>
    <row r="65" spans="1:27" ht="69" customHeight="1" x14ac:dyDescent="0.2">
      <c r="A65" s="242"/>
      <c r="B65" s="243"/>
      <c r="C65" s="243"/>
      <c r="D65" s="243"/>
      <c r="E65" s="243"/>
      <c r="F65" s="243"/>
      <c r="G65" s="244"/>
      <c r="H65" s="242"/>
      <c r="I65" s="243"/>
      <c r="J65" s="243"/>
      <c r="K65" s="244"/>
      <c r="M65" s="242"/>
      <c r="N65" s="243"/>
      <c r="O65" s="243"/>
      <c r="P65" s="243"/>
      <c r="Q65" s="243"/>
      <c r="R65" s="243"/>
      <c r="S65" s="242"/>
      <c r="T65" s="243"/>
      <c r="U65" s="243"/>
      <c r="V65" s="244"/>
      <c r="AA65" s="611"/>
    </row>
    <row r="66" spans="1:27" x14ac:dyDescent="0.2">
      <c r="AA66" s="611"/>
    </row>
    <row r="67" spans="1:27" ht="6.75" customHeight="1" x14ac:dyDescent="0.2">
      <c r="AA67" s="611"/>
    </row>
    <row r="68" spans="1:27" s="218" customFormat="1" ht="23.25" customHeight="1" x14ac:dyDescent="0.2">
      <c r="A68" s="218" t="s">
        <v>628</v>
      </c>
      <c r="B68" s="1103">
        <f>B35+1</f>
        <v>3</v>
      </c>
      <c r="C68" s="1104"/>
      <c r="D68" s="569"/>
      <c r="E68" s="218" t="str">
        <f>Championnat</f>
        <v>Championnat de France de Tir à l'ARC</v>
      </c>
      <c r="P68" s="1192"/>
      <c r="Q68" s="1192"/>
      <c r="R68" s="1192"/>
      <c r="S68" s="1192"/>
      <c r="T68" s="1193" t="str">
        <f>CATEG_IMPORTEE</f>
        <v>Collèges Mixtes Etablissement</v>
      </c>
      <c r="U68" s="1193"/>
      <c r="V68" s="1193"/>
      <c r="W68" s="1193"/>
      <c r="X68" s="1193"/>
      <c r="Y68" s="1193"/>
      <c r="Z68" s="1193"/>
      <c r="AA68" s="609"/>
    </row>
    <row r="69" spans="1:27" ht="27" customHeight="1" thickBot="1" x14ac:dyDescent="0.25">
      <c r="A69" s="1069" t="s">
        <v>0</v>
      </c>
      <c r="B69" s="1069"/>
      <c r="C69" s="1069"/>
      <c r="D69" s="1069"/>
      <c r="E69" s="1069"/>
      <c r="F69" s="1069"/>
      <c r="G69" s="1069"/>
      <c r="H69" s="1069"/>
      <c r="I69" s="1125" t="s">
        <v>374</v>
      </c>
      <c r="J69" s="1125"/>
      <c r="K69" s="1125"/>
      <c r="L69" s="1125"/>
      <c r="M69" s="1125"/>
      <c r="N69" s="1069"/>
      <c r="O69" s="595"/>
      <c r="P69" s="1192"/>
      <c r="Q69" s="1192"/>
      <c r="R69" s="1192"/>
      <c r="S69" s="1192"/>
      <c r="T69" s="1184" t="str">
        <f>LIEU&amp;" du "&amp;DATE</f>
        <v>L’Isle sur la Sorgue du 27 au 31 mars 2023</v>
      </c>
      <c r="U69" s="1184"/>
      <c r="V69" s="1184"/>
      <c r="W69" s="1184"/>
      <c r="X69" s="1184"/>
      <c r="Y69" s="1184"/>
      <c r="Z69" s="1184"/>
      <c r="AA69" s="608"/>
    </row>
    <row r="70" spans="1:27" ht="24" customHeight="1" thickBot="1" x14ac:dyDescent="0.25">
      <c r="A70" s="1185" t="e">
        <f>VLOOKUP(H74,ID_archer_cible,2,FALSE)</f>
        <v>#N/A</v>
      </c>
      <c r="B70" s="1186"/>
      <c r="C70" s="1186"/>
      <c r="D70" s="1186"/>
      <c r="E70" s="1186"/>
      <c r="F70" s="1186"/>
      <c r="G70" s="1186"/>
      <c r="H70" s="1187"/>
      <c r="I70" s="1185" t="e">
        <f>VLOOKUP(H74,ID_archer_cible,4,FALSE)</f>
        <v>#N/A</v>
      </c>
      <c r="J70" s="1186"/>
      <c r="K70" s="1186"/>
      <c r="L70" s="1186"/>
      <c r="M70" s="1186"/>
      <c r="N70" s="1187"/>
      <c r="O70" s="596"/>
      <c r="P70" s="1192"/>
      <c r="Q70" s="1192"/>
      <c r="R70" s="1192"/>
      <c r="S70" s="1192"/>
      <c r="T70" s="520"/>
      <c r="U70" s="520"/>
      <c r="V70" s="520"/>
      <c r="W70" s="520"/>
      <c r="X70" s="520"/>
      <c r="Y70" s="520"/>
      <c r="Z70" s="520"/>
      <c r="AA70" s="520"/>
    </row>
    <row r="71" spans="1:27" ht="6" customHeight="1" x14ac:dyDescent="0.2">
      <c r="I71" s="1188" t="e">
        <f>"("&amp;VLOOKUP(H74,ID_archer_cible,3,FALSE)&amp;")"</f>
        <v>#N/A</v>
      </c>
      <c r="J71" s="1188"/>
      <c r="K71" s="1188"/>
      <c r="L71" s="1188"/>
      <c r="M71" s="1188"/>
      <c r="N71" s="1188"/>
      <c r="P71" s="1192"/>
      <c r="Q71" s="1192"/>
      <c r="R71" s="1192"/>
      <c r="S71" s="1192"/>
      <c r="AA71" s="611"/>
    </row>
    <row r="72" spans="1:27" ht="17.25" customHeight="1" x14ac:dyDescent="0.2">
      <c r="E72" s="584"/>
      <c r="F72" s="584"/>
      <c r="G72" s="584"/>
      <c r="H72" s="584"/>
      <c r="I72" s="1189"/>
      <c r="J72" s="1189"/>
      <c r="K72" s="1189"/>
      <c r="L72" s="1189"/>
      <c r="M72" s="1189"/>
      <c r="N72" s="1189"/>
      <c r="P72" s="1192"/>
      <c r="Q72" s="1192"/>
      <c r="R72" s="1192"/>
      <c r="S72" s="1192"/>
      <c r="AA72" s="611"/>
    </row>
    <row r="73" spans="1:27" ht="23.25" customHeight="1" x14ac:dyDescent="0.2">
      <c r="A73" s="593" t="s">
        <v>906</v>
      </c>
      <c r="B73" s="588"/>
      <c r="C73" s="588"/>
      <c r="D73" s="588"/>
      <c r="E73" s="588"/>
      <c r="F73" s="588"/>
      <c r="G73" s="588"/>
      <c r="H73" s="594" t="s">
        <v>552</v>
      </c>
      <c r="I73" s="573" t="s">
        <v>893</v>
      </c>
      <c r="J73" s="1075" t="s">
        <v>550</v>
      </c>
      <c r="K73" s="1075"/>
      <c r="L73" s="573" t="s">
        <v>905</v>
      </c>
      <c r="M73" s="252" t="s">
        <v>551</v>
      </c>
      <c r="S73" s="573" t="s">
        <v>905</v>
      </c>
      <c r="T73" s="573" t="s">
        <v>893</v>
      </c>
      <c r="U73" s="573" t="s">
        <v>893</v>
      </c>
      <c r="V73" s="1075" t="s">
        <v>550</v>
      </c>
      <c r="W73" s="1075"/>
      <c r="X73" s="252" t="s">
        <v>551</v>
      </c>
      <c r="Y73" s="571"/>
      <c r="Z73" s="571"/>
      <c r="AA73" s="612"/>
    </row>
    <row r="74" spans="1:27" ht="23.25" customHeight="1" x14ac:dyDescent="0.2">
      <c r="A74" s="580" t="e">
        <f>VLOOKUP(H74,ID_archer_cible,5,FALSE)&amp;"    "&amp;VLOOKUP(H74,ID_archer_cible,6,FALSE)</f>
        <v>#N/A</v>
      </c>
      <c r="B74" s="581"/>
      <c r="C74" s="582"/>
      <c r="D74" s="575"/>
      <c r="E74" s="223"/>
      <c r="F74" s="223"/>
      <c r="G74" s="223"/>
      <c r="H74" s="589" t="str">
        <f>B68&amp;"A"</f>
        <v>3A</v>
      </c>
      <c r="I74" s="574" t="e">
        <f>VLOOKUP(H74,ID_archer_cible,9,FALSE)</f>
        <v>#N/A</v>
      </c>
      <c r="J74" s="1075" t="e">
        <f>VLOOKUP(H74,ID_archer_cible,8,FALSE)</f>
        <v>#N/A</v>
      </c>
      <c r="K74" s="1075"/>
      <c r="L74" s="610" t="e">
        <f>VLOOKUP(H74,ID_archer_cible,7,FALSE)</f>
        <v>#N/A</v>
      </c>
      <c r="M74" s="589" t="e">
        <f>VLOOKUP(H74,ID_archer_cible,10,FALSE)</f>
        <v>#N/A</v>
      </c>
      <c r="N74" s="597" t="e">
        <f>VLOOKUP(T74,ID_archer_cible,5,FALSE)&amp;"    "&amp;VLOOKUP(T74,ID_archer_cible,6,FALSE)</f>
        <v>#N/A</v>
      </c>
      <c r="O74" s="581"/>
      <c r="P74" s="582"/>
      <c r="Q74" s="575"/>
      <c r="R74" s="223"/>
      <c r="S74" s="579" t="e">
        <f>VLOOKUP(T74,ID_archer_cible,7,FALSE)</f>
        <v>#N/A</v>
      </c>
      <c r="T74" s="589" t="str">
        <f>B68&amp;"C"</f>
        <v>3C</v>
      </c>
      <c r="U74" s="574" t="e">
        <f>VLOOKUP(T74,ID_archer_cible,9,FALSE)</f>
        <v>#N/A</v>
      </c>
      <c r="V74" s="1172" t="e">
        <f>VLOOKUP(T74,ID_archer_cible,8,FALSE)</f>
        <v>#N/A</v>
      </c>
      <c r="W74" s="1173"/>
      <c r="X74" s="574" t="e">
        <f>VLOOKUP(T74,ID_archer_cible,10,FALSE)</f>
        <v>#N/A</v>
      </c>
      <c r="AA74" s="611"/>
    </row>
    <row r="75" spans="1:27" ht="23.25" customHeight="1" x14ac:dyDescent="0.2">
      <c r="A75" s="580" t="e">
        <f>VLOOKUP(H75,ID_archer_cible,5,FALSE)&amp;"    "&amp;VLOOKUP(H75,ID_archer_cible,6,FALSE)</f>
        <v>#N/A</v>
      </c>
      <c r="B75" s="581"/>
      <c r="C75" s="582"/>
      <c r="D75" s="575"/>
      <c r="E75" s="223"/>
      <c r="F75" s="223"/>
      <c r="G75" s="223"/>
      <c r="H75" s="589" t="str">
        <f>B68&amp;"B"</f>
        <v>3B</v>
      </c>
      <c r="I75" s="574" t="e">
        <f>VLOOKUP(H75,ID_archer_cible,9,FALSE)</f>
        <v>#N/A</v>
      </c>
      <c r="J75" s="1075" t="e">
        <f>VLOOKUP(H75,ID_archer_cible,8,FALSE)</f>
        <v>#N/A</v>
      </c>
      <c r="K75" s="1075"/>
      <c r="L75" s="610" t="e">
        <f>VLOOKUP(H75,ID_archer_cible,7,FALSE)</f>
        <v>#N/A</v>
      </c>
      <c r="M75" s="589" t="e">
        <f>VLOOKUP(H75,ID_archer_cible,10,FALSE)</f>
        <v>#N/A</v>
      </c>
      <c r="N75" s="597" t="e">
        <f>VLOOKUP(T75,ID_archer_cible,5,FALSE)&amp;"    "&amp;VLOOKUP(T75,ID_archer_cible,6,FALSE)</f>
        <v>#N/A</v>
      </c>
      <c r="O75" s="581"/>
      <c r="P75" s="582"/>
      <c r="Q75" s="575"/>
      <c r="R75" s="223"/>
      <c r="S75" s="579" t="e">
        <f>VLOOKUP(T75,ID_archer_cible,7,FALSE)</f>
        <v>#N/A</v>
      </c>
      <c r="T75" s="589" t="str">
        <f>B68&amp;"D"</f>
        <v>3D</v>
      </c>
      <c r="U75" s="574" t="e">
        <f>VLOOKUP(T75,ID_archer_cible,9,FALSE)</f>
        <v>#N/A</v>
      </c>
      <c r="V75" s="1172" t="e">
        <f>VLOOKUP(T75,ID_archer_cible,8,FALSE)</f>
        <v>#N/A</v>
      </c>
      <c r="W75" s="1173"/>
      <c r="X75" s="574" t="e">
        <f>VLOOKUP(T75,ID_archer_cible,10,FALSE)</f>
        <v>#N/A</v>
      </c>
      <c r="AA75" s="611"/>
    </row>
    <row r="76" spans="1:27" ht="15" customHeight="1" thickBot="1" x14ac:dyDescent="0.25">
      <c r="AA76" s="611"/>
    </row>
    <row r="77" spans="1:27" ht="20.25" customHeight="1" thickBot="1" x14ac:dyDescent="0.25">
      <c r="F77" s="1174" t="s">
        <v>555</v>
      </c>
      <c r="G77" s="1175"/>
      <c r="H77" s="1175"/>
      <c r="I77" s="1175"/>
      <c r="J77" s="1175"/>
      <c r="K77" s="1175"/>
      <c r="L77" s="1176"/>
      <c r="M77" s="1174" t="s">
        <v>556</v>
      </c>
      <c r="N77" s="1175"/>
      <c r="O77" s="1175"/>
      <c r="P77" s="1175"/>
      <c r="Q77" s="1175"/>
      <c r="R77" s="1175"/>
      <c r="S77" s="1176"/>
      <c r="T77" s="1174" t="s">
        <v>557</v>
      </c>
      <c r="U77" s="1175"/>
      <c r="V77" s="1175"/>
      <c r="W77" s="1175"/>
      <c r="X77" s="1175"/>
      <c r="Y77" s="1175"/>
      <c r="Z77" s="1176"/>
      <c r="AA77" s="613"/>
    </row>
    <row r="78" spans="1:27" ht="30.75" customHeight="1" x14ac:dyDescent="0.2">
      <c r="A78" s="1171" t="s">
        <v>559</v>
      </c>
      <c r="B78" s="1171"/>
      <c r="C78" s="1171"/>
      <c r="D78" s="1171"/>
      <c r="E78" s="1181"/>
      <c r="F78" s="1179" t="s">
        <v>560</v>
      </c>
      <c r="G78" s="1180"/>
      <c r="H78" s="1180"/>
      <c r="I78" s="306"/>
      <c r="J78" s="306"/>
      <c r="K78" s="307"/>
      <c r="L78" s="572" t="s">
        <v>7</v>
      </c>
      <c r="M78" s="1179" t="s">
        <v>560</v>
      </c>
      <c r="N78" s="1180"/>
      <c r="O78" s="1180"/>
      <c r="P78" s="306"/>
      <c r="Q78" s="306"/>
      <c r="R78" s="307"/>
      <c r="S78" s="572" t="s">
        <v>7</v>
      </c>
      <c r="T78" s="1179" t="s">
        <v>560</v>
      </c>
      <c r="U78" s="1180"/>
      <c r="V78" s="1180"/>
      <c r="W78" s="306"/>
      <c r="X78" s="306"/>
      <c r="Y78" s="307"/>
      <c r="Z78" s="572" t="s">
        <v>7</v>
      </c>
      <c r="AA78" s="614"/>
    </row>
    <row r="79" spans="1:27" ht="30.75" customHeight="1" x14ac:dyDescent="0.2">
      <c r="A79" s="1168" t="e">
        <f>A74</f>
        <v>#N/A</v>
      </c>
      <c r="B79" s="1169"/>
      <c r="C79" s="1169"/>
      <c r="D79" s="1169"/>
      <c r="E79" s="1170"/>
      <c r="F79" s="228"/>
      <c r="G79" s="229"/>
      <c r="H79" s="229"/>
      <c r="I79" s="229"/>
      <c r="J79" s="229"/>
      <c r="K79" s="230" t="s">
        <v>561</v>
      </c>
      <c r="L79" s="231"/>
      <c r="M79" s="228"/>
      <c r="N79" s="229"/>
      <c r="O79" s="229"/>
      <c r="P79" s="229"/>
      <c r="Q79" s="229"/>
      <c r="R79" s="230" t="s">
        <v>561</v>
      </c>
      <c r="S79" s="231"/>
      <c r="T79" s="228"/>
      <c r="U79" s="229"/>
      <c r="V79" s="229"/>
      <c r="W79" s="229"/>
      <c r="X79" s="229"/>
      <c r="Y79" s="230" t="s">
        <v>561</v>
      </c>
      <c r="Z79" s="231"/>
      <c r="AA79" s="611"/>
    </row>
    <row r="80" spans="1:27" ht="30.75" customHeight="1" x14ac:dyDescent="0.2">
      <c r="A80" s="1168" t="e">
        <f>A75</f>
        <v>#N/A</v>
      </c>
      <c r="B80" s="1169"/>
      <c r="C80" s="1169"/>
      <c r="D80" s="1169"/>
      <c r="E80" s="1170"/>
      <c r="F80" s="228"/>
      <c r="G80" s="229"/>
      <c r="H80" s="229"/>
      <c r="I80" s="229"/>
      <c r="J80" s="229"/>
      <c r="K80" s="230" t="s">
        <v>561</v>
      </c>
      <c r="L80" s="231"/>
      <c r="M80" s="228"/>
      <c r="N80" s="229"/>
      <c r="O80" s="229"/>
      <c r="P80" s="229"/>
      <c r="Q80" s="229"/>
      <c r="R80" s="230" t="s">
        <v>561</v>
      </c>
      <c r="S80" s="231"/>
      <c r="T80" s="228"/>
      <c r="U80" s="229"/>
      <c r="V80" s="229"/>
      <c r="W80" s="229"/>
      <c r="X80" s="229"/>
      <c r="Y80" s="230" t="s">
        <v>561</v>
      </c>
      <c r="Z80" s="231"/>
      <c r="AA80" s="611"/>
    </row>
    <row r="81" spans="1:27" ht="30.75" customHeight="1" x14ac:dyDescent="0.2">
      <c r="A81" s="1168" t="e">
        <f>N74</f>
        <v>#N/A</v>
      </c>
      <c r="B81" s="1169"/>
      <c r="C81" s="1169"/>
      <c r="D81" s="1169"/>
      <c r="E81" s="1170"/>
      <c r="F81" s="228"/>
      <c r="G81" s="229"/>
      <c r="H81" s="229"/>
      <c r="I81" s="229"/>
      <c r="J81" s="229"/>
      <c r="K81" s="230" t="s">
        <v>561</v>
      </c>
      <c r="L81" s="231"/>
      <c r="M81" s="228"/>
      <c r="N81" s="229"/>
      <c r="O81" s="229"/>
      <c r="P81" s="229"/>
      <c r="Q81" s="229"/>
      <c r="R81" s="230" t="s">
        <v>561</v>
      </c>
      <c r="S81" s="231"/>
      <c r="T81" s="228"/>
      <c r="U81" s="229"/>
      <c r="V81" s="229"/>
      <c r="W81" s="229"/>
      <c r="X81" s="229"/>
      <c r="Y81" s="230" t="s">
        <v>561</v>
      </c>
      <c r="Z81" s="231"/>
      <c r="AA81" s="611"/>
    </row>
    <row r="82" spans="1:27" ht="30.75" customHeight="1" thickBot="1" x14ac:dyDescent="0.25">
      <c r="A82" s="1168" t="e">
        <f>N75</f>
        <v>#N/A</v>
      </c>
      <c r="B82" s="1169"/>
      <c r="C82" s="1169"/>
      <c r="D82" s="1169"/>
      <c r="E82" s="1170"/>
      <c r="F82" s="228"/>
      <c r="G82" s="229"/>
      <c r="H82" s="229"/>
      <c r="I82" s="229"/>
      <c r="J82" s="229"/>
      <c r="K82" s="230" t="s">
        <v>561</v>
      </c>
      <c r="L82" s="232"/>
      <c r="M82" s="228"/>
      <c r="N82" s="229"/>
      <c r="O82" s="229"/>
      <c r="P82" s="229"/>
      <c r="Q82" s="229"/>
      <c r="R82" s="230" t="s">
        <v>561</v>
      </c>
      <c r="S82" s="232"/>
      <c r="T82" s="228"/>
      <c r="U82" s="229"/>
      <c r="V82" s="229"/>
      <c r="W82" s="229"/>
      <c r="X82" s="229"/>
      <c r="Y82" s="230" t="s">
        <v>561</v>
      </c>
      <c r="Z82" s="232"/>
      <c r="AA82" s="611"/>
    </row>
    <row r="83" spans="1:27" ht="30.75" customHeight="1" thickBot="1" x14ac:dyDescent="0.25">
      <c r="F83" s="1177" t="s">
        <v>562</v>
      </c>
      <c r="G83" s="1178"/>
      <c r="H83" s="1178"/>
      <c r="I83" s="235"/>
      <c r="J83" s="235"/>
      <c r="K83" s="237" t="s">
        <v>561</v>
      </c>
      <c r="L83" s="239"/>
      <c r="M83" s="1177" t="s">
        <v>563</v>
      </c>
      <c r="N83" s="1178"/>
      <c r="O83" s="1178"/>
      <c r="P83" s="235"/>
      <c r="Q83" s="235"/>
      <c r="R83" s="237" t="s">
        <v>561</v>
      </c>
      <c r="S83" s="239"/>
      <c r="T83" s="1177" t="s">
        <v>564</v>
      </c>
      <c r="U83" s="1178"/>
      <c r="V83" s="1178"/>
      <c r="W83" s="235"/>
      <c r="X83" s="235"/>
      <c r="Y83" s="237" t="s">
        <v>561</v>
      </c>
      <c r="Z83" s="239"/>
      <c r="AA83" s="615"/>
    </row>
    <row r="84" spans="1:27" ht="9" customHeight="1" thickBot="1" x14ac:dyDescent="0.25">
      <c r="H84" s="249"/>
      <c r="I84" s="249"/>
      <c r="J84" s="249"/>
      <c r="K84" s="249"/>
      <c r="L84" s="249"/>
      <c r="M84" s="249"/>
      <c r="N84" s="249"/>
      <c r="O84" s="249"/>
      <c r="P84" s="249"/>
      <c r="Q84" s="249"/>
      <c r="R84" s="230"/>
      <c r="T84" s="249"/>
      <c r="U84" s="249"/>
      <c r="V84" s="249"/>
      <c r="W84" s="249"/>
      <c r="X84" s="249"/>
      <c r="Y84" s="230"/>
      <c r="AA84" s="611"/>
    </row>
    <row r="85" spans="1:27" ht="30.75" customHeight="1" thickBot="1" x14ac:dyDescent="0.25">
      <c r="F85" s="1174" t="s">
        <v>558</v>
      </c>
      <c r="G85" s="1175"/>
      <c r="H85" s="1175"/>
      <c r="I85" s="1175"/>
      <c r="J85" s="1175"/>
      <c r="K85" s="1175"/>
      <c r="L85" s="1176"/>
      <c r="M85" s="1174" t="s">
        <v>902</v>
      </c>
      <c r="N85" s="1175"/>
      <c r="O85" s="1175"/>
      <c r="P85" s="1175"/>
      <c r="Q85" s="1175"/>
      <c r="R85" s="1175"/>
      <c r="S85" s="1176"/>
      <c r="T85" s="1174" t="s">
        <v>907</v>
      </c>
      <c r="U85" s="1175"/>
      <c r="V85" s="1175"/>
      <c r="W85" s="1175"/>
      <c r="X85" s="1175"/>
      <c r="Y85" s="1175"/>
      <c r="Z85" s="1176"/>
      <c r="AA85" s="613"/>
    </row>
    <row r="86" spans="1:27" ht="30.75" customHeight="1" x14ac:dyDescent="0.2">
      <c r="A86" s="1171" t="str">
        <f>A78</f>
        <v>NOM - PRENOM</v>
      </c>
      <c r="B86" s="1171"/>
      <c r="C86" s="1171"/>
      <c r="D86" s="1171"/>
      <c r="E86" s="1181"/>
      <c r="F86" s="1179" t="s">
        <v>560</v>
      </c>
      <c r="G86" s="1180"/>
      <c r="H86" s="1180"/>
      <c r="I86" s="306"/>
      <c r="J86" s="306"/>
      <c r="K86" s="307"/>
      <c r="L86" s="572" t="s">
        <v>7</v>
      </c>
      <c r="M86" s="1179" t="s">
        <v>560</v>
      </c>
      <c r="N86" s="1180"/>
      <c r="O86" s="1180"/>
      <c r="P86" s="306"/>
      <c r="Q86" s="306"/>
      <c r="R86" s="307"/>
      <c r="S86" s="572" t="s">
        <v>7</v>
      </c>
      <c r="T86" s="1179" t="s">
        <v>560</v>
      </c>
      <c r="U86" s="1180"/>
      <c r="V86" s="1180"/>
      <c r="W86" s="306"/>
      <c r="X86" s="306"/>
      <c r="Y86" s="307"/>
      <c r="Z86" s="572" t="s">
        <v>7</v>
      </c>
      <c r="AA86" s="614"/>
    </row>
    <row r="87" spans="1:27" ht="30.75" customHeight="1" x14ac:dyDescent="0.2">
      <c r="A87" s="605" t="e">
        <f>A79</f>
        <v>#N/A</v>
      </c>
      <c r="B87" s="606"/>
      <c r="C87" s="606"/>
      <c r="D87" s="606"/>
      <c r="E87" s="607"/>
      <c r="F87" s="228"/>
      <c r="G87" s="229"/>
      <c r="H87" s="229"/>
      <c r="I87" s="229"/>
      <c r="J87" s="229"/>
      <c r="K87" s="230" t="s">
        <v>561</v>
      </c>
      <c r="L87" s="231"/>
      <c r="M87" s="228"/>
      <c r="N87" s="229"/>
      <c r="O87" s="229"/>
      <c r="P87" s="229"/>
      <c r="Q87" s="229"/>
      <c r="R87" s="230" t="s">
        <v>561</v>
      </c>
      <c r="S87" s="231"/>
      <c r="T87" s="228"/>
      <c r="U87" s="229"/>
      <c r="V87" s="229"/>
      <c r="W87" s="229"/>
      <c r="X87" s="229"/>
      <c r="Y87" s="230" t="s">
        <v>561</v>
      </c>
      <c r="Z87" s="231"/>
      <c r="AA87" s="611"/>
    </row>
    <row r="88" spans="1:27" ht="30.75" customHeight="1" x14ac:dyDescent="0.2">
      <c r="A88" s="605" t="e">
        <f>A80</f>
        <v>#N/A</v>
      </c>
      <c r="B88" s="606"/>
      <c r="C88" s="606"/>
      <c r="D88" s="606"/>
      <c r="E88" s="607"/>
      <c r="F88" s="228"/>
      <c r="G88" s="229"/>
      <c r="H88" s="229"/>
      <c r="I88" s="229"/>
      <c r="J88" s="229"/>
      <c r="K88" s="230" t="s">
        <v>561</v>
      </c>
      <c r="L88" s="231"/>
      <c r="M88" s="228"/>
      <c r="N88" s="229"/>
      <c r="O88" s="229"/>
      <c r="P88" s="229"/>
      <c r="Q88" s="229"/>
      <c r="R88" s="230" t="s">
        <v>561</v>
      </c>
      <c r="S88" s="231"/>
      <c r="T88" s="228"/>
      <c r="U88" s="229"/>
      <c r="V88" s="229"/>
      <c r="W88" s="229"/>
      <c r="X88" s="229"/>
      <c r="Y88" s="230" t="s">
        <v>561</v>
      </c>
      <c r="Z88" s="231"/>
      <c r="AA88" s="611"/>
    </row>
    <row r="89" spans="1:27" ht="30.75" customHeight="1" x14ac:dyDescent="0.2">
      <c r="A89" s="605" t="e">
        <f>A81</f>
        <v>#N/A</v>
      </c>
      <c r="B89" s="606"/>
      <c r="C89" s="606"/>
      <c r="D89" s="606"/>
      <c r="E89" s="607"/>
      <c r="F89" s="228"/>
      <c r="G89" s="229"/>
      <c r="H89" s="229"/>
      <c r="I89" s="229"/>
      <c r="J89" s="229"/>
      <c r="K89" s="230" t="s">
        <v>561</v>
      </c>
      <c r="L89" s="231"/>
      <c r="M89" s="228"/>
      <c r="N89" s="229"/>
      <c r="O89" s="229"/>
      <c r="P89" s="229"/>
      <c r="Q89" s="229"/>
      <c r="R89" s="230" t="s">
        <v>561</v>
      </c>
      <c r="S89" s="231"/>
      <c r="T89" s="228"/>
      <c r="U89" s="229"/>
      <c r="V89" s="229"/>
      <c r="W89" s="229"/>
      <c r="X89" s="229"/>
      <c r="Y89" s="230" t="s">
        <v>561</v>
      </c>
      <c r="Z89" s="231"/>
      <c r="AA89" s="611"/>
    </row>
    <row r="90" spans="1:27" ht="30.75" customHeight="1" thickBot="1" x14ac:dyDescent="0.25">
      <c r="A90" s="605" t="e">
        <f>A82</f>
        <v>#N/A</v>
      </c>
      <c r="B90" s="606"/>
      <c r="C90" s="606"/>
      <c r="D90" s="606"/>
      <c r="E90" s="607"/>
      <c r="F90" s="228"/>
      <c r="G90" s="229"/>
      <c r="H90" s="229"/>
      <c r="I90" s="229"/>
      <c r="J90" s="229"/>
      <c r="K90" s="230" t="s">
        <v>561</v>
      </c>
      <c r="L90" s="232"/>
      <c r="M90" s="228"/>
      <c r="N90" s="229"/>
      <c r="O90" s="229"/>
      <c r="P90" s="229"/>
      <c r="Q90" s="229"/>
      <c r="R90" s="230" t="s">
        <v>561</v>
      </c>
      <c r="S90" s="232"/>
      <c r="T90" s="228"/>
      <c r="U90" s="229"/>
      <c r="V90" s="229"/>
      <c r="W90" s="229"/>
      <c r="X90" s="229"/>
      <c r="Y90" s="230" t="s">
        <v>561</v>
      </c>
      <c r="Z90" s="232"/>
      <c r="AA90" s="611"/>
    </row>
    <row r="91" spans="1:27" ht="24" customHeight="1" thickBot="1" x14ac:dyDescent="0.25">
      <c r="F91" s="1177" t="s">
        <v>565</v>
      </c>
      <c r="G91" s="1178"/>
      <c r="H91" s="1178"/>
      <c r="I91" s="235"/>
      <c r="J91" s="235"/>
      <c r="K91" s="237" t="s">
        <v>561</v>
      </c>
      <c r="L91" s="239"/>
      <c r="M91" s="1177" t="s">
        <v>903</v>
      </c>
      <c r="N91" s="1178"/>
      <c r="O91" s="1178"/>
      <c r="P91" s="235"/>
      <c r="Q91" s="235"/>
      <c r="R91" s="237" t="s">
        <v>561</v>
      </c>
      <c r="S91" s="239"/>
      <c r="T91" s="1177" t="s">
        <v>904</v>
      </c>
      <c r="U91" s="1178"/>
      <c r="V91" s="1178"/>
      <c r="W91" s="235"/>
      <c r="X91" s="235"/>
      <c r="Y91" s="237" t="s">
        <v>561</v>
      </c>
      <c r="Z91" s="239"/>
      <c r="AA91" s="611"/>
    </row>
    <row r="92" spans="1:27" ht="8.25" customHeight="1" thickBot="1" x14ac:dyDescent="0.25">
      <c r="A92" s="592"/>
      <c r="B92" s="592"/>
      <c r="C92" s="592"/>
      <c r="D92" s="592"/>
      <c r="E92" s="592"/>
      <c r="F92" s="249"/>
      <c r="G92" s="249"/>
      <c r="H92" s="249"/>
      <c r="I92" s="249"/>
      <c r="J92" s="249"/>
      <c r="K92" s="230"/>
      <c r="L92" s="249"/>
      <c r="M92" s="230"/>
      <c r="N92" s="249"/>
      <c r="O92" s="230"/>
      <c r="P92" s="249"/>
      <c r="Q92" s="230"/>
      <c r="R92" s="249"/>
      <c r="S92" s="230"/>
      <c r="T92" s="249"/>
      <c r="U92" s="230"/>
      <c r="V92" s="249"/>
      <c r="W92" s="249"/>
      <c r="X92" s="249"/>
      <c r="Y92" s="230"/>
      <c r="AA92" s="611"/>
    </row>
    <row r="93" spans="1:27" ht="16.5" customHeight="1" thickBot="1" x14ac:dyDescent="0.25">
      <c r="A93" s="1200" t="s">
        <v>915</v>
      </c>
      <c r="B93" s="1200"/>
      <c r="C93" s="1200"/>
      <c r="D93" s="1200"/>
      <c r="E93" s="249"/>
      <c r="F93" s="1198" t="s">
        <v>909</v>
      </c>
      <c r="G93" s="1199"/>
      <c r="H93" s="1199"/>
      <c r="I93" s="1198" t="s">
        <v>910</v>
      </c>
      <c r="J93" s="1199"/>
      <c r="K93" s="1199"/>
      <c r="L93" s="1198" t="s">
        <v>911</v>
      </c>
      <c r="M93" s="1199"/>
      <c r="N93" s="1199"/>
      <c r="O93" s="1198" t="s">
        <v>912</v>
      </c>
      <c r="P93" s="1199"/>
      <c r="Q93" s="1199"/>
      <c r="R93" s="1198" t="s">
        <v>913</v>
      </c>
      <c r="S93" s="1199"/>
      <c r="T93" s="1199"/>
      <c r="U93" s="1198" t="s">
        <v>916</v>
      </c>
      <c r="V93" s="1199"/>
      <c r="W93" s="1199"/>
      <c r="X93" s="1194" t="s">
        <v>908</v>
      </c>
      <c r="Y93" s="1195"/>
      <c r="Z93" s="1196"/>
      <c r="AA93" s="616"/>
    </row>
    <row r="94" spans="1:27" ht="30.75" customHeight="1" x14ac:dyDescent="0.2">
      <c r="A94" s="1200"/>
      <c r="B94" s="1200"/>
      <c r="C94" s="1200"/>
      <c r="D94" s="1200"/>
      <c r="E94" s="249"/>
      <c r="F94" s="1197"/>
      <c r="G94" s="1197"/>
      <c r="H94" s="1197"/>
      <c r="I94" s="1197"/>
      <c r="J94" s="1197"/>
      <c r="K94" s="1197"/>
      <c r="L94" s="1197"/>
      <c r="M94" s="1197"/>
      <c r="N94" s="1197"/>
      <c r="O94" s="1197"/>
      <c r="P94" s="1197"/>
      <c r="Q94" s="1197"/>
      <c r="R94" s="1197"/>
      <c r="S94" s="1197"/>
      <c r="T94" s="1197"/>
      <c r="U94" s="1197"/>
      <c r="V94" s="1197"/>
      <c r="W94" s="1197"/>
      <c r="X94" s="1162"/>
      <c r="Y94" s="1163"/>
      <c r="Z94" s="1164"/>
      <c r="AA94" s="614"/>
    </row>
    <row r="95" spans="1:27" ht="30.75" customHeight="1" thickBot="1" x14ac:dyDescent="0.25">
      <c r="A95" s="1200"/>
      <c r="B95" s="1200"/>
      <c r="C95" s="1200"/>
      <c r="D95" s="1200"/>
      <c r="E95" s="249"/>
      <c r="F95" s="1201" t="s">
        <v>914</v>
      </c>
      <c r="G95" s="1201"/>
      <c r="H95" s="1201"/>
      <c r="I95" s="1197"/>
      <c r="J95" s="1197"/>
      <c r="K95" s="1197"/>
      <c r="L95" s="1197"/>
      <c r="M95" s="1197"/>
      <c r="N95" s="1197"/>
      <c r="O95" s="1197"/>
      <c r="P95" s="1197"/>
      <c r="Q95" s="1197"/>
      <c r="R95" s="1197"/>
      <c r="S95" s="1197"/>
      <c r="T95" s="1197"/>
      <c r="U95" s="1197"/>
      <c r="V95" s="1197"/>
      <c r="W95" s="1197"/>
      <c r="X95" s="1165"/>
      <c r="Y95" s="1166"/>
      <c r="Z95" s="1167"/>
      <c r="AA95" s="614"/>
    </row>
    <row r="96" spans="1:27" ht="19.5" customHeight="1" x14ac:dyDescent="0.2">
      <c r="A96" s="578" t="s">
        <v>851</v>
      </c>
      <c r="B96" s="566"/>
      <c r="C96" s="566"/>
      <c r="D96" s="566"/>
      <c r="E96" s="566"/>
      <c r="F96" s="566"/>
      <c r="G96" s="566"/>
      <c r="H96" s="566"/>
      <c r="I96" s="566"/>
      <c r="J96" s="566"/>
      <c r="K96" s="566"/>
      <c r="M96" s="241"/>
      <c r="O96" s="578" t="s">
        <v>522</v>
      </c>
      <c r="P96" s="566"/>
      <c r="Q96" s="566"/>
      <c r="R96" s="566"/>
      <c r="S96" s="566"/>
      <c r="T96" s="566"/>
      <c r="U96" s="566"/>
      <c r="V96" s="566"/>
      <c r="W96" s="520"/>
      <c r="AA96" s="611"/>
    </row>
    <row r="97" spans="1:27" x14ac:dyDescent="0.2">
      <c r="A97" s="577" t="s">
        <v>1</v>
      </c>
      <c r="B97" s="567"/>
      <c r="C97" s="567"/>
      <c r="D97" s="567"/>
      <c r="E97" s="567"/>
      <c r="F97" s="567"/>
      <c r="G97" s="568"/>
      <c r="H97" s="1086" t="s">
        <v>520</v>
      </c>
      <c r="I97" s="1087"/>
      <c r="J97" s="1087"/>
      <c r="K97" s="1088"/>
      <c r="M97" s="577" t="s">
        <v>1</v>
      </c>
      <c r="N97" s="567"/>
      <c r="O97" s="567"/>
      <c r="P97" s="567"/>
      <c r="Q97" s="567"/>
      <c r="R97" s="567"/>
      <c r="S97" s="585" t="s">
        <v>520</v>
      </c>
      <c r="T97" s="586"/>
      <c r="U97" s="586"/>
      <c r="V97" s="587"/>
      <c r="AA97" s="611"/>
    </row>
    <row r="98" spans="1:27" ht="69" customHeight="1" x14ac:dyDescent="0.2">
      <c r="A98" s="242"/>
      <c r="B98" s="243"/>
      <c r="C98" s="243"/>
      <c r="D98" s="243"/>
      <c r="E98" s="243"/>
      <c r="F98" s="243"/>
      <c r="G98" s="244"/>
      <c r="H98" s="242"/>
      <c r="I98" s="243"/>
      <c r="J98" s="243"/>
      <c r="K98" s="244"/>
      <c r="M98" s="242"/>
      <c r="N98" s="243"/>
      <c r="O98" s="243"/>
      <c r="P98" s="243"/>
      <c r="Q98" s="243"/>
      <c r="R98" s="243"/>
      <c r="S98" s="242"/>
      <c r="T98" s="243"/>
      <c r="U98" s="243"/>
      <c r="V98" s="244"/>
      <c r="AA98" s="611"/>
    </row>
    <row r="99" spans="1:27" x14ac:dyDescent="0.2">
      <c r="AA99" s="611"/>
    </row>
    <row r="100" spans="1:27" ht="6.75" customHeight="1" x14ac:dyDescent="0.2">
      <c r="AA100" s="611"/>
    </row>
    <row r="101" spans="1:27" s="218" customFormat="1" ht="23.25" customHeight="1" x14ac:dyDescent="0.2">
      <c r="A101" s="218" t="s">
        <v>628</v>
      </c>
      <c r="B101" s="1103">
        <f>B68+1</f>
        <v>4</v>
      </c>
      <c r="C101" s="1104"/>
      <c r="D101" s="569"/>
      <c r="E101" s="218" t="str">
        <f>Championnat</f>
        <v>Championnat de France de Tir à l'ARC</v>
      </c>
      <c r="P101" s="1192"/>
      <c r="Q101" s="1192"/>
      <c r="R101" s="1192"/>
      <c r="S101" s="1192"/>
      <c r="T101" s="1193" t="str">
        <f>CATEG_IMPORTEE</f>
        <v>Collèges Mixtes Etablissement</v>
      </c>
      <c r="U101" s="1193"/>
      <c r="V101" s="1193"/>
      <c r="W101" s="1193"/>
      <c r="X101" s="1193"/>
      <c r="Y101" s="1193"/>
      <c r="Z101" s="1193"/>
      <c r="AA101" s="609"/>
    </row>
    <row r="102" spans="1:27" ht="27" customHeight="1" thickBot="1" x14ac:dyDescent="0.25">
      <c r="A102" s="1069" t="s">
        <v>0</v>
      </c>
      <c r="B102" s="1069"/>
      <c r="C102" s="1069"/>
      <c r="D102" s="1069"/>
      <c r="E102" s="1069"/>
      <c r="F102" s="1069"/>
      <c r="G102" s="1069"/>
      <c r="H102" s="1069"/>
      <c r="I102" s="1125" t="s">
        <v>374</v>
      </c>
      <c r="J102" s="1125"/>
      <c r="K102" s="1125"/>
      <c r="L102" s="1125"/>
      <c r="M102" s="1125"/>
      <c r="N102" s="1069"/>
      <c r="O102" s="595"/>
      <c r="P102" s="1192"/>
      <c r="Q102" s="1192"/>
      <c r="R102" s="1192"/>
      <c r="S102" s="1192"/>
      <c r="T102" s="1184" t="str">
        <f>LIEU&amp;" du "&amp;DATE</f>
        <v>L’Isle sur la Sorgue du 27 au 31 mars 2023</v>
      </c>
      <c r="U102" s="1184"/>
      <c r="V102" s="1184"/>
      <c r="W102" s="1184"/>
      <c r="X102" s="1184"/>
      <c r="Y102" s="1184"/>
      <c r="Z102" s="1184"/>
      <c r="AA102" s="608"/>
    </row>
    <row r="103" spans="1:27" ht="24" customHeight="1" thickBot="1" x14ac:dyDescent="0.25">
      <c r="A103" s="1185" t="e">
        <f>VLOOKUP(H107,ID_archer_cible,2,FALSE)</f>
        <v>#N/A</v>
      </c>
      <c r="B103" s="1186"/>
      <c r="C103" s="1186"/>
      <c r="D103" s="1186"/>
      <c r="E103" s="1186"/>
      <c r="F103" s="1186"/>
      <c r="G103" s="1186"/>
      <c r="H103" s="1187"/>
      <c r="I103" s="1185" t="e">
        <f>VLOOKUP(H107,ID_archer_cible,4,FALSE)</f>
        <v>#N/A</v>
      </c>
      <c r="J103" s="1186"/>
      <c r="K103" s="1186"/>
      <c r="L103" s="1186"/>
      <c r="M103" s="1186"/>
      <c r="N103" s="1187"/>
      <c r="O103" s="596"/>
      <c r="P103" s="1192"/>
      <c r="Q103" s="1192"/>
      <c r="R103" s="1192"/>
      <c r="S103" s="1192"/>
      <c r="T103" s="520"/>
      <c r="U103" s="520"/>
      <c r="V103" s="520"/>
      <c r="W103" s="520"/>
      <c r="X103" s="520"/>
      <c r="Y103" s="520"/>
      <c r="Z103" s="520"/>
      <c r="AA103" s="520"/>
    </row>
    <row r="104" spans="1:27" ht="6" customHeight="1" x14ac:dyDescent="0.2">
      <c r="I104" s="1188" t="e">
        <f>"("&amp;VLOOKUP(H107,ID_archer_cible,3,FALSE)&amp;")"</f>
        <v>#N/A</v>
      </c>
      <c r="J104" s="1188"/>
      <c r="K104" s="1188"/>
      <c r="L104" s="1188"/>
      <c r="M104" s="1188"/>
      <c r="N104" s="1188"/>
      <c r="P104" s="1192"/>
      <c r="Q104" s="1192"/>
      <c r="R104" s="1192"/>
      <c r="S104" s="1192"/>
      <c r="AA104" s="611"/>
    </row>
    <row r="105" spans="1:27" ht="17.25" customHeight="1" x14ac:dyDescent="0.2">
      <c r="E105" s="584"/>
      <c r="F105" s="584"/>
      <c r="G105" s="584"/>
      <c r="H105" s="584"/>
      <c r="I105" s="1189"/>
      <c r="J105" s="1189"/>
      <c r="K105" s="1189"/>
      <c r="L105" s="1189"/>
      <c r="M105" s="1189"/>
      <c r="N105" s="1189"/>
      <c r="P105" s="1192"/>
      <c r="Q105" s="1192"/>
      <c r="R105" s="1192"/>
      <c r="S105" s="1192"/>
      <c r="AA105" s="611"/>
    </row>
    <row r="106" spans="1:27" ht="23.25" customHeight="1" x14ac:dyDescent="0.2">
      <c r="A106" s="593" t="s">
        <v>906</v>
      </c>
      <c r="B106" s="588"/>
      <c r="C106" s="588"/>
      <c r="D106" s="588"/>
      <c r="E106" s="588"/>
      <c r="F106" s="588"/>
      <c r="G106" s="588"/>
      <c r="H106" s="594" t="s">
        <v>552</v>
      </c>
      <c r="I106" s="573" t="s">
        <v>893</v>
      </c>
      <c r="J106" s="1075" t="s">
        <v>550</v>
      </c>
      <c r="K106" s="1075"/>
      <c r="L106" s="573" t="s">
        <v>905</v>
      </c>
      <c r="M106" s="252" t="s">
        <v>551</v>
      </c>
      <c r="S106" s="573" t="s">
        <v>905</v>
      </c>
      <c r="T106" s="573" t="s">
        <v>893</v>
      </c>
      <c r="U106" s="573" t="s">
        <v>893</v>
      </c>
      <c r="V106" s="1075" t="s">
        <v>550</v>
      </c>
      <c r="W106" s="1075"/>
      <c r="X106" s="252" t="s">
        <v>551</v>
      </c>
      <c r="Y106" s="571"/>
      <c r="Z106" s="571"/>
      <c r="AA106" s="612"/>
    </row>
    <row r="107" spans="1:27" ht="23.25" customHeight="1" x14ac:dyDescent="0.2">
      <c r="A107" s="580" t="e">
        <f>VLOOKUP(H107,ID_archer_cible,5,FALSE)&amp;"    "&amp;VLOOKUP(H107,ID_archer_cible,6,FALSE)</f>
        <v>#N/A</v>
      </c>
      <c r="B107" s="581"/>
      <c r="C107" s="582"/>
      <c r="D107" s="575"/>
      <c r="E107" s="223"/>
      <c r="F107" s="223"/>
      <c r="G107" s="223"/>
      <c r="H107" s="589" t="str">
        <f>B101&amp;"A"</f>
        <v>4A</v>
      </c>
      <c r="I107" s="574" t="e">
        <f>VLOOKUP(H107,ID_archer_cible,9,FALSE)</f>
        <v>#N/A</v>
      </c>
      <c r="J107" s="1075" t="e">
        <f>VLOOKUP(H107,ID_archer_cible,8,FALSE)</f>
        <v>#N/A</v>
      </c>
      <c r="K107" s="1075"/>
      <c r="L107" s="610" t="e">
        <f>VLOOKUP(H107,ID_archer_cible,7,FALSE)</f>
        <v>#N/A</v>
      </c>
      <c r="M107" s="589" t="e">
        <f>VLOOKUP(H107,ID_archer_cible,10,FALSE)</f>
        <v>#N/A</v>
      </c>
      <c r="N107" s="597" t="e">
        <f>VLOOKUP(T107,ID_archer_cible,5,FALSE)&amp;"    "&amp;VLOOKUP(T107,ID_archer_cible,6,FALSE)</f>
        <v>#N/A</v>
      </c>
      <c r="O107" s="581"/>
      <c r="P107" s="582"/>
      <c r="Q107" s="575"/>
      <c r="R107" s="223"/>
      <c r="S107" s="579" t="e">
        <f>VLOOKUP(T107,ID_archer_cible,7,FALSE)</f>
        <v>#N/A</v>
      </c>
      <c r="T107" s="589" t="str">
        <f>B101&amp;"C"</f>
        <v>4C</v>
      </c>
      <c r="U107" s="574" t="e">
        <f>VLOOKUP(T107,ID_archer_cible,9,FALSE)</f>
        <v>#N/A</v>
      </c>
      <c r="V107" s="1172" t="e">
        <f>VLOOKUP(T107,ID_archer_cible,8,FALSE)</f>
        <v>#N/A</v>
      </c>
      <c r="W107" s="1173"/>
      <c r="X107" s="574" t="e">
        <f>VLOOKUP(T107,ID_archer_cible,10,FALSE)</f>
        <v>#N/A</v>
      </c>
      <c r="AA107" s="611"/>
    </row>
    <row r="108" spans="1:27" ht="23.25" customHeight="1" x14ac:dyDescent="0.2">
      <c r="A108" s="580" t="e">
        <f>VLOOKUP(H108,ID_archer_cible,5,FALSE)&amp;"    "&amp;VLOOKUP(H108,ID_archer_cible,6,FALSE)</f>
        <v>#N/A</v>
      </c>
      <c r="B108" s="581"/>
      <c r="C108" s="582"/>
      <c r="D108" s="575"/>
      <c r="E108" s="223"/>
      <c r="F108" s="223"/>
      <c r="G108" s="223"/>
      <c r="H108" s="589" t="str">
        <f>B101&amp;"B"</f>
        <v>4B</v>
      </c>
      <c r="I108" s="574" t="e">
        <f>VLOOKUP(H108,ID_archer_cible,9,FALSE)</f>
        <v>#N/A</v>
      </c>
      <c r="J108" s="1075" t="e">
        <f>VLOOKUP(H108,ID_archer_cible,8,FALSE)</f>
        <v>#N/A</v>
      </c>
      <c r="K108" s="1075"/>
      <c r="L108" s="610" t="e">
        <f>VLOOKUP(H108,ID_archer_cible,7,FALSE)</f>
        <v>#N/A</v>
      </c>
      <c r="M108" s="589" t="e">
        <f>VLOOKUP(H108,ID_archer_cible,10,FALSE)</f>
        <v>#N/A</v>
      </c>
      <c r="N108" s="597" t="e">
        <f>VLOOKUP(T108,ID_archer_cible,5,FALSE)&amp;"    "&amp;VLOOKUP(T108,ID_archer_cible,6,FALSE)</f>
        <v>#N/A</v>
      </c>
      <c r="O108" s="581"/>
      <c r="P108" s="582"/>
      <c r="Q108" s="575"/>
      <c r="R108" s="223"/>
      <c r="S108" s="579" t="e">
        <f>VLOOKUP(T108,ID_archer_cible,7,FALSE)</f>
        <v>#N/A</v>
      </c>
      <c r="T108" s="589" t="str">
        <f>B101&amp;"D"</f>
        <v>4D</v>
      </c>
      <c r="U108" s="574" t="e">
        <f>VLOOKUP(T108,ID_archer_cible,9,FALSE)</f>
        <v>#N/A</v>
      </c>
      <c r="V108" s="1172" t="e">
        <f>VLOOKUP(T108,ID_archer_cible,8,FALSE)</f>
        <v>#N/A</v>
      </c>
      <c r="W108" s="1173"/>
      <c r="X108" s="574" t="e">
        <f>VLOOKUP(T108,ID_archer_cible,10,FALSE)</f>
        <v>#N/A</v>
      </c>
      <c r="AA108" s="611"/>
    </row>
    <row r="109" spans="1:27" ht="15" customHeight="1" thickBot="1" x14ac:dyDescent="0.25">
      <c r="AA109" s="611"/>
    </row>
    <row r="110" spans="1:27" ht="20.25" customHeight="1" thickBot="1" x14ac:dyDescent="0.25">
      <c r="F110" s="1174" t="s">
        <v>555</v>
      </c>
      <c r="G110" s="1175"/>
      <c r="H110" s="1175"/>
      <c r="I110" s="1175"/>
      <c r="J110" s="1175"/>
      <c r="K110" s="1175"/>
      <c r="L110" s="1176"/>
      <c r="M110" s="1174" t="s">
        <v>556</v>
      </c>
      <c r="N110" s="1175"/>
      <c r="O110" s="1175"/>
      <c r="P110" s="1175"/>
      <c r="Q110" s="1175"/>
      <c r="R110" s="1175"/>
      <c r="S110" s="1176"/>
      <c r="T110" s="1174" t="s">
        <v>557</v>
      </c>
      <c r="U110" s="1175"/>
      <c r="V110" s="1175"/>
      <c r="W110" s="1175"/>
      <c r="X110" s="1175"/>
      <c r="Y110" s="1175"/>
      <c r="Z110" s="1176"/>
      <c r="AA110" s="613"/>
    </row>
    <row r="111" spans="1:27" ht="30.75" customHeight="1" x14ac:dyDescent="0.2">
      <c r="A111" s="1171" t="s">
        <v>559</v>
      </c>
      <c r="B111" s="1171"/>
      <c r="C111" s="1171"/>
      <c r="D111" s="1171"/>
      <c r="E111" s="1181"/>
      <c r="F111" s="1179" t="s">
        <v>560</v>
      </c>
      <c r="G111" s="1180"/>
      <c r="H111" s="1180"/>
      <c r="I111" s="306"/>
      <c r="J111" s="306"/>
      <c r="K111" s="307"/>
      <c r="L111" s="572" t="s">
        <v>7</v>
      </c>
      <c r="M111" s="1179" t="s">
        <v>560</v>
      </c>
      <c r="N111" s="1180"/>
      <c r="O111" s="1180"/>
      <c r="P111" s="306"/>
      <c r="Q111" s="306"/>
      <c r="R111" s="307"/>
      <c r="S111" s="572" t="s">
        <v>7</v>
      </c>
      <c r="T111" s="1179" t="s">
        <v>560</v>
      </c>
      <c r="U111" s="1180"/>
      <c r="V111" s="1180"/>
      <c r="W111" s="306"/>
      <c r="X111" s="306"/>
      <c r="Y111" s="307"/>
      <c r="Z111" s="572" t="s">
        <v>7</v>
      </c>
      <c r="AA111" s="614"/>
    </row>
    <row r="112" spans="1:27" ht="30.75" customHeight="1" x14ac:dyDescent="0.2">
      <c r="A112" s="1168" t="e">
        <f>A107</f>
        <v>#N/A</v>
      </c>
      <c r="B112" s="1169"/>
      <c r="C112" s="1169"/>
      <c r="D112" s="1169"/>
      <c r="E112" s="1170"/>
      <c r="F112" s="228"/>
      <c r="G112" s="229"/>
      <c r="H112" s="229"/>
      <c r="I112" s="229"/>
      <c r="J112" s="229"/>
      <c r="K112" s="230" t="s">
        <v>561</v>
      </c>
      <c r="L112" s="231"/>
      <c r="M112" s="228"/>
      <c r="N112" s="229"/>
      <c r="O112" s="229"/>
      <c r="P112" s="229"/>
      <c r="Q112" s="229"/>
      <c r="R112" s="230" t="s">
        <v>561</v>
      </c>
      <c r="S112" s="231"/>
      <c r="T112" s="228"/>
      <c r="U112" s="229"/>
      <c r="V112" s="229"/>
      <c r="W112" s="229"/>
      <c r="X112" s="229"/>
      <c r="Y112" s="230" t="s">
        <v>561</v>
      </c>
      <c r="Z112" s="231"/>
      <c r="AA112" s="611"/>
    </row>
    <row r="113" spans="1:27" ht="30.75" customHeight="1" x14ac:dyDescent="0.2">
      <c r="A113" s="1168" t="e">
        <f>A108</f>
        <v>#N/A</v>
      </c>
      <c r="B113" s="1169"/>
      <c r="C113" s="1169"/>
      <c r="D113" s="1169"/>
      <c r="E113" s="1170"/>
      <c r="F113" s="228"/>
      <c r="G113" s="229"/>
      <c r="H113" s="229"/>
      <c r="I113" s="229"/>
      <c r="J113" s="229"/>
      <c r="K113" s="230" t="s">
        <v>561</v>
      </c>
      <c r="L113" s="231"/>
      <c r="M113" s="228"/>
      <c r="N113" s="229"/>
      <c r="O113" s="229"/>
      <c r="P113" s="229"/>
      <c r="Q113" s="229"/>
      <c r="R113" s="230" t="s">
        <v>561</v>
      </c>
      <c r="S113" s="231"/>
      <c r="T113" s="228"/>
      <c r="U113" s="229"/>
      <c r="V113" s="229"/>
      <c r="W113" s="229"/>
      <c r="X113" s="229"/>
      <c r="Y113" s="230" t="s">
        <v>561</v>
      </c>
      <c r="Z113" s="231"/>
      <c r="AA113" s="611"/>
    </row>
    <row r="114" spans="1:27" ht="30.75" customHeight="1" x14ac:dyDescent="0.2">
      <c r="A114" s="1168" t="e">
        <f>N107</f>
        <v>#N/A</v>
      </c>
      <c r="B114" s="1169"/>
      <c r="C114" s="1169"/>
      <c r="D114" s="1169"/>
      <c r="E114" s="1170"/>
      <c r="F114" s="228"/>
      <c r="G114" s="229"/>
      <c r="H114" s="229"/>
      <c r="I114" s="229"/>
      <c r="J114" s="229"/>
      <c r="K114" s="230" t="s">
        <v>561</v>
      </c>
      <c r="L114" s="231"/>
      <c r="M114" s="228"/>
      <c r="N114" s="229"/>
      <c r="O114" s="229"/>
      <c r="P114" s="229"/>
      <c r="Q114" s="229"/>
      <c r="R114" s="230" t="s">
        <v>561</v>
      </c>
      <c r="S114" s="231"/>
      <c r="T114" s="228"/>
      <c r="U114" s="229"/>
      <c r="V114" s="229"/>
      <c r="W114" s="229"/>
      <c r="X114" s="229"/>
      <c r="Y114" s="230" t="s">
        <v>561</v>
      </c>
      <c r="Z114" s="231"/>
      <c r="AA114" s="611"/>
    </row>
    <row r="115" spans="1:27" ht="30.75" customHeight="1" thickBot="1" x14ac:dyDescent="0.25">
      <c r="A115" s="1168" t="e">
        <f>N108</f>
        <v>#N/A</v>
      </c>
      <c r="B115" s="1169"/>
      <c r="C115" s="1169"/>
      <c r="D115" s="1169"/>
      <c r="E115" s="1170"/>
      <c r="F115" s="228"/>
      <c r="G115" s="229"/>
      <c r="H115" s="229"/>
      <c r="I115" s="229"/>
      <c r="J115" s="229"/>
      <c r="K115" s="230" t="s">
        <v>561</v>
      </c>
      <c r="L115" s="232"/>
      <c r="M115" s="228"/>
      <c r="N115" s="229"/>
      <c r="O115" s="229"/>
      <c r="P115" s="229"/>
      <c r="Q115" s="229"/>
      <c r="R115" s="230" t="s">
        <v>561</v>
      </c>
      <c r="S115" s="232"/>
      <c r="T115" s="228"/>
      <c r="U115" s="229"/>
      <c r="V115" s="229"/>
      <c r="W115" s="229"/>
      <c r="X115" s="229"/>
      <c r="Y115" s="230" t="s">
        <v>561</v>
      </c>
      <c r="Z115" s="232"/>
      <c r="AA115" s="611"/>
    </row>
    <row r="116" spans="1:27" ht="30.75" customHeight="1" thickBot="1" x14ac:dyDescent="0.25">
      <c r="F116" s="1177" t="s">
        <v>562</v>
      </c>
      <c r="G116" s="1178"/>
      <c r="H116" s="1178"/>
      <c r="I116" s="235"/>
      <c r="J116" s="235"/>
      <c r="K116" s="237" t="s">
        <v>561</v>
      </c>
      <c r="L116" s="239"/>
      <c r="M116" s="1177" t="s">
        <v>563</v>
      </c>
      <c r="N116" s="1178"/>
      <c r="O116" s="1178"/>
      <c r="P116" s="235"/>
      <c r="Q116" s="235"/>
      <c r="R116" s="237" t="s">
        <v>561</v>
      </c>
      <c r="S116" s="239"/>
      <c r="T116" s="1177" t="s">
        <v>564</v>
      </c>
      <c r="U116" s="1178"/>
      <c r="V116" s="1178"/>
      <c r="W116" s="235"/>
      <c r="X116" s="235"/>
      <c r="Y116" s="237" t="s">
        <v>561</v>
      </c>
      <c r="Z116" s="239"/>
      <c r="AA116" s="615"/>
    </row>
    <row r="117" spans="1:27" ht="9" customHeight="1" thickBot="1" x14ac:dyDescent="0.25">
      <c r="H117" s="249"/>
      <c r="I117" s="249"/>
      <c r="J117" s="249"/>
      <c r="K117" s="249"/>
      <c r="L117" s="249"/>
      <c r="M117" s="249"/>
      <c r="N117" s="249"/>
      <c r="O117" s="249"/>
      <c r="P117" s="249"/>
      <c r="Q117" s="249"/>
      <c r="R117" s="230"/>
      <c r="T117" s="249"/>
      <c r="U117" s="249"/>
      <c r="V117" s="249"/>
      <c r="W117" s="249"/>
      <c r="X117" s="249"/>
      <c r="Y117" s="230"/>
      <c r="AA117" s="611"/>
    </row>
    <row r="118" spans="1:27" ht="30.75" customHeight="1" thickBot="1" x14ac:dyDescent="0.25">
      <c r="F118" s="1174" t="s">
        <v>558</v>
      </c>
      <c r="G118" s="1175"/>
      <c r="H118" s="1175"/>
      <c r="I118" s="1175"/>
      <c r="J118" s="1175"/>
      <c r="K118" s="1175"/>
      <c r="L118" s="1176"/>
      <c r="M118" s="1174" t="s">
        <v>902</v>
      </c>
      <c r="N118" s="1175"/>
      <c r="O118" s="1175"/>
      <c r="P118" s="1175"/>
      <c r="Q118" s="1175"/>
      <c r="R118" s="1175"/>
      <c r="S118" s="1176"/>
      <c r="T118" s="1174" t="s">
        <v>907</v>
      </c>
      <c r="U118" s="1175"/>
      <c r="V118" s="1175"/>
      <c r="W118" s="1175"/>
      <c r="X118" s="1175"/>
      <c r="Y118" s="1175"/>
      <c r="Z118" s="1176"/>
      <c r="AA118" s="613"/>
    </row>
    <row r="119" spans="1:27" ht="30.75" customHeight="1" x14ac:dyDescent="0.2">
      <c r="A119" s="1171" t="str">
        <f>A111</f>
        <v>NOM - PRENOM</v>
      </c>
      <c r="B119" s="1171"/>
      <c r="C119" s="1171"/>
      <c r="D119" s="1171"/>
      <c r="E119" s="1181"/>
      <c r="F119" s="1179" t="s">
        <v>560</v>
      </c>
      <c r="G119" s="1180"/>
      <c r="H119" s="1180"/>
      <c r="I119" s="306"/>
      <c r="J119" s="306"/>
      <c r="K119" s="307"/>
      <c r="L119" s="572" t="s">
        <v>7</v>
      </c>
      <c r="M119" s="1179" t="s">
        <v>560</v>
      </c>
      <c r="N119" s="1180"/>
      <c r="O119" s="1180"/>
      <c r="P119" s="306"/>
      <c r="Q119" s="306"/>
      <c r="R119" s="307"/>
      <c r="S119" s="572" t="s">
        <v>7</v>
      </c>
      <c r="T119" s="1179" t="s">
        <v>560</v>
      </c>
      <c r="U119" s="1180"/>
      <c r="V119" s="1180"/>
      <c r="W119" s="306"/>
      <c r="X119" s="306"/>
      <c r="Y119" s="307"/>
      <c r="Z119" s="572" t="s">
        <v>7</v>
      </c>
      <c r="AA119" s="614"/>
    </row>
    <row r="120" spans="1:27" ht="30.75" customHeight="1" x14ac:dyDescent="0.2">
      <c r="A120" s="605" t="e">
        <f>A112</f>
        <v>#N/A</v>
      </c>
      <c r="B120" s="606"/>
      <c r="C120" s="606"/>
      <c r="D120" s="606"/>
      <c r="E120" s="607"/>
      <c r="F120" s="228"/>
      <c r="G120" s="229"/>
      <c r="H120" s="229"/>
      <c r="I120" s="229"/>
      <c r="J120" s="229"/>
      <c r="K120" s="230" t="s">
        <v>561</v>
      </c>
      <c r="L120" s="231"/>
      <c r="M120" s="228"/>
      <c r="N120" s="229"/>
      <c r="O120" s="229"/>
      <c r="P120" s="229"/>
      <c r="Q120" s="229"/>
      <c r="R120" s="230" t="s">
        <v>561</v>
      </c>
      <c r="S120" s="231"/>
      <c r="T120" s="228"/>
      <c r="U120" s="229"/>
      <c r="V120" s="229"/>
      <c r="W120" s="229"/>
      <c r="X120" s="229"/>
      <c r="Y120" s="230" t="s">
        <v>561</v>
      </c>
      <c r="Z120" s="231"/>
      <c r="AA120" s="611"/>
    </row>
    <row r="121" spans="1:27" ht="30.75" customHeight="1" x14ac:dyDescent="0.2">
      <c r="A121" s="605" t="e">
        <f>A113</f>
        <v>#N/A</v>
      </c>
      <c r="B121" s="606"/>
      <c r="C121" s="606"/>
      <c r="D121" s="606"/>
      <c r="E121" s="607"/>
      <c r="F121" s="228"/>
      <c r="G121" s="229"/>
      <c r="H121" s="229"/>
      <c r="I121" s="229"/>
      <c r="J121" s="229"/>
      <c r="K121" s="230" t="s">
        <v>561</v>
      </c>
      <c r="L121" s="231"/>
      <c r="M121" s="228"/>
      <c r="N121" s="229"/>
      <c r="O121" s="229"/>
      <c r="P121" s="229"/>
      <c r="Q121" s="229"/>
      <c r="R121" s="230" t="s">
        <v>561</v>
      </c>
      <c r="S121" s="231"/>
      <c r="T121" s="228"/>
      <c r="U121" s="229"/>
      <c r="V121" s="229"/>
      <c r="W121" s="229"/>
      <c r="X121" s="229"/>
      <c r="Y121" s="230" t="s">
        <v>561</v>
      </c>
      <c r="Z121" s="231"/>
      <c r="AA121" s="611"/>
    </row>
    <row r="122" spans="1:27" ht="30.75" customHeight="1" x14ac:dyDescent="0.2">
      <c r="A122" s="605" t="e">
        <f>A114</f>
        <v>#N/A</v>
      </c>
      <c r="B122" s="606"/>
      <c r="C122" s="606"/>
      <c r="D122" s="606"/>
      <c r="E122" s="607"/>
      <c r="F122" s="228"/>
      <c r="G122" s="229"/>
      <c r="H122" s="229"/>
      <c r="I122" s="229"/>
      <c r="J122" s="229"/>
      <c r="K122" s="230" t="s">
        <v>561</v>
      </c>
      <c r="L122" s="231"/>
      <c r="M122" s="228"/>
      <c r="N122" s="229"/>
      <c r="O122" s="229"/>
      <c r="P122" s="229"/>
      <c r="Q122" s="229"/>
      <c r="R122" s="230" t="s">
        <v>561</v>
      </c>
      <c r="S122" s="231"/>
      <c r="T122" s="228"/>
      <c r="U122" s="229"/>
      <c r="V122" s="229"/>
      <c r="W122" s="229"/>
      <c r="X122" s="229"/>
      <c r="Y122" s="230" t="s">
        <v>561</v>
      </c>
      <c r="Z122" s="231"/>
      <c r="AA122" s="611"/>
    </row>
    <row r="123" spans="1:27" ht="30.75" customHeight="1" thickBot="1" x14ac:dyDescent="0.25">
      <c r="A123" s="605" t="e">
        <f>A115</f>
        <v>#N/A</v>
      </c>
      <c r="B123" s="606"/>
      <c r="C123" s="606"/>
      <c r="D123" s="606"/>
      <c r="E123" s="607"/>
      <c r="F123" s="228"/>
      <c r="G123" s="229"/>
      <c r="H123" s="229"/>
      <c r="I123" s="229"/>
      <c r="J123" s="229"/>
      <c r="K123" s="230" t="s">
        <v>561</v>
      </c>
      <c r="L123" s="232"/>
      <c r="M123" s="228"/>
      <c r="N123" s="229"/>
      <c r="O123" s="229"/>
      <c r="P123" s="229"/>
      <c r="Q123" s="229"/>
      <c r="R123" s="230" t="s">
        <v>561</v>
      </c>
      <c r="S123" s="232"/>
      <c r="T123" s="228"/>
      <c r="U123" s="229"/>
      <c r="V123" s="229"/>
      <c r="W123" s="229"/>
      <c r="X123" s="229"/>
      <c r="Y123" s="230" t="s">
        <v>561</v>
      </c>
      <c r="Z123" s="232"/>
      <c r="AA123" s="611"/>
    </row>
    <row r="124" spans="1:27" ht="24" customHeight="1" thickBot="1" x14ac:dyDescent="0.25">
      <c r="F124" s="1177" t="s">
        <v>565</v>
      </c>
      <c r="G124" s="1178"/>
      <c r="H124" s="1178"/>
      <c r="I124" s="235"/>
      <c r="J124" s="235"/>
      <c r="K124" s="237" t="s">
        <v>561</v>
      </c>
      <c r="L124" s="239"/>
      <c r="M124" s="1177" t="s">
        <v>903</v>
      </c>
      <c r="N124" s="1178"/>
      <c r="O124" s="1178"/>
      <c r="P124" s="235"/>
      <c r="Q124" s="235"/>
      <c r="R124" s="237" t="s">
        <v>561</v>
      </c>
      <c r="S124" s="239"/>
      <c r="T124" s="1177" t="s">
        <v>904</v>
      </c>
      <c r="U124" s="1178"/>
      <c r="V124" s="1178"/>
      <c r="W124" s="235"/>
      <c r="X124" s="235"/>
      <c r="Y124" s="237" t="s">
        <v>561</v>
      </c>
      <c r="Z124" s="239"/>
      <c r="AA124" s="611"/>
    </row>
    <row r="125" spans="1:27" ht="8.25" customHeight="1" thickBot="1" x14ac:dyDescent="0.25">
      <c r="A125" s="592"/>
      <c r="B125" s="592"/>
      <c r="C125" s="592"/>
      <c r="D125" s="592"/>
      <c r="E125" s="592"/>
      <c r="F125" s="249"/>
      <c r="G125" s="249"/>
      <c r="H125" s="249"/>
      <c r="I125" s="249"/>
      <c r="J125" s="249"/>
      <c r="K125" s="230"/>
      <c r="L125" s="249"/>
      <c r="M125" s="230"/>
      <c r="N125" s="249"/>
      <c r="O125" s="230"/>
      <c r="P125" s="249"/>
      <c r="Q125" s="230"/>
      <c r="R125" s="249"/>
      <c r="S125" s="230"/>
      <c r="T125" s="249"/>
      <c r="U125" s="230"/>
      <c r="V125" s="249"/>
      <c r="W125" s="249"/>
      <c r="X125" s="249"/>
      <c r="Y125" s="230"/>
      <c r="AA125" s="611"/>
    </row>
    <row r="126" spans="1:27" ht="16.5" customHeight="1" thickBot="1" x14ac:dyDescent="0.25">
      <c r="A126" s="1200" t="s">
        <v>915</v>
      </c>
      <c r="B126" s="1200"/>
      <c r="C126" s="1200"/>
      <c r="D126" s="1200"/>
      <c r="E126" s="249"/>
      <c r="F126" s="1198" t="s">
        <v>909</v>
      </c>
      <c r="G126" s="1199"/>
      <c r="H126" s="1199"/>
      <c r="I126" s="1198" t="s">
        <v>910</v>
      </c>
      <c r="J126" s="1199"/>
      <c r="K126" s="1199"/>
      <c r="L126" s="1198" t="s">
        <v>911</v>
      </c>
      <c r="M126" s="1199"/>
      <c r="N126" s="1199"/>
      <c r="O126" s="1198" t="s">
        <v>912</v>
      </c>
      <c r="P126" s="1199"/>
      <c r="Q126" s="1199"/>
      <c r="R126" s="1198" t="s">
        <v>913</v>
      </c>
      <c r="S126" s="1199"/>
      <c r="T126" s="1199"/>
      <c r="U126" s="1198" t="s">
        <v>916</v>
      </c>
      <c r="V126" s="1199"/>
      <c r="W126" s="1199"/>
      <c r="X126" s="1194" t="s">
        <v>908</v>
      </c>
      <c r="Y126" s="1195"/>
      <c r="Z126" s="1196"/>
      <c r="AA126" s="616"/>
    </row>
    <row r="127" spans="1:27" ht="30.75" customHeight="1" x14ac:dyDescent="0.2">
      <c r="A127" s="1200"/>
      <c r="B127" s="1200"/>
      <c r="C127" s="1200"/>
      <c r="D127" s="1200"/>
      <c r="E127" s="249"/>
      <c r="F127" s="1197"/>
      <c r="G127" s="1197"/>
      <c r="H127" s="1197"/>
      <c r="I127" s="1197"/>
      <c r="J127" s="1197"/>
      <c r="K127" s="1197"/>
      <c r="L127" s="1197"/>
      <c r="M127" s="1197"/>
      <c r="N127" s="1197"/>
      <c r="O127" s="1197"/>
      <c r="P127" s="1197"/>
      <c r="Q127" s="1197"/>
      <c r="R127" s="1197"/>
      <c r="S127" s="1197"/>
      <c r="T127" s="1197"/>
      <c r="U127" s="1197"/>
      <c r="V127" s="1197"/>
      <c r="W127" s="1197"/>
      <c r="X127" s="1162"/>
      <c r="Y127" s="1163"/>
      <c r="Z127" s="1164"/>
      <c r="AA127" s="614"/>
    </row>
    <row r="128" spans="1:27" ht="30.75" customHeight="1" thickBot="1" x14ac:dyDescent="0.25">
      <c r="A128" s="1200"/>
      <c r="B128" s="1200"/>
      <c r="C128" s="1200"/>
      <c r="D128" s="1200"/>
      <c r="E128" s="249"/>
      <c r="F128" s="1201" t="s">
        <v>914</v>
      </c>
      <c r="G128" s="1201"/>
      <c r="H128" s="1201"/>
      <c r="I128" s="1197"/>
      <c r="J128" s="1197"/>
      <c r="K128" s="1197"/>
      <c r="L128" s="1197"/>
      <c r="M128" s="1197"/>
      <c r="N128" s="1197"/>
      <c r="O128" s="1197"/>
      <c r="P128" s="1197"/>
      <c r="Q128" s="1197"/>
      <c r="R128" s="1197"/>
      <c r="S128" s="1197"/>
      <c r="T128" s="1197"/>
      <c r="U128" s="1197"/>
      <c r="V128" s="1197"/>
      <c r="W128" s="1197"/>
      <c r="X128" s="1165"/>
      <c r="Y128" s="1166"/>
      <c r="Z128" s="1167"/>
      <c r="AA128" s="614"/>
    </row>
    <row r="129" spans="1:27" ht="19.5" customHeight="1" x14ac:dyDescent="0.2">
      <c r="A129" s="578" t="s">
        <v>851</v>
      </c>
      <c r="B129" s="566"/>
      <c r="C129" s="566"/>
      <c r="D129" s="566"/>
      <c r="E129" s="566"/>
      <c r="F129" s="566"/>
      <c r="G129" s="566"/>
      <c r="H129" s="566"/>
      <c r="I129" s="566"/>
      <c r="J129" s="566"/>
      <c r="K129" s="566"/>
      <c r="M129" s="241"/>
      <c r="O129" s="578" t="s">
        <v>522</v>
      </c>
      <c r="P129" s="566"/>
      <c r="Q129" s="566"/>
      <c r="R129" s="566"/>
      <c r="S129" s="566"/>
      <c r="T129" s="566"/>
      <c r="U129" s="566"/>
      <c r="V129" s="566"/>
      <c r="W129" s="520"/>
      <c r="AA129" s="611"/>
    </row>
    <row r="130" spans="1:27" x14ac:dyDescent="0.2">
      <c r="A130" s="577" t="s">
        <v>1</v>
      </c>
      <c r="B130" s="567"/>
      <c r="C130" s="567"/>
      <c r="D130" s="567"/>
      <c r="E130" s="567"/>
      <c r="F130" s="567"/>
      <c r="G130" s="568"/>
      <c r="H130" s="1086" t="s">
        <v>520</v>
      </c>
      <c r="I130" s="1087"/>
      <c r="J130" s="1087"/>
      <c r="K130" s="1088"/>
      <c r="M130" s="577" t="s">
        <v>1</v>
      </c>
      <c r="N130" s="567"/>
      <c r="O130" s="567"/>
      <c r="P130" s="567"/>
      <c r="Q130" s="567"/>
      <c r="R130" s="567"/>
      <c r="S130" s="585" t="s">
        <v>520</v>
      </c>
      <c r="T130" s="586"/>
      <c r="U130" s="586"/>
      <c r="V130" s="587"/>
      <c r="AA130" s="611"/>
    </row>
    <row r="131" spans="1:27" ht="69" customHeight="1" x14ac:dyDescent="0.2">
      <c r="A131" s="242"/>
      <c r="B131" s="243"/>
      <c r="C131" s="243"/>
      <c r="D131" s="243"/>
      <c r="E131" s="243"/>
      <c r="F131" s="243"/>
      <c r="G131" s="244"/>
      <c r="H131" s="242"/>
      <c r="I131" s="243"/>
      <c r="J131" s="243"/>
      <c r="K131" s="244"/>
      <c r="M131" s="242"/>
      <c r="N131" s="243"/>
      <c r="O131" s="243"/>
      <c r="P131" s="243"/>
      <c r="Q131" s="243"/>
      <c r="R131" s="243"/>
      <c r="S131" s="242"/>
      <c r="T131" s="243"/>
      <c r="U131" s="243"/>
      <c r="V131" s="244"/>
      <c r="AA131" s="611"/>
    </row>
    <row r="132" spans="1:27" x14ac:dyDescent="0.2">
      <c r="AA132" s="611"/>
    </row>
    <row r="133" spans="1:27" ht="6.75" customHeight="1" x14ac:dyDescent="0.2">
      <c r="AA133" s="611"/>
    </row>
    <row r="134" spans="1:27" s="218" customFormat="1" ht="23.25" customHeight="1" x14ac:dyDescent="0.2">
      <c r="A134" s="218" t="s">
        <v>628</v>
      </c>
      <c r="B134" s="1103">
        <f>B101+1</f>
        <v>5</v>
      </c>
      <c r="C134" s="1104"/>
      <c r="D134" s="569"/>
      <c r="E134" s="218" t="str">
        <f>Championnat</f>
        <v>Championnat de France de Tir à l'ARC</v>
      </c>
      <c r="P134" s="1192"/>
      <c r="Q134" s="1192"/>
      <c r="R134" s="1192"/>
      <c r="S134" s="1192"/>
      <c r="T134" s="1193" t="str">
        <f>CATEG_IMPORTEE</f>
        <v>Collèges Mixtes Etablissement</v>
      </c>
      <c r="U134" s="1193"/>
      <c r="V134" s="1193"/>
      <c r="W134" s="1193"/>
      <c r="X134" s="1193"/>
      <c r="Y134" s="1193"/>
      <c r="Z134" s="1193"/>
      <c r="AA134" s="609"/>
    </row>
    <row r="135" spans="1:27" ht="27" customHeight="1" thickBot="1" x14ac:dyDescent="0.25">
      <c r="A135" s="1069" t="s">
        <v>0</v>
      </c>
      <c r="B135" s="1069"/>
      <c r="C135" s="1069"/>
      <c r="D135" s="1069"/>
      <c r="E135" s="1069"/>
      <c r="F135" s="1069"/>
      <c r="G135" s="1069"/>
      <c r="H135" s="1069"/>
      <c r="I135" s="1125" t="s">
        <v>374</v>
      </c>
      <c r="J135" s="1125"/>
      <c r="K135" s="1125"/>
      <c r="L135" s="1125"/>
      <c r="M135" s="1125"/>
      <c r="N135" s="1069"/>
      <c r="O135" s="595"/>
      <c r="P135" s="1192"/>
      <c r="Q135" s="1192"/>
      <c r="R135" s="1192"/>
      <c r="S135" s="1192"/>
      <c r="T135" s="1184" t="str">
        <f>LIEU&amp;" du "&amp;DATE</f>
        <v>L’Isle sur la Sorgue du 27 au 31 mars 2023</v>
      </c>
      <c r="U135" s="1184"/>
      <c r="V135" s="1184"/>
      <c r="W135" s="1184"/>
      <c r="X135" s="1184"/>
      <c r="Y135" s="1184"/>
      <c r="Z135" s="1184"/>
      <c r="AA135" s="608"/>
    </row>
    <row r="136" spans="1:27" ht="24" customHeight="1" thickBot="1" x14ac:dyDescent="0.25">
      <c r="A136" s="1185" t="e">
        <f>VLOOKUP(H140,ID_archer_cible,2,FALSE)</f>
        <v>#N/A</v>
      </c>
      <c r="B136" s="1186"/>
      <c r="C136" s="1186"/>
      <c r="D136" s="1186"/>
      <c r="E136" s="1186"/>
      <c r="F136" s="1186"/>
      <c r="G136" s="1186"/>
      <c r="H136" s="1187"/>
      <c r="I136" s="1185" t="e">
        <f>VLOOKUP(H140,ID_archer_cible,4,FALSE)</f>
        <v>#N/A</v>
      </c>
      <c r="J136" s="1186"/>
      <c r="K136" s="1186"/>
      <c r="L136" s="1186"/>
      <c r="M136" s="1186"/>
      <c r="N136" s="1187"/>
      <c r="O136" s="596"/>
      <c r="P136" s="1192"/>
      <c r="Q136" s="1192"/>
      <c r="R136" s="1192"/>
      <c r="S136" s="1192"/>
      <c r="T136" s="520"/>
      <c r="U136" s="520"/>
      <c r="V136" s="520"/>
      <c r="W136" s="520"/>
      <c r="X136" s="520"/>
      <c r="Y136" s="520"/>
      <c r="Z136" s="520"/>
      <c r="AA136" s="520"/>
    </row>
    <row r="137" spans="1:27" ht="6" customHeight="1" x14ac:dyDescent="0.2">
      <c r="I137" s="1188" t="e">
        <f>"("&amp;VLOOKUP(H140,ID_archer_cible,3,FALSE)&amp;")"</f>
        <v>#N/A</v>
      </c>
      <c r="J137" s="1188"/>
      <c r="K137" s="1188"/>
      <c r="L137" s="1188"/>
      <c r="M137" s="1188"/>
      <c r="N137" s="1188"/>
      <c r="P137" s="1192"/>
      <c r="Q137" s="1192"/>
      <c r="R137" s="1192"/>
      <c r="S137" s="1192"/>
      <c r="AA137" s="611"/>
    </row>
    <row r="138" spans="1:27" ht="17.25" customHeight="1" x14ac:dyDescent="0.2">
      <c r="E138" s="584"/>
      <c r="F138" s="584"/>
      <c r="G138" s="584"/>
      <c r="H138" s="584"/>
      <c r="I138" s="1189"/>
      <c r="J138" s="1189"/>
      <c r="K138" s="1189"/>
      <c r="L138" s="1189"/>
      <c r="M138" s="1189"/>
      <c r="N138" s="1189"/>
      <c r="P138" s="1192"/>
      <c r="Q138" s="1192"/>
      <c r="R138" s="1192"/>
      <c r="S138" s="1192"/>
      <c r="AA138" s="611"/>
    </row>
    <row r="139" spans="1:27" ht="23.25" customHeight="1" x14ac:dyDescent="0.2">
      <c r="A139" s="593" t="s">
        <v>906</v>
      </c>
      <c r="B139" s="588"/>
      <c r="C139" s="588"/>
      <c r="D139" s="588"/>
      <c r="E139" s="588"/>
      <c r="F139" s="588"/>
      <c r="G139" s="588"/>
      <c r="H139" s="594" t="s">
        <v>552</v>
      </c>
      <c r="I139" s="573" t="s">
        <v>893</v>
      </c>
      <c r="J139" s="1075" t="s">
        <v>550</v>
      </c>
      <c r="K139" s="1075"/>
      <c r="L139" s="573" t="s">
        <v>905</v>
      </c>
      <c r="M139" s="252" t="s">
        <v>551</v>
      </c>
      <c r="S139" s="573" t="s">
        <v>905</v>
      </c>
      <c r="T139" s="573" t="s">
        <v>893</v>
      </c>
      <c r="U139" s="573" t="s">
        <v>893</v>
      </c>
      <c r="V139" s="1075" t="s">
        <v>550</v>
      </c>
      <c r="W139" s="1075"/>
      <c r="X139" s="252" t="s">
        <v>551</v>
      </c>
      <c r="Y139" s="571"/>
      <c r="Z139" s="571"/>
      <c r="AA139" s="612"/>
    </row>
    <row r="140" spans="1:27" ht="23.25" customHeight="1" x14ac:dyDescent="0.2">
      <c r="A140" s="580" t="e">
        <f>VLOOKUP(H140,ID_archer_cible,5,FALSE)&amp;"    "&amp;VLOOKUP(H140,ID_archer_cible,6,FALSE)</f>
        <v>#N/A</v>
      </c>
      <c r="B140" s="581"/>
      <c r="C140" s="582"/>
      <c r="D140" s="575"/>
      <c r="E140" s="223"/>
      <c r="F140" s="223"/>
      <c r="G140" s="223"/>
      <c r="H140" s="589" t="str">
        <f>B134&amp;"A"</f>
        <v>5A</v>
      </c>
      <c r="I140" s="574" t="e">
        <f>VLOOKUP(H140,ID_archer_cible,9,FALSE)</f>
        <v>#N/A</v>
      </c>
      <c r="J140" s="1075" t="e">
        <f>VLOOKUP(H140,ID_archer_cible,8,FALSE)</f>
        <v>#N/A</v>
      </c>
      <c r="K140" s="1075"/>
      <c r="L140" s="610" t="e">
        <f>VLOOKUP(H140,ID_archer_cible,7,FALSE)</f>
        <v>#N/A</v>
      </c>
      <c r="M140" s="589" t="e">
        <f>VLOOKUP(H140,ID_archer_cible,10,FALSE)</f>
        <v>#N/A</v>
      </c>
      <c r="N140" s="597" t="e">
        <f>VLOOKUP(T140,ID_archer_cible,5,FALSE)&amp;"    "&amp;VLOOKUP(T140,ID_archer_cible,6,FALSE)</f>
        <v>#N/A</v>
      </c>
      <c r="O140" s="581"/>
      <c r="P140" s="582"/>
      <c r="Q140" s="575"/>
      <c r="R140" s="223"/>
      <c r="S140" s="579" t="e">
        <f>VLOOKUP(T140,ID_archer_cible,7,FALSE)</f>
        <v>#N/A</v>
      </c>
      <c r="T140" s="589" t="str">
        <f>B134&amp;"C"</f>
        <v>5C</v>
      </c>
      <c r="U140" s="574" t="e">
        <f>VLOOKUP(T140,ID_archer_cible,9,FALSE)</f>
        <v>#N/A</v>
      </c>
      <c r="V140" s="1172" t="e">
        <f>VLOOKUP(T140,ID_archer_cible,8,FALSE)</f>
        <v>#N/A</v>
      </c>
      <c r="W140" s="1173"/>
      <c r="X140" s="574" t="e">
        <f>VLOOKUP(T140,ID_archer_cible,10,FALSE)</f>
        <v>#N/A</v>
      </c>
      <c r="AA140" s="611"/>
    </row>
    <row r="141" spans="1:27" ht="23.25" customHeight="1" x14ac:dyDescent="0.2">
      <c r="A141" s="580" t="e">
        <f>VLOOKUP(H141,ID_archer_cible,5,FALSE)&amp;"    "&amp;VLOOKUP(H141,ID_archer_cible,6,FALSE)</f>
        <v>#N/A</v>
      </c>
      <c r="B141" s="581"/>
      <c r="C141" s="582"/>
      <c r="D141" s="575"/>
      <c r="E141" s="223"/>
      <c r="F141" s="223"/>
      <c r="G141" s="223"/>
      <c r="H141" s="589" t="str">
        <f>B134&amp;"B"</f>
        <v>5B</v>
      </c>
      <c r="I141" s="574" t="e">
        <f>VLOOKUP(H141,ID_archer_cible,9,FALSE)</f>
        <v>#N/A</v>
      </c>
      <c r="J141" s="1075" t="e">
        <f>VLOOKUP(H141,ID_archer_cible,8,FALSE)</f>
        <v>#N/A</v>
      </c>
      <c r="K141" s="1075"/>
      <c r="L141" s="610" t="e">
        <f>VLOOKUP(H141,ID_archer_cible,7,FALSE)</f>
        <v>#N/A</v>
      </c>
      <c r="M141" s="589" t="e">
        <f>VLOOKUP(H141,ID_archer_cible,10,FALSE)</f>
        <v>#N/A</v>
      </c>
      <c r="N141" s="597" t="e">
        <f>VLOOKUP(T141,ID_archer_cible,5,FALSE)&amp;"    "&amp;VLOOKUP(T141,ID_archer_cible,6,FALSE)</f>
        <v>#N/A</v>
      </c>
      <c r="O141" s="581"/>
      <c r="P141" s="582"/>
      <c r="Q141" s="575"/>
      <c r="R141" s="223"/>
      <c r="S141" s="579" t="e">
        <f>VLOOKUP(T141,ID_archer_cible,7,FALSE)</f>
        <v>#N/A</v>
      </c>
      <c r="T141" s="589" t="str">
        <f>B134&amp;"D"</f>
        <v>5D</v>
      </c>
      <c r="U141" s="574" t="e">
        <f>VLOOKUP(T141,ID_archer_cible,9,FALSE)</f>
        <v>#N/A</v>
      </c>
      <c r="V141" s="1172" t="e">
        <f>VLOOKUP(T141,ID_archer_cible,8,FALSE)</f>
        <v>#N/A</v>
      </c>
      <c r="W141" s="1173"/>
      <c r="X141" s="574" t="e">
        <f>VLOOKUP(T141,ID_archer_cible,10,FALSE)</f>
        <v>#N/A</v>
      </c>
      <c r="AA141" s="611"/>
    </row>
    <row r="142" spans="1:27" ht="15" customHeight="1" thickBot="1" x14ac:dyDescent="0.25">
      <c r="AA142" s="611"/>
    </row>
    <row r="143" spans="1:27" ht="20.25" customHeight="1" thickBot="1" x14ac:dyDescent="0.25">
      <c r="F143" s="1174" t="s">
        <v>555</v>
      </c>
      <c r="G143" s="1175"/>
      <c r="H143" s="1175"/>
      <c r="I143" s="1175"/>
      <c r="J143" s="1175"/>
      <c r="K143" s="1175"/>
      <c r="L143" s="1176"/>
      <c r="M143" s="1174" t="s">
        <v>556</v>
      </c>
      <c r="N143" s="1175"/>
      <c r="O143" s="1175"/>
      <c r="P143" s="1175"/>
      <c r="Q143" s="1175"/>
      <c r="R143" s="1175"/>
      <c r="S143" s="1176"/>
      <c r="T143" s="1174" t="s">
        <v>557</v>
      </c>
      <c r="U143" s="1175"/>
      <c r="V143" s="1175"/>
      <c r="W143" s="1175"/>
      <c r="X143" s="1175"/>
      <c r="Y143" s="1175"/>
      <c r="Z143" s="1176"/>
      <c r="AA143" s="613"/>
    </row>
    <row r="144" spans="1:27" ht="30.75" customHeight="1" x14ac:dyDescent="0.2">
      <c r="A144" s="1171" t="s">
        <v>559</v>
      </c>
      <c r="B144" s="1171"/>
      <c r="C144" s="1171"/>
      <c r="D144" s="1171"/>
      <c r="E144" s="1181"/>
      <c r="F144" s="1179" t="s">
        <v>560</v>
      </c>
      <c r="G144" s="1180"/>
      <c r="H144" s="1180"/>
      <c r="I144" s="306"/>
      <c r="J144" s="306"/>
      <c r="K144" s="307"/>
      <c r="L144" s="572" t="s">
        <v>7</v>
      </c>
      <c r="M144" s="1179" t="s">
        <v>560</v>
      </c>
      <c r="N144" s="1180"/>
      <c r="O144" s="1180"/>
      <c r="P144" s="306"/>
      <c r="Q144" s="306"/>
      <c r="R144" s="307"/>
      <c r="S144" s="572" t="s">
        <v>7</v>
      </c>
      <c r="T144" s="1179" t="s">
        <v>560</v>
      </c>
      <c r="U144" s="1180"/>
      <c r="V144" s="1180"/>
      <c r="W144" s="306"/>
      <c r="X144" s="306"/>
      <c r="Y144" s="307"/>
      <c r="Z144" s="572" t="s">
        <v>7</v>
      </c>
      <c r="AA144" s="614"/>
    </row>
    <row r="145" spans="1:27" ht="30.75" customHeight="1" x14ac:dyDescent="0.2">
      <c r="A145" s="1168" t="e">
        <f>A140</f>
        <v>#N/A</v>
      </c>
      <c r="B145" s="1169"/>
      <c r="C145" s="1169"/>
      <c r="D145" s="1169"/>
      <c r="E145" s="1170"/>
      <c r="F145" s="228"/>
      <c r="G145" s="229"/>
      <c r="H145" s="229"/>
      <c r="I145" s="229"/>
      <c r="J145" s="229"/>
      <c r="K145" s="230" t="s">
        <v>561</v>
      </c>
      <c r="L145" s="231"/>
      <c r="M145" s="228"/>
      <c r="N145" s="229"/>
      <c r="O145" s="229"/>
      <c r="P145" s="229"/>
      <c r="Q145" s="229"/>
      <c r="R145" s="230" t="s">
        <v>561</v>
      </c>
      <c r="S145" s="231"/>
      <c r="T145" s="228"/>
      <c r="U145" s="229"/>
      <c r="V145" s="229"/>
      <c r="W145" s="229"/>
      <c r="X145" s="229"/>
      <c r="Y145" s="230" t="s">
        <v>561</v>
      </c>
      <c r="Z145" s="231"/>
      <c r="AA145" s="611"/>
    </row>
    <row r="146" spans="1:27" ht="30.75" customHeight="1" x14ac:dyDescent="0.2">
      <c r="A146" s="1168" t="e">
        <f>A141</f>
        <v>#N/A</v>
      </c>
      <c r="B146" s="1169"/>
      <c r="C146" s="1169"/>
      <c r="D146" s="1169"/>
      <c r="E146" s="1170"/>
      <c r="F146" s="228"/>
      <c r="G146" s="229"/>
      <c r="H146" s="229"/>
      <c r="I146" s="229"/>
      <c r="J146" s="229"/>
      <c r="K146" s="230" t="s">
        <v>561</v>
      </c>
      <c r="L146" s="231"/>
      <c r="M146" s="228"/>
      <c r="N146" s="229"/>
      <c r="O146" s="229"/>
      <c r="P146" s="229"/>
      <c r="Q146" s="229"/>
      <c r="R146" s="230" t="s">
        <v>561</v>
      </c>
      <c r="S146" s="231"/>
      <c r="T146" s="228"/>
      <c r="U146" s="229"/>
      <c r="V146" s="229"/>
      <c r="W146" s="229"/>
      <c r="X146" s="229"/>
      <c r="Y146" s="230" t="s">
        <v>561</v>
      </c>
      <c r="Z146" s="231"/>
      <c r="AA146" s="611"/>
    </row>
    <row r="147" spans="1:27" ht="30.75" customHeight="1" x14ac:dyDescent="0.2">
      <c r="A147" s="1168" t="e">
        <f>N140</f>
        <v>#N/A</v>
      </c>
      <c r="B147" s="1169"/>
      <c r="C147" s="1169"/>
      <c r="D147" s="1169"/>
      <c r="E147" s="1170"/>
      <c r="F147" s="228"/>
      <c r="G147" s="229"/>
      <c r="H147" s="229"/>
      <c r="I147" s="229"/>
      <c r="J147" s="229"/>
      <c r="K147" s="230" t="s">
        <v>561</v>
      </c>
      <c r="L147" s="231"/>
      <c r="M147" s="228"/>
      <c r="N147" s="229"/>
      <c r="O147" s="229"/>
      <c r="P147" s="229"/>
      <c r="Q147" s="229"/>
      <c r="R147" s="230" t="s">
        <v>561</v>
      </c>
      <c r="S147" s="231"/>
      <c r="T147" s="228"/>
      <c r="U147" s="229"/>
      <c r="V147" s="229"/>
      <c r="W147" s="229"/>
      <c r="X147" s="229"/>
      <c r="Y147" s="230" t="s">
        <v>561</v>
      </c>
      <c r="Z147" s="231"/>
      <c r="AA147" s="611"/>
    </row>
    <row r="148" spans="1:27" ht="30.75" customHeight="1" thickBot="1" x14ac:dyDescent="0.25">
      <c r="A148" s="1168" t="e">
        <f>N141</f>
        <v>#N/A</v>
      </c>
      <c r="B148" s="1169"/>
      <c r="C148" s="1169"/>
      <c r="D148" s="1169"/>
      <c r="E148" s="1170"/>
      <c r="F148" s="228"/>
      <c r="G148" s="229"/>
      <c r="H148" s="229"/>
      <c r="I148" s="229"/>
      <c r="J148" s="229"/>
      <c r="K148" s="230" t="s">
        <v>561</v>
      </c>
      <c r="L148" s="232"/>
      <c r="M148" s="228"/>
      <c r="N148" s="229"/>
      <c r="O148" s="229"/>
      <c r="P148" s="229"/>
      <c r="Q148" s="229"/>
      <c r="R148" s="230" t="s">
        <v>561</v>
      </c>
      <c r="S148" s="232"/>
      <c r="T148" s="228"/>
      <c r="U148" s="229"/>
      <c r="V148" s="229"/>
      <c r="W148" s="229"/>
      <c r="X148" s="229"/>
      <c r="Y148" s="230" t="s">
        <v>561</v>
      </c>
      <c r="Z148" s="232"/>
      <c r="AA148" s="611"/>
    </row>
    <row r="149" spans="1:27" ht="30.75" customHeight="1" thickBot="1" x14ac:dyDescent="0.25">
      <c r="F149" s="1177" t="s">
        <v>562</v>
      </c>
      <c r="G149" s="1178"/>
      <c r="H149" s="1178"/>
      <c r="I149" s="235"/>
      <c r="J149" s="235"/>
      <c r="K149" s="237" t="s">
        <v>561</v>
      </c>
      <c r="L149" s="239"/>
      <c r="M149" s="1177" t="s">
        <v>563</v>
      </c>
      <c r="N149" s="1178"/>
      <c r="O149" s="1178"/>
      <c r="P149" s="235"/>
      <c r="Q149" s="235"/>
      <c r="R149" s="237" t="s">
        <v>561</v>
      </c>
      <c r="S149" s="239"/>
      <c r="T149" s="1177" t="s">
        <v>564</v>
      </c>
      <c r="U149" s="1178"/>
      <c r="V149" s="1178"/>
      <c r="W149" s="235"/>
      <c r="X149" s="235"/>
      <c r="Y149" s="237" t="s">
        <v>561</v>
      </c>
      <c r="Z149" s="239"/>
      <c r="AA149" s="615"/>
    </row>
    <row r="150" spans="1:27" ht="9" customHeight="1" thickBot="1" x14ac:dyDescent="0.25">
      <c r="H150" s="249"/>
      <c r="I150" s="249"/>
      <c r="J150" s="249"/>
      <c r="K150" s="249"/>
      <c r="L150" s="249"/>
      <c r="M150" s="249"/>
      <c r="N150" s="249"/>
      <c r="O150" s="249"/>
      <c r="P150" s="249"/>
      <c r="Q150" s="249"/>
      <c r="R150" s="230"/>
      <c r="T150" s="249"/>
      <c r="U150" s="249"/>
      <c r="V150" s="249"/>
      <c r="W150" s="249"/>
      <c r="X150" s="249"/>
      <c r="Y150" s="230"/>
      <c r="AA150" s="611"/>
    </row>
    <row r="151" spans="1:27" ht="30.75" customHeight="1" thickBot="1" x14ac:dyDescent="0.25">
      <c r="F151" s="1174" t="s">
        <v>558</v>
      </c>
      <c r="G151" s="1175"/>
      <c r="H151" s="1175"/>
      <c r="I151" s="1175"/>
      <c r="J151" s="1175"/>
      <c r="K151" s="1175"/>
      <c r="L151" s="1176"/>
      <c r="M151" s="1174" t="s">
        <v>902</v>
      </c>
      <c r="N151" s="1175"/>
      <c r="O151" s="1175"/>
      <c r="P151" s="1175"/>
      <c r="Q151" s="1175"/>
      <c r="R151" s="1175"/>
      <c r="S151" s="1176"/>
      <c r="T151" s="1174" t="s">
        <v>907</v>
      </c>
      <c r="U151" s="1175"/>
      <c r="V151" s="1175"/>
      <c r="W151" s="1175"/>
      <c r="X151" s="1175"/>
      <c r="Y151" s="1175"/>
      <c r="Z151" s="1176"/>
      <c r="AA151" s="613"/>
    </row>
    <row r="152" spans="1:27" ht="30.75" customHeight="1" x14ac:dyDescent="0.2">
      <c r="A152" s="1171" t="str">
        <f>A144</f>
        <v>NOM - PRENOM</v>
      </c>
      <c r="B152" s="1171"/>
      <c r="C152" s="1171"/>
      <c r="D152" s="1171"/>
      <c r="E152" s="1181"/>
      <c r="F152" s="1179" t="s">
        <v>560</v>
      </c>
      <c r="G152" s="1180"/>
      <c r="H152" s="1180"/>
      <c r="I152" s="306"/>
      <c r="J152" s="306"/>
      <c r="K152" s="307"/>
      <c r="L152" s="572" t="s">
        <v>7</v>
      </c>
      <c r="M152" s="1179" t="s">
        <v>560</v>
      </c>
      <c r="N152" s="1180"/>
      <c r="O152" s="1180"/>
      <c r="P152" s="306"/>
      <c r="Q152" s="306"/>
      <c r="R152" s="307"/>
      <c r="S152" s="572" t="s">
        <v>7</v>
      </c>
      <c r="T152" s="1179" t="s">
        <v>560</v>
      </c>
      <c r="U152" s="1180"/>
      <c r="V152" s="1180"/>
      <c r="W152" s="306"/>
      <c r="X152" s="306"/>
      <c r="Y152" s="307"/>
      <c r="Z152" s="572" t="s">
        <v>7</v>
      </c>
      <c r="AA152" s="614"/>
    </row>
    <row r="153" spans="1:27" ht="30.75" customHeight="1" x14ac:dyDescent="0.2">
      <c r="A153" s="605" t="e">
        <f>A145</f>
        <v>#N/A</v>
      </c>
      <c r="B153" s="606"/>
      <c r="C153" s="606"/>
      <c r="D153" s="606"/>
      <c r="E153" s="607"/>
      <c r="F153" s="228"/>
      <c r="G153" s="229"/>
      <c r="H153" s="229"/>
      <c r="I153" s="229"/>
      <c r="J153" s="229"/>
      <c r="K153" s="230" t="s">
        <v>561</v>
      </c>
      <c r="L153" s="231"/>
      <c r="M153" s="228"/>
      <c r="N153" s="229"/>
      <c r="O153" s="229"/>
      <c r="P153" s="229"/>
      <c r="Q153" s="229"/>
      <c r="R153" s="230" t="s">
        <v>561</v>
      </c>
      <c r="S153" s="231"/>
      <c r="T153" s="228"/>
      <c r="U153" s="229"/>
      <c r="V153" s="229"/>
      <c r="W153" s="229"/>
      <c r="X153" s="229"/>
      <c r="Y153" s="230" t="s">
        <v>561</v>
      </c>
      <c r="Z153" s="231"/>
      <c r="AA153" s="611"/>
    </row>
    <row r="154" spans="1:27" ht="30.75" customHeight="1" x14ac:dyDescent="0.2">
      <c r="A154" s="605" t="e">
        <f>A146</f>
        <v>#N/A</v>
      </c>
      <c r="B154" s="606"/>
      <c r="C154" s="606"/>
      <c r="D154" s="606"/>
      <c r="E154" s="607"/>
      <c r="F154" s="228"/>
      <c r="G154" s="229"/>
      <c r="H154" s="229"/>
      <c r="I154" s="229"/>
      <c r="J154" s="229"/>
      <c r="K154" s="230" t="s">
        <v>561</v>
      </c>
      <c r="L154" s="231"/>
      <c r="M154" s="228"/>
      <c r="N154" s="229"/>
      <c r="O154" s="229"/>
      <c r="P154" s="229"/>
      <c r="Q154" s="229"/>
      <c r="R154" s="230" t="s">
        <v>561</v>
      </c>
      <c r="S154" s="231"/>
      <c r="T154" s="228"/>
      <c r="U154" s="229"/>
      <c r="V154" s="229"/>
      <c r="W154" s="229"/>
      <c r="X154" s="229"/>
      <c r="Y154" s="230" t="s">
        <v>561</v>
      </c>
      <c r="Z154" s="231"/>
      <c r="AA154" s="611"/>
    </row>
    <row r="155" spans="1:27" ht="30.75" customHeight="1" x14ac:dyDescent="0.2">
      <c r="A155" s="605" t="e">
        <f>A147</f>
        <v>#N/A</v>
      </c>
      <c r="B155" s="606"/>
      <c r="C155" s="606"/>
      <c r="D155" s="606"/>
      <c r="E155" s="607"/>
      <c r="F155" s="228"/>
      <c r="G155" s="229"/>
      <c r="H155" s="229"/>
      <c r="I155" s="229"/>
      <c r="J155" s="229"/>
      <c r="K155" s="230" t="s">
        <v>561</v>
      </c>
      <c r="L155" s="231"/>
      <c r="M155" s="228"/>
      <c r="N155" s="229"/>
      <c r="O155" s="229"/>
      <c r="P155" s="229"/>
      <c r="Q155" s="229"/>
      <c r="R155" s="230" t="s">
        <v>561</v>
      </c>
      <c r="S155" s="231"/>
      <c r="T155" s="228"/>
      <c r="U155" s="229"/>
      <c r="V155" s="229"/>
      <c r="W155" s="229"/>
      <c r="X155" s="229"/>
      <c r="Y155" s="230" t="s">
        <v>561</v>
      </c>
      <c r="Z155" s="231"/>
      <c r="AA155" s="611"/>
    </row>
    <row r="156" spans="1:27" ht="30.75" customHeight="1" thickBot="1" x14ac:dyDescent="0.25">
      <c r="A156" s="605" t="e">
        <f>A148</f>
        <v>#N/A</v>
      </c>
      <c r="B156" s="606"/>
      <c r="C156" s="606"/>
      <c r="D156" s="606"/>
      <c r="E156" s="607"/>
      <c r="F156" s="228"/>
      <c r="G156" s="229"/>
      <c r="H156" s="229"/>
      <c r="I156" s="229"/>
      <c r="J156" s="229"/>
      <c r="K156" s="230" t="s">
        <v>561</v>
      </c>
      <c r="L156" s="232"/>
      <c r="M156" s="228"/>
      <c r="N156" s="229"/>
      <c r="O156" s="229"/>
      <c r="P156" s="229"/>
      <c r="Q156" s="229"/>
      <c r="R156" s="230" t="s">
        <v>561</v>
      </c>
      <c r="S156" s="232"/>
      <c r="T156" s="228"/>
      <c r="U156" s="229"/>
      <c r="V156" s="229"/>
      <c r="W156" s="229"/>
      <c r="X156" s="229"/>
      <c r="Y156" s="230" t="s">
        <v>561</v>
      </c>
      <c r="Z156" s="232"/>
      <c r="AA156" s="611"/>
    </row>
    <row r="157" spans="1:27" ht="24" customHeight="1" thickBot="1" x14ac:dyDescent="0.25">
      <c r="F157" s="1177" t="s">
        <v>565</v>
      </c>
      <c r="G157" s="1178"/>
      <c r="H157" s="1178"/>
      <c r="I157" s="235"/>
      <c r="J157" s="235"/>
      <c r="K157" s="237" t="s">
        <v>561</v>
      </c>
      <c r="L157" s="239"/>
      <c r="M157" s="1177" t="s">
        <v>903</v>
      </c>
      <c r="N157" s="1178"/>
      <c r="O157" s="1178"/>
      <c r="P157" s="235"/>
      <c r="Q157" s="235"/>
      <c r="R157" s="237" t="s">
        <v>561</v>
      </c>
      <c r="S157" s="239"/>
      <c r="T157" s="1177" t="s">
        <v>904</v>
      </c>
      <c r="U157" s="1178"/>
      <c r="V157" s="1178"/>
      <c r="W157" s="235"/>
      <c r="X157" s="235"/>
      <c r="Y157" s="237" t="s">
        <v>561</v>
      </c>
      <c r="Z157" s="239"/>
      <c r="AA157" s="611"/>
    </row>
    <row r="158" spans="1:27" ht="8.25" customHeight="1" thickBot="1" x14ac:dyDescent="0.25">
      <c r="A158" s="592"/>
      <c r="B158" s="592"/>
      <c r="C158" s="592"/>
      <c r="D158" s="592"/>
      <c r="E158" s="592"/>
      <c r="F158" s="249"/>
      <c r="G158" s="249"/>
      <c r="H158" s="249"/>
      <c r="I158" s="249"/>
      <c r="J158" s="249"/>
      <c r="K158" s="230"/>
      <c r="L158" s="249"/>
      <c r="M158" s="230"/>
      <c r="N158" s="249"/>
      <c r="O158" s="230"/>
      <c r="P158" s="249"/>
      <c r="Q158" s="230"/>
      <c r="R158" s="249"/>
      <c r="S158" s="230"/>
      <c r="T158" s="249"/>
      <c r="U158" s="230"/>
      <c r="V158" s="249"/>
      <c r="W158" s="249"/>
      <c r="X158" s="249"/>
      <c r="Y158" s="230"/>
      <c r="AA158" s="611"/>
    </row>
    <row r="159" spans="1:27" ht="16.5" customHeight="1" thickBot="1" x14ac:dyDescent="0.25">
      <c r="A159" s="1200" t="s">
        <v>915</v>
      </c>
      <c r="B159" s="1200"/>
      <c r="C159" s="1200"/>
      <c r="D159" s="1200"/>
      <c r="E159" s="249"/>
      <c r="F159" s="1198" t="s">
        <v>909</v>
      </c>
      <c r="G159" s="1199"/>
      <c r="H159" s="1199"/>
      <c r="I159" s="1198" t="s">
        <v>910</v>
      </c>
      <c r="J159" s="1199"/>
      <c r="K159" s="1199"/>
      <c r="L159" s="1198" t="s">
        <v>911</v>
      </c>
      <c r="M159" s="1199"/>
      <c r="N159" s="1199"/>
      <c r="O159" s="1198" t="s">
        <v>912</v>
      </c>
      <c r="P159" s="1199"/>
      <c r="Q159" s="1199"/>
      <c r="R159" s="1198" t="s">
        <v>913</v>
      </c>
      <c r="S159" s="1199"/>
      <c r="T159" s="1199"/>
      <c r="U159" s="1198" t="s">
        <v>916</v>
      </c>
      <c r="V159" s="1199"/>
      <c r="W159" s="1199"/>
      <c r="X159" s="1194" t="s">
        <v>908</v>
      </c>
      <c r="Y159" s="1195"/>
      <c r="Z159" s="1196"/>
      <c r="AA159" s="616"/>
    </row>
    <row r="160" spans="1:27" ht="30.75" customHeight="1" x14ac:dyDescent="0.2">
      <c r="A160" s="1200"/>
      <c r="B160" s="1200"/>
      <c r="C160" s="1200"/>
      <c r="D160" s="1200"/>
      <c r="E160" s="249"/>
      <c r="F160" s="1197"/>
      <c r="G160" s="1197"/>
      <c r="H160" s="1197"/>
      <c r="I160" s="1197"/>
      <c r="J160" s="1197"/>
      <c r="K160" s="1197"/>
      <c r="L160" s="1197"/>
      <c r="M160" s="1197"/>
      <c r="N160" s="1197"/>
      <c r="O160" s="1197"/>
      <c r="P160" s="1197"/>
      <c r="Q160" s="1197"/>
      <c r="R160" s="1197"/>
      <c r="S160" s="1197"/>
      <c r="T160" s="1197"/>
      <c r="U160" s="1197"/>
      <c r="V160" s="1197"/>
      <c r="W160" s="1197"/>
      <c r="X160" s="1162"/>
      <c r="Y160" s="1163"/>
      <c r="Z160" s="1164"/>
      <c r="AA160" s="614"/>
    </row>
    <row r="161" spans="1:27" ht="30.75" customHeight="1" thickBot="1" x14ac:dyDescent="0.25">
      <c r="A161" s="1200"/>
      <c r="B161" s="1200"/>
      <c r="C161" s="1200"/>
      <c r="D161" s="1200"/>
      <c r="E161" s="249"/>
      <c r="F161" s="1201" t="s">
        <v>914</v>
      </c>
      <c r="G161" s="1201"/>
      <c r="H161" s="1201"/>
      <c r="I161" s="1197"/>
      <c r="J161" s="1197"/>
      <c r="K161" s="1197"/>
      <c r="L161" s="1197"/>
      <c r="M161" s="1197"/>
      <c r="N161" s="1197"/>
      <c r="O161" s="1197"/>
      <c r="P161" s="1197"/>
      <c r="Q161" s="1197"/>
      <c r="R161" s="1197"/>
      <c r="S161" s="1197"/>
      <c r="T161" s="1197"/>
      <c r="U161" s="1197"/>
      <c r="V161" s="1197"/>
      <c r="W161" s="1197"/>
      <c r="X161" s="1165"/>
      <c r="Y161" s="1166"/>
      <c r="Z161" s="1167"/>
      <c r="AA161" s="614"/>
    </row>
    <row r="162" spans="1:27" ht="19.5" customHeight="1" x14ac:dyDescent="0.2">
      <c r="A162" s="578" t="s">
        <v>851</v>
      </c>
      <c r="B162" s="566"/>
      <c r="C162" s="566"/>
      <c r="D162" s="566"/>
      <c r="E162" s="566"/>
      <c r="F162" s="566"/>
      <c r="G162" s="566"/>
      <c r="H162" s="566"/>
      <c r="I162" s="566"/>
      <c r="J162" s="566"/>
      <c r="K162" s="566"/>
      <c r="M162" s="241"/>
      <c r="O162" s="578" t="s">
        <v>522</v>
      </c>
      <c r="P162" s="566"/>
      <c r="Q162" s="566"/>
      <c r="R162" s="566"/>
      <c r="S162" s="566"/>
      <c r="T162" s="566"/>
      <c r="U162" s="566"/>
      <c r="V162" s="566"/>
      <c r="W162" s="520"/>
      <c r="AA162" s="611"/>
    </row>
    <row r="163" spans="1:27" x14ac:dyDescent="0.2">
      <c r="A163" s="577" t="s">
        <v>1</v>
      </c>
      <c r="B163" s="567"/>
      <c r="C163" s="567"/>
      <c r="D163" s="567"/>
      <c r="E163" s="567"/>
      <c r="F163" s="567"/>
      <c r="G163" s="568"/>
      <c r="H163" s="1086" t="s">
        <v>520</v>
      </c>
      <c r="I163" s="1087"/>
      <c r="J163" s="1087"/>
      <c r="K163" s="1088"/>
      <c r="M163" s="577" t="s">
        <v>1</v>
      </c>
      <c r="N163" s="567"/>
      <c r="O163" s="567"/>
      <c r="P163" s="567"/>
      <c r="Q163" s="567"/>
      <c r="R163" s="567"/>
      <c r="S163" s="585" t="s">
        <v>520</v>
      </c>
      <c r="T163" s="586"/>
      <c r="U163" s="586"/>
      <c r="V163" s="587"/>
      <c r="AA163" s="611"/>
    </row>
    <row r="164" spans="1:27" ht="69" customHeight="1" x14ac:dyDescent="0.2">
      <c r="A164" s="242"/>
      <c r="B164" s="243"/>
      <c r="C164" s="243"/>
      <c r="D164" s="243"/>
      <c r="E164" s="243"/>
      <c r="F164" s="243"/>
      <c r="G164" s="244"/>
      <c r="H164" s="242"/>
      <c r="I164" s="243"/>
      <c r="J164" s="243"/>
      <c r="K164" s="244"/>
      <c r="M164" s="242"/>
      <c r="N164" s="243"/>
      <c r="O164" s="243"/>
      <c r="P164" s="243"/>
      <c r="Q164" s="243"/>
      <c r="R164" s="243"/>
      <c r="S164" s="242"/>
      <c r="T164" s="243"/>
      <c r="U164" s="243"/>
      <c r="V164" s="244"/>
      <c r="AA164" s="611"/>
    </row>
    <row r="165" spans="1:27" x14ac:dyDescent="0.2">
      <c r="AA165" s="611"/>
    </row>
    <row r="166" spans="1:27" ht="6.75" customHeight="1" x14ac:dyDescent="0.2">
      <c r="AA166" s="611"/>
    </row>
    <row r="167" spans="1:27" s="218" customFormat="1" ht="23.25" customHeight="1" x14ac:dyDescent="0.2">
      <c r="A167" s="218" t="s">
        <v>628</v>
      </c>
      <c r="B167" s="1103">
        <f>B134+1</f>
        <v>6</v>
      </c>
      <c r="C167" s="1104"/>
      <c r="D167" s="569"/>
      <c r="E167" s="218" t="str">
        <f>Championnat</f>
        <v>Championnat de France de Tir à l'ARC</v>
      </c>
      <c r="P167" s="1192"/>
      <c r="Q167" s="1192"/>
      <c r="R167" s="1192"/>
      <c r="S167" s="1192"/>
      <c r="T167" s="1193" t="str">
        <f>CATEG_IMPORTEE</f>
        <v>Collèges Mixtes Etablissement</v>
      </c>
      <c r="U167" s="1193"/>
      <c r="V167" s="1193"/>
      <c r="W167" s="1193"/>
      <c r="X167" s="1193"/>
      <c r="Y167" s="1193"/>
      <c r="Z167" s="1193"/>
      <c r="AA167" s="609"/>
    </row>
    <row r="168" spans="1:27" ht="27" customHeight="1" thickBot="1" x14ac:dyDescent="0.25">
      <c r="A168" s="1069" t="s">
        <v>0</v>
      </c>
      <c r="B168" s="1069"/>
      <c r="C168" s="1069"/>
      <c r="D168" s="1069"/>
      <c r="E168" s="1069"/>
      <c r="F168" s="1069"/>
      <c r="G168" s="1069"/>
      <c r="H168" s="1069"/>
      <c r="I168" s="1125" t="s">
        <v>374</v>
      </c>
      <c r="J168" s="1125"/>
      <c r="K168" s="1125"/>
      <c r="L168" s="1125"/>
      <c r="M168" s="1125"/>
      <c r="N168" s="1069"/>
      <c r="O168" s="595"/>
      <c r="P168" s="1192"/>
      <c r="Q168" s="1192"/>
      <c r="R168" s="1192"/>
      <c r="S168" s="1192"/>
      <c r="T168" s="1184" t="str">
        <f>LIEU&amp;" du "&amp;DATE</f>
        <v>L’Isle sur la Sorgue du 27 au 31 mars 2023</v>
      </c>
      <c r="U168" s="1184"/>
      <c r="V168" s="1184"/>
      <c r="W168" s="1184"/>
      <c r="X168" s="1184"/>
      <c r="Y168" s="1184"/>
      <c r="Z168" s="1184"/>
      <c r="AA168" s="608"/>
    </row>
    <row r="169" spans="1:27" ht="24" customHeight="1" thickBot="1" x14ac:dyDescent="0.25">
      <c r="A169" s="1185" t="e">
        <f>VLOOKUP(H173,ID_archer_cible,2,FALSE)</f>
        <v>#N/A</v>
      </c>
      <c r="B169" s="1186"/>
      <c r="C169" s="1186"/>
      <c r="D169" s="1186"/>
      <c r="E169" s="1186"/>
      <c r="F169" s="1186"/>
      <c r="G169" s="1186"/>
      <c r="H169" s="1187"/>
      <c r="I169" s="1185" t="e">
        <f>VLOOKUP(H173,ID_archer_cible,4,FALSE)</f>
        <v>#N/A</v>
      </c>
      <c r="J169" s="1186"/>
      <c r="K169" s="1186"/>
      <c r="L169" s="1186"/>
      <c r="M169" s="1186"/>
      <c r="N169" s="1187"/>
      <c r="O169" s="596"/>
      <c r="P169" s="1192"/>
      <c r="Q169" s="1192"/>
      <c r="R169" s="1192"/>
      <c r="S169" s="1192"/>
      <c r="T169" s="520"/>
      <c r="U169" s="520"/>
      <c r="V169" s="520"/>
      <c r="W169" s="520"/>
      <c r="X169" s="520"/>
      <c r="Y169" s="520"/>
      <c r="Z169" s="520"/>
      <c r="AA169" s="520"/>
    </row>
    <row r="170" spans="1:27" ht="6" customHeight="1" x14ac:dyDescent="0.2">
      <c r="I170" s="1188" t="e">
        <f>"("&amp;VLOOKUP(H173,ID_archer_cible,3,FALSE)&amp;")"</f>
        <v>#N/A</v>
      </c>
      <c r="J170" s="1188"/>
      <c r="K170" s="1188"/>
      <c r="L170" s="1188"/>
      <c r="M170" s="1188"/>
      <c r="N170" s="1188"/>
      <c r="P170" s="1192"/>
      <c r="Q170" s="1192"/>
      <c r="R170" s="1192"/>
      <c r="S170" s="1192"/>
      <c r="AA170" s="611"/>
    </row>
    <row r="171" spans="1:27" ht="17.25" customHeight="1" x14ac:dyDescent="0.2">
      <c r="E171" s="584"/>
      <c r="F171" s="584"/>
      <c r="G171" s="584"/>
      <c r="H171" s="584"/>
      <c r="I171" s="1189"/>
      <c r="J171" s="1189"/>
      <c r="K171" s="1189"/>
      <c r="L171" s="1189"/>
      <c r="M171" s="1189"/>
      <c r="N171" s="1189"/>
      <c r="P171" s="1192"/>
      <c r="Q171" s="1192"/>
      <c r="R171" s="1192"/>
      <c r="S171" s="1192"/>
      <c r="AA171" s="611"/>
    </row>
    <row r="172" spans="1:27" ht="23.25" customHeight="1" x14ac:dyDescent="0.2">
      <c r="A172" s="593" t="s">
        <v>906</v>
      </c>
      <c r="B172" s="588"/>
      <c r="C172" s="588"/>
      <c r="D172" s="588"/>
      <c r="E172" s="588"/>
      <c r="F172" s="588"/>
      <c r="G172" s="588"/>
      <c r="H172" s="594" t="s">
        <v>552</v>
      </c>
      <c r="I172" s="573" t="s">
        <v>893</v>
      </c>
      <c r="J172" s="1075" t="s">
        <v>550</v>
      </c>
      <c r="K172" s="1075"/>
      <c r="L172" s="573" t="s">
        <v>905</v>
      </c>
      <c r="M172" s="252" t="s">
        <v>551</v>
      </c>
      <c r="S172" s="573" t="s">
        <v>905</v>
      </c>
      <c r="T172" s="573" t="s">
        <v>893</v>
      </c>
      <c r="U172" s="573" t="s">
        <v>893</v>
      </c>
      <c r="V172" s="1075" t="s">
        <v>550</v>
      </c>
      <c r="W172" s="1075"/>
      <c r="X172" s="252" t="s">
        <v>551</v>
      </c>
      <c r="Y172" s="571"/>
      <c r="Z172" s="571"/>
      <c r="AA172" s="612"/>
    </row>
    <row r="173" spans="1:27" ht="23.25" customHeight="1" x14ac:dyDescent="0.2">
      <c r="A173" s="580" t="e">
        <f>VLOOKUP(H173,ID_archer_cible,5,FALSE)&amp;"    "&amp;VLOOKUP(H173,ID_archer_cible,6,FALSE)</f>
        <v>#N/A</v>
      </c>
      <c r="B173" s="581"/>
      <c r="C173" s="582"/>
      <c r="D173" s="575"/>
      <c r="E173" s="223"/>
      <c r="F173" s="223"/>
      <c r="G173" s="223"/>
      <c r="H173" s="589" t="str">
        <f>B167&amp;"A"</f>
        <v>6A</v>
      </c>
      <c r="I173" s="574" t="e">
        <f>VLOOKUP(H173,ID_archer_cible,9,FALSE)</f>
        <v>#N/A</v>
      </c>
      <c r="J173" s="1075" t="e">
        <f>VLOOKUP(H173,ID_archer_cible,8,FALSE)</f>
        <v>#N/A</v>
      </c>
      <c r="K173" s="1075"/>
      <c r="L173" s="610" t="e">
        <f>VLOOKUP(H173,ID_archer_cible,7,FALSE)</f>
        <v>#N/A</v>
      </c>
      <c r="M173" s="589" t="e">
        <f>VLOOKUP(H173,ID_archer_cible,10,FALSE)</f>
        <v>#N/A</v>
      </c>
      <c r="N173" s="597" t="e">
        <f>VLOOKUP(T173,ID_archer_cible,5,FALSE)&amp;"    "&amp;VLOOKUP(T173,ID_archer_cible,6,FALSE)</f>
        <v>#N/A</v>
      </c>
      <c r="O173" s="581"/>
      <c r="P173" s="582"/>
      <c r="Q173" s="575"/>
      <c r="R173" s="223"/>
      <c r="S173" s="579" t="e">
        <f>VLOOKUP(T173,ID_archer_cible,7,FALSE)</f>
        <v>#N/A</v>
      </c>
      <c r="T173" s="589" t="str">
        <f>B167&amp;"C"</f>
        <v>6C</v>
      </c>
      <c r="U173" s="574" t="e">
        <f>VLOOKUP(T173,ID_archer_cible,9,FALSE)</f>
        <v>#N/A</v>
      </c>
      <c r="V173" s="1172" t="e">
        <f>VLOOKUP(T173,ID_archer_cible,8,FALSE)</f>
        <v>#N/A</v>
      </c>
      <c r="W173" s="1173"/>
      <c r="X173" s="574" t="e">
        <f>VLOOKUP(T173,ID_archer_cible,10,FALSE)</f>
        <v>#N/A</v>
      </c>
      <c r="AA173" s="611"/>
    </row>
    <row r="174" spans="1:27" ht="23.25" customHeight="1" x14ac:dyDescent="0.2">
      <c r="A174" s="580" t="e">
        <f>VLOOKUP(H174,ID_archer_cible,5,FALSE)&amp;"    "&amp;VLOOKUP(H174,ID_archer_cible,6,FALSE)</f>
        <v>#N/A</v>
      </c>
      <c r="B174" s="581"/>
      <c r="C174" s="582"/>
      <c r="D174" s="575"/>
      <c r="E174" s="223"/>
      <c r="F174" s="223"/>
      <c r="G174" s="223"/>
      <c r="H174" s="589" t="str">
        <f>B167&amp;"B"</f>
        <v>6B</v>
      </c>
      <c r="I174" s="574" t="e">
        <f>VLOOKUP(H174,ID_archer_cible,9,FALSE)</f>
        <v>#N/A</v>
      </c>
      <c r="J174" s="1075" t="e">
        <f>VLOOKUP(H174,ID_archer_cible,8,FALSE)</f>
        <v>#N/A</v>
      </c>
      <c r="K174" s="1075"/>
      <c r="L174" s="610" t="e">
        <f>VLOOKUP(H174,ID_archer_cible,7,FALSE)</f>
        <v>#N/A</v>
      </c>
      <c r="M174" s="589" t="e">
        <f>VLOOKUP(H174,ID_archer_cible,10,FALSE)</f>
        <v>#N/A</v>
      </c>
      <c r="N174" s="597" t="e">
        <f>VLOOKUP(T174,ID_archer_cible,5,FALSE)&amp;"    "&amp;VLOOKUP(T174,ID_archer_cible,6,FALSE)</f>
        <v>#N/A</v>
      </c>
      <c r="O174" s="581"/>
      <c r="P174" s="582"/>
      <c r="Q174" s="575"/>
      <c r="R174" s="223"/>
      <c r="S174" s="579" t="e">
        <f>VLOOKUP(T174,ID_archer_cible,7,FALSE)</f>
        <v>#N/A</v>
      </c>
      <c r="T174" s="589" t="str">
        <f>B167&amp;"D"</f>
        <v>6D</v>
      </c>
      <c r="U174" s="574" t="e">
        <f>VLOOKUP(T174,ID_archer_cible,9,FALSE)</f>
        <v>#N/A</v>
      </c>
      <c r="V174" s="1172" t="e">
        <f>VLOOKUP(T174,ID_archer_cible,8,FALSE)</f>
        <v>#N/A</v>
      </c>
      <c r="W174" s="1173"/>
      <c r="X174" s="574" t="e">
        <f>VLOOKUP(T174,ID_archer_cible,10,FALSE)</f>
        <v>#N/A</v>
      </c>
      <c r="AA174" s="611"/>
    </row>
    <row r="175" spans="1:27" ht="15" customHeight="1" thickBot="1" x14ac:dyDescent="0.25">
      <c r="AA175" s="611"/>
    </row>
    <row r="176" spans="1:27" ht="20.25" customHeight="1" thickBot="1" x14ac:dyDescent="0.25">
      <c r="F176" s="1174" t="s">
        <v>555</v>
      </c>
      <c r="G176" s="1175"/>
      <c r="H176" s="1175"/>
      <c r="I176" s="1175"/>
      <c r="J176" s="1175"/>
      <c r="K176" s="1175"/>
      <c r="L176" s="1176"/>
      <c r="M176" s="1174" t="s">
        <v>556</v>
      </c>
      <c r="N176" s="1175"/>
      <c r="O176" s="1175"/>
      <c r="P176" s="1175"/>
      <c r="Q176" s="1175"/>
      <c r="R176" s="1175"/>
      <c r="S176" s="1176"/>
      <c r="T176" s="1174" t="s">
        <v>557</v>
      </c>
      <c r="U176" s="1175"/>
      <c r="V176" s="1175"/>
      <c r="W176" s="1175"/>
      <c r="X176" s="1175"/>
      <c r="Y176" s="1175"/>
      <c r="Z176" s="1176"/>
      <c r="AA176" s="613"/>
    </row>
    <row r="177" spans="1:27" ht="30.75" customHeight="1" x14ac:dyDescent="0.2">
      <c r="A177" s="1171" t="s">
        <v>559</v>
      </c>
      <c r="B177" s="1171"/>
      <c r="C177" s="1171"/>
      <c r="D177" s="1171"/>
      <c r="E177" s="1181"/>
      <c r="F177" s="1179" t="s">
        <v>560</v>
      </c>
      <c r="G177" s="1180"/>
      <c r="H177" s="1180"/>
      <c r="I177" s="306"/>
      <c r="J177" s="306"/>
      <c r="K177" s="307"/>
      <c r="L177" s="572" t="s">
        <v>7</v>
      </c>
      <c r="M177" s="1179" t="s">
        <v>560</v>
      </c>
      <c r="N177" s="1180"/>
      <c r="O177" s="1180"/>
      <c r="P177" s="306"/>
      <c r="Q177" s="306"/>
      <c r="R177" s="307"/>
      <c r="S177" s="572" t="s">
        <v>7</v>
      </c>
      <c r="T177" s="1179" t="s">
        <v>560</v>
      </c>
      <c r="U177" s="1180"/>
      <c r="V177" s="1180"/>
      <c r="W177" s="306"/>
      <c r="X177" s="306"/>
      <c r="Y177" s="307"/>
      <c r="Z177" s="572" t="s">
        <v>7</v>
      </c>
      <c r="AA177" s="614"/>
    </row>
    <row r="178" spans="1:27" ht="30.75" customHeight="1" x14ac:dyDescent="0.2">
      <c r="A178" s="1168" t="e">
        <f>A173</f>
        <v>#N/A</v>
      </c>
      <c r="B178" s="1169"/>
      <c r="C178" s="1169"/>
      <c r="D178" s="1169"/>
      <c r="E178" s="1170"/>
      <c r="F178" s="228"/>
      <c r="G178" s="229"/>
      <c r="H178" s="229"/>
      <c r="I178" s="229"/>
      <c r="J178" s="229"/>
      <c r="K178" s="230" t="s">
        <v>561</v>
      </c>
      <c r="L178" s="231"/>
      <c r="M178" s="228"/>
      <c r="N178" s="229"/>
      <c r="O178" s="229"/>
      <c r="P178" s="229"/>
      <c r="Q178" s="229"/>
      <c r="R178" s="230" t="s">
        <v>561</v>
      </c>
      <c r="S178" s="231"/>
      <c r="T178" s="228"/>
      <c r="U178" s="229"/>
      <c r="V178" s="229"/>
      <c r="W178" s="229"/>
      <c r="X178" s="229"/>
      <c r="Y178" s="230" t="s">
        <v>561</v>
      </c>
      <c r="Z178" s="231"/>
      <c r="AA178" s="611"/>
    </row>
    <row r="179" spans="1:27" ht="30.75" customHeight="1" x14ac:dyDescent="0.2">
      <c r="A179" s="1168" t="e">
        <f>A174</f>
        <v>#N/A</v>
      </c>
      <c r="B179" s="1169"/>
      <c r="C179" s="1169"/>
      <c r="D179" s="1169"/>
      <c r="E179" s="1170"/>
      <c r="F179" s="228"/>
      <c r="G179" s="229"/>
      <c r="H179" s="229"/>
      <c r="I179" s="229"/>
      <c r="J179" s="229"/>
      <c r="K179" s="230" t="s">
        <v>561</v>
      </c>
      <c r="L179" s="231"/>
      <c r="M179" s="228"/>
      <c r="N179" s="229"/>
      <c r="O179" s="229"/>
      <c r="P179" s="229"/>
      <c r="Q179" s="229"/>
      <c r="R179" s="230" t="s">
        <v>561</v>
      </c>
      <c r="S179" s="231"/>
      <c r="T179" s="228"/>
      <c r="U179" s="229"/>
      <c r="V179" s="229"/>
      <c r="W179" s="229"/>
      <c r="X179" s="229"/>
      <c r="Y179" s="230" t="s">
        <v>561</v>
      </c>
      <c r="Z179" s="231"/>
      <c r="AA179" s="611"/>
    </row>
    <row r="180" spans="1:27" ht="30.75" customHeight="1" x14ac:dyDescent="0.2">
      <c r="A180" s="1168" t="e">
        <f>N173</f>
        <v>#N/A</v>
      </c>
      <c r="B180" s="1169"/>
      <c r="C180" s="1169"/>
      <c r="D180" s="1169"/>
      <c r="E180" s="1170"/>
      <c r="F180" s="228"/>
      <c r="G180" s="229"/>
      <c r="H180" s="229"/>
      <c r="I180" s="229"/>
      <c r="J180" s="229"/>
      <c r="K180" s="230" t="s">
        <v>561</v>
      </c>
      <c r="L180" s="231"/>
      <c r="M180" s="228"/>
      <c r="N180" s="229"/>
      <c r="O180" s="229"/>
      <c r="P180" s="229"/>
      <c r="Q180" s="229"/>
      <c r="R180" s="230" t="s">
        <v>561</v>
      </c>
      <c r="S180" s="231"/>
      <c r="T180" s="228"/>
      <c r="U180" s="229"/>
      <c r="V180" s="229"/>
      <c r="W180" s="229"/>
      <c r="X180" s="229"/>
      <c r="Y180" s="230" t="s">
        <v>561</v>
      </c>
      <c r="Z180" s="231"/>
      <c r="AA180" s="611"/>
    </row>
    <row r="181" spans="1:27" ht="30.75" customHeight="1" thickBot="1" x14ac:dyDescent="0.25">
      <c r="A181" s="1168" t="e">
        <f>N174</f>
        <v>#N/A</v>
      </c>
      <c r="B181" s="1169"/>
      <c r="C181" s="1169"/>
      <c r="D181" s="1169"/>
      <c r="E181" s="1170"/>
      <c r="F181" s="228"/>
      <c r="G181" s="229"/>
      <c r="H181" s="229"/>
      <c r="I181" s="229"/>
      <c r="J181" s="229"/>
      <c r="K181" s="230" t="s">
        <v>561</v>
      </c>
      <c r="L181" s="232"/>
      <c r="M181" s="228"/>
      <c r="N181" s="229"/>
      <c r="O181" s="229"/>
      <c r="P181" s="229"/>
      <c r="Q181" s="229"/>
      <c r="R181" s="230" t="s">
        <v>561</v>
      </c>
      <c r="S181" s="232"/>
      <c r="T181" s="228"/>
      <c r="U181" s="229"/>
      <c r="V181" s="229"/>
      <c r="W181" s="229"/>
      <c r="X181" s="229"/>
      <c r="Y181" s="230" t="s">
        <v>561</v>
      </c>
      <c r="Z181" s="232"/>
      <c r="AA181" s="611"/>
    </row>
    <row r="182" spans="1:27" ht="30.75" customHeight="1" thickBot="1" x14ac:dyDescent="0.25">
      <c r="F182" s="1177" t="s">
        <v>562</v>
      </c>
      <c r="G182" s="1178"/>
      <c r="H182" s="1178"/>
      <c r="I182" s="235"/>
      <c r="J182" s="235"/>
      <c r="K182" s="237" t="s">
        <v>561</v>
      </c>
      <c r="L182" s="239"/>
      <c r="M182" s="1177" t="s">
        <v>563</v>
      </c>
      <c r="N182" s="1178"/>
      <c r="O182" s="1178"/>
      <c r="P182" s="235"/>
      <c r="Q182" s="235"/>
      <c r="R182" s="237" t="s">
        <v>561</v>
      </c>
      <c r="S182" s="239"/>
      <c r="T182" s="1177" t="s">
        <v>564</v>
      </c>
      <c r="U182" s="1178"/>
      <c r="V182" s="1178"/>
      <c r="W182" s="235"/>
      <c r="X182" s="235"/>
      <c r="Y182" s="237" t="s">
        <v>561</v>
      </c>
      <c r="Z182" s="239"/>
      <c r="AA182" s="615"/>
    </row>
    <row r="183" spans="1:27" ht="9" customHeight="1" thickBot="1" x14ac:dyDescent="0.25">
      <c r="H183" s="249"/>
      <c r="I183" s="249"/>
      <c r="J183" s="249"/>
      <c r="K183" s="249"/>
      <c r="L183" s="249"/>
      <c r="M183" s="249"/>
      <c r="N183" s="249"/>
      <c r="O183" s="249"/>
      <c r="P183" s="249"/>
      <c r="Q183" s="249"/>
      <c r="R183" s="230"/>
      <c r="T183" s="249"/>
      <c r="U183" s="249"/>
      <c r="V183" s="249"/>
      <c r="W183" s="249"/>
      <c r="X183" s="249"/>
      <c r="Y183" s="230"/>
      <c r="AA183" s="611"/>
    </row>
    <row r="184" spans="1:27" ht="30.75" customHeight="1" thickBot="1" x14ac:dyDescent="0.25">
      <c r="F184" s="1174" t="s">
        <v>558</v>
      </c>
      <c r="G184" s="1175"/>
      <c r="H184" s="1175"/>
      <c r="I184" s="1175"/>
      <c r="J184" s="1175"/>
      <c r="K184" s="1175"/>
      <c r="L184" s="1176"/>
      <c r="M184" s="1174" t="s">
        <v>902</v>
      </c>
      <c r="N184" s="1175"/>
      <c r="O184" s="1175"/>
      <c r="P184" s="1175"/>
      <c r="Q184" s="1175"/>
      <c r="R184" s="1175"/>
      <c r="S184" s="1176"/>
      <c r="T184" s="1174" t="s">
        <v>907</v>
      </c>
      <c r="U184" s="1175"/>
      <c r="V184" s="1175"/>
      <c r="W184" s="1175"/>
      <c r="X184" s="1175"/>
      <c r="Y184" s="1175"/>
      <c r="Z184" s="1176"/>
      <c r="AA184" s="613"/>
    </row>
    <row r="185" spans="1:27" ht="30.75" customHeight="1" x14ac:dyDescent="0.2">
      <c r="A185" s="1171" t="str">
        <f>A177</f>
        <v>NOM - PRENOM</v>
      </c>
      <c r="B185" s="1171"/>
      <c r="C185" s="1171"/>
      <c r="D185" s="1171"/>
      <c r="E185" s="1181"/>
      <c r="F185" s="1179" t="s">
        <v>560</v>
      </c>
      <c r="G185" s="1180"/>
      <c r="H185" s="1180"/>
      <c r="I185" s="306"/>
      <c r="J185" s="306"/>
      <c r="K185" s="307"/>
      <c r="L185" s="572" t="s">
        <v>7</v>
      </c>
      <c r="M185" s="1179" t="s">
        <v>560</v>
      </c>
      <c r="N185" s="1180"/>
      <c r="O185" s="1180"/>
      <c r="P185" s="306"/>
      <c r="Q185" s="306"/>
      <c r="R185" s="307"/>
      <c r="S185" s="572" t="s">
        <v>7</v>
      </c>
      <c r="T185" s="1179" t="s">
        <v>560</v>
      </c>
      <c r="U185" s="1180"/>
      <c r="V185" s="1180"/>
      <c r="W185" s="306"/>
      <c r="X185" s="306"/>
      <c r="Y185" s="307"/>
      <c r="Z185" s="572" t="s">
        <v>7</v>
      </c>
      <c r="AA185" s="614"/>
    </row>
    <row r="186" spans="1:27" ht="30.75" customHeight="1" x14ac:dyDescent="0.2">
      <c r="A186" s="605" t="e">
        <f>A178</f>
        <v>#N/A</v>
      </c>
      <c r="B186" s="606"/>
      <c r="C186" s="606"/>
      <c r="D186" s="606"/>
      <c r="E186" s="607"/>
      <c r="F186" s="228"/>
      <c r="G186" s="229"/>
      <c r="H186" s="229"/>
      <c r="I186" s="229"/>
      <c r="J186" s="229"/>
      <c r="K186" s="230" t="s">
        <v>561</v>
      </c>
      <c r="L186" s="231"/>
      <c r="M186" s="228"/>
      <c r="N186" s="229"/>
      <c r="O186" s="229"/>
      <c r="P186" s="229"/>
      <c r="Q186" s="229"/>
      <c r="R186" s="230" t="s">
        <v>561</v>
      </c>
      <c r="S186" s="231"/>
      <c r="T186" s="228"/>
      <c r="U186" s="229"/>
      <c r="V186" s="229"/>
      <c r="W186" s="229"/>
      <c r="X186" s="229"/>
      <c r="Y186" s="230" t="s">
        <v>561</v>
      </c>
      <c r="Z186" s="231"/>
      <c r="AA186" s="611"/>
    </row>
    <row r="187" spans="1:27" ht="30.75" customHeight="1" x14ac:dyDescent="0.2">
      <c r="A187" s="605" t="e">
        <f>A179</f>
        <v>#N/A</v>
      </c>
      <c r="B187" s="606"/>
      <c r="C187" s="606"/>
      <c r="D187" s="606"/>
      <c r="E187" s="607"/>
      <c r="F187" s="228"/>
      <c r="G187" s="229"/>
      <c r="H187" s="229"/>
      <c r="I187" s="229"/>
      <c r="J187" s="229"/>
      <c r="K187" s="230" t="s">
        <v>561</v>
      </c>
      <c r="L187" s="231"/>
      <c r="M187" s="228"/>
      <c r="N187" s="229"/>
      <c r="O187" s="229"/>
      <c r="P187" s="229"/>
      <c r="Q187" s="229"/>
      <c r="R187" s="230" t="s">
        <v>561</v>
      </c>
      <c r="S187" s="231"/>
      <c r="T187" s="228"/>
      <c r="U187" s="229"/>
      <c r="V187" s="229"/>
      <c r="W187" s="229"/>
      <c r="X187" s="229"/>
      <c r="Y187" s="230" t="s">
        <v>561</v>
      </c>
      <c r="Z187" s="231"/>
      <c r="AA187" s="611"/>
    </row>
    <row r="188" spans="1:27" ht="30.75" customHeight="1" x14ac:dyDescent="0.2">
      <c r="A188" s="605" t="e">
        <f>A180</f>
        <v>#N/A</v>
      </c>
      <c r="B188" s="606"/>
      <c r="C188" s="606"/>
      <c r="D188" s="606"/>
      <c r="E188" s="607"/>
      <c r="F188" s="228"/>
      <c r="G188" s="229"/>
      <c r="H188" s="229"/>
      <c r="I188" s="229"/>
      <c r="J188" s="229"/>
      <c r="K188" s="230" t="s">
        <v>561</v>
      </c>
      <c r="L188" s="231"/>
      <c r="M188" s="228"/>
      <c r="N188" s="229"/>
      <c r="O188" s="229"/>
      <c r="P188" s="229"/>
      <c r="Q188" s="229"/>
      <c r="R188" s="230" t="s">
        <v>561</v>
      </c>
      <c r="S188" s="231"/>
      <c r="T188" s="228"/>
      <c r="U188" s="229"/>
      <c r="V188" s="229"/>
      <c r="W188" s="229"/>
      <c r="X188" s="229"/>
      <c r="Y188" s="230" t="s">
        <v>561</v>
      </c>
      <c r="Z188" s="231"/>
      <c r="AA188" s="611"/>
    </row>
    <row r="189" spans="1:27" ht="30.75" customHeight="1" thickBot="1" x14ac:dyDescent="0.25">
      <c r="A189" s="605" t="e">
        <f>A181</f>
        <v>#N/A</v>
      </c>
      <c r="B189" s="606"/>
      <c r="C189" s="606"/>
      <c r="D189" s="606"/>
      <c r="E189" s="607"/>
      <c r="F189" s="228"/>
      <c r="G189" s="229"/>
      <c r="H189" s="229"/>
      <c r="I189" s="229"/>
      <c r="J189" s="229"/>
      <c r="K189" s="230" t="s">
        <v>561</v>
      </c>
      <c r="L189" s="232"/>
      <c r="M189" s="228"/>
      <c r="N189" s="229"/>
      <c r="O189" s="229"/>
      <c r="P189" s="229"/>
      <c r="Q189" s="229"/>
      <c r="R189" s="230" t="s">
        <v>561</v>
      </c>
      <c r="S189" s="232"/>
      <c r="T189" s="228"/>
      <c r="U189" s="229"/>
      <c r="V189" s="229"/>
      <c r="W189" s="229"/>
      <c r="X189" s="229"/>
      <c r="Y189" s="230" t="s">
        <v>561</v>
      </c>
      <c r="Z189" s="232"/>
      <c r="AA189" s="611"/>
    </row>
    <row r="190" spans="1:27" ht="24" customHeight="1" thickBot="1" x14ac:dyDescent="0.25">
      <c r="F190" s="1177" t="s">
        <v>565</v>
      </c>
      <c r="G190" s="1178"/>
      <c r="H190" s="1178"/>
      <c r="I190" s="235"/>
      <c r="J190" s="235"/>
      <c r="K190" s="237" t="s">
        <v>561</v>
      </c>
      <c r="L190" s="239"/>
      <c r="M190" s="1177" t="s">
        <v>903</v>
      </c>
      <c r="N190" s="1178"/>
      <c r="O190" s="1178"/>
      <c r="P190" s="235"/>
      <c r="Q190" s="235"/>
      <c r="R190" s="237" t="s">
        <v>561</v>
      </c>
      <c r="S190" s="239"/>
      <c r="T190" s="1177" t="s">
        <v>904</v>
      </c>
      <c r="U190" s="1178"/>
      <c r="V190" s="1178"/>
      <c r="W190" s="235"/>
      <c r="X190" s="235"/>
      <c r="Y190" s="237" t="s">
        <v>561</v>
      </c>
      <c r="Z190" s="239"/>
      <c r="AA190" s="611"/>
    </row>
    <row r="191" spans="1:27" ht="8.25" customHeight="1" thickBot="1" x14ac:dyDescent="0.25">
      <c r="A191" s="592"/>
      <c r="B191" s="592"/>
      <c r="C191" s="592"/>
      <c r="D191" s="592"/>
      <c r="E191" s="592"/>
      <c r="F191" s="249"/>
      <c r="G191" s="249"/>
      <c r="H191" s="249"/>
      <c r="I191" s="249"/>
      <c r="J191" s="249"/>
      <c r="K191" s="230"/>
      <c r="L191" s="249"/>
      <c r="M191" s="230"/>
      <c r="N191" s="249"/>
      <c r="O191" s="230"/>
      <c r="P191" s="249"/>
      <c r="Q191" s="230"/>
      <c r="R191" s="249"/>
      <c r="S191" s="230"/>
      <c r="T191" s="249"/>
      <c r="U191" s="230"/>
      <c r="V191" s="249"/>
      <c r="W191" s="249"/>
      <c r="X191" s="249"/>
      <c r="Y191" s="230"/>
      <c r="AA191" s="611"/>
    </row>
    <row r="192" spans="1:27" ht="16.5" customHeight="1" thickBot="1" x14ac:dyDescent="0.25">
      <c r="A192" s="1200" t="s">
        <v>915</v>
      </c>
      <c r="B192" s="1200"/>
      <c r="C192" s="1200"/>
      <c r="D192" s="1200"/>
      <c r="E192" s="249"/>
      <c r="F192" s="1198" t="s">
        <v>909</v>
      </c>
      <c r="G192" s="1199"/>
      <c r="H192" s="1199"/>
      <c r="I192" s="1198" t="s">
        <v>910</v>
      </c>
      <c r="J192" s="1199"/>
      <c r="K192" s="1199"/>
      <c r="L192" s="1198" t="s">
        <v>911</v>
      </c>
      <c r="M192" s="1199"/>
      <c r="N192" s="1199"/>
      <c r="O192" s="1198" t="s">
        <v>912</v>
      </c>
      <c r="P192" s="1199"/>
      <c r="Q192" s="1199"/>
      <c r="R192" s="1198" t="s">
        <v>913</v>
      </c>
      <c r="S192" s="1199"/>
      <c r="T192" s="1199"/>
      <c r="U192" s="1198" t="s">
        <v>916</v>
      </c>
      <c r="V192" s="1199"/>
      <c r="W192" s="1199"/>
      <c r="X192" s="1194" t="s">
        <v>908</v>
      </c>
      <c r="Y192" s="1195"/>
      <c r="Z192" s="1196"/>
      <c r="AA192" s="616"/>
    </row>
    <row r="193" spans="1:27" ht="30.75" customHeight="1" x14ac:dyDescent="0.2">
      <c r="A193" s="1200"/>
      <c r="B193" s="1200"/>
      <c r="C193" s="1200"/>
      <c r="D193" s="1200"/>
      <c r="E193" s="249"/>
      <c r="F193" s="1197"/>
      <c r="G193" s="1197"/>
      <c r="H193" s="1197"/>
      <c r="I193" s="1197"/>
      <c r="J193" s="1197"/>
      <c r="K193" s="1197"/>
      <c r="L193" s="1197"/>
      <c r="M193" s="1197"/>
      <c r="N193" s="1197"/>
      <c r="O193" s="1197"/>
      <c r="P193" s="1197"/>
      <c r="Q193" s="1197"/>
      <c r="R193" s="1197"/>
      <c r="S193" s="1197"/>
      <c r="T193" s="1197"/>
      <c r="U193" s="1197"/>
      <c r="V193" s="1197"/>
      <c r="W193" s="1197"/>
      <c r="X193" s="1162"/>
      <c r="Y193" s="1163"/>
      <c r="Z193" s="1164"/>
      <c r="AA193" s="614"/>
    </row>
    <row r="194" spans="1:27" ht="30.75" customHeight="1" thickBot="1" x14ac:dyDescent="0.25">
      <c r="A194" s="1200"/>
      <c r="B194" s="1200"/>
      <c r="C194" s="1200"/>
      <c r="D194" s="1200"/>
      <c r="E194" s="249"/>
      <c r="F194" s="1201" t="s">
        <v>914</v>
      </c>
      <c r="G194" s="1201"/>
      <c r="H194" s="1201"/>
      <c r="I194" s="1197"/>
      <c r="J194" s="1197"/>
      <c r="K194" s="1197"/>
      <c r="L194" s="1197"/>
      <c r="M194" s="1197"/>
      <c r="N194" s="1197"/>
      <c r="O194" s="1197"/>
      <c r="P194" s="1197"/>
      <c r="Q194" s="1197"/>
      <c r="R194" s="1197"/>
      <c r="S194" s="1197"/>
      <c r="T194" s="1197"/>
      <c r="U194" s="1197"/>
      <c r="V194" s="1197"/>
      <c r="W194" s="1197"/>
      <c r="X194" s="1165"/>
      <c r="Y194" s="1166"/>
      <c r="Z194" s="1167"/>
      <c r="AA194" s="614"/>
    </row>
    <row r="195" spans="1:27" ht="19.5" customHeight="1" x14ac:dyDescent="0.2">
      <c r="A195" s="578" t="s">
        <v>851</v>
      </c>
      <c r="B195" s="566"/>
      <c r="C195" s="566"/>
      <c r="D195" s="566"/>
      <c r="E195" s="566"/>
      <c r="F195" s="566"/>
      <c r="G195" s="566"/>
      <c r="H195" s="566"/>
      <c r="I195" s="566"/>
      <c r="J195" s="566"/>
      <c r="K195" s="566"/>
      <c r="M195" s="241"/>
      <c r="O195" s="578" t="s">
        <v>522</v>
      </c>
      <c r="P195" s="566"/>
      <c r="Q195" s="566"/>
      <c r="R195" s="566"/>
      <c r="S195" s="566"/>
      <c r="T195" s="566"/>
      <c r="U195" s="566"/>
      <c r="V195" s="566"/>
      <c r="W195" s="520"/>
      <c r="AA195" s="611"/>
    </row>
    <row r="196" spans="1:27" x14ac:dyDescent="0.2">
      <c r="A196" s="577" t="s">
        <v>1</v>
      </c>
      <c r="B196" s="567"/>
      <c r="C196" s="567"/>
      <c r="D196" s="567"/>
      <c r="E196" s="567"/>
      <c r="F196" s="567"/>
      <c r="G196" s="568"/>
      <c r="H196" s="1086" t="s">
        <v>520</v>
      </c>
      <c r="I196" s="1087"/>
      <c r="J196" s="1087"/>
      <c r="K196" s="1088"/>
      <c r="M196" s="577" t="s">
        <v>1</v>
      </c>
      <c r="N196" s="567"/>
      <c r="O196" s="567"/>
      <c r="P196" s="567"/>
      <c r="Q196" s="567"/>
      <c r="R196" s="567"/>
      <c r="S196" s="585" t="s">
        <v>520</v>
      </c>
      <c r="T196" s="586"/>
      <c r="U196" s="586"/>
      <c r="V196" s="587"/>
      <c r="AA196" s="611"/>
    </row>
    <row r="197" spans="1:27" ht="69" customHeight="1" x14ac:dyDescent="0.2">
      <c r="A197" s="242"/>
      <c r="B197" s="243"/>
      <c r="C197" s="243"/>
      <c r="D197" s="243"/>
      <c r="E197" s="243"/>
      <c r="F197" s="243"/>
      <c r="G197" s="244"/>
      <c r="H197" s="242"/>
      <c r="I197" s="243"/>
      <c r="J197" s="243"/>
      <c r="K197" s="244"/>
      <c r="M197" s="242"/>
      <c r="N197" s="243"/>
      <c r="O197" s="243"/>
      <c r="P197" s="243"/>
      <c r="Q197" s="243"/>
      <c r="R197" s="243"/>
      <c r="S197" s="242"/>
      <c r="T197" s="243"/>
      <c r="U197" s="243"/>
      <c r="V197" s="244"/>
      <c r="AA197" s="611"/>
    </row>
    <row r="198" spans="1:27" x14ac:dyDescent="0.2">
      <c r="AA198" s="611"/>
    </row>
    <row r="199" spans="1:27" ht="6.75" customHeight="1" x14ac:dyDescent="0.2">
      <c r="AA199" s="611"/>
    </row>
    <row r="200" spans="1:27" s="218" customFormat="1" ht="23.25" customHeight="1" x14ac:dyDescent="0.2">
      <c r="A200" s="218" t="s">
        <v>628</v>
      </c>
      <c r="B200" s="1103">
        <f>B167+1</f>
        <v>7</v>
      </c>
      <c r="C200" s="1104"/>
      <c r="D200" s="569"/>
      <c r="E200" s="218" t="str">
        <f>Championnat</f>
        <v>Championnat de France de Tir à l'ARC</v>
      </c>
      <c r="P200" s="1192"/>
      <c r="Q200" s="1192"/>
      <c r="R200" s="1192"/>
      <c r="S200" s="1192"/>
      <c r="T200" s="1193" t="str">
        <f>CATEG_IMPORTEE</f>
        <v>Collèges Mixtes Etablissement</v>
      </c>
      <c r="U200" s="1193"/>
      <c r="V200" s="1193"/>
      <c r="W200" s="1193"/>
      <c r="X200" s="1193"/>
      <c r="Y200" s="1193"/>
      <c r="Z200" s="1193"/>
      <c r="AA200" s="609"/>
    </row>
    <row r="201" spans="1:27" ht="27" customHeight="1" thickBot="1" x14ac:dyDescent="0.25">
      <c r="A201" s="1069" t="s">
        <v>0</v>
      </c>
      <c r="B201" s="1069"/>
      <c r="C201" s="1069"/>
      <c r="D201" s="1069"/>
      <c r="E201" s="1069"/>
      <c r="F201" s="1069"/>
      <c r="G201" s="1069"/>
      <c r="H201" s="1069"/>
      <c r="I201" s="1125" t="s">
        <v>374</v>
      </c>
      <c r="J201" s="1125"/>
      <c r="K201" s="1125"/>
      <c r="L201" s="1125"/>
      <c r="M201" s="1125"/>
      <c r="N201" s="1069"/>
      <c r="O201" s="595"/>
      <c r="P201" s="1192"/>
      <c r="Q201" s="1192"/>
      <c r="R201" s="1192"/>
      <c r="S201" s="1192"/>
      <c r="T201" s="1184" t="str">
        <f>LIEU&amp;" du "&amp;DATE</f>
        <v>L’Isle sur la Sorgue du 27 au 31 mars 2023</v>
      </c>
      <c r="U201" s="1184"/>
      <c r="V201" s="1184"/>
      <c r="W201" s="1184"/>
      <c r="X201" s="1184"/>
      <c r="Y201" s="1184"/>
      <c r="Z201" s="1184"/>
      <c r="AA201" s="608"/>
    </row>
    <row r="202" spans="1:27" ht="24" customHeight="1" thickBot="1" x14ac:dyDescent="0.25">
      <c r="A202" s="1185" t="e">
        <f>VLOOKUP(H206,ID_archer_cible,2,FALSE)</f>
        <v>#N/A</v>
      </c>
      <c r="B202" s="1186"/>
      <c r="C202" s="1186"/>
      <c r="D202" s="1186"/>
      <c r="E202" s="1186"/>
      <c r="F202" s="1186"/>
      <c r="G202" s="1186"/>
      <c r="H202" s="1187"/>
      <c r="I202" s="1185" t="e">
        <f>VLOOKUP(H206,ID_archer_cible,4,FALSE)</f>
        <v>#N/A</v>
      </c>
      <c r="J202" s="1186"/>
      <c r="K202" s="1186"/>
      <c r="L202" s="1186"/>
      <c r="M202" s="1186"/>
      <c r="N202" s="1187"/>
      <c r="O202" s="596"/>
      <c r="P202" s="1192"/>
      <c r="Q202" s="1192"/>
      <c r="R202" s="1192"/>
      <c r="S202" s="1192"/>
      <c r="T202" s="520"/>
      <c r="U202" s="520"/>
      <c r="V202" s="520"/>
      <c r="W202" s="520"/>
      <c r="X202" s="520"/>
      <c r="Y202" s="520"/>
      <c r="Z202" s="520"/>
      <c r="AA202" s="520"/>
    </row>
    <row r="203" spans="1:27" ht="6" customHeight="1" x14ac:dyDescent="0.2">
      <c r="I203" s="1188" t="e">
        <f>"("&amp;VLOOKUP(H206,ID_archer_cible,3,FALSE)&amp;")"</f>
        <v>#N/A</v>
      </c>
      <c r="J203" s="1188"/>
      <c r="K203" s="1188"/>
      <c r="L203" s="1188"/>
      <c r="M203" s="1188"/>
      <c r="N203" s="1188"/>
      <c r="P203" s="1192"/>
      <c r="Q203" s="1192"/>
      <c r="R203" s="1192"/>
      <c r="S203" s="1192"/>
      <c r="AA203" s="611"/>
    </row>
    <row r="204" spans="1:27" ht="17.25" customHeight="1" x14ac:dyDescent="0.2">
      <c r="E204" s="584"/>
      <c r="F204" s="584"/>
      <c r="G204" s="584"/>
      <c r="H204" s="584"/>
      <c r="I204" s="1189"/>
      <c r="J204" s="1189"/>
      <c r="K204" s="1189"/>
      <c r="L204" s="1189"/>
      <c r="M204" s="1189"/>
      <c r="N204" s="1189"/>
      <c r="P204" s="1192"/>
      <c r="Q204" s="1192"/>
      <c r="R204" s="1192"/>
      <c r="S204" s="1192"/>
      <c r="AA204" s="611"/>
    </row>
    <row r="205" spans="1:27" ht="23.25" customHeight="1" x14ac:dyDescent="0.2">
      <c r="A205" s="593" t="s">
        <v>906</v>
      </c>
      <c r="B205" s="588"/>
      <c r="C205" s="588"/>
      <c r="D205" s="588"/>
      <c r="E205" s="588"/>
      <c r="F205" s="588"/>
      <c r="G205" s="588"/>
      <c r="H205" s="594" t="s">
        <v>552</v>
      </c>
      <c r="I205" s="573" t="s">
        <v>893</v>
      </c>
      <c r="J205" s="1075" t="s">
        <v>550</v>
      </c>
      <c r="K205" s="1075"/>
      <c r="L205" s="573" t="s">
        <v>905</v>
      </c>
      <c r="M205" s="252" t="s">
        <v>551</v>
      </c>
      <c r="S205" s="573" t="s">
        <v>905</v>
      </c>
      <c r="T205" s="573" t="s">
        <v>893</v>
      </c>
      <c r="U205" s="573" t="s">
        <v>893</v>
      </c>
      <c r="V205" s="1075" t="s">
        <v>550</v>
      </c>
      <c r="W205" s="1075"/>
      <c r="X205" s="252" t="s">
        <v>551</v>
      </c>
      <c r="Y205" s="571"/>
      <c r="Z205" s="571"/>
      <c r="AA205" s="612"/>
    </row>
    <row r="206" spans="1:27" ht="23.25" customHeight="1" x14ac:dyDescent="0.2">
      <c r="A206" s="580" t="e">
        <f>VLOOKUP(H206,ID_archer_cible,5,FALSE)&amp;"    "&amp;VLOOKUP(H206,ID_archer_cible,6,FALSE)</f>
        <v>#N/A</v>
      </c>
      <c r="B206" s="581"/>
      <c r="C206" s="582"/>
      <c r="D206" s="575"/>
      <c r="E206" s="223"/>
      <c r="F206" s="223"/>
      <c r="G206" s="223"/>
      <c r="H206" s="589" t="str">
        <f>B200&amp;"A"</f>
        <v>7A</v>
      </c>
      <c r="I206" s="574" t="e">
        <f>VLOOKUP(H206,ID_archer_cible,9,FALSE)</f>
        <v>#N/A</v>
      </c>
      <c r="J206" s="1075" t="e">
        <f>VLOOKUP(H206,ID_archer_cible,8,FALSE)</f>
        <v>#N/A</v>
      </c>
      <c r="K206" s="1075"/>
      <c r="L206" s="610" t="e">
        <f>VLOOKUP(H206,ID_archer_cible,7,FALSE)</f>
        <v>#N/A</v>
      </c>
      <c r="M206" s="589" t="e">
        <f>VLOOKUP(H206,ID_archer_cible,10,FALSE)</f>
        <v>#N/A</v>
      </c>
      <c r="N206" s="597" t="e">
        <f>VLOOKUP(T206,ID_archer_cible,5,FALSE)&amp;"    "&amp;VLOOKUP(T206,ID_archer_cible,6,FALSE)</f>
        <v>#N/A</v>
      </c>
      <c r="O206" s="581"/>
      <c r="P206" s="582"/>
      <c r="Q206" s="575"/>
      <c r="R206" s="223"/>
      <c r="S206" s="579" t="e">
        <f>VLOOKUP(T206,ID_archer_cible,7,FALSE)</f>
        <v>#N/A</v>
      </c>
      <c r="T206" s="589" t="str">
        <f>B200&amp;"C"</f>
        <v>7C</v>
      </c>
      <c r="U206" s="574" t="e">
        <f>VLOOKUP(T206,ID_archer_cible,9,FALSE)</f>
        <v>#N/A</v>
      </c>
      <c r="V206" s="1172" t="e">
        <f>VLOOKUP(T206,ID_archer_cible,8,FALSE)</f>
        <v>#N/A</v>
      </c>
      <c r="W206" s="1173"/>
      <c r="X206" s="574" t="e">
        <f>VLOOKUP(T206,ID_archer_cible,10,FALSE)</f>
        <v>#N/A</v>
      </c>
      <c r="AA206" s="611"/>
    </row>
    <row r="207" spans="1:27" ht="23.25" customHeight="1" x14ac:dyDescent="0.2">
      <c r="A207" s="580" t="e">
        <f>VLOOKUP(H207,ID_archer_cible,5,FALSE)&amp;"    "&amp;VLOOKUP(H207,ID_archer_cible,6,FALSE)</f>
        <v>#N/A</v>
      </c>
      <c r="B207" s="581"/>
      <c r="C207" s="582"/>
      <c r="D207" s="575"/>
      <c r="E207" s="223"/>
      <c r="F207" s="223"/>
      <c r="G207" s="223"/>
      <c r="H207" s="589" t="str">
        <f>B200&amp;"B"</f>
        <v>7B</v>
      </c>
      <c r="I207" s="574" t="e">
        <f>VLOOKUP(H207,ID_archer_cible,9,FALSE)</f>
        <v>#N/A</v>
      </c>
      <c r="J207" s="1075" t="e">
        <f>VLOOKUP(H207,ID_archer_cible,8,FALSE)</f>
        <v>#N/A</v>
      </c>
      <c r="K207" s="1075"/>
      <c r="L207" s="610" t="e">
        <f>VLOOKUP(H207,ID_archer_cible,7,FALSE)</f>
        <v>#N/A</v>
      </c>
      <c r="M207" s="589" t="e">
        <f>VLOOKUP(H207,ID_archer_cible,10,FALSE)</f>
        <v>#N/A</v>
      </c>
      <c r="N207" s="597" t="e">
        <f>VLOOKUP(T207,ID_archer_cible,5,FALSE)&amp;"    "&amp;VLOOKUP(T207,ID_archer_cible,6,FALSE)</f>
        <v>#N/A</v>
      </c>
      <c r="O207" s="581"/>
      <c r="P207" s="582"/>
      <c r="Q207" s="575"/>
      <c r="R207" s="223"/>
      <c r="S207" s="579" t="e">
        <f>VLOOKUP(T207,ID_archer_cible,7,FALSE)</f>
        <v>#N/A</v>
      </c>
      <c r="T207" s="589" t="str">
        <f>B200&amp;"D"</f>
        <v>7D</v>
      </c>
      <c r="U207" s="574" t="e">
        <f>VLOOKUP(T207,ID_archer_cible,9,FALSE)</f>
        <v>#N/A</v>
      </c>
      <c r="V207" s="1172" t="e">
        <f>VLOOKUP(T207,ID_archer_cible,8,FALSE)</f>
        <v>#N/A</v>
      </c>
      <c r="W207" s="1173"/>
      <c r="X207" s="574" t="e">
        <f>VLOOKUP(T207,ID_archer_cible,10,FALSE)</f>
        <v>#N/A</v>
      </c>
      <c r="AA207" s="611"/>
    </row>
    <row r="208" spans="1:27" ht="15" customHeight="1" thickBot="1" x14ac:dyDescent="0.25">
      <c r="AA208" s="611"/>
    </row>
    <row r="209" spans="1:27" ht="20.25" customHeight="1" thickBot="1" x14ac:dyDescent="0.25">
      <c r="F209" s="1174" t="s">
        <v>555</v>
      </c>
      <c r="G209" s="1175"/>
      <c r="H209" s="1175"/>
      <c r="I209" s="1175"/>
      <c r="J209" s="1175"/>
      <c r="K209" s="1175"/>
      <c r="L209" s="1176"/>
      <c r="M209" s="1174" t="s">
        <v>556</v>
      </c>
      <c r="N209" s="1175"/>
      <c r="O209" s="1175"/>
      <c r="P209" s="1175"/>
      <c r="Q209" s="1175"/>
      <c r="R209" s="1175"/>
      <c r="S209" s="1176"/>
      <c r="T209" s="1174" t="s">
        <v>557</v>
      </c>
      <c r="U209" s="1175"/>
      <c r="V209" s="1175"/>
      <c r="W209" s="1175"/>
      <c r="X209" s="1175"/>
      <c r="Y209" s="1175"/>
      <c r="Z209" s="1176"/>
      <c r="AA209" s="613"/>
    </row>
    <row r="210" spans="1:27" ht="30.75" customHeight="1" x14ac:dyDescent="0.2">
      <c r="A210" s="1171" t="s">
        <v>559</v>
      </c>
      <c r="B210" s="1171"/>
      <c r="C210" s="1171"/>
      <c r="D210" s="1171"/>
      <c r="E210" s="1181"/>
      <c r="F210" s="1179" t="s">
        <v>560</v>
      </c>
      <c r="G210" s="1180"/>
      <c r="H210" s="1180"/>
      <c r="I210" s="306"/>
      <c r="J210" s="306"/>
      <c r="K210" s="307"/>
      <c r="L210" s="572" t="s">
        <v>7</v>
      </c>
      <c r="M210" s="1179" t="s">
        <v>560</v>
      </c>
      <c r="N210" s="1180"/>
      <c r="O210" s="1180"/>
      <c r="P210" s="306"/>
      <c r="Q210" s="306"/>
      <c r="R210" s="307"/>
      <c r="S210" s="572" t="s">
        <v>7</v>
      </c>
      <c r="T210" s="1179" t="s">
        <v>560</v>
      </c>
      <c r="U210" s="1180"/>
      <c r="V210" s="1180"/>
      <c r="W210" s="306"/>
      <c r="X210" s="306"/>
      <c r="Y210" s="307"/>
      <c r="Z210" s="572" t="s">
        <v>7</v>
      </c>
      <c r="AA210" s="614"/>
    </row>
    <row r="211" spans="1:27" ht="30.75" customHeight="1" x14ac:dyDescent="0.2">
      <c r="A211" s="1168" t="e">
        <f>A206</f>
        <v>#N/A</v>
      </c>
      <c r="B211" s="1169"/>
      <c r="C211" s="1169"/>
      <c r="D211" s="1169"/>
      <c r="E211" s="1170"/>
      <c r="F211" s="228"/>
      <c r="G211" s="229"/>
      <c r="H211" s="229"/>
      <c r="I211" s="229"/>
      <c r="J211" s="229"/>
      <c r="K211" s="230" t="s">
        <v>561</v>
      </c>
      <c r="L211" s="231"/>
      <c r="M211" s="228"/>
      <c r="N211" s="229"/>
      <c r="O211" s="229"/>
      <c r="P211" s="229"/>
      <c r="Q211" s="229"/>
      <c r="R211" s="230" t="s">
        <v>561</v>
      </c>
      <c r="S211" s="231"/>
      <c r="T211" s="228"/>
      <c r="U211" s="229"/>
      <c r="V211" s="229"/>
      <c r="W211" s="229"/>
      <c r="X211" s="229"/>
      <c r="Y211" s="230" t="s">
        <v>561</v>
      </c>
      <c r="Z211" s="231"/>
      <c r="AA211" s="611"/>
    </row>
    <row r="212" spans="1:27" ht="30.75" customHeight="1" x14ac:dyDescent="0.2">
      <c r="A212" s="1168" t="e">
        <f>A207</f>
        <v>#N/A</v>
      </c>
      <c r="B212" s="1169"/>
      <c r="C212" s="1169"/>
      <c r="D212" s="1169"/>
      <c r="E212" s="1170"/>
      <c r="F212" s="228"/>
      <c r="G212" s="229"/>
      <c r="H212" s="229"/>
      <c r="I212" s="229"/>
      <c r="J212" s="229"/>
      <c r="K212" s="230" t="s">
        <v>561</v>
      </c>
      <c r="L212" s="231"/>
      <c r="M212" s="228"/>
      <c r="N212" s="229"/>
      <c r="O212" s="229"/>
      <c r="P212" s="229"/>
      <c r="Q212" s="229"/>
      <c r="R212" s="230" t="s">
        <v>561</v>
      </c>
      <c r="S212" s="231"/>
      <c r="T212" s="228"/>
      <c r="U212" s="229"/>
      <c r="V212" s="229"/>
      <c r="W212" s="229"/>
      <c r="X212" s="229"/>
      <c r="Y212" s="230" t="s">
        <v>561</v>
      </c>
      <c r="Z212" s="231"/>
      <c r="AA212" s="611"/>
    </row>
    <row r="213" spans="1:27" ht="30.75" customHeight="1" x14ac:dyDescent="0.2">
      <c r="A213" s="1168" t="e">
        <f>N206</f>
        <v>#N/A</v>
      </c>
      <c r="B213" s="1169"/>
      <c r="C213" s="1169"/>
      <c r="D213" s="1169"/>
      <c r="E213" s="1170"/>
      <c r="F213" s="228"/>
      <c r="G213" s="229"/>
      <c r="H213" s="229"/>
      <c r="I213" s="229"/>
      <c r="J213" s="229"/>
      <c r="K213" s="230" t="s">
        <v>561</v>
      </c>
      <c r="L213" s="231"/>
      <c r="M213" s="228"/>
      <c r="N213" s="229"/>
      <c r="O213" s="229"/>
      <c r="P213" s="229"/>
      <c r="Q213" s="229"/>
      <c r="R213" s="230" t="s">
        <v>561</v>
      </c>
      <c r="S213" s="231"/>
      <c r="T213" s="228"/>
      <c r="U213" s="229"/>
      <c r="V213" s="229"/>
      <c r="W213" s="229"/>
      <c r="X213" s="229"/>
      <c r="Y213" s="230" t="s">
        <v>561</v>
      </c>
      <c r="Z213" s="231"/>
      <c r="AA213" s="611"/>
    </row>
    <row r="214" spans="1:27" ht="30.75" customHeight="1" thickBot="1" x14ac:dyDescent="0.25">
      <c r="A214" s="1168" t="e">
        <f>N207</f>
        <v>#N/A</v>
      </c>
      <c r="B214" s="1169"/>
      <c r="C214" s="1169"/>
      <c r="D214" s="1169"/>
      <c r="E214" s="1170"/>
      <c r="F214" s="228"/>
      <c r="G214" s="229"/>
      <c r="H214" s="229"/>
      <c r="I214" s="229"/>
      <c r="J214" s="229"/>
      <c r="K214" s="230" t="s">
        <v>561</v>
      </c>
      <c r="L214" s="232"/>
      <c r="M214" s="228"/>
      <c r="N214" s="229"/>
      <c r="O214" s="229"/>
      <c r="P214" s="229"/>
      <c r="Q214" s="229"/>
      <c r="R214" s="230" t="s">
        <v>561</v>
      </c>
      <c r="S214" s="232"/>
      <c r="T214" s="228"/>
      <c r="U214" s="229"/>
      <c r="V214" s="229"/>
      <c r="W214" s="229"/>
      <c r="X214" s="229"/>
      <c r="Y214" s="230" t="s">
        <v>561</v>
      </c>
      <c r="Z214" s="232"/>
      <c r="AA214" s="611"/>
    </row>
    <row r="215" spans="1:27" ht="30.75" customHeight="1" thickBot="1" x14ac:dyDescent="0.25">
      <c r="F215" s="1177" t="s">
        <v>562</v>
      </c>
      <c r="G215" s="1178"/>
      <c r="H215" s="1178"/>
      <c r="I215" s="235"/>
      <c r="J215" s="235"/>
      <c r="K215" s="237" t="s">
        <v>561</v>
      </c>
      <c r="L215" s="239"/>
      <c r="M215" s="1177" t="s">
        <v>563</v>
      </c>
      <c r="N215" s="1178"/>
      <c r="O215" s="1178"/>
      <c r="P215" s="235"/>
      <c r="Q215" s="235"/>
      <c r="R215" s="237" t="s">
        <v>561</v>
      </c>
      <c r="S215" s="239"/>
      <c r="T215" s="1177" t="s">
        <v>564</v>
      </c>
      <c r="U215" s="1178"/>
      <c r="V215" s="1178"/>
      <c r="W215" s="235"/>
      <c r="X215" s="235"/>
      <c r="Y215" s="237" t="s">
        <v>561</v>
      </c>
      <c r="Z215" s="239"/>
      <c r="AA215" s="615"/>
    </row>
    <row r="216" spans="1:27" ht="9" customHeight="1" thickBot="1" x14ac:dyDescent="0.25">
      <c r="H216" s="249"/>
      <c r="I216" s="249"/>
      <c r="J216" s="249"/>
      <c r="K216" s="249"/>
      <c r="L216" s="249"/>
      <c r="M216" s="249"/>
      <c r="N216" s="249"/>
      <c r="O216" s="249"/>
      <c r="P216" s="249"/>
      <c r="Q216" s="249"/>
      <c r="R216" s="230"/>
      <c r="T216" s="249"/>
      <c r="U216" s="249"/>
      <c r="V216" s="249"/>
      <c r="W216" s="249"/>
      <c r="X216" s="249"/>
      <c r="Y216" s="230"/>
      <c r="AA216" s="611"/>
    </row>
    <row r="217" spans="1:27" ht="30.75" customHeight="1" thickBot="1" x14ac:dyDescent="0.25">
      <c r="F217" s="1174" t="s">
        <v>558</v>
      </c>
      <c r="G217" s="1175"/>
      <c r="H217" s="1175"/>
      <c r="I217" s="1175"/>
      <c r="J217" s="1175"/>
      <c r="K217" s="1175"/>
      <c r="L217" s="1176"/>
      <c r="M217" s="1174" t="s">
        <v>902</v>
      </c>
      <c r="N217" s="1175"/>
      <c r="O217" s="1175"/>
      <c r="P217" s="1175"/>
      <c r="Q217" s="1175"/>
      <c r="R217" s="1175"/>
      <c r="S217" s="1176"/>
      <c r="T217" s="1174" t="s">
        <v>907</v>
      </c>
      <c r="U217" s="1175"/>
      <c r="V217" s="1175"/>
      <c r="W217" s="1175"/>
      <c r="X217" s="1175"/>
      <c r="Y217" s="1175"/>
      <c r="Z217" s="1176"/>
      <c r="AA217" s="613"/>
    </row>
    <row r="218" spans="1:27" ht="30.75" customHeight="1" x14ac:dyDescent="0.2">
      <c r="A218" s="1171" t="str">
        <f>A210</f>
        <v>NOM - PRENOM</v>
      </c>
      <c r="B218" s="1171"/>
      <c r="C218" s="1171"/>
      <c r="D218" s="1171"/>
      <c r="E218" s="1181"/>
      <c r="F218" s="1179" t="s">
        <v>560</v>
      </c>
      <c r="G218" s="1180"/>
      <c r="H218" s="1180"/>
      <c r="I218" s="306"/>
      <c r="J218" s="306"/>
      <c r="K218" s="307"/>
      <c r="L218" s="572" t="s">
        <v>7</v>
      </c>
      <c r="M218" s="1179" t="s">
        <v>560</v>
      </c>
      <c r="N218" s="1180"/>
      <c r="O218" s="1180"/>
      <c r="P218" s="306"/>
      <c r="Q218" s="306"/>
      <c r="R218" s="307"/>
      <c r="S218" s="572" t="s">
        <v>7</v>
      </c>
      <c r="T218" s="1179" t="s">
        <v>560</v>
      </c>
      <c r="U218" s="1180"/>
      <c r="V218" s="1180"/>
      <c r="W218" s="306"/>
      <c r="X218" s="306"/>
      <c r="Y218" s="307"/>
      <c r="Z218" s="572" t="s">
        <v>7</v>
      </c>
      <c r="AA218" s="614"/>
    </row>
    <row r="219" spans="1:27" ht="30.75" customHeight="1" x14ac:dyDescent="0.2">
      <c r="A219" s="605" t="e">
        <f>A211</f>
        <v>#N/A</v>
      </c>
      <c r="B219" s="606"/>
      <c r="C219" s="606"/>
      <c r="D219" s="606"/>
      <c r="E219" s="607"/>
      <c r="F219" s="228"/>
      <c r="G219" s="229"/>
      <c r="H219" s="229"/>
      <c r="I219" s="229"/>
      <c r="J219" s="229"/>
      <c r="K219" s="230" t="s">
        <v>561</v>
      </c>
      <c r="L219" s="231"/>
      <c r="M219" s="228"/>
      <c r="N219" s="229"/>
      <c r="O219" s="229"/>
      <c r="P219" s="229"/>
      <c r="Q219" s="229"/>
      <c r="R219" s="230" t="s">
        <v>561</v>
      </c>
      <c r="S219" s="231"/>
      <c r="T219" s="228"/>
      <c r="U219" s="229"/>
      <c r="V219" s="229"/>
      <c r="W219" s="229"/>
      <c r="X219" s="229"/>
      <c r="Y219" s="230" t="s">
        <v>561</v>
      </c>
      <c r="Z219" s="231"/>
      <c r="AA219" s="611"/>
    </row>
    <row r="220" spans="1:27" ht="30.75" customHeight="1" x14ac:dyDescent="0.2">
      <c r="A220" s="605" t="e">
        <f>A212</f>
        <v>#N/A</v>
      </c>
      <c r="B220" s="606"/>
      <c r="C220" s="606"/>
      <c r="D220" s="606"/>
      <c r="E220" s="607"/>
      <c r="F220" s="228"/>
      <c r="G220" s="229"/>
      <c r="H220" s="229"/>
      <c r="I220" s="229"/>
      <c r="J220" s="229"/>
      <c r="K220" s="230" t="s">
        <v>561</v>
      </c>
      <c r="L220" s="231"/>
      <c r="M220" s="228"/>
      <c r="N220" s="229"/>
      <c r="O220" s="229"/>
      <c r="P220" s="229"/>
      <c r="Q220" s="229"/>
      <c r="R220" s="230" t="s">
        <v>561</v>
      </c>
      <c r="S220" s="231"/>
      <c r="T220" s="228"/>
      <c r="U220" s="229"/>
      <c r="V220" s="229"/>
      <c r="W220" s="229"/>
      <c r="X220" s="229"/>
      <c r="Y220" s="230" t="s">
        <v>561</v>
      </c>
      <c r="Z220" s="231"/>
      <c r="AA220" s="611"/>
    </row>
    <row r="221" spans="1:27" ht="30.75" customHeight="1" x14ac:dyDescent="0.2">
      <c r="A221" s="605" t="e">
        <f>A213</f>
        <v>#N/A</v>
      </c>
      <c r="B221" s="606"/>
      <c r="C221" s="606"/>
      <c r="D221" s="606"/>
      <c r="E221" s="607"/>
      <c r="F221" s="228"/>
      <c r="G221" s="229"/>
      <c r="H221" s="229"/>
      <c r="I221" s="229"/>
      <c r="J221" s="229"/>
      <c r="K221" s="230" t="s">
        <v>561</v>
      </c>
      <c r="L221" s="231"/>
      <c r="M221" s="228"/>
      <c r="N221" s="229"/>
      <c r="O221" s="229"/>
      <c r="P221" s="229"/>
      <c r="Q221" s="229"/>
      <c r="R221" s="230" t="s">
        <v>561</v>
      </c>
      <c r="S221" s="231"/>
      <c r="T221" s="228"/>
      <c r="U221" s="229"/>
      <c r="V221" s="229"/>
      <c r="W221" s="229"/>
      <c r="X221" s="229"/>
      <c r="Y221" s="230" t="s">
        <v>561</v>
      </c>
      <c r="Z221" s="231"/>
      <c r="AA221" s="611"/>
    </row>
    <row r="222" spans="1:27" ht="30.75" customHeight="1" thickBot="1" x14ac:dyDescent="0.25">
      <c r="A222" s="605" t="e">
        <f>A214</f>
        <v>#N/A</v>
      </c>
      <c r="B222" s="606"/>
      <c r="C222" s="606"/>
      <c r="D222" s="606"/>
      <c r="E222" s="607"/>
      <c r="F222" s="228"/>
      <c r="G222" s="229"/>
      <c r="H222" s="229"/>
      <c r="I222" s="229"/>
      <c r="J222" s="229"/>
      <c r="K222" s="230" t="s">
        <v>561</v>
      </c>
      <c r="L222" s="232"/>
      <c r="M222" s="228"/>
      <c r="N222" s="229"/>
      <c r="O222" s="229"/>
      <c r="P222" s="229"/>
      <c r="Q222" s="229"/>
      <c r="R222" s="230" t="s">
        <v>561</v>
      </c>
      <c r="S222" s="232"/>
      <c r="T222" s="228"/>
      <c r="U222" s="229"/>
      <c r="V222" s="229"/>
      <c r="W222" s="229"/>
      <c r="X222" s="229"/>
      <c r="Y222" s="230" t="s">
        <v>561</v>
      </c>
      <c r="Z222" s="232"/>
      <c r="AA222" s="611"/>
    </row>
    <row r="223" spans="1:27" ht="24" customHeight="1" thickBot="1" x14ac:dyDescent="0.25">
      <c r="F223" s="1177" t="s">
        <v>565</v>
      </c>
      <c r="G223" s="1178"/>
      <c r="H223" s="1178"/>
      <c r="I223" s="235"/>
      <c r="J223" s="235"/>
      <c r="K223" s="237" t="s">
        <v>561</v>
      </c>
      <c r="L223" s="239"/>
      <c r="M223" s="1177" t="s">
        <v>903</v>
      </c>
      <c r="N223" s="1178"/>
      <c r="O223" s="1178"/>
      <c r="P223" s="235"/>
      <c r="Q223" s="235"/>
      <c r="R223" s="237" t="s">
        <v>561</v>
      </c>
      <c r="S223" s="239"/>
      <c r="T223" s="1177" t="s">
        <v>904</v>
      </c>
      <c r="U223" s="1178"/>
      <c r="V223" s="1178"/>
      <c r="W223" s="235"/>
      <c r="X223" s="235"/>
      <c r="Y223" s="237" t="s">
        <v>561</v>
      </c>
      <c r="Z223" s="239"/>
      <c r="AA223" s="611"/>
    </row>
    <row r="224" spans="1:27" ht="8.25" customHeight="1" thickBot="1" x14ac:dyDescent="0.25">
      <c r="A224" s="592"/>
      <c r="B224" s="592"/>
      <c r="C224" s="592"/>
      <c r="D224" s="592"/>
      <c r="E224" s="592"/>
      <c r="F224" s="249"/>
      <c r="G224" s="249"/>
      <c r="H224" s="249"/>
      <c r="I224" s="249"/>
      <c r="J224" s="249"/>
      <c r="K224" s="230"/>
      <c r="L224" s="249"/>
      <c r="M224" s="230"/>
      <c r="N224" s="249"/>
      <c r="O224" s="230"/>
      <c r="P224" s="249"/>
      <c r="Q224" s="230"/>
      <c r="R224" s="249"/>
      <c r="S224" s="230"/>
      <c r="T224" s="249"/>
      <c r="U224" s="230"/>
      <c r="V224" s="249"/>
      <c r="W224" s="249"/>
      <c r="X224" s="249"/>
      <c r="Y224" s="230"/>
      <c r="AA224" s="611"/>
    </row>
    <row r="225" spans="1:27" ht="16.5" customHeight="1" thickBot="1" x14ac:dyDescent="0.25">
      <c r="A225" s="1200" t="s">
        <v>915</v>
      </c>
      <c r="B225" s="1200"/>
      <c r="C225" s="1200"/>
      <c r="D225" s="1200"/>
      <c r="E225" s="249"/>
      <c r="F225" s="1198" t="s">
        <v>909</v>
      </c>
      <c r="G225" s="1199"/>
      <c r="H225" s="1199"/>
      <c r="I225" s="1198" t="s">
        <v>910</v>
      </c>
      <c r="J225" s="1199"/>
      <c r="K225" s="1199"/>
      <c r="L225" s="1198" t="s">
        <v>911</v>
      </c>
      <c r="M225" s="1199"/>
      <c r="N225" s="1199"/>
      <c r="O225" s="1198" t="s">
        <v>912</v>
      </c>
      <c r="P225" s="1199"/>
      <c r="Q225" s="1199"/>
      <c r="R225" s="1198" t="s">
        <v>913</v>
      </c>
      <c r="S225" s="1199"/>
      <c r="T225" s="1199"/>
      <c r="U225" s="1198" t="s">
        <v>916</v>
      </c>
      <c r="V225" s="1199"/>
      <c r="W225" s="1199"/>
      <c r="X225" s="1194" t="s">
        <v>908</v>
      </c>
      <c r="Y225" s="1195"/>
      <c r="Z225" s="1196"/>
      <c r="AA225" s="616"/>
    </row>
    <row r="226" spans="1:27" ht="30.75" customHeight="1" x14ac:dyDescent="0.2">
      <c r="A226" s="1200"/>
      <c r="B226" s="1200"/>
      <c r="C226" s="1200"/>
      <c r="D226" s="1200"/>
      <c r="E226" s="249"/>
      <c r="F226" s="1197"/>
      <c r="G226" s="1197"/>
      <c r="H226" s="1197"/>
      <c r="I226" s="1197"/>
      <c r="J226" s="1197"/>
      <c r="K226" s="1197"/>
      <c r="L226" s="1197"/>
      <c r="M226" s="1197"/>
      <c r="N226" s="1197"/>
      <c r="O226" s="1197"/>
      <c r="P226" s="1197"/>
      <c r="Q226" s="1197"/>
      <c r="R226" s="1197"/>
      <c r="S226" s="1197"/>
      <c r="T226" s="1197"/>
      <c r="U226" s="1197"/>
      <c r="V226" s="1197"/>
      <c r="W226" s="1197"/>
      <c r="X226" s="1162"/>
      <c r="Y226" s="1163"/>
      <c r="Z226" s="1164"/>
      <c r="AA226" s="614"/>
    </row>
    <row r="227" spans="1:27" ht="30.75" customHeight="1" thickBot="1" x14ac:dyDescent="0.25">
      <c r="A227" s="1200"/>
      <c r="B227" s="1200"/>
      <c r="C227" s="1200"/>
      <c r="D227" s="1200"/>
      <c r="E227" s="249"/>
      <c r="F227" s="1201" t="s">
        <v>914</v>
      </c>
      <c r="G227" s="1201"/>
      <c r="H227" s="1201"/>
      <c r="I227" s="1197"/>
      <c r="J227" s="1197"/>
      <c r="K227" s="1197"/>
      <c r="L227" s="1197"/>
      <c r="M227" s="1197"/>
      <c r="N227" s="1197"/>
      <c r="O227" s="1197"/>
      <c r="P227" s="1197"/>
      <c r="Q227" s="1197"/>
      <c r="R227" s="1197"/>
      <c r="S227" s="1197"/>
      <c r="T227" s="1197"/>
      <c r="U227" s="1197"/>
      <c r="V227" s="1197"/>
      <c r="W227" s="1197"/>
      <c r="X227" s="1165"/>
      <c r="Y227" s="1166"/>
      <c r="Z227" s="1167"/>
      <c r="AA227" s="614"/>
    </row>
    <row r="228" spans="1:27" ht="19.5" customHeight="1" x14ac:dyDescent="0.2">
      <c r="A228" s="578" t="s">
        <v>851</v>
      </c>
      <c r="B228" s="566"/>
      <c r="C228" s="566"/>
      <c r="D228" s="566"/>
      <c r="E228" s="566"/>
      <c r="F228" s="566"/>
      <c r="G228" s="566"/>
      <c r="H228" s="566"/>
      <c r="I228" s="566"/>
      <c r="J228" s="566"/>
      <c r="K228" s="566"/>
      <c r="M228" s="241"/>
      <c r="O228" s="578" t="s">
        <v>522</v>
      </c>
      <c r="P228" s="566"/>
      <c r="Q228" s="566"/>
      <c r="R228" s="566"/>
      <c r="S228" s="566"/>
      <c r="T228" s="566"/>
      <c r="U228" s="566"/>
      <c r="V228" s="566"/>
      <c r="W228" s="520"/>
      <c r="AA228" s="611"/>
    </row>
    <row r="229" spans="1:27" x14ac:dyDescent="0.2">
      <c r="A229" s="577" t="s">
        <v>1</v>
      </c>
      <c r="B229" s="567"/>
      <c r="C229" s="567"/>
      <c r="D229" s="567"/>
      <c r="E229" s="567"/>
      <c r="F229" s="567"/>
      <c r="G229" s="568"/>
      <c r="H229" s="1086" t="s">
        <v>520</v>
      </c>
      <c r="I229" s="1087"/>
      <c r="J229" s="1087"/>
      <c r="K229" s="1088"/>
      <c r="M229" s="577" t="s">
        <v>1</v>
      </c>
      <c r="N229" s="567"/>
      <c r="O229" s="567"/>
      <c r="P229" s="567"/>
      <c r="Q229" s="567"/>
      <c r="R229" s="567"/>
      <c r="S229" s="585" t="s">
        <v>520</v>
      </c>
      <c r="T229" s="586"/>
      <c r="U229" s="586"/>
      <c r="V229" s="587"/>
      <c r="AA229" s="611"/>
    </row>
    <row r="230" spans="1:27" ht="69" customHeight="1" x14ac:dyDescent="0.2">
      <c r="A230" s="242"/>
      <c r="B230" s="243"/>
      <c r="C230" s="243"/>
      <c r="D230" s="243"/>
      <c r="E230" s="243"/>
      <c r="F230" s="243"/>
      <c r="G230" s="244"/>
      <c r="H230" s="242"/>
      <c r="I230" s="243"/>
      <c r="J230" s="243"/>
      <c r="K230" s="244"/>
      <c r="M230" s="242"/>
      <c r="N230" s="243"/>
      <c r="O230" s="243"/>
      <c r="P230" s="243"/>
      <c r="Q230" s="243"/>
      <c r="R230" s="243"/>
      <c r="S230" s="242"/>
      <c r="T230" s="243"/>
      <c r="U230" s="243"/>
      <c r="V230" s="244"/>
      <c r="AA230" s="611"/>
    </row>
    <row r="231" spans="1:27" x14ac:dyDescent="0.2">
      <c r="AA231" s="611"/>
    </row>
    <row r="232" spans="1:27" ht="6.75" customHeight="1" x14ac:dyDescent="0.2">
      <c r="AA232" s="611"/>
    </row>
    <row r="233" spans="1:27" s="218" customFormat="1" ht="23.25" customHeight="1" x14ac:dyDescent="0.2">
      <c r="A233" s="218" t="s">
        <v>628</v>
      </c>
      <c r="B233" s="1103">
        <f>B200+1</f>
        <v>8</v>
      </c>
      <c r="C233" s="1104"/>
      <c r="D233" s="569"/>
      <c r="E233" s="218" t="str">
        <f>Championnat</f>
        <v>Championnat de France de Tir à l'ARC</v>
      </c>
      <c r="P233" s="1192"/>
      <c r="Q233" s="1192"/>
      <c r="R233" s="1192"/>
      <c r="S233" s="1192"/>
      <c r="T233" s="1193" t="str">
        <f>CATEG_IMPORTEE</f>
        <v>Collèges Mixtes Etablissement</v>
      </c>
      <c r="U233" s="1193"/>
      <c r="V233" s="1193"/>
      <c r="W233" s="1193"/>
      <c r="X233" s="1193"/>
      <c r="Y233" s="1193"/>
      <c r="Z233" s="1193"/>
      <c r="AA233" s="609"/>
    </row>
    <row r="234" spans="1:27" ht="27" customHeight="1" thickBot="1" x14ac:dyDescent="0.25">
      <c r="A234" s="1069" t="s">
        <v>0</v>
      </c>
      <c r="B234" s="1069"/>
      <c r="C234" s="1069"/>
      <c r="D234" s="1069"/>
      <c r="E234" s="1069"/>
      <c r="F234" s="1069"/>
      <c r="G234" s="1069"/>
      <c r="H234" s="1069"/>
      <c r="I234" s="1125" t="s">
        <v>374</v>
      </c>
      <c r="J234" s="1125"/>
      <c r="K234" s="1125"/>
      <c r="L234" s="1125"/>
      <c r="M234" s="1125"/>
      <c r="N234" s="1069"/>
      <c r="O234" s="595"/>
      <c r="P234" s="1192"/>
      <c r="Q234" s="1192"/>
      <c r="R234" s="1192"/>
      <c r="S234" s="1192"/>
      <c r="T234" s="1184" t="str">
        <f>LIEU&amp;" du "&amp;DATE</f>
        <v>L’Isle sur la Sorgue du 27 au 31 mars 2023</v>
      </c>
      <c r="U234" s="1184"/>
      <c r="V234" s="1184"/>
      <c r="W234" s="1184"/>
      <c r="X234" s="1184"/>
      <c r="Y234" s="1184"/>
      <c r="Z234" s="1184"/>
      <c r="AA234" s="608"/>
    </row>
    <row r="235" spans="1:27" ht="24" customHeight="1" thickBot="1" x14ac:dyDescent="0.25">
      <c r="A235" s="1185" t="e">
        <f>VLOOKUP(H239,ID_archer_cible,2,FALSE)</f>
        <v>#N/A</v>
      </c>
      <c r="B235" s="1186"/>
      <c r="C235" s="1186"/>
      <c r="D235" s="1186"/>
      <c r="E235" s="1186"/>
      <c r="F235" s="1186"/>
      <c r="G235" s="1186"/>
      <c r="H235" s="1187"/>
      <c r="I235" s="1185" t="e">
        <f>VLOOKUP(H239,ID_archer_cible,4,FALSE)</f>
        <v>#N/A</v>
      </c>
      <c r="J235" s="1186"/>
      <c r="K235" s="1186"/>
      <c r="L235" s="1186"/>
      <c r="M235" s="1186"/>
      <c r="N235" s="1187"/>
      <c r="O235" s="596"/>
      <c r="P235" s="1192"/>
      <c r="Q235" s="1192"/>
      <c r="R235" s="1192"/>
      <c r="S235" s="1192"/>
      <c r="T235" s="520"/>
      <c r="U235" s="520"/>
      <c r="V235" s="520"/>
      <c r="W235" s="520"/>
      <c r="X235" s="520"/>
      <c r="Y235" s="520"/>
      <c r="Z235" s="520"/>
      <c r="AA235" s="520"/>
    </row>
    <row r="236" spans="1:27" ht="6" customHeight="1" x14ac:dyDescent="0.2">
      <c r="I236" s="1188" t="e">
        <f>"("&amp;VLOOKUP(H239,ID_archer_cible,3,FALSE)&amp;")"</f>
        <v>#N/A</v>
      </c>
      <c r="J236" s="1188"/>
      <c r="K236" s="1188"/>
      <c r="L236" s="1188"/>
      <c r="M236" s="1188"/>
      <c r="N236" s="1188"/>
      <c r="P236" s="1192"/>
      <c r="Q236" s="1192"/>
      <c r="R236" s="1192"/>
      <c r="S236" s="1192"/>
      <c r="AA236" s="611"/>
    </row>
    <row r="237" spans="1:27" ht="17.25" customHeight="1" x14ac:dyDescent="0.2">
      <c r="E237" s="584"/>
      <c r="F237" s="584"/>
      <c r="G237" s="584"/>
      <c r="H237" s="584"/>
      <c r="I237" s="1189"/>
      <c r="J237" s="1189"/>
      <c r="K237" s="1189"/>
      <c r="L237" s="1189"/>
      <c r="M237" s="1189"/>
      <c r="N237" s="1189"/>
      <c r="P237" s="1192"/>
      <c r="Q237" s="1192"/>
      <c r="R237" s="1192"/>
      <c r="S237" s="1192"/>
      <c r="AA237" s="611"/>
    </row>
    <row r="238" spans="1:27" ht="23.25" customHeight="1" x14ac:dyDescent="0.2">
      <c r="A238" s="593" t="s">
        <v>906</v>
      </c>
      <c r="B238" s="588"/>
      <c r="C238" s="588"/>
      <c r="D238" s="588"/>
      <c r="E238" s="588"/>
      <c r="F238" s="588"/>
      <c r="G238" s="588"/>
      <c r="H238" s="594" t="s">
        <v>552</v>
      </c>
      <c r="I238" s="573" t="s">
        <v>893</v>
      </c>
      <c r="J238" s="1075" t="s">
        <v>550</v>
      </c>
      <c r="K238" s="1075"/>
      <c r="L238" s="573" t="s">
        <v>905</v>
      </c>
      <c r="M238" s="252" t="s">
        <v>551</v>
      </c>
      <c r="S238" s="573" t="s">
        <v>905</v>
      </c>
      <c r="T238" s="573" t="s">
        <v>893</v>
      </c>
      <c r="U238" s="573" t="s">
        <v>893</v>
      </c>
      <c r="V238" s="1075" t="s">
        <v>550</v>
      </c>
      <c r="W238" s="1075"/>
      <c r="X238" s="252" t="s">
        <v>551</v>
      </c>
      <c r="Y238" s="571"/>
      <c r="Z238" s="571"/>
      <c r="AA238" s="612"/>
    </row>
    <row r="239" spans="1:27" ht="23.25" customHeight="1" x14ac:dyDescent="0.2">
      <c r="A239" s="580" t="e">
        <f>VLOOKUP(H239,ID_archer_cible,5,FALSE)&amp;"    "&amp;VLOOKUP(H239,ID_archer_cible,6,FALSE)</f>
        <v>#N/A</v>
      </c>
      <c r="B239" s="581"/>
      <c r="C239" s="582"/>
      <c r="D239" s="575"/>
      <c r="E239" s="223"/>
      <c r="F239" s="223"/>
      <c r="G239" s="223"/>
      <c r="H239" s="589" t="str">
        <f>B233&amp;"A"</f>
        <v>8A</v>
      </c>
      <c r="I239" s="574" t="e">
        <f>VLOOKUP(H239,ID_archer_cible,9,FALSE)</f>
        <v>#N/A</v>
      </c>
      <c r="J239" s="1075" t="e">
        <f>VLOOKUP(H239,ID_archer_cible,8,FALSE)</f>
        <v>#N/A</v>
      </c>
      <c r="K239" s="1075"/>
      <c r="L239" s="610" t="e">
        <f>VLOOKUP(H239,ID_archer_cible,7,FALSE)</f>
        <v>#N/A</v>
      </c>
      <c r="M239" s="589" t="e">
        <f>VLOOKUP(H239,ID_archer_cible,10,FALSE)</f>
        <v>#N/A</v>
      </c>
      <c r="N239" s="597" t="e">
        <f>VLOOKUP(T239,ID_archer_cible,5,FALSE)&amp;"    "&amp;VLOOKUP(T239,ID_archer_cible,6,FALSE)</f>
        <v>#N/A</v>
      </c>
      <c r="O239" s="581"/>
      <c r="P239" s="582"/>
      <c r="Q239" s="575"/>
      <c r="R239" s="223"/>
      <c r="S239" s="579" t="e">
        <f>VLOOKUP(T239,ID_archer_cible,7,FALSE)</f>
        <v>#N/A</v>
      </c>
      <c r="T239" s="589" t="str">
        <f>B233&amp;"C"</f>
        <v>8C</v>
      </c>
      <c r="U239" s="574" t="e">
        <f>VLOOKUP(T239,ID_archer_cible,9,FALSE)</f>
        <v>#N/A</v>
      </c>
      <c r="V239" s="1172" t="e">
        <f>VLOOKUP(T239,ID_archer_cible,8,FALSE)</f>
        <v>#N/A</v>
      </c>
      <c r="W239" s="1173"/>
      <c r="X239" s="574" t="e">
        <f>VLOOKUP(T239,ID_archer_cible,10,FALSE)</f>
        <v>#N/A</v>
      </c>
      <c r="AA239" s="611"/>
    </row>
    <row r="240" spans="1:27" ht="23.25" customHeight="1" x14ac:dyDescent="0.2">
      <c r="A240" s="580" t="e">
        <f>VLOOKUP(H240,ID_archer_cible,5,FALSE)&amp;"    "&amp;VLOOKUP(H240,ID_archer_cible,6,FALSE)</f>
        <v>#N/A</v>
      </c>
      <c r="B240" s="581"/>
      <c r="C240" s="582"/>
      <c r="D240" s="575"/>
      <c r="E240" s="223"/>
      <c r="F240" s="223"/>
      <c r="G240" s="223"/>
      <c r="H240" s="589" t="str">
        <f>B233&amp;"B"</f>
        <v>8B</v>
      </c>
      <c r="I240" s="574" t="e">
        <f>VLOOKUP(H240,ID_archer_cible,9,FALSE)</f>
        <v>#N/A</v>
      </c>
      <c r="J240" s="1075" t="e">
        <f>VLOOKUP(H240,ID_archer_cible,8,FALSE)</f>
        <v>#N/A</v>
      </c>
      <c r="K240" s="1075"/>
      <c r="L240" s="610" t="e">
        <f>VLOOKUP(H240,ID_archer_cible,7,FALSE)</f>
        <v>#N/A</v>
      </c>
      <c r="M240" s="589" t="e">
        <f>VLOOKUP(H240,ID_archer_cible,10,FALSE)</f>
        <v>#N/A</v>
      </c>
      <c r="N240" s="597" t="e">
        <f>VLOOKUP(T240,ID_archer_cible,5,FALSE)&amp;"    "&amp;VLOOKUP(T240,ID_archer_cible,6,FALSE)</f>
        <v>#N/A</v>
      </c>
      <c r="O240" s="581"/>
      <c r="P240" s="582"/>
      <c r="Q240" s="575"/>
      <c r="R240" s="223"/>
      <c r="S240" s="579" t="e">
        <f>VLOOKUP(T240,ID_archer_cible,7,FALSE)</f>
        <v>#N/A</v>
      </c>
      <c r="T240" s="589" t="str">
        <f>B233&amp;"D"</f>
        <v>8D</v>
      </c>
      <c r="U240" s="574" t="e">
        <f>VLOOKUP(T240,ID_archer_cible,9,FALSE)</f>
        <v>#N/A</v>
      </c>
      <c r="V240" s="1172" t="e">
        <f>VLOOKUP(T240,ID_archer_cible,8,FALSE)</f>
        <v>#N/A</v>
      </c>
      <c r="W240" s="1173"/>
      <c r="X240" s="574" t="e">
        <f>VLOOKUP(T240,ID_archer_cible,10,FALSE)</f>
        <v>#N/A</v>
      </c>
      <c r="AA240" s="611"/>
    </row>
    <row r="241" spans="1:27" ht="15" customHeight="1" thickBot="1" x14ac:dyDescent="0.25">
      <c r="AA241" s="611"/>
    </row>
    <row r="242" spans="1:27" ht="20.25" customHeight="1" thickBot="1" x14ac:dyDescent="0.25">
      <c r="F242" s="1174" t="s">
        <v>555</v>
      </c>
      <c r="G242" s="1175"/>
      <c r="H242" s="1175"/>
      <c r="I242" s="1175"/>
      <c r="J242" s="1175"/>
      <c r="K242" s="1175"/>
      <c r="L242" s="1176"/>
      <c r="M242" s="1174" t="s">
        <v>556</v>
      </c>
      <c r="N242" s="1175"/>
      <c r="O242" s="1175"/>
      <c r="P242" s="1175"/>
      <c r="Q242" s="1175"/>
      <c r="R242" s="1175"/>
      <c r="S242" s="1176"/>
      <c r="T242" s="1174" t="s">
        <v>557</v>
      </c>
      <c r="U242" s="1175"/>
      <c r="V242" s="1175"/>
      <c r="W242" s="1175"/>
      <c r="X242" s="1175"/>
      <c r="Y242" s="1175"/>
      <c r="Z242" s="1176"/>
      <c r="AA242" s="613"/>
    </row>
    <row r="243" spans="1:27" ht="30.75" customHeight="1" x14ac:dyDescent="0.2">
      <c r="A243" s="1171" t="s">
        <v>559</v>
      </c>
      <c r="B243" s="1171"/>
      <c r="C243" s="1171"/>
      <c r="D243" s="1171"/>
      <c r="E243" s="1181"/>
      <c r="F243" s="1179" t="s">
        <v>560</v>
      </c>
      <c r="G243" s="1180"/>
      <c r="H243" s="1180"/>
      <c r="I243" s="306"/>
      <c r="J243" s="306"/>
      <c r="K243" s="307"/>
      <c r="L243" s="572" t="s">
        <v>7</v>
      </c>
      <c r="M243" s="1179" t="s">
        <v>560</v>
      </c>
      <c r="N243" s="1180"/>
      <c r="O243" s="1180"/>
      <c r="P243" s="306"/>
      <c r="Q243" s="306"/>
      <c r="R243" s="307"/>
      <c r="S243" s="572" t="s">
        <v>7</v>
      </c>
      <c r="T243" s="1179" t="s">
        <v>560</v>
      </c>
      <c r="U243" s="1180"/>
      <c r="V243" s="1180"/>
      <c r="W243" s="306"/>
      <c r="X243" s="306"/>
      <c r="Y243" s="307"/>
      <c r="Z243" s="572" t="s">
        <v>7</v>
      </c>
      <c r="AA243" s="614"/>
    </row>
    <row r="244" spans="1:27" ht="30.75" customHeight="1" x14ac:dyDescent="0.2">
      <c r="A244" s="1168" t="e">
        <f>A239</f>
        <v>#N/A</v>
      </c>
      <c r="B244" s="1169"/>
      <c r="C244" s="1169"/>
      <c r="D244" s="1169"/>
      <c r="E244" s="1170"/>
      <c r="F244" s="228"/>
      <c r="G244" s="229"/>
      <c r="H244" s="229"/>
      <c r="I244" s="229"/>
      <c r="J244" s="229"/>
      <c r="K244" s="230" t="s">
        <v>561</v>
      </c>
      <c r="L244" s="231"/>
      <c r="M244" s="228"/>
      <c r="N244" s="229"/>
      <c r="O244" s="229"/>
      <c r="P244" s="229"/>
      <c r="Q244" s="229"/>
      <c r="R244" s="230" t="s">
        <v>561</v>
      </c>
      <c r="S244" s="231"/>
      <c r="T244" s="228"/>
      <c r="U244" s="229"/>
      <c r="V244" s="229"/>
      <c r="W244" s="229"/>
      <c r="X244" s="229"/>
      <c r="Y244" s="230" t="s">
        <v>561</v>
      </c>
      <c r="Z244" s="231"/>
      <c r="AA244" s="611"/>
    </row>
    <row r="245" spans="1:27" ht="30.75" customHeight="1" x14ac:dyDescent="0.2">
      <c r="A245" s="1168" t="e">
        <f>A240</f>
        <v>#N/A</v>
      </c>
      <c r="B245" s="1169"/>
      <c r="C245" s="1169"/>
      <c r="D245" s="1169"/>
      <c r="E245" s="1170"/>
      <c r="F245" s="228"/>
      <c r="G245" s="229"/>
      <c r="H245" s="229"/>
      <c r="I245" s="229"/>
      <c r="J245" s="229"/>
      <c r="K245" s="230" t="s">
        <v>561</v>
      </c>
      <c r="L245" s="231"/>
      <c r="M245" s="228"/>
      <c r="N245" s="229"/>
      <c r="O245" s="229"/>
      <c r="P245" s="229"/>
      <c r="Q245" s="229"/>
      <c r="R245" s="230" t="s">
        <v>561</v>
      </c>
      <c r="S245" s="231"/>
      <c r="T245" s="228"/>
      <c r="U245" s="229"/>
      <c r="V245" s="229"/>
      <c r="W245" s="229"/>
      <c r="X245" s="229"/>
      <c r="Y245" s="230" t="s">
        <v>561</v>
      </c>
      <c r="Z245" s="231"/>
      <c r="AA245" s="611"/>
    </row>
    <row r="246" spans="1:27" ht="30.75" customHeight="1" x14ac:dyDescent="0.2">
      <c r="A246" s="1168" t="e">
        <f>N239</f>
        <v>#N/A</v>
      </c>
      <c r="B246" s="1169"/>
      <c r="C246" s="1169"/>
      <c r="D246" s="1169"/>
      <c r="E246" s="1170"/>
      <c r="F246" s="228"/>
      <c r="G246" s="229"/>
      <c r="H246" s="229"/>
      <c r="I246" s="229"/>
      <c r="J246" s="229"/>
      <c r="K246" s="230" t="s">
        <v>561</v>
      </c>
      <c r="L246" s="231"/>
      <c r="M246" s="228"/>
      <c r="N246" s="229"/>
      <c r="O246" s="229"/>
      <c r="P246" s="229"/>
      <c r="Q246" s="229"/>
      <c r="R246" s="230" t="s">
        <v>561</v>
      </c>
      <c r="S246" s="231"/>
      <c r="T246" s="228"/>
      <c r="U246" s="229"/>
      <c r="V246" s="229"/>
      <c r="W246" s="229"/>
      <c r="X246" s="229"/>
      <c r="Y246" s="230" t="s">
        <v>561</v>
      </c>
      <c r="Z246" s="231"/>
      <c r="AA246" s="611"/>
    </row>
    <row r="247" spans="1:27" ht="30.75" customHeight="1" thickBot="1" x14ac:dyDescent="0.25">
      <c r="A247" s="1168" t="e">
        <f>N240</f>
        <v>#N/A</v>
      </c>
      <c r="B247" s="1169"/>
      <c r="C247" s="1169"/>
      <c r="D247" s="1169"/>
      <c r="E247" s="1170"/>
      <c r="F247" s="228"/>
      <c r="G247" s="229"/>
      <c r="H247" s="229"/>
      <c r="I247" s="229"/>
      <c r="J247" s="229"/>
      <c r="K247" s="230" t="s">
        <v>561</v>
      </c>
      <c r="L247" s="232"/>
      <c r="M247" s="228"/>
      <c r="N247" s="229"/>
      <c r="O247" s="229"/>
      <c r="P247" s="229"/>
      <c r="Q247" s="229"/>
      <c r="R247" s="230" t="s">
        <v>561</v>
      </c>
      <c r="S247" s="232"/>
      <c r="T247" s="228"/>
      <c r="U247" s="229"/>
      <c r="V247" s="229"/>
      <c r="W247" s="229"/>
      <c r="X247" s="229"/>
      <c r="Y247" s="230" t="s">
        <v>561</v>
      </c>
      <c r="Z247" s="232"/>
      <c r="AA247" s="611"/>
    </row>
    <row r="248" spans="1:27" ht="30.75" customHeight="1" thickBot="1" x14ac:dyDescent="0.25">
      <c r="F248" s="1177" t="s">
        <v>562</v>
      </c>
      <c r="G248" s="1178"/>
      <c r="H248" s="1178"/>
      <c r="I248" s="235"/>
      <c r="J248" s="235"/>
      <c r="K248" s="237" t="s">
        <v>561</v>
      </c>
      <c r="L248" s="239"/>
      <c r="M248" s="1177" t="s">
        <v>563</v>
      </c>
      <c r="N248" s="1178"/>
      <c r="O248" s="1178"/>
      <c r="P248" s="235"/>
      <c r="Q248" s="235"/>
      <c r="R248" s="237" t="s">
        <v>561</v>
      </c>
      <c r="S248" s="239"/>
      <c r="T248" s="1177" t="s">
        <v>564</v>
      </c>
      <c r="U248" s="1178"/>
      <c r="V248" s="1178"/>
      <c r="W248" s="235"/>
      <c r="X248" s="235"/>
      <c r="Y248" s="237" t="s">
        <v>561</v>
      </c>
      <c r="Z248" s="239"/>
      <c r="AA248" s="615"/>
    </row>
    <row r="249" spans="1:27" ht="9" customHeight="1" thickBot="1" x14ac:dyDescent="0.25">
      <c r="H249" s="249"/>
      <c r="I249" s="249"/>
      <c r="J249" s="249"/>
      <c r="K249" s="249"/>
      <c r="L249" s="249"/>
      <c r="M249" s="249"/>
      <c r="N249" s="249"/>
      <c r="O249" s="249"/>
      <c r="P249" s="249"/>
      <c r="Q249" s="249"/>
      <c r="R249" s="230"/>
      <c r="T249" s="249"/>
      <c r="U249" s="249"/>
      <c r="V249" s="249"/>
      <c r="W249" s="249"/>
      <c r="X249" s="249"/>
      <c r="Y249" s="230"/>
      <c r="AA249" s="611"/>
    </row>
    <row r="250" spans="1:27" ht="30.75" customHeight="1" thickBot="1" x14ac:dyDescent="0.25">
      <c r="F250" s="1174" t="s">
        <v>558</v>
      </c>
      <c r="G250" s="1175"/>
      <c r="H250" s="1175"/>
      <c r="I250" s="1175"/>
      <c r="J250" s="1175"/>
      <c r="K250" s="1175"/>
      <c r="L250" s="1176"/>
      <c r="M250" s="1174" t="s">
        <v>902</v>
      </c>
      <c r="N250" s="1175"/>
      <c r="O250" s="1175"/>
      <c r="P250" s="1175"/>
      <c r="Q250" s="1175"/>
      <c r="R250" s="1175"/>
      <c r="S250" s="1176"/>
      <c r="T250" s="1174" t="s">
        <v>907</v>
      </c>
      <c r="U250" s="1175"/>
      <c r="V250" s="1175"/>
      <c r="W250" s="1175"/>
      <c r="X250" s="1175"/>
      <c r="Y250" s="1175"/>
      <c r="Z250" s="1176"/>
      <c r="AA250" s="613"/>
    </row>
    <row r="251" spans="1:27" ht="30.75" customHeight="1" x14ac:dyDescent="0.2">
      <c r="A251" s="1171" t="str">
        <f>A243</f>
        <v>NOM - PRENOM</v>
      </c>
      <c r="B251" s="1171"/>
      <c r="C251" s="1171"/>
      <c r="D251" s="1171"/>
      <c r="E251" s="1181"/>
      <c r="F251" s="1179" t="s">
        <v>560</v>
      </c>
      <c r="G251" s="1180"/>
      <c r="H251" s="1180"/>
      <c r="I251" s="306"/>
      <c r="J251" s="306"/>
      <c r="K251" s="307"/>
      <c r="L251" s="572" t="s">
        <v>7</v>
      </c>
      <c r="M251" s="1179" t="s">
        <v>560</v>
      </c>
      <c r="N251" s="1180"/>
      <c r="O251" s="1180"/>
      <c r="P251" s="306"/>
      <c r="Q251" s="306"/>
      <c r="R251" s="307"/>
      <c r="S251" s="572" t="s">
        <v>7</v>
      </c>
      <c r="T251" s="1179" t="s">
        <v>560</v>
      </c>
      <c r="U251" s="1180"/>
      <c r="V251" s="1180"/>
      <c r="W251" s="306"/>
      <c r="X251" s="306"/>
      <c r="Y251" s="307"/>
      <c r="Z251" s="572" t="s">
        <v>7</v>
      </c>
      <c r="AA251" s="614"/>
    </row>
    <row r="252" spans="1:27" ht="30.75" customHeight="1" x14ac:dyDescent="0.2">
      <c r="A252" s="605" t="e">
        <f>A244</f>
        <v>#N/A</v>
      </c>
      <c r="B252" s="606"/>
      <c r="C252" s="606"/>
      <c r="D252" s="606"/>
      <c r="E252" s="607"/>
      <c r="F252" s="228"/>
      <c r="G252" s="229"/>
      <c r="H252" s="229"/>
      <c r="I252" s="229"/>
      <c r="J252" s="229"/>
      <c r="K252" s="230" t="s">
        <v>561</v>
      </c>
      <c r="L252" s="231"/>
      <c r="M252" s="228"/>
      <c r="N252" s="229"/>
      <c r="O252" s="229"/>
      <c r="P252" s="229"/>
      <c r="Q252" s="229"/>
      <c r="R252" s="230" t="s">
        <v>561</v>
      </c>
      <c r="S252" s="231"/>
      <c r="T252" s="228"/>
      <c r="U252" s="229"/>
      <c r="V252" s="229"/>
      <c r="W252" s="229"/>
      <c r="X252" s="229"/>
      <c r="Y252" s="230" t="s">
        <v>561</v>
      </c>
      <c r="Z252" s="231"/>
      <c r="AA252" s="611"/>
    </row>
    <row r="253" spans="1:27" ht="30.75" customHeight="1" x14ac:dyDescent="0.2">
      <c r="A253" s="605" t="e">
        <f>A245</f>
        <v>#N/A</v>
      </c>
      <c r="B253" s="606"/>
      <c r="C253" s="606"/>
      <c r="D253" s="606"/>
      <c r="E253" s="607"/>
      <c r="F253" s="228"/>
      <c r="G253" s="229"/>
      <c r="H253" s="229"/>
      <c r="I253" s="229"/>
      <c r="J253" s="229"/>
      <c r="K253" s="230" t="s">
        <v>561</v>
      </c>
      <c r="L253" s="231"/>
      <c r="M253" s="228"/>
      <c r="N253" s="229"/>
      <c r="O253" s="229"/>
      <c r="P253" s="229"/>
      <c r="Q253" s="229"/>
      <c r="R253" s="230" t="s">
        <v>561</v>
      </c>
      <c r="S253" s="231"/>
      <c r="T253" s="228"/>
      <c r="U253" s="229"/>
      <c r="V253" s="229"/>
      <c r="W253" s="229"/>
      <c r="X253" s="229"/>
      <c r="Y253" s="230" t="s">
        <v>561</v>
      </c>
      <c r="Z253" s="231"/>
      <c r="AA253" s="611"/>
    </row>
    <row r="254" spans="1:27" ht="30.75" customHeight="1" x14ac:dyDescent="0.2">
      <c r="A254" s="605" t="e">
        <f>A246</f>
        <v>#N/A</v>
      </c>
      <c r="B254" s="606"/>
      <c r="C254" s="606"/>
      <c r="D254" s="606"/>
      <c r="E254" s="607"/>
      <c r="F254" s="228"/>
      <c r="G254" s="229"/>
      <c r="H254" s="229"/>
      <c r="I254" s="229"/>
      <c r="J254" s="229"/>
      <c r="K254" s="230" t="s">
        <v>561</v>
      </c>
      <c r="L254" s="231"/>
      <c r="M254" s="228"/>
      <c r="N254" s="229"/>
      <c r="O254" s="229"/>
      <c r="P254" s="229"/>
      <c r="Q254" s="229"/>
      <c r="R254" s="230" t="s">
        <v>561</v>
      </c>
      <c r="S254" s="231"/>
      <c r="T254" s="228"/>
      <c r="U254" s="229"/>
      <c r="V254" s="229"/>
      <c r="W254" s="229"/>
      <c r="X254" s="229"/>
      <c r="Y254" s="230" t="s">
        <v>561</v>
      </c>
      <c r="Z254" s="231"/>
      <c r="AA254" s="611"/>
    </row>
    <row r="255" spans="1:27" ht="30.75" customHeight="1" thickBot="1" x14ac:dyDescent="0.25">
      <c r="A255" s="605" t="e">
        <f>A247</f>
        <v>#N/A</v>
      </c>
      <c r="B255" s="606"/>
      <c r="C255" s="606"/>
      <c r="D255" s="606"/>
      <c r="E255" s="607"/>
      <c r="F255" s="228"/>
      <c r="G255" s="229"/>
      <c r="H255" s="229"/>
      <c r="I255" s="229"/>
      <c r="J255" s="229"/>
      <c r="K255" s="230" t="s">
        <v>561</v>
      </c>
      <c r="L255" s="232"/>
      <c r="M255" s="228"/>
      <c r="N255" s="229"/>
      <c r="O255" s="229"/>
      <c r="P255" s="229"/>
      <c r="Q255" s="229"/>
      <c r="R255" s="230" t="s">
        <v>561</v>
      </c>
      <c r="S255" s="232"/>
      <c r="T255" s="228"/>
      <c r="U255" s="229"/>
      <c r="V255" s="229"/>
      <c r="W255" s="229"/>
      <c r="X255" s="229"/>
      <c r="Y255" s="230" t="s">
        <v>561</v>
      </c>
      <c r="Z255" s="232"/>
      <c r="AA255" s="611"/>
    </row>
    <row r="256" spans="1:27" ht="24" customHeight="1" thickBot="1" x14ac:dyDescent="0.25">
      <c r="F256" s="1177" t="s">
        <v>565</v>
      </c>
      <c r="G256" s="1178"/>
      <c r="H256" s="1178"/>
      <c r="I256" s="235"/>
      <c r="J256" s="235"/>
      <c r="K256" s="237" t="s">
        <v>561</v>
      </c>
      <c r="L256" s="239"/>
      <c r="M256" s="1177" t="s">
        <v>903</v>
      </c>
      <c r="N256" s="1178"/>
      <c r="O256" s="1178"/>
      <c r="P256" s="235"/>
      <c r="Q256" s="235"/>
      <c r="R256" s="237" t="s">
        <v>561</v>
      </c>
      <c r="S256" s="239"/>
      <c r="T256" s="1177" t="s">
        <v>904</v>
      </c>
      <c r="U256" s="1178"/>
      <c r="V256" s="1178"/>
      <c r="W256" s="235"/>
      <c r="X256" s="235"/>
      <c r="Y256" s="237" t="s">
        <v>561</v>
      </c>
      <c r="Z256" s="239"/>
      <c r="AA256" s="611"/>
    </row>
    <row r="257" spans="1:27" ht="8.25" customHeight="1" thickBot="1" x14ac:dyDescent="0.25">
      <c r="A257" s="592"/>
      <c r="B257" s="592"/>
      <c r="C257" s="592"/>
      <c r="D257" s="592"/>
      <c r="E257" s="592"/>
      <c r="F257" s="249"/>
      <c r="G257" s="249"/>
      <c r="H257" s="249"/>
      <c r="I257" s="249"/>
      <c r="J257" s="249"/>
      <c r="K257" s="230"/>
      <c r="L257" s="249"/>
      <c r="M257" s="230"/>
      <c r="N257" s="249"/>
      <c r="O257" s="230"/>
      <c r="P257" s="249"/>
      <c r="Q257" s="230"/>
      <c r="R257" s="249"/>
      <c r="S257" s="230"/>
      <c r="T257" s="249"/>
      <c r="U257" s="230"/>
      <c r="V257" s="249"/>
      <c r="W257" s="249"/>
      <c r="X257" s="249"/>
      <c r="Y257" s="230"/>
      <c r="AA257" s="611"/>
    </row>
    <row r="258" spans="1:27" ht="16.5" customHeight="1" thickBot="1" x14ac:dyDescent="0.25">
      <c r="A258" s="1200" t="s">
        <v>915</v>
      </c>
      <c r="B258" s="1200"/>
      <c r="C258" s="1200"/>
      <c r="D258" s="1200"/>
      <c r="E258" s="249"/>
      <c r="F258" s="1198" t="s">
        <v>909</v>
      </c>
      <c r="G258" s="1199"/>
      <c r="H258" s="1199"/>
      <c r="I258" s="1198" t="s">
        <v>910</v>
      </c>
      <c r="J258" s="1199"/>
      <c r="K258" s="1199"/>
      <c r="L258" s="1198" t="s">
        <v>911</v>
      </c>
      <c r="M258" s="1199"/>
      <c r="N258" s="1199"/>
      <c r="O258" s="1198" t="s">
        <v>912</v>
      </c>
      <c r="P258" s="1199"/>
      <c r="Q258" s="1199"/>
      <c r="R258" s="1198" t="s">
        <v>913</v>
      </c>
      <c r="S258" s="1199"/>
      <c r="T258" s="1199"/>
      <c r="U258" s="1198" t="s">
        <v>916</v>
      </c>
      <c r="V258" s="1199"/>
      <c r="W258" s="1199"/>
      <c r="X258" s="1194" t="s">
        <v>908</v>
      </c>
      <c r="Y258" s="1195"/>
      <c r="Z258" s="1196"/>
      <c r="AA258" s="616"/>
    </row>
    <row r="259" spans="1:27" ht="30.75" customHeight="1" x14ac:dyDescent="0.2">
      <c r="A259" s="1200"/>
      <c r="B259" s="1200"/>
      <c r="C259" s="1200"/>
      <c r="D259" s="1200"/>
      <c r="E259" s="249"/>
      <c r="F259" s="1197"/>
      <c r="G259" s="1197"/>
      <c r="H259" s="1197"/>
      <c r="I259" s="1197"/>
      <c r="J259" s="1197"/>
      <c r="K259" s="1197"/>
      <c r="L259" s="1197"/>
      <c r="M259" s="1197"/>
      <c r="N259" s="1197"/>
      <c r="O259" s="1197"/>
      <c r="P259" s="1197"/>
      <c r="Q259" s="1197"/>
      <c r="R259" s="1197"/>
      <c r="S259" s="1197"/>
      <c r="T259" s="1197"/>
      <c r="U259" s="1197"/>
      <c r="V259" s="1197"/>
      <c r="W259" s="1197"/>
      <c r="X259" s="1162"/>
      <c r="Y259" s="1163"/>
      <c r="Z259" s="1164"/>
      <c r="AA259" s="614"/>
    </row>
    <row r="260" spans="1:27" ht="30.75" customHeight="1" thickBot="1" x14ac:dyDescent="0.25">
      <c r="A260" s="1200"/>
      <c r="B260" s="1200"/>
      <c r="C260" s="1200"/>
      <c r="D260" s="1200"/>
      <c r="E260" s="249"/>
      <c r="F260" s="1201" t="s">
        <v>914</v>
      </c>
      <c r="G260" s="1201"/>
      <c r="H260" s="1201"/>
      <c r="I260" s="1197"/>
      <c r="J260" s="1197"/>
      <c r="K260" s="1197"/>
      <c r="L260" s="1197"/>
      <c r="M260" s="1197"/>
      <c r="N260" s="1197"/>
      <c r="O260" s="1197"/>
      <c r="P260" s="1197"/>
      <c r="Q260" s="1197"/>
      <c r="R260" s="1197"/>
      <c r="S260" s="1197"/>
      <c r="T260" s="1197"/>
      <c r="U260" s="1197"/>
      <c r="V260" s="1197"/>
      <c r="W260" s="1197"/>
      <c r="X260" s="1165"/>
      <c r="Y260" s="1166"/>
      <c r="Z260" s="1167"/>
      <c r="AA260" s="614"/>
    </row>
    <row r="261" spans="1:27" ht="19.5" customHeight="1" x14ac:dyDescent="0.2">
      <c r="A261" s="578" t="s">
        <v>851</v>
      </c>
      <c r="B261" s="566"/>
      <c r="C261" s="566"/>
      <c r="D261" s="566"/>
      <c r="E261" s="566"/>
      <c r="F261" s="566"/>
      <c r="G261" s="566"/>
      <c r="H261" s="566"/>
      <c r="I261" s="566"/>
      <c r="J261" s="566"/>
      <c r="K261" s="566"/>
      <c r="M261" s="241"/>
      <c r="O261" s="578" t="s">
        <v>522</v>
      </c>
      <c r="P261" s="566"/>
      <c r="Q261" s="566"/>
      <c r="R261" s="566"/>
      <c r="S261" s="566"/>
      <c r="T261" s="566"/>
      <c r="U261" s="566"/>
      <c r="V261" s="566"/>
      <c r="W261" s="520"/>
      <c r="AA261" s="611"/>
    </row>
    <row r="262" spans="1:27" x14ac:dyDescent="0.2">
      <c r="A262" s="577" t="s">
        <v>1</v>
      </c>
      <c r="B262" s="567"/>
      <c r="C262" s="567"/>
      <c r="D262" s="567"/>
      <c r="E262" s="567"/>
      <c r="F262" s="567"/>
      <c r="G262" s="568"/>
      <c r="H262" s="1086" t="s">
        <v>520</v>
      </c>
      <c r="I262" s="1087"/>
      <c r="J262" s="1087"/>
      <c r="K262" s="1088"/>
      <c r="M262" s="577" t="s">
        <v>1</v>
      </c>
      <c r="N262" s="567"/>
      <c r="O262" s="567"/>
      <c r="P262" s="567"/>
      <c r="Q262" s="567"/>
      <c r="R262" s="567"/>
      <c r="S262" s="585" t="s">
        <v>520</v>
      </c>
      <c r="T262" s="586"/>
      <c r="U262" s="586"/>
      <c r="V262" s="587"/>
      <c r="AA262" s="611"/>
    </row>
    <row r="263" spans="1:27" ht="69" customHeight="1" x14ac:dyDescent="0.2">
      <c r="A263" s="242"/>
      <c r="B263" s="243"/>
      <c r="C263" s="243"/>
      <c r="D263" s="243"/>
      <c r="E263" s="243"/>
      <c r="F263" s="243"/>
      <c r="G263" s="244"/>
      <c r="H263" s="242"/>
      <c r="I263" s="243"/>
      <c r="J263" s="243"/>
      <c r="K263" s="244"/>
      <c r="M263" s="242"/>
      <c r="N263" s="243"/>
      <c r="O263" s="243"/>
      <c r="P263" s="243"/>
      <c r="Q263" s="243"/>
      <c r="R263" s="243"/>
      <c r="S263" s="242"/>
      <c r="T263" s="243"/>
      <c r="U263" s="243"/>
      <c r="V263" s="244"/>
      <c r="AA263" s="611"/>
    </row>
    <row r="264" spans="1:27" x14ac:dyDescent="0.2">
      <c r="AA264" s="611"/>
    </row>
    <row r="265" spans="1:27" ht="6.75" customHeight="1" x14ac:dyDescent="0.2">
      <c r="AA265" s="611"/>
    </row>
    <row r="266" spans="1:27" s="218" customFormat="1" ht="23.25" customHeight="1" x14ac:dyDescent="0.2">
      <c r="A266" s="218" t="s">
        <v>628</v>
      </c>
      <c r="B266" s="1103">
        <f>B233+1</f>
        <v>9</v>
      </c>
      <c r="C266" s="1104"/>
      <c r="D266" s="569"/>
      <c r="E266" s="218" t="str">
        <f>Championnat</f>
        <v>Championnat de France de Tir à l'ARC</v>
      </c>
      <c r="P266" s="1192"/>
      <c r="Q266" s="1192"/>
      <c r="R266" s="1192"/>
      <c r="S266" s="1192"/>
      <c r="T266" s="1193" t="str">
        <f>CATEG_IMPORTEE</f>
        <v>Collèges Mixtes Etablissement</v>
      </c>
      <c r="U266" s="1193"/>
      <c r="V266" s="1193"/>
      <c r="W266" s="1193"/>
      <c r="X266" s="1193"/>
      <c r="Y266" s="1193"/>
      <c r="Z266" s="1193"/>
      <c r="AA266" s="609"/>
    </row>
    <row r="267" spans="1:27" ht="27" customHeight="1" thickBot="1" x14ac:dyDescent="0.25">
      <c r="A267" s="1069" t="s">
        <v>0</v>
      </c>
      <c r="B267" s="1069"/>
      <c r="C267" s="1069"/>
      <c r="D267" s="1069"/>
      <c r="E267" s="1069"/>
      <c r="F267" s="1069"/>
      <c r="G267" s="1069"/>
      <c r="H267" s="1069"/>
      <c r="I267" s="1125" t="s">
        <v>374</v>
      </c>
      <c r="J267" s="1125"/>
      <c r="K267" s="1125"/>
      <c r="L267" s="1125"/>
      <c r="M267" s="1125"/>
      <c r="N267" s="1069"/>
      <c r="O267" s="595"/>
      <c r="P267" s="1192"/>
      <c r="Q267" s="1192"/>
      <c r="R267" s="1192"/>
      <c r="S267" s="1192"/>
      <c r="T267" s="1184" t="str">
        <f>LIEU&amp;" du "&amp;DATE</f>
        <v>L’Isle sur la Sorgue du 27 au 31 mars 2023</v>
      </c>
      <c r="U267" s="1184"/>
      <c r="V267" s="1184"/>
      <c r="W267" s="1184"/>
      <c r="X267" s="1184"/>
      <c r="Y267" s="1184"/>
      <c r="Z267" s="1184"/>
      <c r="AA267" s="608"/>
    </row>
    <row r="268" spans="1:27" ht="24" customHeight="1" thickBot="1" x14ac:dyDescent="0.25">
      <c r="A268" s="1185" t="e">
        <f>VLOOKUP(H272,ID_archer_cible,2,FALSE)</f>
        <v>#N/A</v>
      </c>
      <c r="B268" s="1186"/>
      <c r="C268" s="1186"/>
      <c r="D268" s="1186"/>
      <c r="E268" s="1186"/>
      <c r="F268" s="1186"/>
      <c r="G268" s="1186"/>
      <c r="H268" s="1187"/>
      <c r="I268" s="1185" t="e">
        <f>VLOOKUP(H272,ID_archer_cible,4,FALSE)</f>
        <v>#N/A</v>
      </c>
      <c r="J268" s="1186"/>
      <c r="K268" s="1186"/>
      <c r="L268" s="1186"/>
      <c r="M268" s="1186"/>
      <c r="N268" s="1187"/>
      <c r="O268" s="596"/>
      <c r="P268" s="1192"/>
      <c r="Q268" s="1192"/>
      <c r="R268" s="1192"/>
      <c r="S268" s="1192"/>
      <c r="T268" s="520"/>
      <c r="U268" s="520"/>
      <c r="V268" s="520"/>
      <c r="W268" s="520"/>
      <c r="X268" s="520"/>
      <c r="Y268" s="520"/>
      <c r="Z268" s="520"/>
      <c r="AA268" s="520"/>
    </row>
    <row r="269" spans="1:27" ht="6" customHeight="1" x14ac:dyDescent="0.2">
      <c r="I269" s="1188" t="e">
        <f>"("&amp;VLOOKUP(H272,ID_archer_cible,3,FALSE)&amp;")"</f>
        <v>#N/A</v>
      </c>
      <c r="J269" s="1188"/>
      <c r="K269" s="1188"/>
      <c r="L269" s="1188"/>
      <c r="M269" s="1188"/>
      <c r="N269" s="1188"/>
      <c r="P269" s="1192"/>
      <c r="Q269" s="1192"/>
      <c r="R269" s="1192"/>
      <c r="S269" s="1192"/>
      <c r="AA269" s="611"/>
    </row>
    <row r="270" spans="1:27" ht="17.25" customHeight="1" x14ac:dyDescent="0.2">
      <c r="E270" s="584"/>
      <c r="F270" s="584"/>
      <c r="G270" s="584"/>
      <c r="H270" s="584"/>
      <c r="I270" s="1189"/>
      <c r="J270" s="1189"/>
      <c r="K270" s="1189"/>
      <c r="L270" s="1189"/>
      <c r="M270" s="1189"/>
      <c r="N270" s="1189"/>
      <c r="P270" s="1192"/>
      <c r="Q270" s="1192"/>
      <c r="R270" s="1192"/>
      <c r="S270" s="1192"/>
      <c r="AA270" s="611"/>
    </row>
    <row r="271" spans="1:27" ht="23.25" customHeight="1" x14ac:dyDescent="0.2">
      <c r="A271" s="593" t="s">
        <v>906</v>
      </c>
      <c r="B271" s="588"/>
      <c r="C271" s="588"/>
      <c r="D271" s="588"/>
      <c r="E271" s="588"/>
      <c r="F271" s="588"/>
      <c r="G271" s="588"/>
      <c r="H271" s="594" t="s">
        <v>552</v>
      </c>
      <c r="I271" s="573" t="s">
        <v>893</v>
      </c>
      <c r="J271" s="1075" t="s">
        <v>550</v>
      </c>
      <c r="K271" s="1075"/>
      <c r="L271" s="573" t="s">
        <v>905</v>
      </c>
      <c r="M271" s="252" t="s">
        <v>551</v>
      </c>
      <c r="S271" s="573" t="s">
        <v>905</v>
      </c>
      <c r="T271" s="573" t="s">
        <v>893</v>
      </c>
      <c r="U271" s="573" t="s">
        <v>893</v>
      </c>
      <c r="V271" s="1075" t="s">
        <v>550</v>
      </c>
      <c r="W271" s="1075"/>
      <c r="X271" s="252" t="s">
        <v>551</v>
      </c>
      <c r="Y271" s="571"/>
      <c r="Z271" s="571"/>
      <c r="AA271" s="612"/>
    </row>
    <row r="272" spans="1:27" ht="23.25" customHeight="1" x14ac:dyDescent="0.2">
      <c r="A272" s="580" t="e">
        <f>VLOOKUP(H272,ID_archer_cible,5,FALSE)&amp;"    "&amp;VLOOKUP(H272,ID_archer_cible,6,FALSE)</f>
        <v>#N/A</v>
      </c>
      <c r="B272" s="581"/>
      <c r="C272" s="582"/>
      <c r="D272" s="575"/>
      <c r="E272" s="223"/>
      <c r="F272" s="223"/>
      <c r="G272" s="223"/>
      <c r="H272" s="589" t="str">
        <f>B266&amp;"A"</f>
        <v>9A</v>
      </c>
      <c r="I272" s="574" t="e">
        <f>VLOOKUP(H272,ID_archer_cible,9,FALSE)</f>
        <v>#N/A</v>
      </c>
      <c r="J272" s="1075" t="e">
        <f>VLOOKUP(H272,ID_archer_cible,8,FALSE)</f>
        <v>#N/A</v>
      </c>
      <c r="K272" s="1075"/>
      <c r="L272" s="610" t="e">
        <f>VLOOKUP(H272,ID_archer_cible,7,FALSE)</f>
        <v>#N/A</v>
      </c>
      <c r="M272" s="589" t="e">
        <f>VLOOKUP(H272,ID_archer_cible,10,FALSE)</f>
        <v>#N/A</v>
      </c>
      <c r="N272" s="597" t="e">
        <f>VLOOKUP(T272,ID_archer_cible,5,FALSE)&amp;"    "&amp;VLOOKUP(T272,ID_archer_cible,6,FALSE)</f>
        <v>#N/A</v>
      </c>
      <c r="O272" s="581"/>
      <c r="P272" s="582"/>
      <c r="Q272" s="575"/>
      <c r="R272" s="223"/>
      <c r="S272" s="579" t="e">
        <f>VLOOKUP(T272,ID_archer_cible,7,FALSE)</f>
        <v>#N/A</v>
      </c>
      <c r="T272" s="589" t="str">
        <f>B266&amp;"C"</f>
        <v>9C</v>
      </c>
      <c r="U272" s="574" t="e">
        <f>VLOOKUP(T272,ID_archer_cible,9,FALSE)</f>
        <v>#N/A</v>
      </c>
      <c r="V272" s="1172" t="e">
        <f>VLOOKUP(T272,ID_archer_cible,8,FALSE)</f>
        <v>#N/A</v>
      </c>
      <c r="W272" s="1173"/>
      <c r="X272" s="574" t="e">
        <f>VLOOKUP(T272,ID_archer_cible,10,FALSE)</f>
        <v>#N/A</v>
      </c>
      <c r="AA272" s="611"/>
    </row>
    <row r="273" spans="1:27" ht="23.25" customHeight="1" x14ac:dyDescent="0.2">
      <c r="A273" s="580" t="e">
        <f>VLOOKUP(H273,ID_archer_cible,5,FALSE)&amp;"    "&amp;VLOOKUP(H273,ID_archer_cible,6,FALSE)</f>
        <v>#N/A</v>
      </c>
      <c r="B273" s="581"/>
      <c r="C273" s="582"/>
      <c r="D273" s="575"/>
      <c r="E273" s="223"/>
      <c r="F273" s="223"/>
      <c r="G273" s="223"/>
      <c r="H273" s="589" t="str">
        <f>B266&amp;"B"</f>
        <v>9B</v>
      </c>
      <c r="I273" s="574" t="e">
        <f>VLOOKUP(H273,ID_archer_cible,9,FALSE)</f>
        <v>#N/A</v>
      </c>
      <c r="J273" s="1075" t="e">
        <f>VLOOKUP(H273,ID_archer_cible,8,FALSE)</f>
        <v>#N/A</v>
      </c>
      <c r="K273" s="1075"/>
      <c r="L273" s="610" t="e">
        <f>VLOOKUP(H273,ID_archer_cible,7,FALSE)</f>
        <v>#N/A</v>
      </c>
      <c r="M273" s="589" t="e">
        <f>VLOOKUP(H273,ID_archer_cible,10,FALSE)</f>
        <v>#N/A</v>
      </c>
      <c r="N273" s="597" t="e">
        <f>VLOOKUP(T273,ID_archer_cible,5,FALSE)&amp;"    "&amp;VLOOKUP(T273,ID_archer_cible,6,FALSE)</f>
        <v>#N/A</v>
      </c>
      <c r="O273" s="581"/>
      <c r="P273" s="582"/>
      <c r="Q273" s="575"/>
      <c r="R273" s="223"/>
      <c r="S273" s="579" t="e">
        <f>VLOOKUP(T273,ID_archer_cible,7,FALSE)</f>
        <v>#N/A</v>
      </c>
      <c r="T273" s="589" t="str">
        <f>B266&amp;"D"</f>
        <v>9D</v>
      </c>
      <c r="U273" s="574" t="e">
        <f>VLOOKUP(T273,ID_archer_cible,9,FALSE)</f>
        <v>#N/A</v>
      </c>
      <c r="V273" s="1172" t="e">
        <f>VLOOKUP(T273,ID_archer_cible,8,FALSE)</f>
        <v>#N/A</v>
      </c>
      <c r="W273" s="1173"/>
      <c r="X273" s="574" t="e">
        <f>VLOOKUP(T273,ID_archer_cible,10,FALSE)</f>
        <v>#N/A</v>
      </c>
      <c r="AA273" s="611"/>
    </row>
    <row r="274" spans="1:27" ht="15" customHeight="1" thickBot="1" x14ac:dyDescent="0.25">
      <c r="AA274" s="611"/>
    </row>
    <row r="275" spans="1:27" ht="20.25" customHeight="1" thickBot="1" x14ac:dyDescent="0.25">
      <c r="F275" s="1174" t="s">
        <v>555</v>
      </c>
      <c r="G275" s="1175"/>
      <c r="H275" s="1175"/>
      <c r="I275" s="1175"/>
      <c r="J275" s="1175"/>
      <c r="K275" s="1175"/>
      <c r="L275" s="1176"/>
      <c r="M275" s="1174" t="s">
        <v>556</v>
      </c>
      <c r="N275" s="1175"/>
      <c r="O275" s="1175"/>
      <c r="P275" s="1175"/>
      <c r="Q275" s="1175"/>
      <c r="R275" s="1175"/>
      <c r="S275" s="1176"/>
      <c r="T275" s="1174" t="s">
        <v>557</v>
      </c>
      <c r="U275" s="1175"/>
      <c r="V275" s="1175"/>
      <c r="W275" s="1175"/>
      <c r="X275" s="1175"/>
      <c r="Y275" s="1175"/>
      <c r="Z275" s="1176"/>
      <c r="AA275" s="613"/>
    </row>
    <row r="276" spans="1:27" ht="30.75" customHeight="1" x14ac:dyDescent="0.2">
      <c r="A276" s="1171" t="s">
        <v>559</v>
      </c>
      <c r="B276" s="1171"/>
      <c r="C276" s="1171"/>
      <c r="D276" s="1171"/>
      <c r="E276" s="1181"/>
      <c r="F276" s="1179" t="s">
        <v>560</v>
      </c>
      <c r="G276" s="1180"/>
      <c r="H276" s="1180"/>
      <c r="I276" s="306"/>
      <c r="J276" s="306"/>
      <c r="K276" s="307"/>
      <c r="L276" s="572" t="s">
        <v>7</v>
      </c>
      <c r="M276" s="1179" t="s">
        <v>560</v>
      </c>
      <c r="N276" s="1180"/>
      <c r="O276" s="1180"/>
      <c r="P276" s="306"/>
      <c r="Q276" s="306"/>
      <c r="R276" s="307"/>
      <c r="S276" s="572" t="s">
        <v>7</v>
      </c>
      <c r="T276" s="1179" t="s">
        <v>560</v>
      </c>
      <c r="U276" s="1180"/>
      <c r="V276" s="1180"/>
      <c r="W276" s="306"/>
      <c r="X276" s="306"/>
      <c r="Y276" s="307"/>
      <c r="Z276" s="572" t="s">
        <v>7</v>
      </c>
      <c r="AA276" s="614"/>
    </row>
    <row r="277" spans="1:27" ht="30.75" customHeight="1" x14ac:dyDescent="0.2">
      <c r="A277" s="1168" t="e">
        <f>A272</f>
        <v>#N/A</v>
      </c>
      <c r="B277" s="1169"/>
      <c r="C277" s="1169"/>
      <c r="D277" s="1169"/>
      <c r="E277" s="1170"/>
      <c r="F277" s="228"/>
      <c r="G277" s="229"/>
      <c r="H277" s="229"/>
      <c r="I277" s="229"/>
      <c r="J277" s="229"/>
      <c r="K277" s="230" t="s">
        <v>561</v>
      </c>
      <c r="L277" s="231"/>
      <c r="M277" s="228"/>
      <c r="N277" s="229"/>
      <c r="O277" s="229"/>
      <c r="P277" s="229"/>
      <c r="Q277" s="229"/>
      <c r="R277" s="230" t="s">
        <v>561</v>
      </c>
      <c r="S277" s="231"/>
      <c r="T277" s="228"/>
      <c r="U277" s="229"/>
      <c r="V277" s="229"/>
      <c r="W277" s="229"/>
      <c r="X277" s="229"/>
      <c r="Y277" s="230" t="s">
        <v>561</v>
      </c>
      <c r="Z277" s="231"/>
      <c r="AA277" s="611"/>
    </row>
    <row r="278" spans="1:27" ht="30.75" customHeight="1" x14ac:dyDescent="0.2">
      <c r="A278" s="1168" t="e">
        <f>A273</f>
        <v>#N/A</v>
      </c>
      <c r="B278" s="1169"/>
      <c r="C278" s="1169"/>
      <c r="D278" s="1169"/>
      <c r="E278" s="1170"/>
      <c r="F278" s="228"/>
      <c r="G278" s="229"/>
      <c r="H278" s="229"/>
      <c r="I278" s="229"/>
      <c r="J278" s="229"/>
      <c r="K278" s="230" t="s">
        <v>561</v>
      </c>
      <c r="L278" s="231"/>
      <c r="M278" s="228"/>
      <c r="N278" s="229"/>
      <c r="O278" s="229"/>
      <c r="P278" s="229"/>
      <c r="Q278" s="229"/>
      <c r="R278" s="230" t="s">
        <v>561</v>
      </c>
      <c r="S278" s="231"/>
      <c r="T278" s="228"/>
      <c r="U278" s="229"/>
      <c r="V278" s="229"/>
      <c r="W278" s="229"/>
      <c r="X278" s="229"/>
      <c r="Y278" s="230" t="s">
        <v>561</v>
      </c>
      <c r="Z278" s="231"/>
      <c r="AA278" s="611"/>
    </row>
    <row r="279" spans="1:27" ht="30.75" customHeight="1" x14ac:dyDescent="0.2">
      <c r="A279" s="1168" t="e">
        <f>N272</f>
        <v>#N/A</v>
      </c>
      <c r="B279" s="1169"/>
      <c r="C279" s="1169"/>
      <c r="D279" s="1169"/>
      <c r="E279" s="1170"/>
      <c r="F279" s="228"/>
      <c r="G279" s="229"/>
      <c r="H279" s="229"/>
      <c r="I279" s="229"/>
      <c r="J279" s="229"/>
      <c r="K279" s="230" t="s">
        <v>561</v>
      </c>
      <c r="L279" s="231"/>
      <c r="M279" s="228"/>
      <c r="N279" s="229"/>
      <c r="O279" s="229"/>
      <c r="P279" s="229"/>
      <c r="Q279" s="229"/>
      <c r="R279" s="230" t="s">
        <v>561</v>
      </c>
      <c r="S279" s="231"/>
      <c r="T279" s="228"/>
      <c r="U279" s="229"/>
      <c r="V279" s="229"/>
      <c r="W279" s="229"/>
      <c r="X279" s="229"/>
      <c r="Y279" s="230" t="s">
        <v>561</v>
      </c>
      <c r="Z279" s="231"/>
      <c r="AA279" s="611"/>
    </row>
    <row r="280" spans="1:27" ht="30.75" customHeight="1" thickBot="1" x14ac:dyDescent="0.25">
      <c r="A280" s="1168" t="e">
        <f>N273</f>
        <v>#N/A</v>
      </c>
      <c r="B280" s="1169"/>
      <c r="C280" s="1169"/>
      <c r="D280" s="1169"/>
      <c r="E280" s="1170"/>
      <c r="F280" s="228"/>
      <c r="G280" s="229"/>
      <c r="H280" s="229"/>
      <c r="I280" s="229"/>
      <c r="J280" s="229"/>
      <c r="K280" s="230" t="s">
        <v>561</v>
      </c>
      <c r="L280" s="232"/>
      <c r="M280" s="228"/>
      <c r="N280" s="229"/>
      <c r="O280" s="229"/>
      <c r="P280" s="229"/>
      <c r="Q280" s="229"/>
      <c r="R280" s="230" t="s">
        <v>561</v>
      </c>
      <c r="S280" s="232"/>
      <c r="T280" s="228"/>
      <c r="U280" s="229"/>
      <c r="V280" s="229"/>
      <c r="W280" s="229"/>
      <c r="X280" s="229"/>
      <c r="Y280" s="230" t="s">
        <v>561</v>
      </c>
      <c r="Z280" s="232"/>
      <c r="AA280" s="611"/>
    </row>
    <row r="281" spans="1:27" ht="30.75" customHeight="1" thickBot="1" x14ac:dyDescent="0.25">
      <c r="F281" s="1177" t="s">
        <v>562</v>
      </c>
      <c r="G281" s="1178"/>
      <c r="H281" s="1178"/>
      <c r="I281" s="235"/>
      <c r="J281" s="235"/>
      <c r="K281" s="237" t="s">
        <v>561</v>
      </c>
      <c r="L281" s="239"/>
      <c r="M281" s="1177" t="s">
        <v>563</v>
      </c>
      <c r="N281" s="1178"/>
      <c r="O281" s="1178"/>
      <c r="P281" s="235"/>
      <c r="Q281" s="235"/>
      <c r="R281" s="237" t="s">
        <v>561</v>
      </c>
      <c r="S281" s="239"/>
      <c r="T281" s="1177" t="s">
        <v>564</v>
      </c>
      <c r="U281" s="1178"/>
      <c r="V281" s="1178"/>
      <c r="W281" s="235"/>
      <c r="X281" s="235"/>
      <c r="Y281" s="237" t="s">
        <v>561</v>
      </c>
      <c r="Z281" s="239"/>
      <c r="AA281" s="615"/>
    </row>
    <row r="282" spans="1:27" ht="9" customHeight="1" thickBot="1" x14ac:dyDescent="0.25">
      <c r="H282" s="249"/>
      <c r="I282" s="249"/>
      <c r="J282" s="249"/>
      <c r="K282" s="249"/>
      <c r="L282" s="249"/>
      <c r="M282" s="249"/>
      <c r="N282" s="249"/>
      <c r="O282" s="249"/>
      <c r="P282" s="249"/>
      <c r="Q282" s="249"/>
      <c r="R282" s="230"/>
      <c r="T282" s="249"/>
      <c r="U282" s="249"/>
      <c r="V282" s="249"/>
      <c r="W282" s="249"/>
      <c r="X282" s="249"/>
      <c r="Y282" s="230"/>
      <c r="AA282" s="611"/>
    </row>
    <row r="283" spans="1:27" ht="30.75" customHeight="1" thickBot="1" x14ac:dyDescent="0.25">
      <c r="F283" s="1174" t="s">
        <v>558</v>
      </c>
      <c r="G283" s="1175"/>
      <c r="H283" s="1175"/>
      <c r="I283" s="1175"/>
      <c r="J283" s="1175"/>
      <c r="K283" s="1175"/>
      <c r="L283" s="1176"/>
      <c r="M283" s="1174" t="s">
        <v>902</v>
      </c>
      <c r="N283" s="1175"/>
      <c r="O283" s="1175"/>
      <c r="P283" s="1175"/>
      <c r="Q283" s="1175"/>
      <c r="R283" s="1175"/>
      <c r="S283" s="1176"/>
      <c r="T283" s="1174" t="s">
        <v>907</v>
      </c>
      <c r="U283" s="1175"/>
      <c r="V283" s="1175"/>
      <c r="W283" s="1175"/>
      <c r="X283" s="1175"/>
      <c r="Y283" s="1175"/>
      <c r="Z283" s="1176"/>
      <c r="AA283" s="613"/>
    </row>
    <row r="284" spans="1:27" ht="30.75" customHeight="1" x14ac:dyDescent="0.2">
      <c r="A284" s="1171" t="str">
        <f>A276</f>
        <v>NOM - PRENOM</v>
      </c>
      <c r="B284" s="1171"/>
      <c r="C284" s="1171"/>
      <c r="D284" s="1171"/>
      <c r="E284" s="1181"/>
      <c r="F284" s="1179" t="s">
        <v>560</v>
      </c>
      <c r="G284" s="1180"/>
      <c r="H284" s="1180"/>
      <c r="I284" s="306"/>
      <c r="J284" s="306"/>
      <c r="K284" s="307"/>
      <c r="L284" s="572" t="s">
        <v>7</v>
      </c>
      <c r="M284" s="1179" t="s">
        <v>560</v>
      </c>
      <c r="N284" s="1180"/>
      <c r="O284" s="1180"/>
      <c r="P284" s="306"/>
      <c r="Q284" s="306"/>
      <c r="R284" s="307"/>
      <c r="S284" s="572" t="s">
        <v>7</v>
      </c>
      <c r="T284" s="1179" t="s">
        <v>560</v>
      </c>
      <c r="U284" s="1180"/>
      <c r="V284" s="1180"/>
      <c r="W284" s="306"/>
      <c r="X284" s="306"/>
      <c r="Y284" s="307"/>
      <c r="Z284" s="572" t="s">
        <v>7</v>
      </c>
      <c r="AA284" s="614"/>
    </row>
    <row r="285" spans="1:27" ht="30.75" customHeight="1" x14ac:dyDescent="0.2">
      <c r="A285" s="605" t="e">
        <f>A277</f>
        <v>#N/A</v>
      </c>
      <c r="B285" s="606"/>
      <c r="C285" s="606"/>
      <c r="D285" s="606"/>
      <c r="E285" s="607"/>
      <c r="F285" s="228"/>
      <c r="G285" s="229"/>
      <c r="H285" s="229"/>
      <c r="I285" s="229"/>
      <c r="J285" s="229"/>
      <c r="K285" s="230" t="s">
        <v>561</v>
      </c>
      <c r="L285" s="231"/>
      <c r="M285" s="228"/>
      <c r="N285" s="229"/>
      <c r="O285" s="229"/>
      <c r="P285" s="229"/>
      <c r="Q285" s="229"/>
      <c r="R285" s="230" t="s">
        <v>561</v>
      </c>
      <c r="S285" s="231"/>
      <c r="T285" s="228"/>
      <c r="U285" s="229"/>
      <c r="V285" s="229"/>
      <c r="W285" s="229"/>
      <c r="X285" s="229"/>
      <c r="Y285" s="230" t="s">
        <v>561</v>
      </c>
      <c r="Z285" s="231"/>
      <c r="AA285" s="611"/>
    </row>
    <row r="286" spans="1:27" ht="30.75" customHeight="1" x14ac:dyDescent="0.2">
      <c r="A286" s="605" t="e">
        <f>A278</f>
        <v>#N/A</v>
      </c>
      <c r="B286" s="606"/>
      <c r="C286" s="606"/>
      <c r="D286" s="606"/>
      <c r="E286" s="607"/>
      <c r="F286" s="228"/>
      <c r="G286" s="229"/>
      <c r="H286" s="229"/>
      <c r="I286" s="229"/>
      <c r="J286" s="229"/>
      <c r="K286" s="230" t="s">
        <v>561</v>
      </c>
      <c r="L286" s="231"/>
      <c r="M286" s="228"/>
      <c r="N286" s="229"/>
      <c r="O286" s="229"/>
      <c r="P286" s="229"/>
      <c r="Q286" s="229"/>
      <c r="R286" s="230" t="s">
        <v>561</v>
      </c>
      <c r="S286" s="231"/>
      <c r="T286" s="228"/>
      <c r="U286" s="229"/>
      <c r="V286" s="229"/>
      <c r="W286" s="229"/>
      <c r="X286" s="229"/>
      <c r="Y286" s="230" t="s">
        <v>561</v>
      </c>
      <c r="Z286" s="231"/>
      <c r="AA286" s="611"/>
    </row>
    <row r="287" spans="1:27" ht="30.75" customHeight="1" x14ac:dyDescent="0.2">
      <c r="A287" s="605" t="e">
        <f>A279</f>
        <v>#N/A</v>
      </c>
      <c r="B287" s="606"/>
      <c r="C287" s="606"/>
      <c r="D287" s="606"/>
      <c r="E287" s="607"/>
      <c r="F287" s="228"/>
      <c r="G287" s="229"/>
      <c r="H287" s="229"/>
      <c r="I287" s="229"/>
      <c r="J287" s="229"/>
      <c r="K287" s="230" t="s">
        <v>561</v>
      </c>
      <c r="L287" s="231"/>
      <c r="M287" s="228"/>
      <c r="N287" s="229"/>
      <c r="O287" s="229"/>
      <c r="P287" s="229"/>
      <c r="Q287" s="229"/>
      <c r="R287" s="230" t="s">
        <v>561</v>
      </c>
      <c r="S287" s="231"/>
      <c r="T287" s="228"/>
      <c r="U287" s="229"/>
      <c r="V287" s="229"/>
      <c r="W287" s="229"/>
      <c r="X287" s="229"/>
      <c r="Y287" s="230" t="s">
        <v>561</v>
      </c>
      <c r="Z287" s="231"/>
      <c r="AA287" s="611"/>
    </row>
    <row r="288" spans="1:27" ht="30.75" customHeight="1" thickBot="1" x14ac:dyDescent="0.25">
      <c r="A288" s="605" t="e">
        <f>A280</f>
        <v>#N/A</v>
      </c>
      <c r="B288" s="606"/>
      <c r="C288" s="606"/>
      <c r="D288" s="606"/>
      <c r="E288" s="607"/>
      <c r="F288" s="228"/>
      <c r="G288" s="229"/>
      <c r="H288" s="229"/>
      <c r="I288" s="229"/>
      <c r="J288" s="229"/>
      <c r="K288" s="230" t="s">
        <v>561</v>
      </c>
      <c r="L288" s="232"/>
      <c r="M288" s="228"/>
      <c r="N288" s="229"/>
      <c r="O288" s="229"/>
      <c r="P288" s="229"/>
      <c r="Q288" s="229"/>
      <c r="R288" s="230" t="s">
        <v>561</v>
      </c>
      <c r="S288" s="232"/>
      <c r="T288" s="228"/>
      <c r="U288" s="229"/>
      <c r="V288" s="229"/>
      <c r="W288" s="229"/>
      <c r="X288" s="229"/>
      <c r="Y288" s="230" t="s">
        <v>561</v>
      </c>
      <c r="Z288" s="232"/>
      <c r="AA288" s="611"/>
    </row>
    <row r="289" spans="1:27" ht="24" customHeight="1" thickBot="1" x14ac:dyDescent="0.25">
      <c r="F289" s="1177" t="s">
        <v>565</v>
      </c>
      <c r="G289" s="1178"/>
      <c r="H289" s="1178"/>
      <c r="I289" s="235"/>
      <c r="J289" s="235"/>
      <c r="K289" s="237" t="s">
        <v>561</v>
      </c>
      <c r="L289" s="239"/>
      <c r="M289" s="1177" t="s">
        <v>903</v>
      </c>
      <c r="N289" s="1178"/>
      <c r="O289" s="1178"/>
      <c r="P289" s="235"/>
      <c r="Q289" s="235"/>
      <c r="R289" s="237" t="s">
        <v>561</v>
      </c>
      <c r="S289" s="239"/>
      <c r="T289" s="1177" t="s">
        <v>904</v>
      </c>
      <c r="U289" s="1178"/>
      <c r="V289" s="1178"/>
      <c r="W289" s="235"/>
      <c r="X289" s="235"/>
      <c r="Y289" s="237" t="s">
        <v>561</v>
      </c>
      <c r="Z289" s="239"/>
      <c r="AA289" s="611"/>
    </row>
    <row r="290" spans="1:27" ht="8.25" customHeight="1" thickBot="1" x14ac:dyDescent="0.25">
      <c r="A290" s="592"/>
      <c r="B290" s="592"/>
      <c r="C290" s="592"/>
      <c r="D290" s="592"/>
      <c r="E290" s="592"/>
      <c r="F290" s="249"/>
      <c r="G290" s="249"/>
      <c r="H290" s="249"/>
      <c r="I290" s="249"/>
      <c r="J290" s="249"/>
      <c r="K290" s="230"/>
      <c r="L290" s="249"/>
      <c r="M290" s="230"/>
      <c r="N290" s="249"/>
      <c r="O290" s="230"/>
      <c r="P290" s="249"/>
      <c r="Q290" s="230"/>
      <c r="R290" s="249"/>
      <c r="S290" s="230"/>
      <c r="T290" s="249"/>
      <c r="U290" s="230"/>
      <c r="V290" s="249"/>
      <c r="W290" s="249"/>
      <c r="X290" s="249"/>
      <c r="Y290" s="230"/>
      <c r="AA290" s="611"/>
    </row>
    <row r="291" spans="1:27" ht="16.5" customHeight="1" thickBot="1" x14ac:dyDescent="0.25">
      <c r="A291" s="1200" t="s">
        <v>915</v>
      </c>
      <c r="B291" s="1200"/>
      <c r="C291" s="1200"/>
      <c r="D291" s="1200"/>
      <c r="E291" s="249"/>
      <c r="F291" s="1198" t="s">
        <v>909</v>
      </c>
      <c r="G291" s="1199"/>
      <c r="H291" s="1199"/>
      <c r="I291" s="1198" t="s">
        <v>910</v>
      </c>
      <c r="J291" s="1199"/>
      <c r="K291" s="1199"/>
      <c r="L291" s="1198" t="s">
        <v>911</v>
      </c>
      <c r="M291" s="1199"/>
      <c r="N291" s="1199"/>
      <c r="O291" s="1198" t="s">
        <v>912</v>
      </c>
      <c r="P291" s="1199"/>
      <c r="Q291" s="1199"/>
      <c r="R291" s="1198" t="s">
        <v>913</v>
      </c>
      <c r="S291" s="1199"/>
      <c r="T291" s="1199"/>
      <c r="U291" s="1198" t="s">
        <v>916</v>
      </c>
      <c r="V291" s="1199"/>
      <c r="W291" s="1199"/>
      <c r="X291" s="1194" t="s">
        <v>908</v>
      </c>
      <c r="Y291" s="1195"/>
      <c r="Z291" s="1196"/>
      <c r="AA291" s="616"/>
    </row>
    <row r="292" spans="1:27" ht="30.75" customHeight="1" x14ac:dyDescent="0.2">
      <c r="A292" s="1200"/>
      <c r="B292" s="1200"/>
      <c r="C292" s="1200"/>
      <c r="D292" s="1200"/>
      <c r="E292" s="249"/>
      <c r="F292" s="1197"/>
      <c r="G292" s="1197"/>
      <c r="H292" s="1197"/>
      <c r="I292" s="1197"/>
      <c r="J292" s="1197"/>
      <c r="K292" s="1197"/>
      <c r="L292" s="1197"/>
      <c r="M292" s="1197"/>
      <c r="N292" s="1197"/>
      <c r="O292" s="1197"/>
      <c r="P292" s="1197"/>
      <c r="Q292" s="1197"/>
      <c r="R292" s="1197"/>
      <c r="S292" s="1197"/>
      <c r="T292" s="1197"/>
      <c r="U292" s="1197"/>
      <c r="V292" s="1197"/>
      <c r="W292" s="1197"/>
      <c r="X292" s="1162"/>
      <c r="Y292" s="1163"/>
      <c r="Z292" s="1164"/>
      <c r="AA292" s="614"/>
    </row>
    <row r="293" spans="1:27" ht="30.75" customHeight="1" thickBot="1" x14ac:dyDescent="0.25">
      <c r="A293" s="1200"/>
      <c r="B293" s="1200"/>
      <c r="C293" s="1200"/>
      <c r="D293" s="1200"/>
      <c r="E293" s="249"/>
      <c r="F293" s="1201" t="s">
        <v>914</v>
      </c>
      <c r="G293" s="1201"/>
      <c r="H293" s="1201"/>
      <c r="I293" s="1197"/>
      <c r="J293" s="1197"/>
      <c r="K293" s="1197"/>
      <c r="L293" s="1197"/>
      <c r="M293" s="1197"/>
      <c r="N293" s="1197"/>
      <c r="O293" s="1197"/>
      <c r="P293" s="1197"/>
      <c r="Q293" s="1197"/>
      <c r="R293" s="1197"/>
      <c r="S293" s="1197"/>
      <c r="T293" s="1197"/>
      <c r="U293" s="1197"/>
      <c r="V293" s="1197"/>
      <c r="W293" s="1197"/>
      <c r="X293" s="1165"/>
      <c r="Y293" s="1166"/>
      <c r="Z293" s="1167"/>
      <c r="AA293" s="614"/>
    </row>
    <row r="294" spans="1:27" ht="19.5" customHeight="1" x14ac:dyDescent="0.2">
      <c r="A294" s="578" t="s">
        <v>851</v>
      </c>
      <c r="B294" s="566"/>
      <c r="C294" s="566"/>
      <c r="D294" s="566"/>
      <c r="E294" s="566"/>
      <c r="F294" s="566"/>
      <c r="G294" s="566"/>
      <c r="H294" s="566"/>
      <c r="I294" s="566"/>
      <c r="J294" s="566"/>
      <c r="K294" s="566"/>
      <c r="M294" s="241"/>
      <c r="O294" s="578" t="s">
        <v>522</v>
      </c>
      <c r="P294" s="566"/>
      <c r="Q294" s="566"/>
      <c r="R294" s="566"/>
      <c r="S294" s="566"/>
      <c r="T294" s="566"/>
      <c r="U294" s="566"/>
      <c r="V294" s="566"/>
      <c r="W294" s="520"/>
      <c r="AA294" s="611"/>
    </row>
    <row r="295" spans="1:27" x14ac:dyDescent="0.2">
      <c r="A295" s="577" t="s">
        <v>1</v>
      </c>
      <c r="B295" s="567"/>
      <c r="C295" s="567"/>
      <c r="D295" s="567"/>
      <c r="E295" s="567"/>
      <c r="F295" s="567"/>
      <c r="G295" s="568"/>
      <c r="H295" s="1086" t="s">
        <v>520</v>
      </c>
      <c r="I295" s="1087"/>
      <c r="J295" s="1087"/>
      <c r="K295" s="1088"/>
      <c r="M295" s="577" t="s">
        <v>1</v>
      </c>
      <c r="N295" s="567"/>
      <c r="O295" s="567"/>
      <c r="P295" s="567"/>
      <c r="Q295" s="567"/>
      <c r="R295" s="567"/>
      <c r="S295" s="585" t="s">
        <v>520</v>
      </c>
      <c r="T295" s="586"/>
      <c r="U295" s="586"/>
      <c r="V295" s="587"/>
      <c r="AA295" s="611"/>
    </row>
    <row r="296" spans="1:27" ht="69" customHeight="1" x14ac:dyDescent="0.2">
      <c r="A296" s="242"/>
      <c r="B296" s="243"/>
      <c r="C296" s="243"/>
      <c r="D296" s="243"/>
      <c r="E296" s="243"/>
      <c r="F296" s="243"/>
      <c r="G296" s="244"/>
      <c r="H296" s="242"/>
      <c r="I296" s="243"/>
      <c r="J296" s="243"/>
      <c r="K296" s="244"/>
      <c r="M296" s="242"/>
      <c r="N296" s="243"/>
      <c r="O296" s="243"/>
      <c r="P296" s="243"/>
      <c r="Q296" s="243"/>
      <c r="R296" s="243"/>
      <c r="S296" s="242"/>
      <c r="T296" s="243"/>
      <c r="U296" s="243"/>
      <c r="V296" s="244"/>
      <c r="AA296" s="611"/>
    </row>
    <row r="297" spans="1:27" x14ac:dyDescent="0.2">
      <c r="AA297" s="611"/>
    </row>
    <row r="298" spans="1:27" ht="6.75" customHeight="1" x14ac:dyDescent="0.2">
      <c r="AA298" s="611"/>
    </row>
    <row r="299" spans="1:27" s="218" customFormat="1" ht="23.25" customHeight="1" x14ac:dyDescent="0.2">
      <c r="A299" s="218" t="s">
        <v>628</v>
      </c>
      <c r="B299" s="1103">
        <f>B266+1</f>
        <v>10</v>
      </c>
      <c r="C299" s="1104"/>
      <c r="D299" s="569"/>
      <c r="E299" s="218" t="str">
        <f>Championnat</f>
        <v>Championnat de France de Tir à l'ARC</v>
      </c>
      <c r="P299" s="1192"/>
      <c r="Q299" s="1192"/>
      <c r="R299" s="1192"/>
      <c r="S299" s="1192"/>
      <c r="T299" s="1193" t="str">
        <f>CATEG_IMPORTEE</f>
        <v>Collèges Mixtes Etablissement</v>
      </c>
      <c r="U299" s="1193"/>
      <c r="V299" s="1193"/>
      <c r="W299" s="1193"/>
      <c r="X299" s="1193"/>
      <c r="Y299" s="1193"/>
      <c r="Z299" s="1193"/>
      <c r="AA299" s="609"/>
    </row>
    <row r="300" spans="1:27" ht="27" customHeight="1" thickBot="1" x14ac:dyDescent="0.25">
      <c r="A300" s="1069" t="s">
        <v>0</v>
      </c>
      <c r="B300" s="1069"/>
      <c r="C300" s="1069"/>
      <c r="D300" s="1069"/>
      <c r="E300" s="1069"/>
      <c r="F300" s="1069"/>
      <c r="G300" s="1069"/>
      <c r="H300" s="1069"/>
      <c r="I300" s="1125" t="s">
        <v>374</v>
      </c>
      <c r="J300" s="1125"/>
      <c r="K300" s="1125"/>
      <c r="L300" s="1125"/>
      <c r="M300" s="1125"/>
      <c r="N300" s="1069"/>
      <c r="O300" s="595"/>
      <c r="P300" s="1192"/>
      <c r="Q300" s="1192"/>
      <c r="R300" s="1192"/>
      <c r="S300" s="1192"/>
      <c r="T300" s="1184" t="str">
        <f>LIEU&amp;" du "&amp;DATE</f>
        <v>L’Isle sur la Sorgue du 27 au 31 mars 2023</v>
      </c>
      <c r="U300" s="1184"/>
      <c r="V300" s="1184"/>
      <c r="W300" s="1184"/>
      <c r="X300" s="1184"/>
      <c r="Y300" s="1184"/>
      <c r="Z300" s="1184"/>
      <c r="AA300" s="608"/>
    </row>
    <row r="301" spans="1:27" ht="24" customHeight="1" thickBot="1" x14ac:dyDescent="0.25">
      <c r="A301" s="1185" t="e">
        <f>VLOOKUP(H305,ID_archer_cible,2,FALSE)</f>
        <v>#N/A</v>
      </c>
      <c r="B301" s="1186"/>
      <c r="C301" s="1186"/>
      <c r="D301" s="1186"/>
      <c r="E301" s="1186"/>
      <c r="F301" s="1186"/>
      <c r="G301" s="1186"/>
      <c r="H301" s="1187"/>
      <c r="I301" s="1185" t="e">
        <f>VLOOKUP(H305,ID_archer_cible,4,FALSE)</f>
        <v>#N/A</v>
      </c>
      <c r="J301" s="1186"/>
      <c r="K301" s="1186"/>
      <c r="L301" s="1186"/>
      <c r="M301" s="1186"/>
      <c r="N301" s="1187"/>
      <c r="O301" s="596"/>
      <c r="P301" s="1192"/>
      <c r="Q301" s="1192"/>
      <c r="R301" s="1192"/>
      <c r="S301" s="1192"/>
      <c r="T301" s="520"/>
      <c r="U301" s="520"/>
      <c r="V301" s="520"/>
      <c r="W301" s="520"/>
      <c r="X301" s="520"/>
      <c r="Y301" s="520"/>
      <c r="Z301" s="520"/>
      <c r="AA301" s="520"/>
    </row>
    <row r="302" spans="1:27" ht="6" customHeight="1" x14ac:dyDescent="0.2">
      <c r="I302" s="1188" t="e">
        <f>"("&amp;VLOOKUP(H305,ID_archer_cible,3,FALSE)&amp;")"</f>
        <v>#N/A</v>
      </c>
      <c r="J302" s="1188"/>
      <c r="K302" s="1188"/>
      <c r="L302" s="1188"/>
      <c r="M302" s="1188"/>
      <c r="N302" s="1188"/>
      <c r="P302" s="1192"/>
      <c r="Q302" s="1192"/>
      <c r="R302" s="1192"/>
      <c r="S302" s="1192"/>
      <c r="AA302" s="611"/>
    </row>
    <row r="303" spans="1:27" ht="17.25" customHeight="1" x14ac:dyDescent="0.2">
      <c r="E303" s="584"/>
      <c r="F303" s="584"/>
      <c r="G303" s="584"/>
      <c r="H303" s="584"/>
      <c r="I303" s="1189"/>
      <c r="J303" s="1189"/>
      <c r="K303" s="1189"/>
      <c r="L303" s="1189"/>
      <c r="M303" s="1189"/>
      <c r="N303" s="1189"/>
      <c r="P303" s="1192"/>
      <c r="Q303" s="1192"/>
      <c r="R303" s="1192"/>
      <c r="S303" s="1192"/>
      <c r="AA303" s="611"/>
    </row>
    <row r="304" spans="1:27" ht="23.25" customHeight="1" x14ac:dyDescent="0.2">
      <c r="A304" s="593" t="s">
        <v>906</v>
      </c>
      <c r="B304" s="588"/>
      <c r="C304" s="588"/>
      <c r="D304" s="588"/>
      <c r="E304" s="588"/>
      <c r="F304" s="588"/>
      <c r="G304" s="588"/>
      <c r="H304" s="594" t="s">
        <v>552</v>
      </c>
      <c r="I304" s="573" t="s">
        <v>893</v>
      </c>
      <c r="J304" s="1075" t="s">
        <v>550</v>
      </c>
      <c r="K304" s="1075"/>
      <c r="L304" s="573" t="s">
        <v>905</v>
      </c>
      <c r="M304" s="252" t="s">
        <v>551</v>
      </c>
      <c r="S304" s="573" t="s">
        <v>905</v>
      </c>
      <c r="T304" s="573" t="s">
        <v>893</v>
      </c>
      <c r="U304" s="573" t="s">
        <v>893</v>
      </c>
      <c r="V304" s="1075" t="s">
        <v>550</v>
      </c>
      <c r="W304" s="1075"/>
      <c r="X304" s="252" t="s">
        <v>551</v>
      </c>
      <c r="Y304" s="571"/>
      <c r="Z304" s="571"/>
      <c r="AA304" s="612"/>
    </row>
    <row r="305" spans="1:27" ht="23.25" customHeight="1" x14ac:dyDescent="0.2">
      <c r="A305" s="580" t="e">
        <f>VLOOKUP(H305,ID_archer_cible,5,FALSE)&amp;"    "&amp;VLOOKUP(H305,ID_archer_cible,6,FALSE)</f>
        <v>#N/A</v>
      </c>
      <c r="B305" s="581"/>
      <c r="C305" s="582"/>
      <c r="D305" s="575"/>
      <c r="E305" s="223"/>
      <c r="F305" s="223"/>
      <c r="G305" s="223"/>
      <c r="H305" s="589" t="str">
        <f>B299&amp;"A"</f>
        <v>10A</v>
      </c>
      <c r="I305" s="574" t="e">
        <f>VLOOKUP(H305,ID_archer_cible,9,FALSE)</f>
        <v>#N/A</v>
      </c>
      <c r="J305" s="1075" t="e">
        <f>VLOOKUP(H305,ID_archer_cible,8,FALSE)</f>
        <v>#N/A</v>
      </c>
      <c r="K305" s="1075"/>
      <c r="L305" s="610" t="e">
        <f>VLOOKUP(H305,ID_archer_cible,7,FALSE)</f>
        <v>#N/A</v>
      </c>
      <c r="M305" s="589" t="e">
        <f>VLOOKUP(H305,ID_archer_cible,10,FALSE)</f>
        <v>#N/A</v>
      </c>
      <c r="N305" s="597" t="e">
        <f>VLOOKUP(T305,ID_archer_cible,5,FALSE)&amp;"    "&amp;VLOOKUP(T305,ID_archer_cible,6,FALSE)</f>
        <v>#N/A</v>
      </c>
      <c r="O305" s="581"/>
      <c r="P305" s="582"/>
      <c r="Q305" s="575"/>
      <c r="R305" s="223"/>
      <c r="S305" s="579" t="e">
        <f>VLOOKUP(T305,ID_archer_cible,7,FALSE)</f>
        <v>#N/A</v>
      </c>
      <c r="T305" s="589" t="str">
        <f>B299&amp;"C"</f>
        <v>10C</v>
      </c>
      <c r="U305" s="574" t="e">
        <f>VLOOKUP(T305,ID_archer_cible,9,FALSE)</f>
        <v>#N/A</v>
      </c>
      <c r="V305" s="1172" t="e">
        <f>VLOOKUP(T305,ID_archer_cible,8,FALSE)</f>
        <v>#N/A</v>
      </c>
      <c r="W305" s="1173"/>
      <c r="X305" s="574" t="e">
        <f>VLOOKUP(T305,ID_archer_cible,10,FALSE)</f>
        <v>#N/A</v>
      </c>
      <c r="AA305" s="611"/>
    </row>
    <row r="306" spans="1:27" ht="23.25" customHeight="1" x14ac:dyDescent="0.2">
      <c r="A306" s="580" t="e">
        <f>VLOOKUP(H306,ID_archer_cible,5,FALSE)&amp;"    "&amp;VLOOKUP(H306,ID_archer_cible,6,FALSE)</f>
        <v>#N/A</v>
      </c>
      <c r="B306" s="581"/>
      <c r="C306" s="582"/>
      <c r="D306" s="575"/>
      <c r="E306" s="223"/>
      <c r="F306" s="223"/>
      <c r="G306" s="223"/>
      <c r="H306" s="589" t="str">
        <f>B299&amp;"B"</f>
        <v>10B</v>
      </c>
      <c r="I306" s="574" t="e">
        <f>VLOOKUP(H306,ID_archer_cible,9,FALSE)</f>
        <v>#N/A</v>
      </c>
      <c r="J306" s="1075" t="e">
        <f>VLOOKUP(H306,ID_archer_cible,8,FALSE)</f>
        <v>#N/A</v>
      </c>
      <c r="K306" s="1075"/>
      <c r="L306" s="610" t="e">
        <f>VLOOKUP(H306,ID_archer_cible,7,FALSE)</f>
        <v>#N/A</v>
      </c>
      <c r="M306" s="589" t="e">
        <f>VLOOKUP(H306,ID_archer_cible,10,FALSE)</f>
        <v>#N/A</v>
      </c>
      <c r="N306" s="597" t="e">
        <f>VLOOKUP(T306,ID_archer_cible,5,FALSE)&amp;"    "&amp;VLOOKUP(T306,ID_archer_cible,6,FALSE)</f>
        <v>#N/A</v>
      </c>
      <c r="O306" s="581"/>
      <c r="P306" s="582"/>
      <c r="Q306" s="575"/>
      <c r="R306" s="223"/>
      <c r="S306" s="579" t="e">
        <f>VLOOKUP(T306,ID_archer_cible,7,FALSE)</f>
        <v>#N/A</v>
      </c>
      <c r="T306" s="589" t="str">
        <f>B299&amp;"D"</f>
        <v>10D</v>
      </c>
      <c r="U306" s="574" t="e">
        <f>VLOOKUP(T306,ID_archer_cible,9,FALSE)</f>
        <v>#N/A</v>
      </c>
      <c r="V306" s="1172" t="e">
        <f>VLOOKUP(T306,ID_archer_cible,8,FALSE)</f>
        <v>#N/A</v>
      </c>
      <c r="W306" s="1173"/>
      <c r="X306" s="574" t="e">
        <f>VLOOKUP(T306,ID_archer_cible,10,FALSE)</f>
        <v>#N/A</v>
      </c>
      <c r="AA306" s="611"/>
    </row>
    <row r="307" spans="1:27" ht="15" customHeight="1" thickBot="1" x14ac:dyDescent="0.25">
      <c r="AA307" s="611"/>
    </row>
    <row r="308" spans="1:27" ht="20.25" customHeight="1" thickBot="1" x14ac:dyDescent="0.25">
      <c r="F308" s="1174" t="s">
        <v>555</v>
      </c>
      <c r="G308" s="1175"/>
      <c r="H308" s="1175"/>
      <c r="I308" s="1175"/>
      <c r="J308" s="1175"/>
      <c r="K308" s="1175"/>
      <c r="L308" s="1176"/>
      <c r="M308" s="1174" t="s">
        <v>556</v>
      </c>
      <c r="N308" s="1175"/>
      <c r="O308" s="1175"/>
      <c r="P308" s="1175"/>
      <c r="Q308" s="1175"/>
      <c r="R308" s="1175"/>
      <c r="S308" s="1176"/>
      <c r="T308" s="1174" t="s">
        <v>557</v>
      </c>
      <c r="U308" s="1175"/>
      <c r="V308" s="1175"/>
      <c r="W308" s="1175"/>
      <c r="X308" s="1175"/>
      <c r="Y308" s="1175"/>
      <c r="Z308" s="1176"/>
      <c r="AA308" s="613"/>
    </row>
    <row r="309" spans="1:27" ht="30.75" customHeight="1" x14ac:dyDescent="0.2">
      <c r="A309" s="1171" t="s">
        <v>559</v>
      </c>
      <c r="B309" s="1171"/>
      <c r="C309" s="1171"/>
      <c r="D309" s="1171"/>
      <c r="E309" s="1181"/>
      <c r="F309" s="1179" t="s">
        <v>560</v>
      </c>
      <c r="G309" s="1180"/>
      <c r="H309" s="1180"/>
      <c r="I309" s="306"/>
      <c r="J309" s="306"/>
      <c r="K309" s="307"/>
      <c r="L309" s="572" t="s">
        <v>7</v>
      </c>
      <c r="M309" s="1179" t="s">
        <v>560</v>
      </c>
      <c r="N309" s="1180"/>
      <c r="O309" s="1180"/>
      <c r="P309" s="306"/>
      <c r="Q309" s="306"/>
      <c r="R309" s="307"/>
      <c r="S309" s="572" t="s">
        <v>7</v>
      </c>
      <c r="T309" s="1179" t="s">
        <v>560</v>
      </c>
      <c r="U309" s="1180"/>
      <c r="V309" s="1180"/>
      <c r="W309" s="306"/>
      <c r="X309" s="306"/>
      <c r="Y309" s="307"/>
      <c r="Z309" s="572" t="s">
        <v>7</v>
      </c>
      <c r="AA309" s="614"/>
    </row>
    <row r="310" spans="1:27" ht="30.75" customHeight="1" x14ac:dyDescent="0.2">
      <c r="A310" s="1168" t="e">
        <f>A305</f>
        <v>#N/A</v>
      </c>
      <c r="B310" s="1169"/>
      <c r="C310" s="1169"/>
      <c r="D310" s="1169"/>
      <c r="E310" s="1170"/>
      <c r="F310" s="228"/>
      <c r="G310" s="229"/>
      <c r="H310" s="229"/>
      <c r="I310" s="229"/>
      <c r="J310" s="229"/>
      <c r="K310" s="230" t="s">
        <v>561</v>
      </c>
      <c r="L310" s="231"/>
      <c r="M310" s="228"/>
      <c r="N310" s="229"/>
      <c r="O310" s="229"/>
      <c r="P310" s="229"/>
      <c r="Q310" s="229"/>
      <c r="R310" s="230" t="s">
        <v>561</v>
      </c>
      <c r="S310" s="231"/>
      <c r="T310" s="228"/>
      <c r="U310" s="229"/>
      <c r="V310" s="229"/>
      <c r="W310" s="229"/>
      <c r="X310" s="229"/>
      <c r="Y310" s="230" t="s">
        <v>561</v>
      </c>
      <c r="Z310" s="231"/>
      <c r="AA310" s="611"/>
    </row>
    <row r="311" spans="1:27" ht="30.75" customHeight="1" x14ac:dyDescent="0.2">
      <c r="A311" s="1168" t="e">
        <f>A306</f>
        <v>#N/A</v>
      </c>
      <c r="B311" s="1169"/>
      <c r="C311" s="1169"/>
      <c r="D311" s="1169"/>
      <c r="E311" s="1170"/>
      <c r="F311" s="228"/>
      <c r="G311" s="229"/>
      <c r="H311" s="229"/>
      <c r="I311" s="229"/>
      <c r="J311" s="229"/>
      <c r="K311" s="230" t="s">
        <v>561</v>
      </c>
      <c r="L311" s="231"/>
      <c r="M311" s="228"/>
      <c r="N311" s="229"/>
      <c r="O311" s="229"/>
      <c r="P311" s="229"/>
      <c r="Q311" s="229"/>
      <c r="R311" s="230" t="s">
        <v>561</v>
      </c>
      <c r="S311" s="231"/>
      <c r="T311" s="228"/>
      <c r="U311" s="229"/>
      <c r="V311" s="229"/>
      <c r="W311" s="229"/>
      <c r="X311" s="229"/>
      <c r="Y311" s="230" t="s">
        <v>561</v>
      </c>
      <c r="Z311" s="231"/>
      <c r="AA311" s="611"/>
    </row>
    <row r="312" spans="1:27" ht="30.75" customHeight="1" x14ac:dyDescent="0.2">
      <c r="A312" s="1168" t="e">
        <f>N305</f>
        <v>#N/A</v>
      </c>
      <c r="B312" s="1169"/>
      <c r="C312" s="1169"/>
      <c r="D312" s="1169"/>
      <c r="E312" s="1170"/>
      <c r="F312" s="228"/>
      <c r="G312" s="229"/>
      <c r="H312" s="229"/>
      <c r="I312" s="229"/>
      <c r="J312" s="229"/>
      <c r="K312" s="230" t="s">
        <v>561</v>
      </c>
      <c r="L312" s="231"/>
      <c r="M312" s="228"/>
      <c r="N312" s="229"/>
      <c r="O312" s="229"/>
      <c r="P312" s="229"/>
      <c r="Q312" s="229"/>
      <c r="R312" s="230" t="s">
        <v>561</v>
      </c>
      <c r="S312" s="231"/>
      <c r="T312" s="228"/>
      <c r="U312" s="229"/>
      <c r="V312" s="229"/>
      <c r="W312" s="229"/>
      <c r="X312" s="229"/>
      <c r="Y312" s="230" t="s">
        <v>561</v>
      </c>
      <c r="Z312" s="231"/>
      <c r="AA312" s="611"/>
    </row>
    <row r="313" spans="1:27" ht="30.75" customHeight="1" thickBot="1" x14ac:dyDescent="0.25">
      <c r="A313" s="1168" t="e">
        <f>N306</f>
        <v>#N/A</v>
      </c>
      <c r="B313" s="1169"/>
      <c r="C313" s="1169"/>
      <c r="D313" s="1169"/>
      <c r="E313" s="1170"/>
      <c r="F313" s="228"/>
      <c r="G313" s="229"/>
      <c r="H313" s="229"/>
      <c r="I313" s="229"/>
      <c r="J313" s="229"/>
      <c r="K313" s="230" t="s">
        <v>561</v>
      </c>
      <c r="L313" s="232"/>
      <c r="M313" s="228"/>
      <c r="N313" s="229"/>
      <c r="O313" s="229"/>
      <c r="P313" s="229"/>
      <c r="Q313" s="229"/>
      <c r="R313" s="230" t="s">
        <v>561</v>
      </c>
      <c r="S313" s="232"/>
      <c r="T313" s="228"/>
      <c r="U313" s="229"/>
      <c r="V313" s="229"/>
      <c r="W313" s="229"/>
      <c r="X313" s="229"/>
      <c r="Y313" s="230" t="s">
        <v>561</v>
      </c>
      <c r="Z313" s="232"/>
      <c r="AA313" s="611"/>
    </row>
    <row r="314" spans="1:27" ht="30.75" customHeight="1" thickBot="1" x14ac:dyDescent="0.25">
      <c r="F314" s="1177" t="s">
        <v>562</v>
      </c>
      <c r="G314" s="1178"/>
      <c r="H314" s="1178"/>
      <c r="I314" s="235"/>
      <c r="J314" s="235"/>
      <c r="K314" s="237" t="s">
        <v>561</v>
      </c>
      <c r="L314" s="239"/>
      <c r="M314" s="1177" t="s">
        <v>563</v>
      </c>
      <c r="N314" s="1178"/>
      <c r="O314" s="1178"/>
      <c r="P314" s="235"/>
      <c r="Q314" s="235"/>
      <c r="R314" s="237" t="s">
        <v>561</v>
      </c>
      <c r="S314" s="239"/>
      <c r="T314" s="1177" t="s">
        <v>564</v>
      </c>
      <c r="U314" s="1178"/>
      <c r="V314" s="1178"/>
      <c r="W314" s="235"/>
      <c r="X314" s="235"/>
      <c r="Y314" s="237" t="s">
        <v>561</v>
      </c>
      <c r="Z314" s="239"/>
      <c r="AA314" s="615"/>
    </row>
    <row r="315" spans="1:27" ht="9" customHeight="1" thickBot="1" x14ac:dyDescent="0.25">
      <c r="H315" s="249"/>
      <c r="I315" s="249"/>
      <c r="J315" s="249"/>
      <c r="K315" s="249"/>
      <c r="L315" s="249"/>
      <c r="M315" s="249"/>
      <c r="N315" s="249"/>
      <c r="O315" s="249"/>
      <c r="P315" s="249"/>
      <c r="Q315" s="249"/>
      <c r="R315" s="230"/>
      <c r="T315" s="249"/>
      <c r="U315" s="249"/>
      <c r="V315" s="249"/>
      <c r="W315" s="249"/>
      <c r="X315" s="249"/>
      <c r="Y315" s="230"/>
      <c r="AA315" s="611"/>
    </row>
    <row r="316" spans="1:27" ht="30.75" customHeight="1" thickBot="1" x14ac:dyDescent="0.25">
      <c r="F316" s="1174" t="s">
        <v>558</v>
      </c>
      <c r="G316" s="1175"/>
      <c r="H316" s="1175"/>
      <c r="I316" s="1175"/>
      <c r="J316" s="1175"/>
      <c r="K316" s="1175"/>
      <c r="L316" s="1176"/>
      <c r="M316" s="1174" t="s">
        <v>902</v>
      </c>
      <c r="N316" s="1175"/>
      <c r="O316" s="1175"/>
      <c r="P316" s="1175"/>
      <c r="Q316" s="1175"/>
      <c r="R316" s="1175"/>
      <c r="S316" s="1176"/>
      <c r="T316" s="1174" t="s">
        <v>907</v>
      </c>
      <c r="U316" s="1175"/>
      <c r="V316" s="1175"/>
      <c r="W316" s="1175"/>
      <c r="X316" s="1175"/>
      <c r="Y316" s="1175"/>
      <c r="Z316" s="1176"/>
      <c r="AA316" s="613"/>
    </row>
    <row r="317" spans="1:27" ht="30.75" customHeight="1" x14ac:dyDescent="0.2">
      <c r="A317" s="1171" t="str">
        <f>A309</f>
        <v>NOM - PRENOM</v>
      </c>
      <c r="B317" s="1171"/>
      <c r="C317" s="1171"/>
      <c r="D317" s="1171"/>
      <c r="E317" s="1181"/>
      <c r="F317" s="1179" t="s">
        <v>560</v>
      </c>
      <c r="G317" s="1180"/>
      <c r="H317" s="1180"/>
      <c r="I317" s="306"/>
      <c r="J317" s="306"/>
      <c r="K317" s="307"/>
      <c r="L317" s="572" t="s">
        <v>7</v>
      </c>
      <c r="M317" s="1179" t="s">
        <v>560</v>
      </c>
      <c r="N317" s="1180"/>
      <c r="O317" s="1180"/>
      <c r="P317" s="306"/>
      <c r="Q317" s="306"/>
      <c r="R317" s="307"/>
      <c r="S317" s="572" t="s">
        <v>7</v>
      </c>
      <c r="T317" s="1179" t="s">
        <v>560</v>
      </c>
      <c r="U317" s="1180"/>
      <c r="V317" s="1180"/>
      <c r="W317" s="306"/>
      <c r="X317" s="306"/>
      <c r="Y317" s="307"/>
      <c r="Z317" s="572" t="s">
        <v>7</v>
      </c>
      <c r="AA317" s="614"/>
    </row>
    <row r="318" spans="1:27" ht="30.75" customHeight="1" x14ac:dyDescent="0.2">
      <c r="A318" s="605" t="e">
        <f>A310</f>
        <v>#N/A</v>
      </c>
      <c r="B318" s="606"/>
      <c r="C318" s="606"/>
      <c r="D318" s="606"/>
      <c r="E318" s="607"/>
      <c r="F318" s="228"/>
      <c r="G318" s="229"/>
      <c r="H318" s="229"/>
      <c r="I318" s="229"/>
      <c r="J318" s="229"/>
      <c r="K318" s="230" t="s">
        <v>561</v>
      </c>
      <c r="L318" s="231"/>
      <c r="M318" s="228"/>
      <c r="N318" s="229"/>
      <c r="O318" s="229"/>
      <c r="P318" s="229"/>
      <c r="Q318" s="229"/>
      <c r="R318" s="230" t="s">
        <v>561</v>
      </c>
      <c r="S318" s="231"/>
      <c r="T318" s="228"/>
      <c r="U318" s="229"/>
      <c r="V318" s="229"/>
      <c r="W318" s="229"/>
      <c r="X318" s="229"/>
      <c r="Y318" s="230" t="s">
        <v>561</v>
      </c>
      <c r="Z318" s="231"/>
      <c r="AA318" s="611"/>
    </row>
    <row r="319" spans="1:27" ht="30.75" customHeight="1" x14ac:dyDescent="0.2">
      <c r="A319" s="605" t="e">
        <f>A311</f>
        <v>#N/A</v>
      </c>
      <c r="B319" s="606"/>
      <c r="C319" s="606"/>
      <c r="D319" s="606"/>
      <c r="E319" s="607"/>
      <c r="F319" s="228"/>
      <c r="G319" s="229"/>
      <c r="H319" s="229"/>
      <c r="I319" s="229"/>
      <c r="J319" s="229"/>
      <c r="K319" s="230" t="s">
        <v>561</v>
      </c>
      <c r="L319" s="231"/>
      <c r="M319" s="228"/>
      <c r="N319" s="229"/>
      <c r="O319" s="229"/>
      <c r="P319" s="229"/>
      <c r="Q319" s="229"/>
      <c r="R319" s="230" t="s">
        <v>561</v>
      </c>
      <c r="S319" s="231"/>
      <c r="T319" s="228"/>
      <c r="U319" s="229"/>
      <c r="V319" s="229"/>
      <c r="W319" s="229"/>
      <c r="X319" s="229"/>
      <c r="Y319" s="230" t="s">
        <v>561</v>
      </c>
      <c r="Z319" s="231"/>
      <c r="AA319" s="611"/>
    </row>
    <row r="320" spans="1:27" ht="30.75" customHeight="1" x14ac:dyDescent="0.2">
      <c r="A320" s="605" t="e">
        <f>A312</f>
        <v>#N/A</v>
      </c>
      <c r="B320" s="606"/>
      <c r="C320" s="606"/>
      <c r="D320" s="606"/>
      <c r="E320" s="607"/>
      <c r="F320" s="228"/>
      <c r="G320" s="229"/>
      <c r="H320" s="229"/>
      <c r="I320" s="229"/>
      <c r="J320" s="229"/>
      <c r="K320" s="230" t="s">
        <v>561</v>
      </c>
      <c r="L320" s="231"/>
      <c r="M320" s="228"/>
      <c r="N320" s="229"/>
      <c r="O320" s="229"/>
      <c r="P320" s="229"/>
      <c r="Q320" s="229"/>
      <c r="R320" s="230" t="s">
        <v>561</v>
      </c>
      <c r="S320" s="231"/>
      <c r="T320" s="228"/>
      <c r="U320" s="229"/>
      <c r="V320" s="229"/>
      <c r="W320" s="229"/>
      <c r="X320" s="229"/>
      <c r="Y320" s="230" t="s">
        <v>561</v>
      </c>
      <c r="Z320" s="231"/>
      <c r="AA320" s="611"/>
    </row>
    <row r="321" spans="1:27" ht="30.75" customHeight="1" thickBot="1" x14ac:dyDescent="0.25">
      <c r="A321" s="605" t="e">
        <f>A313</f>
        <v>#N/A</v>
      </c>
      <c r="B321" s="606"/>
      <c r="C321" s="606"/>
      <c r="D321" s="606"/>
      <c r="E321" s="607"/>
      <c r="F321" s="228"/>
      <c r="G321" s="229"/>
      <c r="H321" s="229"/>
      <c r="I321" s="229"/>
      <c r="J321" s="229"/>
      <c r="K321" s="230" t="s">
        <v>561</v>
      </c>
      <c r="L321" s="232"/>
      <c r="M321" s="228"/>
      <c r="N321" s="229"/>
      <c r="O321" s="229"/>
      <c r="P321" s="229"/>
      <c r="Q321" s="229"/>
      <c r="R321" s="230" t="s">
        <v>561</v>
      </c>
      <c r="S321" s="232"/>
      <c r="T321" s="228"/>
      <c r="U321" s="229"/>
      <c r="V321" s="229"/>
      <c r="W321" s="229"/>
      <c r="X321" s="229"/>
      <c r="Y321" s="230" t="s">
        <v>561</v>
      </c>
      <c r="Z321" s="232"/>
      <c r="AA321" s="611"/>
    </row>
    <row r="322" spans="1:27" ht="24" customHeight="1" thickBot="1" x14ac:dyDescent="0.25">
      <c r="F322" s="1177" t="s">
        <v>565</v>
      </c>
      <c r="G322" s="1178"/>
      <c r="H322" s="1178"/>
      <c r="I322" s="235"/>
      <c r="J322" s="235"/>
      <c r="K322" s="237" t="s">
        <v>561</v>
      </c>
      <c r="L322" s="239"/>
      <c r="M322" s="1177" t="s">
        <v>903</v>
      </c>
      <c r="N322" s="1178"/>
      <c r="O322" s="1178"/>
      <c r="P322" s="235"/>
      <c r="Q322" s="235"/>
      <c r="R322" s="237" t="s">
        <v>561</v>
      </c>
      <c r="S322" s="239"/>
      <c r="T322" s="1177" t="s">
        <v>904</v>
      </c>
      <c r="U322" s="1178"/>
      <c r="V322" s="1178"/>
      <c r="W322" s="235"/>
      <c r="X322" s="235"/>
      <c r="Y322" s="237" t="s">
        <v>561</v>
      </c>
      <c r="Z322" s="239"/>
      <c r="AA322" s="611"/>
    </row>
    <row r="323" spans="1:27" ht="8.25" customHeight="1" thickBot="1" x14ac:dyDescent="0.25">
      <c r="A323" s="592"/>
      <c r="B323" s="592"/>
      <c r="C323" s="592"/>
      <c r="D323" s="592"/>
      <c r="E323" s="592"/>
      <c r="F323" s="249"/>
      <c r="G323" s="249"/>
      <c r="H323" s="249"/>
      <c r="I323" s="249"/>
      <c r="J323" s="249"/>
      <c r="K323" s="230"/>
      <c r="L323" s="249"/>
      <c r="M323" s="230"/>
      <c r="N323" s="249"/>
      <c r="O323" s="230"/>
      <c r="P323" s="249"/>
      <c r="Q323" s="230"/>
      <c r="R323" s="249"/>
      <c r="S323" s="230"/>
      <c r="T323" s="249"/>
      <c r="U323" s="230"/>
      <c r="V323" s="249"/>
      <c r="W323" s="249"/>
      <c r="X323" s="249"/>
      <c r="Y323" s="230"/>
      <c r="AA323" s="611"/>
    </row>
    <row r="324" spans="1:27" ht="16.5" customHeight="1" thickBot="1" x14ac:dyDescent="0.25">
      <c r="A324" s="1200" t="s">
        <v>915</v>
      </c>
      <c r="B324" s="1200"/>
      <c r="C324" s="1200"/>
      <c r="D324" s="1200"/>
      <c r="E324" s="249"/>
      <c r="F324" s="1198" t="s">
        <v>909</v>
      </c>
      <c r="G324" s="1199"/>
      <c r="H324" s="1199"/>
      <c r="I324" s="1198" t="s">
        <v>910</v>
      </c>
      <c r="J324" s="1199"/>
      <c r="K324" s="1199"/>
      <c r="L324" s="1198" t="s">
        <v>911</v>
      </c>
      <c r="M324" s="1199"/>
      <c r="N324" s="1199"/>
      <c r="O324" s="1198" t="s">
        <v>912</v>
      </c>
      <c r="P324" s="1199"/>
      <c r="Q324" s="1199"/>
      <c r="R324" s="1198" t="s">
        <v>913</v>
      </c>
      <c r="S324" s="1199"/>
      <c r="T324" s="1199"/>
      <c r="U324" s="1198" t="s">
        <v>916</v>
      </c>
      <c r="V324" s="1199"/>
      <c r="W324" s="1199"/>
      <c r="X324" s="1194" t="s">
        <v>908</v>
      </c>
      <c r="Y324" s="1195"/>
      <c r="Z324" s="1196"/>
      <c r="AA324" s="616"/>
    </row>
    <row r="325" spans="1:27" ht="30.75" customHeight="1" x14ac:dyDescent="0.2">
      <c r="A325" s="1200"/>
      <c r="B325" s="1200"/>
      <c r="C325" s="1200"/>
      <c r="D325" s="1200"/>
      <c r="E325" s="249"/>
      <c r="F325" s="1197"/>
      <c r="G325" s="1197"/>
      <c r="H325" s="1197"/>
      <c r="I325" s="1197"/>
      <c r="J325" s="1197"/>
      <c r="K325" s="1197"/>
      <c r="L325" s="1197"/>
      <c r="M325" s="1197"/>
      <c r="N325" s="1197"/>
      <c r="O325" s="1197"/>
      <c r="P325" s="1197"/>
      <c r="Q325" s="1197"/>
      <c r="R325" s="1197"/>
      <c r="S325" s="1197"/>
      <c r="T325" s="1197"/>
      <c r="U325" s="1197"/>
      <c r="V325" s="1197"/>
      <c r="W325" s="1197"/>
      <c r="X325" s="1162"/>
      <c r="Y325" s="1163"/>
      <c r="Z325" s="1164"/>
      <c r="AA325" s="614"/>
    </row>
    <row r="326" spans="1:27" ht="30.75" customHeight="1" thickBot="1" x14ac:dyDescent="0.25">
      <c r="A326" s="1200"/>
      <c r="B326" s="1200"/>
      <c r="C326" s="1200"/>
      <c r="D326" s="1200"/>
      <c r="E326" s="249"/>
      <c r="F326" s="1201" t="s">
        <v>914</v>
      </c>
      <c r="G326" s="1201"/>
      <c r="H326" s="1201"/>
      <c r="I326" s="1197"/>
      <c r="J326" s="1197"/>
      <c r="K326" s="1197"/>
      <c r="L326" s="1197"/>
      <c r="M326" s="1197"/>
      <c r="N326" s="1197"/>
      <c r="O326" s="1197"/>
      <c r="P326" s="1197"/>
      <c r="Q326" s="1197"/>
      <c r="R326" s="1197"/>
      <c r="S326" s="1197"/>
      <c r="T326" s="1197"/>
      <c r="U326" s="1197"/>
      <c r="V326" s="1197"/>
      <c r="W326" s="1197"/>
      <c r="X326" s="1165"/>
      <c r="Y326" s="1166"/>
      <c r="Z326" s="1167"/>
      <c r="AA326" s="614"/>
    </row>
    <row r="327" spans="1:27" ht="19.5" customHeight="1" x14ac:dyDescent="0.2">
      <c r="A327" s="578" t="s">
        <v>851</v>
      </c>
      <c r="B327" s="566"/>
      <c r="C327" s="566"/>
      <c r="D327" s="566"/>
      <c r="E327" s="566"/>
      <c r="F327" s="566"/>
      <c r="G327" s="566"/>
      <c r="H327" s="566"/>
      <c r="I327" s="566"/>
      <c r="J327" s="566"/>
      <c r="K327" s="566"/>
      <c r="M327" s="241"/>
      <c r="O327" s="578" t="s">
        <v>522</v>
      </c>
      <c r="P327" s="566"/>
      <c r="Q327" s="566"/>
      <c r="R327" s="566"/>
      <c r="S327" s="566"/>
      <c r="T327" s="566"/>
      <c r="U327" s="566"/>
      <c r="V327" s="566"/>
      <c r="W327" s="520"/>
      <c r="AA327" s="611"/>
    </row>
    <row r="328" spans="1:27" x14ac:dyDescent="0.2">
      <c r="A328" s="577" t="s">
        <v>1</v>
      </c>
      <c r="B328" s="567"/>
      <c r="C328" s="567"/>
      <c r="D328" s="567"/>
      <c r="E328" s="567"/>
      <c r="F328" s="567"/>
      <c r="G328" s="568"/>
      <c r="H328" s="1086" t="s">
        <v>520</v>
      </c>
      <c r="I328" s="1087"/>
      <c r="J328" s="1087"/>
      <c r="K328" s="1088"/>
      <c r="M328" s="577" t="s">
        <v>1</v>
      </c>
      <c r="N328" s="567"/>
      <c r="O328" s="567"/>
      <c r="P328" s="567"/>
      <c r="Q328" s="567"/>
      <c r="R328" s="567"/>
      <c r="S328" s="585" t="s">
        <v>520</v>
      </c>
      <c r="T328" s="586"/>
      <c r="U328" s="586"/>
      <c r="V328" s="587"/>
      <c r="AA328" s="611"/>
    </row>
    <row r="329" spans="1:27" ht="69" customHeight="1" x14ac:dyDescent="0.2">
      <c r="A329" s="242"/>
      <c r="B329" s="243"/>
      <c r="C329" s="243"/>
      <c r="D329" s="243"/>
      <c r="E329" s="243"/>
      <c r="F329" s="243"/>
      <c r="G329" s="244"/>
      <c r="H329" s="242"/>
      <c r="I329" s="243"/>
      <c r="J329" s="243"/>
      <c r="K329" s="244"/>
      <c r="M329" s="242"/>
      <c r="N329" s="243"/>
      <c r="O329" s="243"/>
      <c r="P329" s="243"/>
      <c r="Q329" s="243"/>
      <c r="R329" s="243"/>
      <c r="S329" s="242"/>
      <c r="T329" s="243"/>
      <c r="U329" s="243"/>
      <c r="V329" s="244"/>
      <c r="AA329" s="611"/>
    </row>
    <row r="330" spans="1:27" x14ac:dyDescent="0.2">
      <c r="AA330" s="611"/>
    </row>
    <row r="331" spans="1:27" ht="6.75" customHeight="1" x14ac:dyDescent="0.2">
      <c r="AA331" s="611"/>
    </row>
    <row r="332" spans="1:27" s="218" customFormat="1" ht="23.25" customHeight="1" x14ac:dyDescent="0.2">
      <c r="A332" s="218" t="s">
        <v>628</v>
      </c>
      <c r="B332" s="1103">
        <f>B299+1</f>
        <v>11</v>
      </c>
      <c r="C332" s="1104"/>
      <c r="D332" s="569"/>
      <c r="E332" s="218" t="str">
        <f>Championnat</f>
        <v>Championnat de France de Tir à l'ARC</v>
      </c>
      <c r="P332" s="1192"/>
      <c r="Q332" s="1192"/>
      <c r="R332" s="1192"/>
      <c r="S332" s="1192"/>
      <c r="T332" s="1193" t="str">
        <f>CATEG_IMPORTEE</f>
        <v>Collèges Mixtes Etablissement</v>
      </c>
      <c r="U332" s="1193"/>
      <c r="V332" s="1193"/>
      <c r="W332" s="1193"/>
      <c r="X332" s="1193"/>
      <c r="Y332" s="1193"/>
      <c r="Z332" s="1193"/>
      <c r="AA332" s="609"/>
    </row>
    <row r="333" spans="1:27" ht="27" customHeight="1" thickBot="1" x14ac:dyDescent="0.25">
      <c r="A333" s="1069" t="s">
        <v>0</v>
      </c>
      <c r="B333" s="1069"/>
      <c r="C333" s="1069"/>
      <c r="D333" s="1069"/>
      <c r="E333" s="1069"/>
      <c r="F333" s="1069"/>
      <c r="G333" s="1069"/>
      <c r="H333" s="1069"/>
      <c r="I333" s="1125" t="s">
        <v>374</v>
      </c>
      <c r="J333" s="1125"/>
      <c r="K333" s="1125"/>
      <c r="L333" s="1125"/>
      <c r="M333" s="1125"/>
      <c r="N333" s="1069"/>
      <c r="O333" s="595"/>
      <c r="P333" s="1192"/>
      <c r="Q333" s="1192"/>
      <c r="R333" s="1192"/>
      <c r="S333" s="1192"/>
      <c r="T333" s="1184" t="str">
        <f>LIEU&amp;" du "&amp;DATE</f>
        <v>L’Isle sur la Sorgue du 27 au 31 mars 2023</v>
      </c>
      <c r="U333" s="1184"/>
      <c r="V333" s="1184"/>
      <c r="W333" s="1184"/>
      <c r="X333" s="1184"/>
      <c r="Y333" s="1184"/>
      <c r="Z333" s="1184"/>
      <c r="AA333" s="608"/>
    </row>
    <row r="334" spans="1:27" ht="24" customHeight="1" thickBot="1" x14ac:dyDescent="0.25">
      <c r="A334" s="1185" t="e">
        <f>VLOOKUP(H338,ID_archer_cible,2,FALSE)</f>
        <v>#N/A</v>
      </c>
      <c r="B334" s="1186"/>
      <c r="C334" s="1186"/>
      <c r="D334" s="1186"/>
      <c r="E334" s="1186"/>
      <c r="F334" s="1186"/>
      <c r="G334" s="1186"/>
      <c r="H334" s="1187"/>
      <c r="I334" s="1185" t="e">
        <f>VLOOKUP(H338,ID_archer_cible,4,FALSE)</f>
        <v>#N/A</v>
      </c>
      <c r="J334" s="1186"/>
      <c r="K334" s="1186"/>
      <c r="L334" s="1186"/>
      <c r="M334" s="1186"/>
      <c r="N334" s="1187"/>
      <c r="O334" s="596"/>
      <c r="P334" s="1192"/>
      <c r="Q334" s="1192"/>
      <c r="R334" s="1192"/>
      <c r="S334" s="1192"/>
      <c r="T334" s="520"/>
      <c r="U334" s="520"/>
      <c r="V334" s="520"/>
      <c r="W334" s="520"/>
      <c r="X334" s="520"/>
      <c r="Y334" s="520"/>
      <c r="Z334" s="520"/>
      <c r="AA334" s="520"/>
    </row>
    <row r="335" spans="1:27" ht="6" customHeight="1" x14ac:dyDescent="0.2">
      <c r="I335" s="1188" t="e">
        <f>"("&amp;VLOOKUP(H338,ID_archer_cible,3,FALSE)&amp;")"</f>
        <v>#N/A</v>
      </c>
      <c r="J335" s="1188"/>
      <c r="K335" s="1188"/>
      <c r="L335" s="1188"/>
      <c r="M335" s="1188"/>
      <c r="N335" s="1188"/>
      <c r="P335" s="1192"/>
      <c r="Q335" s="1192"/>
      <c r="R335" s="1192"/>
      <c r="S335" s="1192"/>
      <c r="AA335" s="611"/>
    </row>
    <row r="336" spans="1:27" ht="17.25" customHeight="1" x14ac:dyDescent="0.2">
      <c r="E336" s="584"/>
      <c r="F336" s="584"/>
      <c r="G336" s="584"/>
      <c r="H336" s="584"/>
      <c r="I336" s="1189"/>
      <c r="J336" s="1189"/>
      <c r="K336" s="1189"/>
      <c r="L336" s="1189"/>
      <c r="M336" s="1189"/>
      <c r="N336" s="1189"/>
      <c r="P336" s="1192"/>
      <c r="Q336" s="1192"/>
      <c r="R336" s="1192"/>
      <c r="S336" s="1192"/>
      <c r="AA336" s="611"/>
    </row>
    <row r="337" spans="1:27" ht="23.25" customHeight="1" x14ac:dyDescent="0.2">
      <c r="A337" s="593" t="s">
        <v>906</v>
      </c>
      <c r="B337" s="588"/>
      <c r="C337" s="588"/>
      <c r="D337" s="588"/>
      <c r="E337" s="588"/>
      <c r="F337" s="588"/>
      <c r="G337" s="588"/>
      <c r="H337" s="594" t="s">
        <v>552</v>
      </c>
      <c r="I337" s="573" t="s">
        <v>893</v>
      </c>
      <c r="J337" s="1075" t="s">
        <v>550</v>
      </c>
      <c r="K337" s="1075"/>
      <c r="L337" s="573" t="s">
        <v>905</v>
      </c>
      <c r="M337" s="252" t="s">
        <v>551</v>
      </c>
      <c r="S337" s="573" t="s">
        <v>905</v>
      </c>
      <c r="T337" s="573" t="s">
        <v>893</v>
      </c>
      <c r="U337" s="573" t="s">
        <v>893</v>
      </c>
      <c r="V337" s="1075" t="s">
        <v>550</v>
      </c>
      <c r="W337" s="1075"/>
      <c r="X337" s="252" t="s">
        <v>551</v>
      </c>
      <c r="Y337" s="571"/>
      <c r="Z337" s="571"/>
      <c r="AA337" s="612"/>
    </row>
    <row r="338" spans="1:27" ht="23.25" customHeight="1" x14ac:dyDescent="0.2">
      <c r="A338" s="580" t="e">
        <f>VLOOKUP(H338,ID_archer_cible,5,FALSE)&amp;"    "&amp;VLOOKUP(H338,ID_archer_cible,6,FALSE)</f>
        <v>#N/A</v>
      </c>
      <c r="B338" s="581"/>
      <c r="C338" s="582"/>
      <c r="D338" s="575"/>
      <c r="E338" s="223"/>
      <c r="F338" s="223"/>
      <c r="G338" s="223"/>
      <c r="H338" s="589" t="str">
        <f>B332&amp;"A"</f>
        <v>11A</v>
      </c>
      <c r="I338" s="574" t="e">
        <f>VLOOKUP(H338,ID_archer_cible,9,FALSE)</f>
        <v>#N/A</v>
      </c>
      <c r="J338" s="1075" t="e">
        <f>VLOOKUP(H338,ID_archer_cible,8,FALSE)</f>
        <v>#N/A</v>
      </c>
      <c r="K338" s="1075"/>
      <c r="L338" s="610" t="e">
        <f>VLOOKUP(H338,ID_archer_cible,7,FALSE)</f>
        <v>#N/A</v>
      </c>
      <c r="M338" s="589" t="e">
        <f>VLOOKUP(H338,ID_archer_cible,10,FALSE)</f>
        <v>#N/A</v>
      </c>
      <c r="N338" s="597" t="e">
        <f>VLOOKUP(T338,ID_archer_cible,5,FALSE)&amp;"    "&amp;VLOOKUP(T338,ID_archer_cible,6,FALSE)</f>
        <v>#N/A</v>
      </c>
      <c r="O338" s="581"/>
      <c r="P338" s="582"/>
      <c r="Q338" s="575"/>
      <c r="R338" s="223"/>
      <c r="S338" s="579" t="e">
        <f>VLOOKUP(T338,ID_archer_cible,7,FALSE)</f>
        <v>#N/A</v>
      </c>
      <c r="T338" s="589" t="str">
        <f>B332&amp;"C"</f>
        <v>11C</v>
      </c>
      <c r="U338" s="574" t="e">
        <f>VLOOKUP(T338,ID_archer_cible,9,FALSE)</f>
        <v>#N/A</v>
      </c>
      <c r="V338" s="1172" t="e">
        <f>VLOOKUP(T338,ID_archer_cible,8,FALSE)</f>
        <v>#N/A</v>
      </c>
      <c r="W338" s="1173"/>
      <c r="X338" s="574" t="e">
        <f>VLOOKUP(T338,ID_archer_cible,10,FALSE)</f>
        <v>#N/A</v>
      </c>
      <c r="AA338" s="611"/>
    </row>
    <row r="339" spans="1:27" ht="23.25" customHeight="1" x14ac:dyDescent="0.2">
      <c r="A339" s="580" t="e">
        <f>VLOOKUP(H339,ID_archer_cible,5,FALSE)&amp;"    "&amp;VLOOKUP(H339,ID_archer_cible,6,FALSE)</f>
        <v>#N/A</v>
      </c>
      <c r="B339" s="581"/>
      <c r="C339" s="582"/>
      <c r="D339" s="575"/>
      <c r="E339" s="223"/>
      <c r="F339" s="223"/>
      <c r="G339" s="223"/>
      <c r="H339" s="589" t="str">
        <f>B332&amp;"B"</f>
        <v>11B</v>
      </c>
      <c r="I339" s="574" t="e">
        <f>VLOOKUP(H339,ID_archer_cible,9,FALSE)</f>
        <v>#N/A</v>
      </c>
      <c r="J339" s="1075" t="e">
        <f>VLOOKUP(H339,ID_archer_cible,8,FALSE)</f>
        <v>#N/A</v>
      </c>
      <c r="K339" s="1075"/>
      <c r="L339" s="610" t="e">
        <f>VLOOKUP(H339,ID_archer_cible,7,FALSE)</f>
        <v>#N/A</v>
      </c>
      <c r="M339" s="589" t="e">
        <f>VLOOKUP(H339,ID_archer_cible,10,FALSE)</f>
        <v>#N/A</v>
      </c>
      <c r="N339" s="597" t="e">
        <f>VLOOKUP(T339,ID_archer_cible,5,FALSE)&amp;"    "&amp;VLOOKUP(T339,ID_archer_cible,6,FALSE)</f>
        <v>#N/A</v>
      </c>
      <c r="O339" s="581"/>
      <c r="P339" s="582"/>
      <c r="Q339" s="575"/>
      <c r="R339" s="223"/>
      <c r="S339" s="579" t="e">
        <f>VLOOKUP(T339,ID_archer_cible,7,FALSE)</f>
        <v>#N/A</v>
      </c>
      <c r="T339" s="589" t="str">
        <f>B332&amp;"D"</f>
        <v>11D</v>
      </c>
      <c r="U339" s="574" t="e">
        <f>VLOOKUP(T339,ID_archer_cible,9,FALSE)</f>
        <v>#N/A</v>
      </c>
      <c r="V339" s="1172" t="e">
        <f>VLOOKUP(T339,ID_archer_cible,8,FALSE)</f>
        <v>#N/A</v>
      </c>
      <c r="W339" s="1173"/>
      <c r="X339" s="574" t="e">
        <f>VLOOKUP(T339,ID_archer_cible,10,FALSE)</f>
        <v>#N/A</v>
      </c>
      <c r="AA339" s="611"/>
    </row>
    <row r="340" spans="1:27" ht="15" customHeight="1" thickBot="1" x14ac:dyDescent="0.25">
      <c r="AA340" s="611"/>
    </row>
    <row r="341" spans="1:27" ht="20.25" customHeight="1" thickBot="1" x14ac:dyDescent="0.25">
      <c r="F341" s="1174" t="s">
        <v>555</v>
      </c>
      <c r="G341" s="1175"/>
      <c r="H341" s="1175"/>
      <c r="I341" s="1175"/>
      <c r="J341" s="1175"/>
      <c r="K341" s="1175"/>
      <c r="L341" s="1176"/>
      <c r="M341" s="1174" t="s">
        <v>556</v>
      </c>
      <c r="N341" s="1175"/>
      <c r="O341" s="1175"/>
      <c r="P341" s="1175"/>
      <c r="Q341" s="1175"/>
      <c r="R341" s="1175"/>
      <c r="S341" s="1176"/>
      <c r="T341" s="1174" t="s">
        <v>557</v>
      </c>
      <c r="U341" s="1175"/>
      <c r="V341" s="1175"/>
      <c r="W341" s="1175"/>
      <c r="X341" s="1175"/>
      <c r="Y341" s="1175"/>
      <c r="Z341" s="1176"/>
      <c r="AA341" s="613"/>
    </row>
    <row r="342" spans="1:27" ht="30.75" customHeight="1" x14ac:dyDescent="0.2">
      <c r="A342" s="1171" t="s">
        <v>559</v>
      </c>
      <c r="B342" s="1171"/>
      <c r="C342" s="1171"/>
      <c r="D342" s="1171"/>
      <c r="E342" s="1181"/>
      <c r="F342" s="1179" t="s">
        <v>560</v>
      </c>
      <c r="G342" s="1180"/>
      <c r="H342" s="1180"/>
      <c r="I342" s="306"/>
      <c r="J342" s="306"/>
      <c r="K342" s="307"/>
      <c r="L342" s="572" t="s">
        <v>7</v>
      </c>
      <c r="M342" s="1179" t="s">
        <v>560</v>
      </c>
      <c r="N342" s="1180"/>
      <c r="O342" s="1180"/>
      <c r="P342" s="306"/>
      <c r="Q342" s="306"/>
      <c r="R342" s="307"/>
      <c r="S342" s="572" t="s">
        <v>7</v>
      </c>
      <c r="T342" s="1179" t="s">
        <v>560</v>
      </c>
      <c r="U342" s="1180"/>
      <c r="V342" s="1180"/>
      <c r="W342" s="306"/>
      <c r="X342" s="306"/>
      <c r="Y342" s="307"/>
      <c r="Z342" s="572" t="s">
        <v>7</v>
      </c>
      <c r="AA342" s="614"/>
    </row>
    <row r="343" spans="1:27" ht="30.75" customHeight="1" x14ac:dyDescent="0.2">
      <c r="A343" s="1168" t="e">
        <f>A338</f>
        <v>#N/A</v>
      </c>
      <c r="B343" s="1169"/>
      <c r="C343" s="1169"/>
      <c r="D343" s="1169"/>
      <c r="E343" s="1170"/>
      <c r="F343" s="228"/>
      <c r="G343" s="229"/>
      <c r="H343" s="229"/>
      <c r="I343" s="229"/>
      <c r="J343" s="229"/>
      <c r="K343" s="230" t="s">
        <v>561</v>
      </c>
      <c r="L343" s="231"/>
      <c r="M343" s="228"/>
      <c r="N343" s="229"/>
      <c r="O343" s="229"/>
      <c r="P343" s="229"/>
      <c r="Q343" s="229"/>
      <c r="R343" s="230" t="s">
        <v>561</v>
      </c>
      <c r="S343" s="231"/>
      <c r="T343" s="228"/>
      <c r="U343" s="229"/>
      <c r="V343" s="229"/>
      <c r="W343" s="229"/>
      <c r="X343" s="229"/>
      <c r="Y343" s="230" t="s">
        <v>561</v>
      </c>
      <c r="Z343" s="231"/>
      <c r="AA343" s="611"/>
    </row>
    <row r="344" spans="1:27" ht="30.75" customHeight="1" x14ac:dyDescent="0.2">
      <c r="A344" s="1168" t="e">
        <f>A339</f>
        <v>#N/A</v>
      </c>
      <c r="B344" s="1169"/>
      <c r="C344" s="1169"/>
      <c r="D344" s="1169"/>
      <c r="E344" s="1170"/>
      <c r="F344" s="228"/>
      <c r="G344" s="229"/>
      <c r="H344" s="229"/>
      <c r="I344" s="229"/>
      <c r="J344" s="229"/>
      <c r="K344" s="230" t="s">
        <v>561</v>
      </c>
      <c r="L344" s="231"/>
      <c r="M344" s="228"/>
      <c r="N344" s="229"/>
      <c r="O344" s="229"/>
      <c r="P344" s="229"/>
      <c r="Q344" s="229"/>
      <c r="R344" s="230" t="s">
        <v>561</v>
      </c>
      <c r="S344" s="231"/>
      <c r="T344" s="228"/>
      <c r="U344" s="229"/>
      <c r="V344" s="229"/>
      <c r="W344" s="229"/>
      <c r="X344" s="229"/>
      <c r="Y344" s="230" t="s">
        <v>561</v>
      </c>
      <c r="Z344" s="231"/>
      <c r="AA344" s="611"/>
    </row>
    <row r="345" spans="1:27" ht="30.75" customHeight="1" x14ac:dyDescent="0.2">
      <c r="A345" s="1168" t="e">
        <f>N338</f>
        <v>#N/A</v>
      </c>
      <c r="B345" s="1169"/>
      <c r="C345" s="1169"/>
      <c r="D345" s="1169"/>
      <c r="E345" s="1170"/>
      <c r="F345" s="228"/>
      <c r="G345" s="229"/>
      <c r="H345" s="229"/>
      <c r="I345" s="229"/>
      <c r="J345" s="229"/>
      <c r="K345" s="230" t="s">
        <v>561</v>
      </c>
      <c r="L345" s="231"/>
      <c r="M345" s="228"/>
      <c r="N345" s="229"/>
      <c r="O345" s="229"/>
      <c r="P345" s="229"/>
      <c r="Q345" s="229"/>
      <c r="R345" s="230" t="s">
        <v>561</v>
      </c>
      <c r="S345" s="231"/>
      <c r="T345" s="228"/>
      <c r="U345" s="229"/>
      <c r="V345" s="229"/>
      <c r="W345" s="229"/>
      <c r="X345" s="229"/>
      <c r="Y345" s="230" t="s">
        <v>561</v>
      </c>
      <c r="Z345" s="231"/>
      <c r="AA345" s="611"/>
    </row>
    <row r="346" spans="1:27" ht="30.75" customHeight="1" thickBot="1" x14ac:dyDescent="0.25">
      <c r="A346" s="1168" t="e">
        <f>N339</f>
        <v>#N/A</v>
      </c>
      <c r="B346" s="1169"/>
      <c r="C346" s="1169"/>
      <c r="D346" s="1169"/>
      <c r="E346" s="1170"/>
      <c r="F346" s="228"/>
      <c r="G346" s="229"/>
      <c r="H346" s="229"/>
      <c r="I346" s="229"/>
      <c r="J346" s="229"/>
      <c r="K346" s="230" t="s">
        <v>561</v>
      </c>
      <c r="L346" s="232"/>
      <c r="M346" s="228"/>
      <c r="N346" s="229"/>
      <c r="O346" s="229"/>
      <c r="P346" s="229"/>
      <c r="Q346" s="229"/>
      <c r="R346" s="230" t="s">
        <v>561</v>
      </c>
      <c r="S346" s="232"/>
      <c r="T346" s="228"/>
      <c r="U346" s="229"/>
      <c r="V346" s="229"/>
      <c r="W346" s="229"/>
      <c r="X346" s="229"/>
      <c r="Y346" s="230" t="s">
        <v>561</v>
      </c>
      <c r="Z346" s="232"/>
      <c r="AA346" s="611"/>
    </row>
    <row r="347" spans="1:27" ht="30.75" customHeight="1" thickBot="1" x14ac:dyDescent="0.25">
      <c r="F347" s="1177" t="s">
        <v>562</v>
      </c>
      <c r="G347" s="1178"/>
      <c r="H347" s="1178"/>
      <c r="I347" s="235"/>
      <c r="J347" s="235"/>
      <c r="K347" s="237" t="s">
        <v>561</v>
      </c>
      <c r="L347" s="239"/>
      <c r="M347" s="1177" t="s">
        <v>563</v>
      </c>
      <c r="N347" s="1178"/>
      <c r="O347" s="1178"/>
      <c r="P347" s="235"/>
      <c r="Q347" s="235"/>
      <c r="R347" s="237" t="s">
        <v>561</v>
      </c>
      <c r="S347" s="239"/>
      <c r="T347" s="1177" t="s">
        <v>564</v>
      </c>
      <c r="U347" s="1178"/>
      <c r="V347" s="1178"/>
      <c r="W347" s="235"/>
      <c r="X347" s="235"/>
      <c r="Y347" s="237" t="s">
        <v>561</v>
      </c>
      <c r="Z347" s="239"/>
      <c r="AA347" s="615"/>
    </row>
    <row r="348" spans="1:27" ht="9" customHeight="1" thickBot="1" x14ac:dyDescent="0.25">
      <c r="H348" s="249"/>
      <c r="I348" s="249"/>
      <c r="J348" s="249"/>
      <c r="K348" s="249"/>
      <c r="L348" s="249"/>
      <c r="M348" s="249"/>
      <c r="N348" s="249"/>
      <c r="O348" s="249"/>
      <c r="P348" s="249"/>
      <c r="Q348" s="249"/>
      <c r="R348" s="230"/>
      <c r="T348" s="249"/>
      <c r="U348" s="249"/>
      <c r="V348" s="249"/>
      <c r="W348" s="249"/>
      <c r="X348" s="249"/>
      <c r="Y348" s="230"/>
      <c r="AA348" s="611"/>
    </row>
    <row r="349" spans="1:27" ht="30.75" customHeight="1" thickBot="1" x14ac:dyDescent="0.25">
      <c r="F349" s="1174" t="s">
        <v>558</v>
      </c>
      <c r="G349" s="1175"/>
      <c r="H349" s="1175"/>
      <c r="I349" s="1175"/>
      <c r="J349" s="1175"/>
      <c r="K349" s="1175"/>
      <c r="L349" s="1176"/>
      <c r="M349" s="1174" t="s">
        <v>902</v>
      </c>
      <c r="N349" s="1175"/>
      <c r="O349" s="1175"/>
      <c r="P349" s="1175"/>
      <c r="Q349" s="1175"/>
      <c r="R349" s="1175"/>
      <c r="S349" s="1176"/>
      <c r="T349" s="1174" t="s">
        <v>907</v>
      </c>
      <c r="U349" s="1175"/>
      <c r="V349" s="1175"/>
      <c r="W349" s="1175"/>
      <c r="X349" s="1175"/>
      <c r="Y349" s="1175"/>
      <c r="Z349" s="1176"/>
      <c r="AA349" s="613"/>
    </row>
    <row r="350" spans="1:27" ht="30.75" customHeight="1" x14ac:dyDescent="0.2">
      <c r="A350" s="1171" t="str">
        <f>A342</f>
        <v>NOM - PRENOM</v>
      </c>
      <c r="B350" s="1171"/>
      <c r="C350" s="1171"/>
      <c r="D350" s="1171"/>
      <c r="E350" s="1181"/>
      <c r="F350" s="1179" t="s">
        <v>560</v>
      </c>
      <c r="G350" s="1180"/>
      <c r="H350" s="1180"/>
      <c r="I350" s="306"/>
      <c r="J350" s="306"/>
      <c r="K350" s="307"/>
      <c r="L350" s="572" t="s">
        <v>7</v>
      </c>
      <c r="M350" s="1179" t="s">
        <v>560</v>
      </c>
      <c r="N350" s="1180"/>
      <c r="O350" s="1180"/>
      <c r="P350" s="306"/>
      <c r="Q350" s="306"/>
      <c r="R350" s="307"/>
      <c r="S350" s="572" t="s">
        <v>7</v>
      </c>
      <c r="T350" s="1179" t="s">
        <v>560</v>
      </c>
      <c r="U350" s="1180"/>
      <c r="V350" s="1180"/>
      <c r="W350" s="306"/>
      <c r="X350" s="306"/>
      <c r="Y350" s="307"/>
      <c r="Z350" s="572" t="s">
        <v>7</v>
      </c>
      <c r="AA350" s="614"/>
    </row>
    <row r="351" spans="1:27" ht="30.75" customHeight="1" x14ac:dyDescent="0.2">
      <c r="A351" s="605" t="e">
        <f>A343</f>
        <v>#N/A</v>
      </c>
      <c r="B351" s="606"/>
      <c r="C351" s="606"/>
      <c r="D351" s="606"/>
      <c r="E351" s="607"/>
      <c r="F351" s="228"/>
      <c r="G351" s="229"/>
      <c r="H351" s="229"/>
      <c r="I351" s="229"/>
      <c r="J351" s="229"/>
      <c r="K351" s="230" t="s">
        <v>561</v>
      </c>
      <c r="L351" s="231"/>
      <c r="M351" s="228"/>
      <c r="N351" s="229"/>
      <c r="O351" s="229"/>
      <c r="P351" s="229"/>
      <c r="Q351" s="229"/>
      <c r="R351" s="230" t="s">
        <v>561</v>
      </c>
      <c r="S351" s="231"/>
      <c r="T351" s="228"/>
      <c r="U351" s="229"/>
      <c r="V351" s="229"/>
      <c r="W351" s="229"/>
      <c r="X351" s="229"/>
      <c r="Y351" s="230" t="s">
        <v>561</v>
      </c>
      <c r="Z351" s="231"/>
      <c r="AA351" s="611"/>
    </row>
    <row r="352" spans="1:27" ht="30.75" customHeight="1" x14ac:dyDescent="0.2">
      <c r="A352" s="605" t="e">
        <f>A344</f>
        <v>#N/A</v>
      </c>
      <c r="B352" s="606"/>
      <c r="C352" s="606"/>
      <c r="D352" s="606"/>
      <c r="E352" s="607"/>
      <c r="F352" s="228"/>
      <c r="G352" s="229"/>
      <c r="H352" s="229"/>
      <c r="I352" s="229"/>
      <c r="J352" s="229"/>
      <c r="K352" s="230" t="s">
        <v>561</v>
      </c>
      <c r="L352" s="231"/>
      <c r="M352" s="228"/>
      <c r="N352" s="229"/>
      <c r="O352" s="229"/>
      <c r="P352" s="229"/>
      <c r="Q352" s="229"/>
      <c r="R352" s="230" t="s">
        <v>561</v>
      </c>
      <c r="S352" s="231"/>
      <c r="T352" s="228"/>
      <c r="U352" s="229"/>
      <c r="V352" s="229"/>
      <c r="W352" s="229"/>
      <c r="X352" s="229"/>
      <c r="Y352" s="230" t="s">
        <v>561</v>
      </c>
      <c r="Z352" s="231"/>
      <c r="AA352" s="611"/>
    </row>
    <row r="353" spans="1:27" ht="30.75" customHeight="1" x14ac:dyDescent="0.2">
      <c r="A353" s="605" t="e">
        <f>A345</f>
        <v>#N/A</v>
      </c>
      <c r="B353" s="606"/>
      <c r="C353" s="606"/>
      <c r="D353" s="606"/>
      <c r="E353" s="607"/>
      <c r="F353" s="228"/>
      <c r="G353" s="229"/>
      <c r="H353" s="229"/>
      <c r="I353" s="229"/>
      <c r="J353" s="229"/>
      <c r="K353" s="230" t="s">
        <v>561</v>
      </c>
      <c r="L353" s="231"/>
      <c r="M353" s="228"/>
      <c r="N353" s="229"/>
      <c r="O353" s="229"/>
      <c r="P353" s="229"/>
      <c r="Q353" s="229"/>
      <c r="R353" s="230" t="s">
        <v>561</v>
      </c>
      <c r="S353" s="231"/>
      <c r="T353" s="228"/>
      <c r="U353" s="229"/>
      <c r="V353" s="229"/>
      <c r="W353" s="229"/>
      <c r="X353" s="229"/>
      <c r="Y353" s="230" t="s">
        <v>561</v>
      </c>
      <c r="Z353" s="231"/>
      <c r="AA353" s="611"/>
    </row>
    <row r="354" spans="1:27" ht="30.75" customHeight="1" thickBot="1" x14ac:dyDescent="0.25">
      <c r="A354" s="605" t="e">
        <f>A346</f>
        <v>#N/A</v>
      </c>
      <c r="B354" s="606"/>
      <c r="C354" s="606"/>
      <c r="D354" s="606"/>
      <c r="E354" s="607"/>
      <c r="F354" s="228"/>
      <c r="G354" s="229"/>
      <c r="H354" s="229"/>
      <c r="I354" s="229"/>
      <c r="J354" s="229"/>
      <c r="K354" s="230" t="s">
        <v>561</v>
      </c>
      <c r="L354" s="232"/>
      <c r="M354" s="228"/>
      <c r="N354" s="229"/>
      <c r="O354" s="229"/>
      <c r="P354" s="229"/>
      <c r="Q354" s="229"/>
      <c r="R354" s="230" t="s">
        <v>561</v>
      </c>
      <c r="S354" s="232"/>
      <c r="T354" s="228"/>
      <c r="U354" s="229"/>
      <c r="V354" s="229"/>
      <c r="W354" s="229"/>
      <c r="X354" s="229"/>
      <c r="Y354" s="230" t="s">
        <v>561</v>
      </c>
      <c r="Z354" s="232"/>
      <c r="AA354" s="611"/>
    </row>
    <row r="355" spans="1:27" ht="24" customHeight="1" thickBot="1" x14ac:dyDescent="0.25">
      <c r="F355" s="1177" t="s">
        <v>565</v>
      </c>
      <c r="G355" s="1178"/>
      <c r="H355" s="1178"/>
      <c r="I355" s="235"/>
      <c r="J355" s="235"/>
      <c r="K355" s="237" t="s">
        <v>561</v>
      </c>
      <c r="L355" s="239"/>
      <c r="M355" s="1177" t="s">
        <v>903</v>
      </c>
      <c r="N355" s="1178"/>
      <c r="O355" s="1178"/>
      <c r="P355" s="235"/>
      <c r="Q355" s="235"/>
      <c r="R355" s="237" t="s">
        <v>561</v>
      </c>
      <c r="S355" s="239"/>
      <c r="T355" s="1177" t="s">
        <v>904</v>
      </c>
      <c r="U355" s="1178"/>
      <c r="V355" s="1178"/>
      <c r="W355" s="235"/>
      <c r="X355" s="235"/>
      <c r="Y355" s="237" t="s">
        <v>561</v>
      </c>
      <c r="Z355" s="239"/>
      <c r="AA355" s="611"/>
    </row>
    <row r="356" spans="1:27" ht="8.25" customHeight="1" thickBot="1" x14ac:dyDescent="0.25">
      <c r="A356" s="592"/>
      <c r="B356" s="592"/>
      <c r="C356" s="592"/>
      <c r="D356" s="592"/>
      <c r="E356" s="592"/>
      <c r="F356" s="249"/>
      <c r="G356" s="249"/>
      <c r="H356" s="249"/>
      <c r="I356" s="249"/>
      <c r="J356" s="249"/>
      <c r="K356" s="230"/>
      <c r="L356" s="249"/>
      <c r="M356" s="230"/>
      <c r="N356" s="249"/>
      <c r="O356" s="230"/>
      <c r="P356" s="249"/>
      <c r="Q356" s="230"/>
      <c r="R356" s="249"/>
      <c r="S356" s="230"/>
      <c r="T356" s="249"/>
      <c r="U356" s="230"/>
      <c r="V356" s="249"/>
      <c r="W356" s="249"/>
      <c r="X356" s="249"/>
      <c r="Y356" s="230"/>
      <c r="AA356" s="611"/>
    </row>
    <row r="357" spans="1:27" ht="16.5" customHeight="1" thickBot="1" x14ac:dyDescent="0.25">
      <c r="A357" s="1200" t="s">
        <v>915</v>
      </c>
      <c r="B357" s="1200"/>
      <c r="C357" s="1200"/>
      <c r="D357" s="1200"/>
      <c r="E357" s="249"/>
      <c r="F357" s="1198" t="s">
        <v>909</v>
      </c>
      <c r="G357" s="1199"/>
      <c r="H357" s="1199"/>
      <c r="I357" s="1198" t="s">
        <v>910</v>
      </c>
      <c r="J357" s="1199"/>
      <c r="K357" s="1199"/>
      <c r="L357" s="1198" t="s">
        <v>911</v>
      </c>
      <c r="M357" s="1199"/>
      <c r="N357" s="1199"/>
      <c r="O357" s="1198" t="s">
        <v>912</v>
      </c>
      <c r="P357" s="1199"/>
      <c r="Q357" s="1199"/>
      <c r="R357" s="1198" t="s">
        <v>913</v>
      </c>
      <c r="S357" s="1199"/>
      <c r="T357" s="1199"/>
      <c r="U357" s="1198" t="s">
        <v>916</v>
      </c>
      <c r="V357" s="1199"/>
      <c r="W357" s="1199"/>
      <c r="X357" s="1194" t="s">
        <v>908</v>
      </c>
      <c r="Y357" s="1195"/>
      <c r="Z357" s="1196"/>
      <c r="AA357" s="616"/>
    </row>
    <row r="358" spans="1:27" ht="30.75" customHeight="1" x14ac:dyDescent="0.2">
      <c r="A358" s="1200"/>
      <c r="B358" s="1200"/>
      <c r="C358" s="1200"/>
      <c r="D358" s="1200"/>
      <c r="E358" s="249"/>
      <c r="F358" s="1197"/>
      <c r="G358" s="1197"/>
      <c r="H358" s="1197"/>
      <c r="I358" s="1197"/>
      <c r="J358" s="1197"/>
      <c r="K358" s="1197"/>
      <c r="L358" s="1197"/>
      <c r="M358" s="1197"/>
      <c r="N358" s="1197"/>
      <c r="O358" s="1197"/>
      <c r="P358" s="1197"/>
      <c r="Q358" s="1197"/>
      <c r="R358" s="1197"/>
      <c r="S358" s="1197"/>
      <c r="T358" s="1197"/>
      <c r="U358" s="1197"/>
      <c r="V358" s="1197"/>
      <c r="W358" s="1197"/>
      <c r="X358" s="1162"/>
      <c r="Y358" s="1163"/>
      <c r="Z358" s="1164"/>
      <c r="AA358" s="614"/>
    </row>
    <row r="359" spans="1:27" ht="30.75" customHeight="1" thickBot="1" x14ac:dyDescent="0.25">
      <c r="A359" s="1200"/>
      <c r="B359" s="1200"/>
      <c r="C359" s="1200"/>
      <c r="D359" s="1200"/>
      <c r="E359" s="249"/>
      <c r="F359" s="1201" t="s">
        <v>914</v>
      </c>
      <c r="G359" s="1201"/>
      <c r="H359" s="1201"/>
      <c r="I359" s="1197"/>
      <c r="J359" s="1197"/>
      <c r="K359" s="1197"/>
      <c r="L359" s="1197"/>
      <c r="M359" s="1197"/>
      <c r="N359" s="1197"/>
      <c r="O359" s="1197"/>
      <c r="P359" s="1197"/>
      <c r="Q359" s="1197"/>
      <c r="R359" s="1197"/>
      <c r="S359" s="1197"/>
      <c r="T359" s="1197"/>
      <c r="U359" s="1197"/>
      <c r="V359" s="1197"/>
      <c r="W359" s="1197"/>
      <c r="X359" s="1165"/>
      <c r="Y359" s="1166"/>
      <c r="Z359" s="1167"/>
      <c r="AA359" s="614"/>
    </row>
    <row r="360" spans="1:27" ht="19.5" customHeight="1" x14ac:dyDescent="0.2">
      <c r="A360" s="578" t="s">
        <v>851</v>
      </c>
      <c r="B360" s="566"/>
      <c r="C360" s="566"/>
      <c r="D360" s="566"/>
      <c r="E360" s="566"/>
      <c r="F360" s="566"/>
      <c r="G360" s="566"/>
      <c r="H360" s="566"/>
      <c r="I360" s="566"/>
      <c r="J360" s="566"/>
      <c r="K360" s="566"/>
      <c r="M360" s="241"/>
      <c r="O360" s="578" t="s">
        <v>522</v>
      </c>
      <c r="P360" s="566"/>
      <c r="Q360" s="566"/>
      <c r="R360" s="566"/>
      <c r="S360" s="566"/>
      <c r="T360" s="566"/>
      <c r="U360" s="566"/>
      <c r="V360" s="566"/>
      <c r="W360" s="520"/>
      <c r="AA360" s="611"/>
    </row>
    <row r="361" spans="1:27" x14ac:dyDescent="0.2">
      <c r="A361" s="577" t="s">
        <v>1</v>
      </c>
      <c r="B361" s="567"/>
      <c r="C361" s="567"/>
      <c r="D361" s="567"/>
      <c r="E361" s="567"/>
      <c r="F361" s="567"/>
      <c r="G361" s="568"/>
      <c r="H361" s="1086" t="s">
        <v>520</v>
      </c>
      <c r="I361" s="1087"/>
      <c r="J361" s="1087"/>
      <c r="K361" s="1088"/>
      <c r="M361" s="577" t="s">
        <v>1</v>
      </c>
      <c r="N361" s="567"/>
      <c r="O361" s="567"/>
      <c r="P361" s="567"/>
      <c r="Q361" s="567"/>
      <c r="R361" s="567"/>
      <c r="S361" s="585" t="s">
        <v>520</v>
      </c>
      <c r="T361" s="586"/>
      <c r="U361" s="586"/>
      <c r="V361" s="587"/>
      <c r="AA361" s="611"/>
    </row>
    <row r="362" spans="1:27" ht="69" customHeight="1" x14ac:dyDescent="0.2">
      <c r="A362" s="242"/>
      <c r="B362" s="243"/>
      <c r="C362" s="243"/>
      <c r="D362" s="243"/>
      <c r="E362" s="243"/>
      <c r="F362" s="243"/>
      <c r="G362" s="244"/>
      <c r="H362" s="242"/>
      <c r="I362" s="243"/>
      <c r="J362" s="243"/>
      <c r="K362" s="244"/>
      <c r="M362" s="242"/>
      <c r="N362" s="243"/>
      <c r="O362" s="243"/>
      <c r="P362" s="243"/>
      <c r="Q362" s="243"/>
      <c r="R362" s="243"/>
      <c r="S362" s="242"/>
      <c r="T362" s="243"/>
      <c r="U362" s="243"/>
      <c r="V362" s="244"/>
      <c r="AA362" s="611"/>
    </row>
    <row r="363" spans="1:27" x14ac:dyDescent="0.2">
      <c r="AA363" s="611"/>
    </row>
    <row r="364" spans="1:27" ht="6.75" customHeight="1" x14ac:dyDescent="0.2">
      <c r="AA364" s="611"/>
    </row>
    <row r="365" spans="1:27" s="218" customFormat="1" ht="23.25" customHeight="1" x14ac:dyDescent="0.2">
      <c r="A365" s="218" t="s">
        <v>628</v>
      </c>
      <c r="B365" s="1103">
        <f>B332+1</f>
        <v>12</v>
      </c>
      <c r="C365" s="1104"/>
      <c r="D365" s="569"/>
      <c r="E365" s="218" t="str">
        <f>Championnat</f>
        <v>Championnat de France de Tir à l'ARC</v>
      </c>
      <c r="P365" s="1192"/>
      <c r="Q365" s="1192"/>
      <c r="R365" s="1192"/>
      <c r="S365" s="1192"/>
      <c r="T365" s="1193" t="str">
        <f>CATEG_IMPORTEE</f>
        <v>Collèges Mixtes Etablissement</v>
      </c>
      <c r="U365" s="1193"/>
      <c r="V365" s="1193"/>
      <c r="W365" s="1193"/>
      <c r="X365" s="1193"/>
      <c r="Y365" s="1193"/>
      <c r="Z365" s="1193"/>
      <c r="AA365" s="609"/>
    </row>
    <row r="366" spans="1:27" ht="27" customHeight="1" thickBot="1" x14ac:dyDescent="0.25">
      <c r="A366" s="1069" t="s">
        <v>0</v>
      </c>
      <c r="B366" s="1069"/>
      <c r="C366" s="1069"/>
      <c r="D366" s="1069"/>
      <c r="E366" s="1069"/>
      <c r="F366" s="1069"/>
      <c r="G366" s="1069"/>
      <c r="H366" s="1069"/>
      <c r="I366" s="1125" t="s">
        <v>374</v>
      </c>
      <c r="J366" s="1125"/>
      <c r="K366" s="1125"/>
      <c r="L366" s="1125"/>
      <c r="M366" s="1125"/>
      <c r="N366" s="1069"/>
      <c r="O366" s="595"/>
      <c r="P366" s="1192"/>
      <c r="Q366" s="1192"/>
      <c r="R366" s="1192"/>
      <c r="S366" s="1192"/>
      <c r="T366" s="1184" t="str">
        <f>LIEU&amp;" du "&amp;DATE</f>
        <v>L’Isle sur la Sorgue du 27 au 31 mars 2023</v>
      </c>
      <c r="U366" s="1184"/>
      <c r="V366" s="1184"/>
      <c r="W366" s="1184"/>
      <c r="X366" s="1184"/>
      <c r="Y366" s="1184"/>
      <c r="Z366" s="1184"/>
      <c r="AA366" s="608"/>
    </row>
    <row r="367" spans="1:27" ht="24" customHeight="1" thickBot="1" x14ac:dyDescent="0.25">
      <c r="A367" s="1185" t="e">
        <f>VLOOKUP(H371,ID_archer_cible,2,FALSE)</f>
        <v>#N/A</v>
      </c>
      <c r="B367" s="1186"/>
      <c r="C367" s="1186"/>
      <c r="D367" s="1186"/>
      <c r="E367" s="1186"/>
      <c r="F367" s="1186"/>
      <c r="G367" s="1186"/>
      <c r="H367" s="1187"/>
      <c r="I367" s="1185" t="e">
        <f>VLOOKUP(H371,ID_archer_cible,4,FALSE)</f>
        <v>#N/A</v>
      </c>
      <c r="J367" s="1186"/>
      <c r="K367" s="1186"/>
      <c r="L367" s="1186"/>
      <c r="M367" s="1186"/>
      <c r="N367" s="1187"/>
      <c r="O367" s="596"/>
      <c r="P367" s="1192"/>
      <c r="Q367" s="1192"/>
      <c r="R367" s="1192"/>
      <c r="S367" s="1192"/>
      <c r="T367" s="520"/>
      <c r="U367" s="520"/>
      <c r="V367" s="520"/>
      <c r="W367" s="520"/>
      <c r="X367" s="520"/>
      <c r="Y367" s="520"/>
      <c r="Z367" s="520"/>
      <c r="AA367" s="520"/>
    </row>
    <row r="368" spans="1:27" ht="6" customHeight="1" x14ac:dyDescent="0.2">
      <c r="I368" s="1188" t="e">
        <f>"("&amp;VLOOKUP(H371,ID_archer_cible,3,FALSE)&amp;")"</f>
        <v>#N/A</v>
      </c>
      <c r="J368" s="1188"/>
      <c r="K368" s="1188"/>
      <c r="L368" s="1188"/>
      <c r="M368" s="1188"/>
      <c r="N368" s="1188"/>
      <c r="P368" s="1192"/>
      <c r="Q368" s="1192"/>
      <c r="R368" s="1192"/>
      <c r="S368" s="1192"/>
      <c r="AA368" s="611"/>
    </row>
    <row r="369" spans="1:27" ht="17.25" customHeight="1" x14ac:dyDescent="0.2">
      <c r="E369" s="584"/>
      <c r="F369" s="584"/>
      <c r="G369" s="584"/>
      <c r="H369" s="584"/>
      <c r="I369" s="1189"/>
      <c r="J369" s="1189"/>
      <c r="K369" s="1189"/>
      <c r="L369" s="1189"/>
      <c r="M369" s="1189"/>
      <c r="N369" s="1189"/>
      <c r="P369" s="1192"/>
      <c r="Q369" s="1192"/>
      <c r="R369" s="1192"/>
      <c r="S369" s="1192"/>
      <c r="AA369" s="611"/>
    </row>
    <row r="370" spans="1:27" ht="23.25" customHeight="1" x14ac:dyDescent="0.2">
      <c r="A370" s="593" t="s">
        <v>906</v>
      </c>
      <c r="B370" s="588"/>
      <c r="C370" s="588"/>
      <c r="D370" s="588"/>
      <c r="E370" s="588"/>
      <c r="F370" s="588"/>
      <c r="G370" s="588"/>
      <c r="H370" s="594" t="s">
        <v>552</v>
      </c>
      <c r="I370" s="573" t="s">
        <v>893</v>
      </c>
      <c r="J370" s="1075" t="s">
        <v>550</v>
      </c>
      <c r="K370" s="1075"/>
      <c r="L370" s="573" t="s">
        <v>905</v>
      </c>
      <c r="M370" s="252" t="s">
        <v>551</v>
      </c>
      <c r="S370" s="573" t="s">
        <v>905</v>
      </c>
      <c r="T370" s="573" t="s">
        <v>893</v>
      </c>
      <c r="U370" s="573" t="s">
        <v>893</v>
      </c>
      <c r="V370" s="1075" t="s">
        <v>550</v>
      </c>
      <c r="W370" s="1075"/>
      <c r="X370" s="252" t="s">
        <v>551</v>
      </c>
      <c r="Y370" s="571"/>
      <c r="Z370" s="571"/>
      <c r="AA370" s="612"/>
    </row>
    <row r="371" spans="1:27" ht="23.25" customHeight="1" x14ac:dyDescent="0.2">
      <c r="A371" s="580" t="e">
        <f>VLOOKUP(H371,ID_archer_cible,5,FALSE)&amp;"    "&amp;VLOOKUP(H371,ID_archer_cible,6,FALSE)</f>
        <v>#N/A</v>
      </c>
      <c r="B371" s="581"/>
      <c r="C371" s="582"/>
      <c r="D371" s="575"/>
      <c r="E371" s="223"/>
      <c r="F371" s="223"/>
      <c r="G371" s="223"/>
      <c r="H371" s="589" t="str">
        <f>B365&amp;"A"</f>
        <v>12A</v>
      </c>
      <c r="I371" s="574" t="e">
        <f>VLOOKUP(H371,ID_archer_cible,9,FALSE)</f>
        <v>#N/A</v>
      </c>
      <c r="J371" s="1075" t="e">
        <f>VLOOKUP(H371,ID_archer_cible,8,FALSE)</f>
        <v>#N/A</v>
      </c>
      <c r="K371" s="1075"/>
      <c r="L371" s="610" t="e">
        <f>VLOOKUP(H371,ID_archer_cible,7,FALSE)</f>
        <v>#N/A</v>
      </c>
      <c r="M371" s="589" t="e">
        <f>VLOOKUP(H371,ID_archer_cible,10,FALSE)</f>
        <v>#N/A</v>
      </c>
      <c r="N371" s="597" t="e">
        <f>VLOOKUP(T371,ID_archer_cible,5,FALSE)&amp;"    "&amp;VLOOKUP(T371,ID_archer_cible,6,FALSE)</f>
        <v>#N/A</v>
      </c>
      <c r="O371" s="581"/>
      <c r="P371" s="582"/>
      <c r="Q371" s="575"/>
      <c r="R371" s="223"/>
      <c r="S371" s="579" t="e">
        <f>VLOOKUP(T371,ID_archer_cible,7,FALSE)</f>
        <v>#N/A</v>
      </c>
      <c r="T371" s="589" t="str">
        <f>B365&amp;"C"</f>
        <v>12C</v>
      </c>
      <c r="U371" s="574" t="e">
        <f>VLOOKUP(T371,ID_archer_cible,9,FALSE)</f>
        <v>#N/A</v>
      </c>
      <c r="V371" s="1172" t="e">
        <f>VLOOKUP(T371,ID_archer_cible,8,FALSE)</f>
        <v>#N/A</v>
      </c>
      <c r="W371" s="1173"/>
      <c r="X371" s="574" t="e">
        <f>VLOOKUP(T371,ID_archer_cible,10,FALSE)</f>
        <v>#N/A</v>
      </c>
      <c r="AA371" s="611"/>
    </row>
    <row r="372" spans="1:27" ht="23.25" customHeight="1" x14ac:dyDescent="0.2">
      <c r="A372" s="580" t="e">
        <f>VLOOKUP(H372,ID_archer_cible,5,FALSE)&amp;"    "&amp;VLOOKUP(H372,ID_archer_cible,6,FALSE)</f>
        <v>#N/A</v>
      </c>
      <c r="B372" s="581"/>
      <c r="C372" s="582"/>
      <c r="D372" s="575"/>
      <c r="E372" s="223"/>
      <c r="F372" s="223"/>
      <c r="G372" s="223"/>
      <c r="H372" s="589" t="str">
        <f>B365&amp;"B"</f>
        <v>12B</v>
      </c>
      <c r="I372" s="574" t="e">
        <f>VLOOKUP(H372,ID_archer_cible,9,FALSE)</f>
        <v>#N/A</v>
      </c>
      <c r="J372" s="1075" t="e">
        <f>VLOOKUP(H372,ID_archer_cible,8,FALSE)</f>
        <v>#N/A</v>
      </c>
      <c r="K372" s="1075"/>
      <c r="L372" s="610" t="e">
        <f>VLOOKUP(H372,ID_archer_cible,7,FALSE)</f>
        <v>#N/A</v>
      </c>
      <c r="M372" s="589" t="e">
        <f>VLOOKUP(H372,ID_archer_cible,10,FALSE)</f>
        <v>#N/A</v>
      </c>
      <c r="N372" s="597" t="e">
        <f>VLOOKUP(T372,ID_archer_cible,5,FALSE)&amp;"    "&amp;VLOOKUP(T372,ID_archer_cible,6,FALSE)</f>
        <v>#N/A</v>
      </c>
      <c r="O372" s="581"/>
      <c r="P372" s="582"/>
      <c r="Q372" s="575"/>
      <c r="R372" s="223"/>
      <c r="S372" s="579" t="e">
        <f>VLOOKUP(T372,ID_archer_cible,7,FALSE)</f>
        <v>#N/A</v>
      </c>
      <c r="T372" s="589" t="str">
        <f>B365&amp;"D"</f>
        <v>12D</v>
      </c>
      <c r="U372" s="574" t="e">
        <f>VLOOKUP(T372,ID_archer_cible,9,FALSE)</f>
        <v>#N/A</v>
      </c>
      <c r="V372" s="1172" t="e">
        <f>VLOOKUP(T372,ID_archer_cible,8,FALSE)</f>
        <v>#N/A</v>
      </c>
      <c r="W372" s="1173"/>
      <c r="X372" s="574" t="e">
        <f>VLOOKUP(T372,ID_archer_cible,10,FALSE)</f>
        <v>#N/A</v>
      </c>
      <c r="AA372" s="611"/>
    </row>
    <row r="373" spans="1:27" ht="15" customHeight="1" thickBot="1" x14ac:dyDescent="0.25">
      <c r="AA373" s="611"/>
    </row>
    <row r="374" spans="1:27" ht="20.25" customHeight="1" thickBot="1" x14ac:dyDescent="0.25">
      <c r="F374" s="1174" t="s">
        <v>555</v>
      </c>
      <c r="G374" s="1175"/>
      <c r="H374" s="1175"/>
      <c r="I374" s="1175"/>
      <c r="J374" s="1175"/>
      <c r="K374" s="1175"/>
      <c r="L374" s="1176"/>
      <c r="M374" s="1174" t="s">
        <v>556</v>
      </c>
      <c r="N374" s="1175"/>
      <c r="O374" s="1175"/>
      <c r="P374" s="1175"/>
      <c r="Q374" s="1175"/>
      <c r="R374" s="1175"/>
      <c r="S374" s="1176"/>
      <c r="T374" s="1174" t="s">
        <v>557</v>
      </c>
      <c r="U374" s="1175"/>
      <c r="V374" s="1175"/>
      <c r="W374" s="1175"/>
      <c r="X374" s="1175"/>
      <c r="Y374" s="1175"/>
      <c r="Z374" s="1176"/>
      <c r="AA374" s="613"/>
    </row>
    <row r="375" spans="1:27" ht="30.75" customHeight="1" x14ac:dyDescent="0.2">
      <c r="A375" s="1171" t="s">
        <v>559</v>
      </c>
      <c r="B375" s="1171"/>
      <c r="C375" s="1171"/>
      <c r="D375" s="1171"/>
      <c r="E375" s="1181"/>
      <c r="F375" s="1179" t="s">
        <v>560</v>
      </c>
      <c r="G375" s="1180"/>
      <c r="H375" s="1180"/>
      <c r="I375" s="306"/>
      <c r="J375" s="306"/>
      <c r="K375" s="307"/>
      <c r="L375" s="572" t="s">
        <v>7</v>
      </c>
      <c r="M375" s="1179" t="s">
        <v>560</v>
      </c>
      <c r="N375" s="1180"/>
      <c r="O375" s="1180"/>
      <c r="P375" s="306"/>
      <c r="Q375" s="306"/>
      <c r="R375" s="307"/>
      <c r="S375" s="572" t="s">
        <v>7</v>
      </c>
      <c r="T375" s="1179" t="s">
        <v>560</v>
      </c>
      <c r="U375" s="1180"/>
      <c r="V375" s="1180"/>
      <c r="W375" s="306"/>
      <c r="X375" s="306"/>
      <c r="Y375" s="307"/>
      <c r="Z375" s="572" t="s">
        <v>7</v>
      </c>
      <c r="AA375" s="614"/>
    </row>
    <row r="376" spans="1:27" ht="30.75" customHeight="1" x14ac:dyDescent="0.2">
      <c r="A376" s="1168" t="e">
        <f>A371</f>
        <v>#N/A</v>
      </c>
      <c r="B376" s="1169"/>
      <c r="C376" s="1169"/>
      <c r="D376" s="1169"/>
      <c r="E376" s="1170"/>
      <c r="F376" s="228"/>
      <c r="G376" s="229"/>
      <c r="H376" s="229"/>
      <c r="I376" s="229"/>
      <c r="J376" s="229"/>
      <c r="K376" s="230" t="s">
        <v>561</v>
      </c>
      <c r="L376" s="231"/>
      <c r="M376" s="228"/>
      <c r="N376" s="229"/>
      <c r="O376" s="229"/>
      <c r="P376" s="229"/>
      <c r="Q376" s="229"/>
      <c r="R376" s="230" t="s">
        <v>561</v>
      </c>
      <c r="S376" s="231"/>
      <c r="T376" s="228"/>
      <c r="U376" s="229"/>
      <c r="V376" s="229"/>
      <c r="W376" s="229"/>
      <c r="X376" s="229"/>
      <c r="Y376" s="230" t="s">
        <v>561</v>
      </c>
      <c r="Z376" s="231"/>
      <c r="AA376" s="611"/>
    </row>
    <row r="377" spans="1:27" ht="30.75" customHeight="1" x14ac:dyDescent="0.2">
      <c r="A377" s="1168" t="e">
        <f>A372</f>
        <v>#N/A</v>
      </c>
      <c r="B377" s="1169"/>
      <c r="C377" s="1169"/>
      <c r="D377" s="1169"/>
      <c r="E377" s="1170"/>
      <c r="F377" s="228"/>
      <c r="G377" s="229"/>
      <c r="H377" s="229"/>
      <c r="I377" s="229"/>
      <c r="J377" s="229"/>
      <c r="K377" s="230" t="s">
        <v>561</v>
      </c>
      <c r="L377" s="231"/>
      <c r="M377" s="228"/>
      <c r="N377" s="229"/>
      <c r="O377" s="229"/>
      <c r="P377" s="229"/>
      <c r="Q377" s="229"/>
      <c r="R377" s="230" t="s">
        <v>561</v>
      </c>
      <c r="S377" s="231"/>
      <c r="T377" s="228"/>
      <c r="U377" s="229"/>
      <c r="V377" s="229"/>
      <c r="W377" s="229"/>
      <c r="X377" s="229"/>
      <c r="Y377" s="230" t="s">
        <v>561</v>
      </c>
      <c r="Z377" s="231"/>
      <c r="AA377" s="611"/>
    </row>
    <row r="378" spans="1:27" ht="30.75" customHeight="1" x14ac:dyDescent="0.2">
      <c r="A378" s="1168" t="e">
        <f>N371</f>
        <v>#N/A</v>
      </c>
      <c r="B378" s="1169"/>
      <c r="C378" s="1169"/>
      <c r="D378" s="1169"/>
      <c r="E378" s="1170"/>
      <c r="F378" s="228"/>
      <c r="G378" s="229"/>
      <c r="H378" s="229"/>
      <c r="I378" s="229"/>
      <c r="J378" s="229"/>
      <c r="K378" s="230" t="s">
        <v>561</v>
      </c>
      <c r="L378" s="231"/>
      <c r="M378" s="228"/>
      <c r="N378" s="229"/>
      <c r="O378" s="229"/>
      <c r="P378" s="229"/>
      <c r="Q378" s="229"/>
      <c r="R378" s="230" t="s">
        <v>561</v>
      </c>
      <c r="S378" s="231"/>
      <c r="T378" s="228"/>
      <c r="U378" s="229"/>
      <c r="V378" s="229"/>
      <c r="W378" s="229"/>
      <c r="X378" s="229"/>
      <c r="Y378" s="230" t="s">
        <v>561</v>
      </c>
      <c r="Z378" s="231"/>
      <c r="AA378" s="611"/>
    </row>
    <row r="379" spans="1:27" ht="30.75" customHeight="1" thickBot="1" x14ac:dyDescent="0.25">
      <c r="A379" s="1168" t="e">
        <f>N372</f>
        <v>#N/A</v>
      </c>
      <c r="B379" s="1169"/>
      <c r="C379" s="1169"/>
      <c r="D379" s="1169"/>
      <c r="E379" s="1170"/>
      <c r="F379" s="228"/>
      <c r="G379" s="229"/>
      <c r="H379" s="229"/>
      <c r="I379" s="229"/>
      <c r="J379" s="229"/>
      <c r="K379" s="230" t="s">
        <v>561</v>
      </c>
      <c r="L379" s="232"/>
      <c r="M379" s="228"/>
      <c r="N379" s="229"/>
      <c r="O379" s="229"/>
      <c r="P379" s="229"/>
      <c r="Q379" s="229"/>
      <c r="R379" s="230" t="s">
        <v>561</v>
      </c>
      <c r="S379" s="232"/>
      <c r="T379" s="228"/>
      <c r="U379" s="229"/>
      <c r="V379" s="229"/>
      <c r="W379" s="229"/>
      <c r="X379" s="229"/>
      <c r="Y379" s="230" t="s">
        <v>561</v>
      </c>
      <c r="Z379" s="232"/>
      <c r="AA379" s="611"/>
    </row>
    <row r="380" spans="1:27" ht="30.75" customHeight="1" thickBot="1" x14ac:dyDescent="0.25">
      <c r="F380" s="1177" t="s">
        <v>562</v>
      </c>
      <c r="G380" s="1178"/>
      <c r="H380" s="1178"/>
      <c r="I380" s="235"/>
      <c r="J380" s="235"/>
      <c r="K380" s="237" t="s">
        <v>561</v>
      </c>
      <c r="L380" s="239"/>
      <c r="M380" s="1177" t="s">
        <v>563</v>
      </c>
      <c r="N380" s="1178"/>
      <c r="O380" s="1178"/>
      <c r="P380" s="235"/>
      <c r="Q380" s="235"/>
      <c r="R380" s="237" t="s">
        <v>561</v>
      </c>
      <c r="S380" s="239"/>
      <c r="T380" s="1177" t="s">
        <v>564</v>
      </c>
      <c r="U380" s="1178"/>
      <c r="V380" s="1178"/>
      <c r="W380" s="235"/>
      <c r="X380" s="235"/>
      <c r="Y380" s="237" t="s">
        <v>561</v>
      </c>
      <c r="Z380" s="239"/>
      <c r="AA380" s="615"/>
    </row>
    <row r="381" spans="1:27" ht="9" customHeight="1" thickBot="1" x14ac:dyDescent="0.25">
      <c r="H381" s="249"/>
      <c r="I381" s="249"/>
      <c r="J381" s="249"/>
      <c r="K381" s="249"/>
      <c r="L381" s="249"/>
      <c r="M381" s="249"/>
      <c r="N381" s="249"/>
      <c r="O381" s="249"/>
      <c r="P381" s="249"/>
      <c r="Q381" s="249"/>
      <c r="R381" s="230"/>
      <c r="T381" s="249"/>
      <c r="U381" s="249"/>
      <c r="V381" s="249"/>
      <c r="W381" s="249"/>
      <c r="X381" s="249"/>
      <c r="Y381" s="230"/>
      <c r="AA381" s="611"/>
    </row>
    <row r="382" spans="1:27" ht="30.75" customHeight="1" thickBot="1" x14ac:dyDescent="0.25">
      <c r="F382" s="1174" t="s">
        <v>558</v>
      </c>
      <c r="G382" s="1175"/>
      <c r="H382" s="1175"/>
      <c r="I382" s="1175"/>
      <c r="J382" s="1175"/>
      <c r="K382" s="1175"/>
      <c r="L382" s="1176"/>
      <c r="M382" s="1174" t="s">
        <v>902</v>
      </c>
      <c r="N382" s="1175"/>
      <c r="O382" s="1175"/>
      <c r="P382" s="1175"/>
      <c r="Q382" s="1175"/>
      <c r="R382" s="1175"/>
      <c r="S382" s="1176"/>
      <c r="T382" s="1174" t="s">
        <v>907</v>
      </c>
      <c r="U382" s="1175"/>
      <c r="V382" s="1175"/>
      <c r="W382" s="1175"/>
      <c r="X382" s="1175"/>
      <c r="Y382" s="1175"/>
      <c r="Z382" s="1176"/>
      <c r="AA382" s="613"/>
    </row>
    <row r="383" spans="1:27" ht="30.75" customHeight="1" x14ac:dyDescent="0.2">
      <c r="A383" s="1171" t="str">
        <f>A375</f>
        <v>NOM - PRENOM</v>
      </c>
      <c r="B383" s="1171"/>
      <c r="C383" s="1171"/>
      <c r="D383" s="1171"/>
      <c r="E383" s="1181"/>
      <c r="F383" s="1179" t="s">
        <v>560</v>
      </c>
      <c r="G383" s="1180"/>
      <c r="H383" s="1180"/>
      <c r="I383" s="306"/>
      <c r="J383" s="306"/>
      <c r="K383" s="307"/>
      <c r="L383" s="572" t="s">
        <v>7</v>
      </c>
      <c r="M383" s="1179" t="s">
        <v>560</v>
      </c>
      <c r="N383" s="1180"/>
      <c r="O383" s="1180"/>
      <c r="P383" s="306"/>
      <c r="Q383" s="306"/>
      <c r="R383" s="307"/>
      <c r="S383" s="572" t="s">
        <v>7</v>
      </c>
      <c r="T383" s="1179" t="s">
        <v>560</v>
      </c>
      <c r="U383" s="1180"/>
      <c r="V383" s="1180"/>
      <c r="W383" s="306"/>
      <c r="X383" s="306"/>
      <c r="Y383" s="307"/>
      <c r="Z383" s="572" t="s">
        <v>7</v>
      </c>
      <c r="AA383" s="614"/>
    </row>
    <row r="384" spans="1:27" ht="30.75" customHeight="1" x14ac:dyDescent="0.2">
      <c r="A384" s="605" t="e">
        <f>A376</f>
        <v>#N/A</v>
      </c>
      <c r="B384" s="606"/>
      <c r="C384" s="606"/>
      <c r="D384" s="606"/>
      <c r="E384" s="607"/>
      <c r="F384" s="228"/>
      <c r="G384" s="229"/>
      <c r="H384" s="229"/>
      <c r="I384" s="229"/>
      <c r="J384" s="229"/>
      <c r="K384" s="230" t="s">
        <v>561</v>
      </c>
      <c r="L384" s="231"/>
      <c r="M384" s="228"/>
      <c r="N384" s="229"/>
      <c r="O384" s="229"/>
      <c r="P384" s="229"/>
      <c r="Q384" s="229"/>
      <c r="R384" s="230" t="s">
        <v>561</v>
      </c>
      <c r="S384" s="231"/>
      <c r="T384" s="228"/>
      <c r="U384" s="229"/>
      <c r="V384" s="229"/>
      <c r="W384" s="229"/>
      <c r="X384" s="229"/>
      <c r="Y384" s="230" t="s">
        <v>561</v>
      </c>
      <c r="Z384" s="231"/>
      <c r="AA384" s="611"/>
    </row>
    <row r="385" spans="1:27" ht="30.75" customHeight="1" x14ac:dyDescent="0.2">
      <c r="A385" s="605" t="e">
        <f>A377</f>
        <v>#N/A</v>
      </c>
      <c r="B385" s="606"/>
      <c r="C385" s="606"/>
      <c r="D385" s="606"/>
      <c r="E385" s="607"/>
      <c r="F385" s="228"/>
      <c r="G385" s="229"/>
      <c r="H385" s="229"/>
      <c r="I385" s="229"/>
      <c r="J385" s="229"/>
      <c r="K385" s="230" t="s">
        <v>561</v>
      </c>
      <c r="L385" s="231"/>
      <c r="M385" s="228"/>
      <c r="N385" s="229"/>
      <c r="O385" s="229"/>
      <c r="P385" s="229"/>
      <c r="Q385" s="229"/>
      <c r="R385" s="230" t="s">
        <v>561</v>
      </c>
      <c r="S385" s="231"/>
      <c r="T385" s="228"/>
      <c r="U385" s="229"/>
      <c r="V385" s="229"/>
      <c r="W385" s="229"/>
      <c r="X385" s="229"/>
      <c r="Y385" s="230" t="s">
        <v>561</v>
      </c>
      <c r="Z385" s="231"/>
      <c r="AA385" s="611"/>
    </row>
    <row r="386" spans="1:27" ht="30.75" customHeight="1" x14ac:dyDescent="0.2">
      <c r="A386" s="605" t="e">
        <f>A378</f>
        <v>#N/A</v>
      </c>
      <c r="B386" s="606"/>
      <c r="C386" s="606"/>
      <c r="D386" s="606"/>
      <c r="E386" s="607"/>
      <c r="F386" s="228"/>
      <c r="G386" s="229"/>
      <c r="H386" s="229"/>
      <c r="I386" s="229"/>
      <c r="J386" s="229"/>
      <c r="K386" s="230" t="s">
        <v>561</v>
      </c>
      <c r="L386" s="231"/>
      <c r="M386" s="228"/>
      <c r="N386" s="229"/>
      <c r="O386" s="229"/>
      <c r="P386" s="229"/>
      <c r="Q386" s="229"/>
      <c r="R386" s="230" t="s">
        <v>561</v>
      </c>
      <c r="S386" s="231"/>
      <c r="T386" s="228"/>
      <c r="U386" s="229"/>
      <c r="V386" s="229"/>
      <c r="W386" s="229"/>
      <c r="X386" s="229"/>
      <c r="Y386" s="230" t="s">
        <v>561</v>
      </c>
      <c r="Z386" s="231"/>
      <c r="AA386" s="611"/>
    </row>
    <row r="387" spans="1:27" ht="30.75" customHeight="1" thickBot="1" x14ac:dyDescent="0.25">
      <c r="A387" s="605" t="e">
        <f>A379</f>
        <v>#N/A</v>
      </c>
      <c r="B387" s="606"/>
      <c r="C387" s="606"/>
      <c r="D387" s="606"/>
      <c r="E387" s="607"/>
      <c r="F387" s="228"/>
      <c r="G387" s="229"/>
      <c r="H387" s="229"/>
      <c r="I387" s="229"/>
      <c r="J387" s="229"/>
      <c r="K387" s="230" t="s">
        <v>561</v>
      </c>
      <c r="L387" s="232"/>
      <c r="M387" s="228"/>
      <c r="N387" s="229"/>
      <c r="O387" s="229"/>
      <c r="P387" s="229"/>
      <c r="Q387" s="229"/>
      <c r="R387" s="230" t="s">
        <v>561</v>
      </c>
      <c r="S387" s="232"/>
      <c r="T387" s="228"/>
      <c r="U387" s="229"/>
      <c r="V387" s="229"/>
      <c r="W387" s="229"/>
      <c r="X387" s="229"/>
      <c r="Y387" s="230" t="s">
        <v>561</v>
      </c>
      <c r="Z387" s="232"/>
      <c r="AA387" s="611"/>
    </row>
    <row r="388" spans="1:27" ht="24" customHeight="1" thickBot="1" x14ac:dyDescent="0.25">
      <c r="F388" s="1177" t="s">
        <v>565</v>
      </c>
      <c r="G388" s="1178"/>
      <c r="H388" s="1178"/>
      <c r="I388" s="235"/>
      <c r="J388" s="235"/>
      <c r="K388" s="237" t="s">
        <v>561</v>
      </c>
      <c r="L388" s="239"/>
      <c r="M388" s="1177" t="s">
        <v>903</v>
      </c>
      <c r="N388" s="1178"/>
      <c r="O388" s="1178"/>
      <c r="P388" s="235"/>
      <c r="Q388" s="235"/>
      <c r="R388" s="237" t="s">
        <v>561</v>
      </c>
      <c r="S388" s="239"/>
      <c r="T388" s="1177" t="s">
        <v>904</v>
      </c>
      <c r="U388" s="1178"/>
      <c r="V388" s="1178"/>
      <c r="W388" s="235"/>
      <c r="X388" s="235"/>
      <c r="Y388" s="237" t="s">
        <v>561</v>
      </c>
      <c r="Z388" s="239"/>
      <c r="AA388" s="611"/>
    </row>
    <row r="389" spans="1:27" ht="8.25" customHeight="1" thickBot="1" x14ac:dyDescent="0.25">
      <c r="A389" s="592"/>
      <c r="B389" s="592"/>
      <c r="C389" s="592"/>
      <c r="D389" s="592"/>
      <c r="E389" s="592"/>
      <c r="F389" s="249"/>
      <c r="G389" s="249"/>
      <c r="H389" s="249"/>
      <c r="I389" s="249"/>
      <c r="J389" s="249"/>
      <c r="K389" s="230"/>
      <c r="L389" s="249"/>
      <c r="M389" s="230"/>
      <c r="N389" s="249"/>
      <c r="O389" s="230"/>
      <c r="P389" s="249"/>
      <c r="Q389" s="230"/>
      <c r="R389" s="249"/>
      <c r="S389" s="230"/>
      <c r="T389" s="249"/>
      <c r="U389" s="230"/>
      <c r="V389" s="249"/>
      <c r="W389" s="249"/>
      <c r="X389" s="249"/>
      <c r="Y389" s="230"/>
      <c r="AA389" s="611"/>
    </row>
    <row r="390" spans="1:27" ht="16.5" customHeight="1" thickBot="1" x14ac:dyDescent="0.25">
      <c r="A390" s="1200" t="s">
        <v>915</v>
      </c>
      <c r="B390" s="1200"/>
      <c r="C390" s="1200"/>
      <c r="D390" s="1200"/>
      <c r="E390" s="249"/>
      <c r="F390" s="1198" t="s">
        <v>909</v>
      </c>
      <c r="G390" s="1199"/>
      <c r="H390" s="1199"/>
      <c r="I390" s="1198" t="s">
        <v>910</v>
      </c>
      <c r="J390" s="1199"/>
      <c r="K390" s="1199"/>
      <c r="L390" s="1198" t="s">
        <v>911</v>
      </c>
      <c r="M390" s="1199"/>
      <c r="N390" s="1199"/>
      <c r="O390" s="1198" t="s">
        <v>912</v>
      </c>
      <c r="P390" s="1199"/>
      <c r="Q390" s="1199"/>
      <c r="R390" s="1198" t="s">
        <v>913</v>
      </c>
      <c r="S390" s="1199"/>
      <c r="T390" s="1199"/>
      <c r="U390" s="1198" t="s">
        <v>916</v>
      </c>
      <c r="V390" s="1199"/>
      <c r="W390" s="1199"/>
      <c r="X390" s="1194" t="s">
        <v>908</v>
      </c>
      <c r="Y390" s="1195"/>
      <c r="Z390" s="1196"/>
      <c r="AA390" s="616"/>
    </row>
    <row r="391" spans="1:27" ht="30.75" customHeight="1" x14ac:dyDescent="0.2">
      <c r="A391" s="1200"/>
      <c r="B391" s="1200"/>
      <c r="C391" s="1200"/>
      <c r="D391" s="1200"/>
      <c r="E391" s="249"/>
      <c r="F391" s="1197"/>
      <c r="G391" s="1197"/>
      <c r="H391" s="1197"/>
      <c r="I391" s="1197"/>
      <c r="J391" s="1197"/>
      <c r="K391" s="1197"/>
      <c r="L391" s="1197"/>
      <c r="M391" s="1197"/>
      <c r="N391" s="1197"/>
      <c r="O391" s="1197"/>
      <c r="P391" s="1197"/>
      <c r="Q391" s="1197"/>
      <c r="R391" s="1197"/>
      <c r="S391" s="1197"/>
      <c r="T391" s="1197"/>
      <c r="U391" s="1197"/>
      <c r="V391" s="1197"/>
      <c r="W391" s="1197"/>
      <c r="X391" s="1162"/>
      <c r="Y391" s="1163"/>
      <c r="Z391" s="1164"/>
      <c r="AA391" s="614"/>
    </row>
    <row r="392" spans="1:27" ht="30.75" customHeight="1" thickBot="1" x14ac:dyDescent="0.25">
      <c r="A392" s="1200"/>
      <c r="B392" s="1200"/>
      <c r="C392" s="1200"/>
      <c r="D392" s="1200"/>
      <c r="E392" s="249"/>
      <c r="F392" s="1201" t="s">
        <v>914</v>
      </c>
      <c r="G392" s="1201"/>
      <c r="H392" s="1201"/>
      <c r="I392" s="1197"/>
      <c r="J392" s="1197"/>
      <c r="K392" s="1197"/>
      <c r="L392" s="1197"/>
      <c r="M392" s="1197"/>
      <c r="N392" s="1197"/>
      <c r="O392" s="1197"/>
      <c r="P392" s="1197"/>
      <c r="Q392" s="1197"/>
      <c r="R392" s="1197"/>
      <c r="S392" s="1197"/>
      <c r="T392" s="1197"/>
      <c r="U392" s="1197"/>
      <c r="V392" s="1197"/>
      <c r="W392" s="1197"/>
      <c r="X392" s="1165"/>
      <c r="Y392" s="1166"/>
      <c r="Z392" s="1167"/>
      <c r="AA392" s="614"/>
    </row>
    <row r="393" spans="1:27" ht="19.5" customHeight="1" x14ac:dyDescent="0.2">
      <c r="A393" s="578" t="s">
        <v>851</v>
      </c>
      <c r="B393" s="566"/>
      <c r="C393" s="566"/>
      <c r="D393" s="566"/>
      <c r="E393" s="566"/>
      <c r="F393" s="566"/>
      <c r="G393" s="566"/>
      <c r="H393" s="566"/>
      <c r="I393" s="566"/>
      <c r="J393" s="566"/>
      <c r="K393" s="566"/>
      <c r="M393" s="241"/>
      <c r="O393" s="578" t="s">
        <v>522</v>
      </c>
      <c r="P393" s="566"/>
      <c r="Q393" s="566"/>
      <c r="R393" s="566"/>
      <c r="S393" s="566"/>
      <c r="T393" s="566"/>
      <c r="U393" s="566"/>
      <c r="V393" s="566"/>
      <c r="W393" s="520"/>
      <c r="AA393" s="611"/>
    </row>
    <row r="394" spans="1:27" x14ac:dyDescent="0.2">
      <c r="A394" s="577" t="s">
        <v>1</v>
      </c>
      <c r="B394" s="567"/>
      <c r="C394" s="567"/>
      <c r="D394" s="567"/>
      <c r="E394" s="567"/>
      <c r="F394" s="567"/>
      <c r="G394" s="568"/>
      <c r="H394" s="1086" t="s">
        <v>520</v>
      </c>
      <c r="I394" s="1087"/>
      <c r="J394" s="1087"/>
      <c r="K394" s="1088"/>
      <c r="M394" s="577" t="s">
        <v>1</v>
      </c>
      <c r="N394" s="567"/>
      <c r="O394" s="567"/>
      <c r="P394" s="567"/>
      <c r="Q394" s="567"/>
      <c r="R394" s="567"/>
      <c r="S394" s="585" t="s">
        <v>520</v>
      </c>
      <c r="T394" s="586"/>
      <c r="U394" s="586"/>
      <c r="V394" s="587"/>
      <c r="AA394" s="611"/>
    </row>
    <row r="395" spans="1:27" ht="69" customHeight="1" x14ac:dyDescent="0.2">
      <c r="A395" s="242"/>
      <c r="B395" s="243"/>
      <c r="C395" s="243"/>
      <c r="D395" s="243"/>
      <c r="E395" s="243"/>
      <c r="F395" s="243"/>
      <c r="G395" s="244"/>
      <c r="H395" s="242"/>
      <c r="I395" s="243"/>
      <c r="J395" s="243"/>
      <c r="K395" s="244"/>
      <c r="M395" s="242"/>
      <c r="N395" s="243"/>
      <c r="O395" s="243"/>
      <c r="P395" s="243"/>
      <c r="Q395" s="243"/>
      <c r="R395" s="243"/>
      <c r="S395" s="242"/>
      <c r="T395" s="243"/>
      <c r="U395" s="243"/>
      <c r="V395" s="244"/>
      <c r="AA395" s="611"/>
    </row>
    <row r="396" spans="1:27" x14ac:dyDescent="0.2">
      <c r="AA396" s="611"/>
    </row>
    <row r="397" spans="1:27" ht="6.75" customHeight="1" x14ac:dyDescent="0.2">
      <c r="AA397" s="611"/>
    </row>
    <row r="398" spans="1:27" s="218" customFormat="1" ht="23.25" customHeight="1" x14ac:dyDescent="0.2">
      <c r="A398" s="218" t="s">
        <v>628</v>
      </c>
      <c r="B398" s="1103">
        <f>B365+1</f>
        <v>13</v>
      </c>
      <c r="C398" s="1104"/>
      <c r="D398" s="569"/>
      <c r="E398" s="218" t="str">
        <f>Championnat</f>
        <v>Championnat de France de Tir à l'ARC</v>
      </c>
      <c r="P398" s="1192"/>
      <c r="Q398" s="1192"/>
      <c r="R398" s="1192"/>
      <c r="S398" s="1192"/>
      <c r="T398" s="1193" t="str">
        <f>CATEG_IMPORTEE</f>
        <v>Collèges Mixtes Etablissement</v>
      </c>
      <c r="U398" s="1193"/>
      <c r="V398" s="1193"/>
      <c r="W398" s="1193"/>
      <c r="X398" s="1193"/>
      <c r="Y398" s="1193"/>
      <c r="Z398" s="1193"/>
      <c r="AA398" s="609"/>
    </row>
    <row r="399" spans="1:27" ht="27" customHeight="1" thickBot="1" x14ac:dyDescent="0.25">
      <c r="A399" s="1069" t="s">
        <v>0</v>
      </c>
      <c r="B399" s="1069"/>
      <c r="C399" s="1069"/>
      <c r="D399" s="1069"/>
      <c r="E399" s="1069"/>
      <c r="F399" s="1069"/>
      <c r="G399" s="1069"/>
      <c r="H399" s="1069"/>
      <c r="I399" s="1125" t="s">
        <v>374</v>
      </c>
      <c r="J399" s="1125"/>
      <c r="K399" s="1125"/>
      <c r="L399" s="1125"/>
      <c r="M399" s="1125"/>
      <c r="N399" s="1069"/>
      <c r="O399" s="595"/>
      <c r="P399" s="1192"/>
      <c r="Q399" s="1192"/>
      <c r="R399" s="1192"/>
      <c r="S399" s="1192"/>
      <c r="T399" s="1184" t="str">
        <f>LIEU&amp;" du "&amp;DATE</f>
        <v>L’Isle sur la Sorgue du 27 au 31 mars 2023</v>
      </c>
      <c r="U399" s="1184"/>
      <c r="V399" s="1184"/>
      <c r="W399" s="1184"/>
      <c r="X399" s="1184"/>
      <c r="Y399" s="1184"/>
      <c r="Z399" s="1184"/>
      <c r="AA399" s="608"/>
    </row>
    <row r="400" spans="1:27" ht="24" customHeight="1" thickBot="1" x14ac:dyDescent="0.25">
      <c r="A400" s="1185" t="e">
        <f>VLOOKUP(H404,ID_archer_cible,2,FALSE)</f>
        <v>#N/A</v>
      </c>
      <c r="B400" s="1186"/>
      <c r="C400" s="1186"/>
      <c r="D400" s="1186"/>
      <c r="E400" s="1186"/>
      <c r="F400" s="1186"/>
      <c r="G400" s="1186"/>
      <c r="H400" s="1187"/>
      <c r="I400" s="1185" t="e">
        <f>VLOOKUP(H404,ID_archer_cible,4,FALSE)</f>
        <v>#N/A</v>
      </c>
      <c r="J400" s="1186"/>
      <c r="K400" s="1186"/>
      <c r="L400" s="1186"/>
      <c r="M400" s="1186"/>
      <c r="N400" s="1187"/>
      <c r="O400" s="596"/>
      <c r="P400" s="1192"/>
      <c r="Q400" s="1192"/>
      <c r="R400" s="1192"/>
      <c r="S400" s="1192"/>
      <c r="T400" s="520"/>
      <c r="U400" s="520"/>
      <c r="V400" s="520"/>
      <c r="W400" s="520"/>
      <c r="X400" s="520"/>
      <c r="Y400" s="520"/>
      <c r="Z400" s="520"/>
      <c r="AA400" s="520"/>
    </row>
    <row r="401" spans="1:27" ht="6" customHeight="1" x14ac:dyDescent="0.2">
      <c r="I401" s="1188" t="e">
        <f>"("&amp;VLOOKUP(H404,ID_archer_cible,3,FALSE)&amp;")"</f>
        <v>#N/A</v>
      </c>
      <c r="J401" s="1188"/>
      <c r="K401" s="1188"/>
      <c r="L401" s="1188"/>
      <c r="M401" s="1188"/>
      <c r="N401" s="1188"/>
      <c r="P401" s="1192"/>
      <c r="Q401" s="1192"/>
      <c r="R401" s="1192"/>
      <c r="S401" s="1192"/>
      <c r="AA401" s="611"/>
    </row>
    <row r="402" spans="1:27" ht="17.25" customHeight="1" x14ac:dyDescent="0.2">
      <c r="E402" s="584"/>
      <c r="F402" s="584"/>
      <c r="G402" s="584"/>
      <c r="H402" s="584"/>
      <c r="I402" s="1189"/>
      <c r="J402" s="1189"/>
      <c r="K402" s="1189"/>
      <c r="L402" s="1189"/>
      <c r="M402" s="1189"/>
      <c r="N402" s="1189"/>
      <c r="P402" s="1192"/>
      <c r="Q402" s="1192"/>
      <c r="R402" s="1192"/>
      <c r="S402" s="1192"/>
      <c r="AA402" s="611"/>
    </row>
    <row r="403" spans="1:27" ht="23.25" customHeight="1" x14ac:dyDescent="0.2">
      <c r="A403" s="593" t="s">
        <v>906</v>
      </c>
      <c r="B403" s="588"/>
      <c r="C403" s="588"/>
      <c r="D403" s="588"/>
      <c r="E403" s="588"/>
      <c r="F403" s="588"/>
      <c r="G403" s="588"/>
      <c r="H403" s="594" t="s">
        <v>552</v>
      </c>
      <c r="I403" s="573" t="s">
        <v>893</v>
      </c>
      <c r="J403" s="1075" t="s">
        <v>550</v>
      </c>
      <c r="K403" s="1075"/>
      <c r="L403" s="573" t="s">
        <v>905</v>
      </c>
      <c r="M403" s="252" t="s">
        <v>551</v>
      </c>
      <c r="S403" s="573" t="s">
        <v>905</v>
      </c>
      <c r="T403" s="573" t="s">
        <v>893</v>
      </c>
      <c r="U403" s="573" t="s">
        <v>893</v>
      </c>
      <c r="V403" s="1075" t="s">
        <v>550</v>
      </c>
      <c r="W403" s="1075"/>
      <c r="X403" s="252" t="s">
        <v>551</v>
      </c>
      <c r="Y403" s="571"/>
      <c r="Z403" s="571"/>
      <c r="AA403" s="612"/>
    </row>
    <row r="404" spans="1:27" ht="23.25" customHeight="1" x14ac:dyDescent="0.2">
      <c r="A404" s="580" t="e">
        <f>VLOOKUP(H404,ID_archer_cible,5,FALSE)&amp;"    "&amp;VLOOKUP(H404,ID_archer_cible,6,FALSE)</f>
        <v>#N/A</v>
      </c>
      <c r="B404" s="581"/>
      <c r="C404" s="582"/>
      <c r="D404" s="575"/>
      <c r="E404" s="223"/>
      <c r="F404" s="223"/>
      <c r="G404" s="223"/>
      <c r="H404" s="589" t="str">
        <f>B398&amp;"A"</f>
        <v>13A</v>
      </c>
      <c r="I404" s="574" t="e">
        <f>VLOOKUP(H404,ID_archer_cible,9,FALSE)</f>
        <v>#N/A</v>
      </c>
      <c r="J404" s="1075" t="e">
        <f>VLOOKUP(H404,ID_archer_cible,8,FALSE)</f>
        <v>#N/A</v>
      </c>
      <c r="K404" s="1075"/>
      <c r="L404" s="610" t="e">
        <f>VLOOKUP(H404,ID_archer_cible,7,FALSE)</f>
        <v>#N/A</v>
      </c>
      <c r="M404" s="589" t="e">
        <f>VLOOKUP(H404,ID_archer_cible,10,FALSE)</f>
        <v>#N/A</v>
      </c>
      <c r="N404" s="597" t="e">
        <f>VLOOKUP(T404,ID_archer_cible,5,FALSE)&amp;"    "&amp;VLOOKUP(T404,ID_archer_cible,6,FALSE)</f>
        <v>#N/A</v>
      </c>
      <c r="O404" s="581"/>
      <c r="P404" s="582"/>
      <c r="Q404" s="575"/>
      <c r="R404" s="223"/>
      <c r="S404" s="579" t="e">
        <f>VLOOKUP(T404,ID_archer_cible,7,FALSE)</f>
        <v>#N/A</v>
      </c>
      <c r="T404" s="589" t="str">
        <f>B398&amp;"C"</f>
        <v>13C</v>
      </c>
      <c r="U404" s="574" t="e">
        <f>VLOOKUP(T404,ID_archer_cible,9,FALSE)</f>
        <v>#N/A</v>
      </c>
      <c r="V404" s="1172" t="e">
        <f>VLOOKUP(T404,ID_archer_cible,8,FALSE)</f>
        <v>#N/A</v>
      </c>
      <c r="W404" s="1173"/>
      <c r="X404" s="574" t="e">
        <f>VLOOKUP(T404,ID_archer_cible,10,FALSE)</f>
        <v>#N/A</v>
      </c>
      <c r="AA404" s="611"/>
    </row>
    <row r="405" spans="1:27" ht="23.25" customHeight="1" x14ac:dyDescent="0.2">
      <c r="A405" s="580" t="e">
        <f>VLOOKUP(H405,ID_archer_cible,5,FALSE)&amp;"    "&amp;VLOOKUP(H405,ID_archer_cible,6,FALSE)</f>
        <v>#N/A</v>
      </c>
      <c r="B405" s="581"/>
      <c r="C405" s="582"/>
      <c r="D405" s="575"/>
      <c r="E405" s="223"/>
      <c r="F405" s="223"/>
      <c r="G405" s="223"/>
      <c r="H405" s="589" t="str">
        <f>B398&amp;"B"</f>
        <v>13B</v>
      </c>
      <c r="I405" s="574" t="e">
        <f>VLOOKUP(H405,ID_archer_cible,9,FALSE)</f>
        <v>#N/A</v>
      </c>
      <c r="J405" s="1075" t="e">
        <f>VLOOKUP(H405,ID_archer_cible,8,FALSE)</f>
        <v>#N/A</v>
      </c>
      <c r="K405" s="1075"/>
      <c r="L405" s="610" t="e">
        <f>VLOOKUP(H405,ID_archer_cible,7,FALSE)</f>
        <v>#N/A</v>
      </c>
      <c r="M405" s="589" t="e">
        <f>VLOOKUP(H405,ID_archer_cible,10,FALSE)</f>
        <v>#N/A</v>
      </c>
      <c r="N405" s="597" t="e">
        <f>VLOOKUP(T405,ID_archer_cible,5,FALSE)&amp;"    "&amp;VLOOKUP(T405,ID_archer_cible,6,FALSE)</f>
        <v>#N/A</v>
      </c>
      <c r="O405" s="581"/>
      <c r="P405" s="582"/>
      <c r="Q405" s="575"/>
      <c r="R405" s="223"/>
      <c r="S405" s="579" t="e">
        <f>VLOOKUP(T405,ID_archer_cible,7,FALSE)</f>
        <v>#N/A</v>
      </c>
      <c r="T405" s="589" t="str">
        <f>B398&amp;"D"</f>
        <v>13D</v>
      </c>
      <c r="U405" s="574" t="e">
        <f>VLOOKUP(T405,ID_archer_cible,9,FALSE)</f>
        <v>#N/A</v>
      </c>
      <c r="V405" s="1172" t="e">
        <f>VLOOKUP(T405,ID_archer_cible,8,FALSE)</f>
        <v>#N/A</v>
      </c>
      <c r="W405" s="1173"/>
      <c r="X405" s="574" t="e">
        <f>VLOOKUP(T405,ID_archer_cible,10,FALSE)</f>
        <v>#N/A</v>
      </c>
      <c r="AA405" s="611"/>
    </row>
    <row r="406" spans="1:27" ht="15" customHeight="1" thickBot="1" x14ac:dyDescent="0.25">
      <c r="AA406" s="611"/>
    </row>
    <row r="407" spans="1:27" ht="20.25" customHeight="1" thickBot="1" x14ac:dyDescent="0.25">
      <c r="F407" s="1174" t="s">
        <v>555</v>
      </c>
      <c r="G407" s="1175"/>
      <c r="H407" s="1175"/>
      <c r="I407" s="1175"/>
      <c r="J407" s="1175"/>
      <c r="K407" s="1175"/>
      <c r="L407" s="1176"/>
      <c r="M407" s="1174" t="s">
        <v>556</v>
      </c>
      <c r="N407" s="1175"/>
      <c r="O407" s="1175"/>
      <c r="P407" s="1175"/>
      <c r="Q407" s="1175"/>
      <c r="R407" s="1175"/>
      <c r="S407" s="1176"/>
      <c r="T407" s="1174" t="s">
        <v>557</v>
      </c>
      <c r="U407" s="1175"/>
      <c r="V407" s="1175"/>
      <c r="W407" s="1175"/>
      <c r="X407" s="1175"/>
      <c r="Y407" s="1175"/>
      <c r="Z407" s="1176"/>
      <c r="AA407" s="613"/>
    </row>
    <row r="408" spans="1:27" ht="30.75" customHeight="1" x14ac:dyDescent="0.2">
      <c r="A408" s="1171" t="s">
        <v>559</v>
      </c>
      <c r="B408" s="1171"/>
      <c r="C408" s="1171"/>
      <c r="D408" s="1171"/>
      <c r="E408" s="1181"/>
      <c r="F408" s="1179" t="s">
        <v>560</v>
      </c>
      <c r="G408" s="1180"/>
      <c r="H408" s="1180"/>
      <c r="I408" s="306"/>
      <c r="J408" s="306"/>
      <c r="K408" s="307"/>
      <c r="L408" s="572" t="s">
        <v>7</v>
      </c>
      <c r="M408" s="1179" t="s">
        <v>560</v>
      </c>
      <c r="N408" s="1180"/>
      <c r="O408" s="1180"/>
      <c r="P408" s="306"/>
      <c r="Q408" s="306"/>
      <c r="R408" s="307"/>
      <c r="S408" s="572" t="s">
        <v>7</v>
      </c>
      <c r="T408" s="1179" t="s">
        <v>560</v>
      </c>
      <c r="U408" s="1180"/>
      <c r="V408" s="1180"/>
      <c r="W408" s="306"/>
      <c r="X408" s="306"/>
      <c r="Y408" s="307"/>
      <c r="Z408" s="572" t="s">
        <v>7</v>
      </c>
      <c r="AA408" s="614"/>
    </row>
    <row r="409" spans="1:27" ht="30.75" customHeight="1" x14ac:dyDescent="0.2">
      <c r="A409" s="1168" t="e">
        <f>A404</f>
        <v>#N/A</v>
      </c>
      <c r="B409" s="1169"/>
      <c r="C409" s="1169"/>
      <c r="D409" s="1169"/>
      <c r="E409" s="1170"/>
      <c r="F409" s="228"/>
      <c r="G409" s="229"/>
      <c r="H409" s="229"/>
      <c r="I409" s="229"/>
      <c r="J409" s="229"/>
      <c r="K409" s="230" t="s">
        <v>561</v>
      </c>
      <c r="L409" s="231"/>
      <c r="M409" s="228"/>
      <c r="N409" s="229"/>
      <c r="O409" s="229"/>
      <c r="P409" s="229"/>
      <c r="Q409" s="229"/>
      <c r="R409" s="230" t="s">
        <v>561</v>
      </c>
      <c r="S409" s="231"/>
      <c r="T409" s="228"/>
      <c r="U409" s="229"/>
      <c r="V409" s="229"/>
      <c r="W409" s="229"/>
      <c r="X409" s="229"/>
      <c r="Y409" s="230" t="s">
        <v>561</v>
      </c>
      <c r="Z409" s="231"/>
      <c r="AA409" s="611"/>
    </row>
    <row r="410" spans="1:27" ht="30.75" customHeight="1" x14ac:dyDescent="0.2">
      <c r="A410" s="1168" t="e">
        <f>A405</f>
        <v>#N/A</v>
      </c>
      <c r="B410" s="1169"/>
      <c r="C410" s="1169"/>
      <c r="D410" s="1169"/>
      <c r="E410" s="1170"/>
      <c r="F410" s="228"/>
      <c r="G410" s="229"/>
      <c r="H410" s="229"/>
      <c r="I410" s="229"/>
      <c r="J410" s="229"/>
      <c r="K410" s="230" t="s">
        <v>561</v>
      </c>
      <c r="L410" s="231"/>
      <c r="M410" s="228"/>
      <c r="N410" s="229"/>
      <c r="O410" s="229"/>
      <c r="P410" s="229"/>
      <c r="Q410" s="229"/>
      <c r="R410" s="230" t="s">
        <v>561</v>
      </c>
      <c r="S410" s="231"/>
      <c r="T410" s="228"/>
      <c r="U410" s="229"/>
      <c r="V410" s="229"/>
      <c r="W410" s="229"/>
      <c r="X410" s="229"/>
      <c r="Y410" s="230" t="s">
        <v>561</v>
      </c>
      <c r="Z410" s="231"/>
      <c r="AA410" s="611"/>
    </row>
    <row r="411" spans="1:27" ht="30.75" customHeight="1" x14ac:dyDescent="0.2">
      <c r="A411" s="1168" t="e">
        <f>N404</f>
        <v>#N/A</v>
      </c>
      <c r="B411" s="1169"/>
      <c r="C411" s="1169"/>
      <c r="D411" s="1169"/>
      <c r="E411" s="1170"/>
      <c r="F411" s="228"/>
      <c r="G411" s="229"/>
      <c r="H411" s="229"/>
      <c r="I411" s="229"/>
      <c r="J411" s="229"/>
      <c r="K411" s="230" t="s">
        <v>561</v>
      </c>
      <c r="L411" s="231"/>
      <c r="M411" s="228"/>
      <c r="N411" s="229"/>
      <c r="O411" s="229"/>
      <c r="P411" s="229"/>
      <c r="Q411" s="229"/>
      <c r="R411" s="230" t="s">
        <v>561</v>
      </c>
      <c r="S411" s="231"/>
      <c r="T411" s="228"/>
      <c r="U411" s="229"/>
      <c r="V411" s="229"/>
      <c r="W411" s="229"/>
      <c r="X411" s="229"/>
      <c r="Y411" s="230" t="s">
        <v>561</v>
      </c>
      <c r="Z411" s="231"/>
      <c r="AA411" s="611"/>
    </row>
    <row r="412" spans="1:27" ht="30.75" customHeight="1" thickBot="1" x14ac:dyDescent="0.25">
      <c r="A412" s="1168" t="e">
        <f>N405</f>
        <v>#N/A</v>
      </c>
      <c r="B412" s="1169"/>
      <c r="C412" s="1169"/>
      <c r="D412" s="1169"/>
      <c r="E412" s="1170"/>
      <c r="F412" s="228"/>
      <c r="G412" s="229"/>
      <c r="H412" s="229"/>
      <c r="I412" s="229"/>
      <c r="J412" s="229"/>
      <c r="K412" s="230" t="s">
        <v>561</v>
      </c>
      <c r="L412" s="232"/>
      <c r="M412" s="228"/>
      <c r="N412" s="229"/>
      <c r="O412" s="229"/>
      <c r="P412" s="229"/>
      <c r="Q412" s="229"/>
      <c r="R412" s="230" t="s">
        <v>561</v>
      </c>
      <c r="S412" s="232"/>
      <c r="T412" s="228"/>
      <c r="U412" s="229"/>
      <c r="V412" s="229"/>
      <c r="W412" s="229"/>
      <c r="X412" s="229"/>
      <c r="Y412" s="230" t="s">
        <v>561</v>
      </c>
      <c r="Z412" s="232"/>
      <c r="AA412" s="611"/>
    </row>
    <row r="413" spans="1:27" ht="30.75" customHeight="1" thickBot="1" x14ac:dyDescent="0.25">
      <c r="F413" s="1177" t="s">
        <v>562</v>
      </c>
      <c r="G413" s="1178"/>
      <c r="H413" s="1178"/>
      <c r="I413" s="235"/>
      <c r="J413" s="235"/>
      <c r="K413" s="237" t="s">
        <v>561</v>
      </c>
      <c r="L413" s="239"/>
      <c r="M413" s="1177" t="s">
        <v>563</v>
      </c>
      <c r="N413" s="1178"/>
      <c r="O413" s="1178"/>
      <c r="P413" s="235"/>
      <c r="Q413" s="235"/>
      <c r="R413" s="237" t="s">
        <v>561</v>
      </c>
      <c r="S413" s="239"/>
      <c r="T413" s="1177" t="s">
        <v>564</v>
      </c>
      <c r="U413" s="1178"/>
      <c r="V413" s="1178"/>
      <c r="W413" s="235"/>
      <c r="X413" s="235"/>
      <c r="Y413" s="237" t="s">
        <v>561</v>
      </c>
      <c r="Z413" s="239"/>
      <c r="AA413" s="615"/>
    </row>
    <row r="414" spans="1:27" ht="9" customHeight="1" thickBot="1" x14ac:dyDescent="0.25">
      <c r="H414" s="249"/>
      <c r="I414" s="249"/>
      <c r="J414" s="249"/>
      <c r="K414" s="249"/>
      <c r="L414" s="249"/>
      <c r="M414" s="249"/>
      <c r="N414" s="249"/>
      <c r="O414" s="249"/>
      <c r="P414" s="249"/>
      <c r="Q414" s="249"/>
      <c r="R414" s="230"/>
      <c r="T414" s="249"/>
      <c r="U414" s="249"/>
      <c r="V414" s="249"/>
      <c r="W414" s="249"/>
      <c r="X414" s="249"/>
      <c r="Y414" s="230"/>
      <c r="AA414" s="611"/>
    </row>
    <row r="415" spans="1:27" ht="30.75" customHeight="1" thickBot="1" x14ac:dyDescent="0.25">
      <c r="F415" s="1174" t="s">
        <v>558</v>
      </c>
      <c r="G415" s="1175"/>
      <c r="H415" s="1175"/>
      <c r="I415" s="1175"/>
      <c r="J415" s="1175"/>
      <c r="K415" s="1175"/>
      <c r="L415" s="1176"/>
      <c r="M415" s="1174" t="s">
        <v>902</v>
      </c>
      <c r="N415" s="1175"/>
      <c r="O415" s="1175"/>
      <c r="P415" s="1175"/>
      <c r="Q415" s="1175"/>
      <c r="R415" s="1175"/>
      <c r="S415" s="1176"/>
      <c r="T415" s="1174" t="s">
        <v>907</v>
      </c>
      <c r="U415" s="1175"/>
      <c r="V415" s="1175"/>
      <c r="W415" s="1175"/>
      <c r="X415" s="1175"/>
      <c r="Y415" s="1175"/>
      <c r="Z415" s="1176"/>
      <c r="AA415" s="613"/>
    </row>
    <row r="416" spans="1:27" ht="30.75" customHeight="1" x14ac:dyDescent="0.2">
      <c r="A416" s="1171" t="str">
        <f>A408</f>
        <v>NOM - PRENOM</v>
      </c>
      <c r="B416" s="1171"/>
      <c r="C416" s="1171"/>
      <c r="D416" s="1171"/>
      <c r="E416" s="1181"/>
      <c r="F416" s="1179" t="s">
        <v>560</v>
      </c>
      <c r="G416" s="1180"/>
      <c r="H416" s="1180"/>
      <c r="I416" s="306"/>
      <c r="J416" s="306"/>
      <c r="K416" s="307"/>
      <c r="L416" s="572" t="s">
        <v>7</v>
      </c>
      <c r="M416" s="1179" t="s">
        <v>560</v>
      </c>
      <c r="N416" s="1180"/>
      <c r="O416" s="1180"/>
      <c r="P416" s="306"/>
      <c r="Q416" s="306"/>
      <c r="R416" s="307"/>
      <c r="S416" s="572" t="s">
        <v>7</v>
      </c>
      <c r="T416" s="1179" t="s">
        <v>560</v>
      </c>
      <c r="U416" s="1180"/>
      <c r="V416" s="1180"/>
      <c r="W416" s="306"/>
      <c r="X416" s="306"/>
      <c r="Y416" s="307"/>
      <c r="Z416" s="572" t="s">
        <v>7</v>
      </c>
      <c r="AA416" s="614"/>
    </row>
    <row r="417" spans="1:27" ht="30.75" customHeight="1" x14ac:dyDescent="0.2">
      <c r="A417" s="605" t="e">
        <f>A409</f>
        <v>#N/A</v>
      </c>
      <c r="B417" s="606"/>
      <c r="C417" s="606"/>
      <c r="D417" s="606"/>
      <c r="E417" s="607"/>
      <c r="F417" s="228"/>
      <c r="G417" s="229"/>
      <c r="H417" s="229"/>
      <c r="I417" s="229"/>
      <c r="J417" s="229"/>
      <c r="K417" s="230" t="s">
        <v>561</v>
      </c>
      <c r="L417" s="231"/>
      <c r="M417" s="228"/>
      <c r="N417" s="229"/>
      <c r="O417" s="229"/>
      <c r="P417" s="229"/>
      <c r="Q417" s="229"/>
      <c r="R417" s="230" t="s">
        <v>561</v>
      </c>
      <c r="S417" s="231"/>
      <c r="T417" s="228"/>
      <c r="U417" s="229"/>
      <c r="V417" s="229"/>
      <c r="W417" s="229"/>
      <c r="X417" s="229"/>
      <c r="Y417" s="230" t="s">
        <v>561</v>
      </c>
      <c r="Z417" s="231"/>
      <c r="AA417" s="611"/>
    </row>
    <row r="418" spans="1:27" ht="30.75" customHeight="1" x14ac:dyDescent="0.2">
      <c r="A418" s="605" t="e">
        <f>A410</f>
        <v>#N/A</v>
      </c>
      <c r="B418" s="606"/>
      <c r="C418" s="606"/>
      <c r="D418" s="606"/>
      <c r="E418" s="607"/>
      <c r="F418" s="228"/>
      <c r="G418" s="229"/>
      <c r="H418" s="229"/>
      <c r="I418" s="229"/>
      <c r="J418" s="229"/>
      <c r="K418" s="230" t="s">
        <v>561</v>
      </c>
      <c r="L418" s="231"/>
      <c r="M418" s="228"/>
      <c r="N418" s="229"/>
      <c r="O418" s="229"/>
      <c r="P418" s="229"/>
      <c r="Q418" s="229"/>
      <c r="R418" s="230" t="s">
        <v>561</v>
      </c>
      <c r="S418" s="231"/>
      <c r="T418" s="228"/>
      <c r="U418" s="229"/>
      <c r="V418" s="229"/>
      <c r="W418" s="229"/>
      <c r="X418" s="229"/>
      <c r="Y418" s="230" t="s">
        <v>561</v>
      </c>
      <c r="Z418" s="231"/>
      <c r="AA418" s="611"/>
    </row>
    <row r="419" spans="1:27" ht="30.75" customHeight="1" x14ac:dyDescent="0.2">
      <c r="A419" s="605" t="e">
        <f>A411</f>
        <v>#N/A</v>
      </c>
      <c r="B419" s="606"/>
      <c r="C419" s="606"/>
      <c r="D419" s="606"/>
      <c r="E419" s="607"/>
      <c r="F419" s="228"/>
      <c r="G419" s="229"/>
      <c r="H419" s="229"/>
      <c r="I419" s="229"/>
      <c r="J419" s="229"/>
      <c r="K419" s="230" t="s">
        <v>561</v>
      </c>
      <c r="L419" s="231"/>
      <c r="M419" s="228"/>
      <c r="N419" s="229"/>
      <c r="O419" s="229"/>
      <c r="P419" s="229"/>
      <c r="Q419" s="229"/>
      <c r="R419" s="230" t="s">
        <v>561</v>
      </c>
      <c r="S419" s="231"/>
      <c r="T419" s="228"/>
      <c r="U419" s="229"/>
      <c r="V419" s="229"/>
      <c r="W419" s="229"/>
      <c r="X419" s="229"/>
      <c r="Y419" s="230" t="s">
        <v>561</v>
      </c>
      <c r="Z419" s="231"/>
      <c r="AA419" s="611"/>
    </row>
    <row r="420" spans="1:27" ht="30.75" customHeight="1" thickBot="1" x14ac:dyDescent="0.25">
      <c r="A420" s="605" t="e">
        <f>A412</f>
        <v>#N/A</v>
      </c>
      <c r="B420" s="606"/>
      <c r="C420" s="606"/>
      <c r="D420" s="606"/>
      <c r="E420" s="607"/>
      <c r="F420" s="228"/>
      <c r="G420" s="229"/>
      <c r="H420" s="229"/>
      <c r="I420" s="229"/>
      <c r="J420" s="229"/>
      <c r="K420" s="230" t="s">
        <v>561</v>
      </c>
      <c r="L420" s="232"/>
      <c r="M420" s="228"/>
      <c r="N420" s="229"/>
      <c r="O420" s="229"/>
      <c r="P420" s="229"/>
      <c r="Q420" s="229"/>
      <c r="R420" s="230" t="s">
        <v>561</v>
      </c>
      <c r="S420" s="232"/>
      <c r="T420" s="228"/>
      <c r="U420" s="229"/>
      <c r="V420" s="229"/>
      <c r="W420" s="229"/>
      <c r="X420" s="229"/>
      <c r="Y420" s="230" t="s">
        <v>561</v>
      </c>
      <c r="Z420" s="232"/>
      <c r="AA420" s="611"/>
    </row>
    <row r="421" spans="1:27" ht="24" customHeight="1" thickBot="1" x14ac:dyDescent="0.25">
      <c r="F421" s="1177" t="s">
        <v>565</v>
      </c>
      <c r="G421" s="1178"/>
      <c r="H421" s="1178"/>
      <c r="I421" s="235"/>
      <c r="J421" s="235"/>
      <c r="K421" s="237" t="s">
        <v>561</v>
      </c>
      <c r="L421" s="239"/>
      <c r="M421" s="1177" t="s">
        <v>903</v>
      </c>
      <c r="N421" s="1178"/>
      <c r="O421" s="1178"/>
      <c r="P421" s="235"/>
      <c r="Q421" s="235"/>
      <c r="R421" s="237" t="s">
        <v>561</v>
      </c>
      <c r="S421" s="239"/>
      <c r="T421" s="1177" t="s">
        <v>904</v>
      </c>
      <c r="U421" s="1178"/>
      <c r="V421" s="1178"/>
      <c r="W421" s="235"/>
      <c r="X421" s="235"/>
      <c r="Y421" s="237" t="s">
        <v>561</v>
      </c>
      <c r="Z421" s="239"/>
      <c r="AA421" s="611"/>
    </row>
    <row r="422" spans="1:27" ht="8.25" customHeight="1" thickBot="1" x14ac:dyDescent="0.25">
      <c r="A422" s="592"/>
      <c r="B422" s="592"/>
      <c r="C422" s="592"/>
      <c r="D422" s="592"/>
      <c r="E422" s="592"/>
      <c r="F422" s="249"/>
      <c r="G422" s="249"/>
      <c r="H422" s="249"/>
      <c r="I422" s="249"/>
      <c r="J422" s="249"/>
      <c r="K422" s="230"/>
      <c r="L422" s="249"/>
      <c r="M422" s="230"/>
      <c r="N422" s="249"/>
      <c r="O422" s="230"/>
      <c r="P422" s="249"/>
      <c r="Q422" s="230"/>
      <c r="R422" s="249"/>
      <c r="S422" s="230"/>
      <c r="T422" s="249"/>
      <c r="U422" s="230"/>
      <c r="V422" s="249"/>
      <c r="W422" s="249"/>
      <c r="X422" s="249"/>
      <c r="Y422" s="230"/>
      <c r="AA422" s="611"/>
    </row>
    <row r="423" spans="1:27" ht="16.5" customHeight="1" thickBot="1" x14ac:dyDescent="0.25">
      <c r="A423" s="1200" t="s">
        <v>915</v>
      </c>
      <c r="B423" s="1200"/>
      <c r="C423" s="1200"/>
      <c r="D423" s="1200"/>
      <c r="E423" s="249"/>
      <c r="F423" s="1198" t="s">
        <v>909</v>
      </c>
      <c r="G423" s="1199"/>
      <c r="H423" s="1199"/>
      <c r="I423" s="1198" t="s">
        <v>910</v>
      </c>
      <c r="J423" s="1199"/>
      <c r="K423" s="1199"/>
      <c r="L423" s="1198" t="s">
        <v>911</v>
      </c>
      <c r="M423" s="1199"/>
      <c r="N423" s="1199"/>
      <c r="O423" s="1198" t="s">
        <v>912</v>
      </c>
      <c r="P423" s="1199"/>
      <c r="Q423" s="1199"/>
      <c r="R423" s="1198" t="s">
        <v>913</v>
      </c>
      <c r="S423" s="1199"/>
      <c r="T423" s="1199"/>
      <c r="U423" s="1198" t="s">
        <v>916</v>
      </c>
      <c r="V423" s="1199"/>
      <c r="W423" s="1199"/>
      <c r="X423" s="1194" t="s">
        <v>908</v>
      </c>
      <c r="Y423" s="1195"/>
      <c r="Z423" s="1196"/>
      <c r="AA423" s="616"/>
    </row>
    <row r="424" spans="1:27" ht="30.75" customHeight="1" x14ac:dyDescent="0.2">
      <c r="A424" s="1200"/>
      <c r="B424" s="1200"/>
      <c r="C424" s="1200"/>
      <c r="D424" s="1200"/>
      <c r="E424" s="249"/>
      <c r="F424" s="1197"/>
      <c r="G424" s="1197"/>
      <c r="H424" s="1197"/>
      <c r="I424" s="1197"/>
      <c r="J424" s="1197"/>
      <c r="K424" s="1197"/>
      <c r="L424" s="1197"/>
      <c r="M424" s="1197"/>
      <c r="N424" s="1197"/>
      <c r="O424" s="1197"/>
      <c r="P424" s="1197"/>
      <c r="Q424" s="1197"/>
      <c r="R424" s="1197"/>
      <c r="S424" s="1197"/>
      <c r="T424" s="1197"/>
      <c r="U424" s="1197"/>
      <c r="V424" s="1197"/>
      <c r="W424" s="1197"/>
      <c r="X424" s="1162"/>
      <c r="Y424" s="1163"/>
      <c r="Z424" s="1164"/>
      <c r="AA424" s="614"/>
    </row>
    <row r="425" spans="1:27" ht="30.75" customHeight="1" thickBot="1" x14ac:dyDescent="0.25">
      <c r="A425" s="1200"/>
      <c r="B425" s="1200"/>
      <c r="C425" s="1200"/>
      <c r="D425" s="1200"/>
      <c r="E425" s="249"/>
      <c r="F425" s="1201" t="s">
        <v>914</v>
      </c>
      <c r="G425" s="1201"/>
      <c r="H425" s="1201"/>
      <c r="I425" s="1197"/>
      <c r="J425" s="1197"/>
      <c r="K425" s="1197"/>
      <c r="L425" s="1197"/>
      <c r="M425" s="1197"/>
      <c r="N425" s="1197"/>
      <c r="O425" s="1197"/>
      <c r="P425" s="1197"/>
      <c r="Q425" s="1197"/>
      <c r="R425" s="1197"/>
      <c r="S425" s="1197"/>
      <c r="T425" s="1197"/>
      <c r="U425" s="1197"/>
      <c r="V425" s="1197"/>
      <c r="W425" s="1197"/>
      <c r="X425" s="1165"/>
      <c r="Y425" s="1166"/>
      <c r="Z425" s="1167"/>
      <c r="AA425" s="614"/>
    </row>
    <row r="426" spans="1:27" ht="19.5" customHeight="1" x14ac:dyDescent="0.2">
      <c r="A426" s="578" t="s">
        <v>851</v>
      </c>
      <c r="B426" s="566"/>
      <c r="C426" s="566"/>
      <c r="D426" s="566"/>
      <c r="E426" s="566"/>
      <c r="F426" s="566"/>
      <c r="G426" s="566"/>
      <c r="H426" s="566"/>
      <c r="I426" s="566"/>
      <c r="J426" s="566"/>
      <c r="K426" s="566"/>
      <c r="M426" s="241"/>
      <c r="O426" s="578" t="s">
        <v>522</v>
      </c>
      <c r="P426" s="566"/>
      <c r="Q426" s="566"/>
      <c r="R426" s="566"/>
      <c r="S426" s="566"/>
      <c r="T426" s="566"/>
      <c r="U426" s="566"/>
      <c r="V426" s="566"/>
      <c r="W426" s="520"/>
      <c r="AA426" s="611"/>
    </row>
    <row r="427" spans="1:27" x14ac:dyDescent="0.2">
      <c r="A427" s="577" t="s">
        <v>1</v>
      </c>
      <c r="B427" s="567"/>
      <c r="C427" s="567"/>
      <c r="D427" s="567"/>
      <c r="E427" s="567"/>
      <c r="F427" s="567"/>
      <c r="G427" s="568"/>
      <c r="H427" s="1086" t="s">
        <v>520</v>
      </c>
      <c r="I427" s="1087"/>
      <c r="J427" s="1087"/>
      <c r="K427" s="1088"/>
      <c r="M427" s="577" t="s">
        <v>1</v>
      </c>
      <c r="N427" s="567"/>
      <c r="O427" s="567"/>
      <c r="P427" s="567"/>
      <c r="Q427" s="567"/>
      <c r="R427" s="567"/>
      <c r="S427" s="585" t="s">
        <v>520</v>
      </c>
      <c r="T427" s="586"/>
      <c r="U427" s="586"/>
      <c r="V427" s="587"/>
      <c r="AA427" s="611"/>
    </row>
    <row r="428" spans="1:27" ht="69" customHeight="1" x14ac:dyDescent="0.2">
      <c r="A428" s="242"/>
      <c r="B428" s="243"/>
      <c r="C428" s="243"/>
      <c r="D428" s="243"/>
      <c r="E428" s="243"/>
      <c r="F428" s="243"/>
      <c r="G428" s="244"/>
      <c r="H428" s="242"/>
      <c r="I428" s="243"/>
      <c r="J428" s="243"/>
      <c r="K428" s="244"/>
      <c r="M428" s="242"/>
      <c r="N428" s="243"/>
      <c r="O428" s="243"/>
      <c r="P428" s="243"/>
      <c r="Q428" s="243"/>
      <c r="R428" s="243"/>
      <c r="S428" s="242"/>
      <c r="T428" s="243"/>
      <c r="U428" s="243"/>
      <c r="V428" s="244"/>
      <c r="AA428" s="611"/>
    </row>
    <row r="429" spans="1:27" x14ac:dyDescent="0.2">
      <c r="AA429" s="611"/>
    </row>
    <row r="430" spans="1:27" ht="6.75" customHeight="1" x14ac:dyDescent="0.2">
      <c r="AA430" s="611"/>
    </row>
    <row r="431" spans="1:27" s="218" customFormat="1" ht="23.25" customHeight="1" x14ac:dyDescent="0.2">
      <c r="A431" s="218" t="s">
        <v>628</v>
      </c>
      <c r="B431" s="1103">
        <f>B398+1</f>
        <v>14</v>
      </c>
      <c r="C431" s="1104"/>
      <c r="D431" s="569"/>
      <c r="E431" s="218" t="str">
        <f>Championnat</f>
        <v>Championnat de France de Tir à l'ARC</v>
      </c>
      <c r="P431" s="1192"/>
      <c r="Q431" s="1192"/>
      <c r="R431" s="1192"/>
      <c r="S431" s="1192"/>
      <c r="T431" s="1193" t="str">
        <f>CATEG_IMPORTEE</f>
        <v>Collèges Mixtes Etablissement</v>
      </c>
      <c r="U431" s="1193"/>
      <c r="V431" s="1193"/>
      <c r="W431" s="1193"/>
      <c r="X431" s="1193"/>
      <c r="Y431" s="1193"/>
      <c r="Z431" s="1193"/>
      <c r="AA431" s="609"/>
    </row>
    <row r="432" spans="1:27" ht="27" customHeight="1" thickBot="1" x14ac:dyDescent="0.25">
      <c r="A432" s="1069" t="s">
        <v>0</v>
      </c>
      <c r="B432" s="1069"/>
      <c r="C432" s="1069"/>
      <c r="D432" s="1069"/>
      <c r="E432" s="1069"/>
      <c r="F432" s="1069"/>
      <c r="G432" s="1069"/>
      <c r="H432" s="1069"/>
      <c r="I432" s="1125" t="s">
        <v>374</v>
      </c>
      <c r="J432" s="1125"/>
      <c r="K432" s="1125"/>
      <c r="L432" s="1125"/>
      <c r="M432" s="1125"/>
      <c r="N432" s="1069"/>
      <c r="O432" s="595"/>
      <c r="P432" s="1192"/>
      <c r="Q432" s="1192"/>
      <c r="R432" s="1192"/>
      <c r="S432" s="1192"/>
      <c r="T432" s="1184" t="str">
        <f>LIEU&amp;" du "&amp;DATE</f>
        <v>L’Isle sur la Sorgue du 27 au 31 mars 2023</v>
      </c>
      <c r="U432" s="1184"/>
      <c r="V432" s="1184"/>
      <c r="W432" s="1184"/>
      <c r="X432" s="1184"/>
      <c r="Y432" s="1184"/>
      <c r="Z432" s="1184"/>
      <c r="AA432" s="608"/>
    </row>
    <row r="433" spans="1:27" ht="24" customHeight="1" thickBot="1" x14ac:dyDescent="0.25">
      <c r="A433" s="1185" t="e">
        <f>VLOOKUP(H437,ID_archer_cible,2,FALSE)</f>
        <v>#N/A</v>
      </c>
      <c r="B433" s="1186"/>
      <c r="C433" s="1186"/>
      <c r="D433" s="1186"/>
      <c r="E433" s="1186"/>
      <c r="F433" s="1186"/>
      <c r="G433" s="1186"/>
      <c r="H433" s="1187"/>
      <c r="I433" s="1185" t="e">
        <f>VLOOKUP(H437,ID_archer_cible,4,FALSE)</f>
        <v>#N/A</v>
      </c>
      <c r="J433" s="1186"/>
      <c r="K433" s="1186"/>
      <c r="L433" s="1186"/>
      <c r="M433" s="1186"/>
      <c r="N433" s="1187"/>
      <c r="O433" s="596"/>
      <c r="P433" s="1192"/>
      <c r="Q433" s="1192"/>
      <c r="R433" s="1192"/>
      <c r="S433" s="1192"/>
      <c r="T433" s="520"/>
      <c r="U433" s="520"/>
      <c r="V433" s="520"/>
      <c r="W433" s="520"/>
      <c r="X433" s="520"/>
      <c r="Y433" s="520"/>
      <c r="Z433" s="520"/>
      <c r="AA433" s="520"/>
    </row>
    <row r="434" spans="1:27" ht="6" customHeight="1" x14ac:dyDescent="0.2">
      <c r="I434" s="1188" t="e">
        <f>"("&amp;VLOOKUP(H437,ID_archer_cible,3,FALSE)&amp;")"</f>
        <v>#N/A</v>
      </c>
      <c r="J434" s="1188"/>
      <c r="K434" s="1188"/>
      <c r="L434" s="1188"/>
      <c r="M434" s="1188"/>
      <c r="N434" s="1188"/>
      <c r="P434" s="1192"/>
      <c r="Q434" s="1192"/>
      <c r="R434" s="1192"/>
      <c r="S434" s="1192"/>
      <c r="AA434" s="611"/>
    </row>
    <row r="435" spans="1:27" ht="17.25" customHeight="1" x14ac:dyDescent="0.2">
      <c r="E435" s="584"/>
      <c r="F435" s="584"/>
      <c r="G435" s="584"/>
      <c r="H435" s="584"/>
      <c r="I435" s="1189"/>
      <c r="J435" s="1189"/>
      <c r="K435" s="1189"/>
      <c r="L435" s="1189"/>
      <c r="M435" s="1189"/>
      <c r="N435" s="1189"/>
      <c r="P435" s="1192"/>
      <c r="Q435" s="1192"/>
      <c r="R435" s="1192"/>
      <c r="S435" s="1192"/>
      <c r="AA435" s="611"/>
    </row>
    <row r="436" spans="1:27" ht="23.25" customHeight="1" x14ac:dyDescent="0.2">
      <c r="A436" s="593" t="s">
        <v>906</v>
      </c>
      <c r="B436" s="588"/>
      <c r="C436" s="588"/>
      <c r="D436" s="588"/>
      <c r="E436" s="588"/>
      <c r="F436" s="588"/>
      <c r="G436" s="588"/>
      <c r="H436" s="594" t="s">
        <v>552</v>
      </c>
      <c r="I436" s="573" t="s">
        <v>893</v>
      </c>
      <c r="J436" s="1075" t="s">
        <v>550</v>
      </c>
      <c r="K436" s="1075"/>
      <c r="L436" s="573" t="s">
        <v>905</v>
      </c>
      <c r="M436" s="252" t="s">
        <v>551</v>
      </c>
      <c r="S436" s="573" t="s">
        <v>905</v>
      </c>
      <c r="T436" s="573" t="s">
        <v>893</v>
      </c>
      <c r="U436" s="573" t="s">
        <v>893</v>
      </c>
      <c r="V436" s="1075" t="s">
        <v>550</v>
      </c>
      <c r="W436" s="1075"/>
      <c r="X436" s="252" t="s">
        <v>551</v>
      </c>
      <c r="Y436" s="571"/>
      <c r="Z436" s="571"/>
      <c r="AA436" s="612"/>
    </row>
    <row r="437" spans="1:27" ht="23.25" customHeight="1" x14ac:dyDescent="0.2">
      <c r="A437" s="580" t="e">
        <f>VLOOKUP(H437,ID_archer_cible,5,FALSE)&amp;"    "&amp;VLOOKUP(H437,ID_archer_cible,6,FALSE)</f>
        <v>#N/A</v>
      </c>
      <c r="B437" s="581"/>
      <c r="C437" s="582"/>
      <c r="D437" s="575"/>
      <c r="E437" s="223"/>
      <c r="F437" s="223"/>
      <c r="G437" s="223"/>
      <c r="H437" s="589" t="str">
        <f>B431&amp;"A"</f>
        <v>14A</v>
      </c>
      <c r="I437" s="574" t="e">
        <f>VLOOKUP(H437,ID_archer_cible,9,FALSE)</f>
        <v>#N/A</v>
      </c>
      <c r="J437" s="1075" t="e">
        <f>VLOOKUP(H437,ID_archer_cible,8,FALSE)</f>
        <v>#N/A</v>
      </c>
      <c r="K437" s="1075"/>
      <c r="L437" s="610" t="e">
        <f>VLOOKUP(H437,ID_archer_cible,7,FALSE)</f>
        <v>#N/A</v>
      </c>
      <c r="M437" s="589" t="e">
        <f>VLOOKUP(H437,ID_archer_cible,10,FALSE)</f>
        <v>#N/A</v>
      </c>
      <c r="N437" s="597" t="e">
        <f>VLOOKUP(T437,ID_archer_cible,5,FALSE)&amp;"    "&amp;VLOOKUP(T437,ID_archer_cible,6,FALSE)</f>
        <v>#N/A</v>
      </c>
      <c r="O437" s="581"/>
      <c r="P437" s="582"/>
      <c r="Q437" s="575"/>
      <c r="R437" s="223"/>
      <c r="S437" s="579" t="e">
        <f>VLOOKUP(T437,ID_archer_cible,7,FALSE)</f>
        <v>#N/A</v>
      </c>
      <c r="T437" s="589" t="str">
        <f>B431&amp;"C"</f>
        <v>14C</v>
      </c>
      <c r="U437" s="574" t="e">
        <f>VLOOKUP(T437,ID_archer_cible,9,FALSE)</f>
        <v>#N/A</v>
      </c>
      <c r="V437" s="1172" t="e">
        <f>VLOOKUP(T437,ID_archer_cible,8,FALSE)</f>
        <v>#N/A</v>
      </c>
      <c r="W437" s="1173"/>
      <c r="X437" s="574" t="e">
        <f>VLOOKUP(T437,ID_archer_cible,10,FALSE)</f>
        <v>#N/A</v>
      </c>
      <c r="AA437" s="611"/>
    </row>
    <row r="438" spans="1:27" ht="23.25" customHeight="1" x14ac:dyDescent="0.2">
      <c r="A438" s="580" t="e">
        <f>VLOOKUP(H438,ID_archer_cible,5,FALSE)&amp;"    "&amp;VLOOKUP(H438,ID_archer_cible,6,FALSE)</f>
        <v>#N/A</v>
      </c>
      <c r="B438" s="581"/>
      <c r="C438" s="582"/>
      <c r="D438" s="575"/>
      <c r="E438" s="223"/>
      <c r="F438" s="223"/>
      <c r="G438" s="223"/>
      <c r="H438" s="589" t="str">
        <f>B431&amp;"B"</f>
        <v>14B</v>
      </c>
      <c r="I438" s="574" t="e">
        <f>VLOOKUP(H438,ID_archer_cible,9,FALSE)</f>
        <v>#N/A</v>
      </c>
      <c r="J438" s="1075" t="e">
        <f>VLOOKUP(H438,ID_archer_cible,8,FALSE)</f>
        <v>#N/A</v>
      </c>
      <c r="K438" s="1075"/>
      <c r="L438" s="610" t="e">
        <f>VLOOKUP(H438,ID_archer_cible,7,FALSE)</f>
        <v>#N/A</v>
      </c>
      <c r="M438" s="589" t="e">
        <f>VLOOKUP(H438,ID_archer_cible,10,FALSE)</f>
        <v>#N/A</v>
      </c>
      <c r="N438" s="597" t="e">
        <f>VLOOKUP(T438,ID_archer_cible,5,FALSE)&amp;"    "&amp;VLOOKUP(T438,ID_archer_cible,6,FALSE)</f>
        <v>#N/A</v>
      </c>
      <c r="O438" s="581"/>
      <c r="P438" s="582"/>
      <c r="Q438" s="575"/>
      <c r="R438" s="223"/>
      <c r="S438" s="579" t="e">
        <f>VLOOKUP(T438,ID_archer_cible,7,FALSE)</f>
        <v>#N/A</v>
      </c>
      <c r="T438" s="589" t="str">
        <f>B431&amp;"D"</f>
        <v>14D</v>
      </c>
      <c r="U438" s="574" t="e">
        <f>VLOOKUP(T438,ID_archer_cible,9,FALSE)</f>
        <v>#N/A</v>
      </c>
      <c r="V438" s="1172" t="e">
        <f>VLOOKUP(T438,ID_archer_cible,8,FALSE)</f>
        <v>#N/A</v>
      </c>
      <c r="W438" s="1173"/>
      <c r="X438" s="574" t="e">
        <f>VLOOKUP(T438,ID_archer_cible,10,FALSE)</f>
        <v>#N/A</v>
      </c>
      <c r="AA438" s="611"/>
    </row>
    <row r="439" spans="1:27" ht="15" customHeight="1" thickBot="1" x14ac:dyDescent="0.25">
      <c r="AA439" s="611"/>
    </row>
    <row r="440" spans="1:27" ht="20.25" customHeight="1" thickBot="1" x14ac:dyDescent="0.25">
      <c r="F440" s="1174" t="s">
        <v>555</v>
      </c>
      <c r="G440" s="1175"/>
      <c r="H440" s="1175"/>
      <c r="I440" s="1175"/>
      <c r="J440" s="1175"/>
      <c r="K440" s="1175"/>
      <c r="L440" s="1176"/>
      <c r="M440" s="1174" t="s">
        <v>556</v>
      </c>
      <c r="N440" s="1175"/>
      <c r="O440" s="1175"/>
      <c r="P440" s="1175"/>
      <c r="Q440" s="1175"/>
      <c r="R440" s="1175"/>
      <c r="S440" s="1176"/>
      <c r="T440" s="1174" t="s">
        <v>557</v>
      </c>
      <c r="U440" s="1175"/>
      <c r="V440" s="1175"/>
      <c r="W440" s="1175"/>
      <c r="X440" s="1175"/>
      <c r="Y440" s="1175"/>
      <c r="Z440" s="1176"/>
      <c r="AA440" s="613"/>
    </row>
    <row r="441" spans="1:27" ht="30.75" customHeight="1" x14ac:dyDescent="0.2">
      <c r="A441" s="1171" t="s">
        <v>559</v>
      </c>
      <c r="B441" s="1171"/>
      <c r="C441" s="1171"/>
      <c r="D441" s="1171"/>
      <c r="E441" s="1181"/>
      <c r="F441" s="1179" t="s">
        <v>560</v>
      </c>
      <c r="G441" s="1180"/>
      <c r="H441" s="1180"/>
      <c r="I441" s="306"/>
      <c r="J441" s="306"/>
      <c r="K441" s="307"/>
      <c r="L441" s="572" t="s">
        <v>7</v>
      </c>
      <c r="M441" s="1179" t="s">
        <v>560</v>
      </c>
      <c r="N441" s="1180"/>
      <c r="O441" s="1180"/>
      <c r="P441" s="306"/>
      <c r="Q441" s="306"/>
      <c r="R441" s="307"/>
      <c r="S441" s="572" t="s">
        <v>7</v>
      </c>
      <c r="T441" s="1179" t="s">
        <v>560</v>
      </c>
      <c r="U441" s="1180"/>
      <c r="V441" s="1180"/>
      <c r="W441" s="306"/>
      <c r="X441" s="306"/>
      <c r="Y441" s="307"/>
      <c r="Z441" s="572" t="s">
        <v>7</v>
      </c>
      <c r="AA441" s="614"/>
    </row>
    <row r="442" spans="1:27" ht="30.75" customHeight="1" x14ac:dyDescent="0.2">
      <c r="A442" s="1168" t="e">
        <f>A437</f>
        <v>#N/A</v>
      </c>
      <c r="B442" s="1169"/>
      <c r="C442" s="1169"/>
      <c r="D442" s="1169"/>
      <c r="E442" s="1170"/>
      <c r="F442" s="228"/>
      <c r="G442" s="229"/>
      <c r="H442" s="229"/>
      <c r="I442" s="229"/>
      <c r="J442" s="229"/>
      <c r="K442" s="230" t="s">
        <v>561</v>
      </c>
      <c r="L442" s="231"/>
      <c r="M442" s="228"/>
      <c r="N442" s="229"/>
      <c r="O442" s="229"/>
      <c r="P442" s="229"/>
      <c r="Q442" s="229"/>
      <c r="R442" s="230" t="s">
        <v>561</v>
      </c>
      <c r="S442" s="231"/>
      <c r="T442" s="228"/>
      <c r="U442" s="229"/>
      <c r="V442" s="229"/>
      <c r="W442" s="229"/>
      <c r="X442" s="229"/>
      <c r="Y442" s="230" t="s">
        <v>561</v>
      </c>
      <c r="Z442" s="231"/>
      <c r="AA442" s="611"/>
    </row>
    <row r="443" spans="1:27" ht="30.75" customHeight="1" x14ac:dyDescent="0.2">
      <c r="A443" s="1168" t="e">
        <f>A438</f>
        <v>#N/A</v>
      </c>
      <c r="B443" s="1169"/>
      <c r="C443" s="1169"/>
      <c r="D443" s="1169"/>
      <c r="E443" s="1170"/>
      <c r="F443" s="228"/>
      <c r="G443" s="229"/>
      <c r="H443" s="229"/>
      <c r="I443" s="229"/>
      <c r="J443" s="229"/>
      <c r="K443" s="230" t="s">
        <v>561</v>
      </c>
      <c r="L443" s="231"/>
      <c r="M443" s="228"/>
      <c r="N443" s="229"/>
      <c r="O443" s="229"/>
      <c r="P443" s="229"/>
      <c r="Q443" s="229"/>
      <c r="R443" s="230" t="s">
        <v>561</v>
      </c>
      <c r="S443" s="231"/>
      <c r="T443" s="228"/>
      <c r="U443" s="229"/>
      <c r="V443" s="229"/>
      <c r="W443" s="229"/>
      <c r="X443" s="229"/>
      <c r="Y443" s="230" t="s">
        <v>561</v>
      </c>
      <c r="Z443" s="231"/>
      <c r="AA443" s="611"/>
    </row>
    <row r="444" spans="1:27" ht="30.75" customHeight="1" x14ac:dyDescent="0.2">
      <c r="A444" s="1168" t="e">
        <f>N437</f>
        <v>#N/A</v>
      </c>
      <c r="B444" s="1169"/>
      <c r="C444" s="1169"/>
      <c r="D444" s="1169"/>
      <c r="E444" s="1170"/>
      <c r="F444" s="228"/>
      <c r="G444" s="229"/>
      <c r="H444" s="229"/>
      <c r="I444" s="229"/>
      <c r="J444" s="229"/>
      <c r="K444" s="230" t="s">
        <v>561</v>
      </c>
      <c r="L444" s="231"/>
      <c r="M444" s="228"/>
      <c r="N444" s="229"/>
      <c r="O444" s="229"/>
      <c r="P444" s="229"/>
      <c r="Q444" s="229"/>
      <c r="R444" s="230" t="s">
        <v>561</v>
      </c>
      <c r="S444" s="231"/>
      <c r="T444" s="228"/>
      <c r="U444" s="229"/>
      <c r="V444" s="229"/>
      <c r="W444" s="229"/>
      <c r="X444" s="229"/>
      <c r="Y444" s="230" t="s">
        <v>561</v>
      </c>
      <c r="Z444" s="231"/>
      <c r="AA444" s="611"/>
    </row>
    <row r="445" spans="1:27" ht="30.75" customHeight="1" thickBot="1" x14ac:dyDescent="0.25">
      <c r="A445" s="1168" t="e">
        <f>N438</f>
        <v>#N/A</v>
      </c>
      <c r="B445" s="1169"/>
      <c r="C445" s="1169"/>
      <c r="D445" s="1169"/>
      <c r="E445" s="1170"/>
      <c r="F445" s="228"/>
      <c r="G445" s="229"/>
      <c r="H445" s="229"/>
      <c r="I445" s="229"/>
      <c r="J445" s="229"/>
      <c r="K445" s="230" t="s">
        <v>561</v>
      </c>
      <c r="L445" s="232"/>
      <c r="M445" s="228"/>
      <c r="N445" s="229"/>
      <c r="O445" s="229"/>
      <c r="P445" s="229"/>
      <c r="Q445" s="229"/>
      <c r="R445" s="230" t="s">
        <v>561</v>
      </c>
      <c r="S445" s="232"/>
      <c r="T445" s="228"/>
      <c r="U445" s="229"/>
      <c r="V445" s="229"/>
      <c r="W445" s="229"/>
      <c r="X445" s="229"/>
      <c r="Y445" s="230" t="s">
        <v>561</v>
      </c>
      <c r="Z445" s="232"/>
      <c r="AA445" s="611"/>
    </row>
    <row r="446" spans="1:27" ht="30.75" customHeight="1" thickBot="1" x14ac:dyDescent="0.25">
      <c r="F446" s="1177" t="s">
        <v>562</v>
      </c>
      <c r="G446" s="1178"/>
      <c r="H446" s="1178"/>
      <c r="I446" s="235"/>
      <c r="J446" s="235"/>
      <c r="K446" s="237" t="s">
        <v>561</v>
      </c>
      <c r="L446" s="239"/>
      <c r="M446" s="1177" t="s">
        <v>563</v>
      </c>
      <c r="N446" s="1178"/>
      <c r="O446" s="1178"/>
      <c r="P446" s="235"/>
      <c r="Q446" s="235"/>
      <c r="R446" s="237" t="s">
        <v>561</v>
      </c>
      <c r="S446" s="239"/>
      <c r="T446" s="1177" t="s">
        <v>564</v>
      </c>
      <c r="U446" s="1178"/>
      <c r="V446" s="1178"/>
      <c r="W446" s="235"/>
      <c r="X446" s="235"/>
      <c r="Y446" s="237" t="s">
        <v>561</v>
      </c>
      <c r="Z446" s="239"/>
      <c r="AA446" s="615"/>
    </row>
    <row r="447" spans="1:27" ht="9" customHeight="1" thickBot="1" x14ac:dyDescent="0.25">
      <c r="H447" s="249"/>
      <c r="I447" s="249"/>
      <c r="J447" s="249"/>
      <c r="K447" s="249"/>
      <c r="L447" s="249"/>
      <c r="M447" s="249"/>
      <c r="N447" s="249"/>
      <c r="O447" s="249"/>
      <c r="P447" s="249"/>
      <c r="Q447" s="249"/>
      <c r="R447" s="230"/>
      <c r="T447" s="249"/>
      <c r="U447" s="249"/>
      <c r="V447" s="249"/>
      <c r="W447" s="249"/>
      <c r="X447" s="249"/>
      <c r="Y447" s="230"/>
      <c r="AA447" s="611"/>
    </row>
    <row r="448" spans="1:27" ht="30.75" customHeight="1" thickBot="1" x14ac:dyDescent="0.25">
      <c r="F448" s="1174" t="s">
        <v>558</v>
      </c>
      <c r="G448" s="1175"/>
      <c r="H448" s="1175"/>
      <c r="I448" s="1175"/>
      <c r="J448" s="1175"/>
      <c r="K448" s="1175"/>
      <c r="L448" s="1176"/>
      <c r="M448" s="1174" t="s">
        <v>902</v>
      </c>
      <c r="N448" s="1175"/>
      <c r="O448" s="1175"/>
      <c r="P448" s="1175"/>
      <c r="Q448" s="1175"/>
      <c r="R448" s="1175"/>
      <c r="S448" s="1176"/>
      <c r="T448" s="1174" t="s">
        <v>907</v>
      </c>
      <c r="U448" s="1175"/>
      <c r="V448" s="1175"/>
      <c r="W448" s="1175"/>
      <c r="X448" s="1175"/>
      <c r="Y448" s="1175"/>
      <c r="Z448" s="1176"/>
      <c r="AA448" s="613"/>
    </row>
    <row r="449" spans="1:27" ht="30.75" customHeight="1" x14ac:dyDescent="0.2">
      <c r="A449" s="1171" t="str">
        <f>A441</f>
        <v>NOM - PRENOM</v>
      </c>
      <c r="B449" s="1171"/>
      <c r="C449" s="1171"/>
      <c r="D449" s="1171"/>
      <c r="E449" s="1181"/>
      <c r="F449" s="1179" t="s">
        <v>560</v>
      </c>
      <c r="G449" s="1180"/>
      <c r="H449" s="1180"/>
      <c r="I449" s="306"/>
      <c r="J449" s="306"/>
      <c r="K449" s="307"/>
      <c r="L449" s="572" t="s">
        <v>7</v>
      </c>
      <c r="M449" s="1179" t="s">
        <v>560</v>
      </c>
      <c r="N449" s="1180"/>
      <c r="O449" s="1180"/>
      <c r="P449" s="306"/>
      <c r="Q449" s="306"/>
      <c r="R449" s="307"/>
      <c r="S449" s="572" t="s">
        <v>7</v>
      </c>
      <c r="T449" s="1179" t="s">
        <v>560</v>
      </c>
      <c r="U449" s="1180"/>
      <c r="V449" s="1180"/>
      <c r="W449" s="306"/>
      <c r="X449" s="306"/>
      <c r="Y449" s="307"/>
      <c r="Z449" s="572" t="s">
        <v>7</v>
      </c>
      <c r="AA449" s="614"/>
    </row>
    <row r="450" spans="1:27" ht="30.75" customHeight="1" x14ac:dyDescent="0.2">
      <c r="A450" s="605" t="e">
        <f>A442</f>
        <v>#N/A</v>
      </c>
      <c r="B450" s="606"/>
      <c r="C450" s="606"/>
      <c r="D450" s="606"/>
      <c r="E450" s="607"/>
      <c r="F450" s="228"/>
      <c r="G450" s="229"/>
      <c r="H450" s="229"/>
      <c r="I450" s="229"/>
      <c r="J450" s="229"/>
      <c r="K450" s="230" t="s">
        <v>561</v>
      </c>
      <c r="L450" s="231"/>
      <c r="M450" s="228"/>
      <c r="N450" s="229"/>
      <c r="O450" s="229"/>
      <c r="P450" s="229"/>
      <c r="Q450" s="229"/>
      <c r="R450" s="230" t="s">
        <v>561</v>
      </c>
      <c r="S450" s="231"/>
      <c r="T450" s="228"/>
      <c r="U450" s="229"/>
      <c r="V450" s="229"/>
      <c r="W450" s="229"/>
      <c r="X450" s="229"/>
      <c r="Y450" s="230" t="s">
        <v>561</v>
      </c>
      <c r="Z450" s="231"/>
      <c r="AA450" s="611"/>
    </row>
    <row r="451" spans="1:27" ht="30.75" customHeight="1" x14ac:dyDescent="0.2">
      <c r="A451" s="605" t="e">
        <f>A443</f>
        <v>#N/A</v>
      </c>
      <c r="B451" s="606"/>
      <c r="C451" s="606"/>
      <c r="D451" s="606"/>
      <c r="E451" s="607"/>
      <c r="F451" s="228"/>
      <c r="G451" s="229"/>
      <c r="H451" s="229"/>
      <c r="I451" s="229"/>
      <c r="J451" s="229"/>
      <c r="K451" s="230" t="s">
        <v>561</v>
      </c>
      <c r="L451" s="231"/>
      <c r="M451" s="228"/>
      <c r="N451" s="229"/>
      <c r="O451" s="229"/>
      <c r="P451" s="229"/>
      <c r="Q451" s="229"/>
      <c r="R451" s="230" t="s">
        <v>561</v>
      </c>
      <c r="S451" s="231"/>
      <c r="T451" s="228"/>
      <c r="U451" s="229"/>
      <c r="V451" s="229"/>
      <c r="W451" s="229"/>
      <c r="X451" s="229"/>
      <c r="Y451" s="230" t="s">
        <v>561</v>
      </c>
      <c r="Z451" s="231"/>
      <c r="AA451" s="611"/>
    </row>
    <row r="452" spans="1:27" ht="30.75" customHeight="1" x14ac:dyDescent="0.2">
      <c r="A452" s="605" t="e">
        <f>A444</f>
        <v>#N/A</v>
      </c>
      <c r="B452" s="606"/>
      <c r="C452" s="606"/>
      <c r="D452" s="606"/>
      <c r="E452" s="607"/>
      <c r="F452" s="228"/>
      <c r="G452" s="229"/>
      <c r="H452" s="229"/>
      <c r="I452" s="229"/>
      <c r="J452" s="229"/>
      <c r="K452" s="230" t="s">
        <v>561</v>
      </c>
      <c r="L452" s="231"/>
      <c r="M452" s="228"/>
      <c r="N452" s="229"/>
      <c r="O452" s="229"/>
      <c r="P452" s="229"/>
      <c r="Q452" s="229"/>
      <c r="R452" s="230" t="s">
        <v>561</v>
      </c>
      <c r="S452" s="231"/>
      <c r="T452" s="228"/>
      <c r="U452" s="229"/>
      <c r="V452" s="229"/>
      <c r="W452" s="229"/>
      <c r="X452" s="229"/>
      <c r="Y452" s="230" t="s">
        <v>561</v>
      </c>
      <c r="Z452" s="231"/>
      <c r="AA452" s="611"/>
    </row>
    <row r="453" spans="1:27" ht="30.75" customHeight="1" thickBot="1" x14ac:dyDescent="0.25">
      <c r="A453" s="605" t="e">
        <f>A445</f>
        <v>#N/A</v>
      </c>
      <c r="B453" s="606"/>
      <c r="C453" s="606"/>
      <c r="D453" s="606"/>
      <c r="E453" s="607"/>
      <c r="F453" s="228"/>
      <c r="G453" s="229"/>
      <c r="H453" s="229"/>
      <c r="I453" s="229"/>
      <c r="J453" s="229"/>
      <c r="K453" s="230" t="s">
        <v>561</v>
      </c>
      <c r="L453" s="232"/>
      <c r="M453" s="228"/>
      <c r="N453" s="229"/>
      <c r="O453" s="229"/>
      <c r="P453" s="229"/>
      <c r="Q453" s="229"/>
      <c r="R453" s="230" t="s">
        <v>561</v>
      </c>
      <c r="S453" s="232"/>
      <c r="T453" s="228"/>
      <c r="U453" s="229"/>
      <c r="V453" s="229"/>
      <c r="W453" s="229"/>
      <c r="X453" s="229"/>
      <c r="Y453" s="230" t="s">
        <v>561</v>
      </c>
      <c r="Z453" s="232"/>
      <c r="AA453" s="611"/>
    </row>
    <row r="454" spans="1:27" ht="24" customHeight="1" thickBot="1" x14ac:dyDescent="0.25">
      <c r="F454" s="1177" t="s">
        <v>565</v>
      </c>
      <c r="G454" s="1178"/>
      <c r="H454" s="1178"/>
      <c r="I454" s="235"/>
      <c r="J454" s="235"/>
      <c r="K454" s="237" t="s">
        <v>561</v>
      </c>
      <c r="L454" s="239"/>
      <c r="M454" s="1177" t="s">
        <v>903</v>
      </c>
      <c r="N454" s="1178"/>
      <c r="O454" s="1178"/>
      <c r="P454" s="235"/>
      <c r="Q454" s="235"/>
      <c r="R454" s="237" t="s">
        <v>561</v>
      </c>
      <c r="S454" s="239"/>
      <c r="T454" s="1177" t="s">
        <v>904</v>
      </c>
      <c r="U454" s="1178"/>
      <c r="V454" s="1178"/>
      <c r="W454" s="235"/>
      <c r="X454" s="235"/>
      <c r="Y454" s="237" t="s">
        <v>561</v>
      </c>
      <c r="Z454" s="239"/>
      <c r="AA454" s="611"/>
    </row>
    <row r="455" spans="1:27" ht="8.25" customHeight="1" thickBot="1" x14ac:dyDescent="0.25">
      <c r="A455" s="592"/>
      <c r="B455" s="592"/>
      <c r="C455" s="592"/>
      <c r="D455" s="592"/>
      <c r="E455" s="592"/>
      <c r="F455" s="249"/>
      <c r="G455" s="249"/>
      <c r="H455" s="249"/>
      <c r="I455" s="249"/>
      <c r="J455" s="249"/>
      <c r="K455" s="230"/>
      <c r="L455" s="249"/>
      <c r="M455" s="230"/>
      <c r="N455" s="249"/>
      <c r="O455" s="230"/>
      <c r="P455" s="249"/>
      <c r="Q455" s="230"/>
      <c r="R455" s="249"/>
      <c r="S455" s="230"/>
      <c r="T455" s="249"/>
      <c r="U455" s="230"/>
      <c r="V455" s="249"/>
      <c r="W455" s="249"/>
      <c r="X455" s="249"/>
      <c r="Y455" s="230"/>
      <c r="AA455" s="611"/>
    </row>
    <row r="456" spans="1:27" ht="16.5" customHeight="1" thickBot="1" x14ac:dyDescent="0.25">
      <c r="A456" s="1200" t="s">
        <v>915</v>
      </c>
      <c r="B456" s="1200"/>
      <c r="C456" s="1200"/>
      <c r="D456" s="1200"/>
      <c r="E456" s="249"/>
      <c r="F456" s="1198" t="s">
        <v>909</v>
      </c>
      <c r="G456" s="1199"/>
      <c r="H456" s="1199"/>
      <c r="I456" s="1198" t="s">
        <v>910</v>
      </c>
      <c r="J456" s="1199"/>
      <c r="K456" s="1199"/>
      <c r="L456" s="1198" t="s">
        <v>911</v>
      </c>
      <c r="M456" s="1199"/>
      <c r="N456" s="1199"/>
      <c r="O456" s="1198" t="s">
        <v>912</v>
      </c>
      <c r="P456" s="1199"/>
      <c r="Q456" s="1199"/>
      <c r="R456" s="1198" t="s">
        <v>913</v>
      </c>
      <c r="S456" s="1199"/>
      <c r="T456" s="1199"/>
      <c r="U456" s="1198" t="s">
        <v>916</v>
      </c>
      <c r="V456" s="1199"/>
      <c r="W456" s="1199"/>
      <c r="X456" s="1194" t="s">
        <v>908</v>
      </c>
      <c r="Y456" s="1195"/>
      <c r="Z456" s="1196"/>
      <c r="AA456" s="616"/>
    </row>
    <row r="457" spans="1:27" ht="30.75" customHeight="1" x14ac:dyDescent="0.2">
      <c r="A457" s="1200"/>
      <c r="B457" s="1200"/>
      <c r="C457" s="1200"/>
      <c r="D457" s="1200"/>
      <c r="E457" s="249"/>
      <c r="F457" s="1197"/>
      <c r="G457" s="1197"/>
      <c r="H457" s="1197"/>
      <c r="I457" s="1197"/>
      <c r="J457" s="1197"/>
      <c r="K457" s="1197"/>
      <c r="L457" s="1197"/>
      <c r="M457" s="1197"/>
      <c r="N457" s="1197"/>
      <c r="O457" s="1197"/>
      <c r="P457" s="1197"/>
      <c r="Q457" s="1197"/>
      <c r="R457" s="1197"/>
      <c r="S457" s="1197"/>
      <c r="T457" s="1197"/>
      <c r="U457" s="1197"/>
      <c r="V457" s="1197"/>
      <c r="W457" s="1197"/>
      <c r="X457" s="1162"/>
      <c r="Y457" s="1163"/>
      <c r="Z457" s="1164"/>
      <c r="AA457" s="614"/>
    </row>
    <row r="458" spans="1:27" ht="30.75" customHeight="1" thickBot="1" x14ac:dyDescent="0.25">
      <c r="A458" s="1200"/>
      <c r="B458" s="1200"/>
      <c r="C458" s="1200"/>
      <c r="D458" s="1200"/>
      <c r="E458" s="249"/>
      <c r="F458" s="1201" t="s">
        <v>914</v>
      </c>
      <c r="G458" s="1201"/>
      <c r="H458" s="1201"/>
      <c r="I458" s="1197"/>
      <c r="J458" s="1197"/>
      <c r="K458" s="1197"/>
      <c r="L458" s="1197"/>
      <c r="M458" s="1197"/>
      <c r="N458" s="1197"/>
      <c r="O458" s="1197"/>
      <c r="P458" s="1197"/>
      <c r="Q458" s="1197"/>
      <c r="R458" s="1197"/>
      <c r="S458" s="1197"/>
      <c r="T458" s="1197"/>
      <c r="U458" s="1197"/>
      <c r="V458" s="1197"/>
      <c r="W458" s="1197"/>
      <c r="X458" s="1165"/>
      <c r="Y458" s="1166"/>
      <c r="Z458" s="1167"/>
      <c r="AA458" s="614"/>
    </row>
    <row r="459" spans="1:27" ht="19.5" customHeight="1" x14ac:dyDescent="0.2">
      <c r="A459" s="578" t="s">
        <v>851</v>
      </c>
      <c r="B459" s="566"/>
      <c r="C459" s="566"/>
      <c r="D459" s="566"/>
      <c r="E459" s="566"/>
      <c r="F459" s="566"/>
      <c r="G459" s="566"/>
      <c r="H459" s="566"/>
      <c r="I459" s="566"/>
      <c r="J459" s="566"/>
      <c r="K459" s="566"/>
      <c r="M459" s="241"/>
      <c r="O459" s="578" t="s">
        <v>522</v>
      </c>
      <c r="P459" s="566"/>
      <c r="Q459" s="566"/>
      <c r="R459" s="566"/>
      <c r="S459" s="566"/>
      <c r="T459" s="566"/>
      <c r="U459" s="566"/>
      <c r="V459" s="566"/>
      <c r="W459" s="520"/>
      <c r="AA459" s="611"/>
    </row>
    <row r="460" spans="1:27" x14ac:dyDescent="0.2">
      <c r="A460" s="577" t="s">
        <v>1</v>
      </c>
      <c r="B460" s="567"/>
      <c r="C460" s="567"/>
      <c r="D460" s="567"/>
      <c r="E460" s="567"/>
      <c r="F460" s="567"/>
      <c r="G460" s="568"/>
      <c r="H460" s="1086" t="s">
        <v>520</v>
      </c>
      <c r="I460" s="1087"/>
      <c r="J460" s="1087"/>
      <c r="K460" s="1088"/>
      <c r="M460" s="577" t="s">
        <v>1</v>
      </c>
      <c r="N460" s="567"/>
      <c r="O460" s="567"/>
      <c r="P460" s="567"/>
      <c r="Q460" s="567"/>
      <c r="R460" s="567"/>
      <c r="S460" s="585" t="s">
        <v>520</v>
      </c>
      <c r="T460" s="586"/>
      <c r="U460" s="586"/>
      <c r="V460" s="587"/>
      <c r="AA460" s="611"/>
    </row>
    <row r="461" spans="1:27" ht="69" customHeight="1" x14ac:dyDescent="0.2">
      <c r="A461" s="242"/>
      <c r="B461" s="243"/>
      <c r="C461" s="243"/>
      <c r="D461" s="243"/>
      <c r="E461" s="243"/>
      <c r="F461" s="243"/>
      <c r="G461" s="244"/>
      <c r="H461" s="242"/>
      <c r="I461" s="243"/>
      <c r="J461" s="243"/>
      <c r="K461" s="244"/>
      <c r="M461" s="242"/>
      <c r="N461" s="243"/>
      <c r="O461" s="243"/>
      <c r="P461" s="243"/>
      <c r="Q461" s="243"/>
      <c r="R461" s="243"/>
      <c r="S461" s="242"/>
      <c r="T461" s="243"/>
      <c r="U461" s="243"/>
      <c r="V461" s="244"/>
      <c r="AA461" s="611"/>
    </row>
    <row r="462" spans="1:27" x14ac:dyDescent="0.2">
      <c r="AA462" s="611"/>
    </row>
    <row r="463" spans="1:27" ht="6.75" customHeight="1" x14ac:dyDescent="0.2">
      <c r="AA463" s="611"/>
    </row>
    <row r="464" spans="1:27" s="218" customFormat="1" ht="23.25" customHeight="1" x14ac:dyDescent="0.2">
      <c r="A464" s="218" t="s">
        <v>628</v>
      </c>
      <c r="B464" s="1103">
        <f>B431+1</f>
        <v>15</v>
      </c>
      <c r="C464" s="1104"/>
      <c r="D464" s="569"/>
      <c r="E464" s="218" t="str">
        <f>Championnat</f>
        <v>Championnat de France de Tir à l'ARC</v>
      </c>
      <c r="P464" s="1192"/>
      <c r="Q464" s="1192"/>
      <c r="R464" s="1192"/>
      <c r="S464" s="1192"/>
      <c r="T464" s="1193" t="str">
        <f>CATEG_IMPORTEE</f>
        <v>Collèges Mixtes Etablissement</v>
      </c>
      <c r="U464" s="1193"/>
      <c r="V464" s="1193"/>
      <c r="W464" s="1193"/>
      <c r="X464" s="1193"/>
      <c r="Y464" s="1193"/>
      <c r="Z464" s="1193"/>
      <c r="AA464" s="609"/>
    </row>
    <row r="465" spans="1:27" ht="27" customHeight="1" thickBot="1" x14ac:dyDescent="0.25">
      <c r="A465" s="1069" t="s">
        <v>0</v>
      </c>
      <c r="B465" s="1069"/>
      <c r="C465" s="1069"/>
      <c r="D465" s="1069"/>
      <c r="E465" s="1069"/>
      <c r="F465" s="1069"/>
      <c r="G465" s="1069"/>
      <c r="H465" s="1069"/>
      <c r="I465" s="1125" t="s">
        <v>374</v>
      </c>
      <c r="J465" s="1125"/>
      <c r="K465" s="1125"/>
      <c r="L465" s="1125"/>
      <c r="M465" s="1125"/>
      <c r="N465" s="1069"/>
      <c r="O465" s="595"/>
      <c r="P465" s="1192"/>
      <c r="Q465" s="1192"/>
      <c r="R465" s="1192"/>
      <c r="S465" s="1192"/>
      <c r="T465" s="1184" t="str">
        <f>LIEU&amp;" du "&amp;DATE</f>
        <v>L’Isle sur la Sorgue du 27 au 31 mars 2023</v>
      </c>
      <c r="U465" s="1184"/>
      <c r="V465" s="1184"/>
      <c r="W465" s="1184"/>
      <c r="X465" s="1184"/>
      <c r="Y465" s="1184"/>
      <c r="Z465" s="1184"/>
      <c r="AA465" s="608"/>
    </row>
    <row r="466" spans="1:27" ht="24" customHeight="1" thickBot="1" x14ac:dyDescent="0.25">
      <c r="A466" s="1185" t="e">
        <f>VLOOKUP(H470,ID_archer_cible,2,FALSE)</f>
        <v>#N/A</v>
      </c>
      <c r="B466" s="1186"/>
      <c r="C466" s="1186"/>
      <c r="D466" s="1186"/>
      <c r="E466" s="1186"/>
      <c r="F466" s="1186"/>
      <c r="G466" s="1186"/>
      <c r="H466" s="1187"/>
      <c r="I466" s="1185" t="e">
        <f>VLOOKUP(H470,ID_archer_cible,4,FALSE)</f>
        <v>#N/A</v>
      </c>
      <c r="J466" s="1186"/>
      <c r="K466" s="1186"/>
      <c r="L466" s="1186"/>
      <c r="M466" s="1186"/>
      <c r="N466" s="1187"/>
      <c r="O466" s="596"/>
      <c r="P466" s="1192"/>
      <c r="Q466" s="1192"/>
      <c r="R466" s="1192"/>
      <c r="S466" s="1192"/>
      <c r="T466" s="520"/>
      <c r="U466" s="520"/>
      <c r="V466" s="520"/>
      <c r="W466" s="520"/>
      <c r="X466" s="520"/>
      <c r="Y466" s="520"/>
      <c r="Z466" s="520"/>
      <c r="AA466" s="520"/>
    </row>
    <row r="467" spans="1:27" ht="6" customHeight="1" x14ac:dyDescent="0.2">
      <c r="I467" s="1188" t="e">
        <f>"("&amp;VLOOKUP(H470,ID_archer_cible,3,FALSE)&amp;")"</f>
        <v>#N/A</v>
      </c>
      <c r="J467" s="1188"/>
      <c r="K467" s="1188"/>
      <c r="L467" s="1188"/>
      <c r="M467" s="1188"/>
      <c r="N467" s="1188"/>
      <c r="P467" s="1192"/>
      <c r="Q467" s="1192"/>
      <c r="R467" s="1192"/>
      <c r="S467" s="1192"/>
      <c r="AA467" s="611"/>
    </row>
    <row r="468" spans="1:27" ht="17.25" customHeight="1" x14ac:dyDescent="0.2">
      <c r="E468" s="584"/>
      <c r="F468" s="584"/>
      <c r="G468" s="584"/>
      <c r="H468" s="584"/>
      <c r="I468" s="1189"/>
      <c r="J468" s="1189"/>
      <c r="K468" s="1189"/>
      <c r="L468" s="1189"/>
      <c r="M468" s="1189"/>
      <c r="N468" s="1189"/>
      <c r="P468" s="1192"/>
      <c r="Q468" s="1192"/>
      <c r="R468" s="1192"/>
      <c r="S468" s="1192"/>
      <c r="AA468" s="611"/>
    </row>
    <row r="469" spans="1:27" ht="23.25" customHeight="1" x14ac:dyDescent="0.2">
      <c r="A469" s="593" t="s">
        <v>906</v>
      </c>
      <c r="B469" s="588"/>
      <c r="C469" s="588"/>
      <c r="D469" s="588"/>
      <c r="E469" s="588"/>
      <c r="F469" s="588"/>
      <c r="G469" s="588"/>
      <c r="H469" s="594" t="s">
        <v>552</v>
      </c>
      <c r="I469" s="573" t="s">
        <v>893</v>
      </c>
      <c r="J469" s="1075" t="s">
        <v>550</v>
      </c>
      <c r="K469" s="1075"/>
      <c r="L469" s="573" t="s">
        <v>905</v>
      </c>
      <c r="M469" s="252" t="s">
        <v>551</v>
      </c>
      <c r="S469" s="573" t="s">
        <v>905</v>
      </c>
      <c r="T469" s="573" t="s">
        <v>893</v>
      </c>
      <c r="U469" s="573" t="s">
        <v>893</v>
      </c>
      <c r="V469" s="1075" t="s">
        <v>550</v>
      </c>
      <c r="W469" s="1075"/>
      <c r="X469" s="252" t="s">
        <v>551</v>
      </c>
      <c r="Y469" s="571"/>
      <c r="Z469" s="571"/>
      <c r="AA469" s="612"/>
    </row>
    <row r="470" spans="1:27" ht="23.25" customHeight="1" x14ac:dyDescent="0.2">
      <c r="A470" s="580" t="e">
        <f>VLOOKUP(H470,ID_archer_cible,5,FALSE)&amp;"    "&amp;VLOOKUP(H470,ID_archer_cible,6,FALSE)</f>
        <v>#N/A</v>
      </c>
      <c r="B470" s="581"/>
      <c r="C470" s="582"/>
      <c r="D470" s="575"/>
      <c r="E470" s="223"/>
      <c r="F470" s="223"/>
      <c r="G470" s="223"/>
      <c r="H470" s="589" t="str">
        <f>B464&amp;"A"</f>
        <v>15A</v>
      </c>
      <c r="I470" s="574" t="e">
        <f>VLOOKUP(H470,ID_archer_cible,9,FALSE)</f>
        <v>#N/A</v>
      </c>
      <c r="J470" s="1075" t="e">
        <f>VLOOKUP(H470,ID_archer_cible,8,FALSE)</f>
        <v>#N/A</v>
      </c>
      <c r="K470" s="1075"/>
      <c r="L470" s="610" t="e">
        <f>VLOOKUP(H470,ID_archer_cible,7,FALSE)</f>
        <v>#N/A</v>
      </c>
      <c r="M470" s="589" t="e">
        <f>VLOOKUP(H470,ID_archer_cible,10,FALSE)</f>
        <v>#N/A</v>
      </c>
      <c r="N470" s="597" t="e">
        <f>VLOOKUP(T470,ID_archer_cible,5,FALSE)&amp;"    "&amp;VLOOKUP(T470,ID_archer_cible,6,FALSE)</f>
        <v>#N/A</v>
      </c>
      <c r="O470" s="581"/>
      <c r="P470" s="582"/>
      <c r="Q470" s="575"/>
      <c r="R470" s="223"/>
      <c r="S470" s="579" t="e">
        <f>VLOOKUP(T470,ID_archer_cible,7,FALSE)</f>
        <v>#N/A</v>
      </c>
      <c r="T470" s="589" t="str">
        <f>B464&amp;"C"</f>
        <v>15C</v>
      </c>
      <c r="U470" s="574" t="e">
        <f>VLOOKUP(T470,ID_archer_cible,9,FALSE)</f>
        <v>#N/A</v>
      </c>
      <c r="V470" s="1172" t="e">
        <f>VLOOKUP(T470,ID_archer_cible,8,FALSE)</f>
        <v>#N/A</v>
      </c>
      <c r="W470" s="1173"/>
      <c r="X470" s="574" t="e">
        <f>VLOOKUP(T470,ID_archer_cible,10,FALSE)</f>
        <v>#N/A</v>
      </c>
      <c r="AA470" s="611"/>
    </row>
    <row r="471" spans="1:27" ht="23.25" customHeight="1" x14ac:dyDescent="0.2">
      <c r="A471" s="580" t="e">
        <f>VLOOKUP(H471,ID_archer_cible,5,FALSE)&amp;"    "&amp;VLOOKUP(H471,ID_archer_cible,6,FALSE)</f>
        <v>#N/A</v>
      </c>
      <c r="B471" s="581"/>
      <c r="C471" s="582"/>
      <c r="D471" s="575"/>
      <c r="E471" s="223"/>
      <c r="F471" s="223"/>
      <c r="G471" s="223"/>
      <c r="H471" s="589" t="str">
        <f>B464&amp;"B"</f>
        <v>15B</v>
      </c>
      <c r="I471" s="574" t="e">
        <f>VLOOKUP(H471,ID_archer_cible,9,FALSE)</f>
        <v>#N/A</v>
      </c>
      <c r="J471" s="1075" t="e">
        <f>VLOOKUP(H471,ID_archer_cible,8,FALSE)</f>
        <v>#N/A</v>
      </c>
      <c r="K471" s="1075"/>
      <c r="L471" s="610" t="e">
        <f>VLOOKUP(H471,ID_archer_cible,7,FALSE)</f>
        <v>#N/A</v>
      </c>
      <c r="M471" s="589" t="e">
        <f>VLOOKUP(H471,ID_archer_cible,10,FALSE)</f>
        <v>#N/A</v>
      </c>
      <c r="N471" s="597" t="e">
        <f>VLOOKUP(T471,ID_archer_cible,5,FALSE)&amp;"    "&amp;VLOOKUP(T471,ID_archer_cible,6,FALSE)</f>
        <v>#N/A</v>
      </c>
      <c r="O471" s="581"/>
      <c r="P471" s="582"/>
      <c r="Q471" s="575"/>
      <c r="R471" s="223"/>
      <c r="S471" s="579" t="e">
        <f>VLOOKUP(T471,ID_archer_cible,7,FALSE)</f>
        <v>#N/A</v>
      </c>
      <c r="T471" s="589" t="str">
        <f>B464&amp;"D"</f>
        <v>15D</v>
      </c>
      <c r="U471" s="574" t="e">
        <f>VLOOKUP(T471,ID_archer_cible,9,FALSE)</f>
        <v>#N/A</v>
      </c>
      <c r="V471" s="1172" t="e">
        <f>VLOOKUP(T471,ID_archer_cible,8,FALSE)</f>
        <v>#N/A</v>
      </c>
      <c r="W471" s="1173"/>
      <c r="X471" s="574" t="e">
        <f>VLOOKUP(T471,ID_archer_cible,10,FALSE)</f>
        <v>#N/A</v>
      </c>
      <c r="AA471" s="611"/>
    </row>
    <row r="472" spans="1:27" ht="15" customHeight="1" thickBot="1" x14ac:dyDescent="0.25">
      <c r="AA472" s="611"/>
    </row>
    <row r="473" spans="1:27" ht="20.25" customHeight="1" thickBot="1" x14ac:dyDescent="0.25">
      <c r="F473" s="1174" t="s">
        <v>555</v>
      </c>
      <c r="G473" s="1175"/>
      <c r="H473" s="1175"/>
      <c r="I473" s="1175"/>
      <c r="J473" s="1175"/>
      <c r="K473" s="1175"/>
      <c r="L473" s="1176"/>
      <c r="M473" s="1174" t="s">
        <v>556</v>
      </c>
      <c r="N473" s="1175"/>
      <c r="O473" s="1175"/>
      <c r="P473" s="1175"/>
      <c r="Q473" s="1175"/>
      <c r="R473" s="1175"/>
      <c r="S473" s="1176"/>
      <c r="T473" s="1174" t="s">
        <v>557</v>
      </c>
      <c r="U473" s="1175"/>
      <c r="V473" s="1175"/>
      <c r="W473" s="1175"/>
      <c r="X473" s="1175"/>
      <c r="Y473" s="1175"/>
      <c r="Z473" s="1176"/>
      <c r="AA473" s="613"/>
    </row>
    <row r="474" spans="1:27" ht="30.75" customHeight="1" x14ac:dyDescent="0.2">
      <c r="A474" s="1171" t="s">
        <v>559</v>
      </c>
      <c r="B474" s="1171"/>
      <c r="C474" s="1171"/>
      <c r="D474" s="1171"/>
      <c r="E474" s="1181"/>
      <c r="F474" s="1179" t="s">
        <v>560</v>
      </c>
      <c r="G474" s="1180"/>
      <c r="H474" s="1180"/>
      <c r="I474" s="306"/>
      <c r="J474" s="306"/>
      <c r="K474" s="307"/>
      <c r="L474" s="572" t="s">
        <v>7</v>
      </c>
      <c r="M474" s="1179" t="s">
        <v>560</v>
      </c>
      <c r="N474" s="1180"/>
      <c r="O474" s="1180"/>
      <c r="P474" s="306"/>
      <c r="Q474" s="306"/>
      <c r="R474" s="307"/>
      <c r="S474" s="572" t="s">
        <v>7</v>
      </c>
      <c r="T474" s="1179" t="s">
        <v>560</v>
      </c>
      <c r="U474" s="1180"/>
      <c r="V474" s="1180"/>
      <c r="W474" s="306"/>
      <c r="X474" s="306"/>
      <c r="Y474" s="307"/>
      <c r="Z474" s="572" t="s">
        <v>7</v>
      </c>
      <c r="AA474" s="614"/>
    </row>
    <row r="475" spans="1:27" ht="30.75" customHeight="1" x14ac:dyDescent="0.2">
      <c r="A475" s="1168" t="e">
        <f>A470</f>
        <v>#N/A</v>
      </c>
      <c r="B475" s="1169"/>
      <c r="C475" s="1169"/>
      <c r="D475" s="1169"/>
      <c r="E475" s="1170"/>
      <c r="F475" s="228"/>
      <c r="G475" s="229"/>
      <c r="H475" s="229"/>
      <c r="I475" s="229"/>
      <c r="J475" s="229"/>
      <c r="K475" s="230" t="s">
        <v>561</v>
      </c>
      <c r="L475" s="231"/>
      <c r="M475" s="228"/>
      <c r="N475" s="229"/>
      <c r="O475" s="229"/>
      <c r="P475" s="229"/>
      <c r="Q475" s="229"/>
      <c r="R475" s="230" t="s">
        <v>561</v>
      </c>
      <c r="S475" s="231"/>
      <c r="T475" s="228"/>
      <c r="U475" s="229"/>
      <c r="V475" s="229"/>
      <c r="W475" s="229"/>
      <c r="X475" s="229"/>
      <c r="Y475" s="230" t="s">
        <v>561</v>
      </c>
      <c r="Z475" s="231"/>
      <c r="AA475" s="611"/>
    </row>
    <row r="476" spans="1:27" ht="30.75" customHeight="1" x14ac:dyDescent="0.2">
      <c r="A476" s="1168" t="e">
        <f>A471</f>
        <v>#N/A</v>
      </c>
      <c r="B476" s="1169"/>
      <c r="C476" s="1169"/>
      <c r="D476" s="1169"/>
      <c r="E476" s="1170"/>
      <c r="F476" s="228"/>
      <c r="G476" s="229"/>
      <c r="H476" s="229"/>
      <c r="I476" s="229"/>
      <c r="J476" s="229"/>
      <c r="K476" s="230" t="s">
        <v>561</v>
      </c>
      <c r="L476" s="231"/>
      <c r="M476" s="228"/>
      <c r="N476" s="229"/>
      <c r="O476" s="229"/>
      <c r="P476" s="229"/>
      <c r="Q476" s="229"/>
      <c r="R476" s="230" t="s">
        <v>561</v>
      </c>
      <c r="S476" s="231"/>
      <c r="T476" s="228"/>
      <c r="U476" s="229"/>
      <c r="V476" s="229"/>
      <c r="W476" s="229"/>
      <c r="X476" s="229"/>
      <c r="Y476" s="230" t="s">
        <v>561</v>
      </c>
      <c r="Z476" s="231"/>
      <c r="AA476" s="611"/>
    </row>
    <row r="477" spans="1:27" ht="30.75" customHeight="1" x14ac:dyDescent="0.2">
      <c r="A477" s="1168" t="e">
        <f>N470</f>
        <v>#N/A</v>
      </c>
      <c r="B477" s="1169"/>
      <c r="C477" s="1169"/>
      <c r="D477" s="1169"/>
      <c r="E477" s="1170"/>
      <c r="F477" s="228"/>
      <c r="G477" s="229"/>
      <c r="H477" s="229"/>
      <c r="I477" s="229"/>
      <c r="J477" s="229"/>
      <c r="K477" s="230" t="s">
        <v>561</v>
      </c>
      <c r="L477" s="231"/>
      <c r="M477" s="228"/>
      <c r="N477" s="229"/>
      <c r="O477" s="229"/>
      <c r="P477" s="229"/>
      <c r="Q477" s="229"/>
      <c r="R477" s="230" t="s">
        <v>561</v>
      </c>
      <c r="S477" s="231"/>
      <c r="T477" s="228"/>
      <c r="U477" s="229"/>
      <c r="V477" s="229"/>
      <c r="W477" s="229"/>
      <c r="X477" s="229"/>
      <c r="Y477" s="230" t="s">
        <v>561</v>
      </c>
      <c r="Z477" s="231"/>
      <c r="AA477" s="611"/>
    </row>
    <row r="478" spans="1:27" ht="30.75" customHeight="1" thickBot="1" x14ac:dyDescent="0.25">
      <c r="A478" s="1168" t="e">
        <f>N471</f>
        <v>#N/A</v>
      </c>
      <c r="B478" s="1169"/>
      <c r="C478" s="1169"/>
      <c r="D478" s="1169"/>
      <c r="E478" s="1170"/>
      <c r="F478" s="228"/>
      <c r="G478" s="229"/>
      <c r="H478" s="229"/>
      <c r="I478" s="229"/>
      <c r="J478" s="229"/>
      <c r="K478" s="230" t="s">
        <v>561</v>
      </c>
      <c r="L478" s="232"/>
      <c r="M478" s="228"/>
      <c r="N478" s="229"/>
      <c r="O478" s="229"/>
      <c r="P478" s="229"/>
      <c r="Q478" s="229"/>
      <c r="R478" s="230" t="s">
        <v>561</v>
      </c>
      <c r="S478" s="232"/>
      <c r="T478" s="228"/>
      <c r="U478" s="229"/>
      <c r="V478" s="229"/>
      <c r="W478" s="229"/>
      <c r="X478" s="229"/>
      <c r="Y478" s="230" t="s">
        <v>561</v>
      </c>
      <c r="Z478" s="232"/>
      <c r="AA478" s="611"/>
    </row>
    <row r="479" spans="1:27" ht="30.75" customHeight="1" thickBot="1" x14ac:dyDescent="0.25">
      <c r="F479" s="1177" t="s">
        <v>562</v>
      </c>
      <c r="G479" s="1178"/>
      <c r="H479" s="1178"/>
      <c r="I479" s="235"/>
      <c r="J479" s="235"/>
      <c r="K479" s="237" t="s">
        <v>561</v>
      </c>
      <c r="L479" s="239"/>
      <c r="M479" s="1177" t="s">
        <v>563</v>
      </c>
      <c r="N479" s="1178"/>
      <c r="O479" s="1178"/>
      <c r="P479" s="235"/>
      <c r="Q479" s="235"/>
      <c r="R479" s="237" t="s">
        <v>561</v>
      </c>
      <c r="S479" s="239"/>
      <c r="T479" s="1177" t="s">
        <v>564</v>
      </c>
      <c r="U479" s="1178"/>
      <c r="V479" s="1178"/>
      <c r="W479" s="235"/>
      <c r="X479" s="235"/>
      <c r="Y479" s="237" t="s">
        <v>561</v>
      </c>
      <c r="Z479" s="239"/>
      <c r="AA479" s="615"/>
    </row>
    <row r="480" spans="1:27" ht="9" customHeight="1" thickBot="1" x14ac:dyDescent="0.25">
      <c r="H480" s="249"/>
      <c r="I480" s="249"/>
      <c r="J480" s="249"/>
      <c r="K480" s="249"/>
      <c r="L480" s="249"/>
      <c r="M480" s="249"/>
      <c r="N480" s="249"/>
      <c r="O480" s="249"/>
      <c r="P480" s="249"/>
      <c r="Q480" s="249"/>
      <c r="R480" s="230"/>
      <c r="T480" s="249"/>
      <c r="U480" s="249"/>
      <c r="V480" s="249"/>
      <c r="W480" s="249"/>
      <c r="X480" s="249"/>
      <c r="Y480" s="230"/>
      <c r="AA480" s="611"/>
    </row>
    <row r="481" spans="1:27" ht="30.75" customHeight="1" thickBot="1" x14ac:dyDescent="0.25">
      <c r="F481" s="1174" t="s">
        <v>558</v>
      </c>
      <c r="G481" s="1175"/>
      <c r="H481" s="1175"/>
      <c r="I481" s="1175"/>
      <c r="J481" s="1175"/>
      <c r="K481" s="1175"/>
      <c r="L481" s="1176"/>
      <c r="M481" s="1174" t="s">
        <v>902</v>
      </c>
      <c r="N481" s="1175"/>
      <c r="O481" s="1175"/>
      <c r="P481" s="1175"/>
      <c r="Q481" s="1175"/>
      <c r="R481" s="1175"/>
      <c r="S481" s="1176"/>
      <c r="T481" s="1174" t="s">
        <v>907</v>
      </c>
      <c r="U481" s="1175"/>
      <c r="V481" s="1175"/>
      <c r="W481" s="1175"/>
      <c r="X481" s="1175"/>
      <c r="Y481" s="1175"/>
      <c r="Z481" s="1176"/>
      <c r="AA481" s="613"/>
    </row>
    <row r="482" spans="1:27" ht="30.75" customHeight="1" x14ac:dyDescent="0.2">
      <c r="A482" s="1171" t="str">
        <f>A474</f>
        <v>NOM - PRENOM</v>
      </c>
      <c r="B482" s="1171"/>
      <c r="C482" s="1171"/>
      <c r="D482" s="1171"/>
      <c r="E482" s="1181"/>
      <c r="F482" s="1179" t="s">
        <v>560</v>
      </c>
      <c r="G482" s="1180"/>
      <c r="H482" s="1180"/>
      <c r="I482" s="306"/>
      <c r="J482" s="306"/>
      <c r="K482" s="307"/>
      <c r="L482" s="572" t="s">
        <v>7</v>
      </c>
      <c r="M482" s="1179" t="s">
        <v>560</v>
      </c>
      <c r="N482" s="1180"/>
      <c r="O482" s="1180"/>
      <c r="P482" s="306"/>
      <c r="Q482" s="306"/>
      <c r="R482" s="307"/>
      <c r="S482" s="572" t="s">
        <v>7</v>
      </c>
      <c r="T482" s="1179" t="s">
        <v>560</v>
      </c>
      <c r="U482" s="1180"/>
      <c r="V482" s="1180"/>
      <c r="W482" s="306"/>
      <c r="X482" s="306"/>
      <c r="Y482" s="307"/>
      <c r="Z482" s="572" t="s">
        <v>7</v>
      </c>
      <c r="AA482" s="614"/>
    </row>
    <row r="483" spans="1:27" ht="30.75" customHeight="1" x14ac:dyDescent="0.2">
      <c r="A483" s="605" t="e">
        <f>A475</f>
        <v>#N/A</v>
      </c>
      <c r="B483" s="606"/>
      <c r="C483" s="606"/>
      <c r="D483" s="606"/>
      <c r="E483" s="607"/>
      <c r="F483" s="228"/>
      <c r="G483" s="229"/>
      <c r="H483" s="229"/>
      <c r="I483" s="229"/>
      <c r="J483" s="229"/>
      <c r="K483" s="230" t="s">
        <v>561</v>
      </c>
      <c r="L483" s="231"/>
      <c r="M483" s="228"/>
      <c r="N483" s="229"/>
      <c r="O483" s="229"/>
      <c r="P483" s="229"/>
      <c r="Q483" s="229"/>
      <c r="R483" s="230" t="s">
        <v>561</v>
      </c>
      <c r="S483" s="231"/>
      <c r="T483" s="228"/>
      <c r="U483" s="229"/>
      <c r="V483" s="229"/>
      <c r="W483" s="229"/>
      <c r="X483" s="229"/>
      <c r="Y483" s="230" t="s">
        <v>561</v>
      </c>
      <c r="Z483" s="231"/>
      <c r="AA483" s="611"/>
    </row>
    <row r="484" spans="1:27" ht="30.75" customHeight="1" x14ac:dyDescent="0.2">
      <c r="A484" s="605" t="e">
        <f>A476</f>
        <v>#N/A</v>
      </c>
      <c r="B484" s="606"/>
      <c r="C484" s="606"/>
      <c r="D484" s="606"/>
      <c r="E484" s="607"/>
      <c r="F484" s="228"/>
      <c r="G484" s="229"/>
      <c r="H484" s="229"/>
      <c r="I484" s="229"/>
      <c r="J484" s="229"/>
      <c r="K484" s="230" t="s">
        <v>561</v>
      </c>
      <c r="L484" s="231"/>
      <c r="M484" s="228"/>
      <c r="N484" s="229"/>
      <c r="O484" s="229"/>
      <c r="P484" s="229"/>
      <c r="Q484" s="229"/>
      <c r="R484" s="230" t="s">
        <v>561</v>
      </c>
      <c r="S484" s="231"/>
      <c r="T484" s="228"/>
      <c r="U484" s="229"/>
      <c r="V484" s="229"/>
      <c r="W484" s="229"/>
      <c r="X484" s="229"/>
      <c r="Y484" s="230" t="s">
        <v>561</v>
      </c>
      <c r="Z484" s="231"/>
      <c r="AA484" s="611"/>
    </row>
    <row r="485" spans="1:27" ht="30.75" customHeight="1" x14ac:dyDescent="0.2">
      <c r="A485" s="605" t="e">
        <f>A477</f>
        <v>#N/A</v>
      </c>
      <c r="B485" s="606"/>
      <c r="C485" s="606"/>
      <c r="D485" s="606"/>
      <c r="E485" s="607"/>
      <c r="F485" s="228"/>
      <c r="G485" s="229"/>
      <c r="H485" s="229"/>
      <c r="I485" s="229"/>
      <c r="J485" s="229"/>
      <c r="K485" s="230" t="s">
        <v>561</v>
      </c>
      <c r="L485" s="231"/>
      <c r="M485" s="228"/>
      <c r="N485" s="229"/>
      <c r="O485" s="229"/>
      <c r="P485" s="229"/>
      <c r="Q485" s="229"/>
      <c r="R485" s="230" t="s">
        <v>561</v>
      </c>
      <c r="S485" s="231"/>
      <c r="T485" s="228"/>
      <c r="U485" s="229"/>
      <c r="V485" s="229"/>
      <c r="W485" s="229"/>
      <c r="X485" s="229"/>
      <c r="Y485" s="230" t="s">
        <v>561</v>
      </c>
      <c r="Z485" s="231"/>
      <c r="AA485" s="611"/>
    </row>
    <row r="486" spans="1:27" ht="30.75" customHeight="1" thickBot="1" x14ac:dyDescent="0.25">
      <c r="A486" s="605" t="e">
        <f>A478</f>
        <v>#N/A</v>
      </c>
      <c r="B486" s="606"/>
      <c r="C486" s="606"/>
      <c r="D486" s="606"/>
      <c r="E486" s="607"/>
      <c r="F486" s="228"/>
      <c r="G486" s="229"/>
      <c r="H486" s="229"/>
      <c r="I486" s="229"/>
      <c r="J486" s="229"/>
      <c r="K486" s="230" t="s">
        <v>561</v>
      </c>
      <c r="L486" s="232"/>
      <c r="M486" s="228"/>
      <c r="N486" s="229"/>
      <c r="O486" s="229"/>
      <c r="P486" s="229"/>
      <c r="Q486" s="229"/>
      <c r="R486" s="230" t="s">
        <v>561</v>
      </c>
      <c r="S486" s="232"/>
      <c r="T486" s="228"/>
      <c r="U486" s="229"/>
      <c r="V486" s="229"/>
      <c r="W486" s="229"/>
      <c r="X486" s="229"/>
      <c r="Y486" s="230" t="s">
        <v>561</v>
      </c>
      <c r="Z486" s="232"/>
      <c r="AA486" s="611"/>
    </row>
    <row r="487" spans="1:27" ht="24" customHeight="1" thickBot="1" x14ac:dyDescent="0.25">
      <c r="F487" s="1177" t="s">
        <v>565</v>
      </c>
      <c r="G487" s="1178"/>
      <c r="H487" s="1178"/>
      <c r="I487" s="235"/>
      <c r="J487" s="235"/>
      <c r="K487" s="237" t="s">
        <v>561</v>
      </c>
      <c r="L487" s="239"/>
      <c r="M487" s="1177" t="s">
        <v>903</v>
      </c>
      <c r="N487" s="1178"/>
      <c r="O487" s="1178"/>
      <c r="P487" s="235"/>
      <c r="Q487" s="235"/>
      <c r="R487" s="237" t="s">
        <v>561</v>
      </c>
      <c r="S487" s="239"/>
      <c r="T487" s="1177" t="s">
        <v>904</v>
      </c>
      <c r="U487" s="1178"/>
      <c r="V487" s="1178"/>
      <c r="W487" s="235"/>
      <c r="X487" s="235"/>
      <c r="Y487" s="237" t="s">
        <v>561</v>
      </c>
      <c r="Z487" s="239"/>
      <c r="AA487" s="611"/>
    </row>
    <row r="488" spans="1:27" ht="8.25" customHeight="1" thickBot="1" x14ac:dyDescent="0.25">
      <c r="A488" s="592"/>
      <c r="B488" s="592"/>
      <c r="C488" s="592"/>
      <c r="D488" s="592"/>
      <c r="E488" s="592"/>
      <c r="F488" s="249"/>
      <c r="G488" s="249"/>
      <c r="H488" s="249"/>
      <c r="I488" s="249"/>
      <c r="J488" s="249"/>
      <c r="K488" s="230"/>
      <c r="L488" s="249"/>
      <c r="M488" s="230"/>
      <c r="N488" s="249"/>
      <c r="O488" s="230"/>
      <c r="P488" s="249"/>
      <c r="Q488" s="230"/>
      <c r="R488" s="249"/>
      <c r="S488" s="230"/>
      <c r="T488" s="249"/>
      <c r="U488" s="230"/>
      <c r="V488" s="249"/>
      <c r="W488" s="249"/>
      <c r="X488" s="249"/>
      <c r="Y488" s="230"/>
      <c r="AA488" s="611"/>
    </row>
    <row r="489" spans="1:27" ht="16.5" customHeight="1" thickBot="1" x14ac:dyDescent="0.25">
      <c r="A489" s="1200" t="s">
        <v>915</v>
      </c>
      <c r="B489" s="1200"/>
      <c r="C489" s="1200"/>
      <c r="D489" s="1200"/>
      <c r="E489" s="249"/>
      <c r="F489" s="1198" t="s">
        <v>909</v>
      </c>
      <c r="G489" s="1199"/>
      <c r="H489" s="1199"/>
      <c r="I489" s="1198" t="s">
        <v>910</v>
      </c>
      <c r="J489" s="1199"/>
      <c r="K489" s="1199"/>
      <c r="L489" s="1198" t="s">
        <v>911</v>
      </c>
      <c r="M489" s="1199"/>
      <c r="N489" s="1199"/>
      <c r="O489" s="1198" t="s">
        <v>912</v>
      </c>
      <c r="P489" s="1199"/>
      <c r="Q489" s="1199"/>
      <c r="R489" s="1198" t="s">
        <v>913</v>
      </c>
      <c r="S489" s="1199"/>
      <c r="T489" s="1199"/>
      <c r="U489" s="1198" t="s">
        <v>916</v>
      </c>
      <c r="V489" s="1199"/>
      <c r="W489" s="1199"/>
      <c r="X489" s="1194" t="s">
        <v>908</v>
      </c>
      <c r="Y489" s="1195"/>
      <c r="Z489" s="1196"/>
      <c r="AA489" s="616"/>
    </row>
    <row r="490" spans="1:27" ht="30.75" customHeight="1" x14ac:dyDescent="0.2">
      <c r="A490" s="1200"/>
      <c r="B490" s="1200"/>
      <c r="C490" s="1200"/>
      <c r="D490" s="1200"/>
      <c r="E490" s="249"/>
      <c r="F490" s="1197"/>
      <c r="G490" s="1197"/>
      <c r="H490" s="1197"/>
      <c r="I490" s="1197"/>
      <c r="J490" s="1197"/>
      <c r="K490" s="1197"/>
      <c r="L490" s="1197"/>
      <c r="M490" s="1197"/>
      <c r="N490" s="1197"/>
      <c r="O490" s="1197"/>
      <c r="P490" s="1197"/>
      <c r="Q490" s="1197"/>
      <c r="R490" s="1197"/>
      <c r="S490" s="1197"/>
      <c r="T490" s="1197"/>
      <c r="U490" s="1197"/>
      <c r="V490" s="1197"/>
      <c r="W490" s="1197"/>
      <c r="X490" s="1162"/>
      <c r="Y490" s="1163"/>
      <c r="Z490" s="1164"/>
      <c r="AA490" s="614"/>
    </row>
    <row r="491" spans="1:27" ht="30.75" customHeight="1" thickBot="1" x14ac:dyDescent="0.25">
      <c r="A491" s="1200"/>
      <c r="B491" s="1200"/>
      <c r="C491" s="1200"/>
      <c r="D491" s="1200"/>
      <c r="E491" s="249"/>
      <c r="F491" s="1201" t="s">
        <v>914</v>
      </c>
      <c r="G491" s="1201"/>
      <c r="H491" s="1201"/>
      <c r="I491" s="1197"/>
      <c r="J491" s="1197"/>
      <c r="K491" s="1197"/>
      <c r="L491" s="1197"/>
      <c r="M491" s="1197"/>
      <c r="N491" s="1197"/>
      <c r="O491" s="1197"/>
      <c r="P491" s="1197"/>
      <c r="Q491" s="1197"/>
      <c r="R491" s="1197"/>
      <c r="S491" s="1197"/>
      <c r="T491" s="1197"/>
      <c r="U491" s="1197"/>
      <c r="V491" s="1197"/>
      <c r="W491" s="1197"/>
      <c r="X491" s="1165"/>
      <c r="Y491" s="1166"/>
      <c r="Z491" s="1167"/>
      <c r="AA491" s="614"/>
    </row>
    <row r="492" spans="1:27" ht="19.5" customHeight="1" x14ac:dyDescent="0.2">
      <c r="A492" s="578" t="s">
        <v>851</v>
      </c>
      <c r="B492" s="566"/>
      <c r="C492" s="566"/>
      <c r="D492" s="566"/>
      <c r="E492" s="566"/>
      <c r="F492" s="566"/>
      <c r="G492" s="566"/>
      <c r="H492" s="566"/>
      <c r="I492" s="566"/>
      <c r="J492" s="566"/>
      <c r="K492" s="566"/>
      <c r="M492" s="241"/>
      <c r="O492" s="578" t="s">
        <v>522</v>
      </c>
      <c r="P492" s="566"/>
      <c r="Q492" s="566"/>
      <c r="R492" s="566"/>
      <c r="S492" s="566"/>
      <c r="T492" s="566"/>
      <c r="U492" s="566"/>
      <c r="V492" s="566"/>
      <c r="W492" s="520"/>
      <c r="AA492" s="611"/>
    </row>
    <row r="493" spans="1:27" x14ac:dyDescent="0.2">
      <c r="A493" s="577" t="s">
        <v>1</v>
      </c>
      <c r="B493" s="567"/>
      <c r="C493" s="567"/>
      <c r="D493" s="567"/>
      <c r="E493" s="567"/>
      <c r="F493" s="567"/>
      <c r="G493" s="568"/>
      <c r="H493" s="1086" t="s">
        <v>520</v>
      </c>
      <c r="I493" s="1087"/>
      <c r="J493" s="1087"/>
      <c r="K493" s="1088"/>
      <c r="M493" s="577" t="s">
        <v>1</v>
      </c>
      <c r="N493" s="567"/>
      <c r="O493" s="567"/>
      <c r="P493" s="567"/>
      <c r="Q493" s="567"/>
      <c r="R493" s="567"/>
      <c r="S493" s="585" t="s">
        <v>520</v>
      </c>
      <c r="T493" s="586"/>
      <c r="U493" s="586"/>
      <c r="V493" s="587"/>
      <c r="AA493" s="611"/>
    </row>
    <row r="494" spans="1:27" ht="69" customHeight="1" x14ac:dyDescent="0.2">
      <c r="A494" s="242"/>
      <c r="B494" s="243"/>
      <c r="C494" s="243"/>
      <c r="D494" s="243"/>
      <c r="E494" s="243"/>
      <c r="F494" s="243"/>
      <c r="G494" s="244"/>
      <c r="H494" s="242"/>
      <c r="I494" s="243"/>
      <c r="J494" s="243"/>
      <c r="K494" s="244"/>
      <c r="M494" s="242"/>
      <c r="N494" s="243"/>
      <c r="O494" s="243"/>
      <c r="P494" s="243"/>
      <c r="Q494" s="243"/>
      <c r="R494" s="243"/>
      <c r="S494" s="242"/>
      <c r="T494" s="243"/>
      <c r="U494" s="243"/>
      <c r="V494" s="244"/>
      <c r="AA494" s="611"/>
    </row>
    <row r="495" spans="1:27" x14ac:dyDescent="0.2">
      <c r="AA495" s="611"/>
    </row>
    <row r="496" spans="1:27" ht="6.75" customHeight="1" x14ac:dyDescent="0.2">
      <c r="AA496" s="611"/>
    </row>
    <row r="497" spans="1:27" s="218" customFormat="1" ht="23.25" customHeight="1" x14ac:dyDescent="0.2">
      <c r="A497" s="218" t="s">
        <v>628</v>
      </c>
      <c r="B497" s="1103">
        <f>B464+1</f>
        <v>16</v>
      </c>
      <c r="C497" s="1104"/>
      <c r="D497" s="569"/>
      <c r="E497" s="218" t="str">
        <f>Championnat</f>
        <v>Championnat de France de Tir à l'ARC</v>
      </c>
      <c r="P497" s="1192"/>
      <c r="Q497" s="1192"/>
      <c r="R497" s="1192"/>
      <c r="S497" s="1192"/>
      <c r="T497" s="1193" t="str">
        <f>CATEG_IMPORTEE</f>
        <v>Collèges Mixtes Etablissement</v>
      </c>
      <c r="U497" s="1193"/>
      <c r="V497" s="1193"/>
      <c r="W497" s="1193"/>
      <c r="X497" s="1193"/>
      <c r="Y497" s="1193"/>
      <c r="Z497" s="1193"/>
      <c r="AA497" s="609"/>
    </row>
    <row r="498" spans="1:27" ht="27" customHeight="1" thickBot="1" x14ac:dyDescent="0.25">
      <c r="A498" s="1069" t="s">
        <v>0</v>
      </c>
      <c r="B498" s="1069"/>
      <c r="C498" s="1069"/>
      <c r="D498" s="1069"/>
      <c r="E498" s="1069"/>
      <c r="F498" s="1069"/>
      <c r="G498" s="1069"/>
      <c r="H498" s="1069"/>
      <c r="I498" s="1125" t="s">
        <v>374</v>
      </c>
      <c r="J498" s="1125"/>
      <c r="K498" s="1125"/>
      <c r="L498" s="1125"/>
      <c r="M498" s="1125"/>
      <c r="N498" s="1069"/>
      <c r="O498" s="595"/>
      <c r="P498" s="1192"/>
      <c r="Q498" s="1192"/>
      <c r="R498" s="1192"/>
      <c r="S498" s="1192"/>
      <c r="T498" s="1184" t="str">
        <f>LIEU&amp;" du "&amp;DATE</f>
        <v>L’Isle sur la Sorgue du 27 au 31 mars 2023</v>
      </c>
      <c r="U498" s="1184"/>
      <c r="V498" s="1184"/>
      <c r="W498" s="1184"/>
      <c r="X498" s="1184"/>
      <c r="Y498" s="1184"/>
      <c r="Z498" s="1184"/>
      <c r="AA498" s="608"/>
    </row>
    <row r="499" spans="1:27" ht="24" customHeight="1" thickBot="1" x14ac:dyDescent="0.25">
      <c r="A499" s="1185" t="e">
        <f>VLOOKUP(H503,ID_archer_cible,2,FALSE)</f>
        <v>#N/A</v>
      </c>
      <c r="B499" s="1186"/>
      <c r="C499" s="1186"/>
      <c r="D499" s="1186"/>
      <c r="E499" s="1186"/>
      <c r="F499" s="1186"/>
      <c r="G499" s="1186"/>
      <c r="H499" s="1187"/>
      <c r="I499" s="1185" t="e">
        <f>VLOOKUP(H503,ID_archer_cible,4,FALSE)</f>
        <v>#N/A</v>
      </c>
      <c r="J499" s="1186"/>
      <c r="K499" s="1186"/>
      <c r="L499" s="1186"/>
      <c r="M499" s="1186"/>
      <c r="N499" s="1187"/>
      <c r="O499" s="596"/>
      <c r="P499" s="1192"/>
      <c r="Q499" s="1192"/>
      <c r="R499" s="1192"/>
      <c r="S499" s="1192"/>
      <c r="T499" s="520"/>
      <c r="U499" s="520"/>
      <c r="V499" s="520"/>
      <c r="W499" s="520"/>
      <c r="X499" s="520"/>
      <c r="Y499" s="520"/>
      <c r="Z499" s="520"/>
      <c r="AA499" s="520"/>
    </row>
    <row r="500" spans="1:27" ht="6" customHeight="1" x14ac:dyDescent="0.2">
      <c r="I500" s="1188" t="e">
        <f>"("&amp;VLOOKUP(H503,ID_archer_cible,3,FALSE)&amp;")"</f>
        <v>#N/A</v>
      </c>
      <c r="J500" s="1188"/>
      <c r="K500" s="1188"/>
      <c r="L500" s="1188"/>
      <c r="M500" s="1188"/>
      <c r="N500" s="1188"/>
      <c r="P500" s="1192"/>
      <c r="Q500" s="1192"/>
      <c r="R500" s="1192"/>
      <c r="S500" s="1192"/>
      <c r="AA500" s="611"/>
    </row>
    <row r="501" spans="1:27" ht="17.25" customHeight="1" x14ac:dyDescent="0.2">
      <c r="E501" s="584"/>
      <c r="F501" s="584"/>
      <c r="G501" s="584"/>
      <c r="H501" s="584"/>
      <c r="I501" s="1189"/>
      <c r="J501" s="1189"/>
      <c r="K501" s="1189"/>
      <c r="L501" s="1189"/>
      <c r="M501" s="1189"/>
      <c r="N501" s="1189"/>
      <c r="P501" s="1192"/>
      <c r="Q501" s="1192"/>
      <c r="R501" s="1192"/>
      <c r="S501" s="1192"/>
      <c r="AA501" s="611"/>
    </row>
    <row r="502" spans="1:27" ht="23.25" customHeight="1" x14ac:dyDescent="0.2">
      <c r="A502" s="593" t="s">
        <v>906</v>
      </c>
      <c r="B502" s="588"/>
      <c r="C502" s="588"/>
      <c r="D502" s="588"/>
      <c r="E502" s="588"/>
      <c r="F502" s="588"/>
      <c r="G502" s="588"/>
      <c r="H502" s="594" t="s">
        <v>552</v>
      </c>
      <c r="I502" s="573" t="s">
        <v>893</v>
      </c>
      <c r="J502" s="1075" t="s">
        <v>550</v>
      </c>
      <c r="K502" s="1075"/>
      <c r="L502" s="573" t="s">
        <v>905</v>
      </c>
      <c r="M502" s="252" t="s">
        <v>551</v>
      </c>
      <c r="S502" s="573" t="s">
        <v>905</v>
      </c>
      <c r="T502" s="573" t="s">
        <v>893</v>
      </c>
      <c r="U502" s="573" t="s">
        <v>893</v>
      </c>
      <c r="V502" s="1075" t="s">
        <v>550</v>
      </c>
      <c r="W502" s="1075"/>
      <c r="X502" s="252" t="s">
        <v>551</v>
      </c>
      <c r="Y502" s="571"/>
      <c r="Z502" s="571"/>
      <c r="AA502" s="612"/>
    </row>
    <row r="503" spans="1:27" ht="23.25" customHeight="1" x14ac:dyDescent="0.2">
      <c r="A503" s="580" t="e">
        <f>VLOOKUP(H503,ID_archer_cible,5,FALSE)&amp;"    "&amp;VLOOKUP(H503,ID_archer_cible,6,FALSE)</f>
        <v>#N/A</v>
      </c>
      <c r="B503" s="581"/>
      <c r="C503" s="582"/>
      <c r="D503" s="575"/>
      <c r="E503" s="223"/>
      <c r="F503" s="223"/>
      <c r="G503" s="223"/>
      <c r="H503" s="589" t="str">
        <f>B497&amp;"A"</f>
        <v>16A</v>
      </c>
      <c r="I503" s="574" t="e">
        <f>VLOOKUP(H503,ID_archer_cible,9,FALSE)</f>
        <v>#N/A</v>
      </c>
      <c r="J503" s="1075" t="e">
        <f>VLOOKUP(H503,ID_archer_cible,8,FALSE)</f>
        <v>#N/A</v>
      </c>
      <c r="K503" s="1075"/>
      <c r="L503" s="610" t="e">
        <f>VLOOKUP(H503,ID_archer_cible,7,FALSE)</f>
        <v>#N/A</v>
      </c>
      <c r="M503" s="589" t="e">
        <f>VLOOKUP(H503,ID_archer_cible,10,FALSE)</f>
        <v>#N/A</v>
      </c>
      <c r="N503" s="597" t="e">
        <f>VLOOKUP(T503,ID_archer_cible,5,FALSE)&amp;"    "&amp;VLOOKUP(T503,ID_archer_cible,6,FALSE)</f>
        <v>#N/A</v>
      </c>
      <c r="O503" s="581"/>
      <c r="P503" s="582"/>
      <c r="Q503" s="575"/>
      <c r="R503" s="223"/>
      <c r="S503" s="579" t="e">
        <f>VLOOKUP(T503,ID_archer_cible,7,FALSE)</f>
        <v>#N/A</v>
      </c>
      <c r="T503" s="589" t="str">
        <f>B497&amp;"C"</f>
        <v>16C</v>
      </c>
      <c r="U503" s="574" t="e">
        <f>VLOOKUP(T503,ID_archer_cible,9,FALSE)</f>
        <v>#N/A</v>
      </c>
      <c r="V503" s="1172" t="e">
        <f>VLOOKUP(T503,ID_archer_cible,8,FALSE)</f>
        <v>#N/A</v>
      </c>
      <c r="W503" s="1173"/>
      <c r="X503" s="574" t="e">
        <f>VLOOKUP(T503,ID_archer_cible,10,FALSE)</f>
        <v>#N/A</v>
      </c>
      <c r="AA503" s="611"/>
    </row>
    <row r="504" spans="1:27" ht="23.25" customHeight="1" x14ac:dyDescent="0.2">
      <c r="A504" s="580" t="e">
        <f>VLOOKUP(H504,ID_archer_cible,5,FALSE)&amp;"    "&amp;VLOOKUP(H504,ID_archer_cible,6,FALSE)</f>
        <v>#N/A</v>
      </c>
      <c r="B504" s="581"/>
      <c r="C504" s="582"/>
      <c r="D504" s="575"/>
      <c r="E504" s="223"/>
      <c r="F504" s="223"/>
      <c r="G504" s="223"/>
      <c r="H504" s="589" t="str">
        <f>B497&amp;"B"</f>
        <v>16B</v>
      </c>
      <c r="I504" s="574" t="e">
        <f>VLOOKUP(H504,ID_archer_cible,9,FALSE)</f>
        <v>#N/A</v>
      </c>
      <c r="J504" s="1075" t="e">
        <f>VLOOKUP(H504,ID_archer_cible,8,FALSE)</f>
        <v>#N/A</v>
      </c>
      <c r="K504" s="1075"/>
      <c r="L504" s="610" t="e">
        <f>VLOOKUP(H504,ID_archer_cible,7,FALSE)</f>
        <v>#N/A</v>
      </c>
      <c r="M504" s="589" t="e">
        <f>VLOOKUP(H504,ID_archer_cible,10,FALSE)</f>
        <v>#N/A</v>
      </c>
      <c r="N504" s="597" t="e">
        <f>VLOOKUP(T504,ID_archer_cible,5,FALSE)&amp;"    "&amp;VLOOKUP(T504,ID_archer_cible,6,FALSE)</f>
        <v>#N/A</v>
      </c>
      <c r="O504" s="581"/>
      <c r="P504" s="582"/>
      <c r="Q504" s="575"/>
      <c r="R504" s="223"/>
      <c r="S504" s="579" t="e">
        <f>VLOOKUP(T504,ID_archer_cible,7,FALSE)</f>
        <v>#N/A</v>
      </c>
      <c r="T504" s="589" t="str">
        <f>B497&amp;"D"</f>
        <v>16D</v>
      </c>
      <c r="U504" s="574" t="e">
        <f>VLOOKUP(T504,ID_archer_cible,9,FALSE)</f>
        <v>#N/A</v>
      </c>
      <c r="V504" s="1172" t="e">
        <f>VLOOKUP(T504,ID_archer_cible,8,FALSE)</f>
        <v>#N/A</v>
      </c>
      <c r="W504" s="1173"/>
      <c r="X504" s="574" t="e">
        <f>VLOOKUP(T504,ID_archer_cible,10,FALSE)</f>
        <v>#N/A</v>
      </c>
      <c r="AA504" s="611"/>
    </row>
    <row r="505" spans="1:27" ht="15" customHeight="1" thickBot="1" x14ac:dyDescent="0.25">
      <c r="AA505" s="611"/>
    </row>
    <row r="506" spans="1:27" ht="20.25" customHeight="1" thickBot="1" x14ac:dyDescent="0.25">
      <c r="F506" s="1174" t="s">
        <v>555</v>
      </c>
      <c r="G506" s="1175"/>
      <c r="H506" s="1175"/>
      <c r="I506" s="1175"/>
      <c r="J506" s="1175"/>
      <c r="K506" s="1175"/>
      <c r="L506" s="1176"/>
      <c r="M506" s="1174" t="s">
        <v>556</v>
      </c>
      <c r="N506" s="1175"/>
      <c r="O506" s="1175"/>
      <c r="P506" s="1175"/>
      <c r="Q506" s="1175"/>
      <c r="R506" s="1175"/>
      <c r="S506" s="1176"/>
      <c r="T506" s="1174" t="s">
        <v>557</v>
      </c>
      <c r="U506" s="1175"/>
      <c r="V506" s="1175"/>
      <c r="W506" s="1175"/>
      <c r="X506" s="1175"/>
      <c r="Y506" s="1175"/>
      <c r="Z506" s="1176"/>
      <c r="AA506" s="613"/>
    </row>
    <row r="507" spans="1:27" ht="30.75" customHeight="1" x14ac:dyDescent="0.2">
      <c r="A507" s="1171" t="s">
        <v>559</v>
      </c>
      <c r="B507" s="1171"/>
      <c r="C507" s="1171"/>
      <c r="D507" s="1171"/>
      <c r="E507" s="1181"/>
      <c r="F507" s="1179" t="s">
        <v>560</v>
      </c>
      <c r="G507" s="1180"/>
      <c r="H507" s="1180"/>
      <c r="I507" s="306"/>
      <c r="J507" s="306"/>
      <c r="K507" s="307"/>
      <c r="L507" s="572" t="s">
        <v>7</v>
      </c>
      <c r="M507" s="1179" t="s">
        <v>560</v>
      </c>
      <c r="N507" s="1180"/>
      <c r="O507" s="1180"/>
      <c r="P507" s="306"/>
      <c r="Q507" s="306"/>
      <c r="R507" s="307"/>
      <c r="S507" s="572" t="s">
        <v>7</v>
      </c>
      <c r="T507" s="1179" t="s">
        <v>560</v>
      </c>
      <c r="U507" s="1180"/>
      <c r="V507" s="1180"/>
      <c r="W507" s="306"/>
      <c r="X507" s="306"/>
      <c r="Y507" s="307"/>
      <c r="Z507" s="572" t="s">
        <v>7</v>
      </c>
      <c r="AA507" s="614"/>
    </row>
    <row r="508" spans="1:27" ht="30.75" customHeight="1" x14ac:dyDescent="0.2">
      <c r="A508" s="1168" t="e">
        <f>A503</f>
        <v>#N/A</v>
      </c>
      <c r="B508" s="1169"/>
      <c r="C508" s="1169"/>
      <c r="D508" s="1169"/>
      <c r="E508" s="1170"/>
      <c r="F508" s="228"/>
      <c r="G508" s="229"/>
      <c r="H508" s="229"/>
      <c r="I508" s="229"/>
      <c r="J508" s="229"/>
      <c r="K508" s="230" t="s">
        <v>561</v>
      </c>
      <c r="L508" s="231"/>
      <c r="M508" s="228"/>
      <c r="N508" s="229"/>
      <c r="O508" s="229"/>
      <c r="P508" s="229"/>
      <c r="Q508" s="229"/>
      <c r="R508" s="230" t="s">
        <v>561</v>
      </c>
      <c r="S508" s="231"/>
      <c r="T508" s="228"/>
      <c r="U508" s="229"/>
      <c r="V508" s="229"/>
      <c r="W508" s="229"/>
      <c r="X508" s="229"/>
      <c r="Y508" s="230" t="s">
        <v>561</v>
      </c>
      <c r="Z508" s="231"/>
      <c r="AA508" s="611"/>
    </row>
    <row r="509" spans="1:27" ht="30.75" customHeight="1" x14ac:dyDescent="0.2">
      <c r="A509" s="1168" t="e">
        <f>A504</f>
        <v>#N/A</v>
      </c>
      <c r="B509" s="1169"/>
      <c r="C509" s="1169"/>
      <c r="D509" s="1169"/>
      <c r="E509" s="1170"/>
      <c r="F509" s="228"/>
      <c r="G509" s="229"/>
      <c r="H509" s="229"/>
      <c r="I509" s="229"/>
      <c r="J509" s="229"/>
      <c r="K509" s="230" t="s">
        <v>561</v>
      </c>
      <c r="L509" s="231"/>
      <c r="M509" s="228"/>
      <c r="N509" s="229"/>
      <c r="O509" s="229"/>
      <c r="P509" s="229"/>
      <c r="Q509" s="229"/>
      <c r="R509" s="230" t="s">
        <v>561</v>
      </c>
      <c r="S509" s="231"/>
      <c r="T509" s="228"/>
      <c r="U509" s="229"/>
      <c r="V509" s="229"/>
      <c r="W509" s="229"/>
      <c r="X509" s="229"/>
      <c r="Y509" s="230" t="s">
        <v>561</v>
      </c>
      <c r="Z509" s="231"/>
      <c r="AA509" s="611"/>
    </row>
    <row r="510" spans="1:27" ht="30.75" customHeight="1" x14ac:dyDescent="0.2">
      <c r="A510" s="1168" t="e">
        <f>N503</f>
        <v>#N/A</v>
      </c>
      <c r="B510" s="1169"/>
      <c r="C510" s="1169"/>
      <c r="D510" s="1169"/>
      <c r="E510" s="1170"/>
      <c r="F510" s="228"/>
      <c r="G510" s="229"/>
      <c r="H510" s="229"/>
      <c r="I510" s="229"/>
      <c r="J510" s="229"/>
      <c r="K510" s="230" t="s">
        <v>561</v>
      </c>
      <c r="L510" s="231"/>
      <c r="M510" s="228"/>
      <c r="N510" s="229"/>
      <c r="O510" s="229"/>
      <c r="P510" s="229"/>
      <c r="Q510" s="229"/>
      <c r="R510" s="230" t="s">
        <v>561</v>
      </c>
      <c r="S510" s="231"/>
      <c r="T510" s="228"/>
      <c r="U510" s="229"/>
      <c r="V510" s="229"/>
      <c r="W510" s="229"/>
      <c r="X510" s="229"/>
      <c r="Y510" s="230" t="s">
        <v>561</v>
      </c>
      <c r="Z510" s="231"/>
      <c r="AA510" s="611"/>
    </row>
    <row r="511" spans="1:27" ht="30.75" customHeight="1" thickBot="1" x14ac:dyDescent="0.25">
      <c r="A511" s="1168" t="e">
        <f>N504</f>
        <v>#N/A</v>
      </c>
      <c r="B511" s="1169"/>
      <c r="C511" s="1169"/>
      <c r="D511" s="1169"/>
      <c r="E511" s="1170"/>
      <c r="F511" s="228"/>
      <c r="G511" s="229"/>
      <c r="H511" s="229"/>
      <c r="I511" s="229"/>
      <c r="J511" s="229"/>
      <c r="K511" s="230" t="s">
        <v>561</v>
      </c>
      <c r="L511" s="232"/>
      <c r="M511" s="228"/>
      <c r="N511" s="229"/>
      <c r="O511" s="229"/>
      <c r="P511" s="229"/>
      <c r="Q511" s="229"/>
      <c r="R511" s="230" t="s">
        <v>561</v>
      </c>
      <c r="S511" s="232"/>
      <c r="T511" s="228"/>
      <c r="U511" s="229"/>
      <c r="V511" s="229"/>
      <c r="W511" s="229"/>
      <c r="X511" s="229"/>
      <c r="Y511" s="230" t="s">
        <v>561</v>
      </c>
      <c r="Z511" s="232"/>
      <c r="AA511" s="611"/>
    </row>
    <row r="512" spans="1:27" ht="30.75" customHeight="1" thickBot="1" x14ac:dyDescent="0.25">
      <c r="F512" s="1177" t="s">
        <v>562</v>
      </c>
      <c r="G512" s="1178"/>
      <c r="H512" s="1178"/>
      <c r="I512" s="235"/>
      <c r="J512" s="235"/>
      <c r="K512" s="237" t="s">
        <v>561</v>
      </c>
      <c r="L512" s="239"/>
      <c r="M512" s="1177" t="s">
        <v>563</v>
      </c>
      <c r="N512" s="1178"/>
      <c r="O512" s="1178"/>
      <c r="P512" s="235"/>
      <c r="Q512" s="235"/>
      <c r="R512" s="237" t="s">
        <v>561</v>
      </c>
      <c r="S512" s="239"/>
      <c r="T512" s="1177" t="s">
        <v>564</v>
      </c>
      <c r="U512" s="1178"/>
      <c r="V512" s="1178"/>
      <c r="W512" s="235"/>
      <c r="X512" s="235"/>
      <c r="Y512" s="237" t="s">
        <v>561</v>
      </c>
      <c r="Z512" s="239"/>
      <c r="AA512" s="615"/>
    </row>
    <row r="513" spans="1:27" ht="9" customHeight="1" thickBot="1" x14ac:dyDescent="0.25">
      <c r="H513" s="249"/>
      <c r="I513" s="249"/>
      <c r="J513" s="249"/>
      <c r="K513" s="249"/>
      <c r="L513" s="249"/>
      <c r="M513" s="249"/>
      <c r="N513" s="249"/>
      <c r="O513" s="249"/>
      <c r="P513" s="249"/>
      <c r="Q513" s="249"/>
      <c r="R513" s="230"/>
      <c r="T513" s="249"/>
      <c r="U513" s="249"/>
      <c r="V513" s="249"/>
      <c r="W513" s="249"/>
      <c r="X513" s="249"/>
      <c r="Y513" s="230"/>
      <c r="AA513" s="611"/>
    </row>
    <row r="514" spans="1:27" ht="30.75" customHeight="1" thickBot="1" x14ac:dyDescent="0.25">
      <c r="F514" s="1174" t="s">
        <v>558</v>
      </c>
      <c r="G514" s="1175"/>
      <c r="H514" s="1175"/>
      <c r="I514" s="1175"/>
      <c r="J514" s="1175"/>
      <c r="K514" s="1175"/>
      <c r="L514" s="1176"/>
      <c r="M514" s="1174" t="s">
        <v>902</v>
      </c>
      <c r="N514" s="1175"/>
      <c r="O514" s="1175"/>
      <c r="P514" s="1175"/>
      <c r="Q514" s="1175"/>
      <c r="R514" s="1175"/>
      <c r="S514" s="1176"/>
      <c r="T514" s="1174" t="s">
        <v>907</v>
      </c>
      <c r="U514" s="1175"/>
      <c r="V514" s="1175"/>
      <c r="W514" s="1175"/>
      <c r="X514" s="1175"/>
      <c r="Y514" s="1175"/>
      <c r="Z514" s="1176"/>
      <c r="AA514" s="613"/>
    </row>
    <row r="515" spans="1:27" ht="30.75" customHeight="1" x14ac:dyDescent="0.2">
      <c r="A515" s="1171" t="str">
        <f>A507</f>
        <v>NOM - PRENOM</v>
      </c>
      <c r="B515" s="1171"/>
      <c r="C515" s="1171"/>
      <c r="D515" s="1171"/>
      <c r="E515" s="1181"/>
      <c r="F515" s="1179" t="s">
        <v>560</v>
      </c>
      <c r="G515" s="1180"/>
      <c r="H515" s="1180"/>
      <c r="I515" s="306"/>
      <c r="J515" s="306"/>
      <c r="K515" s="307"/>
      <c r="L515" s="572" t="s">
        <v>7</v>
      </c>
      <c r="M515" s="1179" t="s">
        <v>560</v>
      </c>
      <c r="N515" s="1180"/>
      <c r="O515" s="1180"/>
      <c r="P515" s="306"/>
      <c r="Q515" s="306"/>
      <c r="R515" s="307"/>
      <c r="S515" s="572" t="s">
        <v>7</v>
      </c>
      <c r="T515" s="1179" t="s">
        <v>560</v>
      </c>
      <c r="U515" s="1180"/>
      <c r="V515" s="1180"/>
      <c r="W515" s="306"/>
      <c r="X515" s="306"/>
      <c r="Y515" s="307"/>
      <c r="Z515" s="572" t="s">
        <v>7</v>
      </c>
      <c r="AA515" s="614"/>
    </row>
    <row r="516" spans="1:27" ht="30.75" customHeight="1" x14ac:dyDescent="0.2">
      <c r="A516" s="605" t="e">
        <f>A508</f>
        <v>#N/A</v>
      </c>
      <c r="B516" s="606"/>
      <c r="C516" s="606"/>
      <c r="D516" s="606"/>
      <c r="E516" s="607"/>
      <c r="F516" s="228"/>
      <c r="G516" s="229"/>
      <c r="H516" s="229"/>
      <c r="I516" s="229"/>
      <c r="J516" s="229"/>
      <c r="K516" s="230" t="s">
        <v>561</v>
      </c>
      <c r="L516" s="231"/>
      <c r="M516" s="228"/>
      <c r="N516" s="229"/>
      <c r="O516" s="229"/>
      <c r="P516" s="229"/>
      <c r="Q516" s="229"/>
      <c r="R516" s="230" t="s">
        <v>561</v>
      </c>
      <c r="S516" s="231"/>
      <c r="T516" s="228"/>
      <c r="U516" s="229"/>
      <c r="V516" s="229"/>
      <c r="W516" s="229"/>
      <c r="X516" s="229"/>
      <c r="Y516" s="230" t="s">
        <v>561</v>
      </c>
      <c r="Z516" s="231"/>
      <c r="AA516" s="611"/>
    </row>
    <row r="517" spans="1:27" ht="30.75" customHeight="1" x14ac:dyDescent="0.2">
      <c r="A517" s="605" t="e">
        <f>A509</f>
        <v>#N/A</v>
      </c>
      <c r="B517" s="606"/>
      <c r="C517" s="606"/>
      <c r="D517" s="606"/>
      <c r="E517" s="607"/>
      <c r="F517" s="228"/>
      <c r="G517" s="229"/>
      <c r="H517" s="229"/>
      <c r="I517" s="229"/>
      <c r="J517" s="229"/>
      <c r="K517" s="230" t="s">
        <v>561</v>
      </c>
      <c r="L517" s="231"/>
      <c r="M517" s="228"/>
      <c r="N517" s="229"/>
      <c r="O517" s="229"/>
      <c r="P517" s="229"/>
      <c r="Q517" s="229"/>
      <c r="R517" s="230" t="s">
        <v>561</v>
      </c>
      <c r="S517" s="231"/>
      <c r="T517" s="228"/>
      <c r="U517" s="229"/>
      <c r="V517" s="229"/>
      <c r="W517" s="229"/>
      <c r="X517" s="229"/>
      <c r="Y517" s="230" t="s">
        <v>561</v>
      </c>
      <c r="Z517" s="231"/>
      <c r="AA517" s="611"/>
    </row>
    <row r="518" spans="1:27" ht="30.75" customHeight="1" x14ac:dyDescent="0.2">
      <c r="A518" s="605" t="e">
        <f>A510</f>
        <v>#N/A</v>
      </c>
      <c r="B518" s="606"/>
      <c r="C518" s="606"/>
      <c r="D518" s="606"/>
      <c r="E518" s="607"/>
      <c r="F518" s="228"/>
      <c r="G518" s="229"/>
      <c r="H518" s="229"/>
      <c r="I518" s="229"/>
      <c r="J518" s="229"/>
      <c r="K518" s="230" t="s">
        <v>561</v>
      </c>
      <c r="L518" s="231"/>
      <c r="M518" s="228"/>
      <c r="N518" s="229"/>
      <c r="O518" s="229"/>
      <c r="P518" s="229"/>
      <c r="Q518" s="229"/>
      <c r="R518" s="230" t="s">
        <v>561</v>
      </c>
      <c r="S518" s="231"/>
      <c r="T518" s="228"/>
      <c r="U518" s="229"/>
      <c r="V518" s="229"/>
      <c r="W518" s="229"/>
      <c r="X518" s="229"/>
      <c r="Y518" s="230" t="s">
        <v>561</v>
      </c>
      <c r="Z518" s="231"/>
      <c r="AA518" s="611"/>
    </row>
    <row r="519" spans="1:27" ht="30.75" customHeight="1" thickBot="1" x14ac:dyDescent="0.25">
      <c r="A519" s="605" t="e">
        <f>A511</f>
        <v>#N/A</v>
      </c>
      <c r="B519" s="606"/>
      <c r="C519" s="606"/>
      <c r="D519" s="606"/>
      <c r="E519" s="607"/>
      <c r="F519" s="228"/>
      <c r="G519" s="229"/>
      <c r="H519" s="229"/>
      <c r="I519" s="229"/>
      <c r="J519" s="229"/>
      <c r="K519" s="230" t="s">
        <v>561</v>
      </c>
      <c r="L519" s="232"/>
      <c r="M519" s="228"/>
      <c r="N519" s="229"/>
      <c r="O519" s="229"/>
      <c r="P519" s="229"/>
      <c r="Q519" s="229"/>
      <c r="R519" s="230" t="s">
        <v>561</v>
      </c>
      <c r="S519" s="232"/>
      <c r="T519" s="228"/>
      <c r="U519" s="229"/>
      <c r="V519" s="229"/>
      <c r="W519" s="229"/>
      <c r="X519" s="229"/>
      <c r="Y519" s="230" t="s">
        <v>561</v>
      </c>
      <c r="Z519" s="232"/>
      <c r="AA519" s="611"/>
    </row>
    <row r="520" spans="1:27" ht="24" customHeight="1" thickBot="1" x14ac:dyDescent="0.25">
      <c r="F520" s="1177" t="s">
        <v>565</v>
      </c>
      <c r="G520" s="1178"/>
      <c r="H520" s="1178"/>
      <c r="I520" s="235"/>
      <c r="J520" s="235"/>
      <c r="K520" s="237" t="s">
        <v>561</v>
      </c>
      <c r="L520" s="239"/>
      <c r="M520" s="1177" t="s">
        <v>903</v>
      </c>
      <c r="N520" s="1178"/>
      <c r="O520" s="1178"/>
      <c r="P520" s="235"/>
      <c r="Q520" s="235"/>
      <c r="R520" s="237" t="s">
        <v>561</v>
      </c>
      <c r="S520" s="239"/>
      <c r="T520" s="1177" t="s">
        <v>904</v>
      </c>
      <c r="U520" s="1178"/>
      <c r="V520" s="1178"/>
      <c r="W520" s="235"/>
      <c r="X520" s="235"/>
      <c r="Y520" s="237" t="s">
        <v>561</v>
      </c>
      <c r="Z520" s="239"/>
      <c r="AA520" s="611"/>
    </row>
    <row r="521" spans="1:27" ht="8.25" customHeight="1" thickBot="1" x14ac:dyDescent="0.25">
      <c r="A521" s="592"/>
      <c r="B521" s="592"/>
      <c r="C521" s="592"/>
      <c r="D521" s="592"/>
      <c r="E521" s="592"/>
      <c r="F521" s="249"/>
      <c r="G521" s="249"/>
      <c r="H521" s="249"/>
      <c r="I521" s="249"/>
      <c r="J521" s="249"/>
      <c r="K521" s="230"/>
      <c r="L521" s="249"/>
      <c r="M521" s="230"/>
      <c r="N521" s="249"/>
      <c r="O521" s="230"/>
      <c r="P521" s="249"/>
      <c r="Q521" s="230"/>
      <c r="R521" s="249"/>
      <c r="S521" s="230"/>
      <c r="T521" s="249"/>
      <c r="U521" s="230"/>
      <c r="V521" s="249"/>
      <c r="W521" s="249"/>
      <c r="X521" s="249"/>
      <c r="Y521" s="230"/>
      <c r="AA521" s="611"/>
    </row>
    <row r="522" spans="1:27" ht="16.5" customHeight="1" thickBot="1" x14ac:dyDescent="0.25">
      <c r="A522" s="1200" t="s">
        <v>915</v>
      </c>
      <c r="B522" s="1200"/>
      <c r="C522" s="1200"/>
      <c r="D522" s="1200"/>
      <c r="E522" s="249"/>
      <c r="F522" s="1198" t="s">
        <v>909</v>
      </c>
      <c r="G522" s="1199"/>
      <c r="H522" s="1199"/>
      <c r="I522" s="1198" t="s">
        <v>910</v>
      </c>
      <c r="J522" s="1199"/>
      <c r="K522" s="1199"/>
      <c r="L522" s="1198" t="s">
        <v>911</v>
      </c>
      <c r="M522" s="1199"/>
      <c r="N522" s="1199"/>
      <c r="O522" s="1198" t="s">
        <v>912</v>
      </c>
      <c r="P522" s="1199"/>
      <c r="Q522" s="1199"/>
      <c r="R522" s="1198" t="s">
        <v>913</v>
      </c>
      <c r="S522" s="1199"/>
      <c r="T522" s="1199"/>
      <c r="U522" s="1198" t="s">
        <v>916</v>
      </c>
      <c r="V522" s="1199"/>
      <c r="W522" s="1199"/>
      <c r="X522" s="1194" t="s">
        <v>908</v>
      </c>
      <c r="Y522" s="1195"/>
      <c r="Z522" s="1196"/>
      <c r="AA522" s="616"/>
    </row>
    <row r="523" spans="1:27" ht="30.75" customHeight="1" x14ac:dyDescent="0.2">
      <c r="A523" s="1200"/>
      <c r="B523" s="1200"/>
      <c r="C523" s="1200"/>
      <c r="D523" s="1200"/>
      <c r="E523" s="249"/>
      <c r="F523" s="1197"/>
      <c r="G523" s="1197"/>
      <c r="H523" s="1197"/>
      <c r="I523" s="1197"/>
      <c r="J523" s="1197"/>
      <c r="K523" s="1197"/>
      <c r="L523" s="1197"/>
      <c r="M523" s="1197"/>
      <c r="N523" s="1197"/>
      <c r="O523" s="1197"/>
      <c r="P523" s="1197"/>
      <c r="Q523" s="1197"/>
      <c r="R523" s="1197"/>
      <c r="S523" s="1197"/>
      <c r="T523" s="1197"/>
      <c r="U523" s="1197"/>
      <c r="V523" s="1197"/>
      <c r="W523" s="1197"/>
      <c r="X523" s="1162"/>
      <c r="Y523" s="1163"/>
      <c r="Z523" s="1164"/>
      <c r="AA523" s="614"/>
    </row>
    <row r="524" spans="1:27" ht="30.75" customHeight="1" thickBot="1" x14ac:dyDescent="0.25">
      <c r="A524" s="1200"/>
      <c r="B524" s="1200"/>
      <c r="C524" s="1200"/>
      <c r="D524" s="1200"/>
      <c r="E524" s="249"/>
      <c r="F524" s="1201" t="s">
        <v>914</v>
      </c>
      <c r="G524" s="1201"/>
      <c r="H524" s="1201"/>
      <c r="I524" s="1197"/>
      <c r="J524" s="1197"/>
      <c r="K524" s="1197"/>
      <c r="L524" s="1197"/>
      <c r="M524" s="1197"/>
      <c r="N524" s="1197"/>
      <c r="O524" s="1197"/>
      <c r="P524" s="1197"/>
      <c r="Q524" s="1197"/>
      <c r="R524" s="1197"/>
      <c r="S524" s="1197"/>
      <c r="T524" s="1197"/>
      <c r="U524" s="1197"/>
      <c r="V524" s="1197"/>
      <c r="W524" s="1197"/>
      <c r="X524" s="1165"/>
      <c r="Y524" s="1166"/>
      <c r="Z524" s="1167"/>
      <c r="AA524" s="614"/>
    </row>
    <row r="525" spans="1:27" ht="19.5" customHeight="1" x14ac:dyDescent="0.2">
      <c r="A525" s="578" t="s">
        <v>851</v>
      </c>
      <c r="B525" s="566"/>
      <c r="C525" s="566"/>
      <c r="D525" s="566"/>
      <c r="E525" s="566"/>
      <c r="F525" s="566"/>
      <c r="G525" s="566"/>
      <c r="H525" s="566"/>
      <c r="I525" s="566"/>
      <c r="J525" s="566"/>
      <c r="K525" s="566"/>
      <c r="M525" s="241"/>
      <c r="O525" s="578" t="s">
        <v>522</v>
      </c>
      <c r="P525" s="566"/>
      <c r="Q525" s="566"/>
      <c r="R525" s="566"/>
      <c r="S525" s="566"/>
      <c r="T525" s="566"/>
      <c r="U525" s="566"/>
      <c r="V525" s="566"/>
      <c r="W525" s="520"/>
      <c r="AA525" s="611"/>
    </row>
    <row r="526" spans="1:27" x14ac:dyDescent="0.2">
      <c r="A526" s="577" t="s">
        <v>1</v>
      </c>
      <c r="B526" s="567"/>
      <c r="C526" s="567"/>
      <c r="D526" s="567"/>
      <c r="E526" s="567"/>
      <c r="F526" s="567"/>
      <c r="G526" s="568"/>
      <c r="H526" s="1086" t="s">
        <v>520</v>
      </c>
      <c r="I526" s="1087"/>
      <c r="J526" s="1087"/>
      <c r="K526" s="1088"/>
      <c r="M526" s="577" t="s">
        <v>1</v>
      </c>
      <c r="N526" s="567"/>
      <c r="O526" s="567"/>
      <c r="P526" s="567"/>
      <c r="Q526" s="567"/>
      <c r="R526" s="567"/>
      <c r="S526" s="585" t="s">
        <v>520</v>
      </c>
      <c r="T526" s="586"/>
      <c r="U526" s="586"/>
      <c r="V526" s="587"/>
      <c r="AA526" s="611"/>
    </row>
    <row r="527" spans="1:27" ht="69" customHeight="1" x14ac:dyDescent="0.2">
      <c r="A527" s="242"/>
      <c r="B527" s="243"/>
      <c r="C527" s="243"/>
      <c r="D527" s="243"/>
      <c r="E527" s="243"/>
      <c r="F527" s="243"/>
      <c r="G527" s="244"/>
      <c r="H527" s="242"/>
      <c r="I527" s="243"/>
      <c r="J527" s="243"/>
      <c r="K527" s="244"/>
      <c r="M527" s="242"/>
      <c r="N527" s="243"/>
      <c r="O527" s="243"/>
      <c r="P527" s="243"/>
      <c r="Q527" s="243"/>
      <c r="R527" s="243"/>
      <c r="S527" s="242"/>
      <c r="T527" s="243"/>
      <c r="U527" s="243"/>
      <c r="V527" s="244"/>
      <c r="AA527" s="611"/>
    </row>
    <row r="528" spans="1:27" x14ac:dyDescent="0.2">
      <c r="AA528" s="611"/>
    </row>
    <row r="529" spans="1:27" ht="6.75" customHeight="1" x14ac:dyDescent="0.2">
      <c r="AA529" s="611"/>
    </row>
    <row r="530" spans="1:27" s="218" customFormat="1" ht="23.25" customHeight="1" x14ac:dyDescent="0.2">
      <c r="A530" s="218" t="s">
        <v>628</v>
      </c>
      <c r="B530" s="1103">
        <f>B497+1</f>
        <v>17</v>
      </c>
      <c r="C530" s="1104"/>
      <c r="D530" s="569"/>
      <c r="E530" s="218" t="str">
        <f>Championnat</f>
        <v>Championnat de France de Tir à l'ARC</v>
      </c>
      <c r="P530" s="1192"/>
      <c r="Q530" s="1192"/>
      <c r="R530" s="1192"/>
      <c r="S530" s="1192"/>
      <c r="T530" s="1193" t="str">
        <f>CATEG_IMPORTEE</f>
        <v>Collèges Mixtes Etablissement</v>
      </c>
      <c r="U530" s="1193"/>
      <c r="V530" s="1193"/>
      <c r="W530" s="1193"/>
      <c r="X530" s="1193"/>
      <c r="Y530" s="1193"/>
      <c r="Z530" s="1193"/>
      <c r="AA530" s="609"/>
    </row>
    <row r="531" spans="1:27" ht="27" customHeight="1" thickBot="1" x14ac:dyDescent="0.25">
      <c r="A531" s="1069" t="s">
        <v>0</v>
      </c>
      <c r="B531" s="1069"/>
      <c r="C531" s="1069"/>
      <c r="D531" s="1069"/>
      <c r="E531" s="1069"/>
      <c r="F531" s="1069"/>
      <c r="G531" s="1069"/>
      <c r="H531" s="1069"/>
      <c r="I531" s="1125" t="s">
        <v>374</v>
      </c>
      <c r="J531" s="1125"/>
      <c r="K531" s="1125"/>
      <c r="L531" s="1125"/>
      <c r="M531" s="1125"/>
      <c r="N531" s="1069"/>
      <c r="O531" s="595"/>
      <c r="P531" s="1192"/>
      <c r="Q531" s="1192"/>
      <c r="R531" s="1192"/>
      <c r="S531" s="1192"/>
      <c r="T531" s="1184" t="str">
        <f>LIEU&amp;" du "&amp;DATE</f>
        <v>L’Isle sur la Sorgue du 27 au 31 mars 2023</v>
      </c>
      <c r="U531" s="1184"/>
      <c r="V531" s="1184"/>
      <c r="W531" s="1184"/>
      <c r="X531" s="1184"/>
      <c r="Y531" s="1184"/>
      <c r="Z531" s="1184"/>
      <c r="AA531" s="608"/>
    </row>
    <row r="532" spans="1:27" ht="24" customHeight="1" thickBot="1" x14ac:dyDescent="0.25">
      <c r="A532" s="1185" t="e">
        <f>VLOOKUP(H536,ID_archer_cible,2,FALSE)</f>
        <v>#N/A</v>
      </c>
      <c r="B532" s="1186"/>
      <c r="C532" s="1186"/>
      <c r="D532" s="1186"/>
      <c r="E532" s="1186"/>
      <c r="F532" s="1186"/>
      <c r="G532" s="1186"/>
      <c r="H532" s="1187"/>
      <c r="I532" s="1185" t="e">
        <f>VLOOKUP(H536,ID_archer_cible,4,FALSE)</f>
        <v>#N/A</v>
      </c>
      <c r="J532" s="1186"/>
      <c r="K532" s="1186"/>
      <c r="L532" s="1186"/>
      <c r="M532" s="1186"/>
      <c r="N532" s="1187"/>
      <c r="O532" s="596"/>
      <c r="P532" s="1192"/>
      <c r="Q532" s="1192"/>
      <c r="R532" s="1192"/>
      <c r="S532" s="1192"/>
      <c r="T532" s="520"/>
      <c r="U532" s="520"/>
      <c r="V532" s="520"/>
      <c r="W532" s="520"/>
      <c r="X532" s="520"/>
      <c r="Y532" s="520"/>
      <c r="Z532" s="520"/>
      <c r="AA532" s="520"/>
    </row>
    <row r="533" spans="1:27" ht="6" customHeight="1" x14ac:dyDescent="0.2">
      <c r="I533" s="1188" t="e">
        <f>"("&amp;VLOOKUP(H536,ID_archer_cible,3,FALSE)&amp;")"</f>
        <v>#N/A</v>
      </c>
      <c r="J533" s="1188"/>
      <c r="K533" s="1188"/>
      <c r="L533" s="1188"/>
      <c r="M533" s="1188"/>
      <c r="N533" s="1188"/>
      <c r="P533" s="1192"/>
      <c r="Q533" s="1192"/>
      <c r="R533" s="1192"/>
      <c r="S533" s="1192"/>
      <c r="AA533" s="611"/>
    </row>
    <row r="534" spans="1:27" ht="17.25" customHeight="1" x14ac:dyDescent="0.2">
      <c r="E534" s="584"/>
      <c r="F534" s="584"/>
      <c r="G534" s="584"/>
      <c r="H534" s="584"/>
      <c r="I534" s="1189"/>
      <c r="J534" s="1189"/>
      <c r="K534" s="1189"/>
      <c r="L534" s="1189"/>
      <c r="M534" s="1189"/>
      <c r="N534" s="1189"/>
      <c r="P534" s="1192"/>
      <c r="Q534" s="1192"/>
      <c r="R534" s="1192"/>
      <c r="S534" s="1192"/>
      <c r="AA534" s="611"/>
    </row>
    <row r="535" spans="1:27" ht="23.25" customHeight="1" x14ac:dyDescent="0.2">
      <c r="A535" s="593" t="s">
        <v>906</v>
      </c>
      <c r="B535" s="588"/>
      <c r="C535" s="588"/>
      <c r="D535" s="588"/>
      <c r="E535" s="588"/>
      <c r="F535" s="588"/>
      <c r="G535" s="588"/>
      <c r="H535" s="594" t="s">
        <v>552</v>
      </c>
      <c r="I535" s="573" t="s">
        <v>893</v>
      </c>
      <c r="J535" s="1075" t="s">
        <v>550</v>
      </c>
      <c r="K535" s="1075"/>
      <c r="L535" s="573" t="s">
        <v>905</v>
      </c>
      <c r="M535" s="252" t="s">
        <v>551</v>
      </c>
      <c r="S535" s="573" t="s">
        <v>905</v>
      </c>
      <c r="T535" s="573" t="s">
        <v>893</v>
      </c>
      <c r="U535" s="573" t="s">
        <v>893</v>
      </c>
      <c r="V535" s="1075" t="s">
        <v>550</v>
      </c>
      <c r="W535" s="1075"/>
      <c r="X535" s="252" t="s">
        <v>551</v>
      </c>
      <c r="Y535" s="571"/>
      <c r="Z535" s="571"/>
      <c r="AA535" s="612"/>
    </row>
    <row r="536" spans="1:27" ht="23.25" customHeight="1" x14ac:dyDescent="0.2">
      <c r="A536" s="580" t="e">
        <f>VLOOKUP(H536,ID_archer_cible,5,FALSE)&amp;"    "&amp;VLOOKUP(H536,ID_archer_cible,6,FALSE)</f>
        <v>#N/A</v>
      </c>
      <c r="B536" s="581"/>
      <c r="C536" s="582"/>
      <c r="D536" s="575"/>
      <c r="E536" s="223"/>
      <c r="F536" s="223"/>
      <c r="G536" s="223"/>
      <c r="H536" s="589" t="str">
        <f>B530&amp;"A"</f>
        <v>17A</v>
      </c>
      <c r="I536" s="574" t="e">
        <f>VLOOKUP(H536,ID_archer_cible,9,FALSE)</f>
        <v>#N/A</v>
      </c>
      <c r="J536" s="1075" t="e">
        <f>VLOOKUP(H536,ID_archer_cible,8,FALSE)</f>
        <v>#N/A</v>
      </c>
      <c r="K536" s="1075"/>
      <c r="L536" s="610" t="e">
        <f>VLOOKUP(H536,ID_archer_cible,7,FALSE)</f>
        <v>#N/A</v>
      </c>
      <c r="M536" s="589" t="e">
        <f>VLOOKUP(H536,ID_archer_cible,10,FALSE)</f>
        <v>#N/A</v>
      </c>
      <c r="N536" s="597" t="e">
        <f>VLOOKUP(T536,ID_archer_cible,5,FALSE)&amp;"    "&amp;VLOOKUP(T536,ID_archer_cible,6,FALSE)</f>
        <v>#N/A</v>
      </c>
      <c r="O536" s="581"/>
      <c r="P536" s="582"/>
      <c r="Q536" s="575"/>
      <c r="R536" s="223"/>
      <c r="S536" s="579" t="e">
        <f>VLOOKUP(T536,ID_archer_cible,7,FALSE)</f>
        <v>#N/A</v>
      </c>
      <c r="T536" s="589" t="str">
        <f>B530&amp;"C"</f>
        <v>17C</v>
      </c>
      <c r="U536" s="574" t="e">
        <f>VLOOKUP(T536,ID_archer_cible,9,FALSE)</f>
        <v>#N/A</v>
      </c>
      <c r="V536" s="1172" t="e">
        <f>VLOOKUP(T536,ID_archer_cible,8,FALSE)</f>
        <v>#N/A</v>
      </c>
      <c r="W536" s="1173"/>
      <c r="X536" s="574" t="e">
        <f>VLOOKUP(T536,ID_archer_cible,10,FALSE)</f>
        <v>#N/A</v>
      </c>
      <c r="AA536" s="611"/>
    </row>
    <row r="537" spans="1:27" ht="23.25" customHeight="1" x14ac:dyDescent="0.2">
      <c r="A537" s="580" t="e">
        <f>VLOOKUP(H537,ID_archer_cible,5,FALSE)&amp;"    "&amp;VLOOKUP(H537,ID_archer_cible,6,FALSE)</f>
        <v>#N/A</v>
      </c>
      <c r="B537" s="581"/>
      <c r="C537" s="582"/>
      <c r="D537" s="575"/>
      <c r="E537" s="223"/>
      <c r="F537" s="223"/>
      <c r="G537" s="223"/>
      <c r="H537" s="589" t="str">
        <f>B530&amp;"B"</f>
        <v>17B</v>
      </c>
      <c r="I537" s="574" t="e">
        <f>VLOOKUP(H537,ID_archer_cible,9,FALSE)</f>
        <v>#N/A</v>
      </c>
      <c r="J537" s="1075" t="e">
        <f>VLOOKUP(H537,ID_archer_cible,8,FALSE)</f>
        <v>#N/A</v>
      </c>
      <c r="K537" s="1075"/>
      <c r="L537" s="610" t="e">
        <f>VLOOKUP(H537,ID_archer_cible,7,FALSE)</f>
        <v>#N/A</v>
      </c>
      <c r="M537" s="589" t="e">
        <f>VLOOKUP(H537,ID_archer_cible,10,FALSE)</f>
        <v>#N/A</v>
      </c>
      <c r="N537" s="597" t="e">
        <f>VLOOKUP(T537,ID_archer_cible,5,FALSE)&amp;"    "&amp;VLOOKUP(T537,ID_archer_cible,6,FALSE)</f>
        <v>#N/A</v>
      </c>
      <c r="O537" s="581"/>
      <c r="P537" s="582"/>
      <c r="Q537" s="575"/>
      <c r="R537" s="223"/>
      <c r="S537" s="579" t="e">
        <f>VLOOKUP(T537,ID_archer_cible,7,FALSE)</f>
        <v>#N/A</v>
      </c>
      <c r="T537" s="589" t="str">
        <f>B530&amp;"D"</f>
        <v>17D</v>
      </c>
      <c r="U537" s="574" t="e">
        <f>VLOOKUP(T537,ID_archer_cible,9,FALSE)</f>
        <v>#N/A</v>
      </c>
      <c r="V537" s="1172" t="e">
        <f>VLOOKUP(T537,ID_archer_cible,8,FALSE)</f>
        <v>#N/A</v>
      </c>
      <c r="W537" s="1173"/>
      <c r="X537" s="574" t="e">
        <f>VLOOKUP(T537,ID_archer_cible,10,FALSE)</f>
        <v>#N/A</v>
      </c>
      <c r="AA537" s="611"/>
    </row>
    <row r="538" spans="1:27" ht="15" customHeight="1" thickBot="1" x14ac:dyDescent="0.25">
      <c r="AA538" s="611"/>
    </row>
    <row r="539" spans="1:27" ht="20.25" customHeight="1" thickBot="1" x14ac:dyDescent="0.25">
      <c r="F539" s="1174" t="s">
        <v>555</v>
      </c>
      <c r="G539" s="1175"/>
      <c r="H539" s="1175"/>
      <c r="I539" s="1175"/>
      <c r="J539" s="1175"/>
      <c r="K539" s="1175"/>
      <c r="L539" s="1176"/>
      <c r="M539" s="1174" t="s">
        <v>556</v>
      </c>
      <c r="N539" s="1175"/>
      <c r="O539" s="1175"/>
      <c r="P539" s="1175"/>
      <c r="Q539" s="1175"/>
      <c r="R539" s="1175"/>
      <c r="S539" s="1176"/>
      <c r="T539" s="1174" t="s">
        <v>557</v>
      </c>
      <c r="U539" s="1175"/>
      <c r="V539" s="1175"/>
      <c r="W539" s="1175"/>
      <c r="X539" s="1175"/>
      <c r="Y539" s="1175"/>
      <c r="Z539" s="1176"/>
      <c r="AA539" s="613"/>
    </row>
    <row r="540" spans="1:27" ht="30.75" customHeight="1" x14ac:dyDescent="0.2">
      <c r="A540" s="1171" t="s">
        <v>559</v>
      </c>
      <c r="B540" s="1171"/>
      <c r="C540" s="1171"/>
      <c r="D540" s="1171"/>
      <c r="E540" s="1181"/>
      <c r="F540" s="1179" t="s">
        <v>560</v>
      </c>
      <c r="G540" s="1180"/>
      <c r="H540" s="1180"/>
      <c r="I540" s="306"/>
      <c r="J540" s="306"/>
      <c r="K540" s="307"/>
      <c r="L540" s="572" t="s">
        <v>7</v>
      </c>
      <c r="M540" s="1179" t="s">
        <v>560</v>
      </c>
      <c r="N540" s="1180"/>
      <c r="O540" s="1180"/>
      <c r="P540" s="306"/>
      <c r="Q540" s="306"/>
      <c r="R540" s="307"/>
      <c r="S540" s="572" t="s">
        <v>7</v>
      </c>
      <c r="T540" s="1179" t="s">
        <v>560</v>
      </c>
      <c r="U540" s="1180"/>
      <c r="V540" s="1180"/>
      <c r="W540" s="306"/>
      <c r="X540" s="306"/>
      <c r="Y540" s="307"/>
      <c r="Z540" s="572" t="s">
        <v>7</v>
      </c>
      <c r="AA540" s="614"/>
    </row>
    <row r="541" spans="1:27" ht="30.75" customHeight="1" x14ac:dyDescent="0.2">
      <c r="A541" s="1168" t="e">
        <f>A536</f>
        <v>#N/A</v>
      </c>
      <c r="B541" s="1169"/>
      <c r="C541" s="1169"/>
      <c r="D541" s="1169"/>
      <c r="E541" s="1170"/>
      <c r="F541" s="228"/>
      <c r="G541" s="229"/>
      <c r="H541" s="229"/>
      <c r="I541" s="229"/>
      <c r="J541" s="229"/>
      <c r="K541" s="230" t="s">
        <v>561</v>
      </c>
      <c r="L541" s="231"/>
      <c r="M541" s="228"/>
      <c r="N541" s="229"/>
      <c r="O541" s="229"/>
      <c r="P541" s="229"/>
      <c r="Q541" s="229"/>
      <c r="R541" s="230" t="s">
        <v>561</v>
      </c>
      <c r="S541" s="231"/>
      <c r="T541" s="228"/>
      <c r="U541" s="229"/>
      <c r="V541" s="229"/>
      <c r="W541" s="229"/>
      <c r="X541" s="229"/>
      <c r="Y541" s="230" t="s">
        <v>561</v>
      </c>
      <c r="Z541" s="231"/>
      <c r="AA541" s="611"/>
    </row>
    <row r="542" spans="1:27" ht="30.75" customHeight="1" x14ac:dyDescent="0.2">
      <c r="A542" s="1168" t="e">
        <f>A537</f>
        <v>#N/A</v>
      </c>
      <c r="B542" s="1169"/>
      <c r="C542" s="1169"/>
      <c r="D542" s="1169"/>
      <c r="E542" s="1170"/>
      <c r="F542" s="228"/>
      <c r="G542" s="229"/>
      <c r="H542" s="229"/>
      <c r="I542" s="229"/>
      <c r="J542" s="229"/>
      <c r="K542" s="230" t="s">
        <v>561</v>
      </c>
      <c r="L542" s="231"/>
      <c r="M542" s="228"/>
      <c r="N542" s="229"/>
      <c r="O542" s="229"/>
      <c r="P542" s="229"/>
      <c r="Q542" s="229"/>
      <c r="R542" s="230" t="s">
        <v>561</v>
      </c>
      <c r="S542" s="231"/>
      <c r="T542" s="228"/>
      <c r="U542" s="229"/>
      <c r="V542" s="229"/>
      <c r="W542" s="229"/>
      <c r="X542" s="229"/>
      <c r="Y542" s="230" t="s">
        <v>561</v>
      </c>
      <c r="Z542" s="231"/>
      <c r="AA542" s="611"/>
    </row>
    <row r="543" spans="1:27" ht="30.75" customHeight="1" x14ac:dyDescent="0.2">
      <c r="A543" s="1168" t="e">
        <f>N536</f>
        <v>#N/A</v>
      </c>
      <c r="B543" s="1169"/>
      <c r="C543" s="1169"/>
      <c r="D543" s="1169"/>
      <c r="E543" s="1170"/>
      <c r="F543" s="228"/>
      <c r="G543" s="229"/>
      <c r="H543" s="229"/>
      <c r="I543" s="229"/>
      <c r="J543" s="229"/>
      <c r="K543" s="230" t="s">
        <v>561</v>
      </c>
      <c r="L543" s="231"/>
      <c r="M543" s="228"/>
      <c r="N543" s="229"/>
      <c r="O543" s="229"/>
      <c r="P543" s="229"/>
      <c r="Q543" s="229"/>
      <c r="R543" s="230" t="s">
        <v>561</v>
      </c>
      <c r="S543" s="231"/>
      <c r="T543" s="228"/>
      <c r="U543" s="229"/>
      <c r="V543" s="229"/>
      <c r="W543" s="229"/>
      <c r="X543" s="229"/>
      <c r="Y543" s="230" t="s">
        <v>561</v>
      </c>
      <c r="Z543" s="231"/>
      <c r="AA543" s="611"/>
    </row>
    <row r="544" spans="1:27" ht="30.75" customHeight="1" thickBot="1" x14ac:dyDescent="0.25">
      <c r="A544" s="1168" t="e">
        <f>N537</f>
        <v>#N/A</v>
      </c>
      <c r="B544" s="1169"/>
      <c r="C544" s="1169"/>
      <c r="D544" s="1169"/>
      <c r="E544" s="1170"/>
      <c r="F544" s="228"/>
      <c r="G544" s="229"/>
      <c r="H544" s="229"/>
      <c r="I544" s="229"/>
      <c r="J544" s="229"/>
      <c r="K544" s="230" t="s">
        <v>561</v>
      </c>
      <c r="L544" s="232"/>
      <c r="M544" s="228"/>
      <c r="N544" s="229"/>
      <c r="O544" s="229"/>
      <c r="P544" s="229"/>
      <c r="Q544" s="229"/>
      <c r="R544" s="230" t="s">
        <v>561</v>
      </c>
      <c r="S544" s="232"/>
      <c r="T544" s="228"/>
      <c r="U544" s="229"/>
      <c r="V544" s="229"/>
      <c r="W544" s="229"/>
      <c r="X544" s="229"/>
      <c r="Y544" s="230" t="s">
        <v>561</v>
      </c>
      <c r="Z544" s="232"/>
      <c r="AA544" s="611"/>
    </row>
    <row r="545" spans="1:27" ht="30.75" customHeight="1" thickBot="1" x14ac:dyDescent="0.25">
      <c r="F545" s="1177" t="s">
        <v>562</v>
      </c>
      <c r="G545" s="1178"/>
      <c r="H545" s="1178"/>
      <c r="I545" s="235"/>
      <c r="J545" s="235"/>
      <c r="K545" s="237" t="s">
        <v>561</v>
      </c>
      <c r="L545" s="239"/>
      <c r="M545" s="1177" t="s">
        <v>563</v>
      </c>
      <c r="N545" s="1178"/>
      <c r="O545" s="1178"/>
      <c r="P545" s="235"/>
      <c r="Q545" s="235"/>
      <c r="R545" s="237" t="s">
        <v>561</v>
      </c>
      <c r="S545" s="239"/>
      <c r="T545" s="1177" t="s">
        <v>564</v>
      </c>
      <c r="U545" s="1178"/>
      <c r="V545" s="1178"/>
      <c r="W545" s="235"/>
      <c r="X545" s="235"/>
      <c r="Y545" s="237" t="s">
        <v>561</v>
      </c>
      <c r="Z545" s="239"/>
      <c r="AA545" s="615"/>
    </row>
    <row r="546" spans="1:27" ht="9" customHeight="1" thickBot="1" x14ac:dyDescent="0.25">
      <c r="H546" s="249"/>
      <c r="I546" s="249"/>
      <c r="J546" s="249"/>
      <c r="K546" s="249"/>
      <c r="L546" s="249"/>
      <c r="M546" s="249"/>
      <c r="N546" s="249"/>
      <c r="O546" s="249"/>
      <c r="P546" s="249"/>
      <c r="Q546" s="249"/>
      <c r="R546" s="230"/>
      <c r="T546" s="249"/>
      <c r="U546" s="249"/>
      <c r="V546" s="249"/>
      <c r="W546" s="249"/>
      <c r="X546" s="249"/>
      <c r="Y546" s="230"/>
      <c r="AA546" s="611"/>
    </row>
    <row r="547" spans="1:27" ht="30.75" customHeight="1" thickBot="1" x14ac:dyDescent="0.25">
      <c r="F547" s="1174" t="s">
        <v>558</v>
      </c>
      <c r="G547" s="1175"/>
      <c r="H547" s="1175"/>
      <c r="I547" s="1175"/>
      <c r="J547" s="1175"/>
      <c r="K547" s="1175"/>
      <c r="L547" s="1176"/>
      <c r="M547" s="1174" t="s">
        <v>902</v>
      </c>
      <c r="N547" s="1175"/>
      <c r="O547" s="1175"/>
      <c r="P547" s="1175"/>
      <c r="Q547" s="1175"/>
      <c r="R547" s="1175"/>
      <c r="S547" s="1176"/>
      <c r="T547" s="1174" t="s">
        <v>907</v>
      </c>
      <c r="U547" s="1175"/>
      <c r="V547" s="1175"/>
      <c r="W547" s="1175"/>
      <c r="X547" s="1175"/>
      <c r="Y547" s="1175"/>
      <c r="Z547" s="1176"/>
      <c r="AA547" s="613"/>
    </row>
    <row r="548" spans="1:27" ht="30.75" customHeight="1" x14ac:dyDescent="0.2">
      <c r="A548" s="1171" t="str">
        <f>A540</f>
        <v>NOM - PRENOM</v>
      </c>
      <c r="B548" s="1171"/>
      <c r="C548" s="1171"/>
      <c r="D548" s="1171"/>
      <c r="E548" s="1181"/>
      <c r="F548" s="1179" t="s">
        <v>560</v>
      </c>
      <c r="G548" s="1180"/>
      <c r="H548" s="1180"/>
      <c r="I548" s="306"/>
      <c r="J548" s="306"/>
      <c r="K548" s="307"/>
      <c r="L548" s="572" t="s">
        <v>7</v>
      </c>
      <c r="M548" s="1179" t="s">
        <v>560</v>
      </c>
      <c r="N548" s="1180"/>
      <c r="O548" s="1180"/>
      <c r="P548" s="306"/>
      <c r="Q548" s="306"/>
      <c r="R548" s="307"/>
      <c r="S548" s="572" t="s">
        <v>7</v>
      </c>
      <c r="T548" s="1179" t="s">
        <v>560</v>
      </c>
      <c r="U548" s="1180"/>
      <c r="V548" s="1180"/>
      <c r="W548" s="306"/>
      <c r="X548" s="306"/>
      <c r="Y548" s="307"/>
      <c r="Z548" s="572" t="s">
        <v>7</v>
      </c>
      <c r="AA548" s="614"/>
    </row>
    <row r="549" spans="1:27" ht="30.75" customHeight="1" x14ac:dyDescent="0.2">
      <c r="A549" s="605" t="e">
        <f>A541</f>
        <v>#N/A</v>
      </c>
      <c r="B549" s="606"/>
      <c r="C549" s="606"/>
      <c r="D549" s="606"/>
      <c r="E549" s="607"/>
      <c r="F549" s="228"/>
      <c r="G549" s="229"/>
      <c r="H549" s="229"/>
      <c r="I549" s="229"/>
      <c r="J549" s="229"/>
      <c r="K549" s="230" t="s">
        <v>561</v>
      </c>
      <c r="L549" s="231"/>
      <c r="M549" s="228"/>
      <c r="N549" s="229"/>
      <c r="O549" s="229"/>
      <c r="P549" s="229"/>
      <c r="Q549" s="229"/>
      <c r="R549" s="230" t="s">
        <v>561</v>
      </c>
      <c r="S549" s="231"/>
      <c r="T549" s="228"/>
      <c r="U549" s="229"/>
      <c r="V549" s="229"/>
      <c r="W549" s="229"/>
      <c r="X549" s="229"/>
      <c r="Y549" s="230" t="s">
        <v>561</v>
      </c>
      <c r="Z549" s="231"/>
      <c r="AA549" s="611"/>
    </row>
    <row r="550" spans="1:27" ht="30.75" customHeight="1" x14ac:dyDescent="0.2">
      <c r="A550" s="605" t="e">
        <f>A542</f>
        <v>#N/A</v>
      </c>
      <c r="B550" s="606"/>
      <c r="C550" s="606"/>
      <c r="D550" s="606"/>
      <c r="E550" s="607"/>
      <c r="F550" s="228"/>
      <c r="G550" s="229"/>
      <c r="H550" s="229"/>
      <c r="I550" s="229"/>
      <c r="J550" s="229"/>
      <c r="K550" s="230" t="s">
        <v>561</v>
      </c>
      <c r="L550" s="231"/>
      <c r="M550" s="228"/>
      <c r="N550" s="229"/>
      <c r="O550" s="229"/>
      <c r="P550" s="229"/>
      <c r="Q550" s="229"/>
      <c r="R550" s="230" t="s">
        <v>561</v>
      </c>
      <c r="S550" s="231"/>
      <c r="T550" s="228"/>
      <c r="U550" s="229"/>
      <c r="V550" s="229"/>
      <c r="W550" s="229"/>
      <c r="X550" s="229"/>
      <c r="Y550" s="230" t="s">
        <v>561</v>
      </c>
      <c r="Z550" s="231"/>
      <c r="AA550" s="611"/>
    </row>
    <row r="551" spans="1:27" ht="30.75" customHeight="1" x14ac:dyDescent="0.2">
      <c r="A551" s="605" t="e">
        <f>A543</f>
        <v>#N/A</v>
      </c>
      <c r="B551" s="606"/>
      <c r="C551" s="606"/>
      <c r="D551" s="606"/>
      <c r="E551" s="607"/>
      <c r="F551" s="228"/>
      <c r="G551" s="229"/>
      <c r="H551" s="229"/>
      <c r="I551" s="229"/>
      <c r="J551" s="229"/>
      <c r="K551" s="230" t="s">
        <v>561</v>
      </c>
      <c r="L551" s="231"/>
      <c r="M551" s="228"/>
      <c r="N551" s="229"/>
      <c r="O551" s="229"/>
      <c r="P551" s="229"/>
      <c r="Q551" s="229"/>
      <c r="R551" s="230" t="s">
        <v>561</v>
      </c>
      <c r="S551" s="231"/>
      <c r="T551" s="228"/>
      <c r="U551" s="229"/>
      <c r="V551" s="229"/>
      <c r="W551" s="229"/>
      <c r="X551" s="229"/>
      <c r="Y551" s="230" t="s">
        <v>561</v>
      </c>
      <c r="Z551" s="231"/>
      <c r="AA551" s="611"/>
    </row>
    <row r="552" spans="1:27" ht="30.75" customHeight="1" thickBot="1" x14ac:dyDescent="0.25">
      <c r="A552" s="605" t="e">
        <f>A544</f>
        <v>#N/A</v>
      </c>
      <c r="B552" s="606"/>
      <c r="C552" s="606"/>
      <c r="D552" s="606"/>
      <c r="E552" s="607"/>
      <c r="F552" s="228"/>
      <c r="G552" s="229"/>
      <c r="H552" s="229"/>
      <c r="I552" s="229"/>
      <c r="J552" s="229"/>
      <c r="K552" s="230" t="s">
        <v>561</v>
      </c>
      <c r="L552" s="232"/>
      <c r="M552" s="228"/>
      <c r="N552" s="229"/>
      <c r="O552" s="229"/>
      <c r="P552" s="229"/>
      <c r="Q552" s="229"/>
      <c r="R552" s="230" t="s">
        <v>561</v>
      </c>
      <c r="S552" s="232"/>
      <c r="T552" s="228"/>
      <c r="U552" s="229"/>
      <c r="V552" s="229"/>
      <c r="W552" s="229"/>
      <c r="X552" s="229"/>
      <c r="Y552" s="230" t="s">
        <v>561</v>
      </c>
      <c r="Z552" s="232"/>
      <c r="AA552" s="611"/>
    </row>
    <row r="553" spans="1:27" ht="24" customHeight="1" thickBot="1" x14ac:dyDescent="0.25">
      <c r="F553" s="1177" t="s">
        <v>565</v>
      </c>
      <c r="G553" s="1178"/>
      <c r="H553" s="1178"/>
      <c r="I553" s="235"/>
      <c r="J553" s="235"/>
      <c r="K553" s="237" t="s">
        <v>561</v>
      </c>
      <c r="L553" s="239"/>
      <c r="M553" s="1177" t="s">
        <v>903</v>
      </c>
      <c r="N553" s="1178"/>
      <c r="O553" s="1178"/>
      <c r="P553" s="235"/>
      <c r="Q553" s="235"/>
      <c r="R553" s="237" t="s">
        <v>561</v>
      </c>
      <c r="S553" s="239"/>
      <c r="T553" s="1177" t="s">
        <v>904</v>
      </c>
      <c r="U553" s="1178"/>
      <c r="V553" s="1178"/>
      <c r="W553" s="235"/>
      <c r="X553" s="235"/>
      <c r="Y553" s="237" t="s">
        <v>561</v>
      </c>
      <c r="Z553" s="239"/>
      <c r="AA553" s="611"/>
    </row>
    <row r="554" spans="1:27" ht="8.25" customHeight="1" thickBot="1" x14ac:dyDescent="0.25">
      <c r="A554" s="592"/>
      <c r="B554" s="592"/>
      <c r="C554" s="592"/>
      <c r="D554" s="592"/>
      <c r="E554" s="592"/>
      <c r="F554" s="249"/>
      <c r="G554" s="249"/>
      <c r="H554" s="249"/>
      <c r="I554" s="249"/>
      <c r="J554" s="249"/>
      <c r="K554" s="230"/>
      <c r="L554" s="249"/>
      <c r="M554" s="230"/>
      <c r="N554" s="249"/>
      <c r="O554" s="230"/>
      <c r="P554" s="249"/>
      <c r="Q554" s="230"/>
      <c r="R554" s="249"/>
      <c r="S554" s="230"/>
      <c r="T554" s="249"/>
      <c r="U554" s="230"/>
      <c r="V554" s="249"/>
      <c r="W554" s="249"/>
      <c r="X554" s="249"/>
      <c r="Y554" s="230"/>
      <c r="AA554" s="611"/>
    </row>
    <row r="555" spans="1:27" ht="16.5" customHeight="1" thickBot="1" x14ac:dyDescent="0.25">
      <c r="A555" s="1200" t="s">
        <v>915</v>
      </c>
      <c r="B555" s="1200"/>
      <c r="C555" s="1200"/>
      <c r="D555" s="1200"/>
      <c r="E555" s="249"/>
      <c r="F555" s="1198" t="s">
        <v>909</v>
      </c>
      <c r="G555" s="1199"/>
      <c r="H555" s="1199"/>
      <c r="I555" s="1198" t="s">
        <v>910</v>
      </c>
      <c r="J555" s="1199"/>
      <c r="K555" s="1199"/>
      <c r="L555" s="1198" t="s">
        <v>911</v>
      </c>
      <c r="M555" s="1199"/>
      <c r="N555" s="1199"/>
      <c r="O555" s="1198" t="s">
        <v>912</v>
      </c>
      <c r="P555" s="1199"/>
      <c r="Q555" s="1199"/>
      <c r="R555" s="1198" t="s">
        <v>913</v>
      </c>
      <c r="S555" s="1199"/>
      <c r="T555" s="1199"/>
      <c r="U555" s="1198" t="s">
        <v>916</v>
      </c>
      <c r="V555" s="1199"/>
      <c r="W555" s="1199"/>
      <c r="X555" s="1194" t="s">
        <v>908</v>
      </c>
      <c r="Y555" s="1195"/>
      <c r="Z555" s="1196"/>
      <c r="AA555" s="616"/>
    </row>
    <row r="556" spans="1:27" ht="30.75" customHeight="1" x14ac:dyDescent="0.2">
      <c r="A556" s="1200"/>
      <c r="B556" s="1200"/>
      <c r="C556" s="1200"/>
      <c r="D556" s="1200"/>
      <c r="E556" s="249"/>
      <c r="F556" s="1197"/>
      <c r="G556" s="1197"/>
      <c r="H556" s="1197"/>
      <c r="I556" s="1197"/>
      <c r="J556" s="1197"/>
      <c r="K556" s="1197"/>
      <c r="L556" s="1197"/>
      <c r="M556" s="1197"/>
      <c r="N556" s="1197"/>
      <c r="O556" s="1197"/>
      <c r="P556" s="1197"/>
      <c r="Q556" s="1197"/>
      <c r="R556" s="1197"/>
      <c r="S556" s="1197"/>
      <c r="T556" s="1197"/>
      <c r="U556" s="1197"/>
      <c r="V556" s="1197"/>
      <c r="W556" s="1197"/>
      <c r="X556" s="1162"/>
      <c r="Y556" s="1163"/>
      <c r="Z556" s="1164"/>
      <c r="AA556" s="614"/>
    </row>
    <row r="557" spans="1:27" ht="30.75" customHeight="1" thickBot="1" x14ac:dyDescent="0.25">
      <c r="A557" s="1200"/>
      <c r="B557" s="1200"/>
      <c r="C557" s="1200"/>
      <c r="D557" s="1200"/>
      <c r="E557" s="249"/>
      <c r="F557" s="1201" t="s">
        <v>914</v>
      </c>
      <c r="G557" s="1201"/>
      <c r="H557" s="1201"/>
      <c r="I557" s="1197"/>
      <c r="J557" s="1197"/>
      <c r="K557" s="1197"/>
      <c r="L557" s="1197"/>
      <c r="M557" s="1197"/>
      <c r="N557" s="1197"/>
      <c r="O557" s="1197"/>
      <c r="P557" s="1197"/>
      <c r="Q557" s="1197"/>
      <c r="R557" s="1197"/>
      <c r="S557" s="1197"/>
      <c r="T557" s="1197"/>
      <c r="U557" s="1197"/>
      <c r="V557" s="1197"/>
      <c r="W557" s="1197"/>
      <c r="X557" s="1165"/>
      <c r="Y557" s="1166"/>
      <c r="Z557" s="1167"/>
      <c r="AA557" s="614"/>
    </row>
    <row r="558" spans="1:27" ht="19.5" customHeight="1" x14ac:dyDescent="0.2">
      <c r="A558" s="578" t="s">
        <v>851</v>
      </c>
      <c r="B558" s="566"/>
      <c r="C558" s="566"/>
      <c r="D558" s="566"/>
      <c r="E558" s="566"/>
      <c r="F558" s="566"/>
      <c r="G558" s="566"/>
      <c r="H558" s="566"/>
      <c r="I558" s="566"/>
      <c r="J558" s="566"/>
      <c r="K558" s="566"/>
      <c r="M558" s="241"/>
      <c r="O558" s="578" t="s">
        <v>522</v>
      </c>
      <c r="P558" s="566"/>
      <c r="Q558" s="566"/>
      <c r="R558" s="566"/>
      <c r="S558" s="566"/>
      <c r="T558" s="566"/>
      <c r="U558" s="566"/>
      <c r="V558" s="566"/>
      <c r="W558" s="520"/>
      <c r="AA558" s="611"/>
    </row>
    <row r="559" spans="1:27" x14ac:dyDescent="0.2">
      <c r="A559" s="577" t="s">
        <v>1</v>
      </c>
      <c r="B559" s="567"/>
      <c r="C559" s="567"/>
      <c r="D559" s="567"/>
      <c r="E559" s="567"/>
      <c r="F559" s="567"/>
      <c r="G559" s="568"/>
      <c r="H559" s="1086" t="s">
        <v>520</v>
      </c>
      <c r="I559" s="1087"/>
      <c r="J559" s="1087"/>
      <c r="K559" s="1088"/>
      <c r="M559" s="577" t="s">
        <v>1</v>
      </c>
      <c r="N559" s="567"/>
      <c r="O559" s="567"/>
      <c r="P559" s="567"/>
      <c r="Q559" s="567"/>
      <c r="R559" s="567"/>
      <c r="S559" s="585" t="s">
        <v>520</v>
      </c>
      <c r="T559" s="586"/>
      <c r="U559" s="586"/>
      <c r="V559" s="587"/>
      <c r="AA559" s="611"/>
    </row>
    <row r="560" spans="1:27" ht="69" customHeight="1" x14ac:dyDescent="0.2">
      <c r="A560" s="242"/>
      <c r="B560" s="243"/>
      <c r="C560" s="243"/>
      <c r="D560" s="243"/>
      <c r="E560" s="243"/>
      <c r="F560" s="243"/>
      <c r="G560" s="244"/>
      <c r="H560" s="242"/>
      <c r="I560" s="243"/>
      <c r="J560" s="243"/>
      <c r="K560" s="244"/>
      <c r="M560" s="242"/>
      <c r="N560" s="243"/>
      <c r="O560" s="243"/>
      <c r="P560" s="243"/>
      <c r="Q560" s="243"/>
      <c r="R560" s="243"/>
      <c r="S560" s="242"/>
      <c r="T560" s="243"/>
      <c r="U560" s="243"/>
      <c r="V560" s="244"/>
      <c r="AA560" s="611"/>
    </row>
    <row r="561" spans="1:27" x14ac:dyDescent="0.2">
      <c r="AA561" s="611"/>
    </row>
    <row r="562" spans="1:27" ht="6.75" customHeight="1" x14ac:dyDescent="0.2">
      <c r="AA562" s="611"/>
    </row>
    <row r="563" spans="1:27" s="218" customFormat="1" ht="23.25" customHeight="1" x14ac:dyDescent="0.2">
      <c r="A563" s="218" t="s">
        <v>628</v>
      </c>
      <c r="B563" s="1103">
        <f>B530+1</f>
        <v>18</v>
      </c>
      <c r="C563" s="1104"/>
      <c r="D563" s="569"/>
      <c r="E563" s="218" t="str">
        <f>Championnat</f>
        <v>Championnat de France de Tir à l'ARC</v>
      </c>
      <c r="P563" s="1192"/>
      <c r="Q563" s="1192"/>
      <c r="R563" s="1192"/>
      <c r="S563" s="1192"/>
      <c r="T563" s="1193" t="str">
        <f>CATEG_IMPORTEE</f>
        <v>Collèges Mixtes Etablissement</v>
      </c>
      <c r="U563" s="1193"/>
      <c r="V563" s="1193"/>
      <c r="W563" s="1193"/>
      <c r="X563" s="1193"/>
      <c r="Y563" s="1193"/>
      <c r="Z563" s="1193"/>
      <c r="AA563" s="609"/>
    </row>
    <row r="564" spans="1:27" ht="27" customHeight="1" thickBot="1" x14ac:dyDescent="0.25">
      <c r="A564" s="1069" t="s">
        <v>0</v>
      </c>
      <c r="B564" s="1069"/>
      <c r="C564" s="1069"/>
      <c r="D564" s="1069"/>
      <c r="E564" s="1069"/>
      <c r="F564" s="1069"/>
      <c r="G564" s="1069"/>
      <c r="H564" s="1069"/>
      <c r="I564" s="1125" t="s">
        <v>374</v>
      </c>
      <c r="J564" s="1125"/>
      <c r="K564" s="1125"/>
      <c r="L564" s="1125"/>
      <c r="M564" s="1125"/>
      <c r="N564" s="1069"/>
      <c r="O564" s="595"/>
      <c r="P564" s="1192"/>
      <c r="Q564" s="1192"/>
      <c r="R564" s="1192"/>
      <c r="S564" s="1192"/>
      <c r="T564" s="1184" t="str">
        <f>LIEU&amp;" du "&amp;DATE</f>
        <v>L’Isle sur la Sorgue du 27 au 31 mars 2023</v>
      </c>
      <c r="U564" s="1184"/>
      <c r="V564" s="1184"/>
      <c r="W564" s="1184"/>
      <c r="X564" s="1184"/>
      <c r="Y564" s="1184"/>
      <c r="Z564" s="1184"/>
      <c r="AA564" s="608"/>
    </row>
    <row r="565" spans="1:27" ht="24" customHeight="1" thickBot="1" x14ac:dyDescent="0.25">
      <c r="A565" s="1185" t="e">
        <f>VLOOKUP(H569,ID_archer_cible,2,FALSE)</f>
        <v>#N/A</v>
      </c>
      <c r="B565" s="1186"/>
      <c r="C565" s="1186"/>
      <c r="D565" s="1186"/>
      <c r="E565" s="1186"/>
      <c r="F565" s="1186"/>
      <c r="G565" s="1186"/>
      <c r="H565" s="1187"/>
      <c r="I565" s="1185" t="e">
        <f>VLOOKUP(H569,ID_archer_cible,4,FALSE)</f>
        <v>#N/A</v>
      </c>
      <c r="J565" s="1186"/>
      <c r="K565" s="1186"/>
      <c r="L565" s="1186"/>
      <c r="M565" s="1186"/>
      <c r="N565" s="1187"/>
      <c r="O565" s="596"/>
      <c r="P565" s="1192"/>
      <c r="Q565" s="1192"/>
      <c r="R565" s="1192"/>
      <c r="S565" s="1192"/>
      <c r="T565" s="520"/>
      <c r="U565" s="520"/>
      <c r="V565" s="520"/>
      <c r="W565" s="520"/>
      <c r="X565" s="520"/>
      <c r="Y565" s="520"/>
      <c r="Z565" s="520"/>
      <c r="AA565" s="520"/>
    </row>
    <row r="566" spans="1:27" ht="6" customHeight="1" x14ac:dyDescent="0.2">
      <c r="I566" s="1188" t="e">
        <f>"("&amp;VLOOKUP(H569,ID_archer_cible,3,FALSE)&amp;")"</f>
        <v>#N/A</v>
      </c>
      <c r="J566" s="1188"/>
      <c r="K566" s="1188"/>
      <c r="L566" s="1188"/>
      <c r="M566" s="1188"/>
      <c r="N566" s="1188"/>
      <c r="P566" s="1192"/>
      <c r="Q566" s="1192"/>
      <c r="R566" s="1192"/>
      <c r="S566" s="1192"/>
      <c r="AA566" s="611"/>
    </row>
    <row r="567" spans="1:27" ht="17.25" customHeight="1" x14ac:dyDescent="0.2">
      <c r="E567" s="584"/>
      <c r="F567" s="584"/>
      <c r="G567" s="584"/>
      <c r="H567" s="584"/>
      <c r="I567" s="1189"/>
      <c r="J567" s="1189"/>
      <c r="K567" s="1189"/>
      <c r="L567" s="1189"/>
      <c r="M567" s="1189"/>
      <c r="N567" s="1189"/>
      <c r="P567" s="1192"/>
      <c r="Q567" s="1192"/>
      <c r="R567" s="1192"/>
      <c r="S567" s="1192"/>
      <c r="AA567" s="611"/>
    </row>
    <row r="568" spans="1:27" ht="23.25" customHeight="1" x14ac:dyDescent="0.2">
      <c r="A568" s="593" t="s">
        <v>906</v>
      </c>
      <c r="B568" s="588"/>
      <c r="C568" s="588"/>
      <c r="D568" s="588"/>
      <c r="E568" s="588"/>
      <c r="F568" s="588"/>
      <c r="G568" s="588"/>
      <c r="H568" s="594" t="s">
        <v>552</v>
      </c>
      <c r="I568" s="573" t="s">
        <v>893</v>
      </c>
      <c r="J568" s="1075" t="s">
        <v>550</v>
      </c>
      <c r="K568" s="1075"/>
      <c r="L568" s="573" t="s">
        <v>905</v>
      </c>
      <c r="M568" s="252" t="s">
        <v>551</v>
      </c>
      <c r="S568" s="573" t="s">
        <v>905</v>
      </c>
      <c r="T568" s="573" t="s">
        <v>893</v>
      </c>
      <c r="U568" s="573" t="s">
        <v>893</v>
      </c>
      <c r="V568" s="1075" t="s">
        <v>550</v>
      </c>
      <c r="W568" s="1075"/>
      <c r="X568" s="252" t="s">
        <v>551</v>
      </c>
      <c r="Y568" s="571"/>
      <c r="Z568" s="571"/>
      <c r="AA568" s="612"/>
    </row>
    <row r="569" spans="1:27" ht="23.25" customHeight="1" x14ac:dyDescent="0.2">
      <c r="A569" s="580" t="e">
        <f>VLOOKUP(H569,ID_archer_cible,5,FALSE)&amp;"    "&amp;VLOOKUP(H569,ID_archer_cible,6,FALSE)</f>
        <v>#N/A</v>
      </c>
      <c r="B569" s="581"/>
      <c r="C569" s="582"/>
      <c r="D569" s="575"/>
      <c r="E569" s="223"/>
      <c r="F569" s="223"/>
      <c r="G569" s="223"/>
      <c r="H569" s="589" t="str">
        <f>B563&amp;"A"</f>
        <v>18A</v>
      </c>
      <c r="I569" s="574" t="e">
        <f>VLOOKUP(H569,ID_archer_cible,9,FALSE)</f>
        <v>#N/A</v>
      </c>
      <c r="J569" s="1075" t="e">
        <f>VLOOKUP(H569,ID_archer_cible,8,FALSE)</f>
        <v>#N/A</v>
      </c>
      <c r="K569" s="1075"/>
      <c r="L569" s="610" t="e">
        <f>VLOOKUP(H569,ID_archer_cible,7,FALSE)</f>
        <v>#N/A</v>
      </c>
      <c r="M569" s="589" t="e">
        <f>VLOOKUP(H569,ID_archer_cible,10,FALSE)</f>
        <v>#N/A</v>
      </c>
      <c r="N569" s="597" t="e">
        <f>VLOOKUP(T569,ID_archer_cible,5,FALSE)&amp;"    "&amp;VLOOKUP(T569,ID_archer_cible,6,FALSE)</f>
        <v>#N/A</v>
      </c>
      <c r="O569" s="581"/>
      <c r="P569" s="582"/>
      <c r="Q569" s="575"/>
      <c r="R569" s="223"/>
      <c r="S569" s="579" t="e">
        <f>VLOOKUP(T569,ID_archer_cible,7,FALSE)</f>
        <v>#N/A</v>
      </c>
      <c r="T569" s="589" t="str">
        <f>B563&amp;"C"</f>
        <v>18C</v>
      </c>
      <c r="U569" s="574" t="e">
        <f>VLOOKUP(T569,ID_archer_cible,9,FALSE)</f>
        <v>#N/A</v>
      </c>
      <c r="V569" s="1172" t="e">
        <f>VLOOKUP(T569,ID_archer_cible,8,FALSE)</f>
        <v>#N/A</v>
      </c>
      <c r="W569" s="1173"/>
      <c r="X569" s="574" t="e">
        <f>VLOOKUP(T569,ID_archer_cible,10,FALSE)</f>
        <v>#N/A</v>
      </c>
      <c r="AA569" s="611"/>
    </row>
    <row r="570" spans="1:27" ht="23.25" customHeight="1" x14ac:dyDescent="0.2">
      <c r="A570" s="580" t="e">
        <f>VLOOKUP(H570,ID_archer_cible,5,FALSE)&amp;"    "&amp;VLOOKUP(H570,ID_archer_cible,6,FALSE)</f>
        <v>#N/A</v>
      </c>
      <c r="B570" s="581"/>
      <c r="C570" s="582"/>
      <c r="D570" s="575"/>
      <c r="E570" s="223"/>
      <c r="F570" s="223"/>
      <c r="G570" s="223"/>
      <c r="H570" s="589" t="str">
        <f>B563&amp;"B"</f>
        <v>18B</v>
      </c>
      <c r="I570" s="574" t="e">
        <f>VLOOKUP(H570,ID_archer_cible,9,FALSE)</f>
        <v>#N/A</v>
      </c>
      <c r="J570" s="1075" t="e">
        <f>VLOOKUP(H570,ID_archer_cible,8,FALSE)</f>
        <v>#N/A</v>
      </c>
      <c r="K570" s="1075"/>
      <c r="L570" s="610" t="e">
        <f>VLOOKUP(H570,ID_archer_cible,7,FALSE)</f>
        <v>#N/A</v>
      </c>
      <c r="M570" s="589" t="e">
        <f>VLOOKUP(H570,ID_archer_cible,10,FALSE)</f>
        <v>#N/A</v>
      </c>
      <c r="N570" s="597" t="e">
        <f>VLOOKUP(T570,ID_archer_cible,5,FALSE)&amp;"    "&amp;VLOOKUP(T570,ID_archer_cible,6,FALSE)</f>
        <v>#N/A</v>
      </c>
      <c r="O570" s="581"/>
      <c r="P570" s="582"/>
      <c r="Q570" s="575"/>
      <c r="R570" s="223"/>
      <c r="S570" s="579" t="e">
        <f>VLOOKUP(T570,ID_archer_cible,7,FALSE)</f>
        <v>#N/A</v>
      </c>
      <c r="T570" s="589" t="str">
        <f>B563&amp;"D"</f>
        <v>18D</v>
      </c>
      <c r="U570" s="574" t="e">
        <f>VLOOKUP(T570,ID_archer_cible,9,FALSE)</f>
        <v>#N/A</v>
      </c>
      <c r="V570" s="1172" t="e">
        <f>VLOOKUP(T570,ID_archer_cible,8,FALSE)</f>
        <v>#N/A</v>
      </c>
      <c r="W570" s="1173"/>
      <c r="X570" s="574" t="e">
        <f>VLOOKUP(T570,ID_archer_cible,10,FALSE)</f>
        <v>#N/A</v>
      </c>
      <c r="AA570" s="611"/>
    </row>
    <row r="571" spans="1:27" ht="15" customHeight="1" thickBot="1" x14ac:dyDescent="0.25">
      <c r="AA571" s="611"/>
    </row>
    <row r="572" spans="1:27" ht="20.25" customHeight="1" thickBot="1" x14ac:dyDescent="0.25">
      <c r="F572" s="1174" t="s">
        <v>555</v>
      </c>
      <c r="G572" s="1175"/>
      <c r="H572" s="1175"/>
      <c r="I572" s="1175"/>
      <c r="J572" s="1175"/>
      <c r="K572" s="1175"/>
      <c r="L572" s="1176"/>
      <c r="M572" s="1174" t="s">
        <v>556</v>
      </c>
      <c r="N572" s="1175"/>
      <c r="O572" s="1175"/>
      <c r="P572" s="1175"/>
      <c r="Q572" s="1175"/>
      <c r="R572" s="1175"/>
      <c r="S572" s="1176"/>
      <c r="T572" s="1174" t="s">
        <v>557</v>
      </c>
      <c r="U572" s="1175"/>
      <c r="V572" s="1175"/>
      <c r="W572" s="1175"/>
      <c r="X572" s="1175"/>
      <c r="Y572" s="1175"/>
      <c r="Z572" s="1176"/>
      <c r="AA572" s="613"/>
    </row>
    <row r="573" spans="1:27" ht="30.75" customHeight="1" x14ac:dyDescent="0.2">
      <c r="A573" s="1171" t="s">
        <v>559</v>
      </c>
      <c r="B573" s="1171"/>
      <c r="C573" s="1171"/>
      <c r="D573" s="1171"/>
      <c r="E573" s="1181"/>
      <c r="F573" s="1179" t="s">
        <v>560</v>
      </c>
      <c r="G573" s="1180"/>
      <c r="H573" s="1180"/>
      <c r="I573" s="306"/>
      <c r="J573" s="306"/>
      <c r="K573" s="307"/>
      <c r="L573" s="572" t="s">
        <v>7</v>
      </c>
      <c r="M573" s="1179" t="s">
        <v>560</v>
      </c>
      <c r="N573" s="1180"/>
      <c r="O573" s="1180"/>
      <c r="P573" s="306"/>
      <c r="Q573" s="306"/>
      <c r="R573" s="307"/>
      <c r="S573" s="572" t="s">
        <v>7</v>
      </c>
      <c r="T573" s="1179" t="s">
        <v>560</v>
      </c>
      <c r="U573" s="1180"/>
      <c r="V573" s="1180"/>
      <c r="W573" s="306"/>
      <c r="X573" s="306"/>
      <c r="Y573" s="307"/>
      <c r="Z573" s="572" t="s">
        <v>7</v>
      </c>
      <c r="AA573" s="614"/>
    </row>
    <row r="574" spans="1:27" ht="30.75" customHeight="1" x14ac:dyDescent="0.2">
      <c r="A574" s="1168" t="e">
        <f>A569</f>
        <v>#N/A</v>
      </c>
      <c r="B574" s="1169"/>
      <c r="C574" s="1169"/>
      <c r="D574" s="1169"/>
      <c r="E574" s="1170"/>
      <c r="F574" s="228"/>
      <c r="G574" s="229"/>
      <c r="H574" s="229"/>
      <c r="I574" s="229"/>
      <c r="J574" s="229"/>
      <c r="K574" s="230" t="s">
        <v>561</v>
      </c>
      <c r="L574" s="231"/>
      <c r="M574" s="228"/>
      <c r="N574" s="229"/>
      <c r="O574" s="229"/>
      <c r="P574" s="229"/>
      <c r="Q574" s="229"/>
      <c r="R574" s="230" t="s">
        <v>561</v>
      </c>
      <c r="S574" s="231"/>
      <c r="T574" s="228"/>
      <c r="U574" s="229"/>
      <c r="V574" s="229"/>
      <c r="W574" s="229"/>
      <c r="X574" s="229"/>
      <c r="Y574" s="230" t="s">
        <v>561</v>
      </c>
      <c r="Z574" s="231"/>
      <c r="AA574" s="611"/>
    </row>
    <row r="575" spans="1:27" ht="30.75" customHeight="1" x14ac:dyDescent="0.2">
      <c r="A575" s="1168" t="e">
        <f>A570</f>
        <v>#N/A</v>
      </c>
      <c r="B575" s="1169"/>
      <c r="C575" s="1169"/>
      <c r="D575" s="1169"/>
      <c r="E575" s="1170"/>
      <c r="F575" s="228"/>
      <c r="G575" s="229"/>
      <c r="H575" s="229"/>
      <c r="I575" s="229"/>
      <c r="J575" s="229"/>
      <c r="K575" s="230" t="s">
        <v>561</v>
      </c>
      <c r="L575" s="231"/>
      <c r="M575" s="228"/>
      <c r="N575" s="229"/>
      <c r="O575" s="229"/>
      <c r="P575" s="229"/>
      <c r="Q575" s="229"/>
      <c r="R575" s="230" t="s">
        <v>561</v>
      </c>
      <c r="S575" s="231"/>
      <c r="T575" s="228"/>
      <c r="U575" s="229"/>
      <c r="V575" s="229"/>
      <c r="W575" s="229"/>
      <c r="X575" s="229"/>
      <c r="Y575" s="230" t="s">
        <v>561</v>
      </c>
      <c r="Z575" s="231"/>
      <c r="AA575" s="611"/>
    </row>
    <row r="576" spans="1:27" ht="30.75" customHeight="1" x14ac:dyDescent="0.2">
      <c r="A576" s="1168" t="e">
        <f>N569</f>
        <v>#N/A</v>
      </c>
      <c r="B576" s="1169"/>
      <c r="C576" s="1169"/>
      <c r="D576" s="1169"/>
      <c r="E576" s="1170"/>
      <c r="F576" s="228"/>
      <c r="G576" s="229"/>
      <c r="H576" s="229"/>
      <c r="I576" s="229"/>
      <c r="J576" s="229"/>
      <c r="K576" s="230" t="s">
        <v>561</v>
      </c>
      <c r="L576" s="231"/>
      <c r="M576" s="228"/>
      <c r="N576" s="229"/>
      <c r="O576" s="229"/>
      <c r="P576" s="229"/>
      <c r="Q576" s="229"/>
      <c r="R576" s="230" t="s">
        <v>561</v>
      </c>
      <c r="S576" s="231"/>
      <c r="T576" s="228"/>
      <c r="U576" s="229"/>
      <c r="V576" s="229"/>
      <c r="W576" s="229"/>
      <c r="X576" s="229"/>
      <c r="Y576" s="230" t="s">
        <v>561</v>
      </c>
      <c r="Z576" s="231"/>
      <c r="AA576" s="611"/>
    </row>
    <row r="577" spans="1:27" ht="30.75" customHeight="1" thickBot="1" x14ac:dyDescent="0.25">
      <c r="A577" s="1168" t="e">
        <f>N570</f>
        <v>#N/A</v>
      </c>
      <c r="B577" s="1169"/>
      <c r="C577" s="1169"/>
      <c r="D577" s="1169"/>
      <c r="E577" s="1170"/>
      <c r="F577" s="228"/>
      <c r="G577" s="229"/>
      <c r="H577" s="229"/>
      <c r="I577" s="229"/>
      <c r="J577" s="229"/>
      <c r="K577" s="230" t="s">
        <v>561</v>
      </c>
      <c r="L577" s="232"/>
      <c r="M577" s="228"/>
      <c r="N577" s="229"/>
      <c r="O577" s="229"/>
      <c r="P577" s="229"/>
      <c r="Q577" s="229"/>
      <c r="R577" s="230" t="s">
        <v>561</v>
      </c>
      <c r="S577" s="232"/>
      <c r="T577" s="228"/>
      <c r="U577" s="229"/>
      <c r="V577" s="229"/>
      <c r="W577" s="229"/>
      <c r="X577" s="229"/>
      <c r="Y577" s="230" t="s">
        <v>561</v>
      </c>
      <c r="Z577" s="232"/>
      <c r="AA577" s="611"/>
    </row>
    <row r="578" spans="1:27" ht="30.75" customHeight="1" thickBot="1" x14ac:dyDescent="0.25">
      <c r="F578" s="1177" t="s">
        <v>562</v>
      </c>
      <c r="G578" s="1178"/>
      <c r="H578" s="1178"/>
      <c r="I578" s="235"/>
      <c r="J578" s="235"/>
      <c r="K578" s="237" t="s">
        <v>561</v>
      </c>
      <c r="L578" s="239"/>
      <c r="M578" s="1177" t="s">
        <v>563</v>
      </c>
      <c r="N578" s="1178"/>
      <c r="O578" s="1178"/>
      <c r="P578" s="235"/>
      <c r="Q578" s="235"/>
      <c r="R578" s="237" t="s">
        <v>561</v>
      </c>
      <c r="S578" s="239"/>
      <c r="T578" s="1177" t="s">
        <v>564</v>
      </c>
      <c r="U578" s="1178"/>
      <c r="V578" s="1178"/>
      <c r="W578" s="235"/>
      <c r="X578" s="235"/>
      <c r="Y578" s="237" t="s">
        <v>561</v>
      </c>
      <c r="Z578" s="239"/>
      <c r="AA578" s="615"/>
    </row>
    <row r="579" spans="1:27" ht="9" customHeight="1" thickBot="1" x14ac:dyDescent="0.25">
      <c r="H579" s="249"/>
      <c r="I579" s="249"/>
      <c r="J579" s="249"/>
      <c r="K579" s="249"/>
      <c r="L579" s="249"/>
      <c r="M579" s="249"/>
      <c r="N579" s="249"/>
      <c r="O579" s="249"/>
      <c r="P579" s="249"/>
      <c r="Q579" s="249"/>
      <c r="R579" s="230"/>
      <c r="T579" s="249"/>
      <c r="U579" s="249"/>
      <c r="V579" s="249"/>
      <c r="W579" s="249"/>
      <c r="X579" s="249"/>
      <c r="Y579" s="230"/>
      <c r="AA579" s="611"/>
    </row>
    <row r="580" spans="1:27" ht="30.75" customHeight="1" thickBot="1" x14ac:dyDescent="0.25">
      <c r="F580" s="1174" t="s">
        <v>558</v>
      </c>
      <c r="G580" s="1175"/>
      <c r="H580" s="1175"/>
      <c r="I580" s="1175"/>
      <c r="J580" s="1175"/>
      <c r="K580" s="1175"/>
      <c r="L580" s="1176"/>
      <c r="M580" s="1174" t="s">
        <v>902</v>
      </c>
      <c r="N580" s="1175"/>
      <c r="O580" s="1175"/>
      <c r="P580" s="1175"/>
      <c r="Q580" s="1175"/>
      <c r="R580" s="1175"/>
      <c r="S580" s="1176"/>
      <c r="T580" s="1174" t="s">
        <v>907</v>
      </c>
      <c r="U580" s="1175"/>
      <c r="V580" s="1175"/>
      <c r="W580" s="1175"/>
      <c r="X580" s="1175"/>
      <c r="Y580" s="1175"/>
      <c r="Z580" s="1176"/>
      <c r="AA580" s="613"/>
    </row>
    <row r="581" spans="1:27" ht="30.75" customHeight="1" x14ac:dyDescent="0.2">
      <c r="A581" s="1171" t="str">
        <f>A573</f>
        <v>NOM - PRENOM</v>
      </c>
      <c r="B581" s="1171"/>
      <c r="C581" s="1171"/>
      <c r="D581" s="1171"/>
      <c r="E581" s="1181"/>
      <c r="F581" s="1179" t="s">
        <v>560</v>
      </c>
      <c r="G581" s="1180"/>
      <c r="H581" s="1180"/>
      <c r="I581" s="306"/>
      <c r="J581" s="306"/>
      <c r="K581" s="307"/>
      <c r="L581" s="572" t="s">
        <v>7</v>
      </c>
      <c r="M581" s="1179" t="s">
        <v>560</v>
      </c>
      <c r="N581" s="1180"/>
      <c r="O581" s="1180"/>
      <c r="P581" s="306"/>
      <c r="Q581" s="306"/>
      <c r="R581" s="307"/>
      <c r="S581" s="572" t="s">
        <v>7</v>
      </c>
      <c r="T581" s="1179" t="s">
        <v>560</v>
      </c>
      <c r="U581" s="1180"/>
      <c r="V581" s="1180"/>
      <c r="W581" s="306"/>
      <c r="X581" s="306"/>
      <c r="Y581" s="307"/>
      <c r="Z581" s="572" t="s">
        <v>7</v>
      </c>
      <c r="AA581" s="614"/>
    </row>
    <row r="582" spans="1:27" ht="30.75" customHeight="1" x14ac:dyDescent="0.2">
      <c r="A582" s="605" t="e">
        <f>A574</f>
        <v>#N/A</v>
      </c>
      <c r="B582" s="606"/>
      <c r="C582" s="606"/>
      <c r="D582" s="606"/>
      <c r="E582" s="607"/>
      <c r="F582" s="228"/>
      <c r="G582" s="229"/>
      <c r="H582" s="229"/>
      <c r="I582" s="229"/>
      <c r="J582" s="229"/>
      <c r="K582" s="230" t="s">
        <v>561</v>
      </c>
      <c r="L582" s="231"/>
      <c r="M582" s="228"/>
      <c r="N582" s="229"/>
      <c r="O582" s="229"/>
      <c r="P582" s="229"/>
      <c r="Q582" s="229"/>
      <c r="R582" s="230" t="s">
        <v>561</v>
      </c>
      <c r="S582" s="231"/>
      <c r="T582" s="228"/>
      <c r="U582" s="229"/>
      <c r="V582" s="229"/>
      <c r="W582" s="229"/>
      <c r="X582" s="229"/>
      <c r="Y582" s="230" t="s">
        <v>561</v>
      </c>
      <c r="Z582" s="231"/>
      <c r="AA582" s="611"/>
    </row>
    <row r="583" spans="1:27" ht="30.75" customHeight="1" x14ac:dyDescent="0.2">
      <c r="A583" s="605" t="e">
        <f>A575</f>
        <v>#N/A</v>
      </c>
      <c r="B583" s="606"/>
      <c r="C583" s="606"/>
      <c r="D583" s="606"/>
      <c r="E583" s="607"/>
      <c r="F583" s="228"/>
      <c r="G583" s="229"/>
      <c r="H583" s="229"/>
      <c r="I583" s="229"/>
      <c r="J583" s="229"/>
      <c r="K583" s="230" t="s">
        <v>561</v>
      </c>
      <c r="L583" s="231"/>
      <c r="M583" s="228"/>
      <c r="N583" s="229"/>
      <c r="O583" s="229"/>
      <c r="P583" s="229"/>
      <c r="Q583" s="229"/>
      <c r="R583" s="230" t="s">
        <v>561</v>
      </c>
      <c r="S583" s="231"/>
      <c r="T583" s="228"/>
      <c r="U583" s="229"/>
      <c r="V583" s="229"/>
      <c r="W583" s="229"/>
      <c r="X583" s="229"/>
      <c r="Y583" s="230" t="s">
        <v>561</v>
      </c>
      <c r="Z583" s="231"/>
      <c r="AA583" s="611"/>
    </row>
    <row r="584" spans="1:27" ht="30.75" customHeight="1" x14ac:dyDescent="0.2">
      <c r="A584" s="605" t="e">
        <f>A576</f>
        <v>#N/A</v>
      </c>
      <c r="B584" s="606"/>
      <c r="C584" s="606"/>
      <c r="D584" s="606"/>
      <c r="E584" s="607"/>
      <c r="F584" s="228"/>
      <c r="G584" s="229"/>
      <c r="H584" s="229"/>
      <c r="I584" s="229"/>
      <c r="J584" s="229"/>
      <c r="K584" s="230" t="s">
        <v>561</v>
      </c>
      <c r="L584" s="231"/>
      <c r="M584" s="228"/>
      <c r="N584" s="229"/>
      <c r="O584" s="229"/>
      <c r="P584" s="229"/>
      <c r="Q584" s="229"/>
      <c r="R584" s="230" t="s">
        <v>561</v>
      </c>
      <c r="S584" s="231"/>
      <c r="T584" s="228"/>
      <c r="U584" s="229"/>
      <c r="V584" s="229"/>
      <c r="W584" s="229"/>
      <c r="X584" s="229"/>
      <c r="Y584" s="230" t="s">
        <v>561</v>
      </c>
      <c r="Z584" s="231"/>
      <c r="AA584" s="611"/>
    </row>
    <row r="585" spans="1:27" ht="30.75" customHeight="1" thickBot="1" x14ac:dyDescent="0.25">
      <c r="A585" s="605" t="e">
        <f>A577</f>
        <v>#N/A</v>
      </c>
      <c r="B585" s="606"/>
      <c r="C585" s="606"/>
      <c r="D585" s="606"/>
      <c r="E585" s="607"/>
      <c r="F585" s="228"/>
      <c r="G585" s="229"/>
      <c r="H585" s="229"/>
      <c r="I585" s="229"/>
      <c r="J585" s="229"/>
      <c r="K585" s="230" t="s">
        <v>561</v>
      </c>
      <c r="L585" s="232"/>
      <c r="M585" s="228"/>
      <c r="N585" s="229"/>
      <c r="O585" s="229"/>
      <c r="P585" s="229"/>
      <c r="Q585" s="229"/>
      <c r="R585" s="230" t="s">
        <v>561</v>
      </c>
      <c r="S585" s="232"/>
      <c r="T585" s="228"/>
      <c r="U585" s="229"/>
      <c r="V585" s="229"/>
      <c r="W585" s="229"/>
      <c r="X585" s="229"/>
      <c r="Y585" s="230" t="s">
        <v>561</v>
      </c>
      <c r="Z585" s="232"/>
      <c r="AA585" s="611"/>
    </row>
    <row r="586" spans="1:27" ht="24" customHeight="1" thickBot="1" x14ac:dyDescent="0.25">
      <c r="F586" s="1177" t="s">
        <v>565</v>
      </c>
      <c r="G586" s="1178"/>
      <c r="H586" s="1178"/>
      <c r="I586" s="235"/>
      <c r="J586" s="235"/>
      <c r="K586" s="237" t="s">
        <v>561</v>
      </c>
      <c r="L586" s="239"/>
      <c r="M586" s="1177" t="s">
        <v>903</v>
      </c>
      <c r="N586" s="1178"/>
      <c r="O586" s="1178"/>
      <c r="P586" s="235"/>
      <c r="Q586" s="235"/>
      <c r="R586" s="237" t="s">
        <v>561</v>
      </c>
      <c r="S586" s="239"/>
      <c r="T586" s="1177" t="s">
        <v>904</v>
      </c>
      <c r="U586" s="1178"/>
      <c r="V586" s="1178"/>
      <c r="W586" s="235"/>
      <c r="X586" s="235"/>
      <c r="Y586" s="237" t="s">
        <v>561</v>
      </c>
      <c r="Z586" s="239"/>
      <c r="AA586" s="611"/>
    </row>
    <row r="587" spans="1:27" ht="8.25" customHeight="1" thickBot="1" x14ac:dyDescent="0.25">
      <c r="A587" s="592"/>
      <c r="B587" s="592"/>
      <c r="C587" s="592"/>
      <c r="D587" s="592"/>
      <c r="E587" s="592"/>
      <c r="F587" s="249"/>
      <c r="G587" s="249"/>
      <c r="H587" s="249"/>
      <c r="I587" s="249"/>
      <c r="J587" s="249"/>
      <c r="K587" s="230"/>
      <c r="L587" s="249"/>
      <c r="M587" s="230"/>
      <c r="N587" s="249"/>
      <c r="O587" s="230"/>
      <c r="P587" s="249"/>
      <c r="Q587" s="230"/>
      <c r="R587" s="249"/>
      <c r="S587" s="230"/>
      <c r="T587" s="249"/>
      <c r="U587" s="230"/>
      <c r="V587" s="249"/>
      <c r="W587" s="249"/>
      <c r="X587" s="249"/>
      <c r="Y587" s="230"/>
      <c r="AA587" s="611"/>
    </row>
    <row r="588" spans="1:27" ht="16.5" customHeight="1" thickBot="1" x14ac:dyDescent="0.25">
      <c r="A588" s="1200" t="s">
        <v>915</v>
      </c>
      <c r="B588" s="1200"/>
      <c r="C588" s="1200"/>
      <c r="D588" s="1200"/>
      <c r="E588" s="249"/>
      <c r="F588" s="1198" t="s">
        <v>909</v>
      </c>
      <c r="G588" s="1199"/>
      <c r="H588" s="1199"/>
      <c r="I588" s="1198" t="s">
        <v>910</v>
      </c>
      <c r="J588" s="1199"/>
      <c r="K588" s="1199"/>
      <c r="L588" s="1198" t="s">
        <v>911</v>
      </c>
      <c r="M588" s="1199"/>
      <c r="N588" s="1199"/>
      <c r="O588" s="1198" t="s">
        <v>912</v>
      </c>
      <c r="P588" s="1199"/>
      <c r="Q588" s="1199"/>
      <c r="R588" s="1198" t="s">
        <v>913</v>
      </c>
      <c r="S588" s="1199"/>
      <c r="T588" s="1199"/>
      <c r="U588" s="1198" t="s">
        <v>916</v>
      </c>
      <c r="V588" s="1199"/>
      <c r="W588" s="1199"/>
      <c r="X588" s="1194" t="s">
        <v>908</v>
      </c>
      <c r="Y588" s="1195"/>
      <c r="Z588" s="1196"/>
      <c r="AA588" s="616"/>
    </row>
    <row r="589" spans="1:27" ht="30.75" customHeight="1" x14ac:dyDescent="0.2">
      <c r="A589" s="1200"/>
      <c r="B589" s="1200"/>
      <c r="C589" s="1200"/>
      <c r="D589" s="1200"/>
      <c r="E589" s="249"/>
      <c r="F589" s="1197"/>
      <c r="G589" s="1197"/>
      <c r="H589" s="1197"/>
      <c r="I589" s="1197"/>
      <c r="J589" s="1197"/>
      <c r="K589" s="1197"/>
      <c r="L589" s="1197"/>
      <c r="M589" s="1197"/>
      <c r="N589" s="1197"/>
      <c r="O589" s="1197"/>
      <c r="P589" s="1197"/>
      <c r="Q589" s="1197"/>
      <c r="R589" s="1197"/>
      <c r="S589" s="1197"/>
      <c r="T589" s="1197"/>
      <c r="U589" s="1197"/>
      <c r="V589" s="1197"/>
      <c r="W589" s="1197"/>
      <c r="X589" s="1162"/>
      <c r="Y589" s="1163"/>
      <c r="Z589" s="1164"/>
      <c r="AA589" s="614"/>
    </row>
    <row r="590" spans="1:27" ht="30.75" customHeight="1" thickBot="1" x14ac:dyDescent="0.25">
      <c r="A590" s="1200"/>
      <c r="B590" s="1200"/>
      <c r="C590" s="1200"/>
      <c r="D590" s="1200"/>
      <c r="E590" s="249"/>
      <c r="F590" s="1201" t="s">
        <v>914</v>
      </c>
      <c r="G590" s="1201"/>
      <c r="H590" s="1201"/>
      <c r="I590" s="1197"/>
      <c r="J590" s="1197"/>
      <c r="K590" s="1197"/>
      <c r="L590" s="1197"/>
      <c r="M590" s="1197"/>
      <c r="N590" s="1197"/>
      <c r="O590" s="1197"/>
      <c r="P590" s="1197"/>
      <c r="Q590" s="1197"/>
      <c r="R590" s="1197"/>
      <c r="S590" s="1197"/>
      <c r="T590" s="1197"/>
      <c r="U590" s="1197"/>
      <c r="V590" s="1197"/>
      <c r="W590" s="1197"/>
      <c r="X590" s="1165"/>
      <c r="Y590" s="1166"/>
      <c r="Z590" s="1167"/>
      <c r="AA590" s="614"/>
    </row>
    <row r="591" spans="1:27" ht="19.5" customHeight="1" x14ac:dyDescent="0.2">
      <c r="A591" s="578" t="s">
        <v>851</v>
      </c>
      <c r="B591" s="566"/>
      <c r="C591" s="566"/>
      <c r="D591" s="566"/>
      <c r="E591" s="566"/>
      <c r="F591" s="566"/>
      <c r="G591" s="566"/>
      <c r="H591" s="566"/>
      <c r="I591" s="566"/>
      <c r="J591" s="566"/>
      <c r="K591" s="566"/>
      <c r="M591" s="241"/>
      <c r="O591" s="578" t="s">
        <v>522</v>
      </c>
      <c r="P591" s="566"/>
      <c r="Q591" s="566"/>
      <c r="R591" s="566"/>
      <c r="S591" s="566"/>
      <c r="T591" s="566"/>
      <c r="U591" s="566"/>
      <c r="V591" s="566"/>
      <c r="W591" s="520"/>
      <c r="AA591" s="611"/>
    </row>
    <row r="592" spans="1:27" x14ac:dyDescent="0.2">
      <c r="A592" s="577" t="s">
        <v>1</v>
      </c>
      <c r="B592" s="567"/>
      <c r="C592" s="567"/>
      <c r="D592" s="567"/>
      <c r="E592" s="567"/>
      <c r="F592" s="567"/>
      <c r="G592" s="568"/>
      <c r="H592" s="1086" t="s">
        <v>520</v>
      </c>
      <c r="I592" s="1087"/>
      <c r="J592" s="1087"/>
      <c r="K592" s="1088"/>
      <c r="M592" s="577" t="s">
        <v>1</v>
      </c>
      <c r="N592" s="567"/>
      <c r="O592" s="567"/>
      <c r="P592" s="567"/>
      <c r="Q592" s="567"/>
      <c r="R592" s="567"/>
      <c r="S592" s="585" t="s">
        <v>520</v>
      </c>
      <c r="T592" s="586"/>
      <c r="U592" s="586"/>
      <c r="V592" s="587"/>
      <c r="AA592" s="611"/>
    </row>
    <row r="593" spans="1:27" ht="69" customHeight="1" x14ac:dyDescent="0.2">
      <c r="A593" s="242"/>
      <c r="B593" s="243"/>
      <c r="C593" s="243"/>
      <c r="D593" s="243"/>
      <c r="E593" s="243"/>
      <c r="F593" s="243"/>
      <c r="G593" s="244"/>
      <c r="H593" s="242"/>
      <c r="I593" s="243"/>
      <c r="J593" s="243"/>
      <c r="K593" s="244"/>
      <c r="M593" s="242"/>
      <c r="N593" s="243"/>
      <c r="O593" s="243"/>
      <c r="P593" s="243"/>
      <c r="Q593" s="243"/>
      <c r="R593" s="243"/>
      <c r="S593" s="242"/>
      <c r="T593" s="243"/>
      <c r="U593" s="243"/>
      <c r="V593" s="244"/>
      <c r="AA593" s="611"/>
    </row>
    <row r="594" spans="1:27" x14ac:dyDescent="0.2">
      <c r="AA594" s="611"/>
    </row>
    <row r="595" spans="1:27" ht="6.75" customHeight="1" x14ac:dyDescent="0.2">
      <c r="AA595" s="611"/>
    </row>
    <row r="596" spans="1:27" s="218" customFormat="1" ht="23.25" customHeight="1" x14ac:dyDescent="0.2">
      <c r="A596" s="218" t="s">
        <v>628</v>
      </c>
      <c r="B596" s="1103">
        <f>B563+1</f>
        <v>19</v>
      </c>
      <c r="C596" s="1104"/>
      <c r="D596" s="569"/>
      <c r="E596" s="218" t="str">
        <f>Championnat</f>
        <v>Championnat de France de Tir à l'ARC</v>
      </c>
      <c r="P596" s="1192"/>
      <c r="Q596" s="1192"/>
      <c r="R596" s="1192"/>
      <c r="S596" s="1192"/>
      <c r="T596" s="1193" t="str">
        <f>CATEG_IMPORTEE</f>
        <v>Collèges Mixtes Etablissement</v>
      </c>
      <c r="U596" s="1193"/>
      <c r="V596" s="1193"/>
      <c r="W596" s="1193"/>
      <c r="X596" s="1193"/>
      <c r="Y596" s="1193"/>
      <c r="Z596" s="1193"/>
      <c r="AA596" s="609"/>
    </row>
    <row r="597" spans="1:27" ht="27" customHeight="1" thickBot="1" x14ac:dyDescent="0.25">
      <c r="A597" s="1069" t="s">
        <v>0</v>
      </c>
      <c r="B597" s="1069"/>
      <c r="C597" s="1069"/>
      <c r="D597" s="1069"/>
      <c r="E597" s="1069"/>
      <c r="F597" s="1069"/>
      <c r="G597" s="1069"/>
      <c r="H597" s="1069"/>
      <c r="I597" s="1125" t="s">
        <v>374</v>
      </c>
      <c r="J597" s="1125"/>
      <c r="K597" s="1125"/>
      <c r="L597" s="1125"/>
      <c r="M597" s="1125"/>
      <c r="N597" s="1069"/>
      <c r="O597" s="595"/>
      <c r="P597" s="1192"/>
      <c r="Q597" s="1192"/>
      <c r="R597" s="1192"/>
      <c r="S597" s="1192"/>
      <c r="T597" s="1184" t="str">
        <f>LIEU&amp;" du "&amp;DATE</f>
        <v>L’Isle sur la Sorgue du 27 au 31 mars 2023</v>
      </c>
      <c r="U597" s="1184"/>
      <c r="V597" s="1184"/>
      <c r="W597" s="1184"/>
      <c r="X597" s="1184"/>
      <c r="Y597" s="1184"/>
      <c r="Z597" s="1184"/>
      <c r="AA597" s="608"/>
    </row>
    <row r="598" spans="1:27" ht="24" customHeight="1" thickBot="1" x14ac:dyDescent="0.25">
      <c r="A598" s="1185" t="e">
        <f>VLOOKUP(H602,ID_archer_cible,2,FALSE)</f>
        <v>#N/A</v>
      </c>
      <c r="B598" s="1186"/>
      <c r="C598" s="1186"/>
      <c r="D598" s="1186"/>
      <c r="E598" s="1186"/>
      <c r="F598" s="1186"/>
      <c r="G598" s="1186"/>
      <c r="H598" s="1187"/>
      <c r="I598" s="1185" t="e">
        <f>VLOOKUP(H602,ID_archer_cible,4,FALSE)</f>
        <v>#N/A</v>
      </c>
      <c r="J598" s="1186"/>
      <c r="K598" s="1186"/>
      <c r="L598" s="1186"/>
      <c r="M598" s="1186"/>
      <c r="N598" s="1187"/>
      <c r="O598" s="596"/>
      <c r="P598" s="1192"/>
      <c r="Q598" s="1192"/>
      <c r="R598" s="1192"/>
      <c r="S598" s="1192"/>
      <c r="T598" s="520"/>
      <c r="U598" s="520"/>
      <c r="V598" s="520"/>
      <c r="W598" s="520"/>
      <c r="X598" s="520"/>
      <c r="Y598" s="520"/>
      <c r="Z598" s="520"/>
      <c r="AA598" s="520"/>
    </row>
    <row r="599" spans="1:27" ht="6" customHeight="1" x14ac:dyDescent="0.2">
      <c r="I599" s="1188" t="e">
        <f>"("&amp;VLOOKUP(H602,ID_archer_cible,3,FALSE)&amp;")"</f>
        <v>#N/A</v>
      </c>
      <c r="J599" s="1188"/>
      <c r="K599" s="1188"/>
      <c r="L599" s="1188"/>
      <c r="M599" s="1188"/>
      <c r="N599" s="1188"/>
      <c r="P599" s="1192"/>
      <c r="Q599" s="1192"/>
      <c r="R599" s="1192"/>
      <c r="S599" s="1192"/>
      <c r="AA599" s="611"/>
    </row>
    <row r="600" spans="1:27" ht="17.25" customHeight="1" x14ac:dyDescent="0.2">
      <c r="E600" s="584"/>
      <c r="F600" s="584"/>
      <c r="G600" s="584"/>
      <c r="H600" s="584"/>
      <c r="I600" s="1189"/>
      <c r="J600" s="1189"/>
      <c r="K600" s="1189"/>
      <c r="L600" s="1189"/>
      <c r="M600" s="1189"/>
      <c r="N600" s="1189"/>
      <c r="P600" s="1192"/>
      <c r="Q600" s="1192"/>
      <c r="R600" s="1192"/>
      <c r="S600" s="1192"/>
      <c r="AA600" s="611"/>
    </row>
    <row r="601" spans="1:27" ht="23.25" customHeight="1" x14ac:dyDescent="0.2">
      <c r="A601" s="593" t="s">
        <v>906</v>
      </c>
      <c r="B601" s="588"/>
      <c r="C601" s="588"/>
      <c r="D601" s="588"/>
      <c r="E601" s="588"/>
      <c r="F601" s="588"/>
      <c r="G601" s="588"/>
      <c r="H601" s="594" t="s">
        <v>552</v>
      </c>
      <c r="I601" s="573" t="s">
        <v>893</v>
      </c>
      <c r="J601" s="1075" t="s">
        <v>550</v>
      </c>
      <c r="K601" s="1075"/>
      <c r="L601" s="573" t="s">
        <v>905</v>
      </c>
      <c r="M601" s="252" t="s">
        <v>551</v>
      </c>
      <c r="S601" s="573" t="s">
        <v>905</v>
      </c>
      <c r="T601" s="573" t="s">
        <v>893</v>
      </c>
      <c r="U601" s="573" t="s">
        <v>893</v>
      </c>
      <c r="V601" s="1075" t="s">
        <v>550</v>
      </c>
      <c r="W601" s="1075"/>
      <c r="X601" s="252" t="s">
        <v>551</v>
      </c>
      <c r="Y601" s="571"/>
      <c r="Z601" s="571"/>
      <c r="AA601" s="612"/>
    </row>
    <row r="602" spans="1:27" ht="23.25" customHeight="1" x14ac:dyDescent="0.2">
      <c r="A602" s="580" t="e">
        <f>VLOOKUP(H602,ID_archer_cible,5,FALSE)&amp;"    "&amp;VLOOKUP(H602,ID_archer_cible,6,FALSE)</f>
        <v>#N/A</v>
      </c>
      <c r="B602" s="581"/>
      <c r="C602" s="582"/>
      <c r="D602" s="575"/>
      <c r="E602" s="223"/>
      <c r="F602" s="223"/>
      <c r="G602" s="223"/>
      <c r="H602" s="589" t="str">
        <f>B596&amp;"A"</f>
        <v>19A</v>
      </c>
      <c r="I602" s="574" t="e">
        <f>VLOOKUP(H602,ID_archer_cible,9,FALSE)</f>
        <v>#N/A</v>
      </c>
      <c r="J602" s="1075" t="e">
        <f>VLOOKUP(H602,ID_archer_cible,8,FALSE)</f>
        <v>#N/A</v>
      </c>
      <c r="K602" s="1075"/>
      <c r="L602" s="610" t="e">
        <f>VLOOKUP(H602,ID_archer_cible,7,FALSE)</f>
        <v>#N/A</v>
      </c>
      <c r="M602" s="589" t="e">
        <f>VLOOKUP(H602,ID_archer_cible,10,FALSE)</f>
        <v>#N/A</v>
      </c>
      <c r="N602" s="597" t="e">
        <f>VLOOKUP(T602,ID_archer_cible,5,FALSE)&amp;"    "&amp;VLOOKUP(T602,ID_archer_cible,6,FALSE)</f>
        <v>#N/A</v>
      </c>
      <c r="O602" s="581"/>
      <c r="P602" s="582"/>
      <c r="Q602" s="575"/>
      <c r="R602" s="223"/>
      <c r="S602" s="579" t="e">
        <f>VLOOKUP(T602,ID_archer_cible,7,FALSE)</f>
        <v>#N/A</v>
      </c>
      <c r="T602" s="589" t="str">
        <f>B596&amp;"C"</f>
        <v>19C</v>
      </c>
      <c r="U602" s="574" t="e">
        <f>VLOOKUP(T602,ID_archer_cible,9,FALSE)</f>
        <v>#N/A</v>
      </c>
      <c r="V602" s="1172" t="e">
        <f>VLOOKUP(T602,ID_archer_cible,8,FALSE)</f>
        <v>#N/A</v>
      </c>
      <c r="W602" s="1173"/>
      <c r="X602" s="574" t="e">
        <f>VLOOKUP(T602,ID_archer_cible,10,FALSE)</f>
        <v>#N/A</v>
      </c>
      <c r="AA602" s="611"/>
    </row>
    <row r="603" spans="1:27" ht="23.25" customHeight="1" x14ac:dyDescent="0.2">
      <c r="A603" s="580" t="e">
        <f>VLOOKUP(H603,ID_archer_cible,5,FALSE)&amp;"    "&amp;VLOOKUP(H603,ID_archer_cible,6,FALSE)</f>
        <v>#N/A</v>
      </c>
      <c r="B603" s="581"/>
      <c r="C603" s="582"/>
      <c r="D603" s="575"/>
      <c r="E603" s="223"/>
      <c r="F603" s="223"/>
      <c r="G603" s="223"/>
      <c r="H603" s="589" t="str">
        <f>B596&amp;"B"</f>
        <v>19B</v>
      </c>
      <c r="I603" s="574" t="e">
        <f>VLOOKUP(H603,ID_archer_cible,9,FALSE)</f>
        <v>#N/A</v>
      </c>
      <c r="J603" s="1075" t="e">
        <f>VLOOKUP(H603,ID_archer_cible,8,FALSE)</f>
        <v>#N/A</v>
      </c>
      <c r="K603" s="1075"/>
      <c r="L603" s="610" t="e">
        <f>VLOOKUP(H603,ID_archer_cible,7,FALSE)</f>
        <v>#N/A</v>
      </c>
      <c r="M603" s="589" t="e">
        <f>VLOOKUP(H603,ID_archer_cible,10,FALSE)</f>
        <v>#N/A</v>
      </c>
      <c r="N603" s="597" t="e">
        <f>VLOOKUP(T603,ID_archer_cible,5,FALSE)&amp;"    "&amp;VLOOKUP(T603,ID_archer_cible,6,FALSE)</f>
        <v>#N/A</v>
      </c>
      <c r="O603" s="581"/>
      <c r="P603" s="582"/>
      <c r="Q603" s="575"/>
      <c r="R603" s="223"/>
      <c r="S603" s="579" t="e">
        <f>VLOOKUP(T603,ID_archer_cible,7,FALSE)</f>
        <v>#N/A</v>
      </c>
      <c r="T603" s="589" t="str">
        <f>B596&amp;"D"</f>
        <v>19D</v>
      </c>
      <c r="U603" s="574" t="e">
        <f>VLOOKUP(T603,ID_archer_cible,9,FALSE)</f>
        <v>#N/A</v>
      </c>
      <c r="V603" s="1172" t="e">
        <f>VLOOKUP(T603,ID_archer_cible,8,FALSE)</f>
        <v>#N/A</v>
      </c>
      <c r="W603" s="1173"/>
      <c r="X603" s="574" t="e">
        <f>VLOOKUP(T603,ID_archer_cible,10,FALSE)</f>
        <v>#N/A</v>
      </c>
      <c r="AA603" s="611"/>
    </row>
    <row r="604" spans="1:27" ht="15" customHeight="1" thickBot="1" x14ac:dyDescent="0.25">
      <c r="AA604" s="611"/>
    </row>
    <row r="605" spans="1:27" ht="20.25" customHeight="1" thickBot="1" x14ac:dyDescent="0.25">
      <c r="F605" s="1174" t="s">
        <v>555</v>
      </c>
      <c r="G605" s="1175"/>
      <c r="H605" s="1175"/>
      <c r="I605" s="1175"/>
      <c r="J605" s="1175"/>
      <c r="K605" s="1175"/>
      <c r="L605" s="1176"/>
      <c r="M605" s="1174" t="s">
        <v>556</v>
      </c>
      <c r="N605" s="1175"/>
      <c r="O605" s="1175"/>
      <c r="P605" s="1175"/>
      <c r="Q605" s="1175"/>
      <c r="R605" s="1175"/>
      <c r="S605" s="1176"/>
      <c r="T605" s="1174" t="s">
        <v>557</v>
      </c>
      <c r="U605" s="1175"/>
      <c r="V605" s="1175"/>
      <c r="W605" s="1175"/>
      <c r="X605" s="1175"/>
      <c r="Y605" s="1175"/>
      <c r="Z605" s="1176"/>
      <c r="AA605" s="613"/>
    </row>
    <row r="606" spans="1:27" ht="30.75" customHeight="1" x14ac:dyDescent="0.2">
      <c r="A606" s="1171" t="s">
        <v>559</v>
      </c>
      <c r="B606" s="1171"/>
      <c r="C606" s="1171"/>
      <c r="D606" s="1171"/>
      <c r="E606" s="1181"/>
      <c r="F606" s="1179" t="s">
        <v>560</v>
      </c>
      <c r="G606" s="1180"/>
      <c r="H606" s="1180"/>
      <c r="I606" s="306"/>
      <c r="J606" s="306"/>
      <c r="K606" s="307"/>
      <c r="L606" s="572" t="s">
        <v>7</v>
      </c>
      <c r="M606" s="1179" t="s">
        <v>560</v>
      </c>
      <c r="N606" s="1180"/>
      <c r="O606" s="1180"/>
      <c r="P606" s="306"/>
      <c r="Q606" s="306"/>
      <c r="R606" s="307"/>
      <c r="S606" s="572" t="s">
        <v>7</v>
      </c>
      <c r="T606" s="1179" t="s">
        <v>560</v>
      </c>
      <c r="U606" s="1180"/>
      <c r="V606" s="1180"/>
      <c r="W606" s="306"/>
      <c r="X606" s="306"/>
      <c r="Y606" s="307"/>
      <c r="Z606" s="572" t="s">
        <v>7</v>
      </c>
      <c r="AA606" s="614"/>
    </row>
    <row r="607" spans="1:27" ht="30.75" customHeight="1" x14ac:dyDescent="0.2">
      <c r="A607" s="1168" t="e">
        <f>A602</f>
        <v>#N/A</v>
      </c>
      <c r="B607" s="1169"/>
      <c r="C607" s="1169"/>
      <c r="D607" s="1169"/>
      <c r="E607" s="1170"/>
      <c r="F607" s="228"/>
      <c r="G607" s="229"/>
      <c r="H607" s="229"/>
      <c r="I607" s="229"/>
      <c r="J607" s="229"/>
      <c r="K607" s="230" t="s">
        <v>561</v>
      </c>
      <c r="L607" s="231"/>
      <c r="M607" s="228"/>
      <c r="N607" s="229"/>
      <c r="O607" s="229"/>
      <c r="P607" s="229"/>
      <c r="Q607" s="229"/>
      <c r="R607" s="230" t="s">
        <v>561</v>
      </c>
      <c r="S607" s="231"/>
      <c r="T607" s="228"/>
      <c r="U607" s="229"/>
      <c r="V607" s="229"/>
      <c r="W607" s="229"/>
      <c r="X607" s="229"/>
      <c r="Y607" s="230" t="s">
        <v>561</v>
      </c>
      <c r="Z607" s="231"/>
      <c r="AA607" s="611"/>
    </row>
    <row r="608" spans="1:27" ht="30.75" customHeight="1" x14ac:dyDescent="0.2">
      <c r="A608" s="1168" t="e">
        <f>A603</f>
        <v>#N/A</v>
      </c>
      <c r="B608" s="1169"/>
      <c r="C608" s="1169"/>
      <c r="D608" s="1169"/>
      <c r="E608" s="1170"/>
      <c r="F608" s="228"/>
      <c r="G608" s="229"/>
      <c r="H608" s="229"/>
      <c r="I608" s="229"/>
      <c r="J608" s="229"/>
      <c r="K608" s="230" t="s">
        <v>561</v>
      </c>
      <c r="L608" s="231"/>
      <c r="M608" s="228"/>
      <c r="N608" s="229"/>
      <c r="O608" s="229"/>
      <c r="P608" s="229"/>
      <c r="Q608" s="229"/>
      <c r="R608" s="230" t="s">
        <v>561</v>
      </c>
      <c r="S608" s="231"/>
      <c r="T608" s="228"/>
      <c r="U608" s="229"/>
      <c r="V608" s="229"/>
      <c r="W608" s="229"/>
      <c r="X608" s="229"/>
      <c r="Y608" s="230" t="s">
        <v>561</v>
      </c>
      <c r="Z608" s="231"/>
      <c r="AA608" s="611"/>
    </row>
    <row r="609" spans="1:27" ht="30.75" customHeight="1" x14ac:dyDescent="0.2">
      <c r="A609" s="1168" t="e">
        <f>N602</f>
        <v>#N/A</v>
      </c>
      <c r="B609" s="1169"/>
      <c r="C609" s="1169"/>
      <c r="D609" s="1169"/>
      <c r="E609" s="1170"/>
      <c r="F609" s="228"/>
      <c r="G609" s="229"/>
      <c r="H609" s="229"/>
      <c r="I609" s="229"/>
      <c r="J609" s="229"/>
      <c r="K609" s="230" t="s">
        <v>561</v>
      </c>
      <c r="L609" s="231"/>
      <c r="M609" s="228"/>
      <c r="N609" s="229"/>
      <c r="O609" s="229"/>
      <c r="P609" s="229"/>
      <c r="Q609" s="229"/>
      <c r="R609" s="230" t="s">
        <v>561</v>
      </c>
      <c r="S609" s="231"/>
      <c r="T609" s="228"/>
      <c r="U609" s="229"/>
      <c r="V609" s="229"/>
      <c r="W609" s="229"/>
      <c r="X609" s="229"/>
      <c r="Y609" s="230" t="s">
        <v>561</v>
      </c>
      <c r="Z609" s="231"/>
      <c r="AA609" s="611"/>
    </row>
    <row r="610" spans="1:27" ht="30.75" customHeight="1" thickBot="1" x14ac:dyDescent="0.25">
      <c r="A610" s="1168" t="e">
        <f>N603</f>
        <v>#N/A</v>
      </c>
      <c r="B610" s="1169"/>
      <c r="C610" s="1169"/>
      <c r="D610" s="1169"/>
      <c r="E610" s="1170"/>
      <c r="F610" s="228"/>
      <c r="G610" s="229"/>
      <c r="H610" s="229"/>
      <c r="I610" s="229"/>
      <c r="J610" s="229"/>
      <c r="K610" s="230" t="s">
        <v>561</v>
      </c>
      <c r="L610" s="232"/>
      <c r="M610" s="228"/>
      <c r="N610" s="229"/>
      <c r="O610" s="229"/>
      <c r="P610" s="229"/>
      <c r="Q610" s="229"/>
      <c r="R610" s="230" t="s">
        <v>561</v>
      </c>
      <c r="S610" s="232"/>
      <c r="T610" s="228"/>
      <c r="U610" s="229"/>
      <c r="V610" s="229"/>
      <c r="W610" s="229"/>
      <c r="X610" s="229"/>
      <c r="Y610" s="230" t="s">
        <v>561</v>
      </c>
      <c r="Z610" s="232"/>
      <c r="AA610" s="611"/>
    </row>
    <row r="611" spans="1:27" ht="30.75" customHeight="1" thickBot="1" x14ac:dyDescent="0.25">
      <c r="F611" s="1177" t="s">
        <v>562</v>
      </c>
      <c r="G611" s="1178"/>
      <c r="H611" s="1178"/>
      <c r="I611" s="235"/>
      <c r="J611" s="235"/>
      <c r="K611" s="237" t="s">
        <v>561</v>
      </c>
      <c r="L611" s="239"/>
      <c r="M611" s="1177" t="s">
        <v>563</v>
      </c>
      <c r="N611" s="1178"/>
      <c r="O611" s="1178"/>
      <c r="P611" s="235"/>
      <c r="Q611" s="235"/>
      <c r="R611" s="237" t="s">
        <v>561</v>
      </c>
      <c r="S611" s="239"/>
      <c r="T611" s="1177" t="s">
        <v>564</v>
      </c>
      <c r="U611" s="1178"/>
      <c r="V611" s="1178"/>
      <c r="W611" s="235"/>
      <c r="X611" s="235"/>
      <c r="Y611" s="237" t="s">
        <v>561</v>
      </c>
      <c r="Z611" s="239"/>
      <c r="AA611" s="615"/>
    </row>
    <row r="612" spans="1:27" ht="9" customHeight="1" thickBot="1" x14ac:dyDescent="0.25">
      <c r="H612" s="249"/>
      <c r="I612" s="249"/>
      <c r="J612" s="249"/>
      <c r="K612" s="249"/>
      <c r="L612" s="249"/>
      <c r="M612" s="249"/>
      <c r="N612" s="249"/>
      <c r="O612" s="249"/>
      <c r="P612" s="249"/>
      <c r="Q612" s="249"/>
      <c r="R612" s="230"/>
      <c r="T612" s="249"/>
      <c r="U612" s="249"/>
      <c r="V612" s="249"/>
      <c r="W612" s="249"/>
      <c r="X612" s="249"/>
      <c r="Y612" s="230"/>
      <c r="AA612" s="611"/>
    </row>
    <row r="613" spans="1:27" ht="30.75" customHeight="1" thickBot="1" x14ac:dyDescent="0.25">
      <c r="F613" s="1174" t="s">
        <v>558</v>
      </c>
      <c r="G613" s="1175"/>
      <c r="H613" s="1175"/>
      <c r="I613" s="1175"/>
      <c r="J613" s="1175"/>
      <c r="K613" s="1175"/>
      <c r="L613" s="1176"/>
      <c r="M613" s="1174" t="s">
        <v>902</v>
      </c>
      <c r="N613" s="1175"/>
      <c r="O613" s="1175"/>
      <c r="P613" s="1175"/>
      <c r="Q613" s="1175"/>
      <c r="R613" s="1175"/>
      <c r="S613" s="1176"/>
      <c r="T613" s="1174" t="s">
        <v>907</v>
      </c>
      <c r="U613" s="1175"/>
      <c r="V613" s="1175"/>
      <c r="W613" s="1175"/>
      <c r="X613" s="1175"/>
      <c r="Y613" s="1175"/>
      <c r="Z613" s="1176"/>
      <c r="AA613" s="613"/>
    </row>
    <row r="614" spans="1:27" ht="30.75" customHeight="1" x14ac:dyDescent="0.2">
      <c r="A614" s="1171" t="str">
        <f>A606</f>
        <v>NOM - PRENOM</v>
      </c>
      <c r="B614" s="1171"/>
      <c r="C614" s="1171"/>
      <c r="D614" s="1171"/>
      <c r="E614" s="1181"/>
      <c r="F614" s="1179" t="s">
        <v>560</v>
      </c>
      <c r="G614" s="1180"/>
      <c r="H614" s="1180"/>
      <c r="I614" s="306"/>
      <c r="J614" s="306"/>
      <c r="K614" s="307"/>
      <c r="L614" s="572" t="s">
        <v>7</v>
      </c>
      <c r="M614" s="1179" t="s">
        <v>560</v>
      </c>
      <c r="N614" s="1180"/>
      <c r="O614" s="1180"/>
      <c r="P614" s="306"/>
      <c r="Q614" s="306"/>
      <c r="R614" s="307"/>
      <c r="S614" s="572" t="s">
        <v>7</v>
      </c>
      <c r="T614" s="1179" t="s">
        <v>560</v>
      </c>
      <c r="U614" s="1180"/>
      <c r="V614" s="1180"/>
      <c r="W614" s="306"/>
      <c r="X614" s="306"/>
      <c r="Y614" s="307"/>
      <c r="Z614" s="572" t="s">
        <v>7</v>
      </c>
      <c r="AA614" s="614"/>
    </row>
    <row r="615" spans="1:27" ht="30.75" customHeight="1" x14ac:dyDescent="0.2">
      <c r="A615" s="605" t="e">
        <f>A607</f>
        <v>#N/A</v>
      </c>
      <c r="B615" s="606"/>
      <c r="C615" s="606"/>
      <c r="D615" s="606"/>
      <c r="E615" s="607"/>
      <c r="F615" s="228"/>
      <c r="G615" s="229"/>
      <c r="H615" s="229"/>
      <c r="I615" s="229"/>
      <c r="J615" s="229"/>
      <c r="K615" s="230" t="s">
        <v>561</v>
      </c>
      <c r="L615" s="231"/>
      <c r="M615" s="228"/>
      <c r="N615" s="229"/>
      <c r="O615" s="229"/>
      <c r="P615" s="229"/>
      <c r="Q615" s="229"/>
      <c r="R615" s="230" t="s">
        <v>561</v>
      </c>
      <c r="S615" s="231"/>
      <c r="T615" s="228"/>
      <c r="U615" s="229"/>
      <c r="V615" s="229"/>
      <c r="W615" s="229"/>
      <c r="X615" s="229"/>
      <c r="Y615" s="230" t="s">
        <v>561</v>
      </c>
      <c r="Z615" s="231"/>
      <c r="AA615" s="611"/>
    </row>
    <row r="616" spans="1:27" ht="30.75" customHeight="1" x14ac:dyDescent="0.2">
      <c r="A616" s="605" t="e">
        <f>A608</f>
        <v>#N/A</v>
      </c>
      <c r="B616" s="606"/>
      <c r="C616" s="606"/>
      <c r="D616" s="606"/>
      <c r="E616" s="607"/>
      <c r="F616" s="228"/>
      <c r="G616" s="229"/>
      <c r="H616" s="229"/>
      <c r="I616" s="229"/>
      <c r="J616" s="229"/>
      <c r="K616" s="230" t="s">
        <v>561</v>
      </c>
      <c r="L616" s="231"/>
      <c r="M616" s="228"/>
      <c r="N616" s="229"/>
      <c r="O616" s="229"/>
      <c r="P616" s="229"/>
      <c r="Q616" s="229"/>
      <c r="R616" s="230" t="s">
        <v>561</v>
      </c>
      <c r="S616" s="231"/>
      <c r="T616" s="228"/>
      <c r="U616" s="229"/>
      <c r="V616" s="229"/>
      <c r="W616" s="229"/>
      <c r="X616" s="229"/>
      <c r="Y616" s="230" t="s">
        <v>561</v>
      </c>
      <c r="Z616" s="231"/>
      <c r="AA616" s="611"/>
    </row>
    <row r="617" spans="1:27" ht="30.75" customHeight="1" x14ac:dyDescent="0.2">
      <c r="A617" s="605" t="e">
        <f>A609</f>
        <v>#N/A</v>
      </c>
      <c r="B617" s="606"/>
      <c r="C617" s="606"/>
      <c r="D617" s="606"/>
      <c r="E617" s="607"/>
      <c r="F617" s="228"/>
      <c r="G617" s="229"/>
      <c r="H617" s="229"/>
      <c r="I617" s="229"/>
      <c r="J617" s="229"/>
      <c r="K617" s="230" t="s">
        <v>561</v>
      </c>
      <c r="L617" s="231"/>
      <c r="M617" s="228"/>
      <c r="N617" s="229"/>
      <c r="O617" s="229"/>
      <c r="P617" s="229"/>
      <c r="Q617" s="229"/>
      <c r="R617" s="230" t="s">
        <v>561</v>
      </c>
      <c r="S617" s="231"/>
      <c r="T617" s="228"/>
      <c r="U617" s="229"/>
      <c r="V617" s="229"/>
      <c r="W617" s="229"/>
      <c r="X617" s="229"/>
      <c r="Y617" s="230" t="s">
        <v>561</v>
      </c>
      <c r="Z617" s="231"/>
      <c r="AA617" s="611"/>
    </row>
    <row r="618" spans="1:27" ht="30.75" customHeight="1" thickBot="1" x14ac:dyDescent="0.25">
      <c r="A618" s="605" t="e">
        <f>A610</f>
        <v>#N/A</v>
      </c>
      <c r="B618" s="606"/>
      <c r="C618" s="606"/>
      <c r="D618" s="606"/>
      <c r="E618" s="607"/>
      <c r="F618" s="228"/>
      <c r="G618" s="229"/>
      <c r="H618" s="229"/>
      <c r="I618" s="229"/>
      <c r="J618" s="229"/>
      <c r="K618" s="230" t="s">
        <v>561</v>
      </c>
      <c r="L618" s="232"/>
      <c r="M618" s="228"/>
      <c r="N618" s="229"/>
      <c r="O618" s="229"/>
      <c r="P618" s="229"/>
      <c r="Q618" s="229"/>
      <c r="R618" s="230" t="s">
        <v>561</v>
      </c>
      <c r="S618" s="232"/>
      <c r="T618" s="228"/>
      <c r="U618" s="229"/>
      <c r="V618" s="229"/>
      <c r="W618" s="229"/>
      <c r="X618" s="229"/>
      <c r="Y618" s="230" t="s">
        <v>561</v>
      </c>
      <c r="Z618" s="232"/>
      <c r="AA618" s="611"/>
    </row>
    <row r="619" spans="1:27" ht="24" customHeight="1" thickBot="1" x14ac:dyDescent="0.25">
      <c r="F619" s="1177" t="s">
        <v>565</v>
      </c>
      <c r="G619" s="1178"/>
      <c r="H619" s="1178"/>
      <c r="I619" s="235"/>
      <c r="J619" s="235"/>
      <c r="K619" s="237" t="s">
        <v>561</v>
      </c>
      <c r="L619" s="239"/>
      <c r="M619" s="1177" t="s">
        <v>903</v>
      </c>
      <c r="N619" s="1178"/>
      <c r="O619" s="1178"/>
      <c r="P619" s="235"/>
      <c r="Q619" s="235"/>
      <c r="R619" s="237" t="s">
        <v>561</v>
      </c>
      <c r="S619" s="239"/>
      <c r="T619" s="1177" t="s">
        <v>904</v>
      </c>
      <c r="U619" s="1178"/>
      <c r="V619" s="1178"/>
      <c r="W619" s="235"/>
      <c r="X619" s="235"/>
      <c r="Y619" s="237" t="s">
        <v>561</v>
      </c>
      <c r="Z619" s="239"/>
      <c r="AA619" s="611"/>
    </row>
    <row r="620" spans="1:27" ht="8.25" customHeight="1" thickBot="1" x14ac:dyDescent="0.25">
      <c r="A620" s="592"/>
      <c r="B620" s="592"/>
      <c r="C620" s="592"/>
      <c r="D620" s="592"/>
      <c r="E620" s="592"/>
      <c r="F620" s="249"/>
      <c r="G620" s="249"/>
      <c r="H620" s="249"/>
      <c r="I620" s="249"/>
      <c r="J620" s="249"/>
      <c r="K620" s="230"/>
      <c r="L620" s="249"/>
      <c r="M620" s="230"/>
      <c r="N620" s="249"/>
      <c r="O620" s="230"/>
      <c r="P620" s="249"/>
      <c r="Q620" s="230"/>
      <c r="R620" s="249"/>
      <c r="S620" s="230"/>
      <c r="T620" s="249"/>
      <c r="U620" s="230"/>
      <c r="V620" s="249"/>
      <c r="W620" s="249"/>
      <c r="X620" s="249"/>
      <c r="Y620" s="230"/>
      <c r="AA620" s="611"/>
    </row>
    <row r="621" spans="1:27" ht="16.5" customHeight="1" thickBot="1" x14ac:dyDescent="0.25">
      <c r="A621" s="1200" t="s">
        <v>915</v>
      </c>
      <c r="B621" s="1200"/>
      <c r="C621" s="1200"/>
      <c r="D621" s="1200"/>
      <c r="E621" s="249"/>
      <c r="F621" s="1198" t="s">
        <v>909</v>
      </c>
      <c r="G621" s="1199"/>
      <c r="H621" s="1199"/>
      <c r="I621" s="1198" t="s">
        <v>910</v>
      </c>
      <c r="J621" s="1199"/>
      <c r="K621" s="1199"/>
      <c r="L621" s="1198" t="s">
        <v>911</v>
      </c>
      <c r="M621" s="1199"/>
      <c r="N621" s="1199"/>
      <c r="O621" s="1198" t="s">
        <v>912</v>
      </c>
      <c r="P621" s="1199"/>
      <c r="Q621" s="1199"/>
      <c r="R621" s="1198" t="s">
        <v>913</v>
      </c>
      <c r="S621" s="1199"/>
      <c r="T621" s="1199"/>
      <c r="U621" s="1198" t="s">
        <v>916</v>
      </c>
      <c r="V621" s="1199"/>
      <c r="W621" s="1199"/>
      <c r="X621" s="1194" t="s">
        <v>908</v>
      </c>
      <c r="Y621" s="1195"/>
      <c r="Z621" s="1196"/>
      <c r="AA621" s="616"/>
    </row>
    <row r="622" spans="1:27" ht="30.75" customHeight="1" x14ac:dyDescent="0.2">
      <c r="A622" s="1200"/>
      <c r="B622" s="1200"/>
      <c r="C622" s="1200"/>
      <c r="D622" s="1200"/>
      <c r="E622" s="249"/>
      <c r="F622" s="1197"/>
      <c r="G622" s="1197"/>
      <c r="H622" s="1197"/>
      <c r="I622" s="1197"/>
      <c r="J622" s="1197"/>
      <c r="K622" s="1197"/>
      <c r="L622" s="1197"/>
      <c r="M622" s="1197"/>
      <c r="N622" s="1197"/>
      <c r="O622" s="1197"/>
      <c r="P622" s="1197"/>
      <c r="Q622" s="1197"/>
      <c r="R622" s="1197"/>
      <c r="S622" s="1197"/>
      <c r="T622" s="1197"/>
      <c r="U622" s="1197"/>
      <c r="V622" s="1197"/>
      <c r="W622" s="1197"/>
      <c r="X622" s="1162"/>
      <c r="Y622" s="1163"/>
      <c r="Z622" s="1164"/>
      <c r="AA622" s="614"/>
    </row>
    <row r="623" spans="1:27" ht="30.75" customHeight="1" thickBot="1" x14ac:dyDescent="0.25">
      <c r="A623" s="1200"/>
      <c r="B623" s="1200"/>
      <c r="C623" s="1200"/>
      <c r="D623" s="1200"/>
      <c r="E623" s="249"/>
      <c r="F623" s="1201" t="s">
        <v>914</v>
      </c>
      <c r="G623" s="1201"/>
      <c r="H623" s="1201"/>
      <c r="I623" s="1197"/>
      <c r="J623" s="1197"/>
      <c r="K623" s="1197"/>
      <c r="L623" s="1197"/>
      <c r="M623" s="1197"/>
      <c r="N623" s="1197"/>
      <c r="O623" s="1197"/>
      <c r="P623" s="1197"/>
      <c r="Q623" s="1197"/>
      <c r="R623" s="1197"/>
      <c r="S623" s="1197"/>
      <c r="T623" s="1197"/>
      <c r="U623" s="1197"/>
      <c r="V623" s="1197"/>
      <c r="W623" s="1197"/>
      <c r="X623" s="1165"/>
      <c r="Y623" s="1166"/>
      <c r="Z623" s="1167"/>
      <c r="AA623" s="614"/>
    </row>
    <row r="624" spans="1:27" ht="19.5" customHeight="1" x14ac:dyDescent="0.2">
      <c r="A624" s="578" t="s">
        <v>851</v>
      </c>
      <c r="B624" s="566"/>
      <c r="C624" s="566"/>
      <c r="D624" s="566"/>
      <c r="E624" s="566"/>
      <c r="F624" s="566"/>
      <c r="G624" s="566"/>
      <c r="H624" s="566"/>
      <c r="I624" s="566"/>
      <c r="J624" s="566"/>
      <c r="K624" s="566"/>
      <c r="M624" s="241"/>
      <c r="O624" s="578" t="s">
        <v>522</v>
      </c>
      <c r="P624" s="566"/>
      <c r="Q624" s="566"/>
      <c r="R624" s="566"/>
      <c r="S624" s="566"/>
      <c r="T624" s="566"/>
      <c r="U624" s="566"/>
      <c r="V624" s="566"/>
      <c r="W624" s="520"/>
      <c r="AA624" s="611"/>
    </row>
    <row r="625" spans="1:27" x14ac:dyDescent="0.2">
      <c r="A625" s="577" t="s">
        <v>1</v>
      </c>
      <c r="B625" s="567"/>
      <c r="C625" s="567"/>
      <c r="D625" s="567"/>
      <c r="E625" s="567"/>
      <c r="F625" s="567"/>
      <c r="G625" s="568"/>
      <c r="H625" s="1086" t="s">
        <v>520</v>
      </c>
      <c r="I625" s="1087"/>
      <c r="J625" s="1087"/>
      <c r="K625" s="1088"/>
      <c r="M625" s="577" t="s">
        <v>1</v>
      </c>
      <c r="N625" s="567"/>
      <c r="O625" s="567"/>
      <c r="P625" s="567"/>
      <c r="Q625" s="567"/>
      <c r="R625" s="567"/>
      <c r="S625" s="585" t="s">
        <v>520</v>
      </c>
      <c r="T625" s="586"/>
      <c r="U625" s="586"/>
      <c r="V625" s="587"/>
      <c r="AA625" s="611"/>
    </row>
    <row r="626" spans="1:27" ht="69" customHeight="1" x14ac:dyDescent="0.2">
      <c r="A626" s="242"/>
      <c r="B626" s="243"/>
      <c r="C626" s="243"/>
      <c r="D626" s="243"/>
      <c r="E626" s="243"/>
      <c r="F626" s="243"/>
      <c r="G626" s="244"/>
      <c r="H626" s="242"/>
      <c r="I626" s="243"/>
      <c r="J626" s="243"/>
      <c r="K626" s="244"/>
      <c r="M626" s="242"/>
      <c r="N626" s="243"/>
      <c r="O626" s="243"/>
      <c r="P626" s="243"/>
      <c r="Q626" s="243"/>
      <c r="R626" s="243"/>
      <c r="S626" s="242"/>
      <c r="T626" s="243"/>
      <c r="U626" s="243"/>
      <c r="V626" s="244"/>
      <c r="AA626" s="611"/>
    </row>
    <row r="627" spans="1:27" x14ac:dyDescent="0.2">
      <c r="AA627" s="611"/>
    </row>
    <row r="628" spans="1:27" ht="6.75" customHeight="1" x14ac:dyDescent="0.2">
      <c r="AA628" s="611"/>
    </row>
    <row r="629" spans="1:27" s="218" customFormat="1" ht="23.25" customHeight="1" x14ac:dyDescent="0.2">
      <c r="A629" s="218" t="s">
        <v>628</v>
      </c>
      <c r="B629" s="1103">
        <f>B596+1</f>
        <v>20</v>
      </c>
      <c r="C629" s="1104"/>
      <c r="D629" s="569"/>
      <c r="E629" s="218" t="str">
        <f>Championnat</f>
        <v>Championnat de France de Tir à l'ARC</v>
      </c>
      <c r="P629" s="1192"/>
      <c r="Q629" s="1192"/>
      <c r="R629" s="1192"/>
      <c r="S629" s="1192"/>
      <c r="T629" s="1193" t="str">
        <f>CATEG_IMPORTEE</f>
        <v>Collèges Mixtes Etablissement</v>
      </c>
      <c r="U629" s="1193"/>
      <c r="V629" s="1193"/>
      <c r="W629" s="1193"/>
      <c r="X629" s="1193"/>
      <c r="Y629" s="1193"/>
      <c r="Z629" s="1193"/>
      <c r="AA629" s="609"/>
    </row>
    <row r="630" spans="1:27" ht="27" customHeight="1" thickBot="1" x14ac:dyDescent="0.25">
      <c r="A630" s="1069" t="s">
        <v>0</v>
      </c>
      <c r="B630" s="1069"/>
      <c r="C630" s="1069"/>
      <c r="D630" s="1069"/>
      <c r="E630" s="1069"/>
      <c r="F630" s="1069"/>
      <c r="G630" s="1069"/>
      <c r="H630" s="1069"/>
      <c r="I630" s="1125" t="s">
        <v>374</v>
      </c>
      <c r="J630" s="1125"/>
      <c r="K630" s="1125"/>
      <c r="L630" s="1125"/>
      <c r="M630" s="1125"/>
      <c r="N630" s="1069"/>
      <c r="O630" s="595"/>
      <c r="P630" s="1192"/>
      <c r="Q630" s="1192"/>
      <c r="R630" s="1192"/>
      <c r="S630" s="1192"/>
      <c r="T630" s="1184" t="str">
        <f>LIEU&amp;" du "&amp;DATE</f>
        <v>L’Isle sur la Sorgue du 27 au 31 mars 2023</v>
      </c>
      <c r="U630" s="1184"/>
      <c r="V630" s="1184"/>
      <c r="W630" s="1184"/>
      <c r="X630" s="1184"/>
      <c r="Y630" s="1184"/>
      <c r="Z630" s="1184"/>
      <c r="AA630" s="608"/>
    </row>
    <row r="631" spans="1:27" ht="24" customHeight="1" thickBot="1" x14ac:dyDescent="0.25">
      <c r="A631" s="1185" t="e">
        <f>VLOOKUP(H635,ID_archer_cible,2,FALSE)</f>
        <v>#N/A</v>
      </c>
      <c r="B631" s="1186"/>
      <c r="C631" s="1186"/>
      <c r="D631" s="1186"/>
      <c r="E631" s="1186"/>
      <c r="F631" s="1186"/>
      <c r="G631" s="1186"/>
      <c r="H631" s="1187"/>
      <c r="I631" s="1185" t="e">
        <f>VLOOKUP(H635,ID_archer_cible,4,FALSE)</f>
        <v>#N/A</v>
      </c>
      <c r="J631" s="1186"/>
      <c r="K631" s="1186"/>
      <c r="L631" s="1186"/>
      <c r="M631" s="1186"/>
      <c r="N631" s="1187"/>
      <c r="O631" s="596"/>
      <c r="P631" s="1192"/>
      <c r="Q631" s="1192"/>
      <c r="R631" s="1192"/>
      <c r="S631" s="1192"/>
      <c r="T631" s="520"/>
      <c r="U631" s="520"/>
      <c r="V631" s="520"/>
      <c r="W631" s="520"/>
      <c r="X631" s="520"/>
      <c r="Y631" s="520"/>
      <c r="Z631" s="520"/>
      <c r="AA631" s="520"/>
    </row>
    <row r="632" spans="1:27" ht="6" customHeight="1" x14ac:dyDescent="0.2">
      <c r="I632" s="1188" t="e">
        <f>"("&amp;VLOOKUP(H635,ID_archer_cible,3,FALSE)&amp;")"</f>
        <v>#N/A</v>
      </c>
      <c r="J632" s="1188"/>
      <c r="K632" s="1188"/>
      <c r="L632" s="1188"/>
      <c r="M632" s="1188"/>
      <c r="N632" s="1188"/>
      <c r="P632" s="1192"/>
      <c r="Q632" s="1192"/>
      <c r="R632" s="1192"/>
      <c r="S632" s="1192"/>
      <c r="AA632" s="611"/>
    </row>
    <row r="633" spans="1:27" ht="17.25" customHeight="1" x14ac:dyDescent="0.2">
      <c r="E633" s="584"/>
      <c r="F633" s="584"/>
      <c r="G633" s="584"/>
      <c r="H633" s="584"/>
      <c r="I633" s="1189"/>
      <c r="J633" s="1189"/>
      <c r="K633" s="1189"/>
      <c r="L633" s="1189"/>
      <c r="M633" s="1189"/>
      <c r="N633" s="1189"/>
      <c r="P633" s="1192"/>
      <c r="Q633" s="1192"/>
      <c r="R633" s="1192"/>
      <c r="S633" s="1192"/>
      <c r="AA633" s="611"/>
    </row>
    <row r="634" spans="1:27" ht="23.25" customHeight="1" x14ac:dyDescent="0.2">
      <c r="A634" s="593" t="s">
        <v>906</v>
      </c>
      <c r="B634" s="588"/>
      <c r="C634" s="588"/>
      <c r="D634" s="588"/>
      <c r="E634" s="588"/>
      <c r="F634" s="588"/>
      <c r="G634" s="588"/>
      <c r="H634" s="594" t="s">
        <v>552</v>
      </c>
      <c r="I634" s="573" t="s">
        <v>893</v>
      </c>
      <c r="J634" s="1075" t="s">
        <v>550</v>
      </c>
      <c r="K634" s="1075"/>
      <c r="L634" s="573" t="s">
        <v>905</v>
      </c>
      <c r="M634" s="252" t="s">
        <v>551</v>
      </c>
      <c r="S634" s="573" t="s">
        <v>905</v>
      </c>
      <c r="T634" s="573" t="s">
        <v>893</v>
      </c>
      <c r="U634" s="573" t="s">
        <v>893</v>
      </c>
      <c r="V634" s="1075" t="s">
        <v>550</v>
      </c>
      <c r="W634" s="1075"/>
      <c r="X634" s="252" t="s">
        <v>551</v>
      </c>
      <c r="Y634" s="571"/>
      <c r="Z634" s="571"/>
      <c r="AA634" s="612"/>
    </row>
    <row r="635" spans="1:27" ht="23.25" customHeight="1" x14ac:dyDescent="0.2">
      <c r="A635" s="580" t="e">
        <f>VLOOKUP(H635,ID_archer_cible,5,FALSE)&amp;"    "&amp;VLOOKUP(H635,ID_archer_cible,6,FALSE)</f>
        <v>#N/A</v>
      </c>
      <c r="B635" s="581"/>
      <c r="C635" s="582"/>
      <c r="D635" s="575"/>
      <c r="E635" s="223"/>
      <c r="F635" s="223"/>
      <c r="G635" s="223"/>
      <c r="H635" s="589" t="str">
        <f>B629&amp;"A"</f>
        <v>20A</v>
      </c>
      <c r="I635" s="574" t="e">
        <f>VLOOKUP(H635,ID_archer_cible,9,FALSE)</f>
        <v>#N/A</v>
      </c>
      <c r="J635" s="1075" t="e">
        <f>VLOOKUP(H635,ID_archer_cible,8,FALSE)</f>
        <v>#N/A</v>
      </c>
      <c r="K635" s="1075"/>
      <c r="L635" s="610" t="e">
        <f>VLOOKUP(H635,ID_archer_cible,7,FALSE)</f>
        <v>#N/A</v>
      </c>
      <c r="M635" s="589" t="e">
        <f>VLOOKUP(H635,ID_archer_cible,10,FALSE)</f>
        <v>#N/A</v>
      </c>
      <c r="N635" s="597" t="e">
        <f>VLOOKUP(T635,ID_archer_cible,5,FALSE)&amp;"    "&amp;VLOOKUP(T635,ID_archer_cible,6,FALSE)</f>
        <v>#N/A</v>
      </c>
      <c r="O635" s="581"/>
      <c r="P635" s="582"/>
      <c r="Q635" s="575"/>
      <c r="R635" s="223"/>
      <c r="S635" s="579" t="e">
        <f>VLOOKUP(T635,ID_archer_cible,7,FALSE)</f>
        <v>#N/A</v>
      </c>
      <c r="T635" s="589" t="str">
        <f>B629&amp;"C"</f>
        <v>20C</v>
      </c>
      <c r="U635" s="574" t="e">
        <f>VLOOKUP(T635,ID_archer_cible,9,FALSE)</f>
        <v>#N/A</v>
      </c>
      <c r="V635" s="1172" t="e">
        <f>VLOOKUP(T635,ID_archer_cible,8,FALSE)</f>
        <v>#N/A</v>
      </c>
      <c r="W635" s="1173"/>
      <c r="X635" s="574" t="e">
        <f>VLOOKUP(T635,ID_archer_cible,10,FALSE)</f>
        <v>#N/A</v>
      </c>
      <c r="AA635" s="611"/>
    </row>
    <row r="636" spans="1:27" ht="23.25" customHeight="1" x14ac:dyDescent="0.2">
      <c r="A636" s="580" t="e">
        <f>VLOOKUP(H636,ID_archer_cible,5,FALSE)&amp;"    "&amp;VLOOKUP(H636,ID_archer_cible,6,FALSE)</f>
        <v>#N/A</v>
      </c>
      <c r="B636" s="581"/>
      <c r="C636" s="582"/>
      <c r="D636" s="575"/>
      <c r="E636" s="223"/>
      <c r="F636" s="223"/>
      <c r="G636" s="223"/>
      <c r="H636" s="589" t="str">
        <f>B629&amp;"B"</f>
        <v>20B</v>
      </c>
      <c r="I636" s="574" t="e">
        <f>VLOOKUP(H636,ID_archer_cible,9,FALSE)</f>
        <v>#N/A</v>
      </c>
      <c r="J636" s="1075" t="e">
        <f>VLOOKUP(H636,ID_archer_cible,8,FALSE)</f>
        <v>#N/A</v>
      </c>
      <c r="K636" s="1075"/>
      <c r="L636" s="610" t="e">
        <f>VLOOKUP(H636,ID_archer_cible,7,FALSE)</f>
        <v>#N/A</v>
      </c>
      <c r="M636" s="589" t="e">
        <f>VLOOKUP(H636,ID_archer_cible,10,FALSE)</f>
        <v>#N/A</v>
      </c>
      <c r="N636" s="597" t="e">
        <f>VLOOKUP(T636,ID_archer_cible,5,FALSE)&amp;"    "&amp;VLOOKUP(T636,ID_archer_cible,6,FALSE)</f>
        <v>#N/A</v>
      </c>
      <c r="O636" s="581"/>
      <c r="P636" s="582"/>
      <c r="Q636" s="575"/>
      <c r="R636" s="223"/>
      <c r="S636" s="579" t="e">
        <f>VLOOKUP(T636,ID_archer_cible,7,FALSE)</f>
        <v>#N/A</v>
      </c>
      <c r="T636" s="589" t="str">
        <f>B629&amp;"D"</f>
        <v>20D</v>
      </c>
      <c r="U636" s="574" t="e">
        <f>VLOOKUP(T636,ID_archer_cible,9,FALSE)</f>
        <v>#N/A</v>
      </c>
      <c r="V636" s="1172" t="e">
        <f>VLOOKUP(T636,ID_archer_cible,8,FALSE)</f>
        <v>#N/A</v>
      </c>
      <c r="W636" s="1173"/>
      <c r="X636" s="574" t="e">
        <f>VLOOKUP(T636,ID_archer_cible,10,FALSE)</f>
        <v>#N/A</v>
      </c>
      <c r="AA636" s="611"/>
    </row>
    <row r="637" spans="1:27" ht="15" customHeight="1" thickBot="1" x14ac:dyDescent="0.25">
      <c r="AA637" s="611"/>
    </row>
    <row r="638" spans="1:27" ht="20.25" customHeight="1" thickBot="1" x14ac:dyDescent="0.25">
      <c r="F638" s="1174" t="s">
        <v>555</v>
      </c>
      <c r="G638" s="1175"/>
      <c r="H638" s="1175"/>
      <c r="I638" s="1175"/>
      <c r="J638" s="1175"/>
      <c r="K638" s="1175"/>
      <c r="L638" s="1176"/>
      <c r="M638" s="1174" t="s">
        <v>556</v>
      </c>
      <c r="N638" s="1175"/>
      <c r="O638" s="1175"/>
      <c r="P638" s="1175"/>
      <c r="Q638" s="1175"/>
      <c r="R638" s="1175"/>
      <c r="S638" s="1176"/>
      <c r="T638" s="1174" t="s">
        <v>557</v>
      </c>
      <c r="U638" s="1175"/>
      <c r="V638" s="1175"/>
      <c r="W638" s="1175"/>
      <c r="X638" s="1175"/>
      <c r="Y638" s="1175"/>
      <c r="Z638" s="1176"/>
      <c r="AA638" s="613"/>
    </row>
    <row r="639" spans="1:27" ht="30.75" customHeight="1" x14ac:dyDescent="0.2">
      <c r="A639" s="1171" t="s">
        <v>559</v>
      </c>
      <c r="B639" s="1171"/>
      <c r="C639" s="1171"/>
      <c r="D639" s="1171"/>
      <c r="E639" s="1181"/>
      <c r="F639" s="1179" t="s">
        <v>560</v>
      </c>
      <c r="G639" s="1180"/>
      <c r="H639" s="1180"/>
      <c r="I639" s="306"/>
      <c r="J639" s="306"/>
      <c r="K639" s="307"/>
      <c r="L639" s="572" t="s">
        <v>7</v>
      </c>
      <c r="M639" s="1179" t="s">
        <v>560</v>
      </c>
      <c r="N639" s="1180"/>
      <c r="O639" s="1180"/>
      <c r="P639" s="306"/>
      <c r="Q639" s="306"/>
      <c r="R639" s="307"/>
      <c r="S639" s="572" t="s">
        <v>7</v>
      </c>
      <c r="T639" s="1179" t="s">
        <v>560</v>
      </c>
      <c r="U639" s="1180"/>
      <c r="V639" s="1180"/>
      <c r="W639" s="306"/>
      <c r="X639" s="306"/>
      <c r="Y639" s="307"/>
      <c r="Z639" s="572" t="s">
        <v>7</v>
      </c>
      <c r="AA639" s="614"/>
    </row>
    <row r="640" spans="1:27" ht="30.75" customHeight="1" x14ac:dyDescent="0.2">
      <c r="A640" s="1168" t="e">
        <f>A635</f>
        <v>#N/A</v>
      </c>
      <c r="B640" s="1169"/>
      <c r="C640" s="1169"/>
      <c r="D640" s="1169"/>
      <c r="E640" s="1170"/>
      <c r="F640" s="228"/>
      <c r="G640" s="229"/>
      <c r="H640" s="229"/>
      <c r="I640" s="229"/>
      <c r="J640" s="229"/>
      <c r="K640" s="230" t="s">
        <v>561</v>
      </c>
      <c r="L640" s="231"/>
      <c r="M640" s="228"/>
      <c r="N640" s="229"/>
      <c r="O640" s="229"/>
      <c r="P640" s="229"/>
      <c r="Q640" s="229"/>
      <c r="R640" s="230" t="s">
        <v>561</v>
      </c>
      <c r="S640" s="231"/>
      <c r="T640" s="228"/>
      <c r="U640" s="229"/>
      <c r="V640" s="229"/>
      <c r="W640" s="229"/>
      <c r="X640" s="229"/>
      <c r="Y640" s="230" t="s">
        <v>561</v>
      </c>
      <c r="Z640" s="231"/>
      <c r="AA640" s="611"/>
    </row>
    <row r="641" spans="1:27" ht="30.75" customHeight="1" x14ac:dyDescent="0.2">
      <c r="A641" s="1168" t="e">
        <f>A636</f>
        <v>#N/A</v>
      </c>
      <c r="B641" s="1169"/>
      <c r="C641" s="1169"/>
      <c r="D641" s="1169"/>
      <c r="E641" s="1170"/>
      <c r="F641" s="228"/>
      <c r="G641" s="229"/>
      <c r="H641" s="229"/>
      <c r="I641" s="229"/>
      <c r="J641" s="229"/>
      <c r="K641" s="230" t="s">
        <v>561</v>
      </c>
      <c r="L641" s="231"/>
      <c r="M641" s="228"/>
      <c r="N641" s="229"/>
      <c r="O641" s="229"/>
      <c r="P641" s="229"/>
      <c r="Q641" s="229"/>
      <c r="R641" s="230" t="s">
        <v>561</v>
      </c>
      <c r="S641" s="231"/>
      <c r="T641" s="228"/>
      <c r="U641" s="229"/>
      <c r="V641" s="229"/>
      <c r="W641" s="229"/>
      <c r="X641" s="229"/>
      <c r="Y641" s="230" t="s">
        <v>561</v>
      </c>
      <c r="Z641" s="231"/>
      <c r="AA641" s="611"/>
    </row>
    <row r="642" spans="1:27" ht="30.75" customHeight="1" x14ac:dyDescent="0.2">
      <c r="A642" s="1168" t="e">
        <f>N635</f>
        <v>#N/A</v>
      </c>
      <c r="B642" s="1169"/>
      <c r="C642" s="1169"/>
      <c r="D642" s="1169"/>
      <c r="E642" s="1170"/>
      <c r="F642" s="228"/>
      <c r="G642" s="229"/>
      <c r="H642" s="229"/>
      <c r="I642" s="229"/>
      <c r="J642" s="229"/>
      <c r="K642" s="230" t="s">
        <v>561</v>
      </c>
      <c r="L642" s="231"/>
      <c r="M642" s="228"/>
      <c r="N642" s="229"/>
      <c r="O642" s="229"/>
      <c r="P642" s="229"/>
      <c r="Q642" s="229"/>
      <c r="R642" s="230" t="s">
        <v>561</v>
      </c>
      <c r="S642" s="231"/>
      <c r="T642" s="228"/>
      <c r="U642" s="229"/>
      <c r="V642" s="229"/>
      <c r="W642" s="229"/>
      <c r="X642" s="229"/>
      <c r="Y642" s="230" t="s">
        <v>561</v>
      </c>
      <c r="Z642" s="231"/>
      <c r="AA642" s="611"/>
    </row>
    <row r="643" spans="1:27" ht="30.75" customHeight="1" thickBot="1" x14ac:dyDescent="0.25">
      <c r="A643" s="1168" t="e">
        <f>N636</f>
        <v>#N/A</v>
      </c>
      <c r="B643" s="1169"/>
      <c r="C643" s="1169"/>
      <c r="D643" s="1169"/>
      <c r="E643" s="1170"/>
      <c r="F643" s="228"/>
      <c r="G643" s="229"/>
      <c r="H643" s="229"/>
      <c r="I643" s="229"/>
      <c r="J643" s="229"/>
      <c r="K643" s="230" t="s">
        <v>561</v>
      </c>
      <c r="L643" s="232"/>
      <c r="M643" s="228"/>
      <c r="N643" s="229"/>
      <c r="O643" s="229"/>
      <c r="P643" s="229"/>
      <c r="Q643" s="229"/>
      <c r="R643" s="230" t="s">
        <v>561</v>
      </c>
      <c r="S643" s="232"/>
      <c r="T643" s="228"/>
      <c r="U643" s="229"/>
      <c r="V643" s="229"/>
      <c r="W643" s="229"/>
      <c r="X643" s="229"/>
      <c r="Y643" s="230" t="s">
        <v>561</v>
      </c>
      <c r="Z643" s="232"/>
      <c r="AA643" s="611"/>
    </row>
    <row r="644" spans="1:27" ht="30.75" customHeight="1" thickBot="1" x14ac:dyDescent="0.25">
      <c r="F644" s="1177" t="s">
        <v>562</v>
      </c>
      <c r="G644" s="1178"/>
      <c r="H644" s="1178"/>
      <c r="I644" s="235"/>
      <c r="J644" s="235"/>
      <c r="K644" s="237" t="s">
        <v>561</v>
      </c>
      <c r="L644" s="239"/>
      <c r="M644" s="1177" t="s">
        <v>563</v>
      </c>
      <c r="N644" s="1178"/>
      <c r="O644" s="1178"/>
      <c r="P644" s="235"/>
      <c r="Q644" s="235"/>
      <c r="R644" s="237" t="s">
        <v>561</v>
      </c>
      <c r="S644" s="239"/>
      <c r="T644" s="1177" t="s">
        <v>564</v>
      </c>
      <c r="U644" s="1178"/>
      <c r="V644" s="1178"/>
      <c r="W644" s="235"/>
      <c r="X644" s="235"/>
      <c r="Y644" s="237" t="s">
        <v>561</v>
      </c>
      <c r="Z644" s="239"/>
      <c r="AA644" s="615"/>
    </row>
    <row r="645" spans="1:27" ht="9" customHeight="1" thickBot="1" x14ac:dyDescent="0.25">
      <c r="H645" s="249"/>
      <c r="I645" s="249"/>
      <c r="J645" s="249"/>
      <c r="K645" s="249"/>
      <c r="L645" s="249"/>
      <c r="M645" s="249"/>
      <c r="N645" s="249"/>
      <c r="O645" s="249"/>
      <c r="P645" s="249"/>
      <c r="Q645" s="249"/>
      <c r="R645" s="230"/>
      <c r="T645" s="249"/>
      <c r="U645" s="249"/>
      <c r="V645" s="249"/>
      <c r="W645" s="249"/>
      <c r="X645" s="249"/>
      <c r="Y645" s="230"/>
      <c r="AA645" s="611"/>
    </row>
    <row r="646" spans="1:27" ht="30.75" customHeight="1" thickBot="1" x14ac:dyDescent="0.25">
      <c r="F646" s="1174" t="s">
        <v>558</v>
      </c>
      <c r="G646" s="1175"/>
      <c r="H646" s="1175"/>
      <c r="I646" s="1175"/>
      <c r="J646" s="1175"/>
      <c r="K646" s="1175"/>
      <c r="L646" s="1176"/>
      <c r="M646" s="1174" t="s">
        <v>902</v>
      </c>
      <c r="N646" s="1175"/>
      <c r="O646" s="1175"/>
      <c r="P646" s="1175"/>
      <c r="Q646" s="1175"/>
      <c r="R646" s="1175"/>
      <c r="S646" s="1176"/>
      <c r="T646" s="1174" t="s">
        <v>907</v>
      </c>
      <c r="U646" s="1175"/>
      <c r="V646" s="1175"/>
      <c r="W646" s="1175"/>
      <c r="X646" s="1175"/>
      <c r="Y646" s="1175"/>
      <c r="Z646" s="1176"/>
      <c r="AA646" s="613"/>
    </row>
    <row r="647" spans="1:27" ht="30.75" customHeight="1" x14ac:dyDescent="0.2">
      <c r="A647" s="1171" t="str">
        <f>A639</f>
        <v>NOM - PRENOM</v>
      </c>
      <c r="B647" s="1171"/>
      <c r="C647" s="1171"/>
      <c r="D647" s="1171"/>
      <c r="E647" s="1181"/>
      <c r="F647" s="1179" t="s">
        <v>560</v>
      </c>
      <c r="G647" s="1180"/>
      <c r="H647" s="1180"/>
      <c r="I647" s="306"/>
      <c r="J647" s="306"/>
      <c r="K647" s="307"/>
      <c r="L647" s="572" t="s">
        <v>7</v>
      </c>
      <c r="M647" s="1179" t="s">
        <v>560</v>
      </c>
      <c r="N647" s="1180"/>
      <c r="O647" s="1180"/>
      <c r="P647" s="306"/>
      <c r="Q647" s="306"/>
      <c r="R647" s="307"/>
      <c r="S647" s="572" t="s">
        <v>7</v>
      </c>
      <c r="T647" s="1179" t="s">
        <v>560</v>
      </c>
      <c r="U647" s="1180"/>
      <c r="V647" s="1180"/>
      <c r="W647" s="306"/>
      <c r="X647" s="306"/>
      <c r="Y647" s="307"/>
      <c r="Z647" s="572" t="s">
        <v>7</v>
      </c>
      <c r="AA647" s="614"/>
    </row>
    <row r="648" spans="1:27" ht="30.75" customHeight="1" x14ac:dyDescent="0.2">
      <c r="A648" s="605" t="e">
        <f>A640</f>
        <v>#N/A</v>
      </c>
      <c r="B648" s="606"/>
      <c r="C648" s="606"/>
      <c r="D648" s="606"/>
      <c r="E648" s="607"/>
      <c r="F648" s="228"/>
      <c r="G648" s="229"/>
      <c r="H648" s="229"/>
      <c r="I648" s="229"/>
      <c r="J648" s="229"/>
      <c r="K648" s="230" t="s">
        <v>561</v>
      </c>
      <c r="L648" s="231"/>
      <c r="M648" s="228"/>
      <c r="N648" s="229"/>
      <c r="O648" s="229"/>
      <c r="P648" s="229"/>
      <c r="Q648" s="229"/>
      <c r="R648" s="230" t="s">
        <v>561</v>
      </c>
      <c r="S648" s="231"/>
      <c r="T648" s="228"/>
      <c r="U648" s="229"/>
      <c r="V648" s="229"/>
      <c r="W648" s="229"/>
      <c r="X648" s="229"/>
      <c r="Y648" s="230" t="s">
        <v>561</v>
      </c>
      <c r="Z648" s="231"/>
      <c r="AA648" s="611"/>
    </row>
    <row r="649" spans="1:27" ht="30.75" customHeight="1" x14ac:dyDescent="0.2">
      <c r="A649" s="605" t="e">
        <f>A641</f>
        <v>#N/A</v>
      </c>
      <c r="B649" s="606"/>
      <c r="C649" s="606"/>
      <c r="D649" s="606"/>
      <c r="E649" s="607"/>
      <c r="F649" s="228"/>
      <c r="G649" s="229"/>
      <c r="H649" s="229"/>
      <c r="I649" s="229"/>
      <c r="J649" s="229"/>
      <c r="K649" s="230" t="s">
        <v>561</v>
      </c>
      <c r="L649" s="231"/>
      <c r="M649" s="228"/>
      <c r="N649" s="229"/>
      <c r="O649" s="229"/>
      <c r="P649" s="229"/>
      <c r="Q649" s="229"/>
      <c r="R649" s="230" t="s">
        <v>561</v>
      </c>
      <c r="S649" s="231"/>
      <c r="T649" s="228"/>
      <c r="U649" s="229"/>
      <c r="V649" s="229"/>
      <c r="W649" s="229"/>
      <c r="X649" s="229"/>
      <c r="Y649" s="230" t="s">
        <v>561</v>
      </c>
      <c r="Z649" s="231"/>
      <c r="AA649" s="611"/>
    </row>
    <row r="650" spans="1:27" ht="30.75" customHeight="1" x14ac:dyDescent="0.2">
      <c r="A650" s="605" t="e">
        <f>A642</f>
        <v>#N/A</v>
      </c>
      <c r="B650" s="606"/>
      <c r="C650" s="606"/>
      <c r="D650" s="606"/>
      <c r="E650" s="607"/>
      <c r="F650" s="228"/>
      <c r="G650" s="229"/>
      <c r="H650" s="229"/>
      <c r="I650" s="229"/>
      <c r="J650" s="229"/>
      <c r="K650" s="230" t="s">
        <v>561</v>
      </c>
      <c r="L650" s="231"/>
      <c r="M650" s="228"/>
      <c r="N650" s="229"/>
      <c r="O650" s="229"/>
      <c r="P650" s="229"/>
      <c r="Q650" s="229"/>
      <c r="R650" s="230" t="s">
        <v>561</v>
      </c>
      <c r="S650" s="231"/>
      <c r="T650" s="228"/>
      <c r="U650" s="229"/>
      <c r="V650" s="229"/>
      <c r="W650" s="229"/>
      <c r="X650" s="229"/>
      <c r="Y650" s="230" t="s">
        <v>561</v>
      </c>
      <c r="Z650" s="231"/>
      <c r="AA650" s="611"/>
    </row>
    <row r="651" spans="1:27" ht="30.75" customHeight="1" thickBot="1" x14ac:dyDescent="0.25">
      <c r="A651" s="605" t="e">
        <f>A643</f>
        <v>#N/A</v>
      </c>
      <c r="B651" s="606"/>
      <c r="C651" s="606"/>
      <c r="D651" s="606"/>
      <c r="E651" s="607"/>
      <c r="F651" s="228"/>
      <c r="G651" s="229"/>
      <c r="H651" s="229"/>
      <c r="I651" s="229"/>
      <c r="J651" s="229"/>
      <c r="K651" s="230" t="s">
        <v>561</v>
      </c>
      <c r="L651" s="232"/>
      <c r="M651" s="228"/>
      <c r="N651" s="229"/>
      <c r="O651" s="229"/>
      <c r="P651" s="229"/>
      <c r="Q651" s="229"/>
      <c r="R651" s="230" t="s">
        <v>561</v>
      </c>
      <c r="S651" s="232"/>
      <c r="T651" s="228"/>
      <c r="U651" s="229"/>
      <c r="V651" s="229"/>
      <c r="W651" s="229"/>
      <c r="X651" s="229"/>
      <c r="Y651" s="230" t="s">
        <v>561</v>
      </c>
      <c r="Z651" s="232"/>
      <c r="AA651" s="611"/>
    </row>
    <row r="652" spans="1:27" ht="24" customHeight="1" thickBot="1" x14ac:dyDescent="0.25">
      <c r="F652" s="1177" t="s">
        <v>565</v>
      </c>
      <c r="G652" s="1178"/>
      <c r="H652" s="1178"/>
      <c r="I652" s="235"/>
      <c r="J652" s="235"/>
      <c r="K652" s="237" t="s">
        <v>561</v>
      </c>
      <c r="L652" s="239"/>
      <c r="M652" s="1177" t="s">
        <v>903</v>
      </c>
      <c r="N652" s="1178"/>
      <c r="O652" s="1178"/>
      <c r="P652" s="235"/>
      <c r="Q652" s="235"/>
      <c r="R652" s="237" t="s">
        <v>561</v>
      </c>
      <c r="S652" s="239"/>
      <c r="T652" s="1177" t="s">
        <v>904</v>
      </c>
      <c r="U652" s="1178"/>
      <c r="V652" s="1178"/>
      <c r="W652" s="235"/>
      <c r="X652" s="235"/>
      <c r="Y652" s="237" t="s">
        <v>561</v>
      </c>
      <c r="Z652" s="239"/>
      <c r="AA652" s="611"/>
    </row>
    <row r="653" spans="1:27" ht="8.25" customHeight="1" thickBot="1" x14ac:dyDescent="0.25">
      <c r="A653" s="592"/>
      <c r="B653" s="592"/>
      <c r="C653" s="592"/>
      <c r="D653" s="592"/>
      <c r="E653" s="592"/>
      <c r="F653" s="249"/>
      <c r="G653" s="249"/>
      <c r="H653" s="249"/>
      <c r="I653" s="249"/>
      <c r="J653" s="249"/>
      <c r="K653" s="230"/>
      <c r="L653" s="249"/>
      <c r="M653" s="230"/>
      <c r="N653" s="249"/>
      <c r="O653" s="230"/>
      <c r="P653" s="249"/>
      <c r="Q653" s="230"/>
      <c r="R653" s="249"/>
      <c r="S653" s="230"/>
      <c r="T653" s="249"/>
      <c r="U653" s="230"/>
      <c r="V653" s="249"/>
      <c r="W653" s="249"/>
      <c r="X653" s="249"/>
      <c r="Y653" s="230"/>
      <c r="AA653" s="611"/>
    </row>
    <row r="654" spans="1:27" ht="16.5" customHeight="1" thickBot="1" x14ac:dyDescent="0.25">
      <c r="A654" s="1200" t="s">
        <v>915</v>
      </c>
      <c r="B654" s="1200"/>
      <c r="C654" s="1200"/>
      <c r="D654" s="1200"/>
      <c r="E654" s="249"/>
      <c r="F654" s="1198" t="s">
        <v>909</v>
      </c>
      <c r="G654" s="1199"/>
      <c r="H654" s="1199"/>
      <c r="I654" s="1198" t="s">
        <v>910</v>
      </c>
      <c r="J654" s="1199"/>
      <c r="K654" s="1199"/>
      <c r="L654" s="1198" t="s">
        <v>911</v>
      </c>
      <c r="M654" s="1199"/>
      <c r="N654" s="1199"/>
      <c r="O654" s="1198" t="s">
        <v>912</v>
      </c>
      <c r="P654" s="1199"/>
      <c r="Q654" s="1199"/>
      <c r="R654" s="1198" t="s">
        <v>913</v>
      </c>
      <c r="S654" s="1199"/>
      <c r="T654" s="1199"/>
      <c r="U654" s="1198" t="s">
        <v>916</v>
      </c>
      <c r="V654" s="1199"/>
      <c r="W654" s="1199"/>
      <c r="X654" s="1194" t="s">
        <v>908</v>
      </c>
      <c r="Y654" s="1195"/>
      <c r="Z654" s="1196"/>
      <c r="AA654" s="616"/>
    </row>
    <row r="655" spans="1:27" ht="30.75" customHeight="1" x14ac:dyDescent="0.2">
      <c r="A655" s="1200"/>
      <c r="B655" s="1200"/>
      <c r="C655" s="1200"/>
      <c r="D655" s="1200"/>
      <c r="E655" s="249"/>
      <c r="F655" s="1197"/>
      <c r="G655" s="1197"/>
      <c r="H655" s="1197"/>
      <c r="I655" s="1197"/>
      <c r="J655" s="1197"/>
      <c r="K655" s="1197"/>
      <c r="L655" s="1197"/>
      <c r="M655" s="1197"/>
      <c r="N655" s="1197"/>
      <c r="O655" s="1197"/>
      <c r="P655" s="1197"/>
      <c r="Q655" s="1197"/>
      <c r="R655" s="1197"/>
      <c r="S655" s="1197"/>
      <c r="T655" s="1197"/>
      <c r="U655" s="1197"/>
      <c r="V655" s="1197"/>
      <c r="W655" s="1197"/>
      <c r="X655" s="1162"/>
      <c r="Y655" s="1163"/>
      <c r="Z655" s="1164"/>
      <c r="AA655" s="614"/>
    </row>
    <row r="656" spans="1:27" ht="30.75" customHeight="1" thickBot="1" x14ac:dyDescent="0.25">
      <c r="A656" s="1200"/>
      <c r="B656" s="1200"/>
      <c r="C656" s="1200"/>
      <c r="D656" s="1200"/>
      <c r="E656" s="249"/>
      <c r="F656" s="1201" t="s">
        <v>914</v>
      </c>
      <c r="G656" s="1201"/>
      <c r="H656" s="1201"/>
      <c r="I656" s="1197"/>
      <c r="J656" s="1197"/>
      <c r="K656" s="1197"/>
      <c r="L656" s="1197"/>
      <c r="M656" s="1197"/>
      <c r="N656" s="1197"/>
      <c r="O656" s="1197"/>
      <c r="P656" s="1197"/>
      <c r="Q656" s="1197"/>
      <c r="R656" s="1197"/>
      <c r="S656" s="1197"/>
      <c r="T656" s="1197"/>
      <c r="U656" s="1197"/>
      <c r="V656" s="1197"/>
      <c r="W656" s="1197"/>
      <c r="X656" s="1165"/>
      <c r="Y656" s="1166"/>
      <c r="Z656" s="1167"/>
      <c r="AA656" s="614"/>
    </row>
    <row r="657" spans="1:27" ht="19.5" customHeight="1" x14ac:dyDescent="0.2">
      <c r="A657" s="578" t="s">
        <v>851</v>
      </c>
      <c r="B657" s="566"/>
      <c r="C657" s="566"/>
      <c r="D657" s="566"/>
      <c r="E657" s="566"/>
      <c r="F657" s="566"/>
      <c r="G657" s="566"/>
      <c r="H657" s="566"/>
      <c r="I657" s="566"/>
      <c r="J657" s="566"/>
      <c r="K657" s="566"/>
      <c r="M657" s="241"/>
      <c r="O657" s="578" t="s">
        <v>522</v>
      </c>
      <c r="P657" s="566"/>
      <c r="Q657" s="566"/>
      <c r="R657" s="566"/>
      <c r="S657" s="566"/>
      <c r="T657" s="566"/>
      <c r="U657" s="566"/>
      <c r="V657" s="566"/>
      <c r="W657" s="520"/>
      <c r="AA657" s="611"/>
    </row>
    <row r="658" spans="1:27" x14ac:dyDescent="0.2">
      <c r="A658" s="577" t="s">
        <v>1</v>
      </c>
      <c r="B658" s="567"/>
      <c r="C658" s="567"/>
      <c r="D658" s="567"/>
      <c r="E658" s="567"/>
      <c r="F658" s="567"/>
      <c r="G658" s="568"/>
      <c r="H658" s="1086" t="s">
        <v>520</v>
      </c>
      <c r="I658" s="1087"/>
      <c r="J658" s="1087"/>
      <c r="K658" s="1088"/>
      <c r="M658" s="577" t="s">
        <v>1</v>
      </c>
      <c r="N658" s="567"/>
      <c r="O658" s="567"/>
      <c r="P658" s="567"/>
      <c r="Q658" s="567"/>
      <c r="R658" s="567"/>
      <c r="S658" s="585" t="s">
        <v>520</v>
      </c>
      <c r="T658" s="586"/>
      <c r="U658" s="586"/>
      <c r="V658" s="587"/>
      <c r="AA658" s="611"/>
    </row>
    <row r="659" spans="1:27" ht="69" customHeight="1" x14ac:dyDescent="0.2">
      <c r="A659" s="242"/>
      <c r="B659" s="243"/>
      <c r="C659" s="243"/>
      <c r="D659" s="243"/>
      <c r="E659" s="243"/>
      <c r="F659" s="243"/>
      <c r="G659" s="244"/>
      <c r="H659" s="242"/>
      <c r="I659" s="243"/>
      <c r="J659" s="243"/>
      <c r="K659" s="244"/>
      <c r="M659" s="242"/>
      <c r="N659" s="243"/>
      <c r="O659" s="243"/>
      <c r="P659" s="243"/>
      <c r="Q659" s="243"/>
      <c r="R659" s="243"/>
      <c r="S659" s="242"/>
      <c r="T659" s="243"/>
      <c r="U659" s="243"/>
      <c r="V659" s="244"/>
      <c r="AA659" s="611"/>
    </row>
    <row r="660" spans="1:27" x14ac:dyDescent="0.2">
      <c r="AA660" s="611"/>
    </row>
    <row r="661" spans="1:27" ht="6.75" customHeight="1" x14ac:dyDescent="0.2">
      <c r="AA661" s="611"/>
    </row>
    <row r="662" spans="1:27" s="218" customFormat="1" ht="23.25" customHeight="1" x14ac:dyDescent="0.2">
      <c r="A662" s="218" t="s">
        <v>628</v>
      </c>
      <c r="B662" s="1103">
        <f>B629+1</f>
        <v>21</v>
      </c>
      <c r="C662" s="1104"/>
      <c r="D662" s="569"/>
      <c r="E662" s="218" t="str">
        <f>Championnat</f>
        <v>Championnat de France de Tir à l'ARC</v>
      </c>
      <c r="P662" s="1192"/>
      <c r="Q662" s="1192"/>
      <c r="R662" s="1192"/>
      <c r="S662" s="1192"/>
      <c r="T662" s="1193" t="str">
        <f>CATEG_IMPORTEE</f>
        <v>Collèges Mixtes Etablissement</v>
      </c>
      <c r="U662" s="1193"/>
      <c r="V662" s="1193"/>
      <c r="W662" s="1193"/>
      <c r="X662" s="1193"/>
      <c r="Y662" s="1193"/>
      <c r="Z662" s="1193"/>
      <c r="AA662" s="609"/>
    </row>
    <row r="663" spans="1:27" ht="27" customHeight="1" thickBot="1" x14ac:dyDescent="0.25">
      <c r="A663" s="1069" t="s">
        <v>0</v>
      </c>
      <c r="B663" s="1069"/>
      <c r="C663" s="1069"/>
      <c r="D663" s="1069"/>
      <c r="E663" s="1069"/>
      <c r="F663" s="1069"/>
      <c r="G663" s="1069"/>
      <c r="H663" s="1069"/>
      <c r="I663" s="1125" t="s">
        <v>374</v>
      </c>
      <c r="J663" s="1125"/>
      <c r="K663" s="1125"/>
      <c r="L663" s="1125"/>
      <c r="M663" s="1125"/>
      <c r="N663" s="1069"/>
      <c r="O663" s="595"/>
      <c r="P663" s="1192"/>
      <c r="Q663" s="1192"/>
      <c r="R663" s="1192"/>
      <c r="S663" s="1192"/>
      <c r="T663" s="1184" t="str">
        <f>LIEU&amp;" du "&amp;DATE</f>
        <v>L’Isle sur la Sorgue du 27 au 31 mars 2023</v>
      </c>
      <c r="U663" s="1184"/>
      <c r="V663" s="1184"/>
      <c r="W663" s="1184"/>
      <c r="X663" s="1184"/>
      <c r="Y663" s="1184"/>
      <c r="Z663" s="1184"/>
      <c r="AA663" s="608"/>
    </row>
    <row r="664" spans="1:27" ht="24" customHeight="1" thickBot="1" x14ac:dyDescent="0.25">
      <c r="A664" s="1185" t="e">
        <f>VLOOKUP(H668,ID_archer_cible,2,FALSE)</f>
        <v>#N/A</v>
      </c>
      <c r="B664" s="1186"/>
      <c r="C664" s="1186"/>
      <c r="D664" s="1186"/>
      <c r="E664" s="1186"/>
      <c r="F664" s="1186"/>
      <c r="G664" s="1186"/>
      <c r="H664" s="1187"/>
      <c r="I664" s="1185" t="e">
        <f>VLOOKUP(H668,ID_archer_cible,4,FALSE)</f>
        <v>#N/A</v>
      </c>
      <c r="J664" s="1186"/>
      <c r="K664" s="1186"/>
      <c r="L664" s="1186"/>
      <c r="M664" s="1186"/>
      <c r="N664" s="1187"/>
      <c r="O664" s="596"/>
      <c r="P664" s="1192"/>
      <c r="Q664" s="1192"/>
      <c r="R664" s="1192"/>
      <c r="S664" s="1192"/>
      <c r="T664" s="520"/>
      <c r="U664" s="520"/>
      <c r="V664" s="520"/>
      <c r="W664" s="520"/>
      <c r="X664" s="520"/>
      <c r="Y664" s="520"/>
      <c r="Z664" s="520"/>
      <c r="AA664" s="520"/>
    </row>
    <row r="665" spans="1:27" ht="6" customHeight="1" x14ac:dyDescent="0.2">
      <c r="I665" s="1188" t="e">
        <f>"("&amp;VLOOKUP(H668,ID_archer_cible,3,FALSE)&amp;")"</f>
        <v>#N/A</v>
      </c>
      <c r="J665" s="1188"/>
      <c r="K665" s="1188"/>
      <c r="L665" s="1188"/>
      <c r="M665" s="1188"/>
      <c r="N665" s="1188"/>
      <c r="P665" s="1192"/>
      <c r="Q665" s="1192"/>
      <c r="R665" s="1192"/>
      <c r="S665" s="1192"/>
      <c r="AA665" s="611"/>
    </row>
    <row r="666" spans="1:27" ht="17.25" customHeight="1" x14ac:dyDescent="0.2">
      <c r="E666" s="584"/>
      <c r="F666" s="584"/>
      <c r="G666" s="584"/>
      <c r="H666" s="584"/>
      <c r="I666" s="1189"/>
      <c r="J666" s="1189"/>
      <c r="K666" s="1189"/>
      <c r="L666" s="1189"/>
      <c r="M666" s="1189"/>
      <c r="N666" s="1189"/>
      <c r="P666" s="1192"/>
      <c r="Q666" s="1192"/>
      <c r="R666" s="1192"/>
      <c r="S666" s="1192"/>
      <c r="AA666" s="611"/>
    </row>
    <row r="667" spans="1:27" ht="23.25" customHeight="1" x14ac:dyDescent="0.2">
      <c r="A667" s="593" t="s">
        <v>906</v>
      </c>
      <c r="B667" s="588"/>
      <c r="C667" s="588"/>
      <c r="D667" s="588"/>
      <c r="E667" s="588"/>
      <c r="F667" s="588"/>
      <c r="G667" s="588"/>
      <c r="H667" s="594" t="s">
        <v>552</v>
      </c>
      <c r="I667" s="573" t="s">
        <v>893</v>
      </c>
      <c r="J667" s="1075" t="s">
        <v>550</v>
      </c>
      <c r="K667" s="1075"/>
      <c r="L667" s="573" t="s">
        <v>905</v>
      </c>
      <c r="M667" s="252" t="s">
        <v>551</v>
      </c>
      <c r="S667" s="573" t="s">
        <v>905</v>
      </c>
      <c r="T667" s="573" t="s">
        <v>893</v>
      </c>
      <c r="U667" s="573" t="s">
        <v>893</v>
      </c>
      <c r="V667" s="1075" t="s">
        <v>550</v>
      </c>
      <c r="W667" s="1075"/>
      <c r="X667" s="252" t="s">
        <v>551</v>
      </c>
      <c r="Y667" s="571"/>
      <c r="Z667" s="571"/>
      <c r="AA667" s="612"/>
    </row>
    <row r="668" spans="1:27" ht="23.25" customHeight="1" x14ac:dyDescent="0.2">
      <c r="A668" s="580" t="e">
        <f>VLOOKUP(H668,ID_archer_cible,5,FALSE)&amp;"    "&amp;VLOOKUP(H668,ID_archer_cible,6,FALSE)</f>
        <v>#N/A</v>
      </c>
      <c r="B668" s="581"/>
      <c r="C668" s="582"/>
      <c r="D668" s="575"/>
      <c r="E668" s="223"/>
      <c r="F668" s="223"/>
      <c r="G668" s="223"/>
      <c r="H668" s="589" t="str">
        <f>B662&amp;"A"</f>
        <v>21A</v>
      </c>
      <c r="I668" s="574" t="e">
        <f>VLOOKUP(H668,ID_archer_cible,9,FALSE)</f>
        <v>#N/A</v>
      </c>
      <c r="J668" s="1075" t="e">
        <f>VLOOKUP(H668,ID_archer_cible,8,FALSE)</f>
        <v>#N/A</v>
      </c>
      <c r="K668" s="1075"/>
      <c r="L668" s="610" t="e">
        <f>VLOOKUP(H668,ID_archer_cible,7,FALSE)</f>
        <v>#N/A</v>
      </c>
      <c r="M668" s="589" t="e">
        <f>VLOOKUP(H668,ID_archer_cible,10,FALSE)</f>
        <v>#N/A</v>
      </c>
      <c r="N668" s="597" t="e">
        <f>VLOOKUP(T668,ID_archer_cible,5,FALSE)&amp;"    "&amp;VLOOKUP(T668,ID_archer_cible,6,FALSE)</f>
        <v>#N/A</v>
      </c>
      <c r="O668" s="581"/>
      <c r="P668" s="582"/>
      <c r="Q668" s="575"/>
      <c r="R668" s="223"/>
      <c r="S668" s="579" t="e">
        <f>VLOOKUP(T668,ID_archer_cible,7,FALSE)</f>
        <v>#N/A</v>
      </c>
      <c r="T668" s="589" t="str">
        <f>B662&amp;"C"</f>
        <v>21C</v>
      </c>
      <c r="U668" s="574" t="e">
        <f>VLOOKUP(T668,ID_archer_cible,9,FALSE)</f>
        <v>#N/A</v>
      </c>
      <c r="V668" s="1172" t="e">
        <f>VLOOKUP(T668,ID_archer_cible,8,FALSE)</f>
        <v>#N/A</v>
      </c>
      <c r="W668" s="1173"/>
      <c r="X668" s="574" t="e">
        <f>VLOOKUP(T668,ID_archer_cible,10,FALSE)</f>
        <v>#N/A</v>
      </c>
      <c r="AA668" s="611"/>
    </row>
    <row r="669" spans="1:27" ht="23.25" customHeight="1" x14ac:dyDescent="0.2">
      <c r="A669" s="580" t="e">
        <f>VLOOKUP(H669,ID_archer_cible,5,FALSE)&amp;"    "&amp;VLOOKUP(H669,ID_archer_cible,6,FALSE)</f>
        <v>#N/A</v>
      </c>
      <c r="B669" s="581"/>
      <c r="C669" s="582"/>
      <c r="D669" s="575"/>
      <c r="E669" s="223"/>
      <c r="F669" s="223"/>
      <c r="G669" s="223"/>
      <c r="H669" s="589" t="str">
        <f>B662&amp;"B"</f>
        <v>21B</v>
      </c>
      <c r="I669" s="574" t="e">
        <f>VLOOKUP(H669,ID_archer_cible,9,FALSE)</f>
        <v>#N/A</v>
      </c>
      <c r="J669" s="1075" t="e">
        <f>VLOOKUP(H669,ID_archer_cible,8,FALSE)</f>
        <v>#N/A</v>
      </c>
      <c r="K669" s="1075"/>
      <c r="L669" s="610" t="e">
        <f>VLOOKUP(H669,ID_archer_cible,7,FALSE)</f>
        <v>#N/A</v>
      </c>
      <c r="M669" s="589" t="e">
        <f>VLOOKUP(H669,ID_archer_cible,10,FALSE)</f>
        <v>#N/A</v>
      </c>
      <c r="N669" s="597" t="e">
        <f>VLOOKUP(T669,ID_archer_cible,5,FALSE)&amp;"    "&amp;VLOOKUP(T669,ID_archer_cible,6,FALSE)</f>
        <v>#N/A</v>
      </c>
      <c r="O669" s="581"/>
      <c r="P669" s="582"/>
      <c r="Q669" s="575"/>
      <c r="R669" s="223"/>
      <c r="S669" s="579" t="e">
        <f>VLOOKUP(T669,ID_archer_cible,7,FALSE)</f>
        <v>#N/A</v>
      </c>
      <c r="T669" s="589" t="str">
        <f>B662&amp;"D"</f>
        <v>21D</v>
      </c>
      <c r="U669" s="574" t="e">
        <f>VLOOKUP(T669,ID_archer_cible,9,FALSE)</f>
        <v>#N/A</v>
      </c>
      <c r="V669" s="1172" t="e">
        <f>VLOOKUP(T669,ID_archer_cible,8,FALSE)</f>
        <v>#N/A</v>
      </c>
      <c r="W669" s="1173"/>
      <c r="X669" s="574" t="e">
        <f>VLOOKUP(T669,ID_archer_cible,10,FALSE)</f>
        <v>#N/A</v>
      </c>
      <c r="AA669" s="611"/>
    </row>
    <row r="670" spans="1:27" ht="15" customHeight="1" thickBot="1" x14ac:dyDescent="0.25">
      <c r="AA670" s="611"/>
    </row>
    <row r="671" spans="1:27" ht="20.25" customHeight="1" thickBot="1" x14ac:dyDescent="0.25">
      <c r="F671" s="1174" t="s">
        <v>555</v>
      </c>
      <c r="G671" s="1175"/>
      <c r="H671" s="1175"/>
      <c r="I671" s="1175"/>
      <c r="J671" s="1175"/>
      <c r="K671" s="1175"/>
      <c r="L671" s="1176"/>
      <c r="M671" s="1174" t="s">
        <v>556</v>
      </c>
      <c r="N671" s="1175"/>
      <c r="O671" s="1175"/>
      <c r="P671" s="1175"/>
      <c r="Q671" s="1175"/>
      <c r="R671" s="1175"/>
      <c r="S671" s="1176"/>
      <c r="T671" s="1174" t="s">
        <v>557</v>
      </c>
      <c r="U671" s="1175"/>
      <c r="V671" s="1175"/>
      <c r="W671" s="1175"/>
      <c r="X671" s="1175"/>
      <c r="Y671" s="1175"/>
      <c r="Z671" s="1176"/>
      <c r="AA671" s="613"/>
    </row>
    <row r="672" spans="1:27" ht="30.75" customHeight="1" x14ac:dyDescent="0.2">
      <c r="A672" s="1171" t="s">
        <v>559</v>
      </c>
      <c r="B672" s="1171"/>
      <c r="C672" s="1171"/>
      <c r="D672" s="1171"/>
      <c r="E672" s="1181"/>
      <c r="F672" s="1179" t="s">
        <v>560</v>
      </c>
      <c r="G672" s="1180"/>
      <c r="H672" s="1180"/>
      <c r="I672" s="306"/>
      <c r="J672" s="306"/>
      <c r="K672" s="307"/>
      <c r="L672" s="572" t="s">
        <v>7</v>
      </c>
      <c r="M672" s="1179" t="s">
        <v>560</v>
      </c>
      <c r="N672" s="1180"/>
      <c r="O672" s="1180"/>
      <c r="P672" s="306"/>
      <c r="Q672" s="306"/>
      <c r="R672" s="307"/>
      <c r="S672" s="572" t="s">
        <v>7</v>
      </c>
      <c r="T672" s="1179" t="s">
        <v>560</v>
      </c>
      <c r="U672" s="1180"/>
      <c r="V672" s="1180"/>
      <c r="W672" s="306"/>
      <c r="X672" s="306"/>
      <c r="Y672" s="307"/>
      <c r="Z672" s="572" t="s">
        <v>7</v>
      </c>
      <c r="AA672" s="614"/>
    </row>
    <row r="673" spans="1:27" ht="30.75" customHeight="1" x14ac:dyDescent="0.2">
      <c r="A673" s="1168" t="e">
        <f>A668</f>
        <v>#N/A</v>
      </c>
      <c r="B673" s="1169"/>
      <c r="C673" s="1169"/>
      <c r="D673" s="1169"/>
      <c r="E673" s="1170"/>
      <c r="F673" s="228"/>
      <c r="G673" s="229"/>
      <c r="H673" s="229"/>
      <c r="I673" s="229"/>
      <c r="J673" s="229"/>
      <c r="K673" s="230" t="s">
        <v>561</v>
      </c>
      <c r="L673" s="231"/>
      <c r="M673" s="228"/>
      <c r="N673" s="229"/>
      <c r="O673" s="229"/>
      <c r="P673" s="229"/>
      <c r="Q673" s="229"/>
      <c r="R673" s="230" t="s">
        <v>561</v>
      </c>
      <c r="S673" s="231"/>
      <c r="T673" s="228"/>
      <c r="U673" s="229"/>
      <c r="V673" s="229"/>
      <c r="W673" s="229"/>
      <c r="X673" s="229"/>
      <c r="Y673" s="230" t="s">
        <v>561</v>
      </c>
      <c r="Z673" s="231"/>
      <c r="AA673" s="611"/>
    </row>
    <row r="674" spans="1:27" ht="30.75" customHeight="1" x14ac:dyDescent="0.2">
      <c r="A674" s="1168" t="e">
        <f>A669</f>
        <v>#N/A</v>
      </c>
      <c r="B674" s="1169"/>
      <c r="C674" s="1169"/>
      <c r="D674" s="1169"/>
      <c r="E674" s="1170"/>
      <c r="F674" s="228"/>
      <c r="G674" s="229"/>
      <c r="H674" s="229"/>
      <c r="I674" s="229"/>
      <c r="J674" s="229"/>
      <c r="K674" s="230" t="s">
        <v>561</v>
      </c>
      <c r="L674" s="231"/>
      <c r="M674" s="228"/>
      <c r="N674" s="229"/>
      <c r="O674" s="229"/>
      <c r="P674" s="229"/>
      <c r="Q674" s="229"/>
      <c r="R674" s="230" t="s">
        <v>561</v>
      </c>
      <c r="S674" s="231"/>
      <c r="T674" s="228"/>
      <c r="U674" s="229"/>
      <c r="V674" s="229"/>
      <c r="W674" s="229"/>
      <c r="X674" s="229"/>
      <c r="Y674" s="230" t="s">
        <v>561</v>
      </c>
      <c r="Z674" s="231"/>
      <c r="AA674" s="611"/>
    </row>
    <row r="675" spans="1:27" ht="30.75" customHeight="1" x14ac:dyDescent="0.2">
      <c r="A675" s="1168" t="e">
        <f>N668</f>
        <v>#N/A</v>
      </c>
      <c r="B675" s="1169"/>
      <c r="C675" s="1169"/>
      <c r="D675" s="1169"/>
      <c r="E675" s="1170"/>
      <c r="F675" s="228"/>
      <c r="G675" s="229"/>
      <c r="H675" s="229"/>
      <c r="I675" s="229"/>
      <c r="J675" s="229"/>
      <c r="K675" s="230" t="s">
        <v>561</v>
      </c>
      <c r="L675" s="231"/>
      <c r="M675" s="228"/>
      <c r="N675" s="229"/>
      <c r="O675" s="229"/>
      <c r="P675" s="229"/>
      <c r="Q675" s="229"/>
      <c r="R675" s="230" t="s">
        <v>561</v>
      </c>
      <c r="S675" s="231"/>
      <c r="T675" s="228"/>
      <c r="U675" s="229"/>
      <c r="V675" s="229"/>
      <c r="W675" s="229"/>
      <c r="X675" s="229"/>
      <c r="Y675" s="230" t="s">
        <v>561</v>
      </c>
      <c r="Z675" s="231"/>
      <c r="AA675" s="611"/>
    </row>
    <row r="676" spans="1:27" ht="30.75" customHeight="1" thickBot="1" x14ac:dyDescent="0.25">
      <c r="A676" s="1168" t="e">
        <f>N669</f>
        <v>#N/A</v>
      </c>
      <c r="B676" s="1169"/>
      <c r="C676" s="1169"/>
      <c r="D676" s="1169"/>
      <c r="E676" s="1170"/>
      <c r="F676" s="228"/>
      <c r="G676" s="229"/>
      <c r="H676" s="229"/>
      <c r="I676" s="229"/>
      <c r="J676" s="229"/>
      <c r="K676" s="230" t="s">
        <v>561</v>
      </c>
      <c r="L676" s="232"/>
      <c r="M676" s="228"/>
      <c r="N676" s="229"/>
      <c r="O676" s="229"/>
      <c r="P676" s="229"/>
      <c r="Q676" s="229"/>
      <c r="R676" s="230" t="s">
        <v>561</v>
      </c>
      <c r="S676" s="232"/>
      <c r="T676" s="228"/>
      <c r="U676" s="229"/>
      <c r="V676" s="229"/>
      <c r="W676" s="229"/>
      <c r="X676" s="229"/>
      <c r="Y676" s="230" t="s">
        <v>561</v>
      </c>
      <c r="Z676" s="232"/>
      <c r="AA676" s="611"/>
    </row>
    <row r="677" spans="1:27" ht="30.75" customHeight="1" thickBot="1" x14ac:dyDescent="0.25">
      <c r="F677" s="1177" t="s">
        <v>562</v>
      </c>
      <c r="G677" s="1178"/>
      <c r="H677" s="1178"/>
      <c r="I677" s="235"/>
      <c r="J677" s="235"/>
      <c r="K677" s="237" t="s">
        <v>561</v>
      </c>
      <c r="L677" s="239"/>
      <c r="M677" s="1177" t="s">
        <v>563</v>
      </c>
      <c r="N677" s="1178"/>
      <c r="O677" s="1178"/>
      <c r="P677" s="235"/>
      <c r="Q677" s="235"/>
      <c r="R677" s="237" t="s">
        <v>561</v>
      </c>
      <c r="S677" s="239"/>
      <c r="T677" s="1177" t="s">
        <v>564</v>
      </c>
      <c r="U677" s="1178"/>
      <c r="V677" s="1178"/>
      <c r="W677" s="235"/>
      <c r="X677" s="235"/>
      <c r="Y677" s="237" t="s">
        <v>561</v>
      </c>
      <c r="Z677" s="239"/>
      <c r="AA677" s="615"/>
    </row>
    <row r="678" spans="1:27" ht="9" customHeight="1" thickBot="1" x14ac:dyDescent="0.25">
      <c r="H678" s="249"/>
      <c r="I678" s="249"/>
      <c r="J678" s="249"/>
      <c r="K678" s="249"/>
      <c r="L678" s="249"/>
      <c r="M678" s="249"/>
      <c r="N678" s="249"/>
      <c r="O678" s="249"/>
      <c r="P678" s="249"/>
      <c r="Q678" s="249"/>
      <c r="R678" s="230"/>
      <c r="T678" s="249"/>
      <c r="U678" s="249"/>
      <c r="V678" s="249"/>
      <c r="W678" s="249"/>
      <c r="X678" s="249"/>
      <c r="Y678" s="230"/>
      <c r="AA678" s="611"/>
    </row>
    <row r="679" spans="1:27" ht="30.75" customHeight="1" thickBot="1" x14ac:dyDescent="0.25">
      <c r="F679" s="1174" t="s">
        <v>558</v>
      </c>
      <c r="G679" s="1175"/>
      <c r="H679" s="1175"/>
      <c r="I679" s="1175"/>
      <c r="J679" s="1175"/>
      <c r="K679" s="1175"/>
      <c r="L679" s="1176"/>
      <c r="M679" s="1174" t="s">
        <v>902</v>
      </c>
      <c r="N679" s="1175"/>
      <c r="O679" s="1175"/>
      <c r="P679" s="1175"/>
      <c r="Q679" s="1175"/>
      <c r="R679" s="1175"/>
      <c r="S679" s="1176"/>
      <c r="T679" s="1174" t="s">
        <v>907</v>
      </c>
      <c r="U679" s="1175"/>
      <c r="V679" s="1175"/>
      <c r="W679" s="1175"/>
      <c r="X679" s="1175"/>
      <c r="Y679" s="1175"/>
      <c r="Z679" s="1176"/>
      <c r="AA679" s="613"/>
    </row>
    <row r="680" spans="1:27" ht="30.75" customHeight="1" x14ac:dyDescent="0.2">
      <c r="A680" s="1171" t="str">
        <f>A672</f>
        <v>NOM - PRENOM</v>
      </c>
      <c r="B680" s="1171"/>
      <c r="C680" s="1171"/>
      <c r="D680" s="1171"/>
      <c r="E680" s="1181"/>
      <c r="F680" s="1179" t="s">
        <v>560</v>
      </c>
      <c r="G680" s="1180"/>
      <c r="H680" s="1180"/>
      <c r="I680" s="306"/>
      <c r="J680" s="306"/>
      <c r="K680" s="307"/>
      <c r="L680" s="572" t="s">
        <v>7</v>
      </c>
      <c r="M680" s="1179" t="s">
        <v>560</v>
      </c>
      <c r="N680" s="1180"/>
      <c r="O680" s="1180"/>
      <c r="P680" s="306"/>
      <c r="Q680" s="306"/>
      <c r="R680" s="307"/>
      <c r="S680" s="572" t="s">
        <v>7</v>
      </c>
      <c r="T680" s="1179" t="s">
        <v>560</v>
      </c>
      <c r="U680" s="1180"/>
      <c r="V680" s="1180"/>
      <c r="W680" s="306"/>
      <c r="X680" s="306"/>
      <c r="Y680" s="307"/>
      <c r="Z680" s="572" t="s">
        <v>7</v>
      </c>
      <c r="AA680" s="614"/>
    </row>
    <row r="681" spans="1:27" ht="30.75" customHeight="1" x14ac:dyDescent="0.2">
      <c r="A681" s="605" t="e">
        <f>A673</f>
        <v>#N/A</v>
      </c>
      <c r="B681" s="606"/>
      <c r="C681" s="606"/>
      <c r="D681" s="606"/>
      <c r="E681" s="607"/>
      <c r="F681" s="228"/>
      <c r="G681" s="229"/>
      <c r="H681" s="229"/>
      <c r="I681" s="229"/>
      <c r="J681" s="229"/>
      <c r="K681" s="230" t="s">
        <v>561</v>
      </c>
      <c r="L681" s="231"/>
      <c r="M681" s="228"/>
      <c r="N681" s="229"/>
      <c r="O681" s="229"/>
      <c r="P681" s="229"/>
      <c r="Q681" s="229"/>
      <c r="R681" s="230" t="s">
        <v>561</v>
      </c>
      <c r="S681" s="231"/>
      <c r="T681" s="228"/>
      <c r="U681" s="229"/>
      <c r="V681" s="229"/>
      <c r="W681" s="229"/>
      <c r="X681" s="229"/>
      <c r="Y681" s="230" t="s">
        <v>561</v>
      </c>
      <c r="Z681" s="231"/>
      <c r="AA681" s="611"/>
    </row>
    <row r="682" spans="1:27" ht="30.75" customHeight="1" x14ac:dyDescent="0.2">
      <c r="A682" s="605" t="e">
        <f>A674</f>
        <v>#N/A</v>
      </c>
      <c r="B682" s="606"/>
      <c r="C682" s="606"/>
      <c r="D682" s="606"/>
      <c r="E682" s="607"/>
      <c r="F682" s="228"/>
      <c r="G682" s="229"/>
      <c r="H682" s="229"/>
      <c r="I682" s="229"/>
      <c r="J682" s="229"/>
      <c r="K682" s="230" t="s">
        <v>561</v>
      </c>
      <c r="L682" s="231"/>
      <c r="M682" s="228"/>
      <c r="N682" s="229"/>
      <c r="O682" s="229"/>
      <c r="P682" s="229"/>
      <c r="Q682" s="229"/>
      <c r="R682" s="230" t="s">
        <v>561</v>
      </c>
      <c r="S682" s="231"/>
      <c r="T682" s="228"/>
      <c r="U682" s="229"/>
      <c r="V682" s="229"/>
      <c r="W682" s="229"/>
      <c r="X682" s="229"/>
      <c r="Y682" s="230" t="s">
        <v>561</v>
      </c>
      <c r="Z682" s="231"/>
      <c r="AA682" s="611"/>
    </row>
    <row r="683" spans="1:27" ht="30.75" customHeight="1" x14ac:dyDescent="0.2">
      <c r="A683" s="605" t="e">
        <f>A675</f>
        <v>#N/A</v>
      </c>
      <c r="B683" s="606"/>
      <c r="C683" s="606"/>
      <c r="D683" s="606"/>
      <c r="E683" s="607"/>
      <c r="F683" s="228"/>
      <c r="G683" s="229"/>
      <c r="H683" s="229"/>
      <c r="I683" s="229"/>
      <c r="J683" s="229"/>
      <c r="K683" s="230" t="s">
        <v>561</v>
      </c>
      <c r="L683" s="231"/>
      <c r="M683" s="228"/>
      <c r="N683" s="229"/>
      <c r="O683" s="229"/>
      <c r="P683" s="229"/>
      <c r="Q683" s="229"/>
      <c r="R683" s="230" t="s">
        <v>561</v>
      </c>
      <c r="S683" s="231"/>
      <c r="T683" s="228"/>
      <c r="U683" s="229"/>
      <c r="V683" s="229"/>
      <c r="W683" s="229"/>
      <c r="X683" s="229"/>
      <c r="Y683" s="230" t="s">
        <v>561</v>
      </c>
      <c r="Z683" s="231"/>
      <c r="AA683" s="611"/>
    </row>
    <row r="684" spans="1:27" ht="30.75" customHeight="1" thickBot="1" x14ac:dyDescent="0.25">
      <c r="A684" s="605" t="e">
        <f>A676</f>
        <v>#N/A</v>
      </c>
      <c r="B684" s="606"/>
      <c r="C684" s="606"/>
      <c r="D684" s="606"/>
      <c r="E684" s="607"/>
      <c r="F684" s="228"/>
      <c r="G684" s="229"/>
      <c r="H684" s="229"/>
      <c r="I684" s="229"/>
      <c r="J684" s="229"/>
      <c r="K684" s="230" t="s">
        <v>561</v>
      </c>
      <c r="L684" s="232"/>
      <c r="M684" s="228"/>
      <c r="N684" s="229"/>
      <c r="O684" s="229"/>
      <c r="P684" s="229"/>
      <c r="Q684" s="229"/>
      <c r="R684" s="230" t="s">
        <v>561</v>
      </c>
      <c r="S684" s="232"/>
      <c r="T684" s="228"/>
      <c r="U684" s="229"/>
      <c r="V684" s="229"/>
      <c r="W684" s="229"/>
      <c r="X684" s="229"/>
      <c r="Y684" s="230" t="s">
        <v>561</v>
      </c>
      <c r="Z684" s="232"/>
      <c r="AA684" s="611"/>
    </row>
    <row r="685" spans="1:27" ht="24" customHeight="1" thickBot="1" x14ac:dyDescent="0.25">
      <c r="F685" s="1177" t="s">
        <v>565</v>
      </c>
      <c r="G685" s="1178"/>
      <c r="H685" s="1178"/>
      <c r="I685" s="235"/>
      <c r="J685" s="235"/>
      <c r="K685" s="237" t="s">
        <v>561</v>
      </c>
      <c r="L685" s="239"/>
      <c r="M685" s="1177" t="s">
        <v>903</v>
      </c>
      <c r="N685" s="1178"/>
      <c r="O685" s="1178"/>
      <c r="P685" s="235"/>
      <c r="Q685" s="235"/>
      <c r="R685" s="237" t="s">
        <v>561</v>
      </c>
      <c r="S685" s="239"/>
      <c r="T685" s="1177" t="s">
        <v>904</v>
      </c>
      <c r="U685" s="1178"/>
      <c r="V685" s="1178"/>
      <c r="W685" s="235"/>
      <c r="X685" s="235"/>
      <c r="Y685" s="237" t="s">
        <v>561</v>
      </c>
      <c r="Z685" s="239"/>
      <c r="AA685" s="611"/>
    </row>
    <row r="686" spans="1:27" ht="8.25" customHeight="1" thickBot="1" x14ac:dyDescent="0.25">
      <c r="A686" s="592"/>
      <c r="B686" s="592"/>
      <c r="C686" s="592"/>
      <c r="D686" s="592"/>
      <c r="E686" s="592"/>
      <c r="F686" s="249"/>
      <c r="G686" s="249"/>
      <c r="H686" s="249"/>
      <c r="I686" s="249"/>
      <c r="J686" s="249"/>
      <c r="K686" s="230"/>
      <c r="L686" s="249"/>
      <c r="M686" s="230"/>
      <c r="N686" s="249"/>
      <c r="O686" s="230"/>
      <c r="P686" s="249"/>
      <c r="Q686" s="230"/>
      <c r="R686" s="249"/>
      <c r="S686" s="230"/>
      <c r="T686" s="249"/>
      <c r="U686" s="230"/>
      <c r="V686" s="249"/>
      <c r="W686" s="249"/>
      <c r="X686" s="249"/>
      <c r="Y686" s="230"/>
      <c r="AA686" s="611"/>
    </row>
    <row r="687" spans="1:27" ht="16.5" customHeight="1" thickBot="1" x14ac:dyDescent="0.25">
      <c r="A687" s="1200" t="s">
        <v>915</v>
      </c>
      <c r="B687" s="1200"/>
      <c r="C687" s="1200"/>
      <c r="D687" s="1200"/>
      <c r="E687" s="249"/>
      <c r="F687" s="1198" t="s">
        <v>909</v>
      </c>
      <c r="G687" s="1199"/>
      <c r="H687" s="1199"/>
      <c r="I687" s="1198" t="s">
        <v>910</v>
      </c>
      <c r="J687" s="1199"/>
      <c r="K687" s="1199"/>
      <c r="L687" s="1198" t="s">
        <v>911</v>
      </c>
      <c r="M687" s="1199"/>
      <c r="N687" s="1199"/>
      <c r="O687" s="1198" t="s">
        <v>912</v>
      </c>
      <c r="P687" s="1199"/>
      <c r="Q687" s="1199"/>
      <c r="R687" s="1198" t="s">
        <v>913</v>
      </c>
      <c r="S687" s="1199"/>
      <c r="T687" s="1199"/>
      <c r="U687" s="1198" t="s">
        <v>916</v>
      </c>
      <c r="V687" s="1199"/>
      <c r="W687" s="1199"/>
      <c r="X687" s="1194" t="s">
        <v>908</v>
      </c>
      <c r="Y687" s="1195"/>
      <c r="Z687" s="1196"/>
      <c r="AA687" s="616"/>
    </row>
    <row r="688" spans="1:27" ht="30.75" customHeight="1" x14ac:dyDescent="0.2">
      <c r="A688" s="1200"/>
      <c r="B688" s="1200"/>
      <c r="C688" s="1200"/>
      <c r="D688" s="1200"/>
      <c r="E688" s="249"/>
      <c r="F688" s="1197"/>
      <c r="G688" s="1197"/>
      <c r="H688" s="1197"/>
      <c r="I688" s="1197"/>
      <c r="J688" s="1197"/>
      <c r="K688" s="1197"/>
      <c r="L688" s="1197"/>
      <c r="M688" s="1197"/>
      <c r="N688" s="1197"/>
      <c r="O688" s="1197"/>
      <c r="P688" s="1197"/>
      <c r="Q688" s="1197"/>
      <c r="R688" s="1197"/>
      <c r="S688" s="1197"/>
      <c r="T688" s="1197"/>
      <c r="U688" s="1197"/>
      <c r="V688" s="1197"/>
      <c r="W688" s="1197"/>
      <c r="X688" s="1162"/>
      <c r="Y688" s="1163"/>
      <c r="Z688" s="1164"/>
      <c r="AA688" s="614"/>
    </row>
    <row r="689" spans="1:27" ht="30.75" customHeight="1" thickBot="1" x14ac:dyDescent="0.25">
      <c r="A689" s="1200"/>
      <c r="B689" s="1200"/>
      <c r="C689" s="1200"/>
      <c r="D689" s="1200"/>
      <c r="E689" s="249"/>
      <c r="F689" s="1201" t="s">
        <v>914</v>
      </c>
      <c r="G689" s="1201"/>
      <c r="H689" s="1201"/>
      <c r="I689" s="1197"/>
      <c r="J689" s="1197"/>
      <c r="K689" s="1197"/>
      <c r="L689" s="1197"/>
      <c r="M689" s="1197"/>
      <c r="N689" s="1197"/>
      <c r="O689" s="1197"/>
      <c r="P689" s="1197"/>
      <c r="Q689" s="1197"/>
      <c r="R689" s="1197"/>
      <c r="S689" s="1197"/>
      <c r="T689" s="1197"/>
      <c r="U689" s="1197"/>
      <c r="V689" s="1197"/>
      <c r="W689" s="1197"/>
      <c r="X689" s="1165"/>
      <c r="Y689" s="1166"/>
      <c r="Z689" s="1167"/>
      <c r="AA689" s="614"/>
    </row>
    <row r="690" spans="1:27" ht="19.5" customHeight="1" x14ac:dyDescent="0.2">
      <c r="A690" s="578" t="s">
        <v>851</v>
      </c>
      <c r="B690" s="566"/>
      <c r="C690" s="566"/>
      <c r="D690" s="566"/>
      <c r="E690" s="566"/>
      <c r="F690" s="566"/>
      <c r="G690" s="566"/>
      <c r="H690" s="566"/>
      <c r="I690" s="566"/>
      <c r="J690" s="566"/>
      <c r="K690" s="566"/>
      <c r="M690" s="241"/>
      <c r="O690" s="578" t="s">
        <v>522</v>
      </c>
      <c r="P690" s="566"/>
      <c r="Q690" s="566"/>
      <c r="R690" s="566"/>
      <c r="S690" s="566"/>
      <c r="T690" s="566"/>
      <c r="U690" s="566"/>
      <c r="V690" s="566"/>
      <c r="W690" s="520"/>
      <c r="AA690" s="611"/>
    </row>
    <row r="691" spans="1:27" x14ac:dyDescent="0.2">
      <c r="A691" s="577" t="s">
        <v>1</v>
      </c>
      <c r="B691" s="567"/>
      <c r="C691" s="567"/>
      <c r="D691" s="567"/>
      <c r="E691" s="567"/>
      <c r="F691" s="567"/>
      <c r="G691" s="568"/>
      <c r="H691" s="1086" t="s">
        <v>520</v>
      </c>
      <c r="I691" s="1087"/>
      <c r="J691" s="1087"/>
      <c r="K691" s="1088"/>
      <c r="M691" s="577" t="s">
        <v>1</v>
      </c>
      <c r="N691" s="567"/>
      <c r="O691" s="567"/>
      <c r="P691" s="567"/>
      <c r="Q691" s="567"/>
      <c r="R691" s="567"/>
      <c r="S691" s="585" t="s">
        <v>520</v>
      </c>
      <c r="T691" s="586"/>
      <c r="U691" s="586"/>
      <c r="V691" s="587"/>
      <c r="AA691" s="611"/>
    </row>
    <row r="692" spans="1:27" ht="69" customHeight="1" x14ac:dyDescent="0.2">
      <c r="A692" s="242"/>
      <c r="B692" s="243"/>
      <c r="C692" s="243"/>
      <c r="D692" s="243"/>
      <c r="E692" s="243"/>
      <c r="F692" s="243"/>
      <c r="G692" s="244"/>
      <c r="H692" s="242"/>
      <c r="I692" s="243"/>
      <c r="J692" s="243"/>
      <c r="K692" s="244"/>
      <c r="M692" s="242"/>
      <c r="N692" s="243"/>
      <c r="O692" s="243"/>
      <c r="P692" s="243"/>
      <c r="Q692" s="243"/>
      <c r="R692" s="243"/>
      <c r="S692" s="242"/>
      <c r="T692" s="243"/>
      <c r="U692" s="243"/>
      <c r="V692" s="244"/>
      <c r="AA692" s="611"/>
    </row>
    <row r="693" spans="1:27" x14ac:dyDescent="0.2">
      <c r="AA693" s="611"/>
    </row>
    <row r="694" spans="1:27" ht="6.75" customHeight="1" x14ac:dyDescent="0.2">
      <c r="AA694" s="611"/>
    </row>
    <row r="695" spans="1:27" s="218" customFormat="1" ht="23.25" customHeight="1" x14ac:dyDescent="0.2">
      <c r="A695" s="218" t="s">
        <v>628</v>
      </c>
      <c r="B695" s="1103">
        <f>B662+1</f>
        <v>22</v>
      </c>
      <c r="C695" s="1104"/>
      <c r="D695" s="569"/>
      <c r="E695" s="218" t="str">
        <f>Championnat</f>
        <v>Championnat de France de Tir à l'ARC</v>
      </c>
      <c r="P695" s="1192"/>
      <c r="Q695" s="1192"/>
      <c r="R695" s="1192"/>
      <c r="S695" s="1192"/>
      <c r="T695" s="1193" t="str">
        <f>CATEG_IMPORTEE</f>
        <v>Collèges Mixtes Etablissement</v>
      </c>
      <c r="U695" s="1193"/>
      <c r="V695" s="1193"/>
      <c r="W695" s="1193"/>
      <c r="X695" s="1193"/>
      <c r="Y695" s="1193"/>
      <c r="Z695" s="1193"/>
      <c r="AA695" s="609"/>
    </row>
    <row r="696" spans="1:27" ht="27" customHeight="1" thickBot="1" x14ac:dyDescent="0.25">
      <c r="A696" s="1069" t="s">
        <v>0</v>
      </c>
      <c r="B696" s="1069"/>
      <c r="C696" s="1069"/>
      <c r="D696" s="1069"/>
      <c r="E696" s="1069"/>
      <c r="F696" s="1069"/>
      <c r="G696" s="1069"/>
      <c r="H696" s="1069"/>
      <c r="I696" s="1125" t="s">
        <v>374</v>
      </c>
      <c r="J696" s="1125"/>
      <c r="K696" s="1125"/>
      <c r="L696" s="1125"/>
      <c r="M696" s="1125"/>
      <c r="N696" s="1069"/>
      <c r="O696" s="595"/>
      <c r="P696" s="1192"/>
      <c r="Q696" s="1192"/>
      <c r="R696" s="1192"/>
      <c r="S696" s="1192"/>
      <c r="T696" s="1184" t="str">
        <f>LIEU&amp;" du "&amp;DATE</f>
        <v>L’Isle sur la Sorgue du 27 au 31 mars 2023</v>
      </c>
      <c r="U696" s="1184"/>
      <c r="V696" s="1184"/>
      <c r="W696" s="1184"/>
      <c r="X696" s="1184"/>
      <c r="Y696" s="1184"/>
      <c r="Z696" s="1184"/>
      <c r="AA696" s="608"/>
    </row>
    <row r="697" spans="1:27" ht="24" customHeight="1" thickBot="1" x14ac:dyDescent="0.25">
      <c r="A697" s="1185" t="e">
        <f>VLOOKUP(H701,ID_archer_cible,2,FALSE)</f>
        <v>#N/A</v>
      </c>
      <c r="B697" s="1186"/>
      <c r="C697" s="1186"/>
      <c r="D697" s="1186"/>
      <c r="E697" s="1186"/>
      <c r="F697" s="1186"/>
      <c r="G697" s="1186"/>
      <c r="H697" s="1187"/>
      <c r="I697" s="1185" t="e">
        <f>VLOOKUP(H701,ID_archer_cible,4,FALSE)</f>
        <v>#N/A</v>
      </c>
      <c r="J697" s="1186"/>
      <c r="K697" s="1186"/>
      <c r="L697" s="1186"/>
      <c r="M697" s="1186"/>
      <c r="N697" s="1187"/>
      <c r="O697" s="596"/>
      <c r="P697" s="1192"/>
      <c r="Q697" s="1192"/>
      <c r="R697" s="1192"/>
      <c r="S697" s="1192"/>
      <c r="T697" s="520"/>
      <c r="U697" s="520"/>
      <c r="V697" s="520"/>
      <c r="W697" s="520"/>
      <c r="X697" s="520"/>
      <c r="Y697" s="520"/>
      <c r="Z697" s="520"/>
      <c r="AA697" s="520"/>
    </row>
    <row r="698" spans="1:27" ht="6" customHeight="1" x14ac:dyDescent="0.2">
      <c r="I698" s="1188" t="e">
        <f>"("&amp;VLOOKUP(H701,ID_archer_cible,3,FALSE)&amp;")"</f>
        <v>#N/A</v>
      </c>
      <c r="J698" s="1188"/>
      <c r="K698" s="1188"/>
      <c r="L698" s="1188"/>
      <c r="M698" s="1188"/>
      <c r="N698" s="1188"/>
      <c r="P698" s="1192"/>
      <c r="Q698" s="1192"/>
      <c r="R698" s="1192"/>
      <c r="S698" s="1192"/>
      <c r="AA698" s="611"/>
    </row>
    <row r="699" spans="1:27" ht="17.25" customHeight="1" x14ac:dyDescent="0.2">
      <c r="E699" s="584"/>
      <c r="F699" s="584"/>
      <c r="G699" s="584"/>
      <c r="H699" s="584"/>
      <c r="I699" s="1189"/>
      <c r="J699" s="1189"/>
      <c r="K699" s="1189"/>
      <c r="L699" s="1189"/>
      <c r="M699" s="1189"/>
      <c r="N699" s="1189"/>
      <c r="P699" s="1192"/>
      <c r="Q699" s="1192"/>
      <c r="R699" s="1192"/>
      <c r="S699" s="1192"/>
      <c r="AA699" s="611"/>
    </row>
    <row r="700" spans="1:27" ht="23.25" customHeight="1" x14ac:dyDescent="0.2">
      <c r="A700" s="593" t="s">
        <v>906</v>
      </c>
      <c r="B700" s="588"/>
      <c r="C700" s="588"/>
      <c r="D700" s="588"/>
      <c r="E700" s="588"/>
      <c r="F700" s="588"/>
      <c r="G700" s="588"/>
      <c r="H700" s="594" t="s">
        <v>552</v>
      </c>
      <c r="I700" s="573" t="s">
        <v>893</v>
      </c>
      <c r="J700" s="1075" t="s">
        <v>550</v>
      </c>
      <c r="K700" s="1075"/>
      <c r="L700" s="573" t="s">
        <v>905</v>
      </c>
      <c r="M700" s="252" t="s">
        <v>551</v>
      </c>
      <c r="S700" s="573" t="s">
        <v>905</v>
      </c>
      <c r="T700" s="573" t="s">
        <v>893</v>
      </c>
      <c r="U700" s="573" t="s">
        <v>893</v>
      </c>
      <c r="V700" s="1075" t="s">
        <v>550</v>
      </c>
      <c r="W700" s="1075"/>
      <c r="X700" s="252" t="s">
        <v>551</v>
      </c>
      <c r="Y700" s="571"/>
      <c r="Z700" s="571"/>
      <c r="AA700" s="612"/>
    </row>
    <row r="701" spans="1:27" ht="23.25" customHeight="1" x14ac:dyDescent="0.2">
      <c r="A701" s="580" t="e">
        <f>VLOOKUP(H701,ID_archer_cible,5,FALSE)&amp;"    "&amp;VLOOKUP(H701,ID_archer_cible,6,FALSE)</f>
        <v>#N/A</v>
      </c>
      <c r="B701" s="581"/>
      <c r="C701" s="582"/>
      <c r="D701" s="575"/>
      <c r="E701" s="223"/>
      <c r="F701" s="223"/>
      <c r="G701" s="223"/>
      <c r="H701" s="589" t="str">
        <f>B695&amp;"A"</f>
        <v>22A</v>
      </c>
      <c r="I701" s="574" t="e">
        <f>VLOOKUP(H701,ID_archer_cible,9,FALSE)</f>
        <v>#N/A</v>
      </c>
      <c r="J701" s="1075" t="e">
        <f>VLOOKUP(H701,ID_archer_cible,8,FALSE)</f>
        <v>#N/A</v>
      </c>
      <c r="K701" s="1075"/>
      <c r="L701" s="610" t="e">
        <f>VLOOKUP(H701,ID_archer_cible,7,FALSE)</f>
        <v>#N/A</v>
      </c>
      <c r="M701" s="589" t="e">
        <f>VLOOKUP(H701,ID_archer_cible,10,FALSE)</f>
        <v>#N/A</v>
      </c>
      <c r="N701" s="597" t="e">
        <f>VLOOKUP(T701,ID_archer_cible,5,FALSE)&amp;"    "&amp;VLOOKUP(T701,ID_archer_cible,6,FALSE)</f>
        <v>#N/A</v>
      </c>
      <c r="O701" s="581"/>
      <c r="P701" s="582"/>
      <c r="Q701" s="575"/>
      <c r="R701" s="223"/>
      <c r="S701" s="579" t="e">
        <f>VLOOKUP(T701,ID_archer_cible,7,FALSE)</f>
        <v>#N/A</v>
      </c>
      <c r="T701" s="589" t="str">
        <f>B695&amp;"C"</f>
        <v>22C</v>
      </c>
      <c r="U701" s="574" t="e">
        <f>VLOOKUP(T701,ID_archer_cible,9,FALSE)</f>
        <v>#N/A</v>
      </c>
      <c r="V701" s="1172" t="e">
        <f>VLOOKUP(T701,ID_archer_cible,8,FALSE)</f>
        <v>#N/A</v>
      </c>
      <c r="W701" s="1173"/>
      <c r="X701" s="574" t="e">
        <f>VLOOKUP(T701,ID_archer_cible,10,FALSE)</f>
        <v>#N/A</v>
      </c>
      <c r="AA701" s="611"/>
    </row>
    <row r="702" spans="1:27" ht="23.25" customHeight="1" x14ac:dyDescent="0.2">
      <c r="A702" s="580" t="e">
        <f>VLOOKUP(H702,ID_archer_cible,5,FALSE)&amp;"    "&amp;VLOOKUP(H702,ID_archer_cible,6,FALSE)</f>
        <v>#N/A</v>
      </c>
      <c r="B702" s="581"/>
      <c r="C702" s="582"/>
      <c r="D702" s="575"/>
      <c r="E702" s="223"/>
      <c r="F702" s="223"/>
      <c r="G702" s="223"/>
      <c r="H702" s="589" t="str">
        <f>B695&amp;"B"</f>
        <v>22B</v>
      </c>
      <c r="I702" s="574" t="e">
        <f>VLOOKUP(H702,ID_archer_cible,9,FALSE)</f>
        <v>#N/A</v>
      </c>
      <c r="J702" s="1075" t="e">
        <f>VLOOKUP(H702,ID_archer_cible,8,FALSE)</f>
        <v>#N/A</v>
      </c>
      <c r="K702" s="1075"/>
      <c r="L702" s="610" t="e">
        <f>VLOOKUP(H702,ID_archer_cible,7,FALSE)</f>
        <v>#N/A</v>
      </c>
      <c r="M702" s="589" t="e">
        <f>VLOOKUP(H702,ID_archer_cible,10,FALSE)</f>
        <v>#N/A</v>
      </c>
      <c r="N702" s="597" t="e">
        <f>VLOOKUP(T702,ID_archer_cible,5,FALSE)&amp;"    "&amp;VLOOKUP(T702,ID_archer_cible,6,FALSE)</f>
        <v>#N/A</v>
      </c>
      <c r="O702" s="581"/>
      <c r="P702" s="582"/>
      <c r="Q702" s="575"/>
      <c r="R702" s="223"/>
      <c r="S702" s="579" t="e">
        <f>VLOOKUP(T702,ID_archer_cible,7,FALSE)</f>
        <v>#N/A</v>
      </c>
      <c r="T702" s="589" t="str">
        <f>B695&amp;"D"</f>
        <v>22D</v>
      </c>
      <c r="U702" s="574" t="e">
        <f>VLOOKUP(T702,ID_archer_cible,9,FALSE)</f>
        <v>#N/A</v>
      </c>
      <c r="V702" s="1172" t="e">
        <f>VLOOKUP(T702,ID_archer_cible,8,FALSE)</f>
        <v>#N/A</v>
      </c>
      <c r="W702" s="1173"/>
      <c r="X702" s="574" t="e">
        <f>VLOOKUP(T702,ID_archer_cible,10,FALSE)</f>
        <v>#N/A</v>
      </c>
      <c r="AA702" s="611"/>
    </row>
    <row r="703" spans="1:27" ht="15" customHeight="1" thickBot="1" x14ac:dyDescent="0.25">
      <c r="AA703" s="611"/>
    </row>
    <row r="704" spans="1:27" ht="20.25" customHeight="1" thickBot="1" x14ac:dyDescent="0.25">
      <c r="F704" s="1174" t="s">
        <v>555</v>
      </c>
      <c r="G704" s="1175"/>
      <c r="H704" s="1175"/>
      <c r="I704" s="1175"/>
      <c r="J704" s="1175"/>
      <c r="K704" s="1175"/>
      <c r="L704" s="1176"/>
      <c r="M704" s="1174" t="s">
        <v>556</v>
      </c>
      <c r="N704" s="1175"/>
      <c r="O704" s="1175"/>
      <c r="P704" s="1175"/>
      <c r="Q704" s="1175"/>
      <c r="R704" s="1175"/>
      <c r="S704" s="1176"/>
      <c r="T704" s="1174" t="s">
        <v>557</v>
      </c>
      <c r="U704" s="1175"/>
      <c r="V704" s="1175"/>
      <c r="W704" s="1175"/>
      <c r="X704" s="1175"/>
      <c r="Y704" s="1175"/>
      <c r="Z704" s="1176"/>
      <c r="AA704" s="613"/>
    </row>
    <row r="705" spans="1:27" ht="30.75" customHeight="1" x14ac:dyDescent="0.2">
      <c r="A705" s="1171" t="s">
        <v>559</v>
      </c>
      <c r="B705" s="1171"/>
      <c r="C705" s="1171"/>
      <c r="D705" s="1171"/>
      <c r="E705" s="1181"/>
      <c r="F705" s="1179" t="s">
        <v>560</v>
      </c>
      <c r="G705" s="1180"/>
      <c r="H705" s="1180"/>
      <c r="I705" s="306"/>
      <c r="J705" s="306"/>
      <c r="K705" s="307"/>
      <c r="L705" s="572" t="s">
        <v>7</v>
      </c>
      <c r="M705" s="1179" t="s">
        <v>560</v>
      </c>
      <c r="N705" s="1180"/>
      <c r="O705" s="1180"/>
      <c r="P705" s="306"/>
      <c r="Q705" s="306"/>
      <c r="R705" s="307"/>
      <c r="S705" s="572" t="s">
        <v>7</v>
      </c>
      <c r="T705" s="1179" t="s">
        <v>560</v>
      </c>
      <c r="U705" s="1180"/>
      <c r="V705" s="1180"/>
      <c r="W705" s="306"/>
      <c r="X705" s="306"/>
      <c r="Y705" s="307"/>
      <c r="Z705" s="572" t="s">
        <v>7</v>
      </c>
      <c r="AA705" s="614"/>
    </row>
    <row r="706" spans="1:27" ht="30.75" customHeight="1" x14ac:dyDescent="0.2">
      <c r="A706" s="1168" t="e">
        <f>A701</f>
        <v>#N/A</v>
      </c>
      <c r="B706" s="1169"/>
      <c r="C706" s="1169"/>
      <c r="D706" s="1169"/>
      <c r="E706" s="1170"/>
      <c r="F706" s="228"/>
      <c r="G706" s="229"/>
      <c r="H706" s="229"/>
      <c r="I706" s="229"/>
      <c r="J706" s="229"/>
      <c r="K706" s="230" t="s">
        <v>561</v>
      </c>
      <c r="L706" s="231"/>
      <c r="M706" s="228"/>
      <c r="N706" s="229"/>
      <c r="O706" s="229"/>
      <c r="P706" s="229"/>
      <c r="Q706" s="229"/>
      <c r="R706" s="230" t="s">
        <v>561</v>
      </c>
      <c r="S706" s="231"/>
      <c r="T706" s="228"/>
      <c r="U706" s="229"/>
      <c r="V706" s="229"/>
      <c r="W706" s="229"/>
      <c r="X706" s="229"/>
      <c r="Y706" s="230" t="s">
        <v>561</v>
      </c>
      <c r="Z706" s="231"/>
      <c r="AA706" s="611"/>
    </row>
    <row r="707" spans="1:27" ht="30.75" customHeight="1" x14ac:dyDescent="0.2">
      <c r="A707" s="1168" t="e">
        <f>A702</f>
        <v>#N/A</v>
      </c>
      <c r="B707" s="1169"/>
      <c r="C707" s="1169"/>
      <c r="D707" s="1169"/>
      <c r="E707" s="1170"/>
      <c r="F707" s="228"/>
      <c r="G707" s="229"/>
      <c r="H707" s="229"/>
      <c r="I707" s="229"/>
      <c r="J707" s="229"/>
      <c r="K707" s="230" t="s">
        <v>561</v>
      </c>
      <c r="L707" s="231"/>
      <c r="M707" s="228"/>
      <c r="N707" s="229"/>
      <c r="O707" s="229"/>
      <c r="P707" s="229"/>
      <c r="Q707" s="229"/>
      <c r="R707" s="230" t="s">
        <v>561</v>
      </c>
      <c r="S707" s="231"/>
      <c r="T707" s="228"/>
      <c r="U707" s="229"/>
      <c r="V707" s="229"/>
      <c r="W707" s="229"/>
      <c r="X707" s="229"/>
      <c r="Y707" s="230" t="s">
        <v>561</v>
      </c>
      <c r="Z707" s="231"/>
      <c r="AA707" s="611"/>
    </row>
    <row r="708" spans="1:27" ht="30.75" customHeight="1" x14ac:dyDescent="0.2">
      <c r="A708" s="1168" t="e">
        <f>N701</f>
        <v>#N/A</v>
      </c>
      <c r="B708" s="1169"/>
      <c r="C708" s="1169"/>
      <c r="D708" s="1169"/>
      <c r="E708" s="1170"/>
      <c r="F708" s="228"/>
      <c r="G708" s="229"/>
      <c r="H708" s="229"/>
      <c r="I708" s="229"/>
      <c r="J708" s="229"/>
      <c r="K708" s="230" t="s">
        <v>561</v>
      </c>
      <c r="L708" s="231"/>
      <c r="M708" s="228"/>
      <c r="N708" s="229"/>
      <c r="O708" s="229"/>
      <c r="P708" s="229"/>
      <c r="Q708" s="229"/>
      <c r="R708" s="230" t="s">
        <v>561</v>
      </c>
      <c r="S708" s="231"/>
      <c r="T708" s="228"/>
      <c r="U708" s="229"/>
      <c r="V708" s="229"/>
      <c r="W708" s="229"/>
      <c r="X708" s="229"/>
      <c r="Y708" s="230" t="s">
        <v>561</v>
      </c>
      <c r="Z708" s="231"/>
      <c r="AA708" s="611"/>
    </row>
    <row r="709" spans="1:27" ht="30.75" customHeight="1" thickBot="1" x14ac:dyDescent="0.25">
      <c r="A709" s="1168" t="e">
        <f>N702</f>
        <v>#N/A</v>
      </c>
      <c r="B709" s="1169"/>
      <c r="C709" s="1169"/>
      <c r="D709" s="1169"/>
      <c r="E709" s="1170"/>
      <c r="F709" s="228"/>
      <c r="G709" s="229"/>
      <c r="H709" s="229"/>
      <c r="I709" s="229"/>
      <c r="J709" s="229"/>
      <c r="K709" s="230" t="s">
        <v>561</v>
      </c>
      <c r="L709" s="232"/>
      <c r="M709" s="228"/>
      <c r="N709" s="229"/>
      <c r="O709" s="229"/>
      <c r="P709" s="229"/>
      <c r="Q709" s="229"/>
      <c r="R709" s="230" t="s">
        <v>561</v>
      </c>
      <c r="S709" s="232"/>
      <c r="T709" s="228"/>
      <c r="U709" s="229"/>
      <c r="V709" s="229"/>
      <c r="W709" s="229"/>
      <c r="X709" s="229"/>
      <c r="Y709" s="230" t="s">
        <v>561</v>
      </c>
      <c r="Z709" s="232"/>
      <c r="AA709" s="611"/>
    </row>
    <row r="710" spans="1:27" ht="30.75" customHeight="1" thickBot="1" x14ac:dyDescent="0.25">
      <c r="F710" s="1177" t="s">
        <v>562</v>
      </c>
      <c r="G710" s="1178"/>
      <c r="H710" s="1178"/>
      <c r="I710" s="235"/>
      <c r="J710" s="235"/>
      <c r="K710" s="237" t="s">
        <v>561</v>
      </c>
      <c r="L710" s="239"/>
      <c r="M710" s="1177" t="s">
        <v>563</v>
      </c>
      <c r="N710" s="1178"/>
      <c r="O710" s="1178"/>
      <c r="P710" s="235"/>
      <c r="Q710" s="235"/>
      <c r="R710" s="237" t="s">
        <v>561</v>
      </c>
      <c r="S710" s="239"/>
      <c r="T710" s="1177" t="s">
        <v>564</v>
      </c>
      <c r="U710" s="1178"/>
      <c r="V710" s="1178"/>
      <c r="W710" s="235"/>
      <c r="X710" s="235"/>
      <c r="Y710" s="237" t="s">
        <v>561</v>
      </c>
      <c r="Z710" s="239"/>
      <c r="AA710" s="615"/>
    </row>
    <row r="711" spans="1:27" ht="9" customHeight="1" thickBot="1" x14ac:dyDescent="0.25">
      <c r="H711" s="249"/>
      <c r="I711" s="249"/>
      <c r="J711" s="249"/>
      <c r="K711" s="249"/>
      <c r="L711" s="249"/>
      <c r="M711" s="249"/>
      <c r="N711" s="249"/>
      <c r="O711" s="249"/>
      <c r="P711" s="249"/>
      <c r="Q711" s="249"/>
      <c r="R711" s="230"/>
      <c r="T711" s="249"/>
      <c r="U711" s="249"/>
      <c r="V711" s="249"/>
      <c r="W711" s="249"/>
      <c r="X711" s="249"/>
      <c r="Y711" s="230"/>
      <c r="AA711" s="611"/>
    </row>
    <row r="712" spans="1:27" ht="30.75" customHeight="1" thickBot="1" x14ac:dyDescent="0.25">
      <c r="F712" s="1174" t="s">
        <v>558</v>
      </c>
      <c r="G712" s="1175"/>
      <c r="H712" s="1175"/>
      <c r="I712" s="1175"/>
      <c r="J712" s="1175"/>
      <c r="K712" s="1175"/>
      <c r="L712" s="1176"/>
      <c r="M712" s="1174" t="s">
        <v>902</v>
      </c>
      <c r="N712" s="1175"/>
      <c r="O712" s="1175"/>
      <c r="P712" s="1175"/>
      <c r="Q712" s="1175"/>
      <c r="R712" s="1175"/>
      <c r="S712" s="1176"/>
      <c r="T712" s="1174" t="s">
        <v>907</v>
      </c>
      <c r="U712" s="1175"/>
      <c r="V712" s="1175"/>
      <c r="W712" s="1175"/>
      <c r="X712" s="1175"/>
      <c r="Y712" s="1175"/>
      <c r="Z712" s="1176"/>
      <c r="AA712" s="613"/>
    </row>
    <row r="713" spans="1:27" ht="30.75" customHeight="1" x14ac:dyDescent="0.2">
      <c r="A713" s="1171" t="str">
        <f>A705</f>
        <v>NOM - PRENOM</v>
      </c>
      <c r="B713" s="1171"/>
      <c r="C713" s="1171"/>
      <c r="D713" s="1171"/>
      <c r="E713" s="1181"/>
      <c r="F713" s="1179" t="s">
        <v>560</v>
      </c>
      <c r="G713" s="1180"/>
      <c r="H713" s="1180"/>
      <c r="I713" s="306"/>
      <c r="J713" s="306"/>
      <c r="K713" s="307"/>
      <c r="L713" s="572" t="s">
        <v>7</v>
      </c>
      <c r="M713" s="1179" t="s">
        <v>560</v>
      </c>
      <c r="N713" s="1180"/>
      <c r="O713" s="1180"/>
      <c r="P713" s="306"/>
      <c r="Q713" s="306"/>
      <c r="R713" s="307"/>
      <c r="S713" s="572" t="s">
        <v>7</v>
      </c>
      <c r="T713" s="1179" t="s">
        <v>560</v>
      </c>
      <c r="U713" s="1180"/>
      <c r="V713" s="1180"/>
      <c r="W713" s="306"/>
      <c r="X713" s="306"/>
      <c r="Y713" s="307"/>
      <c r="Z713" s="572" t="s">
        <v>7</v>
      </c>
      <c r="AA713" s="614"/>
    </row>
    <row r="714" spans="1:27" ht="30.75" customHeight="1" x14ac:dyDescent="0.2">
      <c r="A714" s="605" t="e">
        <f>A706</f>
        <v>#N/A</v>
      </c>
      <c r="B714" s="606"/>
      <c r="C714" s="606"/>
      <c r="D714" s="606"/>
      <c r="E714" s="607"/>
      <c r="F714" s="228"/>
      <c r="G714" s="229"/>
      <c r="H714" s="229"/>
      <c r="I714" s="229"/>
      <c r="J714" s="229"/>
      <c r="K714" s="230" t="s">
        <v>561</v>
      </c>
      <c r="L714" s="231"/>
      <c r="M714" s="228"/>
      <c r="N714" s="229"/>
      <c r="O714" s="229"/>
      <c r="P714" s="229"/>
      <c r="Q714" s="229"/>
      <c r="R714" s="230" t="s">
        <v>561</v>
      </c>
      <c r="S714" s="231"/>
      <c r="T714" s="228"/>
      <c r="U714" s="229"/>
      <c r="V714" s="229"/>
      <c r="W714" s="229"/>
      <c r="X714" s="229"/>
      <c r="Y714" s="230" t="s">
        <v>561</v>
      </c>
      <c r="Z714" s="231"/>
      <c r="AA714" s="611"/>
    </row>
    <row r="715" spans="1:27" ht="30.75" customHeight="1" x14ac:dyDescent="0.2">
      <c r="A715" s="605" t="e">
        <f>A707</f>
        <v>#N/A</v>
      </c>
      <c r="B715" s="606"/>
      <c r="C715" s="606"/>
      <c r="D715" s="606"/>
      <c r="E715" s="607"/>
      <c r="F715" s="228"/>
      <c r="G715" s="229"/>
      <c r="H715" s="229"/>
      <c r="I715" s="229"/>
      <c r="J715" s="229"/>
      <c r="K715" s="230" t="s">
        <v>561</v>
      </c>
      <c r="L715" s="231"/>
      <c r="M715" s="228"/>
      <c r="N715" s="229"/>
      <c r="O715" s="229"/>
      <c r="P715" s="229"/>
      <c r="Q715" s="229"/>
      <c r="R715" s="230" t="s">
        <v>561</v>
      </c>
      <c r="S715" s="231"/>
      <c r="T715" s="228"/>
      <c r="U715" s="229"/>
      <c r="V715" s="229"/>
      <c r="W715" s="229"/>
      <c r="X715" s="229"/>
      <c r="Y715" s="230" t="s">
        <v>561</v>
      </c>
      <c r="Z715" s="231"/>
      <c r="AA715" s="611"/>
    </row>
    <row r="716" spans="1:27" ht="30.75" customHeight="1" x14ac:dyDescent="0.2">
      <c r="A716" s="605" t="e">
        <f>A708</f>
        <v>#N/A</v>
      </c>
      <c r="B716" s="606"/>
      <c r="C716" s="606"/>
      <c r="D716" s="606"/>
      <c r="E716" s="607"/>
      <c r="F716" s="228"/>
      <c r="G716" s="229"/>
      <c r="H716" s="229"/>
      <c r="I716" s="229"/>
      <c r="J716" s="229"/>
      <c r="K716" s="230" t="s">
        <v>561</v>
      </c>
      <c r="L716" s="231"/>
      <c r="M716" s="228"/>
      <c r="N716" s="229"/>
      <c r="O716" s="229"/>
      <c r="P716" s="229"/>
      <c r="Q716" s="229"/>
      <c r="R716" s="230" t="s">
        <v>561</v>
      </c>
      <c r="S716" s="231"/>
      <c r="T716" s="228"/>
      <c r="U716" s="229"/>
      <c r="V716" s="229"/>
      <c r="W716" s="229"/>
      <c r="X716" s="229"/>
      <c r="Y716" s="230" t="s">
        <v>561</v>
      </c>
      <c r="Z716" s="231"/>
      <c r="AA716" s="611"/>
    </row>
    <row r="717" spans="1:27" ht="30.75" customHeight="1" thickBot="1" x14ac:dyDescent="0.25">
      <c r="A717" s="605" t="e">
        <f>A709</f>
        <v>#N/A</v>
      </c>
      <c r="B717" s="606"/>
      <c r="C717" s="606"/>
      <c r="D717" s="606"/>
      <c r="E717" s="607"/>
      <c r="F717" s="228"/>
      <c r="G717" s="229"/>
      <c r="H717" s="229"/>
      <c r="I717" s="229"/>
      <c r="J717" s="229"/>
      <c r="K717" s="230" t="s">
        <v>561</v>
      </c>
      <c r="L717" s="232"/>
      <c r="M717" s="228"/>
      <c r="N717" s="229"/>
      <c r="O717" s="229"/>
      <c r="P717" s="229"/>
      <c r="Q717" s="229"/>
      <c r="R717" s="230" t="s">
        <v>561</v>
      </c>
      <c r="S717" s="232"/>
      <c r="T717" s="228"/>
      <c r="U717" s="229"/>
      <c r="V717" s="229"/>
      <c r="W717" s="229"/>
      <c r="X717" s="229"/>
      <c r="Y717" s="230" t="s">
        <v>561</v>
      </c>
      <c r="Z717" s="232"/>
      <c r="AA717" s="611"/>
    </row>
    <row r="718" spans="1:27" ht="24" customHeight="1" thickBot="1" x14ac:dyDescent="0.25">
      <c r="F718" s="1177" t="s">
        <v>565</v>
      </c>
      <c r="G718" s="1178"/>
      <c r="H718" s="1178"/>
      <c r="I718" s="235"/>
      <c r="J718" s="235"/>
      <c r="K718" s="237" t="s">
        <v>561</v>
      </c>
      <c r="L718" s="239"/>
      <c r="M718" s="1177" t="s">
        <v>903</v>
      </c>
      <c r="N718" s="1178"/>
      <c r="O718" s="1178"/>
      <c r="P718" s="235"/>
      <c r="Q718" s="235"/>
      <c r="R718" s="237" t="s">
        <v>561</v>
      </c>
      <c r="S718" s="239"/>
      <c r="T718" s="1177" t="s">
        <v>904</v>
      </c>
      <c r="U718" s="1178"/>
      <c r="V718" s="1178"/>
      <c r="W718" s="235"/>
      <c r="X718" s="235"/>
      <c r="Y718" s="237" t="s">
        <v>561</v>
      </c>
      <c r="Z718" s="239"/>
      <c r="AA718" s="611"/>
    </row>
    <row r="719" spans="1:27" ht="8.25" customHeight="1" thickBot="1" x14ac:dyDescent="0.25">
      <c r="A719" s="592"/>
      <c r="B719" s="592"/>
      <c r="C719" s="592"/>
      <c r="D719" s="592"/>
      <c r="E719" s="592"/>
      <c r="F719" s="249"/>
      <c r="G719" s="249"/>
      <c r="H719" s="249"/>
      <c r="I719" s="249"/>
      <c r="J719" s="249"/>
      <c r="K719" s="230"/>
      <c r="L719" s="249"/>
      <c r="M719" s="230"/>
      <c r="N719" s="249"/>
      <c r="O719" s="230"/>
      <c r="P719" s="249"/>
      <c r="Q719" s="230"/>
      <c r="R719" s="249"/>
      <c r="S719" s="230"/>
      <c r="T719" s="249"/>
      <c r="U719" s="230"/>
      <c r="V719" s="249"/>
      <c r="W719" s="249"/>
      <c r="X719" s="249"/>
      <c r="Y719" s="230"/>
      <c r="AA719" s="611"/>
    </row>
    <row r="720" spans="1:27" ht="16.5" customHeight="1" thickBot="1" x14ac:dyDescent="0.25">
      <c r="A720" s="1200" t="s">
        <v>915</v>
      </c>
      <c r="B720" s="1200"/>
      <c r="C720" s="1200"/>
      <c r="D720" s="1200"/>
      <c r="E720" s="249"/>
      <c r="F720" s="1198" t="s">
        <v>909</v>
      </c>
      <c r="G720" s="1199"/>
      <c r="H720" s="1199"/>
      <c r="I720" s="1198" t="s">
        <v>910</v>
      </c>
      <c r="J720" s="1199"/>
      <c r="K720" s="1199"/>
      <c r="L720" s="1198" t="s">
        <v>911</v>
      </c>
      <c r="M720" s="1199"/>
      <c r="N720" s="1199"/>
      <c r="O720" s="1198" t="s">
        <v>912</v>
      </c>
      <c r="P720" s="1199"/>
      <c r="Q720" s="1199"/>
      <c r="R720" s="1198" t="s">
        <v>913</v>
      </c>
      <c r="S720" s="1199"/>
      <c r="T720" s="1199"/>
      <c r="U720" s="1198" t="s">
        <v>916</v>
      </c>
      <c r="V720" s="1199"/>
      <c r="W720" s="1199"/>
      <c r="X720" s="1194" t="s">
        <v>908</v>
      </c>
      <c r="Y720" s="1195"/>
      <c r="Z720" s="1196"/>
      <c r="AA720" s="616"/>
    </row>
    <row r="721" spans="1:27" ht="30.75" customHeight="1" x14ac:dyDescent="0.2">
      <c r="A721" s="1200"/>
      <c r="B721" s="1200"/>
      <c r="C721" s="1200"/>
      <c r="D721" s="1200"/>
      <c r="E721" s="249"/>
      <c r="F721" s="1197"/>
      <c r="G721" s="1197"/>
      <c r="H721" s="1197"/>
      <c r="I721" s="1197"/>
      <c r="J721" s="1197"/>
      <c r="K721" s="1197"/>
      <c r="L721" s="1197"/>
      <c r="M721" s="1197"/>
      <c r="N721" s="1197"/>
      <c r="O721" s="1197"/>
      <c r="P721" s="1197"/>
      <c r="Q721" s="1197"/>
      <c r="R721" s="1197"/>
      <c r="S721" s="1197"/>
      <c r="T721" s="1197"/>
      <c r="U721" s="1197"/>
      <c r="V721" s="1197"/>
      <c r="W721" s="1197"/>
      <c r="X721" s="1162"/>
      <c r="Y721" s="1163"/>
      <c r="Z721" s="1164"/>
      <c r="AA721" s="614"/>
    </row>
    <row r="722" spans="1:27" ht="30.75" customHeight="1" thickBot="1" x14ac:dyDescent="0.25">
      <c r="A722" s="1200"/>
      <c r="B722" s="1200"/>
      <c r="C722" s="1200"/>
      <c r="D722" s="1200"/>
      <c r="E722" s="249"/>
      <c r="F722" s="1201" t="s">
        <v>914</v>
      </c>
      <c r="G722" s="1201"/>
      <c r="H722" s="1201"/>
      <c r="I722" s="1197"/>
      <c r="J722" s="1197"/>
      <c r="K722" s="1197"/>
      <c r="L722" s="1197"/>
      <c r="M722" s="1197"/>
      <c r="N722" s="1197"/>
      <c r="O722" s="1197"/>
      <c r="P722" s="1197"/>
      <c r="Q722" s="1197"/>
      <c r="R722" s="1197"/>
      <c r="S722" s="1197"/>
      <c r="T722" s="1197"/>
      <c r="U722" s="1197"/>
      <c r="V722" s="1197"/>
      <c r="W722" s="1197"/>
      <c r="X722" s="1165"/>
      <c r="Y722" s="1166"/>
      <c r="Z722" s="1167"/>
      <c r="AA722" s="614"/>
    </row>
    <row r="723" spans="1:27" ht="19.5" customHeight="1" x14ac:dyDescent="0.2">
      <c r="A723" s="578" t="s">
        <v>851</v>
      </c>
      <c r="B723" s="566"/>
      <c r="C723" s="566"/>
      <c r="D723" s="566"/>
      <c r="E723" s="566"/>
      <c r="F723" s="566"/>
      <c r="G723" s="566"/>
      <c r="H723" s="566"/>
      <c r="I723" s="566"/>
      <c r="J723" s="566"/>
      <c r="K723" s="566"/>
      <c r="M723" s="241"/>
      <c r="O723" s="578" t="s">
        <v>522</v>
      </c>
      <c r="P723" s="566"/>
      <c r="Q723" s="566"/>
      <c r="R723" s="566"/>
      <c r="S723" s="566"/>
      <c r="T723" s="566"/>
      <c r="U723" s="566"/>
      <c r="V723" s="566"/>
      <c r="W723" s="520"/>
      <c r="AA723" s="611"/>
    </row>
    <row r="724" spans="1:27" x14ac:dyDescent="0.2">
      <c r="A724" s="577" t="s">
        <v>1</v>
      </c>
      <c r="B724" s="567"/>
      <c r="C724" s="567"/>
      <c r="D724" s="567"/>
      <c r="E724" s="567"/>
      <c r="F724" s="567"/>
      <c r="G724" s="568"/>
      <c r="H724" s="1086" t="s">
        <v>520</v>
      </c>
      <c r="I724" s="1087"/>
      <c r="J724" s="1087"/>
      <c r="K724" s="1088"/>
      <c r="M724" s="577" t="s">
        <v>1</v>
      </c>
      <c r="N724" s="567"/>
      <c r="O724" s="567"/>
      <c r="P724" s="567"/>
      <c r="Q724" s="567"/>
      <c r="R724" s="567"/>
      <c r="S724" s="585" t="s">
        <v>520</v>
      </c>
      <c r="T724" s="586"/>
      <c r="U724" s="586"/>
      <c r="V724" s="587"/>
      <c r="AA724" s="611"/>
    </row>
    <row r="725" spans="1:27" ht="69" customHeight="1" x14ac:dyDescent="0.2">
      <c r="A725" s="242"/>
      <c r="B725" s="243"/>
      <c r="C725" s="243"/>
      <c r="D725" s="243"/>
      <c r="E725" s="243"/>
      <c r="F725" s="243"/>
      <c r="G725" s="244"/>
      <c r="H725" s="242"/>
      <c r="I725" s="243"/>
      <c r="J725" s="243"/>
      <c r="K725" s="244"/>
      <c r="M725" s="242"/>
      <c r="N725" s="243"/>
      <c r="O725" s="243"/>
      <c r="P725" s="243"/>
      <c r="Q725" s="243"/>
      <c r="R725" s="243"/>
      <c r="S725" s="242"/>
      <c r="T725" s="243"/>
      <c r="U725" s="243"/>
      <c r="V725" s="244"/>
      <c r="AA725" s="611"/>
    </row>
    <row r="726" spans="1:27" x14ac:dyDescent="0.2">
      <c r="AA726" s="611"/>
    </row>
    <row r="727" spans="1:27" ht="6.75" customHeight="1" x14ac:dyDescent="0.2">
      <c r="AA727" s="611"/>
    </row>
    <row r="728" spans="1:27" s="218" customFormat="1" ht="23.25" customHeight="1" x14ac:dyDescent="0.2">
      <c r="A728" s="218" t="s">
        <v>628</v>
      </c>
      <c r="B728" s="1103">
        <f>B695+1</f>
        <v>23</v>
      </c>
      <c r="C728" s="1104"/>
      <c r="D728" s="569"/>
      <c r="E728" s="218" t="str">
        <f>Championnat</f>
        <v>Championnat de France de Tir à l'ARC</v>
      </c>
      <c r="P728" s="1192"/>
      <c r="Q728" s="1192"/>
      <c r="R728" s="1192"/>
      <c r="S728" s="1192"/>
      <c r="T728" s="1193" t="str">
        <f>CATEG_IMPORTEE</f>
        <v>Collèges Mixtes Etablissement</v>
      </c>
      <c r="U728" s="1193"/>
      <c r="V728" s="1193"/>
      <c r="W728" s="1193"/>
      <c r="X728" s="1193"/>
      <c r="Y728" s="1193"/>
      <c r="Z728" s="1193"/>
      <c r="AA728" s="609"/>
    </row>
    <row r="729" spans="1:27" ht="27" customHeight="1" thickBot="1" x14ac:dyDescent="0.25">
      <c r="A729" s="1069" t="s">
        <v>0</v>
      </c>
      <c r="B729" s="1069"/>
      <c r="C729" s="1069"/>
      <c r="D729" s="1069"/>
      <c r="E729" s="1069"/>
      <c r="F729" s="1069"/>
      <c r="G729" s="1069"/>
      <c r="H729" s="1069"/>
      <c r="I729" s="1125" t="s">
        <v>374</v>
      </c>
      <c r="J729" s="1125"/>
      <c r="K729" s="1125"/>
      <c r="L729" s="1125"/>
      <c r="M729" s="1125"/>
      <c r="N729" s="1069"/>
      <c r="O729" s="595"/>
      <c r="P729" s="1192"/>
      <c r="Q729" s="1192"/>
      <c r="R729" s="1192"/>
      <c r="S729" s="1192"/>
      <c r="T729" s="1184" t="str">
        <f>LIEU&amp;" du "&amp;DATE</f>
        <v>L’Isle sur la Sorgue du 27 au 31 mars 2023</v>
      </c>
      <c r="U729" s="1184"/>
      <c r="V729" s="1184"/>
      <c r="W729" s="1184"/>
      <c r="X729" s="1184"/>
      <c r="Y729" s="1184"/>
      <c r="Z729" s="1184"/>
      <c r="AA729" s="608"/>
    </row>
    <row r="730" spans="1:27" ht="24" customHeight="1" thickBot="1" x14ac:dyDescent="0.25">
      <c r="A730" s="1185" t="e">
        <f>VLOOKUP(H734,ID_archer_cible,2,FALSE)</f>
        <v>#N/A</v>
      </c>
      <c r="B730" s="1186"/>
      <c r="C730" s="1186"/>
      <c r="D730" s="1186"/>
      <c r="E730" s="1186"/>
      <c r="F730" s="1186"/>
      <c r="G730" s="1186"/>
      <c r="H730" s="1187"/>
      <c r="I730" s="1185" t="e">
        <f>VLOOKUP(H734,ID_archer_cible,4,FALSE)</f>
        <v>#N/A</v>
      </c>
      <c r="J730" s="1186"/>
      <c r="K730" s="1186"/>
      <c r="L730" s="1186"/>
      <c r="M730" s="1186"/>
      <c r="N730" s="1187"/>
      <c r="O730" s="596"/>
      <c r="P730" s="1192"/>
      <c r="Q730" s="1192"/>
      <c r="R730" s="1192"/>
      <c r="S730" s="1192"/>
      <c r="T730" s="520"/>
      <c r="U730" s="520"/>
      <c r="V730" s="520"/>
      <c r="W730" s="520"/>
      <c r="X730" s="520"/>
      <c r="Y730" s="520"/>
      <c r="Z730" s="520"/>
      <c r="AA730" s="520"/>
    </row>
    <row r="731" spans="1:27" ht="6" customHeight="1" x14ac:dyDescent="0.2">
      <c r="I731" s="1188" t="e">
        <f>"("&amp;VLOOKUP(H734,ID_archer_cible,3,FALSE)&amp;")"</f>
        <v>#N/A</v>
      </c>
      <c r="J731" s="1188"/>
      <c r="K731" s="1188"/>
      <c r="L731" s="1188"/>
      <c r="M731" s="1188"/>
      <c r="N731" s="1188"/>
      <c r="P731" s="1192"/>
      <c r="Q731" s="1192"/>
      <c r="R731" s="1192"/>
      <c r="S731" s="1192"/>
      <c r="AA731" s="611"/>
    </row>
    <row r="732" spans="1:27" ht="17.25" customHeight="1" x14ac:dyDescent="0.2">
      <c r="E732" s="584"/>
      <c r="F732" s="584"/>
      <c r="G732" s="584"/>
      <c r="H732" s="584"/>
      <c r="I732" s="1189"/>
      <c r="J732" s="1189"/>
      <c r="K732" s="1189"/>
      <c r="L732" s="1189"/>
      <c r="M732" s="1189"/>
      <c r="N732" s="1189"/>
      <c r="P732" s="1192"/>
      <c r="Q732" s="1192"/>
      <c r="R732" s="1192"/>
      <c r="S732" s="1192"/>
      <c r="AA732" s="611"/>
    </row>
    <row r="733" spans="1:27" ht="23.25" customHeight="1" x14ac:dyDescent="0.2">
      <c r="A733" s="593" t="s">
        <v>906</v>
      </c>
      <c r="B733" s="588"/>
      <c r="C733" s="588"/>
      <c r="D733" s="588"/>
      <c r="E733" s="588"/>
      <c r="F733" s="588"/>
      <c r="G733" s="588"/>
      <c r="H733" s="594" t="s">
        <v>552</v>
      </c>
      <c r="I733" s="573" t="s">
        <v>893</v>
      </c>
      <c r="J733" s="1075" t="s">
        <v>550</v>
      </c>
      <c r="K733" s="1075"/>
      <c r="L733" s="573" t="s">
        <v>905</v>
      </c>
      <c r="M733" s="252" t="s">
        <v>551</v>
      </c>
      <c r="S733" s="573" t="s">
        <v>905</v>
      </c>
      <c r="T733" s="573" t="s">
        <v>893</v>
      </c>
      <c r="U733" s="573" t="s">
        <v>893</v>
      </c>
      <c r="V733" s="1075" t="s">
        <v>550</v>
      </c>
      <c r="W733" s="1075"/>
      <c r="X733" s="252" t="s">
        <v>551</v>
      </c>
      <c r="Y733" s="571"/>
      <c r="Z733" s="571"/>
      <c r="AA733" s="612"/>
    </row>
    <row r="734" spans="1:27" ht="23.25" customHeight="1" x14ac:dyDescent="0.2">
      <c r="A734" s="580" t="e">
        <f>VLOOKUP(H734,ID_archer_cible,5,FALSE)&amp;"    "&amp;VLOOKUP(H734,ID_archer_cible,6,FALSE)</f>
        <v>#N/A</v>
      </c>
      <c r="B734" s="581"/>
      <c r="C734" s="582"/>
      <c r="D734" s="575"/>
      <c r="E734" s="223"/>
      <c r="F734" s="223"/>
      <c r="G734" s="223"/>
      <c r="H734" s="589" t="str">
        <f>B728&amp;"A"</f>
        <v>23A</v>
      </c>
      <c r="I734" s="574" t="e">
        <f>VLOOKUP(H734,ID_archer_cible,9,FALSE)</f>
        <v>#N/A</v>
      </c>
      <c r="J734" s="1075" t="e">
        <f>VLOOKUP(H734,ID_archer_cible,8,FALSE)</f>
        <v>#N/A</v>
      </c>
      <c r="K734" s="1075"/>
      <c r="L734" s="610" t="e">
        <f>VLOOKUP(H734,ID_archer_cible,7,FALSE)</f>
        <v>#N/A</v>
      </c>
      <c r="M734" s="589" t="e">
        <f>VLOOKUP(H734,ID_archer_cible,10,FALSE)</f>
        <v>#N/A</v>
      </c>
      <c r="N734" s="597" t="e">
        <f>VLOOKUP(T734,ID_archer_cible,5,FALSE)&amp;"    "&amp;VLOOKUP(T734,ID_archer_cible,6,FALSE)</f>
        <v>#N/A</v>
      </c>
      <c r="O734" s="581"/>
      <c r="P734" s="582"/>
      <c r="Q734" s="575"/>
      <c r="R734" s="223"/>
      <c r="S734" s="579" t="e">
        <f>VLOOKUP(T734,ID_archer_cible,7,FALSE)</f>
        <v>#N/A</v>
      </c>
      <c r="T734" s="589" t="str">
        <f>B728&amp;"C"</f>
        <v>23C</v>
      </c>
      <c r="U734" s="574" t="e">
        <f>VLOOKUP(T734,ID_archer_cible,9,FALSE)</f>
        <v>#N/A</v>
      </c>
      <c r="V734" s="1172" t="e">
        <f>VLOOKUP(T734,ID_archer_cible,8,FALSE)</f>
        <v>#N/A</v>
      </c>
      <c r="W734" s="1173"/>
      <c r="X734" s="574" t="e">
        <f>VLOOKUP(T734,ID_archer_cible,10,FALSE)</f>
        <v>#N/A</v>
      </c>
      <c r="AA734" s="611"/>
    </row>
    <row r="735" spans="1:27" ht="23.25" customHeight="1" x14ac:dyDescent="0.2">
      <c r="A735" s="580" t="e">
        <f>VLOOKUP(H735,ID_archer_cible,5,FALSE)&amp;"    "&amp;VLOOKUP(H735,ID_archer_cible,6,FALSE)</f>
        <v>#N/A</v>
      </c>
      <c r="B735" s="581"/>
      <c r="C735" s="582"/>
      <c r="D735" s="575"/>
      <c r="E735" s="223"/>
      <c r="F735" s="223"/>
      <c r="G735" s="223"/>
      <c r="H735" s="589" t="str">
        <f>B728&amp;"B"</f>
        <v>23B</v>
      </c>
      <c r="I735" s="574" t="e">
        <f>VLOOKUP(H735,ID_archer_cible,9,FALSE)</f>
        <v>#N/A</v>
      </c>
      <c r="J735" s="1075" t="e">
        <f>VLOOKUP(H735,ID_archer_cible,8,FALSE)</f>
        <v>#N/A</v>
      </c>
      <c r="K735" s="1075"/>
      <c r="L735" s="610" t="e">
        <f>VLOOKUP(H735,ID_archer_cible,7,FALSE)</f>
        <v>#N/A</v>
      </c>
      <c r="M735" s="589" t="e">
        <f>VLOOKUP(H735,ID_archer_cible,10,FALSE)</f>
        <v>#N/A</v>
      </c>
      <c r="N735" s="597" t="e">
        <f>VLOOKUP(T735,ID_archer_cible,5,FALSE)&amp;"    "&amp;VLOOKUP(T735,ID_archer_cible,6,FALSE)</f>
        <v>#N/A</v>
      </c>
      <c r="O735" s="581"/>
      <c r="P735" s="582"/>
      <c r="Q735" s="575"/>
      <c r="R735" s="223"/>
      <c r="S735" s="579" t="e">
        <f>VLOOKUP(T735,ID_archer_cible,7,FALSE)</f>
        <v>#N/A</v>
      </c>
      <c r="T735" s="589" t="str">
        <f>B728&amp;"D"</f>
        <v>23D</v>
      </c>
      <c r="U735" s="574" t="e">
        <f>VLOOKUP(T735,ID_archer_cible,9,FALSE)</f>
        <v>#N/A</v>
      </c>
      <c r="V735" s="1172" t="e">
        <f>VLOOKUP(T735,ID_archer_cible,8,FALSE)</f>
        <v>#N/A</v>
      </c>
      <c r="W735" s="1173"/>
      <c r="X735" s="574" t="e">
        <f>VLOOKUP(T735,ID_archer_cible,10,FALSE)</f>
        <v>#N/A</v>
      </c>
      <c r="AA735" s="611"/>
    </row>
    <row r="736" spans="1:27" ht="15" customHeight="1" thickBot="1" x14ac:dyDescent="0.25">
      <c r="AA736" s="611"/>
    </row>
    <row r="737" spans="1:27" ht="20.25" customHeight="1" thickBot="1" x14ac:dyDescent="0.25">
      <c r="F737" s="1174" t="s">
        <v>555</v>
      </c>
      <c r="G737" s="1175"/>
      <c r="H737" s="1175"/>
      <c r="I737" s="1175"/>
      <c r="J737" s="1175"/>
      <c r="K737" s="1175"/>
      <c r="L737" s="1176"/>
      <c r="M737" s="1174" t="s">
        <v>556</v>
      </c>
      <c r="N737" s="1175"/>
      <c r="O737" s="1175"/>
      <c r="P737" s="1175"/>
      <c r="Q737" s="1175"/>
      <c r="R737" s="1175"/>
      <c r="S737" s="1176"/>
      <c r="T737" s="1174" t="s">
        <v>557</v>
      </c>
      <c r="U737" s="1175"/>
      <c r="V737" s="1175"/>
      <c r="W737" s="1175"/>
      <c r="X737" s="1175"/>
      <c r="Y737" s="1175"/>
      <c r="Z737" s="1176"/>
      <c r="AA737" s="613"/>
    </row>
    <row r="738" spans="1:27" ht="30.75" customHeight="1" x14ac:dyDescent="0.2">
      <c r="A738" s="1171" t="s">
        <v>559</v>
      </c>
      <c r="B738" s="1171"/>
      <c r="C738" s="1171"/>
      <c r="D738" s="1171"/>
      <c r="E738" s="1181"/>
      <c r="F738" s="1179" t="s">
        <v>560</v>
      </c>
      <c r="G738" s="1180"/>
      <c r="H738" s="1180"/>
      <c r="I738" s="306"/>
      <c r="J738" s="306"/>
      <c r="K738" s="307"/>
      <c r="L738" s="572" t="s">
        <v>7</v>
      </c>
      <c r="M738" s="1179" t="s">
        <v>560</v>
      </c>
      <c r="N738" s="1180"/>
      <c r="O738" s="1180"/>
      <c r="P738" s="306"/>
      <c r="Q738" s="306"/>
      <c r="R738" s="307"/>
      <c r="S738" s="572" t="s">
        <v>7</v>
      </c>
      <c r="T738" s="1179" t="s">
        <v>560</v>
      </c>
      <c r="U738" s="1180"/>
      <c r="V738" s="1180"/>
      <c r="W738" s="306"/>
      <c r="X738" s="306"/>
      <c r="Y738" s="307"/>
      <c r="Z738" s="572" t="s">
        <v>7</v>
      </c>
      <c r="AA738" s="614"/>
    </row>
    <row r="739" spans="1:27" ht="30.75" customHeight="1" x14ac:dyDescent="0.2">
      <c r="A739" s="1168" t="e">
        <f>A734</f>
        <v>#N/A</v>
      </c>
      <c r="B739" s="1169"/>
      <c r="C739" s="1169"/>
      <c r="D739" s="1169"/>
      <c r="E739" s="1170"/>
      <c r="F739" s="228"/>
      <c r="G739" s="229"/>
      <c r="H739" s="229"/>
      <c r="I739" s="229"/>
      <c r="J739" s="229"/>
      <c r="K739" s="230" t="s">
        <v>561</v>
      </c>
      <c r="L739" s="231"/>
      <c r="M739" s="228"/>
      <c r="N739" s="229"/>
      <c r="O739" s="229"/>
      <c r="P739" s="229"/>
      <c r="Q739" s="229"/>
      <c r="R739" s="230" t="s">
        <v>561</v>
      </c>
      <c r="S739" s="231"/>
      <c r="T739" s="228"/>
      <c r="U739" s="229"/>
      <c r="V739" s="229"/>
      <c r="W739" s="229"/>
      <c r="X739" s="229"/>
      <c r="Y739" s="230" t="s">
        <v>561</v>
      </c>
      <c r="Z739" s="231"/>
      <c r="AA739" s="611"/>
    </row>
    <row r="740" spans="1:27" ht="30.75" customHeight="1" x14ac:dyDescent="0.2">
      <c r="A740" s="1168" t="e">
        <f>A735</f>
        <v>#N/A</v>
      </c>
      <c r="B740" s="1169"/>
      <c r="C740" s="1169"/>
      <c r="D740" s="1169"/>
      <c r="E740" s="1170"/>
      <c r="F740" s="228"/>
      <c r="G740" s="229"/>
      <c r="H740" s="229"/>
      <c r="I740" s="229"/>
      <c r="J740" s="229"/>
      <c r="K740" s="230" t="s">
        <v>561</v>
      </c>
      <c r="L740" s="231"/>
      <c r="M740" s="228"/>
      <c r="N740" s="229"/>
      <c r="O740" s="229"/>
      <c r="P740" s="229"/>
      <c r="Q740" s="229"/>
      <c r="R740" s="230" t="s">
        <v>561</v>
      </c>
      <c r="S740" s="231"/>
      <c r="T740" s="228"/>
      <c r="U740" s="229"/>
      <c r="V740" s="229"/>
      <c r="W740" s="229"/>
      <c r="X740" s="229"/>
      <c r="Y740" s="230" t="s">
        <v>561</v>
      </c>
      <c r="Z740" s="231"/>
      <c r="AA740" s="611"/>
    </row>
    <row r="741" spans="1:27" ht="30.75" customHeight="1" x14ac:dyDescent="0.2">
      <c r="A741" s="1168" t="e">
        <f>N734</f>
        <v>#N/A</v>
      </c>
      <c r="B741" s="1169"/>
      <c r="C741" s="1169"/>
      <c r="D741" s="1169"/>
      <c r="E741" s="1170"/>
      <c r="F741" s="228"/>
      <c r="G741" s="229"/>
      <c r="H741" s="229"/>
      <c r="I741" s="229"/>
      <c r="J741" s="229"/>
      <c r="K741" s="230" t="s">
        <v>561</v>
      </c>
      <c r="L741" s="231"/>
      <c r="M741" s="228"/>
      <c r="N741" s="229"/>
      <c r="O741" s="229"/>
      <c r="P741" s="229"/>
      <c r="Q741" s="229"/>
      <c r="R741" s="230" t="s">
        <v>561</v>
      </c>
      <c r="S741" s="231"/>
      <c r="T741" s="228"/>
      <c r="U741" s="229"/>
      <c r="V741" s="229"/>
      <c r="W741" s="229"/>
      <c r="X741" s="229"/>
      <c r="Y741" s="230" t="s">
        <v>561</v>
      </c>
      <c r="Z741" s="231"/>
      <c r="AA741" s="611"/>
    </row>
    <row r="742" spans="1:27" ht="30.75" customHeight="1" thickBot="1" x14ac:dyDescent="0.25">
      <c r="A742" s="1168" t="e">
        <f>N735</f>
        <v>#N/A</v>
      </c>
      <c r="B742" s="1169"/>
      <c r="C742" s="1169"/>
      <c r="D742" s="1169"/>
      <c r="E742" s="1170"/>
      <c r="F742" s="228"/>
      <c r="G742" s="229"/>
      <c r="H742" s="229"/>
      <c r="I742" s="229"/>
      <c r="J742" s="229"/>
      <c r="K742" s="230" t="s">
        <v>561</v>
      </c>
      <c r="L742" s="232"/>
      <c r="M742" s="228"/>
      <c r="N742" s="229"/>
      <c r="O742" s="229"/>
      <c r="P742" s="229"/>
      <c r="Q742" s="229"/>
      <c r="R742" s="230" t="s">
        <v>561</v>
      </c>
      <c r="S742" s="232"/>
      <c r="T742" s="228"/>
      <c r="U742" s="229"/>
      <c r="V742" s="229"/>
      <c r="W742" s="229"/>
      <c r="X742" s="229"/>
      <c r="Y742" s="230" t="s">
        <v>561</v>
      </c>
      <c r="Z742" s="232"/>
      <c r="AA742" s="611"/>
    </row>
    <row r="743" spans="1:27" ht="30.75" customHeight="1" thickBot="1" x14ac:dyDescent="0.25">
      <c r="F743" s="1177" t="s">
        <v>562</v>
      </c>
      <c r="G743" s="1178"/>
      <c r="H743" s="1178"/>
      <c r="I743" s="235"/>
      <c r="J743" s="235"/>
      <c r="K743" s="237" t="s">
        <v>561</v>
      </c>
      <c r="L743" s="239"/>
      <c r="M743" s="1177" t="s">
        <v>563</v>
      </c>
      <c r="N743" s="1178"/>
      <c r="O743" s="1178"/>
      <c r="P743" s="235"/>
      <c r="Q743" s="235"/>
      <c r="R743" s="237" t="s">
        <v>561</v>
      </c>
      <c r="S743" s="239"/>
      <c r="T743" s="1177" t="s">
        <v>564</v>
      </c>
      <c r="U743" s="1178"/>
      <c r="V743" s="1178"/>
      <c r="W743" s="235"/>
      <c r="X743" s="235"/>
      <c r="Y743" s="237" t="s">
        <v>561</v>
      </c>
      <c r="Z743" s="239"/>
      <c r="AA743" s="615"/>
    </row>
    <row r="744" spans="1:27" ht="9" customHeight="1" thickBot="1" x14ac:dyDescent="0.25">
      <c r="H744" s="249"/>
      <c r="I744" s="249"/>
      <c r="J744" s="249"/>
      <c r="K744" s="249"/>
      <c r="L744" s="249"/>
      <c r="M744" s="249"/>
      <c r="N744" s="249"/>
      <c r="O744" s="249"/>
      <c r="P744" s="249"/>
      <c r="Q744" s="249"/>
      <c r="R744" s="230"/>
      <c r="T744" s="249"/>
      <c r="U744" s="249"/>
      <c r="V744" s="249"/>
      <c r="W744" s="249"/>
      <c r="X744" s="249"/>
      <c r="Y744" s="230"/>
      <c r="AA744" s="611"/>
    </row>
    <row r="745" spans="1:27" ht="30.75" customHeight="1" thickBot="1" x14ac:dyDescent="0.25">
      <c r="F745" s="1174" t="s">
        <v>558</v>
      </c>
      <c r="G745" s="1175"/>
      <c r="H745" s="1175"/>
      <c r="I745" s="1175"/>
      <c r="J745" s="1175"/>
      <c r="K745" s="1175"/>
      <c r="L745" s="1176"/>
      <c r="M745" s="1174" t="s">
        <v>902</v>
      </c>
      <c r="N745" s="1175"/>
      <c r="O745" s="1175"/>
      <c r="P745" s="1175"/>
      <c r="Q745" s="1175"/>
      <c r="R745" s="1175"/>
      <c r="S745" s="1176"/>
      <c r="T745" s="1174" t="s">
        <v>907</v>
      </c>
      <c r="U745" s="1175"/>
      <c r="V745" s="1175"/>
      <c r="W745" s="1175"/>
      <c r="X745" s="1175"/>
      <c r="Y745" s="1175"/>
      <c r="Z745" s="1176"/>
      <c r="AA745" s="613"/>
    </row>
    <row r="746" spans="1:27" ht="30.75" customHeight="1" x14ac:dyDescent="0.2">
      <c r="A746" s="1171" t="str">
        <f>A738</f>
        <v>NOM - PRENOM</v>
      </c>
      <c r="B746" s="1171"/>
      <c r="C746" s="1171"/>
      <c r="D746" s="1171"/>
      <c r="E746" s="1181"/>
      <c r="F746" s="1179" t="s">
        <v>560</v>
      </c>
      <c r="G746" s="1180"/>
      <c r="H746" s="1180"/>
      <c r="I746" s="306"/>
      <c r="J746" s="306"/>
      <c r="K746" s="307"/>
      <c r="L746" s="572" t="s">
        <v>7</v>
      </c>
      <c r="M746" s="1179" t="s">
        <v>560</v>
      </c>
      <c r="N746" s="1180"/>
      <c r="O746" s="1180"/>
      <c r="P746" s="306"/>
      <c r="Q746" s="306"/>
      <c r="R746" s="307"/>
      <c r="S746" s="572" t="s">
        <v>7</v>
      </c>
      <c r="T746" s="1179" t="s">
        <v>560</v>
      </c>
      <c r="U746" s="1180"/>
      <c r="V746" s="1180"/>
      <c r="W746" s="306"/>
      <c r="X746" s="306"/>
      <c r="Y746" s="307"/>
      <c r="Z746" s="572" t="s">
        <v>7</v>
      </c>
      <c r="AA746" s="614"/>
    </row>
    <row r="747" spans="1:27" ht="30.75" customHeight="1" x14ac:dyDescent="0.2">
      <c r="A747" s="605" t="e">
        <f>A739</f>
        <v>#N/A</v>
      </c>
      <c r="B747" s="606"/>
      <c r="C747" s="606"/>
      <c r="D747" s="606"/>
      <c r="E747" s="607"/>
      <c r="F747" s="228"/>
      <c r="G747" s="229"/>
      <c r="H747" s="229"/>
      <c r="I747" s="229"/>
      <c r="J747" s="229"/>
      <c r="K747" s="230" t="s">
        <v>561</v>
      </c>
      <c r="L747" s="231"/>
      <c r="M747" s="228"/>
      <c r="N747" s="229"/>
      <c r="O747" s="229"/>
      <c r="P747" s="229"/>
      <c r="Q747" s="229"/>
      <c r="R747" s="230" t="s">
        <v>561</v>
      </c>
      <c r="S747" s="231"/>
      <c r="T747" s="228"/>
      <c r="U747" s="229"/>
      <c r="V747" s="229"/>
      <c r="W747" s="229"/>
      <c r="X747" s="229"/>
      <c r="Y747" s="230" t="s">
        <v>561</v>
      </c>
      <c r="Z747" s="231"/>
      <c r="AA747" s="611"/>
    </row>
    <row r="748" spans="1:27" ht="30.75" customHeight="1" x14ac:dyDescent="0.2">
      <c r="A748" s="605" t="e">
        <f>A740</f>
        <v>#N/A</v>
      </c>
      <c r="B748" s="606"/>
      <c r="C748" s="606"/>
      <c r="D748" s="606"/>
      <c r="E748" s="607"/>
      <c r="F748" s="228"/>
      <c r="G748" s="229"/>
      <c r="H748" s="229"/>
      <c r="I748" s="229"/>
      <c r="J748" s="229"/>
      <c r="K748" s="230" t="s">
        <v>561</v>
      </c>
      <c r="L748" s="231"/>
      <c r="M748" s="228"/>
      <c r="N748" s="229"/>
      <c r="O748" s="229"/>
      <c r="P748" s="229"/>
      <c r="Q748" s="229"/>
      <c r="R748" s="230" t="s">
        <v>561</v>
      </c>
      <c r="S748" s="231"/>
      <c r="T748" s="228"/>
      <c r="U748" s="229"/>
      <c r="V748" s="229"/>
      <c r="W748" s="229"/>
      <c r="X748" s="229"/>
      <c r="Y748" s="230" t="s">
        <v>561</v>
      </c>
      <c r="Z748" s="231"/>
      <c r="AA748" s="611"/>
    </row>
    <row r="749" spans="1:27" ht="30.75" customHeight="1" x14ac:dyDescent="0.2">
      <c r="A749" s="605" t="e">
        <f>A741</f>
        <v>#N/A</v>
      </c>
      <c r="B749" s="606"/>
      <c r="C749" s="606"/>
      <c r="D749" s="606"/>
      <c r="E749" s="607"/>
      <c r="F749" s="228"/>
      <c r="G749" s="229"/>
      <c r="H749" s="229"/>
      <c r="I749" s="229"/>
      <c r="J749" s="229"/>
      <c r="K749" s="230" t="s">
        <v>561</v>
      </c>
      <c r="L749" s="231"/>
      <c r="M749" s="228"/>
      <c r="N749" s="229"/>
      <c r="O749" s="229"/>
      <c r="P749" s="229"/>
      <c r="Q749" s="229"/>
      <c r="R749" s="230" t="s">
        <v>561</v>
      </c>
      <c r="S749" s="231"/>
      <c r="T749" s="228"/>
      <c r="U749" s="229"/>
      <c r="V749" s="229"/>
      <c r="W749" s="229"/>
      <c r="X749" s="229"/>
      <c r="Y749" s="230" t="s">
        <v>561</v>
      </c>
      <c r="Z749" s="231"/>
      <c r="AA749" s="611"/>
    </row>
    <row r="750" spans="1:27" ht="30.75" customHeight="1" thickBot="1" x14ac:dyDescent="0.25">
      <c r="A750" s="605" t="e">
        <f>A742</f>
        <v>#N/A</v>
      </c>
      <c r="B750" s="606"/>
      <c r="C750" s="606"/>
      <c r="D750" s="606"/>
      <c r="E750" s="607"/>
      <c r="F750" s="228"/>
      <c r="G750" s="229"/>
      <c r="H750" s="229"/>
      <c r="I750" s="229"/>
      <c r="J750" s="229"/>
      <c r="K750" s="230" t="s">
        <v>561</v>
      </c>
      <c r="L750" s="232"/>
      <c r="M750" s="228"/>
      <c r="N750" s="229"/>
      <c r="O750" s="229"/>
      <c r="P750" s="229"/>
      <c r="Q750" s="229"/>
      <c r="R750" s="230" t="s">
        <v>561</v>
      </c>
      <c r="S750" s="232"/>
      <c r="T750" s="228"/>
      <c r="U750" s="229"/>
      <c r="V750" s="229"/>
      <c r="W750" s="229"/>
      <c r="X750" s="229"/>
      <c r="Y750" s="230" t="s">
        <v>561</v>
      </c>
      <c r="Z750" s="232"/>
      <c r="AA750" s="611"/>
    </row>
    <row r="751" spans="1:27" ht="24" customHeight="1" thickBot="1" x14ac:dyDescent="0.25">
      <c r="F751" s="1177" t="s">
        <v>565</v>
      </c>
      <c r="G751" s="1178"/>
      <c r="H751" s="1178"/>
      <c r="I751" s="235"/>
      <c r="J751" s="235"/>
      <c r="K751" s="237" t="s">
        <v>561</v>
      </c>
      <c r="L751" s="239"/>
      <c r="M751" s="1177" t="s">
        <v>903</v>
      </c>
      <c r="N751" s="1178"/>
      <c r="O751" s="1178"/>
      <c r="P751" s="235"/>
      <c r="Q751" s="235"/>
      <c r="R751" s="237" t="s">
        <v>561</v>
      </c>
      <c r="S751" s="239"/>
      <c r="T751" s="1177" t="s">
        <v>904</v>
      </c>
      <c r="U751" s="1178"/>
      <c r="V751" s="1178"/>
      <c r="W751" s="235"/>
      <c r="X751" s="235"/>
      <c r="Y751" s="237" t="s">
        <v>561</v>
      </c>
      <c r="Z751" s="239"/>
      <c r="AA751" s="611"/>
    </row>
    <row r="752" spans="1:27" ht="8.25" customHeight="1" thickBot="1" x14ac:dyDescent="0.25">
      <c r="A752" s="592"/>
      <c r="B752" s="592"/>
      <c r="C752" s="592"/>
      <c r="D752" s="592"/>
      <c r="E752" s="592"/>
      <c r="F752" s="249"/>
      <c r="G752" s="249"/>
      <c r="H752" s="249"/>
      <c r="I752" s="249"/>
      <c r="J752" s="249"/>
      <c r="K752" s="230"/>
      <c r="L752" s="249"/>
      <c r="M752" s="230"/>
      <c r="N752" s="249"/>
      <c r="O752" s="230"/>
      <c r="P752" s="249"/>
      <c r="Q752" s="230"/>
      <c r="R752" s="249"/>
      <c r="S752" s="230"/>
      <c r="T752" s="249"/>
      <c r="U752" s="230"/>
      <c r="V752" s="249"/>
      <c r="W752" s="249"/>
      <c r="X752" s="249"/>
      <c r="Y752" s="230"/>
      <c r="AA752" s="611"/>
    </row>
    <row r="753" spans="1:27" ht="16.5" customHeight="1" thickBot="1" x14ac:dyDescent="0.25">
      <c r="A753" s="1200" t="s">
        <v>915</v>
      </c>
      <c r="B753" s="1200"/>
      <c r="C753" s="1200"/>
      <c r="D753" s="1200"/>
      <c r="E753" s="249"/>
      <c r="F753" s="1198" t="s">
        <v>909</v>
      </c>
      <c r="G753" s="1199"/>
      <c r="H753" s="1199"/>
      <c r="I753" s="1198" t="s">
        <v>910</v>
      </c>
      <c r="J753" s="1199"/>
      <c r="K753" s="1199"/>
      <c r="L753" s="1198" t="s">
        <v>911</v>
      </c>
      <c r="M753" s="1199"/>
      <c r="N753" s="1199"/>
      <c r="O753" s="1198" t="s">
        <v>912</v>
      </c>
      <c r="P753" s="1199"/>
      <c r="Q753" s="1199"/>
      <c r="R753" s="1198" t="s">
        <v>913</v>
      </c>
      <c r="S753" s="1199"/>
      <c r="T753" s="1199"/>
      <c r="U753" s="1198" t="s">
        <v>916</v>
      </c>
      <c r="V753" s="1199"/>
      <c r="W753" s="1199"/>
      <c r="X753" s="1194" t="s">
        <v>908</v>
      </c>
      <c r="Y753" s="1195"/>
      <c r="Z753" s="1196"/>
      <c r="AA753" s="616"/>
    </row>
    <row r="754" spans="1:27" ht="30.75" customHeight="1" x14ac:dyDescent="0.2">
      <c r="A754" s="1200"/>
      <c r="B754" s="1200"/>
      <c r="C754" s="1200"/>
      <c r="D754" s="1200"/>
      <c r="E754" s="249"/>
      <c r="F754" s="1197"/>
      <c r="G754" s="1197"/>
      <c r="H754" s="1197"/>
      <c r="I754" s="1197"/>
      <c r="J754" s="1197"/>
      <c r="K754" s="1197"/>
      <c r="L754" s="1197"/>
      <c r="M754" s="1197"/>
      <c r="N754" s="1197"/>
      <c r="O754" s="1197"/>
      <c r="P754" s="1197"/>
      <c r="Q754" s="1197"/>
      <c r="R754" s="1197"/>
      <c r="S754" s="1197"/>
      <c r="T754" s="1197"/>
      <c r="U754" s="1197"/>
      <c r="V754" s="1197"/>
      <c r="W754" s="1197"/>
      <c r="X754" s="1162"/>
      <c r="Y754" s="1163"/>
      <c r="Z754" s="1164"/>
      <c r="AA754" s="614"/>
    </row>
    <row r="755" spans="1:27" ht="30.75" customHeight="1" thickBot="1" x14ac:dyDescent="0.25">
      <c r="A755" s="1200"/>
      <c r="B755" s="1200"/>
      <c r="C755" s="1200"/>
      <c r="D755" s="1200"/>
      <c r="E755" s="249"/>
      <c r="F755" s="1201" t="s">
        <v>914</v>
      </c>
      <c r="G755" s="1201"/>
      <c r="H755" s="1201"/>
      <c r="I755" s="1197"/>
      <c r="J755" s="1197"/>
      <c r="K755" s="1197"/>
      <c r="L755" s="1197"/>
      <c r="M755" s="1197"/>
      <c r="N755" s="1197"/>
      <c r="O755" s="1197"/>
      <c r="P755" s="1197"/>
      <c r="Q755" s="1197"/>
      <c r="R755" s="1197"/>
      <c r="S755" s="1197"/>
      <c r="T755" s="1197"/>
      <c r="U755" s="1197"/>
      <c r="V755" s="1197"/>
      <c r="W755" s="1197"/>
      <c r="X755" s="1165"/>
      <c r="Y755" s="1166"/>
      <c r="Z755" s="1167"/>
      <c r="AA755" s="614"/>
    </row>
    <row r="756" spans="1:27" ht="19.5" customHeight="1" x14ac:dyDescent="0.2">
      <c r="A756" s="578" t="s">
        <v>851</v>
      </c>
      <c r="B756" s="566"/>
      <c r="C756" s="566"/>
      <c r="D756" s="566"/>
      <c r="E756" s="566"/>
      <c r="F756" s="566"/>
      <c r="G756" s="566"/>
      <c r="H756" s="566"/>
      <c r="I756" s="566"/>
      <c r="J756" s="566"/>
      <c r="K756" s="566"/>
      <c r="M756" s="241"/>
      <c r="O756" s="578" t="s">
        <v>522</v>
      </c>
      <c r="P756" s="566"/>
      <c r="Q756" s="566"/>
      <c r="R756" s="566"/>
      <c r="S756" s="566"/>
      <c r="T756" s="566"/>
      <c r="U756" s="566"/>
      <c r="V756" s="566"/>
      <c r="W756" s="520"/>
      <c r="AA756" s="611"/>
    </row>
    <row r="757" spans="1:27" x14ac:dyDescent="0.2">
      <c r="A757" s="577" t="s">
        <v>1</v>
      </c>
      <c r="B757" s="567"/>
      <c r="C757" s="567"/>
      <c r="D757" s="567"/>
      <c r="E757" s="567"/>
      <c r="F757" s="567"/>
      <c r="G757" s="568"/>
      <c r="H757" s="1086" t="s">
        <v>520</v>
      </c>
      <c r="I757" s="1087"/>
      <c r="J757" s="1087"/>
      <c r="K757" s="1088"/>
      <c r="M757" s="577" t="s">
        <v>1</v>
      </c>
      <c r="N757" s="567"/>
      <c r="O757" s="567"/>
      <c r="P757" s="567"/>
      <c r="Q757" s="567"/>
      <c r="R757" s="567"/>
      <c r="S757" s="585" t="s">
        <v>520</v>
      </c>
      <c r="T757" s="586"/>
      <c r="U757" s="586"/>
      <c r="V757" s="587"/>
      <c r="AA757" s="611"/>
    </row>
    <row r="758" spans="1:27" ht="69" customHeight="1" x14ac:dyDescent="0.2">
      <c r="A758" s="242"/>
      <c r="B758" s="243"/>
      <c r="C758" s="243"/>
      <c r="D758" s="243"/>
      <c r="E758" s="243"/>
      <c r="F758" s="243"/>
      <c r="G758" s="244"/>
      <c r="H758" s="242"/>
      <c r="I758" s="243"/>
      <c r="J758" s="243"/>
      <c r="K758" s="244"/>
      <c r="M758" s="242"/>
      <c r="N758" s="243"/>
      <c r="O758" s="243"/>
      <c r="P758" s="243"/>
      <c r="Q758" s="243"/>
      <c r="R758" s="243"/>
      <c r="S758" s="242"/>
      <c r="T758" s="243"/>
      <c r="U758" s="243"/>
      <c r="V758" s="244"/>
      <c r="AA758" s="611"/>
    </row>
    <row r="759" spans="1:27" x14ac:dyDescent="0.2">
      <c r="AA759" s="611"/>
    </row>
    <row r="760" spans="1:27" ht="6.75" customHeight="1" x14ac:dyDescent="0.2">
      <c r="AA760" s="611"/>
    </row>
    <row r="761" spans="1:27" s="218" customFormat="1" ht="23.25" customHeight="1" x14ac:dyDescent="0.2">
      <c r="A761" s="218" t="s">
        <v>628</v>
      </c>
      <c r="B761" s="1103">
        <f>B728+1</f>
        <v>24</v>
      </c>
      <c r="C761" s="1104"/>
      <c r="D761" s="569"/>
      <c r="E761" s="218" t="str">
        <f>Championnat</f>
        <v>Championnat de France de Tir à l'ARC</v>
      </c>
      <c r="P761" s="1192"/>
      <c r="Q761" s="1192"/>
      <c r="R761" s="1192"/>
      <c r="S761" s="1192"/>
      <c r="T761" s="1193" t="str">
        <f>CATEG_IMPORTEE</f>
        <v>Collèges Mixtes Etablissement</v>
      </c>
      <c r="U761" s="1193"/>
      <c r="V761" s="1193"/>
      <c r="W761" s="1193"/>
      <c r="X761" s="1193"/>
      <c r="Y761" s="1193"/>
      <c r="Z761" s="1193"/>
      <c r="AA761" s="609"/>
    </row>
    <row r="762" spans="1:27" ht="27" customHeight="1" thickBot="1" x14ac:dyDescent="0.25">
      <c r="A762" s="1069" t="s">
        <v>0</v>
      </c>
      <c r="B762" s="1069"/>
      <c r="C762" s="1069"/>
      <c r="D762" s="1069"/>
      <c r="E762" s="1069"/>
      <c r="F762" s="1069"/>
      <c r="G762" s="1069"/>
      <c r="H762" s="1069"/>
      <c r="I762" s="1125" t="s">
        <v>374</v>
      </c>
      <c r="J762" s="1125"/>
      <c r="K762" s="1125"/>
      <c r="L762" s="1125"/>
      <c r="M762" s="1125"/>
      <c r="N762" s="1069"/>
      <c r="O762" s="595"/>
      <c r="P762" s="1192"/>
      <c r="Q762" s="1192"/>
      <c r="R762" s="1192"/>
      <c r="S762" s="1192"/>
      <c r="T762" s="1184" t="str">
        <f>LIEU&amp;" du "&amp;DATE</f>
        <v>L’Isle sur la Sorgue du 27 au 31 mars 2023</v>
      </c>
      <c r="U762" s="1184"/>
      <c r="V762" s="1184"/>
      <c r="W762" s="1184"/>
      <c r="X762" s="1184"/>
      <c r="Y762" s="1184"/>
      <c r="Z762" s="1184"/>
      <c r="AA762" s="608"/>
    </row>
    <row r="763" spans="1:27" ht="24" customHeight="1" thickBot="1" x14ac:dyDescent="0.25">
      <c r="A763" s="1185" t="e">
        <f>VLOOKUP(H767,ID_archer_cible,2,FALSE)</f>
        <v>#N/A</v>
      </c>
      <c r="B763" s="1186"/>
      <c r="C763" s="1186"/>
      <c r="D763" s="1186"/>
      <c r="E763" s="1186"/>
      <c r="F763" s="1186"/>
      <c r="G763" s="1186"/>
      <c r="H763" s="1187"/>
      <c r="I763" s="1185" t="e">
        <f>VLOOKUP(H767,ID_archer_cible,4,FALSE)</f>
        <v>#N/A</v>
      </c>
      <c r="J763" s="1186"/>
      <c r="K763" s="1186"/>
      <c r="L763" s="1186"/>
      <c r="M763" s="1186"/>
      <c r="N763" s="1187"/>
      <c r="O763" s="596"/>
      <c r="P763" s="1192"/>
      <c r="Q763" s="1192"/>
      <c r="R763" s="1192"/>
      <c r="S763" s="1192"/>
      <c r="T763" s="520"/>
      <c r="U763" s="520"/>
      <c r="V763" s="520"/>
      <c r="W763" s="520"/>
      <c r="X763" s="520"/>
      <c r="Y763" s="520"/>
      <c r="Z763" s="520"/>
      <c r="AA763" s="520"/>
    </row>
    <row r="764" spans="1:27" ht="6" customHeight="1" x14ac:dyDescent="0.2">
      <c r="I764" s="1188" t="e">
        <f>"("&amp;VLOOKUP(H767,ID_archer_cible,3,FALSE)&amp;")"</f>
        <v>#N/A</v>
      </c>
      <c r="J764" s="1188"/>
      <c r="K764" s="1188"/>
      <c r="L764" s="1188"/>
      <c r="M764" s="1188"/>
      <c r="N764" s="1188"/>
      <c r="P764" s="1192"/>
      <c r="Q764" s="1192"/>
      <c r="R764" s="1192"/>
      <c r="S764" s="1192"/>
      <c r="AA764" s="611"/>
    </row>
    <row r="765" spans="1:27" ht="17.25" customHeight="1" x14ac:dyDescent="0.2">
      <c r="E765" s="584"/>
      <c r="F765" s="584"/>
      <c r="G765" s="584"/>
      <c r="H765" s="584"/>
      <c r="I765" s="1189"/>
      <c r="J765" s="1189"/>
      <c r="K765" s="1189"/>
      <c r="L765" s="1189"/>
      <c r="M765" s="1189"/>
      <c r="N765" s="1189"/>
      <c r="P765" s="1192"/>
      <c r="Q765" s="1192"/>
      <c r="R765" s="1192"/>
      <c r="S765" s="1192"/>
      <c r="AA765" s="611"/>
    </row>
    <row r="766" spans="1:27" ht="23.25" customHeight="1" x14ac:dyDescent="0.2">
      <c r="A766" s="593" t="s">
        <v>906</v>
      </c>
      <c r="B766" s="588"/>
      <c r="C766" s="588"/>
      <c r="D766" s="588"/>
      <c r="E766" s="588"/>
      <c r="F766" s="588"/>
      <c r="G766" s="588"/>
      <c r="H766" s="594" t="s">
        <v>552</v>
      </c>
      <c r="I766" s="573" t="s">
        <v>893</v>
      </c>
      <c r="J766" s="1075" t="s">
        <v>550</v>
      </c>
      <c r="K766" s="1075"/>
      <c r="L766" s="573" t="s">
        <v>905</v>
      </c>
      <c r="M766" s="252" t="s">
        <v>551</v>
      </c>
      <c r="S766" s="573" t="s">
        <v>905</v>
      </c>
      <c r="T766" s="573" t="s">
        <v>893</v>
      </c>
      <c r="U766" s="573" t="s">
        <v>893</v>
      </c>
      <c r="V766" s="1075" t="s">
        <v>550</v>
      </c>
      <c r="W766" s="1075"/>
      <c r="X766" s="252" t="s">
        <v>551</v>
      </c>
      <c r="Y766" s="571"/>
      <c r="Z766" s="571"/>
      <c r="AA766" s="612"/>
    </row>
    <row r="767" spans="1:27" ht="23.25" customHeight="1" x14ac:dyDescent="0.2">
      <c r="A767" s="580" t="e">
        <f>VLOOKUP(H767,ID_archer_cible,5,FALSE)&amp;"    "&amp;VLOOKUP(H767,ID_archer_cible,6,FALSE)</f>
        <v>#N/A</v>
      </c>
      <c r="B767" s="581"/>
      <c r="C767" s="582"/>
      <c r="D767" s="575"/>
      <c r="E767" s="223"/>
      <c r="F767" s="223"/>
      <c r="G767" s="223"/>
      <c r="H767" s="589" t="str">
        <f>B761&amp;"A"</f>
        <v>24A</v>
      </c>
      <c r="I767" s="574" t="e">
        <f>VLOOKUP(H767,ID_archer_cible,9,FALSE)</f>
        <v>#N/A</v>
      </c>
      <c r="J767" s="1075" t="e">
        <f>VLOOKUP(H767,ID_archer_cible,8,FALSE)</f>
        <v>#N/A</v>
      </c>
      <c r="K767" s="1075"/>
      <c r="L767" s="610" t="e">
        <f>VLOOKUP(H767,ID_archer_cible,7,FALSE)</f>
        <v>#N/A</v>
      </c>
      <c r="M767" s="589" t="e">
        <f>VLOOKUP(H767,ID_archer_cible,10,FALSE)</f>
        <v>#N/A</v>
      </c>
      <c r="N767" s="597" t="e">
        <f>VLOOKUP(T767,ID_archer_cible,5,FALSE)&amp;"    "&amp;VLOOKUP(T767,ID_archer_cible,6,FALSE)</f>
        <v>#N/A</v>
      </c>
      <c r="O767" s="581"/>
      <c r="P767" s="582"/>
      <c r="Q767" s="575"/>
      <c r="R767" s="223"/>
      <c r="S767" s="579" t="e">
        <f>VLOOKUP(T767,ID_archer_cible,7,FALSE)</f>
        <v>#N/A</v>
      </c>
      <c r="T767" s="589" t="str">
        <f>B761&amp;"C"</f>
        <v>24C</v>
      </c>
      <c r="U767" s="574" t="e">
        <f>VLOOKUP(T767,ID_archer_cible,9,FALSE)</f>
        <v>#N/A</v>
      </c>
      <c r="V767" s="1172" t="e">
        <f>VLOOKUP(T767,ID_archer_cible,8,FALSE)</f>
        <v>#N/A</v>
      </c>
      <c r="W767" s="1173"/>
      <c r="X767" s="574" t="e">
        <f>VLOOKUP(T767,ID_archer_cible,10,FALSE)</f>
        <v>#N/A</v>
      </c>
      <c r="AA767" s="611"/>
    </row>
    <row r="768" spans="1:27" ht="23.25" customHeight="1" x14ac:dyDescent="0.2">
      <c r="A768" s="580" t="e">
        <f>VLOOKUP(H768,ID_archer_cible,5,FALSE)&amp;"    "&amp;VLOOKUP(H768,ID_archer_cible,6,FALSE)</f>
        <v>#N/A</v>
      </c>
      <c r="B768" s="581"/>
      <c r="C768" s="582"/>
      <c r="D768" s="575"/>
      <c r="E768" s="223"/>
      <c r="F768" s="223"/>
      <c r="G768" s="223"/>
      <c r="H768" s="589" t="str">
        <f>B761&amp;"B"</f>
        <v>24B</v>
      </c>
      <c r="I768" s="574" t="e">
        <f>VLOOKUP(H768,ID_archer_cible,9,FALSE)</f>
        <v>#N/A</v>
      </c>
      <c r="J768" s="1075" t="e">
        <f>VLOOKUP(H768,ID_archer_cible,8,FALSE)</f>
        <v>#N/A</v>
      </c>
      <c r="K768" s="1075"/>
      <c r="L768" s="610" t="e">
        <f>VLOOKUP(H768,ID_archer_cible,7,FALSE)</f>
        <v>#N/A</v>
      </c>
      <c r="M768" s="589" t="e">
        <f>VLOOKUP(H768,ID_archer_cible,10,FALSE)</f>
        <v>#N/A</v>
      </c>
      <c r="N768" s="597" t="e">
        <f>VLOOKUP(T768,ID_archer_cible,5,FALSE)&amp;"    "&amp;VLOOKUP(T768,ID_archer_cible,6,FALSE)</f>
        <v>#N/A</v>
      </c>
      <c r="O768" s="581"/>
      <c r="P768" s="582"/>
      <c r="Q768" s="575"/>
      <c r="R768" s="223"/>
      <c r="S768" s="579" t="e">
        <f>VLOOKUP(T768,ID_archer_cible,7,FALSE)</f>
        <v>#N/A</v>
      </c>
      <c r="T768" s="589" t="str">
        <f>B761&amp;"D"</f>
        <v>24D</v>
      </c>
      <c r="U768" s="574" t="e">
        <f>VLOOKUP(T768,ID_archer_cible,9,FALSE)</f>
        <v>#N/A</v>
      </c>
      <c r="V768" s="1172" t="e">
        <f>VLOOKUP(T768,ID_archer_cible,8,FALSE)</f>
        <v>#N/A</v>
      </c>
      <c r="W768" s="1173"/>
      <c r="X768" s="574" t="e">
        <f>VLOOKUP(T768,ID_archer_cible,10,FALSE)</f>
        <v>#N/A</v>
      </c>
      <c r="AA768" s="611"/>
    </row>
    <row r="769" spans="1:27" ht="15" customHeight="1" thickBot="1" x14ac:dyDescent="0.25">
      <c r="AA769" s="611"/>
    </row>
    <row r="770" spans="1:27" ht="20.25" customHeight="1" thickBot="1" x14ac:dyDescent="0.25">
      <c r="F770" s="1174" t="s">
        <v>555</v>
      </c>
      <c r="G770" s="1175"/>
      <c r="H770" s="1175"/>
      <c r="I770" s="1175"/>
      <c r="J770" s="1175"/>
      <c r="K770" s="1175"/>
      <c r="L770" s="1176"/>
      <c r="M770" s="1174" t="s">
        <v>556</v>
      </c>
      <c r="N770" s="1175"/>
      <c r="O770" s="1175"/>
      <c r="P770" s="1175"/>
      <c r="Q770" s="1175"/>
      <c r="R770" s="1175"/>
      <c r="S770" s="1176"/>
      <c r="T770" s="1174" t="s">
        <v>557</v>
      </c>
      <c r="U770" s="1175"/>
      <c r="V770" s="1175"/>
      <c r="W770" s="1175"/>
      <c r="X770" s="1175"/>
      <c r="Y770" s="1175"/>
      <c r="Z770" s="1176"/>
      <c r="AA770" s="613"/>
    </row>
    <row r="771" spans="1:27" ht="30.75" customHeight="1" x14ac:dyDescent="0.2">
      <c r="A771" s="1171" t="s">
        <v>559</v>
      </c>
      <c r="B771" s="1171"/>
      <c r="C771" s="1171"/>
      <c r="D771" s="1171"/>
      <c r="E771" s="1181"/>
      <c r="F771" s="1179" t="s">
        <v>560</v>
      </c>
      <c r="G771" s="1180"/>
      <c r="H771" s="1180"/>
      <c r="I771" s="306"/>
      <c r="J771" s="306"/>
      <c r="K771" s="307"/>
      <c r="L771" s="572" t="s">
        <v>7</v>
      </c>
      <c r="M771" s="1179" t="s">
        <v>560</v>
      </c>
      <c r="N771" s="1180"/>
      <c r="O771" s="1180"/>
      <c r="P771" s="306"/>
      <c r="Q771" s="306"/>
      <c r="R771" s="307"/>
      <c r="S771" s="572" t="s">
        <v>7</v>
      </c>
      <c r="T771" s="1179" t="s">
        <v>560</v>
      </c>
      <c r="U771" s="1180"/>
      <c r="V771" s="1180"/>
      <c r="W771" s="306"/>
      <c r="X771" s="306"/>
      <c r="Y771" s="307"/>
      <c r="Z771" s="572" t="s">
        <v>7</v>
      </c>
      <c r="AA771" s="614"/>
    </row>
    <row r="772" spans="1:27" ht="30.75" customHeight="1" x14ac:dyDescent="0.2">
      <c r="A772" s="1168" t="e">
        <f>A767</f>
        <v>#N/A</v>
      </c>
      <c r="B772" s="1169"/>
      <c r="C772" s="1169"/>
      <c r="D772" s="1169"/>
      <c r="E772" s="1170"/>
      <c r="F772" s="228"/>
      <c r="G772" s="229"/>
      <c r="H772" s="229"/>
      <c r="I772" s="229"/>
      <c r="J772" s="229"/>
      <c r="K772" s="230" t="s">
        <v>561</v>
      </c>
      <c r="L772" s="231"/>
      <c r="M772" s="228"/>
      <c r="N772" s="229"/>
      <c r="O772" s="229"/>
      <c r="P772" s="229"/>
      <c r="Q772" s="229"/>
      <c r="R772" s="230" t="s">
        <v>561</v>
      </c>
      <c r="S772" s="231"/>
      <c r="T772" s="228"/>
      <c r="U772" s="229"/>
      <c r="V772" s="229"/>
      <c r="W772" s="229"/>
      <c r="X772" s="229"/>
      <c r="Y772" s="230" t="s">
        <v>561</v>
      </c>
      <c r="Z772" s="231"/>
      <c r="AA772" s="611"/>
    </row>
    <row r="773" spans="1:27" ht="30.75" customHeight="1" x14ac:dyDescent="0.2">
      <c r="A773" s="1168" t="e">
        <f>A768</f>
        <v>#N/A</v>
      </c>
      <c r="B773" s="1169"/>
      <c r="C773" s="1169"/>
      <c r="D773" s="1169"/>
      <c r="E773" s="1170"/>
      <c r="F773" s="228"/>
      <c r="G773" s="229"/>
      <c r="H773" s="229"/>
      <c r="I773" s="229"/>
      <c r="J773" s="229"/>
      <c r="K773" s="230" t="s">
        <v>561</v>
      </c>
      <c r="L773" s="231"/>
      <c r="M773" s="228"/>
      <c r="N773" s="229"/>
      <c r="O773" s="229"/>
      <c r="P773" s="229"/>
      <c r="Q773" s="229"/>
      <c r="R773" s="230" t="s">
        <v>561</v>
      </c>
      <c r="S773" s="231"/>
      <c r="T773" s="228"/>
      <c r="U773" s="229"/>
      <c r="V773" s="229"/>
      <c r="W773" s="229"/>
      <c r="X773" s="229"/>
      <c r="Y773" s="230" t="s">
        <v>561</v>
      </c>
      <c r="Z773" s="231"/>
      <c r="AA773" s="611"/>
    </row>
    <row r="774" spans="1:27" ht="30.75" customHeight="1" x14ac:dyDescent="0.2">
      <c r="A774" s="1168" t="e">
        <f>N767</f>
        <v>#N/A</v>
      </c>
      <c r="B774" s="1169"/>
      <c r="C774" s="1169"/>
      <c r="D774" s="1169"/>
      <c r="E774" s="1170"/>
      <c r="F774" s="228"/>
      <c r="G774" s="229"/>
      <c r="H774" s="229"/>
      <c r="I774" s="229"/>
      <c r="J774" s="229"/>
      <c r="K774" s="230" t="s">
        <v>561</v>
      </c>
      <c r="L774" s="231"/>
      <c r="M774" s="228"/>
      <c r="N774" s="229"/>
      <c r="O774" s="229"/>
      <c r="P774" s="229"/>
      <c r="Q774" s="229"/>
      <c r="R774" s="230" t="s">
        <v>561</v>
      </c>
      <c r="S774" s="231"/>
      <c r="T774" s="228"/>
      <c r="U774" s="229"/>
      <c r="V774" s="229"/>
      <c r="W774" s="229"/>
      <c r="X774" s="229"/>
      <c r="Y774" s="230" t="s">
        <v>561</v>
      </c>
      <c r="Z774" s="231"/>
      <c r="AA774" s="611"/>
    </row>
    <row r="775" spans="1:27" ht="30.75" customHeight="1" thickBot="1" x14ac:dyDescent="0.25">
      <c r="A775" s="1168" t="e">
        <f>N768</f>
        <v>#N/A</v>
      </c>
      <c r="B775" s="1169"/>
      <c r="C775" s="1169"/>
      <c r="D775" s="1169"/>
      <c r="E775" s="1170"/>
      <c r="F775" s="228"/>
      <c r="G775" s="229"/>
      <c r="H775" s="229"/>
      <c r="I775" s="229"/>
      <c r="J775" s="229"/>
      <c r="K775" s="230" t="s">
        <v>561</v>
      </c>
      <c r="L775" s="232"/>
      <c r="M775" s="228"/>
      <c r="N775" s="229"/>
      <c r="O775" s="229"/>
      <c r="P775" s="229"/>
      <c r="Q775" s="229"/>
      <c r="R775" s="230" t="s">
        <v>561</v>
      </c>
      <c r="S775" s="232"/>
      <c r="T775" s="228"/>
      <c r="U775" s="229"/>
      <c r="V775" s="229"/>
      <c r="W775" s="229"/>
      <c r="X775" s="229"/>
      <c r="Y775" s="230" t="s">
        <v>561</v>
      </c>
      <c r="Z775" s="232"/>
      <c r="AA775" s="611"/>
    </row>
    <row r="776" spans="1:27" ht="30.75" customHeight="1" thickBot="1" x14ac:dyDescent="0.25">
      <c r="F776" s="1177" t="s">
        <v>562</v>
      </c>
      <c r="G776" s="1178"/>
      <c r="H776" s="1178"/>
      <c r="I776" s="235"/>
      <c r="J776" s="235"/>
      <c r="K776" s="237" t="s">
        <v>561</v>
      </c>
      <c r="L776" s="239"/>
      <c r="M776" s="1177" t="s">
        <v>563</v>
      </c>
      <c r="N776" s="1178"/>
      <c r="O776" s="1178"/>
      <c r="P776" s="235"/>
      <c r="Q776" s="235"/>
      <c r="R776" s="237" t="s">
        <v>561</v>
      </c>
      <c r="S776" s="239"/>
      <c r="T776" s="1177" t="s">
        <v>564</v>
      </c>
      <c r="U776" s="1178"/>
      <c r="V776" s="1178"/>
      <c r="W776" s="235"/>
      <c r="X776" s="235"/>
      <c r="Y776" s="237" t="s">
        <v>561</v>
      </c>
      <c r="Z776" s="239"/>
      <c r="AA776" s="615"/>
    </row>
    <row r="777" spans="1:27" ht="9" customHeight="1" thickBot="1" x14ac:dyDescent="0.25">
      <c r="H777" s="249"/>
      <c r="I777" s="249"/>
      <c r="J777" s="249"/>
      <c r="K777" s="249"/>
      <c r="L777" s="249"/>
      <c r="M777" s="249"/>
      <c r="N777" s="249"/>
      <c r="O777" s="249"/>
      <c r="P777" s="249"/>
      <c r="Q777" s="249"/>
      <c r="R777" s="230"/>
      <c r="T777" s="249"/>
      <c r="U777" s="249"/>
      <c r="V777" s="249"/>
      <c r="W777" s="249"/>
      <c r="X777" s="249"/>
      <c r="Y777" s="230"/>
      <c r="AA777" s="611"/>
    </row>
    <row r="778" spans="1:27" ht="30.75" customHeight="1" thickBot="1" x14ac:dyDescent="0.25">
      <c r="F778" s="1174" t="s">
        <v>558</v>
      </c>
      <c r="G778" s="1175"/>
      <c r="H778" s="1175"/>
      <c r="I778" s="1175"/>
      <c r="J778" s="1175"/>
      <c r="K778" s="1175"/>
      <c r="L778" s="1176"/>
      <c r="M778" s="1174" t="s">
        <v>902</v>
      </c>
      <c r="N778" s="1175"/>
      <c r="O778" s="1175"/>
      <c r="P778" s="1175"/>
      <c r="Q778" s="1175"/>
      <c r="R778" s="1175"/>
      <c r="S778" s="1176"/>
      <c r="T778" s="1174" t="s">
        <v>907</v>
      </c>
      <c r="U778" s="1175"/>
      <c r="V778" s="1175"/>
      <c r="W778" s="1175"/>
      <c r="X778" s="1175"/>
      <c r="Y778" s="1175"/>
      <c r="Z778" s="1176"/>
      <c r="AA778" s="613"/>
    </row>
    <row r="779" spans="1:27" ht="30.75" customHeight="1" x14ac:dyDescent="0.2">
      <c r="A779" s="1171" t="str">
        <f>A771</f>
        <v>NOM - PRENOM</v>
      </c>
      <c r="B779" s="1171"/>
      <c r="C779" s="1171"/>
      <c r="D779" s="1171"/>
      <c r="E779" s="1181"/>
      <c r="F779" s="1179" t="s">
        <v>560</v>
      </c>
      <c r="G779" s="1180"/>
      <c r="H779" s="1180"/>
      <c r="I779" s="306"/>
      <c r="J779" s="306"/>
      <c r="K779" s="307"/>
      <c r="L779" s="572" t="s">
        <v>7</v>
      </c>
      <c r="M779" s="1179" t="s">
        <v>560</v>
      </c>
      <c r="N779" s="1180"/>
      <c r="O779" s="1180"/>
      <c r="P779" s="306"/>
      <c r="Q779" s="306"/>
      <c r="R779" s="307"/>
      <c r="S779" s="572" t="s">
        <v>7</v>
      </c>
      <c r="T779" s="1179" t="s">
        <v>560</v>
      </c>
      <c r="U779" s="1180"/>
      <c r="V779" s="1180"/>
      <c r="W779" s="306"/>
      <c r="X779" s="306"/>
      <c r="Y779" s="307"/>
      <c r="Z779" s="572" t="s">
        <v>7</v>
      </c>
      <c r="AA779" s="614"/>
    </row>
    <row r="780" spans="1:27" ht="30.75" customHeight="1" x14ac:dyDescent="0.2">
      <c r="A780" s="605" t="e">
        <f>A772</f>
        <v>#N/A</v>
      </c>
      <c r="B780" s="606"/>
      <c r="C780" s="606"/>
      <c r="D780" s="606"/>
      <c r="E780" s="607"/>
      <c r="F780" s="228"/>
      <c r="G780" s="229"/>
      <c r="H780" s="229"/>
      <c r="I780" s="229"/>
      <c r="J780" s="229"/>
      <c r="K780" s="230" t="s">
        <v>561</v>
      </c>
      <c r="L780" s="231"/>
      <c r="M780" s="228"/>
      <c r="N780" s="229"/>
      <c r="O780" s="229"/>
      <c r="P780" s="229"/>
      <c r="Q780" s="229"/>
      <c r="R780" s="230" t="s">
        <v>561</v>
      </c>
      <c r="S780" s="231"/>
      <c r="T780" s="228"/>
      <c r="U780" s="229"/>
      <c r="V780" s="229"/>
      <c r="W780" s="229"/>
      <c r="X780" s="229"/>
      <c r="Y780" s="230" t="s">
        <v>561</v>
      </c>
      <c r="Z780" s="231"/>
      <c r="AA780" s="611"/>
    </row>
    <row r="781" spans="1:27" ht="30.75" customHeight="1" x14ac:dyDescent="0.2">
      <c r="A781" s="605" t="e">
        <f>A773</f>
        <v>#N/A</v>
      </c>
      <c r="B781" s="606"/>
      <c r="C781" s="606"/>
      <c r="D781" s="606"/>
      <c r="E781" s="607"/>
      <c r="F781" s="228"/>
      <c r="G781" s="229"/>
      <c r="H781" s="229"/>
      <c r="I781" s="229"/>
      <c r="J781" s="229"/>
      <c r="K781" s="230" t="s">
        <v>561</v>
      </c>
      <c r="L781" s="231"/>
      <c r="M781" s="228"/>
      <c r="N781" s="229"/>
      <c r="O781" s="229"/>
      <c r="P781" s="229"/>
      <c r="Q781" s="229"/>
      <c r="R781" s="230" t="s">
        <v>561</v>
      </c>
      <c r="S781" s="231"/>
      <c r="T781" s="228"/>
      <c r="U781" s="229"/>
      <c r="V781" s="229"/>
      <c r="W781" s="229"/>
      <c r="X781" s="229"/>
      <c r="Y781" s="230" t="s">
        <v>561</v>
      </c>
      <c r="Z781" s="231"/>
      <c r="AA781" s="611"/>
    </row>
    <row r="782" spans="1:27" ht="30.75" customHeight="1" x14ac:dyDescent="0.2">
      <c r="A782" s="605" t="e">
        <f>A774</f>
        <v>#N/A</v>
      </c>
      <c r="B782" s="606"/>
      <c r="C782" s="606"/>
      <c r="D782" s="606"/>
      <c r="E782" s="607"/>
      <c r="F782" s="228"/>
      <c r="G782" s="229"/>
      <c r="H782" s="229"/>
      <c r="I782" s="229"/>
      <c r="J782" s="229"/>
      <c r="K782" s="230" t="s">
        <v>561</v>
      </c>
      <c r="L782" s="231"/>
      <c r="M782" s="228"/>
      <c r="N782" s="229"/>
      <c r="O782" s="229"/>
      <c r="P782" s="229"/>
      <c r="Q782" s="229"/>
      <c r="R782" s="230" t="s">
        <v>561</v>
      </c>
      <c r="S782" s="231"/>
      <c r="T782" s="228"/>
      <c r="U782" s="229"/>
      <c r="V782" s="229"/>
      <c r="W782" s="229"/>
      <c r="X782" s="229"/>
      <c r="Y782" s="230" t="s">
        <v>561</v>
      </c>
      <c r="Z782" s="231"/>
      <c r="AA782" s="611"/>
    </row>
    <row r="783" spans="1:27" ht="30.75" customHeight="1" thickBot="1" x14ac:dyDescent="0.25">
      <c r="A783" s="605" t="e">
        <f>A775</f>
        <v>#N/A</v>
      </c>
      <c r="B783" s="606"/>
      <c r="C783" s="606"/>
      <c r="D783" s="606"/>
      <c r="E783" s="607"/>
      <c r="F783" s="228"/>
      <c r="G783" s="229"/>
      <c r="H783" s="229"/>
      <c r="I783" s="229"/>
      <c r="J783" s="229"/>
      <c r="K783" s="230" t="s">
        <v>561</v>
      </c>
      <c r="L783" s="232"/>
      <c r="M783" s="228"/>
      <c r="N783" s="229"/>
      <c r="O783" s="229"/>
      <c r="P783" s="229"/>
      <c r="Q783" s="229"/>
      <c r="R783" s="230" t="s">
        <v>561</v>
      </c>
      <c r="S783" s="232"/>
      <c r="T783" s="228"/>
      <c r="U783" s="229"/>
      <c r="V783" s="229"/>
      <c r="W783" s="229"/>
      <c r="X783" s="229"/>
      <c r="Y783" s="230" t="s">
        <v>561</v>
      </c>
      <c r="Z783" s="232"/>
      <c r="AA783" s="611"/>
    </row>
    <row r="784" spans="1:27" ht="24" customHeight="1" thickBot="1" x14ac:dyDescent="0.25">
      <c r="F784" s="1177" t="s">
        <v>565</v>
      </c>
      <c r="G784" s="1178"/>
      <c r="H784" s="1178"/>
      <c r="I784" s="235"/>
      <c r="J784" s="235"/>
      <c r="K784" s="237" t="s">
        <v>561</v>
      </c>
      <c r="L784" s="239"/>
      <c r="M784" s="1177" t="s">
        <v>903</v>
      </c>
      <c r="N784" s="1178"/>
      <c r="O784" s="1178"/>
      <c r="P784" s="235"/>
      <c r="Q784" s="235"/>
      <c r="R784" s="237" t="s">
        <v>561</v>
      </c>
      <c r="S784" s="239"/>
      <c r="T784" s="1177" t="s">
        <v>904</v>
      </c>
      <c r="U784" s="1178"/>
      <c r="V784" s="1178"/>
      <c r="W784" s="235"/>
      <c r="X784" s="235"/>
      <c r="Y784" s="237" t="s">
        <v>561</v>
      </c>
      <c r="Z784" s="239"/>
      <c r="AA784" s="611"/>
    </row>
    <row r="785" spans="1:27" ht="8.25" customHeight="1" thickBot="1" x14ac:dyDescent="0.25">
      <c r="A785" s="592"/>
      <c r="B785" s="592"/>
      <c r="C785" s="592"/>
      <c r="D785" s="592"/>
      <c r="E785" s="592"/>
      <c r="F785" s="249"/>
      <c r="G785" s="249"/>
      <c r="H785" s="249"/>
      <c r="I785" s="249"/>
      <c r="J785" s="249"/>
      <c r="K785" s="230"/>
      <c r="L785" s="249"/>
      <c r="M785" s="230"/>
      <c r="N785" s="249"/>
      <c r="O785" s="230"/>
      <c r="P785" s="249"/>
      <c r="Q785" s="230"/>
      <c r="R785" s="249"/>
      <c r="S785" s="230"/>
      <c r="T785" s="249"/>
      <c r="U785" s="230"/>
      <c r="V785" s="249"/>
      <c r="W785" s="249"/>
      <c r="X785" s="249"/>
      <c r="Y785" s="230"/>
      <c r="AA785" s="611"/>
    </row>
    <row r="786" spans="1:27" ht="16.5" customHeight="1" thickBot="1" x14ac:dyDescent="0.25">
      <c r="A786" s="1200" t="s">
        <v>915</v>
      </c>
      <c r="B786" s="1200"/>
      <c r="C786" s="1200"/>
      <c r="D786" s="1200"/>
      <c r="E786" s="249"/>
      <c r="F786" s="1198" t="s">
        <v>909</v>
      </c>
      <c r="G786" s="1199"/>
      <c r="H786" s="1199"/>
      <c r="I786" s="1198" t="s">
        <v>910</v>
      </c>
      <c r="J786" s="1199"/>
      <c r="K786" s="1199"/>
      <c r="L786" s="1198" t="s">
        <v>911</v>
      </c>
      <c r="M786" s="1199"/>
      <c r="N786" s="1199"/>
      <c r="O786" s="1198" t="s">
        <v>912</v>
      </c>
      <c r="P786" s="1199"/>
      <c r="Q786" s="1199"/>
      <c r="R786" s="1198" t="s">
        <v>913</v>
      </c>
      <c r="S786" s="1199"/>
      <c r="T786" s="1199"/>
      <c r="U786" s="1198" t="s">
        <v>916</v>
      </c>
      <c r="V786" s="1199"/>
      <c r="W786" s="1199"/>
      <c r="X786" s="1194" t="s">
        <v>908</v>
      </c>
      <c r="Y786" s="1195"/>
      <c r="Z786" s="1196"/>
      <c r="AA786" s="616"/>
    </row>
    <row r="787" spans="1:27" ht="30.75" customHeight="1" x14ac:dyDescent="0.2">
      <c r="A787" s="1200"/>
      <c r="B787" s="1200"/>
      <c r="C787" s="1200"/>
      <c r="D787" s="1200"/>
      <c r="E787" s="249"/>
      <c r="F787" s="1197"/>
      <c r="G787" s="1197"/>
      <c r="H787" s="1197"/>
      <c r="I787" s="1197"/>
      <c r="J787" s="1197"/>
      <c r="K787" s="1197"/>
      <c r="L787" s="1197"/>
      <c r="M787" s="1197"/>
      <c r="N787" s="1197"/>
      <c r="O787" s="1197"/>
      <c r="P787" s="1197"/>
      <c r="Q787" s="1197"/>
      <c r="R787" s="1197"/>
      <c r="S787" s="1197"/>
      <c r="T787" s="1197"/>
      <c r="U787" s="1197"/>
      <c r="V787" s="1197"/>
      <c r="W787" s="1197"/>
      <c r="X787" s="1162"/>
      <c r="Y787" s="1163"/>
      <c r="Z787" s="1164"/>
      <c r="AA787" s="614"/>
    </row>
    <row r="788" spans="1:27" ht="30.75" customHeight="1" thickBot="1" x14ac:dyDescent="0.25">
      <c r="A788" s="1200"/>
      <c r="B788" s="1200"/>
      <c r="C788" s="1200"/>
      <c r="D788" s="1200"/>
      <c r="E788" s="249"/>
      <c r="F788" s="1201" t="s">
        <v>914</v>
      </c>
      <c r="G788" s="1201"/>
      <c r="H788" s="1201"/>
      <c r="I788" s="1197"/>
      <c r="J788" s="1197"/>
      <c r="K788" s="1197"/>
      <c r="L788" s="1197"/>
      <c r="M788" s="1197"/>
      <c r="N788" s="1197"/>
      <c r="O788" s="1197"/>
      <c r="P788" s="1197"/>
      <c r="Q788" s="1197"/>
      <c r="R788" s="1197"/>
      <c r="S788" s="1197"/>
      <c r="T788" s="1197"/>
      <c r="U788" s="1197"/>
      <c r="V788" s="1197"/>
      <c r="W788" s="1197"/>
      <c r="X788" s="1165"/>
      <c r="Y788" s="1166"/>
      <c r="Z788" s="1167"/>
      <c r="AA788" s="614"/>
    </row>
    <row r="789" spans="1:27" ht="19.5" customHeight="1" x14ac:dyDescent="0.2">
      <c r="A789" s="578" t="s">
        <v>851</v>
      </c>
      <c r="B789" s="566"/>
      <c r="C789" s="566"/>
      <c r="D789" s="566"/>
      <c r="E789" s="566"/>
      <c r="F789" s="566"/>
      <c r="G789" s="566"/>
      <c r="H789" s="566"/>
      <c r="I789" s="566"/>
      <c r="J789" s="566"/>
      <c r="K789" s="566"/>
      <c r="M789" s="241"/>
      <c r="O789" s="578" t="s">
        <v>522</v>
      </c>
      <c r="P789" s="566"/>
      <c r="Q789" s="566"/>
      <c r="R789" s="566"/>
      <c r="S789" s="566"/>
      <c r="T789" s="566"/>
      <c r="U789" s="566"/>
      <c r="V789" s="566"/>
      <c r="W789" s="520"/>
      <c r="AA789" s="611"/>
    </row>
    <row r="790" spans="1:27" x14ac:dyDescent="0.2">
      <c r="A790" s="577" t="s">
        <v>1</v>
      </c>
      <c r="B790" s="567"/>
      <c r="C790" s="567"/>
      <c r="D790" s="567"/>
      <c r="E790" s="567"/>
      <c r="F790" s="567"/>
      <c r="G790" s="568"/>
      <c r="H790" s="1086" t="s">
        <v>520</v>
      </c>
      <c r="I790" s="1087"/>
      <c r="J790" s="1087"/>
      <c r="K790" s="1088"/>
      <c r="M790" s="577" t="s">
        <v>1</v>
      </c>
      <c r="N790" s="567"/>
      <c r="O790" s="567"/>
      <c r="P790" s="567"/>
      <c r="Q790" s="567"/>
      <c r="R790" s="567"/>
      <c r="S790" s="585" t="s">
        <v>520</v>
      </c>
      <c r="T790" s="586"/>
      <c r="U790" s="586"/>
      <c r="V790" s="587"/>
      <c r="AA790" s="611"/>
    </row>
    <row r="791" spans="1:27" ht="69" customHeight="1" x14ac:dyDescent="0.2">
      <c r="A791" s="242"/>
      <c r="B791" s="243"/>
      <c r="C791" s="243"/>
      <c r="D791" s="243"/>
      <c r="E791" s="243"/>
      <c r="F791" s="243"/>
      <c r="G791" s="244"/>
      <c r="H791" s="242"/>
      <c r="I791" s="243"/>
      <c r="J791" s="243"/>
      <c r="K791" s="244"/>
      <c r="M791" s="242"/>
      <c r="N791" s="243"/>
      <c r="O791" s="243"/>
      <c r="P791" s="243"/>
      <c r="Q791" s="243"/>
      <c r="R791" s="243"/>
      <c r="S791" s="242"/>
      <c r="T791" s="243"/>
      <c r="U791" s="243"/>
      <c r="V791" s="244"/>
      <c r="AA791" s="611"/>
    </row>
  </sheetData>
  <mergeCells count="1464">
    <mergeCell ref="H790:K790"/>
    <mergeCell ref="X786:Z786"/>
    <mergeCell ref="F787:H787"/>
    <mergeCell ref="I787:K787"/>
    <mergeCell ref="L787:N787"/>
    <mergeCell ref="O787:Q787"/>
    <mergeCell ref="R787:T787"/>
    <mergeCell ref="U787:W787"/>
    <mergeCell ref="X787:Z788"/>
    <mergeCell ref="F788:H788"/>
    <mergeCell ref="I788:K788"/>
    <mergeCell ref="L788:N788"/>
    <mergeCell ref="O788:Q788"/>
    <mergeCell ref="R788:T788"/>
    <mergeCell ref="U788:W788"/>
    <mergeCell ref="T784:V784"/>
    <mergeCell ref="A786:D788"/>
    <mergeCell ref="F786:H786"/>
    <mergeCell ref="I786:K786"/>
    <mergeCell ref="L786:N786"/>
    <mergeCell ref="O786:Q786"/>
    <mergeCell ref="R786:T786"/>
    <mergeCell ref="U786:W786"/>
    <mergeCell ref="F784:H784"/>
    <mergeCell ref="M784:O784"/>
    <mergeCell ref="F779:H779"/>
    <mergeCell ref="M779:O779"/>
    <mergeCell ref="T779:V779"/>
    <mergeCell ref="M776:O776"/>
    <mergeCell ref="T776:V776"/>
    <mergeCell ref="F778:L778"/>
    <mergeCell ref="M778:S778"/>
    <mergeCell ref="T778:Z778"/>
    <mergeCell ref="A772:E772"/>
    <mergeCell ref="A773:E773"/>
    <mergeCell ref="A774:E774"/>
    <mergeCell ref="A775:E775"/>
    <mergeCell ref="F776:H776"/>
    <mergeCell ref="A779:E779"/>
    <mergeCell ref="F770:L770"/>
    <mergeCell ref="M770:S770"/>
    <mergeCell ref="T770:Z770"/>
    <mergeCell ref="A771:E771"/>
    <mergeCell ref="F771:H771"/>
    <mergeCell ref="M771:O771"/>
    <mergeCell ref="T771:V771"/>
    <mergeCell ref="J766:K766"/>
    <mergeCell ref="V766:W766"/>
    <mergeCell ref="J767:K767"/>
    <mergeCell ref="V767:W767"/>
    <mergeCell ref="J768:K768"/>
    <mergeCell ref="V768:W768"/>
    <mergeCell ref="H757:K757"/>
    <mergeCell ref="B761:C761"/>
    <mergeCell ref="P761:S765"/>
    <mergeCell ref="T761:Z761"/>
    <mergeCell ref="A762:H762"/>
    <mergeCell ref="I762:N762"/>
    <mergeCell ref="T762:Z762"/>
    <mergeCell ref="A763:H763"/>
    <mergeCell ref="I763:N763"/>
    <mergeCell ref="I764:N765"/>
    <mergeCell ref="X753:Z753"/>
    <mergeCell ref="F754:H754"/>
    <mergeCell ref="I754:K754"/>
    <mergeCell ref="L754:N754"/>
    <mergeCell ref="O754:Q754"/>
    <mergeCell ref="R754:T754"/>
    <mergeCell ref="U754:W754"/>
    <mergeCell ref="X754:Z755"/>
    <mergeCell ref="F755:H755"/>
    <mergeCell ref="I755:K755"/>
    <mergeCell ref="L755:N755"/>
    <mergeCell ref="O755:Q755"/>
    <mergeCell ref="R755:T755"/>
    <mergeCell ref="U755:W755"/>
    <mergeCell ref="T751:V751"/>
    <mergeCell ref="A753:D755"/>
    <mergeCell ref="F753:H753"/>
    <mergeCell ref="I753:K753"/>
    <mergeCell ref="L753:N753"/>
    <mergeCell ref="O753:Q753"/>
    <mergeCell ref="R753:T753"/>
    <mergeCell ref="U753:W753"/>
    <mergeCell ref="F751:H751"/>
    <mergeCell ref="M751:O751"/>
    <mergeCell ref="F746:H746"/>
    <mergeCell ref="M746:O746"/>
    <mergeCell ref="T746:V746"/>
    <mergeCell ref="M743:O743"/>
    <mergeCell ref="T743:V743"/>
    <mergeCell ref="F745:L745"/>
    <mergeCell ref="M745:S745"/>
    <mergeCell ref="T745:Z745"/>
    <mergeCell ref="A739:E739"/>
    <mergeCell ref="A740:E740"/>
    <mergeCell ref="A741:E741"/>
    <mergeCell ref="A742:E742"/>
    <mergeCell ref="F743:H743"/>
    <mergeCell ref="A746:E746"/>
    <mergeCell ref="F737:L737"/>
    <mergeCell ref="M737:S737"/>
    <mergeCell ref="T737:Z737"/>
    <mergeCell ref="A738:E738"/>
    <mergeCell ref="F738:H738"/>
    <mergeCell ref="M738:O738"/>
    <mergeCell ref="T738:V738"/>
    <mergeCell ref="J733:K733"/>
    <mergeCell ref="V733:W733"/>
    <mergeCell ref="J734:K734"/>
    <mergeCell ref="V734:W734"/>
    <mergeCell ref="J735:K735"/>
    <mergeCell ref="V735:W735"/>
    <mergeCell ref="H724:K724"/>
    <mergeCell ref="B728:C728"/>
    <mergeCell ref="P728:S732"/>
    <mergeCell ref="T728:Z728"/>
    <mergeCell ref="A729:H729"/>
    <mergeCell ref="I729:N729"/>
    <mergeCell ref="T729:Z729"/>
    <mergeCell ref="A730:H730"/>
    <mergeCell ref="I730:N730"/>
    <mergeCell ref="I731:N732"/>
    <mergeCell ref="X720:Z720"/>
    <mergeCell ref="F721:H721"/>
    <mergeCell ref="I721:K721"/>
    <mergeCell ref="L721:N721"/>
    <mergeCell ref="O721:Q721"/>
    <mergeCell ref="R721:T721"/>
    <mergeCell ref="U721:W721"/>
    <mergeCell ref="X721:Z722"/>
    <mergeCell ref="F722:H722"/>
    <mergeCell ref="I722:K722"/>
    <mergeCell ref="L722:N722"/>
    <mergeCell ref="O722:Q722"/>
    <mergeCell ref="R722:T722"/>
    <mergeCell ref="U722:W722"/>
    <mergeCell ref="T718:V718"/>
    <mergeCell ref="A720:D722"/>
    <mergeCell ref="F720:H720"/>
    <mergeCell ref="I720:K720"/>
    <mergeCell ref="L720:N720"/>
    <mergeCell ref="O720:Q720"/>
    <mergeCell ref="R720:T720"/>
    <mergeCell ref="U720:W720"/>
    <mergeCell ref="F718:H718"/>
    <mergeCell ref="M718:O718"/>
    <mergeCell ref="F713:H713"/>
    <mergeCell ref="M713:O713"/>
    <mergeCell ref="T713:V713"/>
    <mergeCell ref="M710:O710"/>
    <mergeCell ref="T710:V710"/>
    <mergeCell ref="F712:L712"/>
    <mergeCell ref="M712:S712"/>
    <mergeCell ref="T712:Z712"/>
    <mergeCell ref="A706:E706"/>
    <mergeCell ref="A707:E707"/>
    <mergeCell ref="A708:E708"/>
    <mergeCell ref="A709:E709"/>
    <mergeCell ref="F710:H710"/>
    <mergeCell ref="A713:E713"/>
    <mergeCell ref="F704:L704"/>
    <mergeCell ref="M704:S704"/>
    <mergeCell ref="T704:Z704"/>
    <mergeCell ref="A705:E705"/>
    <mergeCell ref="F705:H705"/>
    <mergeCell ref="M705:O705"/>
    <mergeCell ref="T705:V705"/>
    <mergeCell ref="J700:K700"/>
    <mergeCell ref="V700:W700"/>
    <mergeCell ref="J701:K701"/>
    <mergeCell ref="V701:W701"/>
    <mergeCell ref="J702:K702"/>
    <mergeCell ref="V702:W702"/>
    <mergeCell ref="H691:K691"/>
    <mergeCell ref="B695:C695"/>
    <mergeCell ref="P695:S699"/>
    <mergeCell ref="T695:Z695"/>
    <mergeCell ref="A696:H696"/>
    <mergeCell ref="I696:N696"/>
    <mergeCell ref="T696:Z696"/>
    <mergeCell ref="A697:H697"/>
    <mergeCell ref="I697:N697"/>
    <mergeCell ref="I698:N699"/>
    <mergeCell ref="X687:Z687"/>
    <mergeCell ref="F688:H688"/>
    <mergeCell ref="I688:K688"/>
    <mergeCell ref="L688:N688"/>
    <mergeCell ref="O688:Q688"/>
    <mergeCell ref="R688:T688"/>
    <mergeCell ref="U688:W688"/>
    <mergeCell ref="X688:Z689"/>
    <mergeCell ref="F689:H689"/>
    <mergeCell ref="I689:K689"/>
    <mergeCell ref="L689:N689"/>
    <mergeCell ref="O689:Q689"/>
    <mergeCell ref="R689:T689"/>
    <mergeCell ref="U689:W689"/>
    <mergeCell ref="T685:V685"/>
    <mergeCell ref="A687:D689"/>
    <mergeCell ref="F687:H687"/>
    <mergeCell ref="I687:K687"/>
    <mergeCell ref="L687:N687"/>
    <mergeCell ref="O687:Q687"/>
    <mergeCell ref="R687:T687"/>
    <mergeCell ref="U687:W687"/>
    <mergeCell ref="F685:H685"/>
    <mergeCell ref="M685:O685"/>
    <mergeCell ref="F680:H680"/>
    <mergeCell ref="M680:O680"/>
    <mergeCell ref="T680:V680"/>
    <mergeCell ref="M677:O677"/>
    <mergeCell ref="T677:V677"/>
    <mergeCell ref="F679:L679"/>
    <mergeCell ref="M679:S679"/>
    <mergeCell ref="T679:Z679"/>
    <mergeCell ref="A673:E673"/>
    <mergeCell ref="A674:E674"/>
    <mergeCell ref="A675:E675"/>
    <mergeCell ref="A676:E676"/>
    <mergeCell ref="F677:H677"/>
    <mergeCell ref="A680:E680"/>
    <mergeCell ref="F671:L671"/>
    <mergeCell ref="M671:S671"/>
    <mergeCell ref="T671:Z671"/>
    <mergeCell ref="A672:E672"/>
    <mergeCell ref="F672:H672"/>
    <mergeCell ref="M672:O672"/>
    <mergeCell ref="T672:V672"/>
    <mergeCell ref="J667:K667"/>
    <mergeCell ref="V667:W667"/>
    <mergeCell ref="J668:K668"/>
    <mergeCell ref="V668:W668"/>
    <mergeCell ref="J669:K669"/>
    <mergeCell ref="V669:W669"/>
    <mergeCell ref="H658:K658"/>
    <mergeCell ref="B662:C662"/>
    <mergeCell ref="P662:S666"/>
    <mergeCell ref="T662:Z662"/>
    <mergeCell ref="A663:H663"/>
    <mergeCell ref="I663:N663"/>
    <mergeCell ref="T663:Z663"/>
    <mergeCell ref="A664:H664"/>
    <mergeCell ref="I664:N664"/>
    <mergeCell ref="I665:N666"/>
    <mergeCell ref="X654:Z654"/>
    <mergeCell ref="F655:H655"/>
    <mergeCell ref="I655:K655"/>
    <mergeCell ref="L655:N655"/>
    <mergeCell ref="O655:Q655"/>
    <mergeCell ref="R655:T655"/>
    <mergeCell ref="U655:W655"/>
    <mergeCell ref="X655:Z656"/>
    <mergeCell ref="F656:H656"/>
    <mergeCell ref="I656:K656"/>
    <mergeCell ref="L656:N656"/>
    <mergeCell ref="O656:Q656"/>
    <mergeCell ref="R656:T656"/>
    <mergeCell ref="U656:W656"/>
    <mergeCell ref="T652:V652"/>
    <mergeCell ref="A654:D656"/>
    <mergeCell ref="F654:H654"/>
    <mergeCell ref="I654:K654"/>
    <mergeCell ref="L654:N654"/>
    <mergeCell ref="O654:Q654"/>
    <mergeCell ref="R654:T654"/>
    <mergeCell ref="U654:W654"/>
    <mergeCell ref="F652:H652"/>
    <mergeCell ref="M652:O652"/>
    <mergeCell ref="F647:H647"/>
    <mergeCell ref="M647:O647"/>
    <mergeCell ref="T647:V647"/>
    <mergeCell ref="M644:O644"/>
    <mergeCell ref="T644:V644"/>
    <mergeCell ref="F646:L646"/>
    <mergeCell ref="M646:S646"/>
    <mergeCell ref="T646:Z646"/>
    <mergeCell ref="A640:E640"/>
    <mergeCell ref="A641:E641"/>
    <mergeCell ref="A642:E642"/>
    <mergeCell ref="A643:E643"/>
    <mergeCell ref="F644:H644"/>
    <mergeCell ref="A647:E647"/>
    <mergeCell ref="F638:L638"/>
    <mergeCell ref="M638:S638"/>
    <mergeCell ref="T638:Z638"/>
    <mergeCell ref="A639:E639"/>
    <mergeCell ref="F639:H639"/>
    <mergeCell ref="M639:O639"/>
    <mergeCell ref="T639:V639"/>
    <mergeCell ref="J634:K634"/>
    <mergeCell ref="V634:W634"/>
    <mergeCell ref="J635:K635"/>
    <mergeCell ref="V635:W635"/>
    <mergeCell ref="J636:K636"/>
    <mergeCell ref="V636:W636"/>
    <mergeCell ref="H625:K625"/>
    <mergeCell ref="B629:C629"/>
    <mergeCell ref="P629:S633"/>
    <mergeCell ref="T629:Z629"/>
    <mergeCell ref="A630:H630"/>
    <mergeCell ref="I630:N630"/>
    <mergeCell ref="T630:Z630"/>
    <mergeCell ref="A631:H631"/>
    <mergeCell ref="I631:N631"/>
    <mergeCell ref="I632:N633"/>
    <mergeCell ref="X621:Z621"/>
    <mergeCell ref="F622:H622"/>
    <mergeCell ref="I622:K622"/>
    <mergeCell ref="L622:N622"/>
    <mergeCell ref="O622:Q622"/>
    <mergeCell ref="R622:T622"/>
    <mergeCell ref="U622:W622"/>
    <mergeCell ref="X622:Z623"/>
    <mergeCell ref="F623:H623"/>
    <mergeCell ref="I623:K623"/>
    <mergeCell ref="L623:N623"/>
    <mergeCell ref="O623:Q623"/>
    <mergeCell ref="R623:T623"/>
    <mergeCell ref="U623:W623"/>
    <mergeCell ref="T619:V619"/>
    <mergeCell ref="A621:D623"/>
    <mergeCell ref="F621:H621"/>
    <mergeCell ref="I621:K621"/>
    <mergeCell ref="L621:N621"/>
    <mergeCell ref="O621:Q621"/>
    <mergeCell ref="R621:T621"/>
    <mergeCell ref="U621:W621"/>
    <mergeCell ref="F619:H619"/>
    <mergeCell ref="M619:O619"/>
    <mergeCell ref="F614:H614"/>
    <mergeCell ref="M614:O614"/>
    <mergeCell ref="T614:V614"/>
    <mergeCell ref="M611:O611"/>
    <mergeCell ref="T611:V611"/>
    <mergeCell ref="F613:L613"/>
    <mergeCell ref="M613:S613"/>
    <mergeCell ref="T613:Z613"/>
    <mergeCell ref="A607:E607"/>
    <mergeCell ref="A608:E608"/>
    <mergeCell ref="A609:E609"/>
    <mergeCell ref="A610:E610"/>
    <mergeCell ref="F611:H611"/>
    <mergeCell ref="A614:E614"/>
    <mergeCell ref="F605:L605"/>
    <mergeCell ref="M605:S605"/>
    <mergeCell ref="T605:Z605"/>
    <mergeCell ref="A606:E606"/>
    <mergeCell ref="F606:H606"/>
    <mergeCell ref="M606:O606"/>
    <mergeCell ref="T606:V606"/>
    <mergeCell ref="J601:K601"/>
    <mergeCell ref="V601:W601"/>
    <mergeCell ref="J602:K602"/>
    <mergeCell ref="V602:W602"/>
    <mergeCell ref="J603:K603"/>
    <mergeCell ref="V603:W603"/>
    <mergeCell ref="H592:K592"/>
    <mergeCell ref="B596:C596"/>
    <mergeCell ref="P596:S600"/>
    <mergeCell ref="T596:Z596"/>
    <mergeCell ref="A597:H597"/>
    <mergeCell ref="I597:N597"/>
    <mergeCell ref="T597:Z597"/>
    <mergeCell ref="A598:H598"/>
    <mergeCell ref="I598:N598"/>
    <mergeCell ref="I599:N600"/>
    <mergeCell ref="X588:Z588"/>
    <mergeCell ref="F589:H589"/>
    <mergeCell ref="I589:K589"/>
    <mergeCell ref="L589:N589"/>
    <mergeCell ref="O589:Q589"/>
    <mergeCell ref="R589:T589"/>
    <mergeCell ref="U589:W589"/>
    <mergeCell ref="X589:Z590"/>
    <mergeCell ref="F590:H590"/>
    <mergeCell ref="I590:K590"/>
    <mergeCell ref="L590:N590"/>
    <mergeCell ref="O590:Q590"/>
    <mergeCell ref="R590:T590"/>
    <mergeCell ref="U590:W590"/>
    <mergeCell ref="T586:V586"/>
    <mergeCell ref="A588:D590"/>
    <mergeCell ref="F588:H588"/>
    <mergeCell ref="I588:K588"/>
    <mergeCell ref="L588:N588"/>
    <mergeCell ref="O588:Q588"/>
    <mergeCell ref="R588:T588"/>
    <mergeCell ref="U588:W588"/>
    <mergeCell ref="F586:H586"/>
    <mergeCell ref="M586:O586"/>
    <mergeCell ref="F581:H581"/>
    <mergeCell ref="M581:O581"/>
    <mergeCell ref="T581:V581"/>
    <mergeCell ref="M578:O578"/>
    <mergeCell ref="T578:V578"/>
    <mergeCell ref="F580:L580"/>
    <mergeCell ref="M580:S580"/>
    <mergeCell ref="T580:Z580"/>
    <mergeCell ref="A574:E574"/>
    <mergeCell ref="A575:E575"/>
    <mergeCell ref="A576:E576"/>
    <mergeCell ref="A577:E577"/>
    <mergeCell ref="F578:H578"/>
    <mergeCell ref="A581:E581"/>
    <mergeCell ref="F572:L572"/>
    <mergeCell ref="M572:S572"/>
    <mergeCell ref="T572:Z572"/>
    <mergeCell ref="A573:E573"/>
    <mergeCell ref="F573:H573"/>
    <mergeCell ref="M573:O573"/>
    <mergeCell ref="T573:V573"/>
    <mergeCell ref="J568:K568"/>
    <mergeCell ref="V568:W568"/>
    <mergeCell ref="J569:K569"/>
    <mergeCell ref="V569:W569"/>
    <mergeCell ref="J570:K570"/>
    <mergeCell ref="V570:W570"/>
    <mergeCell ref="H559:K559"/>
    <mergeCell ref="B563:C563"/>
    <mergeCell ref="P563:S567"/>
    <mergeCell ref="T563:Z563"/>
    <mergeCell ref="A564:H564"/>
    <mergeCell ref="I564:N564"/>
    <mergeCell ref="T564:Z564"/>
    <mergeCell ref="A565:H565"/>
    <mergeCell ref="I565:N565"/>
    <mergeCell ref="I566:N567"/>
    <mergeCell ref="X555:Z555"/>
    <mergeCell ref="F556:H556"/>
    <mergeCell ref="I556:K556"/>
    <mergeCell ref="L556:N556"/>
    <mergeCell ref="O556:Q556"/>
    <mergeCell ref="R556:T556"/>
    <mergeCell ref="U556:W556"/>
    <mergeCell ref="X556:Z557"/>
    <mergeCell ref="F557:H557"/>
    <mergeCell ref="I557:K557"/>
    <mergeCell ref="L557:N557"/>
    <mergeCell ref="O557:Q557"/>
    <mergeCell ref="R557:T557"/>
    <mergeCell ref="U557:W557"/>
    <mergeCell ref="T553:V553"/>
    <mergeCell ref="A555:D557"/>
    <mergeCell ref="F555:H555"/>
    <mergeCell ref="I555:K555"/>
    <mergeCell ref="L555:N555"/>
    <mergeCell ref="O555:Q555"/>
    <mergeCell ref="R555:T555"/>
    <mergeCell ref="U555:W555"/>
    <mergeCell ref="F553:H553"/>
    <mergeCell ref="M553:O553"/>
    <mergeCell ref="F548:H548"/>
    <mergeCell ref="M548:O548"/>
    <mergeCell ref="T548:V548"/>
    <mergeCell ref="M545:O545"/>
    <mergeCell ref="T545:V545"/>
    <mergeCell ref="F547:L547"/>
    <mergeCell ref="M547:S547"/>
    <mergeCell ref="T547:Z547"/>
    <mergeCell ref="A541:E541"/>
    <mergeCell ref="A542:E542"/>
    <mergeCell ref="A543:E543"/>
    <mergeCell ref="A544:E544"/>
    <mergeCell ref="F545:H545"/>
    <mergeCell ref="A548:E548"/>
    <mergeCell ref="F539:L539"/>
    <mergeCell ref="M539:S539"/>
    <mergeCell ref="T539:Z539"/>
    <mergeCell ref="A540:E540"/>
    <mergeCell ref="F540:H540"/>
    <mergeCell ref="M540:O540"/>
    <mergeCell ref="T540:V540"/>
    <mergeCell ref="J535:K535"/>
    <mergeCell ref="V535:W535"/>
    <mergeCell ref="J536:K536"/>
    <mergeCell ref="V536:W536"/>
    <mergeCell ref="J537:K537"/>
    <mergeCell ref="V537:W537"/>
    <mergeCell ref="H526:K526"/>
    <mergeCell ref="B530:C530"/>
    <mergeCell ref="P530:S534"/>
    <mergeCell ref="T530:Z530"/>
    <mergeCell ref="A531:H531"/>
    <mergeCell ref="I531:N531"/>
    <mergeCell ref="T531:Z531"/>
    <mergeCell ref="A532:H532"/>
    <mergeCell ref="I532:N532"/>
    <mergeCell ref="I533:N534"/>
    <mergeCell ref="X522:Z522"/>
    <mergeCell ref="F523:H523"/>
    <mergeCell ref="I523:K523"/>
    <mergeCell ref="L523:N523"/>
    <mergeCell ref="O523:Q523"/>
    <mergeCell ref="R523:T523"/>
    <mergeCell ref="U523:W523"/>
    <mergeCell ref="X523:Z524"/>
    <mergeCell ref="F524:H524"/>
    <mergeCell ref="I524:K524"/>
    <mergeCell ref="L524:N524"/>
    <mergeCell ref="O524:Q524"/>
    <mergeCell ref="R524:T524"/>
    <mergeCell ref="U524:W524"/>
    <mergeCell ref="T520:V520"/>
    <mergeCell ref="A522:D524"/>
    <mergeCell ref="F522:H522"/>
    <mergeCell ref="I522:K522"/>
    <mergeCell ref="L522:N522"/>
    <mergeCell ref="O522:Q522"/>
    <mergeCell ref="R522:T522"/>
    <mergeCell ref="U522:W522"/>
    <mergeCell ref="F520:H520"/>
    <mergeCell ref="M520:O520"/>
    <mergeCell ref="F515:H515"/>
    <mergeCell ref="M515:O515"/>
    <mergeCell ref="T515:V515"/>
    <mergeCell ref="M512:O512"/>
    <mergeCell ref="T512:V512"/>
    <mergeCell ref="F514:L514"/>
    <mergeCell ref="M514:S514"/>
    <mergeCell ref="T514:Z514"/>
    <mergeCell ref="A508:E508"/>
    <mergeCell ref="A509:E509"/>
    <mergeCell ref="A510:E510"/>
    <mergeCell ref="A511:E511"/>
    <mergeCell ref="F512:H512"/>
    <mergeCell ref="A515:E515"/>
    <mergeCell ref="F506:L506"/>
    <mergeCell ref="M506:S506"/>
    <mergeCell ref="T506:Z506"/>
    <mergeCell ref="A507:E507"/>
    <mergeCell ref="F507:H507"/>
    <mergeCell ref="M507:O507"/>
    <mergeCell ref="T507:V507"/>
    <mergeCell ref="J502:K502"/>
    <mergeCell ref="V502:W502"/>
    <mergeCell ref="J503:K503"/>
    <mergeCell ref="V503:W503"/>
    <mergeCell ref="J504:K504"/>
    <mergeCell ref="V504:W504"/>
    <mergeCell ref="H493:K493"/>
    <mergeCell ref="B497:C497"/>
    <mergeCell ref="P497:S501"/>
    <mergeCell ref="T497:Z497"/>
    <mergeCell ref="A498:H498"/>
    <mergeCell ref="I498:N498"/>
    <mergeCell ref="T498:Z498"/>
    <mergeCell ref="A499:H499"/>
    <mergeCell ref="I499:N499"/>
    <mergeCell ref="I500:N501"/>
    <mergeCell ref="X489:Z489"/>
    <mergeCell ref="F490:H490"/>
    <mergeCell ref="I490:K490"/>
    <mergeCell ref="L490:N490"/>
    <mergeCell ref="O490:Q490"/>
    <mergeCell ref="R490:T490"/>
    <mergeCell ref="U490:W490"/>
    <mergeCell ref="X490:Z491"/>
    <mergeCell ref="F491:H491"/>
    <mergeCell ref="I491:K491"/>
    <mergeCell ref="L491:N491"/>
    <mergeCell ref="O491:Q491"/>
    <mergeCell ref="R491:T491"/>
    <mergeCell ref="U491:W491"/>
    <mergeCell ref="T487:V487"/>
    <mergeCell ref="A489:D491"/>
    <mergeCell ref="F489:H489"/>
    <mergeCell ref="I489:K489"/>
    <mergeCell ref="L489:N489"/>
    <mergeCell ref="O489:Q489"/>
    <mergeCell ref="R489:T489"/>
    <mergeCell ref="U489:W489"/>
    <mergeCell ref="F487:H487"/>
    <mergeCell ref="M487:O487"/>
    <mergeCell ref="F482:H482"/>
    <mergeCell ref="M482:O482"/>
    <mergeCell ref="T482:V482"/>
    <mergeCell ref="M479:O479"/>
    <mergeCell ref="T479:V479"/>
    <mergeCell ref="F481:L481"/>
    <mergeCell ref="M481:S481"/>
    <mergeCell ref="T481:Z481"/>
    <mergeCell ref="A475:E475"/>
    <mergeCell ref="A476:E476"/>
    <mergeCell ref="A477:E477"/>
    <mergeCell ref="A478:E478"/>
    <mergeCell ref="F479:H479"/>
    <mergeCell ref="A482:E482"/>
    <mergeCell ref="F473:L473"/>
    <mergeCell ref="M473:S473"/>
    <mergeCell ref="T473:Z473"/>
    <mergeCell ref="A474:E474"/>
    <mergeCell ref="F474:H474"/>
    <mergeCell ref="M474:O474"/>
    <mergeCell ref="T474:V474"/>
    <mergeCell ref="J469:K469"/>
    <mergeCell ref="V469:W469"/>
    <mergeCell ref="J470:K470"/>
    <mergeCell ref="V470:W470"/>
    <mergeCell ref="J471:K471"/>
    <mergeCell ref="V471:W471"/>
    <mergeCell ref="H460:K460"/>
    <mergeCell ref="B464:C464"/>
    <mergeCell ref="P464:S468"/>
    <mergeCell ref="T464:Z464"/>
    <mergeCell ref="A465:H465"/>
    <mergeCell ref="I465:N465"/>
    <mergeCell ref="T465:Z465"/>
    <mergeCell ref="A466:H466"/>
    <mergeCell ref="I466:N466"/>
    <mergeCell ref="I467:N468"/>
    <mergeCell ref="X456:Z456"/>
    <mergeCell ref="F457:H457"/>
    <mergeCell ref="I457:K457"/>
    <mergeCell ref="L457:N457"/>
    <mergeCell ref="O457:Q457"/>
    <mergeCell ref="R457:T457"/>
    <mergeCell ref="U457:W457"/>
    <mergeCell ref="X457:Z458"/>
    <mergeCell ref="F458:H458"/>
    <mergeCell ref="I458:K458"/>
    <mergeCell ref="L458:N458"/>
    <mergeCell ref="O458:Q458"/>
    <mergeCell ref="R458:T458"/>
    <mergeCell ref="U458:W458"/>
    <mergeCell ref="T454:V454"/>
    <mergeCell ref="A456:D458"/>
    <mergeCell ref="F456:H456"/>
    <mergeCell ref="I456:K456"/>
    <mergeCell ref="L456:N456"/>
    <mergeCell ref="O456:Q456"/>
    <mergeCell ref="R456:T456"/>
    <mergeCell ref="U456:W456"/>
    <mergeCell ref="F454:H454"/>
    <mergeCell ref="M454:O454"/>
    <mergeCell ref="F449:H449"/>
    <mergeCell ref="M449:O449"/>
    <mergeCell ref="T449:V449"/>
    <mergeCell ref="M446:O446"/>
    <mergeCell ref="T446:V446"/>
    <mergeCell ref="F448:L448"/>
    <mergeCell ref="M448:S448"/>
    <mergeCell ref="T448:Z448"/>
    <mergeCell ref="A442:E442"/>
    <mergeCell ref="A443:E443"/>
    <mergeCell ref="A444:E444"/>
    <mergeCell ref="A445:E445"/>
    <mergeCell ref="F446:H446"/>
    <mergeCell ref="A449:E449"/>
    <mergeCell ref="F440:L440"/>
    <mergeCell ref="M440:S440"/>
    <mergeCell ref="T440:Z440"/>
    <mergeCell ref="A441:E441"/>
    <mergeCell ref="F441:H441"/>
    <mergeCell ref="M441:O441"/>
    <mergeCell ref="T441:V441"/>
    <mergeCell ref="J436:K436"/>
    <mergeCell ref="V436:W436"/>
    <mergeCell ref="J437:K437"/>
    <mergeCell ref="V437:W437"/>
    <mergeCell ref="J438:K438"/>
    <mergeCell ref="V438:W438"/>
    <mergeCell ref="H427:K427"/>
    <mergeCell ref="B431:C431"/>
    <mergeCell ref="P431:S435"/>
    <mergeCell ref="T431:Z431"/>
    <mergeCell ref="A432:H432"/>
    <mergeCell ref="I432:N432"/>
    <mergeCell ref="T432:Z432"/>
    <mergeCell ref="A433:H433"/>
    <mergeCell ref="I433:N433"/>
    <mergeCell ref="I434:N435"/>
    <mergeCell ref="X423:Z423"/>
    <mergeCell ref="F424:H424"/>
    <mergeCell ref="I424:K424"/>
    <mergeCell ref="L424:N424"/>
    <mergeCell ref="O424:Q424"/>
    <mergeCell ref="R424:T424"/>
    <mergeCell ref="U424:W424"/>
    <mergeCell ref="X424:Z425"/>
    <mergeCell ref="F425:H425"/>
    <mergeCell ref="I425:K425"/>
    <mergeCell ref="L425:N425"/>
    <mergeCell ref="O425:Q425"/>
    <mergeCell ref="R425:T425"/>
    <mergeCell ref="U425:W425"/>
    <mergeCell ref="T421:V421"/>
    <mergeCell ref="A423:D425"/>
    <mergeCell ref="F423:H423"/>
    <mergeCell ref="I423:K423"/>
    <mergeCell ref="L423:N423"/>
    <mergeCell ref="O423:Q423"/>
    <mergeCell ref="R423:T423"/>
    <mergeCell ref="U423:W423"/>
    <mergeCell ref="F421:H421"/>
    <mergeCell ref="M421:O421"/>
    <mergeCell ref="F416:H416"/>
    <mergeCell ref="M416:O416"/>
    <mergeCell ref="T416:V416"/>
    <mergeCell ref="M413:O413"/>
    <mergeCell ref="T413:V413"/>
    <mergeCell ref="F415:L415"/>
    <mergeCell ref="M415:S415"/>
    <mergeCell ref="T415:Z415"/>
    <mergeCell ref="A409:E409"/>
    <mergeCell ref="A410:E410"/>
    <mergeCell ref="A411:E411"/>
    <mergeCell ref="A412:E412"/>
    <mergeCell ref="F413:H413"/>
    <mergeCell ref="A416:E416"/>
    <mergeCell ref="F407:L407"/>
    <mergeCell ref="M407:S407"/>
    <mergeCell ref="T407:Z407"/>
    <mergeCell ref="A408:E408"/>
    <mergeCell ref="F408:H408"/>
    <mergeCell ref="M408:O408"/>
    <mergeCell ref="T408:V408"/>
    <mergeCell ref="J403:K403"/>
    <mergeCell ref="V403:W403"/>
    <mergeCell ref="J404:K404"/>
    <mergeCell ref="V404:W404"/>
    <mergeCell ref="J405:K405"/>
    <mergeCell ref="V405:W405"/>
    <mergeCell ref="H394:K394"/>
    <mergeCell ref="B398:C398"/>
    <mergeCell ref="P398:S402"/>
    <mergeCell ref="T398:Z398"/>
    <mergeCell ref="A399:H399"/>
    <mergeCell ref="I399:N399"/>
    <mergeCell ref="T399:Z399"/>
    <mergeCell ref="A400:H400"/>
    <mergeCell ref="I400:N400"/>
    <mergeCell ref="I401:N402"/>
    <mergeCell ref="X390:Z390"/>
    <mergeCell ref="F391:H391"/>
    <mergeCell ref="I391:K391"/>
    <mergeCell ref="L391:N391"/>
    <mergeCell ref="O391:Q391"/>
    <mergeCell ref="R391:T391"/>
    <mergeCell ref="U391:W391"/>
    <mergeCell ref="X391:Z392"/>
    <mergeCell ref="F392:H392"/>
    <mergeCell ref="I392:K392"/>
    <mergeCell ref="L392:N392"/>
    <mergeCell ref="O392:Q392"/>
    <mergeCell ref="R392:T392"/>
    <mergeCell ref="U392:W392"/>
    <mergeCell ref="T388:V388"/>
    <mergeCell ref="A390:D392"/>
    <mergeCell ref="F390:H390"/>
    <mergeCell ref="I390:K390"/>
    <mergeCell ref="L390:N390"/>
    <mergeCell ref="O390:Q390"/>
    <mergeCell ref="R390:T390"/>
    <mergeCell ref="U390:W390"/>
    <mergeCell ref="F388:H388"/>
    <mergeCell ref="M388:O388"/>
    <mergeCell ref="F383:H383"/>
    <mergeCell ref="M383:O383"/>
    <mergeCell ref="T383:V383"/>
    <mergeCell ref="M380:O380"/>
    <mergeCell ref="T380:V380"/>
    <mergeCell ref="F382:L382"/>
    <mergeCell ref="M382:S382"/>
    <mergeCell ref="T382:Z382"/>
    <mergeCell ref="A376:E376"/>
    <mergeCell ref="A377:E377"/>
    <mergeCell ref="A378:E378"/>
    <mergeCell ref="A379:E379"/>
    <mergeCell ref="F380:H380"/>
    <mergeCell ref="A383:E383"/>
    <mergeCell ref="F374:L374"/>
    <mergeCell ref="M374:S374"/>
    <mergeCell ref="T374:Z374"/>
    <mergeCell ref="A375:E375"/>
    <mergeCell ref="F375:H375"/>
    <mergeCell ref="M375:O375"/>
    <mergeCell ref="T375:V375"/>
    <mergeCell ref="J370:K370"/>
    <mergeCell ref="V370:W370"/>
    <mergeCell ref="J371:K371"/>
    <mergeCell ref="V371:W371"/>
    <mergeCell ref="J372:K372"/>
    <mergeCell ref="V372:W372"/>
    <mergeCell ref="H361:K361"/>
    <mergeCell ref="B365:C365"/>
    <mergeCell ref="P365:S369"/>
    <mergeCell ref="T365:Z365"/>
    <mergeCell ref="A366:H366"/>
    <mergeCell ref="I366:N366"/>
    <mergeCell ref="T366:Z366"/>
    <mergeCell ref="A367:H367"/>
    <mergeCell ref="I367:N367"/>
    <mergeCell ref="I368:N369"/>
    <mergeCell ref="X357:Z357"/>
    <mergeCell ref="F358:H358"/>
    <mergeCell ref="I358:K358"/>
    <mergeCell ref="L358:N358"/>
    <mergeCell ref="O358:Q358"/>
    <mergeCell ref="R358:T358"/>
    <mergeCell ref="U358:W358"/>
    <mergeCell ref="X358:Z359"/>
    <mergeCell ref="F359:H359"/>
    <mergeCell ref="I359:K359"/>
    <mergeCell ref="L359:N359"/>
    <mergeCell ref="O359:Q359"/>
    <mergeCell ref="R359:T359"/>
    <mergeCell ref="U359:W359"/>
    <mergeCell ref="T355:V355"/>
    <mergeCell ref="A357:D359"/>
    <mergeCell ref="F357:H357"/>
    <mergeCell ref="I357:K357"/>
    <mergeCell ref="L357:N357"/>
    <mergeCell ref="O357:Q357"/>
    <mergeCell ref="R357:T357"/>
    <mergeCell ref="U357:W357"/>
    <mergeCell ref="F355:H355"/>
    <mergeCell ref="M355:O355"/>
    <mergeCell ref="F350:H350"/>
    <mergeCell ref="M350:O350"/>
    <mergeCell ref="T350:V350"/>
    <mergeCell ref="M347:O347"/>
    <mergeCell ref="T347:V347"/>
    <mergeCell ref="F349:L349"/>
    <mergeCell ref="M349:S349"/>
    <mergeCell ref="T349:Z349"/>
    <mergeCell ref="A343:E343"/>
    <mergeCell ref="A344:E344"/>
    <mergeCell ref="A345:E345"/>
    <mergeCell ref="A346:E346"/>
    <mergeCell ref="F347:H347"/>
    <mergeCell ref="A350:E350"/>
    <mergeCell ref="F341:L341"/>
    <mergeCell ref="M341:S341"/>
    <mergeCell ref="T341:Z341"/>
    <mergeCell ref="A342:E342"/>
    <mergeCell ref="F342:H342"/>
    <mergeCell ref="M342:O342"/>
    <mergeCell ref="T342:V342"/>
    <mergeCell ref="J337:K337"/>
    <mergeCell ref="V337:W337"/>
    <mergeCell ref="J338:K338"/>
    <mergeCell ref="V338:W338"/>
    <mergeCell ref="J339:K339"/>
    <mergeCell ref="V339:W339"/>
    <mergeCell ref="H328:K328"/>
    <mergeCell ref="B332:C332"/>
    <mergeCell ref="P332:S336"/>
    <mergeCell ref="T332:Z332"/>
    <mergeCell ref="A333:H333"/>
    <mergeCell ref="I333:N333"/>
    <mergeCell ref="T333:Z333"/>
    <mergeCell ref="A334:H334"/>
    <mergeCell ref="I334:N334"/>
    <mergeCell ref="I335:N336"/>
    <mergeCell ref="X324:Z324"/>
    <mergeCell ref="F325:H325"/>
    <mergeCell ref="I325:K325"/>
    <mergeCell ref="L325:N325"/>
    <mergeCell ref="O325:Q325"/>
    <mergeCell ref="R325:T325"/>
    <mergeCell ref="U325:W325"/>
    <mergeCell ref="X325:Z326"/>
    <mergeCell ref="F326:H326"/>
    <mergeCell ref="I326:K326"/>
    <mergeCell ref="L326:N326"/>
    <mergeCell ref="O326:Q326"/>
    <mergeCell ref="R326:T326"/>
    <mergeCell ref="U326:W326"/>
    <mergeCell ref="T322:V322"/>
    <mergeCell ref="A324:D326"/>
    <mergeCell ref="F324:H324"/>
    <mergeCell ref="I324:K324"/>
    <mergeCell ref="L324:N324"/>
    <mergeCell ref="O324:Q324"/>
    <mergeCell ref="R324:T324"/>
    <mergeCell ref="U324:W324"/>
    <mergeCell ref="F322:H322"/>
    <mergeCell ref="M322:O322"/>
    <mergeCell ref="F317:H317"/>
    <mergeCell ref="M317:O317"/>
    <mergeCell ref="T317:V317"/>
    <mergeCell ref="M314:O314"/>
    <mergeCell ref="T314:V314"/>
    <mergeCell ref="F316:L316"/>
    <mergeCell ref="M316:S316"/>
    <mergeCell ref="T316:Z316"/>
    <mergeCell ref="A310:E310"/>
    <mergeCell ref="A311:E311"/>
    <mergeCell ref="A312:E312"/>
    <mergeCell ref="A313:E313"/>
    <mergeCell ref="F314:H314"/>
    <mergeCell ref="A317:E317"/>
    <mergeCell ref="F308:L308"/>
    <mergeCell ref="M308:S308"/>
    <mergeCell ref="T308:Z308"/>
    <mergeCell ref="A309:E309"/>
    <mergeCell ref="F309:H309"/>
    <mergeCell ref="M309:O309"/>
    <mergeCell ref="T309:V309"/>
    <mergeCell ref="J304:K304"/>
    <mergeCell ref="V304:W304"/>
    <mergeCell ref="J305:K305"/>
    <mergeCell ref="V305:W305"/>
    <mergeCell ref="J306:K306"/>
    <mergeCell ref="V306:W306"/>
    <mergeCell ref="H295:K295"/>
    <mergeCell ref="B299:C299"/>
    <mergeCell ref="P299:S303"/>
    <mergeCell ref="T299:Z299"/>
    <mergeCell ref="A300:H300"/>
    <mergeCell ref="I300:N300"/>
    <mergeCell ref="T300:Z300"/>
    <mergeCell ref="A301:H301"/>
    <mergeCell ref="I301:N301"/>
    <mergeCell ref="I302:N303"/>
    <mergeCell ref="X291:Z291"/>
    <mergeCell ref="F292:H292"/>
    <mergeCell ref="I292:K292"/>
    <mergeCell ref="L292:N292"/>
    <mergeCell ref="O292:Q292"/>
    <mergeCell ref="R292:T292"/>
    <mergeCell ref="U292:W292"/>
    <mergeCell ref="X292:Z293"/>
    <mergeCell ref="F293:H293"/>
    <mergeCell ref="I293:K293"/>
    <mergeCell ref="L293:N293"/>
    <mergeCell ref="O293:Q293"/>
    <mergeCell ref="R293:T293"/>
    <mergeCell ref="U293:W293"/>
    <mergeCell ref="T289:V289"/>
    <mergeCell ref="A291:D293"/>
    <mergeCell ref="F291:H291"/>
    <mergeCell ref="I291:K291"/>
    <mergeCell ref="L291:N291"/>
    <mergeCell ref="O291:Q291"/>
    <mergeCell ref="R291:T291"/>
    <mergeCell ref="U291:W291"/>
    <mergeCell ref="F289:H289"/>
    <mergeCell ref="M289:O289"/>
    <mergeCell ref="F284:H284"/>
    <mergeCell ref="M284:O284"/>
    <mergeCell ref="T284:V284"/>
    <mergeCell ref="M281:O281"/>
    <mergeCell ref="T281:V281"/>
    <mergeCell ref="F283:L283"/>
    <mergeCell ref="M283:S283"/>
    <mergeCell ref="T283:Z283"/>
    <mergeCell ref="A277:E277"/>
    <mergeCell ref="A278:E278"/>
    <mergeCell ref="A279:E279"/>
    <mergeCell ref="A280:E280"/>
    <mergeCell ref="F281:H281"/>
    <mergeCell ref="A284:E284"/>
    <mergeCell ref="F275:L275"/>
    <mergeCell ref="M275:S275"/>
    <mergeCell ref="T275:Z275"/>
    <mergeCell ref="A276:E276"/>
    <mergeCell ref="F276:H276"/>
    <mergeCell ref="M276:O276"/>
    <mergeCell ref="T276:V276"/>
    <mergeCell ref="J271:K271"/>
    <mergeCell ref="V271:W271"/>
    <mergeCell ref="J272:K272"/>
    <mergeCell ref="V272:W272"/>
    <mergeCell ref="J273:K273"/>
    <mergeCell ref="V273:W273"/>
    <mergeCell ref="H262:K262"/>
    <mergeCell ref="B266:C266"/>
    <mergeCell ref="P266:S270"/>
    <mergeCell ref="T266:Z266"/>
    <mergeCell ref="A267:H267"/>
    <mergeCell ref="I267:N267"/>
    <mergeCell ref="T267:Z267"/>
    <mergeCell ref="A268:H268"/>
    <mergeCell ref="I268:N268"/>
    <mergeCell ref="I269:N270"/>
    <mergeCell ref="X258:Z258"/>
    <mergeCell ref="F259:H259"/>
    <mergeCell ref="I259:K259"/>
    <mergeCell ref="L259:N259"/>
    <mergeCell ref="O259:Q259"/>
    <mergeCell ref="R259:T259"/>
    <mergeCell ref="U259:W259"/>
    <mergeCell ref="X259:Z260"/>
    <mergeCell ref="F260:H260"/>
    <mergeCell ref="I260:K260"/>
    <mergeCell ref="L260:N260"/>
    <mergeCell ref="O260:Q260"/>
    <mergeCell ref="R260:T260"/>
    <mergeCell ref="U260:W260"/>
    <mergeCell ref="T256:V256"/>
    <mergeCell ref="A258:D260"/>
    <mergeCell ref="F258:H258"/>
    <mergeCell ref="I258:K258"/>
    <mergeCell ref="L258:N258"/>
    <mergeCell ref="O258:Q258"/>
    <mergeCell ref="R258:T258"/>
    <mergeCell ref="U258:W258"/>
    <mergeCell ref="F256:H256"/>
    <mergeCell ref="M256:O256"/>
    <mergeCell ref="F251:H251"/>
    <mergeCell ref="M251:O251"/>
    <mergeCell ref="T251:V251"/>
    <mergeCell ref="M248:O248"/>
    <mergeCell ref="T248:V248"/>
    <mergeCell ref="F250:L250"/>
    <mergeCell ref="M250:S250"/>
    <mergeCell ref="T250:Z250"/>
    <mergeCell ref="A244:E244"/>
    <mergeCell ref="A245:E245"/>
    <mergeCell ref="A246:E246"/>
    <mergeCell ref="A247:E247"/>
    <mergeCell ref="F248:H248"/>
    <mergeCell ref="A251:E251"/>
    <mergeCell ref="F242:L242"/>
    <mergeCell ref="M242:S242"/>
    <mergeCell ref="T242:Z242"/>
    <mergeCell ref="A243:E243"/>
    <mergeCell ref="F243:H243"/>
    <mergeCell ref="M243:O243"/>
    <mergeCell ref="T243:V243"/>
    <mergeCell ref="J238:K238"/>
    <mergeCell ref="V238:W238"/>
    <mergeCell ref="J239:K239"/>
    <mergeCell ref="V239:W239"/>
    <mergeCell ref="J240:K240"/>
    <mergeCell ref="V240:W240"/>
    <mergeCell ref="H229:K229"/>
    <mergeCell ref="B233:C233"/>
    <mergeCell ref="P233:S237"/>
    <mergeCell ref="T233:Z233"/>
    <mergeCell ref="A234:H234"/>
    <mergeCell ref="I234:N234"/>
    <mergeCell ref="T234:Z234"/>
    <mergeCell ref="A235:H235"/>
    <mergeCell ref="I235:N235"/>
    <mergeCell ref="I236:N237"/>
    <mergeCell ref="X225:Z225"/>
    <mergeCell ref="F226:H226"/>
    <mergeCell ref="I226:K226"/>
    <mergeCell ref="L226:N226"/>
    <mergeCell ref="O226:Q226"/>
    <mergeCell ref="R226:T226"/>
    <mergeCell ref="U226:W226"/>
    <mergeCell ref="X226:Z227"/>
    <mergeCell ref="F227:H227"/>
    <mergeCell ref="I227:K227"/>
    <mergeCell ref="L227:N227"/>
    <mergeCell ref="O227:Q227"/>
    <mergeCell ref="R227:T227"/>
    <mergeCell ref="U227:W227"/>
    <mergeCell ref="T223:V223"/>
    <mergeCell ref="A225:D227"/>
    <mergeCell ref="F225:H225"/>
    <mergeCell ref="I225:K225"/>
    <mergeCell ref="L225:N225"/>
    <mergeCell ref="O225:Q225"/>
    <mergeCell ref="R225:T225"/>
    <mergeCell ref="U225:W225"/>
    <mergeCell ref="F223:H223"/>
    <mergeCell ref="M223:O223"/>
    <mergeCell ref="F218:H218"/>
    <mergeCell ref="M218:O218"/>
    <mergeCell ref="T218:V218"/>
    <mergeCell ref="M215:O215"/>
    <mergeCell ref="T215:V215"/>
    <mergeCell ref="F217:L217"/>
    <mergeCell ref="M217:S217"/>
    <mergeCell ref="T217:Z217"/>
    <mergeCell ref="A211:E211"/>
    <mergeCell ref="A212:E212"/>
    <mergeCell ref="A213:E213"/>
    <mergeCell ref="A214:E214"/>
    <mergeCell ref="F215:H215"/>
    <mergeCell ref="A218:E218"/>
    <mergeCell ref="F209:L209"/>
    <mergeCell ref="M209:S209"/>
    <mergeCell ref="T209:Z209"/>
    <mergeCell ref="A210:E210"/>
    <mergeCell ref="F210:H210"/>
    <mergeCell ref="M210:O210"/>
    <mergeCell ref="T210:V210"/>
    <mergeCell ref="J205:K205"/>
    <mergeCell ref="V205:W205"/>
    <mergeCell ref="J206:K206"/>
    <mergeCell ref="V206:W206"/>
    <mergeCell ref="J207:K207"/>
    <mergeCell ref="V207:W207"/>
    <mergeCell ref="H196:K196"/>
    <mergeCell ref="B200:C200"/>
    <mergeCell ref="P200:S204"/>
    <mergeCell ref="T200:Z200"/>
    <mergeCell ref="A201:H201"/>
    <mergeCell ref="I201:N201"/>
    <mergeCell ref="T201:Z201"/>
    <mergeCell ref="A202:H202"/>
    <mergeCell ref="I202:N202"/>
    <mergeCell ref="I203:N204"/>
    <mergeCell ref="X192:Z192"/>
    <mergeCell ref="F193:H193"/>
    <mergeCell ref="I193:K193"/>
    <mergeCell ref="L193:N193"/>
    <mergeCell ref="O193:Q193"/>
    <mergeCell ref="R193:T193"/>
    <mergeCell ref="U193:W193"/>
    <mergeCell ref="X193:Z194"/>
    <mergeCell ref="F194:H194"/>
    <mergeCell ref="I194:K194"/>
    <mergeCell ref="L194:N194"/>
    <mergeCell ref="O194:Q194"/>
    <mergeCell ref="R194:T194"/>
    <mergeCell ref="U194:W194"/>
    <mergeCell ref="T190:V190"/>
    <mergeCell ref="A192:D194"/>
    <mergeCell ref="F192:H192"/>
    <mergeCell ref="I192:K192"/>
    <mergeCell ref="L192:N192"/>
    <mergeCell ref="O192:Q192"/>
    <mergeCell ref="R192:T192"/>
    <mergeCell ref="U192:W192"/>
    <mergeCell ref="F190:H190"/>
    <mergeCell ref="M190:O190"/>
    <mergeCell ref="F185:H185"/>
    <mergeCell ref="M185:O185"/>
    <mergeCell ref="T185:V185"/>
    <mergeCell ref="M182:O182"/>
    <mergeCell ref="T182:V182"/>
    <mergeCell ref="F184:L184"/>
    <mergeCell ref="M184:S184"/>
    <mergeCell ref="T184:Z184"/>
    <mergeCell ref="A178:E178"/>
    <mergeCell ref="A179:E179"/>
    <mergeCell ref="A180:E180"/>
    <mergeCell ref="A181:E181"/>
    <mergeCell ref="F182:H182"/>
    <mergeCell ref="A185:E185"/>
    <mergeCell ref="F176:L176"/>
    <mergeCell ref="M176:S176"/>
    <mergeCell ref="T176:Z176"/>
    <mergeCell ref="A177:E177"/>
    <mergeCell ref="F177:H177"/>
    <mergeCell ref="M177:O177"/>
    <mergeCell ref="T177:V177"/>
    <mergeCell ref="J172:K172"/>
    <mergeCell ref="V172:W172"/>
    <mergeCell ref="J173:K173"/>
    <mergeCell ref="V173:W173"/>
    <mergeCell ref="J174:K174"/>
    <mergeCell ref="V174:W174"/>
    <mergeCell ref="H163:K163"/>
    <mergeCell ref="B167:C167"/>
    <mergeCell ref="P167:S171"/>
    <mergeCell ref="T167:Z167"/>
    <mergeCell ref="A168:H168"/>
    <mergeCell ref="I168:N168"/>
    <mergeCell ref="T168:Z168"/>
    <mergeCell ref="A169:H169"/>
    <mergeCell ref="I169:N169"/>
    <mergeCell ref="I170:N171"/>
    <mergeCell ref="X159:Z159"/>
    <mergeCell ref="F160:H160"/>
    <mergeCell ref="I160:K160"/>
    <mergeCell ref="L160:N160"/>
    <mergeCell ref="O160:Q160"/>
    <mergeCell ref="R160:T160"/>
    <mergeCell ref="U160:W160"/>
    <mergeCell ref="X160:Z161"/>
    <mergeCell ref="F161:H161"/>
    <mergeCell ref="I161:K161"/>
    <mergeCell ref="L161:N161"/>
    <mergeCell ref="O161:Q161"/>
    <mergeCell ref="R161:T161"/>
    <mergeCell ref="U161:W161"/>
    <mergeCell ref="T157:V157"/>
    <mergeCell ref="A159:D161"/>
    <mergeCell ref="F159:H159"/>
    <mergeCell ref="I159:K159"/>
    <mergeCell ref="L159:N159"/>
    <mergeCell ref="O159:Q159"/>
    <mergeCell ref="R159:T159"/>
    <mergeCell ref="U159:W159"/>
    <mergeCell ref="F157:H157"/>
    <mergeCell ref="M157:O157"/>
    <mergeCell ref="F152:H152"/>
    <mergeCell ref="M152:O152"/>
    <mergeCell ref="T152:V152"/>
    <mergeCell ref="M149:O149"/>
    <mergeCell ref="T149:V149"/>
    <mergeCell ref="F151:L151"/>
    <mergeCell ref="M151:S151"/>
    <mergeCell ref="T151:Z151"/>
    <mergeCell ref="A145:E145"/>
    <mergeCell ref="A146:E146"/>
    <mergeCell ref="A147:E147"/>
    <mergeCell ref="A148:E148"/>
    <mergeCell ref="F149:H149"/>
    <mergeCell ref="A152:E152"/>
    <mergeCell ref="F143:L143"/>
    <mergeCell ref="M143:S143"/>
    <mergeCell ref="T143:Z143"/>
    <mergeCell ref="A144:E144"/>
    <mergeCell ref="F144:H144"/>
    <mergeCell ref="M144:O144"/>
    <mergeCell ref="T144:V144"/>
    <mergeCell ref="J139:K139"/>
    <mergeCell ref="V139:W139"/>
    <mergeCell ref="J140:K140"/>
    <mergeCell ref="V140:W140"/>
    <mergeCell ref="J141:K141"/>
    <mergeCell ref="V141:W141"/>
    <mergeCell ref="H130:K130"/>
    <mergeCell ref="B134:C134"/>
    <mergeCell ref="P134:S138"/>
    <mergeCell ref="T134:Z134"/>
    <mergeCell ref="A135:H135"/>
    <mergeCell ref="I135:N135"/>
    <mergeCell ref="T135:Z135"/>
    <mergeCell ref="A136:H136"/>
    <mergeCell ref="I136:N136"/>
    <mergeCell ref="I137:N138"/>
    <mergeCell ref="X126:Z126"/>
    <mergeCell ref="F127:H127"/>
    <mergeCell ref="I127:K127"/>
    <mergeCell ref="L127:N127"/>
    <mergeCell ref="O127:Q127"/>
    <mergeCell ref="R127:T127"/>
    <mergeCell ref="U127:W127"/>
    <mergeCell ref="X127:Z128"/>
    <mergeCell ref="F128:H128"/>
    <mergeCell ref="I128:K128"/>
    <mergeCell ref="L128:N128"/>
    <mergeCell ref="O128:Q128"/>
    <mergeCell ref="R128:T128"/>
    <mergeCell ref="U128:W128"/>
    <mergeCell ref="T124:V124"/>
    <mergeCell ref="A126:D128"/>
    <mergeCell ref="F126:H126"/>
    <mergeCell ref="I126:K126"/>
    <mergeCell ref="L126:N126"/>
    <mergeCell ref="O126:Q126"/>
    <mergeCell ref="R126:T126"/>
    <mergeCell ref="U126:W126"/>
    <mergeCell ref="F124:H124"/>
    <mergeCell ref="M124:O124"/>
    <mergeCell ref="F119:H119"/>
    <mergeCell ref="M119:O119"/>
    <mergeCell ref="T119:V119"/>
    <mergeCell ref="M116:O116"/>
    <mergeCell ref="T116:V116"/>
    <mergeCell ref="F118:L118"/>
    <mergeCell ref="M118:S118"/>
    <mergeCell ref="T118:Z118"/>
    <mergeCell ref="A112:E112"/>
    <mergeCell ref="A113:E113"/>
    <mergeCell ref="A114:E114"/>
    <mergeCell ref="A115:E115"/>
    <mergeCell ref="F116:H116"/>
    <mergeCell ref="A119:E119"/>
    <mergeCell ref="F110:L110"/>
    <mergeCell ref="M110:S110"/>
    <mergeCell ref="T110:Z110"/>
    <mergeCell ref="A111:E111"/>
    <mergeCell ref="F111:H111"/>
    <mergeCell ref="M111:O111"/>
    <mergeCell ref="T111:V111"/>
    <mergeCell ref="J106:K106"/>
    <mergeCell ref="V106:W106"/>
    <mergeCell ref="J107:K107"/>
    <mergeCell ref="V107:W107"/>
    <mergeCell ref="J108:K108"/>
    <mergeCell ref="V108:W108"/>
    <mergeCell ref="H97:K97"/>
    <mergeCell ref="B101:C101"/>
    <mergeCell ref="P101:S105"/>
    <mergeCell ref="T101:Z101"/>
    <mergeCell ref="A102:H102"/>
    <mergeCell ref="I102:N102"/>
    <mergeCell ref="T102:Z102"/>
    <mergeCell ref="A103:H103"/>
    <mergeCell ref="I103:N103"/>
    <mergeCell ref="I104:N105"/>
    <mergeCell ref="X93:Z93"/>
    <mergeCell ref="F94:H94"/>
    <mergeCell ref="I94:K94"/>
    <mergeCell ref="L94:N94"/>
    <mergeCell ref="O94:Q94"/>
    <mergeCell ref="R94:T94"/>
    <mergeCell ref="U94:W94"/>
    <mergeCell ref="X94:Z95"/>
    <mergeCell ref="F95:H95"/>
    <mergeCell ref="I95:K95"/>
    <mergeCell ref="L95:N95"/>
    <mergeCell ref="O95:Q95"/>
    <mergeCell ref="R95:T95"/>
    <mergeCell ref="U95:W95"/>
    <mergeCell ref="T91:V91"/>
    <mergeCell ref="A93:D95"/>
    <mergeCell ref="F93:H93"/>
    <mergeCell ref="I93:K93"/>
    <mergeCell ref="L93:N93"/>
    <mergeCell ref="O93:Q93"/>
    <mergeCell ref="R93:T93"/>
    <mergeCell ref="U93:W93"/>
    <mergeCell ref="F91:H91"/>
    <mergeCell ref="M91:O91"/>
    <mergeCell ref="F86:H86"/>
    <mergeCell ref="M86:O86"/>
    <mergeCell ref="T86:V86"/>
    <mergeCell ref="M83:O83"/>
    <mergeCell ref="T83:V83"/>
    <mergeCell ref="F85:L85"/>
    <mergeCell ref="M85:S85"/>
    <mergeCell ref="T85:Z85"/>
    <mergeCell ref="A79:E79"/>
    <mergeCell ref="A80:E80"/>
    <mergeCell ref="A81:E81"/>
    <mergeCell ref="A82:E82"/>
    <mergeCell ref="F83:H83"/>
    <mergeCell ref="A86:E86"/>
    <mergeCell ref="F77:L77"/>
    <mergeCell ref="M77:S77"/>
    <mergeCell ref="T77:Z77"/>
    <mergeCell ref="A78:E78"/>
    <mergeCell ref="F78:H78"/>
    <mergeCell ref="M78:O78"/>
    <mergeCell ref="T78:V78"/>
    <mergeCell ref="J73:K73"/>
    <mergeCell ref="V73:W73"/>
    <mergeCell ref="J74:K74"/>
    <mergeCell ref="V74:W74"/>
    <mergeCell ref="J75:K75"/>
    <mergeCell ref="V75:W75"/>
    <mergeCell ref="H64:K64"/>
    <mergeCell ref="B68:C68"/>
    <mergeCell ref="P68:S72"/>
    <mergeCell ref="T68:Z68"/>
    <mergeCell ref="A69:H69"/>
    <mergeCell ref="I69:N69"/>
    <mergeCell ref="T69:Z69"/>
    <mergeCell ref="A70:H70"/>
    <mergeCell ref="I70:N70"/>
    <mergeCell ref="I71:N72"/>
    <mergeCell ref="X60:Z60"/>
    <mergeCell ref="F61:H61"/>
    <mergeCell ref="I61:K61"/>
    <mergeCell ref="L61:N61"/>
    <mergeCell ref="O61:Q61"/>
    <mergeCell ref="R61:T61"/>
    <mergeCell ref="U61:W61"/>
    <mergeCell ref="X61:Z62"/>
    <mergeCell ref="F62:H62"/>
    <mergeCell ref="I62:K62"/>
    <mergeCell ref="L62:N62"/>
    <mergeCell ref="O62:Q62"/>
    <mergeCell ref="R62:T62"/>
    <mergeCell ref="U62:W62"/>
    <mergeCell ref="T58:V58"/>
    <mergeCell ref="A60:D62"/>
    <mergeCell ref="F60:H60"/>
    <mergeCell ref="I60:K60"/>
    <mergeCell ref="L60:N60"/>
    <mergeCell ref="O60:Q60"/>
    <mergeCell ref="R60:T60"/>
    <mergeCell ref="U60:W60"/>
    <mergeCell ref="F58:H58"/>
    <mergeCell ref="M58:O58"/>
    <mergeCell ref="F53:H53"/>
    <mergeCell ref="M53:O53"/>
    <mergeCell ref="T53:V53"/>
    <mergeCell ref="M50:O50"/>
    <mergeCell ref="T50:V50"/>
    <mergeCell ref="F52:L52"/>
    <mergeCell ref="M52:S52"/>
    <mergeCell ref="T52:Z52"/>
    <mergeCell ref="A47:E47"/>
    <mergeCell ref="A48:E48"/>
    <mergeCell ref="A49:E49"/>
    <mergeCell ref="F50:H50"/>
    <mergeCell ref="A53:E53"/>
    <mergeCell ref="F44:L44"/>
    <mergeCell ref="M44:S44"/>
    <mergeCell ref="T44:Z44"/>
    <mergeCell ref="A45:E45"/>
    <mergeCell ref="F45:H45"/>
    <mergeCell ref="M45:O45"/>
    <mergeCell ref="T45:V45"/>
    <mergeCell ref="J40:K40"/>
    <mergeCell ref="V40:W40"/>
    <mergeCell ref="J41:K41"/>
    <mergeCell ref="V41:W41"/>
    <mergeCell ref="J42:K42"/>
    <mergeCell ref="V42:W42"/>
    <mergeCell ref="B35:C35"/>
    <mergeCell ref="P35:S39"/>
    <mergeCell ref="T35:Z35"/>
    <mergeCell ref="A36:H36"/>
    <mergeCell ref="I36:N36"/>
    <mergeCell ref="T36:Z36"/>
    <mergeCell ref="A37:H37"/>
    <mergeCell ref="I37:N37"/>
    <mergeCell ref="I38:N39"/>
    <mergeCell ref="A27:D29"/>
    <mergeCell ref="I29:K29"/>
    <mergeCell ref="L29:N29"/>
    <mergeCell ref="O29:Q29"/>
    <mergeCell ref="R29:T29"/>
    <mergeCell ref="R27:T27"/>
    <mergeCell ref="F29:H29"/>
    <mergeCell ref="A46:E46"/>
    <mergeCell ref="A20:E20"/>
    <mergeCell ref="V8:W8"/>
    <mergeCell ref="V9:W9"/>
    <mergeCell ref="F11:L11"/>
    <mergeCell ref="M11:S11"/>
    <mergeCell ref="M25:O25"/>
    <mergeCell ref="T25:V25"/>
    <mergeCell ref="X27:Z27"/>
    <mergeCell ref="H31:K31"/>
    <mergeCell ref="X28:Z29"/>
    <mergeCell ref="F25:H25"/>
    <mergeCell ref="L28:N28"/>
    <mergeCell ref="O28:Q28"/>
    <mergeCell ref="R28:T28"/>
    <mergeCell ref="U28:W28"/>
    <mergeCell ref="F27:H27"/>
    <mergeCell ref="I27:K27"/>
    <mergeCell ref="L27:N27"/>
    <mergeCell ref="O27:Q27"/>
    <mergeCell ref="U29:W29"/>
    <mergeCell ref="F19:L19"/>
    <mergeCell ref="M19:S19"/>
    <mergeCell ref="T19:Z19"/>
    <mergeCell ref="F20:H20"/>
    <mergeCell ref="M20:O20"/>
    <mergeCell ref="T20:V20"/>
    <mergeCell ref="U27:W27"/>
    <mergeCell ref="F28:H28"/>
    <mergeCell ref="I28:K28"/>
    <mergeCell ref="I5:N6"/>
    <mergeCell ref="V7:W7"/>
    <mergeCell ref="P2:S6"/>
    <mergeCell ref="T2:Z2"/>
    <mergeCell ref="J7:K7"/>
    <mergeCell ref="J8:K8"/>
    <mergeCell ref="J9:K9"/>
    <mergeCell ref="B2:C2"/>
    <mergeCell ref="A3:H3"/>
    <mergeCell ref="I3:N3"/>
    <mergeCell ref="T3:Z3"/>
    <mergeCell ref="A4:H4"/>
    <mergeCell ref="I4:N4"/>
    <mergeCell ref="T17:V17"/>
    <mergeCell ref="T11:Z11"/>
    <mergeCell ref="A12:E12"/>
    <mergeCell ref="F12:H12"/>
    <mergeCell ref="M12:O12"/>
    <mergeCell ref="T12:V12"/>
    <mergeCell ref="A13:E13"/>
    <mergeCell ref="A14:E14"/>
    <mergeCell ref="A15:E15"/>
    <mergeCell ref="A16:E16"/>
    <mergeCell ref="F17:H17"/>
    <mergeCell ref="M17:O17"/>
  </mergeCells>
  <printOptions horizontalCentered="1" verticalCentered="1"/>
  <pageMargins left="0.23622047244094491" right="0.23622047244094491" top="0.23622047244094491" bottom="0.23622047244094491" header="0.31496062992125984" footer="0.31496062992125984"/>
  <pageSetup paperSize="9" scale="64" fitToHeight="23" orientation="landscape" r:id="rId1"/>
  <rowBreaks count="23" manualBreakCount="23">
    <brk id="34" max="26" man="1"/>
    <brk id="67" max="26" man="1"/>
    <brk id="100" max="26" man="1"/>
    <brk id="132" max="26" man="1"/>
    <brk id="165" max="26" man="1"/>
    <brk id="198" max="26" man="1"/>
    <brk id="231" max="26" man="1"/>
    <brk id="264" max="26" man="1"/>
    <brk id="297" max="26" man="1"/>
    <brk id="330" max="26" man="1"/>
    <brk id="363" max="26" man="1"/>
    <brk id="396" max="26" man="1"/>
    <brk id="429" max="26" man="1"/>
    <brk id="462" max="26" man="1"/>
    <brk id="495" max="26" man="1"/>
    <brk id="528" max="26" man="1"/>
    <brk id="561" max="26" man="1"/>
    <brk id="594" max="26" man="1"/>
    <brk id="627" max="26" man="1"/>
    <brk id="660" max="26" man="1"/>
    <brk id="693" max="26" man="1"/>
    <brk id="726" max="26" man="1"/>
    <brk id="759" max="26"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36">
    <tabColor rgb="FF00FF00"/>
  </sheetPr>
  <dimension ref="A1:W720"/>
  <sheetViews>
    <sheetView zoomScale="70" zoomScaleNormal="70" zoomScaleSheetLayoutView="70" workbookViewId="0"/>
  </sheetViews>
  <sheetFormatPr baseColWidth="10" defaultRowHeight="12.75" x14ac:dyDescent="0.2"/>
  <cols>
    <col min="1" max="2" width="11.42578125" style="217"/>
    <col min="3" max="3" width="15.5703125" style="217" customWidth="1"/>
    <col min="4" max="4" width="4.28515625" style="217" customWidth="1"/>
    <col min="5" max="6" width="11.42578125" style="217"/>
    <col min="7" max="7" width="15.5703125" style="217" customWidth="1"/>
    <col min="8" max="8" width="4.28515625" style="217" customWidth="1"/>
    <col min="9" max="10" width="11.42578125" style="217"/>
    <col min="11" max="11" width="15.5703125" style="217" customWidth="1"/>
    <col min="12" max="12" width="4.28515625" style="217" customWidth="1"/>
    <col min="13" max="14" width="11.42578125" style="217"/>
    <col min="15" max="15" width="15.5703125" style="217" customWidth="1"/>
    <col min="16" max="16" width="4.28515625" style="217" customWidth="1"/>
    <col min="17" max="18" width="11.42578125" style="217"/>
    <col min="19" max="19" width="15.5703125" style="217" customWidth="1"/>
    <col min="20" max="20" width="4.28515625" style="217" customWidth="1"/>
    <col min="21" max="22" width="11.42578125" style="217"/>
    <col min="23" max="23" width="15.5703125" style="217" customWidth="1"/>
    <col min="24" max="16384" width="11.42578125" style="217"/>
  </cols>
  <sheetData>
    <row r="1" spans="1:23" ht="6.75" customHeight="1" x14ac:dyDescent="0.2">
      <c r="Q1" s="1230" t="str">
        <f>CATEG_IMPORTEE</f>
        <v>Collèges Mixtes Etablissement</v>
      </c>
      <c r="R1" s="1230"/>
      <c r="S1" s="1230"/>
      <c r="T1" s="1230"/>
      <c r="U1" s="1230"/>
      <c r="V1" s="1230"/>
      <c r="W1" s="1230"/>
    </row>
    <row r="2" spans="1:23" s="218" customFormat="1" ht="33.75" x14ac:dyDescent="0.2">
      <c r="A2" s="1207" t="s">
        <v>628</v>
      </c>
      <c r="B2" s="1207"/>
      <c r="C2" s="645">
        <f>Num_Cible</f>
        <v>1</v>
      </c>
      <c r="E2" s="1208" t="str">
        <f>Championnat</f>
        <v>Championnat de France de Tir à l'ARC</v>
      </c>
      <c r="F2" s="1208"/>
      <c r="G2" s="1208"/>
      <c r="H2" s="1208"/>
      <c r="I2" s="1208"/>
      <c r="J2" s="1208"/>
      <c r="K2" s="1208"/>
      <c r="L2" s="1208"/>
      <c r="M2" s="1208"/>
      <c r="N2" s="1208"/>
      <c r="O2" s="1208"/>
      <c r="Q2" s="1230"/>
      <c r="R2" s="1230"/>
      <c r="S2" s="1230"/>
      <c r="T2" s="1230"/>
      <c r="U2" s="1230"/>
      <c r="V2" s="1230"/>
      <c r="W2" s="1230"/>
    </row>
    <row r="3" spans="1:23" ht="27" customHeight="1" x14ac:dyDescent="0.2">
      <c r="Q3" s="1211" t="str">
        <f>LIEU&amp;" du "&amp;DATE</f>
        <v>L’Isle sur la Sorgue du 27 au 31 mars 2023</v>
      </c>
      <c r="R3" s="1211"/>
      <c r="S3" s="1211"/>
      <c r="T3" s="1211"/>
      <c r="U3" s="1211"/>
      <c r="V3" s="1211"/>
      <c r="W3" s="1211"/>
    </row>
    <row r="4" spans="1:23" ht="19.5" customHeight="1" thickBot="1" x14ac:dyDescent="0.25">
      <c r="E4" s="1212" t="s">
        <v>0</v>
      </c>
      <c r="F4" s="1212"/>
      <c r="G4" s="1212"/>
      <c r="H4" s="1212"/>
      <c r="I4" s="1212"/>
      <c r="J4" s="1212"/>
      <c r="K4" s="1212"/>
      <c r="L4" s="641"/>
      <c r="M4" s="1212" t="s">
        <v>375</v>
      </c>
      <c r="N4" s="1212"/>
      <c r="O4" s="1212"/>
      <c r="P4" s="1212"/>
      <c r="Q4" s="1212"/>
      <c r="S4" s="1212" t="s">
        <v>374</v>
      </c>
      <c r="T4" s="1212"/>
      <c r="U4" s="1212"/>
      <c r="V4" s="1212"/>
      <c r="W4" s="1212"/>
    </row>
    <row r="5" spans="1:23" ht="36.75" customHeight="1" thickBot="1" x14ac:dyDescent="0.25">
      <c r="E5" s="1213" t="e">
        <f>VLOOKUP(E8,ID_archer_cible,2,FALSE)</f>
        <v>#N/A</v>
      </c>
      <c r="F5" s="1214"/>
      <c r="G5" s="1214"/>
      <c r="H5" s="1214"/>
      <c r="I5" s="1214"/>
      <c r="J5" s="1214"/>
      <c r="K5" s="1215"/>
      <c r="L5" s="641"/>
      <c r="M5" s="1216" t="e">
        <f>"("&amp;VLOOKUP(E8,ID_archer_cible,3,FALSE)&amp;")"</f>
        <v>#N/A</v>
      </c>
      <c r="N5" s="1217"/>
      <c r="O5" s="1217"/>
      <c r="P5" s="1217"/>
      <c r="Q5" s="1217"/>
      <c r="R5" s="1218"/>
      <c r="S5" s="1185" t="e">
        <f>VLOOKUP(E8,ID_archer_cible,4,FALSE)</f>
        <v>#N/A</v>
      </c>
      <c r="T5" s="1186"/>
      <c r="U5" s="1186"/>
      <c r="V5" s="1186"/>
      <c r="W5" s="1187"/>
    </row>
    <row r="6" spans="1:23" ht="17.25" customHeight="1" x14ac:dyDescent="0.2"/>
    <row r="7" spans="1:23" ht="23.25" customHeight="1" thickBot="1" x14ac:dyDescent="0.25">
      <c r="A7" s="638" t="s">
        <v>906</v>
      </c>
      <c r="E7" s="508" t="s">
        <v>552</v>
      </c>
      <c r="F7" s="571" t="s">
        <v>893</v>
      </c>
      <c r="G7" s="1202" t="s">
        <v>550</v>
      </c>
      <c r="H7" s="1202"/>
      <c r="I7" s="571" t="s">
        <v>905</v>
      </c>
      <c r="J7" s="709" t="s">
        <v>551</v>
      </c>
      <c r="N7" s="508" t="s">
        <v>552</v>
      </c>
      <c r="O7" s="571" t="s">
        <v>893</v>
      </c>
      <c r="P7" s="1202" t="s">
        <v>550</v>
      </c>
      <c r="Q7" s="1202"/>
      <c r="R7" s="571" t="s">
        <v>905</v>
      </c>
      <c r="S7" s="709" t="s">
        <v>551</v>
      </c>
    </row>
    <row r="8" spans="1:23" ht="23.25" customHeight="1" thickTop="1" x14ac:dyDescent="0.2">
      <c r="A8" s="710" t="e">
        <f>VLOOKUP(E8,ID_archer_cible,5,FALSE)&amp;"    "&amp;VLOOKUP(E8,ID_archer_cible,6,FALSE)</f>
        <v>#N/A</v>
      </c>
      <c r="B8" s="711"/>
      <c r="C8" s="711"/>
      <c r="D8" s="712"/>
      <c r="E8" s="713" t="str">
        <f>C2&amp;"A"</f>
        <v>1A</v>
      </c>
      <c r="F8" s="714" t="e">
        <f>VLOOKUP(E8,ID_archer_cible,9,FALSE)</f>
        <v>#N/A</v>
      </c>
      <c r="G8" s="1209" t="e">
        <f>VLOOKUP(E8,ID_archer_cible,8,FALSE)</f>
        <v>#N/A</v>
      </c>
      <c r="H8" s="1209"/>
      <c r="I8" s="715" t="e">
        <f>VLOOKUP(E8,ID_archer_cible,7,FALSE)</f>
        <v>#N/A</v>
      </c>
      <c r="J8" s="716" t="e">
        <f>VLOOKUP(E8,ID_archer_cible,10,FALSE)</f>
        <v>#N/A</v>
      </c>
      <c r="K8" s="710" t="e">
        <f>VLOOKUP(N8,ID_archer_cible,5,FALSE)&amp;"    "&amp;VLOOKUP(N8,ID_archer_cible,6,FALSE)</f>
        <v>#N/A</v>
      </c>
      <c r="L8" s="722"/>
      <c r="M8" s="723"/>
      <c r="N8" s="714" t="str">
        <f>C2&amp;"C"</f>
        <v>1C</v>
      </c>
      <c r="O8" s="714" t="e">
        <f>VLOOKUP(N8,ID_archer_cible,9,FALSE)</f>
        <v>#N/A</v>
      </c>
      <c r="P8" s="1203" t="e">
        <f>VLOOKUP(N8,ID_archer_cible,8,FALSE)</f>
        <v>#N/A</v>
      </c>
      <c r="Q8" s="1204"/>
      <c r="R8" s="724" t="e">
        <f>VLOOKUP(N8,ID_archer_cible,7,FALSE)</f>
        <v>#N/A</v>
      </c>
      <c r="S8" s="716" t="e">
        <f>VLOOKUP(N8,ID_archer_cible,10,FALSE)</f>
        <v>#N/A</v>
      </c>
    </row>
    <row r="9" spans="1:23" ht="23.25" customHeight="1" thickBot="1" x14ac:dyDescent="0.25">
      <c r="A9" s="717" t="e">
        <f>VLOOKUP(E9,ID_archer_cible,5,FALSE)&amp;"    "&amp;VLOOKUP(E9,ID_archer_cible,6,FALSE)</f>
        <v>#N/A</v>
      </c>
      <c r="B9" s="718"/>
      <c r="C9" s="718"/>
      <c r="D9" s="719"/>
      <c r="E9" s="696" t="str">
        <f>C2&amp;"B"</f>
        <v>1B</v>
      </c>
      <c r="F9" s="720" t="e">
        <f>VLOOKUP(E9,ID_archer_cible,9,FALSE)</f>
        <v>#N/A</v>
      </c>
      <c r="G9" s="1210" t="e">
        <f>VLOOKUP(E9,ID_archer_cible,8,FALSE)</f>
        <v>#N/A</v>
      </c>
      <c r="H9" s="1210"/>
      <c r="I9" s="721" t="e">
        <f>VLOOKUP(E9,ID_archer_cible,7,FALSE)</f>
        <v>#N/A</v>
      </c>
      <c r="J9" s="700" t="e">
        <f>VLOOKUP(E9,ID_archer_cible,10,FALSE)</f>
        <v>#N/A</v>
      </c>
      <c r="K9" s="717" t="e">
        <f>VLOOKUP(N9,ID_archer_cible,5,FALSE)&amp;"    "&amp;VLOOKUP(N9,ID_archer_cible,6,FALSE)</f>
        <v>#N/A</v>
      </c>
      <c r="L9" s="725"/>
      <c r="M9" s="726"/>
      <c r="N9" s="720" t="str">
        <f>C2&amp;"D"</f>
        <v>1D</v>
      </c>
      <c r="O9" s="720" t="e">
        <f>VLOOKUP(N9,ID_archer_cible,9,FALSE)</f>
        <v>#N/A</v>
      </c>
      <c r="P9" s="1205" t="e">
        <f>VLOOKUP(N9,ID_archer_cible,8,FALSE)</f>
        <v>#N/A</v>
      </c>
      <c r="Q9" s="1206"/>
      <c r="R9" s="727" t="e">
        <f>VLOOKUP(N9,ID_archer_cible,7,FALSE)</f>
        <v>#N/A</v>
      </c>
      <c r="S9" s="700" t="e">
        <f>VLOOKUP(N9,ID_archer_cible,10,FALSE)</f>
        <v>#N/A</v>
      </c>
    </row>
    <row r="10" spans="1:23" ht="15" customHeight="1" thickTop="1" x14ac:dyDescent="0.2"/>
    <row r="11" spans="1:23" ht="15" customHeight="1" thickBot="1" x14ac:dyDescent="0.25"/>
    <row r="12" spans="1:23" ht="33.75" customHeight="1" thickBot="1" x14ac:dyDescent="0.25">
      <c r="A12" s="1222" t="s">
        <v>909</v>
      </c>
      <c r="B12" s="1223"/>
      <c r="C12" s="1224"/>
      <c r="E12" s="1225" t="s">
        <v>910</v>
      </c>
      <c r="F12" s="1226"/>
      <c r="G12" s="1227"/>
      <c r="I12" s="1222" t="s">
        <v>911</v>
      </c>
      <c r="J12" s="1223"/>
      <c r="K12" s="1224"/>
      <c r="M12" s="1222" t="s">
        <v>912</v>
      </c>
      <c r="N12" s="1223"/>
      <c r="O12" s="1224"/>
      <c r="Q12" s="1222" t="s">
        <v>913</v>
      </c>
      <c r="R12" s="1223"/>
      <c r="S12" s="1224"/>
      <c r="U12" s="1222" t="s">
        <v>916</v>
      </c>
      <c r="V12" s="1223"/>
      <c r="W12" s="1224"/>
    </row>
    <row r="13" spans="1:23" ht="33.75" customHeight="1" x14ac:dyDescent="0.2">
      <c r="A13" s="642" t="s">
        <v>980</v>
      </c>
      <c r="B13" s="643" t="s">
        <v>981</v>
      </c>
      <c r="C13" s="644" t="s">
        <v>780</v>
      </c>
      <c r="E13" s="642" t="s">
        <v>980</v>
      </c>
      <c r="F13" s="643" t="s">
        <v>981</v>
      </c>
      <c r="G13" s="644" t="s">
        <v>780</v>
      </c>
      <c r="I13" s="642" t="s">
        <v>980</v>
      </c>
      <c r="J13" s="643" t="s">
        <v>981</v>
      </c>
      <c r="K13" s="644" t="s">
        <v>780</v>
      </c>
      <c r="M13" s="642" t="s">
        <v>980</v>
      </c>
      <c r="N13" s="643" t="s">
        <v>981</v>
      </c>
      <c r="O13" s="644" t="s">
        <v>780</v>
      </c>
      <c r="Q13" s="642" t="s">
        <v>980</v>
      </c>
      <c r="R13" s="643" t="s">
        <v>981</v>
      </c>
      <c r="S13" s="644" t="s">
        <v>780</v>
      </c>
      <c r="U13" s="642" t="s">
        <v>980</v>
      </c>
      <c r="V13" s="643" t="s">
        <v>981</v>
      </c>
      <c r="W13" s="644" t="s">
        <v>780</v>
      </c>
    </row>
    <row r="14" spans="1:23" ht="33.75" customHeight="1" x14ac:dyDescent="0.2">
      <c r="A14" s="628">
        <v>10</v>
      </c>
      <c r="B14" s="630"/>
      <c r="C14" s="630"/>
      <c r="E14" s="628">
        <v>10</v>
      </c>
      <c r="F14" s="630"/>
      <c r="G14" s="630"/>
      <c r="I14" s="628">
        <v>10</v>
      </c>
      <c r="J14" s="630"/>
      <c r="K14" s="630"/>
      <c r="M14" s="628">
        <v>10</v>
      </c>
      <c r="N14" s="630"/>
      <c r="O14" s="630"/>
      <c r="Q14" s="628">
        <v>10</v>
      </c>
      <c r="R14" s="630"/>
      <c r="S14" s="630"/>
      <c r="U14" s="628">
        <v>10</v>
      </c>
      <c r="V14" s="630"/>
      <c r="W14" s="630"/>
    </row>
    <row r="15" spans="1:23" ht="33.75" customHeight="1" x14ac:dyDescent="0.2">
      <c r="A15" s="628">
        <v>9</v>
      </c>
      <c r="B15" s="630"/>
      <c r="C15" s="630"/>
      <c r="E15" s="628">
        <v>9</v>
      </c>
      <c r="F15" s="630"/>
      <c r="G15" s="630"/>
      <c r="I15" s="628">
        <v>9</v>
      </c>
      <c r="J15" s="630"/>
      <c r="K15" s="630"/>
      <c r="M15" s="628">
        <v>9</v>
      </c>
      <c r="N15" s="630"/>
      <c r="O15" s="630"/>
      <c r="Q15" s="628">
        <v>9</v>
      </c>
      <c r="R15" s="630"/>
      <c r="S15" s="630"/>
      <c r="U15" s="628">
        <v>9</v>
      </c>
      <c r="V15" s="630"/>
      <c r="W15" s="630"/>
    </row>
    <row r="16" spans="1:23" ht="33.75" customHeight="1" x14ac:dyDescent="0.2">
      <c r="A16" s="628">
        <v>8</v>
      </c>
      <c r="B16" s="630"/>
      <c r="C16" s="630"/>
      <c r="E16" s="628">
        <v>8</v>
      </c>
      <c r="F16" s="630"/>
      <c r="G16" s="630"/>
      <c r="I16" s="628">
        <v>8</v>
      </c>
      <c r="J16" s="630"/>
      <c r="K16" s="630"/>
      <c r="M16" s="628">
        <v>8</v>
      </c>
      <c r="N16" s="630"/>
      <c r="O16" s="630"/>
      <c r="Q16" s="628">
        <v>8</v>
      </c>
      <c r="R16" s="630"/>
      <c r="S16" s="630"/>
      <c r="U16" s="628">
        <v>8</v>
      </c>
      <c r="V16" s="630"/>
      <c r="W16" s="630"/>
    </row>
    <row r="17" spans="1:23" ht="33.75" customHeight="1" x14ac:dyDescent="0.2">
      <c r="A17" s="628">
        <v>7</v>
      </c>
      <c r="B17" s="630"/>
      <c r="C17" s="630"/>
      <c r="E17" s="628">
        <v>7</v>
      </c>
      <c r="F17" s="630"/>
      <c r="G17" s="630"/>
      <c r="I17" s="628">
        <v>7</v>
      </c>
      <c r="J17" s="630"/>
      <c r="K17" s="630"/>
      <c r="M17" s="628">
        <v>7</v>
      </c>
      <c r="N17" s="630"/>
      <c r="O17" s="630"/>
      <c r="Q17" s="628">
        <v>7</v>
      </c>
      <c r="R17" s="630"/>
      <c r="S17" s="630"/>
      <c r="U17" s="628">
        <v>7</v>
      </c>
      <c r="V17" s="630"/>
      <c r="W17" s="630"/>
    </row>
    <row r="18" spans="1:23" ht="33.75" customHeight="1" x14ac:dyDescent="0.2">
      <c r="A18" s="628">
        <v>6</v>
      </c>
      <c r="B18" s="630"/>
      <c r="C18" s="630"/>
      <c r="E18" s="628">
        <v>6</v>
      </c>
      <c r="F18" s="630"/>
      <c r="G18" s="630"/>
      <c r="I18" s="628">
        <v>6</v>
      </c>
      <c r="J18" s="630"/>
      <c r="K18" s="630"/>
      <c r="M18" s="628">
        <v>6</v>
      </c>
      <c r="N18" s="630"/>
      <c r="O18" s="630"/>
      <c r="Q18" s="628">
        <v>6</v>
      </c>
      <c r="R18" s="630"/>
      <c r="S18" s="630"/>
      <c r="U18" s="628">
        <v>6</v>
      </c>
      <c r="V18" s="630"/>
      <c r="W18" s="630"/>
    </row>
    <row r="19" spans="1:23" ht="33.75" customHeight="1" x14ac:dyDescent="0.2">
      <c r="A19" s="628">
        <v>5</v>
      </c>
      <c r="B19" s="630"/>
      <c r="C19" s="630"/>
      <c r="E19" s="628">
        <v>5</v>
      </c>
      <c r="F19" s="630"/>
      <c r="G19" s="630"/>
      <c r="I19" s="628">
        <v>5</v>
      </c>
      <c r="J19" s="630"/>
      <c r="K19" s="630"/>
      <c r="M19" s="628">
        <v>5</v>
      </c>
      <c r="N19" s="630"/>
      <c r="O19" s="630"/>
      <c r="Q19" s="628">
        <v>5</v>
      </c>
      <c r="R19" s="630"/>
      <c r="S19" s="630"/>
      <c r="U19" s="628">
        <v>5</v>
      </c>
      <c r="V19" s="630"/>
      <c r="W19" s="630"/>
    </row>
    <row r="20" spans="1:23" ht="33.75" customHeight="1" x14ac:dyDescent="0.2">
      <c r="A20" s="628">
        <v>4</v>
      </c>
      <c r="B20" s="630"/>
      <c r="C20" s="630"/>
      <c r="E20" s="628">
        <v>4</v>
      </c>
      <c r="F20" s="630"/>
      <c r="G20" s="630"/>
      <c r="I20" s="628">
        <v>4</v>
      </c>
      <c r="J20" s="630"/>
      <c r="K20" s="630"/>
      <c r="M20" s="628">
        <v>4</v>
      </c>
      <c r="N20" s="630"/>
      <c r="O20" s="630"/>
      <c r="Q20" s="628">
        <v>4</v>
      </c>
      <c r="R20" s="630"/>
      <c r="S20" s="630"/>
      <c r="U20" s="628">
        <v>4</v>
      </c>
      <c r="V20" s="630"/>
      <c r="W20" s="630"/>
    </row>
    <row r="21" spans="1:23" ht="33.75" customHeight="1" x14ac:dyDescent="0.2">
      <c r="A21" s="628">
        <v>3</v>
      </c>
      <c r="B21" s="630"/>
      <c r="C21" s="630"/>
      <c r="E21" s="628">
        <v>3</v>
      </c>
      <c r="F21" s="630"/>
      <c r="G21" s="630"/>
      <c r="I21" s="628">
        <v>3</v>
      </c>
      <c r="J21" s="630"/>
      <c r="K21" s="630"/>
      <c r="M21" s="628">
        <v>3</v>
      </c>
      <c r="N21" s="630"/>
      <c r="O21" s="630"/>
      <c r="Q21" s="628">
        <v>3</v>
      </c>
      <c r="R21" s="630"/>
      <c r="S21" s="630"/>
      <c r="U21" s="628">
        <v>3</v>
      </c>
      <c r="V21" s="630"/>
      <c r="W21" s="630"/>
    </row>
    <row r="22" spans="1:23" ht="33.75" customHeight="1" x14ac:dyDescent="0.2">
      <c r="A22" s="628">
        <v>2</v>
      </c>
      <c r="B22" s="630"/>
      <c r="C22" s="630"/>
      <c r="E22" s="628">
        <v>2</v>
      </c>
      <c r="F22" s="630"/>
      <c r="G22" s="630"/>
      <c r="I22" s="628">
        <v>2</v>
      </c>
      <c r="J22" s="630"/>
      <c r="K22" s="630"/>
      <c r="M22" s="628">
        <v>2</v>
      </c>
      <c r="N22" s="630"/>
      <c r="O22" s="630"/>
      <c r="Q22" s="628">
        <v>2</v>
      </c>
      <c r="R22" s="630"/>
      <c r="S22" s="630"/>
      <c r="U22" s="628">
        <v>2</v>
      </c>
      <c r="V22" s="630"/>
      <c r="W22" s="630"/>
    </row>
    <row r="23" spans="1:23" ht="33.75" customHeight="1" x14ac:dyDescent="0.2">
      <c r="A23" s="628">
        <v>1</v>
      </c>
      <c r="B23" s="630"/>
      <c r="C23" s="630"/>
      <c r="E23" s="628">
        <v>1</v>
      </c>
      <c r="F23" s="630"/>
      <c r="G23" s="630"/>
      <c r="I23" s="628">
        <v>1</v>
      </c>
      <c r="J23" s="630"/>
      <c r="K23" s="630"/>
      <c r="M23" s="628">
        <v>1</v>
      </c>
      <c r="N23" s="630"/>
      <c r="O23" s="630"/>
      <c r="Q23" s="628">
        <v>1</v>
      </c>
      <c r="R23" s="630"/>
      <c r="S23" s="630"/>
      <c r="U23" s="628">
        <v>1</v>
      </c>
      <c r="V23" s="630"/>
      <c r="W23" s="630"/>
    </row>
    <row r="24" spans="1:23" ht="33.75" customHeight="1" x14ac:dyDescent="0.2">
      <c r="A24" s="628" t="s">
        <v>982</v>
      </c>
      <c r="B24" s="630"/>
      <c r="C24" s="630"/>
      <c r="E24" s="628" t="s">
        <v>982</v>
      </c>
      <c r="F24" s="630"/>
      <c r="G24" s="630"/>
      <c r="I24" s="628" t="s">
        <v>982</v>
      </c>
      <c r="J24" s="630"/>
      <c r="K24" s="630"/>
      <c r="M24" s="628" t="s">
        <v>982</v>
      </c>
      <c r="N24" s="630"/>
      <c r="O24" s="630"/>
      <c r="Q24" s="628" t="s">
        <v>982</v>
      </c>
      <c r="R24" s="630"/>
      <c r="S24" s="630"/>
      <c r="U24" s="628" t="s">
        <v>982</v>
      </c>
      <c r="V24" s="630"/>
      <c r="W24" s="630"/>
    </row>
    <row r="25" spans="1:23" ht="33.75" customHeight="1" x14ac:dyDescent="0.2">
      <c r="A25" s="629" t="s">
        <v>981</v>
      </c>
      <c r="B25" s="630"/>
      <c r="C25" s="631" t="s">
        <v>984</v>
      </c>
      <c r="E25" s="629" t="s">
        <v>981</v>
      </c>
      <c r="F25" s="630"/>
      <c r="G25" s="631" t="s">
        <v>984</v>
      </c>
      <c r="I25" s="629" t="s">
        <v>981</v>
      </c>
      <c r="J25" s="630"/>
      <c r="K25" s="631" t="s">
        <v>984</v>
      </c>
      <c r="M25" s="629" t="s">
        <v>981</v>
      </c>
      <c r="N25" s="630"/>
      <c r="O25" s="631" t="s">
        <v>984</v>
      </c>
      <c r="Q25" s="629" t="s">
        <v>981</v>
      </c>
      <c r="R25" s="630"/>
      <c r="S25" s="631" t="s">
        <v>984</v>
      </c>
      <c r="U25" s="629" t="s">
        <v>981</v>
      </c>
      <c r="V25" s="630"/>
      <c r="W25" s="631" t="s">
        <v>984</v>
      </c>
    </row>
    <row r="26" spans="1:23" ht="48" customHeight="1" x14ac:dyDescent="0.25">
      <c r="A26" s="637"/>
      <c r="B26" s="629" t="s">
        <v>983</v>
      </c>
      <c r="C26" s="636"/>
      <c r="E26" s="637" t="s">
        <v>985</v>
      </c>
      <c r="F26" s="632" t="s">
        <v>983</v>
      </c>
      <c r="G26" s="633"/>
      <c r="I26" s="637" t="s">
        <v>985</v>
      </c>
      <c r="J26" s="632" t="s">
        <v>983</v>
      </c>
      <c r="K26" s="633"/>
      <c r="M26" s="637" t="s">
        <v>985</v>
      </c>
      <c r="N26" s="632" t="s">
        <v>983</v>
      </c>
      <c r="O26" s="633"/>
      <c r="Q26" s="637" t="s">
        <v>985</v>
      </c>
      <c r="R26" s="632" t="s">
        <v>983</v>
      </c>
      <c r="S26" s="633"/>
      <c r="U26" s="637" t="s">
        <v>985</v>
      </c>
      <c r="V26" s="632" t="s">
        <v>983</v>
      </c>
      <c r="W26" s="633"/>
    </row>
    <row r="27" spans="1:23" ht="51" customHeight="1" x14ac:dyDescent="0.2">
      <c r="A27" s="634"/>
      <c r="B27" s="634"/>
      <c r="C27" s="634"/>
      <c r="E27" s="1115" t="s">
        <v>986</v>
      </c>
      <c r="F27" s="1115"/>
      <c r="G27" s="635"/>
      <c r="I27" s="1115" t="s">
        <v>986</v>
      </c>
      <c r="J27" s="1115"/>
      <c r="K27" s="635"/>
      <c r="M27" s="1115" t="s">
        <v>986</v>
      </c>
      <c r="N27" s="1115"/>
      <c r="O27" s="635"/>
      <c r="Q27" s="1115" t="s">
        <v>986</v>
      </c>
      <c r="R27" s="1115"/>
      <c r="S27" s="635"/>
      <c r="U27" s="1228" t="s">
        <v>987</v>
      </c>
      <c r="V27" s="1229"/>
      <c r="W27" s="635"/>
    </row>
    <row r="28" spans="1:23" ht="13.5" customHeight="1" thickBot="1" x14ac:dyDescent="0.25"/>
    <row r="29" spans="1:23" ht="72" customHeight="1" thickBot="1" x14ac:dyDescent="0.25">
      <c r="E29" s="707" t="s">
        <v>1007</v>
      </c>
      <c r="F29" s="639"/>
      <c r="G29" s="639"/>
      <c r="H29" s="639"/>
      <c r="I29" s="639"/>
      <c r="J29" s="640"/>
      <c r="M29" s="708" t="s">
        <v>1008</v>
      </c>
      <c r="N29" s="639"/>
      <c r="O29" s="639"/>
      <c r="P29" s="639"/>
      <c r="Q29" s="640"/>
      <c r="S29" s="1219" t="s">
        <v>988</v>
      </c>
      <c r="T29" s="1219"/>
      <c r="U29" s="1219"/>
      <c r="V29" s="1220"/>
      <c r="W29" s="1221"/>
    </row>
    <row r="30" spans="1:23" ht="34.5" customHeight="1" x14ac:dyDescent="0.2"/>
    <row r="31" spans="1:23" ht="6.75" customHeight="1" x14ac:dyDescent="0.2">
      <c r="Q31" s="1193" t="str">
        <f>CATEG_IMPORTEE</f>
        <v>Collèges Mixtes Etablissement</v>
      </c>
      <c r="R31" s="1193"/>
      <c r="S31" s="1193"/>
      <c r="T31" s="1193"/>
      <c r="U31" s="1193"/>
      <c r="V31" s="1193"/>
      <c r="W31" s="1193"/>
    </row>
    <row r="32" spans="1:23" s="218" customFormat="1" ht="33.75" x14ac:dyDescent="0.2">
      <c r="A32" s="1207" t="s">
        <v>628</v>
      </c>
      <c r="B32" s="1207"/>
      <c r="C32" s="645">
        <f>C2+1</f>
        <v>2</v>
      </c>
      <c r="E32" s="1208" t="str">
        <f>Championnat</f>
        <v>Championnat de France de Tir à l'ARC</v>
      </c>
      <c r="F32" s="1208"/>
      <c r="G32" s="1208"/>
      <c r="H32" s="1208"/>
      <c r="I32" s="1208"/>
      <c r="J32" s="1208"/>
      <c r="K32" s="1208"/>
      <c r="L32" s="1208"/>
      <c r="M32" s="1208"/>
      <c r="N32" s="1208"/>
      <c r="O32" s="1208"/>
      <c r="Q32" s="1193"/>
      <c r="R32" s="1193"/>
      <c r="S32" s="1193"/>
      <c r="T32" s="1193"/>
      <c r="U32" s="1193"/>
      <c r="V32" s="1193"/>
      <c r="W32" s="1193"/>
    </row>
    <row r="33" spans="1:23" ht="27" customHeight="1" x14ac:dyDescent="0.2">
      <c r="Q33" s="1211" t="str">
        <f>LIEU&amp;" du "&amp;DATE</f>
        <v>L’Isle sur la Sorgue du 27 au 31 mars 2023</v>
      </c>
      <c r="R33" s="1211"/>
      <c r="S33" s="1211"/>
      <c r="T33" s="1211"/>
      <c r="U33" s="1211"/>
      <c r="V33" s="1211"/>
      <c r="W33" s="1211"/>
    </row>
    <row r="34" spans="1:23" ht="19.5" customHeight="1" thickBot="1" x14ac:dyDescent="0.25">
      <c r="E34" s="1212" t="s">
        <v>0</v>
      </c>
      <c r="F34" s="1212"/>
      <c r="G34" s="1212"/>
      <c r="H34" s="1212"/>
      <c r="I34" s="1212"/>
      <c r="J34" s="1212"/>
      <c r="K34" s="1212"/>
      <c r="L34" s="641"/>
      <c r="M34" s="1212" t="s">
        <v>375</v>
      </c>
      <c r="N34" s="1212"/>
      <c r="O34" s="1212"/>
      <c r="P34" s="1212"/>
      <c r="Q34" s="1212"/>
      <c r="S34" s="1212" t="s">
        <v>374</v>
      </c>
      <c r="T34" s="1212"/>
      <c r="U34" s="1212"/>
      <c r="V34" s="1212"/>
      <c r="W34" s="1212"/>
    </row>
    <row r="35" spans="1:23" ht="36.75" customHeight="1" thickBot="1" x14ac:dyDescent="0.25">
      <c r="E35" s="1213" t="e">
        <f>VLOOKUP(E38,ID_archer_cible,2,FALSE)</f>
        <v>#N/A</v>
      </c>
      <c r="F35" s="1214"/>
      <c r="G35" s="1214"/>
      <c r="H35" s="1214"/>
      <c r="I35" s="1214"/>
      <c r="J35" s="1214"/>
      <c r="K35" s="1215"/>
      <c r="L35" s="641"/>
      <c r="M35" s="1216" t="e">
        <f>"("&amp;VLOOKUP(E38,ID_archer_cible,3,FALSE)&amp;")"</f>
        <v>#N/A</v>
      </c>
      <c r="N35" s="1217"/>
      <c r="O35" s="1217"/>
      <c r="P35" s="1217"/>
      <c r="Q35" s="1217"/>
      <c r="R35" s="1218"/>
      <c r="S35" s="1185" t="e">
        <f>VLOOKUP(E38,ID_archer_cible,4,FALSE)</f>
        <v>#N/A</v>
      </c>
      <c r="T35" s="1186"/>
      <c r="U35" s="1186"/>
      <c r="V35" s="1186"/>
      <c r="W35" s="1187"/>
    </row>
    <row r="36" spans="1:23" ht="17.25" customHeight="1" x14ac:dyDescent="0.2"/>
    <row r="37" spans="1:23" ht="23.25" customHeight="1" thickBot="1" x14ac:dyDescent="0.25">
      <c r="A37" s="638" t="s">
        <v>906</v>
      </c>
      <c r="E37" s="508" t="s">
        <v>552</v>
      </c>
      <c r="F37" s="571" t="s">
        <v>893</v>
      </c>
      <c r="G37" s="1202" t="s">
        <v>550</v>
      </c>
      <c r="H37" s="1202"/>
      <c r="I37" s="571" t="s">
        <v>905</v>
      </c>
      <c r="J37" s="709" t="s">
        <v>551</v>
      </c>
      <c r="N37" s="508" t="s">
        <v>552</v>
      </c>
      <c r="O37" s="571" t="s">
        <v>893</v>
      </c>
      <c r="P37" s="1202" t="s">
        <v>550</v>
      </c>
      <c r="Q37" s="1202"/>
      <c r="R37" s="571" t="s">
        <v>905</v>
      </c>
      <c r="S37" s="709" t="s">
        <v>551</v>
      </c>
    </row>
    <row r="38" spans="1:23" ht="23.25" customHeight="1" thickTop="1" x14ac:dyDescent="0.2">
      <c r="A38" s="710" t="e">
        <f>VLOOKUP(E38,ID_archer_cible,5,FALSE)&amp;"    "&amp;VLOOKUP(E38,ID_archer_cible,6,FALSE)</f>
        <v>#N/A</v>
      </c>
      <c r="B38" s="711"/>
      <c r="C38" s="711"/>
      <c r="D38" s="712"/>
      <c r="E38" s="713" t="str">
        <f>C32&amp;"A"</f>
        <v>2A</v>
      </c>
      <c r="F38" s="714" t="e">
        <f>VLOOKUP(E38,ID_archer_cible,9,FALSE)</f>
        <v>#N/A</v>
      </c>
      <c r="G38" s="1209" t="e">
        <f>VLOOKUP(E38,ID_archer_cible,8,FALSE)</f>
        <v>#N/A</v>
      </c>
      <c r="H38" s="1209"/>
      <c r="I38" s="715" t="e">
        <f>VLOOKUP(E38,ID_archer_cible,7,FALSE)</f>
        <v>#N/A</v>
      </c>
      <c r="J38" s="716" t="e">
        <f>VLOOKUP(E38,ID_archer_cible,10,FALSE)</f>
        <v>#N/A</v>
      </c>
      <c r="K38" s="710" t="e">
        <f>VLOOKUP(N38,ID_archer_cible,5,FALSE)&amp;"    "&amp;VLOOKUP(N38,ID_archer_cible,6,FALSE)</f>
        <v>#N/A</v>
      </c>
      <c r="L38" s="722"/>
      <c r="M38" s="723"/>
      <c r="N38" s="714" t="str">
        <f>C32&amp;"C"</f>
        <v>2C</v>
      </c>
      <c r="O38" s="714" t="e">
        <f>VLOOKUP(N38,ID_archer_cible,9,FALSE)</f>
        <v>#N/A</v>
      </c>
      <c r="P38" s="1203" t="e">
        <f>VLOOKUP(N38,ID_archer_cible,8,FALSE)</f>
        <v>#N/A</v>
      </c>
      <c r="Q38" s="1204"/>
      <c r="R38" s="724" t="e">
        <f>VLOOKUP(N38,ID_archer_cible,7,FALSE)</f>
        <v>#N/A</v>
      </c>
      <c r="S38" s="716" t="e">
        <f>VLOOKUP(N38,ID_archer_cible,10,FALSE)</f>
        <v>#N/A</v>
      </c>
    </row>
    <row r="39" spans="1:23" ht="23.25" customHeight="1" thickBot="1" x14ac:dyDescent="0.25">
      <c r="A39" s="717" t="e">
        <f>VLOOKUP(E39,ID_archer_cible,5,FALSE)&amp;"    "&amp;VLOOKUP(E39,ID_archer_cible,6,FALSE)</f>
        <v>#N/A</v>
      </c>
      <c r="B39" s="718"/>
      <c r="C39" s="718"/>
      <c r="D39" s="719"/>
      <c r="E39" s="696" t="str">
        <f>C32&amp;"B"</f>
        <v>2B</v>
      </c>
      <c r="F39" s="720" t="e">
        <f>VLOOKUP(E39,ID_archer_cible,9,FALSE)</f>
        <v>#N/A</v>
      </c>
      <c r="G39" s="1210" t="e">
        <f>VLOOKUP(E39,ID_archer_cible,8,FALSE)</f>
        <v>#N/A</v>
      </c>
      <c r="H39" s="1210"/>
      <c r="I39" s="721" t="e">
        <f>VLOOKUP(E39,ID_archer_cible,7,FALSE)</f>
        <v>#N/A</v>
      </c>
      <c r="J39" s="700" t="e">
        <f>VLOOKUP(E39,ID_archer_cible,10,FALSE)</f>
        <v>#N/A</v>
      </c>
      <c r="K39" s="717" t="e">
        <f>VLOOKUP(N39,ID_archer_cible,5,FALSE)&amp;"    "&amp;VLOOKUP(N39,ID_archer_cible,6,FALSE)</f>
        <v>#N/A</v>
      </c>
      <c r="L39" s="725"/>
      <c r="M39" s="726"/>
      <c r="N39" s="720" t="str">
        <f>C32&amp;"D"</f>
        <v>2D</v>
      </c>
      <c r="O39" s="720" t="e">
        <f>VLOOKUP(N39,ID_archer_cible,9,FALSE)</f>
        <v>#N/A</v>
      </c>
      <c r="P39" s="1205" t="e">
        <f>VLOOKUP(N39,ID_archer_cible,8,FALSE)</f>
        <v>#N/A</v>
      </c>
      <c r="Q39" s="1206"/>
      <c r="R39" s="727" t="e">
        <f>VLOOKUP(N39,ID_archer_cible,7,FALSE)</f>
        <v>#N/A</v>
      </c>
      <c r="S39" s="700" t="e">
        <f>VLOOKUP(N39,ID_archer_cible,10,FALSE)</f>
        <v>#N/A</v>
      </c>
    </row>
    <row r="40" spans="1:23" ht="15" customHeight="1" thickTop="1" x14ac:dyDescent="0.2"/>
    <row r="41" spans="1:23" ht="15" customHeight="1" thickBot="1" x14ac:dyDescent="0.25"/>
    <row r="42" spans="1:23" ht="33.75" customHeight="1" thickBot="1" x14ac:dyDescent="0.25">
      <c r="A42" s="1222" t="s">
        <v>909</v>
      </c>
      <c r="B42" s="1223"/>
      <c r="C42" s="1224"/>
      <c r="E42" s="1225" t="s">
        <v>910</v>
      </c>
      <c r="F42" s="1226"/>
      <c r="G42" s="1227"/>
      <c r="I42" s="1222" t="s">
        <v>911</v>
      </c>
      <c r="J42" s="1223"/>
      <c r="K42" s="1224"/>
      <c r="M42" s="1222" t="s">
        <v>912</v>
      </c>
      <c r="N42" s="1223"/>
      <c r="O42" s="1224"/>
      <c r="Q42" s="1222" t="s">
        <v>913</v>
      </c>
      <c r="R42" s="1223"/>
      <c r="S42" s="1224"/>
      <c r="U42" s="1222" t="s">
        <v>916</v>
      </c>
      <c r="V42" s="1223"/>
      <c r="W42" s="1224"/>
    </row>
    <row r="43" spans="1:23" ht="33.75" customHeight="1" x14ac:dyDescent="0.2">
      <c r="A43" s="642" t="s">
        <v>980</v>
      </c>
      <c r="B43" s="643" t="s">
        <v>981</v>
      </c>
      <c r="C43" s="644" t="s">
        <v>780</v>
      </c>
      <c r="E43" s="642" t="s">
        <v>980</v>
      </c>
      <c r="F43" s="643" t="s">
        <v>981</v>
      </c>
      <c r="G43" s="644" t="s">
        <v>780</v>
      </c>
      <c r="I43" s="642" t="s">
        <v>980</v>
      </c>
      <c r="J43" s="643" t="s">
        <v>981</v>
      </c>
      <c r="K43" s="644" t="s">
        <v>780</v>
      </c>
      <c r="M43" s="642" t="s">
        <v>980</v>
      </c>
      <c r="N43" s="643" t="s">
        <v>981</v>
      </c>
      <c r="O43" s="644" t="s">
        <v>780</v>
      </c>
      <c r="Q43" s="642" t="s">
        <v>980</v>
      </c>
      <c r="R43" s="643" t="s">
        <v>981</v>
      </c>
      <c r="S43" s="644" t="s">
        <v>780</v>
      </c>
      <c r="U43" s="642" t="s">
        <v>980</v>
      </c>
      <c r="V43" s="643" t="s">
        <v>981</v>
      </c>
      <c r="W43" s="644" t="s">
        <v>780</v>
      </c>
    </row>
    <row r="44" spans="1:23" ht="33.75" customHeight="1" x14ac:dyDescent="0.2">
      <c r="A44" s="628">
        <v>10</v>
      </c>
      <c r="B44" s="630"/>
      <c r="C44" s="630"/>
      <c r="E44" s="628">
        <v>10</v>
      </c>
      <c r="F44" s="630"/>
      <c r="G44" s="630"/>
      <c r="I44" s="628">
        <v>10</v>
      </c>
      <c r="J44" s="630"/>
      <c r="K44" s="630"/>
      <c r="M44" s="628">
        <v>10</v>
      </c>
      <c r="N44" s="630"/>
      <c r="O44" s="630"/>
      <c r="Q44" s="628">
        <v>10</v>
      </c>
      <c r="R44" s="630"/>
      <c r="S44" s="630"/>
      <c r="U44" s="628">
        <v>10</v>
      </c>
      <c r="V44" s="630"/>
      <c r="W44" s="630"/>
    </row>
    <row r="45" spans="1:23" ht="33.75" customHeight="1" x14ac:dyDescent="0.2">
      <c r="A45" s="628">
        <v>9</v>
      </c>
      <c r="B45" s="630"/>
      <c r="C45" s="630"/>
      <c r="E45" s="628">
        <v>9</v>
      </c>
      <c r="F45" s="630"/>
      <c r="G45" s="630"/>
      <c r="I45" s="628">
        <v>9</v>
      </c>
      <c r="J45" s="630"/>
      <c r="K45" s="630"/>
      <c r="M45" s="628">
        <v>9</v>
      </c>
      <c r="N45" s="630"/>
      <c r="O45" s="630"/>
      <c r="Q45" s="628">
        <v>9</v>
      </c>
      <c r="R45" s="630"/>
      <c r="S45" s="630"/>
      <c r="U45" s="628">
        <v>9</v>
      </c>
      <c r="V45" s="630"/>
      <c r="W45" s="630"/>
    </row>
    <row r="46" spans="1:23" ht="33.75" customHeight="1" x14ac:dyDescent="0.2">
      <c r="A46" s="628">
        <v>8</v>
      </c>
      <c r="B46" s="630"/>
      <c r="C46" s="630"/>
      <c r="E46" s="628">
        <v>8</v>
      </c>
      <c r="F46" s="630"/>
      <c r="G46" s="630"/>
      <c r="I46" s="628">
        <v>8</v>
      </c>
      <c r="J46" s="630"/>
      <c r="K46" s="630"/>
      <c r="M46" s="628">
        <v>8</v>
      </c>
      <c r="N46" s="630"/>
      <c r="O46" s="630"/>
      <c r="Q46" s="628">
        <v>8</v>
      </c>
      <c r="R46" s="630"/>
      <c r="S46" s="630"/>
      <c r="U46" s="628">
        <v>8</v>
      </c>
      <c r="V46" s="630"/>
      <c r="W46" s="630"/>
    </row>
    <row r="47" spans="1:23" ht="33.75" customHeight="1" x14ac:dyDescent="0.2">
      <c r="A47" s="628">
        <v>7</v>
      </c>
      <c r="B47" s="630"/>
      <c r="C47" s="630"/>
      <c r="E47" s="628">
        <v>7</v>
      </c>
      <c r="F47" s="630"/>
      <c r="G47" s="630"/>
      <c r="I47" s="628">
        <v>7</v>
      </c>
      <c r="J47" s="630"/>
      <c r="K47" s="630"/>
      <c r="M47" s="628">
        <v>7</v>
      </c>
      <c r="N47" s="630"/>
      <c r="O47" s="630"/>
      <c r="Q47" s="628">
        <v>7</v>
      </c>
      <c r="R47" s="630"/>
      <c r="S47" s="630"/>
      <c r="U47" s="628">
        <v>7</v>
      </c>
      <c r="V47" s="630"/>
      <c r="W47" s="630"/>
    </row>
    <row r="48" spans="1:23" ht="33.75" customHeight="1" x14ac:dyDescent="0.2">
      <c r="A48" s="628">
        <v>6</v>
      </c>
      <c r="B48" s="630"/>
      <c r="C48" s="630"/>
      <c r="E48" s="628">
        <v>6</v>
      </c>
      <c r="F48" s="630"/>
      <c r="G48" s="630"/>
      <c r="I48" s="628">
        <v>6</v>
      </c>
      <c r="J48" s="630"/>
      <c r="K48" s="630"/>
      <c r="M48" s="628">
        <v>6</v>
      </c>
      <c r="N48" s="630"/>
      <c r="O48" s="630"/>
      <c r="Q48" s="628">
        <v>6</v>
      </c>
      <c r="R48" s="630"/>
      <c r="S48" s="630"/>
      <c r="U48" s="628">
        <v>6</v>
      </c>
      <c r="V48" s="630"/>
      <c r="W48" s="630"/>
    </row>
    <row r="49" spans="1:23" ht="33.75" customHeight="1" x14ac:dyDescent="0.2">
      <c r="A49" s="628">
        <v>5</v>
      </c>
      <c r="B49" s="630"/>
      <c r="C49" s="630"/>
      <c r="E49" s="628">
        <v>5</v>
      </c>
      <c r="F49" s="630"/>
      <c r="G49" s="630"/>
      <c r="I49" s="628">
        <v>5</v>
      </c>
      <c r="J49" s="630"/>
      <c r="K49" s="630"/>
      <c r="M49" s="628">
        <v>5</v>
      </c>
      <c r="N49" s="630"/>
      <c r="O49" s="630"/>
      <c r="Q49" s="628">
        <v>5</v>
      </c>
      <c r="R49" s="630"/>
      <c r="S49" s="630"/>
      <c r="U49" s="628">
        <v>5</v>
      </c>
      <c r="V49" s="630"/>
      <c r="W49" s="630"/>
    </row>
    <row r="50" spans="1:23" ht="33.75" customHeight="1" x14ac:dyDescent="0.2">
      <c r="A50" s="628">
        <v>4</v>
      </c>
      <c r="B50" s="630"/>
      <c r="C50" s="630"/>
      <c r="E50" s="628">
        <v>4</v>
      </c>
      <c r="F50" s="630"/>
      <c r="G50" s="630"/>
      <c r="I50" s="628">
        <v>4</v>
      </c>
      <c r="J50" s="630"/>
      <c r="K50" s="630"/>
      <c r="M50" s="628">
        <v>4</v>
      </c>
      <c r="N50" s="630"/>
      <c r="O50" s="630"/>
      <c r="Q50" s="628">
        <v>4</v>
      </c>
      <c r="R50" s="630"/>
      <c r="S50" s="630"/>
      <c r="U50" s="628">
        <v>4</v>
      </c>
      <c r="V50" s="630"/>
      <c r="W50" s="630"/>
    </row>
    <row r="51" spans="1:23" ht="33.75" customHeight="1" x14ac:dyDescent="0.2">
      <c r="A51" s="628">
        <v>3</v>
      </c>
      <c r="B51" s="630"/>
      <c r="C51" s="630"/>
      <c r="E51" s="628">
        <v>3</v>
      </c>
      <c r="F51" s="630"/>
      <c r="G51" s="630"/>
      <c r="I51" s="628">
        <v>3</v>
      </c>
      <c r="J51" s="630"/>
      <c r="K51" s="630"/>
      <c r="M51" s="628">
        <v>3</v>
      </c>
      <c r="N51" s="630"/>
      <c r="O51" s="630"/>
      <c r="Q51" s="628">
        <v>3</v>
      </c>
      <c r="R51" s="630"/>
      <c r="S51" s="630"/>
      <c r="U51" s="628">
        <v>3</v>
      </c>
      <c r="V51" s="630"/>
      <c r="W51" s="630"/>
    </row>
    <row r="52" spans="1:23" ht="33.75" customHeight="1" x14ac:dyDescent="0.2">
      <c r="A52" s="628">
        <v>2</v>
      </c>
      <c r="B52" s="630"/>
      <c r="C52" s="630"/>
      <c r="E52" s="628">
        <v>2</v>
      </c>
      <c r="F52" s="630"/>
      <c r="G52" s="630"/>
      <c r="I52" s="628">
        <v>2</v>
      </c>
      <c r="J52" s="630"/>
      <c r="K52" s="630"/>
      <c r="M52" s="628">
        <v>2</v>
      </c>
      <c r="N52" s="630"/>
      <c r="O52" s="630"/>
      <c r="Q52" s="628">
        <v>2</v>
      </c>
      <c r="R52" s="630"/>
      <c r="S52" s="630"/>
      <c r="U52" s="628">
        <v>2</v>
      </c>
      <c r="V52" s="630"/>
      <c r="W52" s="630"/>
    </row>
    <row r="53" spans="1:23" ht="33.75" customHeight="1" x14ac:dyDescent="0.2">
      <c r="A53" s="628">
        <v>1</v>
      </c>
      <c r="B53" s="630"/>
      <c r="C53" s="630"/>
      <c r="E53" s="628">
        <v>1</v>
      </c>
      <c r="F53" s="630"/>
      <c r="G53" s="630"/>
      <c r="I53" s="628">
        <v>1</v>
      </c>
      <c r="J53" s="630"/>
      <c r="K53" s="630"/>
      <c r="M53" s="628">
        <v>1</v>
      </c>
      <c r="N53" s="630"/>
      <c r="O53" s="630"/>
      <c r="Q53" s="628">
        <v>1</v>
      </c>
      <c r="R53" s="630"/>
      <c r="S53" s="630"/>
      <c r="U53" s="628">
        <v>1</v>
      </c>
      <c r="V53" s="630"/>
      <c r="W53" s="630"/>
    </row>
    <row r="54" spans="1:23" ht="33.75" customHeight="1" x14ac:dyDescent="0.2">
      <c r="A54" s="628" t="s">
        <v>982</v>
      </c>
      <c r="B54" s="630"/>
      <c r="C54" s="630"/>
      <c r="E54" s="628" t="s">
        <v>982</v>
      </c>
      <c r="F54" s="630"/>
      <c r="G54" s="630"/>
      <c r="I54" s="628" t="s">
        <v>982</v>
      </c>
      <c r="J54" s="630"/>
      <c r="K54" s="630"/>
      <c r="M54" s="628" t="s">
        <v>982</v>
      </c>
      <c r="N54" s="630"/>
      <c r="O54" s="630"/>
      <c r="Q54" s="628" t="s">
        <v>982</v>
      </c>
      <c r="R54" s="630"/>
      <c r="S54" s="630"/>
      <c r="U54" s="628" t="s">
        <v>982</v>
      </c>
      <c r="V54" s="630"/>
      <c r="W54" s="630"/>
    </row>
    <row r="55" spans="1:23" ht="33.75" customHeight="1" x14ac:dyDescent="0.2">
      <c r="A55" s="629" t="s">
        <v>981</v>
      </c>
      <c r="B55" s="630"/>
      <c r="C55" s="631" t="s">
        <v>984</v>
      </c>
      <c r="E55" s="629" t="s">
        <v>981</v>
      </c>
      <c r="F55" s="630"/>
      <c r="G55" s="631" t="s">
        <v>984</v>
      </c>
      <c r="I55" s="629" t="s">
        <v>981</v>
      </c>
      <c r="J55" s="630"/>
      <c r="K55" s="631" t="s">
        <v>984</v>
      </c>
      <c r="M55" s="629" t="s">
        <v>981</v>
      </c>
      <c r="N55" s="630"/>
      <c r="O55" s="631" t="s">
        <v>984</v>
      </c>
      <c r="Q55" s="629" t="s">
        <v>981</v>
      </c>
      <c r="R55" s="630"/>
      <c r="S55" s="631" t="s">
        <v>984</v>
      </c>
      <c r="U55" s="629" t="s">
        <v>981</v>
      </c>
      <c r="V55" s="630"/>
      <c r="W55" s="631" t="s">
        <v>984</v>
      </c>
    </row>
    <row r="56" spans="1:23" ht="48" customHeight="1" x14ac:dyDescent="0.25">
      <c r="A56" s="637"/>
      <c r="B56" s="629" t="s">
        <v>983</v>
      </c>
      <c r="C56" s="636"/>
      <c r="E56" s="637" t="s">
        <v>985</v>
      </c>
      <c r="F56" s="632" t="s">
        <v>983</v>
      </c>
      <c r="G56" s="633"/>
      <c r="I56" s="637" t="s">
        <v>985</v>
      </c>
      <c r="J56" s="632" t="s">
        <v>983</v>
      </c>
      <c r="K56" s="633"/>
      <c r="M56" s="637" t="s">
        <v>985</v>
      </c>
      <c r="N56" s="632" t="s">
        <v>983</v>
      </c>
      <c r="O56" s="633"/>
      <c r="Q56" s="637" t="s">
        <v>985</v>
      </c>
      <c r="R56" s="632" t="s">
        <v>983</v>
      </c>
      <c r="S56" s="633"/>
      <c r="U56" s="637" t="s">
        <v>985</v>
      </c>
      <c r="V56" s="632" t="s">
        <v>983</v>
      </c>
      <c r="W56" s="633"/>
    </row>
    <row r="57" spans="1:23" ht="51" customHeight="1" x14ac:dyDescent="0.2">
      <c r="A57" s="634"/>
      <c r="B57" s="634"/>
      <c r="C57" s="634"/>
      <c r="E57" s="1115" t="s">
        <v>986</v>
      </c>
      <c r="F57" s="1115"/>
      <c r="G57" s="635"/>
      <c r="I57" s="1115" t="s">
        <v>986</v>
      </c>
      <c r="J57" s="1115"/>
      <c r="K57" s="635"/>
      <c r="M57" s="1115" t="s">
        <v>986</v>
      </c>
      <c r="N57" s="1115"/>
      <c r="O57" s="635"/>
      <c r="Q57" s="1115" t="s">
        <v>986</v>
      </c>
      <c r="R57" s="1115"/>
      <c r="S57" s="635"/>
      <c r="U57" s="1228" t="s">
        <v>987</v>
      </c>
      <c r="V57" s="1229"/>
      <c r="W57" s="635"/>
    </row>
    <row r="58" spans="1:23" ht="13.5" customHeight="1" thickBot="1" x14ac:dyDescent="0.25"/>
    <row r="59" spans="1:23" ht="72" customHeight="1" thickBot="1" x14ac:dyDescent="0.25">
      <c r="E59" s="707" t="s">
        <v>1007</v>
      </c>
      <c r="F59" s="639"/>
      <c r="G59" s="639"/>
      <c r="H59" s="639"/>
      <c r="I59" s="639"/>
      <c r="J59" s="640"/>
      <c r="M59" s="708" t="s">
        <v>1008</v>
      </c>
      <c r="N59" s="639"/>
      <c r="O59" s="639"/>
      <c r="P59" s="639"/>
      <c r="Q59" s="640"/>
      <c r="S59" s="1219" t="s">
        <v>988</v>
      </c>
      <c r="T59" s="1219"/>
      <c r="U59" s="1219"/>
      <c r="V59" s="1220"/>
      <c r="W59" s="1221"/>
    </row>
    <row r="60" spans="1:23" ht="34.5" customHeight="1" x14ac:dyDescent="0.2"/>
    <row r="61" spans="1:23" ht="6.75" customHeight="1" x14ac:dyDescent="0.2">
      <c r="Q61" s="1193" t="str">
        <f>CATEG_IMPORTEE</f>
        <v>Collèges Mixtes Etablissement</v>
      </c>
      <c r="R61" s="1193"/>
      <c r="S61" s="1193"/>
      <c r="T61" s="1193"/>
      <c r="U61" s="1193"/>
      <c r="V61" s="1193"/>
      <c r="W61" s="1193"/>
    </row>
    <row r="62" spans="1:23" s="218" customFormat="1" ht="33.75" x14ac:dyDescent="0.2">
      <c r="A62" s="1207" t="s">
        <v>628</v>
      </c>
      <c r="B62" s="1207"/>
      <c r="C62" s="645">
        <f>C32+1</f>
        <v>3</v>
      </c>
      <c r="E62" s="1208" t="str">
        <f>Championnat</f>
        <v>Championnat de France de Tir à l'ARC</v>
      </c>
      <c r="F62" s="1208"/>
      <c r="G62" s="1208"/>
      <c r="H62" s="1208"/>
      <c r="I62" s="1208"/>
      <c r="J62" s="1208"/>
      <c r="K62" s="1208"/>
      <c r="L62" s="1208"/>
      <c r="M62" s="1208"/>
      <c r="N62" s="1208"/>
      <c r="O62" s="1208"/>
      <c r="Q62" s="1193"/>
      <c r="R62" s="1193"/>
      <c r="S62" s="1193"/>
      <c r="T62" s="1193"/>
      <c r="U62" s="1193"/>
      <c r="V62" s="1193"/>
      <c r="W62" s="1193"/>
    </row>
    <row r="63" spans="1:23" ht="27" customHeight="1" x14ac:dyDescent="0.2">
      <c r="Q63" s="1211" t="str">
        <f>LIEU&amp;" du "&amp;DATE</f>
        <v>L’Isle sur la Sorgue du 27 au 31 mars 2023</v>
      </c>
      <c r="R63" s="1211"/>
      <c r="S63" s="1211"/>
      <c r="T63" s="1211"/>
      <c r="U63" s="1211"/>
      <c r="V63" s="1211"/>
      <c r="W63" s="1211"/>
    </row>
    <row r="64" spans="1:23" ht="19.5" customHeight="1" thickBot="1" x14ac:dyDescent="0.25">
      <c r="E64" s="1212" t="s">
        <v>0</v>
      </c>
      <c r="F64" s="1212"/>
      <c r="G64" s="1212"/>
      <c r="H64" s="1212"/>
      <c r="I64" s="1212"/>
      <c r="J64" s="1212"/>
      <c r="K64" s="1212"/>
      <c r="L64" s="641"/>
      <c r="M64" s="1212" t="s">
        <v>375</v>
      </c>
      <c r="N64" s="1212"/>
      <c r="O64" s="1212"/>
      <c r="P64" s="1212"/>
      <c r="Q64" s="1212"/>
      <c r="S64" s="1212" t="s">
        <v>374</v>
      </c>
      <c r="T64" s="1212"/>
      <c r="U64" s="1212"/>
      <c r="V64" s="1212"/>
      <c r="W64" s="1212"/>
    </row>
    <row r="65" spans="1:23" ht="36.75" customHeight="1" thickBot="1" x14ac:dyDescent="0.25">
      <c r="E65" s="1213" t="e">
        <f>VLOOKUP(E68,ID_archer_cible,2,FALSE)</f>
        <v>#N/A</v>
      </c>
      <c r="F65" s="1214"/>
      <c r="G65" s="1214"/>
      <c r="H65" s="1214"/>
      <c r="I65" s="1214"/>
      <c r="J65" s="1214"/>
      <c r="K65" s="1215"/>
      <c r="L65" s="641"/>
      <c r="M65" s="1216" t="e">
        <f>"("&amp;VLOOKUP(E68,ID_archer_cible,3,FALSE)&amp;")"</f>
        <v>#N/A</v>
      </c>
      <c r="N65" s="1217"/>
      <c r="O65" s="1217"/>
      <c r="P65" s="1217"/>
      <c r="Q65" s="1217"/>
      <c r="R65" s="1218"/>
      <c r="S65" s="1185" t="e">
        <f>VLOOKUP(E68,ID_archer_cible,4,FALSE)</f>
        <v>#N/A</v>
      </c>
      <c r="T65" s="1186"/>
      <c r="U65" s="1186"/>
      <c r="V65" s="1186"/>
      <c r="W65" s="1187"/>
    </row>
    <row r="66" spans="1:23" ht="17.25" customHeight="1" x14ac:dyDescent="0.2"/>
    <row r="67" spans="1:23" ht="23.25" customHeight="1" thickBot="1" x14ac:dyDescent="0.25">
      <c r="A67" s="638" t="s">
        <v>906</v>
      </c>
      <c r="E67" s="508" t="s">
        <v>552</v>
      </c>
      <c r="F67" s="571" t="s">
        <v>893</v>
      </c>
      <c r="G67" s="1202" t="s">
        <v>550</v>
      </c>
      <c r="H67" s="1202"/>
      <c r="I67" s="571" t="s">
        <v>905</v>
      </c>
      <c r="J67" s="709" t="s">
        <v>551</v>
      </c>
      <c r="N67" s="508" t="s">
        <v>552</v>
      </c>
      <c r="O67" s="571" t="s">
        <v>893</v>
      </c>
      <c r="P67" s="1202" t="s">
        <v>550</v>
      </c>
      <c r="Q67" s="1202"/>
      <c r="R67" s="571" t="s">
        <v>905</v>
      </c>
      <c r="S67" s="709" t="s">
        <v>551</v>
      </c>
    </row>
    <row r="68" spans="1:23" ht="23.25" customHeight="1" thickTop="1" x14ac:dyDescent="0.2">
      <c r="A68" s="710" t="e">
        <f>VLOOKUP(E68,ID_archer_cible,5,FALSE)&amp;"    "&amp;VLOOKUP(E68,ID_archer_cible,6,FALSE)</f>
        <v>#N/A</v>
      </c>
      <c r="B68" s="711"/>
      <c r="C68" s="711"/>
      <c r="D68" s="712"/>
      <c r="E68" s="713" t="str">
        <f>C62&amp;"A"</f>
        <v>3A</v>
      </c>
      <c r="F68" s="714" t="e">
        <f>VLOOKUP(E68,ID_archer_cible,9,FALSE)</f>
        <v>#N/A</v>
      </c>
      <c r="G68" s="1209" t="e">
        <f>VLOOKUP(E68,ID_archer_cible,8,FALSE)</f>
        <v>#N/A</v>
      </c>
      <c r="H68" s="1209"/>
      <c r="I68" s="715" t="e">
        <f>VLOOKUP(E68,ID_archer_cible,7,FALSE)</f>
        <v>#N/A</v>
      </c>
      <c r="J68" s="716" t="e">
        <f>VLOOKUP(E68,ID_archer_cible,10,FALSE)</f>
        <v>#N/A</v>
      </c>
      <c r="K68" s="710" t="e">
        <f>VLOOKUP(N68,ID_archer_cible,5,FALSE)&amp;"    "&amp;VLOOKUP(N68,ID_archer_cible,6,FALSE)</f>
        <v>#N/A</v>
      </c>
      <c r="L68" s="722"/>
      <c r="M68" s="723"/>
      <c r="N68" s="714" t="str">
        <f>C62&amp;"C"</f>
        <v>3C</v>
      </c>
      <c r="O68" s="714" t="e">
        <f>VLOOKUP(N68,ID_archer_cible,9,FALSE)</f>
        <v>#N/A</v>
      </c>
      <c r="P68" s="1203" t="e">
        <f>VLOOKUP(N68,ID_archer_cible,8,FALSE)</f>
        <v>#N/A</v>
      </c>
      <c r="Q68" s="1204"/>
      <c r="R68" s="724" t="e">
        <f>VLOOKUP(N68,ID_archer_cible,7,FALSE)</f>
        <v>#N/A</v>
      </c>
      <c r="S68" s="716" t="e">
        <f>VLOOKUP(N68,ID_archer_cible,10,FALSE)</f>
        <v>#N/A</v>
      </c>
    </row>
    <row r="69" spans="1:23" ht="23.25" customHeight="1" thickBot="1" x14ac:dyDescent="0.25">
      <c r="A69" s="717" t="e">
        <f>VLOOKUP(E69,ID_archer_cible,5,FALSE)&amp;"    "&amp;VLOOKUP(E69,ID_archer_cible,6,FALSE)</f>
        <v>#N/A</v>
      </c>
      <c r="B69" s="718"/>
      <c r="C69" s="718"/>
      <c r="D69" s="719"/>
      <c r="E69" s="696" t="str">
        <f>C62&amp;"B"</f>
        <v>3B</v>
      </c>
      <c r="F69" s="720" t="e">
        <f>VLOOKUP(E69,ID_archer_cible,9,FALSE)</f>
        <v>#N/A</v>
      </c>
      <c r="G69" s="1210" t="e">
        <f>VLOOKUP(E69,ID_archer_cible,8,FALSE)</f>
        <v>#N/A</v>
      </c>
      <c r="H69" s="1210"/>
      <c r="I69" s="721" t="e">
        <f>VLOOKUP(E69,ID_archer_cible,7,FALSE)</f>
        <v>#N/A</v>
      </c>
      <c r="J69" s="700" t="e">
        <f>VLOOKUP(E69,ID_archer_cible,10,FALSE)</f>
        <v>#N/A</v>
      </c>
      <c r="K69" s="717" t="e">
        <f>VLOOKUP(N69,ID_archer_cible,5,FALSE)&amp;"    "&amp;VLOOKUP(N69,ID_archer_cible,6,FALSE)</f>
        <v>#N/A</v>
      </c>
      <c r="L69" s="725"/>
      <c r="M69" s="726"/>
      <c r="N69" s="720" t="str">
        <f>C62&amp;"D"</f>
        <v>3D</v>
      </c>
      <c r="O69" s="720" t="e">
        <f>VLOOKUP(N69,ID_archer_cible,9,FALSE)</f>
        <v>#N/A</v>
      </c>
      <c r="P69" s="1205" t="e">
        <f>VLOOKUP(N69,ID_archer_cible,8,FALSE)</f>
        <v>#N/A</v>
      </c>
      <c r="Q69" s="1206"/>
      <c r="R69" s="727" t="e">
        <f>VLOOKUP(N69,ID_archer_cible,7,FALSE)</f>
        <v>#N/A</v>
      </c>
      <c r="S69" s="700" t="e">
        <f>VLOOKUP(N69,ID_archer_cible,10,FALSE)</f>
        <v>#N/A</v>
      </c>
    </row>
    <row r="70" spans="1:23" ht="15" customHeight="1" thickTop="1" x14ac:dyDescent="0.2"/>
    <row r="71" spans="1:23" ht="15" customHeight="1" thickBot="1" x14ac:dyDescent="0.25"/>
    <row r="72" spans="1:23" ht="33.75" customHeight="1" thickBot="1" x14ac:dyDescent="0.25">
      <c r="A72" s="1222" t="s">
        <v>909</v>
      </c>
      <c r="B72" s="1223"/>
      <c r="C72" s="1224"/>
      <c r="E72" s="1225" t="s">
        <v>910</v>
      </c>
      <c r="F72" s="1226"/>
      <c r="G72" s="1227"/>
      <c r="I72" s="1222" t="s">
        <v>911</v>
      </c>
      <c r="J72" s="1223"/>
      <c r="K72" s="1224"/>
      <c r="M72" s="1222" t="s">
        <v>912</v>
      </c>
      <c r="N72" s="1223"/>
      <c r="O72" s="1224"/>
      <c r="Q72" s="1222" t="s">
        <v>913</v>
      </c>
      <c r="R72" s="1223"/>
      <c r="S72" s="1224"/>
      <c r="U72" s="1222" t="s">
        <v>916</v>
      </c>
      <c r="V72" s="1223"/>
      <c r="W72" s="1224"/>
    </row>
    <row r="73" spans="1:23" ht="33.75" customHeight="1" x14ac:dyDescent="0.2">
      <c r="A73" s="642" t="s">
        <v>980</v>
      </c>
      <c r="B73" s="643" t="s">
        <v>981</v>
      </c>
      <c r="C73" s="644" t="s">
        <v>780</v>
      </c>
      <c r="E73" s="642" t="s">
        <v>980</v>
      </c>
      <c r="F73" s="643" t="s">
        <v>981</v>
      </c>
      <c r="G73" s="644" t="s">
        <v>780</v>
      </c>
      <c r="I73" s="642" t="s">
        <v>980</v>
      </c>
      <c r="J73" s="643" t="s">
        <v>981</v>
      </c>
      <c r="K73" s="644" t="s">
        <v>780</v>
      </c>
      <c r="M73" s="642" t="s">
        <v>980</v>
      </c>
      <c r="N73" s="643" t="s">
        <v>981</v>
      </c>
      <c r="O73" s="644" t="s">
        <v>780</v>
      </c>
      <c r="Q73" s="642" t="s">
        <v>980</v>
      </c>
      <c r="R73" s="643" t="s">
        <v>981</v>
      </c>
      <c r="S73" s="644" t="s">
        <v>780</v>
      </c>
      <c r="U73" s="642" t="s">
        <v>980</v>
      </c>
      <c r="V73" s="643" t="s">
        <v>981</v>
      </c>
      <c r="W73" s="644" t="s">
        <v>780</v>
      </c>
    </row>
    <row r="74" spans="1:23" ht="33.75" customHeight="1" x14ac:dyDescent="0.2">
      <c r="A74" s="628">
        <v>10</v>
      </c>
      <c r="B74" s="630"/>
      <c r="C74" s="630"/>
      <c r="E74" s="628">
        <v>10</v>
      </c>
      <c r="F74" s="630"/>
      <c r="G74" s="630"/>
      <c r="I74" s="628">
        <v>10</v>
      </c>
      <c r="J74" s="630"/>
      <c r="K74" s="630"/>
      <c r="M74" s="628">
        <v>10</v>
      </c>
      <c r="N74" s="630"/>
      <c r="O74" s="630"/>
      <c r="Q74" s="628">
        <v>10</v>
      </c>
      <c r="R74" s="630"/>
      <c r="S74" s="630"/>
      <c r="U74" s="628">
        <v>10</v>
      </c>
      <c r="V74" s="630"/>
      <c r="W74" s="630"/>
    </row>
    <row r="75" spans="1:23" ht="33.75" customHeight="1" x14ac:dyDescent="0.2">
      <c r="A75" s="628">
        <v>9</v>
      </c>
      <c r="B75" s="630"/>
      <c r="C75" s="630"/>
      <c r="E75" s="628">
        <v>9</v>
      </c>
      <c r="F75" s="630"/>
      <c r="G75" s="630"/>
      <c r="I75" s="628">
        <v>9</v>
      </c>
      <c r="J75" s="630"/>
      <c r="K75" s="630"/>
      <c r="M75" s="628">
        <v>9</v>
      </c>
      <c r="N75" s="630"/>
      <c r="O75" s="630"/>
      <c r="Q75" s="628">
        <v>9</v>
      </c>
      <c r="R75" s="630"/>
      <c r="S75" s="630"/>
      <c r="U75" s="628">
        <v>9</v>
      </c>
      <c r="V75" s="630"/>
      <c r="W75" s="630"/>
    </row>
    <row r="76" spans="1:23" ht="33.75" customHeight="1" x14ac:dyDescent="0.2">
      <c r="A76" s="628">
        <v>8</v>
      </c>
      <c r="B76" s="630"/>
      <c r="C76" s="630"/>
      <c r="E76" s="628">
        <v>8</v>
      </c>
      <c r="F76" s="630"/>
      <c r="G76" s="630"/>
      <c r="I76" s="628">
        <v>8</v>
      </c>
      <c r="J76" s="630"/>
      <c r="K76" s="630"/>
      <c r="M76" s="628">
        <v>8</v>
      </c>
      <c r="N76" s="630"/>
      <c r="O76" s="630"/>
      <c r="Q76" s="628">
        <v>8</v>
      </c>
      <c r="R76" s="630"/>
      <c r="S76" s="630"/>
      <c r="U76" s="628">
        <v>8</v>
      </c>
      <c r="V76" s="630"/>
      <c r="W76" s="630"/>
    </row>
    <row r="77" spans="1:23" ht="33.75" customHeight="1" x14ac:dyDescent="0.2">
      <c r="A77" s="628">
        <v>7</v>
      </c>
      <c r="B77" s="630"/>
      <c r="C77" s="630"/>
      <c r="E77" s="628">
        <v>7</v>
      </c>
      <c r="F77" s="630"/>
      <c r="G77" s="630"/>
      <c r="I77" s="628">
        <v>7</v>
      </c>
      <c r="J77" s="630"/>
      <c r="K77" s="630"/>
      <c r="M77" s="628">
        <v>7</v>
      </c>
      <c r="N77" s="630"/>
      <c r="O77" s="630"/>
      <c r="Q77" s="628">
        <v>7</v>
      </c>
      <c r="R77" s="630"/>
      <c r="S77" s="630"/>
      <c r="U77" s="628">
        <v>7</v>
      </c>
      <c r="V77" s="630"/>
      <c r="W77" s="630"/>
    </row>
    <row r="78" spans="1:23" ht="33.75" customHeight="1" x14ac:dyDescent="0.2">
      <c r="A78" s="628">
        <v>6</v>
      </c>
      <c r="B78" s="630"/>
      <c r="C78" s="630"/>
      <c r="E78" s="628">
        <v>6</v>
      </c>
      <c r="F78" s="630"/>
      <c r="G78" s="630"/>
      <c r="I78" s="628">
        <v>6</v>
      </c>
      <c r="J78" s="630"/>
      <c r="K78" s="630"/>
      <c r="M78" s="628">
        <v>6</v>
      </c>
      <c r="N78" s="630"/>
      <c r="O78" s="630"/>
      <c r="Q78" s="628">
        <v>6</v>
      </c>
      <c r="R78" s="630"/>
      <c r="S78" s="630"/>
      <c r="U78" s="628">
        <v>6</v>
      </c>
      <c r="V78" s="630"/>
      <c r="W78" s="630"/>
    </row>
    <row r="79" spans="1:23" ht="33.75" customHeight="1" x14ac:dyDescent="0.2">
      <c r="A79" s="628">
        <v>5</v>
      </c>
      <c r="B79" s="630"/>
      <c r="C79" s="630"/>
      <c r="E79" s="628">
        <v>5</v>
      </c>
      <c r="F79" s="630"/>
      <c r="G79" s="630"/>
      <c r="I79" s="628">
        <v>5</v>
      </c>
      <c r="J79" s="630"/>
      <c r="K79" s="630"/>
      <c r="M79" s="628">
        <v>5</v>
      </c>
      <c r="N79" s="630"/>
      <c r="O79" s="630"/>
      <c r="Q79" s="628">
        <v>5</v>
      </c>
      <c r="R79" s="630"/>
      <c r="S79" s="630"/>
      <c r="U79" s="628">
        <v>5</v>
      </c>
      <c r="V79" s="630"/>
      <c r="W79" s="630"/>
    </row>
    <row r="80" spans="1:23" ht="33.75" customHeight="1" x14ac:dyDescent="0.2">
      <c r="A80" s="628">
        <v>4</v>
      </c>
      <c r="B80" s="630"/>
      <c r="C80" s="630"/>
      <c r="E80" s="628">
        <v>4</v>
      </c>
      <c r="F80" s="630"/>
      <c r="G80" s="630"/>
      <c r="I80" s="628">
        <v>4</v>
      </c>
      <c r="J80" s="630"/>
      <c r="K80" s="630"/>
      <c r="M80" s="628">
        <v>4</v>
      </c>
      <c r="N80" s="630"/>
      <c r="O80" s="630"/>
      <c r="Q80" s="628">
        <v>4</v>
      </c>
      <c r="R80" s="630"/>
      <c r="S80" s="630"/>
      <c r="U80" s="628">
        <v>4</v>
      </c>
      <c r="V80" s="630"/>
      <c r="W80" s="630"/>
    </row>
    <row r="81" spans="1:23" ht="33.75" customHeight="1" x14ac:dyDescent="0.2">
      <c r="A81" s="628">
        <v>3</v>
      </c>
      <c r="B81" s="630"/>
      <c r="C81" s="630"/>
      <c r="E81" s="628">
        <v>3</v>
      </c>
      <c r="F81" s="630"/>
      <c r="G81" s="630"/>
      <c r="I81" s="628">
        <v>3</v>
      </c>
      <c r="J81" s="630"/>
      <c r="K81" s="630"/>
      <c r="M81" s="628">
        <v>3</v>
      </c>
      <c r="N81" s="630"/>
      <c r="O81" s="630"/>
      <c r="Q81" s="628">
        <v>3</v>
      </c>
      <c r="R81" s="630"/>
      <c r="S81" s="630"/>
      <c r="U81" s="628">
        <v>3</v>
      </c>
      <c r="V81" s="630"/>
      <c r="W81" s="630"/>
    </row>
    <row r="82" spans="1:23" ht="33.75" customHeight="1" x14ac:dyDescent="0.2">
      <c r="A82" s="628">
        <v>2</v>
      </c>
      <c r="B82" s="630"/>
      <c r="C82" s="630"/>
      <c r="E82" s="628">
        <v>2</v>
      </c>
      <c r="F82" s="630"/>
      <c r="G82" s="630"/>
      <c r="I82" s="628">
        <v>2</v>
      </c>
      <c r="J82" s="630"/>
      <c r="K82" s="630"/>
      <c r="M82" s="628">
        <v>2</v>
      </c>
      <c r="N82" s="630"/>
      <c r="O82" s="630"/>
      <c r="Q82" s="628">
        <v>2</v>
      </c>
      <c r="R82" s="630"/>
      <c r="S82" s="630"/>
      <c r="U82" s="628">
        <v>2</v>
      </c>
      <c r="V82" s="630"/>
      <c r="W82" s="630"/>
    </row>
    <row r="83" spans="1:23" ht="33.75" customHeight="1" x14ac:dyDescent="0.2">
      <c r="A83" s="628">
        <v>1</v>
      </c>
      <c r="B83" s="630"/>
      <c r="C83" s="630"/>
      <c r="E83" s="628">
        <v>1</v>
      </c>
      <c r="F83" s="630"/>
      <c r="G83" s="630"/>
      <c r="I83" s="628">
        <v>1</v>
      </c>
      <c r="J83" s="630"/>
      <c r="K83" s="630"/>
      <c r="M83" s="628">
        <v>1</v>
      </c>
      <c r="N83" s="630"/>
      <c r="O83" s="630"/>
      <c r="Q83" s="628">
        <v>1</v>
      </c>
      <c r="R83" s="630"/>
      <c r="S83" s="630"/>
      <c r="U83" s="628">
        <v>1</v>
      </c>
      <c r="V83" s="630"/>
      <c r="W83" s="630"/>
    </row>
    <row r="84" spans="1:23" ht="33.75" customHeight="1" x14ac:dyDescent="0.2">
      <c r="A84" s="628" t="s">
        <v>982</v>
      </c>
      <c r="B84" s="630"/>
      <c r="C84" s="630"/>
      <c r="E84" s="628" t="s">
        <v>982</v>
      </c>
      <c r="F84" s="630"/>
      <c r="G84" s="630"/>
      <c r="I84" s="628" t="s">
        <v>982</v>
      </c>
      <c r="J84" s="630"/>
      <c r="K84" s="630"/>
      <c r="M84" s="628" t="s">
        <v>982</v>
      </c>
      <c r="N84" s="630"/>
      <c r="O84" s="630"/>
      <c r="Q84" s="628" t="s">
        <v>982</v>
      </c>
      <c r="R84" s="630"/>
      <c r="S84" s="630"/>
      <c r="U84" s="628" t="s">
        <v>982</v>
      </c>
      <c r="V84" s="630"/>
      <c r="W84" s="630"/>
    </row>
    <row r="85" spans="1:23" ht="33.75" customHeight="1" x14ac:dyDescent="0.2">
      <c r="A85" s="629" t="s">
        <v>981</v>
      </c>
      <c r="B85" s="630"/>
      <c r="C85" s="631" t="s">
        <v>984</v>
      </c>
      <c r="E85" s="629" t="s">
        <v>981</v>
      </c>
      <c r="F85" s="630"/>
      <c r="G85" s="631" t="s">
        <v>984</v>
      </c>
      <c r="I85" s="629" t="s">
        <v>981</v>
      </c>
      <c r="J85" s="630"/>
      <c r="K85" s="631" t="s">
        <v>984</v>
      </c>
      <c r="M85" s="629" t="s">
        <v>981</v>
      </c>
      <c r="N85" s="630"/>
      <c r="O85" s="631" t="s">
        <v>984</v>
      </c>
      <c r="Q85" s="629" t="s">
        <v>981</v>
      </c>
      <c r="R85" s="630"/>
      <c r="S85" s="631" t="s">
        <v>984</v>
      </c>
      <c r="U85" s="629" t="s">
        <v>981</v>
      </c>
      <c r="V85" s="630"/>
      <c r="W85" s="631" t="s">
        <v>984</v>
      </c>
    </row>
    <row r="86" spans="1:23" ht="48" customHeight="1" x14ac:dyDescent="0.25">
      <c r="A86" s="637"/>
      <c r="B86" s="629" t="s">
        <v>983</v>
      </c>
      <c r="C86" s="636"/>
      <c r="E86" s="637" t="s">
        <v>985</v>
      </c>
      <c r="F86" s="632" t="s">
        <v>983</v>
      </c>
      <c r="G86" s="633"/>
      <c r="I86" s="637" t="s">
        <v>985</v>
      </c>
      <c r="J86" s="632" t="s">
        <v>983</v>
      </c>
      <c r="K86" s="633"/>
      <c r="M86" s="637" t="s">
        <v>985</v>
      </c>
      <c r="N86" s="632" t="s">
        <v>983</v>
      </c>
      <c r="O86" s="633"/>
      <c r="Q86" s="637" t="s">
        <v>985</v>
      </c>
      <c r="R86" s="632" t="s">
        <v>983</v>
      </c>
      <c r="S86" s="633"/>
      <c r="U86" s="637" t="s">
        <v>985</v>
      </c>
      <c r="V86" s="632" t="s">
        <v>983</v>
      </c>
      <c r="W86" s="633"/>
    </row>
    <row r="87" spans="1:23" ht="51" customHeight="1" x14ac:dyDescent="0.2">
      <c r="A87" s="634"/>
      <c r="B87" s="634"/>
      <c r="C87" s="634"/>
      <c r="E87" s="1115" t="s">
        <v>986</v>
      </c>
      <c r="F87" s="1115"/>
      <c r="G87" s="635"/>
      <c r="I87" s="1115" t="s">
        <v>986</v>
      </c>
      <c r="J87" s="1115"/>
      <c r="K87" s="635"/>
      <c r="M87" s="1115" t="s">
        <v>986</v>
      </c>
      <c r="N87" s="1115"/>
      <c r="O87" s="635"/>
      <c r="Q87" s="1115" t="s">
        <v>986</v>
      </c>
      <c r="R87" s="1115"/>
      <c r="S87" s="635"/>
      <c r="U87" s="1228" t="s">
        <v>987</v>
      </c>
      <c r="V87" s="1229"/>
      <c r="W87" s="635"/>
    </row>
    <row r="88" spans="1:23" ht="13.5" customHeight="1" thickBot="1" x14ac:dyDescent="0.25"/>
    <row r="89" spans="1:23" ht="72" customHeight="1" thickBot="1" x14ac:dyDescent="0.25">
      <c r="E89" s="707" t="s">
        <v>1007</v>
      </c>
      <c r="F89" s="639"/>
      <c r="G89" s="639"/>
      <c r="H89" s="639"/>
      <c r="I89" s="639"/>
      <c r="J89" s="640"/>
      <c r="M89" s="708" t="s">
        <v>1008</v>
      </c>
      <c r="N89" s="639"/>
      <c r="O89" s="639"/>
      <c r="P89" s="639"/>
      <c r="Q89" s="640"/>
      <c r="S89" s="1219" t="s">
        <v>988</v>
      </c>
      <c r="T89" s="1219"/>
      <c r="U89" s="1219"/>
      <c r="V89" s="1220"/>
      <c r="W89" s="1221"/>
    </row>
    <row r="90" spans="1:23" ht="34.5" customHeight="1" x14ac:dyDescent="0.2"/>
    <row r="91" spans="1:23" ht="6.75" customHeight="1" x14ac:dyDescent="0.2">
      <c r="Q91" s="1193" t="str">
        <f>CATEG_IMPORTEE</f>
        <v>Collèges Mixtes Etablissement</v>
      </c>
      <c r="R91" s="1193"/>
      <c r="S91" s="1193"/>
      <c r="T91" s="1193"/>
      <c r="U91" s="1193"/>
      <c r="V91" s="1193"/>
      <c r="W91" s="1193"/>
    </row>
    <row r="92" spans="1:23" s="218" customFormat="1" ht="33.75" x14ac:dyDescent="0.2">
      <c r="A92" s="1207" t="s">
        <v>628</v>
      </c>
      <c r="B92" s="1207"/>
      <c r="C92" s="645">
        <f>C62+1</f>
        <v>4</v>
      </c>
      <c r="E92" s="1208" t="str">
        <f>Championnat</f>
        <v>Championnat de France de Tir à l'ARC</v>
      </c>
      <c r="F92" s="1208"/>
      <c r="G92" s="1208"/>
      <c r="H92" s="1208"/>
      <c r="I92" s="1208"/>
      <c r="J92" s="1208"/>
      <c r="K92" s="1208"/>
      <c r="L92" s="1208"/>
      <c r="M92" s="1208"/>
      <c r="N92" s="1208"/>
      <c r="O92" s="1208"/>
      <c r="Q92" s="1193"/>
      <c r="R92" s="1193"/>
      <c r="S92" s="1193"/>
      <c r="T92" s="1193"/>
      <c r="U92" s="1193"/>
      <c r="V92" s="1193"/>
      <c r="W92" s="1193"/>
    </row>
    <row r="93" spans="1:23" ht="27" customHeight="1" x14ac:dyDescent="0.2">
      <c r="Q93" s="1211" t="str">
        <f>LIEU&amp;" du "&amp;DATE</f>
        <v>L’Isle sur la Sorgue du 27 au 31 mars 2023</v>
      </c>
      <c r="R93" s="1211"/>
      <c r="S93" s="1211"/>
      <c r="T93" s="1211"/>
      <c r="U93" s="1211"/>
      <c r="V93" s="1211"/>
      <c r="W93" s="1211"/>
    </row>
    <row r="94" spans="1:23" ht="19.5" customHeight="1" thickBot="1" x14ac:dyDescent="0.25">
      <c r="E94" s="1212" t="s">
        <v>0</v>
      </c>
      <c r="F94" s="1212"/>
      <c r="G94" s="1212"/>
      <c r="H94" s="1212"/>
      <c r="I94" s="1212"/>
      <c r="J94" s="1212"/>
      <c r="K94" s="1212"/>
      <c r="L94" s="641"/>
      <c r="M94" s="1212" t="s">
        <v>375</v>
      </c>
      <c r="N94" s="1212"/>
      <c r="O94" s="1212"/>
      <c r="P94" s="1212"/>
      <c r="Q94" s="1212"/>
      <c r="S94" s="1212" t="s">
        <v>374</v>
      </c>
      <c r="T94" s="1212"/>
      <c r="U94" s="1212"/>
      <c r="V94" s="1212"/>
      <c r="W94" s="1212"/>
    </row>
    <row r="95" spans="1:23" ht="36.75" customHeight="1" thickBot="1" x14ac:dyDescent="0.25">
      <c r="E95" s="1213" t="e">
        <f>VLOOKUP(E98,ID_archer_cible,2,FALSE)</f>
        <v>#N/A</v>
      </c>
      <c r="F95" s="1214"/>
      <c r="G95" s="1214"/>
      <c r="H95" s="1214"/>
      <c r="I95" s="1214"/>
      <c r="J95" s="1214"/>
      <c r="K95" s="1215"/>
      <c r="L95" s="641"/>
      <c r="M95" s="1216" t="e">
        <f>"("&amp;VLOOKUP(E98,ID_archer_cible,3,FALSE)&amp;")"</f>
        <v>#N/A</v>
      </c>
      <c r="N95" s="1217"/>
      <c r="O95" s="1217"/>
      <c r="P95" s="1217"/>
      <c r="Q95" s="1217"/>
      <c r="R95" s="1218"/>
      <c r="S95" s="1185" t="e">
        <f>VLOOKUP(E98,ID_archer_cible,4,FALSE)</f>
        <v>#N/A</v>
      </c>
      <c r="T95" s="1186"/>
      <c r="U95" s="1186"/>
      <c r="V95" s="1186"/>
      <c r="W95" s="1187"/>
    </row>
    <row r="96" spans="1:23" ht="17.25" customHeight="1" x14ac:dyDescent="0.2"/>
    <row r="97" spans="1:23" ht="23.25" customHeight="1" thickBot="1" x14ac:dyDescent="0.25">
      <c r="A97" s="638" t="s">
        <v>906</v>
      </c>
      <c r="E97" s="508" t="s">
        <v>552</v>
      </c>
      <c r="F97" s="571" t="s">
        <v>893</v>
      </c>
      <c r="G97" s="1202" t="s">
        <v>550</v>
      </c>
      <c r="H97" s="1202"/>
      <c r="I97" s="571" t="s">
        <v>905</v>
      </c>
      <c r="J97" s="709" t="s">
        <v>551</v>
      </c>
      <c r="N97" s="508" t="s">
        <v>552</v>
      </c>
      <c r="O97" s="571" t="s">
        <v>893</v>
      </c>
      <c r="P97" s="1202" t="s">
        <v>550</v>
      </c>
      <c r="Q97" s="1202"/>
      <c r="R97" s="571" t="s">
        <v>905</v>
      </c>
      <c r="S97" s="709" t="s">
        <v>551</v>
      </c>
    </row>
    <row r="98" spans="1:23" ht="23.25" customHeight="1" thickTop="1" x14ac:dyDescent="0.2">
      <c r="A98" s="710" t="e">
        <f>VLOOKUP(E98,ID_archer_cible,5,FALSE)&amp;"    "&amp;VLOOKUP(E98,ID_archer_cible,6,FALSE)</f>
        <v>#N/A</v>
      </c>
      <c r="B98" s="711"/>
      <c r="C98" s="711"/>
      <c r="D98" s="712"/>
      <c r="E98" s="713" t="str">
        <f>C92&amp;"A"</f>
        <v>4A</v>
      </c>
      <c r="F98" s="714" t="e">
        <f>VLOOKUP(E98,ID_archer_cible,9,FALSE)</f>
        <v>#N/A</v>
      </c>
      <c r="G98" s="1209" t="e">
        <f>VLOOKUP(E98,ID_archer_cible,8,FALSE)</f>
        <v>#N/A</v>
      </c>
      <c r="H98" s="1209"/>
      <c r="I98" s="715" t="e">
        <f>VLOOKUP(E98,ID_archer_cible,7,FALSE)</f>
        <v>#N/A</v>
      </c>
      <c r="J98" s="716" t="e">
        <f>VLOOKUP(E98,ID_archer_cible,10,FALSE)</f>
        <v>#N/A</v>
      </c>
      <c r="K98" s="710" t="e">
        <f>VLOOKUP(N98,ID_archer_cible,5,FALSE)&amp;"    "&amp;VLOOKUP(N98,ID_archer_cible,6,FALSE)</f>
        <v>#N/A</v>
      </c>
      <c r="L98" s="722"/>
      <c r="M98" s="723"/>
      <c r="N98" s="714" t="str">
        <f>C92&amp;"C"</f>
        <v>4C</v>
      </c>
      <c r="O98" s="714" t="e">
        <f>VLOOKUP(N98,ID_archer_cible,9,FALSE)</f>
        <v>#N/A</v>
      </c>
      <c r="P98" s="1203" t="e">
        <f>VLOOKUP(N98,ID_archer_cible,8,FALSE)</f>
        <v>#N/A</v>
      </c>
      <c r="Q98" s="1204"/>
      <c r="R98" s="724" t="e">
        <f>VLOOKUP(N98,ID_archer_cible,7,FALSE)</f>
        <v>#N/A</v>
      </c>
      <c r="S98" s="716" t="e">
        <f>VLOOKUP(N98,ID_archer_cible,10,FALSE)</f>
        <v>#N/A</v>
      </c>
    </row>
    <row r="99" spans="1:23" ht="23.25" customHeight="1" thickBot="1" x14ac:dyDescent="0.25">
      <c r="A99" s="717" t="e">
        <f>VLOOKUP(E99,ID_archer_cible,5,FALSE)&amp;"    "&amp;VLOOKUP(E99,ID_archer_cible,6,FALSE)</f>
        <v>#N/A</v>
      </c>
      <c r="B99" s="718"/>
      <c r="C99" s="718"/>
      <c r="D99" s="719"/>
      <c r="E99" s="696" t="str">
        <f>C92&amp;"B"</f>
        <v>4B</v>
      </c>
      <c r="F99" s="720" t="e">
        <f>VLOOKUP(E99,ID_archer_cible,9,FALSE)</f>
        <v>#N/A</v>
      </c>
      <c r="G99" s="1210" t="e">
        <f>VLOOKUP(E99,ID_archer_cible,8,FALSE)</f>
        <v>#N/A</v>
      </c>
      <c r="H99" s="1210"/>
      <c r="I99" s="721" t="e">
        <f>VLOOKUP(E99,ID_archer_cible,7,FALSE)</f>
        <v>#N/A</v>
      </c>
      <c r="J99" s="700" t="e">
        <f>VLOOKUP(E99,ID_archer_cible,10,FALSE)</f>
        <v>#N/A</v>
      </c>
      <c r="K99" s="717" t="e">
        <f>VLOOKUP(N99,ID_archer_cible,5,FALSE)&amp;"    "&amp;VLOOKUP(N99,ID_archer_cible,6,FALSE)</f>
        <v>#N/A</v>
      </c>
      <c r="L99" s="725"/>
      <c r="M99" s="726"/>
      <c r="N99" s="720" t="str">
        <f>C92&amp;"D"</f>
        <v>4D</v>
      </c>
      <c r="O99" s="720" t="e">
        <f>VLOOKUP(N99,ID_archer_cible,9,FALSE)</f>
        <v>#N/A</v>
      </c>
      <c r="P99" s="1205" t="e">
        <f>VLOOKUP(N99,ID_archer_cible,8,FALSE)</f>
        <v>#N/A</v>
      </c>
      <c r="Q99" s="1206"/>
      <c r="R99" s="727" t="e">
        <f>VLOOKUP(N99,ID_archer_cible,7,FALSE)</f>
        <v>#N/A</v>
      </c>
      <c r="S99" s="700" t="e">
        <f>VLOOKUP(N99,ID_archer_cible,10,FALSE)</f>
        <v>#N/A</v>
      </c>
    </row>
    <row r="100" spans="1:23" ht="15" customHeight="1" thickTop="1" x14ac:dyDescent="0.2"/>
    <row r="101" spans="1:23" ht="15" customHeight="1" thickBot="1" x14ac:dyDescent="0.25"/>
    <row r="102" spans="1:23" ht="33.75" customHeight="1" thickBot="1" x14ac:dyDescent="0.25">
      <c r="A102" s="1222" t="s">
        <v>909</v>
      </c>
      <c r="B102" s="1223"/>
      <c r="C102" s="1224"/>
      <c r="E102" s="1225" t="s">
        <v>910</v>
      </c>
      <c r="F102" s="1226"/>
      <c r="G102" s="1227"/>
      <c r="I102" s="1222" t="s">
        <v>911</v>
      </c>
      <c r="J102" s="1223"/>
      <c r="K102" s="1224"/>
      <c r="M102" s="1222" t="s">
        <v>912</v>
      </c>
      <c r="N102" s="1223"/>
      <c r="O102" s="1224"/>
      <c r="Q102" s="1222" t="s">
        <v>913</v>
      </c>
      <c r="R102" s="1223"/>
      <c r="S102" s="1224"/>
      <c r="U102" s="1222" t="s">
        <v>916</v>
      </c>
      <c r="V102" s="1223"/>
      <c r="W102" s="1224"/>
    </row>
    <row r="103" spans="1:23" ht="33.75" customHeight="1" x14ac:dyDescent="0.2">
      <c r="A103" s="642" t="s">
        <v>980</v>
      </c>
      <c r="B103" s="643" t="s">
        <v>981</v>
      </c>
      <c r="C103" s="644" t="s">
        <v>780</v>
      </c>
      <c r="E103" s="642" t="s">
        <v>980</v>
      </c>
      <c r="F103" s="643" t="s">
        <v>981</v>
      </c>
      <c r="G103" s="644" t="s">
        <v>780</v>
      </c>
      <c r="I103" s="642" t="s">
        <v>980</v>
      </c>
      <c r="J103" s="643" t="s">
        <v>981</v>
      </c>
      <c r="K103" s="644" t="s">
        <v>780</v>
      </c>
      <c r="M103" s="642" t="s">
        <v>980</v>
      </c>
      <c r="N103" s="643" t="s">
        <v>981</v>
      </c>
      <c r="O103" s="644" t="s">
        <v>780</v>
      </c>
      <c r="Q103" s="642" t="s">
        <v>980</v>
      </c>
      <c r="R103" s="643" t="s">
        <v>981</v>
      </c>
      <c r="S103" s="644" t="s">
        <v>780</v>
      </c>
      <c r="U103" s="642" t="s">
        <v>980</v>
      </c>
      <c r="V103" s="643" t="s">
        <v>981</v>
      </c>
      <c r="W103" s="644" t="s">
        <v>780</v>
      </c>
    </row>
    <row r="104" spans="1:23" ht="33.75" customHeight="1" x14ac:dyDescent="0.2">
      <c r="A104" s="628">
        <v>10</v>
      </c>
      <c r="B104" s="630"/>
      <c r="C104" s="630"/>
      <c r="E104" s="628">
        <v>10</v>
      </c>
      <c r="F104" s="630"/>
      <c r="G104" s="630"/>
      <c r="I104" s="628">
        <v>10</v>
      </c>
      <c r="J104" s="630"/>
      <c r="K104" s="630"/>
      <c r="M104" s="628">
        <v>10</v>
      </c>
      <c r="N104" s="630"/>
      <c r="O104" s="630"/>
      <c r="Q104" s="628">
        <v>10</v>
      </c>
      <c r="R104" s="630"/>
      <c r="S104" s="630"/>
      <c r="U104" s="628">
        <v>10</v>
      </c>
      <c r="V104" s="630"/>
      <c r="W104" s="630"/>
    </row>
    <row r="105" spans="1:23" ht="33.75" customHeight="1" x14ac:dyDescent="0.2">
      <c r="A105" s="628">
        <v>9</v>
      </c>
      <c r="B105" s="630"/>
      <c r="C105" s="630"/>
      <c r="E105" s="628">
        <v>9</v>
      </c>
      <c r="F105" s="630"/>
      <c r="G105" s="630"/>
      <c r="I105" s="628">
        <v>9</v>
      </c>
      <c r="J105" s="630"/>
      <c r="K105" s="630"/>
      <c r="M105" s="628">
        <v>9</v>
      </c>
      <c r="N105" s="630"/>
      <c r="O105" s="630"/>
      <c r="Q105" s="628">
        <v>9</v>
      </c>
      <c r="R105" s="630"/>
      <c r="S105" s="630"/>
      <c r="U105" s="628">
        <v>9</v>
      </c>
      <c r="V105" s="630"/>
      <c r="W105" s="630"/>
    </row>
    <row r="106" spans="1:23" ht="33.75" customHeight="1" x14ac:dyDescent="0.2">
      <c r="A106" s="628">
        <v>8</v>
      </c>
      <c r="B106" s="630"/>
      <c r="C106" s="630"/>
      <c r="E106" s="628">
        <v>8</v>
      </c>
      <c r="F106" s="630"/>
      <c r="G106" s="630"/>
      <c r="I106" s="628">
        <v>8</v>
      </c>
      <c r="J106" s="630"/>
      <c r="K106" s="630"/>
      <c r="M106" s="628">
        <v>8</v>
      </c>
      <c r="N106" s="630"/>
      <c r="O106" s="630"/>
      <c r="Q106" s="628">
        <v>8</v>
      </c>
      <c r="R106" s="630"/>
      <c r="S106" s="630"/>
      <c r="U106" s="628">
        <v>8</v>
      </c>
      <c r="V106" s="630"/>
      <c r="W106" s="630"/>
    </row>
    <row r="107" spans="1:23" ht="33.75" customHeight="1" x14ac:dyDescent="0.2">
      <c r="A107" s="628">
        <v>7</v>
      </c>
      <c r="B107" s="630"/>
      <c r="C107" s="630"/>
      <c r="E107" s="628">
        <v>7</v>
      </c>
      <c r="F107" s="630"/>
      <c r="G107" s="630"/>
      <c r="I107" s="628">
        <v>7</v>
      </c>
      <c r="J107" s="630"/>
      <c r="K107" s="630"/>
      <c r="M107" s="628">
        <v>7</v>
      </c>
      <c r="N107" s="630"/>
      <c r="O107" s="630"/>
      <c r="Q107" s="628">
        <v>7</v>
      </c>
      <c r="R107" s="630"/>
      <c r="S107" s="630"/>
      <c r="U107" s="628">
        <v>7</v>
      </c>
      <c r="V107" s="630"/>
      <c r="W107" s="630"/>
    </row>
    <row r="108" spans="1:23" ht="33.75" customHeight="1" x14ac:dyDescent="0.2">
      <c r="A108" s="628">
        <v>6</v>
      </c>
      <c r="B108" s="630"/>
      <c r="C108" s="630"/>
      <c r="E108" s="628">
        <v>6</v>
      </c>
      <c r="F108" s="630"/>
      <c r="G108" s="630"/>
      <c r="I108" s="628">
        <v>6</v>
      </c>
      <c r="J108" s="630"/>
      <c r="K108" s="630"/>
      <c r="M108" s="628">
        <v>6</v>
      </c>
      <c r="N108" s="630"/>
      <c r="O108" s="630"/>
      <c r="Q108" s="628">
        <v>6</v>
      </c>
      <c r="R108" s="630"/>
      <c r="S108" s="630"/>
      <c r="U108" s="628">
        <v>6</v>
      </c>
      <c r="V108" s="630"/>
      <c r="W108" s="630"/>
    </row>
    <row r="109" spans="1:23" ht="33.75" customHeight="1" x14ac:dyDescent="0.2">
      <c r="A109" s="628">
        <v>5</v>
      </c>
      <c r="B109" s="630"/>
      <c r="C109" s="630"/>
      <c r="E109" s="628">
        <v>5</v>
      </c>
      <c r="F109" s="630"/>
      <c r="G109" s="630"/>
      <c r="I109" s="628">
        <v>5</v>
      </c>
      <c r="J109" s="630"/>
      <c r="K109" s="630"/>
      <c r="M109" s="628">
        <v>5</v>
      </c>
      <c r="N109" s="630"/>
      <c r="O109" s="630"/>
      <c r="Q109" s="628">
        <v>5</v>
      </c>
      <c r="R109" s="630"/>
      <c r="S109" s="630"/>
      <c r="U109" s="628">
        <v>5</v>
      </c>
      <c r="V109" s="630"/>
      <c r="W109" s="630"/>
    </row>
    <row r="110" spans="1:23" ht="33.75" customHeight="1" x14ac:dyDescent="0.2">
      <c r="A110" s="628">
        <v>4</v>
      </c>
      <c r="B110" s="630"/>
      <c r="C110" s="630"/>
      <c r="E110" s="628">
        <v>4</v>
      </c>
      <c r="F110" s="630"/>
      <c r="G110" s="630"/>
      <c r="I110" s="628">
        <v>4</v>
      </c>
      <c r="J110" s="630"/>
      <c r="K110" s="630"/>
      <c r="M110" s="628">
        <v>4</v>
      </c>
      <c r="N110" s="630"/>
      <c r="O110" s="630"/>
      <c r="Q110" s="628">
        <v>4</v>
      </c>
      <c r="R110" s="630"/>
      <c r="S110" s="630"/>
      <c r="U110" s="628">
        <v>4</v>
      </c>
      <c r="V110" s="630"/>
      <c r="W110" s="630"/>
    </row>
    <row r="111" spans="1:23" ht="33.75" customHeight="1" x14ac:dyDescent="0.2">
      <c r="A111" s="628">
        <v>3</v>
      </c>
      <c r="B111" s="630"/>
      <c r="C111" s="630"/>
      <c r="E111" s="628">
        <v>3</v>
      </c>
      <c r="F111" s="630"/>
      <c r="G111" s="630"/>
      <c r="I111" s="628">
        <v>3</v>
      </c>
      <c r="J111" s="630"/>
      <c r="K111" s="630"/>
      <c r="M111" s="628">
        <v>3</v>
      </c>
      <c r="N111" s="630"/>
      <c r="O111" s="630"/>
      <c r="Q111" s="628">
        <v>3</v>
      </c>
      <c r="R111" s="630"/>
      <c r="S111" s="630"/>
      <c r="U111" s="628">
        <v>3</v>
      </c>
      <c r="V111" s="630"/>
      <c r="W111" s="630"/>
    </row>
    <row r="112" spans="1:23" ht="33.75" customHeight="1" x14ac:dyDescent="0.2">
      <c r="A112" s="628">
        <v>2</v>
      </c>
      <c r="B112" s="630"/>
      <c r="C112" s="630"/>
      <c r="E112" s="628">
        <v>2</v>
      </c>
      <c r="F112" s="630"/>
      <c r="G112" s="630"/>
      <c r="I112" s="628">
        <v>2</v>
      </c>
      <c r="J112" s="630"/>
      <c r="K112" s="630"/>
      <c r="M112" s="628">
        <v>2</v>
      </c>
      <c r="N112" s="630"/>
      <c r="O112" s="630"/>
      <c r="Q112" s="628">
        <v>2</v>
      </c>
      <c r="R112" s="630"/>
      <c r="S112" s="630"/>
      <c r="U112" s="628">
        <v>2</v>
      </c>
      <c r="V112" s="630"/>
      <c r="W112" s="630"/>
    </row>
    <row r="113" spans="1:23" ht="33.75" customHeight="1" x14ac:dyDescent="0.2">
      <c r="A113" s="628">
        <v>1</v>
      </c>
      <c r="B113" s="630"/>
      <c r="C113" s="630"/>
      <c r="E113" s="628">
        <v>1</v>
      </c>
      <c r="F113" s="630"/>
      <c r="G113" s="630"/>
      <c r="I113" s="628">
        <v>1</v>
      </c>
      <c r="J113" s="630"/>
      <c r="K113" s="630"/>
      <c r="M113" s="628">
        <v>1</v>
      </c>
      <c r="N113" s="630"/>
      <c r="O113" s="630"/>
      <c r="Q113" s="628">
        <v>1</v>
      </c>
      <c r="R113" s="630"/>
      <c r="S113" s="630"/>
      <c r="U113" s="628">
        <v>1</v>
      </c>
      <c r="V113" s="630"/>
      <c r="W113" s="630"/>
    </row>
    <row r="114" spans="1:23" ht="33.75" customHeight="1" x14ac:dyDescent="0.2">
      <c r="A114" s="628" t="s">
        <v>982</v>
      </c>
      <c r="B114" s="630"/>
      <c r="C114" s="630"/>
      <c r="E114" s="628" t="s">
        <v>982</v>
      </c>
      <c r="F114" s="630"/>
      <c r="G114" s="630"/>
      <c r="I114" s="628" t="s">
        <v>982</v>
      </c>
      <c r="J114" s="630"/>
      <c r="K114" s="630"/>
      <c r="M114" s="628" t="s">
        <v>982</v>
      </c>
      <c r="N114" s="630"/>
      <c r="O114" s="630"/>
      <c r="Q114" s="628" t="s">
        <v>982</v>
      </c>
      <c r="R114" s="630"/>
      <c r="S114" s="630"/>
      <c r="U114" s="628" t="s">
        <v>982</v>
      </c>
      <c r="V114" s="630"/>
      <c r="W114" s="630"/>
    </row>
    <row r="115" spans="1:23" ht="33.75" customHeight="1" x14ac:dyDescent="0.2">
      <c r="A115" s="629" t="s">
        <v>981</v>
      </c>
      <c r="B115" s="630"/>
      <c r="C115" s="631" t="s">
        <v>984</v>
      </c>
      <c r="E115" s="629" t="s">
        <v>981</v>
      </c>
      <c r="F115" s="630"/>
      <c r="G115" s="631" t="s">
        <v>984</v>
      </c>
      <c r="I115" s="629" t="s">
        <v>981</v>
      </c>
      <c r="J115" s="630"/>
      <c r="K115" s="631" t="s">
        <v>984</v>
      </c>
      <c r="M115" s="629" t="s">
        <v>981</v>
      </c>
      <c r="N115" s="630"/>
      <c r="O115" s="631" t="s">
        <v>984</v>
      </c>
      <c r="Q115" s="629" t="s">
        <v>981</v>
      </c>
      <c r="R115" s="630"/>
      <c r="S115" s="631" t="s">
        <v>984</v>
      </c>
      <c r="U115" s="629" t="s">
        <v>981</v>
      </c>
      <c r="V115" s="630"/>
      <c r="W115" s="631" t="s">
        <v>984</v>
      </c>
    </row>
    <row r="116" spans="1:23" ht="48" customHeight="1" x14ac:dyDescent="0.25">
      <c r="A116" s="637"/>
      <c r="B116" s="629" t="s">
        <v>983</v>
      </c>
      <c r="C116" s="636"/>
      <c r="E116" s="637" t="s">
        <v>985</v>
      </c>
      <c r="F116" s="632" t="s">
        <v>983</v>
      </c>
      <c r="G116" s="633"/>
      <c r="I116" s="637" t="s">
        <v>985</v>
      </c>
      <c r="J116" s="632" t="s">
        <v>983</v>
      </c>
      <c r="K116" s="633"/>
      <c r="M116" s="637" t="s">
        <v>985</v>
      </c>
      <c r="N116" s="632" t="s">
        <v>983</v>
      </c>
      <c r="O116" s="633"/>
      <c r="Q116" s="637" t="s">
        <v>985</v>
      </c>
      <c r="R116" s="632" t="s">
        <v>983</v>
      </c>
      <c r="S116" s="633"/>
      <c r="U116" s="637" t="s">
        <v>985</v>
      </c>
      <c r="V116" s="632" t="s">
        <v>983</v>
      </c>
      <c r="W116" s="633"/>
    </row>
    <row r="117" spans="1:23" ht="51" customHeight="1" x14ac:dyDescent="0.2">
      <c r="A117" s="634"/>
      <c r="B117" s="634"/>
      <c r="C117" s="634"/>
      <c r="E117" s="1115" t="s">
        <v>986</v>
      </c>
      <c r="F117" s="1115"/>
      <c r="G117" s="635"/>
      <c r="I117" s="1115" t="s">
        <v>986</v>
      </c>
      <c r="J117" s="1115"/>
      <c r="K117" s="635"/>
      <c r="M117" s="1115" t="s">
        <v>986</v>
      </c>
      <c r="N117" s="1115"/>
      <c r="O117" s="635"/>
      <c r="Q117" s="1115" t="s">
        <v>986</v>
      </c>
      <c r="R117" s="1115"/>
      <c r="S117" s="635"/>
      <c r="U117" s="1228" t="s">
        <v>987</v>
      </c>
      <c r="V117" s="1229"/>
      <c r="W117" s="635"/>
    </row>
    <row r="118" spans="1:23" ht="13.5" customHeight="1" thickBot="1" x14ac:dyDescent="0.25"/>
    <row r="119" spans="1:23" ht="72" customHeight="1" thickBot="1" x14ac:dyDescent="0.25">
      <c r="E119" s="707" t="s">
        <v>1007</v>
      </c>
      <c r="F119" s="639"/>
      <c r="G119" s="639"/>
      <c r="H119" s="639"/>
      <c r="I119" s="639"/>
      <c r="J119" s="640"/>
      <c r="M119" s="708" t="s">
        <v>1008</v>
      </c>
      <c r="N119" s="639"/>
      <c r="O119" s="639"/>
      <c r="P119" s="639"/>
      <c r="Q119" s="640"/>
      <c r="S119" s="1219" t="s">
        <v>988</v>
      </c>
      <c r="T119" s="1219"/>
      <c r="U119" s="1219"/>
      <c r="V119" s="1220"/>
      <c r="W119" s="1221"/>
    </row>
    <row r="120" spans="1:23" ht="34.5" customHeight="1" x14ac:dyDescent="0.2"/>
    <row r="121" spans="1:23" ht="6.75" customHeight="1" x14ac:dyDescent="0.2">
      <c r="Q121" s="1193" t="str">
        <f>CATEG_IMPORTEE</f>
        <v>Collèges Mixtes Etablissement</v>
      </c>
      <c r="R121" s="1193"/>
      <c r="S121" s="1193"/>
      <c r="T121" s="1193"/>
      <c r="U121" s="1193"/>
      <c r="V121" s="1193"/>
      <c r="W121" s="1193"/>
    </row>
    <row r="122" spans="1:23" s="218" customFormat="1" ht="33.75" x14ac:dyDescent="0.2">
      <c r="A122" s="1207" t="s">
        <v>628</v>
      </c>
      <c r="B122" s="1207"/>
      <c r="C122" s="645">
        <f>C92+1</f>
        <v>5</v>
      </c>
      <c r="E122" s="1208" t="str">
        <f>Championnat</f>
        <v>Championnat de France de Tir à l'ARC</v>
      </c>
      <c r="F122" s="1208"/>
      <c r="G122" s="1208"/>
      <c r="H122" s="1208"/>
      <c r="I122" s="1208"/>
      <c r="J122" s="1208"/>
      <c r="K122" s="1208"/>
      <c r="L122" s="1208"/>
      <c r="M122" s="1208"/>
      <c r="N122" s="1208"/>
      <c r="O122" s="1208"/>
      <c r="Q122" s="1193"/>
      <c r="R122" s="1193"/>
      <c r="S122" s="1193"/>
      <c r="T122" s="1193"/>
      <c r="U122" s="1193"/>
      <c r="V122" s="1193"/>
      <c r="W122" s="1193"/>
    </row>
    <row r="123" spans="1:23" ht="27" customHeight="1" x14ac:dyDescent="0.2">
      <c r="Q123" s="1211" t="str">
        <f>LIEU&amp;" du "&amp;DATE</f>
        <v>L’Isle sur la Sorgue du 27 au 31 mars 2023</v>
      </c>
      <c r="R123" s="1211"/>
      <c r="S123" s="1211"/>
      <c r="T123" s="1211"/>
      <c r="U123" s="1211"/>
      <c r="V123" s="1211"/>
      <c r="W123" s="1211"/>
    </row>
    <row r="124" spans="1:23" ht="19.5" customHeight="1" thickBot="1" x14ac:dyDescent="0.25">
      <c r="E124" s="1212" t="s">
        <v>0</v>
      </c>
      <c r="F124" s="1212"/>
      <c r="G124" s="1212"/>
      <c r="H124" s="1212"/>
      <c r="I124" s="1212"/>
      <c r="J124" s="1212"/>
      <c r="K124" s="1212"/>
      <c r="L124" s="641"/>
      <c r="M124" s="1212" t="s">
        <v>375</v>
      </c>
      <c r="N124" s="1212"/>
      <c r="O124" s="1212"/>
      <c r="P124" s="1212"/>
      <c r="Q124" s="1212"/>
      <c r="S124" s="1212" t="s">
        <v>374</v>
      </c>
      <c r="T124" s="1212"/>
      <c r="U124" s="1212"/>
      <c r="V124" s="1212"/>
      <c r="W124" s="1212"/>
    </row>
    <row r="125" spans="1:23" ht="36.75" customHeight="1" thickBot="1" x14ac:dyDescent="0.25">
      <c r="E125" s="1213" t="e">
        <f>VLOOKUP(E128,ID_archer_cible,2,FALSE)</f>
        <v>#N/A</v>
      </c>
      <c r="F125" s="1214"/>
      <c r="G125" s="1214"/>
      <c r="H125" s="1214"/>
      <c r="I125" s="1214"/>
      <c r="J125" s="1214"/>
      <c r="K125" s="1215"/>
      <c r="L125" s="641"/>
      <c r="M125" s="1216" t="e">
        <f>"("&amp;VLOOKUP(E128,ID_archer_cible,3,FALSE)&amp;")"</f>
        <v>#N/A</v>
      </c>
      <c r="N125" s="1217"/>
      <c r="O125" s="1217"/>
      <c r="P125" s="1217"/>
      <c r="Q125" s="1217"/>
      <c r="R125" s="1218"/>
      <c r="S125" s="1185" t="e">
        <f>VLOOKUP(E128,ID_archer_cible,4,FALSE)</f>
        <v>#N/A</v>
      </c>
      <c r="T125" s="1186"/>
      <c r="U125" s="1186"/>
      <c r="V125" s="1186"/>
      <c r="W125" s="1187"/>
    </row>
    <row r="126" spans="1:23" ht="17.25" customHeight="1" x14ac:dyDescent="0.2"/>
    <row r="127" spans="1:23" ht="23.25" customHeight="1" thickBot="1" x14ac:dyDescent="0.25">
      <c r="A127" s="638" t="s">
        <v>906</v>
      </c>
      <c r="E127" s="508" t="s">
        <v>552</v>
      </c>
      <c r="F127" s="571" t="s">
        <v>893</v>
      </c>
      <c r="G127" s="1202" t="s">
        <v>550</v>
      </c>
      <c r="H127" s="1202"/>
      <c r="I127" s="571" t="s">
        <v>905</v>
      </c>
      <c r="J127" s="709" t="s">
        <v>551</v>
      </c>
      <c r="N127" s="508" t="s">
        <v>552</v>
      </c>
      <c r="O127" s="571" t="s">
        <v>893</v>
      </c>
      <c r="P127" s="1202" t="s">
        <v>550</v>
      </c>
      <c r="Q127" s="1202"/>
      <c r="R127" s="571" t="s">
        <v>905</v>
      </c>
      <c r="S127" s="709" t="s">
        <v>551</v>
      </c>
    </row>
    <row r="128" spans="1:23" ht="23.25" customHeight="1" thickTop="1" x14ac:dyDescent="0.2">
      <c r="A128" s="710" t="e">
        <f>VLOOKUP(E128,ID_archer_cible,5,FALSE)&amp;"    "&amp;VLOOKUP(E128,ID_archer_cible,6,FALSE)</f>
        <v>#N/A</v>
      </c>
      <c r="B128" s="711"/>
      <c r="C128" s="711"/>
      <c r="D128" s="712"/>
      <c r="E128" s="713" t="str">
        <f>C122&amp;"A"</f>
        <v>5A</v>
      </c>
      <c r="F128" s="714" t="e">
        <f>VLOOKUP(E128,ID_archer_cible,9,FALSE)</f>
        <v>#N/A</v>
      </c>
      <c r="G128" s="1209" t="e">
        <f>VLOOKUP(E128,ID_archer_cible,8,FALSE)</f>
        <v>#N/A</v>
      </c>
      <c r="H128" s="1209"/>
      <c r="I128" s="715" t="e">
        <f>VLOOKUP(E128,ID_archer_cible,7,FALSE)</f>
        <v>#N/A</v>
      </c>
      <c r="J128" s="716" t="e">
        <f>VLOOKUP(E128,ID_archer_cible,10,FALSE)</f>
        <v>#N/A</v>
      </c>
      <c r="K128" s="710" t="e">
        <f>VLOOKUP(N128,ID_archer_cible,5,FALSE)&amp;"    "&amp;VLOOKUP(N128,ID_archer_cible,6,FALSE)</f>
        <v>#N/A</v>
      </c>
      <c r="L128" s="722"/>
      <c r="M128" s="723"/>
      <c r="N128" s="714" t="str">
        <f>C122&amp;"C"</f>
        <v>5C</v>
      </c>
      <c r="O128" s="714" t="e">
        <f>VLOOKUP(N128,ID_archer_cible,9,FALSE)</f>
        <v>#N/A</v>
      </c>
      <c r="P128" s="1203" t="e">
        <f>VLOOKUP(N128,ID_archer_cible,8,FALSE)</f>
        <v>#N/A</v>
      </c>
      <c r="Q128" s="1204"/>
      <c r="R128" s="724" t="e">
        <f>VLOOKUP(N128,ID_archer_cible,7,FALSE)</f>
        <v>#N/A</v>
      </c>
      <c r="S128" s="716" t="e">
        <f>VLOOKUP(N128,ID_archer_cible,10,FALSE)</f>
        <v>#N/A</v>
      </c>
    </row>
    <row r="129" spans="1:23" ht="23.25" customHeight="1" thickBot="1" x14ac:dyDescent="0.25">
      <c r="A129" s="717" t="e">
        <f>VLOOKUP(E129,ID_archer_cible,5,FALSE)&amp;"    "&amp;VLOOKUP(E129,ID_archer_cible,6,FALSE)</f>
        <v>#N/A</v>
      </c>
      <c r="B129" s="718"/>
      <c r="C129" s="718"/>
      <c r="D129" s="719"/>
      <c r="E129" s="696" t="str">
        <f>C122&amp;"B"</f>
        <v>5B</v>
      </c>
      <c r="F129" s="720" t="e">
        <f>VLOOKUP(E129,ID_archer_cible,9,FALSE)</f>
        <v>#N/A</v>
      </c>
      <c r="G129" s="1210" t="e">
        <f>VLOOKUP(E129,ID_archer_cible,8,FALSE)</f>
        <v>#N/A</v>
      </c>
      <c r="H129" s="1210"/>
      <c r="I129" s="721" t="e">
        <f>VLOOKUP(E129,ID_archer_cible,7,FALSE)</f>
        <v>#N/A</v>
      </c>
      <c r="J129" s="700" t="e">
        <f>VLOOKUP(E129,ID_archer_cible,10,FALSE)</f>
        <v>#N/A</v>
      </c>
      <c r="K129" s="717" t="e">
        <f>VLOOKUP(N129,ID_archer_cible,5,FALSE)&amp;"    "&amp;VLOOKUP(N129,ID_archer_cible,6,FALSE)</f>
        <v>#N/A</v>
      </c>
      <c r="L129" s="725"/>
      <c r="M129" s="726"/>
      <c r="N129" s="720" t="str">
        <f>C122&amp;"D"</f>
        <v>5D</v>
      </c>
      <c r="O129" s="720" t="e">
        <f>VLOOKUP(N129,ID_archer_cible,9,FALSE)</f>
        <v>#N/A</v>
      </c>
      <c r="P129" s="1205" t="e">
        <f>VLOOKUP(N129,ID_archer_cible,8,FALSE)</f>
        <v>#N/A</v>
      </c>
      <c r="Q129" s="1206"/>
      <c r="R129" s="727" t="e">
        <f>VLOOKUP(N129,ID_archer_cible,7,FALSE)</f>
        <v>#N/A</v>
      </c>
      <c r="S129" s="700" t="e">
        <f>VLOOKUP(N129,ID_archer_cible,10,FALSE)</f>
        <v>#N/A</v>
      </c>
    </row>
    <row r="130" spans="1:23" ht="15" customHeight="1" thickTop="1" x14ac:dyDescent="0.2"/>
    <row r="131" spans="1:23" ht="15" customHeight="1" thickBot="1" x14ac:dyDescent="0.25"/>
    <row r="132" spans="1:23" ht="33.75" customHeight="1" thickBot="1" x14ac:dyDescent="0.25">
      <c r="A132" s="1222" t="s">
        <v>909</v>
      </c>
      <c r="B132" s="1223"/>
      <c r="C132" s="1224"/>
      <c r="E132" s="1225" t="s">
        <v>910</v>
      </c>
      <c r="F132" s="1226"/>
      <c r="G132" s="1227"/>
      <c r="I132" s="1222" t="s">
        <v>911</v>
      </c>
      <c r="J132" s="1223"/>
      <c r="K132" s="1224"/>
      <c r="M132" s="1222" t="s">
        <v>912</v>
      </c>
      <c r="N132" s="1223"/>
      <c r="O132" s="1224"/>
      <c r="Q132" s="1222" t="s">
        <v>913</v>
      </c>
      <c r="R132" s="1223"/>
      <c r="S132" s="1224"/>
      <c r="U132" s="1222" t="s">
        <v>916</v>
      </c>
      <c r="V132" s="1223"/>
      <c r="W132" s="1224"/>
    </row>
    <row r="133" spans="1:23" ht="33.75" customHeight="1" x14ac:dyDescent="0.2">
      <c r="A133" s="642" t="s">
        <v>980</v>
      </c>
      <c r="B133" s="643" t="s">
        <v>981</v>
      </c>
      <c r="C133" s="644" t="s">
        <v>780</v>
      </c>
      <c r="E133" s="642" t="s">
        <v>980</v>
      </c>
      <c r="F133" s="643" t="s">
        <v>981</v>
      </c>
      <c r="G133" s="644" t="s">
        <v>780</v>
      </c>
      <c r="I133" s="642" t="s">
        <v>980</v>
      </c>
      <c r="J133" s="643" t="s">
        <v>981</v>
      </c>
      <c r="K133" s="644" t="s">
        <v>780</v>
      </c>
      <c r="M133" s="642" t="s">
        <v>980</v>
      </c>
      <c r="N133" s="643" t="s">
        <v>981</v>
      </c>
      <c r="O133" s="644" t="s">
        <v>780</v>
      </c>
      <c r="Q133" s="642" t="s">
        <v>980</v>
      </c>
      <c r="R133" s="643" t="s">
        <v>981</v>
      </c>
      <c r="S133" s="644" t="s">
        <v>780</v>
      </c>
      <c r="U133" s="642" t="s">
        <v>980</v>
      </c>
      <c r="V133" s="643" t="s">
        <v>981</v>
      </c>
      <c r="W133" s="644" t="s">
        <v>780</v>
      </c>
    </row>
    <row r="134" spans="1:23" ht="33.75" customHeight="1" x14ac:dyDescent="0.2">
      <c r="A134" s="628">
        <v>10</v>
      </c>
      <c r="B134" s="630"/>
      <c r="C134" s="630"/>
      <c r="E134" s="628">
        <v>10</v>
      </c>
      <c r="F134" s="630"/>
      <c r="G134" s="630"/>
      <c r="I134" s="628">
        <v>10</v>
      </c>
      <c r="J134" s="630"/>
      <c r="K134" s="630"/>
      <c r="M134" s="628">
        <v>10</v>
      </c>
      <c r="N134" s="630"/>
      <c r="O134" s="630"/>
      <c r="Q134" s="628">
        <v>10</v>
      </c>
      <c r="R134" s="630"/>
      <c r="S134" s="630"/>
      <c r="U134" s="628">
        <v>10</v>
      </c>
      <c r="V134" s="630"/>
      <c r="W134" s="630"/>
    </row>
    <row r="135" spans="1:23" ht="33.75" customHeight="1" x14ac:dyDescent="0.2">
      <c r="A135" s="628">
        <v>9</v>
      </c>
      <c r="B135" s="630"/>
      <c r="C135" s="630"/>
      <c r="E135" s="628">
        <v>9</v>
      </c>
      <c r="F135" s="630"/>
      <c r="G135" s="630"/>
      <c r="I135" s="628">
        <v>9</v>
      </c>
      <c r="J135" s="630"/>
      <c r="K135" s="630"/>
      <c r="M135" s="628">
        <v>9</v>
      </c>
      <c r="N135" s="630"/>
      <c r="O135" s="630"/>
      <c r="Q135" s="628">
        <v>9</v>
      </c>
      <c r="R135" s="630"/>
      <c r="S135" s="630"/>
      <c r="U135" s="628">
        <v>9</v>
      </c>
      <c r="V135" s="630"/>
      <c r="W135" s="630"/>
    </row>
    <row r="136" spans="1:23" ht="33.75" customHeight="1" x14ac:dyDescent="0.2">
      <c r="A136" s="628">
        <v>8</v>
      </c>
      <c r="B136" s="630"/>
      <c r="C136" s="630"/>
      <c r="E136" s="628">
        <v>8</v>
      </c>
      <c r="F136" s="630"/>
      <c r="G136" s="630"/>
      <c r="I136" s="628">
        <v>8</v>
      </c>
      <c r="J136" s="630"/>
      <c r="K136" s="630"/>
      <c r="M136" s="628">
        <v>8</v>
      </c>
      <c r="N136" s="630"/>
      <c r="O136" s="630"/>
      <c r="Q136" s="628">
        <v>8</v>
      </c>
      <c r="R136" s="630"/>
      <c r="S136" s="630"/>
      <c r="U136" s="628">
        <v>8</v>
      </c>
      <c r="V136" s="630"/>
      <c r="W136" s="630"/>
    </row>
    <row r="137" spans="1:23" ht="33.75" customHeight="1" x14ac:dyDescent="0.2">
      <c r="A137" s="628">
        <v>7</v>
      </c>
      <c r="B137" s="630"/>
      <c r="C137" s="630"/>
      <c r="E137" s="628">
        <v>7</v>
      </c>
      <c r="F137" s="630"/>
      <c r="G137" s="630"/>
      <c r="I137" s="628">
        <v>7</v>
      </c>
      <c r="J137" s="630"/>
      <c r="K137" s="630"/>
      <c r="M137" s="628">
        <v>7</v>
      </c>
      <c r="N137" s="630"/>
      <c r="O137" s="630"/>
      <c r="Q137" s="628">
        <v>7</v>
      </c>
      <c r="R137" s="630"/>
      <c r="S137" s="630"/>
      <c r="U137" s="628">
        <v>7</v>
      </c>
      <c r="V137" s="630"/>
      <c r="W137" s="630"/>
    </row>
    <row r="138" spans="1:23" ht="33.75" customHeight="1" x14ac:dyDescent="0.2">
      <c r="A138" s="628">
        <v>6</v>
      </c>
      <c r="B138" s="630"/>
      <c r="C138" s="630"/>
      <c r="E138" s="628">
        <v>6</v>
      </c>
      <c r="F138" s="630"/>
      <c r="G138" s="630"/>
      <c r="I138" s="628">
        <v>6</v>
      </c>
      <c r="J138" s="630"/>
      <c r="K138" s="630"/>
      <c r="M138" s="628">
        <v>6</v>
      </c>
      <c r="N138" s="630"/>
      <c r="O138" s="630"/>
      <c r="Q138" s="628">
        <v>6</v>
      </c>
      <c r="R138" s="630"/>
      <c r="S138" s="630"/>
      <c r="U138" s="628">
        <v>6</v>
      </c>
      <c r="V138" s="630"/>
      <c r="W138" s="630"/>
    </row>
    <row r="139" spans="1:23" ht="33.75" customHeight="1" x14ac:dyDescent="0.2">
      <c r="A139" s="628">
        <v>5</v>
      </c>
      <c r="B139" s="630"/>
      <c r="C139" s="630"/>
      <c r="E139" s="628">
        <v>5</v>
      </c>
      <c r="F139" s="630"/>
      <c r="G139" s="630"/>
      <c r="I139" s="628">
        <v>5</v>
      </c>
      <c r="J139" s="630"/>
      <c r="K139" s="630"/>
      <c r="M139" s="628">
        <v>5</v>
      </c>
      <c r="N139" s="630"/>
      <c r="O139" s="630"/>
      <c r="Q139" s="628">
        <v>5</v>
      </c>
      <c r="R139" s="630"/>
      <c r="S139" s="630"/>
      <c r="U139" s="628">
        <v>5</v>
      </c>
      <c r="V139" s="630"/>
      <c r="W139" s="630"/>
    </row>
    <row r="140" spans="1:23" ht="33.75" customHeight="1" x14ac:dyDescent="0.2">
      <c r="A140" s="628">
        <v>4</v>
      </c>
      <c r="B140" s="630"/>
      <c r="C140" s="630"/>
      <c r="E140" s="628">
        <v>4</v>
      </c>
      <c r="F140" s="630"/>
      <c r="G140" s="630"/>
      <c r="I140" s="628">
        <v>4</v>
      </c>
      <c r="J140" s="630"/>
      <c r="K140" s="630"/>
      <c r="M140" s="628">
        <v>4</v>
      </c>
      <c r="N140" s="630"/>
      <c r="O140" s="630"/>
      <c r="Q140" s="628">
        <v>4</v>
      </c>
      <c r="R140" s="630"/>
      <c r="S140" s="630"/>
      <c r="U140" s="628">
        <v>4</v>
      </c>
      <c r="V140" s="630"/>
      <c r="W140" s="630"/>
    </row>
    <row r="141" spans="1:23" ht="33.75" customHeight="1" x14ac:dyDescent="0.2">
      <c r="A141" s="628">
        <v>3</v>
      </c>
      <c r="B141" s="630"/>
      <c r="C141" s="630"/>
      <c r="E141" s="628">
        <v>3</v>
      </c>
      <c r="F141" s="630"/>
      <c r="G141" s="630"/>
      <c r="I141" s="628">
        <v>3</v>
      </c>
      <c r="J141" s="630"/>
      <c r="K141" s="630"/>
      <c r="M141" s="628">
        <v>3</v>
      </c>
      <c r="N141" s="630"/>
      <c r="O141" s="630"/>
      <c r="Q141" s="628">
        <v>3</v>
      </c>
      <c r="R141" s="630"/>
      <c r="S141" s="630"/>
      <c r="U141" s="628">
        <v>3</v>
      </c>
      <c r="V141" s="630"/>
      <c r="W141" s="630"/>
    </row>
    <row r="142" spans="1:23" ht="33.75" customHeight="1" x14ac:dyDescent="0.2">
      <c r="A142" s="628">
        <v>2</v>
      </c>
      <c r="B142" s="630"/>
      <c r="C142" s="630"/>
      <c r="E142" s="628">
        <v>2</v>
      </c>
      <c r="F142" s="630"/>
      <c r="G142" s="630"/>
      <c r="I142" s="628">
        <v>2</v>
      </c>
      <c r="J142" s="630"/>
      <c r="K142" s="630"/>
      <c r="M142" s="628">
        <v>2</v>
      </c>
      <c r="N142" s="630"/>
      <c r="O142" s="630"/>
      <c r="Q142" s="628">
        <v>2</v>
      </c>
      <c r="R142" s="630"/>
      <c r="S142" s="630"/>
      <c r="U142" s="628">
        <v>2</v>
      </c>
      <c r="V142" s="630"/>
      <c r="W142" s="630"/>
    </row>
    <row r="143" spans="1:23" ht="33.75" customHeight="1" x14ac:dyDescent="0.2">
      <c r="A143" s="628">
        <v>1</v>
      </c>
      <c r="B143" s="630"/>
      <c r="C143" s="630"/>
      <c r="E143" s="628">
        <v>1</v>
      </c>
      <c r="F143" s="630"/>
      <c r="G143" s="630"/>
      <c r="I143" s="628">
        <v>1</v>
      </c>
      <c r="J143" s="630"/>
      <c r="K143" s="630"/>
      <c r="M143" s="628">
        <v>1</v>
      </c>
      <c r="N143" s="630"/>
      <c r="O143" s="630"/>
      <c r="Q143" s="628">
        <v>1</v>
      </c>
      <c r="R143" s="630"/>
      <c r="S143" s="630"/>
      <c r="U143" s="628">
        <v>1</v>
      </c>
      <c r="V143" s="630"/>
      <c r="W143" s="630"/>
    </row>
    <row r="144" spans="1:23" ht="33.75" customHeight="1" x14ac:dyDescent="0.2">
      <c r="A144" s="628" t="s">
        <v>982</v>
      </c>
      <c r="B144" s="630"/>
      <c r="C144" s="630"/>
      <c r="E144" s="628" t="s">
        <v>982</v>
      </c>
      <c r="F144" s="630"/>
      <c r="G144" s="630"/>
      <c r="I144" s="628" t="s">
        <v>982</v>
      </c>
      <c r="J144" s="630"/>
      <c r="K144" s="630"/>
      <c r="M144" s="628" t="s">
        <v>982</v>
      </c>
      <c r="N144" s="630"/>
      <c r="O144" s="630"/>
      <c r="Q144" s="628" t="s">
        <v>982</v>
      </c>
      <c r="R144" s="630"/>
      <c r="S144" s="630"/>
      <c r="U144" s="628" t="s">
        <v>982</v>
      </c>
      <c r="V144" s="630"/>
      <c r="W144" s="630"/>
    </row>
    <row r="145" spans="1:23" ht="33.75" customHeight="1" x14ac:dyDescent="0.2">
      <c r="A145" s="629" t="s">
        <v>981</v>
      </c>
      <c r="B145" s="630"/>
      <c r="C145" s="631" t="s">
        <v>984</v>
      </c>
      <c r="E145" s="629" t="s">
        <v>981</v>
      </c>
      <c r="F145" s="630"/>
      <c r="G145" s="631" t="s">
        <v>984</v>
      </c>
      <c r="I145" s="629" t="s">
        <v>981</v>
      </c>
      <c r="J145" s="630"/>
      <c r="K145" s="631" t="s">
        <v>984</v>
      </c>
      <c r="M145" s="629" t="s">
        <v>981</v>
      </c>
      <c r="N145" s="630"/>
      <c r="O145" s="631" t="s">
        <v>984</v>
      </c>
      <c r="Q145" s="629" t="s">
        <v>981</v>
      </c>
      <c r="R145" s="630"/>
      <c r="S145" s="631" t="s">
        <v>984</v>
      </c>
      <c r="U145" s="629" t="s">
        <v>981</v>
      </c>
      <c r="V145" s="630"/>
      <c r="W145" s="631" t="s">
        <v>984</v>
      </c>
    </row>
    <row r="146" spans="1:23" ht="48" customHeight="1" x14ac:dyDescent="0.25">
      <c r="A146" s="637"/>
      <c r="B146" s="629" t="s">
        <v>983</v>
      </c>
      <c r="C146" s="636"/>
      <c r="E146" s="637" t="s">
        <v>985</v>
      </c>
      <c r="F146" s="632" t="s">
        <v>983</v>
      </c>
      <c r="G146" s="633"/>
      <c r="I146" s="637" t="s">
        <v>985</v>
      </c>
      <c r="J146" s="632" t="s">
        <v>983</v>
      </c>
      <c r="K146" s="633"/>
      <c r="M146" s="637" t="s">
        <v>985</v>
      </c>
      <c r="N146" s="632" t="s">
        <v>983</v>
      </c>
      <c r="O146" s="633"/>
      <c r="Q146" s="637" t="s">
        <v>985</v>
      </c>
      <c r="R146" s="632" t="s">
        <v>983</v>
      </c>
      <c r="S146" s="633"/>
      <c r="U146" s="637" t="s">
        <v>985</v>
      </c>
      <c r="V146" s="632" t="s">
        <v>983</v>
      </c>
      <c r="W146" s="633"/>
    </row>
    <row r="147" spans="1:23" ht="51" customHeight="1" x14ac:dyDescent="0.2">
      <c r="A147" s="634"/>
      <c r="B147" s="634"/>
      <c r="C147" s="634"/>
      <c r="E147" s="1115" t="s">
        <v>986</v>
      </c>
      <c r="F147" s="1115"/>
      <c r="G147" s="635"/>
      <c r="I147" s="1115" t="s">
        <v>986</v>
      </c>
      <c r="J147" s="1115"/>
      <c r="K147" s="635"/>
      <c r="M147" s="1115" t="s">
        <v>986</v>
      </c>
      <c r="N147" s="1115"/>
      <c r="O147" s="635"/>
      <c r="Q147" s="1115" t="s">
        <v>986</v>
      </c>
      <c r="R147" s="1115"/>
      <c r="S147" s="635"/>
      <c r="U147" s="1228" t="s">
        <v>987</v>
      </c>
      <c r="V147" s="1229"/>
      <c r="W147" s="635"/>
    </row>
    <row r="148" spans="1:23" ht="13.5" customHeight="1" thickBot="1" x14ac:dyDescent="0.25"/>
    <row r="149" spans="1:23" ht="72" customHeight="1" thickBot="1" x14ac:dyDescent="0.25">
      <c r="E149" s="707" t="s">
        <v>1007</v>
      </c>
      <c r="F149" s="639"/>
      <c r="G149" s="639"/>
      <c r="H149" s="639"/>
      <c r="I149" s="639"/>
      <c r="J149" s="640"/>
      <c r="M149" s="708" t="s">
        <v>1008</v>
      </c>
      <c r="N149" s="639"/>
      <c r="O149" s="639"/>
      <c r="P149" s="639"/>
      <c r="Q149" s="640"/>
      <c r="S149" s="1219" t="s">
        <v>988</v>
      </c>
      <c r="T149" s="1219"/>
      <c r="U149" s="1219"/>
      <c r="V149" s="1220"/>
      <c r="W149" s="1221"/>
    </row>
    <row r="150" spans="1:23" ht="34.5" customHeight="1" x14ac:dyDescent="0.2"/>
    <row r="151" spans="1:23" ht="6.75" customHeight="1" x14ac:dyDescent="0.2">
      <c r="Q151" s="1193" t="str">
        <f>CATEG_IMPORTEE</f>
        <v>Collèges Mixtes Etablissement</v>
      </c>
      <c r="R151" s="1193"/>
      <c r="S151" s="1193"/>
      <c r="T151" s="1193"/>
      <c r="U151" s="1193"/>
      <c r="V151" s="1193"/>
      <c r="W151" s="1193"/>
    </row>
    <row r="152" spans="1:23" s="218" customFormat="1" ht="33.75" x14ac:dyDescent="0.2">
      <c r="A152" s="1207" t="s">
        <v>628</v>
      </c>
      <c r="B152" s="1207"/>
      <c r="C152" s="645">
        <f>C122+1</f>
        <v>6</v>
      </c>
      <c r="E152" s="1208" t="str">
        <f>Championnat</f>
        <v>Championnat de France de Tir à l'ARC</v>
      </c>
      <c r="F152" s="1208"/>
      <c r="G152" s="1208"/>
      <c r="H152" s="1208"/>
      <c r="I152" s="1208"/>
      <c r="J152" s="1208"/>
      <c r="K152" s="1208"/>
      <c r="L152" s="1208"/>
      <c r="M152" s="1208"/>
      <c r="N152" s="1208"/>
      <c r="O152" s="1208"/>
      <c r="Q152" s="1193"/>
      <c r="R152" s="1193"/>
      <c r="S152" s="1193"/>
      <c r="T152" s="1193"/>
      <c r="U152" s="1193"/>
      <c r="V152" s="1193"/>
      <c r="W152" s="1193"/>
    </row>
    <row r="153" spans="1:23" ht="27" customHeight="1" x14ac:dyDescent="0.2">
      <c r="Q153" s="1211" t="str">
        <f>LIEU&amp;" du "&amp;DATE</f>
        <v>L’Isle sur la Sorgue du 27 au 31 mars 2023</v>
      </c>
      <c r="R153" s="1211"/>
      <c r="S153" s="1211"/>
      <c r="T153" s="1211"/>
      <c r="U153" s="1211"/>
      <c r="V153" s="1211"/>
      <c r="W153" s="1211"/>
    </row>
    <row r="154" spans="1:23" ht="19.5" customHeight="1" thickBot="1" x14ac:dyDescent="0.25">
      <c r="E154" s="1212" t="s">
        <v>0</v>
      </c>
      <c r="F154" s="1212"/>
      <c r="G154" s="1212"/>
      <c r="H154" s="1212"/>
      <c r="I154" s="1212"/>
      <c r="J154" s="1212"/>
      <c r="K154" s="1212"/>
      <c r="L154" s="641"/>
      <c r="M154" s="1212" t="s">
        <v>375</v>
      </c>
      <c r="N154" s="1212"/>
      <c r="O154" s="1212"/>
      <c r="P154" s="1212"/>
      <c r="Q154" s="1212"/>
      <c r="S154" s="1212" t="s">
        <v>374</v>
      </c>
      <c r="T154" s="1212"/>
      <c r="U154" s="1212"/>
      <c r="V154" s="1212"/>
      <c r="W154" s="1212"/>
    </row>
    <row r="155" spans="1:23" ht="36.75" customHeight="1" thickBot="1" x14ac:dyDescent="0.25">
      <c r="E155" s="1213" t="e">
        <f>VLOOKUP(E158,ID_archer_cible,2,FALSE)</f>
        <v>#N/A</v>
      </c>
      <c r="F155" s="1214"/>
      <c r="G155" s="1214"/>
      <c r="H155" s="1214"/>
      <c r="I155" s="1214"/>
      <c r="J155" s="1214"/>
      <c r="K155" s="1215"/>
      <c r="L155" s="641"/>
      <c r="M155" s="1216" t="e">
        <f>"("&amp;VLOOKUP(E158,ID_archer_cible,3,FALSE)&amp;")"</f>
        <v>#N/A</v>
      </c>
      <c r="N155" s="1217"/>
      <c r="O155" s="1217"/>
      <c r="P155" s="1217"/>
      <c r="Q155" s="1217"/>
      <c r="R155" s="1218"/>
      <c r="S155" s="1185" t="e">
        <f>VLOOKUP(E158,ID_archer_cible,4,FALSE)</f>
        <v>#N/A</v>
      </c>
      <c r="T155" s="1186"/>
      <c r="U155" s="1186"/>
      <c r="V155" s="1186"/>
      <c r="W155" s="1187"/>
    </row>
    <row r="156" spans="1:23" ht="17.25" customHeight="1" x14ac:dyDescent="0.2"/>
    <row r="157" spans="1:23" ht="23.25" customHeight="1" thickBot="1" x14ac:dyDescent="0.25">
      <c r="A157" s="638" t="s">
        <v>906</v>
      </c>
      <c r="E157" s="508" t="s">
        <v>552</v>
      </c>
      <c r="F157" s="571" t="s">
        <v>893</v>
      </c>
      <c r="G157" s="1202" t="s">
        <v>550</v>
      </c>
      <c r="H157" s="1202"/>
      <c r="I157" s="571" t="s">
        <v>905</v>
      </c>
      <c r="J157" s="709" t="s">
        <v>551</v>
      </c>
      <c r="N157" s="508" t="s">
        <v>552</v>
      </c>
      <c r="O157" s="571" t="s">
        <v>893</v>
      </c>
      <c r="P157" s="1202" t="s">
        <v>550</v>
      </c>
      <c r="Q157" s="1202"/>
      <c r="R157" s="571" t="s">
        <v>905</v>
      </c>
      <c r="S157" s="709" t="s">
        <v>551</v>
      </c>
    </row>
    <row r="158" spans="1:23" ht="23.25" customHeight="1" thickTop="1" x14ac:dyDescent="0.2">
      <c r="A158" s="710" t="e">
        <f>VLOOKUP(E158,ID_archer_cible,5,FALSE)&amp;"    "&amp;VLOOKUP(E158,ID_archer_cible,6,FALSE)</f>
        <v>#N/A</v>
      </c>
      <c r="B158" s="711"/>
      <c r="C158" s="711"/>
      <c r="D158" s="712"/>
      <c r="E158" s="713" t="str">
        <f>C152&amp;"A"</f>
        <v>6A</v>
      </c>
      <c r="F158" s="714" t="e">
        <f>VLOOKUP(E158,ID_archer_cible,9,FALSE)</f>
        <v>#N/A</v>
      </c>
      <c r="G158" s="1209" t="e">
        <f>VLOOKUP(E158,ID_archer_cible,8,FALSE)</f>
        <v>#N/A</v>
      </c>
      <c r="H158" s="1209"/>
      <c r="I158" s="715" t="e">
        <f>VLOOKUP(E158,ID_archer_cible,7,FALSE)</f>
        <v>#N/A</v>
      </c>
      <c r="J158" s="716" t="e">
        <f>VLOOKUP(E158,ID_archer_cible,10,FALSE)</f>
        <v>#N/A</v>
      </c>
      <c r="K158" s="710" t="e">
        <f>VLOOKUP(N158,ID_archer_cible,5,FALSE)&amp;"    "&amp;VLOOKUP(N158,ID_archer_cible,6,FALSE)</f>
        <v>#N/A</v>
      </c>
      <c r="L158" s="722"/>
      <c r="M158" s="723"/>
      <c r="N158" s="714" t="str">
        <f>C152&amp;"C"</f>
        <v>6C</v>
      </c>
      <c r="O158" s="714" t="e">
        <f>VLOOKUP(N158,ID_archer_cible,9,FALSE)</f>
        <v>#N/A</v>
      </c>
      <c r="P158" s="1203" t="e">
        <f>VLOOKUP(N158,ID_archer_cible,8,FALSE)</f>
        <v>#N/A</v>
      </c>
      <c r="Q158" s="1204"/>
      <c r="R158" s="724" t="e">
        <f>VLOOKUP(N158,ID_archer_cible,7,FALSE)</f>
        <v>#N/A</v>
      </c>
      <c r="S158" s="716" t="e">
        <f>VLOOKUP(N158,ID_archer_cible,10,FALSE)</f>
        <v>#N/A</v>
      </c>
    </row>
    <row r="159" spans="1:23" ht="23.25" customHeight="1" thickBot="1" x14ac:dyDescent="0.25">
      <c r="A159" s="717" t="e">
        <f>VLOOKUP(E159,ID_archer_cible,5,FALSE)&amp;"    "&amp;VLOOKUP(E159,ID_archer_cible,6,FALSE)</f>
        <v>#N/A</v>
      </c>
      <c r="B159" s="718"/>
      <c r="C159" s="718"/>
      <c r="D159" s="719"/>
      <c r="E159" s="696" t="str">
        <f>C152&amp;"B"</f>
        <v>6B</v>
      </c>
      <c r="F159" s="720" t="e">
        <f>VLOOKUP(E159,ID_archer_cible,9,FALSE)</f>
        <v>#N/A</v>
      </c>
      <c r="G159" s="1210" t="e">
        <f>VLOOKUP(E159,ID_archer_cible,8,FALSE)</f>
        <v>#N/A</v>
      </c>
      <c r="H159" s="1210"/>
      <c r="I159" s="721" t="e">
        <f>VLOOKUP(E159,ID_archer_cible,7,FALSE)</f>
        <v>#N/A</v>
      </c>
      <c r="J159" s="700" t="e">
        <f>VLOOKUP(E159,ID_archer_cible,10,FALSE)</f>
        <v>#N/A</v>
      </c>
      <c r="K159" s="717" t="e">
        <f>VLOOKUP(N159,ID_archer_cible,5,FALSE)&amp;"    "&amp;VLOOKUP(N159,ID_archer_cible,6,FALSE)</f>
        <v>#N/A</v>
      </c>
      <c r="L159" s="725"/>
      <c r="M159" s="726"/>
      <c r="N159" s="720" t="str">
        <f>C152&amp;"D"</f>
        <v>6D</v>
      </c>
      <c r="O159" s="720" t="e">
        <f>VLOOKUP(N159,ID_archer_cible,9,FALSE)</f>
        <v>#N/A</v>
      </c>
      <c r="P159" s="1205" t="e">
        <f>VLOOKUP(N159,ID_archer_cible,8,FALSE)</f>
        <v>#N/A</v>
      </c>
      <c r="Q159" s="1206"/>
      <c r="R159" s="727" t="e">
        <f>VLOOKUP(N159,ID_archer_cible,7,FALSE)</f>
        <v>#N/A</v>
      </c>
      <c r="S159" s="700" t="e">
        <f>VLOOKUP(N159,ID_archer_cible,10,FALSE)</f>
        <v>#N/A</v>
      </c>
    </row>
    <row r="160" spans="1:23" ht="15" customHeight="1" thickTop="1" x14ac:dyDescent="0.2"/>
    <row r="161" spans="1:23" ht="15" customHeight="1" thickBot="1" x14ac:dyDescent="0.25"/>
    <row r="162" spans="1:23" ht="33.75" customHeight="1" thickBot="1" x14ac:dyDescent="0.25">
      <c r="A162" s="1222" t="s">
        <v>909</v>
      </c>
      <c r="B162" s="1223"/>
      <c r="C162" s="1224"/>
      <c r="E162" s="1225" t="s">
        <v>910</v>
      </c>
      <c r="F162" s="1226"/>
      <c r="G162" s="1227"/>
      <c r="I162" s="1222" t="s">
        <v>911</v>
      </c>
      <c r="J162" s="1223"/>
      <c r="K162" s="1224"/>
      <c r="M162" s="1222" t="s">
        <v>912</v>
      </c>
      <c r="N162" s="1223"/>
      <c r="O162" s="1224"/>
      <c r="Q162" s="1222" t="s">
        <v>913</v>
      </c>
      <c r="R162" s="1223"/>
      <c r="S162" s="1224"/>
      <c r="U162" s="1222" t="s">
        <v>916</v>
      </c>
      <c r="V162" s="1223"/>
      <c r="W162" s="1224"/>
    </row>
    <row r="163" spans="1:23" ht="33.75" customHeight="1" x14ac:dyDescent="0.2">
      <c r="A163" s="642" t="s">
        <v>980</v>
      </c>
      <c r="B163" s="643" t="s">
        <v>981</v>
      </c>
      <c r="C163" s="644" t="s">
        <v>780</v>
      </c>
      <c r="E163" s="642" t="s">
        <v>980</v>
      </c>
      <c r="F163" s="643" t="s">
        <v>981</v>
      </c>
      <c r="G163" s="644" t="s">
        <v>780</v>
      </c>
      <c r="I163" s="642" t="s">
        <v>980</v>
      </c>
      <c r="J163" s="643" t="s">
        <v>981</v>
      </c>
      <c r="K163" s="644" t="s">
        <v>780</v>
      </c>
      <c r="M163" s="642" t="s">
        <v>980</v>
      </c>
      <c r="N163" s="643" t="s">
        <v>981</v>
      </c>
      <c r="O163" s="644" t="s">
        <v>780</v>
      </c>
      <c r="Q163" s="642" t="s">
        <v>980</v>
      </c>
      <c r="R163" s="643" t="s">
        <v>981</v>
      </c>
      <c r="S163" s="644" t="s">
        <v>780</v>
      </c>
      <c r="U163" s="642" t="s">
        <v>980</v>
      </c>
      <c r="V163" s="643" t="s">
        <v>981</v>
      </c>
      <c r="W163" s="644" t="s">
        <v>780</v>
      </c>
    </row>
    <row r="164" spans="1:23" ht="33.75" customHeight="1" x14ac:dyDescent="0.2">
      <c r="A164" s="628">
        <v>10</v>
      </c>
      <c r="B164" s="630"/>
      <c r="C164" s="630"/>
      <c r="E164" s="628">
        <v>10</v>
      </c>
      <c r="F164" s="630"/>
      <c r="G164" s="630"/>
      <c r="I164" s="628">
        <v>10</v>
      </c>
      <c r="J164" s="630"/>
      <c r="K164" s="630"/>
      <c r="M164" s="628">
        <v>10</v>
      </c>
      <c r="N164" s="630"/>
      <c r="O164" s="630"/>
      <c r="Q164" s="628">
        <v>10</v>
      </c>
      <c r="R164" s="630"/>
      <c r="S164" s="630"/>
      <c r="U164" s="628">
        <v>10</v>
      </c>
      <c r="V164" s="630"/>
      <c r="W164" s="630"/>
    </row>
    <row r="165" spans="1:23" ht="33.75" customHeight="1" x14ac:dyDescent="0.2">
      <c r="A165" s="628">
        <v>9</v>
      </c>
      <c r="B165" s="630"/>
      <c r="C165" s="630"/>
      <c r="E165" s="628">
        <v>9</v>
      </c>
      <c r="F165" s="630"/>
      <c r="G165" s="630"/>
      <c r="I165" s="628">
        <v>9</v>
      </c>
      <c r="J165" s="630"/>
      <c r="K165" s="630"/>
      <c r="M165" s="628">
        <v>9</v>
      </c>
      <c r="N165" s="630"/>
      <c r="O165" s="630"/>
      <c r="Q165" s="628">
        <v>9</v>
      </c>
      <c r="R165" s="630"/>
      <c r="S165" s="630"/>
      <c r="U165" s="628">
        <v>9</v>
      </c>
      <c r="V165" s="630"/>
      <c r="W165" s="630"/>
    </row>
    <row r="166" spans="1:23" ht="33.75" customHeight="1" x14ac:dyDescent="0.2">
      <c r="A166" s="628">
        <v>8</v>
      </c>
      <c r="B166" s="630"/>
      <c r="C166" s="630"/>
      <c r="E166" s="628">
        <v>8</v>
      </c>
      <c r="F166" s="630"/>
      <c r="G166" s="630"/>
      <c r="I166" s="628">
        <v>8</v>
      </c>
      <c r="J166" s="630"/>
      <c r="K166" s="630"/>
      <c r="M166" s="628">
        <v>8</v>
      </c>
      <c r="N166" s="630"/>
      <c r="O166" s="630"/>
      <c r="Q166" s="628">
        <v>8</v>
      </c>
      <c r="R166" s="630"/>
      <c r="S166" s="630"/>
      <c r="U166" s="628">
        <v>8</v>
      </c>
      <c r="V166" s="630"/>
      <c r="W166" s="630"/>
    </row>
    <row r="167" spans="1:23" ht="33.75" customHeight="1" x14ac:dyDescent="0.2">
      <c r="A167" s="628">
        <v>7</v>
      </c>
      <c r="B167" s="630"/>
      <c r="C167" s="630"/>
      <c r="E167" s="628">
        <v>7</v>
      </c>
      <c r="F167" s="630"/>
      <c r="G167" s="630"/>
      <c r="I167" s="628">
        <v>7</v>
      </c>
      <c r="J167" s="630"/>
      <c r="K167" s="630"/>
      <c r="M167" s="628">
        <v>7</v>
      </c>
      <c r="N167" s="630"/>
      <c r="O167" s="630"/>
      <c r="Q167" s="628">
        <v>7</v>
      </c>
      <c r="R167" s="630"/>
      <c r="S167" s="630"/>
      <c r="U167" s="628">
        <v>7</v>
      </c>
      <c r="V167" s="630"/>
      <c r="W167" s="630"/>
    </row>
    <row r="168" spans="1:23" ht="33.75" customHeight="1" x14ac:dyDescent="0.2">
      <c r="A168" s="628">
        <v>6</v>
      </c>
      <c r="B168" s="630"/>
      <c r="C168" s="630"/>
      <c r="E168" s="628">
        <v>6</v>
      </c>
      <c r="F168" s="630"/>
      <c r="G168" s="630"/>
      <c r="I168" s="628">
        <v>6</v>
      </c>
      <c r="J168" s="630"/>
      <c r="K168" s="630"/>
      <c r="M168" s="628">
        <v>6</v>
      </c>
      <c r="N168" s="630"/>
      <c r="O168" s="630"/>
      <c r="Q168" s="628">
        <v>6</v>
      </c>
      <c r="R168" s="630"/>
      <c r="S168" s="630"/>
      <c r="U168" s="628">
        <v>6</v>
      </c>
      <c r="V168" s="630"/>
      <c r="W168" s="630"/>
    </row>
    <row r="169" spans="1:23" ht="33.75" customHeight="1" x14ac:dyDescent="0.2">
      <c r="A169" s="628">
        <v>5</v>
      </c>
      <c r="B169" s="630"/>
      <c r="C169" s="630"/>
      <c r="E169" s="628">
        <v>5</v>
      </c>
      <c r="F169" s="630"/>
      <c r="G169" s="630"/>
      <c r="I169" s="628">
        <v>5</v>
      </c>
      <c r="J169" s="630"/>
      <c r="K169" s="630"/>
      <c r="M169" s="628">
        <v>5</v>
      </c>
      <c r="N169" s="630"/>
      <c r="O169" s="630"/>
      <c r="Q169" s="628">
        <v>5</v>
      </c>
      <c r="R169" s="630"/>
      <c r="S169" s="630"/>
      <c r="U169" s="628">
        <v>5</v>
      </c>
      <c r="V169" s="630"/>
      <c r="W169" s="630"/>
    </row>
    <row r="170" spans="1:23" ht="33.75" customHeight="1" x14ac:dyDescent="0.2">
      <c r="A170" s="628">
        <v>4</v>
      </c>
      <c r="B170" s="630"/>
      <c r="C170" s="630"/>
      <c r="E170" s="628">
        <v>4</v>
      </c>
      <c r="F170" s="630"/>
      <c r="G170" s="630"/>
      <c r="I170" s="628">
        <v>4</v>
      </c>
      <c r="J170" s="630"/>
      <c r="K170" s="630"/>
      <c r="M170" s="628">
        <v>4</v>
      </c>
      <c r="N170" s="630"/>
      <c r="O170" s="630"/>
      <c r="Q170" s="628">
        <v>4</v>
      </c>
      <c r="R170" s="630"/>
      <c r="S170" s="630"/>
      <c r="U170" s="628">
        <v>4</v>
      </c>
      <c r="V170" s="630"/>
      <c r="W170" s="630"/>
    </row>
    <row r="171" spans="1:23" ht="33.75" customHeight="1" x14ac:dyDescent="0.2">
      <c r="A171" s="628">
        <v>3</v>
      </c>
      <c r="B171" s="630"/>
      <c r="C171" s="630"/>
      <c r="E171" s="628">
        <v>3</v>
      </c>
      <c r="F171" s="630"/>
      <c r="G171" s="630"/>
      <c r="I171" s="628">
        <v>3</v>
      </c>
      <c r="J171" s="630"/>
      <c r="K171" s="630"/>
      <c r="M171" s="628">
        <v>3</v>
      </c>
      <c r="N171" s="630"/>
      <c r="O171" s="630"/>
      <c r="Q171" s="628">
        <v>3</v>
      </c>
      <c r="R171" s="630"/>
      <c r="S171" s="630"/>
      <c r="U171" s="628">
        <v>3</v>
      </c>
      <c r="V171" s="630"/>
      <c r="W171" s="630"/>
    </row>
    <row r="172" spans="1:23" ht="33.75" customHeight="1" x14ac:dyDescent="0.2">
      <c r="A172" s="628">
        <v>2</v>
      </c>
      <c r="B172" s="630"/>
      <c r="C172" s="630"/>
      <c r="E172" s="628">
        <v>2</v>
      </c>
      <c r="F172" s="630"/>
      <c r="G172" s="630"/>
      <c r="I172" s="628">
        <v>2</v>
      </c>
      <c r="J172" s="630"/>
      <c r="K172" s="630"/>
      <c r="M172" s="628">
        <v>2</v>
      </c>
      <c r="N172" s="630"/>
      <c r="O172" s="630"/>
      <c r="Q172" s="628">
        <v>2</v>
      </c>
      <c r="R172" s="630"/>
      <c r="S172" s="630"/>
      <c r="U172" s="628">
        <v>2</v>
      </c>
      <c r="V172" s="630"/>
      <c r="W172" s="630"/>
    </row>
    <row r="173" spans="1:23" ht="33.75" customHeight="1" x14ac:dyDescent="0.2">
      <c r="A173" s="628">
        <v>1</v>
      </c>
      <c r="B173" s="630"/>
      <c r="C173" s="630"/>
      <c r="E173" s="628">
        <v>1</v>
      </c>
      <c r="F173" s="630"/>
      <c r="G173" s="630"/>
      <c r="I173" s="628">
        <v>1</v>
      </c>
      <c r="J173" s="630"/>
      <c r="K173" s="630"/>
      <c r="M173" s="628">
        <v>1</v>
      </c>
      <c r="N173" s="630"/>
      <c r="O173" s="630"/>
      <c r="Q173" s="628">
        <v>1</v>
      </c>
      <c r="R173" s="630"/>
      <c r="S173" s="630"/>
      <c r="U173" s="628">
        <v>1</v>
      </c>
      <c r="V173" s="630"/>
      <c r="W173" s="630"/>
    </row>
    <row r="174" spans="1:23" ht="33.75" customHeight="1" x14ac:dyDescent="0.2">
      <c r="A174" s="628" t="s">
        <v>982</v>
      </c>
      <c r="B174" s="630"/>
      <c r="C174" s="630"/>
      <c r="E174" s="628" t="s">
        <v>982</v>
      </c>
      <c r="F174" s="630"/>
      <c r="G174" s="630"/>
      <c r="I174" s="628" t="s">
        <v>982</v>
      </c>
      <c r="J174" s="630"/>
      <c r="K174" s="630"/>
      <c r="M174" s="628" t="s">
        <v>982</v>
      </c>
      <c r="N174" s="630"/>
      <c r="O174" s="630"/>
      <c r="Q174" s="628" t="s">
        <v>982</v>
      </c>
      <c r="R174" s="630"/>
      <c r="S174" s="630"/>
      <c r="U174" s="628" t="s">
        <v>982</v>
      </c>
      <c r="V174" s="630"/>
      <c r="W174" s="630"/>
    </row>
    <row r="175" spans="1:23" ht="33.75" customHeight="1" x14ac:dyDescent="0.2">
      <c r="A175" s="629" t="s">
        <v>981</v>
      </c>
      <c r="B175" s="630"/>
      <c r="C175" s="631" t="s">
        <v>984</v>
      </c>
      <c r="E175" s="629" t="s">
        <v>981</v>
      </c>
      <c r="F175" s="630"/>
      <c r="G175" s="631" t="s">
        <v>984</v>
      </c>
      <c r="I175" s="629" t="s">
        <v>981</v>
      </c>
      <c r="J175" s="630"/>
      <c r="K175" s="631" t="s">
        <v>984</v>
      </c>
      <c r="M175" s="629" t="s">
        <v>981</v>
      </c>
      <c r="N175" s="630"/>
      <c r="O175" s="631" t="s">
        <v>984</v>
      </c>
      <c r="Q175" s="629" t="s">
        <v>981</v>
      </c>
      <c r="R175" s="630"/>
      <c r="S175" s="631" t="s">
        <v>984</v>
      </c>
      <c r="U175" s="629" t="s">
        <v>981</v>
      </c>
      <c r="V175" s="630"/>
      <c r="W175" s="631" t="s">
        <v>984</v>
      </c>
    </row>
    <row r="176" spans="1:23" ht="48" customHeight="1" x14ac:dyDescent="0.25">
      <c r="A176" s="637"/>
      <c r="B176" s="629" t="s">
        <v>983</v>
      </c>
      <c r="C176" s="636"/>
      <c r="E176" s="637" t="s">
        <v>985</v>
      </c>
      <c r="F176" s="632" t="s">
        <v>983</v>
      </c>
      <c r="G176" s="633"/>
      <c r="I176" s="637" t="s">
        <v>985</v>
      </c>
      <c r="J176" s="632" t="s">
        <v>983</v>
      </c>
      <c r="K176" s="633"/>
      <c r="M176" s="637" t="s">
        <v>985</v>
      </c>
      <c r="N176" s="632" t="s">
        <v>983</v>
      </c>
      <c r="O176" s="633"/>
      <c r="Q176" s="637" t="s">
        <v>985</v>
      </c>
      <c r="R176" s="632" t="s">
        <v>983</v>
      </c>
      <c r="S176" s="633"/>
      <c r="U176" s="637" t="s">
        <v>985</v>
      </c>
      <c r="V176" s="632" t="s">
        <v>983</v>
      </c>
      <c r="W176" s="633"/>
    </row>
    <row r="177" spans="1:23" ht="51" customHeight="1" x14ac:dyDescent="0.2">
      <c r="A177" s="634"/>
      <c r="B177" s="634"/>
      <c r="C177" s="634"/>
      <c r="E177" s="1115" t="s">
        <v>986</v>
      </c>
      <c r="F177" s="1115"/>
      <c r="G177" s="635"/>
      <c r="I177" s="1115" t="s">
        <v>986</v>
      </c>
      <c r="J177" s="1115"/>
      <c r="K177" s="635"/>
      <c r="M177" s="1115" t="s">
        <v>986</v>
      </c>
      <c r="N177" s="1115"/>
      <c r="O177" s="635"/>
      <c r="Q177" s="1115" t="s">
        <v>986</v>
      </c>
      <c r="R177" s="1115"/>
      <c r="S177" s="635"/>
      <c r="U177" s="1228" t="s">
        <v>987</v>
      </c>
      <c r="V177" s="1229"/>
      <c r="W177" s="635"/>
    </row>
    <row r="178" spans="1:23" ht="13.5" customHeight="1" thickBot="1" x14ac:dyDescent="0.25"/>
    <row r="179" spans="1:23" ht="72" customHeight="1" thickBot="1" x14ac:dyDescent="0.25">
      <c r="E179" s="707" t="s">
        <v>1007</v>
      </c>
      <c r="F179" s="639"/>
      <c r="G179" s="639"/>
      <c r="H179" s="639"/>
      <c r="I179" s="639"/>
      <c r="J179" s="640"/>
      <c r="M179" s="708" t="s">
        <v>1008</v>
      </c>
      <c r="N179" s="639"/>
      <c r="O179" s="639"/>
      <c r="P179" s="639"/>
      <c r="Q179" s="640"/>
      <c r="S179" s="1219" t="s">
        <v>988</v>
      </c>
      <c r="T179" s="1219"/>
      <c r="U179" s="1219"/>
      <c r="V179" s="1220"/>
      <c r="W179" s="1221"/>
    </row>
    <row r="180" spans="1:23" ht="34.5" customHeight="1" x14ac:dyDescent="0.2"/>
    <row r="181" spans="1:23" ht="6.75" customHeight="1" x14ac:dyDescent="0.2">
      <c r="Q181" s="1193" t="str">
        <f>CATEG_IMPORTEE</f>
        <v>Collèges Mixtes Etablissement</v>
      </c>
      <c r="R181" s="1193"/>
      <c r="S181" s="1193"/>
      <c r="T181" s="1193"/>
      <c r="U181" s="1193"/>
      <c r="V181" s="1193"/>
      <c r="W181" s="1193"/>
    </row>
    <row r="182" spans="1:23" s="218" customFormat="1" ht="33.75" x14ac:dyDescent="0.2">
      <c r="A182" s="1207" t="s">
        <v>628</v>
      </c>
      <c r="B182" s="1207"/>
      <c r="C182" s="645">
        <f>C152+1</f>
        <v>7</v>
      </c>
      <c r="E182" s="1208" t="str">
        <f>Championnat</f>
        <v>Championnat de France de Tir à l'ARC</v>
      </c>
      <c r="F182" s="1208"/>
      <c r="G182" s="1208"/>
      <c r="H182" s="1208"/>
      <c r="I182" s="1208"/>
      <c r="J182" s="1208"/>
      <c r="K182" s="1208"/>
      <c r="L182" s="1208"/>
      <c r="M182" s="1208"/>
      <c r="N182" s="1208"/>
      <c r="O182" s="1208"/>
      <c r="Q182" s="1193"/>
      <c r="R182" s="1193"/>
      <c r="S182" s="1193"/>
      <c r="T182" s="1193"/>
      <c r="U182" s="1193"/>
      <c r="V182" s="1193"/>
      <c r="W182" s="1193"/>
    </row>
    <row r="183" spans="1:23" ht="27" customHeight="1" x14ac:dyDescent="0.2">
      <c r="Q183" s="1211" t="str">
        <f>LIEU&amp;" du "&amp;DATE</f>
        <v>L’Isle sur la Sorgue du 27 au 31 mars 2023</v>
      </c>
      <c r="R183" s="1211"/>
      <c r="S183" s="1211"/>
      <c r="T183" s="1211"/>
      <c r="U183" s="1211"/>
      <c r="V183" s="1211"/>
      <c r="W183" s="1211"/>
    </row>
    <row r="184" spans="1:23" ht="19.5" customHeight="1" thickBot="1" x14ac:dyDescent="0.25">
      <c r="E184" s="1212" t="s">
        <v>0</v>
      </c>
      <c r="F184" s="1212"/>
      <c r="G184" s="1212"/>
      <c r="H184" s="1212"/>
      <c r="I184" s="1212"/>
      <c r="J184" s="1212"/>
      <c r="K184" s="1212"/>
      <c r="L184" s="641"/>
      <c r="M184" s="1212" t="s">
        <v>375</v>
      </c>
      <c r="N184" s="1212"/>
      <c r="O184" s="1212"/>
      <c r="P184" s="1212"/>
      <c r="Q184" s="1212"/>
      <c r="S184" s="1212" t="s">
        <v>374</v>
      </c>
      <c r="T184" s="1212"/>
      <c r="U184" s="1212"/>
      <c r="V184" s="1212"/>
      <c r="W184" s="1212"/>
    </row>
    <row r="185" spans="1:23" ht="36.75" customHeight="1" thickBot="1" x14ac:dyDescent="0.25">
      <c r="E185" s="1213" t="e">
        <f>VLOOKUP(E188,ID_archer_cible,2,FALSE)</f>
        <v>#N/A</v>
      </c>
      <c r="F185" s="1214"/>
      <c r="G185" s="1214"/>
      <c r="H185" s="1214"/>
      <c r="I185" s="1214"/>
      <c r="J185" s="1214"/>
      <c r="K185" s="1215"/>
      <c r="L185" s="641"/>
      <c r="M185" s="1216" t="e">
        <f>"("&amp;VLOOKUP(E188,ID_archer_cible,3,FALSE)&amp;")"</f>
        <v>#N/A</v>
      </c>
      <c r="N185" s="1217"/>
      <c r="O185" s="1217"/>
      <c r="P185" s="1217"/>
      <c r="Q185" s="1217"/>
      <c r="R185" s="1218"/>
      <c r="S185" s="1185" t="e">
        <f>VLOOKUP(E188,ID_archer_cible,4,FALSE)</f>
        <v>#N/A</v>
      </c>
      <c r="T185" s="1186"/>
      <c r="U185" s="1186"/>
      <c r="V185" s="1186"/>
      <c r="W185" s="1187"/>
    </row>
    <row r="186" spans="1:23" ht="17.25" customHeight="1" x14ac:dyDescent="0.2"/>
    <row r="187" spans="1:23" ht="23.25" customHeight="1" thickBot="1" x14ac:dyDescent="0.25">
      <c r="A187" s="638" t="s">
        <v>906</v>
      </c>
      <c r="E187" s="508" t="s">
        <v>552</v>
      </c>
      <c r="F187" s="571" t="s">
        <v>893</v>
      </c>
      <c r="G187" s="1202" t="s">
        <v>550</v>
      </c>
      <c r="H187" s="1202"/>
      <c r="I187" s="571" t="s">
        <v>905</v>
      </c>
      <c r="J187" s="709" t="s">
        <v>551</v>
      </c>
      <c r="N187" s="508" t="s">
        <v>552</v>
      </c>
      <c r="O187" s="571" t="s">
        <v>893</v>
      </c>
      <c r="P187" s="1202" t="s">
        <v>550</v>
      </c>
      <c r="Q187" s="1202"/>
      <c r="R187" s="571" t="s">
        <v>905</v>
      </c>
      <c r="S187" s="709" t="s">
        <v>551</v>
      </c>
    </row>
    <row r="188" spans="1:23" ht="23.25" customHeight="1" thickTop="1" x14ac:dyDescent="0.2">
      <c r="A188" s="710" t="e">
        <f>VLOOKUP(E188,ID_archer_cible,5,FALSE)&amp;"    "&amp;VLOOKUP(E188,ID_archer_cible,6,FALSE)</f>
        <v>#N/A</v>
      </c>
      <c r="B188" s="711"/>
      <c r="C188" s="711"/>
      <c r="D188" s="712"/>
      <c r="E188" s="713" t="str">
        <f>C182&amp;"A"</f>
        <v>7A</v>
      </c>
      <c r="F188" s="714" t="e">
        <f>VLOOKUP(E188,ID_archer_cible,9,FALSE)</f>
        <v>#N/A</v>
      </c>
      <c r="G188" s="1209" t="e">
        <f>VLOOKUP(E188,ID_archer_cible,8,FALSE)</f>
        <v>#N/A</v>
      </c>
      <c r="H188" s="1209"/>
      <c r="I188" s="715" t="e">
        <f>VLOOKUP(E188,ID_archer_cible,7,FALSE)</f>
        <v>#N/A</v>
      </c>
      <c r="J188" s="716" t="e">
        <f>VLOOKUP(E188,ID_archer_cible,10,FALSE)</f>
        <v>#N/A</v>
      </c>
      <c r="K188" s="710" t="e">
        <f>VLOOKUP(N188,ID_archer_cible,5,FALSE)&amp;"    "&amp;VLOOKUP(N188,ID_archer_cible,6,FALSE)</f>
        <v>#N/A</v>
      </c>
      <c r="L188" s="722"/>
      <c r="M188" s="723"/>
      <c r="N188" s="714" t="str">
        <f>C182&amp;"C"</f>
        <v>7C</v>
      </c>
      <c r="O188" s="714" t="e">
        <f>VLOOKUP(N188,ID_archer_cible,9,FALSE)</f>
        <v>#N/A</v>
      </c>
      <c r="P188" s="1203" t="e">
        <f>VLOOKUP(N188,ID_archer_cible,8,FALSE)</f>
        <v>#N/A</v>
      </c>
      <c r="Q188" s="1204"/>
      <c r="R188" s="724" t="e">
        <f>VLOOKUP(N188,ID_archer_cible,7,FALSE)</f>
        <v>#N/A</v>
      </c>
      <c r="S188" s="716" t="e">
        <f>VLOOKUP(N188,ID_archer_cible,10,FALSE)</f>
        <v>#N/A</v>
      </c>
    </row>
    <row r="189" spans="1:23" ht="23.25" customHeight="1" thickBot="1" x14ac:dyDescent="0.25">
      <c r="A189" s="717" t="e">
        <f>VLOOKUP(E189,ID_archer_cible,5,FALSE)&amp;"    "&amp;VLOOKUP(E189,ID_archer_cible,6,FALSE)</f>
        <v>#N/A</v>
      </c>
      <c r="B189" s="718"/>
      <c r="C189" s="718"/>
      <c r="D189" s="719"/>
      <c r="E189" s="696" t="str">
        <f>C182&amp;"B"</f>
        <v>7B</v>
      </c>
      <c r="F189" s="720" t="e">
        <f>VLOOKUP(E189,ID_archer_cible,9,FALSE)</f>
        <v>#N/A</v>
      </c>
      <c r="G189" s="1210" t="e">
        <f>VLOOKUP(E189,ID_archer_cible,8,FALSE)</f>
        <v>#N/A</v>
      </c>
      <c r="H189" s="1210"/>
      <c r="I189" s="721" t="e">
        <f>VLOOKUP(E189,ID_archer_cible,7,FALSE)</f>
        <v>#N/A</v>
      </c>
      <c r="J189" s="700" t="e">
        <f>VLOOKUP(E189,ID_archer_cible,10,FALSE)</f>
        <v>#N/A</v>
      </c>
      <c r="K189" s="717" t="e">
        <f>VLOOKUP(N189,ID_archer_cible,5,FALSE)&amp;"    "&amp;VLOOKUP(N189,ID_archer_cible,6,FALSE)</f>
        <v>#N/A</v>
      </c>
      <c r="L189" s="725"/>
      <c r="M189" s="726"/>
      <c r="N189" s="720" t="str">
        <f>C182&amp;"D"</f>
        <v>7D</v>
      </c>
      <c r="O189" s="720" t="e">
        <f>VLOOKUP(N189,ID_archer_cible,9,FALSE)</f>
        <v>#N/A</v>
      </c>
      <c r="P189" s="1205" t="e">
        <f>VLOOKUP(N189,ID_archer_cible,8,FALSE)</f>
        <v>#N/A</v>
      </c>
      <c r="Q189" s="1206"/>
      <c r="R189" s="727" t="e">
        <f>VLOOKUP(N189,ID_archer_cible,7,FALSE)</f>
        <v>#N/A</v>
      </c>
      <c r="S189" s="700" t="e">
        <f>VLOOKUP(N189,ID_archer_cible,10,FALSE)</f>
        <v>#N/A</v>
      </c>
    </row>
    <row r="190" spans="1:23" ht="15" customHeight="1" thickTop="1" x14ac:dyDescent="0.2"/>
    <row r="191" spans="1:23" ht="15" customHeight="1" thickBot="1" x14ac:dyDescent="0.25"/>
    <row r="192" spans="1:23" ht="33.75" customHeight="1" thickBot="1" x14ac:dyDescent="0.25">
      <c r="A192" s="1222" t="s">
        <v>909</v>
      </c>
      <c r="B192" s="1223"/>
      <c r="C192" s="1224"/>
      <c r="E192" s="1225" t="s">
        <v>910</v>
      </c>
      <c r="F192" s="1226"/>
      <c r="G192" s="1227"/>
      <c r="I192" s="1222" t="s">
        <v>911</v>
      </c>
      <c r="J192" s="1223"/>
      <c r="K192" s="1224"/>
      <c r="M192" s="1222" t="s">
        <v>912</v>
      </c>
      <c r="N192" s="1223"/>
      <c r="O192" s="1224"/>
      <c r="Q192" s="1222" t="s">
        <v>913</v>
      </c>
      <c r="R192" s="1223"/>
      <c r="S192" s="1224"/>
      <c r="U192" s="1222" t="s">
        <v>916</v>
      </c>
      <c r="V192" s="1223"/>
      <c r="W192" s="1224"/>
    </row>
    <row r="193" spans="1:23" ht="33.75" customHeight="1" x14ac:dyDescent="0.2">
      <c r="A193" s="642" t="s">
        <v>980</v>
      </c>
      <c r="B193" s="643" t="s">
        <v>981</v>
      </c>
      <c r="C193" s="644" t="s">
        <v>780</v>
      </c>
      <c r="E193" s="642" t="s">
        <v>980</v>
      </c>
      <c r="F193" s="643" t="s">
        <v>981</v>
      </c>
      <c r="G193" s="644" t="s">
        <v>780</v>
      </c>
      <c r="I193" s="642" t="s">
        <v>980</v>
      </c>
      <c r="J193" s="643" t="s">
        <v>981</v>
      </c>
      <c r="K193" s="644" t="s">
        <v>780</v>
      </c>
      <c r="M193" s="642" t="s">
        <v>980</v>
      </c>
      <c r="N193" s="643" t="s">
        <v>981</v>
      </c>
      <c r="O193" s="644" t="s">
        <v>780</v>
      </c>
      <c r="Q193" s="642" t="s">
        <v>980</v>
      </c>
      <c r="R193" s="643" t="s">
        <v>981</v>
      </c>
      <c r="S193" s="644" t="s">
        <v>780</v>
      </c>
      <c r="U193" s="642" t="s">
        <v>980</v>
      </c>
      <c r="V193" s="643" t="s">
        <v>981</v>
      </c>
      <c r="W193" s="644" t="s">
        <v>780</v>
      </c>
    </row>
    <row r="194" spans="1:23" ht="33.75" customHeight="1" x14ac:dyDescent="0.2">
      <c r="A194" s="628">
        <v>10</v>
      </c>
      <c r="B194" s="630"/>
      <c r="C194" s="630"/>
      <c r="E194" s="628">
        <v>10</v>
      </c>
      <c r="F194" s="630"/>
      <c r="G194" s="630"/>
      <c r="I194" s="628">
        <v>10</v>
      </c>
      <c r="J194" s="630"/>
      <c r="K194" s="630"/>
      <c r="M194" s="628">
        <v>10</v>
      </c>
      <c r="N194" s="630"/>
      <c r="O194" s="630"/>
      <c r="Q194" s="628">
        <v>10</v>
      </c>
      <c r="R194" s="630"/>
      <c r="S194" s="630"/>
      <c r="U194" s="628">
        <v>10</v>
      </c>
      <c r="V194" s="630"/>
      <c r="W194" s="630"/>
    </row>
    <row r="195" spans="1:23" ht="33.75" customHeight="1" x14ac:dyDescent="0.2">
      <c r="A195" s="628">
        <v>9</v>
      </c>
      <c r="B195" s="630"/>
      <c r="C195" s="630"/>
      <c r="E195" s="628">
        <v>9</v>
      </c>
      <c r="F195" s="630"/>
      <c r="G195" s="630"/>
      <c r="I195" s="628">
        <v>9</v>
      </c>
      <c r="J195" s="630"/>
      <c r="K195" s="630"/>
      <c r="M195" s="628">
        <v>9</v>
      </c>
      <c r="N195" s="630"/>
      <c r="O195" s="630"/>
      <c r="Q195" s="628">
        <v>9</v>
      </c>
      <c r="R195" s="630"/>
      <c r="S195" s="630"/>
      <c r="U195" s="628">
        <v>9</v>
      </c>
      <c r="V195" s="630"/>
      <c r="W195" s="630"/>
    </row>
    <row r="196" spans="1:23" ht="33.75" customHeight="1" x14ac:dyDescent="0.2">
      <c r="A196" s="628">
        <v>8</v>
      </c>
      <c r="B196" s="630"/>
      <c r="C196" s="630"/>
      <c r="E196" s="628">
        <v>8</v>
      </c>
      <c r="F196" s="630"/>
      <c r="G196" s="630"/>
      <c r="I196" s="628">
        <v>8</v>
      </c>
      <c r="J196" s="630"/>
      <c r="K196" s="630"/>
      <c r="M196" s="628">
        <v>8</v>
      </c>
      <c r="N196" s="630"/>
      <c r="O196" s="630"/>
      <c r="Q196" s="628">
        <v>8</v>
      </c>
      <c r="R196" s="630"/>
      <c r="S196" s="630"/>
      <c r="U196" s="628">
        <v>8</v>
      </c>
      <c r="V196" s="630"/>
      <c r="W196" s="630"/>
    </row>
    <row r="197" spans="1:23" ht="33.75" customHeight="1" x14ac:dyDescent="0.2">
      <c r="A197" s="628">
        <v>7</v>
      </c>
      <c r="B197" s="630"/>
      <c r="C197" s="630"/>
      <c r="E197" s="628">
        <v>7</v>
      </c>
      <c r="F197" s="630"/>
      <c r="G197" s="630"/>
      <c r="I197" s="628">
        <v>7</v>
      </c>
      <c r="J197" s="630"/>
      <c r="K197" s="630"/>
      <c r="M197" s="628">
        <v>7</v>
      </c>
      <c r="N197" s="630"/>
      <c r="O197" s="630"/>
      <c r="Q197" s="628">
        <v>7</v>
      </c>
      <c r="R197" s="630"/>
      <c r="S197" s="630"/>
      <c r="U197" s="628">
        <v>7</v>
      </c>
      <c r="V197" s="630"/>
      <c r="W197" s="630"/>
    </row>
    <row r="198" spans="1:23" ht="33.75" customHeight="1" x14ac:dyDescent="0.2">
      <c r="A198" s="628">
        <v>6</v>
      </c>
      <c r="B198" s="630"/>
      <c r="C198" s="630"/>
      <c r="E198" s="628">
        <v>6</v>
      </c>
      <c r="F198" s="630"/>
      <c r="G198" s="630"/>
      <c r="I198" s="628">
        <v>6</v>
      </c>
      <c r="J198" s="630"/>
      <c r="K198" s="630"/>
      <c r="M198" s="628">
        <v>6</v>
      </c>
      <c r="N198" s="630"/>
      <c r="O198" s="630"/>
      <c r="Q198" s="628">
        <v>6</v>
      </c>
      <c r="R198" s="630"/>
      <c r="S198" s="630"/>
      <c r="U198" s="628">
        <v>6</v>
      </c>
      <c r="V198" s="630"/>
      <c r="W198" s="630"/>
    </row>
    <row r="199" spans="1:23" ht="33.75" customHeight="1" x14ac:dyDescent="0.2">
      <c r="A199" s="628">
        <v>5</v>
      </c>
      <c r="B199" s="630"/>
      <c r="C199" s="630"/>
      <c r="E199" s="628">
        <v>5</v>
      </c>
      <c r="F199" s="630"/>
      <c r="G199" s="630"/>
      <c r="I199" s="628">
        <v>5</v>
      </c>
      <c r="J199" s="630"/>
      <c r="K199" s="630"/>
      <c r="M199" s="628">
        <v>5</v>
      </c>
      <c r="N199" s="630"/>
      <c r="O199" s="630"/>
      <c r="Q199" s="628">
        <v>5</v>
      </c>
      <c r="R199" s="630"/>
      <c r="S199" s="630"/>
      <c r="U199" s="628">
        <v>5</v>
      </c>
      <c r="V199" s="630"/>
      <c r="W199" s="630"/>
    </row>
    <row r="200" spans="1:23" ht="33.75" customHeight="1" x14ac:dyDescent="0.2">
      <c r="A200" s="628">
        <v>4</v>
      </c>
      <c r="B200" s="630"/>
      <c r="C200" s="630"/>
      <c r="E200" s="628">
        <v>4</v>
      </c>
      <c r="F200" s="630"/>
      <c r="G200" s="630"/>
      <c r="I200" s="628">
        <v>4</v>
      </c>
      <c r="J200" s="630"/>
      <c r="K200" s="630"/>
      <c r="M200" s="628">
        <v>4</v>
      </c>
      <c r="N200" s="630"/>
      <c r="O200" s="630"/>
      <c r="Q200" s="628">
        <v>4</v>
      </c>
      <c r="R200" s="630"/>
      <c r="S200" s="630"/>
      <c r="U200" s="628">
        <v>4</v>
      </c>
      <c r="V200" s="630"/>
      <c r="W200" s="630"/>
    </row>
    <row r="201" spans="1:23" ht="33.75" customHeight="1" x14ac:dyDescent="0.2">
      <c r="A201" s="628">
        <v>3</v>
      </c>
      <c r="B201" s="630"/>
      <c r="C201" s="630"/>
      <c r="E201" s="628">
        <v>3</v>
      </c>
      <c r="F201" s="630"/>
      <c r="G201" s="630"/>
      <c r="I201" s="628">
        <v>3</v>
      </c>
      <c r="J201" s="630"/>
      <c r="K201" s="630"/>
      <c r="M201" s="628">
        <v>3</v>
      </c>
      <c r="N201" s="630"/>
      <c r="O201" s="630"/>
      <c r="Q201" s="628">
        <v>3</v>
      </c>
      <c r="R201" s="630"/>
      <c r="S201" s="630"/>
      <c r="U201" s="628">
        <v>3</v>
      </c>
      <c r="V201" s="630"/>
      <c r="W201" s="630"/>
    </row>
    <row r="202" spans="1:23" ht="33.75" customHeight="1" x14ac:dyDescent="0.2">
      <c r="A202" s="628">
        <v>2</v>
      </c>
      <c r="B202" s="630"/>
      <c r="C202" s="630"/>
      <c r="E202" s="628">
        <v>2</v>
      </c>
      <c r="F202" s="630"/>
      <c r="G202" s="630"/>
      <c r="I202" s="628">
        <v>2</v>
      </c>
      <c r="J202" s="630"/>
      <c r="K202" s="630"/>
      <c r="M202" s="628">
        <v>2</v>
      </c>
      <c r="N202" s="630"/>
      <c r="O202" s="630"/>
      <c r="Q202" s="628">
        <v>2</v>
      </c>
      <c r="R202" s="630"/>
      <c r="S202" s="630"/>
      <c r="U202" s="628">
        <v>2</v>
      </c>
      <c r="V202" s="630"/>
      <c r="W202" s="630"/>
    </row>
    <row r="203" spans="1:23" ht="33.75" customHeight="1" x14ac:dyDescent="0.2">
      <c r="A203" s="628">
        <v>1</v>
      </c>
      <c r="B203" s="630"/>
      <c r="C203" s="630"/>
      <c r="E203" s="628">
        <v>1</v>
      </c>
      <c r="F203" s="630"/>
      <c r="G203" s="630"/>
      <c r="I203" s="628">
        <v>1</v>
      </c>
      <c r="J203" s="630"/>
      <c r="K203" s="630"/>
      <c r="M203" s="628">
        <v>1</v>
      </c>
      <c r="N203" s="630"/>
      <c r="O203" s="630"/>
      <c r="Q203" s="628">
        <v>1</v>
      </c>
      <c r="R203" s="630"/>
      <c r="S203" s="630"/>
      <c r="U203" s="628">
        <v>1</v>
      </c>
      <c r="V203" s="630"/>
      <c r="W203" s="630"/>
    </row>
    <row r="204" spans="1:23" ht="33.75" customHeight="1" x14ac:dyDescent="0.2">
      <c r="A204" s="628" t="s">
        <v>982</v>
      </c>
      <c r="B204" s="630"/>
      <c r="C204" s="630"/>
      <c r="E204" s="628" t="s">
        <v>982</v>
      </c>
      <c r="F204" s="630"/>
      <c r="G204" s="630"/>
      <c r="I204" s="628" t="s">
        <v>982</v>
      </c>
      <c r="J204" s="630"/>
      <c r="K204" s="630"/>
      <c r="M204" s="628" t="s">
        <v>982</v>
      </c>
      <c r="N204" s="630"/>
      <c r="O204" s="630"/>
      <c r="Q204" s="628" t="s">
        <v>982</v>
      </c>
      <c r="R204" s="630"/>
      <c r="S204" s="630"/>
      <c r="U204" s="628" t="s">
        <v>982</v>
      </c>
      <c r="V204" s="630"/>
      <c r="W204" s="630"/>
    </row>
    <row r="205" spans="1:23" ht="33.75" customHeight="1" x14ac:dyDescent="0.2">
      <c r="A205" s="629" t="s">
        <v>981</v>
      </c>
      <c r="B205" s="630"/>
      <c r="C205" s="631" t="s">
        <v>984</v>
      </c>
      <c r="E205" s="629" t="s">
        <v>981</v>
      </c>
      <c r="F205" s="630"/>
      <c r="G205" s="631" t="s">
        <v>984</v>
      </c>
      <c r="I205" s="629" t="s">
        <v>981</v>
      </c>
      <c r="J205" s="630"/>
      <c r="K205" s="631" t="s">
        <v>984</v>
      </c>
      <c r="M205" s="629" t="s">
        <v>981</v>
      </c>
      <c r="N205" s="630"/>
      <c r="O205" s="631" t="s">
        <v>984</v>
      </c>
      <c r="Q205" s="629" t="s">
        <v>981</v>
      </c>
      <c r="R205" s="630"/>
      <c r="S205" s="631" t="s">
        <v>984</v>
      </c>
      <c r="U205" s="629" t="s">
        <v>981</v>
      </c>
      <c r="V205" s="630"/>
      <c r="W205" s="631" t="s">
        <v>984</v>
      </c>
    </row>
    <row r="206" spans="1:23" ht="48" customHeight="1" x14ac:dyDescent="0.25">
      <c r="A206" s="637"/>
      <c r="B206" s="629" t="s">
        <v>983</v>
      </c>
      <c r="C206" s="636"/>
      <c r="E206" s="637" t="s">
        <v>985</v>
      </c>
      <c r="F206" s="632" t="s">
        <v>983</v>
      </c>
      <c r="G206" s="633"/>
      <c r="I206" s="637" t="s">
        <v>985</v>
      </c>
      <c r="J206" s="632" t="s">
        <v>983</v>
      </c>
      <c r="K206" s="633"/>
      <c r="M206" s="637" t="s">
        <v>985</v>
      </c>
      <c r="N206" s="632" t="s">
        <v>983</v>
      </c>
      <c r="O206" s="633"/>
      <c r="Q206" s="637" t="s">
        <v>985</v>
      </c>
      <c r="R206" s="632" t="s">
        <v>983</v>
      </c>
      <c r="S206" s="633"/>
      <c r="U206" s="637" t="s">
        <v>985</v>
      </c>
      <c r="V206" s="632" t="s">
        <v>983</v>
      </c>
      <c r="W206" s="633"/>
    </row>
    <row r="207" spans="1:23" ht="51" customHeight="1" x14ac:dyDescent="0.2">
      <c r="A207" s="634"/>
      <c r="B207" s="634"/>
      <c r="C207" s="634"/>
      <c r="E207" s="1115" t="s">
        <v>986</v>
      </c>
      <c r="F207" s="1115"/>
      <c r="G207" s="635"/>
      <c r="I207" s="1115" t="s">
        <v>986</v>
      </c>
      <c r="J207" s="1115"/>
      <c r="K207" s="635"/>
      <c r="M207" s="1115" t="s">
        <v>986</v>
      </c>
      <c r="N207" s="1115"/>
      <c r="O207" s="635"/>
      <c r="Q207" s="1115" t="s">
        <v>986</v>
      </c>
      <c r="R207" s="1115"/>
      <c r="S207" s="635"/>
      <c r="U207" s="1228" t="s">
        <v>987</v>
      </c>
      <c r="V207" s="1229"/>
      <c r="W207" s="635"/>
    </row>
    <row r="208" spans="1:23" ht="13.5" customHeight="1" thickBot="1" x14ac:dyDescent="0.25"/>
    <row r="209" spans="1:23" ht="72" customHeight="1" thickBot="1" x14ac:dyDescent="0.25">
      <c r="E209" s="707" t="s">
        <v>1007</v>
      </c>
      <c r="F209" s="639"/>
      <c r="G209" s="639"/>
      <c r="H209" s="639"/>
      <c r="I209" s="639"/>
      <c r="J209" s="640"/>
      <c r="M209" s="708" t="s">
        <v>1008</v>
      </c>
      <c r="N209" s="639"/>
      <c r="O209" s="639"/>
      <c r="P209" s="639"/>
      <c r="Q209" s="640"/>
      <c r="S209" s="1219" t="s">
        <v>988</v>
      </c>
      <c r="T209" s="1219"/>
      <c r="U209" s="1219"/>
      <c r="V209" s="1220"/>
      <c r="W209" s="1221"/>
    </row>
    <row r="210" spans="1:23" ht="34.5" customHeight="1" x14ac:dyDescent="0.2"/>
    <row r="211" spans="1:23" ht="6.75" customHeight="1" x14ac:dyDescent="0.2">
      <c r="Q211" s="1193" t="str">
        <f>CATEG_IMPORTEE</f>
        <v>Collèges Mixtes Etablissement</v>
      </c>
      <c r="R211" s="1193"/>
      <c r="S211" s="1193"/>
      <c r="T211" s="1193"/>
      <c r="U211" s="1193"/>
      <c r="V211" s="1193"/>
      <c r="W211" s="1193"/>
    </row>
    <row r="212" spans="1:23" s="218" customFormat="1" ht="33.75" x14ac:dyDescent="0.2">
      <c r="A212" s="1207" t="s">
        <v>628</v>
      </c>
      <c r="B212" s="1207"/>
      <c r="C212" s="645">
        <f>C182+1</f>
        <v>8</v>
      </c>
      <c r="E212" s="1208" t="str">
        <f>Championnat</f>
        <v>Championnat de France de Tir à l'ARC</v>
      </c>
      <c r="F212" s="1208"/>
      <c r="G212" s="1208"/>
      <c r="H212" s="1208"/>
      <c r="I212" s="1208"/>
      <c r="J212" s="1208"/>
      <c r="K212" s="1208"/>
      <c r="L212" s="1208"/>
      <c r="M212" s="1208"/>
      <c r="N212" s="1208"/>
      <c r="O212" s="1208"/>
      <c r="Q212" s="1193"/>
      <c r="R212" s="1193"/>
      <c r="S212" s="1193"/>
      <c r="T212" s="1193"/>
      <c r="U212" s="1193"/>
      <c r="V212" s="1193"/>
      <c r="W212" s="1193"/>
    </row>
    <row r="213" spans="1:23" ht="27" customHeight="1" x14ac:dyDescent="0.2">
      <c r="Q213" s="1211" t="str">
        <f>LIEU&amp;" du "&amp;DATE</f>
        <v>L’Isle sur la Sorgue du 27 au 31 mars 2023</v>
      </c>
      <c r="R213" s="1211"/>
      <c r="S213" s="1211"/>
      <c r="T213" s="1211"/>
      <c r="U213" s="1211"/>
      <c r="V213" s="1211"/>
      <c r="W213" s="1211"/>
    </row>
    <row r="214" spans="1:23" ht="19.5" customHeight="1" thickBot="1" x14ac:dyDescent="0.25">
      <c r="E214" s="1212" t="s">
        <v>0</v>
      </c>
      <c r="F214" s="1212"/>
      <c r="G214" s="1212"/>
      <c r="H214" s="1212"/>
      <c r="I214" s="1212"/>
      <c r="J214" s="1212"/>
      <c r="K214" s="1212"/>
      <c r="L214" s="641"/>
      <c r="M214" s="1212" t="s">
        <v>375</v>
      </c>
      <c r="N214" s="1212"/>
      <c r="O214" s="1212"/>
      <c r="P214" s="1212"/>
      <c r="Q214" s="1212"/>
      <c r="S214" s="1212" t="s">
        <v>374</v>
      </c>
      <c r="T214" s="1212"/>
      <c r="U214" s="1212"/>
      <c r="V214" s="1212"/>
      <c r="W214" s="1212"/>
    </row>
    <row r="215" spans="1:23" ht="36.75" customHeight="1" thickBot="1" x14ac:dyDescent="0.25">
      <c r="E215" s="1213" t="e">
        <f>VLOOKUP(E218,ID_archer_cible,2,FALSE)</f>
        <v>#N/A</v>
      </c>
      <c r="F215" s="1214"/>
      <c r="G215" s="1214"/>
      <c r="H215" s="1214"/>
      <c r="I215" s="1214"/>
      <c r="J215" s="1214"/>
      <c r="K215" s="1215"/>
      <c r="L215" s="641"/>
      <c r="M215" s="1216" t="e">
        <f>"("&amp;VLOOKUP(E218,ID_archer_cible,3,FALSE)&amp;")"</f>
        <v>#N/A</v>
      </c>
      <c r="N215" s="1217"/>
      <c r="O215" s="1217"/>
      <c r="P215" s="1217"/>
      <c r="Q215" s="1217"/>
      <c r="R215" s="1218"/>
      <c r="S215" s="1185" t="e">
        <f>VLOOKUP(E218,ID_archer_cible,4,FALSE)</f>
        <v>#N/A</v>
      </c>
      <c r="T215" s="1186"/>
      <c r="U215" s="1186"/>
      <c r="V215" s="1186"/>
      <c r="W215" s="1187"/>
    </row>
    <row r="216" spans="1:23" ht="17.25" customHeight="1" x14ac:dyDescent="0.2"/>
    <row r="217" spans="1:23" ht="23.25" customHeight="1" thickBot="1" x14ac:dyDescent="0.25">
      <c r="A217" s="638" t="s">
        <v>906</v>
      </c>
      <c r="E217" s="508" t="s">
        <v>552</v>
      </c>
      <c r="F217" s="571" t="s">
        <v>893</v>
      </c>
      <c r="G217" s="1202" t="s">
        <v>550</v>
      </c>
      <c r="H217" s="1202"/>
      <c r="I217" s="571" t="s">
        <v>905</v>
      </c>
      <c r="J217" s="709" t="s">
        <v>551</v>
      </c>
      <c r="N217" s="508" t="s">
        <v>552</v>
      </c>
      <c r="O217" s="571" t="s">
        <v>893</v>
      </c>
      <c r="P217" s="1202" t="s">
        <v>550</v>
      </c>
      <c r="Q217" s="1202"/>
      <c r="R217" s="571" t="s">
        <v>905</v>
      </c>
      <c r="S217" s="709" t="s">
        <v>551</v>
      </c>
    </row>
    <row r="218" spans="1:23" ht="23.25" customHeight="1" thickTop="1" x14ac:dyDescent="0.2">
      <c r="A218" s="710" t="e">
        <f>VLOOKUP(E218,ID_archer_cible,5,FALSE)&amp;"    "&amp;VLOOKUP(E218,ID_archer_cible,6,FALSE)</f>
        <v>#N/A</v>
      </c>
      <c r="B218" s="711"/>
      <c r="C218" s="711"/>
      <c r="D218" s="712"/>
      <c r="E218" s="713" t="str">
        <f>C212&amp;"A"</f>
        <v>8A</v>
      </c>
      <c r="F218" s="714" t="e">
        <f>VLOOKUP(E218,ID_archer_cible,9,FALSE)</f>
        <v>#N/A</v>
      </c>
      <c r="G218" s="1209" t="e">
        <f>VLOOKUP(E218,ID_archer_cible,8,FALSE)</f>
        <v>#N/A</v>
      </c>
      <c r="H218" s="1209"/>
      <c r="I218" s="715" t="e">
        <f>VLOOKUP(E218,ID_archer_cible,7,FALSE)</f>
        <v>#N/A</v>
      </c>
      <c r="J218" s="716" t="e">
        <f>VLOOKUP(E218,ID_archer_cible,10,FALSE)</f>
        <v>#N/A</v>
      </c>
      <c r="K218" s="710" t="e">
        <f>VLOOKUP(N218,ID_archer_cible,5,FALSE)&amp;"    "&amp;VLOOKUP(N218,ID_archer_cible,6,FALSE)</f>
        <v>#N/A</v>
      </c>
      <c r="L218" s="722"/>
      <c r="M218" s="723"/>
      <c r="N218" s="714" t="str">
        <f>C212&amp;"C"</f>
        <v>8C</v>
      </c>
      <c r="O218" s="714" t="e">
        <f>VLOOKUP(N218,ID_archer_cible,9,FALSE)</f>
        <v>#N/A</v>
      </c>
      <c r="P218" s="1203" t="e">
        <f>VLOOKUP(N218,ID_archer_cible,8,FALSE)</f>
        <v>#N/A</v>
      </c>
      <c r="Q218" s="1204"/>
      <c r="R218" s="724" t="e">
        <f>VLOOKUP(N218,ID_archer_cible,7,FALSE)</f>
        <v>#N/A</v>
      </c>
      <c r="S218" s="716" t="e">
        <f>VLOOKUP(N218,ID_archer_cible,10,FALSE)</f>
        <v>#N/A</v>
      </c>
    </row>
    <row r="219" spans="1:23" ht="23.25" customHeight="1" thickBot="1" x14ac:dyDescent="0.25">
      <c r="A219" s="717" t="e">
        <f>VLOOKUP(E219,ID_archer_cible,5,FALSE)&amp;"    "&amp;VLOOKUP(E219,ID_archer_cible,6,FALSE)</f>
        <v>#N/A</v>
      </c>
      <c r="B219" s="718"/>
      <c r="C219" s="718"/>
      <c r="D219" s="719"/>
      <c r="E219" s="696" t="str">
        <f>C212&amp;"B"</f>
        <v>8B</v>
      </c>
      <c r="F219" s="720" t="e">
        <f>VLOOKUP(E219,ID_archer_cible,9,FALSE)</f>
        <v>#N/A</v>
      </c>
      <c r="G219" s="1210" t="e">
        <f>VLOOKUP(E219,ID_archer_cible,8,FALSE)</f>
        <v>#N/A</v>
      </c>
      <c r="H219" s="1210"/>
      <c r="I219" s="721" t="e">
        <f>VLOOKUP(E219,ID_archer_cible,7,FALSE)</f>
        <v>#N/A</v>
      </c>
      <c r="J219" s="700" t="e">
        <f>VLOOKUP(E219,ID_archer_cible,10,FALSE)</f>
        <v>#N/A</v>
      </c>
      <c r="K219" s="717" t="e">
        <f>VLOOKUP(N219,ID_archer_cible,5,FALSE)&amp;"    "&amp;VLOOKUP(N219,ID_archer_cible,6,FALSE)</f>
        <v>#N/A</v>
      </c>
      <c r="L219" s="725"/>
      <c r="M219" s="726"/>
      <c r="N219" s="720" t="str">
        <f>C212&amp;"D"</f>
        <v>8D</v>
      </c>
      <c r="O219" s="720" t="e">
        <f>VLOOKUP(N219,ID_archer_cible,9,FALSE)</f>
        <v>#N/A</v>
      </c>
      <c r="P219" s="1205" t="e">
        <f>VLOOKUP(N219,ID_archer_cible,8,FALSE)</f>
        <v>#N/A</v>
      </c>
      <c r="Q219" s="1206"/>
      <c r="R219" s="727" t="e">
        <f>VLOOKUP(N219,ID_archer_cible,7,FALSE)</f>
        <v>#N/A</v>
      </c>
      <c r="S219" s="700" t="e">
        <f>VLOOKUP(N219,ID_archer_cible,10,FALSE)</f>
        <v>#N/A</v>
      </c>
    </row>
    <row r="220" spans="1:23" ht="15" customHeight="1" thickTop="1" x14ac:dyDescent="0.2"/>
    <row r="221" spans="1:23" ht="15" customHeight="1" thickBot="1" x14ac:dyDescent="0.25"/>
    <row r="222" spans="1:23" ht="33.75" customHeight="1" thickBot="1" x14ac:dyDescent="0.25">
      <c r="A222" s="1222" t="s">
        <v>909</v>
      </c>
      <c r="B222" s="1223"/>
      <c r="C222" s="1224"/>
      <c r="E222" s="1225" t="s">
        <v>910</v>
      </c>
      <c r="F222" s="1226"/>
      <c r="G222" s="1227"/>
      <c r="I222" s="1222" t="s">
        <v>911</v>
      </c>
      <c r="J222" s="1223"/>
      <c r="K222" s="1224"/>
      <c r="M222" s="1222" t="s">
        <v>912</v>
      </c>
      <c r="N222" s="1223"/>
      <c r="O222" s="1224"/>
      <c r="Q222" s="1222" t="s">
        <v>913</v>
      </c>
      <c r="R222" s="1223"/>
      <c r="S222" s="1224"/>
      <c r="U222" s="1222" t="s">
        <v>916</v>
      </c>
      <c r="V222" s="1223"/>
      <c r="W222" s="1224"/>
    </row>
    <row r="223" spans="1:23" ht="33.75" customHeight="1" x14ac:dyDescent="0.2">
      <c r="A223" s="642" t="s">
        <v>980</v>
      </c>
      <c r="B223" s="643" t="s">
        <v>981</v>
      </c>
      <c r="C223" s="644" t="s">
        <v>780</v>
      </c>
      <c r="E223" s="642" t="s">
        <v>980</v>
      </c>
      <c r="F223" s="643" t="s">
        <v>981</v>
      </c>
      <c r="G223" s="644" t="s">
        <v>780</v>
      </c>
      <c r="I223" s="642" t="s">
        <v>980</v>
      </c>
      <c r="J223" s="643" t="s">
        <v>981</v>
      </c>
      <c r="K223" s="644" t="s">
        <v>780</v>
      </c>
      <c r="M223" s="642" t="s">
        <v>980</v>
      </c>
      <c r="N223" s="643" t="s">
        <v>981</v>
      </c>
      <c r="O223" s="644" t="s">
        <v>780</v>
      </c>
      <c r="Q223" s="642" t="s">
        <v>980</v>
      </c>
      <c r="R223" s="643" t="s">
        <v>981</v>
      </c>
      <c r="S223" s="644" t="s">
        <v>780</v>
      </c>
      <c r="U223" s="642" t="s">
        <v>980</v>
      </c>
      <c r="V223" s="643" t="s">
        <v>981</v>
      </c>
      <c r="W223" s="644" t="s">
        <v>780</v>
      </c>
    </row>
    <row r="224" spans="1:23" ht="33.75" customHeight="1" x14ac:dyDescent="0.2">
      <c r="A224" s="628">
        <v>10</v>
      </c>
      <c r="B224" s="630"/>
      <c r="C224" s="630"/>
      <c r="E224" s="628">
        <v>10</v>
      </c>
      <c r="F224" s="630"/>
      <c r="G224" s="630"/>
      <c r="I224" s="628">
        <v>10</v>
      </c>
      <c r="J224" s="630"/>
      <c r="K224" s="630"/>
      <c r="M224" s="628">
        <v>10</v>
      </c>
      <c r="N224" s="630"/>
      <c r="O224" s="630"/>
      <c r="Q224" s="628">
        <v>10</v>
      </c>
      <c r="R224" s="630"/>
      <c r="S224" s="630"/>
      <c r="U224" s="628">
        <v>10</v>
      </c>
      <c r="V224" s="630"/>
      <c r="W224" s="630"/>
    </row>
    <row r="225" spans="1:23" ht="33.75" customHeight="1" x14ac:dyDescent="0.2">
      <c r="A225" s="628">
        <v>9</v>
      </c>
      <c r="B225" s="630"/>
      <c r="C225" s="630"/>
      <c r="E225" s="628">
        <v>9</v>
      </c>
      <c r="F225" s="630"/>
      <c r="G225" s="630"/>
      <c r="I225" s="628">
        <v>9</v>
      </c>
      <c r="J225" s="630"/>
      <c r="K225" s="630"/>
      <c r="M225" s="628">
        <v>9</v>
      </c>
      <c r="N225" s="630"/>
      <c r="O225" s="630"/>
      <c r="Q225" s="628">
        <v>9</v>
      </c>
      <c r="R225" s="630"/>
      <c r="S225" s="630"/>
      <c r="U225" s="628">
        <v>9</v>
      </c>
      <c r="V225" s="630"/>
      <c r="W225" s="630"/>
    </row>
    <row r="226" spans="1:23" ht="33.75" customHeight="1" x14ac:dyDescent="0.2">
      <c r="A226" s="628">
        <v>8</v>
      </c>
      <c r="B226" s="630"/>
      <c r="C226" s="630"/>
      <c r="E226" s="628">
        <v>8</v>
      </c>
      <c r="F226" s="630"/>
      <c r="G226" s="630"/>
      <c r="I226" s="628">
        <v>8</v>
      </c>
      <c r="J226" s="630"/>
      <c r="K226" s="630"/>
      <c r="M226" s="628">
        <v>8</v>
      </c>
      <c r="N226" s="630"/>
      <c r="O226" s="630"/>
      <c r="Q226" s="628">
        <v>8</v>
      </c>
      <c r="R226" s="630"/>
      <c r="S226" s="630"/>
      <c r="U226" s="628">
        <v>8</v>
      </c>
      <c r="V226" s="630"/>
      <c r="W226" s="630"/>
    </row>
    <row r="227" spans="1:23" ht="33.75" customHeight="1" x14ac:dyDescent="0.2">
      <c r="A227" s="628">
        <v>7</v>
      </c>
      <c r="B227" s="630"/>
      <c r="C227" s="630"/>
      <c r="E227" s="628">
        <v>7</v>
      </c>
      <c r="F227" s="630"/>
      <c r="G227" s="630"/>
      <c r="I227" s="628">
        <v>7</v>
      </c>
      <c r="J227" s="630"/>
      <c r="K227" s="630"/>
      <c r="M227" s="628">
        <v>7</v>
      </c>
      <c r="N227" s="630"/>
      <c r="O227" s="630"/>
      <c r="Q227" s="628">
        <v>7</v>
      </c>
      <c r="R227" s="630"/>
      <c r="S227" s="630"/>
      <c r="U227" s="628">
        <v>7</v>
      </c>
      <c r="V227" s="630"/>
      <c r="W227" s="630"/>
    </row>
    <row r="228" spans="1:23" ht="33.75" customHeight="1" x14ac:dyDescent="0.2">
      <c r="A228" s="628">
        <v>6</v>
      </c>
      <c r="B228" s="630"/>
      <c r="C228" s="630"/>
      <c r="E228" s="628">
        <v>6</v>
      </c>
      <c r="F228" s="630"/>
      <c r="G228" s="630"/>
      <c r="I228" s="628">
        <v>6</v>
      </c>
      <c r="J228" s="630"/>
      <c r="K228" s="630"/>
      <c r="M228" s="628">
        <v>6</v>
      </c>
      <c r="N228" s="630"/>
      <c r="O228" s="630"/>
      <c r="Q228" s="628">
        <v>6</v>
      </c>
      <c r="R228" s="630"/>
      <c r="S228" s="630"/>
      <c r="U228" s="628">
        <v>6</v>
      </c>
      <c r="V228" s="630"/>
      <c r="W228" s="630"/>
    </row>
    <row r="229" spans="1:23" ht="33.75" customHeight="1" x14ac:dyDescent="0.2">
      <c r="A229" s="628">
        <v>5</v>
      </c>
      <c r="B229" s="630"/>
      <c r="C229" s="630"/>
      <c r="E229" s="628">
        <v>5</v>
      </c>
      <c r="F229" s="630"/>
      <c r="G229" s="630"/>
      <c r="I229" s="628">
        <v>5</v>
      </c>
      <c r="J229" s="630"/>
      <c r="K229" s="630"/>
      <c r="M229" s="628">
        <v>5</v>
      </c>
      <c r="N229" s="630"/>
      <c r="O229" s="630"/>
      <c r="Q229" s="628">
        <v>5</v>
      </c>
      <c r="R229" s="630"/>
      <c r="S229" s="630"/>
      <c r="U229" s="628">
        <v>5</v>
      </c>
      <c r="V229" s="630"/>
      <c r="W229" s="630"/>
    </row>
    <row r="230" spans="1:23" ht="33.75" customHeight="1" x14ac:dyDescent="0.2">
      <c r="A230" s="628">
        <v>4</v>
      </c>
      <c r="B230" s="630"/>
      <c r="C230" s="630"/>
      <c r="E230" s="628">
        <v>4</v>
      </c>
      <c r="F230" s="630"/>
      <c r="G230" s="630"/>
      <c r="I230" s="628">
        <v>4</v>
      </c>
      <c r="J230" s="630"/>
      <c r="K230" s="630"/>
      <c r="M230" s="628">
        <v>4</v>
      </c>
      <c r="N230" s="630"/>
      <c r="O230" s="630"/>
      <c r="Q230" s="628">
        <v>4</v>
      </c>
      <c r="R230" s="630"/>
      <c r="S230" s="630"/>
      <c r="U230" s="628">
        <v>4</v>
      </c>
      <c r="V230" s="630"/>
      <c r="W230" s="630"/>
    </row>
    <row r="231" spans="1:23" ht="33.75" customHeight="1" x14ac:dyDescent="0.2">
      <c r="A231" s="628">
        <v>3</v>
      </c>
      <c r="B231" s="630"/>
      <c r="C231" s="630"/>
      <c r="E231" s="628">
        <v>3</v>
      </c>
      <c r="F231" s="630"/>
      <c r="G231" s="630"/>
      <c r="I231" s="628">
        <v>3</v>
      </c>
      <c r="J231" s="630"/>
      <c r="K231" s="630"/>
      <c r="M231" s="628">
        <v>3</v>
      </c>
      <c r="N231" s="630"/>
      <c r="O231" s="630"/>
      <c r="Q231" s="628">
        <v>3</v>
      </c>
      <c r="R231" s="630"/>
      <c r="S231" s="630"/>
      <c r="U231" s="628">
        <v>3</v>
      </c>
      <c r="V231" s="630"/>
      <c r="W231" s="630"/>
    </row>
    <row r="232" spans="1:23" ht="33.75" customHeight="1" x14ac:dyDescent="0.2">
      <c r="A232" s="628">
        <v>2</v>
      </c>
      <c r="B232" s="630"/>
      <c r="C232" s="630"/>
      <c r="E232" s="628">
        <v>2</v>
      </c>
      <c r="F232" s="630"/>
      <c r="G232" s="630"/>
      <c r="I232" s="628">
        <v>2</v>
      </c>
      <c r="J232" s="630"/>
      <c r="K232" s="630"/>
      <c r="M232" s="628">
        <v>2</v>
      </c>
      <c r="N232" s="630"/>
      <c r="O232" s="630"/>
      <c r="Q232" s="628">
        <v>2</v>
      </c>
      <c r="R232" s="630"/>
      <c r="S232" s="630"/>
      <c r="U232" s="628">
        <v>2</v>
      </c>
      <c r="V232" s="630"/>
      <c r="W232" s="630"/>
    </row>
    <row r="233" spans="1:23" ht="33.75" customHeight="1" x14ac:dyDescent="0.2">
      <c r="A233" s="628">
        <v>1</v>
      </c>
      <c r="B233" s="630"/>
      <c r="C233" s="630"/>
      <c r="E233" s="628">
        <v>1</v>
      </c>
      <c r="F233" s="630"/>
      <c r="G233" s="630"/>
      <c r="I233" s="628">
        <v>1</v>
      </c>
      <c r="J233" s="630"/>
      <c r="K233" s="630"/>
      <c r="M233" s="628">
        <v>1</v>
      </c>
      <c r="N233" s="630"/>
      <c r="O233" s="630"/>
      <c r="Q233" s="628">
        <v>1</v>
      </c>
      <c r="R233" s="630"/>
      <c r="S233" s="630"/>
      <c r="U233" s="628">
        <v>1</v>
      </c>
      <c r="V233" s="630"/>
      <c r="W233" s="630"/>
    </row>
    <row r="234" spans="1:23" ht="33.75" customHeight="1" x14ac:dyDescent="0.2">
      <c r="A234" s="628" t="s">
        <v>982</v>
      </c>
      <c r="B234" s="630"/>
      <c r="C234" s="630"/>
      <c r="E234" s="628" t="s">
        <v>982</v>
      </c>
      <c r="F234" s="630"/>
      <c r="G234" s="630"/>
      <c r="I234" s="628" t="s">
        <v>982</v>
      </c>
      <c r="J234" s="630"/>
      <c r="K234" s="630"/>
      <c r="M234" s="628" t="s">
        <v>982</v>
      </c>
      <c r="N234" s="630"/>
      <c r="O234" s="630"/>
      <c r="Q234" s="628" t="s">
        <v>982</v>
      </c>
      <c r="R234" s="630"/>
      <c r="S234" s="630"/>
      <c r="U234" s="628" t="s">
        <v>982</v>
      </c>
      <c r="V234" s="630"/>
      <c r="W234" s="630"/>
    </row>
    <row r="235" spans="1:23" ht="33.75" customHeight="1" x14ac:dyDescent="0.2">
      <c r="A235" s="629" t="s">
        <v>981</v>
      </c>
      <c r="B235" s="630"/>
      <c r="C235" s="631" t="s">
        <v>984</v>
      </c>
      <c r="E235" s="629" t="s">
        <v>981</v>
      </c>
      <c r="F235" s="630"/>
      <c r="G235" s="631" t="s">
        <v>984</v>
      </c>
      <c r="I235" s="629" t="s">
        <v>981</v>
      </c>
      <c r="J235" s="630"/>
      <c r="K235" s="631" t="s">
        <v>984</v>
      </c>
      <c r="M235" s="629" t="s">
        <v>981</v>
      </c>
      <c r="N235" s="630"/>
      <c r="O235" s="631" t="s">
        <v>984</v>
      </c>
      <c r="Q235" s="629" t="s">
        <v>981</v>
      </c>
      <c r="R235" s="630"/>
      <c r="S235" s="631" t="s">
        <v>984</v>
      </c>
      <c r="U235" s="629" t="s">
        <v>981</v>
      </c>
      <c r="V235" s="630"/>
      <c r="W235" s="631" t="s">
        <v>984</v>
      </c>
    </row>
    <row r="236" spans="1:23" ht="48" customHeight="1" x14ac:dyDescent="0.25">
      <c r="A236" s="637"/>
      <c r="B236" s="629" t="s">
        <v>983</v>
      </c>
      <c r="C236" s="636"/>
      <c r="E236" s="637" t="s">
        <v>985</v>
      </c>
      <c r="F236" s="632" t="s">
        <v>983</v>
      </c>
      <c r="G236" s="633"/>
      <c r="I236" s="637" t="s">
        <v>985</v>
      </c>
      <c r="J236" s="632" t="s">
        <v>983</v>
      </c>
      <c r="K236" s="633"/>
      <c r="M236" s="637" t="s">
        <v>985</v>
      </c>
      <c r="N236" s="632" t="s">
        <v>983</v>
      </c>
      <c r="O236" s="633"/>
      <c r="Q236" s="637" t="s">
        <v>985</v>
      </c>
      <c r="R236" s="632" t="s">
        <v>983</v>
      </c>
      <c r="S236" s="633"/>
      <c r="U236" s="637" t="s">
        <v>985</v>
      </c>
      <c r="V236" s="632" t="s">
        <v>983</v>
      </c>
      <c r="W236" s="633"/>
    </row>
    <row r="237" spans="1:23" ht="51" customHeight="1" x14ac:dyDescent="0.2">
      <c r="A237" s="634"/>
      <c r="B237" s="634"/>
      <c r="C237" s="634"/>
      <c r="E237" s="1115" t="s">
        <v>986</v>
      </c>
      <c r="F237" s="1115"/>
      <c r="G237" s="635"/>
      <c r="I237" s="1115" t="s">
        <v>986</v>
      </c>
      <c r="J237" s="1115"/>
      <c r="K237" s="635"/>
      <c r="M237" s="1115" t="s">
        <v>986</v>
      </c>
      <c r="N237" s="1115"/>
      <c r="O237" s="635"/>
      <c r="Q237" s="1115" t="s">
        <v>986</v>
      </c>
      <c r="R237" s="1115"/>
      <c r="S237" s="635"/>
      <c r="U237" s="1228" t="s">
        <v>987</v>
      </c>
      <c r="V237" s="1229"/>
      <c r="W237" s="635"/>
    </row>
    <row r="238" spans="1:23" ht="13.5" customHeight="1" thickBot="1" x14ac:dyDescent="0.25"/>
    <row r="239" spans="1:23" ht="72" customHeight="1" thickBot="1" x14ac:dyDescent="0.25">
      <c r="E239" s="707" t="s">
        <v>1007</v>
      </c>
      <c r="F239" s="639"/>
      <c r="G239" s="639"/>
      <c r="H239" s="639"/>
      <c r="I239" s="639"/>
      <c r="J239" s="640"/>
      <c r="M239" s="708" t="s">
        <v>1008</v>
      </c>
      <c r="N239" s="639"/>
      <c r="O239" s="639"/>
      <c r="P239" s="639"/>
      <c r="Q239" s="640"/>
      <c r="S239" s="1219" t="s">
        <v>988</v>
      </c>
      <c r="T239" s="1219"/>
      <c r="U239" s="1219"/>
      <c r="V239" s="1220"/>
      <c r="W239" s="1221"/>
    </row>
    <row r="240" spans="1:23" ht="34.5" customHeight="1" x14ac:dyDescent="0.2"/>
    <row r="241" spans="1:23" ht="6.75" customHeight="1" x14ac:dyDescent="0.2">
      <c r="Q241" s="1193" t="str">
        <f>CATEG_IMPORTEE</f>
        <v>Collèges Mixtes Etablissement</v>
      </c>
      <c r="R241" s="1193"/>
      <c r="S241" s="1193"/>
      <c r="T241" s="1193"/>
      <c r="U241" s="1193"/>
      <c r="V241" s="1193"/>
      <c r="W241" s="1193"/>
    </row>
    <row r="242" spans="1:23" s="218" customFormat="1" ht="33.75" x14ac:dyDescent="0.2">
      <c r="A242" s="1207" t="s">
        <v>628</v>
      </c>
      <c r="B242" s="1207"/>
      <c r="C242" s="645">
        <f>C212+1</f>
        <v>9</v>
      </c>
      <c r="E242" s="1208" t="str">
        <f>Championnat</f>
        <v>Championnat de France de Tir à l'ARC</v>
      </c>
      <c r="F242" s="1208"/>
      <c r="G242" s="1208"/>
      <c r="H242" s="1208"/>
      <c r="I242" s="1208"/>
      <c r="J242" s="1208"/>
      <c r="K242" s="1208"/>
      <c r="L242" s="1208"/>
      <c r="M242" s="1208"/>
      <c r="N242" s="1208"/>
      <c r="O242" s="1208"/>
      <c r="Q242" s="1193"/>
      <c r="R242" s="1193"/>
      <c r="S242" s="1193"/>
      <c r="T242" s="1193"/>
      <c r="U242" s="1193"/>
      <c r="V242" s="1193"/>
      <c r="W242" s="1193"/>
    </row>
    <row r="243" spans="1:23" ht="27" customHeight="1" x14ac:dyDescent="0.2">
      <c r="Q243" s="1211" t="str">
        <f>LIEU&amp;" du "&amp;DATE</f>
        <v>L’Isle sur la Sorgue du 27 au 31 mars 2023</v>
      </c>
      <c r="R243" s="1211"/>
      <c r="S243" s="1211"/>
      <c r="T243" s="1211"/>
      <c r="U243" s="1211"/>
      <c r="V243" s="1211"/>
      <c r="W243" s="1211"/>
    </row>
    <row r="244" spans="1:23" ht="19.5" customHeight="1" thickBot="1" x14ac:dyDescent="0.25">
      <c r="E244" s="1212" t="s">
        <v>0</v>
      </c>
      <c r="F244" s="1212"/>
      <c r="G244" s="1212"/>
      <c r="H244" s="1212"/>
      <c r="I244" s="1212"/>
      <c r="J244" s="1212"/>
      <c r="K244" s="1212"/>
      <c r="L244" s="641"/>
      <c r="M244" s="1212" t="s">
        <v>375</v>
      </c>
      <c r="N244" s="1212"/>
      <c r="O244" s="1212"/>
      <c r="P244" s="1212"/>
      <c r="Q244" s="1212"/>
      <c r="S244" s="1212" t="s">
        <v>374</v>
      </c>
      <c r="T244" s="1212"/>
      <c r="U244" s="1212"/>
      <c r="V244" s="1212"/>
      <c r="W244" s="1212"/>
    </row>
    <row r="245" spans="1:23" ht="36.75" customHeight="1" thickBot="1" x14ac:dyDescent="0.25">
      <c r="E245" s="1213" t="e">
        <f>VLOOKUP(E248,ID_archer_cible,2,FALSE)</f>
        <v>#N/A</v>
      </c>
      <c r="F245" s="1214"/>
      <c r="G245" s="1214"/>
      <c r="H245" s="1214"/>
      <c r="I245" s="1214"/>
      <c r="J245" s="1214"/>
      <c r="K245" s="1215"/>
      <c r="L245" s="641"/>
      <c r="M245" s="1216" t="e">
        <f>"("&amp;VLOOKUP(E248,ID_archer_cible,3,FALSE)&amp;")"</f>
        <v>#N/A</v>
      </c>
      <c r="N245" s="1217"/>
      <c r="O245" s="1217"/>
      <c r="P245" s="1217"/>
      <c r="Q245" s="1217"/>
      <c r="R245" s="1218"/>
      <c r="S245" s="1185" t="e">
        <f>VLOOKUP(E248,ID_archer_cible,4,FALSE)</f>
        <v>#N/A</v>
      </c>
      <c r="T245" s="1186"/>
      <c r="U245" s="1186"/>
      <c r="V245" s="1186"/>
      <c r="W245" s="1187"/>
    </row>
    <row r="246" spans="1:23" ht="17.25" customHeight="1" x14ac:dyDescent="0.2"/>
    <row r="247" spans="1:23" ht="23.25" customHeight="1" thickBot="1" x14ac:dyDescent="0.25">
      <c r="A247" s="638" t="s">
        <v>906</v>
      </c>
      <c r="E247" s="508" t="s">
        <v>552</v>
      </c>
      <c r="F247" s="571" t="s">
        <v>893</v>
      </c>
      <c r="G247" s="1202" t="s">
        <v>550</v>
      </c>
      <c r="H247" s="1202"/>
      <c r="I247" s="571" t="s">
        <v>905</v>
      </c>
      <c r="J247" s="709" t="s">
        <v>551</v>
      </c>
      <c r="N247" s="508" t="s">
        <v>552</v>
      </c>
      <c r="O247" s="571" t="s">
        <v>893</v>
      </c>
      <c r="P247" s="1202" t="s">
        <v>550</v>
      </c>
      <c r="Q247" s="1202"/>
      <c r="R247" s="571" t="s">
        <v>905</v>
      </c>
      <c r="S247" s="709" t="s">
        <v>551</v>
      </c>
    </row>
    <row r="248" spans="1:23" ht="23.25" customHeight="1" thickTop="1" x14ac:dyDescent="0.2">
      <c r="A248" s="710" t="e">
        <f>VLOOKUP(E248,ID_archer_cible,5,FALSE)&amp;"    "&amp;VLOOKUP(E248,ID_archer_cible,6,FALSE)</f>
        <v>#N/A</v>
      </c>
      <c r="B248" s="711"/>
      <c r="C248" s="711"/>
      <c r="D248" s="712"/>
      <c r="E248" s="713" t="str">
        <f>C242&amp;"A"</f>
        <v>9A</v>
      </c>
      <c r="F248" s="714" t="e">
        <f>VLOOKUP(E248,ID_archer_cible,9,FALSE)</f>
        <v>#N/A</v>
      </c>
      <c r="G248" s="1209" t="e">
        <f>VLOOKUP(E248,ID_archer_cible,8,FALSE)</f>
        <v>#N/A</v>
      </c>
      <c r="H248" s="1209"/>
      <c r="I248" s="715" t="e">
        <f>VLOOKUP(E248,ID_archer_cible,7,FALSE)</f>
        <v>#N/A</v>
      </c>
      <c r="J248" s="716" t="e">
        <f>VLOOKUP(E248,ID_archer_cible,10,FALSE)</f>
        <v>#N/A</v>
      </c>
      <c r="K248" s="710" t="e">
        <f>VLOOKUP(N248,ID_archer_cible,5,FALSE)&amp;"    "&amp;VLOOKUP(N248,ID_archer_cible,6,FALSE)</f>
        <v>#N/A</v>
      </c>
      <c r="L248" s="722"/>
      <c r="M248" s="723"/>
      <c r="N248" s="714" t="str">
        <f>C242&amp;"C"</f>
        <v>9C</v>
      </c>
      <c r="O248" s="714" t="e">
        <f>VLOOKUP(N248,ID_archer_cible,9,FALSE)</f>
        <v>#N/A</v>
      </c>
      <c r="P248" s="1203" t="e">
        <f>VLOOKUP(N248,ID_archer_cible,8,FALSE)</f>
        <v>#N/A</v>
      </c>
      <c r="Q248" s="1204"/>
      <c r="R248" s="724" t="e">
        <f>VLOOKUP(N248,ID_archer_cible,7,FALSE)</f>
        <v>#N/A</v>
      </c>
      <c r="S248" s="716" t="e">
        <f>VLOOKUP(N248,ID_archer_cible,10,FALSE)</f>
        <v>#N/A</v>
      </c>
    </row>
    <row r="249" spans="1:23" ht="23.25" customHeight="1" thickBot="1" x14ac:dyDescent="0.25">
      <c r="A249" s="717" t="e">
        <f>VLOOKUP(E249,ID_archer_cible,5,FALSE)&amp;"    "&amp;VLOOKUP(E249,ID_archer_cible,6,FALSE)</f>
        <v>#N/A</v>
      </c>
      <c r="B249" s="718"/>
      <c r="C249" s="718"/>
      <c r="D249" s="719"/>
      <c r="E249" s="696" t="str">
        <f>C242&amp;"B"</f>
        <v>9B</v>
      </c>
      <c r="F249" s="720" t="e">
        <f>VLOOKUP(E249,ID_archer_cible,9,FALSE)</f>
        <v>#N/A</v>
      </c>
      <c r="G249" s="1210" t="e">
        <f>VLOOKUP(E249,ID_archer_cible,8,FALSE)</f>
        <v>#N/A</v>
      </c>
      <c r="H249" s="1210"/>
      <c r="I249" s="721" t="e">
        <f>VLOOKUP(E249,ID_archer_cible,7,FALSE)</f>
        <v>#N/A</v>
      </c>
      <c r="J249" s="700" t="e">
        <f>VLOOKUP(E249,ID_archer_cible,10,FALSE)</f>
        <v>#N/A</v>
      </c>
      <c r="K249" s="717" t="e">
        <f>VLOOKUP(N249,ID_archer_cible,5,FALSE)&amp;"    "&amp;VLOOKUP(N249,ID_archer_cible,6,FALSE)</f>
        <v>#N/A</v>
      </c>
      <c r="L249" s="725"/>
      <c r="M249" s="726"/>
      <c r="N249" s="720" t="str">
        <f>C242&amp;"D"</f>
        <v>9D</v>
      </c>
      <c r="O249" s="720" t="e">
        <f>VLOOKUP(N249,ID_archer_cible,9,FALSE)</f>
        <v>#N/A</v>
      </c>
      <c r="P249" s="1205" t="e">
        <f>VLOOKUP(N249,ID_archer_cible,8,FALSE)</f>
        <v>#N/A</v>
      </c>
      <c r="Q249" s="1206"/>
      <c r="R249" s="727" t="e">
        <f>VLOOKUP(N249,ID_archer_cible,7,FALSE)</f>
        <v>#N/A</v>
      </c>
      <c r="S249" s="700" t="e">
        <f>VLOOKUP(N249,ID_archer_cible,10,FALSE)</f>
        <v>#N/A</v>
      </c>
    </row>
    <row r="250" spans="1:23" ht="15" customHeight="1" thickTop="1" x14ac:dyDescent="0.2"/>
    <row r="251" spans="1:23" ht="15" customHeight="1" thickBot="1" x14ac:dyDescent="0.25"/>
    <row r="252" spans="1:23" ht="33.75" customHeight="1" thickBot="1" x14ac:dyDescent="0.25">
      <c r="A252" s="1222" t="s">
        <v>909</v>
      </c>
      <c r="B252" s="1223"/>
      <c r="C252" s="1224"/>
      <c r="E252" s="1225" t="s">
        <v>910</v>
      </c>
      <c r="F252" s="1226"/>
      <c r="G252" s="1227"/>
      <c r="I252" s="1222" t="s">
        <v>911</v>
      </c>
      <c r="J252" s="1223"/>
      <c r="K252" s="1224"/>
      <c r="M252" s="1222" t="s">
        <v>912</v>
      </c>
      <c r="N252" s="1223"/>
      <c r="O252" s="1224"/>
      <c r="Q252" s="1222" t="s">
        <v>913</v>
      </c>
      <c r="R252" s="1223"/>
      <c r="S252" s="1224"/>
      <c r="U252" s="1222" t="s">
        <v>916</v>
      </c>
      <c r="V252" s="1223"/>
      <c r="W252" s="1224"/>
    </row>
    <row r="253" spans="1:23" ht="33.75" customHeight="1" x14ac:dyDescent="0.2">
      <c r="A253" s="642" t="s">
        <v>980</v>
      </c>
      <c r="B253" s="643" t="s">
        <v>981</v>
      </c>
      <c r="C253" s="644" t="s">
        <v>780</v>
      </c>
      <c r="E253" s="642" t="s">
        <v>980</v>
      </c>
      <c r="F253" s="643" t="s">
        <v>981</v>
      </c>
      <c r="G253" s="644" t="s">
        <v>780</v>
      </c>
      <c r="I253" s="642" t="s">
        <v>980</v>
      </c>
      <c r="J253" s="643" t="s">
        <v>981</v>
      </c>
      <c r="K253" s="644" t="s">
        <v>780</v>
      </c>
      <c r="M253" s="642" t="s">
        <v>980</v>
      </c>
      <c r="N253" s="643" t="s">
        <v>981</v>
      </c>
      <c r="O253" s="644" t="s">
        <v>780</v>
      </c>
      <c r="Q253" s="642" t="s">
        <v>980</v>
      </c>
      <c r="R253" s="643" t="s">
        <v>981</v>
      </c>
      <c r="S253" s="644" t="s">
        <v>780</v>
      </c>
      <c r="U253" s="642" t="s">
        <v>980</v>
      </c>
      <c r="V253" s="643" t="s">
        <v>981</v>
      </c>
      <c r="W253" s="644" t="s">
        <v>780</v>
      </c>
    </row>
    <row r="254" spans="1:23" ht="33.75" customHeight="1" x14ac:dyDescent="0.2">
      <c r="A254" s="628">
        <v>10</v>
      </c>
      <c r="B254" s="630"/>
      <c r="C254" s="630"/>
      <c r="E254" s="628">
        <v>10</v>
      </c>
      <c r="F254" s="630"/>
      <c r="G254" s="630"/>
      <c r="I254" s="628">
        <v>10</v>
      </c>
      <c r="J254" s="630"/>
      <c r="K254" s="630"/>
      <c r="M254" s="628">
        <v>10</v>
      </c>
      <c r="N254" s="630"/>
      <c r="O254" s="630"/>
      <c r="Q254" s="628">
        <v>10</v>
      </c>
      <c r="R254" s="630"/>
      <c r="S254" s="630"/>
      <c r="U254" s="628">
        <v>10</v>
      </c>
      <c r="V254" s="630"/>
      <c r="W254" s="630"/>
    </row>
    <row r="255" spans="1:23" ht="33.75" customHeight="1" x14ac:dyDescent="0.2">
      <c r="A255" s="628">
        <v>9</v>
      </c>
      <c r="B255" s="630"/>
      <c r="C255" s="630"/>
      <c r="E255" s="628">
        <v>9</v>
      </c>
      <c r="F255" s="630"/>
      <c r="G255" s="630"/>
      <c r="I255" s="628">
        <v>9</v>
      </c>
      <c r="J255" s="630"/>
      <c r="K255" s="630"/>
      <c r="M255" s="628">
        <v>9</v>
      </c>
      <c r="N255" s="630"/>
      <c r="O255" s="630"/>
      <c r="Q255" s="628">
        <v>9</v>
      </c>
      <c r="R255" s="630"/>
      <c r="S255" s="630"/>
      <c r="U255" s="628">
        <v>9</v>
      </c>
      <c r="V255" s="630"/>
      <c r="W255" s="630"/>
    </row>
    <row r="256" spans="1:23" ht="33.75" customHeight="1" x14ac:dyDescent="0.2">
      <c r="A256" s="628">
        <v>8</v>
      </c>
      <c r="B256" s="630"/>
      <c r="C256" s="630"/>
      <c r="E256" s="628">
        <v>8</v>
      </c>
      <c r="F256" s="630"/>
      <c r="G256" s="630"/>
      <c r="I256" s="628">
        <v>8</v>
      </c>
      <c r="J256" s="630"/>
      <c r="K256" s="630"/>
      <c r="M256" s="628">
        <v>8</v>
      </c>
      <c r="N256" s="630"/>
      <c r="O256" s="630"/>
      <c r="Q256" s="628">
        <v>8</v>
      </c>
      <c r="R256" s="630"/>
      <c r="S256" s="630"/>
      <c r="U256" s="628">
        <v>8</v>
      </c>
      <c r="V256" s="630"/>
      <c r="W256" s="630"/>
    </row>
    <row r="257" spans="1:23" ht="33.75" customHeight="1" x14ac:dyDescent="0.2">
      <c r="A257" s="628">
        <v>7</v>
      </c>
      <c r="B257" s="630"/>
      <c r="C257" s="630"/>
      <c r="E257" s="628">
        <v>7</v>
      </c>
      <c r="F257" s="630"/>
      <c r="G257" s="630"/>
      <c r="I257" s="628">
        <v>7</v>
      </c>
      <c r="J257" s="630"/>
      <c r="K257" s="630"/>
      <c r="M257" s="628">
        <v>7</v>
      </c>
      <c r="N257" s="630"/>
      <c r="O257" s="630"/>
      <c r="Q257" s="628">
        <v>7</v>
      </c>
      <c r="R257" s="630"/>
      <c r="S257" s="630"/>
      <c r="U257" s="628">
        <v>7</v>
      </c>
      <c r="V257" s="630"/>
      <c r="W257" s="630"/>
    </row>
    <row r="258" spans="1:23" ht="33.75" customHeight="1" x14ac:dyDescent="0.2">
      <c r="A258" s="628">
        <v>6</v>
      </c>
      <c r="B258" s="630"/>
      <c r="C258" s="630"/>
      <c r="E258" s="628">
        <v>6</v>
      </c>
      <c r="F258" s="630"/>
      <c r="G258" s="630"/>
      <c r="I258" s="628">
        <v>6</v>
      </c>
      <c r="J258" s="630"/>
      <c r="K258" s="630"/>
      <c r="M258" s="628">
        <v>6</v>
      </c>
      <c r="N258" s="630"/>
      <c r="O258" s="630"/>
      <c r="Q258" s="628">
        <v>6</v>
      </c>
      <c r="R258" s="630"/>
      <c r="S258" s="630"/>
      <c r="U258" s="628">
        <v>6</v>
      </c>
      <c r="V258" s="630"/>
      <c r="W258" s="630"/>
    </row>
    <row r="259" spans="1:23" ht="33.75" customHeight="1" x14ac:dyDescent="0.2">
      <c r="A259" s="628">
        <v>5</v>
      </c>
      <c r="B259" s="630"/>
      <c r="C259" s="630"/>
      <c r="E259" s="628">
        <v>5</v>
      </c>
      <c r="F259" s="630"/>
      <c r="G259" s="630"/>
      <c r="I259" s="628">
        <v>5</v>
      </c>
      <c r="J259" s="630"/>
      <c r="K259" s="630"/>
      <c r="M259" s="628">
        <v>5</v>
      </c>
      <c r="N259" s="630"/>
      <c r="O259" s="630"/>
      <c r="Q259" s="628">
        <v>5</v>
      </c>
      <c r="R259" s="630"/>
      <c r="S259" s="630"/>
      <c r="U259" s="628">
        <v>5</v>
      </c>
      <c r="V259" s="630"/>
      <c r="W259" s="630"/>
    </row>
    <row r="260" spans="1:23" ht="33.75" customHeight="1" x14ac:dyDescent="0.2">
      <c r="A260" s="628">
        <v>4</v>
      </c>
      <c r="B260" s="630"/>
      <c r="C260" s="630"/>
      <c r="E260" s="628">
        <v>4</v>
      </c>
      <c r="F260" s="630"/>
      <c r="G260" s="630"/>
      <c r="I260" s="628">
        <v>4</v>
      </c>
      <c r="J260" s="630"/>
      <c r="K260" s="630"/>
      <c r="M260" s="628">
        <v>4</v>
      </c>
      <c r="N260" s="630"/>
      <c r="O260" s="630"/>
      <c r="Q260" s="628">
        <v>4</v>
      </c>
      <c r="R260" s="630"/>
      <c r="S260" s="630"/>
      <c r="U260" s="628">
        <v>4</v>
      </c>
      <c r="V260" s="630"/>
      <c r="W260" s="630"/>
    </row>
    <row r="261" spans="1:23" ht="33.75" customHeight="1" x14ac:dyDescent="0.2">
      <c r="A261" s="628">
        <v>3</v>
      </c>
      <c r="B261" s="630"/>
      <c r="C261" s="630"/>
      <c r="E261" s="628">
        <v>3</v>
      </c>
      <c r="F261" s="630"/>
      <c r="G261" s="630"/>
      <c r="I261" s="628">
        <v>3</v>
      </c>
      <c r="J261" s="630"/>
      <c r="K261" s="630"/>
      <c r="M261" s="628">
        <v>3</v>
      </c>
      <c r="N261" s="630"/>
      <c r="O261" s="630"/>
      <c r="Q261" s="628">
        <v>3</v>
      </c>
      <c r="R261" s="630"/>
      <c r="S261" s="630"/>
      <c r="U261" s="628">
        <v>3</v>
      </c>
      <c r="V261" s="630"/>
      <c r="W261" s="630"/>
    </row>
    <row r="262" spans="1:23" ht="33.75" customHeight="1" x14ac:dyDescent="0.2">
      <c r="A262" s="628">
        <v>2</v>
      </c>
      <c r="B262" s="630"/>
      <c r="C262" s="630"/>
      <c r="E262" s="628">
        <v>2</v>
      </c>
      <c r="F262" s="630"/>
      <c r="G262" s="630"/>
      <c r="I262" s="628">
        <v>2</v>
      </c>
      <c r="J262" s="630"/>
      <c r="K262" s="630"/>
      <c r="M262" s="628">
        <v>2</v>
      </c>
      <c r="N262" s="630"/>
      <c r="O262" s="630"/>
      <c r="Q262" s="628">
        <v>2</v>
      </c>
      <c r="R262" s="630"/>
      <c r="S262" s="630"/>
      <c r="U262" s="628">
        <v>2</v>
      </c>
      <c r="V262" s="630"/>
      <c r="W262" s="630"/>
    </row>
    <row r="263" spans="1:23" ht="33.75" customHeight="1" x14ac:dyDescent="0.2">
      <c r="A263" s="628">
        <v>1</v>
      </c>
      <c r="B263" s="630"/>
      <c r="C263" s="630"/>
      <c r="E263" s="628">
        <v>1</v>
      </c>
      <c r="F263" s="630"/>
      <c r="G263" s="630"/>
      <c r="I263" s="628">
        <v>1</v>
      </c>
      <c r="J263" s="630"/>
      <c r="K263" s="630"/>
      <c r="M263" s="628">
        <v>1</v>
      </c>
      <c r="N263" s="630"/>
      <c r="O263" s="630"/>
      <c r="Q263" s="628">
        <v>1</v>
      </c>
      <c r="R263" s="630"/>
      <c r="S263" s="630"/>
      <c r="U263" s="628">
        <v>1</v>
      </c>
      <c r="V263" s="630"/>
      <c r="W263" s="630"/>
    </row>
    <row r="264" spans="1:23" ht="33.75" customHeight="1" x14ac:dyDescent="0.2">
      <c r="A264" s="628" t="s">
        <v>982</v>
      </c>
      <c r="B264" s="630"/>
      <c r="C264" s="630"/>
      <c r="E264" s="628" t="s">
        <v>982</v>
      </c>
      <c r="F264" s="630"/>
      <c r="G264" s="630"/>
      <c r="I264" s="628" t="s">
        <v>982</v>
      </c>
      <c r="J264" s="630"/>
      <c r="K264" s="630"/>
      <c r="M264" s="628" t="s">
        <v>982</v>
      </c>
      <c r="N264" s="630"/>
      <c r="O264" s="630"/>
      <c r="Q264" s="628" t="s">
        <v>982</v>
      </c>
      <c r="R264" s="630"/>
      <c r="S264" s="630"/>
      <c r="U264" s="628" t="s">
        <v>982</v>
      </c>
      <c r="V264" s="630"/>
      <c r="W264" s="630"/>
    </row>
    <row r="265" spans="1:23" ht="33.75" customHeight="1" x14ac:dyDescent="0.2">
      <c r="A265" s="629" t="s">
        <v>981</v>
      </c>
      <c r="B265" s="630"/>
      <c r="C265" s="631" t="s">
        <v>984</v>
      </c>
      <c r="E265" s="629" t="s">
        <v>981</v>
      </c>
      <c r="F265" s="630"/>
      <c r="G265" s="631" t="s">
        <v>984</v>
      </c>
      <c r="I265" s="629" t="s">
        <v>981</v>
      </c>
      <c r="J265" s="630"/>
      <c r="K265" s="631" t="s">
        <v>984</v>
      </c>
      <c r="M265" s="629" t="s">
        <v>981</v>
      </c>
      <c r="N265" s="630"/>
      <c r="O265" s="631" t="s">
        <v>984</v>
      </c>
      <c r="Q265" s="629" t="s">
        <v>981</v>
      </c>
      <c r="R265" s="630"/>
      <c r="S265" s="631" t="s">
        <v>984</v>
      </c>
      <c r="U265" s="629" t="s">
        <v>981</v>
      </c>
      <c r="V265" s="630"/>
      <c r="W265" s="631" t="s">
        <v>984</v>
      </c>
    </row>
    <row r="266" spans="1:23" ht="48" customHeight="1" x14ac:dyDescent="0.25">
      <c r="A266" s="637"/>
      <c r="B266" s="629" t="s">
        <v>983</v>
      </c>
      <c r="C266" s="636"/>
      <c r="E266" s="637" t="s">
        <v>985</v>
      </c>
      <c r="F266" s="632" t="s">
        <v>983</v>
      </c>
      <c r="G266" s="633"/>
      <c r="I266" s="637" t="s">
        <v>985</v>
      </c>
      <c r="J266" s="632" t="s">
        <v>983</v>
      </c>
      <c r="K266" s="633"/>
      <c r="M266" s="637" t="s">
        <v>985</v>
      </c>
      <c r="N266" s="632" t="s">
        <v>983</v>
      </c>
      <c r="O266" s="633"/>
      <c r="Q266" s="637" t="s">
        <v>985</v>
      </c>
      <c r="R266" s="632" t="s">
        <v>983</v>
      </c>
      <c r="S266" s="633"/>
      <c r="U266" s="637" t="s">
        <v>985</v>
      </c>
      <c r="V266" s="632" t="s">
        <v>983</v>
      </c>
      <c r="W266" s="633"/>
    </row>
    <row r="267" spans="1:23" ht="51" customHeight="1" x14ac:dyDescent="0.2">
      <c r="A267" s="634"/>
      <c r="B267" s="634"/>
      <c r="C267" s="634"/>
      <c r="E267" s="1115" t="s">
        <v>986</v>
      </c>
      <c r="F267" s="1115"/>
      <c r="G267" s="635"/>
      <c r="I267" s="1115" t="s">
        <v>986</v>
      </c>
      <c r="J267" s="1115"/>
      <c r="K267" s="635"/>
      <c r="M267" s="1115" t="s">
        <v>986</v>
      </c>
      <c r="N267" s="1115"/>
      <c r="O267" s="635"/>
      <c r="Q267" s="1115" t="s">
        <v>986</v>
      </c>
      <c r="R267" s="1115"/>
      <c r="S267" s="635"/>
      <c r="U267" s="1228" t="s">
        <v>987</v>
      </c>
      <c r="V267" s="1229"/>
      <c r="W267" s="635"/>
    </row>
    <row r="268" spans="1:23" ht="13.5" customHeight="1" thickBot="1" x14ac:dyDescent="0.25"/>
    <row r="269" spans="1:23" ht="72" customHeight="1" thickBot="1" x14ac:dyDescent="0.25">
      <c r="E269" s="707" t="s">
        <v>1007</v>
      </c>
      <c r="F269" s="639"/>
      <c r="G269" s="639"/>
      <c r="H269" s="639"/>
      <c r="I269" s="639"/>
      <c r="J269" s="640"/>
      <c r="M269" s="708" t="s">
        <v>1008</v>
      </c>
      <c r="N269" s="639"/>
      <c r="O269" s="639"/>
      <c r="P269" s="639"/>
      <c r="Q269" s="640"/>
      <c r="S269" s="1219" t="s">
        <v>988</v>
      </c>
      <c r="T269" s="1219"/>
      <c r="U269" s="1219"/>
      <c r="V269" s="1220"/>
      <c r="W269" s="1221"/>
    </row>
    <row r="270" spans="1:23" ht="34.5" customHeight="1" x14ac:dyDescent="0.2"/>
    <row r="271" spans="1:23" ht="6.75" customHeight="1" x14ac:dyDescent="0.2">
      <c r="Q271" s="1193" t="str">
        <f>CATEG_IMPORTEE</f>
        <v>Collèges Mixtes Etablissement</v>
      </c>
      <c r="R271" s="1193"/>
      <c r="S271" s="1193"/>
      <c r="T271" s="1193"/>
      <c r="U271" s="1193"/>
      <c r="V271" s="1193"/>
      <c r="W271" s="1193"/>
    </row>
    <row r="272" spans="1:23" s="218" customFormat="1" ht="33.75" x14ac:dyDescent="0.2">
      <c r="A272" s="1207" t="s">
        <v>628</v>
      </c>
      <c r="B272" s="1207"/>
      <c r="C272" s="645">
        <f>C242+1</f>
        <v>10</v>
      </c>
      <c r="E272" s="1208" t="str">
        <f>Championnat</f>
        <v>Championnat de France de Tir à l'ARC</v>
      </c>
      <c r="F272" s="1208"/>
      <c r="G272" s="1208"/>
      <c r="H272" s="1208"/>
      <c r="I272" s="1208"/>
      <c r="J272" s="1208"/>
      <c r="K272" s="1208"/>
      <c r="L272" s="1208"/>
      <c r="M272" s="1208"/>
      <c r="N272" s="1208"/>
      <c r="O272" s="1208"/>
      <c r="Q272" s="1193"/>
      <c r="R272" s="1193"/>
      <c r="S272" s="1193"/>
      <c r="T272" s="1193"/>
      <c r="U272" s="1193"/>
      <c r="V272" s="1193"/>
      <c r="W272" s="1193"/>
    </row>
    <row r="273" spans="1:23" ht="27" customHeight="1" x14ac:dyDescent="0.2">
      <c r="Q273" s="1211" t="str">
        <f>LIEU&amp;" du "&amp;DATE</f>
        <v>L’Isle sur la Sorgue du 27 au 31 mars 2023</v>
      </c>
      <c r="R273" s="1211"/>
      <c r="S273" s="1211"/>
      <c r="T273" s="1211"/>
      <c r="U273" s="1211"/>
      <c r="V273" s="1211"/>
      <c r="W273" s="1211"/>
    </row>
    <row r="274" spans="1:23" ht="19.5" customHeight="1" thickBot="1" x14ac:dyDescent="0.25">
      <c r="E274" s="1212" t="s">
        <v>0</v>
      </c>
      <c r="F274" s="1212"/>
      <c r="G274" s="1212"/>
      <c r="H274" s="1212"/>
      <c r="I274" s="1212"/>
      <c r="J274" s="1212"/>
      <c r="K274" s="1212"/>
      <c r="L274" s="641"/>
      <c r="M274" s="1212" t="s">
        <v>375</v>
      </c>
      <c r="N274" s="1212"/>
      <c r="O274" s="1212"/>
      <c r="P274" s="1212"/>
      <c r="Q274" s="1212"/>
      <c r="S274" s="1212" t="s">
        <v>374</v>
      </c>
      <c r="T274" s="1212"/>
      <c r="U274" s="1212"/>
      <c r="V274" s="1212"/>
      <c r="W274" s="1212"/>
    </row>
    <row r="275" spans="1:23" ht="36.75" customHeight="1" thickBot="1" x14ac:dyDescent="0.25">
      <c r="E275" s="1213" t="e">
        <f>VLOOKUP(E278,ID_archer_cible,2,FALSE)</f>
        <v>#N/A</v>
      </c>
      <c r="F275" s="1214"/>
      <c r="G275" s="1214"/>
      <c r="H275" s="1214"/>
      <c r="I275" s="1214"/>
      <c r="J275" s="1214"/>
      <c r="K275" s="1215"/>
      <c r="L275" s="641"/>
      <c r="M275" s="1216" t="e">
        <f>"("&amp;VLOOKUP(E278,ID_archer_cible,3,FALSE)&amp;")"</f>
        <v>#N/A</v>
      </c>
      <c r="N275" s="1217"/>
      <c r="O275" s="1217"/>
      <c r="P275" s="1217"/>
      <c r="Q275" s="1217"/>
      <c r="R275" s="1218"/>
      <c r="S275" s="1185" t="e">
        <f>VLOOKUP(E278,ID_archer_cible,4,FALSE)</f>
        <v>#N/A</v>
      </c>
      <c r="T275" s="1186"/>
      <c r="U275" s="1186"/>
      <c r="V275" s="1186"/>
      <c r="W275" s="1187"/>
    </row>
    <row r="276" spans="1:23" ht="17.25" customHeight="1" x14ac:dyDescent="0.2"/>
    <row r="277" spans="1:23" ht="23.25" customHeight="1" thickBot="1" x14ac:dyDescent="0.25">
      <c r="A277" s="638" t="s">
        <v>906</v>
      </c>
      <c r="E277" s="508" t="s">
        <v>552</v>
      </c>
      <c r="F277" s="571" t="s">
        <v>893</v>
      </c>
      <c r="G277" s="1202" t="s">
        <v>550</v>
      </c>
      <c r="H277" s="1202"/>
      <c r="I277" s="571" t="s">
        <v>905</v>
      </c>
      <c r="J277" s="709" t="s">
        <v>551</v>
      </c>
      <c r="N277" s="508" t="s">
        <v>552</v>
      </c>
      <c r="O277" s="571" t="s">
        <v>893</v>
      </c>
      <c r="P277" s="1202" t="s">
        <v>550</v>
      </c>
      <c r="Q277" s="1202"/>
      <c r="R277" s="571" t="s">
        <v>905</v>
      </c>
      <c r="S277" s="709" t="s">
        <v>551</v>
      </c>
    </row>
    <row r="278" spans="1:23" ht="23.25" customHeight="1" thickTop="1" x14ac:dyDescent="0.2">
      <c r="A278" s="710" t="e">
        <f>VLOOKUP(E278,ID_archer_cible,5,FALSE)&amp;"    "&amp;VLOOKUP(E278,ID_archer_cible,6,FALSE)</f>
        <v>#N/A</v>
      </c>
      <c r="B278" s="711"/>
      <c r="C278" s="711"/>
      <c r="D278" s="712"/>
      <c r="E278" s="713" t="str">
        <f>C272&amp;"A"</f>
        <v>10A</v>
      </c>
      <c r="F278" s="714" t="e">
        <f>VLOOKUP(E278,ID_archer_cible,9,FALSE)</f>
        <v>#N/A</v>
      </c>
      <c r="G278" s="1209" t="e">
        <f>VLOOKUP(E278,ID_archer_cible,8,FALSE)</f>
        <v>#N/A</v>
      </c>
      <c r="H278" s="1209"/>
      <c r="I278" s="715" t="e">
        <f>VLOOKUP(E278,ID_archer_cible,7,FALSE)</f>
        <v>#N/A</v>
      </c>
      <c r="J278" s="716" t="e">
        <f>VLOOKUP(E278,ID_archer_cible,10,FALSE)</f>
        <v>#N/A</v>
      </c>
      <c r="K278" s="710" t="e">
        <f>VLOOKUP(N278,ID_archer_cible,5,FALSE)&amp;"    "&amp;VLOOKUP(N278,ID_archer_cible,6,FALSE)</f>
        <v>#N/A</v>
      </c>
      <c r="L278" s="722"/>
      <c r="M278" s="723"/>
      <c r="N278" s="714" t="str">
        <f>C272&amp;"C"</f>
        <v>10C</v>
      </c>
      <c r="O278" s="714" t="e">
        <f>VLOOKUP(N278,ID_archer_cible,9,FALSE)</f>
        <v>#N/A</v>
      </c>
      <c r="P278" s="1203" t="e">
        <f>VLOOKUP(N278,ID_archer_cible,8,FALSE)</f>
        <v>#N/A</v>
      </c>
      <c r="Q278" s="1204"/>
      <c r="R278" s="724" t="e">
        <f>VLOOKUP(N278,ID_archer_cible,7,FALSE)</f>
        <v>#N/A</v>
      </c>
      <c r="S278" s="716" t="e">
        <f>VLOOKUP(N278,ID_archer_cible,10,FALSE)</f>
        <v>#N/A</v>
      </c>
    </row>
    <row r="279" spans="1:23" ht="23.25" customHeight="1" thickBot="1" x14ac:dyDescent="0.25">
      <c r="A279" s="717" t="e">
        <f>VLOOKUP(E279,ID_archer_cible,5,FALSE)&amp;"    "&amp;VLOOKUP(E279,ID_archer_cible,6,FALSE)</f>
        <v>#N/A</v>
      </c>
      <c r="B279" s="718"/>
      <c r="C279" s="718"/>
      <c r="D279" s="719"/>
      <c r="E279" s="696" t="str">
        <f>C272&amp;"B"</f>
        <v>10B</v>
      </c>
      <c r="F279" s="720" t="e">
        <f>VLOOKUP(E279,ID_archer_cible,9,FALSE)</f>
        <v>#N/A</v>
      </c>
      <c r="G279" s="1210" t="e">
        <f>VLOOKUP(E279,ID_archer_cible,8,FALSE)</f>
        <v>#N/A</v>
      </c>
      <c r="H279" s="1210"/>
      <c r="I279" s="721" t="e">
        <f>VLOOKUP(E279,ID_archer_cible,7,FALSE)</f>
        <v>#N/A</v>
      </c>
      <c r="J279" s="700" t="e">
        <f>VLOOKUP(E279,ID_archer_cible,10,FALSE)</f>
        <v>#N/A</v>
      </c>
      <c r="K279" s="717" t="e">
        <f>VLOOKUP(N279,ID_archer_cible,5,FALSE)&amp;"    "&amp;VLOOKUP(N279,ID_archer_cible,6,FALSE)</f>
        <v>#N/A</v>
      </c>
      <c r="L279" s="725"/>
      <c r="M279" s="726"/>
      <c r="N279" s="720" t="str">
        <f>C272&amp;"D"</f>
        <v>10D</v>
      </c>
      <c r="O279" s="720" t="e">
        <f>VLOOKUP(N279,ID_archer_cible,9,FALSE)</f>
        <v>#N/A</v>
      </c>
      <c r="P279" s="1205" t="e">
        <f>VLOOKUP(N279,ID_archer_cible,8,FALSE)</f>
        <v>#N/A</v>
      </c>
      <c r="Q279" s="1206"/>
      <c r="R279" s="727" t="e">
        <f>VLOOKUP(N279,ID_archer_cible,7,FALSE)</f>
        <v>#N/A</v>
      </c>
      <c r="S279" s="700" t="e">
        <f>VLOOKUP(N279,ID_archer_cible,10,FALSE)</f>
        <v>#N/A</v>
      </c>
    </row>
    <row r="280" spans="1:23" ht="15" customHeight="1" thickTop="1" x14ac:dyDescent="0.2"/>
    <row r="281" spans="1:23" ht="15" customHeight="1" thickBot="1" x14ac:dyDescent="0.25"/>
    <row r="282" spans="1:23" ht="33.75" customHeight="1" thickBot="1" x14ac:dyDescent="0.25">
      <c r="A282" s="1222" t="s">
        <v>909</v>
      </c>
      <c r="B282" s="1223"/>
      <c r="C282" s="1224"/>
      <c r="E282" s="1225" t="s">
        <v>910</v>
      </c>
      <c r="F282" s="1226"/>
      <c r="G282" s="1227"/>
      <c r="I282" s="1222" t="s">
        <v>911</v>
      </c>
      <c r="J282" s="1223"/>
      <c r="K282" s="1224"/>
      <c r="M282" s="1222" t="s">
        <v>912</v>
      </c>
      <c r="N282" s="1223"/>
      <c r="O282" s="1224"/>
      <c r="Q282" s="1222" t="s">
        <v>913</v>
      </c>
      <c r="R282" s="1223"/>
      <c r="S282" s="1224"/>
      <c r="U282" s="1222" t="s">
        <v>916</v>
      </c>
      <c r="V282" s="1223"/>
      <c r="W282" s="1224"/>
    </row>
    <row r="283" spans="1:23" ht="33.75" customHeight="1" x14ac:dyDescent="0.2">
      <c r="A283" s="642" t="s">
        <v>980</v>
      </c>
      <c r="B283" s="643" t="s">
        <v>981</v>
      </c>
      <c r="C283" s="644" t="s">
        <v>780</v>
      </c>
      <c r="E283" s="642" t="s">
        <v>980</v>
      </c>
      <c r="F283" s="643" t="s">
        <v>981</v>
      </c>
      <c r="G283" s="644" t="s">
        <v>780</v>
      </c>
      <c r="I283" s="642" t="s">
        <v>980</v>
      </c>
      <c r="J283" s="643" t="s">
        <v>981</v>
      </c>
      <c r="K283" s="644" t="s">
        <v>780</v>
      </c>
      <c r="M283" s="642" t="s">
        <v>980</v>
      </c>
      <c r="N283" s="643" t="s">
        <v>981</v>
      </c>
      <c r="O283" s="644" t="s">
        <v>780</v>
      </c>
      <c r="Q283" s="642" t="s">
        <v>980</v>
      </c>
      <c r="R283" s="643" t="s">
        <v>981</v>
      </c>
      <c r="S283" s="644" t="s">
        <v>780</v>
      </c>
      <c r="U283" s="642" t="s">
        <v>980</v>
      </c>
      <c r="V283" s="643" t="s">
        <v>981</v>
      </c>
      <c r="W283" s="644" t="s">
        <v>780</v>
      </c>
    </row>
    <row r="284" spans="1:23" ht="33.75" customHeight="1" x14ac:dyDescent="0.2">
      <c r="A284" s="628">
        <v>10</v>
      </c>
      <c r="B284" s="630"/>
      <c r="C284" s="630"/>
      <c r="E284" s="628">
        <v>10</v>
      </c>
      <c r="F284" s="630"/>
      <c r="G284" s="630"/>
      <c r="I284" s="628">
        <v>10</v>
      </c>
      <c r="J284" s="630"/>
      <c r="K284" s="630"/>
      <c r="M284" s="628">
        <v>10</v>
      </c>
      <c r="N284" s="630"/>
      <c r="O284" s="630"/>
      <c r="Q284" s="628">
        <v>10</v>
      </c>
      <c r="R284" s="630"/>
      <c r="S284" s="630"/>
      <c r="U284" s="628">
        <v>10</v>
      </c>
      <c r="V284" s="630"/>
      <c r="W284" s="630"/>
    </row>
    <row r="285" spans="1:23" ht="33.75" customHeight="1" x14ac:dyDescent="0.2">
      <c r="A285" s="628">
        <v>9</v>
      </c>
      <c r="B285" s="630"/>
      <c r="C285" s="630"/>
      <c r="E285" s="628">
        <v>9</v>
      </c>
      <c r="F285" s="630"/>
      <c r="G285" s="630"/>
      <c r="I285" s="628">
        <v>9</v>
      </c>
      <c r="J285" s="630"/>
      <c r="K285" s="630"/>
      <c r="M285" s="628">
        <v>9</v>
      </c>
      <c r="N285" s="630"/>
      <c r="O285" s="630"/>
      <c r="Q285" s="628">
        <v>9</v>
      </c>
      <c r="R285" s="630"/>
      <c r="S285" s="630"/>
      <c r="U285" s="628">
        <v>9</v>
      </c>
      <c r="V285" s="630"/>
      <c r="W285" s="630"/>
    </row>
    <row r="286" spans="1:23" ht="33.75" customHeight="1" x14ac:dyDescent="0.2">
      <c r="A286" s="628">
        <v>8</v>
      </c>
      <c r="B286" s="630"/>
      <c r="C286" s="630"/>
      <c r="E286" s="628">
        <v>8</v>
      </c>
      <c r="F286" s="630"/>
      <c r="G286" s="630"/>
      <c r="I286" s="628">
        <v>8</v>
      </c>
      <c r="J286" s="630"/>
      <c r="K286" s="630"/>
      <c r="M286" s="628">
        <v>8</v>
      </c>
      <c r="N286" s="630"/>
      <c r="O286" s="630"/>
      <c r="Q286" s="628">
        <v>8</v>
      </c>
      <c r="R286" s="630"/>
      <c r="S286" s="630"/>
      <c r="U286" s="628">
        <v>8</v>
      </c>
      <c r="V286" s="630"/>
      <c r="W286" s="630"/>
    </row>
    <row r="287" spans="1:23" ht="33.75" customHeight="1" x14ac:dyDescent="0.2">
      <c r="A287" s="628">
        <v>7</v>
      </c>
      <c r="B287" s="630"/>
      <c r="C287" s="630"/>
      <c r="E287" s="628">
        <v>7</v>
      </c>
      <c r="F287" s="630"/>
      <c r="G287" s="630"/>
      <c r="I287" s="628">
        <v>7</v>
      </c>
      <c r="J287" s="630"/>
      <c r="K287" s="630"/>
      <c r="M287" s="628">
        <v>7</v>
      </c>
      <c r="N287" s="630"/>
      <c r="O287" s="630"/>
      <c r="Q287" s="628">
        <v>7</v>
      </c>
      <c r="R287" s="630"/>
      <c r="S287" s="630"/>
      <c r="U287" s="628">
        <v>7</v>
      </c>
      <c r="V287" s="630"/>
      <c r="W287" s="630"/>
    </row>
    <row r="288" spans="1:23" ht="33.75" customHeight="1" x14ac:dyDescent="0.2">
      <c r="A288" s="628">
        <v>6</v>
      </c>
      <c r="B288" s="630"/>
      <c r="C288" s="630"/>
      <c r="E288" s="628">
        <v>6</v>
      </c>
      <c r="F288" s="630"/>
      <c r="G288" s="630"/>
      <c r="I288" s="628">
        <v>6</v>
      </c>
      <c r="J288" s="630"/>
      <c r="K288" s="630"/>
      <c r="M288" s="628">
        <v>6</v>
      </c>
      <c r="N288" s="630"/>
      <c r="O288" s="630"/>
      <c r="Q288" s="628">
        <v>6</v>
      </c>
      <c r="R288" s="630"/>
      <c r="S288" s="630"/>
      <c r="U288" s="628">
        <v>6</v>
      </c>
      <c r="V288" s="630"/>
      <c r="W288" s="630"/>
    </row>
    <row r="289" spans="1:23" ht="33.75" customHeight="1" x14ac:dyDescent="0.2">
      <c r="A289" s="628">
        <v>5</v>
      </c>
      <c r="B289" s="630"/>
      <c r="C289" s="630"/>
      <c r="E289" s="628">
        <v>5</v>
      </c>
      <c r="F289" s="630"/>
      <c r="G289" s="630"/>
      <c r="I289" s="628">
        <v>5</v>
      </c>
      <c r="J289" s="630"/>
      <c r="K289" s="630"/>
      <c r="M289" s="628">
        <v>5</v>
      </c>
      <c r="N289" s="630"/>
      <c r="O289" s="630"/>
      <c r="Q289" s="628">
        <v>5</v>
      </c>
      <c r="R289" s="630"/>
      <c r="S289" s="630"/>
      <c r="U289" s="628">
        <v>5</v>
      </c>
      <c r="V289" s="630"/>
      <c r="W289" s="630"/>
    </row>
    <row r="290" spans="1:23" ht="33.75" customHeight="1" x14ac:dyDescent="0.2">
      <c r="A290" s="628">
        <v>4</v>
      </c>
      <c r="B290" s="630"/>
      <c r="C290" s="630"/>
      <c r="E290" s="628">
        <v>4</v>
      </c>
      <c r="F290" s="630"/>
      <c r="G290" s="630"/>
      <c r="I290" s="628">
        <v>4</v>
      </c>
      <c r="J290" s="630"/>
      <c r="K290" s="630"/>
      <c r="M290" s="628">
        <v>4</v>
      </c>
      <c r="N290" s="630"/>
      <c r="O290" s="630"/>
      <c r="Q290" s="628">
        <v>4</v>
      </c>
      <c r="R290" s="630"/>
      <c r="S290" s="630"/>
      <c r="U290" s="628">
        <v>4</v>
      </c>
      <c r="V290" s="630"/>
      <c r="W290" s="630"/>
    </row>
    <row r="291" spans="1:23" ht="33.75" customHeight="1" x14ac:dyDescent="0.2">
      <c r="A291" s="628">
        <v>3</v>
      </c>
      <c r="B291" s="630"/>
      <c r="C291" s="630"/>
      <c r="E291" s="628">
        <v>3</v>
      </c>
      <c r="F291" s="630"/>
      <c r="G291" s="630"/>
      <c r="I291" s="628">
        <v>3</v>
      </c>
      <c r="J291" s="630"/>
      <c r="K291" s="630"/>
      <c r="M291" s="628">
        <v>3</v>
      </c>
      <c r="N291" s="630"/>
      <c r="O291" s="630"/>
      <c r="Q291" s="628">
        <v>3</v>
      </c>
      <c r="R291" s="630"/>
      <c r="S291" s="630"/>
      <c r="U291" s="628">
        <v>3</v>
      </c>
      <c r="V291" s="630"/>
      <c r="W291" s="630"/>
    </row>
    <row r="292" spans="1:23" ht="33.75" customHeight="1" x14ac:dyDescent="0.2">
      <c r="A292" s="628">
        <v>2</v>
      </c>
      <c r="B292" s="630"/>
      <c r="C292" s="630"/>
      <c r="E292" s="628">
        <v>2</v>
      </c>
      <c r="F292" s="630"/>
      <c r="G292" s="630"/>
      <c r="I292" s="628">
        <v>2</v>
      </c>
      <c r="J292" s="630"/>
      <c r="K292" s="630"/>
      <c r="M292" s="628">
        <v>2</v>
      </c>
      <c r="N292" s="630"/>
      <c r="O292" s="630"/>
      <c r="Q292" s="628">
        <v>2</v>
      </c>
      <c r="R292" s="630"/>
      <c r="S292" s="630"/>
      <c r="U292" s="628">
        <v>2</v>
      </c>
      <c r="V292" s="630"/>
      <c r="W292" s="630"/>
    </row>
    <row r="293" spans="1:23" ht="33.75" customHeight="1" x14ac:dyDescent="0.2">
      <c r="A293" s="628">
        <v>1</v>
      </c>
      <c r="B293" s="630"/>
      <c r="C293" s="630"/>
      <c r="E293" s="628">
        <v>1</v>
      </c>
      <c r="F293" s="630"/>
      <c r="G293" s="630"/>
      <c r="I293" s="628">
        <v>1</v>
      </c>
      <c r="J293" s="630"/>
      <c r="K293" s="630"/>
      <c r="M293" s="628">
        <v>1</v>
      </c>
      <c r="N293" s="630"/>
      <c r="O293" s="630"/>
      <c r="Q293" s="628">
        <v>1</v>
      </c>
      <c r="R293" s="630"/>
      <c r="S293" s="630"/>
      <c r="U293" s="628">
        <v>1</v>
      </c>
      <c r="V293" s="630"/>
      <c r="W293" s="630"/>
    </row>
    <row r="294" spans="1:23" ht="33.75" customHeight="1" x14ac:dyDescent="0.2">
      <c r="A294" s="628" t="s">
        <v>982</v>
      </c>
      <c r="B294" s="630"/>
      <c r="C294" s="630"/>
      <c r="E294" s="628" t="s">
        <v>982</v>
      </c>
      <c r="F294" s="630"/>
      <c r="G294" s="630"/>
      <c r="I294" s="628" t="s">
        <v>982</v>
      </c>
      <c r="J294" s="630"/>
      <c r="K294" s="630"/>
      <c r="M294" s="628" t="s">
        <v>982</v>
      </c>
      <c r="N294" s="630"/>
      <c r="O294" s="630"/>
      <c r="Q294" s="628" t="s">
        <v>982</v>
      </c>
      <c r="R294" s="630"/>
      <c r="S294" s="630"/>
      <c r="U294" s="628" t="s">
        <v>982</v>
      </c>
      <c r="V294" s="630"/>
      <c r="W294" s="630"/>
    </row>
    <row r="295" spans="1:23" ht="33.75" customHeight="1" x14ac:dyDescent="0.2">
      <c r="A295" s="629" t="s">
        <v>981</v>
      </c>
      <c r="B295" s="630"/>
      <c r="C295" s="631" t="s">
        <v>984</v>
      </c>
      <c r="E295" s="629" t="s">
        <v>981</v>
      </c>
      <c r="F295" s="630"/>
      <c r="G295" s="631" t="s">
        <v>984</v>
      </c>
      <c r="I295" s="629" t="s">
        <v>981</v>
      </c>
      <c r="J295" s="630"/>
      <c r="K295" s="631" t="s">
        <v>984</v>
      </c>
      <c r="M295" s="629" t="s">
        <v>981</v>
      </c>
      <c r="N295" s="630"/>
      <c r="O295" s="631" t="s">
        <v>984</v>
      </c>
      <c r="Q295" s="629" t="s">
        <v>981</v>
      </c>
      <c r="R295" s="630"/>
      <c r="S295" s="631" t="s">
        <v>984</v>
      </c>
      <c r="U295" s="629" t="s">
        <v>981</v>
      </c>
      <c r="V295" s="630"/>
      <c r="W295" s="631" t="s">
        <v>984</v>
      </c>
    </row>
    <row r="296" spans="1:23" ht="48" customHeight="1" x14ac:dyDescent="0.25">
      <c r="A296" s="637"/>
      <c r="B296" s="629" t="s">
        <v>983</v>
      </c>
      <c r="C296" s="636"/>
      <c r="E296" s="637" t="s">
        <v>985</v>
      </c>
      <c r="F296" s="632" t="s">
        <v>983</v>
      </c>
      <c r="G296" s="633"/>
      <c r="I296" s="637" t="s">
        <v>985</v>
      </c>
      <c r="J296" s="632" t="s">
        <v>983</v>
      </c>
      <c r="K296" s="633"/>
      <c r="M296" s="637" t="s">
        <v>985</v>
      </c>
      <c r="N296" s="632" t="s">
        <v>983</v>
      </c>
      <c r="O296" s="633"/>
      <c r="Q296" s="637" t="s">
        <v>985</v>
      </c>
      <c r="R296" s="632" t="s">
        <v>983</v>
      </c>
      <c r="S296" s="633"/>
      <c r="U296" s="637" t="s">
        <v>985</v>
      </c>
      <c r="V296" s="632" t="s">
        <v>983</v>
      </c>
      <c r="W296" s="633"/>
    </row>
    <row r="297" spans="1:23" ht="51" customHeight="1" x14ac:dyDescent="0.2">
      <c r="A297" s="634"/>
      <c r="B297" s="634"/>
      <c r="C297" s="634"/>
      <c r="E297" s="1115" t="s">
        <v>986</v>
      </c>
      <c r="F297" s="1115"/>
      <c r="G297" s="635"/>
      <c r="I297" s="1115" t="s">
        <v>986</v>
      </c>
      <c r="J297" s="1115"/>
      <c r="K297" s="635"/>
      <c r="M297" s="1115" t="s">
        <v>986</v>
      </c>
      <c r="N297" s="1115"/>
      <c r="O297" s="635"/>
      <c r="Q297" s="1115" t="s">
        <v>986</v>
      </c>
      <c r="R297" s="1115"/>
      <c r="S297" s="635"/>
      <c r="U297" s="1228" t="s">
        <v>987</v>
      </c>
      <c r="V297" s="1229"/>
      <c r="W297" s="635"/>
    </row>
    <row r="298" spans="1:23" ht="13.5" customHeight="1" thickBot="1" x14ac:dyDescent="0.25"/>
    <row r="299" spans="1:23" ht="72" customHeight="1" thickBot="1" x14ac:dyDescent="0.25">
      <c r="E299" s="707" t="s">
        <v>1007</v>
      </c>
      <c r="F299" s="639"/>
      <c r="G299" s="639"/>
      <c r="H299" s="639"/>
      <c r="I299" s="639"/>
      <c r="J299" s="640"/>
      <c r="M299" s="708" t="s">
        <v>1008</v>
      </c>
      <c r="N299" s="639"/>
      <c r="O299" s="639"/>
      <c r="P299" s="639"/>
      <c r="Q299" s="640"/>
      <c r="S299" s="1219" t="s">
        <v>988</v>
      </c>
      <c r="T299" s="1219"/>
      <c r="U299" s="1219"/>
      <c r="V299" s="1220"/>
      <c r="W299" s="1221"/>
    </row>
    <row r="300" spans="1:23" ht="34.5" customHeight="1" x14ac:dyDescent="0.2"/>
    <row r="301" spans="1:23" ht="6.75" customHeight="1" x14ac:dyDescent="0.2">
      <c r="Q301" s="1193" t="str">
        <f>CATEG_IMPORTEE</f>
        <v>Collèges Mixtes Etablissement</v>
      </c>
      <c r="R301" s="1193"/>
      <c r="S301" s="1193"/>
      <c r="T301" s="1193"/>
      <c r="U301" s="1193"/>
      <c r="V301" s="1193"/>
      <c r="W301" s="1193"/>
    </row>
    <row r="302" spans="1:23" s="218" customFormat="1" ht="33.75" x14ac:dyDescent="0.2">
      <c r="A302" s="1207" t="s">
        <v>628</v>
      </c>
      <c r="B302" s="1207"/>
      <c r="C302" s="645">
        <f>C272+1</f>
        <v>11</v>
      </c>
      <c r="E302" s="1208" t="str">
        <f>Championnat</f>
        <v>Championnat de France de Tir à l'ARC</v>
      </c>
      <c r="F302" s="1208"/>
      <c r="G302" s="1208"/>
      <c r="H302" s="1208"/>
      <c r="I302" s="1208"/>
      <c r="J302" s="1208"/>
      <c r="K302" s="1208"/>
      <c r="L302" s="1208"/>
      <c r="M302" s="1208"/>
      <c r="N302" s="1208"/>
      <c r="O302" s="1208"/>
      <c r="Q302" s="1193"/>
      <c r="R302" s="1193"/>
      <c r="S302" s="1193"/>
      <c r="T302" s="1193"/>
      <c r="U302" s="1193"/>
      <c r="V302" s="1193"/>
      <c r="W302" s="1193"/>
    </row>
    <row r="303" spans="1:23" ht="27" customHeight="1" x14ac:dyDescent="0.2">
      <c r="Q303" s="1211" t="str">
        <f>LIEU&amp;" du "&amp;DATE</f>
        <v>L’Isle sur la Sorgue du 27 au 31 mars 2023</v>
      </c>
      <c r="R303" s="1211"/>
      <c r="S303" s="1211"/>
      <c r="T303" s="1211"/>
      <c r="U303" s="1211"/>
      <c r="V303" s="1211"/>
      <c r="W303" s="1211"/>
    </row>
    <row r="304" spans="1:23" ht="19.5" customHeight="1" thickBot="1" x14ac:dyDescent="0.25">
      <c r="E304" s="1212" t="s">
        <v>0</v>
      </c>
      <c r="F304" s="1212"/>
      <c r="G304" s="1212"/>
      <c r="H304" s="1212"/>
      <c r="I304" s="1212"/>
      <c r="J304" s="1212"/>
      <c r="K304" s="1212"/>
      <c r="L304" s="641"/>
      <c r="M304" s="1212" t="s">
        <v>375</v>
      </c>
      <c r="N304" s="1212"/>
      <c r="O304" s="1212"/>
      <c r="P304" s="1212"/>
      <c r="Q304" s="1212"/>
      <c r="S304" s="1212" t="s">
        <v>374</v>
      </c>
      <c r="T304" s="1212"/>
      <c r="U304" s="1212"/>
      <c r="V304" s="1212"/>
      <c r="W304" s="1212"/>
    </row>
    <row r="305" spans="1:23" ht="36.75" customHeight="1" thickBot="1" x14ac:dyDescent="0.25">
      <c r="E305" s="1213" t="e">
        <f>VLOOKUP(E308,ID_archer_cible,2,FALSE)</f>
        <v>#N/A</v>
      </c>
      <c r="F305" s="1214"/>
      <c r="G305" s="1214"/>
      <c r="H305" s="1214"/>
      <c r="I305" s="1214"/>
      <c r="J305" s="1214"/>
      <c r="K305" s="1215"/>
      <c r="L305" s="641"/>
      <c r="M305" s="1216" t="e">
        <f>"("&amp;VLOOKUP(E308,ID_archer_cible,3,FALSE)&amp;")"</f>
        <v>#N/A</v>
      </c>
      <c r="N305" s="1217"/>
      <c r="O305" s="1217"/>
      <c r="P305" s="1217"/>
      <c r="Q305" s="1217"/>
      <c r="R305" s="1218"/>
      <c r="S305" s="1185" t="e">
        <f>VLOOKUP(E308,ID_archer_cible,4,FALSE)</f>
        <v>#N/A</v>
      </c>
      <c r="T305" s="1186"/>
      <c r="U305" s="1186"/>
      <c r="V305" s="1186"/>
      <c r="W305" s="1187"/>
    </row>
    <row r="306" spans="1:23" ht="17.25" customHeight="1" x14ac:dyDescent="0.2"/>
    <row r="307" spans="1:23" ht="23.25" customHeight="1" thickBot="1" x14ac:dyDescent="0.25">
      <c r="A307" s="638" t="s">
        <v>906</v>
      </c>
      <c r="E307" s="508" t="s">
        <v>552</v>
      </c>
      <c r="F307" s="571" t="s">
        <v>893</v>
      </c>
      <c r="G307" s="1202" t="s">
        <v>550</v>
      </c>
      <c r="H307" s="1202"/>
      <c r="I307" s="571" t="s">
        <v>905</v>
      </c>
      <c r="J307" s="709" t="s">
        <v>551</v>
      </c>
      <c r="N307" s="508" t="s">
        <v>552</v>
      </c>
      <c r="O307" s="571" t="s">
        <v>893</v>
      </c>
      <c r="P307" s="1202" t="s">
        <v>550</v>
      </c>
      <c r="Q307" s="1202"/>
      <c r="R307" s="571" t="s">
        <v>905</v>
      </c>
      <c r="S307" s="709" t="s">
        <v>551</v>
      </c>
    </row>
    <row r="308" spans="1:23" ht="23.25" customHeight="1" thickTop="1" x14ac:dyDescent="0.2">
      <c r="A308" s="710" t="e">
        <f>VLOOKUP(E308,ID_archer_cible,5,FALSE)&amp;"    "&amp;VLOOKUP(E308,ID_archer_cible,6,FALSE)</f>
        <v>#N/A</v>
      </c>
      <c r="B308" s="711"/>
      <c r="C308" s="711"/>
      <c r="D308" s="712"/>
      <c r="E308" s="713" t="str">
        <f>C302&amp;"A"</f>
        <v>11A</v>
      </c>
      <c r="F308" s="714" t="e">
        <f>VLOOKUP(E308,ID_archer_cible,9,FALSE)</f>
        <v>#N/A</v>
      </c>
      <c r="G308" s="1209" t="e">
        <f>VLOOKUP(E308,ID_archer_cible,8,FALSE)</f>
        <v>#N/A</v>
      </c>
      <c r="H308" s="1209"/>
      <c r="I308" s="715" t="e">
        <f>VLOOKUP(E308,ID_archer_cible,7,FALSE)</f>
        <v>#N/A</v>
      </c>
      <c r="J308" s="716" t="e">
        <f>VLOOKUP(E308,ID_archer_cible,10,FALSE)</f>
        <v>#N/A</v>
      </c>
      <c r="K308" s="710" t="e">
        <f>VLOOKUP(N308,ID_archer_cible,5,FALSE)&amp;"    "&amp;VLOOKUP(N308,ID_archer_cible,6,FALSE)</f>
        <v>#N/A</v>
      </c>
      <c r="L308" s="722"/>
      <c r="M308" s="723"/>
      <c r="N308" s="714" t="str">
        <f>C302&amp;"C"</f>
        <v>11C</v>
      </c>
      <c r="O308" s="714" t="e">
        <f>VLOOKUP(N308,ID_archer_cible,9,FALSE)</f>
        <v>#N/A</v>
      </c>
      <c r="P308" s="1203" t="e">
        <f>VLOOKUP(N308,ID_archer_cible,8,FALSE)</f>
        <v>#N/A</v>
      </c>
      <c r="Q308" s="1204"/>
      <c r="R308" s="724" t="e">
        <f>VLOOKUP(N308,ID_archer_cible,7,FALSE)</f>
        <v>#N/A</v>
      </c>
      <c r="S308" s="716" t="e">
        <f>VLOOKUP(N308,ID_archer_cible,10,FALSE)</f>
        <v>#N/A</v>
      </c>
    </row>
    <row r="309" spans="1:23" ht="23.25" customHeight="1" thickBot="1" x14ac:dyDescent="0.25">
      <c r="A309" s="717" t="e">
        <f>VLOOKUP(E309,ID_archer_cible,5,FALSE)&amp;"    "&amp;VLOOKUP(E309,ID_archer_cible,6,FALSE)</f>
        <v>#N/A</v>
      </c>
      <c r="B309" s="718"/>
      <c r="C309" s="718"/>
      <c r="D309" s="719"/>
      <c r="E309" s="696" t="str">
        <f>C302&amp;"B"</f>
        <v>11B</v>
      </c>
      <c r="F309" s="720" t="e">
        <f>VLOOKUP(E309,ID_archer_cible,9,FALSE)</f>
        <v>#N/A</v>
      </c>
      <c r="G309" s="1210" t="e">
        <f>VLOOKUP(E309,ID_archer_cible,8,FALSE)</f>
        <v>#N/A</v>
      </c>
      <c r="H309" s="1210"/>
      <c r="I309" s="721" t="e">
        <f>VLOOKUP(E309,ID_archer_cible,7,FALSE)</f>
        <v>#N/A</v>
      </c>
      <c r="J309" s="700" t="e">
        <f>VLOOKUP(E309,ID_archer_cible,10,FALSE)</f>
        <v>#N/A</v>
      </c>
      <c r="K309" s="717" t="e">
        <f>VLOOKUP(N309,ID_archer_cible,5,FALSE)&amp;"    "&amp;VLOOKUP(N309,ID_archer_cible,6,FALSE)</f>
        <v>#N/A</v>
      </c>
      <c r="L309" s="725"/>
      <c r="M309" s="726"/>
      <c r="N309" s="720" t="str">
        <f>C302&amp;"D"</f>
        <v>11D</v>
      </c>
      <c r="O309" s="720" t="e">
        <f>VLOOKUP(N309,ID_archer_cible,9,FALSE)</f>
        <v>#N/A</v>
      </c>
      <c r="P309" s="1205" t="e">
        <f>VLOOKUP(N309,ID_archer_cible,8,FALSE)</f>
        <v>#N/A</v>
      </c>
      <c r="Q309" s="1206"/>
      <c r="R309" s="727" t="e">
        <f>VLOOKUP(N309,ID_archer_cible,7,FALSE)</f>
        <v>#N/A</v>
      </c>
      <c r="S309" s="700" t="e">
        <f>VLOOKUP(N309,ID_archer_cible,10,FALSE)</f>
        <v>#N/A</v>
      </c>
    </row>
    <row r="310" spans="1:23" ht="15" customHeight="1" thickTop="1" x14ac:dyDescent="0.2"/>
    <row r="311" spans="1:23" ht="15" customHeight="1" thickBot="1" x14ac:dyDescent="0.25"/>
    <row r="312" spans="1:23" ht="33.75" customHeight="1" thickBot="1" x14ac:dyDescent="0.25">
      <c r="A312" s="1222" t="s">
        <v>909</v>
      </c>
      <c r="B312" s="1223"/>
      <c r="C312" s="1224"/>
      <c r="E312" s="1225" t="s">
        <v>910</v>
      </c>
      <c r="F312" s="1226"/>
      <c r="G312" s="1227"/>
      <c r="I312" s="1222" t="s">
        <v>911</v>
      </c>
      <c r="J312" s="1223"/>
      <c r="K312" s="1224"/>
      <c r="M312" s="1222" t="s">
        <v>912</v>
      </c>
      <c r="N312" s="1223"/>
      <c r="O312" s="1224"/>
      <c r="Q312" s="1222" t="s">
        <v>913</v>
      </c>
      <c r="R312" s="1223"/>
      <c r="S312" s="1224"/>
      <c r="U312" s="1222" t="s">
        <v>916</v>
      </c>
      <c r="V312" s="1223"/>
      <c r="W312" s="1224"/>
    </row>
    <row r="313" spans="1:23" ht="33.75" customHeight="1" x14ac:dyDescent="0.2">
      <c r="A313" s="642" t="s">
        <v>980</v>
      </c>
      <c r="B313" s="643" t="s">
        <v>981</v>
      </c>
      <c r="C313" s="644" t="s">
        <v>780</v>
      </c>
      <c r="E313" s="642" t="s">
        <v>980</v>
      </c>
      <c r="F313" s="643" t="s">
        <v>981</v>
      </c>
      <c r="G313" s="644" t="s">
        <v>780</v>
      </c>
      <c r="I313" s="642" t="s">
        <v>980</v>
      </c>
      <c r="J313" s="643" t="s">
        <v>981</v>
      </c>
      <c r="K313" s="644" t="s">
        <v>780</v>
      </c>
      <c r="M313" s="642" t="s">
        <v>980</v>
      </c>
      <c r="N313" s="643" t="s">
        <v>981</v>
      </c>
      <c r="O313" s="644" t="s">
        <v>780</v>
      </c>
      <c r="Q313" s="642" t="s">
        <v>980</v>
      </c>
      <c r="R313" s="643" t="s">
        <v>981</v>
      </c>
      <c r="S313" s="644" t="s">
        <v>780</v>
      </c>
      <c r="U313" s="642" t="s">
        <v>980</v>
      </c>
      <c r="V313" s="643" t="s">
        <v>981</v>
      </c>
      <c r="W313" s="644" t="s">
        <v>780</v>
      </c>
    </row>
    <row r="314" spans="1:23" ht="33.75" customHeight="1" x14ac:dyDescent="0.2">
      <c r="A314" s="628">
        <v>10</v>
      </c>
      <c r="B314" s="630"/>
      <c r="C314" s="630"/>
      <c r="E314" s="628">
        <v>10</v>
      </c>
      <c r="F314" s="630"/>
      <c r="G314" s="630"/>
      <c r="I314" s="628">
        <v>10</v>
      </c>
      <c r="J314" s="630"/>
      <c r="K314" s="630"/>
      <c r="M314" s="628">
        <v>10</v>
      </c>
      <c r="N314" s="630"/>
      <c r="O314" s="630"/>
      <c r="Q314" s="628">
        <v>10</v>
      </c>
      <c r="R314" s="630"/>
      <c r="S314" s="630"/>
      <c r="U314" s="628">
        <v>10</v>
      </c>
      <c r="V314" s="630"/>
      <c r="W314" s="630"/>
    </row>
    <row r="315" spans="1:23" ht="33.75" customHeight="1" x14ac:dyDescent="0.2">
      <c r="A315" s="628">
        <v>9</v>
      </c>
      <c r="B315" s="630"/>
      <c r="C315" s="630"/>
      <c r="E315" s="628">
        <v>9</v>
      </c>
      <c r="F315" s="630"/>
      <c r="G315" s="630"/>
      <c r="I315" s="628">
        <v>9</v>
      </c>
      <c r="J315" s="630"/>
      <c r="K315" s="630"/>
      <c r="M315" s="628">
        <v>9</v>
      </c>
      <c r="N315" s="630"/>
      <c r="O315" s="630"/>
      <c r="Q315" s="628">
        <v>9</v>
      </c>
      <c r="R315" s="630"/>
      <c r="S315" s="630"/>
      <c r="U315" s="628">
        <v>9</v>
      </c>
      <c r="V315" s="630"/>
      <c r="W315" s="630"/>
    </row>
    <row r="316" spans="1:23" ht="33.75" customHeight="1" x14ac:dyDescent="0.2">
      <c r="A316" s="628">
        <v>8</v>
      </c>
      <c r="B316" s="630"/>
      <c r="C316" s="630"/>
      <c r="E316" s="628">
        <v>8</v>
      </c>
      <c r="F316" s="630"/>
      <c r="G316" s="630"/>
      <c r="I316" s="628">
        <v>8</v>
      </c>
      <c r="J316" s="630"/>
      <c r="K316" s="630"/>
      <c r="M316" s="628">
        <v>8</v>
      </c>
      <c r="N316" s="630"/>
      <c r="O316" s="630"/>
      <c r="Q316" s="628">
        <v>8</v>
      </c>
      <c r="R316" s="630"/>
      <c r="S316" s="630"/>
      <c r="U316" s="628">
        <v>8</v>
      </c>
      <c r="V316" s="630"/>
      <c r="W316" s="630"/>
    </row>
    <row r="317" spans="1:23" ht="33.75" customHeight="1" x14ac:dyDescent="0.2">
      <c r="A317" s="628">
        <v>7</v>
      </c>
      <c r="B317" s="630"/>
      <c r="C317" s="630"/>
      <c r="E317" s="628">
        <v>7</v>
      </c>
      <c r="F317" s="630"/>
      <c r="G317" s="630"/>
      <c r="I317" s="628">
        <v>7</v>
      </c>
      <c r="J317" s="630"/>
      <c r="K317" s="630"/>
      <c r="M317" s="628">
        <v>7</v>
      </c>
      <c r="N317" s="630"/>
      <c r="O317" s="630"/>
      <c r="Q317" s="628">
        <v>7</v>
      </c>
      <c r="R317" s="630"/>
      <c r="S317" s="630"/>
      <c r="U317" s="628">
        <v>7</v>
      </c>
      <c r="V317" s="630"/>
      <c r="W317" s="630"/>
    </row>
    <row r="318" spans="1:23" ht="33.75" customHeight="1" x14ac:dyDescent="0.2">
      <c r="A318" s="628">
        <v>6</v>
      </c>
      <c r="B318" s="630"/>
      <c r="C318" s="630"/>
      <c r="E318" s="628">
        <v>6</v>
      </c>
      <c r="F318" s="630"/>
      <c r="G318" s="630"/>
      <c r="I318" s="628">
        <v>6</v>
      </c>
      <c r="J318" s="630"/>
      <c r="K318" s="630"/>
      <c r="M318" s="628">
        <v>6</v>
      </c>
      <c r="N318" s="630"/>
      <c r="O318" s="630"/>
      <c r="Q318" s="628">
        <v>6</v>
      </c>
      <c r="R318" s="630"/>
      <c r="S318" s="630"/>
      <c r="U318" s="628">
        <v>6</v>
      </c>
      <c r="V318" s="630"/>
      <c r="W318" s="630"/>
    </row>
    <row r="319" spans="1:23" ht="33.75" customHeight="1" x14ac:dyDescent="0.2">
      <c r="A319" s="628">
        <v>5</v>
      </c>
      <c r="B319" s="630"/>
      <c r="C319" s="630"/>
      <c r="E319" s="628">
        <v>5</v>
      </c>
      <c r="F319" s="630"/>
      <c r="G319" s="630"/>
      <c r="I319" s="628">
        <v>5</v>
      </c>
      <c r="J319" s="630"/>
      <c r="K319" s="630"/>
      <c r="M319" s="628">
        <v>5</v>
      </c>
      <c r="N319" s="630"/>
      <c r="O319" s="630"/>
      <c r="Q319" s="628">
        <v>5</v>
      </c>
      <c r="R319" s="630"/>
      <c r="S319" s="630"/>
      <c r="U319" s="628">
        <v>5</v>
      </c>
      <c r="V319" s="630"/>
      <c r="W319" s="630"/>
    </row>
    <row r="320" spans="1:23" ht="33.75" customHeight="1" x14ac:dyDescent="0.2">
      <c r="A320" s="628">
        <v>4</v>
      </c>
      <c r="B320" s="630"/>
      <c r="C320" s="630"/>
      <c r="E320" s="628">
        <v>4</v>
      </c>
      <c r="F320" s="630"/>
      <c r="G320" s="630"/>
      <c r="I320" s="628">
        <v>4</v>
      </c>
      <c r="J320" s="630"/>
      <c r="K320" s="630"/>
      <c r="M320" s="628">
        <v>4</v>
      </c>
      <c r="N320" s="630"/>
      <c r="O320" s="630"/>
      <c r="Q320" s="628">
        <v>4</v>
      </c>
      <c r="R320" s="630"/>
      <c r="S320" s="630"/>
      <c r="U320" s="628">
        <v>4</v>
      </c>
      <c r="V320" s="630"/>
      <c r="W320" s="630"/>
    </row>
    <row r="321" spans="1:23" ht="33.75" customHeight="1" x14ac:dyDescent="0.2">
      <c r="A321" s="628">
        <v>3</v>
      </c>
      <c r="B321" s="630"/>
      <c r="C321" s="630"/>
      <c r="E321" s="628">
        <v>3</v>
      </c>
      <c r="F321" s="630"/>
      <c r="G321" s="630"/>
      <c r="I321" s="628">
        <v>3</v>
      </c>
      <c r="J321" s="630"/>
      <c r="K321" s="630"/>
      <c r="M321" s="628">
        <v>3</v>
      </c>
      <c r="N321" s="630"/>
      <c r="O321" s="630"/>
      <c r="Q321" s="628">
        <v>3</v>
      </c>
      <c r="R321" s="630"/>
      <c r="S321" s="630"/>
      <c r="U321" s="628">
        <v>3</v>
      </c>
      <c r="V321" s="630"/>
      <c r="W321" s="630"/>
    </row>
    <row r="322" spans="1:23" ht="33.75" customHeight="1" x14ac:dyDescent="0.2">
      <c r="A322" s="628">
        <v>2</v>
      </c>
      <c r="B322" s="630"/>
      <c r="C322" s="630"/>
      <c r="E322" s="628">
        <v>2</v>
      </c>
      <c r="F322" s="630"/>
      <c r="G322" s="630"/>
      <c r="I322" s="628">
        <v>2</v>
      </c>
      <c r="J322" s="630"/>
      <c r="K322" s="630"/>
      <c r="M322" s="628">
        <v>2</v>
      </c>
      <c r="N322" s="630"/>
      <c r="O322" s="630"/>
      <c r="Q322" s="628">
        <v>2</v>
      </c>
      <c r="R322" s="630"/>
      <c r="S322" s="630"/>
      <c r="U322" s="628">
        <v>2</v>
      </c>
      <c r="V322" s="630"/>
      <c r="W322" s="630"/>
    </row>
    <row r="323" spans="1:23" ht="33.75" customHeight="1" x14ac:dyDescent="0.2">
      <c r="A323" s="628">
        <v>1</v>
      </c>
      <c r="B323" s="630"/>
      <c r="C323" s="630"/>
      <c r="E323" s="628">
        <v>1</v>
      </c>
      <c r="F323" s="630"/>
      <c r="G323" s="630"/>
      <c r="I323" s="628">
        <v>1</v>
      </c>
      <c r="J323" s="630"/>
      <c r="K323" s="630"/>
      <c r="M323" s="628">
        <v>1</v>
      </c>
      <c r="N323" s="630"/>
      <c r="O323" s="630"/>
      <c r="Q323" s="628">
        <v>1</v>
      </c>
      <c r="R323" s="630"/>
      <c r="S323" s="630"/>
      <c r="U323" s="628">
        <v>1</v>
      </c>
      <c r="V323" s="630"/>
      <c r="W323" s="630"/>
    </row>
    <row r="324" spans="1:23" ht="33.75" customHeight="1" x14ac:dyDescent="0.2">
      <c r="A324" s="628" t="s">
        <v>982</v>
      </c>
      <c r="B324" s="630"/>
      <c r="C324" s="630"/>
      <c r="E324" s="628" t="s">
        <v>982</v>
      </c>
      <c r="F324" s="630"/>
      <c r="G324" s="630"/>
      <c r="I324" s="628" t="s">
        <v>982</v>
      </c>
      <c r="J324" s="630"/>
      <c r="K324" s="630"/>
      <c r="M324" s="628" t="s">
        <v>982</v>
      </c>
      <c r="N324" s="630"/>
      <c r="O324" s="630"/>
      <c r="Q324" s="628" t="s">
        <v>982</v>
      </c>
      <c r="R324" s="630"/>
      <c r="S324" s="630"/>
      <c r="U324" s="628" t="s">
        <v>982</v>
      </c>
      <c r="V324" s="630"/>
      <c r="W324" s="630"/>
    </row>
    <row r="325" spans="1:23" ht="33.75" customHeight="1" x14ac:dyDescent="0.2">
      <c r="A325" s="629" t="s">
        <v>981</v>
      </c>
      <c r="B325" s="630"/>
      <c r="C325" s="631" t="s">
        <v>984</v>
      </c>
      <c r="E325" s="629" t="s">
        <v>981</v>
      </c>
      <c r="F325" s="630"/>
      <c r="G325" s="631" t="s">
        <v>984</v>
      </c>
      <c r="I325" s="629" t="s">
        <v>981</v>
      </c>
      <c r="J325" s="630"/>
      <c r="K325" s="631" t="s">
        <v>984</v>
      </c>
      <c r="M325" s="629" t="s">
        <v>981</v>
      </c>
      <c r="N325" s="630"/>
      <c r="O325" s="631" t="s">
        <v>984</v>
      </c>
      <c r="Q325" s="629" t="s">
        <v>981</v>
      </c>
      <c r="R325" s="630"/>
      <c r="S325" s="631" t="s">
        <v>984</v>
      </c>
      <c r="U325" s="629" t="s">
        <v>981</v>
      </c>
      <c r="V325" s="630"/>
      <c r="W325" s="631" t="s">
        <v>984</v>
      </c>
    </row>
    <row r="326" spans="1:23" ht="48" customHeight="1" x14ac:dyDescent="0.25">
      <c r="A326" s="637"/>
      <c r="B326" s="629" t="s">
        <v>983</v>
      </c>
      <c r="C326" s="636"/>
      <c r="E326" s="637" t="s">
        <v>985</v>
      </c>
      <c r="F326" s="632" t="s">
        <v>983</v>
      </c>
      <c r="G326" s="633"/>
      <c r="I326" s="637" t="s">
        <v>985</v>
      </c>
      <c r="J326" s="632" t="s">
        <v>983</v>
      </c>
      <c r="K326" s="633"/>
      <c r="M326" s="637" t="s">
        <v>985</v>
      </c>
      <c r="N326" s="632" t="s">
        <v>983</v>
      </c>
      <c r="O326" s="633"/>
      <c r="Q326" s="637" t="s">
        <v>985</v>
      </c>
      <c r="R326" s="632" t="s">
        <v>983</v>
      </c>
      <c r="S326" s="633"/>
      <c r="U326" s="637" t="s">
        <v>985</v>
      </c>
      <c r="V326" s="632" t="s">
        <v>983</v>
      </c>
      <c r="W326" s="633"/>
    </row>
    <row r="327" spans="1:23" ht="51" customHeight="1" x14ac:dyDescent="0.2">
      <c r="A327" s="634"/>
      <c r="B327" s="634"/>
      <c r="C327" s="634"/>
      <c r="E327" s="1115" t="s">
        <v>986</v>
      </c>
      <c r="F327" s="1115"/>
      <c r="G327" s="635"/>
      <c r="I327" s="1115" t="s">
        <v>986</v>
      </c>
      <c r="J327" s="1115"/>
      <c r="K327" s="635"/>
      <c r="M327" s="1115" t="s">
        <v>986</v>
      </c>
      <c r="N327" s="1115"/>
      <c r="O327" s="635"/>
      <c r="Q327" s="1115" t="s">
        <v>986</v>
      </c>
      <c r="R327" s="1115"/>
      <c r="S327" s="635"/>
      <c r="U327" s="1228" t="s">
        <v>987</v>
      </c>
      <c r="V327" s="1229"/>
      <c r="W327" s="635"/>
    </row>
    <row r="328" spans="1:23" ht="13.5" customHeight="1" thickBot="1" x14ac:dyDescent="0.25"/>
    <row r="329" spans="1:23" ht="72" customHeight="1" thickBot="1" x14ac:dyDescent="0.25">
      <c r="E329" s="707" t="s">
        <v>1007</v>
      </c>
      <c r="F329" s="639"/>
      <c r="G329" s="639"/>
      <c r="H329" s="639"/>
      <c r="I329" s="639"/>
      <c r="J329" s="640"/>
      <c r="M329" s="708" t="s">
        <v>1008</v>
      </c>
      <c r="N329" s="639"/>
      <c r="O329" s="639"/>
      <c r="P329" s="639"/>
      <c r="Q329" s="640"/>
      <c r="S329" s="1219" t="s">
        <v>988</v>
      </c>
      <c r="T329" s="1219"/>
      <c r="U329" s="1219"/>
      <c r="V329" s="1220"/>
      <c r="W329" s="1221"/>
    </row>
    <row r="330" spans="1:23" ht="34.5" customHeight="1" x14ac:dyDescent="0.2"/>
    <row r="331" spans="1:23" ht="6.75" customHeight="1" x14ac:dyDescent="0.2">
      <c r="Q331" s="1193" t="str">
        <f>CATEG_IMPORTEE</f>
        <v>Collèges Mixtes Etablissement</v>
      </c>
      <c r="R331" s="1193"/>
      <c r="S331" s="1193"/>
      <c r="T331" s="1193"/>
      <c r="U331" s="1193"/>
      <c r="V331" s="1193"/>
      <c r="W331" s="1193"/>
    </row>
    <row r="332" spans="1:23" s="218" customFormat="1" ht="33.75" x14ac:dyDescent="0.2">
      <c r="A332" s="1207" t="s">
        <v>628</v>
      </c>
      <c r="B332" s="1207"/>
      <c r="C332" s="645">
        <f>C302+1</f>
        <v>12</v>
      </c>
      <c r="E332" s="1208" t="str">
        <f>Championnat</f>
        <v>Championnat de France de Tir à l'ARC</v>
      </c>
      <c r="F332" s="1208"/>
      <c r="G332" s="1208"/>
      <c r="H332" s="1208"/>
      <c r="I332" s="1208"/>
      <c r="J332" s="1208"/>
      <c r="K332" s="1208"/>
      <c r="L332" s="1208"/>
      <c r="M332" s="1208"/>
      <c r="N332" s="1208"/>
      <c r="O332" s="1208"/>
      <c r="Q332" s="1193"/>
      <c r="R332" s="1193"/>
      <c r="S332" s="1193"/>
      <c r="T332" s="1193"/>
      <c r="U332" s="1193"/>
      <c r="V332" s="1193"/>
      <c r="W332" s="1193"/>
    </row>
    <row r="333" spans="1:23" ht="27" customHeight="1" x14ac:dyDescent="0.2">
      <c r="Q333" s="1211" t="str">
        <f>LIEU&amp;" du "&amp;DATE</f>
        <v>L’Isle sur la Sorgue du 27 au 31 mars 2023</v>
      </c>
      <c r="R333" s="1211"/>
      <c r="S333" s="1211"/>
      <c r="T333" s="1211"/>
      <c r="U333" s="1211"/>
      <c r="V333" s="1211"/>
      <c r="W333" s="1211"/>
    </row>
    <row r="334" spans="1:23" ht="19.5" customHeight="1" thickBot="1" x14ac:dyDescent="0.25">
      <c r="E334" s="1212" t="s">
        <v>0</v>
      </c>
      <c r="F334" s="1212"/>
      <c r="G334" s="1212"/>
      <c r="H334" s="1212"/>
      <c r="I334" s="1212"/>
      <c r="J334" s="1212"/>
      <c r="K334" s="1212"/>
      <c r="L334" s="641"/>
      <c r="M334" s="1212" t="s">
        <v>375</v>
      </c>
      <c r="N334" s="1212"/>
      <c r="O334" s="1212"/>
      <c r="P334" s="1212"/>
      <c r="Q334" s="1212"/>
      <c r="S334" s="1212" t="s">
        <v>374</v>
      </c>
      <c r="T334" s="1212"/>
      <c r="U334" s="1212"/>
      <c r="V334" s="1212"/>
      <c r="W334" s="1212"/>
    </row>
    <row r="335" spans="1:23" ht="36.75" customHeight="1" thickBot="1" x14ac:dyDescent="0.25">
      <c r="E335" s="1213" t="e">
        <f>VLOOKUP(E338,ID_archer_cible,2,FALSE)</f>
        <v>#N/A</v>
      </c>
      <c r="F335" s="1214"/>
      <c r="G335" s="1214"/>
      <c r="H335" s="1214"/>
      <c r="I335" s="1214"/>
      <c r="J335" s="1214"/>
      <c r="K335" s="1215"/>
      <c r="L335" s="641"/>
      <c r="M335" s="1216" t="e">
        <f>"("&amp;VLOOKUP(E338,ID_archer_cible,3,FALSE)&amp;")"</f>
        <v>#N/A</v>
      </c>
      <c r="N335" s="1217"/>
      <c r="O335" s="1217"/>
      <c r="P335" s="1217"/>
      <c r="Q335" s="1217"/>
      <c r="R335" s="1218"/>
      <c r="S335" s="1185" t="e">
        <f>VLOOKUP(E338,ID_archer_cible,4,FALSE)</f>
        <v>#N/A</v>
      </c>
      <c r="T335" s="1186"/>
      <c r="U335" s="1186"/>
      <c r="V335" s="1186"/>
      <c r="W335" s="1187"/>
    </row>
    <row r="336" spans="1:23" ht="17.25" customHeight="1" x14ac:dyDescent="0.2"/>
    <row r="337" spans="1:23" ht="23.25" customHeight="1" thickBot="1" x14ac:dyDescent="0.25">
      <c r="A337" s="638" t="s">
        <v>906</v>
      </c>
      <c r="E337" s="508" t="s">
        <v>552</v>
      </c>
      <c r="F337" s="571" t="s">
        <v>893</v>
      </c>
      <c r="G337" s="1202" t="s">
        <v>550</v>
      </c>
      <c r="H337" s="1202"/>
      <c r="I337" s="571" t="s">
        <v>905</v>
      </c>
      <c r="J337" s="709" t="s">
        <v>551</v>
      </c>
      <c r="N337" s="508" t="s">
        <v>552</v>
      </c>
      <c r="O337" s="571" t="s">
        <v>893</v>
      </c>
      <c r="P337" s="1202" t="s">
        <v>550</v>
      </c>
      <c r="Q337" s="1202"/>
      <c r="R337" s="571" t="s">
        <v>905</v>
      </c>
      <c r="S337" s="709" t="s">
        <v>551</v>
      </c>
    </row>
    <row r="338" spans="1:23" ht="23.25" customHeight="1" thickTop="1" x14ac:dyDescent="0.2">
      <c r="A338" s="710" t="e">
        <f>VLOOKUP(E338,ID_archer_cible,5,FALSE)&amp;"    "&amp;VLOOKUP(E338,ID_archer_cible,6,FALSE)</f>
        <v>#N/A</v>
      </c>
      <c r="B338" s="711"/>
      <c r="C338" s="711"/>
      <c r="D338" s="712"/>
      <c r="E338" s="713" t="str">
        <f>C332&amp;"A"</f>
        <v>12A</v>
      </c>
      <c r="F338" s="714" t="e">
        <f>VLOOKUP(E338,ID_archer_cible,9,FALSE)</f>
        <v>#N/A</v>
      </c>
      <c r="G338" s="1209" t="e">
        <f>VLOOKUP(E338,ID_archer_cible,8,FALSE)</f>
        <v>#N/A</v>
      </c>
      <c r="H338" s="1209"/>
      <c r="I338" s="715" t="e">
        <f>VLOOKUP(E338,ID_archer_cible,7,FALSE)</f>
        <v>#N/A</v>
      </c>
      <c r="J338" s="716" t="e">
        <f>VLOOKUP(E338,ID_archer_cible,10,FALSE)</f>
        <v>#N/A</v>
      </c>
      <c r="K338" s="710" t="e">
        <f>VLOOKUP(N338,ID_archer_cible,5,FALSE)&amp;"    "&amp;VLOOKUP(N338,ID_archer_cible,6,FALSE)</f>
        <v>#N/A</v>
      </c>
      <c r="L338" s="722"/>
      <c r="M338" s="723"/>
      <c r="N338" s="714" t="str">
        <f>C332&amp;"C"</f>
        <v>12C</v>
      </c>
      <c r="O338" s="714" t="e">
        <f>VLOOKUP(N338,ID_archer_cible,9,FALSE)</f>
        <v>#N/A</v>
      </c>
      <c r="P338" s="1203" t="e">
        <f>VLOOKUP(N338,ID_archer_cible,8,FALSE)</f>
        <v>#N/A</v>
      </c>
      <c r="Q338" s="1204"/>
      <c r="R338" s="724" t="e">
        <f>VLOOKUP(N338,ID_archer_cible,7,FALSE)</f>
        <v>#N/A</v>
      </c>
      <c r="S338" s="716" t="e">
        <f>VLOOKUP(N338,ID_archer_cible,10,FALSE)</f>
        <v>#N/A</v>
      </c>
    </row>
    <row r="339" spans="1:23" ht="23.25" customHeight="1" thickBot="1" x14ac:dyDescent="0.25">
      <c r="A339" s="717" t="e">
        <f>VLOOKUP(E339,ID_archer_cible,5,FALSE)&amp;"    "&amp;VLOOKUP(E339,ID_archer_cible,6,FALSE)</f>
        <v>#N/A</v>
      </c>
      <c r="B339" s="718"/>
      <c r="C339" s="718"/>
      <c r="D339" s="719"/>
      <c r="E339" s="696" t="str">
        <f>C332&amp;"B"</f>
        <v>12B</v>
      </c>
      <c r="F339" s="720" t="e">
        <f>VLOOKUP(E339,ID_archer_cible,9,FALSE)</f>
        <v>#N/A</v>
      </c>
      <c r="G339" s="1210" t="e">
        <f>VLOOKUP(E339,ID_archer_cible,8,FALSE)</f>
        <v>#N/A</v>
      </c>
      <c r="H339" s="1210"/>
      <c r="I339" s="721" t="e">
        <f>VLOOKUP(E339,ID_archer_cible,7,FALSE)</f>
        <v>#N/A</v>
      </c>
      <c r="J339" s="700" t="e">
        <f>VLOOKUP(E339,ID_archer_cible,10,FALSE)</f>
        <v>#N/A</v>
      </c>
      <c r="K339" s="717" t="e">
        <f>VLOOKUP(N339,ID_archer_cible,5,FALSE)&amp;"    "&amp;VLOOKUP(N339,ID_archer_cible,6,FALSE)</f>
        <v>#N/A</v>
      </c>
      <c r="L339" s="725"/>
      <c r="M339" s="726"/>
      <c r="N339" s="720" t="str">
        <f>C332&amp;"D"</f>
        <v>12D</v>
      </c>
      <c r="O339" s="720" t="e">
        <f>VLOOKUP(N339,ID_archer_cible,9,FALSE)</f>
        <v>#N/A</v>
      </c>
      <c r="P339" s="1205" t="e">
        <f>VLOOKUP(N339,ID_archer_cible,8,FALSE)</f>
        <v>#N/A</v>
      </c>
      <c r="Q339" s="1206"/>
      <c r="R339" s="727" t="e">
        <f>VLOOKUP(N339,ID_archer_cible,7,FALSE)</f>
        <v>#N/A</v>
      </c>
      <c r="S339" s="700" t="e">
        <f>VLOOKUP(N339,ID_archer_cible,10,FALSE)</f>
        <v>#N/A</v>
      </c>
    </row>
    <row r="340" spans="1:23" ht="15" customHeight="1" thickTop="1" x14ac:dyDescent="0.2"/>
    <row r="341" spans="1:23" ht="15" customHeight="1" thickBot="1" x14ac:dyDescent="0.25"/>
    <row r="342" spans="1:23" ht="33.75" customHeight="1" thickBot="1" x14ac:dyDescent="0.25">
      <c r="A342" s="1222" t="s">
        <v>909</v>
      </c>
      <c r="B342" s="1223"/>
      <c r="C342" s="1224"/>
      <c r="E342" s="1225" t="s">
        <v>910</v>
      </c>
      <c r="F342" s="1226"/>
      <c r="G342" s="1227"/>
      <c r="I342" s="1222" t="s">
        <v>911</v>
      </c>
      <c r="J342" s="1223"/>
      <c r="K342" s="1224"/>
      <c r="M342" s="1222" t="s">
        <v>912</v>
      </c>
      <c r="N342" s="1223"/>
      <c r="O342" s="1224"/>
      <c r="Q342" s="1222" t="s">
        <v>913</v>
      </c>
      <c r="R342" s="1223"/>
      <c r="S342" s="1224"/>
      <c r="U342" s="1222" t="s">
        <v>916</v>
      </c>
      <c r="V342" s="1223"/>
      <c r="W342" s="1224"/>
    </row>
    <row r="343" spans="1:23" ht="33.75" customHeight="1" x14ac:dyDescent="0.2">
      <c r="A343" s="642" t="s">
        <v>980</v>
      </c>
      <c r="B343" s="643" t="s">
        <v>981</v>
      </c>
      <c r="C343" s="644" t="s">
        <v>780</v>
      </c>
      <c r="E343" s="642" t="s">
        <v>980</v>
      </c>
      <c r="F343" s="643" t="s">
        <v>981</v>
      </c>
      <c r="G343" s="644" t="s">
        <v>780</v>
      </c>
      <c r="I343" s="642" t="s">
        <v>980</v>
      </c>
      <c r="J343" s="643" t="s">
        <v>981</v>
      </c>
      <c r="K343" s="644" t="s">
        <v>780</v>
      </c>
      <c r="M343" s="642" t="s">
        <v>980</v>
      </c>
      <c r="N343" s="643" t="s">
        <v>981</v>
      </c>
      <c r="O343" s="644" t="s">
        <v>780</v>
      </c>
      <c r="Q343" s="642" t="s">
        <v>980</v>
      </c>
      <c r="R343" s="643" t="s">
        <v>981</v>
      </c>
      <c r="S343" s="644" t="s">
        <v>780</v>
      </c>
      <c r="U343" s="642" t="s">
        <v>980</v>
      </c>
      <c r="V343" s="643" t="s">
        <v>981</v>
      </c>
      <c r="W343" s="644" t="s">
        <v>780</v>
      </c>
    </row>
    <row r="344" spans="1:23" ht="33.75" customHeight="1" x14ac:dyDescent="0.2">
      <c r="A344" s="628">
        <v>10</v>
      </c>
      <c r="B344" s="630"/>
      <c r="C344" s="630"/>
      <c r="E344" s="628">
        <v>10</v>
      </c>
      <c r="F344" s="630"/>
      <c r="G344" s="630"/>
      <c r="I344" s="628">
        <v>10</v>
      </c>
      <c r="J344" s="630"/>
      <c r="K344" s="630"/>
      <c r="M344" s="628">
        <v>10</v>
      </c>
      <c r="N344" s="630"/>
      <c r="O344" s="630"/>
      <c r="Q344" s="628">
        <v>10</v>
      </c>
      <c r="R344" s="630"/>
      <c r="S344" s="630"/>
      <c r="U344" s="628">
        <v>10</v>
      </c>
      <c r="V344" s="630"/>
      <c r="W344" s="630"/>
    </row>
    <row r="345" spans="1:23" ht="33.75" customHeight="1" x14ac:dyDescent="0.2">
      <c r="A345" s="628">
        <v>9</v>
      </c>
      <c r="B345" s="630"/>
      <c r="C345" s="630"/>
      <c r="E345" s="628">
        <v>9</v>
      </c>
      <c r="F345" s="630"/>
      <c r="G345" s="630"/>
      <c r="I345" s="628">
        <v>9</v>
      </c>
      <c r="J345" s="630"/>
      <c r="K345" s="630"/>
      <c r="M345" s="628">
        <v>9</v>
      </c>
      <c r="N345" s="630"/>
      <c r="O345" s="630"/>
      <c r="Q345" s="628">
        <v>9</v>
      </c>
      <c r="R345" s="630"/>
      <c r="S345" s="630"/>
      <c r="U345" s="628">
        <v>9</v>
      </c>
      <c r="V345" s="630"/>
      <c r="W345" s="630"/>
    </row>
    <row r="346" spans="1:23" ht="33.75" customHeight="1" x14ac:dyDescent="0.2">
      <c r="A346" s="628">
        <v>8</v>
      </c>
      <c r="B346" s="630"/>
      <c r="C346" s="630"/>
      <c r="E346" s="628">
        <v>8</v>
      </c>
      <c r="F346" s="630"/>
      <c r="G346" s="630"/>
      <c r="I346" s="628">
        <v>8</v>
      </c>
      <c r="J346" s="630"/>
      <c r="K346" s="630"/>
      <c r="M346" s="628">
        <v>8</v>
      </c>
      <c r="N346" s="630"/>
      <c r="O346" s="630"/>
      <c r="Q346" s="628">
        <v>8</v>
      </c>
      <c r="R346" s="630"/>
      <c r="S346" s="630"/>
      <c r="U346" s="628">
        <v>8</v>
      </c>
      <c r="V346" s="630"/>
      <c r="W346" s="630"/>
    </row>
    <row r="347" spans="1:23" ht="33.75" customHeight="1" x14ac:dyDescent="0.2">
      <c r="A347" s="628">
        <v>7</v>
      </c>
      <c r="B347" s="630"/>
      <c r="C347" s="630"/>
      <c r="E347" s="628">
        <v>7</v>
      </c>
      <c r="F347" s="630"/>
      <c r="G347" s="630"/>
      <c r="I347" s="628">
        <v>7</v>
      </c>
      <c r="J347" s="630"/>
      <c r="K347" s="630"/>
      <c r="M347" s="628">
        <v>7</v>
      </c>
      <c r="N347" s="630"/>
      <c r="O347" s="630"/>
      <c r="Q347" s="628">
        <v>7</v>
      </c>
      <c r="R347" s="630"/>
      <c r="S347" s="630"/>
      <c r="U347" s="628">
        <v>7</v>
      </c>
      <c r="V347" s="630"/>
      <c r="W347" s="630"/>
    </row>
    <row r="348" spans="1:23" ht="33.75" customHeight="1" x14ac:dyDescent="0.2">
      <c r="A348" s="628">
        <v>6</v>
      </c>
      <c r="B348" s="630"/>
      <c r="C348" s="630"/>
      <c r="E348" s="628">
        <v>6</v>
      </c>
      <c r="F348" s="630"/>
      <c r="G348" s="630"/>
      <c r="I348" s="628">
        <v>6</v>
      </c>
      <c r="J348" s="630"/>
      <c r="K348" s="630"/>
      <c r="M348" s="628">
        <v>6</v>
      </c>
      <c r="N348" s="630"/>
      <c r="O348" s="630"/>
      <c r="Q348" s="628">
        <v>6</v>
      </c>
      <c r="R348" s="630"/>
      <c r="S348" s="630"/>
      <c r="U348" s="628">
        <v>6</v>
      </c>
      <c r="V348" s="630"/>
      <c r="W348" s="630"/>
    </row>
    <row r="349" spans="1:23" ht="33.75" customHeight="1" x14ac:dyDescent="0.2">
      <c r="A349" s="628">
        <v>5</v>
      </c>
      <c r="B349" s="630"/>
      <c r="C349" s="630"/>
      <c r="E349" s="628">
        <v>5</v>
      </c>
      <c r="F349" s="630"/>
      <c r="G349" s="630"/>
      <c r="I349" s="628">
        <v>5</v>
      </c>
      <c r="J349" s="630"/>
      <c r="K349" s="630"/>
      <c r="M349" s="628">
        <v>5</v>
      </c>
      <c r="N349" s="630"/>
      <c r="O349" s="630"/>
      <c r="Q349" s="628">
        <v>5</v>
      </c>
      <c r="R349" s="630"/>
      <c r="S349" s="630"/>
      <c r="U349" s="628">
        <v>5</v>
      </c>
      <c r="V349" s="630"/>
      <c r="W349" s="630"/>
    </row>
    <row r="350" spans="1:23" ht="33.75" customHeight="1" x14ac:dyDescent="0.2">
      <c r="A350" s="628">
        <v>4</v>
      </c>
      <c r="B350" s="630"/>
      <c r="C350" s="630"/>
      <c r="E350" s="628">
        <v>4</v>
      </c>
      <c r="F350" s="630"/>
      <c r="G350" s="630"/>
      <c r="I350" s="628">
        <v>4</v>
      </c>
      <c r="J350" s="630"/>
      <c r="K350" s="630"/>
      <c r="M350" s="628">
        <v>4</v>
      </c>
      <c r="N350" s="630"/>
      <c r="O350" s="630"/>
      <c r="Q350" s="628">
        <v>4</v>
      </c>
      <c r="R350" s="630"/>
      <c r="S350" s="630"/>
      <c r="U350" s="628">
        <v>4</v>
      </c>
      <c r="V350" s="630"/>
      <c r="W350" s="630"/>
    </row>
    <row r="351" spans="1:23" ht="33.75" customHeight="1" x14ac:dyDescent="0.2">
      <c r="A351" s="628">
        <v>3</v>
      </c>
      <c r="B351" s="630"/>
      <c r="C351" s="630"/>
      <c r="E351" s="628">
        <v>3</v>
      </c>
      <c r="F351" s="630"/>
      <c r="G351" s="630"/>
      <c r="I351" s="628">
        <v>3</v>
      </c>
      <c r="J351" s="630"/>
      <c r="K351" s="630"/>
      <c r="M351" s="628">
        <v>3</v>
      </c>
      <c r="N351" s="630"/>
      <c r="O351" s="630"/>
      <c r="Q351" s="628">
        <v>3</v>
      </c>
      <c r="R351" s="630"/>
      <c r="S351" s="630"/>
      <c r="U351" s="628">
        <v>3</v>
      </c>
      <c r="V351" s="630"/>
      <c r="W351" s="630"/>
    </row>
    <row r="352" spans="1:23" ht="33.75" customHeight="1" x14ac:dyDescent="0.2">
      <c r="A352" s="628">
        <v>2</v>
      </c>
      <c r="B352" s="630"/>
      <c r="C352" s="630"/>
      <c r="E352" s="628">
        <v>2</v>
      </c>
      <c r="F352" s="630"/>
      <c r="G352" s="630"/>
      <c r="I352" s="628">
        <v>2</v>
      </c>
      <c r="J352" s="630"/>
      <c r="K352" s="630"/>
      <c r="M352" s="628">
        <v>2</v>
      </c>
      <c r="N352" s="630"/>
      <c r="O352" s="630"/>
      <c r="Q352" s="628">
        <v>2</v>
      </c>
      <c r="R352" s="630"/>
      <c r="S352" s="630"/>
      <c r="U352" s="628">
        <v>2</v>
      </c>
      <c r="V352" s="630"/>
      <c r="W352" s="630"/>
    </row>
    <row r="353" spans="1:23" ht="33.75" customHeight="1" x14ac:dyDescent="0.2">
      <c r="A353" s="628">
        <v>1</v>
      </c>
      <c r="B353" s="630"/>
      <c r="C353" s="630"/>
      <c r="E353" s="628">
        <v>1</v>
      </c>
      <c r="F353" s="630"/>
      <c r="G353" s="630"/>
      <c r="I353" s="628">
        <v>1</v>
      </c>
      <c r="J353" s="630"/>
      <c r="K353" s="630"/>
      <c r="M353" s="628">
        <v>1</v>
      </c>
      <c r="N353" s="630"/>
      <c r="O353" s="630"/>
      <c r="Q353" s="628">
        <v>1</v>
      </c>
      <c r="R353" s="630"/>
      <c r="S353" s="630"/>
      <c r="U353" s="628">
        <v>1</v>
      </c>
      <c r="V353" s="630"/>
      <c r="W353" s="630"/>
    </row>
    <row r="354" spans="1:23" ht="33.75" customHeight="1" x14ac:dyDescent="0.2">
      <c r="A354" s="628" t="s">
        <v>982</v>
      </c>
      <c r="B354" s="630"/>
      <c r="C354" s="630"/>
      <c r="E354" s="628" t="s">
        <v>982</v>
      </c>
      <c r="F354" s="630"/>
      <c r="G354" s="630"/>
      <c r="I354" s="628" t="s">
        <v>982</v>
      </c>
      <c r="J354" s="630"/>
      <c r="K354" s="630"/>
      <c r="M354" s="628" t="s">
        <v>982</v>
      </c>
      <c r="N354" s="630"/>
      <c r="O354" s="630"/>
      <c r="Q354" s="628" t="s">
        <v>982</v>
      </c>
      <c r="R354" s="630"/>
      <c r="S354" s="630"/>
      <c r="U354" s="628" t="s">
        <v>982</v>
      </c>
      <c r="V354" s="630"/>
      <c r="W354" s="630"/>
    </row>
    <row r="355" spans="1:23" ht="33.75" customHeight="1" x14ac:dyDescent="0.2">
      <c r="A355" s="629" t="s">
        <v>981</v>
      </c>
      <c r="B355" s="630"/>
      <c r="C355" s="631" t="s">
        <v>984</v>
      </c>
      <c r="E355" s="629" t="s">
        <v>981</v>
      </c>
      <c r="F355" s="630"/>
      <c r="G355" s="631" t="s">
        <v>984</v>
      </c>
      <c r="I355" s="629" t="s">
        <v>981</v>
      </c>
      <c r="J355" s="630"/>
      <c r="K355" s="631" t="s">
        <v>984</v>
      </c>
      <c r="M355" s="629" t="s">
        <v>981</v>
      </c>
      <c r="N355" s="630"/>
      <c r="O355" s="631" t="s">
        <v>984</v>
      </c>
      <c r="Q355" s="629" t="s">
        <v>981</v>
      </c>
      <c r="R355" s="630"/>
      <c r="S355" s="631" t="s">
        <v>984</v>
      </c>
      <c r="U355" s="629" t="s">
        <v>981</v>
      </c>
      <c r="V355" s="630"/>
      <c r="W355" s="631" t="s">
        <v>984</v>
      </c>
    </row>
    <row r="356" spans="1:23" ht="48" customHeight="1" x14ac:dyDescent="0.25">
      <c r="A356" s="637"/>
      <c r="B356" s="629" t="s">
        <v>983</v>
      </c>
      <c r="C356" s="636"/>
      <c r="E356" s="637" t="s">
        <v>985</v>
      </c>
      <c r="F356" s="632" t="s">
        <v>983</v>
      </c>
      <c r="G356" s="633"/>
      <c r="I356" s="637" t="s">
        <v>985</v>
      </c>
      <c r="J356" s="632" t="s">
        <v>983</v>
      </c>
      <c r="K356" s="633"/>
      <c r="M356" s="637" t="s">
        <v>985</v>
      </c>
      <c r="N356" s="632" t="s">
        <v>983</v>
      </c>
      <c r="O356" s="633"/>
      <c r="Q356" s="637" t="s">
        <v>985</v>
      </c>
      <c r="R356" s="632" t="s">
        <v>983</v>
      </c>
      <c r="S356" s="633"/>
      <c r="U356" s="637" t="s">
        <v>985</v>
      </c>
      <c r="V356" s="632" t="s">
        <v>983</v>
      </c>
      <c r="W356" s="633"/>
    </row>
    <row r="357" spans="1:23" ht="51" customHeight="1" x14ac:dyDescent="0.2">
      <c r="A357" s="634"/>
      <c r="B357" s="634"/>
      <c r="C357" s="634"/>
      <c r="E357" s="1115" t="s">
        <v>986</v>
      </c>
      <c r="F357" s="1115"/>
      <c r="G357" s="635"/>
      <c r="I357" s="1115" t="s">
        <v>986</v>
      </c>
      <c r="J357" s="1115"/>
      <c r="K357" s="635"/>
      <c r="M357" s="1115" t="s">
        <v>986</v>
      </c>
      <c r="N357" s="1115"/>
      <c r="O357" s="635"/>
      <c r="Q357" s="1115" t="s">
        <v>986</v>
      </c>
      <c r="R357" s="1115"/>
      <c r="S357" s="635"/>
      <c r="U357" s="1228" t="s">
        <v>987</v>
      </c>
      <c r="V357" s="1229"/>
      <c r="W357" s="635"/>
    </row>
    <row r="358" spans="1:23" ht="13.5" customHeight="1" thickBot="1" x14ac:dyDescent="0.25"/>
    <row r="359" spans="1:23" ht="72" customHeight="1" thickBot="1" x14ac:dyDescent="0.25">
      <c r="E359" s="707" t="s">
        <v>1007</v>
      </c>
      <c r="F359" s="639"/>
      <c r="G359" s="639"/>
      <c r="H359" s="639"/>
      <c r="I359" s="639"/>
      <c r="J359" s="640"/>
      <c r="M359" s="708" t="s">
        <v>1008</v>
      </c>
      <c r="N359" s="639"/>
      <c r="O359" s="639"/>
      <c r="P359" s="639"/>
      <c r="Q359" s="640"/>
      <c r="S359" s="1219" t="s">
        <v>988</v>
      </c>
      <c r="T359" s="1219"/>
      <c r="U359" s="1219"/>
      <c r="V359" s="1220"/>
      <c r="W359" s="1221"/>
    </row>
    <row r="360" spans="1:23" ht="34.5" customHeight="1" x14ac:dyDescent="0.2"/>
    <row r="361" spans="1:23" ht="6.75" customHeight="1" x14ac:dyDescent="0.2">
      <c r="Q361" s="1193" t="str">
        <f>CATEG_IMPORTEE</f>
        <v>Collèges Mixtes Etablissement</v>
      </c>
      <c r="R361" s="1193"/>
      <c r="S361" s="1193"/>
      <c r="T361" s="1193"/>
      <c r="U361" s="1193"/>
      <c r="V361" s="1193"/>
      <c r="W361" s="1193"/>
    </row>
    <row r="362" spans="1:23" s="218" customFormat="1" ht="33.75" x14ac:dyDescent="0.2">
      <c r="A362" s="1207" t="s">
        <v>628</v>
      </c>
      <c r="B362" s="1207"/>
      <c r="C362" s="645">
        <f>C332+1</f>
        <v>13</v>
      </c>
      <c r="E362" s="1208" t="str">
        <f>Championnat</f>
        <v>Championnat de France de Tir à l'ARC</v>
      </c>
      <c r="F362" s="1208"/>
      <c r="G362" s="1208"/>
      <c r="H362" s="1208"/>
      <c r="I362" s="1208"/>
      <c r="J362" s="1208"/>
      <c r="K362" s="1208"/>
      <c r="L362" s="1208"/>
      <c r="M362" s="1208"/>
      <c r="N362" s="1208"/>
      <c r="O362" s="1208"/>
      <c r="Q362" s="1193"/>
      <c r="R362" s="1193"/>
      <c r="S362" s="1193"/>
      <c r="T362" s="1193"/>
      <c r="U362" s="1193"/>
      <c r="V362" s="1193"/>
      <c r="W362" s="1193"/>
    </row>
    <row r="363" spans="1:23" ht="27" customHeight="1" x14ac:dyDescent="0.2">
      <c r="Q363" s="1211" t="str">
        <f>LIEU&amp;" du "&amp;DATE</f>
        <v>L’Isle sur la Sorgue du 27 au 31 mars 2023</v>
      </c>
      <c r="R363" s="1211"/>
      <c r="S363" s="1211"/>
      <c r="T363" s="1211"/>
      <c r="U363" s="1211"/>
      <c r="V363" s="1211"/>
      <c r="W363" s="1211"/>
    </row>
    <row r="364" spans="1:23" ht="19.5" customHeight="1" thickBot="1" x14ac:dyDescent="0.25">
      <c r="E364" s="1212" t="s">
        <v>0</v>
      </c>
      <c r="F364" s="1212"/>
      <c r="G364" s="1212"/>
      <c r="H364" s="1212"/>
      <c r="I364" s="1212"/>
      <c r="J364" s="1212"/>
      <c r="K364" s="1212"/>
      <c r="L364" s="641"/>
      <c r="M364" s="1212" t="s">
        <v>375</v>
      </c>
      <c r="N364" s="1212"/>
      <c r="O364" s="1212"/>
      <c r="P364" s="1212"/>
      <c r="Q364" s="1212"/>
      <c r="S364" s="1212" t="s">
        <v>374</v>
      </c>
      <c r="T364" s="1212"/>
      <c r="U364" s="1212"/>
      <c r="V364" s="1212"/>
      <c r="W364" s="1212"/>
    </row>
    <row r="365" spans="1:23" ht="36.75" customHeight="1" thickBot="1" x14ac:dyDescent="0.25">
      <c r="E365" s="1213" t="e">
        <f>VLOOKUP(E368,ID_archer_cible,2,FALSE)</f>
        <v>#N/A</v>
      </c>
      <c r="F365" s="1214"/>
      <c r="G365" s="1214"/>
      <c r="H365" s="1214"/>
      <c r="I365" s="1214"/>
      <c r="J365" s="1214"/>
      <c r="K365" s="1215"/>
      <c r="L365" s="641"/>
      <c r="M365" s="1216" t="e">
        <f>"("&amp;VLOOKUP(E368,ID_archer_cible,3,FALSE)&amp;")"</f>
        <v>#N/A</v>
      </c>
      <c r="N365" s="1217"/>
      <c r="O365" s="1217"/>
      <c r="P365" s="1217"/>
      <c r="Q365" s="1217"/>
      <c r="R365" s="1218"/>
      <c r="S365" s="1185" t="e">
        <f>VLOOKUP(E368,ID_archer_cible,4,FALSE)</f>
        <v>#N/A</v>
      </c>
      <c r="T365" s="1186"/>
      <c r="U365" s="1186"/>
      <c r="V365" s="1186"/>
      <c r="W365" s="1187"/>
    </row>
    <row r="366" spans="1:23" ht="17.25" customHeight="1" x14ac:dyDescent="0.2"/>
    <row r="367" spans="1:23" ht="23.25" customHeight="1" thickBot="1" x14ac:dyDescent="0.25">
      <c r="A367" s="638" t="s">
        <v>906</v>
      </c>
      <c r="E367" s="508" t="s">
        <v>552</v>
      </c>
      <c r="F367" s="571" t="s">
        <v>893</v>
      </c>
      <c r="G367" s="1202" t="s">
        <v>550</v>
      </c>
      <c r="H367" s="1202"/>
      <c r="I367" s="571" t="s">
        <v>905</v>
      </c>
      <c r="J367" s="709" t="s">
        <v>551</v>
      </c>
      <c r="N367" s="508" t="s">
        <v>552</v>
      </c>
      <c r="O367" s="571" t="s">
        <v>893</v>
      </c>
      <c r="P367" s="1202" t="s">
        <v>550</v>
      </c>
      <c r="Q367" s="1202"/>
      <c r="R367" s="571" t="s">
        <v>905</v>
      </c>
      <c r="S367" s="709" t="s">
        <v>551</v>
      </c>
    </row>
    <row r="368" spans="1:23" ht="23.25" customHeight="1" thickTop="1" x14ac:dyDescent="0.2">
      <c r="A368" s="710" t="e">
        <f>VLOOKUP(E368,ID_archer_cible,5,FALSE)&amp;"    "&amp;VLOOKUP(E368,ID_archer_cible,6,FALSE)</f>
        <v>#N/A</v>
      </c>
      <c r="B368" s="711"/>
      <c r="C368" s="711"/>
      <c r="D368" s="712"/>
      <c r="E368" s="713" t="str">
        <f>C362&amp;"A"</f>
        <v>13A</v>
      </c>
      <c r="F368" s="714" t="e">
        <f>VLOOKUP(E368,ID_archer_cible,9,FALSE)</f>
        <v>#N/A</v>
      </c>
      <c r="G368" s="1209" t="e">
        <f>VLOOKUP(E368,ID_archer_cible,8,FALSE)</f>
        <v>#N/A</v>
      </c>
      <c r="H368" s="1209"/>
      <c r="I368" s="715" t="e">
        <f>VLOOKUP(E368,ID_archer_cible,7,FALSE)</f>
        <v>#N/A</v>
      </c>
      <c r="J368" s="716" t="e">
        <f>VLOOKUP(E368,ID_archer_cible,10,FALSE)</f>
        <v>#N/A</v>
      </c>
      <c r="K368" s="710" t="e">
        <f>VLOOKUP(N368,ID_archer_cible,5,FALSE)&amp;"    "&amp;VLOOKUP(N368,ID_archer_cible,6,FALSE)</f>
        <v>#N/A</v>
      </c>
      <c r="L368" s="722"/>
      <c r="M368" s="723"/>
      <c r="N368" s="714" t="str">
        <f>C362&amp;"C"</f>
        <v>13C</v>
      </c>
      <c r="O368" s="714" t="e">
        <f>VLOOKUP(N368,ID_archer_cible,9,FALSE)</f>
        <v>#N/A</v>
      </c>
      <c r="P368" s="1203" t="e">
        <f>VLOOKUP(N368,ID_archer_cible,8,FALSE)</f>
        <v>#N/A</v>
      </c>
      <c r="Q368" s="1204"/>
      <c r="R368" s="724" t="e">
        <f>VLOOKUP(N368,ID_archer_cible,7,FALSE)</f>
        <v>#N/A</v>
      </c>
      <c r="S368" s="716" t="e">
        <f>VLOOKUP(N368,ID_archer_cible,10,FALSE)</f>
        <v>#N/A</v>
      </c>
    </row>
    <row r="369" spans="1:23" ht="23.25" customHeight="1" thickBot="1" x14ac:dyDescent="0.25">
      <c r="A369" s="717" t="e">
        <f>VLOOKUP(E369,ID_archer_cible,5,FALSE)&amp;"    "&amp;VLOOKUP(E369,ID_archer_cible,6,FALSE)</f>
        <v>#N/A</v>
      </c>
      <c r="B369" s="718"/>
      <c r="C369" s="718"/>
      <c r="D369" s="719"/>
      <c r="E369" s="696" t="str">
        <f>C362&amp;"B"</f>
        <v>13B</v>
      </c>
      <c r="F369" s="720" t="e">
        <f>VLOOKUP(E369,ID_archer_cible,9,FALSE)</f>
        <v>#N/A</v>
      </c>
      <c r="G369" s="1210" t="e">
        <f>VLOOKUP(E369,ID_archer_cible,8,FALSE)</f>
        <v>#N/A</v>
      </c>
      <c r="H369" s="1210"/>
      <c r="I369" s="721" t="e">
        <f>VLOOKUP(E369,ID_archer_cible,7,FALSE)</f>
        <v>#N/A</v>
      </c>
      <c r="J369" s="700" t="e">
        <f>VLOOKUP(E369,ID_archer_cible,10,FALSE)</f>
        <v>#N/A</v>
      </c>
      <c r="K369" s="717" t="e">
        <f>VLOOKUP(N369,ID_archer_cible,5,FALSE)&amp;"    "&amp;VLOOKUP(N369,ID_archer_cible,6,FALSE)</f>
        <v>#N/A</v>
      </c>
      <c r="L369" s="725"/>
      <c r="M369" s="726"/>
      <c r="N369" s="720" t="str">
        <f>C362&amp;"D"</f>
        <v>13D</v>
      </c>
      <c r="O369" s="720" t="e">
        <f>VLOOKUP(N369,ID_archer_cible,9,FALSE)</f>
        <v>#N/A</v>
      </c>
      <c r="P369" s="1205" t="e">
        <f>VLOOKUP(N369,ID_archer_cible,8,FALSE)</f>
        <v>#N/A</v>
      </c>
      <c r="Q369" s="1206"/>
      <c r="R369" s="727" t="e">
        <f>VLOOKUP(N369,ID_archer_cible,7,FALSE)</f>
        <v>#N/A</v>
      </c>
      <c r="S369" s="700" t="e">
        <f>VLOOKUP(N369,ID_archer_cible,10,FALSE)</f>
        <v>#N/A</v>
      </c>
    </row>
    <row r="370" spans="1:23" ht="15" customHeight="1" thickTop="1" x14ac:dyDescent="0.2"/>
    <row r="371" spans="1:23" ht="15" customHeight="1" thickBot="1" x14ac:dyDescent="0.25"/>
    <row r="372" spans="1:23" ht="33.75" customHeight="1" thickBot="1" x14ac:dyDescent="0.25">
      <c r="A372" s="1222" t="s">
        <v>909</v>
      </c>
      <c r="B372" s="1223"/>
      <c r="C372" s="1224"/>
      <c r="E372" s="1225" t="s">
        <v>910</v>
      </c>
      <c r="F372" s="1226"/>
      <c r="G372" s="1227"/>
      <c r="I372" s="1222" t="s">
        <v>911</v>
      </c>
      <c r="J372" s="1223"/>
      <c r="K372" s="1224"/>
      <c r="M372" s="1222" t="s">
        <v>912</v>
      </c>
      <c r="N372" s="1223"/>
      <c r="O372" s="1224"/>
      <c r="Q372" s="1222" t="s">
        <v>913</v>
      </c>
      <c r="R372" s="1223"/>
      <c r="S372" s="1224"/>
      <c r="U372" s="1222" t="s">
        <v>916</v>
      </c>
      <c r="V372" s="1223"/>
      <c r="W372" s="1224"/>
    </row>
    <row r="373" spans="1:23" ht="33.75" customHeight="1" x14ac:dyDescent="0.2">
      <c r="A373" s="642" t="s">
        <v>980</v>
      </c>
      <c r="B373" s="643" t="s">
        <v>981</v>
      </c>
      <c r="C373" s="644" t="s">
        <v>780</v>
      </c>
      <c r="E373" s="642" t="s">
        <v>980</v>
      </c>
      <c r="F373" s="643" t="s">
        <v>981</v>
      </c>
      <c r="G373" s="644" t="s">
        <v>780</v>
      </c>
      <c r="I373" s="642" t="s">
        <v>980</v>
      </c>
      <c r="J373" s="643" t="s">
        <v>981</v>
      </c>
      <c r="K373" s="644" t="s">
        <v>780</v>
      </c>
      <c r="M373" s="642" t="s">
        <v>980</v>
      </c>
      <c r="N373" s="643" t="s">
        <v>981</v>
      </c>
      <c r="O373" s="644" t="s">
        <v>780</v>
      </c>
      <c r="Q373" s="642" t="s">
        <v>980</v>
      </c>
      <c r="R373" s="643" t="s">
        <v>981</v>
      </c>
      <c r="S373" s="644" t="s">
        <v>780</v>
      </c>
      <c r="U373" s="642" t="s">
        <v>980</v>
      </c>
      <c r="V373" s="643" t="s">
        <v>981</v>
      </c>
      <c r="W373" s="644" t="s">
        <v>780</v>
      </c>
    </row>
    <row r="374" spans="1:23" ht="33.75" customHeight="1" x14ac:dyDescent="0.2">
      <c r="A374" s="628">
        <v>10</v>
      </c>
      <c r="B374" s="630"/>
      <c r="C374" s="630"/>
      <c r="E374" s="628">
        <v>10</v>
      </c>
      <c r="F374" s="630"/>
      <c r="G374" s="630"/>
      <c r="I374" s="628">
        <v>10</v>
      </c>
      <c r="J374" s="630"/>
      <c r="K374" s="630"/>
      <c r="M374" s="628">
        <v>10</v>
      </c>
      <c r="N374" s="630"/>
      <c r="O374" s="630"/>
      <c r="Q374" s="628">
        <v>10</v>
      </c>
      <c r="R374" s="630"/>
      <c r="S374" s="630"/>
      <c r="U374" s="628">
        <v>10</v>
      </c>
      <c r="V374" s="630"/>
      <c r="W374" s="630"/>
    </row>
    <row r="375" spans="1:23" ht="33.75" customHeight="1" x14ac:dyDescent="0.2">
      <c r="A375" s="628">
        <v>9</v>
      </c>
      <c r="B375" s="630"/>
      <c r="C375" s="630"/>
      <c r="E375" s="628">
        <v>9</v>
      </c>
      <c r="F375" s="630"/>
      <c r="G375" s="630"/>
      <c r="I375" s="628">
        <v>9</v>
      </c>
      <c r="J375" s="630"/>
      <c r="K375" s="630"/>
      <c r="M375" s="628">
        <v>9</v>
      </c>
      <c r="N375" s="630"/>
      <c r="O375" s="630"/>
      <c r="Q375" s="628">
        <v>9</v>
      </c>
      <c r="R375" s="630"/>
      <c r="S375" s="630"/>
      <c r="U375" s="628">
        <v>9</v>
      </c>
      <c r="V375" s="630"/>
      <c r="W375" s="630"/>
    </row>
    <row r="376" spans="1:23" ht="33.75" customHeight="1" x14ac:dyDescent="0.2">
      <c r="A376" s="628">
        <v>8</v>
      </c>
      <c r="B376" s="630"/>
      <c r="C376" s="630"/>
      <c r="E376" s="628">
        <v>8</v>
      </c>
      <c r="F376" s="630"/>
      <c r="G376" s="630"/>
      <c r="I376" s="628">
        <v>8</v>
      </c>
      <c r="J376" s="630"/>
      <c r="K376" s="630"/>
      <c r="M376" s="628">
        <v>8</v>
      </c>
      <c r="N376" s="630"/>
      <c r="O376" s="630"/>
      <c r="Q376" s="628">
        <v>8</v>
      </c>
      <c r="R376" s="630"/>
      <c r="S376" s="630"/>
      <c r="U376" s="628">
        <v>8</v>
      </c>
      <c r="V376" s="630"/>
      <c r="W376" s="630"/>
    </row>
    <row r="377" spans="1:23" ht="33.75" customHeight="1" x14ac:dyDescent="0.2">
      <c r="A377" s="628">
        <v>7</v>
      </c>
      <c r="B377" s="630"/>
      <c r="C377" s="630"/>
      <c r="E377" s="628">
        <v>7</v>
      </c>
      <c r="F377" s="630"/>
      <c r="G377" s="630"/>
      <c r="I377" s="628">
        <v>7</v>
      </c>
      <c r="J377" s="630"/>
      <c r="K377" s="630"/>
      <c r="M377" s="628">
        <v>7</v>
      </c>
      <c r="N377" s="630"/>
      <c r="O377" s="630"/>
      <c r="Q377" s="628">
        <v>7</v>
      </c>
      <c r="R377" s="630"/>
      <c r="S377" s="630"/>
      <c r="U377" s="628">
        <v>7</v>
      </c>
      <c r="V377" s="630"/>
      <c r="W377" s="630"/>
    </row>
    <row r="378" spans="1:23" ht="33.75" customHeight="1" x14ac:dyDescent="0.2">
      <c r="A378" s="628">
        <v>6</v>
      </c>
      <c r="B378" s="630"/>
      <c r="C378" s="630"/>
      <c r="E378" s="628">
        <v>6</v>
      </c>
      <c r="F378" s="630"/>
      <c r="G378" s="630"/>
      <c r="I378" s="628">
        <v>6</v>
      </c>
      <c r="J378" s="630"/>
      <c r="K378" s="630"/>
      <c r="M378" s="628">
        <v>6</v>
      </c>
      <c r="N378" s="630"/>
      <c r="O378" s="630"/>
      <c r="Q378" s="628">
        <v>6</v>
      </c>
      <c r="R378" s="630"/>
      <c r="S378" s="630"/>
      <c r="U378" s="628">
        <v>6</v>
      </c>
      <c r="V378" s="630"/>
      <c r="W378" s="630"/>
    </row>
    <row r="379" spans="1:23" ht="33.75" customHeight="1" x14ac:dyDescent="0.2">
      <c r="A379" s="628">
        <v>5</v>
      </c>
      <c r="B379" s="630"/>
      <c r="C379" s="630"/>
      <c r="E379" s="628">
        <v>5</v>
      </c>
      <c r="F379" s="630"/>
      <c r="G379" s="630"/>
      <c r="I379" s="628">
        <v>5</v>
      </c>
      <c r="J379" s="630"/>
      <c r="K379" s="630"/>
      <c r="M379" s="628">
        <v>5</v>
      </c>
      <c r="N379" s="630"/>
      <c r="O379" s="630"/>
      <c r="Q379" s="628">
        <v>5</v>
      </c>
      <c r="R379" s="630"/>
      <c r="S379" s="630"/>
      <c r="U379" s="628">
        <v>5</v>
      </c>
      <c r="V379" s="630"/>
      <c r="W379" s="630"/>
    </row>
    <row r="380" spans="1:23" ht="33.75" customHeight="1" x14ac:dyDescent="0.2">
      <c r="A380" s="628">
        <v>4</v>
      </c>
      <c r="B380" s="630"/>
      <c r="C380" s="630"/>
      <c r="E380" s="628">
        <v>4</v>
      </c>
      <c r="F380" s="630"/>
      <c r="G380" s="630"/>
      <c r="I380" s="628">
        <v>4</v>
      </c>
      <c r="J380" s="630"/>
      <c r="K380" s="630"/>
      <c r="M380" s="628">
        <v>4</v>
      </c>
      <c r="N380" s="630"/>
      <c r="O380" s="630"/>
      <c r="Q380" s="628">
        <v>4</v>
      </c>
      <c r="R380" s="630"/>
      <c r="S380" s="630"/>
      <c r="U380" s="628">
        <v>4</v>
      </c>
      <c r="V380" s="630"/>
      <c r="W380" s="630"/>
    </row>
    <row r="381" spans="1:23" ht="33.75" customHeight="1" x14ac:dyDescent="0.2">
      <c r="A381" s="628">
        <v>3</v>
      </c>
      <c r="B381" s="630"/>
      <c r="C381" s="630"/>
      <c r="E381" s="628">
        <v>3</v>
      </c>
      <c r="F381" s="630"/>
      <c r="G381" s="630"/>
      <c r="I381" s="628">
        <v>3</v>
      </c>
      <c r="J381" s="630"/>
      <c r="K381" s="630"/>
      <c r="M381" s="628">
        <v>3</v>
      </c>
      <c r="N381" s="630"/>
      <c r="O381" s="630"/>
      <c r="Q381" s="628">
        <v>3</v>
      </c>
      <c r="R381" s="630"/>
      <c r="S381" s="630"/>
      <c r="U381" s="628">
        <v>3</v>
      </c>
      <c r="V381" s="630"/>
      <c r="W381" s="630"/>
    </row>
    <row r="382" spans="1:23" ht="33.75" customHeight="1" x14ac:dyDescent="0.2">
      <c r="A382" s="628">
        <v>2</v>
      </c>
      <c r="B382" s="630"/>
      <c r="C382" s="630"/>
      <c r="E382" s="628">
        <v>2</v>
      </c>
      <c r="F382" s="630"/>
      <c r="G382" s="630"/>
      <c r="I382" s="628">
        <v>2</v>
      </c>
      <c r="J382" s="630"/>
      <c r="K382" s="630"/>
      <c r="M382" s="628">
        <v>2</v>
      </c>
      <c r="N382" s="630"/>
      <c r="O382" s="630"/>
      <c r="Q382" s="628">
        <v>2</v>
      </c>
      <c r="R382" s="630"/>
      <c r="S382" s="630"/>
      <c r="U382" s="628">
        <v>2</v>
      </c>
      <c r="V382" s="630"/>
      <c r="W382" s="630"/>
    </row>
    <row r="383" spans="1:23" ht="33.75" customHeight="1" x14ac:dyDescent="0.2">
      <c r="A383" s="628">
        <v>1</v>
      </c>
      <c r="B383" s="630"/>
      <c r="C383" s="630"/>
      <c r="E383" s="628">
        <v>1</v>
      </c>
      <c r="F383" s="630"/>
      <c r="G383" s="630"/>
      <c r="I383" s="628">
        <v>1</v>
      </c>
      <c r="J383" s="630"/>
      <c r="K383" s="630"/>
      <c r="M383" s="628">
        <v>1</v>
      </c>
      <c r="N383" s="630"/>
      <c r="O383" s="630"/>
      <c r="Q383" s="628">
        <v>1</v>
      </c>
      <c r="R383" s="630"/>
      <c r="S383" s="630"/>
      <c r="U383" s="628">
        <v>1</v>
      </c>
      <c r="V383" s="630"/>
      <c r="W383" s="630"/>
    </row>
    <row r="384" spans="1:23" ht="33.75" customHeight="1" x14ac:dyDescent="0.2">
      <c r="A384" s="628" t="s">
        <v>982</v>
      </c>
      <c r="B384" s="630"/>
      <c r="C384" s="630"/>
      <c r="E384" s="628" t="s">
        <v>982</v>
      </c>
      <c r="F384" s="630"/>
      <c r="G384" s="630"/>
      <c r="I384" s="628" t="s">
        <v>982</v>
      </c>
      <c r="J384" s="630"/>
      <c r="K384" s="630"/>
      <c r="M384" s="628" t="s">
        <v>982</v>
      </c>
      <c r="N384" s="630"/>
      <c r="O384" s="630"/>
      <c r="Q384" s="628" t="s">
        <v>982</v>
      </c>
      <c r="R384" s="630"/>
      <c r="S384" s="630"/>
      <c r="U384" s="628" t="s">
        <v>982</v>
      </c>
      <c r="V384" s="630"/>
      <c r="W384" s="630"/>
    </row>
    <row r="385" spans="1:23" ht="33.75" customHeight="1" x14ac:dyDescent="0.2">
      <c r="A385" s="629" t="s">
        <v>981</v>
      </c>
      <c r="B385" s="630"/>
      <c r="C385" s="631" t="s">
        <v>984</v>
      </c>
      <c r="E385" s="629" t="s">
        <v>981</v>
      </c>
      <c r="F385" s="630"/>
      <c r="G385" s="631" t="s">
        <v>984</v>
      </c>
      <c r="I385" s="629" t="s">
        <v>981</v>
      </c>
      <c r="J385" s="630"/>
      <c r="K385" s="631" t="s">
        <v>984</v>
      </c>
      <c r="M385" s="629" t="s">
        <v>981</v>
      </c>
      <c r="N385" s="630"/>
      <c r="O385" s="631" t="s">
        <v>984</v>
      </c>
      <c r="Q385" s="629" t="s">
        <v>981</v>
      </c>
      <c r="R385" s="630"/>
      <c r="S385" s="631" t="s">
        <v>984</v>
      </c>
      <c r="U385" s="629" t="s">
        <v>981</v>
      </c>
      <c r="V385" s="630"/>
      <c r="W385" s="631" t="s">
        <v>984</v>
      </c>
    </row>
    <row r="386" spans="1:23" ht="48" customHeight="1" x14ac:dyDescent="0.25">
      <c r="A386" s="637"/>
      <c r="B386" s="629" t="s">
        <v>983</v>
      </c>
      <c r="C386" s="636"/>
      <c r="E386" s="637" t="s">
        <v>985</v>
      </c>
      <c r="F386" s="632" t="s">
        <v>983</v>
      </c>
      <c r="G386" s="633"/>
      <c r="I386" s="637" t="s">
        <v>985</v>
      </c>
      <c r="J386" s="632" t="s">
        <v>983</v>
      </c>
      <c r="K386" s="633"/>
      <c r="M386" s="637" t="s">
        <v>985</v>
      </c>
      <c r="N386" s="632" t="s">
        <v>983</v>
      </c>
      <c r="O386" s="633"/>
      <c r="Q386" s="637" t="s">
        <v>985</v>
      </c>
      <c r="R386" s="632" t="s">
        <v>983</v>
      </c>
      <c r="S386" s="633"/>
      <c r="U386" s="637" t="s">
        <v>985</v>
      </c>
      <c r="V386" s="632" t="s">
        <v>983</v>
      </c>
      <c r="W386" s="633"/>
    </row>
    <row r="387" spans="1:23" ht="51" customHeight="1" x14ac:dyDescent="0.2">
      <c r="A387" s="634"/>
      <c r="B387" s="634"/>
      <c r="C387" s="634"/>
      <c r="E387" s="1115" t="s">
        <v>986</v>
      </c>
      <c r="F387" s="1115"/>
      <c r="G387" s="635"/>
      <c r="I387" s="1115" t="s">
        <v>986</v>
      </c>
      <c r="J387" s="1115"/>
      <c r="K387" s="635"/>
      <c r="M387" s="1115" t="s">
        <v>986</v>
      </c>
      <c r="N387" s="1115"/>
      <c r="O387" s="635"/>
      <c r="Q387" s="1115" t="s">
        <v>986</v>
      </c>
      <c r="R387" s="1115"/>
      <c r="S387" s="635"/>
      <c r="U387" s="1228" t="s">
        <v>987</v>
      </c>
      <c r="V387" s="1229"/>
      <c r="W387" s="635"/>
    </row>
    <row r="388" spans="1:23" ht="13.5" customHeight="1" thickBot="1" x14ac:dyDescent="0.25"/>
    <row r="389" spans="1:23" ht="72" customHeight="1" thickBot="1" x14ac:dyDescent="0.25">
      <c r="E389" s="707" t="s">
        <v>1007</v>
      </c>
      <c r="F389" s="639"/>
      <c r="G389" s="639"/>
      <c r="H389" s="639"/>
      <c r="I389" s="639"/>
      <c r="J389" s="640"/>
      <c r="M389" s="708" t="s">
        <v>1008</v>
      </c>
      <c r="N389" s="639"/>
      <c r="O389" s="639"/>
      <c r="P389" s="639"/>
      <c r="Q389" s="640"/>
      <c r="S389" s="1219" t="s">
        <v>988</v>
      </c>
      <c r="T389" s="1219"/>
      <c r="U389" s="1219"/>
      <c r="V389" s="1220"/>
      <c r="W389" s="1221"/>
    </row>
    <row r="390" spans="1:23" ht="34.5" customHeight="1" x14ac:dyDescent="0.2"/>
    <row r="391" spans="1:23" ht="6.75" customHeight="1" x14ac:dyDescent="0.2">
      <c r="Q391" s="1193" t="str">
        <f>CATEG_IMPORTEE</f>
        <v>Collèges Mixtes Etablissement</v>
      </c>
      <c r="R391" s="1193"/>
      <c r="S391" s="1193"/>
      <c r="T391" s="1193"/>
      <c r="U391" s="1193"/>
      <c r="V391" s="1193"/>
      <c r="W391" s="1193"/>
    </row>
    <row r="392" spans="1:23" s="218" customFormat="1" ht="33.75" x14ac:dyDescent="0.2">
      <c r="A392" s="1207" t="s">
        <v>628</v>
      </c>
      <c r="B392" s="1207"/>
      <c r="C392" s="645">
        <f>C362+1</f>
        <v>14</v>
      </c>
      <c r="E392" s="1208" t="str">
        <f>Championnat</f>
        <v>Championnat de France de Tir à l'ARC</v>
      </c>
      <c r="F392" s="1208"/>
      <c r="G392" s="1208"/>
      <c r="H392" s="1208"/>
      <c r="I392" s="1208"/>
      <c r="J392" s="1208"/>
      <c r="K392" s="1208"/>
      <c r="L392" s="1208"/>
      <c r="M392" s="1208"/>
      <c r="N392" s="1208"/>
      <c r="O392" s="1208"/>
      <c r="Q392" s="1193"/>
      <c r="R392" s="1193"/>
      <c r="S392" s="1193"/>
      <c r="T392" s="1193"/>
      <c r="U392" s="1193"/>
      <c r="V392" s="1193"/>
      <c r="W392" s="1193"/>
    </row>
    <row r="393" spans="1:23" ht="27" customHeight="1" x14ac:dyDescent="0.2">
      <c r="Q393" s="1211" t="str">
        <f>LIEU&amp;" du "&amp;DATE</f>
        <v>L’Isle sur la Sorgue du 27 au 31 mars 2023</v>
      </c>
      <c r="R393" s="1211"/>
      <c r="S393" s="1211"/>
      <c r="T393" s="1211"/>
      <c r="U393" s="1211"/>
      <c r="V393" s="1211"/>
      <c r="W393" s="1211"/>
    </row>
    <row r="394" spans="1:23" ht="19.5" customHeight="1" thickBot="1" x14ac:dyDescent="0.25">
      <c r="E394" s="1212" t="s">
        <v>0</v>
      </c>
      <c r="F394" s="1212"/>
      <c r="G394" s="1212"/>
      <c r="H394" s="1212"/>
      <c r="I394" s="1212"/>
      <c r="J394" s="1212"/>
      <c r="K394" s="1212"/>
      <c r="L394" s="641"/>
      <c r="M394" s="1212" t="s">
        <v>375</v>
      </c>
      <c r="N394" s="1212"/>
      <c r="O394" s="1212"/>
      <c r="P394" s="1212"/>
      <c r="Q394" s="1212"/>
      <c r="S394" s="1212" t="s">
        <v>374</v>
      </c>
      <c r="T394" s="1212"/>
      <c r="U394" s="1212"/>
      <c r="V394" s="1212"/>
      <c r="W394" s="1212"/>
    </row>
    <row r="395" spans="1:23" ht="36.75" customHeight="1" thickBot="1" x14ac:dyDescent="0.25">
      <c r="E395" s="1213" t="e">
        <f>VLOOKUP(E398,ID_archer_cible,2,FALSE)</f>
        <v>#N/A</v>
      </c>
      <c r="F395" s="1214"/>
      <c r="G395" s="1214"/>
      <c r="H395" s="1214"/>
      <c r="I395" s="1214"/>
      <c r="J395" s="1214"/>
      <c r="K395" s="1215"/>
      <c r="L395" s="641"/>
      <c r="M395" s="1216" t="e">
        <f>"("&amp;VLOOKUP(E398,ID_archer_cible,3,FALSE)&amp;")"</f>
        <v>#N/A</v>
      </c>
      <c r="N395" s="1217"/>
      <c r="O395" s="1217"/>
      <c r="P395" s="1217"/>
      <c r="Q395" s="1217"/>
      <c r="R395" s="1218"/>
      <c r="S395" s="1185" t="e">
        <f>VLOOKUP(E398,ID_archer_cible,4,FALSE)</f>
        <v>#N/A</v>
      </c>
      <c r="T395" s="1186"/>
      <c r="U395" s="1186"/>
      <c r="V395" s="1186"/>
      <c r="W395" s="1187"/>
    </row>
    <row r="396" spans="1:23" ht="17.25" customHeight="1" x14ac:dyDescent="0.2"/>
    <row r="397" spans="1:23" ht="23.25" customHeight="1" thickBot="1" x14ac:dyDescent="0.25">
      <c r="A397" s="638" t="s">
        <v>906</v>
      </c>
      <c r="E397" s="508" t="s">
        <v>552</v>
      </c>
      <c r="F397" s="571" t="s">
        <v>893</v>
      </c>
      <c r="G397" s="1202" t="s">
        <v>550</v>
      </c>
      <c r="H397" s="1202"/>
      <c r="I397" s="571" t="s">
        <v>905</v>
      </c>
      <c r="J397" s="709" t="s">
        <v>551</v>
      </c>
      <c r="N397" s="508" t="s">
        <v>552</v>
      </c>
      <c r="O397" s="571" t="s">
        <v>893</v>
      </c>
      <c r="P397" s="1202" t="s">
        <v>550</v>
      </c>
      <c r="Q397" s="1202"/>
      <c r="R397" s="571" t="s">
        <v>905</v>
      </c>
      <c r="S397" s="709" t="s">
        <v>551</v>
      </c>
    </row>
    <row r="398" spans="1:23" ht="23.25" customHeight="1" thickTop="1" x14ac:dyDescent="0.2">
      <c r="A398" s="710" t="e">
        <f>VLOOKUP(E398,ID_archer_cible,5,FALSE)&amp;"    "&amp;VLOOKUP(E398,ID_archer_cible,6,FALSE)</f>
        <v>#N/A</v>
      </c>
      <c r="B398" s="711"/>
      <c r="C398" s="711"/>
      <c r="D398" s="712"/>
      <c r="E398" s="713" t="str">
        <f>C392&amp;"A"</f>
        <v>14A</v>
      </c>
      <c r="F398" s="714" t="e">
        <f>VLOOKUP(E398,ID_archer_cible,9,FALSE)</f>
        <v>#N/A</v>
      </c>
      <c r="G398" s="1209" t="e">
        <f>VLOOKUP(E398,ID_archer_cible,8,FALSE)</f>
        <v>#N/A</v>
      </c>
      <c r="H398" s="1209"/>
      <c r="I398" s="715" t="e">
        <f>VLOOKUP(E398,ID_archer_cible,7,FALSE)</f>
        <v>#N/A</v>
      </c>
      <c r="J398" s="716" t="e">
        <f>VLOOKUP(E398,ID_archer_cible,10,FALSE)</f>
        <v>#N/A</v>
      </c>
      <c r="K398" s="710" t="e">
        <f>VLOOKUP(N398,ID_archer_cible,5,FALSE)&amp;"    "&amp;VLOOKUP(N398,ID_archer_cible,6,FALSE)</f>
        <v>#N/A</v>
      </c>
      <c r="L398" s="722"/>
      <c r="M398" s="723"/>
      <c r="N398" s="714" t="str">
        <f>C392&amp;"C"</f>
        <v>14C</v>
      </c>
      <c r="O398" s="714" t="e">
        <f>VLOOKUP(N398,ID_archer_cible,9,FALSE)</f>
        <v>#N/A</v>
      </c>
      <c r="P398" s="1203" t="e">
        <f>VLOOKUP(N398,ID_archer_cible,8,FALSE)</f>
        <v>#N/A</v>
      </c>
      <c r="Q398" s="1204"/>
      <c r="R398" s="724" t="e">
        <f>VLOOKUP(N398,ID_archer_cible,7,FALSE)</f>
        <v>#N/A</v>
      </c>
      <c r="S398" s="716" t="e">
        <f>VLOOKUP(N398,ID_archer_cible,10,FALSE)</f>
        <v>#N/A</v>
      </c>
    </row>
    <row r="399" spans="1:23" ht="23.25" customHeight="1" thickBot="1" x14ac:dyDescent="0.25">
      <c r="A399" s="717" t="e">
        <f>VLOOKUP(E399,ID_archer_cible,5,FALSE)&amp;"    "&amp;VLOOKUP(E399,ID_archer_cible,6,FALSE)</f>
        <v>#N/A</v>
      </c>
      <c r="B399" s="718"/>
      <c r="C399" s="718"/>
      <c r="D399" s="719"/>
      <c r="E399" s="696" t="str">
        <f>C392&amp;"B"</f>
        <v>14B</v>
      </c>
      <c r="F399" s="720" t="e">
        <f>VLOOKUP(E399,ID_archer_cible,9,FALSE)</f>
        <v>#N/A</v>
      </c>
      <c r="G399" s="1210" t="e">
        <f>VLOOKUP(E399,ID_archer_cible,8,FALSE)</f>
        <v>#N/A</v>
      </c>
      <c r="H399" s="1210"/>
      <c r="I399" s="721" t="e">
        <f>VLOOKUP(E399,ID_archer_cible,7,FALSE)</f>
        <v>#N/A</v>
      </c>
      <c r="J399" s="700" t="e">
        <f>VLOOKUP(E399,ID_archer_cible,10,FALSE)</f>
        <v>#N/A</v>
      </c>
      <c r="K399" s="717" t="e">
        <f>VLOOKUP(N399,ID_archer_cible,5,FALSE)&amp;"    "&amp;VLOOKUP(N399,ID_archer_cible,6,FALSE)</f>
        <v>#N/A</v>
      </c>
      <c r="L399" s="725"/>
      <c r="M399" s="726"/>
      <c r="N399" s="720" t="str">
        <f>C392&amp;"D"</f>
        <v>14D</v>
      </c>
      <c r="O399" s="720" t="e">
        <f>VLOOKUP(N399,ID_archer_cible,9,FALSE)</f>
        <v>#N/A</v>
      </c>
      <c r="P399" s="1205" t="e">
        <f>VLOOKUP(N399,ID_archer_cible,8,FALSE)</f>
        <v>#N/A</v>
      </c>
      <c r="Q399" s="1206"/>
      <c r="R399" s="727" t="e">
        <f>VLOOKUP(N399,ID_archer_cible,7,FALSE)</f>
        <v>#N/A</v>
      </c>
      <c r="S399" s="700" t="e">
        <f>VLOOKUP(N399,ID_archer_cible,10,FALSE)</f>
        <v>#N/A</v>
      </c>
    </row>
    <row r="400" spans="1:23" ht="15" customHeight="1" thickTop="1" x14ac:dyDescent="0.2"/>
    <row r="401" spans="1:23" ht="15" customHeight="1" thickBot="1" x14ac:dyDescent="0.25"/>
    <row r="402" spans="1:23" ht="33.75" customHeight="1" thickBot="1" x14ac:dyDescent="0.25">
      <c r="A402" s="1222" t="s">
        <v>909</v>
      </c>
      <c r="B402" s="1223"/>
      <c r="C402" s="1224"/>
      <c r="E402" s="1225" t="s">
        <v>910</v>
      </c>
      <c r="F402" s="1226"/>
      <c r="G402" s="1227"/>
      <c r="I402" s="1222" t="s">
        <v>911</v>
      </c>
      <c r="J402" s="1223"/>
      <c r="K402" s="1224"/>
      <c r="M402" s="1222" t="s">
        <v>912</v>
      </c>
      <c r="N402" s="1223"/>
      <c r="O402" s="1224"/>
      <c r="Q402" s="1222" t="s">
        <v>913</v>
      </c>
      <c r="R402" s="1223"/>
      <c r="S402" s="1224"/>
      <c r="U402" s="1222" t="s">
        <v>916</v>
      </c>
      <c r="V402" s="1223"/>
      <c r="W402" s="1224"/>
    </row>
    <row r="403" spans="1:23" ht="33.75" customHeight="1" x14ac:dyDescent="0.2">
      <c r="A403" s="642" t="s">
        <v>980</v>
      </c>
      <c r="B403" s="643" t="s">
        <v>981</v>
      </c>
      <c r="C403" s="644" t="s">
        <v>780</v>
      </c>
      <c r="E403" s="642" t="s">
        <v>980</v>
      </c>
      <c r="F403" s="643" t="s">
        <v>981</v>
      </c>
      <c r="G403" s="644" t="s">
        <v>780</v>
      </c>
      <c r="I403" s="642" t="s">
        <v>980</v>
      </c>
      <c r="J403" s="643" t="s">
        <v>981</v>
      </c>
      <c r="K403" s="644" t="s">
        <v>780</v>
      </c>
      <c r="M403" s="642" t="s">
        <v>980</v>
      </c>
      <c r="N403" s="643" t="s">
        <v>981</v>
      </c>
      <c r="O403" s="644" t="s">
        <v>780</v>
      </c>
      <c r="Q403" s="642" t="s">
        <v>980</v>
      </c>
      <c r="R403" s="643" t="s">
        <v>981</v>
      </c>
      <c r="S403" s="644" t="s">
        <v>780</v>
      </c>
      <c r="U403" s="642" t="s">
        <v>980</v>
      </c>
      <c r="V403" s="643" t="s">
        <v>981</v>
      </c>
      <c r="W403" s="644" t="s">
        <v>780</v>
      </c>
    </row>
    <row r="404" spans="1:23" ht="33.75" customHeight="1" x14ac:dyDescent="0.2">
      <c r="A404" s="628">
        <v>10</v>
      </c>
      <c r="B404" s="630"/>
      <c r="C404" s="630"/>
      <c r="E404" s="628">
        <v>10</v>
      </c>
      <c r="F404" s="630"/>
      <c r="G404" s="630"/>
      <c r="I404" s="628">
        <v>10</v>
      </c>
      <c r="J404" s="630"/>
      <c r="K404" s="630"/>
      <c r="M404" s="628">
        <v>10</v>
      </c>
      <c r="N404" s="630"/>
      <c r="O404" s="630"/>
      <c r="Q404" s="628">
        <v>10</v>
      </c>
      <c r="R404" s="630"/>
      <c r="S404" s="630"/>
      <c r="U404" s="628">
        <v>10</v>
      </c>
      <c r="V404" s="630"/>
      <c r="W404" s="630"/>
    </row>
    <row r="405" spans="1:23" ht="33.75" customHeight="1" x14ac:dyDescent="0.2">
      <c r="A405" s="628">
        <v>9</v>
      </c>
      <c r="B405" s="630"/>
      <c r="C405" s="630"/>
      <c r="E405" s="628">
        <v>9</v>
      </c>
      <c r="F405" s="630"/>
      <c r="G405" s="630"/>
      <c r="I405" s="628">
        <v>9</v>
      </c>
      <c r="J405" s="630"/>
      <c r="K405" s="630"/>
      <c r="M405" s="628">
        <v>9</v>
      </c>
      <c r="N405" s="630"/>
      <c r="O405" s="630"/>
      <c r="Q405" s="628">
        <v>9</v>
      </c>
      <c r="R405" s="630"/>
      <c r="S405" s="630"/>
      <c r="U405" s="628">
        <v>9</v>
      </c>
      <c r="V405" s="630"/>
      <c r="W405" s="630"/>
    </row>
    <row r="406" spans="1:23" ht="33.75" customHeight="1" x14ac:dyDescent="0.2">
      <c r="A406" s="628">
        <v>8</v>
      </c>
      <c r="B406" s="630"/>
      <c r="C406" s="630"/>
      <c r="E406" s="628">
        <v>8</v>
      </c>
      <c r="F406" s="630"/>
      <c r="G406" s="630"/>
      <c r="I406" s="628">
        <v>8</v>
      </c>
      <c r="J406" s="630"/>
      <c r="K406" s="630"/>
      <c r="M406" s="628">
        <v>8</v>
      </c>
      <c r="N406" s="630"/>
      <c r="O406" s="630"/>
      <c r="Q406" s="628">
        <v>8</v>
      </c>
      <c r="R406" s="630"/>
      <c r="S406" s="630"/>
      <c r="U406" s="628">
        <v>8</v>
      </c>
      <c r="V406" s="630"/>
      <c r="W406" s="630"/>
    </row>
    <row r="407" spans="1:23" ht="33.75" customHeight="1" x14ac:dyDescent="0.2">
      <c r="A407" s="628">
        <v>7</v>
      </c>
      <c r="B407" s="630"/>
      <c r="C407" s="630"/>
      <c r="E407" s="628">
        <v>7</v>
      </c>
      <c r="F407" s="630"/>
      <c r="G407" s="630"/>
      <c r="I407" s="628">
        <v>7</v>
      </c>
      <c r="J407" s="630"/>
      <c r="K407" s="630"/>
      <c r="M407" s="628">
        <v>7</v>
      </c>
      <c r="N407" s="630"/>
      <c r="O407" s="630"/>
      <c r="Q407" s="628">
        <v>7</v>
      </c>
      <c r="R407" s="630"/>
      <c r="S407" s="630"/>
      <c r="U407" s="628">
        <v>7</v>
      </c>
      <c r="V407" s="630"/>
      <c r="W407" s="630"/>
    </row>
    <row r="408" spans="1:23" ht="33.75" customHeight="1" x14ac:dyDescent="0.2">
      <c r="A408" s="628">
        <v>6</v>
      </c>
      <c r="B408" s="630"/>
      <c r="C408" s="630"/>
      <c r="E408" s="628">
        <v>6</v>
      </c>
      <c r="F408" s="630"/>
      <c r="G408" s="630"/>
      <c r="I408" s="628">
        <v>6</v>
      </c>
      <c r="J408" s="630"/>
      <c r="K408" s="630"/>
      <c r="M408" s="628">
        <v>6</v>
      </c>
      <c r="N408" s="630"/>
      <c r="O408" s="630"/>
      <c r="Q408" s="628">
        <v>6</v>
      </c>
      <c r="R408" s="630"/>
      <c r="S408" s="630"/>
      <c r="U408" s="628">
        <v>6</v>
      </c>
      <c r="V408" s="630"/>
      <c r="W408" s="630"/>
    </row>
    <row r="409" spans="1:23" ht="33.75" customHeight="1" x14ac:dyDescent="0.2">
      <c r="A409" s="628">
        <v>5</v>
      </c>
      <c r="B409" s="630"/>
      <c r="C409" s="630"/>
      <c r="E409" s="628">
        <v>5</v>
      </c>
      <c r="F409" s="630"/>
      <c r="G409" s="630"/>
      <c r="I409" s="628">
        <v>5</v>
      </c>
      <c r="J409" s="630"/>
      <c r="K409" s="630"/>
      <c r="M409" s="628">
        <v>5</v>
      </c>
      <c r="N409" s="630"/>
      <c r="O409" s="630"/>
      <c r="Q409" s="628">
        <v>5</v>
      </c>
      <c r="R409" s="630"/>
      <c r="S409" s="630"/>
      <c r="U409" s="628">
        <v>5</v>
      </c>
      <c r="V409" s="630"/>
      <c r="W409" s="630"/>
    </row>
    <row r="410" spans="1:23" ht="33.75" customHeight="1" x14ac:dyDescent="0.2">
      <c r="A410" s="628">
        <v>4</v>
      </c>
      <c r="B410" s="630"/>
      <c r="C410" s="630"/>
      <c r="E410" s="628">
        <v>4</v>
      </c>
      <c r="F410" s="630"/>
      <c r="G410" s="630"/>
      <c r="I410" s="628">
        <v>4</v>
      </c>
      <c r="J410" s="630"/>
      <c r="K410" s="630"/>
      <c r="M410" s="628">
        <v>4</v>
      </c>
      <c r="N410" s="630"/>
      <c r="O410" s="630"/>
      <c r="Q410" s="628">
        <v>4</v>
      </c>
      <c r="R410" s="630"/>
      <c r="S410" s="630"/>
      <c r="U410" s="628">
        <v>4</v>
      </c>
      <c r="V410" s="630"/>
      <c r="W410" s="630"/>
    </row>
    <row r="411" spans="1:23" ht="33.75" customHeight="1" x14ac:dyDescent="0.2">
      <c r="A411" s="628">
        <v>3</v>
      </c>
      <c r="B411" s="630"/>
      <c r="C411" s="630"/>
      <c r="E411" s="628">
        <v>3</v>
      </c>
      <c r="F411" s="630"/>
      <c r="G411" s="630"/>
      <c r="I411" s="628">
        <v>3</v>
      </c>
      <c r="J411" s="630"/>
      <c r="K411" s="630"/>
      <c r="M411" s="628">
        <v>3</v>
      </c>
      <c r="N411" s="630"/>
      <c r="O411" s="630"/>
      <c r="Q411" s="628">
        <v>3</v>
      </c>
      <c r="R411" s="630"/>
      <c r="S411" s="630"/>
      <c r="U411" s="628">
        <v>3</v>
      </c>
      <c r="V411" s="630"/>
      <c r="W411" s="630"/>
    </row>
    <row r="412" spans="1:23" ht="33.75" customHeight="1" x14ac:dyDescent="0.2">
      <c r="A412" s="628">
        <v>2</v>
      </c>
      <c r="B412" s="630"/>
      <c r="C412" s="630"/>
      <c r="E412" s="628">
        <v>2</v>
      </c>
      <c r="F412" s="630"/>
      <c r="G412" s="630"/>
      <c r="I412" s="628">
        <v>2</v>
      </c>
      <c r="J412" s="630"/>
      <c r="K412" s="630"/>
      <c r="M412" s="628">
        <v>2</v>
      </c>
      <c r="N412" s="630"/>
      <c r="O412" s="630"/>
      <c r="Q412" s="628">
        <v>2</v>
      </c>
      <c r="R412" s="630"/>
      <c r="S412" s="630"/>
      <c r="U412" s="628">
        <v>2</v>
      </c>
      <c r="V412" s="630"/>
      <c r="W412" s="630"/>
    </row>
    <row r="413" spans="1:23" ht="33.75" customHeight="1" x14ac:dyDescent="0.2">
      <c r="A413" s="628">
        <v>1</v>
      </c>
      <c r="B413" s="630"/>
      <c r="C413" s="630"/>
      <c r="E413" s="628">
        <v>1</v>
      </c>
      <c r="F413" s="630"/>
      <c r="G413" s="630"/>
      <c r="I413" s="628">
        <v>1</v>
      </c>
      <c r="J413" s="630"/>
      <c r="K413" s="630"/>
      <c r="M413" s="628">
        <v>1</v>
      </c>
      <c r="N413" s="630"/>
      <c r="O413" s="630"/>
      <c r="Q413" s="628">
        <v>1</v>
      </c>
      <c r="R413" s="630"/>
      <c r="S413" s="630"/>
      <c r="U413" s="628">
        <v>1</v>
      </c>
      <c r="V413" s="630"/>
      <c r="W413" s="630"/>
    </row>
    <row r="414" spans="1:23" ht="33.75" customHeight="1" x14ac:dyDescent="0.2">
      <c r="A414" s="628" t="s">
        <v>982</v>
      </c>
      <c r="B414" s="630"/>
      <c r="C414" s="630"/>
      <c r="E414" s="628" t="s">
        <v>982</v>
      </c>
      <c r="F414" s="630"/>
      <c r="G414" s="630"/>
      <c r="I414" s="628" t="s">
        <v>982</v>
      </c>
      <c r="J414" s="630"/>
      <c r="K414" s="630"/>
      <c r="M414" s="628" t="s">
        <v>982</v>
      </c>
      <c r="N414" s="630"/>
      <c r="O414" s="630"/>
      <c r="Q414" s="628" t="s">
        <v>982</v>
      </c>
      <c r="R414" s="630"/>
      <c r="S414" s="630"/>
      <c r="U414" s="628" t="s">
        <v>982</v>
      </c>
      <c r="V414" s="630"/>
      <c r="W414" s="630"/>
    </row>
    <row r="415" spans="1:23" ht="33.75" customHeight="1" x14ac:dyDescent="0.2">
      <c r="A415" s="629" t="s">
        <v>981</v>
      </c>
      <c r="B415" s="630"/>
      <c r="C415" s="631" t="s">
        <v>984</v>
      </c>
      <c r="E415" s="629" t="s">
        <v>981</v>
      </c>
      <c r="F415" s="630"/>
      <c r="G415" s="631" t="s">
        <v>984</v>
      </c>
      <c r="I415" s="629" t="s">
        <v>981</v>
      </c>
      <c r="J415" s="630"/>
      <c r="K415" s="631" t="s">
        <v>984</v>
      </c>
      <c r="M415" s="629" t="s">
        <v>981</v>
      </c>
      <c r="N415" s="630"/>
      <c r="O415" s="631" t="s">
        <v>984</v>
      </c>
      <c r="Q415" s="629" t="s">
        <v>981</v>
      </c>
      <c r="R415" s="630"/>
      <c r="S415" s="631" t="s">
        <v>984</v>
      </c>
      <c r="U415" s="629" t="s">
        <v>981</v>
      </c>
      <c r="V415" s="630"/>
      <c r="W415" s="631" t="s">
        <v>984</v>
      </c>
    </row>
    <row r="416" spans="1:23" ht="48" customHeight="1" x14ac:dyDescent="0.25">
      <c r="A416" s="637"/>
      <c r="B416" s="629" t="s">
        <v>983</v>
      </c>
      <c r="C416" s="636"/>
      <c r="E416" s="637" t="s">
        <v>985</v>
      </c>
      <c r="F416" s="632" t="s">
        <v>983</v>
      </c>
      <c r="G416" s="633"/>
      <c r="I416" s="637" t="s">
        <v>985</v>
      </c>
      <c r="J416" s="632" t="s">
        <v>983</v>
      </c>
      <c r="K416" s="633"/>
      <c r="M416" s="637" t="s">
        <v>985</v>
      </c>
      <c r="N416" s="632" t="s">
        <v>983</v>
      </c>
      <c r="O416" s="633"/>
      <c r="Q416" s="637" t="s">
        <v>985</v>
      </c>
      <c r="R416" s="632" t="s">
        <v>983</v>
      </c>
      <c r="S416" s="633"/>
      <c r="U416" s="637" t="s">
        <v>985</v>
      </c>
      <c r="V416" s="632" t="s">
        <v>983</v>
      </c>
      <c r="W416" s="633"/>
    </row>
    <row r="417" spans="1:23" ht="51" customHeight="1" x14ac:dyDescent="0.2">
      <c r="A417" s="634"/>
      <c r="B417" s="634"/>
      <c r="C417" s="634"/>
      <c r="E417" s="1115" t="s">
        <v>986</v>
      </c>
      <c r="F417" s="1115"/>
      <c r="G417" s="635"/>
      <c r="I417" s="1115" t="s">
        <v>986</v>
      </c>
      <c r="J417" s="1115"/>
      <c r="K417" s="635"/>
      <c r="M417" s="1115" t="s">
        <v>986</v>
      </c>
      <c r="N417" s="1115"/>
      <c r="O417" s="635"/>
      <c r="Q417" s="1115" t="s">
        <v>986</v>
      </c>
      <c r="R417" s="1115"/>
      <c r="S417" s="635"/>
      <c r="U417" s="1228" t="s">
        <v>987</v>
      </c>
      <c r="V417" s="1229"/>
      <c r="W417" s="635"/>
    </row>
    <row r="418" spans="1:23" ht="13.5" customHeight="1" thickBot="1" x14ac:dyDescent="0.25"/>
    <row r="419" spans="1:23" ht="72" customHeight="1" thickBot="1" x14ac:dyDescent="0.25">
      <c r="E419" s="707" t="s">
        <v>1007</v>
      </c>
      <c r="F419" s="639"/>
      <c r="G419" s="639"/>
      <c r="H419" s="639"/>
      <c r="I419" s="639"/>
      <c r="J419" s="640"/>
      <c r="M419" s="708" t="s">
        <v>1008</v>
      </c>
      <c r="N419" s="639"/>
      <c r="O419" s="639"/>
      <c r="P419" s="639"/>
      <c r="Q419" s="640"/>
      <c r="S419" s="1219" t="s">
        <v>988</v>
      </c>
      <c r="T419" s="1219"/>
      <c r="U419" s="1219"/>
      <c r="V419" s="1220"/>
      <c r="W419" s="1221"/>
    </row>
    <row r="420" spans="1:23" ht="34.5" customHeight="1" x14ac:dyDescent="0.2"/>
    <row r="421" spans="1:23" ht="6.75" customHeight="1" x14ac:dyDescent="0.2">
      <c r="Q421" s="1193" t="str">
        <f>CATEG_IMPORTEE</f>
        <v>Collèges Mixtes Etablissement</v>
      </c>
      <c r="R421" s="1193"/>
      <c r="S421" s="1193"/>
      <c r="T421" s="1193"/>
      <c r="U421" s="1193"/>
      <c r="V421" s="1193"/>
      <c r="W421" s="1193"/>
    </row>
    <row r="422" spans="1:23" s="218" customFormat="1" ht="33.75" x14ac:dyDescent="0.2">
      <c r="A422" s="1207" t="s">
        <v>628</v>
      </c>
      <c r="B422" s="1207"/>
      <c r="C422" s="645">
        <f>C392+1</f>
        <v>15</v>
      </c>
      <c r="E422" s="1208" t="str">
        <f>Championnat</f>
        <v>Championnat de France de Tir à l'ARC</v>
      </c>
      <c r="F422" s="1208"/>
      <c r="G422" s="1208"/>
      <c r="H422" s="1208"/>
      <c r="I422" s="1208"/>
      <c r="J422" s="1208"/>
      <c r="K422" s="1208"/>
      <c r="L422" s="1208"/>
      <c r="M422" s="1208"/>
      <c r="N422" s="1208"/>
      <c r="O422" s="1208"/>
      <c r="Q422" s="1193"/>
      <c r="R422" s="1193"/>
      <c r="S422" s="1193"/>
      <c r="T422" s="1193"/>
      <c r="U422" s="1193"/>
      <c r="V422" s="1193"/>
      <c r="W422" s="1193"/>
    </row>
    <row r="423" spans="1:23" ht="27" customHeight="1" x14ac:dyDescent="0.2">
      <c r="Q423" s="1211" t="str">
        <f>LIEU&amp;" du "&amp;DATE</f>
        <v>L’Isle sur la Sorgue du 27 au 31 mars 2023</v>
      </c>
      <c r="R423" s="1211"/>
      <c r="S423" s="1211"/>
      <c r="T423" s="1211"/>
      <c r="U423" s="1211"/>
      <c r="V423" s="1211"/>
      <c r="W423" s="1211"/>
    </row>
    <row r="424" spans="1:23" ht="19.5" customHeight="1" thickBot="1" x14ac:dyDescent="0.25">
      <c r="E424" s="1212" t="s">
        <v>0</v>
      </c>
      <c r="F424" s="1212"/>
      <c r="G424" s="1212"/>
      <c r="H424" s="1212"/>
      <c r="I424" s="1212"/>
      <c r="J424" s="1212"/>
      <c r="K424" s="1212"/>
      <c r="L424" s="641"/>
      <c r="M424" s="1212" t="s">
        <v>375</v>
      </c>
      <c r="N424" s="1212"/>
      <c r="O424" s="1212"/>
      <c r="P424" s="1212"/>
      <c r="Q424" s="1212"/>
      <c r="S424" s="1212" t="s">
        <v>374</v>
      </c>
      <c r="T424" s="1212"/>
      <c r="U424" s="1212"/>
      <c r="V424" s="1212"/>
      <c r="W424" s="1212"/>
    </row>
    <row r="425" spans="1:23" ht="36.75" customHeight="1" thickBot="1" x14ac:dyDescent="0.25">
      <c r="E425" s="1213" t="e">
        <f>VLOOKUP(E428,ID_archer_cible,2,FALSE)</f>
        <v>#N/A</v>
      </c>
      <c r="F425" s="1214"/>
      <c r="G425" s="1214"/>
      <c r="H425" s="1214"/>
      <c r="I425" s="1214"/>
      <c r="J425" s="1214"/>
      <c r="K425" s="1215"/>
      <c r="L425" s="641"/>
      <c r="M425" s="1216" t="e">
        <f>"("&amp;VLOOKUP(E428,ID_archer_cible,3,FALSE)&amp;")"</f>
        <v>#N/A</v>
      </c>
      <c r="N425" s="1217"/>
      <c r="O425" s="1217"/>
      <c r="P425" s="1217"/>
      <c r="Q425" s="1217"/>
      <c r="R425" s="1218"/>
      <c r="S425" s="1185" t="e">
        <f>VLOOKUP(E428,ID_archer_cible,4,FALSE)</f>
        <v>#N/A</v>
      </c>
      <c r="T425" s="1186"/>
      <c r="U425" s="1186"/>
      <c r="V425" s="1186"/>
      <c r="W425" s="1187"/>
    </row>
    <row r="426" spans="1:23" ht="17.25" customHeight="1" x14ac:dyDescent="0.2"/>
    <row r="427" spans="1:23" ht="23.25" customHeight="1" thickBot="1" x14ac:dyDescent="0.25">
      <c r="A427" s="638" t="s">
        <v>906</v>
      </c>
      <c r="E427" s="508" t="s">
        <v>552</v>
      </c>
      <c r="F427" s="571" t="s">
        <v>893</v>
      </c>
      <c r="G427" s="1202" t="s">
        <v>550</v>
      </c>
      <c r="H427" s="1202"/>
      <c r="I427" s="571" t="s">
        <v>905</v>
      </c>
      <c r="J427" s="709" t="s">
        <v>551</v>
      </c>
      <c r="N427" s="508" t="s">
        <v>552</v>
      </c>
      <c r="O427" s="571" t="s">
        <v>893</v>
      </c>
      <c r="P427" s="1202" t="s">
        <v>550</v>
      </c>
      <c r="Q427" s="1202"/>
      <c r="R427" s="571" t="s">
        <v>905</v>
      </c>
      <c r="S427" s="709" t="s">
        <v>551</v>
      </c>
    </row>
    <row r="428" spans="1:23" ht="23.25" customHeight="1" thickTop="1" x14ac:dyDescent="0.2">
      <c r="A428" s="710" t="e">
        <f>VLOOKUP(E428,ID_archer_cible,5,FALSE)&amp;"    "&amp;VLOOKUP(E428,ID_archer_cible,6,FALSE)</f>
        <v>#N/A</v>
      </c>
      <c r="B428" s="711"/>
      <c r="C428" s="711"/>
      <c r="D428" s="712"/>
      <c r="E428" s="713" t="str">
        <f>C422&amp;"A"</f>
        <v>15A</v>
      </c>
      <c r="F428" s="714" t="e">
        <f>VLOOKUP(E428,ID_archer_cible,9,FALSE)</f>
        <v>#N/A</v>
      </c>
      <c r="G428" s="1209" t="e">
        <f>VLOOKUP(E428,ID_archer_cible,8,FALSE)</f>
        <v>#N/A</v>
      </c>
      <c r="H428" s="1209"/>
      <c r="I428" s="715" t="e">
        <f>VLOOKUP(E428,ID_archer_cible,7,FALSE)</f>
        <v>#N/A</v>
      </c>
      <c r="J428" s="716" t="e">
        <f>VLOOKUP(E428,ID_archer_cible,10,FALSE)</f>
        <v>#N/A</v>
      </c>
      <c r="K428" s="710" t="e">
        <f>VLOOKUP(N428,ID_archer_cible,5,FALSE)&amp;"    "&amp;VLOOKUP(N428,ID_archer_cible,6,FALSE)</f>
        <v>#N/A</v>
      </c>
      <c r="L428" s="722"/>
      <c r="M428" s="723"/>
      <c r="N428" s="714" t="str">
        <f>C422&amp;"C"</f>
        <v>15C</v>
      </c>
      <c r="O428" s="714" t="e">
        <f>VLOOKUP(N428,ID_archer_cible,9,FALSE)</f>
        <v>#N/A</v>
      </c>
      <c r="P428" s="1203" t="e">
        <f>VLOOKUP(N428,ID_archer_cible,8,FALSE)</f>
        <v>#N/A</v>
      </c>
      <c r="Q428" s="1204"/>
      <c r="R428" s="724" t="e">
        <f>VLOOKUP(N428,ID_archer_cible,7,FALSE)</f>
        <v>#N/A</v>
      </c>
      <c r="S428" s="716" t="e">
        <f>VLOOKUP(N428,ID_archer_cible,10,FALSE)</f>
        <v>#N/A</v>
      </c>
    </row>
    <row r="429" spans="1:23" ht="23.25" customHeight="1" thickBot="1" x14ac:dyDescent="0.25">
      <c r="A429" s="717" t="e">
        <f>VLOOKUP(E429,ID_archer_cible,5,FALSE)&amp;"    "&amp;VLOOKUP(E429,ID_archer_cible,6,FALSE)</f>
        <v>#N/A</v>
      </c>
      <c r="B429" s="718"/>
      <c r="C429" s="718"/>
      <c r="D429" s="719"/>
      <c r="E429" s="696" t="str">
        <f>C422&amp;"B"</f>
        <v>15B</v>
      </c>
      <c r="F429" s="720" t="e">
        <f>VLOOKUP(E429,ID_archer_cible,9,FALSE)</f>
        <v>#N/A</v>
      </c>
      <c r="G429" s="1210" t="e">
        <f>VLOOKUP(E429,ID_archer_cible,8,FALSE)</f>
        <v>#N/A</v>
      </c>
      <c r="H429" s="1210"/>
      <c r="I429" s="721" t="e">
        <f>VLOOKUP(E429,ID_archer_cible,7,FALSE)</f>
        <v>#N/A</v>
      </c>
      <c r="J429" s="700" t="e">
        <f>VLOOKUP(E429,ID_archer_cible,10,FALSE)</f>
        <v>#N/A</v>
      </c>
      <c r="K429" s="717" t="e">
        <f>VLOOKUP(N429,ID_archer_cible,5,FALSE)&amp;"    "&amp;VLOOKUP(N429,ID_archer_cible,6,FALSE)</f>
        <v>#N/A</v>
      </c>
      <c r="L429" s="725"/>
      <c r="M429" s="726"/>
      <c r="N429" s="720" t="str">
        <f>C422&amp;"D"</f>
        <v>15D</v>
      </c>
      <c r="O429" s="720" t="e">
        <f>VLOOKUP(N429,ID_archer_cible,9,FALSE)</f>
        <v>#N/A</v>
      </c>
      <c r="P429" s="1205" t="e">
        <f>VLOOKUP(N429,ID_archer_cible,8,FALSE)</f>
        <v>#N/A</v>
      </c>
      <c r="Q429" s="1206"/>
      <c r="R429" s="727" t="e">
        <f>VLOOKUP(N429,ID_archer_cible,7,FALSE)</f>
        <v>#N/A</v>
      </c>
      <c r="S429" s="700" t="e">
        <f>VLOOKUP(N429,ID_archer_cible,10,FALSE)</f>
        <v>#N/A</v>
      </c>
    </row>
    <row r="430" spans="1:23" ht="15" customHeight="1" thickTop="1" x14ac:dyDescent="0.2"/>
    <row r="431" spans="1:23" ht="15" customHeight="1" thickBot="1" x14ac:dyDescent="0.25"/>
    <row r="432" spans="1:23" ht="33.75" customHeight="1" thickBot="1" x14ac:dyDescent="0.25">
      <c r="A432" s="1222" t="s">
        <v>909</v>
      </c>
      <c r="B432" s="1223"/>
      <c r="C432" s="1224"/>
      <c r="E432" s="1225" t="s">
        <v>910</v>
      </c>
      <c r="F432" s="1226"/>
      <c r="G432" s="1227"/>
      <c r="I432" s="1222" t="s">
        <v>911</v>
      </c>
      <c r="J432" s="1223"/>
      <c r="K432" s="1224"/>
      <c r="M432" s="1222" t="s">
        <v>912</v>
      </c>
      <c r="N432" s="1223"/>
      <c r="O432" s="1224"/>
      <c r="Q432" s="1222" t="s">
        <v>913</v>
      </c>
      <c r="R432" s="1223"/>
      <c r="S432" s="1224"/>
      <c r="U432" s="1222" t="s">
        <v>916</v>
      </c>
      <c r="V432" s="1223"/>
      <c r="W432" s="1224"/>
    </row>
    <row r="433" spans="1:23" ht="33.75" customHeight="1" x14ac:dyDescent="0.2">
      <c r="A433" s="642" t="s">
        <v>980</v>
      </c>
      <c r="B433" s="643" t="s">
        <v>981</v>
      </c>
      <c r="C433" s="644" t="s">
        <v>780</v>
      </c>
      <c r="E433" s="642" t="s">
        <v>980</v>
      </c>
      <c r="F433" s="643" t="s">
        <v>981</v>
      </c>
      <c r="G433" s="644" t="s">
        <v>780</v>
      </c>
      <c r="I433" s="642" t="s">
        <v>980</v>
      </c>
      <c r="J433" s="643" t="s">
        <v>981</v>
      </c>
      <c r="K433" s="644" t="s">
        <v>780</v>
      </c>
      <c r="M433" s="642" t="s">
        <v>980</v>
      </c>
      <c r="N433" s="643" t="s">
        <v>981</v>
      </c>
      <c r="O433" s="644" t="s">
        <v>780</v>
      </c>
      <c r="Q433" s="642" t="s">
        <v>980</v>
      </c>
      <c r="R433" s="643" t="s">
        <v>981</v>
      </c>
      <c r="S433" s="644" t="s">
        <v>780</v>
      </c>
      <c r="U433" s="642" t="s">
        <v>980</v>
      </c>
      <c r="V433" s="643" t="s">
        <v>981</v>
      </c>
      <c r="W433" s="644" t="s">
        <v>780</v>
      </c>
    </row>
    <row r="434" spans="1:23" ht="33.75" customHeight="1" x14ac:dyDescent="0.2">
      <c r="A434" s="628">
        <v>10</v>
      </c>
      <c r="B434" s="630"/>
      <c r="C434" s="630"/>
      <c r="E434" s="628">
        <v>10</v>
      </c>
      <c r="F434" s="630"/>
      <c r="G434" s="630"/>
      <c r="I434" s="628">
        <v>10</v>
      </c>
      <c r="J434" s="630"/>
      <c r="K434" s="630"/>
      <c r="M434" s="628">
        <v>10</v>
      </c>
      <c r="N434" s="630"/>
      <c r="O434" s="630"/>
      <c r="Q434" s="628">
        <v>10</v>
      </c>
      <c r="R434" s="630"/>
      <c r="S434" s="630"/>
      <c r="U434" s="628">
        <v>10</v>
      </c>
      <c r="V434" s="630"/>
      <c r="W434" s="630"/>
    </row>
    <row r="435" spans="1:23" ht="33.75" customHeight="1" x14ac:dyDescent="0.2">
      <c r="A435" s="628">
        <v>9</v>
      </c>
      <c r="B435" s="630"/>
      <c r="C435" s="630"/>
      <c r="E435" s="628">
        <v>9</v>
      </c>
      <c r="F435" s="630"/>
      <c r="G435" s="630"/>
      <c r="I435" s="628">
        <v>9</v>
      </c>
      <c r="J435" s="630"/>
      <c r="K435" s="630"/>
      <c r="M435" s="628">
        <v>9</v>
      </c>
      <c r="N435" s="630"/>
      <c r="O435" s="630"/>
      <c r="Q435" s="628">
        <v>9</v>
      </c>
      <c r="R435" s="630"/>
      <c r="S435" s="630"/>
      <c r="U435" s="628">
        <v>9</v>
      </c>
      <c r="V435" s="630"/>
      <c r="W435" s="630"/>
    </row>
    <row r="436" spans="1:23" ht="33.75" customHeight="1" x14ac:dyDescent="0.2">
      <c r="A436" s="628">
        <v>8</v>
      </c>
      <c r="B436" s="630"/>
      <c r="C436" s="630"/>
      <c r="E436" s="628">
        <v>8</v>
      </c>
      <c r="F436" s="630"/>
      <c r="G436" s="630"/>
      <c r="I436" s="628">
        <v>8</v>
      </c>
      <c r="J436" s="630"/>
      <c r="K436" s="630"/>
      <c r="M436" s="628">
        <v>8</v>
      </c>
      <c r="N436" s="630"/>
      <c r="O436" s="630"/>
      <c r="Q436" s="628">
        <v>8</v>
      </c>
      <c r="R436" s="630"/>
      <c r="S436" s="630"/>
      <c r="U436" s="628">
        <v>8</v>
      </c>
      <c r="V436" s="630"/>
      <c r="W436" s="630"/>
    </row>
    <row r="437" spans="1:23" ht="33.75" customHeight="1" x14ac:dyDescent="0.2">
      <c r="A437" s="628">
        <v>7</v>
      </c>
      <c r="B437" s="630"/>
      <c r="C437" s="630"/>
      <c r="E437" s="628">
        <v>7</v>
      </c>
      <c r="F437" s="630"/>
      <c r="G437" s="630"/>
      <c r="I437" s="628">
        <v>7</v>
      </c>
      <c r="J437" s="630"/>
      <c r="K437" s="630"/>
      <c r="M437" s="628">
        <v>7</v>
      </c>
      <c r="N437" s="630"/>
      <c r="O437" s="630"/>
      <c r="Q437" s="628">
        <v>7</v>
      </c>
      <c r="R437" s="630"/>
      <c r="S437" s="630"/>
      <c r="U437" s="628">
        <v>7</v>
      </c>
      <c r="V437" s="630"/>
      <c r="W437" s="630"/>
    </row>
    <row r="438" spans="1:23" ht="33.75" customHeight="1" x14ac:dyDescent="0.2">
      <c r="A438" s="628">
        <v>6</v>
      </c>
      <c r="B438" s="630"/>
      <c r="C438" s="630"/>
      <c r="E438" s="628">
        <v>6</v>
      </c>
      <c r="F438" s="630"/>
      <c r="G438" s="630"/>
      <c r="I438" s="628">
        <v>6</v>
      </c>
      <c r="J438" s="630"/>
      <c r="K438" s="630"/>
      <c r="M438" s="628">
        <v>6</v>
      </c>
      <c r="N438" s="630"/>
      <c r="O438" s="630"/>
      <c r="Q438" s="628">
        <v>6</v>
      </c>
      <c r="R438" s="630"/>
      <c r="S438" s="630"/>
      <c r="U438" s="628">
        <v>6</v>
      </c>
      <c r="V438" s="630"/>
      <c r="W438" s="630"/>
    </row>
    <row r="439" spans="1:23" ht="33.75" customHeight="1" x14ac:dyDescent="0.2">
      <c r="A439" s="628">
        <v>5</v>
      </c>
      <c r="B439" s="630"/>
      <c r="C439" s="630"/>
      <c r="E439" s="628">
        <v>5</v>
      </c>
      <c r="F439" s="630"/>
      <c r="G439" s="630"/>
      <c r="I439" s="628">
        <v>5</v>
      </c>
      <c r="J439" s="630"/>
      <c r="K439" s="630"/>
      <c r="M439" s="628">
        <v>5</v>
      </c>
      <c r="N439" s="630"/>
      <c r="O439" s="630"/>
      <c r="Q439" s="628">
        <v>5</v>
      </c>
      <c r="R439" s="630"/>
      <c r="S439" s="630"/>
      <c r="U439" s="628">
        <v>5</v>
      </c>
      <c r="V439" s="630"/>
      <c r="W439" s="630"/>
    </row>
    <row r="440" spans="1:23" ht="33.75" customHeight="1" x14ac:dyDescent="0.2">
      <c r="A440" s="628">
        <v>4</v>
      </c>
      <c r="B440" s="630"/>
      <c r="C440" s="630"/>
      <c r="E440" s="628">
        <v>4</v>
      </c>
      <c r="F440" s="630"/>
      <c r="G440" s="630"/>
      <c r="I440" s="628">
        <v>4</v>
      </c>
      <c r="J440" s="630"/>
      <c r="K440" s="630"/>
      <c r="M440" s="628">
        <v>4</v>
      </c>
      <c r="N440" s="630"/>
      <c r="O440" s="630"/>
      <c r="Q440" s="628">
        <v>4</v>
      </c>
      <c r="R440" s="630"/>
      <c r="S440" s="630"/>
      <c r="U440" s="628">
        <v>4</v>
      </c>
      <c r="V440" s="630"/>
      <c r="W440" s="630"/>
    </row>
    <row r="441" spans="1:23" ht="33.75" customHeight="1" x14ac:dyDescent="0.2">
      <c r="A441" s="628">
        <v>3</v>
      </c>
      <c r="B441" s="630"/>
      <c r="C441" s="630"/>
      <c r="E441" s="628">
        <v>3</v>
      </c>
      <c r="F441" s="630"/>
      <c r="G441" s="630"/>
      <c r="I441" s="628">
        <v>3</v>
      </c>
      <c r="J441" s="630"/>
      <c r="K441" s="630"/>
      <c r="M441" s="628">
        <v>3</v>
      </c>
      <c r="N441" s="630"/>
      <c r="O441" s="630"/>
      <c r="Q441" s="628">
        <v>3</v>
      </c>
      <c r="R441" s="630"/>
      <c r="S441" s="630"/>
      <c r="U441" s="628">
        <v>3</v>
      </c>
      <c r="V441" s="630"/>
      <c r="W441" s="630"/>
    </row>
    <row r="442" spans="1:23" ht="33.75" customHeight="1" x14ac:dyDescent="0.2">
      <c r="A442" s="628">
        <v>2</v>
      </c>
      <c r="B442" s="630"/>
      <c r="C442" s="630"/>
      <c r="E442" s="628">
        <v>2</v>
      </c>
      <c r="F442" s="630"/>
      <c r="G442" s="630"/>
      <c r="I442" s="628">
        <v>2</v>
      </c>
      <c r="J442" s="630"/>
      <c r="K442" s="630"/>
      <c r="M442" s="628">
        <v>2</v>
      </c>
      <c r="N442" s="630"/>
      <c r="O442" s="630"/>
      <c r="Q442" s="628">
        <v>2</v>
      </c>
      <c r="R442" s="630"/>
      <c r="S442" s="630"/>
      <c r="U442" s="628">
        <v>2</v>
      </c>
      <c r="V442" s="630"/>
      <c r="W442" s="630"/>
    </row>
    <row r="443" spans="1:23" ht="33.75" customHeight="1" x14ac:dyDescent="0.2">
      <c r="A443" s="628">
        <v>1</v>
      </c>
      <c r="B443" s="630"/>
      <c r="C443" s="630"/>
      <c r="E443" s="628">
        <v>1</v>
      </c>
      <c r="F443" s="630"/>
      <c r="G443" s="630"/>
      <c r="I443" s="628">
        <v>1</v>
      </c>
      <c r="J443" s="630"/>
      <c r="K443" s="630"/>
      <c r="M443" s="628">
        <v>1</v>
      </c>
      <c r="N443" s="630"/>
      <c r="O443" s="630"/>
      <c r="Q443" s="628">
        <v>1</v>
      </c>
      <c r="R443" s="630"/>
      <c r="S443" s="630"/>
      <c r="U443" s="628">
        <v>1</v>
      </c>
      <c r="V443" s="630"/>
      <c r="W443" s="630"/>
    </row>
    <row r="444" spans="1:23" ht="33.75" customHeight="1" x14ac:dyDescent="0.2">
      <c r="A444" s="628" t="s">
        <v>982</v>
      </c>
      <c r="B444" s="630"/>
      <c r="C444" s="630"/>
      <c r="E444" s="628" t="s">
        <v>982</v>
      </c>
      <c r="F444" s="630"/>
      <c r="G444" s="630"/>
      <c r="I444" s="628" t="s">
        <v>982</v>
      </c>
      <c r="J444" s="630"/>
      <c r="K444" s="630"/>
      <c r="M444" s="628" t="s">
        <v>982</v>
      </c>
      <c r="N444" s="630"/>
      <c r="O444" s="630"/>
      <c r="Q444" s="628" t="s">
        <v>982</v>
      </c>
      <c r="R444" s="630"/>
      <c r="S444" s="630"/>
      <c r="U444" s="628" t="s">
        <v>982</v>
      </c>
      <c r="V444" s="630"/>
      <c r="W444" s="630"/>
    </row>
    <row r="445" spans="1:23" ht="33.75" customHeight="1" x14ac:dyDescent="0.2">
      <c r="A445" s="629" t="s">
        <v>981</v>
      </c>
      <c r="B445" s="630"/>
      <c r="C445" s="631" t="s">
        <v>984</v>
      </c>
      <c r="E445" s="629" t="s">
        <v>981</v>
      </c>
      <c r="F445" s="630"/>
      <c r="G445" s="631" t="s">
        <v>984</v>
      </c>
      <c r="I445" s="629" t="s">
        <v>981</v>
      </c>
      <c r="J445" s="630"/>
      <c r="K445" s="631" t="s">
        <v>984</v>
      </c>
      <c r="M445" s="629" t="s">
        <v>981</v>
      </c>
      <c r="N445" s="630"/>
      <c r="O445" s="631" t="s">
        <v>984</v>
      </c>
      <c r="Q445" s="629" t="s">
        <v>981</v>
      </c>
      <c r="R445" s="630"/>
      <c r="S445" s="631" t="s">
        <v>984</v>
      </c>
      <c r="U445" s="629" t="s">
        <v>981</v>
      </c>
      <c r="V445" s="630"/>
      <c r="W445" s="631" t="s">
        <v>984</v>
      </c>
    </row>
    <row r="446" spans="1:23" ht="48" customHeight="1" x14ac:dyDescent="0.25">
      <c r="A446" s="637"/>
      <c r="B446" s="629" t="s">
        <v>983</v>
      </c>
      <c r="C446" s="636"/>
      <c r="E446" s="637" t="s">
        <v>985</v>
      </c>
      <c r="F446" s="632" t="s">
        <v>983</v>
      </c>
      <c r="G446" s="633"/>
      <c r="I446" s="637" t="s">
        <v>985</v>
      </c>
      <c r="J446" s="632" t="s">
        <v>983</v>
      </c>
      <c r="K446" s="633"/>
      <c r="M446" s="637" t="s">
        <v>985</v>
      </c>
      <c r="N446" s="632" t="s">
        <v>983</v>
      </c>
      <c r="O446" s="633"/>
      <c r="Q446" s="637" t="s">
        <v>985</v>
      </c>
      <c r="R446" s="632" t="s">
        <v>983</v>
      </c>
      <c r="S446" s="633"/>
      <c r="U446" s="637" t="s">
        <v>985</v>
      </c>
      <c r="V446" s="632" t="s">
        <v>983</v>
      </c>
      <c r="W446" s="633"/>
    </row>
    <row r="447" spans="1:23" ht="51" customHeight="1" x14ac:dyDescent="0.2">
      <c r="A447" s="634"/>
      <c r="B447" s="634"/>
      <c r="C447" s="634"/>
      <c r="E447" s="1115" t="s">
        <v>986</v>
      </c>
      <c r="F447" s="1115"/>
      <c r="G447" s="635"/>
      <c r="I447" s="1115" t="s">
        <v>986</v>
      </c>
      <c r="J447" s="1115"/>
      <c r="K447" s="635"/>
      <c r="M447" s="1115" t="s">
        <v>986</v>
      </c>
      <c r="N447" s="1115"/>
      <c r="O447" s="635"/>
      <c r="Q447" s="1115" t="s">
        <v>986</v>
      </c>
      <c r="R447" s="1115"/>
      <c r="S447" s="635"/>
      <c r="U447" s="1228" t="s">
        <v>987</v>
      </c>
      <c r="V447" s="1229"/>
      <c r="W447" s="635"/>
    </row>
    <row r="448" spans="1:23" ht="13.5" customHeight="1" thickBot="1" x14ac:dyDescent="0.25"/>
    <row r="449" spans="1:23" ht="72" customHeight="1" thickBot="1" x14ac:dyDescent="0.25">
      <c r="E449" s="707" t="s">
        <v>1007</v>
      </c>
      <c r="F449" s="639"/>
      <c r="G449" s="639"/>
      <c r="H449" s="639"/>
      <c r="I449" s="639"/>
      <c r="J449" s="640"/>
      <c r="M449" s="708" t="s">
        <v>1008</v>
      </c>
      <c r="N449" s="639"/>
      <c r="O449" s="639"/>
      <c r="P449" s="639"/>
      <c r="Q449" s="640"/>
      <c r="S449" s="1219" t="s">
        <v>988</v>
      </c>
      <c r="T449" s="1219"/>
      <c r="U449" s="1219"/>
      <c r="V449" s="1220"/>
      <c r="W449" s="1221"/>
    </row>
    <row r="450" spans="1:23" ht="34.5" customHeight="1" x14ac:dyDescent="0.2"/>
    <row r="451" spans="1:23" ht="6.75" customHeight="1" x14ac:dyDescent="0.2">
      <c r="Q451" s="1193" t="str">
        <f>CATEG_IMPORTEE</f>
        <v>Collèges Mixtes Etablissement</v>
      </c>
      <c r="R451" s="1193"/>
      <c r="S451" s="1193"/>
      <c r="T451" s="1193"/>
      <c r="U451" s="1193"/>
      <c r="V451" s="1193"/>
      <c r="W451" s="1193"/>
    </row>
    <row r="452" spans="1:23" s="218" customFormat="1" ht="33.75" x14ac:dyDescent="0.2">
      <c r="A452" s="1207" t="s">
        <v>628</v>
      </c>
      <c r="B452" s="1207"/>
      <c r="C452" s="645">
        <f>C422+1</f>
        <v>16</v>
      </c>
      <c r="E452" s="1208" t="str">
        <f>Championnat</f>
        <v>Championnat de France de Tir à l'ARC</v>
      </c>
      <c r="F452" s="1208"/>
      <c r="G452" s="1208"/>
      <c r="H452" s="1208"/>
      <c r="I452" s="1208"/>
      <c r="J452" s="1208"/>
      <c r="K452" s="1208"/>
      <c r="L452" s="1208"/>
      <c r="M452" s="1208"/>
      <c r="N452" s="1208"/>
      <c r="O452" s="1208"/>
      <c r="Q452" s="1193"/>
      <c r="R452" s="1193"/>
      <c r="S452" s="1193"/>
      <c r="T452" s="1193"/>
      <c r="U452" s="1193"/>
      <c r="V452" s="1193"/>
      <c r="W452" s="1193"/>
    </row>
    <row r="453" spans="1:23" ht="27" customHeight="1" x14ac:dyDescent="0.2">
      <c r="Q453" s="1211" t="str">
        <f>LIEU&amp;" du "&amp;DATE</f>
        <v>L’Isle sur la Sorgue du 27 au 31 mars 2023</v>
      </c>
      <c r="R453" s="1211"/>
      <c r="S453" s="1211"/>
      <c r="T453" s="1211"/>
      <c r="U453" s="1211"/>
      <c r="V453" s="1211"/>
      <c r="W453" s="1211"/>
    </row>
    <row r="454" spans="1:23" ht="19.5" customHeight="1" thickBot="1" x14ac:dyDescent="0.25">
      <c r="E454" s="1212" t="s">
        <v>0</v>
      </c>
      <c r="F454" s="1212"/>
      <c r="G454" s="1212"/>
      <c r="H454" s="1212"/>
      <c r="I454" s="1212"/>
      <c r="J454" s="1212"/>
      <c r="K454" s="1212"/>
      <c r="L454" s="641"/>
      <c r="M454" s="1212" t="s">
        <v>375</v>
      </c>
      <c r="N454" s="1212"/>
      <c r="O454" s="1212"/>
      <c r="P454" s="1212"/>
      <c r="Q454" s="1212"/>
      <c r="S454" s="1212" t="s">
        <v>374</v>
      </c>
      <c r="T454" s="1212"/>
      <c r="U454" s="1212"/>
      <c r="V454" s="1212"/>
      <c r="W454" s="1212"/>
    </row>
    <row r="455" spans="1:23" ht="36.75" customHeight="1" thickBot="1" x14ac:dyDescent="0.25">
      <c r="E455" s="1213" t="e">
        <f>VLOOKUP(E458,ID_archer_cible,2,FALSE)</f>
        <v>#N/A</v>
      </c>
      <c r="F455" s="1214"/>
      <c r="G455" s="1214"/>
      <c r="H455" s="1214"/>
      <c r="I455" s="1214"/>
      <c r="J455" s="1214"/>
      <c r="K455" s="1215"/>
      <c r="L455" s="641"/>
      <c r="M455" s="1216" t="e">
        <f>"("&amp;VLOOKUP(E458,ID_archer_cible,3,FALSE)&amp;")"</f>
        <v>#N/A</v>
      </c>
      <c r="N455" s="1217"/>
      <c r="O455" s="1217"/>
      <c r="P455" s="1217"/>
      <c r="Q455" s="1217"/>
      <c r="R455" s="1218"/>
      <c r="S455" s="1185" t="e">
        <f>VLOOKUP(E458,ID_archer_cible,4,FALSE)</f>
        <v>#N/A</v>
      </c>
      <c r="T455" s="1186"/>
      <c r="U455" s="1186"/>
      <c r="V455" s="1186"/>
      <c r="W455" s="1187"/>
    </row>
    <row r="456" spans="1:23" ht="17.25" customHeight="1" x14ac:dyDescent="0.2"/>
    <row r="457" spans="1:23" ht="23.25" customHeight="1" thickBot="1" x14ac:dyDescent="0.25">
      <c r="A457" s="638" t="s">
        <v>906</v>
      </c>
      <c r="E457" s="508" t="s">
        <v>552</v>
      </c>
      <c r="F457" s="571" t="s">
        <v>893</v>
      </c>
      <c r="G457" s="1202" t="s">
        <v>550</v>
      </c>
      <c r="H457" s="1202"/>
      <c r="I457" s="571" t="s">
        <v>905</v>
      </c>
      <c r="J457" s="709" t="s">
        <v>551</v>
      </c>
      <c r="N457" s="508" t="s">
        <v>552</v>
      </c>
      <c r="O457" s="571" t="s">
        <v>893</v>
      </c>
      <c r="P457" s="1202" t="s">
        <v>550</v>
      </c>
      <c r="Q457" s="1202"/>
      <c r="R457" s="571" t="s">
        <v>905</v>
      </c>
      <c r="S457" s="709" t="s">
        <v>551</v>
      </c>
    </row>
    <row r="458" spans="1:23" ht="23.25" customHeight="1" thickTop="1" x14ac:dyDescent="0.2">
      <c r="A458" s="710" t="e">
        <f>VLOOKUP(E458,ID_archer_cible,5,FALSE)&amp;"    "&amp;VLOOKUP(E458,ID_archer_cible,6,FALSE)</f>
        <v>#N/A</v>
      </c>
      <c r="B458" s="711"/>
      <c r="C458" s="711"/>
      <c r="D458" s="712"/>
      <c r="E458" s="713" t="str">
        <f>C452&amp;"A"</f>
        <v>16A</v>
      </c>
      <c r="F458" s="714" t="e">
        <f>VLOOKUP(E458,ID_archer_cible,9,FALSE)</f>
        <v>#N/A</v>
      </c>
      <c r="G458" s="1209" t="e">
        <f>VLOOKUP(E458,ID_archer_cible,8,FALSE)</f>
        <v>#N/A</v>
      </c>
      <c r="H458" s="1209"/>
      <c r="I458" s="715" t="e">
        <f>VLOOKUP(E458,ID_archer_cible,7,FALSE)</f>
        <v>#N/A</v>
      </c>
      <c r="J458" s="716" t="e">
        <f>VLOOKUP(E458,ID_archer_cible,10,FALSE)</f>
        <v>#N/A</v>
      </c>
      <c r="K458" s="710" t="e">
        <f>VLOOKUP(N458,ID_archer_cible,5,FALSE)&amp;"    "&amp;VLOOKUP(N458,ID_archer_cible,6,FALSE)</f>
        <v>#N/A</v>
      </c>
      <c r="L458" s="722"/>
      <c r="M458" s="723"/>
      <c r="N458" s="714" t="str">
        <f>C452&amp;"C"</f>
        <v>16C</v>
      </c>
      <c r="O458" s="714" t="e">
        <f>VLOOKUP(N458,ID_archer_cible,9,FALSE)</f>
        <v>#N/A</v>
      </c>
      <c r="P458" s="1203" t="e">
        <f>VLOOKUP(N458,ID_archer_cible,8,FALSE)</f>
        <v>#N/A</v>
      </c>
      <c r="Q458" s="1204"/>
      <c r="R458" s="724" t="e">
        <f>VLOOKUP(N458,ID_archer_cible,7,FALSE)</f>
        <v>#N/A</v>
      </c>
      <c r="S458" s="716" t="e">
        <f>VLOOKUP(N458,ID_archer_cible,10,FALSE)</f>
        <v>#N/A</v>
      </c>
    </row>
    <row r="459" spans="1:23" ht="23.25" customHeight="1" thickBot="1" x14ac:dyDescent="0.25">
      <c r="A459" s="717" t="e">
        <f>VLOOKUP(E459,ID_archer_cible,5,FALSE)&amp;"    "&amp;VLOOKUP(E459,ID_archer_cible,6,FALSE)</f>
        <v>#N/A</v>
      </c>
      <c r="B459" s="718"/>
      <c r="C459" s="718"/>
      <c r="D459" s="719"/>
      <c r="E459" s="696" t="str">
        <f>C452&amp;"B"</f>
        <v>16B</v>
      </c>
      <c r="F459" s="720" t="e">
        <f>VLOOKUP(E459,ID_archer_cible,9,FALSE)</f>
        <v>#N/A</v>
      </c>
      <c r="G459" s="1210" t="e">
        <f>VLOOKUP(E459,ID_archer_cible,8,FALSE)</f>
        <v>#N/A</v>
      </c>
      <c r="H459" s="1210"/>
      <c r="I459" s="721" t="e">
        <f>VLOOKUP(E459,ID_archer_cible,7,FALSE)</f>
        <v>#N/A</v>
      </c>
      <c r="J459" s="700" t="e">
        <f>VLOOKUP(E459,ID_archer_cible,10,FALSE)</f>
        <v>#N/A</v>
      </c>
      <c r="K459" s="717" t="e">
        <f>VLOOKUP(N459,ID_archer_cible,5,FALSE)&amp;"    "&amp;VLOOKUP(N459,ID_archer_cible,6,FALSE)</f>
        <v>#N/A</v>
      </c>
      <c r="L459" s="725"/>
      <c r="M459" s="726"/>
      <c r="N459" s="720" t="str">
        <f>C452&amp;"D"</f>
        <v>16D</v>
      </c>
      <c r="O459" s="720" t="e">
        <f>VLOOKUP(N459,ID_archer_cible,9,FALSE)</f>
        <v>#N/A</v>
      </c>
      <c r="P459" s="1205" t="e">
        <f>VLOOKUP(N459,ID_archer_cible,8,FALSE)</f>
        <v>#N/A</v>
      </c>
      <c r="Q459" s="1206"/>
      <c r="R459" s="727" t="e">
        <f>VLOOKUP(N459,ID_archer_cible,7,FALSE)</f>
        <v>#N/A</v>
      </c>
      <c r="S459" s="700" t="e">
        <f>VLOOKUP(N459,ID_archer_cible,10,FALSE)</f>
        <v>#N/A</v>
      </c>
    </row>
    <row r="460" spans="1:23" ht="15" customHeight="1" thickTop="1" x14ac:dyDescent="0.2"/>
    <row r="461" spans="1:23" ht="15" customHeight="1" thickBot="1" x14ac:dyDescent="0.25"/>
    <row r="462" spans="1:23" ht="33.75" customHeight="1" thickBot="1" x14ac:dyDescent="0.25">
      <c r="A462" s="1222" t="s">
        <v>909</v>
      </c>
      <c r="B462" s="1223"/>
      <c r="C462" s="1224"/>
      <c r="E462" s="1225" t="s">
        <v>910</v>
      </c>
      <c r="F462" s="1226"/>
      <c r="G462" s="1227"/>
      <c r="I462" s="1222" t="s">
        <v>911</v>
      </c>
      <c r="J462" s="1223"/>
      <c r="K462" s="1224"/>
      <c r="M462" s="1222" t="s">
        <v>912</v>
      </c>
      <c r="N462" s="1223"/>
      <c r="O462" s="1224"/>
      <c r="Q462" s="1222" t="s">
        <v>913</v>
      </c>
      <c r="R462" s="1223"/>
      <c r="S462" s="1224"/>
      <c r="U462" s="1222" t="s">
        <v>916</v>
      </c>
      <c r="V462" s="1223"/>
      <c r="W462" s="1224"/>
    </row>
    <row r="463" spans="1:23" ht="33.75" customHeight="1" x14ac:dyDescent="0.2">
      <c r="A463" s="642" t="s">
        <v>980</v>
      </c>
      <c r="B463" s="643" t="s">
        <v>981</v>
      </c>
      <c r="C463" s="644" t="s">
        <v>780</v>
      </c>
      <c r="E463" s="642" t="s">
        <v>980</v>
      </c>
      <c r="F463" s="643" t="s">
        <v>981</v>
      </c>
      <c r="G463" s="644" t="s">
        <v>780</v>
      </c>
      <c r="I463" s="642" t="s">
        <v>980</v>
      </c>
      <c r="J463" s="643" t="s">
        <v>981</v>
      </c>
      <c r="K463" s="644" t="s">
        <v>780</v>
      </c>
      <c r="M463" s="642" t="s">
        <v>980</v>
      </c>
      <c r="N463" s="643" t="s">
        <v>981</v>
      </c>
      <c r="O463" s="644" t="s">
        <v>780</v>
      </c>
      <c r="Q463" s="642" t="s">
        <v>980</v>
      </c>
      <c r="R463" s="643" t="s">
        <v>981</v>
      </c>
      <c r="S463" s="644" t="s">
        <v>780</v>
      </c>
      <c r="U463" s="642" t="s">
        <v>980</v>
      </c>
      <c r="V463" s="643" t="s">
        <v>981</v>
      </c>
      <c r="W463" s="644" t="s">
        <v>780</v>
      </c>
    </row>
    <row r="464" spans="1:23" ht="33.75" customHeight="1" x14ac:dyDescent="0.2">
      <c r="A464" s="628">
        <v>10</v>
      </c>
      <c r="B464" s="630"/>
      <c r="C464" s="630"/>
      <c r="E464" s="628">
        <v>10</v>
      </c>
      <c r="F464" s="630"/>
      <c r="G464" s="630"/>
      <c r="I464" s="628">
        <v>10</v>
      </c>
      <c r="J464" s="630"/>
      <c r="K464" s="630"/>
      <c r="M464" s="628">
        <v>10</v>
      </c>
      <c r="N464" s="630"/>
      <c r="O464" s="630"/>
      <c r="Q464" s="628">
        <v>10</v>
      </c>
      <c r="R464" s="630"/>
      <c r="S464" s="630"/>
      <c r="U464" s="628">
        <v>10</v>
      </c>
      <c r="V464" s="630"/>
      <c r="W464" s="630"/>
    </row>
    <row r="465" spans="1:23" ht="33.75" customHeight="1" x14ac:dyDescent="0.2">
      <c r="A465" s="628">
        <v>9</v>
      </c>
      <c r="B465" s="630"/>
      <c r="C465" s="630"/>
      <c r="E465" s="628">
        <v>9</v>
      </c>
      <c r="F465" s="630"/>
      <c r="G465" s="630"/>
      <c r="I465" s="628">
        <v>9</v>
      </c>
      <c r="J465" s="630"/>
      <c r="K465" s="630"/>
      <c r="M465" s="628">
        <v>9</v>
      </c>
      <c r="N465" s="630"/>
      <c r="O465" s="630"/>
      <c r="Q465" s="628">
        <v>9</v>
      </c>
      <c r="R465" s="630"/>
      <c r="S465" s="630"/>
      <c r="U465" s="628">
        <v>9</v>
      </c>
      <c r="V465" s="630"/>
      <c r="W465" s="630"/>
    </row>
    <row r="466" spans="1:23" ht="33.75" customHeight="1" x14ac:dyDescent="0.2">
      <c r="A466" s="628">
        <v>8</v>
      </c>
      <c r="B466" s="630"/>
      <c r="C466" s="630"/>
      <c r="E466" s="628">
        <v>8</v>
      </c>
      <c r="F466" s="630"/>
      <c r="G466" s="630"/>
      <c r="I466" s="628">
        <v>8</v>
      </c>
      <c r="J466" s="630"/>
      <c r="K466" s="630"/>
      <c r="M466" s="628">
        <v>8</v>
      </c>
      <c r="N466" s="630"/>
      <c r="O466" s="630"/>
      <c r="Q466" s="628">
        <v>8</v>
      </c>
      <c r="R466" s="630"/>
      <c r="S466" s="630"/>
      <c r="U466" s="628">
        <v>8</v>
      </c>
      <c r="V466" s="630"/>
      <c r="W466" s="630"/>
    </row>
    <row r="467" spans="1:23" ht="33.75" customHeight="1" x14ac:dyDescent="0.2">
      <c r="A467" s="628">
        <v>7</v>
      </c>
      <c r="B467" s="630"/>
      <c r="C467" s="630"/>
      <c r="E467" s="628">
        <v>7</v>
      </c>
      <c r="F467" s="630"/>
      <c r="G467" s="630"/>
      <c r="I467" s="628">
        <v>7</v>
      </c>
      <c r="J467" s="630"/>
      <c r="K467" s="630"/>
      <c r="M467" s="628">
        <v>7</v>
      </c>
      <c r="N467" s="630"/>
      <c r="O467" s="630"/>
      <c r="Q467" s="628">
        <v>7</v>
      </c>
      <c r="R467" s="630"/>
      <c r="S467" s="630"/>
      <c r="U467" s="628">
        <v>7</v>
      </c>
      <c r="V467" s="630"/>
      <c r="W467" s="630"/>
    </row>
    <row r="468" spans="1:23" ht="33.75" customHeight="1" x14ac:dyDescent="0.2">
      <c r="A468" s="628">
        <v>6</v>
      </c>
      <c r="B468" s="630"/>
      <c r="C468" s="630"/>
      <c r="E468" s="628">
        <v>6</v>
      </c>
      <c r="F468" s="630"/>
      <c r="G468" s="630"/>
      <c r="I468" s="628">
        <v>6</v>
      </c>
      <c r="J468" s="630"/>
      <c r="K468" s="630"/>
      <c r="M468" s="628">
        <v>6</v>
      </c>
      <c r="N468" s="630"/>
      <c r="O468" s="630"/>
      <c r="Q468" s="628">
        <v>6</v>
      </c>
      <c r="R468" s="630"/>
      <c r="S468" s="630"/>
      <c r="U468" s="628">
        <v>6</v>
      </c>
      <c r="V468" s="630"/>
      <c r="W468" s="630"/>
    </row>
    <row r="469" spans="1:23" ht="33.75" customHeight="1" x14ac:dyDescent="0.2">
      <c r="A469" s="628">
        <v>5</v>
      </c>
      <c r="B469" s="630"/>
      <c r="C469" s="630"/>
      <c r="E469" s="628">
        <v>5</v>
      </c>
      <c r="F469" s="630"/>
      <c r="G469" s="630"/>
      <c r="I469" s="628">
        <v>5</v>
      </c>
      <c r="J469" s="630"/>
      <c r="K469" s="630"/>
      <c r="M469" s="628">
        <v>5</v>
      </c>
      <c r="N469" s="630"/>
      <c r="O469" s="630"/>
      <c r="Q469" s="628">
        <v>5</v>
      </c>
      <c r="R469" s="630"/>
      <c r="S469" s="630"/>
      <c r="U469" s="628">
        <v>5</v>
      </c>
      <c r="V469" s="630"/>
      <c r="W469" s="630"/>
    </row>
    <row r="470" spans="1:23" ht="33.75" customHeight="1" x14ac:dyDescent="0.2">
      <c r="A470" s="628">
        <v>4</v>
      </c>
      <c r="B470" s="630"/>
      <c r="C470" s="630"/>
      <c r="E470" s="628">
        <v>4</v>
      </c>
      <c r="F470" s="630"/>
      <c r="G470" s="630"/>
      <c r="I470" s="628">
        <v>4</v>
      </c>
      <c r="J470" s="630"/>
      <c r="K470" s="630"/>
      <c r="M470" s="628">
        <v>4</v>
      </c>
      <c r="N470" s="630"/>
      <c r="O470" s="630"/>
      <c r="Q470" s="628">
        <v>4</v>
      </c>
      <c r="R470" s="630"/>
      <c r="S470" s="630"/>
      <c r="U470" s="628">
        <v>4</v>
      </c>
      <c r="V470" s="630"/>
      <c r="W470" s="630"/>
    </row>
    <row r="471" spans="1:23" ht="33.75" customHeight="1" x14ac:dyDescent="0.2">
      <c r="A471" s="628">
        <v>3</v>
      </c>
      <c r="B471" s="630"/>
      <c r="C471" s="630"/>
      <c r="E471" s="628">
        <v>3</v>
      </c>
      <c r="F471" s="630"/>
      <c r="G471" s="630"/>
      <c r="I471" s="628">
        <v>3</v>
      </c>
      <c r="J471" s="630"/>
      <c r="K471" s="630"/>
      <c r="M471" s="628">
        <v>3</v>
      </c>
      <c r="N471" s="630"/>
      <c r="O471" s="630"/>
      <c r="Q471" s="628">
        <v>3</v>
      </c>
      <c r="R471" s="630"/>
      <c r="S471" s="630"/>
      <c r="U471" s="628">
        <v>3</v>
      </c>
      <c r="V471" s="630"/>
      <c r="W471" s="630"/>
    </row>
    <row r="472" spans="1:23" ht="33.75" customHeight="1" x14ac:dyDescent="0.2">
      <c r="A472" s="628">
        <v>2</v>
      </c>
      <c r="B472" s="630"/>
      <c r="C472" s="630"/>
      <c r="E472" s="628">
        <v>2</v>
      </c>
      <c r="F472" s="630"/>
      <c r="G472" s="630"/>
      <c r="I472" s="628">
        <v>2</v>
      </c>
      <c r="J472" s="630"/>
      <c r="K472" s="630"/>
      <c r="M472" s="628">
        <v>2</v>
      </c>
      <c r="N472" s="630"/>
      <c r="O472" s="630"/>
      <c r="Q472" s="628">
        <v>2</v>
      </c>
      <c r="R472" s="630"/>
      <c r="S472" s="630"/>
      <c r="U472" s="628">
        <v>2</v>
      </c>
      <c r="V472" s="630"/>
      <c r="W472" s="630"/>
    </row>
    <row r="473" spans="1:23" ht="33.75" customHeight="1" x14ac:dyDescent="0.2">
      <c r="A473" s="628">
        <v>1</v>
      </c>
      <c r="B473" s="630"/>
      <c r="C473" s="630"/>
      <c r="E473" s="628">
        <v>1</v>
      </c>
      <c r="F473" s="630"/>
      <c r="G473" s="630"/>
      <c r="I473" s="628">
        <v>1</v>
      </c>
      <c r="J473" s="630"/>
      <c r="K473" s="630"/>
      <c r="M473" s="628">
        <v>1</v>
      </c>
      <c r="N473" s="630"/>
      <c r="O473" s="630"/>
      <c r="Q473" s="628">
        <v>1</v>
      </c>
      <c r="R473" s="630"/>
      <c r="S473" s="630"/>
      <c r="U473" s="628">
        <v>1</v>
      </c>
      <c r="V473" s="630"/>
      <c r="W473" s="630"/>
    </row>
    <row r="474" spans="1:23" ht="33.75" customHeight="1" x14ac:dyDescent="0.2">
      <c r="A474" s="628" t="s">
        <v>982</v>
      </c>
      <c r="B474" s="630"/>
      <c r="C474" s="630"/>
      <c r="E474" s="628" t="s">
        <v>982</v>
      </c>
      <c r="F474" s="630"/>
      <c r="G474" s="630"/>
      <c r="I474" s="628" t="s">
        <v>982</v>
      </c>
      <c r="J474" s="630"/>
      <c r="K474" s="630"/>
      <c r="M474" s="628" t="s">
        <v>982</v>
      </c>
      <c r="N474" s="630"/>
      <c r="O474" s="630"/>
      <c r="Q474" s="628" t="s">
        <v>982</v>
      </c>
      <c r="R474" s="630"/>
      <c r="S474" s="630"/>
      <c r="U474" s="628" t="s">
        <v>982</v>
      </c>
      <c r="V474" s="630"/>
      <c r="W474" s="630"/>
    </row>
    <row r="475" spans="1:23" ht="33.75" customHeight="1" x14ac:dyDescent="0.2">
      <c r="A475" s="629" t="s">
        <v>981</v>
      </c>
      <c r="B475" s="630"/>
      <c r="C475" s="631" t="s">
        <v>984</v>
      </c>
      <c r="E475" s="629" t="s">
        <v>981</v>
      </c>
      <c r="F475" s="630"/>
      <c r="G475" s="631" t="s">
        <v>984</v>
      </c>
      <c r="I475" s="629" t="s">
        <v>981</v>
      </c>
      <c r="J475" s="630"/>
      <c r="K475" s="631" t="s">
        <v>984</v>
      </c>
      <c r="M475" s="629" t="s">
        <v>981</v>
      </c>
      <c r="N475" s="630"/>
      <c r="O475" s="631" t="s">
        <v>984</v>
      </c>
      <c r="Q475" s="629" t="s">
        <v>981</v>
      </c>
      <c r="R475" s="630"/>
      <c r="S475" s="631" t="s">
        <v>984</v>
      </c>
      <c r="U475" s="629" t="s">
        <v>981</v>
      </c>
      <c r="V475" s="630"/>
      <c r="W475" s="631" t="s">
        <v>984</v>
      </c>
    </row>
    <row r="476" spans="1:23" ht="48" customHeight="1" x14ac:dyDescent="0.25">
      <c r="A476" s="637"/>
      <c r="B476" s="629" t="s">
        <v>983</v>
      </c>
      <c r="C476" s="636"/>
      <c r="E476" s="637" t="s">
        <v>985</v>
      </c>
      <c r="F476" s="632" t="s">
        <v>983</v>
      </c>
      <c r="G476" s="633"/>
      <c r="I476" s="637" t="s">
        <v>985</v>
      </c>
      <c r="J476" s="632" t="s">
        <v>983</v>
      </c>
      <c r="K476" s="633"/>
      <c r="M476" s="637" t="s">
        <v>985</v>
      </c>
      <c r="N476" s="632" t="s">
        <v>983</v>
      </c>
      <c r="O476" s="633"/>
      <c r="Q476" s="637" t="s">
        <v>985</v>
      </c>
      <c r="R476" s="632" t="s">
        <v>983</v>
      </c>
      <c r="S476" s="633"/>
      <c r="U476" s="637" t="s">
        <v>985</v>
      </c>
      <c r="V476" s="632" t="s">
        <v>983</v>
      </c>
      <c r="W476" s="633"/>
    </row>
    <row r="477" spans="1:23" ht="51" customHeight="1" x14ac:dyDescent="0.2">
      <c r="A477" s="634"/>
      <c r="B477" s="634"/>
      <c r="C477" s="634"/>
      <c r="E477" s="1115" t="s">
        <v>986</v>
      </c>
      <c r="F477" s="1115"/>
      <c r="G477" s="635"/>
      <c r="I477" s="1115" t="s">
        <v>986</v>
      </c>
      <c r="J477" s="1115"/>
      <c r="K477" s="635"/>
      <c r="M477" s="1115" t="s">
        <v>986</v>
      </c>
      <c r="N477" s="1115"/>
      <c r="O477" s="635"/>
      <c r="Q477" s="1115" t="s">
        <v>986</v>
      </c>
      <c r="R477" s="1115"/>
      <c r="S477" s="635"/>
      <c r="U477" s="1228" t="s">
        <v>987</v>
      </c>
      <c r="V477" s="1229"/>
      <c r="W477" s="635"/>
    </row>
    <row r="478" spans="1:23" ht="13.5" customHeight="1" thickBot="1" x14ac:dyDescent="0.25"/>
    <row r="479" spans="1:23" ht="72" customHeight="1" thickBot="1" x14ac:dyDescent="0.25">
      <c r="E479" s="707" t="s">
        <v>1007</v>
      </c>
      <c r="F479" s="639"/>
      <c r="G479" s="639"/>
      <c r="H479" s="639"/>
      <c r="I479" s="639"/>
      <c r="J479" s="640"/>
      <c r="M479" s="708" t="s">
        <v>1008</v>
      </c>
      <c r="N479" s="639"/>
      <c r="O479" s="639"/>
      <c r="P479" s="639"/>
      <c r="Q479" s="640"/>
      <c r="S479" s="1219" t="s">
        <v>988</v>
      </c>
      <c r="T479" s="1219"/>
      <c r="U479" s="1219"/>
      <c r="V479" s="1220"/>
      <c r="W479" s="1221"/>
    </row>
    <row r="480" spans="1:23" ht="34.5" customHeight="1" x14ac:dyDescent="0.2"/>
    <row r="481" spans="1:23" ht="6.75" customHeight="1" x14ac:dyDescent="0.2">
      <c r="Q481" s="1193" t="str">
        <f>CATEG_IMPORTEE</f>
        <v>Collèges Mixtes Etablissement</v>
      </c>
      <c r="R481" s="1193"/>
      <c r="S481" s="1193"/>
      <c r="T481" s="1193"/>
      <c r="U481" s="1193"/>
      <c r="V481" s="1193"/>
      <c r="W481" s="1193"/>
    </row>
    <row r="482" spans="1:23" s="218" customFormat="1" ht="33.75" x14ac:dyDescent="0.2">
      <c r="A482" s="1207" t="s">
        <v>628</v>
      </c>
      <c r="B482" s="1207"/>
      <c r="C482" s="645">
        <f>C452+1</f>
        <v>17</v>
      </c>
      <c r="E482" s="1208" t="str">
        <f>Championnat</f>
        <v>Championnat de France de Tir à l'ARC</v>
      </c>
      <c r="F482" s="1208"/>
      <c r="G482" s="1208"/>
      <c r="H482" s="1208"/>
      <c r="I482" s="1208"/>
      <c r="J482" s="1208"/>
      <c r="K482" s="1208"/>
      <c r="L482" s="1208"/>
      <c r="M482" s="1208"/>
      <c r="N482" s="1208"/>
      <c r="O482" s="1208"/>
      <c r="Q482" s="1193"/>
      <c r="R482" s="1193"/>
      <c r="S482" s="1193"/>
      <c r="T482" s="1193"/>
      <c r="U482" s="1193"/>
      <c r="V482" s="1193"/>
      <c r="W482" s="1193"/>
    </row>
    <row r="483" spans="1:23" ht="27" customHeight="1" x14ac:dyDescent="0.2">
      <c r="Q483" s="1211" t="str">
        <f>LIEU&amp;" du "&amp;DATE</f>
        <v>L’Isle sur la Sorgue du 27 au 31 mars 2023</v>
      </c>
      <c r="R483" s="1211"/>
      <c r="S483" s="1211"/>
      <c r="T483" s="1211"/>
      <c r="U483" s="1211"/>
      <c r="V483" s="1211"/>
      <c r="W483" s="1211"/>
    </row>
    <row r="484" spans="1:23" ht="19.5" customHeight="1" thickBot="1" x14ac:dyDescent="0.25">
      <c r="E484" s="1212" t="s">
        <v>0</v>
      </c>
      <c r="F484" s="1212"/>
      <c r="G484" s="1212"/>
      <c r="H484" s="1212"/>
      <c r="I484" s="1212"/>
      <c r="J484" s="1212"/>
      <c r="K484" s="1212"/>
      <c r="L484" s="641"/>
      <c r="M484" s="1212" t="s">
        <v>375</v>
      </c>
      <c r="N484" s="1212"/>
      <c r="O484" s="1212"/>
      <c r="P484" s="1212"/>
      <c r="Q484" s="1212"/>
      <c r="S484" s="1212" t="s">
        <v>374</v>
      </c>
      <c r="T484" s="1212"/>
      <c r="U484" s="1212"/>
      <c r="V484" s="1212"/>
      <c r="W484" s="1212"/>
    </row>
    <row r="485" spans="1:23" ht="36.75" customHeight="1" thickBot="1" x14ac:dyDescent="0.25">
      <c r="E485" s="1213" t="e">
        <f>VLOOKUP(E488,ID_archer_cible,2,FALSE)</f>
        <v>#N/A</v>
      </c>
      <c r="F485" s="1214"/>
      <c r="G485" s="1214"/>
      <c r="H485" s="1214"/>
      <c r="I485" s="1214"/>
      <c r="J485" s="1214"/>
      <c r="K485" s="1215"/>
      <c r="L485" s="641"/>
      <c r="M485" s="1216" t="e">
        <f>"("&amp;VLOOKUP(E488,ID_archer_cible,3,FALSE)&amp;")"</f>
        <v>#N/A</v>
      </c>
      <c r="N485" s="1217"/>
      <c r="O485" s="1217"/>
      <c r="P485" s="1217"/>
      <c r="Q485" s="1217"/>
      <c r="R485" s="1218"/>
      <c r="S485" s="1185" t="e">
        <f>VLOOKUP(E488,ID_archer_cible,4,FALSE)</f>
        <v>#N/A</v>
      </c>
      <c r="T485" s="1186"/>
      <c r="U485" s="1186"/>
      <c r="V485" s="1186"/>
      <c r="W485" s="1187"/>
    </row>
    <row r="486" spans="1:23" ht="17.25" customHeight="1" x14ac:dyDescent="0.2"/>
    <row r="487" spans="1:23" ht="23.25" customHeight="1" thickBot="1" x14ac:dyDescent="0.25">
      <c r="A487" s="638" t="s">
        <v>906</v>
      </c>
      <c r="E487" s="508" t="s">
        <v>552</v>
      </c>
      <c r="F487" s="571" t="s">
        <v>893</v>
      </c>
      <c r="G487" s="1202" t="s">
        <v>550</v>
      </c>
      <c r="H487" s="1202"/>
      <c r="I487" s="571" t="s">
        <v>905</v>
      </c>
      <c r="J487" s="709" t="s">
        <v>551</v>
      </c>
      <c r="N487" s="508" t="s">
        <v>552</v>
      </c>
      <c r="O487" s="571" t="s">
        <v>893</v>
      </c>
      <c r="P487" s="1202" t="s">
        <v>550</v>
      </c>
      <c r="Q487" s="1202"/>
      <c r="R487" s="571" t="s">
        <v>905</v>
      </c>
      <c r="S487" s="709" t="s">
        <v>551</v>
      </c>
    </row>
    <row r="488" spans="1:23" ht="23.25" customHeight="1" thickTop="1" x14ac:dyDescent="0.2">
      <c r="A488" s="710" t="e">
        <f>VLOOKUP(E488,ID_archer_cible,5,FALSE)&amp;"    "&amp;VLOOKUP(E488,ID_archer_cible,6,FALSE)</f>
        <v>#N/A</v>
      </c>
      <c r="B488" s="711"/>
      <c r="C488" s="711"/>
      <c r="D488" s="712"/>
      <c r="E488" s="713" t="str">
        <f>C482&amp;"A"</f>
        <v>17A</v>
      </c>
      <c r="F488" s="714" t="e">
        <f>VLOOKUP(E488,ID_archer_cible,9,FALSE)</f>
        <v>#N/A</v>
      </c>
      <c r="G488" s="1209" t="e">
        <f>VLOOKUP(E488,ID_archer_cible,8,FALSE)</f>
        <v>#N/A</v>
      </c>
      <c r="H488" s="1209"/>
      <c r="I488" s="715" t="e">
        <f>VLOOKUP(E488,ID_archer_cible,7,FALSE)</f>
        <v>#N/A</v>
      </c>
      <c r="J488" s="716" t="e">
        <f>VLOOKUP(E488,ID_archer_cible,10,FALSE)</f>
        <v>#N/A</v>
      </c>
      <c r="K488" s="710" t="e">
        <f>VLOOKUP(N488,ID_archer_cible,5,FALSE)&amp;"    "&amp;VLOOKUP(N488,ID_archer_cible,6,FALSE)</f>
        <v>#N/A</v>
      </c>
      <c r="L488" s="722"/>
      <c r="M488" s="723"/>
      <c r="N488" s="714" t="str">
        <f>C482&amp;"C"</f>
        <v>17C</v>
      </c>
      <c r="O488" s="714" t="e">
        <f>VLOOKUP(N488,ID_archer_cible,9,FALSE)</f>
        <v>#N/A</v>
      </c>
      <c r="P488" s="1203" t="e">
        <f>VLOOKUP(N488,ID_archer_cible,8,FALSE)</f>
        <v>#N/A</v>
      </c>
      <c r="Q488" s="1204"/>
      <c r="R488" s="724" t="e">
        <f>VLOOKUP(N488,ID_archer_cible,7,FALSE)</f>
        <v>#N/A</v>
      </c>
      <c r="S488" s="716" t="e">
        <f>VLOOKUP(N488,ID_archer_cible,10,FALSE)</f>
        <v>#N/A</v>
      </c>
    </row>
    <row r="489" spans="1:23" ht="23.25" customHeight="1" thickBot="1" x14ac:dyDescent="0.25">
      <c r="A489" s="717" t="e">
        <f>VLOOKUP(E489,ID_archer_cible,5,FALSE)&amp;"    "&amp;VLOOKUP(E489,ID_archer_cible,6,FALSE)</f>
        <v>#N/A</v>
      </c>
      <c r="B489" s="718"/>
      <c r="C489" s="718"/>
      <c r="D489" s="719"/>
      <c r="E489" s="696" t="str">
        <f>C482&amp;"B"</f>
        <v>17B</v>
      </c>
      <c r="F489" s="720" t="e">
        <f>VLOOKUP(E489,ID_archer_cible,9,FALSE)</f>
        <v>#N/A</v>
      </c>
      <c r="G489" s="1210" t="e">
        <f>VLOOKUP(E489,ID_archer_cible,8,FALSE)</f>
        <v>#N/A</v>
      </c>
      <c r="H489" s="1210"/>
      <c r="I489" s="721" t="e">
        <f>VLOOKUP(E489,ID_archer_cible,7,FALSE)</f>
        <v>#N/A</v>
      </c>
      <c r="J489" s="700" t="e">
        <f>VLOOKUP(E489,ID_archer_cible,10,FALSE)</f>
        <v>#N/A</v>
      </c>
      <c r="K489" s="717" t="e">
        <f>VLOOKUP(N489,ID_archer_cible,5,FALSE)&amp;"    "&amp;VLOOKUP(N489,ID_archer_cible,6,FALSE)</f>
        <v>#N/A</v>
      </c>
      <c r="L489" s="725"/>
      <c r="M489" s="726"/>
      <c r="N489" s="720" t="str">
        <f>C482&amp;"D"</f>
        <v>17D</v>
      </c>
      <c r="O489" s="720" t="e">
        <f>VLOOKUP(N489,ID_archer_cible,9,FALSE)</f>
        <v>#N/A</v>
      </c>
      <c r="P489" s="1205" t="e">
        <f>VLOOKUP(N489,ID_archer_cible,8,FALSE)</f>
        <v>#N/A</v>
      </c>
      <c r="Q489" s="1206"/>
      <c r="R489" s="727" t="e">
        <f>VLOOKUP(N489,ID_archer_cible,7,FALSE)</f>
        <v>#N/A</v>
      </c>
      <c r="S489" s="700" t="e">
        <f>VLOOKUP(N489,ID_archer_cible,10,FALSE)</f>
        <v>#N/A</v>
      </c>
    </row>
    <row r="490" spans="1:23" ht="15" customHeight="1" thickTop="1" x14ac:dyDescent="0.2"/>
    <row r="491" spans="1:23" ht="15" customHeight="1" thickBot="1" x14ac:dyDescent="0.25"/>
    <row r="492" spans="1:23" ht="33.75" customHeight="1" thickBot="1" x14ac:dyDescent="0.25">
      <c r="A492" s="1222" t="s">
        <v>909</v>
      </c>
      <c r="B492" s="1223"/>
      <c r="C492" s="1224"/>
      <c r="E492" s="1225" t="s">
        <v>910</v>
      </c>
      <c r="F492" s="1226"/>
      <c r="G492" s="1227"/>
      <c r="I492" s="1222" t="s">
        <v>911</v>
      </c>
      <c r="J492" s="1223"/>
      <c r="K492" s="1224"/>
      <c r="M492" s="1222" t="s">
        <v>912</v>
      </c>
      <c r="N492" s="1223"/>
      <c r="O492" s="1224"/>
      <c r="Q492" s="1222" t="s">
        <v>913</v>
      </c>
      <c r="R492" s="1223"/>
      <c r="S492" s="1224"/>
      <c r="U492" s="1222" t="s">
        <v>916</v>
      </c>
      <c r="V492" s="1223"/>
      <c r="W492" s="1224"/>
    </row>
    <row r="493" spans="1:23" ht="33.75" customHeight="1" x14ac:dyDescent="0.2">
      <c r="A493" s="642" t="s">
        <v>980</v>
      </c>
      <c r="B493" s="643" t="s">
        <v>981</v>
      </c>
      <c r="C493" s="644" t="s">
        <v>780</v>
      </c>
      <c r="E493" s="642" t="s">
        <v>980</v>
      </c>
      <c r="F493" s="643" t="s">
        <v>981</v>
      </c>
      <c r="G493" s="644" t="s">
        <v>780</v>
      </c>
      <c r="I493" s="642" t="s">
        <v>980</v>
      </c>
      <c r="J493" s="643" t="s">
        <v>981</v>
      </c>
      <c r="K493" s="644" t="s">
        <v>780</v>
      </c>
      <c r="M493" s="642" t="s">
        <v>980</v>
      </c>
      <c r="N493" s="643" t="s">
        <v>981</v>
      </c>
      <c r="O493" s="644" t="s">
        <v>780</v>
      </c>
      <c r="Q493" s="642" t="s">
        <v>980</v>
      </c>
      <c r="R493" s="643" t="s">
        <v>981</v>
      </c>
      <c r="S493" s="644" t="s">
        <v>780</v>
      </c>
      <c r="U493" s="642" t="s">
        <v>980</v>
      </c>
      <c r="V493" s="643" t="s">
        <v>981</v>
      </c>
      <c r="W493" s="644" t="s">
        <v>780</v>
      </c>
    </row>
    <row r="494" spans="1:23" ht="33.75" customHeight="1" x14ac:dyDescent="0.2">
      <c r="A494" s="628">
        <v>10</v>
      </c>
      <c r="B494" s="630"/>
      <c r="C494" s="630"/>
      <c r="E494" s="628">
        <v>10</v>
      </c>
      <c r="F494" s="630"/>
      <c r="G494" s="630"/>
      <c r="I494" s="628">
        <v>10</v>
      </c>
      <c r="J494" s="630"/>
      <c r="K494" s="630"/>
      <c r="M494" s="628">
        <v>10</v>
      </c>
      <c r="N494" s="630"/>
      <c r="O494" s="630"/>
      <c r="Q494" s="628">
        <v>10</v>
      </c>
      <c r="R494" s="630"/>
      <c r="S494" s="630"/>
      <c r="U494" s="628">
        <v>10</v>
      </c>
      <c r="V494" s="630"/>
      <c r="W494" s="630"/>
    </row>
    <row r="495" spans="1:23" ht="33.75" customHeight="1" x14ac:dyDescent="0.2">
      <c r="A495" s="628">
        <v>9</v>
      </c>
      <c r="B495" s="630"/>
      <c r="C495" s="630"/>
      <c r="E495" s="628">
        <v>9</v>
      </c>
      <c r="F495" s="630"/>
      <c r="G495" s="630"/>
      <c r="I495" s="628">
        <v>9</v>
      </c>
      <c r="J495" s="630"/>
      <c r="K495" s="630"/>
      <c r="M495" s="628">
        <v>9</v>
      </c>
      <c r="N495" s="630"/>
      <c r="O495" s="630"/>
      <c r="Q495" s="628">
        <v>9</v>
      </c>
      <c r="R495" s="630"/>
      <c r="S495" s="630"/>
      <c r="U495" s="628">
        <v>9</v>
      </c>
      <c r="V495" s="630"/>
      <c r="W495" s="630"/>
    </row>
    <row r="496" spans="1:23" ht="33.75" customHeight="1" x14ac:dyDescent="0.2">
      <c r="A496" s="628">
        <v>8</v>
      </c>
      <c r="B496" s="630"/>
      <c r="C496" s="630"/>
      <c r="E496" s="628">
        <v>8</v>
      </c>
      <c r="F496" s="630"/>
      <c r="G496" s="630"/>
      <c r="I496" s="628">
        <v>8</v>
      </c>
      <c r="J496" s="630"/>
      <c r="K496" s="630"/>
      <c r="M496" s="628">
        <v>8</v>
      </c>
      <c r="N496" s="630"/>
      <c r="O496" s="630"/>
      <c r="Q496" s="628">
        <v>8</v>
      </c>
      <c r="R496" s="630"/>
      <c r="S496" s="630"/>
      <c r="U496" s="628">
        <v>8</v>
      </c>
      <c r="V496" s="630"/>
      <c r="W496" s="630"/>
    </row>
    <row r="497" spans="1:23" ht="33.75" customHeight="1" x14ac:dyDescent="0.2">
      <c r="A497" s="628">
        <v>7</v>
      </c>
      <c r="B497" s="630"/>
      <c r="C497" s="630"/>
      <c r="E497" s="628">
        <v>7</v>
      </c>
      <c r="F497" s="630"/>
      <c r="G497" s="630"/>
      <c r="I497" s="628">
        <v>7</v>
      </c>
      <c r="J497" s="630"/>
      <c r="K497" s="630"/>
      <c r="M497" s="628">
        <v>7</v>
      </c>
      <c r="N497" s="630"/>
      <c r="O497" s="630"/>
      <c r="Q497" s="628">
        <v>7</v>
      </c>
      <c r="R497" s="630"/>
      <c r="S497" s="630"/>
      <c r="U497" s="628">
        <v>7</v>
      </c>
      <c r="V497" s="630"/>
      <c r="W497" s="630"/>
    </row>
    <row r="498" spans="1:23" ht="33.75" customHeight="1" x14ac:dyDescent="0.2">
      <c r="A498" s="628">
        <v>6</v>
      </c>
      <c r="B498" s="630"/>
      <c r="C498" s="630"/>
      <c r="E498" s="628">
        <v>6</v>
      </c>
      <c r="F498" s="630"/>
      <c r="G498" s="630"/>
      <c r="I498" s="628">
        <v>6</v>
      </c>
      <c r="J498" s="630"/>
      <c r="K498" s="630"/>
      <c r="M498" s="628">
        <v>6</v>
      </c>
      <c r="N498" s="630"/>
      <c r="O498" s="630"/>
      <c r="Q498" s="628">
        <v>6</v>
      </c>
      <c r="R498" s="630"/>
      <c r="S498" s="630"/>
      <c r="U498" s="628">
        <v>6</v>
      </c>
      <c r="V498" s="630"/>
      <c r="W498" s="630"/>
    </row>
    <row r="499" spans="1:23" ht="33.75" customHeight="1" x14ac:dyDescent="0.2">
      <c r="A499" s="628">
        <v>5</v>
      </c>
      <c r="B499" s="630"/>
      <c r="C499" s="630"/>
      <c r="E499" s="628">
        <v>5</v>
      </c>
      <c r="F499" s="630"/>
      <c r="G499" s="630"/>
      <c r="I499" s="628">
        <v>5</v>
      </c>
      <c r="J499" s="630"/>
      <c r="K499" s="630"/>
      <c r="M499" s="628">
        <v>5</v>
      </c>
      <c r="N499" s="630"/>
      <c r="O499" s="630"/>
      <c r="Q499" s="628">
        <v>5</v>
      </c>
      <c r="R499" s="630"/>
      <c r="S499" s="630"/>
      <c r="U499" s="628">
        <v>5</v>
      </c>
      <c r="V499" s="630"/>
      <c r="W499" s="630"/>
    </row>
    <row r="500" spans="1:23" ht="33.75" customHeight="1" x14ac:dyDescent="0.2">
      <c r="A500" s="628">
        <v>4</v>
      </c>
      <c r="B500" s="630"/>
      <c r="C500" s="630"/>
      <c r="E500" s="628">
        <v>4</v>
      </c>
      <c r="F500" s="630"/>
      <c r="G500" s="630"/>
      <c r="I500" s="628">
        <v>4</v>
      </c>
      <c r="J500" s="630"/>
      <c r="K500" s="630"/>
      <c r="M500" s="628">
        <v>4</v>
      </c>
      <c r="N500" s="630"/>
      <c r="O500" s="630"/>
      <c r="Q500" s="628">
        <v>4</v>
      </c>
      <c r="R500" s="630"/>
      <c r="S500" s="630"/>
      <c r="U500" s="628">
        <v>4</v>
      </c>
      <c r="V500" s="630"/>
      <c r="W500" s="630"/>
    </row>
    <row r="501" spans="1:23" ht="33.75" customHeight="1" x14ac:dyDescent="0.2">
      <c r="A501" s="628">
        <v>3</v>
      </c>
      <c r="B501" s="630"/>
      <c r="C501" s="630"/>
      <c r="E501" s="628">
        <v>3</v>
      </c>
      <c r="F501" s="630"/>
      <c r="G501" s="630"/>
      <c r="I501" s="628">
        <v>3</v>
      </c>
      <c r="J501" s="630"/>
      <c r="K501" s="630"/>
      <c r="M501" s="628">
        <v>3</v>
      </c>
      <c r="N501" s="630"/>
      <c r="O501" s="630"/>
      <c r="Q501" s="628">
        <v>3</v>
      </c>
      <c r="R501" s="630"/>
      <c r="S501" s="630"/>
      <c r="U501" s="628">
        <v>3</v>
      </c>
      <c r="V501" s="630"/>
      <c r="W501" s="630"/>
    </row>
    <row r="502" spans="1:23" ht="33.75" customHeight="1" x14ac:dyDescent="0.2">
      <c r="A502" s="628">
        <v>2</v>
      </c>
      <c r="B502" s="630"/>
      <c r="C502" s="630"/>
      <c r="E502" s="628">
        <v>2</v>
      </c>
      <c r="F502" s="630"/>
      <c r="G502" s="630"/>
      <c r="I502" s="628">
        <v>2</v>
      </c>
      <c r="J502" s="630"/>
      <c r="K502" s="630"/>
      <c r="M502" s="628">
        <v>2</v>
      </c>
      <c r="N502" s="630"/>
      <c r="O502" s="630"/>
      <c r="Q502" s="628">
        <v>2</v>
      </c>
      <c r="R502" s="630"/>
      <c r="S502" s="630"/>
      <c r="U502" s="628">
        <v>2</v>
      </c>
      <c r="V502" s="630"/>
      <c r="W502" s="630"/>
    </row>
    <row r="503" spans="1:23" ht="33.75" customHeight="1" x14ac:dyDescent="0.2">
      <c r="A503" s="628">
        <v>1</v>
      </c>
      <c r="B503" s="630"/>
      <c r="C503" s="630"/>
      <c r="E503" s="628">
        <v>1</v>
      </c>
      <c r="F503" s="630"/>
      <c r="G503" s="630"/>
      <c r="I503" s="628">
        <v>1</v>
      </c>
      <c r="J503" s="630"/>
      <c r="K503" s="630"/>
      <c r="M503" s="628">
        <v>1</v>
      </c>
      <c r="N503" s="630"/>
      <c r="O503" s="630"/>
      <c r="Q503" s="628">
        <v>1</v>
      </c>
      <c r="R503" s="630"/>
      <c r="S503" s="630"/>
      <c r="U503" s="628">
        <v>1</v>
      </c>
      <c r="V503" s="630"/>
      <c r="W503" s="630"/>
    </row>
    <row r="504" spans="1:23" ht="33.75" customHeight="1" x14ac:dyDescent="0.2">
      <c r="A504" s="628" t="s">
        <v>982</v>
      </c>
      <c r="B504" s="630"/>
      <c r="C504" s="630"/>
      <c r="E504" s="628" t="s">
        <v>982</v>
      </c>
      <c r="F504" s="630"/>
      <c r="G504" s="630"/>
      <c r="I504" s="628" t="s">
        <v>982</v>
      </c>
      <c r="J504" s="630"/>
      <c r="K504" s="630"/>
      <c r="M504" s="628" t="s">
        <v>982</v>
      </c>
      <c r="N504" s="630"/>
      <c r="O504" s="630"/>
      <c r="Q504" s="628" t="s">
        <v>982</v>
      </c>
      <c r="R504" s="630"/>
      <c r="S504" s="630"/>
      <c r="U504" s="628" t="s">
        <v>982</v>
      </c>
      <c r="V504" s="630"/>
      <c r="W504" s="630"/>
    </row>
    <row r="505" spans="1:23" ht="33.75" customHeight="1" x14ac:dyDescent="0.2">
      <c r="A505" s="629" t="s">
        <v>981</v>
      </c>
      <c r="B505" s="630"/>
      <c r="C505" s="631" t="s">
        <v>984</v>
      </c>
      <c r="E505" s="629" t="s">
        <v>981</v>
      </c>
      <c r="F505" s="630"/>
      <c r="G505" s="631" t="s">
        <v>984</v>
      </c>
      <c r="I505" s="629" t="s">
        <v>981</v>
      </c>
      <c r="J505" s="630"/>
      <c r="K505" s="631" t="s">
        <v>984</v>
      </c>
      <c r="M505" s="629" t="s">
        <v>981</v>
      </c>
      <c r="N505" s="630"/>
      <c r="O505" s="631" t="s">
        <v>984</v>
      </c>
      <c r="Q505" s="629" t="s">
        <v>981</v>
      </c>
      <c r="R505" s="630"/>
      <c r="S505" s="631" t="s">
        <v>984</v>
      </c>
      <c r="U505" s="629" t="s">
        <v>981</v>
      </c>
      <c r="V505" s="630"/>
      <c r="W505" s="631" t="s">
        <v>984</v>
      </c>
    </row>
    <row r="506" spans="1:23" ht="48" customHeight="1" x14ac:dyDescent="0.25">
      <c r="A506" s="637"/>
      <c r="B506" s="629" t="s">
        <v>983</v>
      </c>
      <c r="C506" s="636"/>
      <c r="E506" s="637" t="s">
        <v>985</v>
      </c>
      <c r="F506" s="632" t="s">
        <v>983</v>
      </c>
      <c r="G506" s="633"/>
      <c r="I506" s="637" t="s">
        <v>985</v>
      </c>
      <c r="J506" s="632" t="s">
        <v>983</v>
      </c>
      <c r="K506" s="633"/>
      <c r="M506" s="637" t="s">
        <v>985</v>
      </c>
      <c r="N506" s="632" t="s">
        <v>983</v>
      </c>
      <c r="O506" s="633"/>
      <c r="Q506" s="637" t="s">
        <v>985</v>
      </c>
      <c r="R506" s="632" t="s">
        <v>983</v>
      </c>
      <c r="S506" s="633"/>
      <c r="U506" s="637" t="s">
        <v>985</v>
      </c>
      <c r="V506" s="632" t="s">
        <v>983</v>
      </c>
      <c r="W506" s="633"/>
    </row>
    <row r="507" spans="1:23" ht="51" customHeight="1" x14ac:dyDescent="0.2">
      <c r="A507" s="634"/>
      <c r="B507" s="634"/>
      <c r="C507" s="634"/>
      <c r="E507" s="1115" t="s">
        <v>986</v>
      </c>
      <c r="F507" s="1115"/>
      <c r="G507" s="635"/>
      <c r="I507" s="1115" t="s">
        <v>986</v>
      </c>
      <c r="J507" s="1115"/>
      <c r="K507" s="635"/>
      <c r="M507" s="1115" t="s">
        <v>986</v>
      </c>
      <c r="N507" s="1115"/>
      <c r="O507" s="635"/>
      <c r="Q507" s="1115" t="s">
        <v>986</v>
      </c>
      <c r="R507" s="1115"/>
      <c r="S507" s="635"/>
      <c r="U507" s="1228" t="s">
        <v>987</v>
      </c>
      <c r="V507" s="1229"/>
      <c r="W507" s="635"/>
    </row>
    <row r="508" spans="1:23" ht="13.5" customHeight="1" thickBot="1" x14ac:dyDescent="0.25"/>
    <row r="509" spans="1:23" ht="72" customHeight="1" thickBot="1" x14ac:dyDescent="0.25">
      <c r="E509" s="707" t="s">
        <v>1007</v>
      </c>
      <c r="F509" s="639"/>
      <c r="G509" s="639"/>
      <c r="H509" s="639"/>
      <c r="I509" s="639"/>
      <c r="J509" s="640"/>
      <c r="M509" s="708" t="s">
        <v>1008</v>
      </c>
      <c r="N509" s="639"/>
      <c r="O509" s="639"/>
      <c r="P509" s="639"/>
      <c r="Q509" s="640"/>
      <c r="S509" s="1219" t="s">
        <v>988</v>
      </c>
      <c r="T509" s="1219"/>
      <c r="U509" s="1219"/>
      <c r="V509" s="1220"/>
      <c r="W509" s="1221"/>
    </row>
    <row r="510" spans="1:23" ht="34.5" customHeight="1" x14ac:dyDescent="0.2"/>
    <row r="511" spans="1:23" ht="6.75" customHeight="1" x14ac:dyDescent="0.2">
      <c r="Q511" s="1193" t="str">
        <f>CATEG_IMPORTEE</f>
        <v>Collèges Mixtes Etablissement</v>
      </c>
      <c r="R511" s="1193"/>
      <c r="S511" s="1193"/>
      <c r="T511" s="1193"/>
      <c r="U511" s="1193"/>
      <c r="V511" s="1193"/>
      <c r="W511" s="1193"/>
    </row>
    <row r="512" spans="1:23" s="218" customFormat="1" ht="33.75" x14ac:dyDescent="0.2">
      <c r="A512" s="1207" t="s">
        <v>628</v>
      </c>
      <c r="B512" s="1207"/>
      <c r="C512" s="645">
        <f>C482+1</f>
        <v>18</v>
      </c>
      <c r="E512" s="1208" t="str">
        <f>Championnat</f>
        <v>Championnat de France de Tir à l'ARC</v>
      </c>
      <c r="F512" s="1208"/>
      <c r="G512" s="1208"/>
      <c r="H512" s="1208"/>
      <c r="I512" s="1208"/>
      <c r="J512" s="1208"/>
      <c r="K512" s="1208"/>
      <c r="L512" s="1208"/>
      <c r="M512" s="1208"/>
      <c r="N512" s="1208"/>
      <c r="O512" s="1208"/>
      <c r="Q512" s="1193"/>
      <c r="R512" s="1193"/>
      <c r="S512" s="1193"/>
      <c r="T512" s="1193"/>
      <c r="U512" s="1193"/>
      <c r="V512" s="1193"/>
      <c r="W512" s="1193"/>
    </row>
    <row r="513" spans="1:23" ht="27" customHeight="1" x14ac:dyDescent="0.2">
      <c r="Q513" s="1211" t="str">
        <f>LIEU&amp;" du "&amp;DATE</f>
        <v>L’Isle sur la Sorgue du 27 au 31 mars 2023</v>
      </c>
      <c r="R513" s="1211"/>
      <c r="S513" s="1211"/>
      <c r="T513" s="1211"/>
      <c r="U513" s="1211"/>
      <c r="V513" s="1211"/>
      <c r="W513" s="1211"/>
    </row>
    <row r="514" spans="1:23" ht="19.5" customHeight="1" thickBot="1" x14ac:dyDescent="0.25">
      <c r="E514" s="1212" t="s">
        <v>0</v>
      </c>
      <c r="F514" s="1212"/>
      <c r="G514" s="1212"/>
      <c r="H514" s="1212"/>
      <c r="I514" s="1212"/>
      <c r="J514" s="1212"/>
      <c r="K514" s="1212"/>
      <c r="L514" s="641"/>
      <c r="M514" s="1212" t="s">
        <v>375</v>
      </c>
      <c r="N514" s="1212"/>
      <c r="O514" s="1212"/>
      <c r="P514" s="1212"/>
      <c r="Q514" s="1212"/>
      <c r="S514" s="1212" t="s">
        <v>374</v>
      </c>
      <c r="T514" s="1212"/>
      <c r="U514" s="1212"/>
      <c r="V514" s="1212"/>
      <c r="W514" s="1212"/>
    </row>
    <row r="515" spans="1:23" ht="36.75" customHeight="1" thickBot="1" x14ac:dyDescent="0.25">
      <c r="E515" s="1213" t="e">
        <f>VLOOKUP(E518,ID_archer_cible,2,FALSE)</f>
        <v>#N/A</v>
      </c>
      <c r="F515" s="1214"/>
      <c r="G515" s="1214"/>
      <c r="H515" s="1214"/>
      <c r="I515" s="1214"/>
      <c r="J515" s="1214"/>
      <c r="K515" s="1215"/>
      <c r="L515" s="641"/>
      <c r="M515" s="1216" t="e">
        <f>"("&amp;VLOOKUP(E518,ID_archer_cible,3,FALSE)&amp;")"</f>
        <v>#N/A</v>
      </c>
      <c r="N515" s="1217"/>
      <c r="O515" s="1217"/>
      <c r="P515" s="1217"/>
      <c r="Q515" s="1217"/>
      <c r="R515" s="1218"/>
      <c r="S515" s="1185" t="e">
        <f>VLOOKUP(E518,ID_archer_cible,4,FALSE)</f>
        <v>#N/A</v>
      </c>
      <c r="T515" s="1186"/>
      <c r="U515" s="1186"/>
      <c r="V515" s="1186"/>
      <c r="W515" s="1187"/>
    </row>
    <row r="516" spans="1:23" ht="17.25" customHeight="1" x14ac:dyDescent="0.2"/>
    <row r="517" spans="1:23" ht="23.25" customHeight="1" thickBot="1" x14ac:dyDescent="0.25">
      <c r="A517" s="638" t="s">
        <v>906</v>
      </c>
      <c r="E517" s="508" t="s">
        <v>552</v>
      </c>
      <c r="F517" s="571" t="s">
        <v>893</v>
      </c>
      <c r="G517" s="1202" t="s">
        <v>550</v>
      </c>
      <c r="H517" s="1202"/>
      <c r="I517" s="571" t="s">
        <v>905</v>
      </c>
      <c r="J517" s="709" t="s">
        <v>551</v>
      </c>
      <c r="N517" s="508" t="s">
        <v>552</v>
      </c>
      <c r="O517" s="571" t="s">
        <v>893</v>
      </c>
      <c r="P517" s="1202" t="s">
        <v>550</v>
      </c>
      <c r="Q517" s="1202"/>
      <c r="R517" s="571" t="s">
        <v>905</v>
      </c>
      <c r="S517" s="709" t="s">
        <v>551</v>
      </c>
    </row>
    <row r="518" spans="1:23" ht="23.25" customHeight="1" thickTop="1" x14ac:dyDescent="0.2">
      <c r="A518" s="710" t="e">
        <f>VLOOKUP(E518,ID_archer_cible,5,FALSE)&amp;"    "&amp;VLOOKUP(E518,ID_archer_cible,6,FALSE)</f>
        <v>#N/A</v>
      </c>
      <c r="B518" s="711"/>
      <c r="C518" s="711"/>
      <c r="D518" s="712"/>
      <c r="E518" s="713" t="str">
        <f>C512&amp;"A"</f>
        <v>18A</v>
      </c>
      <c r="F518" s="714" t="e">
        <f>VLOOKUP(E518,ID_archer_cible,9,FALSE)</f>
        <v>#N/A</v>
      </c>
      <c r="G518" s="1209" t="e">
        <f>VLOOKUP(E518,ID_archer_cible,8,FALSE)</f>
        <v>#N/A</v>
      </c>
      <c r="H518" s="1209"/>
      <c r="I518" s="715" t="e">
        <f>VLOOKUP(E518,ID_archer_cible,7,FALSE)</f>
        <v>#N/A</v>
      </c>
      <c r="J518" s="716" t="e">
        <f>VLOOKUP(E518,ID_archer_cible,10,FALSE)</f>
        <v>#N/A</v>
      </c>
      <c r="K518" s="710" t="e">
        <f>VLOOKUP(N518,ID_archer_cible,5,FALSE)&amp;"    "&amp;VLOOKUP(N518,ID_archer_cible,6,FALSE)</f>
        <v>#N/A</v>
      </c>
      <c r="L518" s="722"/>
      <c r="M518" s="723"/>
      <c r="N518" s="714" t="str">
        <f>C512&amp;"C"</f>
        <v>18C</v>
      </c>
      <c r="O518" s="714" t="e">
        <f>VLOOKUP(N518,ID_archer_cible,9,FALSE)</f>
        <v>#N/A</v>
      </c>
      <c r="P518" s="1203" t="e">
        <f>VLOOKUP(N518,ID_archer_cible,8,FALSE)</f>
        <v>#N/A</v>
      </c>
      <c r="Q518" s="1204"/>
      <c r="R518" s="724" t="e">
        <f>VLOOKUP(N518,ID_archer_cible,7,FALSE)</f>
        <v>#N/A</v>
      </c>
      <c r="S518" s="716" t="e">
        <f>VLOOKUP(N518,ID_archer_cible,10,FALSE)</f>
        <v>#N/A</v>
      </c>
    </row>
    <row r="519" spans="1:23" ht="23.25" customHeight="1" thickBot="1" x14ac:dyDescent="0.25">
      <c r="A519" s="717" t="e">
        <f>VLOOKUP(E519,ID_archer_cible,5,FALSE)&amp;"    "&amp;VLOOKUP(E519,ID_archer_cible,6,FALSE)</f>
        <v>#N/A</v>
      </c>
      <c r="B519" s="718"/>
      <c r="C519" s="718"/>
      <c r="D519" s="719"/>
      <c r="E519" s="696" t="str">
        <f>C512&amp;"B"</f>
        <v>18B</v>
      </c>
      <c r="F519" s="720" t="e">
        <f>VLOOKUP(E519,ID_archer_cible,9,FALSE)</f>
        <v>#N/A</v>
      </c>
      <c r="G519" s="1210" t="e">
        <f>VLOOKUP(E519,ID_archer_cible,8,FALSE)</f>
        <v>#N/A</v>
      </c>
      <c r="H519" s="1210"/>
      <c r="I519" s="721" t="e">
        <f>VLOOKUP(E519,ID_archer_cible,7,FALSE)</f>
        <v>#N/A</v>
      </c>
      <c r="J519" s="700" t="e">
        <f>VLOOKUP(E519,ID_archer_cible,10,FALSE)</f>
        <v>#N/A</v>
      </c>
      <c r="K519" s="717" t="e">
        <f>VLOOKUP(N519,ID_archer_cible,5,FALSE)&amp;"    "&amp;VLOOKUP(N519,ID_archer_cible,6,FALSE)</f>
        <v>#N/A</v>
      </c>
      <c r="L519" s="725"/>
      <c r="M519" s="726"/>
      <c r="N519" s="720" t="str">
        <f>C512&amp;"D"</f>
        <v>18D</v>
      </c>
      <c r="O519" s="720" t="e">
        <f>VLOOKUP(N519,ID_archer_cible,9,FALSE)</f>
        <v>#N/A</v>
      </c>
      <c r="P519" s="1205" t="e">
        <f>VLOOKUP(N519,ID_archer_cible,8,FALSE)</f>
        <v>#N/A</v>
      </c>
      <c r="Q519" s="1206"/>
      <c r="R519" s="727" t="e">
        <f>VLOOKUP(N519,ID_archer_cible,7,FALSE)</f>
        <v>#N/A</v>
      </c>
      <c r="S519" s="700" t="e">
        <f>VLOOKUP(N519,ID_archer_cible,10,FALSE)</f>
        <v>#N/A</v>
      </c>
    </row>
    <row r="520" spans="1:23" ht="15" customHeight="1" thickTop="1" x14ac:dyDescent="0.2"/>
    <row r="521" spans="1:23" ht="15" customHeight="1" thickBot="1" x14ac:dyDescent="0.25"/>
    <row r="522" spans="1:23" ht="33.75" customHeight="1" thickBot="1" x14ac:dyDescent="0.25">
      <c r="A522" s="1222" t="s">
        <v>909</v>
      </c>
      <c r="B522" s="1223"/>
      <c r="C522" s="1224"/>
      <c r="E522" s="1225" t="s">
        <v>910</v>
      </c>
      <c r="F522" s="1226"/>
      <c r="G522" s="1227"/>
      <c r="I522" s="1222" t="s">
        <v>911</v>
      </c>
      <c r="J522" s="1223"/>
      <c r="K522" s="1224"/>
      <c r="M522" s="1222" t="s">
        <v>912</v>
      </c>
      <c r="N522" s="1223"/>
      <c r="O522" s="1224"/>
      <c r="Q522" s="1222" t="s">
        <v>913</v>
      </c>
      <c r="R522" s="1223"/>
      <c r="S522" s="1224"/>
      <c r="U522" s="1222" t="s">
        <v>916</v>
      </c>
      <c r="V522" s="1223"/>
      <c r="W522" s="1224"/>
    </row>
    <row r="523" spans="1:23" ht="33.75" customHeight="1" x14ac:dyDescent="0.2">
      <c r="A523" s="642" t="s">
        <v>980</v>
      </c>
      <c r="B523" s="643" t="s">
        <v>981</v>
      </c>
      <c r="C523" s="644" t="s">
        <v>780</v>
      </c>
      <c r="E523" s="642" t="s">
        <v>980</v>
      </c>
      <c r="F523" s="643" t="s">
        <v>981</v>
      </c>
      <c r="G523" s="644" t="s">
        <v>780</v>
      </c>
      <c r="I523" s="642" t="s">
        <v>980</v>
      </c>
      <c r="J523" s="643" t="s">
        <v>981</v>
      </c>
      <c r="K523" s="644" t="s">
        <v>780</v>
      </c>
      <c r="M523" s="642" t="s">
        <v>980</v>
      </c>
      <c r="N523" s="643" t="s">
        <v>981</v>
      </c>
      <c r="O523" s="644" t="s">
        <v>780</v>
      </c>
      <c r="Q523" s="642" t="s">
        <v>980</v>
      </c>
      <c r="R523" s="643" t="s">
        <v>981</v>
      </c>
      <c r="S523" s="644" t="s">
        <v>780</v>
      </c>
      <c r="U523" s="642" t="s">
        <v>980</v>
      </c>
      <c r="V523" s="643" t="s">
        <v>981</v>
      </c>
      <c r="W523" s="644" t="s">
        <v>780</v>
      </c>
    </row>
    <row r="524" spans="1:23" ht="33.75" customHeight="1" x14ac:dyDescent="0.2">
      <c r="A524" s="628">
        <v>10</v>
      </c>
      <c r="B524" s="630"/>
      <c r="C524" s="630"/>
      <c r="E524" s="628">
        <v>10</v>
      </c>
      <c r="F524" s="630"/>
      <c r="G524" s="630"/>
      <c r="I524" s="628">
        <v>10</v>
      </c>
      <c r="J524" s="630"/>
      <c r="K524" s="630"/>
      <c r="M524" s="628">
        <v>10</v>
      </c>
      <c r="N524" s="630"/>
      <c r="O524" s="630"/>
      <c r="Q524" s="628">
        <v>10</v>
      </c>
      <c r="R524" s="630"/>
      <c r="S524" s="630"/>
      <c r="U524" s="628">
        <v>10</v>
      </c>
      <c r="V524" s="630"/>
      <c r="W524" s="630"/>
    </row>
    <row r="525" spans="1:23" ht="33.75" customHeight="1" x14ac:dyDescent="0.2">
      <c r="A525" s="628">
        <v>9</v>
      </c>
      <c r="B525" s="630"/>
      <c r="C525" s="630"/>
      <c r="E525" s="628">
        <v>9</v>
      </c>
      <c r="F525" s="630"/>
      <c r="G525" s="630"/>
      <c r="I525" s="628">
        <v>9</v>
      </c>
      <c r="J525" s="630"/>
      <c r="K525" s="630"/>
      <c r="M525" s="628">
        <v>9</v>
      </c>
      <c r="N525" s="630"/>
      <c r="O525" s="630"/>
      <c r="Q525" s="628">
        <v>9</v>
      </c>
      <c r="R525" s="630"/>
      <c r="S525" s="630"/>
      <c r="U525" s="628">
        <v>9</v>
      </c>
      <c r="V525" s="630"/>
      <c r="W525" s="630"/>
    </row>
    <row r="526" spans="1:23" ht="33.75" customHeight="1" x14ac:dyDescent="0.2">
      <c r="A526" s="628">
        <v>8</v>
      </c>
      <c r="B526" s="630"/>
      <c r="C526" s="630"/>
      <c r="E526" s="628">
        <v>8</v>
      </c>
      <c r="F526" s="630"/>
      <c r="G526" s="630"/>
      <c r="I526" s="628">
        <v>8</v>
      </c>
      <c r="J526" s="630"/>
      <c r="K526" s="630"/>
      <c r="M526" s="628">
        <v>8</v>
      </c>
      <c r="N526" s="630"/>
      <c r="O526" s="630"/>
      <c r="Q526" s="628">
        <v>8</v>
      </c>
      <c r="R526" s="630"/>
      <c r="S526" s="630"/>
      <c r="U526" s="628">
        <v>8</v>
      </c>
      <c r="V526" s="630"/>
      <c r="W526" s="630"/>
    </row>
    <row r="527" spans="1:23" ht="33.75" customHeight="1" x14ac:dyDescent="0.2">
      <c r="A527" s="628">
        <v>7</v>
      </c>
      <c r="B527" s="630"/>
      <c r="C527" s="630"/>
      <c r="E527" s="628">
        <v>7</v>
      </c>
      <c r="F527" s="630"/>
      <c r="G527" s="630"/>
      <c r="I527" s="628">
        <v>7</v>
      </c>
      <c r="J527" s="630"/>
      <c r="K527" s="630"/>
      <c r="M527" s="628">
        <v>7</v>
      </c>
      <c r="N527" s="630"/>
      <c r="O527" s="630"/>
      <c r="Q527" s="628">
        <v>7</v>
      </c>
      <c r="R527" s="630"/>
      <c r="S527" s="630"/>
      <c r="U527" s="628">
        <v>7</v>
      </c>
      <c r="V527" s="630"/>
      <c r="W527" s="630"/>
    </row>
    <row r="528" spans="1:23" ht="33.75" customHeight="1" x14ac:dyDescent="0.2">
      <c r="A528" s="628">
        <v>6</v>
      </c>
      <c r="B528" s="630"/>
      <c r="C528" s="630"/>
      <c r="E528" s="628">
        <v>6</v>
      </c>
      <c r="F528" s="630"/>
      <c r="G528" s="630"/>
      <c r="I528" s="628">
        <v>6</v>
      </c>
      <c r="J528" s="630"/>
      <c r="K528" s="630"/>
      <c r="M528" s="628">
        <v>6</v>
      </c>
      <c r="N528" s="630"/>
      <c r="O528" s="630"/>
      <c r="Q528" s="628">
        <v>6</v>
      </c>
      <c r="R528" s="630"/>
      <c r="S528" s="630"/>
      <c r="U528" s="628">
        <v>6</v>
      </c>
      <c r="V528" s="630"/>
      <c r="W528" s="630"/>
    </row>
    <row r="529" spans="1:23" ht="33.75" customHeight="1" x14ac:dyDescent="0.2">
      <c r="A529" s="628">
        <v>5</v>
      </c>
      <c r="B529" s="630"/>
      <c r="C529" s="630"/>
      <c r="E529" s="628">
        <v>5</v>
      </c>
      <c r="F529" s="630"/>
      <c r="G529" s="630"/>
      <c r="I529" s="628">
        <v>5</v>
      </c>
      <c r="J529" s="630"/>
      <c r="K529" s="630"/>
      <c r="M529" s="628">
        <v>5</v>
      </c>
      <c r="N529" s="630"/>
      <c r="O529" s="630"/>
      <c r="Q529" s="628">
        <v>5</v>
      </c>
      <c r="R529" s="630"/>
      <c r="S529" s="630"/>
      <c r="U529" s="628">
        <v>5</v>
      </c>
      <c r="V529" s="630"/>
      <c r="W529" s="630"/>
    </row>
    <row r="530" spans="1:23" ht="33.75" customHeight="1" x14ac:dyDescent="0.2">
      <c r="A530" s="628">
        <v>4</v>
      </c>
      <c r="B530" s="630"/>
      <c r="C530" s="630"/>
      <c r="E530" s="628">
        <v>4</v>
      </c>
      <c r="F530" s="630"/>
      <c r="G530" s="630"/>
      <c r="I530" s="628">
        <v>4</v>
      </c>
      <c r="J530" s="630"/>
      <c r="K530" s="630"/>
      <c r="M530" s="628">
        <v>4</v>
      </c>
      <c r="N530" s="630"/>
      <c r="O530" s="630"/>
      <c r="Q530" s="628">
        <v>4</v>
      </c>
      <c r="R530" s="630"/>
      <c r="S530" s="630"/>
      <c r="U530" s="628">
        <v>4</v>
      </c>
      <c r="V530" s="630"/>
      <c r="W530" s="630"/>
    </row>
    <row r="531" spans="1:23" ht="33.75" customHeight="1" x14ac:dyDescent="0.2">
      <c r="A531" s="628">
        <v>3</v>
      </c>
      <c r="B531" s="630"/>
      <c r="C531" s="630"/>
      <c r="E531" s="628">
        <v>3</v>
      </c>
      <c r="F531" s="630"/>
      <c r="G531" s="630"/>
      <c r="I531" s="628">
        <v>3</v>
      </c>
      <c r="J531" s="630"/>
      <c r="K531" s="630"/>
      <c r="M531" s="628">
        <v>3</v>
      </c>
      <c r="N531" s="630"/>
      <c r="O531" s="630"/>
      <c r="Q531" s="628">
        <v>3</v>
      </c>
      <c r="R531" s="630"/>
      <c r="S531" s="630"/>
      <c r="U531" s="628">
        <v>3</v>
      </c>
      <c r="V531" s="630"/>
      <c r="W531" s="630"/>
    </row>
    <row r="532" spans="1:23" ht="33.75" customHeight="1" x14ac:dyDescent="0.2">
      <c r="A532" s="628">
        <v>2</v>
      </c>
      <c r="B532" s="630"/>
      <c r="C532" s="630"/>
      <c r="E532" s="628">
        <v>2</v>
      </c>
      <c r="F532" s="630"/>
      <c r="G532" s="630"/>
      <c r="I532" s="628">
        <v>2</v>
      </c>
      <c r="J532" s="630"/>
      <c r="K532" s="630"/>
      <c r="M532" s="628">
        <v>2</v>
      </c>
      <c r="N532" s="630"/>
      <c r="O532" s="630"/>
      <c r="Q532" s="628">
        <v>2</v>
      </c>
      <c r="R532" s="630"/>
      <c r="S532" s="630"/>
      <c r="U532" s="628">
        <v>2</v>
      </c>
      <c r="V532" s="630"/>
      <c r="W532" s="630"/>
    </row>
    <row r="533" spans="1:23" ht="33.75" customHeight="1" x14ac:dyDescent="0.2">
      <c r="A533" s="628">
        <v>1</v>
      </c>
      <c r="B533" s="630"/>
      <c r="C533" s="630"/>
      <c r="E533" s="628">
        <v>1</v>
      </c>
      <c r="F533" s="630"/>
      <c r="G533" s="630"/>
      <c r="I533" s="628">
        <v>1</v>
      </c>
      <c r="J533" s="630"/>
      <c r="K533" s="630"/>
      <c r="M533" s="628">
        <v>1</v>
      </c>
      <c r="N533" s="630"/>
      <c r="O533" s="630"/>
      <c r="Q533" s="628">
        <v>1</v>
      </c>
      <c r="R533" s="630"/>
      <c r="S533" s="630"/>
      <c r="U533" s="628">
        <v>1</v>
      </c>
      <c r="V533" s="630"/>
      <c r="W533" s="630"/>
    </row>
    <row r="534" spans="1:23" ht="33.75" customHeight="1" x14ac:dyDescent="0.2">
      <c r="A534" s="628" t="s">
        <v>982</v>
      </c>
      <c r="B534" s="630"/>
      <c r="C534" s="630"/>
      <c r="E534" s="628" t="s">
        <v>982</v>
      </c>
      <c r="F534" s="630"/>
      <c r="G534" s="630"/>
      <c r="I534" s="628" t="s">
        <v>982</v>
      </c>
      <c r="J534" s="630"/>
      <c r="K534" s="630"/>
      <c r="M534" s="628" t="s">
        <v>982</v>
      </c>
      <c r="N534" s="630"/>
      <c r="O534" s="630"/>
      <c r="Q534" s="628" t="s">
        <v>982</v>
      </c>
      <c r="R534" s="630"/>
      <c r="S534" s="630"/>
      <c r="U534" s="628" t="s">
        <v>982</v>
      </c>
      <c r="V534" s="630"/>
      <c r="W534" s="630"/>
    </row>
    <row r="535" spans="1:23" ht="33.75" customHeight="1" x14ac:dyDescent="0.2">
      <c r="A535" s="629" t="s">
        <v>981</v>
      </c>
      <c r="B535" s="630"/>
      <c r="C535" s="631" t="s">
        <v>984</v>
      </c>
      <c r="E535" s="629" t="s">
        <v>981</v>
      </c>
      <c r="F535" s="630"/>
      <c r="G535" s="631" t="s">
        <v>984</v>
      </c>
      <c r="I535" s="629" t="s">
        <v>981</v>
      </c>
      <c r="J535" s="630"/>
      <c r="K535" s="631" t="s">
        <v>984</v>
      </c>
      <c r="M535" s="629" t="s">
        <v>981</v>
      </c>
      <c r="N535" s="630"/>
      <c r="O535" s="631" t="s">
        <v>984</v>
      </c>
      <c r="Q535" s="629" t="s">
        <v>981</v>
      </c>
      <c r="R535" s="630"/>
      <c r="S535" s="631" t="s">
        <v>984</v>
      </c>
      <c r="U535" s="629" t="s">
        <v>981</v>
      </c>
      <c r="V535" s="630"/>
      <c r="W535" s="631" t="s">
        <v>984</v>
      </c>
    </row>
    <row r="536" spans="1:23" ht="48" customHeight="1" x14ac:dyDescent="0.25">
      <c r="A536" s="637"/>
      <c r="B536" s="629" t="s">
        <v>983</v>
      </c>
      <c r="C536" s="636"/>
      <c r="E536" s="637" t="s">
        <v>985</v>
      </c>
      <c r="F536" s="632" t="s">
        <v>983</v>
      </c>
      <c r="G536" s="633"/>
      <c r="I536" s="637" t="s">
        <v>985</v>
      </c>
      <c r="J536" s="632" t="s">
        <v>983</v>
      </c>
      <c r="K536" s="633"/>
      <c r="M536" s="637" t="s">
        <v>985</v>
      </c>
      <c r="N536" s="632" t="s">
        <v>983</v>
      </c>
      <c r="O536" s="633"/>
      <c r="Q536" s="637" t="s">
        <v>985</v>
      </c>
      <c r="R536" s="632" t="s">
        <v>983</v>
      </c>
      <c r="S536" s="633"/>
      <c r="U536" s="637" t="s">
        <v>985</v>
      </c>
      <c r="V536" s="632" t="s">
        <v>983</v>
      </c>
      <c r="W536" s="633"/>
    </row>
    <row r="537" spans="1:23" ht="51" customHeight="1" x14ac:dyDescent="0.2">
      <c r="A537" s="634"/>
      <c r="B537" s="634"/>
      <c r="C537" s="634"/>
      <c r="E537" s="1115" t="s">
        <v>986</v>
      </c>
      <c r="F537" s="1115"/>
      <c r="G537" s="635"/>
      <c r="I537" s="1115" t="s">
        <v>986</v>
      </c>
      <c r="J537" s="1115"/>
      <c r="K537" s="635"/>
      <c r="M537" s="1115" t="s">
        <v>986</v>
      </c>
      <c r="N537" s="1115"/>
      <c r="O537" s="635"/>
      <c r="Q537" s="1115" t="s">
        <v>986</v>
      </c>
      <c r="R537" s="1115"/>
      <c r="S537" s="635"/>
      <c r="U537" s="1228" t="s">
        <v>987</v>
      </c>
      <c r="V537" s="1229"/>
      <c r="W537" s="635"/>
    </row>
    <row r="538" spans="1:23" ht="13.5" customHeight="1" thickBot="1" x14ac:dyDescent="0.25"/>
    <row r="539" spans="1:23" ht="72" customHeight="1" thickBot="1" x14ac:dyDescent="0.25">
      <c r="E539" s="707" t="s">
        <v>1007</v>
      </c>
      <c r="F539" s="639"/>
      <c r="G539" s="639"/>
      <c r="H539" s="639"/>
      <c r="I539" s="639"/>
      <c r="J539" s="640"/>
      <c r="M539" s="708" t="s">
        <v>1008</v>
      </c>
      <c r="N539" s="639"/>
      <c r="O539" s="639"/>
      <c r="P539" s="639"/>
      <c r="Q539" s="640"/>
      <c r="S539" s="1219" t="s">
        <v>988</v>
      </c>
      <c r="T539" s="1219"/>
      <c r="U539" s="1219"/>
      <c r="V539" s="1220"/>
      <c r="W539" s="1221"/>
    </row>
    <row r="540" spans="1:23" ht="34.5" customHeight="1" x14ac:dyDescent="0.2"/>
    <row r="541" spans="1:23" ht="6.75" customHeight="1" x14ac:dyDescent="0.2">
      <c r="Q541" s="1193" t="str">
        <f>CATEG_IMPORTEE</f>
        <v>Collèges Mixtes Etablissement</v>
      </c>
      <c r="R541" s="1193"/>
      <c r="S541" s="1193"/>
      <c r="T541" s="1193"/>
      <c r="U541" s="1193"/>
      <c r="V541" s="1193"/>
      <c r="W541" s="1193"/>
    </row>
    <row r="542" spans="1:23" s="218" customFormat="1" ht="33.75" x14ac:dyDescent="0.2">
      <c r="A542" s="1207" t="s">
        <v>628</v>
      </c>
      <c r="B542" s="1207"/>
      <c r="C542" s="645">
        <f>C512+1</f>
        <v>19</v>
      </c>
      <c r="E542" s="1208" t="str">
        <f>Championnat</f>
        <v>Championnat de France de Tir à l'ARC</v>
      </c>
      <c r="F542" s="1208"/>
      <c r="G542" s="1208"/>
      <c r="H542" s="1208"/>
      <c r="I542" s="1208"/>
      <c r="J542" s="1208"/>
      <c r="K542" s="1208"/>
      <c r="L542" s="1208"/>
      <c r="M542" s="1208"/>
      <c r="N542" s="1208"/>
      <c r="O542" s="1208"/>
      <c r="Q542" s="1193"/>
      <c r="R542" s="1193"/>
      <c r="S542" s="1193"/>
      <c r="T542" s="1193"/>
      <c r="U542" s="1193"/>
      <c r="V542" s="1193"/>
      <c r="W542" s="1193"/>
    </row>
    <row r="543" spans="1:23" ht="27" customHeight="1" x14ac:dyDescent="0.2">
      <c r="Q543" s="1211" t="str">
        <f>LIEU&amp;" du "&amp;DATE</f>
        <v>L’Isle sur la Sorgue du 27 au 31 mars 2023</v>
      </c>
      <c r="R543" s="1211"/>
      <c r="S543" s="1211"/>
      <c r="T543" s="1211"/>
      <c r="U543" s="1211"/>
      <c r="V543" s="1211"/>
      <c r="W543" s="1211"/>
    </row>
    <row r="544" spans="1:23" ht="19.5" customHeight="1" thickBot="1" x14ac:dyDescent="0.25">
      <c r="E544" s="1212" t="s">
        <v>0</v>
      </c>
      <c r="F544" s="1212"/>
      <c r="G544" s="1212"/>
      <c r="H544" s="1212"/>
      <c r="I544" s="1212"/>
      <c r="J544" s="1212"/>
      <c r="K544" s="1212"/>
      <c r="L544" s="641"/>
      <c r="M544" s="1212" t="s">
        <v>375</v>
      </c>
      <c r="N544" s="1212"/>
      <c r="O544" s="1212"/>
      <c r="P544" s="1212"/>
      <c r="Q544" s="1212"/>
      <c r="S544" s="1212" t="s">
        <v>374</v>
      </c>
      <c r="T544" s="1212"/>
      <c r="U544" s="1212"/>
      <c r="V544" s="1212"/>
      <c r="W544" s="1212"/>
    </row>
    <row r="545" spans="1:23" ht="36.75" customHeight="1" thickBot="1" x14ac:dyDescent="0.25">
      <c r="E545" s="1213" t="e">
        <f>VLOOKUP(E548,ID_archer_cible,2,FALSE)</f>
        <v>#N/A</v>
      </c>
      <c r="F545" s="1214"/>
      <c r="G545" s="1214"/>
      <c r="H545" s="1214"/>
      <c r="I545" s="1214"/>
      <c r="J545" s="1214"/>
      <c r="K545" s="1215"/>
      <c r="L545" s="641"/>
      <c r="M545" s="1216" t="e">
        <f>"("&amp;VLOOKUP(E548,ID_archer_cible,3,FALSE)&amp;")"</f>
        <v>#N/A</v>
      </c>
      <c r="N545" s="1217"/>
      <c r="O545" s="1217"/>
      <c r="P545" s="1217"/>
      <c r="Q545" s="1217"/>
      <c r="R545" s="1218"/>
      <c r="S545" s="1185" t="e">
        <f>VLOOKUP(E548,ID_archer_cible,4,FALSE)</f>
        <v>#N/A</v>
      </c>
      <c r="T545" s="1186"/>
      <c r="U545" s="1186"/>
      <c r="V545" s="1186"/>
      <c r="W545" s="1187"/>
    </row>
    <row r="546" spans="1:23" ht="17.25" customHeight="1" x14ac:dyDescent="0.2"/>
    <row r="547" spans="1:23" ht="23.25" customHeight="1" thickBot="1" x14ac:dyDescent="0.25">
      <c r="A547" s="638" t="s">
        <v>906</v>
      </c>
      <c r="E547" s="508" t="s">
        <v>552</v>
      </c>
      <c r="F547" s="571" t="s">
        <v>893</v>
      </c>
      <c r="G547" s="1202" t="s">
        <v>550</v>
      </c>
      <c r="H547" s="1202"/>
      <c r="I547" s="571" t="s">
        <v>905</v>
      </c>
      <c r="J547" s="709" t="s">
        <v>551</v>
      </c>
      <c r="N547" s="508" t="s">
        <v>552</v>
      </c>
      <c r="O547" s="571" t="s">
        <v>893</v>
      </c>
      <c r="P547" s="1202" t="s">
        <v>550</v>
      </c>
      <c r="Q547" s="1202"/>
      <c r="R547" s="571" t="s">
        <v>905</v>
      </c>
      <c r="S547" s="709" t="s">
        <v>551</v>
      </c>
    </row>
    <row r="548" spans="1:23" ht="23.25" customHeight="1" thickTop="1" x14ac:dyDescent="0.2">
      <c r="A548" s="710" t="e">
        <f>VLOOKUP(E548,ID_archer_cible,5,FALSE)&amp;"    "&amp;VLOOKUP(E548,ID_archer_cible,6,FALSE)</f>
        <v>#N/A</v>
      </c>
      <c r="B548" s="711"/>
      <c r="C548" s="711"/>
      <c r="D548" s="712"/>
      <c r="E548" s="713" t="str">
        <f>C542&amp;"A"</f>
        <v>19A</v>
      </c>
      <c r="F548" s="714" t="e">
        <f>VLOOKUP(E548,ID_archer_cible,9,FALSE)</f>
        <v>#N/A</v>
      </c>
      <c r="G548" s="1209" t="e">
        <f>VLOOKUP(E548,ID_archer_cible,8,FALSE)</f>
        <v>#N/A</v>
      </c>
      <c r="H548" s="1209"/>
      <c r="I548" s="715" t="e">
        <f>VLOOKUP(E548,ID_archer_cible,7,FALSE)</f>
        <v>#N/A</v>
      </c>
      <c r="J548" s="716" t="e">
        <f>VLOOKUP(E548,ID_archer_cible,10,FALSE)</f>
        <v>#N/A</v>
      </c>
      <c r="K548" s="710" t="e">
        <f>VLOOKUP(N548,ID_archer_cible,5,FALSE)&amp;"    "&amp;VLOOKUP(N548,ID_archer_cible,6,FALSE)</f>
        <v>#N/A</v>
      </c>
      <c r="L548" s="722"/>
      <c r="M548" s="723"/>
      <c r="N548" s="714" t="str">
        <f>C542&amp;"C"</f>
        <v>19C</v>
      </c>
      <c r="O548" s="714" t="e">
        <f>VLOOKUP(N548,ID_archer_cible,9,FALSE)</f>
        <v>#N/A</v>
      </c>
      <c r="P548" s="1203" t="e">
        <f>VLOOKUP(N548,ID_archer_cible,8,FALSE)</f>
        <v>#N/A</v>
      </c>
      <c r="Q548" s="1204"/>
      <c r="R548" s="724" t="e">
        <f>VLOOKUP(N548,ID_archer_cible,7,FALSE)</f>
        <v>#N/A</v>
      </c>
      <c r="S548" s="716" t="e">
        <f>VLOOKUP(N548,ID_archer_cible,10,FALSE)</f>
        <v>#N/A</v>
      </c>
    </row>
    <row r="549" spans="1:23" ht="23.25" customHeight="1" thickBot="1" x14ac:dyDescent="0.25">
      <c r="A549" s="717" t="e">
        <f>VLOOKUP(E549,ID_archer_cible,5,FALSE)&amp;"    "&amp;VLOOKUP(E549,ID_archer_cible,6,FALSE)</f>
        <v>#N/A</v>
      </c>
      <c r="B549" s="718"/>
      <c r="C549" s="718"/>
      <c r="D549" s="719"/>
      <c r="E549" s="696" t="str">
        <f>C542&amp;"B"</f>
        <v>19B</v>
      </c>
      <c r="F549" s="720" t="e">
        <f>VLOOKUP(E549,ID_archer_cible,9,FALSE)</f>
        <v>#N/A</v>
      </c>
      <c r="G549" s="1210" t="e">
        <f>VLOOKUP(E549,ID_archer_cible,8,FALSE)</f>
        <v>#N/A</v>
      </c>
      <c r="H549" s="1210"/>
      <c r="I549" s="721" t="e">
        <f>VLOOKUP(E549,ID_archer_cible,7,FALSE)</f>
        <v>#N/A</v>
      </c>
      <c r="J549" s="700" t="e">
        <f>VLOOKUP(E549,ID_archer_cible,10,FALSE)</f>
        <v>#N/A</v>
      </c>
      <c r="K549" s="717" t="e">
        <f>VLOOKUP(N549,ID_archer_cible,5,FALSE)&amp;"    "&amp;VLOOKUP(N549,ID_archer_cible,6,FALSE)</f>
        <v>#N/A</v>
      </c>
      <c r="L549" s="725"/>
      <c r="M549" s="726"/>
      <c r="N549" s="720" t="str">
        <f>C542&amp;"D"</f>
        <v>19D</v>
      </c>
      <c r="O549" s="720" t="e">
        <f>VLOOKUP(N549,ID_archer_cible,9,FALSE)</f>
        <v>#N/A</v>
      </c>
      <c r="P549" s="1205" t="e">
        <f>VLOOKUP(N549,ID_archer_cible,8,FALSE)</f>
        <v>#N/A</v>
      </c>
      <c r="Q549" s="1206"/>
      <c r="R549" s="727" t="e">
        <f>VLOOKUP(N549,ID_archer_cible,7,FALSE)</f>
        <v>#N/A</v>
      </c>
      <c r="S549" s="700" t="e">
        <f>VLOOKUP(N549,ID_archer_cible,10,FALSE)</f>
        <v>#N/A</v>
      </c>
    </row>
    <row r="550" spans="1:23" ht="15" customHeight="1" thickTop="1" x14ac:dyDescent="0.2"/>
    <row r="551" spans="1:23" ht="15" customHeight="1" thickBot="1" x14ac:dyDescent="0.25"/>
    <row r="552" spans="1:23" ht="33.75" customHeight="1" thickBot="1" x14ac:dyDescent="0.25">
      <c r="A552" s="1222" t="s">
        <v>909</v>
      </c>
      <c r="B552" s="1223"/>
      <c r="C552" s="1224"/>
      <c r="E552" s="1225" t="s">
        <v>910</v>
      </c>
      <c r="F552" s="1226"/>
      <c r="G552" s="1227"/>
      <c r="I552" s="1222" t="s">
        <v>911</v>
      </c>
      <c r="J552" s="1223"/>
      <c r="K552" s="1224"/>
      <c r="M552" s="1222" t="s">
        <v>912</v>
      </c>
      <c r="N552" s="1223"/>
      <c r="O552" s="1224"/>
      <c r="Q552" s="1222" t="s">
        <v>913</v>
      </c>
      <c r="R552" s="1223"/>
      <c r="S552" s="1224"/>
      <c r="U552" s="1222" t="s">
        <v>916</v>
      </c>
      <c r="V552" s="1223"/>
      <c r="W552" s="1224"/>
    </row>
    <row r="553" spans="1:23" ht="33.75" customHeight="1" x14ac:dyDescent="0.2">
      <c r="A553" s="642" t="s">
        <v>980</v>
      </c>
      <c r="B553" s="643" t="s">
        <v>981</v>
      </c>
      <c r="C553" s="644" t="s">
        <v>780</v>
      </c>
      <c r="E553" s="642" t="s">
        <v>980</v>
      </c>
      <c r="F553" s="643" t="s">
        <v>981</v>
      </c>
      <c r="G553" s="644" t="s">
        <v>780</v>
      </c>
      <c r="I553" s="642" t="s">
        <v>980</v>
      </c>
      <c r="J553" s="643" t="s">
        <v>981</v>
      </c>
      <c r="K553" s="644" t="s">
        <v>780</v>
      </c>
      <c r="M553" s="642" t="s">
        <v>980</v>
      </c>
      <c r="N553" s="643" t="s">
        <v>981</v>
      </c>
      <c r="O553" s="644" t="s">
        <v>780</v>
      </c>
      <c r="Q553" s="642" t="s">
        <v>980</v>
      </c>
      <c r="R553" s="643" t="s">
        <v>981</v>
      </c>
      <c r="S553" s="644" t="s">
        <v>780</v>
      </c>
      <c r="U553" s="642" t="s">
        <v>980</v>
      </c>
      <c r="V553" s="643" t="s">
        <v>981</v>
      </c>
      <c r="W553" s="644" t="s">
        <v>780</v>
      </c>
    </row>
    <row r="554" spans="1:23" ht="33.75" customHeight="1" x14ac:dyDescent="0.2">
      <c r="A554" s="628">
        <v>10</v>
      </c>
      <c r="B554" s="630"/>
      <c r="C554" s="630"/>
      <c r="E554" s="628">
        <v>10</v>
      </c>
      <c r="F554" s="630"/>
      <c r="G554" s="630"/>
      <c r="I554" s="628">
        <v>10</v>
      </c>
      <c r="J554" s="630"/>
      <c r="K554" s="630"/>
      <c r="M554" s="628">
        <v>10</v>
      </c>
      <c r="N554" s="630"/>
      <c r="O554" s="630"/>
      <c r="Q554" s="628">
        <v>10</v>
      </c>
      <c r="R554" s="630"/>
      <c r="S554" s="630"/>
      <c r="U554" s="628">
        <v>10</v>
      </c>
      <c r="V554" s="630"/>
      <c r="W554" s="630"/>
    </row>
    <row r="555" spans="1:23" ht="33.75" customHeight="1" x14ac:dyDescent="0.2">
      <c r="A555" s="628">
        <v>9</v>
      </c>
      <c r="B555" s="630"/>
      <c r="C555" s="630"/>
      <c r="E555" s="628">
        <v>9</v>
      </c>
      <c r="F555" s="630"/>
      <c r="G555" s="630"/>
      <c r="I555" s="628">
        <v>9</v>
      </c>
      <c r="J555" s="630"/>
      <c r="K555" s="630"/>
      <c r="M555" s="628">
        <v>9</v>
      </c>
      <c r="N555" s="630"/>
      <c r="O555" s="630"/>
      <c r="Q555" s="628">
        <v>9</v>
      </c>
      <c r="R555" s="630"/>
      <c r="S555" s="630"/>
      <c r="U555" s="628">
        <v>9</v>
      </c>
      <c r="V555" s="630"/>
      <c r="W555" s="630"/>
    </row>
    <row r="556" spans="1:23" ht="33.75" customHeight="1" x14ac:dyDescent="0.2">
      <c r="A556" s="628">
        <v>8</v>
      </c>
      <c r="B556" s="630"/>
      <c r="C556" s="630"/>
      <c r="E556" s="628">
        <v>8</v>
      </c>
      <c r="F556" s="630"/>
      <c r="G556" s="630"/>
      <c r="I556" s="628">
        <v>8</v>
      </c>
      <c r="J556" s="630"/>
      <c r="K556" s="630"/>
      <c r="M556" s="628">
        <v>8</v>
      </c>
      <c r="N556" s="630"/>
      <c r="O556" s="630"/>
      <c r="Q556" s="628">
        <v>8</v>
      </c>
      <c r="R556" s="630"/>
      <c r="S556" s="630"/>
      <c r="U556" s="628">
        <v>8</v>
      </c>
      <c r="V556" s="630"/>
      <c r="W556" s="630"/>
    </row>
    <row r="557" spans="1:23" ht="33.75" customHeight="1" x14ac:dyDescent="0.2">
      <c r="A557" s="628">
        <v>7</v>
      </c>
      <c r="B557" s="630"/>
      <c r="C557" s="630"/>
      <c r="E557" s="628">
        <v>7</v>
      </c>
      <c r="F557" s="630"/>
      <c r="G557" s="630"/>
      <c r="I557" s="628">
        <v>7</v>
      </c>
      <c r="J557" s="630"/>
      <c r="K557" s="630"/>
      <c r="M557" s="628">
        <v>7</v>
      </c>
      <c r="N557" s="630"/>
      <c r="O557" s="630"/>
      <c r="Q557" s="628">
        <v>7</v>
      </c>
      <c r="R557" s="630"/>
      <c r="S557" s="630"/>
      <c r="U557" s="628">
        <v>7</v>
      </c>
      <c r="V557" s="630"/>
      <c r="W557" s="630"/>
    </row>
    <row r="558" spans="1:23" ht="33.75" customHeight="1" x14ac:dyDescent="0.2">
      <c r="A558" s="628">
        <v>6</v>
      </c>
      <c r="B558" s="630"/>
      <c r="C558" s="630"/>
      <c r="E558" s="628">
        <v>6</v>
      </c>
      <c r="F558" s="630"/>
      <c r="G558" s="630"/>
      <c r="I558" s="628">
        <v>6</v>
      </c>
      <c r="J558" s="630"/>
      <c r="K558" s="630"/>
      <c r="M558" s="628">
        <v>6</v>
      </c>
      <c r="N558" s="630"/>
      <c r="O558" s="630"/>
      <c r="Q558" s="628">
        <v>6</v>
      </c>
      <c r="R558" s="630"/>
      <c r="S558" s="630"/>
      <c r="U558" s="628">
        <v>6</v>
      </c>
      <c r="V558" s="630"/>
      <c r="W558" s="630"/>
    </row>
    <row r="559" spans="1:23" ht="33.75" customHeight="1" x14ac:dyDescent="0.2">
      <c r="A559" s="628">
        <v>5</v>
      </c>
      <c r="B559" s="630"/>
      <c r="C559" s="630"/>
      <c r="E559" s="628">
        <v>5</v>
      </c>
      <c r="F559" s="630"/>
      <c r="G559" s="630"/>
      <c r="I559" s="628">
        <v>5</v>
      </c>
      <c r="J559" s="630"/>
      <c r="K559" s="630"/>
      <c r="M559" s="628">
        <v>5</v>
      </c>
      <c r="N559" s="630"/>
      <c r="O559" s="630"/>
      <c r="Q559" s="628">
        <v>5</v>
      </c>
      <c r="R559" s="630"/>
      <c r="S559" s="630"/>
      <c r="U559" s="628">
        <v>5</v>
      </c>
      <c r="V559" s="630"/>
      <c r="W559" s="630"/>
    </row>
    <row r="560" spans="1:23" ht="33.75" customHeight="1" x14ac:dyDescent="0.2">
      <c r="A560" s="628">
        <v>4</v>
      </c>
      <c r="B560" s="630"/>
      <c r="C560" s="630"/>
      <c r="E560" s="628">
        <v>4</v>
      </c>
      <c r="F560" s="630"/>
      <c r="G560" s="630"/>
      <c r="I560" s="628">
        <v>4</v>
      </c>
      <c r="J560" s="630"/>
      <c r="K560" s="630"/>
      <c r="M560" s="628">
        <v>4</v>
      </c>
      <c r="N560" s="630"/>
      <c r="O560" s="630"/>
      <c r="Q560" s="628">
        <v>4</v>
      </c>
      <c r="R560" s="630"/>
      <c r="S560" s="630"/>
      <c r="U560" s="628">
        <v>4</v>
      </c>
      <c r="V560" s="630"/>
      <c r="W560" s="630"/>
    </row>
    <row r="561" spans="1:23" ht="33.75" customHeight="1" x14ac:dyDescent="0.2">
      <c r="A561" s="628">
        <v>3</v>
      </c>
      <c r="B561" s="630"/>
      <c r="C561" s="630"/>
      <c r="E561" s="628">
        <v>3</v>
      </c>
      <c r="F561" s="630"/>
      <c r="G561" s="630"/>
      <c r="I561" s="628">
        <v>3</v>
      </c>
      <c r="J561" s="630"/>
      <c r="K561" s="630"/>
      <c r="M561" s="628">
        <v>3</v>
      </c>
      <c r="N561" s="630"/>
      <c r="O561" s="630"/>
      <c r="Q561" s="628">
        <v>3</v>
      </c>
      <c r="R561" s="630"/>
      <c r="S561" s="630"/>
      <c r="U561" s="628">
        <v>3</v>
      </c>
      <c r="V561" s="630"/>
      <c r="W561" s="630"/>
    </row>
    <row r="562" spans="1:23" ht="33.75" customHeight="1" x14ac:dyDescent="0.2">
      <c r="A562" s="628">
        <v>2</v>
      </c>
      <c r="B562" s="630"/>
      <c r="C562" s="630"/>
      <c r="E562" s="628">
        <v>2</v>
      </c>
      <c r="F562" s="630"/>
      <c r="G562" s="630"/>
      <c r="I562" s="628">
        <v>2</v>
      </c>
      <c r="J562" s="630"/>
      <c r="K562" s="630"/>
      <c r="M562" s="628">
        <v>2</v>
      </c>
      <c r="N562" s="630"/>
      <c r="O562" s="630"/>
      <c r="Q562" s="628">
        <v>2</v>
      </c>
      <c r="R562" s="630"/>
      <c r="S562" s="630"/>
      <c r="U562" s="628">
        <v>2</v>
      </c>
      <c r="V562" s="630"/>
      <c r="W562" s="630"/>
    </row>
    <row r="563" spans="1:23" ht="33.75" customHeight="1" x14ac:dyDescent="0.2">
      <c r="A563" s="628">
        <v>1</v>
      </c>
      <c r="B563" s="630"/>
      <c r="C563" s="630"/>
      <c r="E563" s="628">
        <v>1</v>
      </c>
      <c r="F563" s="630"/>
      <c r="G563" s="630"/>
      <c r="I563" s="628">
        <v>1</v>
      </c>
      <c r="J563" s="630"/>
      <c r="K563" s="630"/>
      <c r="M563" s="628">
        <v>1</v>
      </c>
      <c r="N563" s="630"/>
      <c r="O563" s="630"/>
      <c r="Q563" s="628">
        <v>1</v>
      </c>
      <c r="R563" s="630"/>
      <c r="S563" s="630"/>
      <c r="U563" s="628">
        <v>1</v>
      </c>
      <c r="V563" s="630"/>
      <c r="W563" s="630"/>
    </row>
    <row r="564" spans="1:23" ht="33.75" customHeight="1" x14ac:dyDescent="0.2">
      <c r="A564" s="628" t="s">
        <v>982</v>
      </c>
      <c r="B564" s="630"/>
      <c r="C564" s="630"/>
      <c r="E564" s="628" t="s">
        <v>982</v>
      </c>
      <c r="F564" s="630"/>
      <c r="G564" s="630"/>
      <c r="I564" s="628" t="s">
        <v>982</v>
      </c>
      <c r="J564" s="630"/>
      <c r="K564" s="630"/>
      <c r="M564" s="628" t="s">
        <v>982</v>
      </c>
      <c r="N564" s="630"/>
      <c r="O564" s="630"/>
      <c r="Q564" s="628" t="s">
        <v>982</v>
      </c>
      <c r="R564" s="630"/>
      <c r="S564" s="630"/>
      <c r="U564" s="628" t="s">
        <v>982</v>
      </c>
      <c r="V564" s="630"/>
      <c r="W564" s="630"/>
    </row>
    <row r="565" spans="1:23" ht="33.75" customHeight="1" x14ac:dyDescent="0.2">
      <c r="A565" s="629" t="s">
        <v>981</v>
      </c>
      <c r="B565" s="630"/>
      <c r="C565" s="631" t="s">
        <v>984</v>
      </c>
      <c r="E565" s="629" t="s">
        <v>981</v>
      </c>
      <c r="F565" s="630"/>
      <c r="G565" s="631" t="s">
        <v>984</v>
      </c>
      <c r="I565" s="629" t="s">
        <v>981</v>
      </c>
      <c r="J565" s="630"/>
      <c r="K565" s="631" t="s">
        <v>984</v>
      </c>
      <c r="M565" s="629" t="s">
        <v>981</v>
      </c>
      <c r="N565" s="630"/>
      <c r="O565" s="631" t="s">
        <v>984</v>
      </c>
      <c r="Q565" s="629" t="s">
        <v>981</v>
      </c>
      <c r="R565" s="630"/>
      <c r="S565" s="631" t="s">
        <v>984</v>
      </c>
      <c r="U565" s="629" t="s">
        <v>981</v>
      </c>
      <c r="V565" s="630"/>
      <c r="W565" s="631" t="s">
        <v>984</v>
      </c>
    </row>
    <row r="566" spans="1:23" ht="48" customHeight="1" x14ac:dyDescent="0.25">
      <c r="A566" s="637"/>
      <c r="B566" s="629" t="s">
        <v>983</v>
      </c>
      <c r="C566" s="636"/>
      <c r="E566" s="637" t="s">
        <v>985</v>
      </c>
      <c r="F566" s="632" t="s">
        <v>983</v>
      </c>
      <c r="G566" s="633"/>
      <c r="I566" s="637" t="s">
        <v>985</v>
      </c>
      <c r="J566" s="632" t="s">
        <v>983</v>
      </c>
      <c r="K566" s="633"/>
      <c r="M566" s="637" t="s">
        <v>985</v>
      </c>
      <c r="N566" s="632" t="s">
        <v>983</v>
      </c>
      <c r="O566" s="633"/>
      <c r="Q566" s="637" t="s">
        <v>985</v>
      </c>
      <c r="R566" s="632" t="s">
        <v>983</v>
      </c>
      <c r="S566" s="633"/>
      <c r="U566" s="637" t="s">
        <v>985</v>
      </c>
      <c r="V566" s="632" t="s">
        <v>983</v>
      </c>
      <c r="W566" s="633"/>
    </row>
    <row r="567" spans="1:23" ht="51" customHeight="1" x14ac:dyDescent="0.2">
      <c r="A567" s="634"/>
      <c r="B567" s="634"/>
      <c r="C567" s="634"/>
      <c r="E567" s="1115" t="s">
        <v>986</v>
      </c>
      <c r="F567" s="1115"/>
      <c r="G567" s="635"/>
      <c r="I567" s="1115" t="s">
        <v>986</v>
      </c>
      <c r="J567" s="1115"/>
      <c r="K567" s="635"/>
      <c r="M567" s="1115" t="s">
        <v>986</v>
      </c>
      <c r="N567" s="1115"/>
      <c r="O567" s="635"/>
      <c r="Q567" s="1115" t="s">
        <v>986</v>
      </c>
      <c r="R567" s="1115"/>
      <c r="S567" s="635"/>
      <c r="U567" s="1228" t="s">
        <v>987</v>
      </c>
      <c r="V567" s="1229"/>
      <c r="W567" s="635"/>
    </row>
    <row r="568" spans="1:23" ht="13.5" customHeight="1" thickBot="1" x14ac:dyDescent="0.25"/>
    <row r="569" spans="1:23" ht="72" customHeight="1" thickBot="1" x14ac:dyDescent="0.25">
      <c r="E569" s="707" t="s">
        <v>1007</v>
      </c>
      <c r="F569" s="639"/>
      <c r="G569" s="639"/>
      <c r="H569" s="639"/>
      <c r="I569" s="639"/>
      <c r="J569" s="640"/>
      <c r="M569" s="708" t="s">
        <v>1008</v>
      </c>
      <c r="N569" s="639"/>
      <c r="O569" s="639"/>
      <c r="P569" s="639"/>
      <c r="Q569" s="640"/>
      <c r="S569" s="1219" t="s">
        <v>988</v>
      </c>
      <c r="T569" s="1219"/>
      <c r="U569" s="1219"/>
      <c r="V569" s="1220"/>
      <c r="W569" s="1221"/>
    </row>
    <row r="570" spans="1:23" ht="34.5" customHeight="1" x14ac:dyDescent="0.2"/>
    <row r="571" spans="1:23" ht="6.75" customHeight="1" x14ac:dyDescent="0.2">
      <c r="Q571" s="1193" t="str">
        <f>CATEG_IMPORTEE</f>
        <v>Collèges Mixtes Etablissement</v>
      </c>
      <c r="R571" s="1193"/>
      <c r="S571" s="1193"/>
      <c r="T571" s="1193"/>
      <c r="U571" s="1193"/>
      <c r="V571" s="1193"/>
      <c r="W571" s="1193"/>
    </row>
    <row r="572" spans="1:23" s="218" customFormat="1" ht="33.75" x14ac:dyDescent="0.2">
      <c r="A572" s="1207" t="s">
        <v>628</v>
      </c>
      <c r="B572" s="1207"/>
      <c r="C572" s="645">
        <f>C542+1</f>
        <v>20</v>
      </c>
      <c r="E572" s="1208" t="str">
        <f>Championnat</f>
        <v>Championnat de France de Tir à l'ARC</v>
      </c>
      <c r="F572" s="1208"/>
      <c r="G572" s="1208"/>
      <c r="H572" s="1208"/>
      <c r="I572" s="1208"/>
      <c r="J572" s="1208"/>
      <c r="K572" s="1208"/>
      <c r="L572" s="1208"/>
      <c r="M572" s="1208"/>
      <c r="N572" s="1208"/>
      <c r="O572" s="1208"/>
      <c r="Q572" s="1193"/>
      <c r="R572" s="1193"/>
      <c r="S572" s="1193"/>
      <c r="T572" s="1193"/>
      <c r="U572" s="1193"/>
      <c r="V572" s="1193"/>
      <c r="W572" s="1193"/>
    </row>
    <row r="573" spans="1:23" ht="27" customHeight="1" x14ac:dyDescent="0.2">
      <c r="Q573" s="1211" t="str">
        <f>LIEU&amp;" du "&amp;DATE</f>
        <v>L’Isle sur la Sorgue du 27 au 31 mars 2023</v>
      </c>
      <c r="R573" s="1211"/>
      <c r="S573" s="1211"/>
      <c r="T573" s="1211"/>
      <c r="U573" s="1211"/>
      <c r="V573" s="1211"/>
      <c r="W573" s="1211"/>
    </row>
    <row r="574" spans="1:23" ht="19.5" customHeight="1" thickBot="1" x14ac:dyDescent="0.25">
      <c r="E574" s="1212" t="s">
        <v>0</v>
      </c>
      <c r="F574" s="1212"/>
      <c r="G574" s="1212"/>
      <c r="H574" s="1212"/>
      <c r="I574" s="1212"/>
      <c r="J574" s="1212"/>
      <c r="K574" s="1212"/>
      <c r="L574" s="641"/>
      <c r="M574" s="1212" t="s">
        <v>375</v>
      </c>
      <c r="N574" s="1212"/>
      <c r="O574" s="1212"/>
      <c r="P574" s="1212"/>
      <c r="Q574" s="1212"/>
      <c r="S574" s="1212" t="s">
        <v>374</v>
      </c>
      <c r="T574" s="1212"/>
      <c r="U574" s="1212"/>
      <c r="V574" s="1212"/>
      <c r="W574" s="1212"/>
    </row>
    <row r="575" spans="1:23" ht="36.75" customHeight="1" thickBot="1" x14ac:dyDescent="0.25">
      <c r="E575" s="1213" t="e">
        <f>VLOOKUP(E578,ID_archer_cible,2,FALSE)</f>
        <v>#N/A</v>
      </c>
      <c r="F575" s="1214"/>
      <c r="G575" s="1214"/>
      <c r="H575" s="1214"/>
      <c r="I575" s="1214"/>
      <c r="J575" s="1214"/>
      <c r="K575" s="1215"/>
      <c r="L575" s="641"/>
      <c r="M575" s="1216" t="e">
        <f>"("&amp;VLOOKUP(E578,ID_archer_cible,3,FALSE)&amp;")"</f>
        <v>#N/A</v>
      </c>
      <c r="N575" s="1217"/>
      <c r="O575" s="1217"/>
      <c r="P575" s="1217"/>
      <c r="Q575" s="1217"/>
      <c r="R575" s="1218"/>
      <c r="S575" s="1185" t="e">
        <f>VLOOKUP(E578,ID_archer_cible,4,FALSE)</f>
        <v>#N/A</v>
      </c>
      <c r="T575" s="1186"/>
      <c r="U575" s="1186"/>
      <c r="V575" s="1186"/>
      <c r="W575" s="1187"/>
    </row>
    <row r="576" spans="1:23" ht="17.25" customHeight="1" x14ac:dyDescent="0.2"/>
    <row r="577" spans="1:23" ht="23.25" customHeight="1" thickBot="1" x14ac:dyDescent="0.25">
      <c r="A577" s="638" t="s">
        <v>906</v>
      </c>
      <c r="E577" s="508" t="s">
        <v>552</v>
      </c>
      <c r="F577" s="571" t="s">
        <v>893</v>
      </c>
      <c r="G577" s="1202" t="s">
        <v>550</v>
      </c>
      <c r="H577" s="1202"/>
      <c r="I577" s="571" t="s">
        <v>905</v>
      </c>
      <c r="J577" s="709" t="s">
        <v>551</v>
      </c>
      <c r="N577" s="508" t="s">
        <v>552</v>
      </c>
      <c r="O577" s="571" t="s">
        <v>893</v>
      </c>
      <c r="P577" s="1202" t="s">
        <v>550</v>
      </c>
      <c r="Q577" s="1202"/>
      <c r="R577" s="571" t="s">
        <v>905</v>
      </c>
      <c r="S577" s="709" t="s">
        <v>551</v>
      </c>
    </row>
    <row r="578" spans="1:23" ht="23.25" customHeight="1" thickTop="1" x14ac:dyDescent="0.2">
      <c r="A578" s="710" t="e">
        <f>VLOOKUP(E578,ID_archer_cible,5,FALSE)&amp;"    "&amp;VLOOKUP(E578,ID_archer_cible,6,FALSE)</f>
        <v>#N/A</v>
      </c>
      <c r="B578" s="711"/>
      <c r="C578" s="711"/>
      <c r="D578" s="712"/>
      <c r="E578" s="713" t="str">
        <f>C572&amp;"A"</f>
        <v>20A</v>
      </c>
      <c r="F578" s="714" t="e">
        <f>VLOOKUP(E578,ID_archer_cible,9,FALSE)</f>
        <v>#N/A</v>
      </c>
      <c r="G578" s="1209" t="e">
        <f>VLOOKUP(E578,ID_archer_cible,8,FALSE)</f>
        <v>#N/A</v>
      </c>
      <c r="H578" s="1209"/>
      <c r="I578" s="715" t="e">
        <f>VLOOKUP(E578,ID_archer_cible,7,FALSE)</f>
        <v>#N/A</v>
      </c>
      <c r="J578" s="716" t="e">
        <f>VLOOKUP(E578,ID_archer_cible,10,FALSE)</f>
        <v>#N/A</v>
      </c>
      <c r="K578" s="710" t="e">
        <f>VLOOKUP(N578,ID_archer_cible,5,FALSE)&amp;"    "&amp;VLOOKUP(N578,ID_archer_cible,6,FALSE)</f>
        <v>#N/A</v>
      </c>
      <c r="L578" s="722"/>
      <c r="M578" s="723"/>
      <c r="N578" s="714" t="str">
        <f>C572&amp;"C"</f>
        <v>20C</v>
      </c>
      <c r="O578" s="714" t="e">
        <f>VLOOKUP(N578,ID_archer_cible,9,FALSE)</f>
        <v>#N/A</v>
      </c>
      <c r="P578" s="1203" t="e">
        <f>VLOOKUP(N578,ID_archer_cible,8,FALSE)</f>
        <v>#N/A</v>
      </c>
      <c r="Q578" s="1204"/>
      <c r="R578" s="724" t="e">
        <f>VLOOKUP(N578,ID_archer_cible,7,FALSE)</f>
        <v>#N/A</v>
      </c>
      <c r="S578" s="716" t="e">
        <f>VLOOKUP(N578,ID_archer_cible,10,FALSE)</f>
        <v>#N/A</v>
      </c>
    </row>
    <row r="579" spans="1:23" ht="23.25" customHeight="1" thickBot="1" x14ac:dyDescent="0.25">
      <c r="A579" s="717" t="e">
        <f>VLOOKUP(E579,ID_archer_cible,5,FALSE)&amp;"    "&amp;VLOOKUP(E579,ID_archer_cible,6,FALSE)</f>
        <v>#N/A</v>
      </c>
      <c r="B579" s="718"/>
      <c r="C579" s="718"/>
      <c r="D579" s="719"/>
      <c r="E579" s="696" t="str">
        <f>C572&amp;"B"</f>
        <v>20B</v>
      </c>
      <c r="F579" s="720" t="e">
        <f>VLOOKUP(E579,ID_archer_cible,9,FALSE)</f>
        <v>#N/A</v>
      </c>
      <c r="G579" s="1210" t="e">
        <f>VLOOKUP(E579,ID_archer_cible,8,FALSE)</f>
        <v>#N/A</v>
      </c>
      <c r="H579" s="1210"/>
      <c r="I579" s="721" t="e">
        <f>VLOOKUP(E579,ID_archer_cible,7,FALSE)</f>
        <v>#N/A</v>
      </c>
      <c r="J579" s="700" t="e">
        <f>VLOOKUP(E579,ID_archer_cible,10,FALSE)</f>
        <v>#N/A</v>
      </c>
      <c r="K579" s="717" t="e">
        <f>VLOOKUP(N579,ID_archer_cible,5,FALSE)&amp;"    "&amp;VLOOKUP(N579,ID_archer_cible,6,FALSE)</f>
        <v>#N/A</v>
      </c>
      <c r="L579" s="725"/>
      <c r="M579" s="726"/>
      <c r="N579" s="720" t="str">
        <f>C572&amp;"D"</f>
        <v>20D</v>
      </c>
      <c r="O579" s="720" t="e">
        <f>VLOOKUP(N579,ID_archer_cible,9,FALSE)</f>
        <v>#N/A</v>
      </c>
      <c r="P579" s="1205" t="e">
        <f>VLOOKUP(N579,ID_archer_cible,8,FALSE)</f>
        <v>#N/A</v>
      </c>
      <c r="Q579" s="1206"/>
      <c r="R579" s="727" t="e">
        <f>VLOOKUP(N579,ID_archer_cible,7,FALSE)</f>
        <v>#N/A</v>
      </c>
      <c r="S579" s="700" t="e">
        <f>VLOOKUP(N579,ID_archer_cible,10,FALSE)</f>
        <v>#N/A</v>
      </c>
    </row>
    <row r="580" spans="1:23" ht="15" customHeight="1" thickTop="1" x14ac:dyDescent="0.2"/>
    <row r="581" spans="1:23" ht="15" customHeight="1" thickBot="1" x14ac:dyDescent="0.25"/>
    <row r="582" spans="1:23" ht="33.75" customHeight="1" thickBot="1" x14ac:dyDescent="0.25">
      <c r="A582" s="1222" t="s">
        <v>909</v>
      </c>
      <c r="B582" s="1223"/>
      <c r="C582" s="1224"/>
      <c r="E582" s="1225" t="s">
        <v>910</v>
      </c>
      <c r="F582" s="1226"/>
      <c r="G582" s="1227"/>
      <c r="I582" s="1222" t="s">
        <v>911</v>
      </c>
      <c r="J582" s="1223"/>
      <c r="K582" s="1224"/>
      <c r="M582" s="1222" t="s">
        <v>912</v>
      </c>
      <c r="N582" s="1223"/>
      <c r="O582" s="1224"/>
      <c r="Q582" s="1222" t="s">
        <v>913</v>
      </c>
      <c r="R582" s="1223"/>
      <c r="S582" s="1224"/>
      <c r="U582" s="1222" t="s">
        <v>916</v>
      </c>
      <c r="V582" s="1223"/>
      <c r="W582" s="1224"/>
    </row>
    <row r="583" spans="1:23" ht="33.75" customHeight="1" x14ac:dyDescent="0.2">
      <c r="A583" s="642" t="s">
        <v>980</v>
      </c>
      <c r="B583" s="643" t="s">
        <v>981</v>
      </c>
      <c r="C583" s="644" t="s">
        <v>780</v>
      </c>
      <c r="E583" s="642" t="s">
        <v>980</v>
      </c>
      <c r="F583" s="643" t="s">
        <v>981</v>
      </c>
      <c r="G583" s="644" t="s">
        <v>780</v>
      </c>
      <c r="I583" s="642" t="s">
        <v>980</v>
      </c>
      <c r="J583" s="643" t="s">
        <v>981</v>
      </c>
      <c r="K583" s="644" t="s">
        <v>780</v>
      </c>
      <c r="M583" s="642" t="s">
        <v>980</v>
      </c>
      <c r="N583" s="643" t="s">
        <v>981</v>
      </c>
      <c r="O583" s="644" t="s">
        <v>780</v>
      </c>
      <c r="Q583" s="642" t="s">
        <v>980</v>
      </c>
      <c r="R583" s="643" t="s">
        <v>981</v>
      </c>
      <c r="S583" s="644" t="s">
        <v>780</v>
      </c>
      <c r="U583" s="642" t="s">
        <v>980</v>
      </c>
      <c r="V583" s="643" t="s">
        <v>981</v>
      </c>
      <c r="W583" s="644" t="s">
        <v>780</v>
      </c>
    </row>
    <row r="584" spans="1:23" ht="33.75" customHeight="1" x14ac:dyDescent="0.2">
      <c r="A584" s="628">
        <v>10</v>
      </c>
      <c r="B584" s="630"/>
      <c r="C584" s="630"/>
      <c r="E584" s="628">
        <v>10</v>
      </c>
      <c r="F584" s="630"/>
      <c r="G584" s="630"/>
      <c r="I584" s="628">
        <v>10</v>
      </c>
      <c r="J584" s="630"/>
      <c r="K584" s="630"/>
      <c r="M584" s="628">
        <v>10</v>
      </c>
      <c r="N584" s="630"/>
      <c r="O584" s="630"/>
      <c r="Q584" s="628">
        <v>10</v>
      </c>
      <c r="R584" s="630"/>
      <c r="S584" s="630"/>
      <c r="U584" s="628">
        <v>10</v>
      </c>
      <c r="V584" s="630"/>
      <c r="W584" s="630"/>
    </row>
    <row r="585" spans="1:23" ht="33.75" customHeight="1" x14ac:dyDescent="0.2">
      <c r="A585" s="628">
        <v>9</v>
      </c>
      <c r="B585" s="630"/>
      <c r="C585" s="630"/>
      <c r="E585" s="628">
        <v>9</v>
      </c>
      <c r="F585" s="630"/>
      <c r="G585" s="630"/>
      <c r="I585" s="628">
        <v>9</v>
      </c>
      <c r="J585" s="630"/>
      <c r="K585" s="630"/>
      <c r="M585" s="628">
        <v>9</v>
      </c>
      <c r="N585" s="630"/>
      <c r="O585" s="630"/>
      <c r="Q585" s="628">
        <v>9</v>
      </c>
      <c r="R585" s="630"/>
      <c r="S585" s="630"/>
      <c r="U585" s="628">
        <v>9</v>
      </c>
      <c r="V585" s="630"/>
      <c r="W585" s="630"/>
    </row>
    <row r="586" spans="1:23" ht="33.75" customHeight="1" x14ac:dyDescent="0.2">
      <c r="A586" s="628">
        <v>8</v>
      </c>
      <c r="B586" s="630"/>
      <c r="C586" s="630"/>
      <c r="E586" s="628">
        <v>8</v>
      </c>
      <c r="F586" s="630"/>
      <c r="G586" s="630"/>
      <c r="I586" s="628">
        <v>8</v>
      </c>
      <c r="J586" s="630"/>
      <c r="K586" s="630"/>
      <c r="M586" s="628">
        <v>8</v>
      </c>
      <c r="N586" s="630"/>
      <c r="O586" s="630"/>
      <c r="Q586" s="628">
        <v>8</v>
      </c>
      <c r="R586" s="630"/>
      <c r="S586" s="630"/>
      <c r="U586" s="628">
        <v>8</v>
      </c>
      <c r="V586" s="630"/>
      <c r="W586" s="630"/>
    </row>
    <row r="587" spans="1:23" ht="33.75" customHeight="1" x14ac:dyDescent="0.2">
      <c r="A587" s="628">
        <v>7</v>
      </c>
      <c r="B587" s="630"/>
      <c r="C587" s="630"/>
      <c r="E587" s="628">
        <v>7</v>
      </c>
      <c r="F587" s="630"/>
      <c r="G587" s="630"/>
      <c r="I587" s="628">
        <v>7</v>
      </c>
      <c r="J587" s="630"/>
      <c r="K587" s="630"/>
      <c r="M587" s="628">
        <v>7</v>
      </c>
      <c r="N587" s="630"/>
      <c r="O587" s="630"/>
      <c r="Q587" s="628">
        <v>7</v>
      </c>
      <c r="R587" s="630"/>
      <c r="S587" s="630"/>
      <c r="U587" s="628">
        <v>7</v>
      </c>
      <c r="V587" s="630"/>
      <c r="W587" s="630"/>
    </row>
    <row r="588" spans="1:23" ht="33.75" customHeight="1" x14ac:dyDescent="0.2">
      <c r="A588" s="628">
        <v>6</v>
      </c>
      <c r="B588" s="630"/>
      <c r="C588" s="630"/>
      <c r="E588" s="628">
        <v>6</v>
      </c>
      <c r="F588" s="630"/>
      <c r="G588" s="630"/>
      <c r="I588" s="628">
        <v>6</v>
      </c>
      <c r="J588" s="630"/>
      <c r="K588" s="630"/>
      <c r="M588" s="628">
        <v>6</v>
      </c>
      <c r="N588" s="630"/>
      <c r="O588" s="630"/>
      <c r="Q588" s="628">
        <v>6</v>
      </c>
      <c r="R588" s="630"/>
      <c r="S588" s="630"/>
      <c r="U588" s="628">
        <v>6</v>
      </c>
      <c r="V588" s="630"/>
      <c r="W588" s="630"/>
    </row>
    <row r="589" spans="1:23" ht="33.75" customHeight="1" x14ac:dyDescent="0.2">
      <c r="A589" s="628">
        <v>5</v>
      </c>
      <c r="B589" s="630"/>
      <c r="C589" s="630"/>
      <c r="E589" s="628">
        <v>5</v>
      </c>
      <c r="F589" s="630"/>
      <c r="G589" s="630"/>
      <c r="I589" s="628">
        <v>5</v>
      </c>
      <c r="J589" s="630"/>
      <c r="K589" s="630"/>
      <c r="M589" s="628">
        <v>5</v>
      </c>
      <c r="N589" s="630"/>
      <c r="O589" s="630"/>
      <c r="Q589" s="628">
        <v>5</v>
      </c>
      <c r="R589" s="630"/>
      <c r="S589" s="630"/>
      <c r="U589" s="628">
        <v>5</v>
      </c>
      <c r="V589" s="630"/>
      <c r="W589" s="630"/>
    </row>
    <row r="590" spans="1:23" ht="33.75" customHeight="1" x14ac:dyDescent="0.2">
      <c r="A590" s="628">
        <v>4</v>
      </c>
      <c r="B590" s="630"/>
      <c r="C590" s="630"/>
      <c r="E590" s="628">
        <v>4</v>
      </c>
      <c r="F590" s="630"/>
      <c r="G590" s="630"/>
      <c r="I590" s="628">
        <v>4</v>
      </c>
      <c r="J590" s="630"/>
      <c r="K590" s="630"/>
      <c r="M590" s="628">
        <v>4</v>
      </c>
      <c r="N590" s="630"/>
      <c r="O590" s="630"/>
      <c r="Q590" s="628">
        <v>4</v>
      </c>
      <c r="R590" s="630"/>
      <c r="S590" s="630"/>
      <c r="U590" s="628">
        <v>4</v>
      </c>
      <c r="V590" s="630"/>
      <c r="W590" s="630"/>
    </row>
    <row r="591" spans="1:23" ht="33.75" customHeight="1" x14ac:dyDescent="0.2">
      <c r="A591" s="628">
        <v>3</v>
      </c>
      <c r="B591" s="630"/>
      <c r="C591" s="630"/>
      <c r="E591" s="628">
        <v>3</v>
      </c>
      <c r="F591" s="630"/>
      <c r="G591" s="630"/>
      <c r="I591" s="628">
        <v>3</v>
      </c>
      <c r="J591" s="630"/>
      <c r="K591" s="630"/>
      <c r="M591" s="628">
        <v>3</v>
      </c>
      <c r="N591" s="630"/>
      <c r="O591" s="630"/>
      <c r="Q591" s="628">
        <v>3</v>
      </c>
      <c r="R591" s="630"/>
      <c r="S591" s="630"/>
      <c r="U591" s="628">
        <v>3</v>
      </c>
      <c r="V591" s="630"/>
      <c r="W591" s="630"/>
    </row>
    <row r="592" spans="1:23" ht="33.75" customHeight="1" x14ac:dyDescent="0.2">
      <c r="A592" s="628">
        <v>2</v>
      </c>
      <c r="B592" s="630"/>
      <c r="C592" s="630"/>
      <c r="E592" s="628">
        <v>2</v>
      </c>
      <c r="F592" s="630"/>
      <c r="G592" s="630"/>
      <c r="I592" s="628">
        <v>2</v>
      </c>
      <c r="J592" s="630"/>
      <c r="K592" s="630"/>
      <c r="M592" s="628">
        <v>2</v>
      </c>
      <c r="N592" s="630"/>
      <c r="O592" s="630"/>
      <c r="Q592" s="628">
        <v>2</v>
      </c>
      <c r="R592" s="630"/>
      <c r="S592" s="630"/>
      <c r="U592" s="628">
        <v>2</v>
      </c>
      <c r="V592" s="630"/>
      <c r="W592" s="630"/>
    </row>
    <row r="593" spans="1:23" ht="33.75" customHeight="1" x14ac:dyDescent="0.2">
      <c r="A593" s="628">
        <v>1</v>
      </c>
      <c r="B593" s="630"/>
      <c r="C593" s="630"/>
      <c r="E593" s="628">
        <v>1</v>
      </c>
      <c r="F593" s="630"/>
      <c r="G593" s="630"/>
      <c r="I593" s="628">
        <v>1</v>
      </c>
      <c r="J593" s="630"/>
      <c r="K593" s="630"/>
      <c r="M593" s="628">
        <v>1</v>
      </c>
      <c r="N593" s="630"/>
      <c r="O593" s="630"/>
      <c r="Q593" s="628">
        <v>1</v>
      </c>
      <c r="R593" s="630"/>
      <c r="S593" s="630"/>
      <c r="U593" s="628">
        <v>1</v>
      </c>
      <c r="V593" s="630"/>
      <c r="W593" s="630"/>
    </row>
    <row r="594" spans="1:23" ht="33.75" customHeight="1" x14ac:dyDescent="0.2">
      <c r="A594" s="628" t="s">
        <v>982</v>
      </c>
      <c r="B594" s="630"/>
      <c r="C594" s="630"/>
      <c r="E594" s="628" t="s">
        <v>982</v>
      </c>
      <c r="F594" s="630"/>
      <c r="G594" s="630"/>
      <c r="I594" s="628" t="s">
        <v>982</v>
      </c>
      <c r="J594" s="630"/>
      <c r="K594" s="630"/>
      <c r="M594" s="628" t="s">
        <v>982</v>
      </c>
      <c r="N594" s="630"/>
      <c r="O594" s="630"/>
      <c r="Q594" s="628" t="s">
        <v>982</v>
      </c>
      <c r="R594" s="630"/>
      <c r="S594" s="630"/>
      <c r="U594" s="628" t="s">
        <v>982</v>
      </c>
      <c r="V594" s="630"/>
      <c r="W594" s="630"/>
    </row>
    <row r="595" spans="1:23" ht="33.75" customHeight="1" x14ac:dyDescent="0.2">
      <c r="A595" s="629" t="s">
        <v>981</v>
      </c>
      <c r="B595" s="630"/>
      <c r="C595" s="631" t="s">
        <v>984</v>
      </c>
      <c r="E595" s="629" t="s">
        <v>981</v>
      </c>
      <c r="F595" s="630"/>
      <c r="G595" s="631" t="s">
        <v>984</v>
      </c>
      <c r="I595" s="629" t="s">
        <v>981</v>
      </c>
      <c r="J595" s="630"/>
      <c r="K595" s="631" t="s">
        <v>984</v>
      </c>
      <c r="M595" s="629" t="s">
        <v>981</v>
      </c>
      <c r="N595" s="630"/>
      <c r="O595" s="631" t="s">
        <v>984</v>
      </c>
      <c r="Q595" s="629" t="s">
        <v>981</v>
      </c>
      <c r="R595" s="630"/>
      <c r="S595" s="631" t="s">
        <v>984</v>
      </c>
      <c r="U595" s="629" t="s">
        <v>981</v>
      </c>
      <c r="V595" s="630"/>
      <c r="W595" s="631" t="s">
        <v>984</v>
      </c>
    </row>
    <row r="596" spans="1:23" ht="48" customHeight="1" x14ac:dyDescent="0.25">
      <c r="A596" s="637"/>
      <c r="B596" s="629" t="s">
        <v>983</v>
      </c>
      <c r="C596" s="636"/>
      <c r="E596" s="637" t="s">
        <v>985</v>
      </c>
      <c r="F596" s="632" t="s">
        <v>983</v>
      </c>
      <c r="G596" s="633"/>
      <c r="I596" s="637" t="s">
        <v>985</v>
      </c>
      <c r="J596" s="632" t="s">
        <v>983</v>
      </c>
      <c r="K596" s="633"/>
      <c r="M596" s="637" t="s">
        <v>985</v>
      </c>
      <c r="N596" s="632" t="s">
        <v>983</v>
      </c>
      <c r="O596" s="633"/>
      <c r="Q596" s="637" t="s">
        <v>985</v>
      </c>
      <c r="R596" s="632" t="s">
        <v>983</v>
      </c>
      <c r="S596" s="633"/>
      <c r="U596" s="637" t="s">
        <v>985</v>
      </c>
      <c r="V596" s="632" t="s">
        <v>983</v>
      </c>
      <c r="W596" s="633"/>
    </row>
    <row r="597" spans="1:23" ht="51" customHeight="1" x14ac:dyDescent="0.2">
      <c r="A597" s="634"/>
      <c r="B597" s="634"/>
      <c r="C597" s="634"/>
      <c r="E597" s="1115" t="s">
        <v>986</v>
      </c>
      <c r="F597" s="1115"/>
      <c r="G597" s="635"/>
      <c r="I597" s="1115" t="s">
        <v>986</v>
      </c>
      <c r="J597" s="1115"/>
      <c r="K597" s="635"/>
      <c r="M597" s="1115" t="s">
        <v>986</v>
      </c>
      <c r="N597" s="1115"/>
      <c r="O597" s="635"/>
      <c r="Q597" s="1115" t="s">
        <v>986</v>
      </c>
      <c r="R597" s="1115"/>
      <c r="S597" s="635"/>
      <c r="U597" s="1228" t="s">
        <v>987</v>
      </c>
      <c r="V597" s="1229"/>
      <c r="W597" s="635"/>
    </row>
    <row r="598" spans="1:23" ht="13.5" customHeight="1" thickBot="1" x14ac:dyDescent="0.25"/>
    <row r="599" spans="1:23" ht="72" customHeight="1" thickBot="1" x14ac:dyDescent="0.25">
      <c r="E599" s="707" t="s">
        <v>1007</v>
      </c>
      <c r="F599" s="639"/>
      <c r="G599" s="639"/>
      <c r="H599" s="639"/>
      <c r="I599" s="639"/>
      <c r="J599" s="640"/>
      <c r="M599" s="708" t="s">
        <v>1008</v>
      </c>
      <c r="N599" s="639"/>
      <c r="O599" s="639"/>
      <c r="P599" s="639"/>
      <c r="Q599" s="640"/>
      <c r="S599" s="1219" t="s">
        <v>988</v>
      </c>
      <c r="T599" s="1219"/>
      <c r="U599" s="1219"/>
      <c r="V599" s="1220"/>
      <c r="W599" s="1221"/>
    </row>
    <row r="600" spans="1:23" ht="34.5" customHeight="1" x14ac:dyDescent="0.2"/>
    <row r="601" spans="1:23" ht="6.75" customHeight="1" x14ac:dyDescent="0.2">
      <c r="Q601" s="1193" t="str">
        <f>CATEG_IMPORTEE</f>
        <v>Collèges Mixtes Etablissement</v>
      </c>
      <c r="R601" s="1193"/>
      <c r="S601" s="1193"/>
      <c r="T601" s="1193"/>
      <c r="U601" s="1193"/>
      <c r="V601" s="1193"/>
      <c r="W601" s="1193"/>
    </row>
    <row r="602" spans="1:23" s="218" customFormat="1" ht="33.75" x14ac:dyDescent="0.2">
      <c r="A602" s="1207" t="s">
        <v>628</v>
      </c>
      <c r="B602" s="1207"/>
      <c r="C602" s="645">
        <f>C572+1</f>
        <v>21</v>
      </c>
      <c r="E602" s="1208" t="str">
        <f>Championnat</f>
        <v>Championnat de France de Tir à l'ARC</v>
      </c>
      <c r="F602" s="1208"/>
      <c r="G602" s="1208"/>
      <c r="H602" s="1208"/>
      <c r="I602" s="1208"/>
      <c r="J602" s="1208"/>
      <c r="K602" s="1208"/>
      <c r="L602" s="1208"/>
      <c r="M602" s="1208"/>
      <c r="N602" s="1208"/>
      <c r="O602" s="1208"/>
      <c r="Q602" s="1193"/>
      <c r="R602" s="1193"/>
      <c r="S602" s="1193"/>
      <c r="T602" s="1193"/>
      <c r="U602" s="1193"/>
      <c r="V602" s="1193"/>
      <c r="W602" s="1193"/>
    </row>
    <row r="603" spans="1:23" ht="27" customHeight="1" x14ac:dyDescent="0.2">
      <c r="Q603" s="1211" t="str">
        <f>LIEU&amp;" du "&amp;DATE</f>
        <v>L’Isle sur la Sorgue du 27 au 31 mars 2023</v>
      </c>
      <c r="R603" s="1211"/>
      <c r="S603" s="1211"/>
      <c r="T603" s="1211"/>
      <c r="U603" s="1211"/>
      <c r="V603" s="1211"/>
      <c r="W603" s="1211"/>
    </row>
    <row r="604" spans="1:23" ht="19.5" customHeight="1" thickBot="1" x14ac:dyDescent="0.25">
      <c r="E604" s="1212" t="s">
        <v>0</v>
      </c>
      <c r="F604" s="1212"/>
      <c r="G604" s="1212"/>
      <c r="H604" s="1212"/>
      <c r="I604" s="1212"/>
      <c r="J604" s="1212"/>
      <c r="K604" s="1212"/>
      <c r="L604" s="641"/>
      <c r="M604" s="1212" t="s">
        <v>375</v>
      </c>
      <c r="N604" s="1212"/>
      <c r="O604" s="1212"/>
      <c r="P604" s="1212"/>
      <c r="Q604" s="1212"/>
      <c r="S604" s="1212" t="s">
        <v>374</v>
      </c>
      <c r="T604" s="1212"/>
      <c r="U604" s="1212"/>
      <c r="V604" s="1212"/>
      <c r="W604" s="1212"/>
    </row>
    <row r="605" spans="1:23" ht="36.75" customHeight="1" thickBot="1" x14ac:dyDescent="0.25">
      <c r="E605" s="1213" t="e">
        <f>VLOOKUP(E608,ID_archer_cible,2,FALSE)</f>
        <v>#N/A</v>
      </c>
      <c r="F605" s="1214"/>
      <c r="G605" s="1214"/>
      <c r="H605" s="1214"/>
      <c r="I605" s="1214"/>
      <c r="J605" s="1214"/>
      <c r="K605" s="1215"/>
      <c r="L605" s="641"/>
      <c r="M605" s="1216" t="e">
        <f>"("&amp;VLOOKUP(E608,ID_archer_cible,3,FALSE)&amp;")"</f>
        <v>#N/A</v>
      </c>
      <c r="N605" s="1217"/>
      <c r="O605" s="1217"/>
      <c r="P605" s="1217"/>
      <c r="Q605" s="1217"/>
      <c r="R605" s="1218"/>
      <c r="S605" s="1185" t="e">
        <f>VLOOKUP(E608,ID_archer_cible,4,FALSE)</f>
        <v>#N/A</v>
      </c>
      <c r="T605" s="1186"/>
      <c r="U605" s="1186"/>
      <c r="V605" s="1186"/>
      <c r="W605" s="1187"/>
    </row>
    <row r="606" spans="1:23" ht="17.25" customHeight="1" x14ac:dyDescent="0.2"/>
    <row r="607" spans="1:23" ht="23.25" customHeight="1" thickBot="1" x14ac:dyDescent="0.25">
      <c r="A607" s="638" t="s">
        <v>906</v>
      </c>
      <c r="E607" s="508" t="s">
        <v>552</v>
      </c>
      <c r="F607" s="571" t="s">
        <v>893</v>
      </c>
      <c r="G607" s="1202" t="s">
        <v>550</v>
      </c>
      <c r="H607" s="1202"/>
      <c r="I607" s="571" t="s">
        <v>905</v>
      </c>
      <c r="J607" s="709" t="s">
        <v>551</v>
      </c>
      <c r="N607" s="508" t="s">
        <v>552</v>
      </c>
      <c r="O607" s="571" t="s">
        <v>893</v>
      </c>
      <c r="P607" s="1202" t="s">
        <v>550</v>
      </c>
      <c r="Q607" s="1202"/>
      <c r="R607" s="571" t="s">
        <v>905</v>
      </c>
      <c r="S607" s="709" t="s">
        <v>551</v>
      </c>
    </row>
    <row r="608" spans="1:23" ht="23.25" customHeight="1" thickTop="1" x14ac:dyDescent="0.2">
      <c r="A608" s="710" t="e">
        <f>VLOOKUP(E608,ID_archer_cible,5,FALSE)&amp;"    "&amp;VLOOKUP(E608,ID_archer_cible,6,FALSE)</f>
        <v>#N/A</v>
      </c>
      <c r="B608" s="711"/>
      <c r="C608" s="711"/>
      <c r="D608" s="712"/>
      <c r="E608" s="713" t="str">
        <f>C602&amp;"A"</f>
        <v>21A</v>
      </c>
      <c r="F608" s="714" t="e">
        <f>VLOOKUP(E608,ID_archer_cible,9,FALSE)</f>
        <v>#N/A</v>
      </c>
      <c r="G608" s="1209" t="e">
        <f>VLOOKUP(E608,ID_archer_cible,8,FALSE)</f>
        <v>#N/A</v>
      </c>
      <c r="H608" s="1209"/>
      <c r="I608" s="715" t="e">
        <f>VLOOKUP(E608,ID_archer_cible,7,FALSE)</f>
        <v>#N/A</v>
      </c>
      <c r="J608" s="716" t="e">
        <f>VLOOKUP(E608,ID_archer_cible,10,FALSE)</f>
        <v>#N/A</v>
      </c>
      <c r="K608" s="710" t="e">
        <f>VLOOKUP(N608,ID_archer_cible,5,FALSE)&amp;"    "&amp;VLOOKUP(N608,ID_archer_cible,6,FALSE)</f>
        <v>#N/A</v>
      </c>
      <c r="L608" s="722"/>
      <c r="M608" s="723"/>
      <c r="N608" s="714" t="str">
        <f>C602&amp;"C"</f>
        <v>21C</v>
      </c>
      <c r="O608" s="714" t="e">
        <f>VLOOKUP(N608,ID_archer_cible,9,FALSE)</f>
        <v>#N/A</v>
      </c>
      <c r="P608" s="1203" t="e">
        <f>VLOOKUP(N608,ID_archer_cible,8,FALSE)</f>
        <v>#N/A</v>
      </c>
      <c r="Q608" s="1204"/>
      <c r="R608" s="724" t="e">
        <f>VLOOKUP(N608,ID_archer_cible,7,FALSE)</f>
        <v>#N/A</v>
      </c>
      <c r="S608" s="716" t="e">
        <f>VLOOKUP(N608,ID_archer_cible,10,FALSE)</f>
        <v>#N/A</v>
      </c>
    </row>
    <row r="609" spans="1:23" ht="23.25" customHeight="1" thickBot="1" x14ac:dyDescent="0.25">
      <c r="A609" s="717" t="e">
        <f>VLOOKUP(E609,ID_archer_cible,5,FALSE)&amp;"    "&amp;VLOOKUP(E609,ID_archer_cible,6,FALSE)</f>
        <v>#N/A</v>
      </c>
      <c r="B609" s="718"/>
      <c r="C609" s="718"/>
      <c r="D609" s="719"/>
      <c r="E609" s="696" t="str">
        <f>C602&amp;"B"</f>
        <v>21B</v>
      </c>
      <c r="F609" s="720" t="e">
        <f>VLOOKUP(E609,ID_archer_cible,9,FALSE)</f>
        <v>#N/A</v>
      </c>
      <c r="G609" s="1210" t="e">
        <f>VLOOKUP(E609,ID_archer_cible,8,FALSE)</f>
        <v>#N/A</v>
      </c>
      <c r="H609" s="1210"/>
      <c r="I609" s="721" t="e">
        <f>VLOOKUP(E609,ID_archer_cible,7,FALSE)</f>
        <v>#N/A</v>
      </c>
      <c r="J609" s="700" t="e">
        <f>VLOOKUP(E609,ID_archer_cible,10,FALSE)</f>
        <v>#N/A</v>
      </c>
      <c r="K609" s="717" t="e">
        <f>VLOOKUP(N609,ID_archer_cible,5,FALSE)&amp;"    "&amp;VLOOKUP(N609,ID_archer_cible,6,FALSE)</f>
        <v>#N/A</v>
      </c>
      <c r="L609" s="725"/>
      <c r="M609" s="726"/>
      <c r="N609" s="720" t="str">
        <f>C602&amp;"D"</f>
        <v>21D</v>
      </c>
      <c r="O609" s="720" t="e">
        <f>VLOOKUP(N609,ID_archer_cible,9,FALSE)</f>
        <v>#N/A</v>
      </c>
      <c r="P609" s="1205" t="e">
        <f>VLOOKUP(N609,ID_archer_cible,8,FALSE)</f>
        <v>#N/A</v>
      </c>
      <c r="Q609" s="1206"/>
      <c r="R609" s="727" t="e">
        <f>VLOOKUP(N609,ID_archer_cible,7,FALSE)</f>
        <v>#N/A</v>
      </c>
      <c r="S609" s="700" t="e">
        <f>VLOOKUP(N609,ID_archer_cible,10,FALSE)</f>
        <v>#N/A</v>
      </c>
    </row>
    <row r="610" spans="1:23" ht="15" customHeight="1" thickTop="1" x14ac:dyDescent="0.2"/>
    <row r="611" spans="1:23" ht="15" customHeight="1" thickBot="1" x14ac:dyDescent="0.25"/>
    <row r="612" spans="1:23" ht="33.75" customHeight="1" thickBot="1" x14ac:dyDescent="0.25">
      <c r="A612" s="1222" t="s">
        <v>909</v>
      </c>
      <c r="B612" s="1223"/>
      <c r="C612" s="1224"/>
      <c r="E612" s="1225" t="s">
        <v>910</v>
      </c>
      <c r="F612" s="1226"/>
      <c r="G612" s="1227"/>
      <c r="I612" s="1222" t="s">
        <v>911</v>
      </c>
      <c r="J612" s="1223"/>
      <c r="K612" s="1224"/>
      <c r="M612" s="1222" t="s">
        <v>912</v>
      </c>
      <c r="N612" s="1223"/>
      <c r="O612" s="1224"/>
      <c r="Q612" s="1222" t="s">
        <v>913</v>
      </c>
      <c r="R612" s="1223"/>
      <c r="S612" s="1224"/>
      <c r="U612" s="1222" t="s">
        <v>916</v>
      </c>
      <c r="V612" s="1223"/>
      <c r="W612" s="1224"/>
    </row>
    <row r="613" spans="1:23" ht="33.75" customHeight="1" x14ac:dyDescent="0.2">
      <c r="A613" s="642" t="s">
        <v>980</v>
      </c>
      <c r="B613" s="643" t="s">
        <v>981</v>
      </c>
      <c r="C613" s="644" t="s">
        <v>780</v>
      </c>
      <c r="E613" s="642" t="s">
        <v>980</v>
      </c>
      <c r="F613" s="643" t="s">
        <v>981</v>
      </c>
      <c r="G613" s="644" t="s">
        <v>780</v>
      </c>
      <c r="I613" s="642" t="s">
        <v>980</v>
      </c>
      <c r="J613" s="643" t="s">
        <v>981</v>
      </c>
      <c r="K613" s="644" t="s">
        <v>780</v>
      </c>
      <c r="M613" s="642" t="s">
        <v>980</v>
      </c>
      <c r="N613" s="643" t="s">
        <v>981</v>
      </c>
      <c r="O613" s="644" t="s">
        <v>780</v>
      </c>
      <c r="Q613" s="642" t="s">
        <v>980</v>
      </c>
      <c r="R613" s="643" t="s">
        <v>981</v>
      </c>
      <c r="S613" s="644" t="s">
        <v>780</v>
      </c>
      <c r="U613" s="642" t="s">
        <v>980</v>
      </c>
      <c r="V613" s="643" t="s">
        <v>981</v>
      </c>
      <c r="W613" s="644" t="s">
        <v>780</v>
      </c>
    </row>
    <row r="614" spans="1:23" ht="33.75" customHeight="1" x14ac:dyDescent="0.2">
      <c r="A614" s="628">
        <v>10</v>
      </c>
      <c r="B614" s="630"/>
      <c r="C614" s="630"/>
      <c r="E614" s="628">
        <v>10</v>
      </c>
      <c r="F614" s="630"/>
      <c r="G614" s="630"/>
      <c r="I614" s="628">
        <v>10</v>
      </c>
      <c r="J614" s="630"/>
      <c r="K614" s="630"/>
      <c r="M614" s="628">
        <v>10</v>
      </c>
      <c r="N614" s="630"/>
      <c r="O614" s="630"/>
      <c r="Q614" s="628">
        <v>10</v>
      </c>
      <c r="R614" s="630"/>
      <c r="S614" s="630"/>
      <c r="U614" s="628">
        <v>10</v>
      </c>
      <c r="V614" s="630"/>
      <c r="W614" s="630"/>
    </row>
    <row r="615" spans="1:23" ht="33.75" customHeight="1" x14ac:dyDescent="0.2">
      <c r="A615" s="628">
        <v>9</v>
      </c>
      <c r="B615" s="630"/>
      <c r="C615" s="630"/>
      <c r="E615" s="628">
        <v>9</v>
      </c>
      <c r="F615" s="630"/>
      <c r="G615" s="630"/>
      <c r="I615" s="628">
        <v>9</v>
      </c>
      <c r="J615" s="630"/>
      <c r="K615" s="630"/>
      <c r="M615" s="628">
        <v>9</v>
      </c>
      <c r="N615" s="630"/>
      <c r="O615" s="630"/>
      <c r="Q615" s="628">
        <v>9</v>
      </c>
      <c r="R615" s="630"/>
      <c r="S615" s="630"/>
      <c r="U615" s="628">
        <v>9</v>
      </c>
      <c r="V615" s="630"/>
      <c r="W615" s="630"/>
    </row>
    <row r="616" spans="1:23" ht="33.75" customHeight="1" x14ac:dyDescent="0.2">
      <c r="A616" s="628">
        <v>8</v>
      </c>
      <c r="B616" s="630"/>
      <c r="C616" s="630"/>
      <c r="E616" s="628">
        <v>8</v>
      </c>
      <c r="F616" s="630"/>
      <c r="G616" s="630"/>
      <c r="I616" s="628">
        <v>8</v>
      </c>
      <c r="J616" s="630"/>
      <c r="K616" s="630"/>
      <c r="M616" s="628">
        <v>8</v>
      </c>
      <c r="N616" s="630"/>
      <c r="O616" s="630"/>
      <c r="Q616" s="628">
        <v>8</v>
      </c>
      <c r="R616" s="630"/>
      <c r="S616" s="630"/>
      <c r="U616" s="628">
        <v>8</v>
      </c>
      <c r="V616" s="630"/>
      <c r="W616" s="630"/>
    </row>
    <row r="617" spans="1:23" ht="33.75" customHeight="1" x14ac:dyDescent="0.2">
      <c r="A617" s="628">
        <v>7</v>
      </c>
      <c r="B617" s="630"/>
      <c r="C617" s="630"/>
      <c r="E617" s="628">
        <v>7</v>
      </c>
      <c r="F617" s="630"/>
      <c r="G617" s="630"/>
      <c r="I617" s="628">
        <v>7</v>
      </c>
      <c r="J617" s="630"/>
      <c r="K617" s="630"/>
      <c r="M617" s="628">
        <v>7</v>
      </c>
      <c r="N617" s="630"/>
      <c r="O617" s="630"/>
      <c r="Q617" s="628">
        <v>7</v>
      </c>
      <c r="R617" s="630"/>
      <c r="S617" s="630"/>
      <c r="U617" s="628">
        <v>7</v>
      </c>
      <c r="V617" s="630"/>
      <c r="W617" s="630"/>
    </row>
    <row r="618" spans="1:23" ht="33.75" customHeight="1" x14ac:dyDescent="0.2">
      <c r="A618" s="628">
        <v>6</v>
      </c>
      <c r="B618" s="630"/>
      <c r="C618" s="630"/>
      <c r="E618" s="628">
        <v>6</v>
      </c>
      <c r="F618" s="630"/>
      <c r="G618" s="630"/>
      <c r="I618" s="628">
        <v>6</v>
      </c>
      <c r="J618" s="630"/>
      <c r="K618" s="630"/>
      <c r="M618" s="628">
        <v>6</v>
      </c>
      <c r="N618" s="630"/>
      <c r="O618" s="630"/>
      <c r="Q618" s="628">
        <v>6</v>
      </c>
      <c r="R618" s="630"/>
      <c r="S618" s="630"/>
      <c r="U618" s="628">
        <v>6</v>
      </c>
      <c r="V618" s="630"/>
      <c r="W618" s="630"/>
    </row>
    <row r="619" spans="1:23" ht="33.75" customHeight="1" x14ac:dyDescent="0.2">
      <c r="A619" s="628">
        <v>5</v>
      </c>
      <c r="B619" s="630"/>
      <c r="C619" s="630"/>
      <c r="E619" s="628">
        <v>5</v>
      </c>
      <c r="F619" s="630"/>
      <c r="G619" s="630"/>
      <c r="I619" s="628">
        <v>5</v>
      </c>
      <c r="J619" s="630"/>
      <c r="K619" s="630"/>
      <c r="M619" s="628">
        <v>5</v>
      </c>
      <c r="N619" s="630"/>
      <c r="O619" s="630"/>
      <c r="Q619" s="628">
        <v>5</v>
      </c>
      <c r="R619" s="630"/>
      <c r="S619" s="630"/>
      <c r="U619" s="628">
        <v>5</v>
      </c>
      <c r="V619" s="630"/>
      <c r="W619" s="630"/>
    </row>
    <row r="620" spans="1:23" ht="33.75" customHeight="1" x14ac:dyDescent="0.2">
      <c r="A620" s="628">
        <v>4</v>
      </c>
      <c r="B620" s="630"/>
      <c r="C620" s="630"/>
      <c r="E620" s="628">
        <v>4</v>
      </c>
      <c r="F620" s="630"/>
      <c r="G620" s="630"/>
      <c r="I620" s="628">
        <v>4</v>
      </c>
      <c r="J620" s="630"/>
      <c r="K620" s="630"/>
      <c r="M620" s="628">
        <v>4</v>
      </c>
      <c r="N620" s="630"/>
      <c r="O620" s="630"/>
      <c r="Q620" s="628">
        <v>4</v>
      </c>
      <c r="R620" s="630"/>
      <c r="S620" s="630"/>
      <c r="U620" s="628">
        <v>4</v>
      </c>
      <c r="V620" s="630"/>
      <c r="W620" s="630"/>
    </row>
    <row r="621" spans="1:23" ht="33.75" customHeight="1" x14ac:dyDescent="0.2">
      <c r="A621" s="628">
        <v>3</v>
      </c>
      <c r="B621" s="630"/>
      <c r="C621" s="630"/>
      <c r="E621" s="628">
        <v>3</v>
      </c>
      <c r="F621" s="630"/>
      <c r="G621" s="630"/>
      <c r="I621" s="628">
        <v>3</v>
      </c>
      <c r="J621" s="630"/>
      <c r="K621" s="630"/>
      <c r="M621" s="628">
        <v>3</v>
      </c>
      <c r="N621" s="630"/>
      <c r="O621" s="630"/>
      <c r="Q621" s="628">
        <v>3</v>
      </c>
      <c r="R621" s="630"/>
      <c r="S621" s="630"/>
      <c r="U621" s="628">
        <v>3</v>
      </c>
      <c r="V621" s="630"/>
      <c r="W621" s="630"/>
    </row>
    <row r="622" spans="1:23" ht="33.75" customHeight="1" x14ac:dyDescent="0.2">
      <c r="A622" s="628">
        <v>2</v>
      </c>
      <c r="B622" s="630"/>
      <c r="C622" s="630"/>
      <c r="E622" s="628">
        <v>2</v>
      </c>
      <c r="F622" s="630"/>
      <c r="G622" s="630"/>
      <c r="I622" s="628">
        <v>2</v>
      </c>
      <c r="J622" s="630"/>
      <c r="K622" s="630"/>
      <c r="M622" s="628">
        <v>2</v>
      </c>
      <c r="N622" s="630"/>
      <c r="O622" s="630"/>
      <c r="Q622" s="628">
        <v>2</v>
      </c>
      <c r="R622" s="630"/>
      <c r="S622" s="630"/>
      <c r="U622" s="628">
        <v>2</v>
      </c>
      <c r="V622" s="630"/>
      <c r="W622" s="630"/>
    </row>
    <row r="623" spans="1:23" ht="33.75" customHeight="1" x14ac:dyDescent="0.2">
      <c r="A623" s="628">
        <v>1</v>
      </c>
      <c r="B623" s="630"/>
      <c r="C623" s="630"/>
      <c r="E623" s="628">
        <v>1</v>
      </c>
      <c r="F623" s="630"/>
      <c r="G623" s="630"/>
      <c r="I623" s="628">
        <v>1</v>
      </c>
      <c r="J623" s="630"/>
      <c r="K623" s="630"/>
      <c r="M623" s="628">
        <v>1</v>
      </c>
      <c r="N623" s="630"/>
      <c r="O623" s="630"/>
      <c r="Q623" s="628">
        <v>1</v>
      </c>
      <c r="R623" s="630"/>
      <c r="S623" s="630"/>
      <c r="U623" s="628">
        <v>1</v>
      </c>
      <c r="V623" s="630"/>
      <c r="W623" s="630"/>
    </row>
    <row r="624" spans="1:23" ht="33.75" customHeight="1" x14ac:dyDescent="0.2">
      <c r="A624" s="628" t="s">
        <v>982</v>
      </c>
      <c r="B624" s="630"/>
      <c r="C624" s="630"/>
      <c r="E624" s="628" t="s">
        <v>982</v>
      </c>
      <c r="F624" s="630"/>
      <c r="G624" s="630"/>
      <c r="I624" s="628" t="s">
        <v>982</v>
      </c>
      <c r="J624" s="630"/>
      <c r="K624" s="630"/>
      <c r="M624" s="628" t="s">
        <v>982</v>
      </c>
      <c r="N624" s="630"/>
      <c r="O624" s="630"/>
      <c r="Q624" s="628" t="s">
        <v>982</v>
      </c>
      <c r="R624" s="630"/>
      <c r="S624" s="630"/>
      <c r="U624" s="628" t="s">
        <v>982</v>
      </c>
      <c r="V624" s="630"/>
      <c r="W624" s="630"/>
    </row>
    <row r="625" spans="1:23" ht="33.75" customHeight="1" x14ac:dyDescent="0.2">
      <c r="A625" s="629" t="s">
        <v>981</v>
      </c>
      <c r="B625" s="630"/>
      <c r="C625" s="631" t="s">
        <v>984</v>
      </c>
      <c r="E625" s="629" t="s">
        <v>981</v>
      </c>
      <c r="F625" s="630"/>
      <c r="G625" s="631" t="s">
        <v>984</v>
      </c>
      <c r="I625" s="629" t="s">
        <v>981</v>
      </c>
      <c r="J625" s="630"/>
      <c r="K625" s="631" t="s">
        <v>984</v>
      </c>
      <c r="M625" s="629" t="s">
        <v>981</v>
      </c>
      <c r="N625" s="630"/>
      <c r="O625" s="631" t="s">
        <v>984</v>
      </c>
      <c r="Q625" s="629" t="s">
        <v>981</v>
      </c>
      <c r="R625" s="630"/>
      <c r="S625" s="631" t="s">
        <v>984</v>
      </c>
      <c r="U625" s="629" t="s">
        <v>981</v>
      </c>
      <c r="V625" s="630"/>
      <c r="W625" s="631" t="s">
        <v>984</v>
      </c>
    </row>
    <row r="626" spans="1:23" ht="48" customHeight="1" x14ac:dyDescent="0.25">
      <c r="A626" s="637"/>
      <c r="B626" s="629" t="s">
        <v>983</v>
      </c>
      <c r="C626" s="636"/>
      <c r="E626" s="637" t="s">
        <v>985</v>
      </c>
      <c r="F626" s="632" t="s">
        <v>983</v>
      </c>
      <c r="G626" s="633"/>
      <c r="I626" s="637" t="s">
        <v>985</v>
      </c>
      <c r="J626" s="632" t="s">
        <v>983</v>
      </c>
      <c r="K626" s="633"/>
      <c r="M626" s="637" t="s">
        <v>985</v>
      </c>
      <c r="N626" s="632" t="s">
        <v>983</v>
      </c>
      <c r="O626" s="633"/>
      <c r="Q626" s="637" t="s">
        <v>985</v>
      </c>
      <c r="R626" s="632" t="s">
        <v>983</v>
      </c>
      <c r="S626" s="633"/>
      <c r="U626" s="637" t="s">
        <v>985</v>
      </c>
      <c r="V626" s="632" t="s">
        <v>983</v>
      </c>
      <c r="W626" s="633"/>
    </row>
    <row r="627" spans="1:23" ht="51" customHeight="1" x14ac:dyDescent="0.2">
      <c r="A627" s="634"/>
      <c r="B627" s="634"/>
      <c r="C627" s="634"/>
      <c r="E627" s="1115" t="s">
        <v>986</v>
      </c>
      <c r="F627" s="1115"/>
      <c r="G627" s="635"/>
      <c r="I627" s="1115" t="s">
        <v>986</v>
      </c>
      <c r="J627" s="1115"/>
      <c r="K627" s="635"/>
      <c r="M627" s="1115" t="s">
        <v>986</v>
      </c>
      <c r="N627" s="1115"/>
      <c r="O627" s="635"/>
      <c r="Q627" s="1115" t="s">
        <v>986</v>
      </c>
      <c r="R627" s="1115"/>
      <c r="S627" s="635"/>
      <c r="U627" s="1228" t="s">
        <v>987</v>
      </c>
      <c r="V627" s="1229"/>
      <c r="W627" s="635"/>
    </row>
    <row r="628" spans="1:23" ht="13.5" customHeight="1" thickBot="1" x14ac:dyDescent="0.25"/>
    <row r="629" spans="1:23" ht="72" customHeight="1" thickBot="1" x14ac:dyDescent="0.25">
      <c r="E629" s="707" t="s">
        <v>1007</v>
      </c>
      <c r="F629" s="639"/>
      <c r="G629" s="639"/>
      <c r="H629" s="639"/>
      <c r="I629" s="639"/>
      <c r="J629" s="640"/>
      <c r="M629" s="708" t="s">
        <v>1008</v>
      </c>
      <c r="N629" s="639"/>
      <c r="O629" s="639"/>
      <c r="P629" s="639"/>
      <c r="Q629" s="640"/>
      <c r="S629" s="1219" t="s">
        <v>988</v>
      </c>
      <c r="T629" s="1219"/>
      <c r="U629" s="1219"/>
      <c r="V629" s="1220"/>
      <c r="W629" s="1221"/>
    </row>
    <row r="630" spans="1:23" ht="34.5" customHeight="1" x14ac:dyDescent="0.2"/>
    <row r="631" spans="1:23" ht="6.75" customHeight="1" x14ac:dyDescent="0.2">
      <c r="Q631" s="1193" t="str">
        <f>CATEG_IMPORTEE</f>
        <v>Collèges Mixtes Etablissement</v>
      </c>
      <c r="R631" s="1193"/>
      <c r="S631" s="1193"/>
      <c r="T631" s="1193"/>
      <c r="U631" s="1193"/>
      <c r="V631" s="1193"/>
      <c r="W631" s="1193"/>
    </row>
    <row r="632" spans="1:23" s="218" customFormat="1" ht="33.75" x14ac:dyDescent="0.2">
      <c r="A632" s="1207" t="s">
        <v>628</v>
      </c>
      <c r="B632" s="1207"/>
      <c r="C632" s="645">
        <f>C602+1</f>
        <v>22</v>
      </c>
      <c r="E632" s="1208" t="str">
        <f>Championnat</f>
        <v>Championnat de France de Tir à l'ARC</v>
      </c>
      <c r="F632" s="1208"/>
      <c r="G632" s="1208"/>
      <c r="H632" s="1208"/>
      <c r="I632" s="1208"/>
      <c r="J632" s="1208"/>
      <c r="K632" s="1208"/>
      <c r="L632" s="1208"/>
      <c r="M632" s="1208"/>
      <c r="N632" s="1208"/>
      <c r="O632" s="1208"/>
      <c r="Q632" s="1193"/>
      <c r="R632" s="1193"/>
      <c r="S632" s="1193"/>
      <c r="T632" s="1193"/>
      <c r="U632" s="1193"/>
      <c r="V632" s="1193"/>
      <c r="W632" s="1193"/>
    </row>
    <row r="633" spans="1:23" ht="27" customHeight="1" x14ac:dyDescent="0.2">
      <c r="Q633" s="1211" t="str">
        <f>LIEU&amp;" du "&amp;DATE</f>
        <v>L’Isle sur la Sorgue du 27 au 31 mars 2023</v>
      </c>
      <c r="R633" s="1211"/>
      <c r="S633" s="1211"/>
      <c r="T633" s="1211"/>
      <c r="U633" s="1211"/>
      <c r="V633" s="1211"/>
      <c r="W633" s="1211"/>
    </row>
    <row r="634" spans="1:23" ht="19.5" customHeight="1" thickBot="1" x14ac:dyDescent="0.25">
      <c r="E634" s="1212" t="s">
        <v>0</v>
      </c>
      <c r="F634" s="1212"/>
      <c r="G634" s="1212"/>
      <c r="H634" s="1212"/>
      <c r="I634" s="1212"/>
      <c r="J634" s="1212"/>
      <c r="K634" s="1212"/>
      <c r="L634" s="641"/>
      <c r="M634" s="1212" t="s">
        <v>375</v>
      </c>
      <c r="N634" s="1212"/>
      <c r="O634" s="1212"/>
      <c r="P634" s="1212"/>
      <c r="Q634" s="1212"/>
      <c r="S634" s="1212" t="s">
        <v>374</v>
      </c>
      <c r="T634" s="1212"/>
      <c r="U634" s="1212"/>
      <c r="V634" s="1212"/>
      <c r="W634" s="1212"/>
    </row>
    <row r="635" spans="1:23" ht="36.75" customHeight="1" thickBot="1" x14ac:dyDescent="0.25">
      <c r="E635" s="1213" t="e">
        <f>VLOOKUP(E638,ID_archer_cible,2,FALSE)</f>
        <v>#N/A</v>
      </c>
      <c r="F635" s="1214"/>
      <c r="G635" s="1214"/>
      <c r="H635" s="1214"/>
      <c r="I635" s="1214"/>
      <c r="J635" s="1214"/>
      <c r="K635" s="1215"/>
      <c r="L635" s="641"/>
      <c r="M635" s="1216" t="e">
        <f>"("&amp;VLOOKUP(E638,ID_archer_cible,3,FALSE)&amp;")"</f>
        <v>#N/A</v>
      </c>
      <c r="N635" s="1217"/>
      <c r="O635" s="1217"/>
      <c r="P635" s="1217"/>
      <c r="Q635" s="1217"/>
      <c r="R635" s="1218"/>
      <c r="S635" s="1185" t="e">
        <f>VLOOKUP(E638,ID_archer_cible,4,FALSE)</f>
        <v>#N/A</v>
      </c>
      <c r="T635" s="1186"/>
      <c r="U635" s="1186"/>
      <c r="V635" s="1186"/>
      <c r="W635" s="1187"/>
    </row>
    <row r="636" spans="1:23" ht="17.25" customHeight="1" x14ac:dyDescent="0.2"/>
    <row r="637" spans="1:23" ht="23.25" customHeight="1" thickBot="1" x14ac:dyDescent="0.25">
      <c r="A637" s="638" t="s">
        <v>906</v>
      </c>
      <c r="E637" s="508" t="s">
        <v>552</v>
      </c>
      <c r="F637" s="571" t="s">
        <v>893</v>
      </c>
      <c r="G637" s="1202" t="s">
        <v>550</v>
      </c>
      <c r="H637" s="1202"/>
      <c r="I637" s="571" t="s">
        <v>905</v>
      </c>
      <c r="J637" s="709" t="s">
        <v>551</v>
      </c>
      <c r="N637" s="508" t="s">
        <v>552</v>
      </c>
      <c r="O637" s="571" t="s">
        <v>893</v>
      </c>
      <c r="P637" s="1202" t="s">
        <v>550</v>
      </c>
      <c r="Q637" s="1202"/>
      <c r="R637" s="571" t="s">
        <v>905</v>
      </c>
      <c r="S637" s="709" t="s">
        <v>551</v>
      </c>
    </row>
    <row r="638" spans="1:23" ht="23.25" customHeight="1" thickTop="1" x14ac:dyDescent="0.2">
      <c r="A638" s="710" t="e">
        <f>VLOOKUP(E638,ID_archer_cible,5,FALSE)&amp;"    "&amp;VLOOKUP(E638,ID_archer_cible,6,FALSE)</f>
        <v>#N/A</v>
      </c>
      <c r="B638" s="711"/>
      <c r="C638" s="711"/>
      <c r="D638" s="712"/>
      <c r="E638" s="713" t="str">
        <f>C632&amp;"A"</f>
        <v>22A</v>
      </c>
      <c r="F638" s="714" t="e">
        <f>VLOOKUP(E638,ID_archer_cible,9,FALSE)</f>
        <v>#N/A</v>
      </c>
      <c r="G638" s="1209" t="e">
        <f>VLOOKUP(E638,ID_archer_cible,8,FALSE)</f>
        <v>#N/A</v>
      </c>
      <c r="H638" s="1209"/>
      <c r="I638" s="715" t="e">
        <f>VLOOKUP(E638,ID_archer_cible,7,FALSE)</f>
        <v>#N/A</v>
      </c>
      <c r="J638" s="716" t="e">
        <f>VLOOKUP(E638,ID_archer_cible,10,FALSE)</f>
        <v>#N/A</v>
      </c>
      <c r="K638" s="710" t="e">
        <f>VLOOKUP(N638,ID_archer_cible,5,FALSE)&amp;"    "&amp;VLOOKUP(N638,ID_archer_cible,6,FALSE)</f>
        <v>#N/A</v>
      </c>
      <c r="L638" s="722"/>
      <c r="M638" s="723"/>
      <c r="N638" s="714" t="str">
        <f>C632&amp;"C"</f>
        <v>22C</v>
      </c>
      <c r="O638" s="714" t="e">
        <f>VLOOKUP(N638,ID_archer_cible,9,FALSE)</f>
        <v>#N/A</v>
      </c>
      <c r="P638" s="1203" t="e">
        <f>VLOOKUP(N638,ID_archer_cible,8,FALSE)</f>
        <v>#N/A</v>
      </c>
      <c r="Q638" s="1204"/>
      <c r="R638" s="724" t="e">
        <f>VLOOKUP(N638,ID_archer_cible,7,FALSE)</f>
        <v>#N/A</v>
      </c>
      <c r="S638" s="716" t="e">
        <f>VLOOKUP(N638,ID_archer_cible,10,FALSE)</f>
        <v>#N/A</v>
      </c>
    </row>
    <row r="639" spans="1:23" ht="23.25" customHeight="1" thickBot="1" x14ac:dyDescent="0.25">
      <c r="A639" s="717" t="e">
        <f>VLOOKUP(E639,ID_archer_cible,5,FALSE)&amp;"    "&amp;VLOOKUP(E639,ID_archer_cible,6,FALSE)</f>
        <v>#N/A</v>
      </c>
      <c r="B639" s="718"/>
      <c r="C639" s="718"/>
      <c r="D639" s="719"/>
      <c r="E639" s="696" t="str">
        <f>C632&amp;"B"</f>
        <v>22B</v>
      </c>
      <c r="F639" s="720" t="e">
        <f>VLOOKUP(E639,ID_archer_cible,9,FALSE)</f>
        <v>#N/A</v>
      </c>
      <c r="G639" s="1210" t="e">
        <f>VLOOKUP(E639,ID_archer_cible,8,FALSE)</f>
        <v>#N/A</v>
      </c>
      <c r="H639" s="1210"/>
      <c r="I639" s="721" t="e">
        <f>VLOOKUP(E639,ID_archer_cible,7,FALSE)</f>
        <v>#N/A</v>
      </c>
      <c r="J639" s="700" t="e">
        <f>VLOOKUP(E639,ID_archer_cible,10,FALSE)</f>
        <v>#N/A</v>
      </c>
      <c r="K639" s="717" t="e">
        <f>VLOOKUP(N639,ID_archer_cible,5,FALSE)&amp;"    "&amp;VLOOKUP(N639,ID_archer_cible,6,FALSE)</f>
        <v>#N/A</v>
      </c>
      <c r="L639" s="725"/>
      <c r="M639" s="726"/>
      <c r="N639" s="720" t="str">
        <f>C632&amp;"D"</f>
        <v>22D</v>
      </c>
      <c r="O639" s="720" t="e">
        <f>VLOOKUP(N639,ID_archer_cible,9,FALSE)</f>
        <v>#N/A</v>
      </c>
      <c r="P639" s="1205" t="e">
        <f>VLOOKUP(N639,ID_archer_cible,8,FALSE)</f>
        <v>#N/A</v>
      </c>
      <c r="Q639" s="1206"/>
      <c r="R639" s="727" t="e">
        <f>VLOOKUP(N639,ID_archer_cible,7,FALSE)</f>
        <v>#N/A</v>
      </c>
      <c r="S639" s="700" t="e">
        <f>VLOOKUP(N639,ID_archer_cible,10,FALSE)</f>
        <v>#N/A</v>
      </c>
    </row>
    <row r="640" spans="1:23" ht="15" customHeight="1" thickTop="1" x14ac:dyDescent="0.2"/>
    <row r="641" spans="1:23" ht="15" customHeight="1" thickBot="1" x14ac:dyDescent="0.25"/>
    <row r="642" spans="1:23" ht="33.75" customHeight="1" thickBot="1" x14ac:dyDescent="0.25">
      <c r="A642" s="1222" t="s">
        <v>909</v>
      </c>
      <c r="B642" s="1223"/>
      <c r="C642" s="1224"/>
      <c r="E642" s="1225" t="s">
        <v>910</v>
      </c>
      <c r="F642" s="1226"/>
      <c r="G642" s="1227"/>
      <c r="I642" s="1222" t="s">
        <v>911</v>
      </c>
      <c r="J642" s="1223"/>
      <c r="K642" s="1224"/>
      <c r="M642" s="1222" t="s">
        <v>912</v>
      </c>
      <c r="N642" s="1223"/>
      <c r="O642" s="1224"/>
      <c r="Q642" s="1222" t="s">
        <v>913</v>
      </c>
      <c r="R642" s="1223"/>
      <c r="S642" s="1224"/>
      <c r="U642" s="1222" t="s">
        <v>916</v>
      </c>
      <c r="V642" s="1223"/>
      <c r="W642" s="1224"/>
    </row>
    <row r="643" spans="1:23" ht="33.75" customHeight="1" x14ac:dyDescent="0.2">
      <c r="A643" s="642" t="s">
        <v>980</v>
      </c>
      <c r="B643" s="643" t="s">
        <v>981</v>
      </c>
      <c r="C643" s="644" t="s">
        <v>780</v>
      </c>
      <c r="E643" s="642" t="s">
        <v>980</v>
      </c>
      <c r="F643" s="643" t="s">
        <v>981</v>
      </c>
      <c r="G643" s="644" t="s">
        <v>780</v>
      </c>
      <c r="I643" s="642" t="s">
        <v>980</v>
      </c>
      <c r="J643" s="643" t="s">
        <v>981</v>
      </c>
      <c r="K643" s="644" t="s">
        <v>780</v>
      </c>
      <c r="M643" s="642" t="s">
        <v>980</v>
      </c>
      <c r="N643" s="643" t="s">
        <v>981</v>
      </c>
      <c r="O643" s="644" t="s">
        <v>780</v>
      </c>
      <c r="Q643" s="642" t="s">
        <v>980</v>
      </c>
      <c r="R643" s="643" t="s">
        <v>981</v>
      </c>
      <c r="S643" s="644" t="s">
        <v>780</v>
      </c>
      <c r="U643" s="642" t="s">
        <v>980</v>
      </c>
      <c r="V643" s="643" t="s">
        <v>981</v>
      </c>
      <c r="W643" s="644" t="s">
        <v>780</v>
      </c>
    </row>
    <row r="644" spans="1:23" ht="33.75" customHeight="1" x14ac:dyDescent="0.2">
      <c r="A644" s="628">
        <v>10</v>
      </c>
      <c r="B644" s="630"/>
      <c r="C644" s="630"/>
      <c r="E644" s="628">
        <v>10</v>
      </c>
      <c r="F644" s="630"/>
      <c r="G644" s="630"/>
      <c r="I644" s="628">
        <v>10</v>
      </c>
      <c r="J644" s="630"/>
      <c r="K644" s="630"/>
      <c r="M644" s="628">
        <v>10</v>
      </c>
      <c r="N644" s="630"/>
      <c r="O644" s="630"/>
      <c r="Q644" s="628">
        <v>10</v>
      </c>
      <c r="R644" s="630"/>
      <c r="S644" s="630"/>
      <c r="U644" s="628">
        <v>10</v>
      </c>
      <c r="V644" s="630"/>
      <c r="W644" s="630"/>
    </row>
    <row r="645" spans="1:23" ht="33.75" customHeight="1" x14ac:dyDescent="0.2">
      <c r="A645" s="628">
        <v>9</v>
      </c>
      <c r="B645" s="630"/>
      <c r="C645" s="630"/>
      <c r="E645" s="628">
        <v>9</v>
      </c>
      <c r="F645" s="630"/>
      <c r="G645" s="630"/>
      <c r="I645" s="628">
        <v>9</v>
      </c>
      <c r="J645" s="630"/>
      <c r="K645" s="630"/>
      <c r="M645" s="628">
        <v>9</v>
      </c>
      <c r="N645" s="630"/>
      <c r="O645" s="630"/>
      <c r="Q645" s="628">
        <v>9</v>
      </c>
      <c r="R645" s="630"/>
      <c r="S645" s="630"/>
      <c r="U645" s="628">
        <v>9</v>
      </c>
      <c r="V645" s="630"/>
      <c r="W645" s="630"/>
    </row>
    <row r="646" spans="1:23" ht="33.75" customHeight="1" x14ac:dyDescent="0.2">
      <c r="A646" s="628">
        <v>8</v>
      </c>
      <c r="B646" s="630"/>
      <c r="C646" s="630"/>
      <c r="E646" s="628">
        <v>8</v>
      </c>
      <c r="F646" s="630"/>
      <c r="G646" s="630"/>
      <c r="I646" s="628">
        <v>8</v>
      </c>
      <c r="J646" s="630"/>
      <c r="K646" s="630"/>
      <c r="M646" s="628">
        <v>8</v>
      </c>
      <c r="N646" s="630"/>
      <c r="O646" s="630"/>
      <c r="Q646" s="628">
        <v>8</v>
      </c>
      <c r="R646" s="630"/>
      <c r="S646" s="630"/>
      <c r="U646" s="628">
        <v>8</v>
      </c>
      <c r="V646" s="630"/>
      <c r="W646" s="630"/>
    </row>
    <row r="647" spans="1:23" ht="33.75" customHeight="1" x14ac:dyDescent="0.2">
      <c r="A647" s="628">
        <v>7</v>
      </c>
      <c r="B647" s="630"/>
      <c r="C647" s="630"/>
      <c r="E647" s="628">
        <v>7</v>
      </c>
      <c r="F647" s="630"/>
      <c r="G647" s="630"/>
      <c r="I647" s="628">
        <v>7</v>
      </c>
      <c r="J647" s="630"/>
      <c r="K647" s="630"/>
      <c r="M647" s="628">
        <v>7</v>
      </c>
      <c r="N647" s="630"/>
      <c r="O647" s="630"/>
      <c r="Q647" s="628">
        <v>7</v>
      </c>
      <c r="R647" s="630"/>
      <c r="S647" s="630"/>
      <c r="U647" s="628">
        <v>7</v>
      </c>
      <c r="V647" s="630"/>
      <c r="W647" s="630"/>
    </row>
    <row r="648" spans="1:23" ht="33.75" customHeight="1" x14ac:dyDescent="0.2">
      <c r="A648" s="628">
        <v>6</v>
      </c>
      <c r="B648" s="630"/>
      <c r="C648" s="630"/>
      <c r="E648" s="628">
        <v>6</v>
      </c>
      <c r="F648" s="630"/>
      <c r="G648" s="630"/>
      <c r="I648" s="628">
        <v>6</v>
      </c>
      <c r="J648" s="630"/>
      <c r="K648" s="630"/>
      <c r="M648" s="628">
        <v>6</v>
      </c>
      <c r="N648" s="630"/>
      <c r="O648" s="630"/>
      <c r="Q648" s="628">
        <v>6</v>
      </c>
      <c r="R648" s="630"/>
      <c r="S648" s="630"/>
      <c r="U648" s="628">
        <v>6</v>
      </c>
      <c r="V648" s="630"/>
      <c r="W648" s="630"/>
    </row>
    <row r="649" spans="1:23" ht="33.75" customHeight="1" x14ac:dyDescent="0.2">
      <c r="A649" s="628">
        <v>5</v>
      </c>
      <c r="B649" s="630"/>
      <c r="C649" s="630"/>
      <c r="E649" s="628">
        <v>5</v>
      </c>
      <c r="F649" s="630"/>
      <c r="G649" s="630"/>
      <c r="I649" s="628">
        <v>5</v>
      </c>
      <c r="J649" s="630"/>
      <c r="K649" s="630"/>
      <c r="M649" s="628">
        <v>5</v>
      </c>
      <c r="N649" s="630"/>
      <c r="O649" s="630"/>
      <c r="Q649" s="628">
        <v>5</v>
      </c>
      <c r="R649" s="630"/>
      <c r="S649" s="630"/>
      <c r="U649" s="628">
        <v>5</v>
      </c>
      <c r="V649" s="630"/>
      <c r="W649" s="630"/>
    </row>
    <row r="650" spans="1:23" ht="33.75" customHeight="1" x14ac:dyDescent="0.2">
      <c r="A650" s="628">
        <v>4</v>
      </c>
      <c r="B650" s="630"/>
      <c r="C650" s="630"/>
      <c r="E650" s="628">
        <v>4</v>
      </c>
      <c r="F650" s="630"/>
      <c r="G650" s="630"/>
      <c r="I650" s="628">
        <v>4</v>
      </c>
      <c r="J650" s="630"/>
      <c r="K650" s="630"/>
      <c r="M650" s="628">
        <v>4</v>
      </c>
      <c r="N650" s="630"/>
      <c r="O650" s="630"/>
      <c r="Q650" s="628">
        <v>4</v>
      </c>
      <c r="R650" s="630"/>
      <c r="S650" s="630"/>
      <c r="U650" s="628">
        <v>4</v>
      </c>
      <c r="V650" s="630"/>
      <c r="W650" s="630"/>
    </row>
    <row r="651" spans="1:23" ht="33.75" customHeight="1" x14ac:dyDescent="0.2">
      <c r="A651" s="628">
        <v>3</v>
      </c>
      <c r="B651" s="630"/>
      <c r="C651" s="630"/>
      <c r="E651" s="628">
        <v>3</v>
      </c>
      <c r="F651" s="630"/>
      <c r="G651" s="630"/>
      <c r="I651" s="628">
        <v>3</v>
      </c>
      <c r="J651" s="630"/>
      <c r="K651" s="630"/>
      <c r="M651" s="628">
        <v>3</v>
      </c>
      <c r="N651" s="630"/>
      <c r="O651" s="630"/>
      <c r="Q651" s="628">
        <v>3</v>
      </c>
      <c r="R651" s="630"/>
      <c r="S651" s="630"/>
      <c r="U651" s="628">
        <v>3</v>
      </c>
      <c r="V651" s="630"/>
      <c r="W651" s="630"/>
    </row>
    <row r="652" spans="1:23" ht="33.75" customHeight="1" x14ac:dyDescent="0.2">
      <c r="A652" s="628">
        <v>2</v>
      </c>
      <c r="B652" s="630"/>
      <c r="C652" s="630"/>
      <c r="E652" s="628">
        <v>2</v>
      </c>
      <c r="F652" s="630"/>
      <c r="G652" s="630"/>
      <c r="I652" s="628">
        <v>2</v>
      </c>
      <c r="J652" s="630"/>
      <c r="K652" s="630"/>
      <c r="M652" s="628">
        <v>2</v>
      </c>
      <c r="N652" s="630"/>
      <c r="O652" s="630"/>
      <c r="Q652" s="628">
        <v>2</v>
      </c>
      <c r="R652" s="630"/>
      <c r="S652" s="630"/>
      <c r="U652" s="628">
        <v>2</v>
      </c>
      <c r="V652" s="630"/>
      <c r="W652" s="630"/>
    </row>
    <row r="653" spans="1:23" ht="33.75" customHeight="1" x14ac:dyDescent="0.2">
      <c r="A653" s="628">
        <v>1</v>
      </c>
      <c r="B653" s="630"/>
      <c r="C653" s="630"/>
      <c r="E653" s="628">
        <v>1</v>
      </c>
      <c r="F653" s="630"/>
      <c r="G653" s="630"/>
      <c r="I653" s="628">
        <v>1</v>
      </c>
      <c r="J653" s="630"/>
      <c r="K653" s="630"/>
      <c r="M653" s="628">
        <v>1</v>
      </c>
      <c r="N653" s="630"/>
      <c r="O653" s="630"/>
      <c r="Q653" s="628">
        <v>1</v>
      </c>
      <c r="R653" s="630"/>
      <c r="S653" s="630"/>
      <c r="U653" s="628">
        <v>1</v>
      </c>
      <c r="V653" s="630"/>
      <c r="W653" s="630"/>
    </row>
    <row r="654" spans="1:23" ht="33.75" customHeight="1" x14ac:dyDescent="0.2">
      <c r="A654" s="628" t="s">
        <v>982</v>
      </c>
      <c r="B654" s="630"/>
      <c r="C654" s="630"/>
      <c r="E654" s="628" t="s">
        <v>982</v>
      </c>
      <c r="F654" s="630"/>
      <c r="G654" s="630"/>
      <c r="I654" s="628" t="s">
        <v>982</v>
      </c>
      <c r="J654" s="630"/>
      <c r="K654" s="630"/>
      <c r="M654" s="628" t="s">
        <v>982</v>
      </c>
      <c r="N654" s="630"/>
      <c r="O654" s="630"/>
      <c r="Q654" s="628" t="s">
        <v>982</v>
      </c>
      <c r="R654" s="630"/>
      <c r="S654" s="630"/>
      <c r="U654" s="628" t="s">
        <v>982</v>
      </c>
      <c r="V654" s="630"/>
      <c r="W654" s="630"/>
    </row>
    <row r="655" spans="1:23" ht="33.75" customHeight="1" x14ac:dyDescent="0.2">
      <c r="A655" s="629" t="s">
        <v>981</v>
      </c>
      <c r="B655" s="630"/>
      <c r="C655" s="631" t="s">
        <v>984</v>
      </c>
      <c r="E655" s="629" t="s">
        <v>981</v>
      </c>
      <c r="F655" s="630"/>
      <c r="G655" s="631" t="s">
        <v>984</v>
      </c>
      <c r="I655" s="629" t="s">
        <v>981</v>
      </c>
      <c r="J655" s="630"/>
      <c r="K655" s="631" t="s">
        <v>984</v>
      </c>
      <c r="M655" s="629" t="s">
        <v>981</v>
      </c>
      <c r="N655" s="630"/>
      <c r="O655" s="631" t="s">
        <v>984</v>
      </c>
      <c r="Q655" s="629" t="s">
        <v>981</v>
      </c>
      <c r="R655" s="630"/>
      <c r="S655" s="631" t="s">
        <v>984</v>
      </c>
      <c r="U655" s="629" t="s">
        <v>981</v>
      </c>
      <c r="V655" s="630"/>
      <c r="W655" s="631" t="s">
        <v>984</v>
      </c>
    </row>
    <row r="656" spans="1:23" ht="48" customHeight="1" x14ac:dyDescent="0.25">
      <c r="A656" s="637"/>
      <c r="B656" s="629" t="s">
        <v>983</v>
      </c>
      <c r="C656" s="636"/>
      <c r="E656" s="637" t="s">
        <v>985</v>
      </c>
      <c r="F656" s="632" t="s">
        <v>983</v>
      </c>
      <c r="G656" s="633"/>
      <c r="I656" s="637" t="s">
        <v>985</v>
      </c>
      <c r="J656" s="632" t="s">
        <v>983</v>
      </c>
      <c r="K656" s="633"/>
      <c r="M656" s="637" t="s">
        <v>985</v>
      </c>
      <c r="N656" s="632" t="s">
        <v>983</v>
      </c>
      <c r="O656" s="633"/>
      <c r="Q656" s="637" t="s">
        <v>985</v>
      </c>
      <c r="R656" s="632" t="s">
        <v>983</v>
      </c>
      <c r="S656" s="633"/>
      <c r="U656" s="637" t="s">
        <v>985</v>
      </c>
      <c r="V656" s="632" t="s">
        <v>983</v>
      </c>
      <c r="W656" s="633"/>
    </row>
    <row r="657" spans="1:23" ht="51" customHeight="1" x14ac:dyDescent="0.2">
      <c r="A657" s="634"/>
      <c r="B657" s="634"/>
      <c r="C657" s="634"/>
      <c r="E657" s="1115" t="s">
        <v>986</v>
      </c>
      <c r="F657" s="1115"/>
      <c r="G657" s="635"/>
      <c r="I657" s="1115" t="s">
        <v>986</v>
      </c>
      <c r="J657" s="1115"/>
      <c r="K657" s="635"/>
      <c r="M657" s="1115" t="s">
        <v>986</v>
      </c>
      <c r="N657" s="1115"/>
      <c r="O657" s="635"/>
      <c r="Q657" s="1115" t="s">
        <v>986</v>
      </c>
      <c r="R657" s="1115"/>
      <c r="S657" s="635"/>
      <c r="U657" s="1228" t="s">
        <v>987</v>
      </c>
      <c r="V657" s="1229"/>
      <c r="W657" s="635"/>
    </row>
    <row r="658" spans="1:23" ht="13.5" customHeight="1" thickBot="1" x14ac:dyDescent="0.25"/>
    <row r="659" spans="1:23" ht="72" customHeight="1" thickBot="1" x14ac:dyDescent="0.25">
      <c r="E659" s="707" t="s">
        <v>1007</v>
      </c>
      <c r="F659" s="639"/>
      <c r="G659" s="639"/>
      <c r="H659" s="639"/>
      <c r="I659" s="639"/>
      <c r="J659" s="640"/>
      <c r="M659" s="708" t="s">
        <v>1008</v>
      </c>
      <c r="N659" s="639"/>
      <c r="O659" s="639"/>
      <c r="P659" s="639"/>
      <c r="Q659" s="640"/>
      <c r="S659" s="1219" t="s">
        <v>988</v>
      </c>
      <c r="T659" s="1219"/>
      <c r="U659" s="1219"/>
      <c r="V659" s="1220"/>
      <c r="W659" s="1221"/>
    </row>
    <row r="660" spans="1:23" ht="34.5" customHeight="1" x14ac:dyDescent="0.2"/>
    <row r="661" spans="1:23" ht="6.75" customHeight="1" x14ac:dyDescent="0.2">
      <c r="Q661" s="1193" t="str">
        <f>CATEG_IMPORTEE</f>
        <v>Collèges Mixtes Etablissement</v>
      </c>
      <c r="R661" s="1193"/>
      <c r="S661" s="1193"/>
      <c r="T661" s="1193"/>
      <c r="U661" s="1193"/>
      <c r="V661" s="1193"/>
      <c r="W661" s="1193"/>
    </row>
    <row r="662" spans="1:23" s="218" customFormat="1" ht="33.75" x14ac:dyDescent="0.2">
      <c r="A662" s="1207" t="s">
        <v>628</v>
      </c>
      <c r="B662" s="1207"/>
      <c r="C662" s="645">
        <f>C632+1</f>
        <v>23</v>
      </c>
      <c r="E662" s="1208" t="str">
        <f>Championnat</f>
        <v>Championnat de France de Tir à l'ARC</v>
      </c>
      <c r="F662" s="1208"/>
      <c r="G662" s="1208"/>
      <c r="H662" s="1208"/>
      <c r="I662" s="1208"/>
      <c r="J662" s="1208"/>
      <c r="K662" s="1208"/>
      <c r="L662" s="1208"/>
      <c r="M662" s="1208"/>
      <c r="N662" s="1208"/>
      <c r="O662" s="1208"/>
      <c r="Q662" s="1193"/>
      <c r="R662" s="1193"/>
      <c r="S662" s="1193"/>
      <c r="T662" s="1193"/>
      <c r="U662" s="1193"/>
      <c r="V662" s="1193"/>
      <c r="W662" s="1193"/>
    </row>
    <row r="663" spans="1:23" ht="27" customHeight="1" x14ac:dyDescent="0.2">
      <c r="Q663" s="1211" t="str">
        <f>LIEU&amp;" du "&amp;DATE</f>
        <v>L’Isle sur la Sorgue du 27 au 31 mars 2023</v>
      </c>
      <c r="R663" s="1211"/>
      <c r="S663" s="1211"/>
      <c r="T663" s="1211"/>
      <c r="U663" s="1211"/>
      <c r="V663" s="1211"/>
      <c r="W663" s="1211"/>
    </row>
    <row r="664" spans="1:23" ht="19.5" customHeight="1" thickBot="1" x14ac:dyDescent="0.25">
      <c r="E664" s="1212" t="s">
        <v>0</v>
      </c>
      <c r="F664" s="1212"/>
      <c r="G664" s="1212"/>
      <c r="H664" s="1212"/>
      <c r="I664" s="1212"/>
      <c r="J664" s="1212"/>
      <c r="K664" s="1212"/>
      <c r="L664" s="641"/>
      <c r="M664" s="1212" t="s">
        <v>375</v>
      </c>
      <c r="N664" s="1212"/>
      <c r="O664" s="1212"/>
      <c r="P664" s="1212"/>
      <c r="Q664" s="1212"/>
      <c r="S664" s="1212" t="s">
        <v>374</v>
      </c>
      <c r="T664" s="1212"/>
      <c r="U664" s="1212"/>
      <c r="V664" s="1212"/>
      <c r="W664" s="1212"/>
    </row>
    <row r="665" spans="1:23" ht="36.75" customHeight="1" thickBot="1" x14ac:dyDescent="0.25">
      <c r="E665" s="1213" t="e">
        <f>VLOOKUP(E668,ID_archer_cible,2,FALSE)</f>
        <v>#N/A</v>
      </c>
      <c r="F665" s="1214"/>
      <c r="G665" s="1214"/>
      <c r="H665" s="1214"/>
      <c r="I665" s="1214"/>
      <c r="J665" s="1214"/>
      <c r="K665" s="1215"/>
      <c r="L665" s="641"/>
      <c r="M665" s="1216" t="e">
        <f>"("&amp;VLOOKUP(E668,ID_archer_cible,3,FALSE)&amp;")"</f>
        <v>#N/A</v>
      </c>
      <c r="N665" s="1217"/>
      <c r="O665" s="1217"/>
      <c r="P665" s="1217"/>
      <c r="Q665" s="1217"/>
      <c r="R665" s="1218"/>
      <c r="S665" s="1185" t="e">
        <f>VLOOKUP(E668,ID_archer_cible,4,FALSE)</f>
        <v>#N/A</v>
      </c>
      <c r="T665" s="1186"/>
      <c r="U665" s="1186"/>
      <c r="V665" s="1186"/>
      <c r="W665" s="1187"/>
    </row>
    <row r="666" spans="1:23" ht="17.25" customHeight="1" x14ac:dyDescent="0.2"/>
    <row r="667" spans="1:23" ht="23.25" customHeight="1" thickBot="1" x14ac:dyDescent="0.25">
      <c r="A667" s="638" t="s">
        <v>906</v>
      </c>
      <c r="E667" s="508" t="s">
        <v>552</v>
      </c>
      <c r="F667" s="571" t="s">
        <v>893</v>
      </c>
      <c r="G667" s="1202" t="s">
        <v>550</v>
      </c>
      <c r="H667" s="1202"/>
      <c r="I667" s="571" t="s">
        <v>905</v>
      </c>
      <c r="J667" s="709" t="s">
        <v>551</v>
      </c>
      <c r="N667" s="508" t="s">
        <v>552</v>
      </c>
      <c r="O667" s="571" t="s">
        <v>893</v>
      </c>
      <c r="P667" s="1202" t="s">
        <v>550</v>
      </c>
      <c r="Q667" s="1202"/>
      <c r="R667" s="571" t="s">
        <v>905</v>
      </c>
      <c r="S667" s="709" t="s">
        <v>551</v>
      </c>
    </row>
    <row r="668" spans="1:23" ht="23.25" customHeight="1" thickTop="1" x14ac:dyDescent="0.2">
      <c r="A668" s="710" t="e">
        <f>VLOOKUP(E668,ID_archer_cible,5,FALSE)&amp;"    "&amp;VLOOKUP(E668,ID_archer_cible,6,FALSE)</f>
        <v>#N/A</v>
      </c>
      <c r="B668" s="711"/>
      <c r="C668" s="711"/>
      <c r="D668" s="712"/>
      <c r="E668" s="713" t="str">
        <f>C662&amp;"A"</f>
        <v>23A</v>
      </c>
      <c r="F668" s="714" t="e">
        <f>VLOOKUP(E668,ID_archer_cible,9,FALSE)</f>
        <v>#N/A</v>
      </c>
      <c r="G668" s="1209" t="e">
        <f>VLOOKUP(E668,ID_archer_cible,8,FALSE)</f>
        <v>#N/A</v>
      </c>
      <c r="H668" s="1209"/>
      <c r="I668" s="715" t="e">
        <f>VLOOKUP(E668,ID_archer_cible,7,FALSE)</f>
        <v>#N/A</v>
      </c>
      <c r="J668" s="716" t="e">
        <f>VLOOKUP(E668,ID_archer_cible,10,FALSE)</f>
        <v>#N/A</v>
      </c>
      <c r="K668" s="710" t="e">
        <f>VLOOKUP(N668,ID_archer_cible,5,FALSE)&amp;"    "&amp;VLOOKUP(N668,ID_archer_cible,6,FALSE)</f>
        <v>#N/A</v>
      </c>
      <c r="L668" s="722"/>
      <c r="M668" s="723"/>
      <c r="N668" s="714" t="str">
        <f>C662&amp;"C"</f>
        <v>23C</v>
      </c>
      <c r="O668" s="714" t="e">
        <f>VLOOKUP(N668,ID_archer_cible,9,FALSE)</f>
        <v>#N/A</v>
      </c>
      <c r="P668" s="1203" t="e">
        <f>VLOOKUP(N668,ID_archer_cible,8,FALSE)</f>
        <v>#N/A</v>
      </c>
      <c r="Q668" s="1204"/>
      <c r="R668" s="724" t="e">
        <f>VLOOKUP(N668,ID_archer_cible,7,FALSE)</f>
        <v>#N/A</v>
      </c>
      <c r="S668" s="716" t="e">
        <f>VLOOKUP(N668,ID_archer_cible,10,FALSE)</f>
        <v>#N/A</v>
      </c>
    </row>
    <row r="669" spans="1:23" ht="23.25" customHeight="1" thickBot="1" x14ac:dyDescent="0.25">
      <c r="A669" s="717" t="e">
        <f>VLOOKUP(E669,ID_archer_cible,5,FALSE)&amp;"    "&amp;VLOOKUP(E669,ID_archer_cible,6,FALSE)</f>
        <v>#N/A</v>
      </c>
      <c r="B669" s="718"/>
      <c r="C669" s="718"/>
      <c r="D669" s="719"/>
      <c r="E669" s="696" t="str">
        <f>C662&amp;"B"</f>
        <v>23B</v>
      </c>
      <c r="F669" s="720" t="e">
        <f>VLOOKUP(E669,ID_archer_cible,9,FALSE)</f>
        <v>#N/A</v>
      </c>
      <c r="G669" s="1210" t="e">
        <f>VLOOKUP(E669,ID_archer_cible,8,FALSE)</f>
        <v>#N/A</v>
      </c>
      <c r="H669" s="1210"/>
      <c r="I669" s="721" t="e">
        <f>VLOOKUP(E669,ID_archer_cible,7,FALSE)</f>
        <v>#N/A</v>
      </c>
      <c r="J669" s="700" t="e">
        <f>VLOOKUP(E669,ID_archer_cible,10,FALSE)</f>
        <v>#N/A</v>
      </c>
      <c r="K669" s="717" t="e">
        <f>VLOOKUP(N669,ID_archer_cible,5,FALSE)&amp;"    "&amp;VLOOKUP(N669,ID_archer_cible,6,FALSE)</f>
        <v>#N/A</v>
      </c>
      <c r="L669" s="725"/>
      <c r="M669" s="726"/>
      <c r="N669" s="720" t="str">
        <f>C662&amp;"D"</f>
        <v>23D</v>
      </c>
      <c r="O669" s="720" t="e">
        <f>VLOOKUP(N669,ID_archer_cible,9,FALSE)</f>
        <v>#N/A</v>
      </c>
      <c r="P669" s="1205" t="e">
        <f>VLOOKUP(N669,ID_archer_cible,8,FALSE)</f>
        <v>#N/A</v>
      </c>
      <c r="Q669" s="1206"/>
      <c r="R669" s="727" t="e">
        <f>VLOOKUP(N669,ID_archer_cible,7,FALSE)</f>
        <v>#N/A</v>
      </c>
      <c r="S669" s="700" t="e">
        <f>VLOOKUP(N669,ID_archer_cible,10,FALSE)</f>
        <v>#N/A</v>
      </c>
    </row>
    <row r="670" spans="1:23" ht="15" customHeight="1" thickTop="1" x14ac:dyDescent="0.2"/>
    <row r="671" spans="1:23" ht="15" customHeight="1" thickBot="1" x14ac:dyDescent="0.25"/>
    <row r="672" spans="1:23" ht="33.75" customHeight="1" thickBot="1" x14ac:dyDescent="0.25">
      <c r="A672" s="1222" t="s">
        <v>909</v>
      </c>
      <c r="B672" s="1223"/>
      <c r="C672" s="1224"/>
      <c r="E672" s="1225" t="s">
        <v>910</v>
      </c>
      <c r="F672" s="1226"/>
      <c r="G672" s="1227"/>
      <c r="I672" s="1222" t="s">
        <v>911</v>
      </c>
      <c r="J672" s="1223"/>
      <c r="K672" s="1224"/>
      <c r="M672" s="1222" t="s">
        <v>912</v>
      </c>
      <c r="N672" s="1223"/>
      <c r="O672" s="1224"/>
      <c r="Q672" s="1222" t="s">
        <v>913</v>
      </c>
      <c r="R672" s="1223"/>
      <c r="S672" s="1224"/>
      <c r="U672" s="1222" t="s">
        <v>916</v>
      </c>
      <c r="V672" s="1223"/>
      <c r="W672" s="1224"/>
    </row>
    <row r="673" spans="1:23" ht="33.75" customHeight="1" x14ac:dyDescent="0.2">
      <c r="A673" s="642" t="s">
        <v>980</v>
      </c>
      <c r="B673" s="643" t="s">
        <v>981</v>
      </c>
      <c r="C673" s="644" t="s">
        <v>780</v>
      </c>
      <c r="E673" s="642" t="s">
        <v>980</v>
      </c>
      <c r="F673" s="643" t="s">
        <v>981</v>
      </c>
      <c r="G673" s="644" t="s">
        <v>780</v>
      </c>
      <c r="I673" s="642" t="s">
        <v>980</v>
      </c>
      <c r="J673" s="643" t="s">
        <v>981</v>
      </c>
      <c r="K673" s="644" t="s">
        <v>780</v>
      </c>
      <c r="M673" s="642" t="s">
        <v>980</v>
      </c>
      <c r="N673" s="643" t="s">
        <v>981</v>
      </c>
      <c r="O673" s="644" t="s">
        <v>780</v>
      </c>
      <c r="Q673" s="642" t="s">
        <v>980</v>
      </c>
      <c r="R673" s="643" t="s">
        <v>981</v>
      </c>
      <c r="S673" s="644" t="s">
        <v>780</v>
      </c>
      <c r="U673" s="642" t="s">
        <v>980</v>
      </c>
      <c r="V673" s="643" t="s">
        <v>981</v>
      </c>
      <c r="W673" s="644" t="s">
        <v>780</v>
      </c>
    </row>
    <row r="674" spans="1:23" ht="33.75" customHeight="1" x14ac:dyDescent="0.2">
      <c r="A674" s="628">
        <v>10</v>
      </c>
      <c r="B674" s="630"/>
      <c r="C674" s="630"/>
      <c r="E674" s="628">
        <v>10</v>
      </c>
      <c r="F674" s="630"/>
      <c r="G674" s="630"/>
      <c r="I674" s="628">
        <v>10</v>
      </c>
      <c r="J674" s="630"/>
      <c r="K674" s="630"/>
      <c r="M674" s="628">
        <v>10</v>
      </c>
      <c r="N674" s="630"/>
      <c r="O674" s="630"/>
      <c r="Q674" s="628">
        <v>10</v>
      </c>
      <c r="R674" s="630"/>
      <c r="S674" s="630"/>
      <c r="U674" s="628">
        <v>10</v>
      </c>
      <c r="V674" s="630"/>
      <c r="W674" s="630"/>
    </row>
    <row r="675" spans="1:23" ht="33.75" customHeight="1" x14ac:dyDescent="0.2">
      <c r="A675" s="628">
        <v>9</v>
      </c>
      <c r="B675" s="630"/>
      <c r="C675" s="630"/>
      <c r="E675" s="628">
        <v>9</v>
      </c>
      <c r="F675" s="630"/>
      <c r="G675" s="630"/>
      <c r="I675" s="628">
        <v>9</v>
      </c>
      <c r="J675" s="630"/>
      <c r="K675" s="630"/>
      <c r="M675" s="628">
        <v>9</v>
      </c>
      <c r="N675" s="630"/>
      <c r="O675" s="630"/>
      <c r="Q675" s="628">
        <v>9</v>
      </c>
      <c r="R675" s="630"/>
      <c r="S675" s="630"/>
      <c r="U675" s="628">
        <v>9</v>
      </c>
      <c r="V675" s="630"/>
      <c r="W675" s="630"/>
    </row>
    <row r="676" spans="1:23" ht="33.75" customHeight="1" x14ac:dyDescent="0.2">
      <c r="A676" s="628">
        <v>8</v>
      </c>
      <c r="B676" s="630"/>
      <c r="C676" s="630"/>
      <c r="E676" s="628">
        <v>8</v>
      </c>
      <c r="F676" s="630"/>
      <c r="G676" s="630"/>
      <c r="I676" s="628">
        <v>8</v>
      </c>
      <c r="J676" s="630"/>
      <c r="K676" s="630"/>
      <c r="M676" s="628">
        <v>8</v>
      </c>
      <c r="N676" s="630"/>
      <c r="O676" s="630"/>
      <c r="Q676" s="628">
        <v>8</v>
      </c>
      <c r="R676" s="630"/>
      <c r="S676" s="630"/>
      <c r="U676" s="628">
        <v>8</v>
      </c>
      <c r="V676" s="630"/>
      <c r="W676" s="630"/>
    </row>
    <row r="677" spans="1:23" ht="33.75" customHeight="1" x14ac:dyDescent="0.2">
      <c r="A677" s="628">
        <v>7</v>
      </c>
      <c r="B677" s="630"/>
      <c r="C677" s="630"/>
      <c r="E677" s="628">
        <v>7</v>
      </c>
      <c r="F677" s="630"/>
      <c r="G677" s="630"/>
      <c r="I677" s="628">
        <v>7</v>
      </c>
      <c r="J677" s="630"/>
      <c r="K677" s="630"/>
      <c r="M677" s="628">
        <v>7</v>
      </c>
      <c r="N677" s="630"/>
      <c r="O677" s="630"/>
      <c r="Q677" s="628">
        <v>7</v>
      </c>
      <c r="R677" s="630"/>
      <c r="S677" s="630"/>
      <c r="U677" s="628">
        <v>7</v>
      </c>
      <c r="V677" s="630"/>
      <c r="W677" s="630"/>
    </row>
    <row r="678" spans="1:23" ht="33.75" customHeight="1" x14ac:dyDescent="0.2">
      <c r="A678" s="628">
        <v>6</v>
      </c>
      <c r="B678" s="630"/>
      <c r="C678" s="630"/>
      <c r="E678" s="628">
        <v>6</v>
      </c>
      <c r="F678" s="630"/>
      <c r="G678" s="630"/>
      <c r="I678" s="628">
        <v>6</v>
      </c>
      <c r="J678" s="630"/>
      <c r="K678" s="630"/>
      <c r="M678" s="628">
        <v>6</v>
      </c>
      <c r="N678" s="630"/>
      <c r="O678" s="630"/>
      <c r="Q678" s="628">
        <v>6</v>
      </c>
      <c r="R678" s="630"/>
      <c r="S678" s="630"/>
      <c r="U678" s="628">
        <v>6</v>
      </c>
      <c r="V678" s="630"/>
      <c r="W678" s="630"/>
    </row>
    <row r="679" spans="1:23" ht="33.75" customHeight="1" x14ac:dyDescent="0.2">
      <c r="A679" s="628">
        <v>5</v>
      </c>
      <c r="B679" s="630"/>
      <c r="C679" s="630"/>
      <c r="E679" s="628">
        <v>5</v>
      </c>
      <c r="F679" s="630"/>
      <c r="G679" s="630"/>
      <c r="I679" s="628">
        <v>5</v>
      </c>
      <c r="J679" s="630"/>
      <c r="K679" s="630"/>
      <c r="M679" s="628">
        <v>5</v>
      </c>
      <c r="N679" s="630"/>
      <c r="O679" s="630"/>
      <c r="Q679" s="628">
        <v>5</v>
      </c>
      <c r="R679" s="630"/>
      <c r="S679" s="630"/>
      <c r="U679" s="628">
        <v>5</v>
      </c>
      <c r="V679" s="630"/>
      <c r="W679" s="630"/>
    </row>
    <row r="680" spans="1:23" ht="33.75" customHeight="1" x14ac:dyDescent="0.2">
      <c r="A680" s="628">
        <v>4</v>
      </c>
      <c r="B680" s="630"/>
      <c r="C680" s="630"/>
      <c r="E680" s="628">
        <v>4</v>
      </c>
      <c r="F680" s="630"/>
      <c r="G680" s="630"/>
      <c r="I680" s="628">
        <v>4</v>
      </c>
      <c r="J680" s="630"/>
      <c r="K680" s="630"/>
      <c r="M680" s="628">
        <v>4</v>
      </c>
      <c r="N680" s="630"/>
      <c r="O680" s="630"/>
      <c r="Q680" s="628">
        <v>4</v>
      </c>
      <c r="R680" s="630"/>
      <c r="S680" s="630"/>
      <c r="U680" s="628">
        <v>4</v>
      </c>
      <c r="V680" s="630"/>
      <c r="W680" s="630"/>
    </row>
    <row r="681" spans="1:23" ht="33.75" customHeight="1" x14ac:dyDescent="0.2">
      <c r="A681" s="628">
        <v>3</v>
      </c>
      <c r="B681" s="630"/>
      <c r="C681" s="630"/>
      <c r="E681" s="628">
        <v>3</v>
      </c>
      <c r="F681" s="630"/>
      <c r="G681" s="630"/>
      <c r="I681" s="628">
        <v>3</v>
      </c>
      <c r="J681" s="630"/>
      <c r="K681" s="630"/>
      <c r="M681" s="628">
        <v>3</v>
      </c>
      <c r="N681" s="630"/>
      <c r="O681" s="630"/>
      <c r="Q681" s="628">
        <v>3</v>
      </c>
      <c r="R681" s="630"/>
      <c r="S681" s="630"/>
      <c r="U681" s="628">
        <v>3</v>
      </c>
      <c r="V681" s="630"/>
      <c r="W681" s="630"/>
    </row>
    <row r="682" spans="1:23" ht="33.75" customHeight="1" x14ac:dyDescent="0.2">
      <c r="A682" s="628">
        <v>2</v>
      </c>
      <c r="B682" s="630"/>
      <c r="C682" s="630"/>
      <c r="E682" s="628">
        <v>2</v>
      </c>
      <c r="F682" s="630"/>
      <c r="G682" s="630"/>
      <c r="I682" s="628">
        <v>2</v>
      </c>
      <c r="J682" s="630"/>
      <c r="K682" s="630"/>
      <c r="M682" s="628">
        <v>2</v>
      </c>
      <c r="N682" s="630"/>
      <c r="O682" s="630"/>
      <c r="Q682" s="628">
        <v>2</v>
      </c>
      <c r="R682" s="630"/>
      <c r="S682" s="630"/>
      <c r="U682" s="628">
        <v>2</v>
      </c>
      <c r="V682" s="630"/>
      <c r="W682" s="630"/>
    </row>
    <row r="683" spans="1:23" ht="33.75" customHeight="1" x14ac:dyDescent="0.2">
      <c r="A683" s="628">
        <v>1</v>
      </c>
      <c r="B683" s="630"/>
      <c r="C683" s="630"/>
      <c r="E683" s="628">
        <v>1</v>
      </c>
      <c r="F683" s="630"/>
      <c r="G683" s="630"/>
      <c r="I683" s="628">
        <v>1</v>
      </c>
      <c r="J683" s="630"/>
      <c r="K683" s="630"/>
      <c r="M683" s="628">
        <v>1</v>
      </c>
      <c r="N683" s="630"/>
      <c r="O683" s="630"/>
      <c r="Q683" s="628">
        <v>1</v>
      </c>
      <c r="R683" s="630"/>
      <c r="S683" s="630"/>
      <c r="U683" s="628">
        <v>1</v>
      </c>
      <c r="V683" s="630"/>
      <c r="W683" s="630"/>
    </row>
    <row r="684" spans="1:23" ht="33.75" customHeight="1" x14ac:dyDescent="0.2">
      <c r="A684" s="628" t="s">
        <v>982</v>
      </c>
      <c r="B684" s="630"/>
      <c r="C684" s="630"/>
      <c r="E684" s="628" t="s">
        <v>982</v>
      </c>
      <c r="F684" s="630"/>
      <c r="G684" s="630"/>
      <c r="I684" s="628" t="s">
        <v>982</v>
      </c>
      <c r="J684" s="630"/>
      <c r="K684" s="630"/>
      <c r="M684" s="628" t="s">
        <v>982</v>
      </c>
      <c r="N684" s="630"/>
      <c r="O684" s="630"/>
      <c r="Q684" s="628" t="s">
        <v>982</v>
      </c>
      <c r="R684" s="630"/>
      <c r="S684" s="630"/>
      <c r="U684" s="628" t="s">
        <v>982</v>
      </c>
      <c r="V684" s="630"/>
      <c r="W684" s="630"/>
    </row>
    <row r="685" spans="1:23" ht="33.75" customHeight="1" x14ac:dyDescent="0.2">
      <c r="A685" s="629" t="s">
        <v>981</v>
      </c>
      <c r="B685" s="630"/>
      <c r="C685" s="631" t="s">
        <v>984</v>
      </c>
      <c r="E685" s="629" t="s">
        <v>981</v>
      </c>
      <c r="F685" s="630"/>
      <c r="G685" s="631" t="s">
        <v>984</v>
      </c>
      <c r="I685" s="629" t="s">
        <v>981</v>
      </c>
      <c r="J685" s="630"/>
      <c r="K685" s="631" t="s">
        <v>984</v>
      </c>
      <c r="M685" s="629" t="s">
        <v>981</v>
      </c>
      <c r="N685" s="630"/>
      <c r="O685" s="631" t="s">
        <v>984</v>
      </c>
      <c r="Q685" s="629" t="s">
        <v>981</v>
      </c>
      <c r="R685" s="630"/>
      <c r="S685" s="631" t="s">
        <v>984</v>
      </c>
      <c r="U685" s="629" t="s">
        <v>981</v>
      </c>
      <c r="V685" s="630"/>
      <c r="W685" s="631" t="s">
        <v>984</v>
      </c>
    </row>
    <row r="686" spans="1:23" ht="48" customHeight="1" x14ac:dyDescent="0.25">
      <c r="A686" s="637"/>
      <c r="B686" s="629" t="s">
        <v>983</v>
      </c>
      <c r="C686" s="636"/>
      <c r="E686" s="637" t="s">
        <v>985</v>
      </c>
      <c r="F686" s="632" t="s">
        <v>983</v>
      </c>
      <c r="G686" s="633"/>
      <c r="I686" s="637" t="s">
        <v>985</v>
      </c>
      <c r="J686" s="632" t="s">
        <v>983</v>
      </c>
      <c r="K686" s="633"/>
      <c r="M686" s="637" t="s">
        <v>985</v>
      </c>
      <c r="N686" s="632" t="s">
        <v>983</v>
      </c>
      <c r="O686" s="633"/>
      <c r="Q686" s="637" t="s">
        <v>985</v>
      </c>
      <c r="R686" s="632" t="s">
        <v>983</v>
      </c>
      <c r="S686" s="633"/>
      <c r="U686" s="637" t="s">
        <v>985</v>
      </c>
      <c r="V686" s="632" t="s">
        <v>983</v>
      </c>
      <c r="W686" s="633"/>
    </row>
    <row r="687" spans="1:23" ht="51" customHeight="1" x14ac:dyDescent="0.2">
      <c r="A687" s="634"/>
      <c r="B687" s="634"/>
      <c r="C687" s="634"/>
      <c r="E687" s="1115" t="s">
        <v>986</v>
      </c>
      <c r="F687" s="1115"/>
      <c r="G687" s="635"/>
      <c r="I687" s="1115" t="s">
        <v>986</v>
      </c>
      <c r="J687" s="1115"/>
      <c r="K687" s="635"/>
      <c r="M687" s="1115" t="s">
        <v>986</v>
      </c>
      <c r="N687" s="1115"/>
      <c r="O687" s="635"/>
      <c r="Q687" s="1115" t="s">
        <v>986</v>
      </c>
      <c r="R687" s="1115"/>
      <c r="S687" s="635"/>
      <c r="U687" s="1228" t="s">
        <v>987</v>
      </c>
      <c r="V687" s="1229"/>
      <c r="W687" s="635"/>
    </row>
    <row r="688" spans="1:23" ht="13.5" customHeight="1" thickBot="1" x14ac:dyDescent="0.25"/>
    <row r="689" spans="1:23" ht="72" customHeight="1" thickBot="1" x14ac:dyDescent="0.25">
      <c r="E689" s="707" t="s">
        <v>1007</v>
      </c>
      <c r="F689" s="639"/>
      <c r="G689" s="639"/>
      <c r="H689" s="639"/>
      <c r="I689" s="639"/>
      <c r="J689" s="640"/>
      <c r="M689" s="708" t="s">
        <v>1008</v>
      </c>
      <c r="N689" s="639"/>
      <c r="O689" s="639"/>
      <c r="P689" s="639"/>
      <c r="Q689" s="640"/>
      <c r="S689" s="1219" t="s">
        <v>988</v>
      </c>
      <c r="T689" s="1219"/>
      <c r="U689" s="1219"/>
      <c r="V689" s="1220"/>
      <c r="W689" s="1221"/>
    </row>
    <row r="690" spans="1:23" ht="34.5" customHeight="1" x14ac:dyDescent="0.2"/>
    <row r="691" spans="1:23" ht="6.75" customHeight="1" x14ac:dyDescent="0.2">
      <c r="Q691" s="1193" t="str">
        <f>CATEG_IMPORTEE</f>
        <v>Collèges Mixtes Etablissement</v>
      </c>
      <c r="R691" s="1193"/>
      <c r="S691" s="1193"/>
      <c r="T691" s="1193"/>
      <c r="U691" s="1193"/>
      <c r="V691" s="1193"/>
      <c r="W691" s="1193"/>
    </row>
    <row r="692" spans="1:23" s="218" customFormat="1" ht="33.75" x14ac:dyDescent="0.2">
      <c r="A692" s="1207" t="s">
        <v>628</v>
      </c>
      <c r="B692" s="1207"/>
      <c r="C692" s="645">
        <f>C662+1</f>
        <v>24</v>
      </c>
      <c r="E692" s="1208" t="str">
        <f>Championnat</f>
        <v>Championnat de France de Tir à l'ARC</v>
      </c>
      <c r="F692" s="1208"/>
      <c r="G692" s="1208"/>
      <c r="H692" s="1208"/>
      <c r="I692" s="1208"/>
      <c r="J692" s="1208"/>
      <c r="K692" s="1208"/>
      <c r="L692" s="1208"/>
      <c r="M692" s="1208"/>
      <c r="N692" s="1208"/>
      <c r="O692" s="1208"/>
      <c r="Q692" s="1193"/>
      <c r="R692" s="1193"/>
      <c r="S692" s="1193"/>
      <c r="T692" s="1193"/>
      <c r="U692" s="1193"/>
      <c r="V692" s="1193"/>
      <c r="W692" s="1193"/>
    </row>
    <row r="693" spans="1:23" ht="27" customHeight="1" x14ac:dyDescent="0.2">
      <c r="Q693" s="1211" t="str">
        <f>LIEU&amp;" du "&amp;DATE</f>
        <v>L’Isle sur la Sorgue du 27 au 31 mars 2023</v>
      </c>
      <c r="R693" s="1211"/>
      <c r="S693" s="1211"/>
      <c r="T693" s="1211"/>
      <c r="U693" s="1211"/>
      <c r="V693" s="1211"/>
      <c r="W693" s="1211"/>
    </row>
    <row r="694" spans="1:23" ht="19.5" customHeight="1" thickBot="1" x14ac:dyDescent="0.25">
      <c r="E694" s="1212" t="s">
        <v>0</v>
      </c>
      <c r="F694" s="1212"/>
      <c r="G694" s="1212"/>
      <c r="H694" s="1212"/>
      <c r="I694" s="1212"/>
      <c r="J694" s="1212"/>
      <c r="K694" s="1212"/>
      <c r="L694" s="641"/>
      <c r="M694" s="1212" t="s">
        <v>375</v>
      </c>
      <c r="N694" s="1212"/>
      <c r="O694" s="1212"/>
      <c r="P694" s="1212"/>
      <c r="Q694" s="1212"/>
      <c r="S694" s="1212" t="s">
        <v>374</v>
      </c>
      <c r="T694" s="1212"/>
      <c r="U694" s="1212"/>
      <c r="V694" s="1212"/>
      <c r="W694" s="1212"/>
    </row>
    <row r="695" spans="1:23" ht="36.75" customHeight="1" thickBot="1" x14ac:dyDescent="0.25">
      <c r="E695" s="1213" t="e">
        <f>VLOOKUP(E698,ID_archer_cible,2,FALSE)</f>
        <v>#N/A</v>
      </c>
      <c r="F695" s="1214"/>
      <c r="G695" s="1214"/>
      <c r="H695" s="1214"/>
      <c r="I695" s="1214"/>
      <c r="J695" s="1214"/>
      <c r="K695" s="1215"/>
      <c r="L695" s="641"/>
      <c r="M695" s="1216" t="e">
        <f>"("&amp;VLOOKUP(E698,ID_archer_cible,3,FALSE)&amp;")"</f>
        <v>#N/A</v>
      </c>
      <c r="N695" s="1217"/>
      <c r="O695" s="1217"/>
      <c r="P695" s="1217"/>
      <c r="Q695" s="1217"/>
      <c r="R695" s="1218"/>
      <c r="S695" s="1185" t="e">
        <f>VLOOKUP(E698,ID_archer_cible,4,FALSE)</f>
        <v>#N/A</v>
      </c>
      <c r="T695" s="1186"/>
      <c r="U695" s="1186"/>
      <c r="V695" s="1186"/>
      <c r="W695" s="1187"/>
    </row>
    <row r="696" spans="1:23" ht="17.25" customHeight="1" x14ac:dyDescent="0.2"/>
    <row r="697" spans="1:23" ht="23.25" customHeight="1" thickBot="1" x14ac:dyDescent="0.25">
      <c r="A697" s="638" t="s">
        <v>906</v>
      </c>
      <c r="E697" s="508" t="s">
        <v>552</v>
      </c>
      <c r="F697" s="571" t="s">
        <v>893</v>
      </c>
      <c r="G697" s="1202" t="s">
        <v>550</v>
      </c>
      <c r="H697" s="1202"/>
      <c r="I697" s="571" t="s">
        <v>905</v>
      </c>
      <c r="J697" s="709" t="s">
        <v>551</v>
      </c>
      <c r="N697" s="508" t="s">
        <v>552</v>
      </c>
      <c r="O697" s="571" t="s">
        <v>893</v>
      </c>
      <c r="P697" s="1202" t="s">
        <v>550</v>
      </c>
      <c r="Q697" s="1202"/>
      <c r="R697" s="571" t="s">
        <v>905</v>
      </c>
      <c r="S697" s="709" t="s">
        <v>551</v>
      </c>
    </row>
    <row r="698" spans="1:23" ht="23.25" customHeight="1" thickTop="1" x14ac:dyDescent="0.2">
      <c r="A698" s="710" t="e">
        <f>VLOOKUP(E698,ID_archer_cible,5,FALSE)&amp;"    "&amp;VLOOKUP(E698,ID_archer_cible,6,FALSE)</f>
        <v>#N/A</v>
      </c>
      <c r="B698" s="711"/>
      <c r="C698" s="711"/>
      <c r="D698" s="712"/>
      <c r="E698" s="713" t="str">
        <f>C692&amp;"A"</f>
        <v>24A</v>
      </c>
      <c r="F698" s="714" t="e">
        <f>VLOOKUP(E698,ID_archer_cible,9,FALSE)</f>
        <v>#N/A</v>
      </c>
      <c r="G698" s="1209" t="e">
        <f>VLOOKUP(E698,ID_archer_cible,8,FALSE)</f>
        <v>#N/A</v>
      </c>
      <c r="H698" s="1209"/>
      <c r="I698" s="715" t="e">
        <f>VLOOKUP(E698,ID_archer_cible,7,FALSE)</f>
        <v>#N/A</v>
      </c>
      <c r="J698" s="716" t="e">
        <f>VLOOKUP(E698,ID_archer_cible,10,FALSE)</f>
        <v>#N/A</v>
      </c>
      <c r="K698" s="710" t="e">
        <f>VLOOKUP(N698,ID_archer_cible,5,FALSE)&amp;"    "&amp;VLOOKUP(N698,ID_archer_cible,6,FALSE)</f>
        <v>#N/A</v>
      </c>
      <c r="L698" s="722"/>
      <c r="M698" s="723"/>
      <c r="N698" s="714" t="str">
        <f>C692&amp;"C"</f>
        <v>24C</v>
      </c>
      <c r="O698" s="714" t="e">
        <f>VLOOKUP(N698,ID_archer_cible,9,FALSE)</f>
        <v>#N/A</v>
      </c>
      <c r="P698" s="1203" t="e">
        <f>VLOOKUP(N698,ID_archer_cible,8,FALSE)</f>
        <v>#N/A</v>
      </c>
      <c r="Q698" s="1204"/>
      <c r="R698" s="724" t="e">
        <f>VLOOKUP(N698,ID_archer_cible,7,FALSE)</f>
        <v>#N/A</v>
      </c>
      <c r="S698" s="716" t="e">
        <f>VLOOKUP(N698,ID_archer_cible,10,FALSE)</f>
        <v>#N/A</v>
      </c>
    </row>
    <row r="699" spans="1:23" ht="23.25" customHeight="1" thickBot="1" x14ac:dyDescent="0.25">
      <c r="A699" s="717" t="e">
        <f>VLOOKUP(E699,ID_archer_cible,5,FALSE)&amp;"    "&amp;VLOOKUP(E699,ID_archer_cible,6,FALSE)</f>
        <v>#N/A</v>
      </c>
      <c r="B699" s="718"/>
      <c r="C699" s="718"/>
      <c r="D699" s="719"/>
      <c r="E699" s="696" t="str">
        <f>C692&amp;"B"</f>
        <v>24B</v>
      </c>
      <c r="F699" s="720" t="e">
        <f>VLOOKUP(E699,ID_archer_cible,9,FALSE)</f>
        <v>#N/A</v>
      </c>
      <c r="G699" s="1210" t="e">
        <f>VLOOKUP(E699,ID_archer_cible,8,FALSE)</f>
        <v>#N/A</v>
      </c>
      <c r="H699" s="1210"/>
      <c r="I699" s="721" t="e">
        <f>VLOOKUP(E699,ID_archer_cible,7,FALSE)</f>
        <v>#N/A</v>
      </c>
      <c r="J699" s="700" t="e">
        <f>VLOOKUP(E699,ID_archer_cible,10,FALSE)</f>
        <v>#N/A</v>
      </c>
      <c r="K699" s="717" t="e">
        <f>VLOOKUP(N699,ID_archer_cible,5,FALSE)&amp;"    "&amp;VLOOKUP(N699,ID_archer_cible,6,FALSE)</f>
        <v>#N/A</v>
      </c>
      <c r="L699" s="725"/>
      <c r="M699" s="726"/>
      <c r="N699" s="720" t="str">
        <f>C692&amp;"D"</f>
        <v>24D</v>
      </c>
      <c r="O699" s="720" t="e">
        <f>VLOOKUP(N699,ID_archer_cible,9,FALSE)</f>
        <v>#N/A</v>
      </c>
      <c r="P699" s="1205" t="e">
        <f>VLOOKUP(N699,ID_archer_cible,8,FALSE)</f>
        <v>#N/A</v>
      </c>
      <c r="Q699" s="1206"/>
      <c r="R699" s="727" t="e">
        <f>VLOOKUP(N699,ID_archer_cible,7,FALSE)</f>
        <v>#N/A</v>
      </c>
      <c r="S699" s="700" t="e">
        <f>VLOOKUP(N699,ID_archer_cible,10,FALSE)</f>
        <v>#N/A</v>
      </c>
    </row>
    <row r="700" spans="1:23" ht="15" customHeight="1" thickTop="1" x14ac:dyDescent="0.2"/>
    <row r="701" spans="1:23" ht="15" customHeight="1" thickBot="1" x14ac:dyDescent="0.25"/>
    <row r="702" spans="1:23" ht="33.75" customHeight="1" thickBot="1" x14ac:dyDescent="0.25">
      <c r="A702" s="1222" t="s">
        <v>909</v>
      </c>
      <c r="B702" s="1223"/>
      <c r="C702" s="1224"/>
      <c r="E702" s="1225" t="s">
        <v>910</v>
      </c>
      <c r="F702" s="1226"/>
      <c r="G702" s="1227"/>
      <c r="I702" s="1222" t="s">
        <v>911</v>
      </c>
      <c r="J702" s="1223"/>
      <c r="K702" s="1224"/>
      <c r="M702" s="1222" t="s">
        <v>912</v>
      </c>
      <c r="N702" s="1223"/>
      <c r="O702" s="1224"/>
      <c r="Q702" s="1222" t="s">
        <v>913</v>
      </c>
      <c r="R702" s="1223"/>
      <c r="S702" s="1224"/>
      <c r="U702" s="1222" t="s">
        <v>916</v>
      </c>
      <c r="V702" s="1223"/>
      <c r="W702" s="1224"/>
    </row>
    <row r="703" spans="1:23" ht="33.75" customHeight="1" x14ac:dyDescent="0.2">
      <c r="A703" s="642" t="s">
        <v>980</v>
      </c>
      <c r="B703" s="643" t="s">
        <v>981</v>
      </c>
      <c r="C703" s="644" t="s">
        <v>780</v>
      </c>
      <c r="E703" s="642" t="s">
        <v>980</v>
      </c>
      <c r="F703" s="643" t="s">
        <v>981</v>
      </c>
      <c r="G703" s="644" t="s">
        <v>780</v>
      </c>
      <c r="I703" s="642" t="s">
        <v>980</v>
      </c>
      <c r="J703" s="643" t="s">
        <v>981</v>
      </c>
      <c r="K703" s="644" t="s">
        <v>780</v>
      </c>
      <c r="M703" s="642" t="s">
        <v>980</v>
      </c>
      <c r="N703" s="643" t="s">
        <v>981</v>
      </c>
      <c r="O703" s="644" t="s">
        <v>780</v>
      </c>
      <c r="Q703" s="642" t="s">
        <v>980</v>
      </c>
      <c r="R703" s="643" t="s">
        <v>981</v>
      </c>
      <c r="S703" s="644" t="s">
        <v>780</v>
      </c>
      <c r="U703" s="642" t="s">
        <v>980</v>
      </c>
      <c r="V703" s="643" t="s">
        <v>981</v>
      </c>
      <c r="W703" s="644" t="s">
        <v>780</v>
      </c>
    </row>
    <row r="704" spans="1:23" ht="33.75" customHeight="1" x14ac:dyDescent="0.2">
      <c r="A704" s="628">
        <v>10</v>
      </c>
      <c r="B704" s="630"/>
      <c r="C704" s="630"/>
      <c r="E704" s="628">
        <v>10</v>
      </c>
      <c r="F704" s="630"/>
      <c r="G704" s="630"/>
      <c r="I704" s="628">
        <v>10</v>
      </c>
      <c r="J704" s="630"/>
      <c r="K704" s="630"/>
      <c r="M704" s="628">
        <v>10</v>
      </c>
      <c r="N704" s="630"/>
      <c r="O704" s="630"/>
      <c r="Q704" s="628">
        <v>10</v>
      </c>
      <c r="R704" s="630"/>
      <c r="S704" s="630"/>
      <c r="U704" s="628">
        <v>10</v>
      </c>
      <c r="V704" s="630"/>
      <c r="W704" s="630"/>
    </row>
    <row r="705" spans="1:23" ht="33.75" customHeight="1" x14ac:dyDescent="0.2">
      <c r="A705" s="628">
        <v>9</v>
      </c>
      <c r="B705" s="630"/>
      <c r="C705" s="630"/>
      <c r="E705" s="628">
        <v>9</v>
      </c>
      <c r="F705" s="630"/>
      <c r="G705" s="630"/>
      <c r="I705" s="628">
        <v>9</v>
      </c>
      <c r="J705" s="630"/>
      <c r="K705" s="630"/>
      <c r="M705" s="628">
        <v>9</v>
      </c>
      <c r="N705" s="630"/>
      <c r="O705" s="630"/>
      <c r="Q705" s="628">
        <v>9</v>
      </c>
      <c r="R705" s="630"/>
      <c r="S705" s="630"/>
      <c r="U705" s="628">
        <v>9</v>
      </c>
      <c r="V705" s="630"/>
      <c r="W705" s="630"/>
    </row>
    <row r="706" spans="1:23" ht="33.75" customHeight="1" x14ac:dyDescent="0.2">
      <c r="A706" s="628">
        <v>8</v>
      </c>
      <c r="B706" s="630"/>
      <c r="C706" s="630"/>
      <c r="E706" s="628">
        <v>8</v>
      </c>
      <c r="F706" s="630"/>
      <c r="G706" s="630"/>
      <c r="I706" s="628">
        <v>8</v>
      </c>
      <c r="J706" s="630"/>
      <c r="K706" s="630"/>
      <c r="M706" s="628">
        <v>8</v>
      </c>
      <c r="N706" s="630"/>
      <c r="O706" s="630"/>
      <c r="Q706" s="628">
        <v>8</v>
      </c>
      <c r="R706" s="630"/>
      <c r="S706" s="630"/>
      <c r="U706" s="628">
        <v>8</v>
      </c>
      <c r="V706" s="630"/>
      <c r="W706" s="630"/>
    </row>
    <row r="707" spans="1:23" ht="33.75" customHeight="1" x14ac:dyDescent="0.2">
      <c r="A707" s="628">
        <v>7</v>
      </c>
      <c r="B707" s="630"/>
      <c r="C707" s="630"/>
      <c r="E707" s="628">
        <v>7</v>
      </c>
      <c r="F707" s="630"/>
      <c r="G707" s="630"/>
      <c r="I707" s="628">
        <v>7</v>
      </c>
      <c r="J707" s="630"/>
      <c r="K707" s="630"/>
      <c r="M707" s="628">
        <v>7</v>
      </c>
      <c r="N707" s="630"/>
      <c r="O707" s="630"/>
      <c r="Q707" s="628">
        <v>7</v>
      </c>
      <c r="R707" s="630"/>
      <c r="S707" s="630"/>
      <c r="U707" s="628">
        <v>7</v>
      </c>
      <c r="V707" s="630"/>
      <c r="W707" s="630"/>
    </row>
    <row r="708" spans="1:23" ht="33.75" customHeight="1" x14ac:dyDescent="0.2">
      <c r="A708" s="628">
        <v>6</v>
      </c>
      <c r="B708" s="630"/>
      <c r="C708" s="630"/>
      <c r="E708" s="628">
        <v>6</v>
      </c>
      <c r="F708" s="630"/>
      <c r="G708" s="630"/>
      <c r="I708" s="628">
        <v>6</v>
      </c>
      <c r="J708" s="630"/>
      <c r="K708" s="630"/>
      <c r="M708" s="628">
        <v>6</v>
      </c>
      <c r="N708" s="630"/>
      <c r="O708" s="630"/>
      <c r="Q708" s="628">
        <v>6</v>
      </c>
      <c r="R708" s="630"/>
      <c r="S708" s="630"/>
      <c r="U708" s="628">
        <v>6</v>
      </c>
      <c r="V708" s="630"/>
      <c r="W708" s="630"/>
    </row>
    <row r="709" spans="1:23" ht="33.75" customHeight="1" x14ac:dyDescent="0.2">
      <c r="A709" s="628">
        <v>5</v>
      </c>
      <c r="B709" s="630"/>
      <c r="C709" s="630"/>
      <c r="E709" s="628">
        <v>5</v>
      </c>
      <c r="F709" s="630"/>
      <c r="G709" s="630"/>
      <c r="I709" s="628">
        <v>5</v>
      </c>
      <c r="J709" s="630"/>
      <c r="K709" s="630"/>
      <c r="M709" s="628">
        <v>5</v>
      </c>
      <c r="N709" s="630"/>
      <c r="O709" s="630"/>
      <c r="Q709" s="628">
        <v>5</v>
      </c>
      <c r="R709" s="630"/>
      <c r="S709" s="630"/>
      <c r="U709" s="628">
        <v>5</v>
      </c>
      <c r="V709" s="630"/>
      <c r="W709" s="630"/>
    </row>
    <row r="710" spans="1:23" ht="33.75" customHeight="1" x14ac:dyDescent="0.2">
      <c r="A710" s="628">
        <v>4</v>
      </c>
      <c r="B710" s="630"/>
      <c r="C710" s="630"/>
      <c r="E710" s="628">
        <v>4</v>
      </c>
      <c r="F710" s="630"/>
      <c r="G710" s="630"/>
      <c r="I710" s="628">
        <v>4</v>
      </c>
      <c r="J710" s="630"/>
      <c r="K710" s="630"/>
      <c r="M710" s="628">
        <v>4</v>
      </c>
      <c r="N710" s="630"/>
      <c r="O710" s="630"/>
      <c r="Q710" s="628">
        <v>4</v>
      </c>
      <c r="R710" s="630"/>
      <c r="S710" s="630"/>
      <c r="U710" s="628">
        <v>4</v>
      </c>
      <c r="V710" s="630"/>
      <c r="W710" s="630"/>
    </row>
    <row r="711" spans="1:23" ht="33.75" customHeight="1" x14ac:dyDescent="0.2">
      <c r="A711" s="628">
        <v>3</v>
      </c>
      <c r="B711" s="630"/>
      <c r="C711" s="630"/>
      <c r="E711" s="628">
        <v>3</v>
      </c>
      <c r="F711" s="630"/>
      <c r="G711" s="630"/>
      <c r="I711" s="628">
        <v>3</v>
      </c>
      <c r="J711" s="630"/>
      <c r="K711" s="630"/>
      <c r="M711" s="628">
        <v>3</v>
      </c>
      <c r="N711" s="630"/>
      <c r="O711" s="630"/>
      <c r="Q711" s="628">
        <v>3</v>
      </c>
      <c r="R711" s="630"/>
      <c r="S711" s="630"/>
      <c r="U711" s="628">
        <v>3</v>
      </c>
      <c r="V711" s="630"/>
      <c r="W711" s="630"/>
    </row>
    <row r="712" spans="1:23" ht="33.75" customHeight="1" x14ac:dyDescent="0.2">
      <c r="A712" s="628">
        <v>2</v>
      </c>
      <c r="B712" s="630"/>
      <c r="C712" s="630"/>
      <c r="E712" s="628">
        <v>2</v>
      </c>
      <c r="F712" s="630"/>
      <c r="G712" s="630"/>
      <c r="I712" s="628">
        <v>2</v>
      </c>
      <c r="J712" s="630"/>
      <c r="K712" s="630"/>
      <c r="M712" s="628">
        <v>2</v>
      </c>
      <c r="N712" s="630"/>
      <c r="O712" s="630"/>
      <c r="Q712" s="628">
        <v>2</v>
      </c>
      <c r="R712" s="630"/>
      <c r="S712" s="630"/>
      <c r="U712" s="628">
        <v>2</v>
      </c>
      <c r="V712" s="630"/>
      <c r="W712" s="630"/>
    </row>
    <row r="713" spans="1:23" ht="33.75" customHeight="1" x14ac:dyDescent="0.2">
      <c r="A713" s="628">
        <v>1</v>
      </c>
      <c r="B713" s="630"/>
      <c r="C713" s="630"/>
      <c r="E713" s="628">
        <v>1</v>
      </c>
      <c r="F713" s="630"/>
      <c r="G713" s="630"/>
      <c r="I713" s="628">
        <v>1</v>
      </c>
      <c r="J713" s="630"/>
      <c r="K713" s="630"/>
      <c r="M713" s="628">
        <v>1</v>
      </c>
      <c r="N713" s="630"/>
      <c r="O713" s="630"/>
      <c r="Q713" s="628">
        <v>1</v>
      </c>
      <c r="R713" s="630"/>
      <c r="S713" s="630"/>
      <c r="U713" s="628">
        <v>1</v>
      </c>
      <c r="V713" s="630"/>
      <c r="W713" s="630"/>
    </row>
    <row r="714" spans="1:23" ht="33.75" customHeight="1" x14ac:dyDescent="0.2">
      <c r="A714" s="628" t="s">
        <v>982</v>
      </c>
      <c r="B714" s="630"/>
      <c r="C714" s="630"/>
      <c r="E714" s="628" t="s">
        <v>982</v>
      </c>
      <c r="F714" s="630"/>
      <c r="G714" s="630"/>
      <c r="I714" s="628" t="s">
        <v>982</v>
      </c>
      <c r="J714" s="630"/>
      <c r="K714" s="630"/>
      <c r="M714" s="628" t="s">
        <v>982</v>
      </c>
      <c r="N714" s="630"/>
      <c r="O714" s="630"/>
      <c r="Q714" s="628" t="s">
        <v>982</v>
      </c>
      <c r="R714" s="630"/>
      <c r="S714" s="630"/>
      <c r="U714" s="628" t="s">
        <v>982</v>
      </c>
      <c r="V714" s="630"/>
      <c r="W714" s="630"/>
    </row>
    <row r="715" spans="1:23" ht="33.75" customHeight="1" x14ac:dyDescent="0.2">
      <c r="A715" s="629" t="s">
        <v>981</v>
      </c>
      <c r="B715" s="630"/>
      <c r="C715" s="631" t="s">
        <v>984</v>
      </c>
      <c r="E715" s="629" t="s">
        <v>981</v>
      </c>
      <c r="F715" s="630"/>
      <c r="G715" s="631" t="s">
        <v>984</v>
      </c>
      <c r="I715" s="629" t="s">
        <v>981</v>
      </c>
      <c r="J715" s="630"/>
      <c r="K715" s="631" t="s">
        <v>984</v>
      </c>
      <c r="M715" s="629" t="s">
        <v>981</v>
      </c>
      <c r="N715" s="630"/>
      <c r="O715" s="631" t="s">
        <v>984</v>
      </c>
      <c r="Q715" s="629" t="s">
        <v>981</v>
      </c>
      <c r="R715" s="630"/>
      <c r="S715" s="631" t="s">
        <v>984</v>
      </c>
      <c r="U715" s="629" t="s">
        <v>981</v>
      </c>
      <c r="V715" s="630"/>
      <c r="W715" s="631" t="s">
        <v>984</v>
      </c>
    </row>
    <row r="716" spans="1:23" ht="48" customHeight="1" x14ac:dyDescent="0.25">
      <c r="A716" s="637"/>
      <c r="B716" s="629" t="s">
        <v>983</v>
      </c>
      <c r="C716" s="636"/>
      <c r="E716" s="637" t="s">
        <v>985</v>
      </c>
      <c r="F716" s="632" t="s">
        <v>983</v>
      </c>
      <c r="G716" s="633"/>
      <c r="I716" s="637" t="s">
        <v>985</v>
      </c>
      <c r="J716" s="632" t="s">
        <v>983</v>
      </c>
      <c r="K716" s="633"/>
      <c r="M716" s="637" t="s">
        <v>985</v>
      </c>
      <c r="N716" s="632" t="s">
        <v>983</v>
      </c>
      <c r="O716" s="633"/>
      <c r="Q716" s="637" t="s">
        <v>985</v>
      </c>
      <c r="R716" s="632" t="s">
        <v>983</v>
      </c>
      <c r="S716" s="633"/>
      <c r="U716" s="637" t="s">
        <v>985</v>
      </c>
      <c r="V716" s="632" t="s">
        <v>983</v>
      </c>
      <c r="W716" s="633"/>
    </row>
    <row r="717" spans="1:23" ht="51" customHeight="1" x14ac:dyDescent="0.2">
      <c r="A717" s="634"/>
      <c r="B717" s="634"/>
      <c r="C717" s="634"/>
      <c r="E717" s="1115" t="s">
        <v>986</v>
      </c>
      <c r="F717" s="1115"/>
      <c r="G717" s="635"/>
      <c r="I717" s="1115" t="s">
        <v>986</v>
      </c>
      <c r="J717" s="1115"/>
      <c r="K717" s="635"/>
      <c r="M717" s="1115" t="s">
        <v>986</v>
      </c>
      <c r="N717" s="1115"/>
      <c r="O717" s="635"/>
      <c r="Q717" s="1115" t="s">
        <v>986</v>
      </c>
      <c r="R717" s="1115"/>
      <c r="S717" s="635"/>
      <c r="U717" s="1228" t="s">
        <v>987</v>
      </c>
      <c r="V717" s="1229"/>
      <c r="W717" s="635"/>
    </row>
    <row r="718" spans="1:23" ht="13.5" customHeight="1" thickBot="1" x14ac:dyDescent="0.25"/>
    <row r="719" spans="1:23" ht="72" customHeight="1" thickBot="1" x14ac:dyDescent="0.25">
      <c r="E719" s="707" t="s">
        <v>1007</v>
      </c>
      <c r="F719" s="639"/>
      <c r="G719" s="639"/>
      <c r="H719" s="639"/>
      <c r="I719" s="639"/>
      <c r="J719" s="640"/>
      <c r="M719" s="708" t="s">
        <v>1008</v>
      </c>
      <c r="N719" s="639"/>
      <c r="O719" s="639"/>
      <c r="P719" s="639"/>
      <c r="Q719" s="640"/>
      <c r="S719" s="1219" t="s">
        <v>988</v>
      </c>
      <c r="T719" s="1219"/>
      <c r="U719" s="1219"/>
      <c r="V719" s="1220"/>
      <c r="W719" s="1221"/>
    </row>
    <row r="720" spans="1:23" ht="34.5" customHeight="1" x14ac:dyDescent="0.2"/>
  </sheetData>
  <mergeCells count="696">
    <mergeCell ref="Q1:W2"/>
    <mergeCell ref="Q3:W3"/>
    <mergeCell ref="Q31:W32"/>
    <mergeCell ref="A32:B32"/>
    <mergeCell ref="E32:O32"/>
    <mergeCell ref="S29:U29"/>
    <mergeCell ref="V29:W29"/>
    <mergeCell ref="U12:W12"/>
    <mergeCell ref="A2:B2"/>
    <mergeCell ref="E27:F27"/>
    <mergeCell ref="I27:J27"/>
    <mergeCell ref="M27:N27"/>
    <mergeCell ref="Q27:R27"/>
    <mergeCell ref="E2:O2"/>
    <mergeCell ref="S5:W5"/>
    <mergeCell ref="S4:W4"/>
    <mergeCell ref="A12:C12"/>
    <mergeCell ref="E12:G12"/>
    <mergeCell ref="I12:K12"/>
    <mergeCell ref="M12:O12"/>
    <mergeCell ref="Q12:S12"/>
    <mergeCell ref="M4:Q4"/>
    <mergeCell ref="M5:R5"/>
    <mergeCell ref="E4:K4"/>
    <mergeCell ref="E5:K5"/>
    <mergeCell ref="U27:V27"/>
    <mergeCell ref="G7:H7"/>
    <mergeCell ref="G37:H37"/>
    <mergeCell ref="P7:Q7"/>
    <mergeCell ref="G8:H8"/>
    <mergeCell ref="P8:Q8"/>
    <mergeCell ref="G9:H9"/>
    <mergeCell ref="P9:Q9"/>
    <mergeCell ref="G38:H38"/>
    <mergeCell ref="G39:H39"/>
    <mergeCell ref="Q33:W33"/>
    <mergeCell ref="E34:K34"/>
    <mergeCell ref="M34:Q34"/>
    <mergeCell ref="S34:W34"/>
    <mergeCell ref="E35:K35"/>
    <mergeCell ref="M35:R35"/>
    <mergeCell ref="S35:W35"/>
    <mergeCell ref="P38:Q38"/>
    <mergeCell ref="P39:Q39"/>
    <mergeCell ref="P37:Q37"/>
    <mergeCell ref="S59:U59"/>
    <mergeCell ref="V59:W59"/>
    <mergeCell ref="U42:W42"/>
    <mergeCell ref="E57:F57"/>
    <mergeCell ref="I57:J57"/>
    <mergeCell ref="M57:N57"/>
    <mergeCell ref="Q57:R57"/>
    <mergeCell ref="U57:V57"/>
    <mergeCell ref="A42:C42"/>
    <mergeCell ref="E42:G42"/>
    <mergeCell ref="I42:K42"/>
    <mergeCell ref="M42:O42"/>
    <mergeCell ref="Q42:S42"/>
    <mergeCell ref="G67:H67"/>
    <mergeCell ref="G68:H68"/>
    <mergeCell ref="G69:H69"/>
    <mergeCell ref="Q63:W63"/>
    <mergeCell ref="E64:K64"/>
    <mergeCell ref="M64:Q64"/>
    <mergeCell ref="S64:W64"/>
    <mergeCell ref="E65:K65"/>
    <mergeCell ref="M65:R65"/>
    <mergeCell ref="S65:W65"/>
    <mergeCell ref="U72:W72"/>
    <mergeCell ref="E87:F87"/>
    <mergeCell ref="I87:J87"/>
    <mergeCell ref="M87:N87"/>
    <mergeCell ref="Q87:R87"/>
    <mergeCell ref="U87:V87"/>
    <mergeCell ref="A72:C72"/>
    <mergeCell ref="E72:G72"/>
    <mergeCell ref="I72:K72"/>
    <mergeCell ref="M72:O72"/>
    <mergeCell ref="Q72:S72"/>
    <mergeCell ref="S119:U119"/>
    <mergeCell ref="V119:W119"/>
    <mergeCell ref="Q121:W122"/>
    <mergeCell ref="A122:B122"/>
    <mergeCell ref="E122:O122"/>
    <mergeCell ref="U102:W102"/>
    <mergeCell ref="E117:F117"/>
    <mergeCell ref="I117:J117"/>
    <mergeCell ref="M117:N117"/>
    <mergeCell ref="Q117:R117"/>
    <mergeCell ref="U117:V117"/>
    <mergeCell ref="A102:C102"/>
    <mergeCell ref="E102:G102"/>
    <mergeCell ref="I102:K102"/>
    <mergeCell ref="M102:O102"/>
    <mergeCell ref="Q102:S102"/>
    <mergeCell ref="G127:H127"/>
    <mergeCell ref="G128:H128"/>
    <mergeCell ref="G129:H129"/>
    <mergeCell ref="Q123:W123"/>
    <mergeCell ref="E124:K124"/>
    <mergeCell ref="M124:Q124"/>
    <mergeCell ref="S124:W124"/>
    <mergeCell ref="E125:K125"/>
    <mergeCell ref="M125:R125"/>
    <mergeCell ref="S125:W125"/>
    <mergeCell ref="P127:Q127"/>
    <mergeCell ref="P128:Q128"/>
    <mergeCell ref="P129:Q129"/>
    <mergeCell ref="S149:U149"/>
    <mergeCell ref="V149:W149"/>
    <mergeCell ref="Q151:W152"/>
    <mergeCell ref="A152:B152"/>
    <mergeCell ref="E152:O152"/>
    <mergeCell ref="U132:W132"/>
    <mergeCell ref="E147:F147"/>
    <mergeCell ref="I147:J147"/>
    <mergeCell ref="M147:N147"/>
    <mergeCell ref="Q147:R147"/>
    <mergeCell ref="U147:V147"/>
    <mergeCell ref="A132:C132"/>
    <mergeCell ref="E132:G132"/>
    <mergeCell ref="I132:K132"/>
    <mergeCell ref="M132:O132"/>
    <mergeCell ref="Q132:S132"/>
    <mergeCell ref="G157:H157"/>
    <mergeCell ref="G158:H158"/>
    <mergeCell ref="G159:H159"/>
    <mergeCell ref="Q153:W153"/>
    <mergeCell ref="E154:K154"/>
    <mergeCell ref="M154:Q154"/>
    <mergeCell ref="S154:W154"/>
    <mergeCell ref="E155:K155"/>
    <mergeCell ref="M155:R155"/>
    <mergeCell ref="S155:W155"/>
    <mergeCell ref="P157:Q157"/>
    <mergeCell ref="P158:Q158"/>
    <mergeCell ref="P159:Q159"/>
    <mergeCell ref="S179:U179"/>
    <mergeCell ref="V179:W179"/>
    <mergeCell ref="Q181:W182"/>
    <mergeCell ref="A182:B182"/>
    <mergeCell ref="E182:O182"/>
    <mergeCell ref="U162:W162"/>
    <mergeCell ref="E177:F177"/>
    <mergeCell ref="I177:J177"/>
    <mergeCell ref="M177:N177"/>
    <mergeCell ref="Q177:R177"/>
    <mergeCell ref="U177:V177"/>
    <mergeCell ref="A162:C162"/>
    <mergeCell ref="E162:G162"/>
    <mergeCell ref="I162:K162"/>
    <mergeCell ref="M162:O162"/>
    <mergeCell ref="Q162:S162"/>
    <mergeCell ref="G187:H187"/>
    <mergeCell ref="G188:H188"/>
    <mergeCell ref="G189:H189"/>
    <mergeCell ref="Q183:W183"/>
    <mergeCell ref="E184:K184"/>
    <mergeCell ref="M184:Q184"/>
    <mergeCell ref="S184:W184"/>
    <mergeCell ref="E185:K185"/>
    <mergeCell ref="M185:R185"/>
    <mergeCell ref="S185:W185"/>
    <mergeCell ref="P187:Q187"/>
    <mergeCell ref="P188:Q188"/>
    <mergeCell ref="P189:Q189"/>
    <mergeCell ref="S209:U209"/>
    <mergeCell ref="V209:W209"/>
    <mergeCell ref="Q211:W212"/>
    <mergeCell ref="A212:B212"/>
    <mergeCell ref="E212:O212"/>
    <mergeCell ref="U192:W192"/>
    <mergeCell ref="E207:F207"/>
    <mergeCell ref="I207:J207"/>
    <mergeCell ref="M207:N207"/>
    <mergeCell ref="Q207:R207"/>
    <mergeCell ref="U207:V207"/>
    <mergeCell ref="A192:C192"/>
    <mergeCell ref="E192:G192"/>
    <mergeCell ref="I192:K192"/>
    <mergeCell ref="M192:O192"/>
    <mergeCell ref="Q192:S192"/>
    <mergeCell ref="G217:H217"/>
    <mergeCell ref="G218:H218"/>
    <mergeCell ref="G219:H219"/>
    <mergeCell ref="Q213:W213"/>
    <mergeCell ref="E214:K214"/>
    <mergeCell ref="M214:Q214"/>
    <mergeCell ref="S214:W214"/>
    <mergeCell ref="E215:K215"/>
    <mergeCell ref="M215:R215"/>
    <mergeCell ref="S215:W215"/>
    <mergeCell ref="P217:Q217"/>
    <mergeCell ref="P218:Q218"/>
    <mergeCell ref="P219:Q219"/>
    <mergeCell ref="S239:U239"/>
    <mergeCell ref="V239:W239"/>
    <mergeCell ref="Q241:W242"/>
    <mergeCell ref="A242:B242"/>
    <mergeCell ref="E242:O242"/>
    <mergeCell ref="U222:W222"/>
    <mergeCell ref="E237:F237"/>
    <mergeCell ref="I237:J237"/>
    <mergeCell ref="M237:N237"/>
    <mergeCell ref="Q237:R237"/>
    <mergeCell ref="U237:V237"/>
    <mergeCell ref="A222:C222"/>
    <mergeCell ref="E222:G222"/>
    <mergeCell ref="I222:K222"/>
    <mergeCell ref="M222:O222"/>
    <mergeCell ref="Q222:S222"/>
    <mergeCell ref="G247:H247"/>
    <mergeCell ref="G248:H248"/>
    <mergeCell ref="G249:H249"/>
    <mergeCell ref="Q243:W243"/>
    <mergeCell ref="E244:K244"/>
    <mergeCell ref="M244:Q244"/>
    <mergeCell ref="S244:W244"/>
    <mergeCell ref="E245:K245"/>
    <mergeCell ref="M245:R245"/>
    <mergeCell ref="S245:W245"/>
    <mergeCell ref="P247:Q247"/>
    <mergeCell ref="P248:Q248"/>
    <mergeCell ref="P249:Q249"/>
    <mergeCell ref="U252:W252"/>
    <mergeCell ref="E267:F267"/>
    <mergeCell ref="I267:J267"/>
    <mergeCell ref="M267:N267"/>
    <mergeCell ref="Q267:R267"/>
    <mergeCell ref="U267:V267"/>
    <mergeCell ref="A252:C252"/>
    <mergeCell ref="E252:G252"/>
    <mergeCell ref="I252:K252"/>
    <mergeCell ref="M252:O252"/>
    <mergeCell ref="Q252:S252"/>
    <mergeCell ref="S269:U269"/>
    <mergeCell ref="V269:W269"/>
    <mergeCell ref="V509:W509"/>
    <mergeCell ref="S509:U509"/>
    <mergeCell ref="U507:V507"/>
    <mergeCell ref="Q483:W483"/>
    <mergeCell ref="Q481:W482"/>
    <mergeCell ref="U462:W462"/>
    <mergeCell ref="Q462:S462"/>
    <mergeCell ref="S454:W454"/>
    <mergeCell ref="M454:Q454"/>
    <mergeCell ref="V449:W449"/>
    <mergeCell ref="S449:U449"/>
    <mergeCell ref="U447:V447"/>
    <mergeCell ref="Q507:R507"/>
    <mergeCell ref="M507:N507"/>
    <mergeCell ref="S484:W484"/>
    <mergeCell ref="M484:Q484"/>
    <mergeCell ref="Q447:R447"/>
    <mergeCell ref="M447:N447"/>
    <mergeCell ref="S425:W425"/>
    <mergeCell ref="V479:W479"/>
    <mergeCell ref="S479:U479"/>
    <mergeCell ref="U477:V477"/>
    <mergeCell ref="I507:J507"/>
    <mergeCell ref="E507:F507"/>
    <mergeCell ref="U492:W492"/>
    <mergeCell ref="Q492:S492"/>
    <mergeCell ref="M492:O492"/>
    <mergeCell ref="I492:K492"/>
    <mergeCell ref="E492:G492"/>
    <mergeCell ref="G487:H487"/>
    <mergeCell ref="S485:W485"/>
    <mergeCell ref="M485:R485"/>
    <mergeCell ref="E485:K485"/>
    <mergeCell ref="E484:K484"/>
    <mergeCell ref="A492:C492"/>
    <mergeCell ref="G489:H489"/>
    <mergeCell ref="G488:H488"/>
    <mergeCell ref="M462:O462"/>
    <mergeCell ref="I462:K462"/>
    <mergeCell ref="E462:G462"/>
    <mergeCell ref="A462:C462"/>
    <mergeCell ref="P487:Q487"/>
    <mergeCell ref="P488:Q488"/>
    <mergeCell ref="P489:Q489"/>
    <mergeCell ref="E482:O482"/>
    <mergeCell ref="A482:B482"/>
    <mergeCell ref="Q477:R477"/>
    <mergeCell ref="M477:N477"/>
    <mergeCell ref="I477:J477"/>
    <mergeCell ref="E477:F477"/>
    <mergeCell ref="A452:B452"/>
    <mergeCell ref="G458:H458"/>
    <mergeCell ref="G457:H457"/>
    <mergeCell ref="S455:W455"/>
    <mergeCell ref="M455:R455"/>
    <mergeCell ref="E455:K455"/>
    <mergeCell ref="P457:Q457"/>
    <mergeCell ref="P458:Q458"/>
    <mergeCell ref="G459:H459"/>
    <mergeCell ref="P459:Q459"/>
    <mergeCell ref="I447:J447"/>
    <mergeCell ref="E447:F447"/>
    <mergeCell ref="U432:W432"/>
    <mergeCell ref="Q432:S432"/>
    <mergeCell ref="M432:O432"/>
    <mergeCell ref="I432:K432"/>
    <mergeCell ref="E432:G432"/>
    <mergeCell ref="G427:H427"/>
    <mergeCell ref="E454:K454"/>
    <mergeCell ref="Q453:W453"/>
    <mergeCell ref="Q451:W452"/>
    <mergeCell ref="E452:O452"/>
    <mergeCell ref="M425:R425"/>
    <mergeCell ref="E425:K425"/>
    <mergeCell ref="A432:C432"/>
    <mergeCell ref="G429:H429"/>
    <mergeCell ref="G428:H428"/>
    <mergeCell ref="A422:B422"/>
    <mergeCell ref="V419:W419"/>
    <mergeCell ref="S419:U419"/>
    <mergeCell ref="P427:Q427"/>
    <mergeCell ref="P428:Q428"/>
    <mergeCell ref="P429:Q429"/>
    <mergeCell ref="U417:V417"/>
    <mergeCell ref="Q417:R417"/>
    <mergeCell ref="M417:N417"/>
    <mergeCell ref="I417:J417"/>
    <mergeCell ref="E417:F417"/>
    <mergeCell ref="S424:W424"/>
    <mergeCell ref="M424:Q424"/>
    <mergeCell ref="E424:K424"/>
    <mergeCell ref="Q423:W423"/>
    <mergeCell ref="Q421:W422"/>
    <mergeCell ref="E422:O422"/>
    <mergeCell ref="G397:H397"/>
    <mergeCell ref="S395:W395"/>
    <mergeCell ref="M395:R395"/>
    <mergeCell ref="E395:K395"/>
    <mergeCell ref="A402:C402"/>
    <mergeCell ref="G399:H399"/>
    <mergeCell ref="G398:H398"/>
    <mergeCell ref="U402:W402"/>
    <mergeCell ref="Q402:S402"/>
    <mergeCell ref="M402:O402"/>
    <mergeCell ref="I402:K402"/>
    <mergeCell ref="E402:G402"/>
    <mergeCell ref="P397:Q397"/>
    <mergeCell ref="P398:Q398"/>
    <mergeCell ref="P399:Q399"/>
    <mergeCell ref="A392:B392"/>
    <mergeCell ref="V389:W389"/>
    <mergeCell ref="S389:U389"/>
    <mergeCell ref="U387:V387"/>
    <mergeCell ref="Q387:R387"/>
    <mergeCell ref="M387:N387"/>
    <mergeCell ref="I387:J387"/>
    <mergeCell ref="E387:F387"/>
    <mergeCell ref="S394:W394"/>
    <mergeCell ref="M394:Q394"/>
    <mergeCell ref="E394:K394"/>
    <mergeCell ref="Q393:W393"/>
    <mergeCell ref="Q391:W392"/>
    <mergeCell ref="E392:O392"/>
    <mergeCell ref="A372:C372"/>
    <mergeCell ref="G369:H369"/>
    <mergeCell ref="G368:H368"/>
    <mergeCell ref="U372:W372"/>
    <mergeCell ref="Q372:S372"/>
    <mergeCell ref="M372:O372"/>
    <mergeCell ref="I372:K372"/>
    <mergeCell ref="E372:G372"/>
    <mergeCell ref="P367:Q367"/>
    <mergeCell ref="P368:Q368"/>
    <mergeCell ref="P369:Q369"/>
    <mergeCell ref="S364:W364"/>
    <mergeCell ref="M364:Q364"/>
    <mergeCell ref="E364:K364"/>
    <mergeCell ref="Q363:W363"/>
    <mergeCell ref="Q361:W362"/>
    <mergeCell ref="E362:O362"/>
    <mergeCell ref="G367:H367"/>
    <mergeCell ref="S365:W365"/>
    <mergeCell ref="M365:R365"/>
    <mergeCell ref="E365:K365"/>
    <mergeCell ref="A342:C342"/>
    <mergeCell ref="G339:H339"/>
    <mergeCell ref="G338:H338"/>
    <mergeCell ref="U342:W342"/>
    <mergeCell ref="Q342:S342"/>
    <mergeCell ref="M342:O342"/>
    <mergeCell ref="I342:K342"/>
    <mergeCell ref="E342:G342"/>
    <mergeCell ref="A362:B362"/>
    <mergeCell ref="V359:W359"/>
    <mergeCell ref="S359:U359"/>
    <mergeCell ref="U357:V357"/>
    <mergeCell ref="Q357:R357"/>
    <mergeCell ref="M357:N357"/>
    <mergeCell ref="I357:J357"/>
    <mergeCell ref="E357:F357"/>
    <mergeCell ref="S334:W334"/>
    <mergeCell ref="M334:Q334"/>
    <mergeCell ref="E334:K334"/>
    <mergeCell ref="Q333:W333"/>
    <mergeCell ref="Q331:W332"/>
    <mergeCell ref="E332:O332"/>
    <mergeCell ref="G337:H337"/>
    <mergeCell ref="S335:W335"/>
    <mergeCell ref="M335:R335"/>
    <mergeCell ref="E335:K335"/>
    <mergeCell ref="A312:C312"/>
    <mergeCell ref="G309:H309"/>
    <mergeCell ref="G308:H308"/>
    <mergeCell ref="U312:W312"/>
    <mergeCell ref="Q312:S312"/>
    <mergeCell ref="M312:O312"/>
    <mergeCell ref="I312:K312"/>
    <mergeCell ref="E312:G312"/>
    <mergeCell ref="A332:B332"/>
    <mergeCell ref="V329:W329"/>
    <mergeCell ref="S329:U329"/>
    <mergeCell ref="U327:V327"/>
    <mergeCell ref="Q327:R327"/>
    <mergeCell ref="M327:N327"/>
    <mergeCell ref="I327:J327"/>
    <mergeCell ref="E327:F327"/>
    <mergeCell ref="S304:W304"/>
    <mergeCell ref="M304:Q304"/>
    <mergeCell ref="E304:K304"/>
    <mergeCell ref="Q303:W303"/>
    <mergeCell ref="Q301:W302"/>
    <mergeCell ref="E302:O302"/>
    <mergeCell ref="G307:H307"/>
    <mergeCell ref="S305:W305"/>
    <mergeCell ref="M305:R305"/>
    <mergeCell ref="E305:K305"/>
    <mergeCell ref="I282:K282"/>
    <mergeCell ref="E282:G282"/>
    <mergeCell ref="A302:B302"/>
    <mergeCell ref="V299:W299"/>
    <mergeCell ref="S299:U299"/>
    <mergeCell ref="U297:V297"/>
    <mergeCell ref="Q297:R297"/>
    <mergeCell ref="M297:N297"/>
    <mergeCell ref="I297:J297"/>
    <mergeCell ref="E297:F297"/>
    <mergeCell ref="V719:W719"/>
    <mergeCell ref="S719:U719"/>
    <mergeCell ref="U717:V717"/>
    <mergeCell ref="Q717:R717"/>
    <mergeCell ref="M717:N717"/>
    <mergeCell ref="I717:J717"/>
    <mergeCell ref="E717:F717"/>
    <mergeCell ref="A272:B272"/>
    <mergeCell ref="S274:W274"/>
    <mergeCell ref="M274:Q274"/>
    <mergeCell ref="E274:K274"/>
    <mergeCell ref="Q273:W273"/>
    <mergeCell ref="Q271:W272"/>
    <mergeCell ref="E272:O272"/>
    <mergeCell ref="G277:H277"/>
    <mergeCell ref="S275:W275"/>
    <mergeCell ref="M275:R275"/>
    <mergeCell ref="E275:K275"/>
    <mergeCell ref="A282:C282"/>
    <mergeCell ref="G279:H279"/>
    <mergeCell ref="G278:H278"/>
    <mergeCell ref="U282:W282"/>
    <mergeCell ref="Q282:S282"/>
    <mergeCell ref="M282:O282"/>
    <mergeCell ref="G697:H697"/>
    <mergeCell ref="S695:W695"/>
    <mergeCell ref="M695:R695"/>
    <mergeCell ref="E695:K695"/>
    <mergeCell ref="A702:C702"/>
    <mergeCell ref="G699:H699"/>
    <mergeCell ref="G698:H698"/>
    <mergeCell ref="U702:W702"/>
    <mergeCell ref="Q702:S702"/>
    <mergeCell ref="M702:O702"/>
    <mergeCell ref="I702:K702"/>
    <mergeCell ref="E702:G702"/>
    <mergeCell ref="P697:Q697"/>
    <mergeCell ref="P698:Q698"/>
    <mergeCell ref="P699:Q699"/>
    <mergeCell ref="A692:B692"/>
    <mergeCell ref="V689:W689"/>
    <mergeCell ref="S689:U689"/>
    <mergeCell ref="U687:V687"/>
    <mergeCell ref="Q687:R687"/>
    <mergeCell ref="M687:N687"/>
    <mergeCell ref="I687:J687"/>
    <mergeCell ref="E687:F687"/>
    <mergeCell ref="S694:W694"/>
    <mergeCell ref="M694:Q694"/>
    <mergeCell ref="E694:K694"/>
    <mergeCell ref="Q693:W693"/>
    <mergeCell ref="Q691:W692"/>
    <mergeCell ref="E692:O692"/>
    <mergeCell ref="G667:H667"/>
    <mergeCell ref="S665:W665"/>
    <mergeCell ref="M665:R665"/>
    <mergeCell ref="E665:K665"/>
    <mergeCell ref="A672:C672"/>
    <mergeCell ref="G669:H669"/>
    <mergeCell ref="G668:H668"/>
    <mergeCell ref="U672:W672"/>
    <mergeCell ref="Q672:S672"/>
    <mergeCell ref="M672:O672"/>
    <mergeCell ref="I672:K672"/>
    <mergeCell ref="E672:G672"/>
    <mergeCell ref="P667:Q667"/>
    <mergeCell ref="P668:Q668"/>
    <mergeCell ref="P669:Q669"/>
    <mergeCell ref="A662:B662"/>
    <mergeCell ref="V659:W659"/>
    <mergeCell ref="S659:U659"/>
    <mergeCell ref="U657:V657"/>
    <mergeCell ref="Q657:R657"/>
    <mergeCell ref="M657:N657"/>
    <mergeCell ref="I657:J657"/>
    <mergeCell ref="E657:F657"/>
    <mergeCell ref="S664:W664"/>
    <mergeCell ref="M664:Q664"/>
    <mergeCell ref="E664:K664"/>
    <mergeCell ref="Q663:W663"/>
    <mergeCell ref="Q661:W662"/>
    <mergeCell ref="E662:O662"/>
    <mergeCell ref="G637:H637"/>
    <mergeCell ref="S635:W635"/>
    <mergeCell ref="M635:R635"/>
    <mergeCell ref="E635:K635"/>
    <mergeCell ref="A642:C642"/>
    <mergeCell ref="G639:H639"/>
    <mergeCell ref="G638:H638"/>
    <mergeCell ref="U642:W642"/>
    <mergeCell ref="Q642:S642"/>
    <mergeCell ref="M642:O642"/>
    <mergeCell ref="I642:K642"/>
    <mergeCell ref="E642:G642"/>
    <mergeCell ref="P637:Q637"/>
    <mergeCell ref="P638:Q638"/>
    <mergeCell ref="P639:Q639"/>
    <mergeCell ref="A632:B632"/>
    <mergeCell ref="V629:W629"/>
    <mergeCell ref="S629:U629"/>
    <mergeCell ref="U627:V627"/>
    <mergeCell ref="Q627:R627"/>
    <mergeCell ref="M627:N627"/>
    <mergeCell ref="I627:J627"/>
    <mergeCell ref="E627:F627"/>
    <mergeCell ref="S634:W634"/>
    <mergeCell ref="M634:Q634"/>
    <mergeCell ref="E634:K634"/>
    <mergeCell ref="Q633:W633"/>
    <mergeCell ref="Q631:W632"/>
    <mergeCell ref="E632:O632"/>
    <mergeCell ref="G607:H607"/>
    <mergeCell ref="S605:W605"/>
    <mergeCell ref="M605:R605"/>
    <mergeCell ref="E605:K605"/>
    <mergeCell ref="A612:C612"/>
    <mergeCell ref="G609:H609"/>
    <mergeCell ref="G608:H608"/>
    <mergeCell ref="U612:W612"/>
    <mergeCell ref="Q612:S612"/>
    <mergeCell ref="M612:O612"/>
    <mergeCell ref="I612:K612"/>
    <mergeCell ref="E612:G612"/>
    <mergeCell ref="P607:Q607"/>
    <mergeCell ref="P608:Q608"/>
    <mergeCell ref="P609:Q609"/>
    <mergeCell ref="A602:B602"/>
    <mergeCell ref="V599:W599"/>
    <mergeCell ref="S599:U599"/>
    <mergeCell ref="U597:V597"/>
    <mergeCell ref="Q597:R597"/>
    <mergeCell ref="M597:N597"/>
    <mergeCell ref="I597:J597"/>
    <mergeCell ref="E597:F597"/>
    <mergeCell ref="S604:W604"/>
    <mergeCell ref="M604:Q604"/>
    <mergeCell ref="E604:K604"/>
    <mergeCell ref="Q603:W603"/>
    <mergeCell ref="Q601:W602"/>
    <mergeCell ref="E602:O602"/>
    <mergeCell ref="G577:H577"/>
    <mergeCell ref="S575:W575"/>
    <mergeCell ref="M575:R575"/>
    <mergeCell ref="E575:K575"/>
    <mergeCell ref="A582:C582"/>
    <mergeCell ref="G579:H579"/>
    <mergeCell ref="G578:H578"/>
    <mergeCell ref="U582:W582"/>
    <mergeCell ref="Q582:S582"/>
    <mergeCell ref="M582:O582"/>
    <mergeCell ref="I582:K582"/>
    <mergeCell ref="E582:G582"/>
    <mergeCell ref="P577:Q577"/>
    <mergeCell ref="P578:Q578"/>
    <mergeCell ref="P579:Q579"/>
    <mergeCell ref="A572:B572"/>
    <mergeCell ref="V569:W569"/>
    <mergeCell ref="S569:U569"/>
    <mergeCell ref="U567:V567"/>
    <mergeCell ref="Q567:R567"/>
    <mergeCell ref="M567:N567"/>
    <mergeCell ref="I567:J567"/>
    <mergeCell ref="E567:F567"/>
    <mergeCell ref="S574:W574"/>
    <mergeCell ref="M574:Q574"/>
    <mergeCell ref="E574:K574"/>
    <mergeCell ref="Q573:W573"/>
    <mergeCell ref="Q571:W572"/>
    <mergeCell ref="E572:O572"/>
    <mergeCell ref="G547:H547"/>
    <mergeCell ref="S545:W545"/>
    <mergeCell ref="M545:R545"/>
    <mergeCell ref="E545:K545"/>
    <mergeCell ref="A552:C552"/>
    <mergeCell ref="G549:H549"/>
    <mergeCell ref="G548:H548"/>
    <mergeCell ref="U552:W552"/>
    <mergeCell ref="Q552:S552"/>
    <mergeCell ref="M552:O552"/>
    <mergeCell ref="I552:K552"/>
    <mergeCell ref="E552:G552"/>
    <mergeCell ref="P547:Q547"/>
    <mergeCell ref="P548:Q548"/>
    <mergeCell ref="P549:Q549"/>
    <mergeCell ref="A542:B542"/>
    <mergeCell ref="V539:W539"/>
    <mergeCell ref="S539:U539"/>
    <mergeCell ref="U537:V537"/>
    <mergeCell ref="Q537:R537"/>
    <mergeCell ref="M537:N537"/>
    <mergeCell ref="I537:J537"/>
    <mergeCell ref="E537:F537"/>
    <mergeCell ref="S544:W544"/>
    <mergeCell ref="M544:Q544"/>
    <mergeCell ref="E544:K544"/>
    <mergeCell ref="Q543:W543"/>
    <mergeCell ref="Q541:W542"/>
    <mergeCell ref="E542:O542"/>
    <mergeCell ref="A522:C522"/>
    <mergeCell ref="G519:H519"/>
    <mergeCell ref="G518:H518"/>
    <mergeCell ref="U522:W522"/>
    <mergeCell ref="Q522:S522"/>
    <mergeCell ref="M522:O522"/>
    <mergeCell ref="I522:K522"/>
    <mergeCell ref="E522:G522"/>
    <mergeCell ref="P518:Q518"/>
    <mergeCell ref="P519:Q519"/>
    <mergeCell ref="A512:B512"/>
    <mergeCell ref="S514:W514"/>
    <mergeCell ref="M514:Q514"/>
    <mergeCell ref="E514:K514"/>
    <mergeCell ref="Q513:W513"/>
    <mergeCell ref="Q511:W512"/>
    <mergeCell ref="E512:O512"/>
    <mergeCell ref="G517:H517"/>
    <mergeCell ref="S515:W515"/>
    <mergeCell ref="M515:R515"/>
    <mergeCell ref="E515:K515"/>
    <mergeCell ref="P517:Q517"/>
    <mergeCell ref="Q61:W62"/>
    <mergeCell ref="A62:B62"/>
    <mergeCell ref="E62:O62"/>
    <mergeCell ref="P67:Q67"/>
    <mergeCell ref="P68:Q68"/>
    <mergeCell ref="P69:Q69"/>
    <mergeCell ref="P97:Q97"/>
    <mergeCell ref="P98:Q98"/>
    <mergeCell ref="P99:Q99"/>
    <mergeCell ref="G97:H97"/>
    <mergeCell ref="G98:H98"/>
    <mergeCell ref="G99:H99"/>
    <mergeCell ref="Q93:W93"/>
    <mergeCell ref="E94:K94"/>
    <mergeCell ref="M94:Q94"/>
    <mergeCell ref="S94:W94"/>
    <mergeCell ref="E95:K95"/>
    <mergeCell ref="M95:R95"/>
    <mergeCell ref="S95:W95"/>
    <mergeCell ref="S89:U89"/>
    <mergeCell ref="V89:W89"/>
    <mergeCell ref="Q91:W92"/>
    <mergeCell ref="A92:B92"/>
    <mergeCell ref="E92:O92"/>
    <mergeCell ref="P277:Q277"/>
    <mergeCell ref="P278:Q278"/>
    <mergeCell ref="P279:Q279"/>
    <mergeCell ref="P307:Q307"/>
    <mergeCell ref="P308:Q308"/>
    <mergeCell ref="P309:Q309"/>
    <mergeCell ref="P337:Q337"/>
    <mergeCell ref="P338:Q338"/>
    <mergeCell ref="P339:Q339"/>
  </mergeCells>
  <printOptions horizontalCentered="1" verticalCentered="1"/>
  <pageMargins left="0.23622047244094491" right="0.23622047244094491" top="0.74803149606299213" bottom="0.74803149606299213" header="0.31496062992125984" footer="0.31496062992125984"/>
  <pageSetup paperSize="9" scale="53" fitToHeight="24" orientation="landscape" r:id="rId1"/>
  <rowBreaks count="1" manualBreakCount="1">
    <brk id="30" max="22"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7"/>
  <dimension ref="A1:S20"/>
  <sheetViews>
    <sheetView workbookViewId="0">
      <selection activeCell="J38" sqref="J38"/>
    </sheetView>
  </sheetViews>
  <sheetFormatPr baseColWidth="10" defaultRowHeight="12.75" x14ac:dyDescent="0.2"/>
  <cols>
    <col min="1" max="3" width="15.7109375" customWidth="1"/>
    <col min="4" max="4" width="13.140625" bestFit="1" customWidth="1"/>
    <col min="5" max="5" width="15.7109375" customWidth="1"/>
    <col min="6" max="6" width="6.42578125" customWidth="1"/>
    <col min="7" max="7" width="5.7109375" customWidth="1"/>
    <col min="8" max="8" width="24.140625" customWidth="1"/>
    <col min="9" max="9" width="5.7109375" customWidth="1"/>
    <col min="10" max="10" width="9.7109375" customWidth="1"/>
    <col min="11" max="11" width="5.7109375" customWidth="1"/>
    <col min="12" max="12" width="33.28515625" bestFit="1" customWidth="1"/>
    <col min="13" max="20" width="5.7109375" customWidth="1"/>
  </cols>
  <sheetData>
    <row r="1" spans="1:19" ht="15.75" x14ac:dyDescent="0.25">
      <c r="B1" s="1231" t="s">
        <v>46</v>
      </c>
      <c r="C1" s="1231"/>
      <c r="D1" s="20">
        <v>41029</v>
      </c>
      <c r="H1" s="84">
        <f ca="1">NOW()</f>
        <v>44969.580674305558</v>
      </c>
      <c r="L1" s="35" t="s">
        <v>1247</v>
      </c>
      <c r="M1" s="836">
        <v>2</v>
      </c>
    </row>
    <row r="2" spans="1:19" x14ac:dyDescent="0.2">
      <c r="H2">
        <f ca="1">YEAR(H1)</f>
        <v>2023</v>
      </c>
      <c r="L2" s="35" t="s">
        <v>1248</v>
      </c>
      <c r="M2" s="836">
        <v>3</v>
      </c>
    </row>
    <row r="3" spans="1:19" x14ac:dyDescent="0.2">
      <c r="B3" t="s">
        <v>25</v>
      </c>
      <c r="E3" t="s">
        <v>26</v>
      </c>
      <c r="H3">
        <f ca="1">MONTH(H1)</f>
        <v>2</v>
      </c>
      <c r="L3" s="35" t="s">
        <v>1250</v>
      </c>
      <c r="M3" s="836">
        <v>4</v>
      </c>
    </row>
    <row r="4" spans="1:19" ht="13.5" thickBot="1" x14ac:dyDescent="0.25">
      <c r="B4" s="8" t="s">
        <v>18</v>
      </c>
      <c r="C4" s="7"/>
      <c r="E4" s="8" t="s">
        <v>20</v>
      </c>
      <c r="F4" s="7"/>
      <c r="H4">
        <f ca="1">IF(H3&lt;8, H2-1, H2)</f>
        <v>2022</v>
      </c>
      <c r="L4" s="35" t="s">
        <v>1251</v>
      </c>
      <c r="M4" s="836">
        <v>5</v>
      </c>
    </row>
    <row r="5" spans="1:19" x14ac:dyDescent="0.2">
      <c r="H5" s="831">
        <f ca="1">DATE(SENIOR1,1,1)</f>
        <v>37622</v>
      </c>
      <c r="L5" s="35" t="s">
        <v>1249</v>
      </c>
      <c r="M5" s="836">
        <v>6</v>
      </c>
      <c r="O5" s="535" t="s">
        <v>882</v>
      </c>
      <c r="P5" s="535" t="s">
        <v>885</v>
      </c>
      <c r="Q5" s="535" t="s">
        <v>883</v>
      </c>
      <c r="R5" s="535" t="s">
        <v>886</v>
      </c>
      <c r="S5" s="535" t="s">
        <v>884</v>
      </c>
    </row>
    <row r="6" spans="1:19" ht="13.5" thickBot="1" x14ac:dyDescent="0.25">
      <c r="B6" s="820">
        <f ca="1">B7-1</f>
        <v>1999</v>
      </c>
      <c r="C6" s="820" t="s">
        <v>1241</v>
      </c>
      <c r="E6" s="822">
        <f ca="1">E7-1</f>
        <v>1999</v>
      </c>
      <c r="F6" s="822" t="s">
        <v>1242</v>
      </c>
      <c r="H6" s="830" t="s">
        <v>1243</v>
      </c>
      <c r="L6" s="35" t="s">
        <v>1252</v>
      </c>
      <c r="M6" s="836">
        <v>6</v>
      </c>
      <c r="N6" s="820">
        <f ca="1">N7-1</f>
        <v>1999</v>
      </c>
      <c r="O6" s="821" t="s">
        <v>1242</v>
      </c>
      <c r="P6" s="821" t="s">
        <v>1242</v>
      </c>
      <c r="Q6" s="821" t="s">
        <v>1242</v>
      </c>
      <c r="R6" s="821" t="s">
        <v>1242</v>
      </c>
      <c r="S6" s="821" t="s">
        <v>1242</v>
      </c>
    </row>
    <row r="7" spans="1:19" ht="13.5" thickBot="1" x14ac:dyDescent="0.25">
      <c r="B7" s="820">
        <f ca="1">B8-1</f>
        <v>2000</v>
      </c>
      <c r="C7" s="820" t="s">
        <v>1241</v>
      </c>
      <c r="E7" s="822">
        <f ca="1">E8-1</f>
        <v>2000</v>
      </c>
      <c r="F7" s="822" t="s">
        <v>1242</v>
      </c>
      <c r="N7" s="820">
        <f ca="1">N8-1</f>
        <v>2000</v>
      </c>
      <c r="O7" s="821" t="s">
        <v>1242</v>
      </c>
      <c r="P7" s="821" t="s">
        <v>1242</v>
      </c>
      <c r="Q7" s="821" t="s">
        <v>1242</v>
      </c>
      <c r="R7" s="821" t="s">
        <v>1242</v>
      </c>
      <c r="S7" s="821" t="s">
        <v>1242</v>
      </c>
    </row>
    <row r="8" spans="1:19" x14ac:dyDescent="0.2">
      <c r="B8" s="25">
        <f ca="1">H4-21</f>
        <v>2001</v>
      </c>
      <c r="C8" s="26" t="s">
        <v>1241</v>
      </c>
      <c r="E8" s="823">
        <f ca="1">Barèmes!B8</f>
        <v>2001</v>
      </c>
      <c r="F8" s="537" t="s">
        <v>1242</v>
      </c>
      <c r="H8" s="3" t="s">
        <v>504</v>
      </c>
      <c r="N8">
        <f t="shared" ref="N8:N20" ca="1" si="0">E8</f>
        <v>2001</v>
      </c>
      <c r="O8" s="536">
        <v>60</v>
      </c>
      <c r="P8" s="540">
        <v>40</v>
      </c>
      <c r="Q8" s="536">
        <v>60</v>
      </c>
      <c r="R8" s="540" t="s">
        <v>1032</v>
      </c>
      <c r="S8" s="536">
        <v>80</v>
      </c>
    </row>
    <row r="9" spans="1:19" ht="13.5" thickBot="1" x14ac:dyDescent="0.25">
      <c r="B9" s="27">
        <f ca="1">B8+1</f>
        <v>2002</v>
      </c>
      <c r="C9" s="28" t="s">
        <v>1241</v>
      </c>
      <c r="E9" s="824">
        <f ca="1">Barèmes!B9</f>
        <v>2002</v>
      </c>
      <c r="F9" s="538" t="s">
        <v>1242</v>
      </c>
      <c r="H9" s="1232" t="str">
        <f>CATEG</f>
        <v>Collèges Mixtes Etablissement</v>
      </c>
      <c r="N9">
        <f t="shared" ca="1" si="0"/>
        <v>2002</v>
      </c>
      <c r="O9" s="536">
        <v>60</v>
      </c>
      <c r="P9" s="540">
        <v>40</v>
      </c>
      <c r="Q9" s="536">
        <v>60</v>
      </c>
      <c r="R9" s="540" t="s">
        <v>1032</v>
      </c>
      <c r="S9" s="536">
        <v>80</v>
      </c>
    </row>
    <row r="10" spans="1:19" ht="13.5" thickBot="1" x14ac:dyDescent="0.25">
      <c r="A10" s="471" t="s">
        <v>1240</v>
      </c>
      <c r="B10" s="827">
        <f t="shared" ref="B10:B20" ca="1" si="1">B9+1</f>
        <v>2003</v>
      </c>
      <c r="C10" s="28" t="s">
        <v>21</v>
      </c>
      <c r="E10" s="824">
        <f ca="1">Barèmes!B10</f>
        <v>2003</v>
      </c>
      <c r="F10" s="538">
        <f t="shared" ref="F10:F18" ca="1" si="2">VLOOKUP(E10,$N$6:$S$20,$H$11)</f>
        <v>60</v>
      </c>
      <c r="H10" s="1233"/>
      <c r="I10" s="471" t="s">
        <v>1239</v>
      </c>
      <c r="N10">
        <f t="shared" ca="1" si="0"/>
        <v>2003</v>
      </c>
      <c r="O10" s="536">
        <v>60</v>
      </c>
      <c r="P10" s="540">
        <v>40</v>
      </c>
      <c r="Q10" s="536">
        <v>60</v>
      </c>
      <c r="R10" s="540" t="s">
        <v>1032</v>
      </c>
      <c r="S10" s="536">
        <v>80</v>
      </c>
    </row>
    <row r="11" spans="1:19" x14ac:dyDescent="0.2">
      <c r="B11" s="27">
        <f t="shared" ca="1" si="1"/>
        <v>2004</v>
      </c>
      <c r="C11" s="28" t="s">
        <v>19</v>
      </c>
      <c r="E11" s="824">
        <f ca="1">Barèmes!B11</f>
        <v>2004</v>
      </c>
      <c r="F11" s="538">
        <f t="shared" ca="1" si="2"/>
        <v>60</v>
      </c>
      <c r="H11" s="536">
        <f>VLOOKUP(H9,L1:M6,2,FALSE)</f>
        <v>2</v>
      </c>
      <c r="I11" s="471" t="s">
        <v>1238</v>
      </c>
      <c r="N11">
        <f t="shared" ca="1" si="0"/>
        <v>2004</v>
      </c>
      <c r="O11" s="536">
        <v>60</v>
      </c>
      <c r="P11" s="540">
        <v>40</v>
      </c>
      <c r="Q11" s="536">
        <v>60</v>
      </c>
      <c r="R11" s="540" t="s">
        <v>1032</v>
      </c>
      <c r="S11" s="536">
        <v>80</v>
      </c>
    </row>
    <row r="12" spans="1:19" x14ac:dyDescent="0.2">
      <c r="B12" s="27">
        <f t="shared" ca="1" si="1"/>
        <v>2005</v>
      </c>
      <c r="C12" s="28" t="s">
        <v>19</v>
      </c>
      <c r="E12" s="824">
        <f ca="1">Barèmes!B12</f>
        <v>2005</v>
      </c>
      <c r="F12" s="538">
        <f t="shared" ca="1" si="2"/>
        <v>60</v>
      </c>
      <c r="N12">
        <f t="shared" ca="1" si="0"/>
        <v>2005</v>
      </c>
      <c r="O12" s="536">
        <v>60</v>
      </c>
      <c r="P12" s="540">
        <v>40</v>
      </c>
      <c r="Q12" s="536">
        <v>60</v>
      </c>
      <c r="R12" s="540" t="s">
        <v>1032</v>
      </c>
      <c r="S12" s="536">
        <v>80</v>
      </c>
    </row>
    <row r="13" spans="1:19" x14ac:dyDescent="0.2">
      <c r="B13" s="27">
        <f t="shared" ca="1" si="1"/>
        <v>2006</v>
      </c>
      <c r="C13" s="28" t="s">
        <v>6</v>
      </c>
      <c r="E13" s="824">
        <f ca="1">Barèmes!B13</f>
        <v>2006</v>
      </c>
      <c r="F13" s="538">
        <f t="shared" ca="1" si="2"/>
        <v>60</v>
      </c>
      <c r="N13">
        <f t="shared" ca="1" si="0"/>
        <v>2006</v>
      </c>
      <c r="O13" s="536">
        <v>60</v>
      </c>
      <c r="P13" s="540">
        <v>40</v>
      </c>
      <c r="Q13" s="536">
        <v>60</v>
      </c>
      <c r="R13" s="540" t="s">
        <v>1032</v>
      </c>
      <c r="S13" s="536">
        <v>80</v>
      </c>
    </row>
    <row r="14" spans="1:19" x14ac:dyDescent="0.2">
      <c r="B14" s="27">
        <f t="shared" ca="1" si="1"/>
        <v>2007</v>
      </c>
      <c r="C14" s="28" t="s">
        <v>6</v>
      </c>
      <c r="E14" s="824">
        <f ca="1">Barèmes!B14</f>
        <v>2007</v>
      </c>
      <c r="F14" s="538">
        <f t="shared" ca="1" si="2"/>
        <v>60</v>
      </c>
      <c r="N14">
        <f t="shared" ca="1" si="0"/>
        <v>2007</v>
      </c>
      <c r="O14" s="536">
        <v>60</v>
      </c>
      <c r="P14" s="540">
        <v>40</v>
      </c>
      <c r="Q14" s="536">
        <v>60</v>
      </c>
      <c r="R14" s="540" t="s">
        <v>1032</v>
      </c>
      <c r="S14" s="536">
        <v>80</v>
      </c>
    </row>
    <row r="15" spans="1:19" x14ac:dyDescent="0.2">
      <c r="B15" s="27">
        <f t="shared" ca="1" si="1"/>
        <v>2008</v>
      </c>
      <c r="C15" s="28" t="s">
        <v>5</v>
      </c>
      <c r="E15" s="824">
        <f ca="1">Barèmes!B15</f>
        <v>2008</v>
      </c>
      <c r="F15" s="538">
        <f t="shared" ca="1" si="2"/>
        <v>60</v>
      </c>
      <c r="N15">
        <f t="shared" ca="1" si="0"/>
        <v>2008</v>
      </c>
      <c r="O15" s="536">
        <v>60</v>
      </c>
      <c r="P15" s="536">
        <v>40</v>
      </c>
      <c r="Q15" s="536">
        <v>60</v>
      </c>
      <c r="R15" s="540" t="s">
        <v>1032</v>
      </c>
      <c r="S15" s="536">
        <v>80</v>
      </c>
    </row>
    <row r="16" spans="1:19" x14ac:dyDescent="0.2">
      <c r="B16" s="27">
        <f t="shared" ca="1" si="1"/>
        <v>2009</v>
      </c>
      <c r="C16" s="28" t="s">
        <v>5</v>
      </c>
      <c r="E16" s="824">
        <f ca="1">Barèmes!B16</f>
        <v>2009</v>
      </c>
      <c r="F16" s="538">
        <f t="shared" ca="1" si="2"/>
        <v>60</v>
      </c>
      <c r="N16">
        <f t="shared" ca="1" si="0"/>
        <v>2009</v>
      </c>
      <c r="O16" s="536">
        <v>60</v>
      </c>
      <c r="P16" s="536">
        <v>40</v>
      </c>
      <c r="Q16" s="536">
        <v>60</v>
      </c>
      <c r="R16" s="540" t="s">
        <v>1032</v>
      </c>
      <c r="S16" s="536">
        <v>80</v>
      </c>
    </row>
    <row r="17" spans="2:19" x14ac:dyDescent="0.2">
      <c r="B17" s="27">
        <f t="shared" ca="1" si="1"/>
        <v>2010</v>
      </c>
      <c r="C17" s="28" t="s">
        <v>4</v>
      </c>
      <c r="E17" s="824">
        <f ca="1">Barèmes!B17</f>
        <v>2010</v>
      </c>
      <c r="F17" s="538">
        <f t="shared" ca="1" si="2"/>
        <v>60</v>
      </c>
      <c r="N17">
        <f t="shared" ca="1" si="0"/>
        <v>2010</v>
      </c>
      <c r="O17" s="536">
        <v>60</v>
      </c>
      <c r="P17" s="536">
        <v>40</v>
      </c>
      <c r="Q17" s="536">
        <v>60</v>
      </c>
      <c r="R17" s="540" t="s">
        <v>1032</v>
      </c>
      <c r="S17" s="536">
        <v>80</v>
      </c>
    </row>
    <row r="18" spans="2:19" x14ac:dyDescent="0.2">
      <c r="B18" s="27">
        <f t="shared" ca="1" si="1"/>
        <v>2011</v>
      </c>
      <c r="C18" s="28" t="s">
        <v>4</v>
      </c>
      <c r="E18" s="824">
        <f ca="1">Barèmes!B18</f>
        <v>2011</v>
      </c>
      <c r="F18" s="538">
        <f t="shared" ca="1" si="2"/>
        <v>60</v>
      </c>
      <c r="N18">
        <f t="shared" ca="1" si="0"/>
        <v>2011</v>
      </c>
      <c r="O18" s="536">
        <v>60</v>
      </c>
      <c r="P18" s="536">
        <v>40</v>
      </c>
      <c r="Q18" s="536">
        <v>60</v>
      </c>
      <c r="R18" s="540" t="s">
        <v>1032</v>
      </c>
      <c r="S18" s="536">
        <v>80</v>
      </c>
    </row>
    <row r="19" spans="2:19" x14ac:dyDescent="0.2">
      <c r="B19" s="27">
        <f t="shared" ca="1" si="1"/>
        <v>2012</v>
      </c>
      <c r="C19" s="28" t="s">
        <v>4</v>
      </c>
      <c r="E19" s="824">
        <f ca="1">Barèmes!B19</f>
        <v>2012</v>
      </c>
      <c r="F19" s="538">
        <f ca="1">VLOOKUP(E19,$N$6:$S$20,$H$11)</f>
        <v>60</v>
      </c>
      <c r="N19">
        <f t="shared" ca="1" si="0"/>
        <v>2012</v>
      </c>
      <c r="O19" s="536">
        <v>60</v>
      </c>
      <c r="P19" s="536">
        <v>40</v>
      </c>
      <c r="Q19" s="536">
        <v>60</v>
      </c>
      <c r="R19" s="540" t="s">
        <v>1032</v>
      </c>
      <c r="S19" s="536">
        <v>80</v>
      </c>
    </row>
    <row r="20" spans="2:19" ht="13.5" thickBot="1" x14ac:dyDescent="0.25">
      <c r="B20" s="29">
        <f t="shared" ca="1" si="1"/>
        <v>2013</v>
      </c>
      <c r="C20" s="30" t="s">
        <v>47</v>
      </c>
      <c r="E20" s="825">
        <f ca="1">Barèmes!B20</f>
        <v>2013</v>
      </c>
      <c r="F20" s="539">
        <f ca="1">VLOOKUP(E20,$N$6:$S$20,$H$11)</f>
        <v>60</v>
      </c>
      <c r="N20">
        <f t="shared" ca="1" si="0"/>
        <v>2013</v>
      </c>
      <c r="O20" s="536">
        <v>60</v>
      </c>
      <c r="P20" s="536">
        <v>40</v>
      </c>
      <c r="Q20" s="536">
        <v>60</v>
      </c>
      <c r="R20" s="540" t="s">
        <v>1032</v>
      </c>
      <c r="S20" s="536">
        <v>80</v>
      </c>
    </row>
  </sheetData>
  <mergeCells count="2">
    <mergeCell ref="B1:C1"/>
    <mergeCell ref="H9:H10"/>
  </mergeCells>
  <phoneticPr fontId="0"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28"/>
  <dimension ref="A1:V98"/>
  <sheetViews>
    <sheetView workbookViewId="0">
      <selection activeCell="D3" sqref="D3:D98"/>
    </sheetView>
  </sheetViews>
  <sheetFormatPr baseColWidth="10" defaultRowHeight="12.75" x14ac:dyDescent="0.2"/>
  <cols>
    <col min="4" max="4" width="11.42578125" style="3"/>
  </cols>
  <sheetData>
    <row r="1" spans="1:22" x14ac:dyDescent="0.2">
      <c r="M1" t="s">
        <v>765</v>
      </c>
      <c r="Q1" t="s">
        <v>766</v>
      </c>
      <c r="U1" t="s">
        <v>767</v>
      </c>
    </row>
    <row r="2" spans="1:22" ht="15.75" thickBot="1" x14ac:dyDescent="0.25">
      <c r="D2" s="3" t="s">
        <v>631</v>
      </c>
      <c r="M2" s="267" t="s">
        <v>633</v>
      </c>
      <c r="N2" s="267" t="s">
        <v>634</v>
      </c>
      <c r="Q2" s="267" t="s">
        <v>677</v>
      </c>
      <c r="R2" s="267" t="s">
        <v>678</v>
      </c>
      <c r="U2" s="267" t="s">
        <v>721</v>
      </c>
      <c r="V2" s="267" t="s">
        <v>722</v>
      </c>
    </row>
    <row r="3" spans="1:22" ht="15" x14ac:dyDescent="0.2">
      <c r="A3" s="409">
        <f>Num_Cible</f>
        <v>1</v>
      </c>
      <c r="B3" s="106" t="s">
        <v>553</v>
      </c>
      <c r="D3" s="410" t="str">
        <f>A3&amp;B3</f>
        <v>1A</v>
      </c>
      <c r="M3" s="267" t="s">
        <v>635</v>
      </c>
      <c r="N3" s="267" t="s">
        <v>636</v>
      </c>
      <c r="Q3" s="267" t="s">
        <v>679</v>
      </c>
      <c r="R3" s="267" t="s">
        <v>680</v>
      </c>
      <c r="U3" s="267" t="s">
        <v>723</v>
      </c>
      <c r="V3" s="267" t="s">
        <v>724</v>
      </c>
    </row>
    <row r="4" spans="1:22" ht="15" x14ac:dyDescent="0.2">
      <c r="A4" s="407">
        <f>A3</f>
        <v>1</v>
      </c>
      <c r="B4" s="408" t="s">
        <v>482</v>
      </c>
      <c r="D4" s="410" t="str">
        <f t="shared" ref="D4:D67" si="0">A4&amp;B4</f>
        <v>1B</v>
      </c>
      <c r="M4" s="271"/>
      <c r="N4" s="271"/>
      <c r="Q4" s="271"/>
      <c r="R4" s="271"/>
      <c r="U4" s="271"/>
      <c r="V4" s="271"/>
    </row>
    <row r="5" spans="1:22" ht="15" x14ac:dyDescent="0.2">
      <c r="A5" s="407">
        <f>A4</f>
        <v>1</v>
      </c>
      <c r="B5" s="408" t="s">
        <v>483</v>
      </c>
      <c r="D5" s="410" t="str">
        <f t="shared" si="0"/>
        <v>1C</v>
      </c>
      <c r="M5" s="267" t="s">
        <v>637</v>
      </c>
      <c r="N5" s="267" t="s">
        <v>638</v>
      </c>
      <c r="Q5" s="267" t="s">
        <v>681</v>
      </c>
      <c r="R5" s="267" t="s">
        <v>682</v>
      </c>
      <c r="U5" s="267" t="s">
        <v>725</v>
      </c>
      <c r="V5" s="267" t="s">
        <v>726</v>
      </c>
    </row>
    <row r="6" spans="1:22" ht="15.75" thickBot="1" x14ac:dyDescent="0.25">
      <c r="A6" s="407">
        <f>A5</f>
        <v>1</v>
      </c>
      <c r="B6" s="107" t="s">
        <v>554</v>
      </c>
      <c r="D6" s="410" t="str">
        <f t="shared" si="0"/>
        <v>1D</v>
      </c>
      <c r="M6" s="267" t="s">
        <v>639</v>
      </c>
      <c r="N6" s="267" t="s">
        <v>640</v>
      </c>
      <c r="Q6" s="267" t="s">
        <v>683</v>
      </c>
      <c r="R6" s="267" t="s">
        <v>684</v>
      </c>
      <c r="U6" s="267" t="s">
        <v>727</v>
      </c>
      <c r="V6" s="267" t="s">
        <v>728</v>
      </c>
    </row>
    <row r="7" spans="1:22" ht="15" x14ac:dyDescent="0.2">
      <c r="A7" s="409">
        <f>A6+1</f>
        <v>2</v>
      </c>
      <c r="B7" s="106" t="s">
        <v>553</v>
      </c>
      <c r="D7" s="410" t="str">
        <f t="shared" si="0"/>
        <v>2A</v>
      </c>
      <c r="F7" t="s">
        <v>630</v>
      </c>
      <c r="M7" s="271"/>
      <c r="N7" s="271"/>
      <c r="Q7" s="271"/>
      <c r="R7" s="271"/>
      <c r="U7" s="272"/>
      <c r="V7" s="271"/>
    </row>
    <row r="8" spans="1:22" ht="15" x14ac:dyDescent="0.2">
      <c r="A8" s="407">
        <f>A7</f>
        <v>2</v>
      </c>
      <c r="B8" s="408" t="s">
        <v>482</v>
      </c>
      <c r="D8" s="410" t="str">
        <f t="shared" si="0"/>
        <v>2B</v>
      </c>
      <c r="M8" s="267" t="s">
        <v>641</v>
      </c>
      <c r="N8" s="267" t="s">
        <v>642</v>
      </c>
      <c r="Q8" s="267" t="s">
        <v>685</v>
      </c>
      <c r="R8" s="267" t="s">
        <v>686</v>
      </c>
      <c r="U8" s="267" t="s">
        <v>729</v>
      </c>
      <c r="V8" s="267" t="s">
        <v>730</v>
      </c>
    </row>
    <row r="9" spans="1:22" ht="15" x14ac:dyDescent="0.2">
      <c r="A9" s="407">
        <f>A8</f>
        <v>2</v>
      </c>
      <c r="B9" s="408" t="s">
        <v>483</v>
      </c>
      <c r="D9" s="410" t="str">
        <f t="shared" si="0"/>
        <v>2C</v>
      </c>
      <c r="F9" s="471" t="s">
        <v>854</v>
      </c>
      <c r="M9" s="267" t="s">
        <v>643</v>
      </c>
      <c r="N9" s="267" t="s">
        <v>644</v>
      </c>
      <c r="Q9" s="267" t="s">
        <v>687</v>
      </c>
      <c r="R9" s="267" t="s">
        <v>688</v>
      </c>
      <c r="U9" s="267" t="s">
        <v>731</v>
      </c>
      <c r="V9" s="267" t="s">
        <v>732</v>
      </c>
    </row>
    <row r="10" spans="1:22" ht="15.75" thickBot="1" x14ac:dyDescent="0.25">
      <c r="A10" s="407">
        <f>A9</f>
        <v>2</v>
      </c>
      <c r="B10" s="107" t="s">
        <v>554</v>
      </c>
      <c r="D10" s="410" t="str">
        <f t="shared" si="0"/>
        <v>2D</v>
      </c>
      <c r="M10" s="271"/>
      <c r="N10" s="271"/>
      <c r="Q10" s="271"/>
      <c r="R10" s="271"/>
      <c r="U10" s="271"/>
      <c r="V10" s="271"/>
    </row>
    <row r="11" spans="1:22" ht="15" x14ac:dyDescent="0.2">
      <c r="A11" s="409">
        <f>A10+1</f>
        <v>3</v>
      </c>
      <c r="B11" s="106" t="s">
        <v>553</v>
      </c>
      <c r="D11" s="410" t="str">
        <f t="shared" si="0"/>
        <v>3A</v>
      </c>
      <c r="M11" s="267" t="s">
        <v>645</v>
      </c>
      <c r="N11" s="267" t="s">
        <v>646</v>
      </c>
      <c r="Q11" s="267" t="s">
        <v>689</v>
      </c>
      <c r="R11" s="267" t="s">
        <v>690</v>
      </c>
      <c r="U11" s="267" t="s">
        <v>733</v>
      </c>
      <c r="V11" s="267" t="s">
        <v>734</v>
      </c>
    </row>
    <row r="12" spans="1:22" ht="15" x14ac:dyDescent="0.2">
      <c r="A12" s="407">
        <f>A11</f>
        <v>3</v>
      </c>
      <c r="B12" s="408" t="s">
        <v>482</v>
      </c>
      <c r="D12" s="410" t="str">
        <f t="shared" si="0"/>
        <v>3B</v>
      </c>
      <c r="M12" s="267" t="s">
        <v>647</v>
      </c>
      <c r="N12" s="267" t="s">
        <v>648</v>
      </c>
      <c r="Q12" s="267" t="s">
        <v>691</v>
      </c>
      <c r="R12" s="267" t="s">
        <v>692</v>
      </c>
      <c r="U12" s="267" t="s">
        <v>735</v>
      </c>
      <c r="V12" s="267" t="s">
        <v>736</v>
      </c>
    </row>
    <row r="13" spans="1:22" ht="15" x14ac:dyDescent="0.2">
      <c r="A13" s="407">
        <f>A12</f>
        <v>3</v>
      </c>
      <c r="B13" s="408" t="s">
        <v>483</v>
      </c>
      <c r="D13" s="410" t="str">
        <f t="shared" si="0"/>
        <v>3C</v>
      </c>
      <c r="M13" s="271"/>
      <c r="N13" s="271"/>
      <c r="Q13" s="271"/>
      <c r="R13" s="271"/>
      <c r="U13" s="271"/>
      <c r="V13" s="271"/>
    </row>
    <row r="14" spans="1:22" ht="15.75" thickBot="1" x14ac:dyDescent="0.25">
      <c r="A14" s="407">
        <f>A13</f>
        <v>3</v>
      </c>
      <c r="B14" s="107" t="s">
        <v>554</v>
      </c>
      <c r="D14" s="410" t="str">
        <f t="shared" si="0"/>
        <v>3D</v>
      </c>
      <c r="M14" s="267" t="s">
        <v>649</v>
      </c>
      <c r="N14" s="267" t="s">
        <v>650</v>
      </c>
      <c r="Q14" s="267" t="s">
        <v>693</v>
      </c>
      <c r="R14" s="267" t="s">
        <v>694</v>
      </c>
      <c r="U14" s="267" t="s">
        <v>737</v>
      </c>
      <c r="V14" s="267" t="s">
        <v>738</v>
      </c>
    </row>
    <row r="15" spans="1:22" ht="15" x14ac:dyDescent="0.2">
      <c r="A15" s="409">
        <f>A14+1</f>
        <v>4</v>
      </c>
      <c r="B15" s="106" t="s">
        <v>553</v>
      </c>
      <c r="D15" s="410" t="str">
        <f t="shared" si="0"/>
        <v>4A</v>
      </c>
      <c r="M15" s="267" t="s">
        <v>651</v>
      </c>
      <c r="N15" s="267" t="s">
        <v>652</v>
      </c>
      <c r="Q15" s="267" t="s">
        <v>695</v>
      </c>
      <c r="R15" s="267" t="s">
        <v>696</v>
      </c>
      <c r="U15" s="267" t="s">
        <v>739</v>
      </c>
      <c r="V15" s="267" t="s">
        <v>740</v>
      </c>
    </row>
    <row r="16" spans="1:22" ht="15" x14ac:dyDescent="0.2">
      <c r="A16" s="407">
        <f>A15</f>
        <v>4</v>
      </c>
      <c r="B16" s="408" t="s">
        <v>482</v>
      </c>
      <c r="D16" s="410" t="str">
        <f t="shared" si="0"/>
        <v>4B</v>
      </c>
      <c r="M16" s="271"/>
      <c r="N16" s="271"/>
      <c r="Q16" s="271"/>
      <c r="R16" s="271"/>
      <c r="U16" s="273"/>
      <c r="V16" s="273"/>
    </row>
    <row r="17" spans="1:22" ht="15" x14ac:dyDescent="0.2">
      <c r="A17" s="407">
        <f>A16</f>
        <v>4</v>
      </c>
      <c r="B17" s="408" t="s">
        <v>483</v>
      </c>
      <c r="D17" s="410" t="str">
        <f t="shared" si="0"/>
        <v>4C</v>
      </c>
      <c r="M17" s="267" t="s">
        <v>653</v>
      </c>
      <c r="N17" s="267" t="s">
        <v>654</v>
      </c>
      <c r="Q17" s="267" t="s">
        <v>697</v>
      </c>
      <c r="R17" s="267" t="s">
        <v>698</v>
      </c>
      <c r="U17" s="267" t="s">
        <v>741</v>
      </c>
      <c r="V17" s="267" t="s">
        <v>742</v>
      </c>
    </row>
    <row r="18" spans="1:22" ht="15.75" thickBot="1" x14ac:dyDescent="0.25">
      <c r="A18" s="407">
        <f>A17</f>
        <v>4</v>
      </c>
      <c r="B18" s="107" t="s">
        <v>554</v>
      </c>
      <c r="D18" s="410" t="str">
        <f t="shared" si="0"/>
        <v>4D</v>
      </c>
      <c r="M18" s="267" t="s">
        <v>655</v>
      </c>
      <c r="N18" s="267" t="s">
        <v>656</v>
      </c>
      <c r="Q18" s="267" t="s">
        <v>699</v>
      </c>
      <c r="R18" s="267" t="s">
        <v>700</v>
      </c>
      <c r="U18" s="274" t="s">
        <v>743</v>
      </c>
      <c r="V18" s="274" t="s">
        <v>744</v>
      </c>
    </row>
    <row r="19" spans="1:22" ht="15" x14ac:dyDescent="0.2">
      <c r="A19" s="409">
        <f>A18+1</f>
        <v>5</v>
      </c>
      <c r="B19" s="106" t="s">
        <v>553</v>
      </c>
      <c r="D19" s="410" t="str">
        <f t="shared" si="0"/>
        <v>5A</v>
      </c>
      <c r="M19" s="271"/>
      <c r="N19" s="271"/>
      <c r="Q19" s="271"/>
      <c r="R19" s="271"/>
      <c r="U19" s="271"/>
      <c r="V19" s="271"/>
    </row>
    <row r="20" spans="1:22" ht="15" x14ac:dyDescent="0.2">
      <c r="A20" s="407">
        <f>A19</f>
        <v>5</v>
      </c>
      <c r="B20" s="408" t="s">
        <v>482</v>
      </c>
      <c r="D20" s="410" t="str">
        <f t="shared" si="0"/>
        <v>5B</v>
      </c>
      <c r="M20" s="267" t="s">
        <v>657</v>
      </c>
      <c r="N20" s="267" t="s">
        <v>658</v>
      </c>
      <c r="Q20" s="267" t="s">
        <v>701</v>
      </c>
      <c r="R20" s="267" t="s">
        <v>702</v>
      </c>
      <c r="U20" s="267" t="s">
        <v>745</v>
      </c>
      <c r="V20" s="267" t="s">
        <v>746</v>
      </c>
    </row>
    <row r="21" spans="1:22" ht="15" x14ac:dyDescent="0.2">
      <c r="A21" s="407">
        <f>A20</f>
        <v>5</v>
      </c>
      <c r="B21" s="408" t="s">
        <v>483</v>
      </c>
      <c r="D21" s="410" t="str">
        <f t="shared" si="0"/>
        <v>5C</v>
      </c>
      <c r="M21" s="267" t="s">
        <v>659</v>
      </c>
      <c r="N21" s="267" t="s">
        <v>660</v>
      </c>
      <c r="Q21" s="267" t="s">
        <v>703</v>
      </c>
      <c r="R21" s="267" t="s">
        <v>704</v>
      </c>
      <c r="U21" s="267" t="s">
        <v>747</v>
      </c>
      <c r="V21" s="267" t="s">
        <v>748</v>
      </c>
    </row>
    <row r="22" spans="1:22" ht="15.75" thickBot="1" x14ac:dyDescent="0.25">
      <c r="A22" s="407">
        <f>A21</f>
        <v>5</v>
      </c>
      <c r="B22" s="107" t="s">
        <v>554</v>
      </c>
      <c r="D22" s="410" t="str">
        <f t="shared" si="0"/>
        <v>5D</v>
      </c>
      <c r="M22" s="271"/>
      <c r="N22" s="271"/>
      <c r="Q22" s="271"/>
      <c r="R22" s="271"/>
      <c r="U22" s="271"/>
      <c r="V22" s="271"/>
    </row>
    <row r="23" spans="1:22" ht="15" x14ac:dyDescent="0.2">
      <c r="A23" s="409">
        <f>A22+1</f>
        <v>6</v>
      </c>
      <c r="B23" s="106" t="s">
        <v>553</v>
      </c>
      <c r="D23" s="410" t="str">
        <f t="shared" si="0"/>
        <v>6A</v>
      </c>
      <c r="M23" s="267" t="s">
        <v>661</v>
      </c>
      <c r="N23" s="267" t="s">
        <v>662</v>
      </c>
      <c r="Q23" s="267" t="s">
        <v>705</v>
      </c>
      <c r="R23" s="267" t="s">
        <v>706</v>
      </c>
      <c r="U23" s="267" t="s">
        <v>749</v>
      </c>
      <c r="V23" s="267" t="s">
        <v>750</v>
      </c>
    </row>
    <row r="24" spans="1:22" ht="15" x14ac:dyDescent="0.2">
      <c r="A24" s="407">
        <f>A23</f>
        <v>6</v>
      </c>
      <c r="B24" s="408" t="s">
        <v>482</v>
      </c>
      <c r="D24" s="410" t="str">
        <f t="shared" si="0"/>
        <v>6B</v>
      </c>
      <c r="M24" s="267" t="s">
        <v>663</v>
      </c>
      <c r="N24" s="267" t="s">
        <v>664</v>
      </c>
      <c r="Q24" s="267" t="s">
        <v>707</v>
      </c>
      <c r="R24" s="267" t="s">
        <v>708</v>
      </c>
      <c r="U24" s="267" t="s">
        <v>751</v>
      </c>
      <c r="V24" s="267" t="s">
        <v>752</v>
      </c>
    </row>
    <row r="25" spans="1:22" ht="15" x14ac:dyDescent="0.2">
      <c r="A25" s="407">
        <f>A24</f>
        <v>6</v>
      </c>
      <c r="B25" s="408" t="s">
        <v>483</v>
      </c>
      <c r="D25" s="410" t="str">
        <f t="shared" si="0"/>
        <v>6C</v>
      </c>
      <c r="M25" s="271"/>
      <c r="N25" s="271"/>
      <c r="Q25" s="271"/>
      <c r="R25" s="271"/>
      <c r="U25" s="271"/>
      <c r="V25" s="271"/>
    </row>
    <row r="26" spans="1:22" ht="15.75" thickBot="1" x14ac:dyDescent="0.25">
      <c r="A26" s="407">
        <f>A25</f>
        <v>6</v>
      </c>
      <c r="B26" s="107" t="s">
        <v>554</v>
      </c>
      <c r="D26" s="410" t="str">
        <f t="shared" si="0"/>
        <v>6D</v>
      </c>
      <c r="M26" s="267" t="s">
        <v>665</v>
      </c>
      <c r="N26" s="267" t="s">
        <v>666</v>
      </c>
      <c r="Q26" s="267" t="s">
        <v>709</v>
      </c>
      <c r="R26" s="267" t="s">
        <v>710</v>
      </c>
      <c r="U26" s="267" t="s">
        <v>753</v>
      </c>
      <c r="V26" s="267" t="s">
        <v>754</v>
      </c>
    </row>
    <row r="27" spans="1:22" ht="15" x14ac:dyDescent="0.2">
      <c r="A27" s="409">
        <f>A26+1</f>
        <v>7</v>
      </c>
      <c r="B27" s="106" t="s">
        <v>553</v>
      </c>
      <c r="D27" s="410" t="str">
        <f t="shared" si="0"/>
        <v>7A</v>
      </c>
      <c r="M27" s="267" t="s">
        <v>667</v>
      </c>
      <c r="N27" s="267" t="s">
        <v>668</v>
      </c>
      <c r="Q27" s="267" t="s">
        <v>711</v>
      </c>
      <c r="R27" s="267" t="s">
        <v>712</v>
      </c>
      <c r="U27" s="267" t="s">
        <v>755</v>
      </c>
      <c r="V27" s="267" t="s">
        <v>756</v>
      </c>
    </row>
    <row r="28" spans="1:22" ht="15" x14ac:dyDescent="0.2">
      <c r="A28" s="407">
        <f>A27</f>
        <v>7</v>
      </c>
      <c r="B28" s="408" t="s">
        <v>482</v>
      </c>
      <c r="D28" s="410" t="str">
        <f t="shared" si="0"/>
        <v>7B</v>
      </c>
      <c r="M28" s="271"/>
      <c r="N28" s="271"/>
      <c r="Q28" s="271"/>
      <c r="R28" s="271"/>
      <c r="U28" s="271"/>
      <c r="V28" s="271"/>
    </row>
    <row r="29" spans="1:22" ht="15" x14ac:dyDescent="0.2">
      <c r="A29" s="407">
        <f>A28</f>
        <v>7</v>
      </c>
      <c r="B29" s="408" t="s">
        <v>483</v>
      </c>
      <c r="D29" s="410" t="str">
        <f t="shared" si="0"/>
        <v>7C</v>
      </c>
      <c r="M29" s="267" t="s">
        <v>669</v>
      </c>
      <c r="N29" s="267" t="s">
        <v>670</v>
      </c>
      <c r="Q29" s="267" t="s">
        <v>713</v>
      </c>
      <c r="R29" s="267" t="s">
        <v>714</v>
      </c>
      <c r="U29" s="267" t="s">
        <v>757</v>
      </c>
      <c r="V29" s="267" t="s">
        <v>758</v>
      </c>
    </row>
    <row r="30" spans="1:22" ht="15.75" thickBot="1" x14ac:dyDescent="0.25">
      <c r="A30" s="407">
        <f>A29</f>
        <v>7</v>
      </c>
      <c r="B30" s="107" t="s">
        <v>554</v>
      </c>
      <c r="D30" s="410" t="str">
        <f t="shared" si="0"/>
        <v>7D</v>
      </c>
      <c r="M30" s="267" t="s">
        <v>671</v>
      </c>
      <c r="N30" s="267" t="s">
        <v>672</v>
      </c>
      <c r="Q30" s="267" t="s">
        <v>715</v>
      </c>
      <c r="R30" s="267" t="s">
        <v>716</v>
      </c>
      <c r="U30" s="267" t="s">
        <v>759</v>
      </c>
      <c r="V30" s="267" t="s">
        <v>760</v>
      </c>
    </row>
    <row r="31" spans="1:22" ht="15" x14ac:dyDescent="0.2">
      <c r="A31" s="409">
        <f>A30+1</f>
        <v>8</v>
      </c>
      <c r="B31" s="106" t="s">
        <v>553</v>
      </c>
      <c r="D31" s="410" t="str">
        <f t="shared" si="0"/>
        <v>8A</v>
      </c>
      <c r="M31" s="271"/>
      <c r="N31" s="271"/>
      <c r="Q31" s="271"/>
      <c r="R31" s="271"/>
      <c r="U31" s="271"/>
      <c r="V31" s="271"/>
    </row>
    <row r="32" spans="1:22" ht="15" x14ac:dyDescent="0.2">
      <c r="A32" s="407">
        <f>A31</f>
        <v>8</v>
      </c>
      <c r="B32" s="408" t="s">
        <v>482</v>
      </c>
      <c r="D32" s="410" t="str">
        <f t="shared" si="0"/>
        <v>8B</v>
      </c>
      <c r="M32" s="267" t="s">
        <v>673</v>
      </c>
      <c r="N32" s="267" t="s">
        <v>674</v>
      </c>
      <c r="Q32" s="267" t="s">
        <v>717</v>
      </c>
      <c r="R32" s="267" t="s">
        <v>718</v>
      </c>
      <c r="U32" s="267" t="s">
        <v>761</v>
      </c>
      <c r="V32" s="267" t="s">
        <v>762</v>
      </c>
    </row>
    <row r="33" spans="1:22" ht="15" x14ac:dyDescent="0.2">
      <c r="A33" s="407">
        <f>A32</f>
        <v>8</v>
      </c>
      <c r="B33" s="408" t="s">
        <v>483</v>
      </c>
      <c r="D33" s="410" t="str">
        <f t="shared" si="0"/>
        <v>8C</v>
      </c>
      <c r="M33" s="267" t="s">
        <v>675</v>
      </c>
      <c r="N33" s="267" t="s">
        <v>676</v>
      </c>
      <c r="Q33" s="267" t="s">
        <v>719</v>
      </c>
      <c r="R33" s="267" t="s">
        <v>720</v>
      </c>
      <c r="U33" s="267" t="s">
        <v>763</v>
      </c>
      <c r="V33" s="267" t="s">
        <v>764</v>
      </c>
    </row>
    <row r="34" spans="1:22" ht="13.5" thickBot="1" x14ac:dyDescent="0.25">
      <c r="A34" s="407">
        <f>A33</f>
        <v>8</v>
      </c>
      <c r="B34" s="107" t="s">
        <v>554</v>
      </c>
      <c r="D34" s="410" t="str">
        <f t="shared" si="0"/>
        <v>8D</v>
      </c>
    </row>
    <row r="35" spans="1:22" x14ac:dyDescent="0.2">
      <c r="A35" s="409">
        <f>A34+1</f>
        <v>9</v>
      </c>
      <c r="B35" s="106" t="s">
        <v>553</v>
      </c>
      <c r="D35" s="410" t="str">
        <f t="shared" si="0"/>
        <v>9A</v>
      </c>
    </row>
    <row r="36" spans="1:22" x14ac:dyDescent="0.2">
      <c r="A36" s="407">
        <f>A35</f>
        <v>9</v>
      </c>
      <c r="B36" s="408" t="s">
        <v>482</v>
      </c>
      <c r="D36" s="410" t="str">
        <f t="shared" si="0"/>
        <v>9B</v>
      </c>
    </row>
    <row r="37" spans="1:22" x14ac:dyDescent="0.2">
      <c r="A37" s="407">
        <f>A36</f>
        <v>9</v>
      </c>
      <c r="B37" s="408" t="s">
        <v>483</v>
      </c>
      <c r="D37" s="410" t="str">
        <f t="shared" si="0"/>
        <v>9C</v>
      </c>
    </row>
    <row r="38" spans="1:22" ht="13.5" thickBot="1" x14ac:dyDescent="0.25">
      <c r="A38" s="407">
        <f>A37</f>
        <v>9</v>
      </c>
      <c r="B38" s="107" t="s">
        <v>554</v>
      </c>
      <c r="D38" s="410" t="str">
        <f t="shared" si="0"/>
        <v>9D</v>
      </c>
    </row>
    <row r="39" spans="1:22" x14ac:dyDescent="0.2">
      <c r="A39" s="409">
        <f>A38+1</f>
        <v>10</v>
      </c>
      <c r="B39" s="106" t="s">
        <v>553</v>
      </c>
      <c r="D39" s="410" t="str">
        <f t="shared" si="0"/>
        <v>10A</v>
      </c>
    </row>
    <row r="40" spans="1:22" x14ac:dyDescent="0.2">
      <c r="A40" s="407">
        <f>A39</f>
        <v>10</v>
      </c>
      <c r="B40" s="408" t="s">
        <v>482</v>
      </c>
      <c r="D40" s="410" t="str">
        <f t="shared" si="0"/>
        <v>10B</v>
      </c>
    </row>
    <row r="41" spans="1:22" x14ac:dyDescent="0.2">
      <c r="A41" s="407">
        <f>A40</f>
        <v>10</v>
      </c>
      <c r="B41" s="408" t="s">
        <v>483</v>
      </c>
      <c r="D41" s="410" t="str">
        <f t="shared" si="0"/>
        <v>10C</v>
      </c>
    </row>
    <row r="42" spans="1:22" ht="13.5" thickBot="1" x14ac:dyDescent="0.25">
      <c r="A42" s="407">
        <f>A41</f>
        <v>10</v>
      </c>
      <c r="B42" s="107" t="s">
        <v>554</v>
      </c>
      <c r="D42" s="410" t="str">
        <f t="shared" si="0"/>
        <v>10D</v>
      </c>
    </row>
    <row r="43" spans="1:22" x14ac:dyDescent="0.2">
      <c r="A43" s="409">
        <f>A42+1</f>
        <v>11</v>
      </c>
      <c r="B43" s="106" t="s">
        <v>553</v>
      </c>
      <c r="D43" s="410" t="str">
        <f t="shared" si="0"/>
        <v>11A</v>
      </c>
    </row>
    <row r="44" spans="1:22" x14ac:dyDescent="0.2">
      <c r="A44" s="407">
        <f>A43</f>
        <v>11</v>
      </c>
      <c r="B44" s="408" t="s">
        <v>482</v>
      </c>
      <c r="D44" s="410" t="str">
        <f t="shared" si="0"/>
        <v>11B</v>
      </c>
    </row>
    <row r="45" spans="1:22" x14ac:dyDescent="0.2">
      <c r="A45" s="407">
        <f>A44</f>
        <v>11</v>
      </c>
      <c r="B45" s="408" t="s">
        <v>483</v>
      </c>
      <c r="D45" s="410" t="str">
        <f t="shared" si="0"/>
        <v>11C</v>
      </c>
    </row>
    <row r="46" spans="1:22" ht="13.5" thickBot="1" x14ac:dyDescent="0.25">
      <c r="A46" s="407">
        <f>A45</f>
        <v>11</v>
      </c>
      <c r="B46" s="107" t="s">
        <v>554</v>
      </c>
      <c r="D46" s="410" t="str">
        <f t="shared" si="0"/>
        <v>11D</v>
      </c>
    </row>
    <row r="47" spans="1:22" x14ac:dyDescent="0.2">
      <c r="A47" s="409">
        <f>A46+1</f>
        <v>12</v>
      </c>
      <c r="B47" s="106" t="s">
        <v>553</v>
      </c>
      <c r="D47" s="410" t="str">
        <f t="shared" si="0"/>
        <v>12A</v>
      </c>
    </row>
    <row r="48" spans="1:22" x14ac:dyDescent="0.2">
      <c r="A48" s="407">
        <f>A47</f>
        <v>12</v>
      </c>
      <c r="B48" s="408" t="s">
        <v>482</v>
      </c>
      <c r="D48" s="410" t="str">
        <f t="shared" si="0"/>
        <v>12B</v>
      </c>
    </row>
    <row r="49" spans="1:4" x14ac:dyDescent="0.2">
      <c r="A49" s="407">
        <f>A48</f>
        <v>12</v>
      </c>
      <c r="B49" s="408" t="s">
        <v>483</v>
      </c>
      <c r="D49" s="410" t="str">
        <f t="shared" si="0"/>
        <v>12C</v>
      </c>
    </row>
    <row r="50" spans="1:4" ht="13.5" thickBot="1" x14ac:dyDescent="0.25">
      <c r="A50" s="407">
        <f>A49</f>
        <v>12</v>
      </c>
      <c r="B50" s="107" t="s">
        <v>554</v>
      </c>
      <c r="D50" s="410" t="str">
        <f t="shared" si="0"/>
        <v>12D</v>
      </c>
    </row>
    <row r="51" spans="1:4" x14ac:dyDescent="0.2">
      <c r="A51" s="409">
        <f>A50+1</f>
        <v>13</v>
      </c>
      <c r="B51" s="106" t="s">
        <v>553</v>
      </c>
      <c r="D51" s="410" t="str">
        <f t="shared" si="0"/>
        <v>13A</v>
      </c>
    </row>
    <row r="52" spans="1:4" x14ac:dyDescent="0.2">
      <c r="A52" s="407">
        <f>A51</f>
        <v>13</v>
      </c>
      <c r="B52" s="408" t="s">
        <v>482</v>
      </c>
      <c r="D52" s="410" t="str">
        <f t="shared" si="0"/>
        <v>13B</v>
      </c>
    </row>
    <row r="53" spans="1:4" x14ac:dyDescent="0.2">
      <c r="A53" s="407">
        <f>A52</f>
        <v>13</v>
      </c>
      <c r="B53" s="408" t="s">
        <v>483</v>
      </c>
      <c r="D53" s="410" t="str">
        <f t="shared" si="0"/>
        <v>13C</v>
      </c>
    </row>
    <row r="54" spans="1:4" ht="13.5" thickBot="1" x14ac:dyDescent="0.25">
      <c r="A54" s="407">
        <f>A53</f>
        <v>13</v>
      </c>
      <c r="B54" s="107" t="s">
        <v>554</v>
      </c>
      <c r="D54" s="410" t="str">
        <f t="shared" si="0"/>
        <v>13D</v>
      </c>
    </row>
    <row r="55" spans="1:4" x14ac:dyDescent="0.2">
      <c r="A55" s="409">
        <f>A54+1</f>
        <v>14</v>
      </c>
      <c r="B55" s="106" t="s">
        <v>553</v>
      </c>
      <c r="D55" s="410" t="str">
        <f t="shared" si="0"/>
        <v>14A</v>
      </c>
    </row>
    <row r="56" spans="1:4" x14ac:dyDescent="0.2">
      <c r="A56" s="407">
        <f>A55</f>
        <v>14</v>
      </c>
      <c r="B56" s="408" t="s">
        <v>482</v>
      </c>
      <c r="D56" s="410" t="str">
        <f t="shared" si="0"/>
        <v>14B</v>
      </c>
    </row>
    <row r="57" spans="1:4" x14ac:dyDescent="0.2">
      <c r="A57" s="407">
        <f>A56</f>
        <v>14</v>
      </c>
      <c r="B57" s="408" t="s">
        <v>483</v>
      </c>
      <c r="D57" s="410" t="str">
        <f t="shared" si="0"/>
        <v>14C</v>
      </c>
    </row>
    <row r="58" spans="1:4" ht="13.5" thickBot="1" x14ac:dyDescent="0.25">
      <c r="A58" s="407">
        <f>A57</f>
        <v>14</v>
      </c>
      <c r="B58" s="107" t="s">
        <v>554</v>
      </c>
      <c r="D58" s="410" t="str">
        <f t="shared" si="0"/>
        <v>14D</v>
      </c>
    </row>
    <row r="59" spans="1:4" x14ac:dyDescent="0.2">
      <c r="A59" s="409">
        <f>A58+1</f>
        <v>15</v>
      </c>
      <c r="B59" s="106" t="s">
        <v>553</v>
      </c>
      <c r="D59" s="410" t="str">
        <f t="shared" si="0"/>
        <v>15A</v>
      </c>
    </row>
    <row r="60" spans="1:4" x14ac:dyDescent="0.2">
      <c r="A60" s="407">
        <f>A59</f>
        <v>15</v>
      </c>
      <c r="B60" s="408" t="s">
        <v>482</v>
      </c>
      <c r="D60" s="410" t="str">
        <f t="shared" si="0"/>
        <v>15B</v>
      </c>
    </row>
    <row r="61" spans="1:4" x14ac:dyDescent="0.2">
      <c r="A61" s="407">
        <f>A60</f>
        <v>15</v>
      </c>
      <c r="B61" s="408" t="s">
        <v>483</v>
      </c>
      <c r="D61" s="410" t="str">
        <f t="shared" si="0"/>
        <v>15C</v>
      </c>
    </row>
    <row r="62" spans="1:4" ht="13.5" thickBot="1" x14ac:dyDescent="0.25">
      <c r="A62" s="407">
        <f>A61</f>
        <v>15</v>
      </c>
      <c r="B62" s="107" t="s">
        <v>554</v>
      </c>
      <c r="D62" s="410" t="str">
        <f t="shared" si="0"/>
        <v>15D</v>
      </c>
    </row>
    <row r="63" spans="1:4" x14ac:dyDescent="0.2">
      <c r="A63" s="409">
        <f>A62+1</f>
        <v>16</v>
      </c>
      <c r="B63" s="106" t="s">
        <v>553</v>
      </c>
      <c r="D63" s="410" t="str">
        <f t="shared" si="0"/>
        <v>16A</v>
      </c>
    </row>
    <row r="64" spans="1:4" x14ac:dyDescent="0.2">
      <c r="A64" s="407">
        <f>A63</f>
        <v>16</v>
      </c>
      <c r="B64" s="408" t="s">
        <v>482</v>
      </c>
      <c r="D64" s="410" t="str">
        <f t="shared" si="0"/>
        <v>16B</v>
      </c>
    </row>
    <row r="65" spans="1:4" x14ac:dyDescent="0.2">
      <c r="A65" s="407">
        <f>A64</f>
        <v>16</v>
      </c>
      <c r="B65" s="408" t="s">
        <v>483</v>
      </c>
      <c r="D65" s="410" t="str">
        <f t="shared" si="0"/>
        <v>16C</v>
      </c>
    </row>
    <row r="66" spans="1:4" ht="13.5" thickBot="1" x14ac:dyDescent="0.25">
      <c r="A66" s="407">
        <f>A65</f>
        <v>16</v>
      </c>
      <c r="B66" s="107" t="s">
        <v>554</v>
      </c>
      <c r="D66" s="410" t="str">
        <f t="shared" si="0"/>
        <v>16D</v>
      </c>
    </row>
    <row r="67" spans="1:4" x14ac:dyDescent="0.2">
      <c r="A67" s="409">
        <f>A66+1</f>
        <v>17</v>
      </c>
      <c r="B67" s="106" t="s">
        <v>553</v>
      </c>
      <c r="D67" s="410" t="str">
        <f t="shared" si="0"/>
        <v>17A</v>
      </c>
    </row>
    <row r="68" spans="1:4" x14ac:dyDescent="0.2">
      <c r="A68" s="407">
        <f>A67</f>
        <v>17</v>
      </c>
      <c r="B68" s="408" t="s">
        <v>482</v>
      </c>
      <c r="D68" s="410" t="str">
        <f t="shared" ref="D68:D98" si="1">A68&amp;B68</f>
        <v>17B</v>
      </c>
    </row>
    <row r="69" spans="1:4" x14ac:dyDescent="0.2">
      <c r="A69" s="407">
        <f>A68</f>
        <v>17</v>
      </c>
      <c r="B69" s="408" t="s">
        <v>483</v>
      </c>
      <c r="D69" s="410" t="str">
        <f t="shared" si="1"/>
        <v>17C</v>
      </c>
    </row>
    <row r="70" spans="1:4" ht="13.5" thickBot="1" x14ac:dyDescent="0.25">
      <c r="A70" s="407">
        <f>A69</f>
        <v>17</v>
      </c>
      <c r="B70" s="107" t="s">
        <v>554</v>
      </c>
      <c r="D70" s="410" t="str">
        <f t="shared" si="1"/>
        <v>17D</v>
      </c>
    </row>
    <row r="71" spans="1:4" x14ac:dyDescent="0.2">
      <c r="A71" s="409">
        <f>A70+1</f>
        <v>18</v>
      </c>
      <c r="B71" s="106" t="s">
        <v>553</v>
      </c>
      <c r="D71" s="410" t="str">
        <f t="shared" si="1"/>
        <v>18A</v>
      </c>
    </row>
    <row r="72" spans="1:4" x14ac:dyDescent="0.2">
      <c r="A72" s="407">
        <f>A71</f>
        <v>18</v>
      </c>
      <c r="B72" s="408" t="s">
        <v>482</v>
      </c>
      <c r="D72" s="410" t="str">
        <f t="shared" si="1"/>
        <v>18B</v>
      </c>
    </row>
    <row r="73" spans="1:4" x14ac:dyDescent="0.2">
      <c r="A73" s="407">
        <f>A72</f>
        <v>18</v>
      </c>
      <c r="B73" s="408" t="s">
        <v>483</v>
      </c>
      <c r="D73" s="410" t="str">
        <f t="shared" si="1"/>
        <v>18C</v>
      </c>
    </row>
    <row r="74" spans="1:4" ht="13.5" thickBot="1" x14ac:dyDescent="0.25">
      <c r="A74" s="407">
        <f>A73</f>
        <v>18</v>
      </c>
      <c r="B74" s="107" t="s">
        <v>554</v>
      </c>
      <c r="D74" s="410" t="str">
        <f t="shared" si="1"/>
        <v>18D</v>
      </c>
    </row>
    <row r="75" spans="1:4" x14ac:dyDescent="0.2">
      <c r="A75" s="409">
        <f>A74+1</f>
        <v>19</v>
      </c>
      <c r="B75" s="106" t="s">
        <v>553</v>
      </c>
      <c r="D75" s="410" t="str">
        <f t="shared" si="1"/>
        <v>19A</v>
      </c>
    </row>
    <row r="76" spans="1:4" x14ac:dyDescent="0.2">
      <c r="A76" s="407">
        <f>A75</f>
        <v>19</v>
      </c>
      <c r="B76" s="408" t="s">
        <v>482</v>
      </c>
      <c r="D76" s="410" t="str">
        <f t="shared" si="1"/>
        <v>19B</v>
      </c>
    </row>
    <row r="77" spans="1:4" x14ac:dyDescent="0.2">
      <c r="A77" s="407">
        <f>A76</f>
        <v>19</v>
      </c>
      <c r="B77" s="408" t="s">
        <v>483</v>
      </c>
      <c r="D77" s="410" t="str">
        <f t="shared" si="1"/>
        <v>19C</v>
      </c>
    </row>
    <row r="78" spans="1:4" ht="13.5" thickBot="1" x14ac:dyDescent="0.25">
      <c r="A78" s="407">
        <f>A77</f>
        <v>19</v>
      </c>
      <c r="B78" s="107" t="s">
        <v>554</v>
      </c>
      <c r="D78" s="410" t="str">
        <f t="shared" si="1"/>
        <v>19D</v>
      </c>
    </row>
    <row r="79" spans="1:4" x14ac:dyDescent="0.2">
      <c r="A79" s="409">
        <f>A78+1</f>
        <v>20</v>
      </c>
      <c r="B79" s="106" t="s">
        <v>553</v>
      </c>
      <c r="D79" s="410" t="str">
        <f t="shared" si="1"/>
        <v>20A</v>
      </c>
    </row>
    <row r="80" spans="1:4" x14ac:dyDescent="0.2">
      <c r="A80" s="407">
        <f>A79</f>
        <v>20</v>
      </c>
      <c r="B80" s="408" t="s">
        <v>482</v>
      </c>
      <c r="D80" s="410" t="str">
        <f t="shared" si="1"/>
        <v>20B</v>
      </c>
    </row>
    <row r="81" spans="1:4" x14ac:dyDescent="0.2">
      <c r="A81" s="407">
        <f>A80</f>
        <v>20</v>
      </c>
      <c r="B81" s="408" t="s">
        <v>483</v>
      </c>
      <c r="D81" s="410" t="str">
        <f t="shared" si="1"/>
        <v>20C</v>
      </c>
    </row>
    <row r="82" spans="1:4" ht="13.5" thickBot="1" x14ac:dyDescent="0.25">
      <c r="A82" s="407">
        <f>A81</f>
        <v>20</v>
      </c>
      <c r="B82" s="107" t="s">
        <v>554</v>
      </c>
      <c r="D82" s="410" t="str">
        <f t="shared" si="1"/>
        <v>20D</v>
      </c>
    </row>
    <row r="83" spans="1:4" x14ac:dyDescent="0.2">
      <c r="A83" s="409">
        <f>A82+1</f>
        <v>21</v>
      </c>
      <c r="B83" s="106" t="s">
        <v>553</v>
      </c>
      <c r="D83" s="410" t="str">
        <f t="shared" si="1"/>
        <v>21A</v>
      </c>
    </row>
    <row r="84" spans="1:4" x14ac:dyDescent="0.2">
      <c r="A84" s="407">
        <f>A83</f>
        <v>21</v>
      </c>
      <c r="B84" s="408" t="s">
        <v>482</v>
      </c>
      <c r="D84" s="410" t="str">
        <f t="shared" si="1"/>
        <v>21B</v>
      </c>
    </row>
    <row r="85" spans="1:4" x14ac:dyDescent="0.2">
      <c r="A85" s="407">
        <f>A84</f>
        <v>21</v>
      </c>
      <c r="B85" s="408" t="s">
        <v>483</v>
      </c>
      <c r="D85" s="410" t="str">
        <f t="shared" si="1"/>
        <v>21C</v>
      </c>
    </row>
    <row r="86" spans="1:4" ht="13.5" thickBot="1" x14ac:dyDescent="0.25">
      <c r="A86" s="407">
        <f>A85</f>
        <v>21</v>
      </c>
      <c r="B86" s="107" t="s">
        <v>554</v>
      </c>
      <c r="D86" s="410" t="str">
        <f t="shared" si="1"/>
        <v>21D</v>
      </c>
    </row>
    <row r="87" spans="1:4" x14ac:dyDescent="0.2">
      <c r="A87" s="409">
        <f>A86+1</f>
        <v>22</v>
      </c>
      <c r="B87" s="106" t="s">
        <v>553</v>
      </c>
      <c r="D87" s="410" t="str">
        <f t="shared" si="1"/>
        <v>22A</v>
      </c>
    </row>
    <row r="88" spans="1:4" x14ac:dyDescent="0.2">
      <c r="A88" s="407">
        <f>A87</f>
        <v>22</v>
      </c>
      <c r="B88" s="408" t="s">
        <v>482</v>
      </c>
      <c r="D88" s="410" t="str">
        <f t="shared" si="1"/>
        <v>22B</v>
      </c>
    </row>
    <row r="89" spans="1:4" x14ac:dyDescent="0.2">
      <c r="A89" s="407">
        <f>A88</f>
        <v>22</v>
      </c>
      <c r="B89" s="408" t="s">
        <v>483</v>
      </c>
      <c r="D89" s="410" t="str">
        <f t="shared" si="1"/>
        <v>22C</v>
      </c>
    </row>
    <row r="90" spans="1:4" ht="13.5" thickBot="1" x14ac:dyDescent="0.25">
      <c r="A90" s="407">
        <f>A89</f>
        <v>22</v>
      </c>
      <c r="B90" s="107" t="s">
        <v>554</v>
      </c>
      <c r="D90" s="410" t="str">
        <f t="shared" si="1"/>
        <v>22D</v>
      </c>
    </row>
    <row r="91" spans="1:4" x14ac:dyDescent="0.2">
      <c r="A91" s="409">
        <f>A90+1</f>
        <v>23</v>
      </c>
      <c r="B91" s="106" t="s">
        <v>553</v>
      </c>
      <c r="D91" s="410" t="str">
        <f t="shared" si="1"/>
        <v>23A</v>
      </c>
    </row>
    <row r="92" spans="1:4" x14ac:dyDescent="0.2">
      <c r="A92" s="407">
        <f>A91</f>
        <v>23</v>
      </c>
      <c r="B92" s="408" t="s">
        <v>482</v>
      </c>
      <c r="D92" s="410" t="str">
        <f t="shared" si="1"/>
        <v>23B</v>
      </c>
    </row>
    <row r="93" spans="1:4" x14ac:dyDescent="0.2">
      <c r="A93" s="407">
        <f>A92</f>
        <v>23</v>
      </c>
      <c r="B93" s="408" t="s">
        <v>483</v>
      </c>
      <c r="D93" s="410" t="str">
        <f t="shared" si="1"/>
        <v>23C</v>
      </c>
    </row>
    <row r="94" spans="1:4" ht="13.5" thickBot="1" x14ac:dyDescent="0.25">
      <c r="A94" s="407">
        <f>A93</f>
        <v>23</v>
      </c>
      <c r="B94" s="107" t="s">
        <v>554</v>
      </c>
      <c r="D94" s="410" t="str">
        <f t="shared" si="1"/>
        <v>23D</v>
      </c>
    </row>
    <row r="95" spans="1:4" x14ac:dyDescent="0.2">
      <c r="A95" s="409">
        <f>A94+1</f>
        <v>24</v>
      </c>
      <c r="B95" s="106" t="s">
        <v>553</v>
      </c>
      <c r="D95" s="410" t="str">
        <f t="shared" si="1"/>
        <v>24A</v>
      </c>
    </row>
    <row r="96" spans="1:4" x14ac:dyDescent="0.2">
      <c r="A96" s="407">
        <f>A95</f>
        <v>24</v>
      </c>
      <c r="B96" s="408" t="s">
        <v>482</v>
      </c>
      <c r="D96" s="410" t="str">
        <f t="shared" si="1"/>
        <v>24B</v>
      </c>
    </row>
    <row r="97" spans="1:4" x14ac:dyDescent="0.2">
      <c r="A97" s="407">
        <f>A96</f>
        <v>24</v>
      </c>
      <c r="B97" s="408" t="s">
        <v>483</v>
      </c>
      <c r="D97" s="410" t="str">
        <f t="shared" si="1"/>
        <v>24C</v>
      </c>
    </row>
    <row r="98" spans="1:4" ht="13.5" thickBot="1" x14ac:dyDescent="0.25">
      <c r="A98" s="407">
        <f>A97</f>
        <v>24</v>
      </c>
      <c r="B98" s="107" t="s">
        <v>554</v>
      </c>
      <c r="D98" s="410" t="str">
        <f t="shared" si="1"/>
        <v>24D</v>
      </c>
    </row>
  </sheetData>
  <sheetProtection selectLockedCells="1"/>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23">
    <pageSetUpPr fitToPage="1"/>
  </sheetPr>
  <dimension ref="A1:BW99"/>
  <sheetViews>
    <sheetView topLeftCell="C1" workbookViewId="0">
      <selection activeCell="L57" sqref="A1:L57"/>
    </sheetView>
  </sheetViews>
  <sheetFormatPr baseColWidth="10" defaultRowHeight="12.75" x14ac:dyDescent="0.2"/>
  <cols>
    <col min="2" max="3" width="30" bestFit="1" customWidth="1"/>
    <col min="4" max="4" width="18.28515625" bestFit="1" customWidth="1"/>
    <col min="5" max="5" width="13.85546875" bestFit="1" customWidth="1"/>
    <col min="6" max="6" width="18.28515625" bestFit="1" customWidth="1"/>
    <col min="7" max="7" width="12" bestFit="1" customWidth="1"/>
    <col min="8" max="8" width="11.42578125" customWidth="1"/>
    <col min="9" max="9" width="12.140625" customWidth="1"/>
    <col min="13" max="13" width="5" customWidth="1"/>
    <col min="14" max="14" width="36.28515625" bestFit="1" customWidth="1"/>
    <col min="15" max="15" width="31.28515625" bestFit="1" customWidth="1"/>
    <col min="16" max="16" width="20.7109375" bestFit="1" customWidth="1"/>
    <col min="17" max="18" width="7" customWidth="1"/>
    <col min="19" max="19" width="10.140625" bestFit="1" customWidth="1"/>
    <col min="20" max="20" width="7" customWidth="1"/>
    <col min="21" max="21" width="4" bestFit="1" customWidth="1"/>
    <col min="22" max="22" width="3" bestFit="1" customWidth="1"/>
    <col min="23" max="24" width="7" customWidth="1"/>
    <col min="25" max="25" width="10.140625" bestFit="1" customWidth="1"/>
    <col min="26" max="26" width="7" customWidth="1"/>
    <col min="27" max="27" width="4" bestFit="1" customWidth="1"/>
    <col min="28" max="28" width="3" bestFit="1" customWidth="1"/>
    <col min="29" max="30" width="7" customWidth="1"/>
    <col min="31" max="31" width="10.140625" bestFit="1" customWidth="1"/>
    <col min="32" max="32" width="7" customWidth="1"/>
    <col min="33" max="33" width="4" bestFit="1" customWidth="1"/>
    <col min="34" max="34" width="3" bestFit="1" customWidth="1"/>
    <col min="35" max="36" width="7" customWidth="1"/>
    <col min="37" max="37" width="10.140625" bestFit="1" customWidth="1"/>
    <col min="38" max="38" width="7" customWidth="1"/>
    <col min="39" max="39" width="4" bestFit="1" customWidth="1"/>
    <col min="40" max="40" width="3" bestFit="1" customWidth="1"/>
    <col min="41" max="41" width="30.85546875" bestFit="1" customWidth="1"/>
    <col min="42" max="42" width="34.85546875" customWidth="1"/>
    <col min="47" max="70" width="6.42578125" customWidth="1"/>
    <col min="71" max="72" width="13.5703125" customWidth="1"/>
  </cols>
  <sheetData>
    <row r="1" spans="1:75" ht="23.25" x14ac:dyDescent="0.35">
      <c r="A1" s="50" t="s">
        <v>14</v>
      </c>
      <c r="B1" s="40"/>
      <c r="C1" s="40"/>
      <c r="D1" s="40"/>
      <c r="E1" s="40"/>
      <c r="F1" s="40"/>
      <c r="G1" s="44"/>
      <c r="H1" s="49" t="s">
        <v>31</v>
      </c>
      <c r="I1" s="44"/>
      <c r="J1" s="50" t="s">
        <v>12</v>
      </c>
      <c r="K1" s="50" t="s">
        <v>14</v>
      </c>
      <c r="L1" s="50"/>
      <c r="N1" s="1028" t="s">
        <v>626</v>
      </c>
      <c r="O1" s="1028"/>
      <c r="P1" s="420" t="str">
        <f>CATEG_IMPORTEE</f>
        <v>Collèges Mixtes Etablissement</v>
      </c>
      <c r="AP1" s="498"/>
      <c r="AQ1" s="498"/>
      <c r="AR1" s="498"/>
      <c r="AS1" s="498"/>
      <c r="AT1" s="498"/>
      <c r="AU1" s="498"/>
      <c r="AV1" s="498"/>
      <c r="AW1" s="498"/>
      <c r="AX1" s="498"/>
      <c r="AY1" s="498"/>
      <c r="AZ1" s="498"/>
      <c r="BA1" s="498"/>
      <c r="BB1" s="498"/>
      <c r="BC1" s="498"/>
      <c r="BD1" s="498"/>
      <c r="BE1" s="498"/>
      <c r="BF1" s="498"/>
      <c r="BG1" s="498"/>
      <c r="BH1" s="498"/>
      <c r="BI1" s="498"/>
      <c r="BJ1" s="498"/>
      <c r="BK1" s="498"/>
      <c r="BL1" s="498"/>
      <c r="BM1" s="498"/>
      <c r="BN1" s="498"/>
      <c r="BO1" s="498"/>
      <c r="BP1" s="498"/>
      <c r="BQ1" s="498"/>
      <c r="BR1" s="498"/>
      <c r="BS1" s="498"/>
      <c r="BT1" s="471" t="s">
        <v>1034</v>
      </c>
      <c r="BV1" t="s">
        <v>918</v>
      </c>
      <c r="BW1" t="s">
        <v>917</v>
      </c>
    </row>
    <row r="2" spans="1:75" x14ac:dyDescent="0.2">
      <c r="A2" s="50" t="s">
        <v>13</v>
      </c>
      <c r="B2" s="51" t="s">
        <v>0</v>
      </c>
      <c r="C2" s="51" t="s">
        <v>375</v>
      </c>
      <c r="D2" s="51" t="s">
        <v>374</v>
      </c>
      <c r="E2" s="52" t="s">
        <v>1</v>
      </c>
      <c r="F2" s="52" t="s">
        <v>2</v>
      </c>
      <c r="G2" s="53" t="s">
        <v>33</v>
      </c>
      <c r="H2" s="52" t="s">
        <v>32</v>
      </c>
      <c r="I2" s="52" t="s">
        <v>377</v>
      </c>
      <c r="J2" s="52" t="s">
        <v>13</v>
      </c>
      <c r="K2" s="50" t="s">
        <v>13</v>
      </c>
      <c r="L2" s="50" t="s">
        <v>1027</v>
      </c>
      <c r="N2" s="44">
        <v>2</v>
      </c>
      <c r="O2" s="44">
        <v>3</v>
      </c>
      <c r="P2" s="44">
        <v>4</v>
      </c>
      <c r="Q2" s="44">
        <v>5</v>
      </c>
      <c r="R2" s="44">
        <v>6</v>
      </c>
      <c r="S2" s="44">
        <v>7</v>
      </c>
      <c r="T2" s="44">
        <v>8</v>
      </c>
      <c r="U2" s="44">
        <v>9</v>
      </c>
      <c r="V2" s="44">
        <v>10</v>
      </c>
      <c r="W2" s="44">
        <v>11</v>
      </c>
      <c r="X2" s="44">
        <v>12</v>
      </c>
      <c r="Y2" s="44">
        <v>13</v>
      </c>
      <c r="Z2" s="44">
        <v>14</v>
      </c>
      <c r="AA2" s="44">
        <v>15</v>
      </c>
      <c r="AB2" s="44">
        <v>16</v>
      </c>
      <c r="AC2" s="44">
        <v>17</v>
      </c>
      <c r="AD2" s="44">
        <v>18</v>
      </c>
      <c r="AE2" s="44">
        <v>19</v>
      </c>
      <c r="AF2" s="44">
        <v>20</v>
      </c>
      <c r="AG2" s="44">
        <v>21</v>
      </c>
      <c r="AH2" s="44">
        <v>22</v>
      </c>
      <c r="AI2" s="44">
        <v>23</v>
      </c>
      <c r="AJ2" s="44">
        <v>24</v>
      </c>
      <c r="AK2" s="44">
        <v>25</v>
      </c>
      <c r="AL2" s="44">
        <v>26</v>
      </c>
      <c r="AM2" s="44">
        <v>27</v>
      </c>
      <c r="AN2" s="44">
        <v>28</v>
      </c>
      <c r="AO2" s="44" t="s">
        <v>812</v>
      </c>
      <c r="AP2" s="44">
        <v>1</v>
      </c>
      <c r="AQ2" s="471" t="s">
        <v>813</v>
      </c>
      <c r="AR2" s="471" t="s">
        <v>375</v>
      </c>
      <c r="AS2" s="44" t="s">
        <v>814</v>
      </c>
      <c r="AT2" s="44" t="s">
        <v>850</v>
      </c>
      <c r="AU2">
        <v>5</v>
      </c>
      <c r="AV2">
        <v>6</v>
      </c>
      <c r="AW2">
        <v>7</v>
      </c>
      <c r="AX2">
        <v>8</v>
      </c>
      <c r="AY2">
        <v>9</v>
      </c>
      <c r="AZ2">
        <v>10</v>
      </c>
      <c r="BA2">
        <v>11</v>
      </c>
      <c r="BB2">
        <v>12</v>
      </c>
      <c r="BC2">
        <v>13</v>
      </c>
      <c r="BD2">
        <v>14</v>
      </c>
      <c r="BE2">
        <v>15</v>
      </c>
      <c r="BF2">
        <v>16</v>
      </c>
      <c r="BG2">
        <v>17</v>
      </c>
      <c r="BH2">
        <v>18</v>
      </c>
      <c r="BI2">
        <v>19</v>
      </c>
      <c r="BJ2">
        <v>20</v>
      </c>
      <c r="BK2">
        <v>21</v>
      </c>
      <c r="BL2">
        <v>22</v>
      </c>
      <c r="BM2">
        <v>23</v>
      </c>
      <c r="BN2">
        <v>24</v>
      </c>
      <c r="BO2">
        <v>25</v>
      </c>
      <c r="BP2">
        <v>26</v>
      </c>
      <c r="BQ2">
        <v>27</v>
      </c>
      <c r="BR2">
        <v>28</v>
      </c>
      <c r="BS2">
        <v>29</v>
      </c>
      <c r="BT2">
        <v>30</v>
      </c>
      <c r="BV2" t="s">
        <v>925</v>
      </c>
      <c r="BW2" t="s">
        <v>919</v>
      </c>
    </row>
    <row r="3" spans="1:75" x14ac:dyDescent="0.2">
      <c r="A3" s="57" t="str">
        <f t="shared" ref="A3:A34" si="0">K3</f>
        <v/>
      </c>
      <c r="B3" s="69" t="str">
        <f>Engagements!B6</f>
        <v/>
      </c>
      <c r="C3" s="69" t="str">
        <f>Engagements!C6</f>
        <v/>
      </c>
      <c r="D3" s="69" t="str">
        <f>Engagements!D6</f>
        <v/>
      </c>
      <c r="E3" s="69" t="str">
        <f>Engagements!E6</f>
        <v/>
      </c>
      <c r="F3" s="69" t="str">
        <f>Engagements!F6</f>
        <v/>
      </c>
      <c r="G3" s="71" t="str">
        <f>Engagements!G6</f>
        <v/>
      </c>
      <c r="H3" s="69" t="str">
        <f>Engagements!H6</f>
        <v/>
      </c>
      <c r="I3" s="69" t="str">
        <f>Engagements!I6</f>
        <v/>
      </c>
      <c r="J3" s="69" t="str">
        <f>Engagements!J6</f>
        <v/>
      </c>
      <c r="K3" s="69" t="str">
        <f>Engagements!K6</f>
        <v/>
      </c>
      <c r="L3" s="40" t="e">
        <f>Listing!O6</f>
        <v>#N/A</v>
      </c>
      <c r="M3" s="150">
        <v>1</v>
      </c>
      <c r="N3" s="404" t="str">
        <f>Engagements!B6</f>
        <v/>
      </c>
      <c r="O3" s="404" t="str">
        <f>Engagements!C6</f>
        <v/>
      </c>
      <c r="P3" s="404" t="str">
        <f>Engagements!D6</f>
        <v/>
      </c>
      <c r="Q3" s="404" t="str">
        <f>Engagements!E6</f>
        <v/>
      </c>
      <c r="R3" s="404" t="str">
        <f>Engagements!F6</f>
        <v/>
      </c>
      <c r="S3" s="405" t="str">
        <f>Engagements!G6</f>
        <v/>
      </c>
      <c r="T3" s="404" t="str">
        <f>Engagements!H6</f>
        <v/>
      </c>
      <c r="U3" s="404" t="str">
        <f>Engagements!I6</f>
        <v/>
      </c>
      <c r="V3" s="404" t="str">
        <f>Engagements!J6</f>
        <v/>
      </c>
      <c r="W3" s="404" t="str">
        <f>Engagements!E7</f>
        <v/>
      </c>
      <c r="X3" s="404" t="str">
        <f>Engagements!F7</f>
        <v/>
      </c>
      <c r="Y3" s="405" t="str">
        <f>Engagements!G7</f>
        <v/>
      </c>
      <c r="Z3" s="404" t="str">
        <f>Engagements!H7</f>
        <v/>
      </c>
      <c r="AA3" s="404" t="str">
        <f>Engagements!I7</f>
        <v/>
      </c>
      <c r="AB3" s="404" t="str">
        <f>Engagements!J7</f>
        <v/>
      </c>
      <c r="AC3" s="404" t="str">
        <f>Engagements!E8</f>
        <v/>
      </c>
      <c r="AD3" s="404" t="str">
        <f>Engagements!F8</f>
        <v/>
      </c>
      <c r="AE3" s="405" t="str">
        <f>Engagements!G8</f>
        <v/>
      </c>
      <c r="AF3" s="404" t="str">
        <f>Engagements!H8</f>
        <v/>
      </c>
      <c r="AG3" s="404" t="str">
        <f>Engagements!I8</f>
        <v/>
      </c>
      <c r="AH3" s="404" t="str">
        <f>Engagements!J8</f>
        <v/>
      </c>
      <c r="AI3" s="404" t="str">
        <f>Engagements!E9</f>
        <v/>
      </c>
      <c r="AJ3" s="404" t="str">
        <f>Engagements!F9</f>
        <v/>
      </c>
      <c r="AK3" s="405" t="str">
        <f>Engagements!G9</f>
        <v/>
      </c>
      <c r="AL3" s="404" t="str">
        <f>Engagements!H9</f>
        <v/>
      </c>
      <c r="AM3" s="404" t="str">
        <f>Engagements!I9</f>
        <v/>
      </c>
      <c r="AN3" s="404" t="str">
        <f>Engagements!J9</f>
        <v/>
      </c>
      <c r="AO3" s="469" t="str">
        <f>N3&amp;O3</f>
        <v/>
      </c>
      <c r="AP3" s="470" t="str">
        <f>AO3</f>
        <v/>
      </c>
      <c r="AQ3" t="str">
        <f>N3</f>
        <v/>
      </c>
      <c r="AR3" t="str">
        <f>O3</f>
        <v/>
      </c>
      <c r="AS3" t="str">
        <f>P3</f>
        <v/>
      </c>
      <c r="AT3" t="str">
        <f>LEFT(AL3,5)</f>
        <v/>
      </c>
      <c r="AU3" t="str">
        <f>Q3</f>
        <v/>
      </c>
      <c r="AV3" t="str">
        <f t="shared" ref="AV3:BH3" si="1">R3</f>
        <v/>
      </c>
      <c r="AW3" t="str">
        <f t="shared" si="1"/>
        <v/>
      </c>
      <c r="AX3" t="str">
        <f t="shared" si="1"/>
        <v/>
      </c>
      <c r="AY3" t="str">
        <f t="shared" si="1"/>
        <v/>
      </c>
      <c r="AZ3" t="str">
        <f t="shared" si="1"/>
        <v/>
      </c>
      <c r="BA3" t="str">
        <f t="shared" si="1"/>
        <v/>
      </c>
      <c r="BB3" t="str">
        <f t="shared" si="1"/>
        <v/>
      </c>
      <c r="BC3" t="str">
        <f t="shared" si="1"/>
        <v/>
      </c>
      <c r="BD3" t="str">
        <f t="shared" si="1"/>
        <v/>
      </c>
      <c r="BE3" t="str">
        <f t="shared" si="1"/>
        <v/>
      </c>
      <c r="BF3" t="str">
        <f t="shared" si="1"/>
        <v/>
      </c>
      <c r="BG3" t="str">
        <f t="shared" si="1"/>
        <v/>
      </c>
      <c r="BH3" t="str">
        <f t="shared" si="1"/>
        <v/>
      </c>
      <c r="BI3" t="str">
        <f t="shared" ref="BI3:BR3" si="2">AE3</f>
        <v/>
      </c>
      <c r="BJ3" t="str">
        <f t="shared" si="2"/>
        <v/>
      </c>
      <c r="BK3" t="str">
        <f t="shared" si="2"/>
        <v/>
      </c>
      <c r="BL3" t="str">
        <f t="shared" si="2"/>
        <v/>
      </c>
      <c r="BM3" t="str">
        <f t="shared" si="2"/>
        <v/>
      </c>
      <c r="BN3" t="str">
        <f t="shared" si="2"/>
        <v/>
      </c>
      <c r="BO3" t="str">
        <f t="shared" si="2"/>
        <v/>
      </c>
      <c r="BP3" t="str">
        <f t="shared" si="2"/>
        <v/>
      </c>
      <c r="BQ3" t="str">
        <f t="shared" si="2"/>
        <v/>
      </c>
      <c r="BR3" t="str">
        <f t="shared" si="2"/>
        <v/>
      </c>
      <c r="BS3" t="str">
        <f>AZ3&amp;"-"&amp;BF3&amp;" "&amp;BL3&amp;"-"&amp;BR3</f>
        <v>- -</v>
      </c>
      <c r="BT3" t="e">
        <f>Listing!O6</f>
        <v>#N/A</v>
      </c>
      <c r="BW3" t="s">
        <v>920</v>
      </c>
    </row>
    <row r="4" spans="1:75" x14ac:dyDescent="0.2">
      <c r="A4" s="57" t="str">
        <f t="shared" si="0"/>
        <v/>
      </c>
      <c r="B4" s="69" t="str">
        <f>Engagements!B7</f>
        <v/>
      </c>
      <c r="C4" s="69" t="str">
        <f>Engagements!C7</f>
        <v/>
      </c>
      <c r="D4" s="69" t="str">
        <f>Engagements!D7</f>
        <v/>
      </c>
      <c r="E4" s="69" t="str">
        <f>Engagements!E7</f>
        <v/>
      </c>
      <c r="F4" s="69" t="str">
        <f>Engagements!F7</f>
        <v/>
      </c>
      <c r="G4" s="71" t="str">
        <f>Engagements!G7</f>
        <v/>
      </c>
      <c r="H4" s="69" t="str">
        <f>Engagements!H7</f>
        <v/>
      </c>
      <c r="I4" s="69" t="str">
        <f>Engagements!I7</f>
        <v/>
      </c>
      <c r="J4" s="69" t="str">
        <f>Engagements!J7</f>
        <v/>
      </c>
      <c r="K4" s="69" t="str">
        <f>Engagements!K7</f>
        <v/>
      </c>
      <c r="L4" s="40"/>
      <c r="M4" s="150">
        <v>2</v>
      </c>
      <c r="N4" s="404" t="str">
        <f>Engagements!B10</f>
        <v/>
      </c>
      <c r="O4" s="404" t="str">
        <f>Engagements!C10</f>
        <v/>
      </c>
      <c r="P4" s="404" t="str">
        <f>Engagements!D10</f>
        <v/>
      </c>
      <c r="Q4" s="404" t="str">
        <f>Engagements!E10</f>
        <v/>
      </c>
      <c r="R4" s="404" t="str">
        <f>Engagements!F10</f>
        <v/>
      </c>
      <c r="S4" s="405" t="str">
        <f>Engagements!G10</f>
        <v/>
      </c>
      <c r="T4" s="404" t="str">
        <f>Engagements!H10</f>
        <v/>
      </c>
      <c r="U4" s="404" t="str">
        <f>Engagements!I10</f>
        <v/>
      </c>
      <c r="V4" s="404" t="str">
        <f>Engagements!J10</f>
        <v/>
      </c>
      <c r="W4" s="404" t="str">
        <f>Engagements!E11</f>
        <v/>
      </c>
      <c r="X4" s="404" t="str">
        <f>Engagements!F11</f>
        <v/>
      </c>
      <c r="Y4" s="405" t="str">
        <f>Engagements!G11</f>
        <v/>
      </c>
      <c r="Z4" s="404" t="str">
        <f>Engagements!H11</f>
        <v/>
      </c>
      <c r="AA4" s="404" t="str">
        <f>Engagements!I11</f>
        <v/>
      </c>
      <c r="AB4" s="404" t="str">
        <f>Engagements!J11</f>
        <v/>
      </c>
      <c r="AC4" s="404" t="str">
        <f>Engagements!E12</f>
        <v/>
      </c>
      <c r="AD4" s="404" t="str">
        <f>Engagements!F12</f>
        <v/>
      </c>
      <c r="AE4" s="405" t="str">
        <f>Engagements!G12</f>
        <v/>
      </c>
      <c r="AF4" s="404" t="str">
        <f>Engagements!H12</f>
        <v/>
      </c>
      <c r="AG4" s="404" t="str">
        <f>Engagements!I12</f>
        <v/>
      </c>
      <c r="AH4" s="404" t="str">
        <f>Engagements!J12</f>
        <v/>
      </c>
      <c r="AI4" s="404" t="str">
        <f>Engagements!E13</f>
        <v/>
      </c>
      <c r="AJ4" s="404" t="str">
        <f>Engagements!F13</f>
        <v/>
      </c>
      <c r="AK4" s="405" t="str">
        <f>Engagements!G13</f>
        <v/>
      </c>
      <c r="AL4" s="404" t="str">
        <f>Engagements!H13</f>
        <v/>
      </c>
      <c r="AM4" s="404" t="str">
        <f>Engagements!I13</f>
        <v/>
      </c>
      <c r="AN4" s="404" t="str">
        <f>Engagements!J13</f>
        <v/>
      </c>
      <c r="AO4" s="469" t="str">
        <f t="shared" ref="AO4:AO26" si="3">N4&amp;O4</f>
        <v/>
      </c>
      <c r="AP4" s="470" t="str">
        <f t="shared" ref="AP4:AP26" si="4">AO4</f>
        <v/>
      </c>
      <c r="AQ4" t="str">
        <f t="shared" ref="AQ4:AQ26" si="5">N4</f>
        <v/>
      </c>
      <c r="AR4" t="str">
        <f t="shared" ref="AR4:AR26" si="6">O4</f>
        <v/>
      </c>
      <c r="AS4" t="str">
        <f t="shared" ref="AS4:AS26" si="7">P4</f>
        <v/>
      </c>
      <c r="AT4" t="str">
        <f t="shared" ref="AT4:AT26" si="8">LEFT(AL4,5)</f>
        <v/>
      </c>
      <c r="AU4" t="str">
        <f t="shared" ref="AU4:AU26" si="9">Q4</f>
        <v/>
      </c>
      <c r="AV4" t="str">
        <f t="shared" ref="AV4:AV26" si="10">R4</f>
        <v/>
      </c>
      <c r="AW4" t="str">
        <f t="shared" ref="AW4:AW26" si="11">S4</f>
        <v/>
      </c>
      <c r="AX4" t="str">
        <f t="shared" ref="AX4:AX26" si="12">T4</f>
        <v/>
      </c>
      <c r="AY4" t="str">
        <f t="shared" ref="AY4:AY26" si="13">U4</f>
        <v/>
      </c>
      <c r="AZ4" t="str">
        <f t="shared" ref="AZ4:AZ26" si="14">V4</f>
        <v/>
      </c>
      <c r="BA4" t="str">
        <f t="shared" ref="BA4:BA26" si="15">W4</f>
        <v/>
      </c>
      <c r="BB4" t="str">
        <f t="shared" ref="BB4:BB26" si="16">X4</f>
        <v/>
      </c>
      <c r="BC4" t="str">
        <f t="shared" ref="BC4:BC26" si="17">Y4</f>
        <v/>
      </c>
      <c r="BD4" t="str">
        <f t="shared" ref="BD4:BD26" si="18">Z4</f>
        <v/>
      </c>
      <c r="BE4" t="str">
        <f t="shared" ref="BE4:BE26" si="19">AA4</f>
        <v/>
      </c>
      <c r="BF4" t="str">
        <f t="shared" ref="BF4:BF26" si="20">AB4</f>
        <v/>
      </c>
      <c r="BG4" t="str">
        <f t="shared" ref="BG4:BG26" si="21">AC4</f>
        <v/>
      </c>
      <c r="BH4" t="str">
        <f t="shared" ref="BH4:BH26" si="22">AD4</f>
        <v/>
      </c>
      <c r="BI4" t="str">
        <f t="shared" ref="BI4:BI26" si="23">AE4</f>
        <v/>
      </c>
      <c r="BJ4" t="str">
        <f t="shared" ref="BJ4:BJ26" si="24">AF4</f>
        <v/>
      </c>
      <c r="BK4" t="str">
        <f t="shared" ref="BK4:BK26" si="25">AG4</f>
        <v/>
      </c>
      <c r="BL4" t="str">
        <f t="shared" ref="BL4:BL26" si="26">AH4</f>
        <v/>
      </c>
      <c r="BM4" t="str">
        <f t="shared" ref="BM4:BM26" si="27">AI4</f>
        <v/>
      </c>
      <c r="BN4" t="str">
        <f t="shared" ref="BN4:BN26" si="28">AJ4</f>
        <v/>
      </c>
      <c r="BO4" t="str">
        <f t="shared" ref="BO4:BO26" si="29">AK4</f>
        <v/>
      </c>
      <c r="BP4" t="str">
        <f t="shared" ref="BP4:BP26" si="30">AL4</f>
        <v/>
      </c>
      <c r="BQ4" t="str">
        <f t="shared" ref="BQ4:BQ26" si="31">AM4</f>
        <v/>
      </c>
      <c r="BR4" t="str">
        <f t="shared" ref="BR4:BR26" si="32">AN4</f>
        <v/>
      </c>
      <c r="BS4" t="str">
        <f t="shared" ref="BS4:BS26" si="33">AZ4&amp;"-"&amp;BF4&amp;" "&amp;BL4&amp;"-"&amp;BR4</f>
        <v>- -</v>
      </c>
      <c r="BT4" t="e">
        <f>Listing!O10</f>
        <v>#N/A</v>
      </c>
    </row>
    <row r="5" spans="1:75" x14ac:dyDescent="0.2">
      <c r="A5" s="57" t="str">
        <f t="shared" si="0"/>
        <v/>
      </c>
      <c r="B5" s="69" t="str">
        <f>Engagements!B8</f>
        <v/>
      </c>
      <c r="C5" s="69" t="str">
        <f>Engagements!C8</f>
        <v/>
      </c>
      <c r="D5" s="69" t="str">
        <f>Engagements!D8</f>
        <v/>
      </c>
      <c r="E5" s="69" t="str">
        <f>Engagements!E8</f>
        <v/>
      </c>
      <c r="F5" s="69" t="str">
        <f>Engagements!F8</f>
        <v/>
      </c>
      <c r="G5" s="71" t="str">
        <f>Engagements!G8</f>
        <v/>
      </c>
      <c r="H5" s="69" t="str">
        <f>Engagements!H8</f>
        <v/>
      </c>
      <c r="I5" s="69" t="str">
        <f>Engagements!I8</f>
        <v/>
      </c>
      <c r="J5" s="69" t="str">
        <f>Engagements!J8</f>
        <v/>
      </c>
      <c r="K5" s="69" t="str">
        <f>Engagements!K8</f>
        <v/>
      </c>
      <c r="L5" s="40"/>
      <c r="M5" s="150">
        <v>3</v>
      </c>
      <c r="N5" s="404" t="str">
        <f>Engagements!B14</f>
        <v/>
      </c>
      <c r="O5" s="404" t="str">
        <f>Engagements!C14</f>
        <v/>
      </c>
      <c r="P5" s="404" t="str">
        <f>Engagements!D14</f>
        <v/>
      </c>
      <c r="Q5" s="404" t="str">
        <f>Engagements!E14</f>
        <v/>
      </c>
      <c r="R5" s="404" t="str">
        <f>Engagements!F14</f>
        <v/>
      </c>
      <c r="S5" s="405" t="str">
        <f>Engagements!G14</f>
        <v/>
      </c>
      <c r="T5" s="404" t="str">
        <f>Engagements!H14</f>
        <v/>
      </c>
      <c r="U5" s="404" t="str">
        <f>Engagements!I14</f>
        <v/>
      </c>
      <c r="V5" s="404" t="str">
        <f>Engagements!J14</f>
        <v/>
      </c>
      <c r="W5" s="404" t="str">
        <f>Engagements!E15</f>
        <v/>
      </c>
      <c r="X5" s="404" t="str">
        <f>Engagements!F15</f>
        <v/>
      </c>
      <c r="Y5" s="405" t="str">
        <f>Engagements!G15</f>
        <v/>
      </c>
      <c r="Z5" s="404" t="str">
        <f>Engagements!H15</f>
        <v/>
      </c>
      <c r="AA5" s="404" t="str">
        <f>Engagements!I15</f>
        <v/>
      </c>
      <c r="AB5" s="404" t="str">
        <f>Engagements!J15</f>
        <v/>
      </c>
      <c r="AC5" s="404" t="str">
        <f>Engagements!E16</f>
        <v/>
      </c>
      <c r="AD5" s="404" t="str">
        <f>Engagements!F16</f>
        <v/>
      </c>
      <c r="AE5" s="405" t="str">
        <f>Engagements!G16</f>
        <v/>
      </c>
      <c r="AF5" s="404" t="str">
        <f>Engagements!H16</f>
        <v/>
      </c>
      <c r="AG5" s="404" t="str">
        <f>Engagements!I16</f>
        <v/>
      </c>
      <c r="AH5" s="404" t="str">
        <f>Engagements!J16</f>
        <v/>
      </c>
      <c r="AI5" s="404" t="str">
        <f>Engagements!E17</f>
        <v/>
      </c>
      <c r="AJ5" s="404" t="str">
        <f>Engagements!F17</f>
        <v/>
      </c>
      <c r="AK5" s="405" t="str">
        <f>Engagements!G17</f>
        <v/>
      </c>
      <c r="AL5" s="404" t="str">
        <f>Engagements!H17</f>
        <v/>
      </c>
      <c r="AM5" s="404" t="str">
        <f>Engagements!I17</f>
        <v/>
      </c>
      <c r="AN5" s="404" t="str">
        <f>Engagements!J17</f>
        <v/>
      </c>
      <c r="AO5" s="469" t="str">
        <f t="shared" si="3"/>
        <v/>
      </c>
      <c r="AP5" s="470" t="str">
        <f t="shared" si="4"/>
        <v/>
      </c>
      <c r="AQ5" t="str">
        <f t="shared" si="5"/>
        <v/>
      </c>
      <c r="AR5" t="str">
        <f t="shared" si="6"/>
        <v/>
      </c>
      <c r="AS5" t="str">
        <f t="shared" si="7"/>
        <v/>
      </c>
      <c r="AT5" t="str">
        <f t="shared" si="8"/>
        <v/>
      </c>
      <c r="AU5" t="str">
        <f t="shared" si="9"/>
        <v/>
      </c>
      <c r="AV5" t="str">
        <f t="shared" si="10"/>
        <v/>
      </c>
      <c r="AW5" t="str">
        <f t="shared" si="11"/>
        <v/>
      </c>
      <c r="AX5" t="str">
        <f t="shared" si="12"/>
        <v/>
      </c>
      <c r="AY5" t="str">
        <f t="shared" si="13"/>
        <v/>
      </c>
      <c r="AZ5" t="str">
        <f t="shared" si="14"/>
        <v/>
      </c>
      <c r="BA5" t="str">
        <f t="shared" si="15"/>
        <v/>
      </c>
      <c r="BB5" t="str">
        <f t="shared" si="16"/>
        <v/>
      </c>
      <c r="BC5" t="str">
        <f t="shared" si="17"/>
        <v/>
      </c>
      <c r="BD5" t="str">
        <f t="shared" si="18"/>
        <v/>
      </c>
      <c r="BE5" t="str">
        <f t="shared" si="19"/>
        <v/>
      </c>
      <c r="BF5" t="str">
        <f t="shared" si="20"/>
        <v/>
      </c>
      <c r="BG5" t="str">
        <f t="shared" si="21"/>
        <v/>
      </c>
      <c r="BH5" t="str">
        <f t="shared" si="22"/>
        <v/>
      </c>
      <c r="BI5" t="str">
        <f t="shared" si="23"/>
        <v/>
      </c>
      <c r="BJ5" t="str">
        <f t="shared" si="24"/>
        <v/>
      </c>
      <c r="BK5" t="str">
        <f t="shared" si="25"/>
        <v/>
      </c>
      <c r="BL5" t="str">
        <f t="shared" si="26"/>
        <v/>
      </c>
      <c r="BM5" t="str">
        <f t="shared" si="27"/>
        <v/>
      </c>
      <c r="BN5" t="str">
        <f t="shared" si="28"/>
        <v/>
      </c>
      <c r="BO5" t="str">
        <f t="shared" si="29"/>
        <v/>
      </c>
      <c r="BP5" t="str">
        <f t="shared" si="30"/>
        <v/>
      </c>
      <c r="BQ5" t="str">
        <f t="shared" si="31"/>
        <v/>
      </c>
      <c r="BR5" t="str">
        <f t="shared" si="32"/>
        <v/>
      </c>
      <c r="BS5" t="str">
        <f t="shared" si="33"/>
        <v>- -</v>
      </c>
      <c r="BT5" t="e">
        <f>Listing!O14</f>
        <v>#N/A</v>
      </c>
      <c r="BV5" t="s">
        <v>930</v>
      </c>
      <c r="BW5" t="s">
        <v>926</v>
      </c>
    </row>
    <row r="6" spans="1:75" x14ac:dyDescent="0.2">
      <c r="A6" s="57" t="str">
        <f t="shared" si="0"/>
        <v/>
      </c>
      <c r="B6" s="69" t="str">
        <f>Engagements!B9</f>
        <v/>
      </c>
      <c r="C6" s="69" t="str">
        <f>Engagements!C9</f>
        <v/>
      </c>
      <c r="D6" s="69" t="str">
        <f>Engagements!D9</f>
        <v/>
      </c>
      <c r="E6" s="69" t="str">
        <f>Engagements!E9</f>
        <v/>
      </c>
      <c r="F6" s="69" t="str">
        <f>Engagements!F9</f>
        <v/>
      </c>
      <c r="G6" s="71" t="str">
        <f>Engagements!G9</f>
        <v/>
      </c>
      <c r="H6" s="69" t="str">
        <f>Engagements!H9</f>
        <v/>
      </c>
      <c r="I6" s="69" t="str">
        <f>Engagements!I9</f>
        <v/>
      </c>
      <c r="J6" s="69" t="str">
        <f>Engagements!J9</f>
        <v/>
      </c>
      <c r="K6" s="69" t="str">
        <f>Engagements!K9</f>
        <v/>
      </c>
      <c r="L6" s="40"/>
      <c r="M6" s="150">
        <v>4</v>
      </c>
      <c r="N6" s="404" t="str">
        <f>Engagements!B18</f>
        <v/>
      </c>
      <c r="O6" s="404" t="str">
        <f>Engagements!C18</f>
        <v/>
      </c>
      <c r="P6" s="404" t="str">
        <f>Engagements!D18</f>
        <v/>
      </c>
      <c r="Q6" s="404" t="str">
        <f>Engagements!E18</f>
        <v/>
      </c>
      <c r="R6" s="404" t="str">
        <f>Engagements!F18</f>
        <v/>
      </c>
      <c r="S6" s="405" t="str">
        <f>Engagements!G18</f>
        <v/>
      </c>
      <c r="T6" s="404" t="str">
        <f>Engagements!H18</f>
        <v/>
      </c>
      <c r="U6" s="404" t="str">
        <f>Engagements!I18</f>
        <v/>
      </c>
      <c r="V6" s="404" t="str">
        <f>Engagements!J18</f>
        <v/>
      </c>
      <c r="W6" s="404" t="str">
        <f>Engagements!E19</f>
        <v/>
      </c>
      <c r="X6" s="404" t="str">
        <f>Engagements!F19</f>
        <v/>
      </c>
      <c r="Y6" s="405" t="str">
        <f>Engagements!G19</f>
        <v/>
      </c>
      <c r="Z6" s="404" t="str">
        <f>Engagements!H19</f>
        <v/>
      </c>
      <c r="AA6" s="404" t="str">
        <f>Engagements!I19</f>
        <v/>
      </c>
      <c r="AB6" s="404" t="str">
        <f>Engagements!J19</f>
        <v/>
      </c>
      <c r="AC6" s="404" t="str">
        <f>Engagements!E20</f>
        <v/>
      </c>
      <c r="AD6" s="404" t="str">
        <f>Engagements!F20</f>
        <v/>
      </c>
      <c r="AE6" s="405" t="str">
        <f>Engagements!G20</f>
        <v/>
      </c>
      <c r="AF6" s="404" t="str">
        <f>Engagements!H20</f>
        <v/>
      </c>
      <c r="AG6" s="404" t="str">
        <f>Engagements!I20</f>
        <v/>
      </c>
      <c r="AH6" s="404" t="str">
        <f>Engagements!J20</f>
        <v/>
      </c>
      <c r="AI6" s="404" t="str">
        <f>Engagements!E21</f>
        <v/>
      </c>
      <c r="AJ6" s="404" t="str">
        <f>Engagements!F21</f>
        <v/>
      </c>
      <c r="AK6" s="405" t="str">
        <f>Engagements!G21</f>
        <v/>
      </c>
      <c r="AL6" s="404" t="str">
        <f>Engagements!H21</f>
        <v/>
      </c>
      <c r="AM6" s="404" t="str">
        <f>Engagements!I21</f>
        <v/>
      </c>
      <c r="AN6" s="404" t="str">
        <f>Engagements!J21</f>
        <v/>
      </c>
      <c r="AO6" s="469" t="str">
        <f t="shared" si="3"/>
        <v/>
      </c>
      <c r="AP6" s="470" t="str">
        <f t="shared" si="4"/>
        <v/>
      </c>
      <c r="AQ6" t="str">
        <f t="shared" si="5"/>
        <v/>
      </c>
      <c r="AR6" t="str">
        <f t="shared" si="6"/>
        <v/>
      </c>
      <c r="AS6" t="str">
        <f t="shared" si="7"/>
        <v/>
      </c>
      <c r="AT6" t="str">
        <f t="shared" si="8"/>
        <v/>
      </c>
      <c r="AU6" t="str">
        <f t="shared" si="9"/>
        <v/>
      </c>
      <c r="AV6" t="str">
        <f t="shared" si="10"/>
        <v/>
      </c>
      <c r="AW6" t="str">
        <f t="shared" si="11"/>
        <v/>
      </c>
      <c r="AX6" t="str">
        <f t="shared" si="12"/>
        <v/>
      </c>
      <c r="AY6" t="str">
        <f t="shared" si="13"/>
        <v/>
      </c>
      <c r="AZ6" t="str">
        <f t="shared" si="14"/>
        <v/>
      </c>
      <c r="BA6" t="str">
        <f t="shared" si="15"/>
        <v/>
      </c>
      <c r="BB6" t="str">
        <f t="shared" si="16"/>
        <v/>
      </c>
      <c r="BC6" t="str">
        <f t="shared" si="17"/>
        <v/>
      </c>
      <c r="BD6" t="str">
        <f t="shared" si="18"/>
        <v/>
      </c>
      <c r="BE6" t="str">
        <f t="shared" si="19"/>
        <v/>
      </c>
      <c r="BF6" t="str">
        <f t="shared" si="20"/>
        <v/>
      </c>
      <c r="BG6" t="str">
        <f t="shared" si="21"/>
        <v/>
      </c>
      <c r="BH6" t="str">
        <f t="shared" si="22"/>
        <v/>
      </c>
      <c r="BI6" t="str">
        <f t="shared" si="23"/>
        <v/>
      </c>
      <c r="BJ6" t="str">
        <f t="shared" si="24"/>
        <v/>
      </c>
      <c r="BK6" t="str">
        <f t="shared" si="25"/>
        <v/>
      </c>
      <c r="BL6" t="str">
        <f t="shared" si="26"/>
        <v/>
      </c>
      <c r="BM6" t="str">
        <f t="shared" si="27"/>
        <v/>
      </c>
      <c r="BN6" t="str">
        <f t="shared" si="28"/>
        <v/>
      </c>
      <c r="BO6" t="str">
        <f t="shared" si="29"/>
        <v/>
      </c>
      <c r="BP6" t="str">
        <f t="shared" si="30"/>
        <v/>
      </c>
      <c r="BQ6" t="str">
        <f t="shared" si="31"/>
        <v/>
      </c>
      <c r="BR6" t="str">
        <f t="shared" si="32"/>
        <v/>
      </c>
      <c r="BS6" t="str">
        <f t="shared" si="33"/>
        <v>- -</v>
      </c>
      <c r="BT6" t="e">
        <f>Listing!O18</f>
        <v>#N/A</v>
      </c>
      <c r="BW6" t="s">
        <v>927</v>
      </c>
    </row>
    <row r="7" spans="1:75" x14ac:dyDescent="0.2">
      <c r="A7" s="57" t="str">
        <f t="shared" si="0"/>
        <v/>
      </c>
      <c r="B7" s="69" t="str">
        <f>Engagements!B10</f>
        <v/>
      </c>
      <c r="C7" s="69" t="str">
        <f>Engagements!C10</f>
        <v/>
      </c>
      <c r="D7" s="69" t="str">
        <f>Engagements!D10</f>
        <v/>
      </c>
      <c r="E7" s="69" t="str">
        <f>Engagements!E10</f>
        <v/>
      </c>
      <c r="F7" s="69" t="str">
        <f>Engagements!F10</f>
        <v/>
      </c>
      <c r="G7" s="71" t="str">
        <f>Engagements!G10</f>
        <v/>
      </c>
      <c r="H7" s="69" t="str">
        <f>Engagements!H10</f>
        <v/>
      </c>
      <c r="I7" s="69" t="str">
        <f>Engagements!I10</f>
        <v/>
      </c>
      <c r="J7" s="69" t="str">
        <f>Engagements!J10</f>
        <v/>
      </c>
      <c r="K7" s="69" t="str">
        <f>Engagements!K10</f>
        <v/>
      </c>
      <c r="L7" s="40"/>
      <c r="M7" s="150">
        <v>5</v>
      </c>
      <c r="N7" s="404" t="str">
        <f>Engagements!B22</f>
        <v/>
      </c>
      <c r="O7" s="404" t="str">
        <f>Engagements!C22</f>
        <v/>
      </c>
      <c r="P7" s="404" t="str">
        <f>Engagements!D22</f>
        <v/>
      </c>
      <c r="Q7" s="404" t="str">
        <f>Engagements!E22</f>
        <v/>
      </c>
      <c r="R7" s="404" t="str">
        <f>Engagements!F22</f>
        <v/>
      </c>
      <c r="S7" s="405" t="str">
        <f>Engagements!G22</f>
        <v/>
      </c>
      <c r="T7" s="404" t="str">
        <f>Engagements!H22</f>
        <v/>
      </c>
      <c r="U7" s="404" t="str">
        <f>Engagements!I22</f>
        <v/>
      </c>
      <c r="V7" s="404" t="str">
        <f>Engagements!J22</f>
        <v/>
      </c>
      <c r="W7" s="404" t="str">
        <f>Engagements!E23</f>
        <v/>
      </c>
      <c r="X7" s="404" t="str">
        <f>Engagements!F23</f>
        <v/>
      </c>
      <c r="Y7" s="405" t="str">
        <f>Engagements!G23</f>
        <v/>
      </c>
      <c r="Z7" s="404" t="str">
        <f>Engagements!H23</f>
        <v/>
      </c>
      <c r="AA7" s="404" t="str">
        <f>Engagements!I23</f>
        <v/>
      </c>
      <c r="AB7" s="404" t="str">
        <f>Engagements!J23</f>
        <v/>
      </c>
      <c r="AC7" s="404" t="str">
        <f>Engagements!E24</f>
        <v/>
      </c>
      <c r="AD7" s="404" t="str">
        <f>Engagements!F24</f>
        <v/>
      </c>
      <c r="AE7" s="405" t="str">
        <f>Engagements!G24</f>
        <v/>
      </c>
      <c r="AF7" s="404" t="str">
        <f>Engagements!H24</f>
        <v/>
      </c>
      <c r="AG7" s="404" t="str">
        <f>Engagements!I24</f>
        <v/>
      </c>
      <c r="AH7" s="404" t="str">
        <f>Engagements!J24</f>
        <v/>
      </c>
      <c r="AI7" s="404" t="str">
        <f>Engagements!E25</f>
        <v/>
      </c>
      <c r="AJ7" s="404" t="str">
        <f>Engagements!F25</f>
        <v/>
      </c>
      <c r="AK7" s="405" t="str">
        <f>Engagements!G25</f>
        <v/>
      </c>
      <c r="AL7" s="404" t="str">
        <f>Engagements!H25</f>
        <v/>
      </c>
      <c r="AM7" s="404" t="str">
        <f>Engagements!I25</f>
        <v/>
      </c>
      <c r="AN7" s="404" t="str">
        <f>Engagements!J25</f>
        <v/>
      </c>
      <c r="AO7" s="469" t="str">
        <f t="shared" si="3"/>
        <v/>
      </c>
      <c r="AP7" s="470" t="str">
        <f t="shared" si="4"/>
        <v/>
      </c>
      <c r="AQ7" t="str">
        <f t="shared" si="5"/>
        <v/>
      </c>
      <c r="AR7" t="str">
        <f t="shared" si="6"/>
        <v/>
      </c>
      <c r="AS7" t="str">
        <f t="shared" si="7"/>
        <v/>
      </c>
      <c r="AT7" t="str">
        <f t="shared" si="8"/>
        <v/>
      </c>
      <c r="AU7" t="str">
        <f t="shared" si="9"/>
        <v/>
      </c>
      <c r="AV7" t="str">
        <f t="shared" si="10"/>
        <v/>
      </c>
      <c r="AW7" t="str">
        <f t="shared" si="11"/>
        <v/>
      </c>
      <c r="AX7" t="str">
        <f t="shared" si="12"/>
        <v/>
      </c>
      <c r="AY7" t="str">
        <f t="shared" si="13"/>
        <v/>
      </c>
      <c r="AZ7" t="str">
        <f t="shared" si="14"/>
        <v/>
      </c>
      <c r="BA7" t="str">
        <f t="shared" si="15"/>
        <v/>
      </c>
      <c r="BB7" t="str">
        <f t="shared" si="16"/>
        <v/>
      </c>
      <c r="BC7" t="str">
        <f t="shared" si="17"/>
        <v/>
      </c>
      <c r="BD7" t="str">
        <f t="shared" si="18"/>
        <v/>
      </c>
      <c r="BE7" t="str">
        <f t="shared" si="19"/>
        <v/>
      </c>
      <c r="BF7" t="str">
        <f t="shared" si="20"/>
        <v/>
      </c>
      <c r="BG7" t="str">
        <f t="shared" si="21"/>
        <v/>
      </c>
      <c r="BH7" t="str">
        <f t="shared" si="22"/>
        <v/>
      </c>
      <c r="BI7" t="str">
        <f t="shared" si="23"/>
        <v/>
      </c>
      <c r="BJ7" t="str">
        <f t="shared" si="24"/>
        <v/>
      </c>
      <c r="BK7" t="str">
        <f t="shared" si="25"/>
        <v/>
      </c>
      <c r="BL7" t="str">
        <f t="shared" si="26"/>
        <v/>
      </c>
      <c r="BM7" t="str">
        <f t="shared" si="27"/>
        <v/>
      </c>
      <c r="BN7" t="str">
        <f t="shared" si="28"/>
        <v/>
      </c>
      <c r="BO7" t="str">
        <f t="shared" si="29"/>
        <v/>
      </c>
      <c r="BP7" t="str">
        <f t="shared" si="30"/>
        <v/>
      </c>
      <c r="BQ7" t="str">
        <f t="shared" si="31"/>
        <v/>
      </c>
      <c r="BR7" t="str">
        <f t="shared" si="32"/>
        <v/>
      </c>
      <c r="BS7" t="str">
        <f t="shared" si="33"/>
        <v>- -</v>
      </c>
      <c r="BT7" t="e">
        <f>Listing!O22</f>
        <v>#N/A</v>
      </c>
      <c r="BW7" t="s">
        <v>928</v>
      </c>
    </row>
    <row r="8" spans="1:75" x14ac:dyDescent="0.2">
      <c r="A8" s="57" t="str">
        <f t="shared" si="0"/>
        <v/>
      </c>
      <c r="B8" s="69" t="str">
        <f>Engagements!B11</f>
        <v/>
      </c>
      <c r="C8" s="69" t="str">
        <f>Engagements!C11</f>
        <v/>
      </c>
      <c r="D8" s="69" t="str">
        <f>Engagements!D11</f>
        <v/>
      </c>
      <c r="E8" s="69" t="str">
        <f>Engagements!E11</f>
        <v/>
      </c>
      <c r="F8" s="69" t="str">
        <f>Engagements!F11</f>
        <v/>
      </c>
      <c r="G8" s="71" t="str">
        <f>Engagements!G11</f>
        <v/>
      </c>
      <c r="H8" s="69" t="str">
        <f>Engagements!H11</f>
        <v/>
      </c>
      <c r="I8" s="69" t="str">
        <f>Engagements!I11</f>
        <v/>
      </c>
      <c r="J8" s="69" t="str">
        <f>Engagements!J11</f>
        <v/>
      </c>
      <c r="K8" s="69" t="str">
        <f>Engagements!K11</f>
        <v/>
      </c>
      <c r="L8" s="40"/>
      <c r="M8" s="150">
        <v>6</v>
      </c>
      <c r="N8" s="404" t="str">
        <f>Engagements!B26</f>
        <v/>
      </c>
      <c r="O8" s="404" t="str">
        <f>Engagements!C26</f>
        <v/>
      </c>
      <c r="P8" s="404" t="str">
        <f>Engagements!D26</f>
        <v/>
      </c>
      <c r="Q8" s="404" t="str">
        <f>Engagements!E26</f>
        <v/>
      </c>
      <c r="R8" s="404" t="str">
        <f>Engagements!F26</f>
        <v/>
      </c>
      <c r="S8" s="405" t="str">
        <f>Engagements!G26</f>
        <v/>
      </c>
      <c r="T8" s="404" t="str">
        <f>Engagements!H26</f>
        <v/>
      </c>
      <c r="U8" s="404" t="str">
        <f>Engagements!I26</f>
        <v/>
      </c>
      <c r="V8" s="404" t="str">
        <f>Engagements!J26</f>
        <v/>
      </c>
      <c r="W8" s="404" t="str">
        <f>Engagements!E27</f>
        <v/>
      </c>
      <c r="X8" s="404" t="str">
        <f>Engagements!F27</f>
        <v/>
      </c>
      <c r="Y8" s="405" t="str">
        <f>Engagements!G27</f>
        <v/>
      </c>
      <c r="Z8" s="404" t="str">
        <f>Engagements!H27</f>
        <v/>
      </c>
      <c r="AA8" s="404" t="str">
        <f>Engagements!I27</f>
        <v/>
      </c>
      <c r="AB8" s="404" t="str">
        <f>Engagements!J27</f>
        <v/>
      </c>
      <c r="AC8" s="404" t="str">
        <f>Engagements!E28</f>
        <v/>
      </c>
      <c r="AD8" s="404" t="str">
        <f>Engagements!F28</f>
        <v/>
      </c>
      <c r="AE8" s="405" t="str">
        <f>Engagements!G28</f>
        <v/>
      </c>
      <c r="AF8" s="404" t="str">
        <f>Engagements!H28</f>
        <v/>
      </c>
      <c r="AG8" s="404" t="str">
        <f>Engagements!I28</f>
        <v/>
      </c>
      <c r="AH8" s="404" t="str">
        <f>Engagements!J28</f>
        <v/>
      </c>
      <c r="AI8" s="404" t="str">
        <f>Engagements!E29</f>
        <v/>
      </c>
      <c r="AJ8" s="404" t="str">
        <f>Engagements!F29</f>
        <v/>
      </c>
      <c r="AK8" s="405" t="str">
        <f>Engagements!G29</f>
        <v/>
      </c>
      <c r="AL8" s="404" t="str">
        <f>Engagements!H29</f>
        <v/>
      </c>
      <c r="AM8" s="404" t="str">
        <f>Engagements!I29</f>
        <v/>
      </c>
      <c r="AN8" s="404" t="str">
        <f>Engagements!J29</f>
        <v/>
      </c>
      <c r="AO8" s="469" t="str">
        <f t="shared" si="3"/>
        <v/>
      </c>
      <c r="AP8" s="470" t="str">
        <f t="shared" si="4"/>
        <v/>
      </c>
      <c r="AQ8" t="str">
        <f t="shared" si="5"/>
        <v/>
      </c>
      <c r="AR8" t="str">
        <f t="shared" si="6"/>
        <v/>
      </c>
      <c r="AS8" t="str">
        <f t="shared" si="7"/>
        <v/>
      </c>
      <c r="AT8" t="str">
        <f t="shared" si="8"/>
        <v/>
      </c>
      <c r="AU8" t="str">
        <f t="shared" si="9"/>
        <v/>
      </c>
      <c r="AV8" t="str">
        <f t="shared" si="10"/>
        <v/>
      </c>
      <c r="AW8" t="str">
        <f t="shared" si="11"/>
        <v/>
      </c>
      <c r="AX8" t="str">
        <f t="shared" si="12"/>
        <v/>
      </c>
      <c r="AY8" t="str">
        <f t="shared" si="13"/>
        <v/>
      </c>
      <c r="AZ8" t="str">
        <f t="shared" si="14"/>
        <v/>
      </c>
      <c r="BA8" t="str">
        <f t="shared" si="15"/>
        <v/>
      </c>
      <c r="BB8" t="str">
        <f t="shared" si="16"/>
        <v/>
      </c>
      <c r="BC8" t="str">
        <f t="shared" si="17"/>
        <v/>
      </c>
      <c r="BD8" t="str">
        <f t="shared" si="18"/>
        <v/>
      </c>
      <c r="BE8" t="str">
        <f t="shared" si="19"/>
        <v/>
      </c>
      <c r="BF8" t="str">
        <f t="shared" si="20"/>
        <v/>
      </c>
      <c r="BG8" t="str">
        <f t="shared" si="21"/>
        <v/>
      </c>
      <c r="BH8" t="str">
        <f t="shared" si="22"/>
        <v/>
      </c>
      <c r="BI8" t="str">
        <f t="shared" si="23"/>
        <v/>
      </c>
      <c r="BJ8" t="str">
        <f t="shared" si="24"/>
        <v/>
      </c>
      <c r="BK8" t="str">
        <f t="shared" si="25"/>
        <v/>
      </c>
      <c r="BL8" t="str">
        <f t="shared" si="26"/>
        <v/>
      </c>
      <c r="BM8" t="str">
        <f t="shared" si="27"/>
        <v/>
      </c>
      <c r="BN8" t="str">
        <f t="shared" si="28"/>
        <v/>
      </c>
      <c r="BO8" t="str">
        <f t="shared" si="29"/>
        <v/>
      </c>
      <c r="BP8" t="str">
        <f t="shared" si="30"/>
        <v/>
      </c>
      <c r="BQ8" t="str">
        <f t="shared" si="31"/>
        <v/>
      </c>
      <c r="BR8" t="str">
        <f t="shared" si="32"/>
        <v/>
      </c>
      <c r="BS8" t="str">
        <f t="shared" si="33"/>
        <v>- -</v>
      </c>
      <c r="BT8" t="e">
        <f>Listing!O26</f>
        <v>#N/A</v>
      </c>
      <c r="BW8" t="s">
        <v>929</v>
      </c>
    </row>
    <row r="9" spans="1:75" x14ac:dyDescent="0.2">
      <c r="A9" s="57" t="str">
        <f t="shared" si="0"/>
        <v/>
      </c>
      <c r="B9" s="69" t="str">
        <f>Engagements!B12</f>
        <v/>
      </c>
      <c r="C9" s="69" t="str">
        <f>Engagements!C12</f>
        <v/>
      </c>
      <c r="D9" s="69" t="str">
        <f>Engagements!D12</f>
        <v/>
      </c>
      <c r="E9" s="69" t="str">
        <f>Engagements!E12</f>
        <v/>
      </c>
      <c r="F9" s="69" t="str">
        <f>Engagements!F12</f>
        <v/>
      </c>
      <c r="G9" s="71" t="str">
        <f>Engagements!G12</f>
        <v/>
      </c>
      <c r="H9" s="69" t="str">
        <f>Engagements!H12</f>
        <v/>
      </c>
      <c r="I9" s="69" t="str">
        <f>Engagements!I12</f>
        <v/>
      </c>
      <c r="J9" s="69" t="str">
        <f>Engagements!J12</f>
        <v/>
      </c>
      <c r="K9" s="69" t="str">
        <f>Engagements!K12</f>
        <v/>
      </c>
      <c r="L9" s="40"/>
      <c r="M9" s="150">
        <v>7</v>
      </c>
      <c r="N9" s="404" t="str">
        <f>Engagements!B30</f>
        <v/>
      </c>
      <c r="O9" s="404" t="str">
        <f>Engagements!C30</f>
        <v/>
      </c>
      <c r="P9" s="404" t="str">
        <f>Engagements!D30</f>
        <v/>
      </c>
      <c r="Q9" s="404" t="str">
        <f>Engagements!E30</f>
        <v/>
      </c>
      <c r="R9" s="404" t="str">
        <f>Engagements!F30</f>
        <v/>
      </c>
      <c r="S9" s="405" t="str">
        <f>Engagements!G30</f>
        <v/>
      </c>
      <c r="T9" s="404" t="str">
        <f>Engagements!H30</f>
        <v/>
      </c>
      <c r="U9" s="404" t="str">
        <f>Engagements!I30</f>
        <v/>
      </c>
      <c r="V9" s="404" t="str">
        <f>Engagements!J30</f>
        <v/>
      </c>
      <c r="W9" s="404" t="str">
        <f>Engagements!E31</f>
        <v/>
      </c>
      <c r="X9" s="404" t="str">
        <f>Engagements!F31</f>
        <v/>
      </c>
      <c r="Y9" s="405" t="str">
        <f>Engagements!G31</f>
        <v/>
      </c>
      <c r="Z9" s="404" t="str">
        <f>Engagements!H31</f>
        <v/>
      </c>
      <c r="AA9" s="404" t="str">
        <f>Engagements!I31</f>
        <v/>
      </c>
      <c r="AB9" s="404" t="str">
        <f>Engagements!J31</f>
        <v/>
      </c>
      <c r="AC9" s="404" t="str">
        <f>Engagements!E32</f>
        <v/>
      </c>
      <c r="AD9" s="404" t="str">
        <f>Engagements!F32</f>
        <v/>
      </c>
      <c r="AE9" s="405" t="str">
        <f>Engagements!G32</f>
        <v/>
      </c>
      <c r="AF9" s="404" t="str">
        <f>Engagements!H32</f>
        <v/>
      </c>
      <c r="AG9" s="404" t="str">
        <f>Engagements!I32</f>
        <v/>
      </c>
      <c r="AH9" s="404" t="str">
        <f>Engagements!J32</f>
        <v/>
      </c>
      <c r="AI9" s="404" t="str">
        <f>Engagements!E33</f>
        <v/>
      </c>
      <c r="AJ9" s="404" t="str">
        <f>Engagements!F33</f>
        <v/>
      </c>
      <c r="AK9" s="405" t="str">
        <f>Engagements!G33</f>
        <v/>
      </c>
      <c r="AL9" s="404" t="str">
        <f>Engagements!H33</f>
        <v/>
      </c>
      <c r="AM9" s="404" t="str">
        <f>Engagements!I33</f>
        <v/>
      </c>
      <c r="AN9" s="404" t="str">
        <f>Engagements!J33</f>
        <v/>
      </c>
      <c r="AO9" s="469" t="str">
        <f t="shared" si="3"/>
        <v/>
      </c>
      <c r="AP9" s="470" t="str">
        <f t="shared" si="4"/>
        <v/>
      </c>
      <c r="AQ9" t="str">
        <f t="shared" si="5"/>
        <v/>
      </c>
      <c r="AR9" t="str">
        <f t="shared" si="6"/>
        <v/>
      </c>
      <c r="AS9" t="str">
        <f t="shared" si="7"/>
        <v/>
      </c>
      <c r="AT9" t="str">
        <f t="shared" si="8"/>
        <v/>
      </c>
      <c r="AU9" t="str">
        <f t="shared" si="9"/>
        <v/>
      </c>
      <c r="AV9" t="str">
        <f t="shared" si="10"/>
        <v/>
      </c>
      <c r="AW9" t="str">
        <f t="shared" si="11"/>
        <v/>
      </c>
      <c r="AX9" t="str">
        <f t="shared" si="12"/>
        <v/>
      </c>
      <c r="AY9" t="str">
        <f t="shared" si="13"/>
        <v/>
      </c>
      <c r="AZ9" t="str">
        <f t="shared" si="14"/>
        <v/>
      </c>
      <c r="BA9" t="str">
        <f t="shared" si="15"/>
        <v/>
      </c>
      <c r="BB9" t="str">
        <f t="shared" si="16"/>
        <v/>
      </c>
      <c r="BC9" t="str">
        <f t="shared" si="17"/>
        <v/>
      </c>
      <c r="BD9" t="str">
        <f t="shared" si="18"/>
        <v/>
      </c>
      <c r="BE9" t="str">
        <f t="shared" si="19"/>
        <v/>
      </c>
      <c r="BF9" t="str">
        <f t="shared" si="20"/>
        <v/>
      </c>
      <c r="BG9" t="str">
        <f t="shared" si="21"/>
        <v/>
      </c>
      <c r="BH9" t="str">
        <f t="shared" si="22"/>
        <v/>
      </c>
      <c r="BI9" t="str">
        <f t="shared" si="23"/>
        <v/>
      </c>
      <c r="BJ9" t="str">
        <f t="shared" si="24"/>
        <v/>
      </c>
      <c r="BK9" t="str">
        <f t="shared" si="25"/>
        <v/>
      </c>
      <c r="BL9" t="str">
        <f t="shared" si="26"/>
        <v/>
      </c>
      <c r="BM9" t="str">
        <f t="shared" si="27"/>
        <v/>
      </c>
      <c r="BN9" t="str">
        <f t="shared" si="28"/>
        <v/>
      </c>
      <c r="BO9" t="str">
        <f t="shared" si="29"/>
        <v/>
      </c>
      <c r="BP9" t="str">
        <f t="shared" si="30"/>
        <v/>
      </c>
      <c r="BQ9" t="str">
        <f t="shared" si="31"/>
        <v/>
      </c>
      <c r="BR9" t="str">
        <f t="shared" si="32"/>
        <v/>
      </c>
      <c r="BS9" t="str">
        <f t="shared" si="33"/>
        <v>- -</v>
      </c>
      <c r="BT9" t="e">
        <f>Listing!O30</f>
        <v>#N/A</v>
      </c>
    </row>
    <row r="10" spans="1:75" x14ac:dyDescent="0.2">
      <c r="A10" s="57" t="str">
        <f t="shared" si="0"/>
        <v/>
      </c>
      <c r="B10" s="69" t="str">
        <f>Engagements!B13</f>
        <v/>
      </c>
      <c r="C10" s="69" t="str">
        <f>Engagements!C13</f>
        <v/>
      </c>
      <c r="D10" s="69" t="str">
        <f>Engagements!D13</f>
        <v/>
      </c>
      <c r="E10" s="69" t="str">
        <f>Engagements!E13</f>
        <v/>
      </c>
      <c r="F10" s="69" t="str">
        <f>Engagements!F13</f>
        <v/>
      </c>
      <c r="G10" s="71" t="str">
        <f>Engagements!G13</f>
        <v/>
      </c>
      <c r="H10" s="69" t="str">
        <f>Engagements!H13</f>
        <v/>
      </c>
      <c r="I10" s="69" t="str">
        <f>Engagements!I13</f>
        <v/>
      </c>
      <c r="J10" s="69" t="str">
        <f>Engagements!J13</f>
        <v/>
      </c>
      <c r="K10" s="69" t="str">
        <f>Engagements!K13</f>
        <v/>
      </c>
      <c r="L10" s="40"/>
      <c r="M10" s="150">
        <v>8</v>
      </c>
      <c r="N10" s="404" t="str">
        <f>Engagements!B34</f>
        <v/>
      </c>
      <c r="O10" s="404" t="str">
        <f>Engagements!C34</f>
        <v/>
      </c>
      <c r="P10" s="404" t="str">
        <f>Engagements!D34</f>
        <v/>
      </c>
      <c r="Q10" s="404" t="str">
        <f>Engagements!E34</f>
        <v/>
      </c>
      <c r="R10" s="404" t="str">
        <f>Engagements!F34</f>
        <v/>
      </c>
      <c r="S10" s="405" t="str">
        <f>Engagements!G34</f>
        <v/>
      </c>
      <c r="T10" s="404" t="str">
        <f>Engagements!H34</f>
        <v/>
      </c>
      <c r="U10" s="404" t="str">
        <f>Engagements!I34</f>
        <v/>
      </c>
      <c r="V10" s="404" t="str">
        <f>Engagements!J34</f>
        <v/>
      </c>
      <c r="W10" s="404" t="str">
        <f>Engagements!E35</f>
        <v/>
      </c>
      <c r="X10" s="404" t="str">
        <f>Engagements!F35</f>
        <v/>
      </c>
      <c r="Y10" s="405" t="str">
        <f>Engagements!G35</f>
        <v/>
      </c>
      <c r="Z10" s="404" t="str">
        <f>Engagements!H35</f>
        <v/>
      </c>
      <c r="AA10" s="404" t="str">
        <f>Engagements!I35</f>
        <v/>
      </c>
      <c r="AB10" s="404" t="str">
        <f>Engagements!J35</f>
        <v/>
      </c>
      <c r="AC10" s="404" t="str">
        <f>Engagements!E36</f>
        <v/>
      </c>
      <c r="AD10" s="404" t="str">
        <f>Engagements!F36</f>
        <v/>
      </c>
      <c r="AE10" s="405" t="str">
        <f>Engagements!G36</f>
        <v/>
      </c>
      <c r="AF10" s="404" t="str">
        <f>Engagements!H36</f>
        <v/>
      </c>
      <c r="AG10" s="404" t="str">
        <f>Engagements!I36</f>
        <v/>
      </c>
      <c r="AH10" s="404" t="str">
        <f>Engagements!J36</f>
        <v/>
      </c>
      <c r="AI10" s="404" t="str">
        <f>Engagements!E37</f>
        <v/>
      </c>
      <c r="AJ10" s="404" t="str">
        <f>Engagements!F37</f>
        <v/>
      </c>
      <c r="AK10" s="405" t="str">
        <f>Engagements!G37</f>
        <v/>
      </c>
      <c r="AL10" s="404" t="str">
        <f>Engagements!H37</f>
        <v/>
      </c>
      <c r="AM10" s="404" t="str">
        <f>Engagements!I37</f>
        <v/>
      </c>
      <c r="AN10" s="404" t="str">
        <f>Engagements!J37</f>
        <v/>
      </c>
      <c r="AO10" s="469" t="str">
        <f t="shared" si="3"/>
        <v/>
      </c>
      <c r="AP10" s="470" t="str">
        <f t="shared" si="4"/>
        <v/>
      </c>
      <c r="AQ10" t="str">
        <f t="shared" si="5"/>
        <v/>
      </c>
      <c r="AR10" t="str">
        <f t="shared" si="6"/>
        <v/>
      </c>
      <c r="AS10" t="str">
        <f t="shared" si="7"/>
        <v/>
      </c>
      <c r="AT10" t="str">
        <f t="shared" si="8"/>
        <v/>
      </c>
      <c r="AU10" t="str">
        <f t="shared" si="9"/>
        <v/>
      </c>
      <c r="AV10" t="str">
        <f t="shared" si="10"/>
        <v/>
      </c>
      <c r="AW10" t="str">
        <f t="shared" si="11"/>
        <v/>
      </c>
      <c r="AX10" t="str">
        <f t="shared" si="12"/>
        <v/>
      </c>
      <c r="AY10" t="str">
        <f t="shared" si="13"/>
        <v/>
      </c>
      <c r="AZ10" t="str">
        <f t="shared" si="14"/>
        <v/>
      </c>
      <c r="BA10" t="str">
        <f t="shared" si="15"/>
        <v/>
      </c>
      <c r="BB10" t="str">
        <f t="shared" si="16"/>
        <v/>
      </c>
      <c r="BC10" t="str">
        <f t="shared" si="17"/>
        <v/>
      </c>
      <c r="BD10" t="str">
        <f t="shared" si="18"/>
        <v/>
      </c>
      <c r="BE10" t="str">
        <f t="shared" si="19"/>
        <v/>
      </c>
      <c r="BF10" t="str">
        <f t="shared" si="20"/>
        <v/>
      </c>
      <c r="BG10" t="str">
        <f t="shared" si="21"/>
        <v/>
      </c>
      <c r="BH10" t="str">
        <f t="shared" si="22"/>
        <v/>
      </c>
      <c r="BI10" t="str">
        <f t="shared" si="23"/>
        <v/>
      </c>
      <c r="BJ10" t="str">
        <f t="shared" si="24"/>
        <v/>
      </c>
      <c r="BK10" t="str">
        <f t="shared" si="25"/>
        <v/>
      </c>
      <c r="BL10" t="str">
        <f t="shared" si="26"/>
        <v/>
      </c>
      <c r="BM10" t="str">
        <f t="shared" si="27"/>
        <v/>
      </c>
      <c r="BN10" t="str">
        <f t="shared" si="28"/>
        <v/>
      </c>
      <c r="BO10" t="str">
        <f t="shared" si="29"/>
        <v/>
      </c>
      <c r="BP10" t="str">
        <f t="shared" si="30"/>
        <v/>
      </c>
      <c r="BQ10" t="str">
        <f t="shared" si="31"/>
        <v/>
      </c>
      <c r="BR10" t="str">
        <f t="shared" si="32"/>
        <v/>
      </c>
      <c r="BS10" t="str">
        <f t="shared" si="33"/>
        <v>- -</v>
      </c>
      <c r="BT10" t="e">
        <f>Listing!O34</f>
        <v>#N/A</v>
      </c>
      <c r="BV10" s="471" t="s">
        <v>931</v>
      </c>
      <c r="BW10" s="471" t="s">
        <v>932</v>
      </c>
    </row>
    <row r="11" spans="1:75" x14ac:dyDescent="0.2">
      <c r="A11" s="57" t="str">
        <f t="shared" si="0"/>
        <v/>
      </c>
      <c r="B11" s="69" t="str">
        <f>Engagements!B14</f>
        <v/>
      </c>
      <c r="C11" s="69" t="str">
        <f>Engagements!C14</f>
        <v/>
      </c>
      <c r="D11" s="69" t="str">
        <f>Engagements!D14</f>
        <v/>
      </c>
      <c r="E11" s="69" t="str">
        <f>Engagements!E14</f>
        <v/>
      </c>
      <c r="F11" s="69" t="str">
        <f>Engagements!F14</f>
        <v/>
      </c>
      <c r="G11" s="71" t="str">
        <f>Engagements!G14</f>
        <v/>
      </c>
      <c r="H11" s="69" t="str">
        <f>Engagements!H14</f>
        <v/>
      </c>
      <c r="I11" s="69" t="str">
        <f>Engagements!I14</f>
        <v/>
      </c>
      <c r="J11" s="69" t="str">
        <f>Engagements!J14</f>
        <v/>
      </c>
      <c r="K11" s="69" t="str">
        <f>Engagements!K14</f>
        <v/>
      </c>
      <c r="L11" s="40"/>
      <c r="M11" s="150">
        <v>9</v>
      </c>
      <c r="N11" s="404" t="str">
        <f>Engagements!B38</f>
        <v/>
      </c>
      <c r="O11" s="404" t="str">
        <f>Engagements!C38</f>
        <v/>
      </c>
      <c r="P11" s="404" t="str">
        <f>Engagements!D38</f>
        <v/>
      </c>
      <c r="Q11" s="404" t="str">
        <f>Engagements!E38</f>
        <v/>
      </c>
      <c r="R11" s="404" t="str">
        <f>Engagements!F38</f>
        <v/>
      </c>
      <c r="S11" s="405" t="str">
        <f>Engagements!G38</f>
        <v/>
      </c>
      <c r="T11" s="404" t="str">
        <f>Engagements!H38</f>
        <v/>
      </c>
      <c r="U11" s="404" t="str">
        <f>Engagements!I38</f>
        <v/>
      </c>
      <c r="V11" s="404" t="str">
        <f>Engagements!J38</f>
        <v/>
      </c>
      <c r="W11" s="404" t="str">
        <f>Engagements!E39</f>
        <v/>
      </c>
      <c r="X11" s="404" t="str">
        <f>Engagements!F39</f>
        <v/>
      </c>
      <c r="Y11" s="405" t="str">
        <f>Engagements!G39</f>
        <v/>
      </c>
      <c r="Z11" s="404" t="str">
        <f>Engagements!H39</f>
        <v/>
      </c>
      <c r="AA11" s="404" t="str">
        <f>Engagements!I39</f>
        <v/>
      </c>
      <c r="AB11" s="404" t="str">
        <f>Engagements!J39</f>
        <v/>
      </c>
      <c r="AC11" s="404" t="str">
        <f>Engagements!E40</f>
        <v/>
      </c>
      <c r="AD11" s="404" t="str">
        <f>Engagements!F40</f>
        <v/>
      </c>
      <c r="AE11" s="405" t="str">
        <f>Engagements!G40</f>
        <v/>
      </c>
      <c r="AF11" s="404" t="str">
        <f>Engagements!H40</f>
        <v/>
      </c>
      <c r="AG11" s="404" t="str">
        <f>Engagements!I40</f>
        <v/>
      </c>
      <c r="AH11" s="404" t="str">
        <f>Engagements!J40</f>
        <v/>
      </c>
      <c r="AI11" s="404" t="str">
        <f>Engagements!E41</f>
        <v/>
      </c>
      <c r="AJ11" s="404" t="str">
        <f>Engagements!F41</f>
        <v/>
      </c>
      <c r="AK11" s="405" t="str">
        <f>Engagements!G41</f>
        <v/>
      </c>
      <c r="AL11" s="404" t="str">
        <f>Engagements!H41</f>
        <v/>
      </c>
      <c r="AM11" s="404" t="str">
        <f>Engagements!I41</f>
        <v/>
      </c>
      <c r="AN11" s="404" t="str">
        <f>Engagements!J41</f>
        <v/>
      </c>
      <c r="AO11" s="469" t="str">
        <f t="shared" si="3"/>
        <v/>
      </c>
      <c r="AP11" s="470" t="str">
        <f t="shared" si="4"/>
        <v/>
      </c>
      <c r="AQ11" t="str">
        <f t="shared" si="5"/>
        <v/>
      </c>
      <c r="AR11" t="str">
        <f t="shared" si="6"/>
        <v/>
      </c>
      <c r="AS11" t="str">
        <f t="shared" si="7"/>
        <v/>
      </c>
      <c r="AT11" t="str">
        <f t="shared" si="8"/>
        <v/>
      </c>
      <c r="AU11" t="str">
        <f t="shared" si="9"/>
        <v/>
      </c>
      <c r="AV11" t="str">
        <f t="shared" si="10"/>
        <v/>
      </c>
      <c r="AW11" t="str">
        <f t="shared" si="11"/>
        <v/>
      </c>
      <c r="AX11" t="str">
        <f t="shared" si="12"/>
        <v/>
      </c>
      <c r="AY11" t="str">
        <f t="shared" si="13"/>
        <v/>
      </c>
      <c r="AZ11" t="str">
        <f t="shared" si="14"/>
        <v/>
      </c>
      <c r="BA11" t="str">
        <f t="shared" si="15"/>
        <v/>
      </c>
      <c r="BB11" t="str">
        <f t="shared" si="16"/>
        <v/>
      </c>
      <c r="BC11" t="str">
        <f t="shared" si="17"/>
        <v/>
      </c>
      <c r="BD11" t="str">
        <f t="shared" si="18"/>
        <v/>
      </c>
      <c r="BE11" t="str">
        <f t="shared" si="19"/>
        <v/>
      </c>
      <c r="BF11" t="str">
        <f t="shared" si="20"/>
        <v/>
      </c>
      <c r="BG11" t="str">
        <f t="shared" si="21"/>
        <v/>
      </c>
      <c r="BH11" t="str">
        <f t="shared" si="22"/>
        <v/>
      </c>
      <c r="BI11" t="str">
        <f t="shared" si="23"/>
        <v/>
      </c>
      <c r="BJ11" t="str">
        <f t="shared" si="24"/>
        <v/>
      </c>
      <c r="BK11" t="str">
        <f t="shared" si="25"/>
        <v/>
      </c>
      <c r="BL11" t="str">
        <f t="shared" si="26"/>
        <v/>
      </c>
      <c r="BM11" t="str">
        <f t="shared" si="27"/>
        <v/>
      </c>
      <c r="BN11" t="str">
        <f t="shared" si="28"/>
        <v/>
      </c>
      <c r="BO11" t="str">
        <f t="shared" si="29"/>
        <v/>
      </c>
      <c r="BP11" t="str">
        <f t="shared" si="30"/>
        <v/>
      </c>
      <c r="BQ11" t="str">
        <f t="shared" si="31"/>
        <v/>
      </c>
      <c r="BR11" t="str">
        <f t="shared" si="32"/>
        <v/>
      </c>
      <c r="BS11" t="str">
        <f t="shared" si="33"/>
        <v>- -</v>
      </c>
      <c r="BT11" t="e">
        <f>Listing!O38</f>
        <v>#N/A</v>
      </c>
    </row>
    <row r="12" spans="1:75" x14ac:dyDescent="0.2">
      <c r="A12" s="57" t="str">
        <f t="shared" si="0"/>
        <v/>
      </c>
      <c r="B12" s="69" t="str">
        <f>Engagements!B15</f>
        <v/>
      </c>
      <c r="C12" s="69" t="str">
        <f>Engagements!C15</f>
        <v/>
      </c>
      <c r="D12" s="69" t="str">
        <f>Engagements!D15</f>
        <v/>
      </c>
      <c r="E12" s="69" t="str">
        <f>Engagements!E15</f>
        <v/>
      </c>
      <c r="F12" s="69" t="str">
        <f>Engagements!F15</f>
        <v/>
      </c>
      <c r="G12" s="71" t="str">
        <f>Engagements!G15</f>
        <v/>
      </c>
      <c r="H12" s="69" t="str">
        <f>Engagements!H15</f>
        <v/>
      </c>
      <c r="I12" s="69" t="str">
        <f>Engagements!I15</f>
        <v/>
      </c>
      <c r="J12" s="69" t="str">
        <f>Engagements!J15</f>
        <v/>
      </c>
      <c r="K12" s="69" t="str">
        <f>Engagements!K15</f>
        <v/>
      </c>
      <c r="L12" s="40"/>
      <c r="M12" s="150">
        <v>10</v>
      </c>
      <c r="N12" s="404" t="str">
        <f>Engagements!B42</f>
        <v/>
      </c>
      <c r="O12" s="404" t="str">
        <f>Engagements!C42</f>
        <v/>
      </c>
      <c r="P12" s="404" t="str">
        <f>Engagements!D42</f>
        <v/>
      </c>
      <c r="Q12" s="404" t="str">
        <f>Engagements!E42</f>
        <v/>
      </c>
      <c r="R12" s="404" t="str">
        <f>Engagements!F42</f>
        <v/>
      </c>
      <c r="S12" s="405" t="str">
        <f>Engagements!G42</f>
        <v/>
      </c>
      <c r="T12" s="404" t="str">
        <f>Engagements!H42</f>
        <v/>
      </c>
      <c r="U12" s="404" t="str">
        <f>Engagements!I42</f>
        <v/>
      </c>
      <c r="V12" s="404" t="str">
        <f>Engagements!J42</f>
        <v/>
      </c>
      <c r="W12" s="404" t="str">
        <f>Engagements!E43</f>
        <v/>
      </c>
      <c r="X12" s="404" t="str">
        <f>Engagements!F43</f>
        <v/>
      </c>
      <c r="Y12" s="405" t="str">
        <f>Engagements!G43</f>
        <v/>
      </c>
      <c r="Z12" s="404" t="str">
        <f>Engagements!H43</f>
        <v/>
      </c>
      <c r="AA12" s="404" t="str">
        <f>Engagements!I43</f>
        <v/>
      </c>
      <c r="AB12" s="404" t="str">
        <f>Engagements!J43</f>
        <v/>
      </c>
      <c r="AC12" s="404" t="str">
        <f>Engagements!E44</f>
        <v/>
      </c>
      <c r="AD12" s="404" t="str">
        <f>Engagements!F44</f>
        <v/>
      </c>
      <c r="AE12" s="405" t="str">
        <f>Engagements!G44</f>
        <v/>
      </c>
      <c r="AF12" s="404" t="str">
        <f>Engagements!H44</f>
        <v/>
      </c>
      <c r="AG12" s="404" t="str">
        <f>Engagements!I44</f>
        <v/>
      </c>
      <c r="AH12" s="404" t="str">
        <f>Engagements!J44</f>
        <v/>
      </c>
      <c r="AI12" s="404" t="str">
        <f>Engagements!E45</f>
        <v/>
      </c>
      <c r="AJ12" s="404" t="str">
        <f>Engagements!F45</f>
        <v/>
      </c>
      <c r="AK12" s="405" t="str">
        <f>Engagements!G45</f>
        <v/>
      </c>
      <c r="AL12" s="404" t="str">
        <f>Engagements!H45</f>
        <v/>
      </c>
      <c r="AM12" s="404" t="str">
        <f>Engagements!I45</f>
        <v/>
      </c>
      <c r="AN12" s="404" t="str">
        <f>Engagements!J45</f>
        <v/>
      </c>
      <c r="AO12" s="469" t="str">
        <f t="shared" si="3"/>
        <v/>
      </c>
      <c r="AP12" s="470" t="str">
        <f t="shared" si="4"/>
        <v/>
      </c>
      <c r="AQ12" t="str">
        <f t="shared" si="5"/>
        <v/>
      </c>
      <c r="AR12" t="str">
        <f t="shared" si="6"/>
        <v/>
      </c>
      <c r="AS12" t="str">
        <f t="shared" si="7"/>
        <v/>
      </c>
      <c r="AT12" t="str">
        <f t="shared" si="8"/>
        <v/>
      </c>
      <c r="AU12" t="str">
        <f t="shared" si="9"/>
        <v/>
      </c>
      <c r="AV12" t="str">
        <f t="shared" si="10"/>
        <v/>
      </c>
      <c r="AW12" t="str">
        <f t="shared" si="11"/>
        <v/>
      </c>
      <c r="AX12" t="str">
        <f t="shared" si="12"/>
        <v/>
      </c>
      <c r="AY12" t="str">
        <f t="shared" si="13"/>
        <v/>
      </c>
      <c r="AZ12" t="str">
        <f t="shared" si="14"/>
        <v/>
      </c>
      <c r="BA12" t="str">
        <f t="shared" si="15"/>
        <v/>
      </c>
      <c r="BB12" t="str">
        <f t="shared" si="16"/>
        <v/>
      </c>
      <c r="BC12" t="str">
        <f t="shared" si="17"/>
        <v/>
      </c>
      <c r="BD12" t="str">
        <f t="shared" si="18"/>
        <v/>
      </c>
      <c r="BE12" t="str">
        <f t="shared" si="19"/>
        <v/>
      </c>
      <c r="BF12" t="str">
        <f t="shared" si="20"/>
        <v/>
      </c>
      <c r="BG12" t="str">
        <f t="shared" si="21"/>
        <v/>
      </c>
      <c r="BH12" t="str">
        <f t="shared" si="22"/>
        <v/>
      </c>
      <c r="BI12" t="str">
        <f t="shared" si="23"/>
        <v/>
      </c>
      <c r="BJ12" t="str">
        <f t="shared" si="24"/>
        <v/>
      </c>
      <c r="BK12" t="str">
        <f t="shared" si="25"/>
        <v/>
      </c>
      <c r="BL12" t="str">
        <f t="shared" si="26"/>
        <v/>
      </c>
      <c r="BM12" t="str">
        <f t="shared" si="27"/>
        <v/>
      </c>
      <c r="BN12" t="str">
        <f t="shared" si="28"/>
        <v/>
      </c>
      <c r="BO12" t="str">
        <f t="shared" si="29"/>
        <v/>
      </c>
      <c r="BP12" t="str">
        <f t="shared" si="30"/>
        <v/>
      </c>
      <c r="BQ12" t="str">
        <f t="shared" si="31"/>
        <v/>
      </c>
      <c r="BR12" t="str">
        <f t="shared" si="32"/>
        <v/>
      </c>
      <c r="BS12" t="str">
        <f t="shared" si="33"/>
        <v>- -</v>
      </c>
      <c r="BT12" t="e">
        <f>Listing!O42</f>
        <v>#N/A</v>
      </c>
      <c r="BV12" s="471" t="s">
        <v>933</v>
      </c>
      <c r="BW12" s="471" t="s">
        <v>934</v>
      </c>
    </row>
    <row r="13" spans="1:75" x14ac:dyDescent="0.2">
      <c r="A13" s="57" t="str">
        <f t="shared" si="0"/>
        <v/>
      </c>
      <c r="B13" s="69" t="str">
        <f>Engagements!B16</f>
        <v/>
      </c>
      <c r="C13" s="69" t="str">
        <f>Engagements!C16</f>
        <v/>
      </c>
      <c r="D13" s="69" t="str">
        <f>Engagements!D16</f>
        <v/>
      </c>
      <c r="E13" s="69" t="str">
        <f>Engagements!E16</f>
        <v/>
      </c>
      <c r="F13" s="69" t="str">
        <f>Engagements!F16</f>
        <v/>
      </c>
      <c r="G13" s="71" t="str">
        <f>Engagements!G16</f>
        <v/>
      </c>
      <c r="H13" s="69" t="str">
        <f>Engagements!H16</f>
        <v/>
      </c>
      <c r="I13" s="69" t="str">
        <f>Engagements!I16</f>
        <v/>
      </c>
      <c r="J13" s="69" t="str">
        <f>Engagements!J16</f>
        <v/>
      </c>
      <c r="K13" s="69" t="str">
        <f>Engagements!K16</f>
        <v/>
      </c>
      <c r="L13" s="40"/>
      <c r="M13" s="150">
        <v>11</v>
      </c>
      <c r="N13" s="404" t="str">
        <f>Engagements!B46</f>
        <v/>
      </c>
      <c r="O13" s="404" t="str">
        <f>Engagements!C46</f>
        <v/>
      </c>
      <c r="P13" s="404" t="str">
        <f>Engagements!D46</f>
        <v/>
      </c>
      <c r="Q13" s="404" t="str">
        <f>Engagements!E46</f>
        <v/>
      </c>
      <c r="R13" s="404" t="str">
        <f>Engagements!F46</f>
        <v/>
      </c>
      <c r="S13" s="405" t="str">
        <f>Engagements!G46</f>
        <v/>
      </c>
      <c r="T13" s="404" t="str">
        <f>Engagements!H46</f>
        <v/>
      </c>
      <c r="U13" s="404" t="str">
        <f>Engagements!I46</f>
        <v/>
      </c>
      <c r="V13" s="404" t="str">
        <f>Engagements!J46</f>
        <v/>
      </c>
      <c r="W13" s="404" t="str">
        <f>Engagements!E47</f>
        <v/>
      </c>
      <c r="X13" s="404" t="str">
        <f>Engagements!F47</f>
        <v/>
      </c>
      <c r="Y13" s="405" t="str">
        <f>Engagements!G47</f>
        <v/>
      </c>
      <c r="Z13" s="404" t="str">
        <f>Engagements!H47</f>
        <v/>
      </c>
      <c r="AA13" s="404" t="str">
        <f>Engagements!I47</f>
        <v/>
      </c>
      <c r="AB13" s="404" t="str">
        <f>Engagements!J47</f>
        <v/>
      </c>
      <c r="AC13" s="404" t="str">
        <f>Engagements!E48</f>
        <v/>
      </c>
      <c r="AD13" s="404" t="str">
        <f>Engagements!F48</f>
        <v/>
      </c>
      <c r="AE13" s="405" t="str">
        <f>Engagements!G48</f>
        <v/>
      </c>
      <c r="AF13" s="404" t="str">
        <f>Engagements!H48</f>
        <v/>
      </c>
      <c r="AG13" s="404" t="str">
        <f>Engagements!I48</f>
        <v/>
      </c>
      <c r="AH13" s="404" t="str">
        <f>Engagements!J48</f>
        <v/>
      </c>
      <c r="AI13" s="404" t="str">
        <f>Engagements!E49</f>
        <v/>
      </c>
      <c r="AJ13" s="404" t="str">
        <f>Engagements!F49</f>
        <v/>
      </c>
      <c r="AK13" s="405" t="str">
        <f>Engagements!G49</f>
        <v/>
      </c>
      <c r="AL13" s="404" t="str">
        <f>Engagements!H49</f>
        <v/>
      </c>
      <c r="AM13" s="404" t="str">
        <f>Engagements!I49</f>
        <v/>
      </c>
      <c r="AN13" s="404" t="str">
        <f>Engagements!J49</f>
        <v/>
      </c>
      <c r="AO13" s="469" t="str">
        <f t="shared" si="3"/>
        <v/>
      </c>
      <c r="AP13" s="470" t="str">
        <f t="shared" si="4"/>
        <v/>
      </c>
      <c r="AQ13" t="str">
        <f t="shared" si="5"/>
        <v/>
      </c>
      <c r="AR13" t="str">
        <f t="shared" si="6"/>
        <v/>
      </c>
      <c r="AS13" t="str">
        <f t="shared" si="7"/>
        <v/>
      </c>
      <c r="AT13" t="str">
        <f t="shared" si="8"/>
        <v/>
      </c>
      <c r="AU13" t="str">
        <f t="shared" si="9"/>
        <v/>
      </c>
      <c r="AV13" t="str">
        <f t="shared" si="10"/>
        <v/>
      </c>
      <c r="AW13" t="str">
        <f t="shared" si="11"/>
        <v/>
      </c>
      <c r="AX13" t="str">
        <f t="shared" si="12"/>
        <v/>
      </c>
      <c r="AY13" t="str">
        <f t="shared" si="13"/>
        <v/>
      </c>
      <c r="AZ13" t="str">
        <f t="shared" si="14"/>
        <v/>
      </c>
      <c r="BA13" t="str">
        <f t="shared" si="15"/>
        <v/>
      </c>
      <c r="BB13" t="str">
        <f t="shared" si="16"/>
        <v/>
      </c>
      <c r="BC13" t="str">
        <f t="shared" si="17"/>
        <v/>
      </c>
      <c r="BD13" t="str">
        <f t="shared" si="18"/>
        <v/>
      </c>
      <c r="BE13" t="str">
        <f t="shared" si="19"/>
        <v/>
      </c>
      <c r="BF13" t="str">
        <f t="shared" si="20"/>
        <v/>
      </c>
      <c r="BG13" t="str">
        <f t="shared" si="21"/>
        <v/>
      </c>
      <c r="BH13" t="str">
        <f t="shared" si="22"/>
        <v/>
      </c>
      <c r="BI13" t="str">
        <f t="shared" si="23"/>
        <v/>
      </c>
      <c r="BJ13" t="str">
        <f t="shared" si="24"/>
        <v/>
      </c>
      <c r="BK13" t="str">
        <f t="shared" si="25"/>
        <v/>
      </c>
      <c r="BL13" t="str">
        <f t="shared" si="26"/>
        <v/>
      </c>
      <c r="BM13" t="str">
        <f t="shared" si="27"/>
        <v/>
      </c>
      <c r="BN13" t="str">
        <f t="shared" si="28"/>
        <v/>
      </c>
      <c r="BO13" t="str">
        <f t="shared" si="29"/>
        <v/>
      </c>
      <c r="BP13" t="str">
        <f t="shared" si="30"/>
        <v/>
      </c>
      <c r="BQ13" t="str">
        <f t="shared" si="31"/>
        <v/>
      </c>
      <c r="BR13" t="str">
        <f t="shared" si="32"/>
        <v/>
      </c>
      <c r="BS13" t="str">
        <f t="shared" si="33"/>
        <v>- -</v>
      </c>
      <c r="BT13" t="e">
        <f>Listing!O46</f>
        <v>#N/A</v>
      </c>
    </row>
    <row r="14" spans="1:75" x14ac:dyDescent="0.2">
      <c r="A14" s="57" t="str">
        <f t="shared" si="0"/>
        <v/>
      </c>
      <c r="B14" s="69" t="str">
        <f>Engagements!B17</f>
        <v/>
      </c>
      <c r="C14" s="69" t="str">
        <f>Engagements!C17</f>
        <v/>
      </c>
      <c r="D14" s="69" t="str">
        <f>Engagements!D17</f>
        <v/>
      </c>
      <c r="E14" s="69" t="str">
        <f>Engagements!E17</f>
        <v/>
      </c>
      <c r="F14" s="69" t="str">
        <f>Engagements!F17</f>
        <v/>
      </c>
      <c r="G14" s="71" t="str">
        <f>Engagements!G17</f>
        <v/>
      </c>
      <c r="H14" s="69" t="str">
        <f>Engagements!H17</f>
        <v/>
      </c>
      <c r="I14" s="69" t="str">
        <f>Engagements!I17</f>
        <v/>
      </c>
      <c r="J14" s="69" t="str">
        <f>Engagements!J17</f>
        <v/>
      </c>
      <c r="K14" s="69" t="str">
        <f>Engagements!K17</f>
        <v/>
      </c>
      <c r="L14" s="40"/>
      <c r="M14" s="150">
        <v>12</v>
      </c>
      <c r="N14" s="404" t="str">
        <f>Engagements!B50</f>
        <v/>
      </c>
      <c r="O14" s="404" t="str">
        <f>Engagements!C50</f>
        <v/>
      </c>
      <c r="P14" s="404" t="str">
        <f>Engagements!D50</f>
        <v/>
      </c>
      <c r="Q14" s="404" t="str">
        <f>Engagements!E50</f>
        <v/>
      </c>
      <c r="R14" s="404" t="str">
        <f>Engagements!F50</f>
        <v/>
      </c>
      <c r="S14" s="405" t="str">
        <f>Engagements!G50</f>
        <v/>
      </c>
      <c r="T14" s="404" t="str">
        <f>Engagements!H50</f>
        <v/>
      </c>
      <c r="U14" s="404" t="str">
        <f>Engagements!I50</f>
        <v/>
      </c>
      <c r="V14" s="404" t="str">
        <f>Engagements!J50</f>
        <v/>
      </c>
      <c r="W14" s="404" t="str">
        <f>Engagements!E51</f>
        <v/>
      </c>
      <c r="X14" s="404" t="str">
        <f>Engagements!F51</f>
        <v/>
      </c>
      <c r="Y14" s="405" t="str">
        <f>Engagements!G51</f>
        <v/>
      </c>
      <c r="Z14" s="404" t="str">
        <f>Engagements!H51</f>
        <v/>
      </c>
      <c r="AA14" s="404" t="str">
        <f>Engagements!I51</f>
        <v/>
      </c>
      <c r="AB14" s="404" t="str">
        <f>Engagements!J51</f>
        <v/>
      </c>
      <c r="AC14" s="404" t="str">
        <f>Engagements!E52</f>
        <v/>
      </c>
      <c r="AD14" s="404" t="str">
        <f>Engagements!F52</f>
        <v/>
      </c>
      <c r="AE14" s="405" t="str">
        <f>Engagements!G52</f>
        <v/>
      </c>
      <c r="AF14" s="404" t="str">
        <f>Engagements!H52</f>
        <v/>
      </c>
      <c r="AG14" s="404" t="str">
        <f>Engagements!I52</f>
        <v/>
      </c>
      <c r="AH14" s="404" t="str">
        <f>Engagements!J52</f>
        <v/>
      </c>
      <c r="AI14" s="404" t="str">
        <f>Engagements!E53</f>
        <v/>
      </c>
      <c r="AJ14" s="404" t="str">
        <f>Engagements!F53</f>
        <v/>
      </c>
      <c r="AK14" s="405" t="str">
        <f>Engagements!G53</f>
        <v/>
      </c>
      <c r="AL14" s="404" t="str">
        <f>Engagements!H53</f>
        <v/>
      </c>
      <c r="AM14" s="404" t="str">
        <f>Engagements!I53</f>
        <v/>
      </c>
      <c r="AN14" s="404" t="str">
        <f>Engagements!J53</f>
        <v/>
      </c>
      <c r="AO14" s="469" t="str">
        <f t="shared" si="3"/>
        <v/>
      </c>
      <c r="AP14" s="470" t="str">
        <f t="shared" si="4"/>
        <v/>
      </c>
      <c r="AQ14" t="str">
        <f t="shared" si="5"/>
        <v/>
      </c>
      <c r="AR14" t="str">
        <f t="shared" si="6"/>
        <v/>
      </c>
      <c r="AS14" t="str">
        <f t="shared" si="7"/>
        <v/>
      </c>
      <c r="AT14" t="str">
        <f t="shared" si="8"/>
        <v/>
      </c>
      <c r="AU14" t="str">
        <f t="shared" si="9"/>
        <v/>
      </c>
      <c r="AV14" t="str">
        <f t="shared" si="10"/>
        <v/>
      </c>
      <c r="AW14" t="str">
        <f t="shared" si="11"/>
        <v/>
      </c>
      <c r="AX14" t="str">
        <f t="shared" si="12"/>
        <v/>
      </c>
      <c r="AY14" t="str">
        <f t="shared" si="13"/>
        <v/>
      </c>
      <c r="AZ14" t="str">
        <f t="shared" si="14"/>
        <v/>
      </c>
      <c r="BA14" t="str">
        <f t="shared" si="15"/>
        <v/>
      </c>
      <c r="BB14" t="str">
        <f t="shared" si="16"/>
        <v/>
      </c>
      <c r="BC14" t="str">
        <f t="shared" si="17"/>
        <v/>
      </c>
      <c r="BD14" t="str">
        <f t="shared" si="18"/>
        <v/>
      </c>
      <c r="BE14" t="str">
        <f t="shared" si="19"/>
        <v/>
      </c>
      <c r="BF14" t="str">
        <f t="shared" si="20"/>
        <v/>
      </c>
      <c r="BG14" t="str">
        <f t="shared" si="21"/>
        <v/>
      </c>
      <c r="BH14" t="str">
        <f t="shared" si="22"/>
        <v/>
      </c>
      <c r="BI14" t="str">
        <f t="shared" si="23"/>
        <v/>
      </c>
      <c r="BJ14" t="str">
        <f t="shared" si="24"/>
        <v/>
      </c>
      <c r="BK14" t="str">
        <f t="shared" si="25"/>
        <v/>
      </c>
      <c r="BL14" t="str">
        <f t="shared" si="26"/>
        <v/>
      </c>
      <c r="BM14" t="str">
        <f t="shared" si="27"/>
        <v/>
      </c>
      <c r="BN14" t="str">
        <f t="shared" si="28"/>
        <v/>
      </c>
      <c r="BO14" t="str">
        <f t="shared" si="29"/>
        <v/>
      </c>
      <c r="BP14" t="str">
        <f t="shared" si="30"/>
        <v/>
      </c>
      <c r="BQ14" t="str">
        <f t="shared" si="31"/>
        <v/>
      </c>
      <c r="BR14" t="str">
        <f t="shared" si="32"/>
        <v/>
      </c>
      <c r="BS14" t="str">
        <f t="shared" si="33"/>
        <v>- -</v>
      </c>
      <c r="BT14" t="e">
        <f>Listing!O50</f>
        <v>#N/A</v>
      </c>
      <c r="BV14" t="s">
        <v>935</v>
      </c>
      <c r="BW14" t="s">
        <v>936</v>
      </c>
    </row>
    <row r="15" spans="1:75" x14ac:dyDescent="0.2">
      <c r="A15" s="57" t="str">
        <f t="shared" si="0"/>
        <v/>
      </c>
      <c r="B15" s="69" t="str">
        <f>Engagements!B18</f>
        <v/>
      </c>
      <c r="C15" s="69" t="str">
        <f>Engagements!C18</f>
        <v/>
      </c>
      <c r="D15" s="69" t="str">
        <f>Engagements!D18</f>
        <v/>
      </c>
      <c r="E15" s="69" t="str">
        <f>Engagements!E18</f>
        <v/>
      </c>
      <c r="F15" s="69" t="str">
        <f>Engagements!F18</f>
        <v/>
      </c>
      <c r="G15" s="71" t="str">
        <f>Engagements!G18</f>
        <v/>
      </c>
      <c r="H15" s="69" t="str">
        <f>Engagements!H18</f>
        <v/>
      </c>
      <c r="I15" s="69" t="str">
        <f>Engagements!I18</f>
        <v/>
      </c>
      <c r="J15" s="69" t="str">
        <f>Engagements!J18</f>
        <v/>
      </c>
      <c r="K15" s="69" t="str">
        <f>Engagements!K18</f>
        <v/>
      </c>
      <c r="L15" s="40"/>
      <c r="M15" s="150">
        <v>13</v>
      </c>
      <c r="N15" s="404" t="str">
        <f>Engagements!B54</f>
        <v/>
      </c>
      <c r="O15" s="404" t="str">
        <f>Engagements!C54</f>
        <v/>
      </c>
      <c r="P15" s="404" t="str">
        <f>Engagements!D54</f>
        <v/>
      </c>
      <c r="Q15" s="404" t="str">
        <f>Engagements!E54</f>
        <v/>
      </c>
      <c r="R15" s="404" t="str">
        <f>Engagements!F54</f>
        <v/>
      </c>
      <c r="S15" s="405" t="str">
        <f>Engagements!G54</f>
        <v/>
      </c>
      <c r="T15" s="404" t="str">
        <f>Engagements!H54</f>
        <v/>
      </c>
      <c r="U15" s="404" t="str">
        <f>Engagements!I54</f>
        <v/>
      </c>
      <c r="V15" s="404" t="str">
        <f>Engagements!J54</f>
        <v/>
      </c>
      <c r="W15" s="404" t="str">
        <f>Engagements!E55</f>
        <v/>
      </c>
      <c r="X15" s="404" t="str">
        <f>Engagements!F55</f>
        <v/>
      </c>
      <c r="Y15" s="405" t="str">
        <f>Engagements!G55</f>
        <v/>
      </c>
      <c r="Z15" s="404" t="str">
        <f>Engagements!H55</f>
        <v/>
      </c>
      <c r="AA15" s="404" t="str">
        <f>Engagements!I55</f>
        <v/>
      </c>
      <c r="AB15" s="404" t="str">
        <f>Engagements!J55</f>
        <v/>
      </c>
      <c r="AC15" s="404" t="str">
        <f>Engagements!E56</f>
        <v/>
      </c>
      <c r="AD15" s="404" t="str">
        <f>Engagements!F56</f>
        <v/>
      </c>
      <c r="AE15" s="405" t="str">
        <f>Engagements!G56</f>
        <v/>
      </c>
      <c r="AF15" s="404" t="str">
        <f>Engagements!H56</f>
        <v/>
      </c>
      <c r="AG15" s="404" t="str">
        <f>Engagements!I56</f>
        <v/>
      </c>
      <c r="AH15" s="404" t="str">
        <f>Engagements!J56</f>
        <v/>
      </c>
      <c r="AI15" s="404" t="str">
        <f>Engagements!E57</f>
        <v/>
      </c>
      <c r="AJ15" s="404" t="str">
        <f>Engagements!F57</f>
        <v/>
      </c>
      <c r="AK15" s="405" t="str">
        <f>Engagements!G57</f>
        <v/>
      </c>
      <c r="AL15" s="404" t="str">
        <f>Engagements!H57</f>
        <v/>
      </c>
      <c r="AM15" s="404" t="str">
        <f>Engagements!I57</f>
        <v/>
      </c>
      <c r="AN15" s="404" t="str">
        <f>Engagements!J57</f>
        <v/>
      </c>
      <c r="AO15" s="469" t="str">
        <f t="shared" si="3"/>
        <v/>
      </c>
      <c r="AP15" s="470" t="str">
        <f t="shared" si="4"/>
        <v/>
      </c>
      <c r="AQ15" t="str">
        <f t="shared" si="5"/>
        <v/>
      </c>
      <c r="AR15" t="str">
        <f t="shared" si="6"/>
        <v/>
      </c>
      <c r="AS15" t="str">
        <f t="shared" si="7"/>
        <v/>
      </c>
      <c r="AT15" t="str">
        <f t="shared" si="8"/>
        <v/>
      </c>
      <c r="AU15" t="str">
        <f t="shared" si="9"/>
        <v/>
      </c>
      <c r="AV15" t="str">
        <f t="shared" si="10"/>
        <v/>
      </c>
      <c r="AW15" t="str">
        <f t="shared" si="11"/>
        <v/>
      </c>
      <c r="AX15" t="str">
        <f t="shared" si="12"/>
        <v/>
      </c>
      <c r="AY15" t="str">
        <f t="shared" si="13"/>
        <v/>
      </c>
      <c r="AZ15" t="str">
        <f t="shared" si="14"/>
        <v/>
      </c>
      <c r="BA15" t="str">
        <f t="shared" si="15"/>
        <v/>
      </c>
      <c r="BB15" t="str">
        <f t="shared" si="16"/>
        <v/>
      </c>
      <c r="BC15" t="str">
        <f t="shared" si="17"/>
        <v/>
      </c>
      <c r="BD15" t="str">
        <f t="shared" si="18"/>
        <v/>
      </c>
      <c r="BE15" t="str">
        <f t="shared" si="19"/>
        <v/>
      </c>
      <c r="BF15" t="str">
        <f t="shared" si="20"/>
        <v/>
      </c>
      <c r="BG15" t="str">
        <f t="shared" si="21"/>
        <v/>
      </c>
      <c r="BH15" t="str">
        <f t="shared" si="22"/>
        <v/>
      </c>
      <c r="BI15" t="str">
        <f t="shared" si="23"/>
        <v/>
      </c>
      <c r="BJ15" t="str">
        <f t="shared" si="24"/>
        <v/>
      </c>
      <c r="BK15" t="str">
        <f t="shared" si="25"/>
        <v/>
      </c>
      <c r="BL15" t="str">
        <f t="shared" si="26"/>
        <v/>
      </c>
      <c r="BM15" t="str">
        <f t="shared" si="27"/>
        <v/>
      </c>
      <c r="BN15" t="str">
        <f t="shared" si="28"/>
        <v/>
      </c>
      <c r="BO15" t="str">
        <f t="shared" si="29"/>
        <v/>
      </c>
      <c r="BP15" t="str">
        <f t="shared" si="30"/>
        <v/>
      </c>
      <c r="BQ15" t="str">
        <f t="shared" si="31"/>
        <v/>
      </c>
      <c r="BR15" t="str">
        <f t="shared" si="32"/>
        <v/>
      </c>
      <c r="BS15" t="str">
        <f t="shared" si="33"/>
        <v>- -</v>
      </c>
      <c r="BT15" t="e">
        <f>Listing!O54</f>
        <v>#N/A</v>
      </c>
    </row>
    <row r="16" spans="1:75" x14ac:dyDescent="0.2">
      <c r="A16" s="57" t="str">
        <f t="shared" si="0"/>
        <v/>
      </c>
      <c r="B16" s="69" t="str">
        <f>Engagements!B19</f>
        <v/>
      </c>
      <c r="C16" s="69" t="str">
        <f>Engagements!C19</f>
        <v/>
      </c>
      <c r="D16" s="69" t="str">
        <f>Engagements!D19</f>
        <v/>
      </c>
      <c r="E16" s="69" t="str">
        <f>Engagements!E19</f>
        <v/>
      </c>
      <c r="F16" s="69" t="str">
        <f>Engagements!F19</f>
        <v/>
      </c>
      <c r="G16" s="71" t="str">
        <f>Engagements!G19</f>
        <v/>
      </c>
      <c r="H16" s="69" t="str">
        <f>Engagements!H19</f>
        <v/>
      </c>
      <c r="I16" s="69" t="str">
        <f>Engagements!I19</f>
        <v/>
      </c>
      <c r="J16" s="69" t="str">
        <f>Engagements!J19</f>
        <v/>
      </c>
      <c r="K16" s="69" t="str">
        <f>Engagements!K19</f>
        <v/>
      </c>
      <c r="L16" s="40"/>
      <c r="M16" s="150">
        <v>14</v>
      </c>
      <c r="N16" s="404" t="str">
        <f>Engagements!B58</f>
        <v/>
      </c>
      <c r="O16" s="404" t="str">
        <f>Engagements!C58</f>
        <v/>
      </c>
      <c r="P16" s="404" t="str">
        <f>Engagements!D58</f>
        <v/>
      </c>
      <c r="Q16" s="404" t="str">
        <f>Engagements!E58</f>
        <v/>
      </c>
      <c r="R16" s="404" t="str">
        <f>Engagements!F58</f>
        <v/>
      </c>
      <c r="S16" s="405" t="str">
        <f>Engagements!G58</f>
        <v/>
      </c>
      <c r="T16" s="404" t="str">
        <f>Engagements!H58</f>
        <v/>
      </c>
      <c r="U16" s="404" t="str">
        <f>Engagements!I58</f>
        <v/>
      </c>
      <c r="V16" s="404" t="str">
        <f>Engagements!J58</f>
        <v/>
      </c>
      <c r="W16" s="404" t="str">
        <f>Engagements!E59</f>
        <v/>
      </c>
      <c r="X16" s="404" t="str">
        <f>Engagements!F59</f>
        <v/>
      </c>
      <c r="Y16" s="405" t="str">
        <f>Engagements!G59</f>
        <v/>
      </c>
      <c r="Z16" s="404" t="str">
        <f>Engagements!H59</f>
        <v/>
      </c>
      <c r="AA16" s="404" t="str">
        <f>Engagements!I59</f>
        <v/>
      </c>
      <c r="AB16" s="404" t="str">
        <f>Engagements!J59</f>
        <v/>
      </c>
      <c r="AC16" s="404" t="str">
        <f>Engagements!E60</f>
        <v/>
      </c>
      <c r="AD16" s="404" t="str">
        <f>Engagements!F60</f>
        <v/>
      </c>
      <c r="AE16" s="405" t="str">
        <f>Engagements!G60</f>
        <v/>
      </c>
      <c r="AF16" s="404" t="str">
        <f>Engagements!H60</f>
        <v/>
      </c>
      <c r="AG16" s="404" t="str">
        <f>Engagements!I60</f>
        <v/>
      </c>
      <c r="AH16" s="404" t="str">
        <f>Engagements!J60</f>
        <v/>
      </c>
      <c r="AI16" s="404" t="str">
        <f>Engagements!E61</f>
        <v/>
      </c>
      <c r="AJ16" s="404" t="str">
        <f>Engagements!F61</f>
        <v/>
      </c>
      <c r="AK16" s="405" t="str">
        <f>Engagements!G61</f>
        <v/>
      </c>
      <c r="AL16" s="404" t="str">
        <f>Engagements!H61</f>
        <v/>
      </c>
      <c r="AM16" s="404" t="str">
        <f>Engagements!I61</f>
        <v/>
      </c>
      <c r="AN16" s="404" t="str">
        <f>Engagements!J61</f>
        <v/>
      </c>
      <c r="AO16" s="469" t="str">
        <f t="shared" si="3"/>
        <v/>
      </c>
      <c r="AP16" s="470" t="str">
        <f t="shared" si="4"/>
        <v/>
      </c>
      <c r="AQ16" t="str">
        <f t="shared" si="5"/>
        <v/>
      </c>
      <c r="AR16" t="str">
        <f t="shared" si="6"/>
        <v/>
      </c>
      <c r="AS16" t="str">
        <f t="shared" si="7"/>
        <v/>
      </c>
      <c r="AT16" t="str">
        <f t="shared" si="8"/>
        <v/>
      </c>
      <c r="AU16" t="str">
        <f t="shared" si="9"/>
        <v/>
      </c>
      <c r="AV16" t="str">
        <f t="shared" si="10"/>
        <v/>
      </c>
      <c r="AW16" t="str">
        <f t="shared" si="11"/>
        <v/>
      </c>
      <c r="AX16" t="str">
        <f t="shared" si="12"/>
        <v/>
      </c>
      <c r="AY16" t="str">
        <f t="shared" si="13"/>
        <v/>
      </c>
      <c r="AZ16" t="str">
        <f t="shared" si="14"/>
        <v/>
      </c>
      <c r="BA16" t="str">
        <f t="shared" si="15"/>
        <v/>
      </c>
      <c r="BB16" t="str">
        <f t="shared" si="16"/>
        <v/>
      </c>
      <c r="BC16" t="str">
        <f t="shared" si="17"/>
        <v/>
      </c>
      <c r="BD16" t="str">
        <f t="shared" si="18"/>
        <v/>
      </c>
      <c r="BE16" t="str">
        <f t="shared" si="19"/>
        <v/>
      </c>
      <c r="BF16" t="str">
        <f t="shared" si="20"/>
        <v/>
      </c>
      <c r="BG16" t="str">
        <f t="shared" si="21"/>
        <v/>
      </c>
      <c r="BH16" t="str">
        <f t="shared" si="22"/>
        <v/>
      </c>
      <c r="BI16" t="str">
        <f t="shared" si="23"/>
        <v/>
      </c>
      <c r="BJ16" t="str">
        <f t="shared" si="24"/>
        <v/>
      </c>
      <c r="BK16" t="str">
        <f t="shared" si="25"/>
        <v/>
      </c>
      <c r="BL16" t="str">
        <f t="shared" si="26"/>
        <v/>
      </c>
      <c r="BM16" t="str">
        <f t="shared" si="27"/>
        <v/>
      </c>
      <c r="BN16" t="str">
        <f t="shared" si="28"/>
        <v/>
      </c>
      <c r="BO16" t="str">
        <f t="shared" si="29"/>
        <v/>
      </c>
      <c r="BP16" t="str">
        <f t="shared" si="30"/>
        <v/>
      </c>
      <c r="BQ16" t="str">
        <f t="shared" si="31"/>
        <v/>
      </c>
      <c r="BR16" t="str">
        <f t="shared" si="32"/>
        <v/>
      </c>
      <c r="BS16" t="str">
        <f t="shared" si="33"/>
        <v>- -</v>
      </c>
      <c r="BT16" t="e">
        <f>Listing!O58</f>
        <v>#N/A</v>
      </c>
      <c r="BV16" t="s">
        <v>937</v>
      </c>
      <c r="BW16" t="s">
        <v>938</v>
      </c>
    </row>
    <row r="17" spans="1:75" x14ac:dyDescent="0.2">
      <c r="A17" s="57" t="str">
        <f t="shared" si="0"/>
        <v/>
      </c>
      <c r="B17" s="69" t="str">
        <f>Engagements!B20</f>
        <v/>
      </c>
      <c r="C17" s="69" t="str">
        <f>Engagements!C20</f>
        <v/>
      </c>
      <c r="D17" s="69" t="str">
        <f>Engagements!D20</f>
        <v/>
      </c>
      <c r="E17" s="69" t="str">
        <f>Engagements!E20</f>
        <v/>
      </c>
      <c r="F17" s="69" t="str">
        <f>Engagements!F20</f>
        <v/>
      </c>
      <c r="G17" s="71" t="str">
        <f>Engagements!G20</f>
        <v/>
      </c>
      <c r="H17" s="69" t="str">
        <f>Engagements!H20</f>
        <v/>
      </c>
      <c r="I17" s="69" t="str">
        <f>Engagements!I20</f>
        <v/>
      </c>
      <c r="J17" s="69" t="str">
        <f>Engagements!J20</f>
        <v/>
      </c>
      <c r="K17" s="69" t="str">
        <f>Engagements!K20</f>
        <v/>
      </c>
      <c r="L17" s="40"/>
      <c r="M17" s="150">
        <v>15</v>
      </c>
      <c r="N17" s="404" t="str">
        <f>Engagements!B62</f>
        <v/>
      </c>
      <c r="O17" s="404" t="str">
        <f>Engagements!C62</f>
        <v/>
      </c>
      <c r="P17" s="404" t="str">
        <f>Engagements!D62</f>
        <v/>
      </c>
      <c r="Q17" s="404" t="str">
        <f>Engagements!E62</f>
        <v/>
      </c>
      <c r="R17" s="404" t="str">
        <f>Engagements!F62</f>
        <v/>
      </c>
      <c r="S17" s="405" t="str">
        <f>Engagements!G62</f>
        <v/>
      </c>
      <c r="T17" s="404" t="str">
        <f>Engagements!H62</f>
        <v/>
      </c>
      <c r="U17" s="404" t="str">
        <f>Engagements!I62</f>
        <v/>
      </c>
      <c r="V17" s="404" t="str">
        <f>Engagements!J62</f>
        <v/>
      </c>
      <c r="W17" s="404" t="str">
        <f>Engagements!E63</f>
        <v/>
      </c>
      <c r="X17" s="404" t="str">
        <f>Engagements!F63</f>
        <v/>
      </c>
      <c r="Y17" s="405" t="str">
        <f>Engagements!G63</f>
        <v/>
      </c>
      <c r="Z17" s="404" t="str">
        <f>Engagements!H63</f>
        <v/>
      </c>
      <c r="AA17" s="404" t="str">
        <f>Engagements!I63</f>
        <v/>
      </c>
      <c r="AB17" s="404" t="str">
        <f>Engagements!J63</f>
        <v/>
      </c>
      <c r="AC17" s="404" t="str">
        <f>Engagements!E64</f>
        <v/>
      </c>
      <c r="AD17" s="404" t="str">
        <f>Engagements!F64</f>
        <v/>
      </c>
      <c r="AE17" s="405" t="str">
        <f>Engagements!G64</f>
        <v/>
      </c>
      <c r="AF17" s="404" t="str">
        <f>Engagements!H64</f>
        <v/>
      </c>
      <c r="AG17" s="404" t="str">
        <f>Engagements!I64</f>
        <v/>
      </c>
      <c r="AH17" s="404" t="str">
        <f>Engagements!J64</f>
        <v/>
      </c>
      <c r="AI17" s="404" t="str">
        <f>Engagements!E65</f>
        <v/>
      </c>
      <c r="AJ17" s="404" t="str">
        <f>Engagements!F65</f>
        <v/>
      </c>
      <c r="AK17" s="405" t="str">
        <f>Engagements!G65</f>
        <v/>
      </c>
      <c r="AL17" s="404" t="str">
        <f>Engagements!H65</f>
        <v/>
      </c>
      <c r="AM17" s="404" t="str">
        <f>Engagements!I65</f>
        <v/>
      </c>
      <c r="AN17" s="404" t="str">
        <f>Engagements!J65</f>
        <v/>
      </c>
      <c r="AO17" s="469" t="str">
        <f t="shared" si="3"/>
        <v/>
      </c>
      <c r="AP17" s="470" t="str">
        <f t="shared" si="4"/>
        <v/>
      </c>
      <c r="AQ17" t="str">
        <f t="shared" si="5"/>
        <v/>
      </c>
      <c r="AR17" t="str">
        <f t="shared" si="6"/>
        <v/>
      </c>
      <c r="AS17" t="str">
        <f t="shared" si="7"/>
        <v/>
      </c>
      <c r="AT17" t="str">
        <f t="shared" si="8"/>
        <v/>
      </c>
      <c r="AU17" t="str">
        <f t="shared" si="9"/>
        <v/>
      </c>
      <c r="AV17" t="str">
        <f t="shared" si="10"/>
        <v/>
      </c>
      <c r="AW17" t="str">
        <f t="shared" si="11"/>
        <v/>
      </c>
      <c r="AX17" t="str">
        <f t="shared" si="12"/>
        <v/>
      </c>
      <c r="AY17" t="str">
        <f t="shared" si="13"/>
        <v/>
      </c>
      <c r="AZ17" t="str">
        <f t="shared" si="14"/>
        <v/>
      </c>
      <c r="BA17" t="str">
        <f t="shared" si="15"/>
        <v/>
      </c>
      <c r="BB17" t="str">
        <f t="shared" si="16"/>
        <v/>
      </c>
      <c r="BC17" t="str">
        <f t="shared" si="17"/>
        <v/>
      </c>
      <c r="BD17" t="str">
        <f t="shared" si="18"/>
        <v/>
      </c>
      <c r="BE17" t="str">
        <f t="shared" si="19"/>
        <v/>
      </c>
      <c r="BF17" t="str">
        <f t="shared" si="20"/>
        <v/>
      </c>
      <c r="BG17" t="str">
        <f t="shared" si="21"/>
        <v/>
      </c>
      <c r="BH17" t="str">
        <f t="shared" si="22"/>
        <v/>
      </c>
      <c r="BI17" t="str">
        <f t="shared" si="23"/>
        <v/>
      </c>
      <c r="BJ17" t="str">
        <f t="shared" si="24"/>
        <v/>
      </c>
      <c r="BK17" t="str">
        <f t="shared" si="25"/>
        <v/>
      </c>
      <c r="BL17" t="str">
        <f t="shared" si="26"/>
        <v/>
      </c>
      <c r="BM17" t="str">
        <f t="shared" si="27"/>
        <v/>
      </c>
      <c r="BN17" t="str">
        <f t="shared" si="28"/>
        <v/>
      </c>
      <c r="BO17" t="str">
        <f t="shared" si="29"/>
        <v/>
      </c>
      <c r="BP17" t="str">
        <f t="shared" si="30"/>
        <v/>
      </c>
      <c r="BQ17" t="str">
        <f t="shared" si="31"/>
        <v/>
      </c>
      <c r="BR17" t="str">
        <f t="shared" si="32"/>
        <v/>
      </c>
      <c r="BS17" t="str">
        <f t="shared" si="33"/>
        <v>- -</v>
      </c>
      <c r="BT17" t="e">
        <f>Listing!O62</f>
        <v>#N/A</v>
      </c>
      <c r="BV17" s="471" t="s">
        <v>939</v>
      </c>
      <c r="BW17" s="617" t="s">
        <v>940</v>
      </c>
    </row>
    <row r="18" spans="1:75" x14ac:dyDescent="0.2">
      <c r="A18" s="57" t="str">
        <f t="shared" si="0"/>
        <v/>
      </c>
      <c r="B18" s="69" t="str">
        <f>Engagements!B21</f>
        <v/>
      </c>
      <c r="C18" s="69" t="str">
        <f>Engagements!C21</f>
        <v/>
      </c>
      <c r="D18" s="69" t="str">
        <f>Engagements!D21</f>
        <v/>
      </c>
      <c r="E18" s="69" t="str">
        <f>Engagements!E21</f>
        <v/>
      </c>
      <c r="F18" s="69" t="str">
        <f>Engagements!F21</f>
        <v/>
      </c>
      <c r="G18" s="71" t="str">
        <f>Engagements!G21</f>
        <v/>
      </c>
      <c r="H18" s="69" t="str">
        <f>Engagements!H21</f>
        <v/>
      </c>
      <c r="I18" s="69" t="str">
        <f>Engagements!I21</f>
        <v/>
      </c>
      <c r="J18" s="69" t="str">
        <f>Engagements!J21</f>
        <v/>
      </c>
      <c r="K18" s="69" t="str">
        <f>Engagements!K21</f>
        <v/>
      </c>
      <c r="L18" s="40"/>
      <c r="M18" s="150">
        <v>16</v>
      </c>
      <c r="N18" s="404" t="str">
        <f>Engagements!B66</f>
        <v/>
      </c>
      <c r="O18" s="404" t="str">
        <f>Engagements!C66</f>
        <v/>
      </c>
      <c r="P18" s="404" t="str">
        <f>Engagements!D66</f>
        <v/>
      </c>
      <c r="Q18" s="404" t="str">
        <f>Engagements!E66</f>
        <v/>
      </c>
      <c r="R18" s="404" t="str">
        <f>Engagements!F66</f>
        <v/>
      </c>
      <c r="S18" s="405" t="str">
        <f>Engagements!G66</f>
        <v/>
      </c>
      <c r="T18" s="404" t="str">
        <f>Engagements!H66</f>
        <v/>
      </c>
      <c r="U18" s="404" t="str">
        <f>Engagements!I66</f>
        <v/>
      </c>
      <c r="V18" s="404" t="str">
        <f>Engagements!J66</f>
        <v/>
      </c>
      <c r="W18" s="404" t="str">
        <f>Engagements!E67</f>
        <v/>
      </c>
      <c r="X18" s="404" t="str">
        <f>Engagements!F67</f>
        <v/>
      </c>
      <c r="Y18" s="405" t="str">
        <f>Engagements!G67</f>
        <v/>
      </c>
      <c r="Z18" s="404" t="str">
        <f>Engagements!H67</f>
        <v/>
      </c>
      <c r="AA18" s="404" t="str">
        <f>Engagements!I67</f>
        <v/>
      </c>
      <c r="AB18" s="404" t="str">
        <f>Engagements!J67</f>
        <v/>
      </c>
      <c r="AC18" s="404" t="str">
        <f>Engagements!E68</f>
        <v/>
      </c>
      <c r="AD18" s="404" t="str">
        <f>Engagements!F68</f>
        <v/>
      </c>
      <c r="AE18" s="405" t="str">
        <f>Engagements!G68</f>
        <v/>
      </c>
      <c r="AF18" s="404" t="str">
        <f>Engagements!H68</f>
        <v/>
      </c>
      <c r="AG18" s="404" t="str">
        <f>Engagements!I68</f>
        <v/>
      </c>
      <c r="AH18" s="404" t="str">
        <f>Engagements!J68</f>
        <v/>
      </c>
      <c r="AI18" s="404" t="str">
        <f>Engagements!E69</f>
        <v/>
      </c>
      <c r="AJ18" s="404" t="str">
        <f>Engagements!F69</f>
        <v/>
      </c>
      <c r="AK18" s="405" t="str">
        <f>Engagements!G69</f>
        <v/>
      </c>
      <c r="AL18" s="404" t="str">
        <f>Engagements!H69</f>
        <v/>
      </c>
      <c r="AM18" s="404" t="str">
        <f>Engagements!I69</f>
        <v/>
      </c>
      <c r="AN18" s="404" t="str">
        <f>Engagements!J69</f>
        <v/>
      </c>
      <c r="AO18" s="469" t="str">
        <f t="shared" si="3"/>
        <v/>
      </c>
      <c r="AP18" s="470" t="str">
        <f t="shared" si="4"/>
        <v/>
      </c>
      <c r="AQ18" t="str">
        <f t="shared" si="5"/>
        <v/>
      </c>
      <c r="AR18" t="str">
        <f t="shared" si="6"/>
        <v/>
      </c>
      <c r="AS18" t="str">
        <f t="shared" si="7"/>
        <v/>
      </c>
      <c r="AT18" t="str">
        <f t="shared" si="8"/>
        <v/>
      </c>
      <c r="AU18" t="str">
        <f t="shared" si="9"/>
        <v/>
      </c>
      <c r="AV18" t="str">
        <f t="shared" si="10"/>
        <v/>
      </c>
      <c r="AW18" t="str">
        <f t="shared" si="11"/>
        <v/>
      </c>
      <c r="AX18" t="str">
        <f t="shared" si="12"/>
        <v/>
      </c>
      <c r="AY18" t="str">
        <f t="shared" si="13"/>
        <v/>
      </c>
      <c r="AZ18" t="str">
        <f t="shared" si="14"/>
        <v/>
      </c>
      <c r="BA18" t="str">
        <f t="shared" si="15"/>
        <v/>
      </c>
      <c r="BB18" t="str">
        <f t="shared" si="16"/>
        <v/>
      </c>
      <c r="BC18" t="str">
        <f t="shared" si="17"/>
        <v/>
      </c>
      <c r="BD18" t="str">
        <f t="shared" si="18"/>
        <v/>
      </c>
      <c r="BE18" t="str">
        <f t="shared" si="19"/>
        <v/>
      </c>
      <c r="BF18" t="str">
        <f t="shared" si="20"/>
        <v/>
      </c>
      <c r="BG18" t="str">
        <f t="shared" si="21"/>
        <v/>
      </c>
      <c r="BH18" t="str">
        <f t="shared" si="22"/>
        <v/>
      </c>
      <c r="BI18" t="str">
        <f t="shared" si="23"/>
        <v/>
      </c>
      <c r="BJ18" t="str">
        <f t="shared" si="24"/>
        <v/>
      </c>
      <c r="BK18" t="str">
        <f t="shared" si="25"/>
        <v/>
      </c>
      <c r="BL18" t="str">
        <f t="shared" si="26"/>
        <v/>
      </c>
      <c r="BM18" t="str">
        <f t="shared" si="27"/>
        <v/>
      </c>
      <c r="BN18" t="str">
        <f t="shared" si="28"/>
        <v/>
      </c>
      <c r="BO18" t="str">
        <f t="shared" si="29"/>
        <v/>
      </c>
      <c r="BP18" t="str">
        <f t="shared" si="30"/>
        <v/>
      </c>
      <c r="BQ18" t="str">
        <f t="shared" si="31"/>
        <v/>
      </c>
      <c r="BR18" t="str">
        <f t="shared" si="32"/>
        <v/>
      </c>
      <c r="BS18" t="str">
        <f t="shared" si="33"/>
        <v>- -</v>
      </c>
      <c r="BT18" t="e">
        <f>Listing!O66</f>
        <v>#N/A</v>
      </c>
      <c r="BV18" s="471" t="s">
        <v>967</v>
      </c>
      <c r="BW18" s="471" t="s">
        <v>968</v>
      </c>
    </row>
    <row r="19" spans="1:75" x14ac:dyDescent="0.2">
      <c r="A19" s="57" t="str">
        <f t="shared" si="0"/>
        <v/>
      </c>
      <c r="B19" s="69" t="str">
        <f>Engagements!B22</f>
        <v/>
      </c>
      <c r="C19" s="69" t="str">
        <f>Engagements!C22</f>
        <v/>
      </c>
      <c r="D19" s="69" t="str">
        <f>Engagements!D22</f>
        <v/>
      </c>
      <c r="E19" s="69" t="str">
        <f>Engagements!E22</f>
        <v/>
      </c>
      <c r="F19" s="69" t="str">
        <f>Engagements!F22</f>
        <v/>
      </c>
      <c r="G19" s="71" t="str">
        <f>Engagements!G22</f>
        <v/>
      </c>
      <c r="H19" s="69" t="str">
        <f>Engagements!H22</f>
        <v/>
      </c>
      <c r="I19" s="69" t="str">
        <f>Engagements!I22</f>
        <v/>
      </c>
      <c r="J19" s="69" t="str">
        <f>Engagements!J22</f>
        <v/>
      </c>
      <c r="K19" s="69" t="str">
        <f>Engagements!K22</f>
        <v/>
      </c>
      <c r="L19" s="40"/>
      <c r="M19" s="150">
        <v>17</v>
      </c>
      <c r="N19" s="404" t="str">
        <f>Engagements!B70</f>
        <v/>
      </c>
      <c r="O19" s="404" t="str">
        <f>Engagements!C70</f>
        <v/>
      </c>
      <c r="P19" s="404" t="str">
        <f>Engagements!D70</f>
        <v/>
      </c>
      <c r="Q19" s="404" t="str">
        <f>Engagements!E70</f>
        <v/>
      </c>
      <c r="R19" s="404" t="str">
        <f>Engagements!F70</f>
        <v/>
      </c>
      <c r="S19" s="405" t="str">
        <f>Engagements!G70</f>
        <v/>
      </c>
      <c r="T19" s="404" t="str">
        <f>Engagements!H70</f>
        <v/>
      </c>
      <c r="U19" s="404" t="str">
        <f>Engagements!I70</f>
        <v/>
      </c>
      <c r="V19" s="404" t="str">
        <f>Engagements!J70</f>
        <v/>
      </c>
      <c r="W19" s="404" t="str">
        <f>Engagements!E71</f>
        <v/>
      </c>
      <c r="X19" s="404" t="str">
        <f>Engagements!F71</f>
        <v/>
      </c>
      <c r="Y19" s="405" t="str">
        <f>Engagements!G71</f>
        <v/>
      </c>
      <c r="Z19" s="404" t="str">
        <f>Engagements!H71</f>
        <v/>
      </c>
      <c r="AA19" s="404" t="str">
        <f>Engagements!I71</f>
        <v/>
      </c>
      <c r="AB19" s="404" t="str">
        <f>Engagements!J71</f>
        <v/>
      </c>
      <c r="AC19" s="404" t="str">
        <f>Engagements!E72</f>
        <v/>
      </c>
      <c r="AD19" s="404" t="str">
        <f>Engagements!F72</f>
        <v/>
      </c>
      <c r="AE19" s="405" t="str">
        <f>Engagements!G72</f>
        <v/>
      </c>
      <c r="AF19" s="404" t="str">
        <f>Engagements!H72</f>
        <v/>
      </c>
      <c r="AG19" s="404" t="str">
        <f>Engagements!I72</f>
        <v/>
      </c>
      <c r="AH19" s="404" t="str">
        <f>Engagements!J72</f>
        <v/>
      </c>
      <c r="AI19" s="404" t="str">
        <f>Engagements!E73</f>
        <v/>
      </c>
      <c r="AJ19" s="404" t="str">
        <f>Engagements!F73</f>
        <v/>
      </c>
      <c r="AK19" s="405" t="str">
        <f>Engagements!G73</f>
        <v/>
      </c>
      <c r="AL19" s="404" t="str">
        <f>Engagements!H73</f>
        <v/>
      </c>
      <c r="AM19" s="404" t="str">
        <f>Engagements!I73</f>
        <v/>
      </c>
      <c r="AN19" s="404" t="str">
        <f>Engagements!J73</f>
        <v/>
      </c>
      <c r="AO19" s="469" t="str">
        <f t="shared" si="3"/>
        <v/>
      </c>
      <c r="AP19" s="470" t="str">
        <f t="shared" si="4"/>
        <v/>
      </c>
      <c r="AQ19" t="str">
        <f t="shared" si="5"/>
        <v/>
      </c>
      <c r="AR19" t="str">
        <f t="shared" si="6"/>
        <v/>
      </c>
      <c r="AS19" t="str">
        <f t="shared" si="7"/>
        <v/>
      </c>
      <c r="AT19" t="str">
        <f t="shared" si="8"/>
        <v/>
      </c>
      <c r="AU19" t="str">
        <f t="shared" si="9"/>
        <v/>
      </c>
      <c r="AV19" t="str">
        <f t="shared" si="10"/>
        <v/>
      </c>
      <c r="AW19" t="str">
        <f t="shared" si="11"/>
        <v/>
      </c>
      <c r="AX19" t="str">
        <f t="shared" si="12"/>
        <v/>
      </c>
      <c r="AY19" t="str">
        <f t="shared" si="13"/>
        <v/>
      </c>
      <c r="AZ19" t="str">
        <f t="shared" si="14"/>
        <v/>
      </c>
      <c r="BA19" t="str">
        <f t="shared" si="15"/>
        <v/>
      </c>
      <c r="BB19" t="str">
        <f t="shared" si="16"/>
        <v/>
      </c>
      <c r="BC19" t="str">
        <f t="shared" si="17"/>
        <v/>
      </c>
      <c r="BD19" t="str">
        <f t="shared" si="18"/>
        <v/>
      </c>
      <c r="BE19" t="str">
        <f t="shared" si="19"/>
        <v/>
      </c>
      <c r="BF19" t="str">
        <f t="shared" si="20"/>
        <v/>
      </c>
      <c r="BG19" t="str">
        <f t="shared" si="21"/>
        <v/>
      </c>
      <c r="BH19" t="str">
        <f t="shared" si="22"/>
        <v/>
      </c>
      <c r="BI19" t="str">
        <f t="shared" si="23"/>
        <v/>
      </c>
      <c r="BJ19" t="str">
        <f t="shared" si="24"/>
        <v/>
      </c>
      <c r="BK19" t="str">
        <f t="shared" si="25"/>
        <v/>
      </c>
      <c r="BL19" t="str">
        <f t="shared" si="26"/>
        <v/>
      </c>
      <c r="BM19" t="str">
        <f t="shared" si="27"/>
        <v/>
      </c>
      <c r="BN19" t="str">
        <f t="shared" si="28"/>
        <v/>
      </c>
      <c r="BO19" t="str">
        <f t="shared" si="29"/>
        <v/>
      </c>
      <c r="BP19" t="str">
        <f t="shared" si="30"/>
        <v/>
      </c>
      <c r="BQ19" t="str">
        <f t="shared" si="31"/>
        <v/>
      </c>
      <c r="BR19" t="str">
        <f t="shared" si="32"/>
        <v/>
      </c>
      <c r="BS19" t="str">
        <f t="shared" si="33"/>
        <v>- -</v>
      </c>
      <c r="BT19" t="e">
        <f>Listing!O70</f>
        <v>#N/A</v>
      </c>
    </row>
    <row r="20" spans="1:75" x14ac:dyDescent="0.2">
      <c r="A20" s="57" t="str">
        <f t="shared" si="0"/>
        <v/>
      </c>
      <c r="B20" s="69" t="str">
        <f>Engagements!B23</f>
        <v/>
      </c>
      <c r="C20" s="69" t="str">
        <f>Engagements!C23</f>
        <v/>
      </c>
      <c r="D20" s="69" t="str">
        <f>Engagements!D23</f>
        <v/>
      </c>
      <c r="E20" s="69" t="str">
        <f>Engagements!E23</f>
        <v/>
      </c>
      <c r="F20" s="69" t="str">
        <f>Engagements!F23</f>
        <v/>
      </c>
      <c r="G20" s="71" t="str">
        <f>Engagements!G23</f>
        <v/>
      </c>
      <c r="H20" s="69" t="str">
        <f>Engagements!H23</f>
        <v/>
      </c>
      <c r="I20" s="69" t="str">
        <f>Engagements!I23</f>
        <v/>
      </c>
      <c r="J20" s="69" t="str">
        <f>Engagements!J23</f>
        <v/>
      </c>
      <c r="K20" s="69" t="str">
        <f>Engagements!K23</f>
        <v/>
      </c>
      <c r="L20" s="40"/>
      <c r="M20" s="150">
        <v>18</v>
      </c>
      <c r="N20" s="404" t="str">
        <f>Engagements!B74</f>
        <v/>
      </c>
      <c r="O20" s="404" t="str">
        <f>Engagements!C74</f>
        <v/>
      </c>
      <c r="P20" s="404" t="str">
        <f>Engagements!D74</f>
        <v/>
      </c>
      <c r="Q20" s="404" t="str">
        <f>Engagements!E74</f>
        <v/>
      </c>
      <c r="R20" s="404" t="str">
        <f>Engagements!F74</f>
        <v/>
      </c>
      <c r="S20" s="405" t="str">
        <f>Engagements!G74</f>
        <v/>
      </c>
      <c r="T20" s="404" t="str">
        <f>Engagements!H74</f>
        <v/>
      </c>
      <c r="U20" s="404" t="str">
        <f>Engagements!I74</f>
        <v/>
      </c>
      <c r="V20" s="404" t="str">
        <f>Engagements!J74</f>
        <v/>
      </c>
      <c r="W20" s="404" t="str">
        <f>Engagements!E75</f>
        <v/>
      </c>
      <c r="X20" s="404" t="str">
        <f>Engagements!F75</f>
        <v/>
      </c>
      <c r="Y20" s="405" t="str">
        <f>Engagements!G75</f>
        <v/>
      </c>
      <c r="Z20" s="404" t="str">
        <f>Engagements!H75</f>
        <v/>
      </c>
      <c r="AA20" s="404" t="str">
        <f>Engagements!I75</f>
        <v/>
      </c>
      <c r="AB20" s="404" t="str">
        <f>Engagements!J75</f>
        <v/>
      </c>
      <c r="AC20" s="404" t="str">
        <f>Engagements!E76</f>
        <v/>
      </c>
      <c r="AD20" s="404" t="str">
        <f>Engagements!F76</f>
        <v/>
      </c>
      <c r="AE20" s="405" t="str">
        <f>Engagements!G76</f>
        <v/>
      </c>
      <c r="AF20" s="404" t="str">
        <f>Engagements!H76</f>
        <v/>
      </c>
      <c r="AG20" s="404" t="str">
        <f>Engagements!I76</f>
        <v/>
      </c>
      <c r="AH20" s="404" t="str">
        <f>Engagements!J76</f>
        <v/>
      </c>
      <c r="AI20" s="404" t="str">
        <f>Engagements!E77</f>
        <v/>
      </c>
      <c r="AJ20" s="404" t="str">
        <f>Engagements!F77</f>
        <v/>
      </c>
      <c r="AK20" s="405" t="str">
        <f>Engagements!G77</f>
        <v/>
      </c>
      <c r="AL20" s="404" t="str">
        <f>Engagements!H77</f>
        <v/>
      </c>
      <c r="AM20" s="404" t="str">
        <f>Engagements!I77</f>
        <v/>
      </c>
      <c r="AN20" s="404" t="str">
        <f>Engagements!J77</f>
        <v/>
      </c>
      <c r="AO20" s="469" t="str">
        <f t="shared" si="3"/>
        <v/>
      </c>
      <c r="AP20" s="470" t="str">
        <f t="shared" si="4"/>
        <v/>
      </c>
      <c r="AQ20" t="str">
        <f t="shared" si="5"/>
        <v/>
      </c>
      <c r="AR20" t="str">
        <f t="shared" si="6"/>
        <v/>
      </c>
      <c r="AS20" t="str">
        <f t="shared" si="7"/>
        <v/>
      </c>
      <c r="AT20" t="str">
        <f t="shared" si="8"/>
        <v/>
      </c>
      <c r="AU20" t="str">
        <f t="shared" si="9"/>
        <v/>
      </c>
      <c r="AV20" t="str">
        <f t="shared" si="10"/>
        <v/>
      </c>
      <c r="AW20" t="str">
        <f t="shared" si="11"/>
        <v/>
      </c>
      <c r="AX20" t="str">
        <f t="shared" si="12"/>
        <v/>
      </c>
      <c r="AY20" t="str">
        <f t="shared" si="13"/>
        <v/>
      </c>
      <c r="AZ20" t="str">
        <f t="shared" si="14"/>
        <v/>
      </c>
      <c r="BA20" t="str">
        <f t="shared" si="15"/>
        <v/>
      </c>
      <c r="BB20" t="str">
        <f t="shared" si="16"/>
        <v/>
      </c>
      <c r="BC20" t="str">
        <f t="shared" si="17"/>
        <v/>
      </c>
      <c r="BD20" t="str">
        <f t="shared" si="18"/>
        <v/>
      </c>
      <c r="BE20" t="str">
        <f t="shared" si="19"/>
        <v/>
      </c>
      <c r="BF20" t="str">
        <f t="shared" si="20"/>
        <v/>
      </c>
      <c r="BG20" t="str">
        <f t="shared" si="21"/>
        <v/>
      </c>
      <c r="BH20" t="str">
        <f t="shared" si="22"/>
        <v/>
      </c>
      <c r="BI20" t="str">
        <f t="shared" si="23"/>
        <v/>
      </c>
      <c r="BJ20" t="str">
        <f t="shared" si="24"/>
        <v/>
      </c>
      <c r="BK20" t="str">
        <f t="shared" si="25"/>
        <v/>
      </c>
      <c r="BL20" t="str">
        <f t="shared" si="26"/>
        <v/>
      </c>
      <c r="BM20" t="str">
        <f t="shared" si="27"/>
        <v/>
      </c>
      <c r="BN20" t="str">
        <f t="shared" si="28"/>
        <v/>
      </c>
      <c r="BO20" t="str">
        <f t="shared" si="29"/>
        <v/>
      </c>
      <c r="BP20" t="str">
        <f t="shared" si="30"/>
        <v/>
      </c>
      <c r="BQ20" t="str">
        <f t="shared" si="31"/>
        <v/>
      </c>
      <c r="BR20" t="str">
        <f t="shared" si="32"/>
        <v/>
      </c>
      <c r="BS20" t="str">
        <f t="shared" si="33"/>
        <v>- -</v>
      </c>
      <c r="BT20" t="e">
        <f>Listing!O74</f>
        <v>#N/A</v>
      </c>
      <c r="BV20" t="s">
        <v>989</v>
      </c>
      <c r="BW20" t="s">
        <v>990</v>
      </c>
    </row>
    <row r="21" spans="1:75" x14ac:dyDescent="0.2">
      <c r="A21" s="57" t="str">
        <f t="shared" si="0"/>
        <v/>
      </c>
      <c r="B21" s="69" t="str">
        <f>Engagements!B24</f>
        <v/>
      </c>
      <c r="C21" s="69" t="str">
        <f>Engagements!C24</f>
        <v/>
      </c>
      <c r="D21" s="69" t="str">
        <f>Engagements!D24</f>
        <v/>
      </c>
      <c r="E21" s="69" t="str">
        <f>Engagements!E24</f>
        <v/>
      </c>
      <c r="F21" s="69" t="str">
        <f>Engagements!F24</f>
        <v/>
      </c>
      <c r="G21" s="71" t="str">
        <f>Engagements!G24</f>
        <v/>
      </c>
      <c r="H21" s="69" t="str">
        <f>Engagements!H24</f>
        <v/>
      </c>
      <c r="I21" s="69" t="str">
        <f>Engagements!I24</f>
        <v/>
      </c>
      <c r="J21" s="69" t="str">
        <f>Engagements!J24</f>
        <v/>
      </c>
      <c r="K21" s="69" t="str">
        <f>Engagements!K24</f>
        <v/>
      </c>
      <c r="L21" s="40"/>
      <c r="M21" s="150">
        <v>19</v>
      </c>
      <c r="N21" s="404" t="str">
        <f>Engagements!B78</f>
        <v/>
      </c>
      <c r="O21" s="404" t="str">
        <f>Engagements!C78</f>
        <v/>
      </c>
      <c r="P21" s="404" t="str">
        <f>Engagements!D78</f>
        <v/>
      </c>
      <c r="Q21" s="404" t="str">
        <f>Engagements!E78</f>
        <v/>
      </c>
      <c r="R21" s="404" t="str">
        <f>Engagements!F78</f>
        <v/>
      </c>
      <c r="S21" s="405" t="str">
        <f>Engagements!G78</f>
        <v/>
      </c>
      <c r="T21" s="404" t="str">
        <f>Engagements!H78</f>
        <v/>
      </c>
      <c r="U21" s="404" t="str">
        <f>Engagements!I78</f>
        <v/>
      </c>
      <c r="V21" s="404" t="str">
        <f>Engagements!J78</f>
        <v/>
      </c>
      <c r="W21" s="404" t="str">
        <f>Engagements!E79</f>
        <v/>
      </c>
      <c r="X21" s="404" t="str">
        <f>Engagements!F79</f>
        <v/>
      </c>
      <c r="Y21" s="405" t="str">
        <f>Engagements!G79</f>
        <v/>
      </c>
      <c r="Z21" s="404" t="str">
        <f>Engagements!H79</f>
        <v/>
      </c>
      <c r="AA21" s="404" t="str">
        <f>Engagements!I79</f>
        <v/>
      </c>
      <c r="AB21" s="404" t="str">
        <f>Engagements!J79</f>
        <v/>
      </c>
      <c r="AC21" s="404" t="str">
        <f>Engagements!E80</f>
        <v/>
      </c>
      <c r="AD21" s="404" t="str">
        <f>Engagements!F80</f>
        <v/>
      </c>
      <c r="AE21" s="405" t="str">
        <f>Engagements!G80</f>
        <v/>
      </c>
      <c r="AF21" s="404" t="str">
        <f>Engagements!H80</f>
        <v/>
      </c>
      <c r="AG21" s="404" t="str">
        <f>Engagements!I80</f>
        <v/>
      </c>
      <c r="AH21" s="404" t="str">
        <f>Engagements!J80</f>
        <v/>
      </c>
      <c r="AI21" s="404" t="str">
        <f>Engagements!E81</f>
        <v/>
      </c>
      <c r="AJ21" s="404" t="str">
        <f>Engagements!F81</f>
        <v/>
      </c>
      <c r="AK21" s="405" t="str">
        <f>Engagements!G81</f>
        <v/>
      </c>
      <c r="AL21" s="404" t="str">
        <f>Engagements!H81</f>
        <v/>
      </c>
      <c r="AM21" s="404" t="str">
        <f>Engagements!I81</f>
        <v/>
      </c>
      <c r="AN21" s="404" t="str">
        <f>Engagements!J81</f>
        <v/>
      </c>
      <c r="AO21" s="469" t="str">
        <f t="shared" si="3"/>
        <v/>
      </c>
      <c r="AP21" s="470" t="str">
        <f t="shared" si="4"/>
        <v/>
      </c>
      <c r="AQ21" t="str">
        <f t="shared" si="5"/>
        <v/>
      </c>
      <c r="AR21" t="str">
        <f t="shared" si="6"/>
        <v/>
      </c>
      <c r="AS21" t="str">
        <f t="shared" si="7"/>
        <v/>
      </c>
      <c r="AT21" t="str">
        <f t="shared" si="8"/>
        <v/>
      </c>
      <c r="AU21" t="str">
        <f t="shared" si="9"/>
        <v/>
      </c>
      <c r="AV21" t="str">
        <f t="shared" si="10"/>
        <v/>
      </c>
      <c r="AW21" t="str">
        <f t="shared" si="11"/>
        <v/>
      </c>
      <c r="AX21" t="str">
        <f t="shared" si="12"/>
        <v/>
      </c>
      <c r="AY21" t="str">
        <f t="shared" si="13"/>
        <v/>
      </c>
      <c r="AZ21" t="str">
        <f t="shared" si="14"/>
        <v/>
      </c>
      <c r="BA21" t="str">
        <f t="shared" si="15"/>
        <v/>
      </c>
      <c r="BB21" t="str">
        <f t="shared" si="16"/>
        <v/>
      </c>
      <c r="BC21" t="str">
        <f t="shared" si="17"/>
        <v/>
      </c>
      <c r="BD21" t="str">
        <f t="shared" si="18"/>
        <v/>
      </c>
      <c r="BE21" t="str">
        <f t="shared" si="19"/>
        <v/>
      </c>
      <c r="BF21" t="str">
        <f t="shared" si="20"/>
        <v/>
      </c>
      <c r="BG21" t="str">
        <f t="shared" si="21"/>
        <v/>
      </c>
      <c r="BH21" t="str">
        <f t="shared" si="22"/>
        <v/>
      </c>
      <c r="BI21" t="str">
        <f t="shared" si="23"/>
        <v/>
      </c>
      <c r="BJ21" t="str">
        <f t="shared" si="24"/>
        <v/>
      </c>
      <c r="BK21" t="str">
        <f t="shared" si="25"/>
        <v/>
      </c>
      <c r="BL21" t="str">
        <f t="shared" si="26"/>
        <v/>
      </c>
      <c r="BM21" t="str">
        <f t="shared" si="27"/>
        <v/>
      </c>
      <c r="BN21" t="str">
        <f t="shared" si="28"/>
        <v/>
      </c>
      <c r="BO21" t="str">
        <f t="shared" si="29"/>
        <v/>
      </c>
      <c r="BP21" t="str">
        <f t="shared" si="30"/>
        <v/>
      </c>
      <c r="BQ21" t="str">
        <f t="shared" si="31"/>
        <v/>
      </c>
      <c r="BR21" t="str">
        <f t="shared" si="32"/>
        <v/>
      </c>
      <c r="BS21" t="str">
        <f t="shared" si="33"/>
        <v>- -</v>
      </c>
      <c r="BT21" t="e">
        <f>Listing!O78</f>
        <v>#N/A</v>
      </c>
    </row>
    <row r="22" spans="1:75" x14ac:dyDescent="0.2">
      <c r="A22" s="57" t="str">
        <f t="shared" si="0"/>
        <v/>
      </c>
      <c r="B22" s="69" t="str">
        <f>Engagements!B25</f>
        <v/>
      </c>
      <c r="C22" s="69" t="str">
        <f>Engagements!C25</f>
        <v/>
      </c>
      <c r="D22" s="69" t="str">
        <f>Engagements!D25</f>
        <v/>
      </c>
      <c r="E22" s="69" t="str">
        <f>Engagements!E25</f>
        <v/>
      </c>
      <c r="F22" s="69" t="str">
        <f>Engagements!F25</f>
        <v/>
      </c>
      <c r="G22" s="71" t="str">
        <f>Engagements!G25</f>
        <v/>
      </c>
      <c r="H22" s="69" t="str">
        <f>Engagements!H25</f>
        <v/>
      </c>
      <c r="I22" s="69" t="str">
        <f>Engagements!I25</f>
        <v/>
      </c>
      <c r="J22" s="69" t="str">
        <f>Engagements!J25</f>
        <v/>
      </c>
      <c r="K22" s="69" t="str">
        <f>Engagements!K25</f>
        <v/>
      </c>
      <c r="L22" s="40"/>
      <c r="M22" s="150">
        <v>20</v>
      </c>
      <c r="N22" s="404" t="str">
        <f>Engagements!B82</f>
        <v/>
      </c>
      <c r="O22" s="404" t="str">
        <f>Engagements!C82</f>
        <v/>
      </c>
      <c r="P22" s="404" t="str">
        <f>Engagements!D82</f>
        <v/>
      </c>
      <c r="Q22" s="404" t="str">
        <f>Engagements!E82</f>
        <v/>
      </c>
      <c r="R22" s="404" t="str">
        <f>Engagements!F82</f>
        <v/>
      </c>
      <c r="S22" s="405" t="str">
        <f>Engagements!G82</f>
        <v/>
      </c>
      <c r="T22" s="404" t="str">
        <f>Engagements!H82</f>
        <v/>
      </c>
      <c r="U22" s="404" t="str">
        <f>Engagements!I82</f>
        <v/>
      </c>
      <c r="V22" s="404" t="str">
        <f>Engagements!J82</f>
        <v/>
      </c>
      <c r="W22" s="404" t="str">
        <f>Engagements!E83</f>
        <v/>
      </c>
      <c r="X22" s="404" t="str">
        <f>Engagements!F83</f>
        <v/>
      </c>
      <c r="Y22" s="405" t="str">
        <f>Engagements!G83</f>
        <v/>
      </c>
      <c r="Z22" s="404" t="str">
        <f>Engagements!H83</f>
        <v/>
      </c>
      <c r="AA22" s="404" t="str">
        <f>Engagements!I83</f>
        <v/>
      </c>
      <c r="AB22" s="404" t="str">
        <f>Engagements!J83</f>
        <v/>
      </c>
      <c r="AC22" s="404" t="str">
        <f>Engagements!E84</f>
        <v/>
      </c>
      <c r="AD22" s="404" t="str">
        <f>Engagements!F84</f>
        <v/>
      </c>
      <c r="AE22" s="405" t="str">
        <f>Engagements!G84</f>
        <v/>
      </c>
      <c r="AF22" s="404" t="str">
        <f>Engagements!H84</f>
        <v/>
      </c>
      <c r="AG22" s="404" t="str">
        <f>Engagements!I84</f>
        <v/>
      </c>
      <c r="AH22" s="404" t="str">
        <f>Engagements!J84</f>
        <v/>
      </c>
      <c r="AI22" s="404" t="str">
        <f>Engagements!E85</f>
        <v/>
      </c>
      <c r="AJ22" s="404" t="str">
        <f>Engagements!F85</f>
        <v/>
      </c>
      <c r="AK22" s="405" t="str">
        <f>Engagements!G85</f>
        <v/>
      </c>
      <c r="AL22" s="404" t="str">
        <f>Engagements!H85</f>
        <v/>
      </c>
      <c r="AM22" s="404" t="str">
        <f>Engagements!I85</f>
        <v/>
      </c>
      <c r="AN22" s="404" t="str">
        <f>Engagements!J85</f>
        <v/>
      </c>
      <c r="AO22" s="469" t="str">
        <f t="shared" si="3"/>
        <v/>
      </c>
      <c r="AP22" s="470" t="str">
        <f t="shared" si="4"/>
        <v/>
      </c>
      <c r="AQ22" t="str">
        <f t="shared" si="5"/>
        <v/>
      </c>
      <c r="AR22" t="str">
        <f t="shared" si="6"/>
        <v/>
      </c>
      <c r="AS22" t="str">
        <f t="shared" si="7"/>
        <v/>
      </c>
      <c r="AT22" t="str">
        <f t="shared" si="8"/>
        <v/>
      </c>
      <c r="AU22" t="str">
        <f t="shared" si="9"/>
        <v/>
      </c>
      <c r="AV22" t="str">
        <f t="shared" si="10"/>
        <v/>
      </c>
      <c r="AW22" t="str">
        <f t="shared" si="11"/>
        <v/>
      </c>
      <c r="AX22" t="str">
        <f t="shared" si="12"/>
        <v/>
      </c>
      <c r="AY22" t="str">
        <f t="shared" si="13"/>
        <v/>
      </c>
      <c r="AZ22" t="str">
        <f t="shared" si="14"/>
        <v/>
      </c>
      <c r="BA22" t="str">
        <f t="shared" si="15"/>
        <v/>
      </c>
      <c r="BB22" t="str">
        <f t="shared" si="16"/>
        <v/>
      </c>
      <c r="BC22" t="str">
        <f t="shared" si="17"/>
        <v/>
      </c>
      <c r="BD22" t="str">
        <f t="shared" si="18"/>
        <v/>
      </c>
      <c r="BE22" t="str">
        <f t="shared" si="19"/>
        <v/>
      </c>
      <c r="BF22" t="str">
        <f t="shared" si="20"/>
        <v/>
      </c>
      <c r="BG22" t="str">
        <f t="shared" si="21"/>
        <v/>
      </c>
      <c r="BH22" t="str">
        <f t="shared" si="22"/>
        <v/>
      </c>
      <c r="BI22" t="str">
        <f t="shared" si="23"/>
        <v/>
      </c>
      <c r="BJ22" t="str">
        <f t="shared" si="24"/>
        <v/>
      </c>
      <c r="BK22" t="str">
        <f t="shared" si="25"/>
        <v/>
      </c>
      <c r="BL22" t="str">
        <f t="shared" si="26"/>
        <v/>
      </c>
      <c r="BM22" t="str">
        <f t="shared" si="27"/>
        <v/>
      </c>
      <c r="BN22" t="str">
        <f t="shared" si="28"/>
        <v/>
      </c>
      <c r="BO22" t="str">
        <f t="shared" si="29"/>
        <v/>
      </c>
      <c r="BP22" t="str">
        <f t="shared" si="30"/>
        <v/>
      </c>
      <c r="BQ22" t="str">
        <f t="shared" si="31"/>
        <v/>
      </c>
      <c r="BR22" t="str">
        <f t="shared" si="32"/>
        <v/>
      </c>
      <c r="BS22" t="str">
        <f t="shared" si="33"/>
        <v>- -</v>
      </c>
      <c r="BT22" t="e">
        <f>Listing!O82</f>
        <v>#N/A</v>
      </c>
      <c r="BV22" t="s">
        <v>1018</v>
      </c>
      <c r="BW22" t="s">
        <v>1019</v>
      </c>
    </row>
    <row r="23" spans="1:75" x14ac:dyDescent="0.2">
      <c r="A23" s="57" t="str">
        <f t="shared" si="0"/>
        <v/>
      </c>
      <c r="B23" s="69" t="str">
        <f>Engagements!B26</f>
        <v/>
      </c>
      <c r="C23" s="69" t="str">
        <f>Engagements!C26</f>
        <v/>
      </c>
      <c r="D23" s="69" t="str">
        <f>Engagements!D26</f>
        <v/>
      </c>
      <c r="E23" s="69" t="str">
        <f>Engagements!E26</f>
        <v/>
      </c>
      <c r="F23" s="69" t="str">
        <f>Engagements!F26</f>
        <v/>
      </c>
      <c r="G23" s="71" t="str">
        <f>Engagements!G26</f>
        <v/>
      </c>
      <c r="H23" s="69" t="str">
        <f>Engagements!H26</f>
        <v/>
      </c>
      <c r="I23" s="69" t="str">
        <f>Engagements!I26</f>
        <v/>
      </c>
      <c r="J23" s="69" t="str">
        <f>Engagements!J26</f>
        <v/>
      </c>
      <c r="K23" s="69" t="str">
        <f>Engagements!K26</f>
        <v/>
      </c>
      <c r="L23" s="40"/>
      <c r="M23" s="150">
        <v>21</v>
      </c>
      <c r="N23" s="404" t="str">
        <f>Engagements!B86</f>
        <v/>
      </c>
      <c r="O23" s="404" t="str">
        <f>Engagements!C86</f>
        <v/>
      </c>
      <c r="P23" s="404" t="str">
        <f>Engagements!D86</f>
        <v/>
      </c>
      <c r="Q23" s="404" t="str">
        <f>Engagements!E86</f>
        <v/>
      </c>
      <c r="R23" s="404" t="str">
        <f>Engagements!F86</f>
        <v/>
      </c>
      <c r="S23" s="405" t="str">
        <f>Engagements!G86</f>
        <v/>
      </c>
      <c r="T23" s="404" t="str">
        <f>Engagements!H86</f>
        <v/>
      </c>
      <c r="U23" s="404" t="str">
        <f>Engagements!I86</f>
        <v/>
      </c>
      <c r="V23" s="404" t="str">
        <f>Engagements!J86</f>
        <v/>
      </c>
      <c r="W23" s="404" t="str">
        <f>Engagements!E87</f>
        <v/>
      </c>
      <c r="X23" s="404" t="str">
        <f>Engagements!F87</f>
        <v/>
      </c>
      <c r="Y23" s="405" t="str">
        <f>Engagements!G87</f>
        <v/>
      </c>
      <c r="Z23" s="404" t="str">
        <f>Engagements!H87</f>
        <v/>
      </c>
      <c r="AA23" s="404" t="str">
        <f>Engagements!I87</f>
        <v/>
      </c>
      <c r="AB23" s="404" t="str">
        <f>Engagements!J87</f>
        <v/>
      </c>
      <c r="AC23" s="404" t="str">
        <f>Engagements!E88</f>
        <v/>
      </c>
      <c r="AD23" s="404" t="str">
        <f>Engagements!F88</f>
        <v/>
      </c>
      <c r="AE23" s="405" t="str">
        <f>Engagements!G88</f>
        <v/>
      </c>
      <c r="AF23" s="404" t="str">
        <f>Engagements!H88</f>
        <v/>
      </c>
      <c r="AG23" s="404" t="str">
        <f>Engagements!I88</f>
        <v/>
      </c>
      <c r="AH23" s="404" t="str">
        <f>Engagements!J88</f>
        <v/>
      </c>
      <c r="AI23" s="404" t="str">
        <f>Engagements!E89</f>
        <v/>
      </c>
      <c r="AJ23" s="404" t="str">
        <f>Engagements!F89</f>
        <v/>
      </c>
      <c r="AK23" s="405" t="str">
        <f>Engagements!G89</f>
        <v/>
      </c>
      <c r="AL23" s="404" t="str">
        <f>Engagements!H89</f>
        <v/>
      </c>
      <c r="AM23" s="404" t="str">
        <f>Engagements!I89</f>
        <v/>
      </c>
      <c r="AN23" s="404" t="str">
        <f>Engagements!J89</f>
        <v/>
      </c>
      <c r="AO23" s="469" t="str">
        <f t="shared" si="3"/>
        <v/>
      </c>
      <c r="AP23" s="470" t="str">
        <f t="shared" si="4"/>
        <v/>
      </c>
      <c r="AQ23" t="str">
        <f t="shared" si="5"/>
        <v/>
      </c>
      <c r="AR23" t="str">
        <f t="shared" si="6"/>
        <v/>
      </c>
      <c r="AS23" t="str">
        <f t="shared" si="7"/>
        <v/>
      </c>
      <c r="AT23" t="str">
        <f t="shared" si="8"/>
        <v/>
      </c>
      <c r="AU23" t="str">
        <f t="shared" si="9"/>
        <v/>
      </c>
      <c r="AV23" t="str">
        <f t="shared" si="10"/>
        <v/>
      </c>
      <c r="AW23" t="str">
        <f t="shared" si="11"/>
        <v/>
      </c>
      <c r="AX23" t="str">
        <f t="shared" si="12"/>
        <v/>
      </c>
      <c r="AY23" t="str">
        <f t="shared" si="13"/>
        <v/>
      </c>
      <c r="AZ23" t="str">
        <f t="shared" si="14"/>
        <v/>
      </c>
      <c r="BA23" t="str">
        <f t="shared" si="15"/>
        <v/>
      </c>
      <c r="BB23" t="str">
        <f t="shared" si="16"/>
        <v/>
      </c>
      <c r="BC23" t="str">
        <f t="shared" si="17"/>
        <v/>
      </c>
      <c r="BD23" t="str">
        <f t="shared" si="18"/>
        <v/>
      </c>
      <c r="BE23" t="str">
        <f t="shared" si="19"/>
        <v/>
      </c>
      <c r="BF23" t="str">
        <f t="shared" si="20"/>
        <v/>
      </c>
      <c r="BG23" t="str">
        <f t="shared" si="21"/>
        <v/>
      </c>
      <c r="BH23" t="str">
        <f t="shared" si="22"/>
        <v/>
      </c>
      <c r="BI23" t="str">
        <f t="shared" si="23"/>
        <v/>
      </c>
      <c r="BJ23" t="str">
        <f t="shared" si="24"/>
        <v/>
      </c>
      <c r="BK23" t="str">
        <f t="shared" si="25"/>
        <v/>
      </c>
      <c r="BL23" t="str">
        <f t="shared" si="26"/>
        <v/>
      </c>
      <c r="BM23" t="str">
        <f t="shared" si="27"/>
        <v/>
      </c>
      <c r="BN23" t="str">
        <f t="shared" si="28"/>
        <v/>
      </c>
      <c r="BO23" t="str">
        <f t="shared" si="29"/>
        <v/>
      </c>
      <c r="BP23" t="str">
        <f t="shared" si="30"/>
        <v/>
      </c>
      <c r="BQ23" t="str">
        <f t="shared" si="31"/>
        <v/>
      </c>
      <c r="BR23" t="str">
        <f t="shared" si="32"/>
        <v/>
      </c>
      <c r="BS23" t="str">
        <f t="shared" si="33"/>
        <v>- -</v>
      </c>
      <c r="BT23" t="e">
        <f>Listing!O86</f>
        <v>#N/A</v>
      </c>
      <c r="BV23" t="s">
        <v>1030</v>
      </c>
      <c r="BW23" s="471" t="s">
        <v>1031</v>
      </c>
    </row>
    <row r="24" spans="1:75" x14ac:dyDescent="0.2">
      <c r="A24" s="57" t="str">
        <f t="shared" si="0"/>
        <v/>
      </c>
      <c r="B24" s="69" t="str">
        <f>Engagements!B27</f>
        <v/>
      </c>
      <c r="C24" s="69" t="str">
        <f>Engagements!C27</f>
        <v/>
      </c>
      <c r="D24" s="69" t="str">
        <f>Engagements!D27</f>
        <v/>
      </c>
      <c r="E24" s="69" t="str">
        <f>Engagements!E27</f>
        <v/>
      </c>
      <c r="F24" s="69" t="str">
        <f>Engagements!F27</f>
        <v/>
      </c>
      <c r="G24" s="71" t="str">
        <f>Engagements!G27</f>
        <v/>
      </c>
      <c r="H24" s="69" t="str">
        <f>Engagements!H27</f>
        <v/>
      </c>
      <c r="I24" s="69" t="str">
        <f>Engagements!I27</f>
        <v/>
      </c>
      <c r="J24" s="69" t="str">
        <f>Engagements!J27</f>
        <v/>
      </c>
      <c r="K24" s="69" t="str">
        <f>Engagements!K27</f>
        <v/>
      </c>
      <c r="L24" s="40"/>
      <c r="M24" s="150">
        <v>22</v>
      </c>
      <c r="N24" s="404" t="str">
        <f>Engagements!B90</f>
        <v/>
      </c>
      <c r="O24" s="404" t="str">
        <f>Engagements!C90</f>
        <v/>
      </c>
      <c r="P24" s="404" t="str">
        <f>Engagements!D90</f>
        <v/>
      </c>
      <c r="Q24" s="404" t="str">
        <f>Engagements!E90</f>
        <v/>
      </c>
      <c r="R24" s="404" t="str">
        <f>Engagements!F90</f>
        <v/>
      </c>
      <c r="S24" s="405" t="str">
        <f>Engagements!G90</f>
        <v/>
      </c>
      <c r="T24" s="404" t="str">
        <f>Engagements!H90</f>
        <v/>
      </c>
      <c r="U24" s="404" t="str">
        <f>Engagements!I90</f>
        <v/>
      </c>
      <c r="V24" s="404" t="str">
        <f>Engagements!J90</f>
        <v/>
      </c>
      <c r="W24" s="404" t="str">
        <f>Engagements!E91</f>
        <v/>
      </c>
      <c r="X24" s="404" t="str">
        <f>Engagements!F91</f>
        <v/>
      </c>
      <c r="Y24" s="405" t="str">
        <f>Engagements!G91</f>
        <v/>
      </c>
      <c r="Z24" s="404" t="str">
        <f>Engagements!H91</f>
        <v/>
      </c>
      <c r="AA24" s="404" t="str">
        <f>Engagements!I91</f>
        <v/>
      </c>
      <c r="AB24" s="404" t="str">
        <f>Engagements!J91</f>
        <v/>
      </c>
      <c r="AC24" s="404" t="str">
        <f>Engagements!E92</f>
        <v/>
      </c>
      <c r="AD24" s="404" t="str">
        <f>Engagements!F92</f>
        <v/>
      </c>
      <c r="AE24" s="405" t="str">
        <f>Engagements!G92</f>
        <v/>
      </c>
      <c r="AF24" s="404" t="str">
        <f>Engagements!H92</f>
        <v/>
      </c>
      <c r="AG24" s="404" t="str">
        <f>Engagements!I92</f>
        <v/>
      </c>
      <c r="AH24" s="404" t="str">
        <f>Engagements!J92</f>
        <v/>
      </c>
      <c r="AI24" s="404" t="str">
        <f>Engagements!E93</f>
        <v/>
      </c>
      <c r="AJ24" s="404" t="str">
        <f>Engagements!F93</f>
        <v/>
      </c>
      <c r="AK24" s="405" t="str">
        <f>Engagements!G93</f>
        <v/>
      </c>
      <c r="AL24" s="404" t="str">
        <f>Engagements!H93</f>
        <v/>
      </c>
      <c r="AM24" s="404" t="str">
        <f>Engagements!I93</f>
        <v/>
      </c>
      <c r="AN24" s="404" t="str">
        <f>Engagements!J93</f>
        <v/>
      </c>
      <c r="AO24" s="469" t="str">
        <f t="shared" si="3"/>
        <v/>
      </c>
      <c r="AP24" s="470" t="str">
        <f t="shared" si="4"/>
        <v/>
      </c>
      <c r="AQ24" t="str">
        <f t="shared" si="5"/>
        <v/>
      </c>
      <c r="AR24" t="str">
        <f t="shared" si="6"/>
        <v/>
      </c>
      <c r="AS24" t="str">
        <f t="shared" si="7"/>
        <v/>
      </c>
      <c r="AT24" t="str">
        <f t="shared" si="8"/>
        <v/>
      </c>
      <c r="AU24" t="str">
        <f t="shared" si="9"/>
        <v/>
      </c>
      <c r="AV24" t="str">
        <f t="shared" si="10"/>
        <v/>
      </c>
      <c r="AW24" t="str">
        <f t="shared" si="11"/>
        <v/>
      </c>
      <c r="AX24" t="str">
        <f t="shared" si="12"/>
        <v/>
      </c>
      <c r="AY24" t="str">
        <f t="shared" si="13"/>
        <v/>
      </c>
      <c r="AZ24" t="str">
        <f t="shared" si="14"/>
        <v/>
      </c>
      <c r="BA24" t="str">
        <f t="shared" si="15"/>
        <v/>
      </c>
      <c r="BB24" t="str">
        <f t="shared" si="16"/>
        <v/>
      </c>
      <c r="BC24" t="str">
        <f t="shared" si="17"/>
        <v/>
      </c>
      <c r="BD24" t="str">
        <f t="shared" si="18"/>
        <v/>
      </c>
      <c r="BE24" t="str">
        <f t="shared" si="19"/>
        <v/>
      </c>
      <c r="BF24" t="str">
        <f t="shared" si="20"/>
        <v/>
      </c>
      <c r="BG24" t="str">
        <f t="shared" si="21"/>
        <v/>
      </c>
      <c r="BH24" t="str">
        <f t="shared" si="22"/>
        <v/>
      </c>
      <c r="BI24" t="str">
        <f t="shared" si="23"/>
        <v/>
      </c>
      <c r="BJ24" t="str">
        <f t="shared" si="24"/>
        <v/>
      </c>
      <c r="BK24" t="str">
        <f t="shared" si="25"/>
        <v/>
      </c>
      <c r="BL24" t="str">
        <f t="shared" si="26"/>
        <v/>
      </c>
      <c r="BM24" t="str">
        <f t="shared" si="27"/>
        <v/>
      </c>
      <c r="BN24" t="str">
        <f t="shared" si="28"/>
        <v/>
      </c>
      <c r="BO24" t="str">
        <f t="shared" si="29"/>
        <v/>
      </c>
      <c r="BP24" t="str">
        <f t="shared" si="30"/>
        <v/>
      </c>
      <c r="BQ24" t="str">
        <f t="shared" si="31"/>
        <v/>
      </c>
      <c r="BR24" t="str">
        <f t="shared" si="32"/>
        <v/>
      </c>
      <c r="BS24" t="str">
        <f t="shared" si="33"/>
        <v>- -</v>
      </c>
      <c r="BT24" t="e">
        <f>Listing!O90</f>
        <v>#N/A</v>
      </c>
      <c r="BV24" t="s">
        <v>1035</v>
      </c>
      <c r="BW24" s="471" t="s">
        <v>1036</v>
      </c>
    </row>
    <row r="25" spans="1:75" x14ac:dyDescent="0.2">
      <c r="A25" s="57" t="str">
        <f t="shared" si="0"/>
        <v/>
      </c>
      <c r="B25" s="69" t="str">
        <f>Engagements!B28</f>
        <v/>
      </c>
      <c r="C25" s="69" t="str">
        <f>Engagements!C28</f>
        <v/>
      </c>
      <c r="D25" s="69" t="str">
        <f>Engagements!D28</f>
        <v/>
      </c>
      <c r="E25" s="69" t="str">
        <f>Engagements!E28</f>
        <v/>
      </c>
      <c r="F25" s="69" t="str">
        <f>Engagements!F28</f>
        <v/>
      </c>
      <c r="G25" s="71" t="str">
        <f>Engagements!G28</f>
        <v/>
      </c>
      <c r="H25" s="69" t="str">
        <f>Engagements!H28</f>
        <v/>
      </c>
      <c r="I25" s="69" t="str">
        <f>Engagements!I28</f>
        <v/>
      </c>
      <c r="J25" s="69" t="str">
        <f>Engagements!J28</f>
        <v/>
      </c>
      <c r="K25" s="69" t="str">
        <f>Engagements!K28</f>
        <v/>
      </c>
      <c r="L25" s="40"/>
      <c r="M25" s="150">
        <v>23</v>
      </c>
      <c r="N25" s="404" t="str">
        <f>Engagements!B94</f>
        <v/>
      </c>
      <c r="O25" s="404" t="str">
        <f>Engagements!C94</f>
        <v/>
      </c>
      <c r="P25" s="404" t="str">
        <f>Engagements!D94</f>
        <v/>
      </c>
      <c r="Q25" s="404" t="str">
        <f>Engagements!E94</f>
        <v/>
      </c>
      <c r="R25" s="404" t="str">
        <f>Engagements!F94</f>
        <v/>
      </c>
      <c r="S25" s="404" t="str">
        <f>Engagements!G94</f>
        <v/>
      </c>
      <c r="T25" s="404" t="str">
        <f>Engagements!H94</f>
        <v/>
      </c>
      <c r="U25" s="404" t="str">
        <f>Engagements!I94</f>
        <v/>
      </c>
      <c r="V25" s="404" t="str">
        <f>Engagements!J94</f>
        <v/>
      </c>
      <c r="W25" s="404" t="str">
        <f>Engagements!E95</f>
        <v/>
      </c>
      <c r="X25" s="404" t="str">
        <f>Engagements!F95</f>
        <v/>
      </c>
      <c r="Y25" s="404" t="str">
        <f>Engagements!G95</f>
        <v/>
      </c>
      <c r="Z25" s="404" t="str">
        <f>Engagements!H95</f>
        <v/>
      </c>
      <c r="AA25" s="404" t="str">
        <f>Engagements!I95</f>
        <v/>
      </c>
      <c r="AB25" s="404" t="str">
        <f>Engagements!J95</f>
        <v/>
      </c>
      <c r="AC25" s="404" t="str">
        <f>Engagements!E96</f>
        <v/>
      </c>
      <c r="AD25" s="404" t="str">
        <f>Engagements!F96</f>
        <v/>
      </c>
      <c r="AE25" s="404" t="str">
        <f>Engagements!G96</f>
        <v/>
      </c>
      <c r="AF25" s="404" t="str">
        <f>Engagements!H96</f>
        <v/>
      </c>
      <c r="AG25" s="404" t="str">
        <f>Engagements!I96</f>
        <v/>
      </c>
      <c r="AH25" s="404" t="str">
        <f>Engagements!J96</f>
        <v/>
      </c>
      <c r="AI25" s="404" t="str">
        <f>Engagements!E97</f>
        <v/>
      </c>
      <c r="AJ25" s="404" t="str">
        <f>Engagements!F97</f>
        <v/>
      </c>
      <c r="AK25" s="404" t="str">
        <f>Engagements!G97</f>
        <v/>
      </c>
      <c r="AL25" s="404" t="str">
        <f>Engagements!H97</f>
        <v/>
      </c>
      <c r="AM25" s="404" t="str">
        <f>Engagements!I97</f>
        <v/>
      </c>
      <c r="AN25" s="404" t="str">
        <f>Engagements!J97</f>
        <v/>
      </c>
      <c r="AO25" s="469" t="str">
        <f t="shared" si="3"/>
        <v/>
      </c>
      <c r="AP25" s="470" t="str">
        <f t="shared" si="4"/>
        <v/>
      </c>
      <c r="AQ25" t="str">
        <f t="shared" si="5"/>
        <v/>
      </c>
      <c r="AR25" t="str">
        <f t="shared" si="6"/>
        <v/>
      </c>
      <c r="AS25" t="str">
        <f t="shared" si="7"/>
        <v/>
      </c>
      <c r="AT25" t="str">
        <f t="shared" si="8"/>
        <v/>
      </c>
      <c r="AU25" t="str">
        <f t="shared" si="9"/>
        <v/>
      </c>
      <c r="AV25" t="str">
        <f t="shared" si="10"/>
        <v/>
      </c>
      <c r="AW25" t="str">
        <f t="shared" si="11"/>
        <v/>
      </c>
      <c r="AX25" t="str">
        <f t="shared" si="12"/>
        <v/>
      </c>
      <c r="AY25" t="str">
        <f t="shared" si="13"/>
        <v/>
      </c>
      <c r="AZ25" t="str">
        <f t="shared" si="14"/>
        <v/>
      </c>
      <c r="BA25" t="str">
        <f t="shared" si="15"/>
        <v/>
      </c>
      <c r="BB25" t="str">
        <f t="shared" si="16"/>
        <v/>
      </c>
      <c r="BC25" t="str">
        <f t="shared" si="17"/>
        <v/>
      </c>
      <c r="BD25" t="str">
        <f t="shared" si="18"/>
        <v/>
      </c>
      <c r="BE25" t="str">
        <f t="shared" si="19"/>
        <v/>
      </c>
      <c r="BF25" t="str">
        <f t="shared" si="20"/>
        <v/>
      </c>
      <c r="BG25" t="str">
        <f t="shared" si="21"/>
        <v/>
      </c>
      <c r="BH25" t="str">
        <f t="shared" si="22"/>
        <v/>
      </c>
      <c r="BI25" t="str">
        <f t="shared" si="23"/>
        <v/>
      </c>
      <c r="BJ25" t="str">
        <f t="shared" si="24"/>
        <v/>
      </c>
      <c r="BK25" t="str">
        <f t="shared" si="25"/>
        <v/>
      </c>
      <c r="BL25" t="str">
        <f t="shared" si="26"/>
        <v/>
      </c>
      <c r="BM25" t="str">
        <f t="shared" si="27"/>
        <v/>
      </c>
      <c r="BN25" t="str">
        <f t="shared" si="28"/>
        <v/>
      </c>
      <c r="BO25" t="str">
        <f t="shared" si="29"/>
        <v/>
      </c>
      <c r="BP25" t="str">
        <f t="shared" si="30"/>
        <v/>
      </c>
      <c r="BQ25" t="str">
        <f t="shared" si="31"/>
        <v/>
      </c>
      <c r="BR25" t="str">
        <f t="shared" si="32"/>
        <v/>
      </c>
      <c r="BS25" t="str">
        <f t="shared" si="33"/>
        <v>- -</v>
      </c>
      <c r="BT25" t="e">
        <f>Listing!O94</f>
        <v>#N/A</v>
      </c>
    </row>
    <row r="26" spans="1:75" ht="12.75" customHeight="1" x14ac:dyDescent="0.2">
      <c r="A26" s="57" t="str">
        <f t="shared" si="0"/>
        <v/>
      </c>
      <c r="B26" s="69" t="str">
        <f>Engagements!B29</f>
        <v/>
      </c>
      <c r="C26" s="69" t="str">
        <f>Engagements!C29</f>
        <v/>
      </c>
      <c r="D26" s="69" t="str">
        <f>Engagements!D29</f>
        <v/>
      </c>
      <c r="E26" s="69" t="str">
        <f>Engagements!E29</f>
        <v/>
      </c>
      <c r="F26" s="69" t="str">
        <f>Engagements!F29</f>
        <v/>
      </c>
      <c r="G26" s="71" t="str">
        <f>Engagements!G29</f>
        <v/>
      </c>
      <c r="H26" s="69" t="str">
        <f>Engagements!H29</f>
        <v/>
      </c>
      <c r="I26" s="69" t="str">
        <f>Engagements!I29</f>
        <v/>
      </c>
      <c r="J26" s="69" t="str">
        <f>Engagements!J29</f>
        <v/>
      </c>
      <c r="K26" s="69" t="str">
        <f>Engagements!K29</f>
        <v/>
      </c>
      <c r="L26" s="40"/>
      <c r="M26" s="150">
        <v>24</v>
      </c>
      <c r="N26" s="404" t="str">
        <f>Engagements!B98</f>
        <v/>
      </c>
      <c r="O26" s="404" t="str">
        <f>Engagements!C98</f>
        <v/>
      </c>
      <c r="P26" s="404" t="str">
        <f>Engagements!D98</f>
        <v/>
      </c>
      <c r="Q26" s="404" t="str">
        <f>Engagements!E98</f>
        <v/>
      </c>
      <c r="R26" s="404" t="str">
        <f>Engagements!F98</f>
        <v/>
      </c>
      <c r="S26" s="404" t="str">
        <f>Engagements!G98</f>
        <v/>
      </c>
      <c r="T26" s="404" t="str">
        <f>Engagements!H98</f>
        <v/>
      </c>
      <c r="U26" s="404" t="str">
        <f>Engagements!I98</f>
        <v/>
      </c>
      <c r="V26" s="404" t="str">
        <f>Engagements!J98</f>
        <v/>
      </c>
      <c r="W26" s="404" t="str">
        <f>Engagements!E99</f>
        <v/>
      </c>
      <c r="X26" s="404" t="str">
        <f>Engagements!F99</f>
        <v/>
      </c>
      <c r="Y26" s="404" t="str">
        <f>Engagements!G99</f>
        <v/>
      </c>
      <c r="Z26" s="404" t="str">
        <f>Engagements!H99</f>
        <v/>
      </c>
      <c r="AA26" s="404" t="str">
        <f>Engagements!I99</f>
        <v/>
      </c>
      <c r="AB26" s="404" t="str">
        <f>Engagements!J99</f>
        <v/>
      </c>
      <c r="AC26" s="404" t="str">
        <f>Engagements!E100</f>
        <v/>
      </c>
      <c r="AD26" s="404" t="str">
        <f>Engagements!F100</f>
        <v/>
      </c>
      <c r="AE26" s="404" t="str">
        <f>Engagements!G100</f>
        <v/>
      </c>
      <c r="AF26" s="404" t="str">
        <f>Engagements!H100</f>
        <v/>
      </c>
      <c r="AG26" s="404" t="str">
        <f>Engagements!I100</f>
        <v/>
      </c>
      <c r="AH26" s="404" t="str">
        <f>Engagements!J100</f>
        <v/>
      </c>
      <c r="AI26" s="404" t="str">
        <f>Engagements!E101</f>
        <v/>
      </c>
      <c r="AJ26" s="404" t="str">
        <f>Engagements!F101</f>
        <v/>
      </c>
      <c r="AK26" s="404" t="str">
        <f>Engagements!G101</f>
        <v/>
      </c>
      <c r="AL26" s="404" t="str">
        <f>Engagements!H101</f>
        <v/>
      </c>
      <c r="AM26" s="404" t="str">
        <f>Engagements!I101</f>
        <v/>
      </c>
      <c r="AN26" s="404" t="str">
        <f>Engagements!J101</f>
        <v/>
      </c>
      <c r="AO26" s="469" t="str">
        <f t="shared" si="3"/>
        <v/>
      </c>
      <c r="AP26" s="470" t="str">
        <f t="shared" si="4"/>
        <v/>
      </c>
      <c r="AQ26" t="str">
        <f t="shared" si="5"/>
        <v/>
      </c>
      <c r="AR26" t="str">
        <f t="shared" si="6"/>
        <v/>
      </c>
      <c r="AS26" t="str">
        <f t="shared" si="7"/>
        <v/>
      </c>
      <c r="AT26" t="str">
        <f t="shared" si="8"/>
        <v/>
      </c>
      <c r="AU26" t="str">
        <f t="shared" si="9"/>
        <v/>
      </c>
      <c r="AV26" t="str">
        <f t="shared" si="10"/>
        <v/>
      </c>
      <c r="AW26" t="str">
        <f t="shared" si="11"/>
        <v/>
      </c>
      <c r="AX26" t="str">
        <f t="shared" si="12"/>
        <v/>
      </c>
      <c r="AY26" t="str">
        <f t="shared" si="13"/>
        <v/>
      </c>
      <c r="AZ26" t="str">
        <f t="shared" si="14"/>
        <v/>
      </c>
      <c r="BA26" t="str">
        <f t="shared" si="15"/>
        <v/>
      </c>
      <c r="BB26" t="str">
        <f t="shared" si="16"/>
        <v/>
      </c>
      <c r="BC26" t="str">
        <f t="shared" si="17"/>
        <v/>
      </c>
      <c r="BD26" t="str">
        <f t="shared" si="18"/>
        <v/>
      </c>
      <c r="BE26" t="str">
        <f t="shared" si="19"/>
        <v/>
      </c>
      <c r="BF26" t="str">
        <f t="shared" si="20"/>
        <v/>
      </c>
      <c r="BG26" t="str">
        <f t="shared" si="21"/>
        <v/>
      </c>
      <c r="BH26" t="str">
        <f t="shared" si="22"/>
        <v/>
      </c>
      <c r="BI26" t="str">
        <f t="shared" si="23"/>
        <v/>
      </c>
      <c r="BJ26" t="str">
        <f t="shared" si="24"/>
        <v/>
      </c>
      <c r="BK26" t="str">
        <f t="shared" si="25"/>
        <v/>
      </c>
      <c r="BL26" t="str">
        <f t="shared" si="26"/>
        <v/>
      </c>
      <c r="BM26" t="str">
        <f t="shared" si="27"/>
        <v/>
      </c>
      <c r="BN26" t="str">
        <f t="shared" si="28"/>
        <v/>
      </c>
      <c r="BO26" t="str">
        <f t="shared" si="29"/>
        <v/>
      </c>
      <c r="BP26" t="str">
        <f t="shared" si="30"/>
        <v/>
      </c>
      <c r="BQ26" t="str">
        <f t="shared" si="31"/>
        <v/>
      </c>
      <c r="BR26" t="str">
        <f t="shared" si="32"/>
        <v/>
      </c>
      <c r="BS26" t="str">
        <f t="shared" si="33"/>
        <v>- -</v>
      </c>
      <c r="BT26" t="e">
        <f>Listing!O98</f>
        <v>#N/A</v>
      </c>
    </row>
    <row r="27" spans="1:75" ht="12.75" customHeight="1" x14ac:dyDescent="0.2">
      <c r="A27" s="57" t="str">
        <f t="shared" si="0"/>
        <v/>
      </c>
      <c r="B27" s="69" t="str">
        <f>Engagements!B30</f>
        <v/>
      </c>
      <c r="C27" s="69" t="str">
        <f>Engagements!C30</f>
        <v/>
      </c>
      <c r="D27" s="69" t="str">
        <f>Engagements!D30</f>
        <v/>
      </c>
      <c r="E27" s="69" t="str">
        <f>Engagements!E30</f>
        <v/>
      </c>
      <c r="F27" s="69" t="str">
        <f>Engagements!F30</f>
        <v/>
      </c>
      <c r="G27" s="71" t="str">
        <f>Engagements!G30</f>
        <v/>
      </c>
      <c r="H27" s="69" t="str">
        <f>Engagements!H30</f>
        <v/>
      </c>
      <c r="I27" s="69" t="str">
        <f>Engagements!I30</f>
        <v/>
      </c>
      <c r="J27" s="69" t="str">
        <f>Engagements!J30</f>
        <v/>
      </c>
      <c r="K27" s="69" t="str">
        <f>Engagements!K30</f>
        <v/>
      </c>
      <c r="L27" s="40"/>
      <c r="AO27" s="785" t="s">
        <v>1090</v>
      </c>
      <c r="AP27" s="785" t="s">
        <v>1090</v>
      </c>
      <c r="AQ27" s="785" t="s">
        <v>1306</v>
      </c>
      <c r="AS27" s="785" t="s">
        <v>1305</v>
      </c>
      <c r="BV27" s="617" t="s">
        <v>991</v>
      </c>
      <c r="BW27" s="617" t="s">
        <v>992</v>
      </c>
    </row>
    <row r="28" spans="1:75" x14ac:dyDescent="0.2">
      <c r="A28" s="57" t="str">
        <f t="shared" si="0"/>
        <v/>
      </c>
      <c r="B28" s="69" t="str">
        <f>Engagements!B31</f>
        <v/>
      </c>
      <c r="C28" s="69" t="str">
        <f>Engagements!C31</f>
        <v/>
      </c>
      <c r="D28" s="69" t="str">
        <f>Engagements!D31</f>
        <v/>
      </c>
      <c r="E28" s="69" t="str">
        <f>Engagements!E31</f>
        <v/>
      </c>
      <c r="F28" s="69" t="str">
        <f>Engagements!F31</f>
        <v/>
      </c>
      <c r="G28" s="71" t="str">
        <f>Engagements!G31</f>
        <v/>
      </c>
      <c r="H28" s="69" t="str">
        <f>Engagements!H31</f>
        <v/>
      </c>
      <c r="I28" s="69" t="str">
        <f>Engagements!I31</f>
        <v/>
      </c>
      <c r="J28" s="69" t="str">
        <f>Engagements!J31</f>
        <v/>
      </c>
      <c r="K28" s="69" t="str">
        <f>Engagements!K31</f>
        <v/>
      </c>
      <c r="L28" s="40"/>
    </row>
    <row r="29" spans="1:75" x14ac:dyDescent="0.2">
      <c r="A29" s="57" t="str">
        <f t="shared" si="0"/>
        <v/>
      </c>
      <c r="B29" s="69" t="str">
        <f>Engagements!B32</f>
        <v/>
      </c>
      <c r="C29" s="69" t="str">
        <f>Engagements!C32</f>
        <v/>
      </c>
      <c r="D29" s="69" t="str">
        <f>Engagements!D32</f>
        <v/>
      </c>
      <c r="E29" s="69" t="str">
        <f>Engagements!E32</f>
        <v/>
      </c>
      <c r="F29" s="69" t="str">
        <f>Engagements!F32</f>
        <v/>
      </c>
      <c r="G29" s="71" t="str">
        <f>Engagements!G32</f>
        <v/>
      </c>
      <c r="H29" s="69" t="str">
        <f>Engagements!H32</f>
        <v/>
      </c>
      <c r="I29" s="69" t="str">
        <f>Engagements!I32</f>
        <v/>
      </c>
      <c r="J29" s="69" t="str">
        <f>Engagements!J32</f>
        <v/>
      </c>
      <c r="K29" s="69" t="str">
        <f>Engagements!K32</f>
        <v/>
      </c>
      <c r="L29" s="40"/>
    </row>
    <row r="30" spans="1:75" x14ac:dyDescent="0.2">
      <c r="A30" s="57" t="str">
        <f t="shared" si="0"/>
        <v/>
      </c>
      <c r="B30" s="69" t="str">
        <f>Engagements!B33</f>
        <v/>
      </c>
      <c r="C30" s="69" t="str">
        <f>Engagements!C33</f>
        <v/>
      </c>
      <c r="D30" s="69" t="str">
        <f>Engagements!D33</f>
        <v/>
      </c>
      <c r="E30" s="69" t="str">
        <f>Engagements!E33</f>
        <v/>
      </c>
      <c r="F30" s="69" t="str">
        <f>Engagements!F33</f>
        <v/>
      </c>
      <c r="G30" s="71" t="str">
        <f>Engagements!G33</f>
        <v/>
      </c>
      <c r="H30" s="69" t="str">
        <f>Engagements!H33</f>
        <v/>
      </c>
      <c r="I30" s="69" t="str">
        <f>Engagements!I33</f>
        <v/>
      </c>
      <c r="J30" s="69" t="str">
        <f>Engagements!J33</f>
        <v/>
      </c>
      <c r="K30" s="69" t="str">
        <f>Engagements!K33</f>
        <v/>
      </c>
      <c r="L30" s="40"/>
    </row>
    <row r="31" spans="1:75" x14ac:dyDescent="0.2">
      <c r="A31" s="57" t="str">
        <f t="shared" si="0"/>
        <v/>
      </c>
      <c r="B31" s="69" t="str">
        <f>Engagements!B34</f>
        <v/>
      </c>
      <c r="C31" s="69" t="str">
        <f>Engagements!C34</f>
        <v/>
      </c>
      <c r="D31" s="69" t="str">
        <f>Engagements!D34</f>
        <v/>
      </c>
      <c r="E31" s="69" t="str">
        <f>Engagements!E34</f>
        <v/>
      </c>
      <c r="F31" s="69" t="str">
        <f>Engagements!F34</f>
        <v/>
      </c>
      <c r="G31" s="71" t="str">
        <f>Engagements!G34</f>
        <v/>
      </c>
      <c r="H31" s="69" t="str">
        <f>Engagements!H34</f>
        <v/>
      </c>
      <c r="I31" s="69" t="str">
        <f>Engagements!I34</f>
        <v/>
      </c>
      <c r="J31" s="69" t="str">
        <f>Engagements!J34</f>
        <v/>
      </c>
      <c r="K31" s="69" t="str">
        <f>Engagements!K34</f>
        <v/>
      </c>
      <c r="L31" s="40"/>
    </row>
    <row r="32" spans="1:75" x14ac:dyDescent="0.2">
      <c r="A32" s="57" t="str">
        <f t="shared" si="0"/>
        <v/>
      </c>
      <c r="B32" s="69" t="str">
        <f>Engagements!B35</f>
        <v/>
      </c>
      <c r="C32" s="69" t="str">
        <f>Engagements!C35</f>
        <v/>
      </c>
      <c r="D32" s="69" t="str">
        <f>Engagements!D35</f>
        <v/>
      </c>
      <c r="E32" s="69" t="str">
        <f>Engagements!E35</f>
        <v/>
      </c>
      <c r="F32" s="69" t="str">
        <f>Engagements!F35</f>
        <v/>
      </c>
      <c r="G32" s="71" t="str">
        <f>Engagements!G35</f>
        <v/>
      </c>
      <c r="H32" s="69" t="str">
        <f>Engagements!H35</f>
        <v/>
      </c>
      <c r="I32" s="69" t="str">
        <f>Engagements!I35</f>
        <v/>
      </c>
      <c r="J32" s="69" t="str">
        <f>Engagements!J35</f>
        <v/>
      </c>
      <c r="K32" s="69" t="str">
        <f>Engagements!K35</f>
        <v/>
      </c>
      <c r="L32" s="40"/>
    </row>
    <row r="33" spans="1:73" x14ac:dyDescent="0.2">
      <c r="A33" s="57" t="str">
        <f t="shared" si="0"/>
        <v/>
      </c>
      <c r="B33" s="69" t="str">
        <f>Engagements!B36</f>
        <v/>
      </c>
      <c r="C33" s="69" t="str">
        <f>Engagements!C36</f>
        <v/>
      </c>
      <c r="D33" s="69" t="str">
        <f>Engagements!D36</f>
        <v/>
      </c>
      <c r="E33" s="69" t="str">
        <f>Engagements!E36</f>
        <v/>
      </c>
      <c r="F33" s="69" t="str">
        <f>Engagements!F36</f>
        <v/>
      </c>
      <c r="G33" s="71" t="str">
        <f>Engagements!G36</f>
        <v/>
      </c>
      <c r="H33" s="69" t="str">
        <f>Engagements!H36</f>
        <v/>
      </c>
      <c r="I33" s="69" t="str">
        <f>Engagements!I36</f>
        <v/>
      </c>
      <c r="J33" s="69" t="str">
        <f>Engagements!J36</f>
        <v/>
      </c>
      <c r="K33" s="69" t="str">
        <f>Engagements!K36</f>
        <v/>
      </c>
      <c r="L33" s="40"/>
      <c r="BU33" s="754"/>
    </row>
    <row r="34" spans="1:73" ht="13.5" thickBot="1" x14ac:dyDescent="0.25">
      <c r="A34" s="57" t="str">
        <f t="shared" si="0"/>
        <v/>
      </c>
      <c r="B34" s="69" t="str">
        <f>Engagements!B37</f>
        <v/>
      </c>
      <c r="C34" s="69" t="str">
        <f>Engagements!C37</f>
        <v/>
      </c>
      <c r="D34" s="69" t="str">
        <f>Engagements!D37</f>
        <v/>
      </c>
      <c r="E34" s="69" t="str">
        <f>Engagements!E37</f>
        <v/>
      </c>
      <c r="F34" s="69" t="str">
        <f>Engagements!F37</f>
        <v/>
      </c>
      <c r="G34" s="71" t="str">
        <f>Engagements!G37</f>
        <v/>
      </c>
      <c r="H34" s="69" t="str">
        <f>Engagements!H37</f>
        <v/>
      </c>
      <c r="I34" s="69" t="str">
        <f>Engagements!I37</f>
        <v/>
      </c>
      <c r="J34" s="69" t="str">
        <f>Engagements!J37</f>
        <v/>
      </c>
      <c r="K34" s="69" t="str">
        <f>Engagements!K37</f>
        <v/>
      </c>
      <c r="L34" s="40"/>
      <c r="BU34" s="754"/>
    </row>
    <row r="35" spans="1:73" x14ac:dyDescent="0.2">
      <c r="A35" s="57" t="str">
        <f t="shared" ref="A35:A66" si="34">K35</f>
        <v/>
      </c>
      <c r="B35" s="69" t="str">
        <f>Engagements!B38</f>
        <v/>
      </c>
      <c r="C35" s="69" t="str">
        <f>Engagements!C38</f>
        <v/>
      </c>
      <c r="D35" s="69" t="str">
        <f>Engagements!D38</f>
        <v/>
      </c>
      <c r="E35" s="69" t="str">
        <f>Engagements!E38</f>
        <v/>
      </c>
      <c r="F35" s="69" t="str">
        <f>Engagements!F38</f>
        <v/>
      </c>
      <c r="G35" s="71" t="str">
        <f>Engagements!G38</f>
        <v/>
      </c>
      <c r="H35" s="69" t="str">
        <f>Engagements!H38</f>
        <v/>
      </c>
      <c r="I35" s="69" t="str">
        <f>Engagements!I38</f>
        <v/>
      </c>
      <c r="J35" s="69" t="str">
        <f>Engagements!J38</f>
        <v/>
      </c>
      <c r="K35" s="69" t="str">
        <f>Engagements!K38</f>
        <v/>
      </c>
      <c r="L35" s="40"/>
      <c r="N35" s="1234" t="s">
        <v>632</v>
      </c>
      <c r="O35" s="1235"/>
      <c r="P35" s="1236"/>
      <c r="BU35" s="754"/>
    </row>
    <row r="36" spans="1:73" ht="13.5" thickBot="1" x14ac:dyDescent="0.25">
      <c r="A36" s="57" t="str">
        <f t="shared" si="34"/>
        <v/>
      </c>
      <c r="B36" s="69" t="str">
        <f>Engagements!B39</f>
        <v/>
      </c>
      <c r="C36" s="69" t="str">
        <f>Engagements!C39</f>
        <v/>
      </c>
      <c r="D36" s="69" t="str">
        <f>Engagements!D39</f>
        <v/>
      </c>
      <c r="E36" s="69" t="str">
        <f>Engagements!E39</f>
        <v/>
      </c>
      <c r="F36" s="69" t="str">
        <f>Engagements!F39</f>
        <v/>
      </c>
      <c r="G36" s="71" t="str">
        <f>Engagements!G39</f>
        <v/>
      </c>
      <c r="H36" s="69" t="str">
        <f>Engagements!H39</f>
        <v/>
      </c>
      <c r="I36" s="69" t="str">
        <f>Engagements!I39</f>
        <v/>
      </c>
      <c r="J36" s="69" t="str">
        <f>Engagements!J39</f>
        <v/>
      </c>
      <c r="K36" s="69" t="str">
        <f>Engagements!K39</f>
        <v/>
      </c>
      <c r="L36" s="40"/>
      <c r="N36" s="1237"/>
      <c r="O36" s="1238"/>
      <c r="P36" s="1239"/>
      <c r="BU36" s="754"/>
    </row>
    <row r="37" spans="1:73" x14ac:dyDescent="0.2">
      <c r="A37" s="57" t="str">
        <f t="shared" si="34"/>
        <v/>
      </c>
      <c r="B37" s="69" t="str">
        <f>Engagements!B40</f>
        <v/>
      </c>
      <c r="C37" s="69" t="str">
        <f>Engagements!C40</f>
        <v/>
      </c>
      <c r="D37" s="69" t="str">
        <f>Engagements!D40</f>
        <v/>
      </c>
      <c r="E37" s="69" t="str">
        <f>Engagements!E40</f>
        <v/>
      </c>
      <c r="F37" s="69" t="str">
        <f>Engagements!F40</f>
        <v/>
      </c>
      <c r="G37" s="71" t="str">
        <f>Engagements!G40</f>
        <v/>
      </c>
      <c r="H37" s="69" t="str">
        <f>Engagements!H40</f>
        <v/>
      </c>
      <c r="I37" s="69" t="str">
        <f>Engagements!I40</f>
        <v/>
      </c>
      <c r="J37" s="69" t="str">
        <f>Engagements!J40</f>
        <v/>
      </c>
      <c r="K37" s="69" t="str">
        <f>Engagements!K40</f>
        <v/>
      </c>
      <c r="L37" s="40"/>
      <c r="BU37" s="754"/>
    </row>
    <row r="38" spans="1:73" x14ac:dyDescent="0.2">
      <c r="A38" s="57" t="str">
        <f t="shared" si="34"/>
        <v/>
      </c>
      <c r="B38" s="69" t="str">
        <f>Engagements!B41</f>
        <v/>
      </c>
      <c r="C38" s="69" t="str">
        <f>Engagements!C41</f>
        <v/>
      </c>
      <c r="D38" s="69" t="str">
        <f>Engagements!D41</f>
        <v/>
      </c>
      <c r="E38" s="69" t="str">
        <f>Engagements!E41</f>
        <v/>
      </c>
      <c r="F38" s="69" t="str">
        <f>Engagements!F41</f>
        <v/>
      </c>
      <c r="G38" s="71" t="str">
        <f>Engagements!G41</f>
        <v/>
      </c>
      <c r="H38" s="69" t="str">
        <f>Engagements!H41</f>
        <v/>
      </c>
      <c r="I38" s="69" t="str">
        <f>Engagements!I41</f>
        <v/>
      </c>
      <c r="J38" s="69" t="str">
        <f>Engagements!J41</f>
        <v/>
      </c>
      <c r="K38" s="69" t="str">
        <f>Engagements!K41</f>
        <v/>
      </c>
      <c r="L38" s="40"/>
      <c r="BU38" s="754"/>
    </row>
    <row r="39" spans="1:73" x14ac:dyDescent="0.2">
      <c r="A39" s="57" t="str">
        <f t="shared" si="34"/>
        <v/>
      </c>
      <c r="B39" s="69" t="str">
        <f>Engagements!B42</f>
        <v/>
      </c>
      <c r="C39" s="69" t="str">
        <f>Engagements!C42</f>
        <v/>
      </c>
      <c r="D39" s="69" t="str">
        <f>Engagements!D42</f>
        <v/>
      </c>
      <c r="E39" s="69" t="str">
        <f>Engagements!E42</f>
        <v/>
      </c>
      <c r="F39" s="69" t="str">
        <f>Engagements!F42</f>
        <v/>
      </c>
      <c r="G39" s="71" t="str">
        <f>Engagements!G42</f>
        <v/>
      </c>
      <c r="H39" s="69" t="str">
        <f>Engagements!H42</f>
        <v/>
      </c>
      <c r="I39" s="69" t="str">
        <f>Engagements!I42</f>
        <v/>
      </c>
      <c r="J39" s="69" t="str">
        <f>Engagements!J42</f>
        <v/>
      </c>
      <c r="K39" s="69" t="str">
        <f>Engagements!K42</f>
        <v/>
      </c>
      <c r="L39" s="40"/>
      <c r="BU39" s="754"/>
    </row>
    <row r="40" spans="1:73" x14ac:dyDescent="0.2">
      <c r="A40" s="57" t="str">
        <f t="shared" si="34"/>
        <v/>
      </c>
      <c r="B40" s="69" t="str">
        <f>Engagements!B43</f>
        <v/>
      </c>
      <c r="C40" s="69" t="str">
        <f>Engagements!C43</f>
        <v/>
      </c>
      <c r="D40" s="69" t="str">
        <f>Engagements!D43</f>
        <v/>
      </c>
      <c r="E40" s="69" t="str">
        <f>Engagements!E43</f>
        <v/>
      </c>
      <c r="F40" s="69" t="str">
        <f>Engagements!F43</f>
        <v/>
      </c>
      <c r="G40" s="71" t="str">
        <f>Engagements!G43</f>
        <v/>
      </c>
      <c r="H40" s="69" t="str">
        <f>Engagements!H43</f>
        <v/>
      </c>
      <c r="I40" s="69" t="str">
        <f>Engagements!I43</f>
        <v/>
      </c>
      <c r="J40" s="69" t="str">
        <f>Engagements!J43</f>
        <v/>
      </c>
      <c r="K40" s="69" t="str">
        <f>Engagements!K43</f>
        <v/>
      </c>
      <c r="L40" s="40"/>
      <c r="BU40" s="754"/>
    </row>
    <row r="41" spans="1:73" x14ac:dyDescent="0.2">
      <c r="A41" s="57" t="str">
        <f t="shared" si="34"/>
        <v/>
      </c>
      <c r="B41" s="69" t="str">
        <f>Engagements!B44</f>
        <v/>
      </c>
      <c r="C41" s="69" t="str">
        <f>Engagements!C44</f>
        <v/>
      </c>
      <c r="D41" s="69" t="str">
        <f>Engagements!D44</f>
        <v/>
      </c>
      <c r="E41" s="69" t="str">
        <f>Engagements!E44</f>
        <v/>
      </c>
      <c r="F41" s="69" t="str">
        <f>Engagements!F44</f>
        <v/>
      </c>
      <c r="G41" s="71" t="str">
        <f>Engagements!G44</f>
        <v/>
      </c>
      <c r="H41" s="69" t="str">
        <f>Engagements!H44</f>
        <v/>
      </c>
      <c r="I41" s="69" t="str">
        <f>Engagements!I44</f>
        <v/>
      </c>
      <c r="J41" s="69" t="str">
        <f>Engagements!J44</f>
        <v/>
      </c>
      <c r="K41" s="69" t="str">
        <f>Engagements!K44</f>
        <v/>
      </c>
      <c r="L41" s="40"/>
      <c r="BU41" s="754"/>
    </row>
    <row r="42" spans="1:73" x14ac:dyDescent="0.2">
      <c r="A42" s="57" t="str">
        <f t="shared" si="34"/>
        <v/>
      </c>
      <c r="B42" s="69" t="str">
        <f>Engagements!B45</f>
        <v/>
      </c>
      <c r="C42" s="69" t="str">
        <f>Engagements!C45</f>
        <v/>
      </c>
      <c r="D42" s="69" t="str">
        <f>Engagements!D45</f>
        <v/>
      </c>
      <c r="E42" s="69" t="str">
        <f>Engagements!E45</f>
        <v/>
      </c>
      <c r="F42" s="69" t="str">
        <f>Engagements!F45</f>
        <v/>
      </c>
      <c r="G42" s="71" t="str">
        <f>Engagements!G45</f>
        <v/>
      </c>
      <c r="H42" s="69" t="str">
        <f>Engagements!H45</f>
        <v/>
      </c>
      <c r="I42" s="69" t="str">
        <f>Engagements!I45</f>
        <v/>
      </c>
      <c r="J42" s="69" t="str">
        <f>Engagements!J45</f>
        <v/>
      </c>
      <c r="K42" s="69" t="str">
        <f>Engagements!K45</f>
        <v/>
      </c>
      <c r="L42" s="40"/>
      <c r="BU42" s="754"/>
    </row>
    <row r="43" spans="1:73" x14ac:dyDescent="0.2">
      <c r="A43" s="57" t="str">
        <f t="shared" si="34"/>
        <v/>
      </c>
      <c r="B43" s="69" t="str">
        <f>Engagements!B46</f>
        <v/>
      </c>
      <c r="C43" s="69" t="str">
        <f>Engagements!C46</f>
        <v/>
      </c>
      <c r="D43" s="69" t="str">
        <f>Engagements!D46</f>
        <v/>
      </c>
      <c r="E43" s="69" t="str">
        <f>Engagements!E46</f>
        <v/>
      </c>
      <c r="F43" s="69" t="str">
        <f>Engagements!F46</f>
        <v/>
      </c>
      <c r="G43" s="71" t="str">
        <f>Engagements!G46</f>
        <v/>
      </c>
      <c r="H43" s="69" t="str">
        <f>Engagements!H46</f>
        <v/>
      </c>
      <c r="I43" s="69" t="str">
        <f>Engagements!I46</f>
        <v/>
      </c>
      <c r="J43" s="69" t="str">
        <f>Engagements!J46</f>
        <v/>
      </c>
      <c r="K43" s="69" t="str">
        <f>Engagements!K46</f>
        <v/>
      </c>
      <c r="L43" s="40"/>
      <c r="BU43" s="754"/>
    </row>
    <row r="44" spans="1:73" x14ac:dyDescent="0.2">
      <c r="A44" s="57" t="str">
        <f t="shared" si="34"/>
        <v/>
      </c>
      <c r="B44" s="69" t="str">
        <f>Engagements!B47</f>
        <v/>
      </c>
      <c r="C44" s="69" t="str">
        <f>Engagements!C47</f>
        <v/>
      </c>
      <c r="D44" s="69" t="str">
        <f>Engagements!D47</f>
        <v/>
      </c>
      <c r="E44" s="69" t="str">
        <f>Engagements!E47</f>
        <v/>
      </c>
      <c r="F44" s="69" t="str">
        <f>Engagements!F47</f>
        <v/>
      </c>
      <c r="G44" s="71" t="str">
        <f>Engagements!G47</f>
        <v/>
      </c>
      <c r="H44" s="69" t="str">
        <f>Engagements!H47</f>
        <v/>
      </c>
      <c r="I44" s="69" t="str">
        <f>Engagements!I47</f>
        <v/>
      </c>
      <c r="J44" s="69" t="str">
        <f>Engagements!J47</f>
        <v/>
      </c>
      <c r="K44" s="69" t="str">
        <f>Engagements!K47</f>
        <v/>
      </c>
      <c r="L44" s="40"/>
      <c r="BU44" s="754"/>
    </row>
    <row r="45" spans="1:73" x14ac:dyDescent="0.2">
      <c r="A45" s="57" t="str">
        <f t="shared" si="34"/>
        <v/>
      </c>
      <c r="B45" s="69" t="str">
        <f>Engagements!B48</f>
        <v/>
      </c>
      <c r="C45" s="69" t="str">
        <f>Engagements!C48</f>
        <v/>
      </c>
      <c r="D45" s="69" t="str">
        <f>Engagements!D48</f>
        <v/>
      </c>
      <c r="E45" s="69" t="str">
        <f>Engagements!E48</f>
        <v/>
      </c>
      <c r="F45" s="69" t="str">
        <f>Engagements!F48</f>
        <v/>
      </c>
      <c r="G45" s="71" t="str">
        <f>Engagements!G48</f>
        <v/>
      </c>
      <c r="H45" s="69" t="str">
        <f>Engagements!H48</f>
        <v/>
      </c>
      <c r="I45" s="69" t="str">
        <f>Engagements!I48</f>
        <v/>
      </c>
      <c r="J45" s="69" t="str">
        <f>Engagements!J48</f>
        <v/>
      </c>
      <c r="K45" s="69" t="str">
        <f>Engagements!K48</f>
        <v/>
      </c>
      <c r="L45" s="40"/>
      <c r="BU45" s="754"/>
    </row>
    <row r="46" spans="1:73" x14ac:dyDescent="0.2">
      <c r="A46" s="57" t="str">
        <f t="shared" si="34"/>
        <v/>
      </c>
      <c r="B46" s="69" t="str">
        <f>Engagements!B49</f>
        <v/>
      </c>
      <c r="C46" s="69" t="str">
        <f>Engagements!C49</f>
        <v/>
      </c>
      <c r="D46" s="69" t="str">
        <f>Engagements!D49</f>
        <v/>
      </c>
      <c r="E46" s="69" t="str">
        <f>Engagements!E49</f>
        <v/>
      </c>
      <c r="F46" s="69" t="str">
        <f>Engagements!F49</f>
        <v/>
      </c>
      <c r="G46" s="71" t="str">
        <f>Engagements!G49</f>
        <v/>
      </c>
      <c r="H46" s="69" t="str">
        <f>Engagements!H49</f>
        <v/>
      </c>
      <c r="I46" s="69" t="str">
        <f>Engagements!I49</f>
        <v/>
      </c>
      <c r="J46" s="69" t="str">
        <f>Engagements!J49</f>
        <v/>
      </c>
      <c r="K46" s="69" t="str">
        <f>Engagements!K49</f>
        <v/>
      </c>
      <c r="L46" s="40"/>
      <c r="BU46" s="754"/>
    </row>
    <row r="47" spans="1:73" x14ac:dyDescent="0.2">
      <c r="A47" s="57" t="str">
        <f t="shared" si="34"/>
        <v/>
      </c>
      <c r="B47" s="69" t="str">
        <f>Engagements!B50</f>
        <v/>
      </c>
      <c r="C47" s="69" t="str">
        <f>Engagements!C50</f>
        <v/>
      </c>
      <c r="D47" s="69" t="str">
        <f>Engagements!D50</f>
        <v/>
      </c>
      <c r="E47" s="69" t="str">
        <f>Engagements!E50</f>
        <v/>
      </c>
      <c r="F47" s="69" t="str">
        <f>Engagements!F50</f>
        <v/>
      </c>
      <c r="G47" s="71" t="str">
        <f>Engagements!G50</f>
        <v/>
      </c>
      <c r="H47" s="69" t="str">
        <f>Engagements!H50</f>
        <v/>
      </c>
      <c r="I47" s="69" t="str">
        <f>Engagements!I50</f>
        <v/>
      </c>
      <c r="J47" s="69" t="str">
        <f>Engagements!J50</f>
        <v/>
      </c>
      <c r="K47" s="69" t="str">
        <f>Engagements!K50</f>
        <v/>
      </c>
      <c r="L47" s="40"/>
      <c r="BU47" s="754"/>
    </row>
    <row r="48" spans="1:73" x14ac:dyDescent="0.2">
      <c r="A48" s="57" t="str">
        <f t="shared" si="34"/>
        <v/>
      </c>
      <c r="B48" s="69" t="str">
        <f>Engagements!B51</f>
        <v/>
      </c>
      <c r="C48" s="69" t="str">
        <f>Engagements!C51</f>
        <v/>
      </c>
      <c r="D48" s="69" t="str">
        <f>Engagements!D51</f>
        <v/>
      </c>
      <c r="E48" s="69" t="str">
        <f>Engagements!E51</f>
        <v/>
      </c>
      <c r="F48" s="69" t="str">
        <f>Engagements!F51</f>
        <v/>
      </c>
      <c r="G48" s="71" t="str">
        <f>Engagements!G51</f>
        <v/>
      </c>
      <c r="H48" s="69" t="str">
        <f>Engagements!H51</f>
        <v/>
      </c>
      <c r="I48" s="69" t="str">
        <f>Engagements!I51</f>
        <v/>
      </c>
      <c r="J48" s="69" t="str">
        <f>Engagements!J51</f>
        <v/>
      </c>
      <c r="K48" s="69" t="str">
        <f>Engagements!K51</f>
        <v/>
      </c>
      <c r="L48" s="40"/>
      <c r="BU48" s="754"/>
    </row>
    <row r="49" spans="1:73" x14ac:dyDescent="0.2">
      <c r="A49" s="57" t="str">
        <f t="shared" si="34"/>
        <v/>
      </c>
      <c r="B49" s="69" t="str">
        <f>Engagements!B52</f>
        <v/>
      </c>
      <c r="C49" s="69" t="str">
        <f>Engagements!C52</f>
        <v/>
      </c>
      <c r="D49" s="69" t="str">
        <f>Engagements!D52</f>
        <v/>
      </c>
      <c r="E49" s="69" t="str">
        <f>Engagements!E52</f>
        <v/>
      </c>
      <c r="F49" s="69" t="str">
        <f>Engagements!F52</f>
        <v/>
      </c>
      <c r="G49" s="71" t="str">
        <f>Engagements!G52</f>
        <v/>
      </c>
      <c r="H49" s="69" t="str">
        <f>Engagements!H52</f>
        <v/>
      </c>
      <c r="I49" s="69" t="str">
        <f>Engagements!I52</f>
        <v/>
      </c>
      <c r="J49" s="69" t="str">
        <f>Engagements!J52</f>
        <v/>
      </c>
      <c r="K49" s="69" t="str">
        <f>Engagements!K52</f>
        <v/>
      </c>
      <c r="L49" s="40"/>
      <c r="BU49" s="754"/>
    </row>
    <row r="50" spans="1:73" x14ac:dyDescent="0.2">
      <c r="A50" s="57" t="str">
        <f t="shared" si="34"/>
        <v/>
      </c>
      <c r="B50" s="69" t="str">
        <f>Engagements!B53</f>
        <v/>
      </c>
      <c r="C50" s="69" t="str">
        <f>Engagements!C53</f>
        <v/>
      </c>
      <c r="D50" s="69" t="str">
        <f>Engagements!D53</f>
        <v/>
      </c>
      <c r="E50" s="69" t="str">
        <f>Engagements!E53</f>
        <v/>
      </c>
      <c r="F50" s="69" t="str">
        <f>Engagements!F53</f>
        <v/>
      </c>
      <c r="G50" s="71" t="str">
        <f>Engagements!G53</f>
        <v/>
      </c>
      <c r="H50" s="69" t="str">
        <f>Engagements!H53</f>
        <v/>
      </c>
      <c r="I50" s="69" t="str">
        <f>Engagements!I53</f>
        <v/>
      </c>
      <c r="J50" s="69" t="str">
        <f>Engagements!J53</f>
        <v/>
      </c>
      <c r="K50" s="69" t="str">
        <f>Engagements!K53</f>
        <v/>
      </c>
      <c r="L50" s="40"/>
      <c r="BU50" s="754"/>
    </row>
    <row r="51" spans="1:73" x14ac:dyDescent="0.2">
      <c r="A51" s="57" t="str">
        <f t="shared" si="34"/>
        <v/>
      </c>
      <c r="B51" s="69" t="str">
        <f>Engagements!B54</f>
        <v/>
      </c>
      <c r="C51" s="69" t="str">
        <f>Engagements!C54</f>
        <v/>
      </c>
      <c r="D51" s="69" t="str">
        <f>Engagements!D54</f>
        <v/>
      </c>
      <c r="E51" s="69" t="str">
        <f>Engagements!E54</f>
        <v/>
      </c>
      <c r="F51" s="69" t="str">
        <f>Engagements!F54</f>
        <v/>
      </c>
      <c r="G51" s="71" t="str">
        <f>Engagements!G54</f>
        <v/>
      </c>
      <c r="H51" s="69" t="str">
        <f>Engagements!H54</f>
        <v/>
      </c>
      <c r="I51" s="69" t="str">
        <f>Engagements!I54</f>
        <v/>
      </c>
      <c r="J51" s="69" t="str">
        <f>Engagements!J54</f>
        <v/>
      </c>
      <c r="K51" s="69" t="str">
        <f>Engagements!K54</f>
        <v/>
      </c>
      <c r="L51" s="40"/>
      <c r="BU51" s="754"/>
    </row>
    <row r="52" spans="1:73" x14ac:dyDescent="0.2">
      <c r="A52" s="57" t="str">
        <f t="shared" si="34"/>
        <v/>
      </c>
      <c r="B52" s="69" t="str">
        <f>Engagements!B55</f>
        <v/>
      </c>
      <c r="C52" s="69" t="str">
        <f>Engagements!C55</f>
        <v/>
      </c>
      <c r="D52" s="69" t="str">
        <f>Engagements!D55</f>
        <v/>
      </c>
      <c r="E52" s="69" t="str">
        <f>Engagements!E55</f>
        <v/>
      </c>
      <c r="F52" s="69" t="str">
        <f>Engagements!F55</f>
        <v/>
      </c>
      <c r="G52" s="71" t="str">
        <f>Engagements!G55</f>
        <v/>
      </c>
      <c r="H52" s="69" t="str">
        <f>Engagements!H55</f>
        <v/>
      </c>
      <c r="I52" s="69" t="str">
        <f>Engagements!I55</f>
        <v/>
      </c>
      <c r="J52" s="69" t="str">
        <f>Engagements!J55</f>
        <v/>
      </c>
      <c r="K52" s="69" t="str">
        <f>Engagements!K55</f>
        <v/>
      </c>
      <c r="L52" s="40"/>
      <c r="BU52" s="754"/>
    </row>
    <row r="53" spans="1:73" x14ac:dyDescent="0.2">
      <c r="A53" s="57" t="str">
        <f t="shared" si="34"/>
        <v/>
      </c>
      <c r="B53" s="69" t="str">
        <f>Engagements!B56</f>
        <v/>
      </c>
      <c r="C53" s="69" t="str">
        <f>Engagements!C56</f>
        <v/>
      </c>
      <c r="D53" s="69" t="str">
        <f>Engagements!D56</f>
        <v/>
      </c>
      <c r="E53" s="69" t="str">
        <f>Engagements!E56</f>
        <v/>
      </c>
      <c r="F53" s="69" t="str">
        <f>Engagements!F56</f>
        <v/>
      </c>
      <c r="G53" s="71" t="str">
        <f>Engagements!G56</f>
        <v/>
      </c>
      <c r="H53" s="69" t="str">
        <f>Engagements!H56</f>
        <v/>
      </c>
      <c r="I53" s="69" t="str">
        <f>Engagements!I56</f>
        <v/>
      </c>
      <c r="J53" s="69" t="str">
        <f>Engagements!J56</f>
        <v/>
      </c>
      <c r="K53" s="69" t="str">
        <f>Engagements!K56</f>
        <v/>
      </c>
      <c r="L53" s="40"/>
      <c r="BU53" s="754"/>
    </row>
    <row r="54" spans="1:73" x14ac:dyDescent="0.2">
      <c r="A54" s="57" t="str">
        <f t="shared" si="34"/>
        <v/>
      </c>
      <c r="B54" s="69" t="str">
        <f>Engagements!B57</f>
        <v/>
      </c>
      <c r="C54" s="69" t="str">
        <f>Engagements!C57</f>
        <v/>
      </c>
      <c r="D54" s="69" t="str">
        <f>Engagements!D57</f>
        <v/>
      </c>
      <c r="E54" s="69" t="str">
        <f>Engagements!E57</f>
        <v/>
      </c>
      <c r="F54" s="69" t="str">
        <f>Engagements!F57</f>
        <v/>
      </c>
      <c r="G54" s="71" t="str">
        <f>Engagements!G57</f>
        <v/>
      </c>
      <c r="H54" s="69" t="str">
        <f>Engagements!H57</f>
        <v/>
      </c>
      <c r="I54" s="69" t="str">
        <f>Engagements!I57</f>
        <v/>
      </c>
      <c r="J54" s="69" t="str">
        <f>Engagements!J57</f>
        <v/>
      </c>
      <c r="K54" s="69" t="str">
        <f>Engagements!K57</f>
        <v/>
      </c>
      <c r="L54" s="40"/>
      <c r="BU54" s="754"/>
    </row>
    <row r="55" spans="1:73" x14ac:dyDescent="0.2">
      <c r="A55" s="57" t="str">
        <f t="shared" si="34"/>
        <v/>
      </c>
      <c r="B55" s="69" t="str">
        <f>Engagements!B58</f>
        <v/>
      </c>
      <c r="C55" s="69" t="str">
        <f>Engagements!C58</f>
        <v/>
      </c>
      <c r="D55" s="69" t="str">
        <f>Engagements!D58</f>
        <v/>
      </c>
      <c r="E55" s="69" t="str">
        <f>Engagements!E58</f>
        <v/>
      </c>
      <c r="F55" s="69" t="str">
        <f>Engagements!F58</f>
        <v/>
      </c>
      <c r="G55" s="71" t="str">
        <f>Engagements!G58</f>
        <v/>
      </c>
      <c r="H55" s="69" t="str">
        <f>Engagements!H58</f>
        <v/>
      </c>
      <c r="I55" s="69" t="str">
        <f>Engagements!I58</f>
        <v/>
      </c>
      <c r="J55" s="69" t="str">
        <f>Engagements!J58</f>
        <v/>
      </c>
      <c r="K55" s="69" t="str">
        <f>Engagements!K58</f>
        <v/>
      </c>
      <c r="L55" s="40"/>
      <c r="BU55" s="754"/>
    </row>
    <row r="56" spans="1:73" x14ac:dyDescent="0.2">
      <c r="A56" s="57" t="str">
        <f t="shared" si="34"/>
        <v/>
      </c>
      <c r="B56" s="69" t="str">
        <f>Engagements!B59</f>
        <v/>
      </c>
      <c r="C56" s="69" t="str">
        <f>Engagements!C59</f>
        <v/>
      </c>
      <c r="D56" s="69" t="str">
        <f>Engagements!D59</f>
        <v/>
      </c>
      <c r="E56" s="69" t="str">
        <f>Engagements!E59</f>
        <v/>
      </c>
      <c r="F56" s="69" t="str">
        <f>Engagements!F59</f>
        <v/>
      </c>
      <c r="G56" s="71" t="str">
        <f>Engagements!G59</f>
        <v/>
      </c>
      <c r="H56" s="69" t="str">
        <f>Engagements!H59</f>
        <v/>
      </c>
      <c r="I56" s="69" t="str">
        <f>Engagements!I59</f>
        <v/>
      </c>
      <c r="J56" s="69" t="str">
        <f>Engagements!J59</f>
        <v/>
      </c>
      <c r="K56" s="69" t="str">
        <f>Engagements!K59</f>
        <v/>
      </c>
      <c r="L56" s="40"/>
      <c r="BU56" s="754"/>
    </row>
    <row r="57" spans="1:73" x14ac:dyDescent="0.2">
      <c r="A57" s="57" t="str">
        <f t="shared" si="34"/>
        <v/>
      </c>
      <c r="B57" s="69" t="str">
        <f>Engagements!B60</f>
        <v/>
      </c>
      <c r="C57" s="69" t="str">
        <f>Engagements!C60</f>
        <v/>
      </c>
      <c r="D57" s="69" t="str">
        <f>Engagements!D60</f>
        <v/>
      </c>
      <c r="E57" s="69" t="str">
        <f>Engagements!E60</f>
        <v/>
      </c>
      <c r="F57" s="69" t="str">
        <f>Engagements!F60</f>
        <v/>
      </c>
      <c r="G57" s="71" t="str">
        <f>Engagements!G60</f>
        <v/>
      </c>
      <c r="H57" s="69" t="str">
        <f>Engagements!H60</f>
        <v/>
      </c>
      <c r="I57" s="69" t="str">
        <f>Engagements!I60</f>
        <v/>
      </c>
      <c r="J57" s="69" t="str">
        <f>Engagements!J60</f>
        <v/>
      </c>
      <c r="K57" s="69" t="str">
        <f>Engagements!K60</f>
        <v/>
      </c>
      <c r="L57" s="40"/>
      <c r="BU57" s="754"/>
    </row>
    <row r="58" spans="1:73" x14ac:dyDescent="0.2">
      <c r="A58" s="57" t="str">
        <f t="shared" si="34"/>
        <v/>
      </c>
      <c r="B58" s="69" t="str">
        <f>Engagements!B61</f>
        <v/>
      </c>
      <c r="C58" s="69" t="str">
        <f>Engagements!C61</f>
        <v/>
      </c>
      <c r="D58" s="69" t="str">
        <f>Engagements!D61</f>
        <v/>
      </c>
      <c r="E58" s="69" t="str">
        <f>Engagements!E61</f>
        <v/>
      </c>
      <c r="F58" s="69" t="str">
        <f>Engagements!F61</f>
        <v/>
      </c>
      <c r="G58" s="71" t="str">
        <f>Engagements!G61</f>
        <v/>
      </c>
      <c r="H58" s="69" t="str">
        <f>Engagements!H61</f>
        <v/>
      </c>
      <c r="I58" s="69" t="str">
        <f>Engagements!I61</f>
        <v/>
      </c>
      <c r="J58" s="69" t="str">
        <f>Engagements!J61</f>
        <v/>
      </c>
      <c r="K58" s="69" t="str">
        <f>Engagements!K61</f>
        <v/>
      </c>
      <c r="L58" s="40"/>
      <c r="BU58" s="754"/>
    </row>
    <row r="59" spans="1:73" x14ac:dyDescent="0.2">
      <c r="A59" s="57" t="str">
        <f t="shared" si="34"/>
        <v/>
      </c>
      <c r="B59" s="69" t="str">
        <f>Engagements!B62</f>
        <v/>
      </c>
      <c r="C59" s="69" t="str">
        <f>Engagements!C62</f>
        <v/>
      </c>
      <c r="D59" s="69" t="str">
        <f>Engagements!D62</f>
        <v/>
      </c>
      <c r="E59" s="69" t="str">
        <f>Engagements!E62</f>
        <v/>
      </c>
      <c r="F59" s="69" t="str">
        <f>Engagements!F62</f>
        <v/>
      </c>
      <c r="G59" s="71" t="str">
        <f>Engagements!G62</f>
        <v/>
      </c>
      <c r="H59" s="69" t="str">
        <f>Engagements!H62</f>
        <v/>
      </c>
      <c r="I59" s="69" t="str">
        <f>Engagements!I62</f>
        <v/>
      </c>
      <c r="J59" s="69" t="str">
        <f>Engagements!J62</f>
        <v/>
      </c>
      <c r="K59" s="69" t="str">
        <f>Engagements!K62</f>
        <v/>
      </c>
      <c r="L59" s="40"/>
      <c r="BU59" s="754"/>
    </row>
    <row r="60" spans="1:73" x14ac:dyDescent="0.2">
      <c r="A60" s="57" t="str">
        <f t="shared" si="34"/>
        <v/>
      </c>
      <c r="B60" s="69" t="str">
        <f>Engagements!B63</f>
        <v/>
      </c>
      <c r="C60" s="69" t="str">
        <f>Engagements!C63</f>
        <v/>
      </c>
      <c r="D60" s="69" t="str">
        <f>Engagements!D63</f>
        <v/>
      </c>
      <c r="E60" s="69" t="str">
        <f>Engagements!E63</f>
        <v/>
      </c>
      <c r="F60" s="69" t="str">
        <f>Engagements!F63</f>
        <v/>
      </c>
      <c r="G60" s="71" t="str">
        <f>Engagements!G63</f>
        <v/>
      </c>
      <c r="H60" s="69" t="str">
        <f>Engagements!H63</f>
        <v/>
      </c>
      <c r="I60" s="69" t="str">
        <f>Engagements!I63</f>
        <v/>
      </c>
      <c r="J60" s="69" t="str">
        <f>Engagements!J63</f>
        <v/>
      </c>
      <c r="K60" s="69" t="str">
        <f>Engagements!K63</f>
        <v/>
      </c>
      <c r="L60" s="40"/>
      <c r="BU60" s="754"/>
    </row>
    <row r="61" spans="1:73" x14ac:dyDescent="0.2">
      <c r="A61" s="57" t="str">
        <f t="shared" si="34"/>
        <v/>
      </c>
      <c r="B61" s="69" t="str">
        <f>Engagements!B64</f>
        <v/>
      </c>
      <c r="C61" s="69" t="str">
        <f>Engagements!C64</f>
        <v/>
      </c>
      <c r="D61" s="69" t="str">
        <f>Engagements!D64</f>
        <v/>
      </c>
      <c r="E61" s="69" t="str">
        <f>Engagements!E64</f>
        <v/>
      </c>
      <c r="F61" s="69" t="str">
        <f>Engagements!F64</f>
        <v/>
      </c>
      <c r="G61" s="71" t="str">
        <f>Engagements!G64</f>
        <v/>
      </c>
      <c r="H61" s="69" t="str">
        <f>Engagements!H64</f>
        <v/>
      </c>
      <c r="I61" s="69" t="str">
        <f>Engagements!I64</f>
        <v/>
      </c>
      <c r="J61" s="69" t="str">
        <f>Engagements!J64</f>
        <v/>
      </c>
      <c r="K61" s="69" t="str">
        <f>Engagements!K64</f>
        <v/>
      </c>
      <c r="L61" s="40"/>
      <c r="BU61" s="754"/>
    </row>
    <row r="62" spans="1:73" x14ac:dyDescent="0.2">
      <c r="A62" s="57" t="str">
        <f t="shared" si="34"/>
        <v/>
      </c>
      <c r="B62" s="69" t="str">
        <f>Engagements!B65</f>
        <v/>
      </c>
      <c r="C62" s="69" t="str">
        <f>Engagements!C65</f>
        <v/>
      </c>
      <c r="D62" s="69" t="str">
        <f>Engagements!D65</f>
        <v/>
      </c>
      <c r="E62" s="69" t="str">
        <f>Engagements!E65</f>
        <v/>
      </c>
      <c r="F62" s="69" t="str">
        <f>Engagements!F65</f>
        <v/>
      </c>
      <c r="G62" s="71" t="str">
        <f>Engagements!G65</f>
        <v/>
      </c>
      <c r="H62" s="69" t="str">
        <f>Engagements!H65</f>
        <v/>
      </c>
      <c r="I62" s="69" t="str">
        <f>Engagements!I65</f>
        <v/>
      </c>
      <c r="J62" s="69" t="str">
        <f>Engagements!J65</f>
        <v/>
      </c>
      <c r="K62" s="69" t="str">
        <f>Engagements!K65</f>
        <v/>
      </c>
      <c r="L62" s="40"/>
    </row>
    <row r="63" spans="1:73" x14ac:dyDescent="0.2">
      <c r="A63" s="57" t="str">
        <f t="shared" si="34"/>
        <v/>
      </c>
      <c r="B63" s="69" t="str">
        <f>Engagements!B66</f>
        <v/>
      </c>
      <c r="C63" s="69" t="str">
        <f>Engagements!C66</f>
        <v/>
      </c>
      <c r="D63" s="69" t="str">
        <f>Engagements!D66</f>
        <v/>
      </c>
      <c r="E63" s="69" t="str">
        <f>Engagements!E66</f>
        <v/>
      </c>
      <c r="F63" s="69" t="str">
        <f>Engagements!F66</f>
        <v/>
      </c>
      <c r="G63" s="71" t="str">
        <f>Engagements!G66</f>
        <v/>
      </c>
      <c r="H63" s="69" t="str">
        <f>Engagements!H66</f>
        <v/>
      </c>
      <c r="I63" s="69" t="str">
        <f>Engagements!I66</f>
        <v/>
      </c>
      <c r="J63" s="69" t="str">
        <f>Engagements!J66</f>
        <v/>
      </c>
      <c r="K63" s="69" t="str">
        <f>Engagements!K66</f>
        <v/>
      </c>
      <c r="L63" s="40"/>
    </row>
    <row r="64" spans="1:73" x14ac:dyDescent="0.2">
      <c r="A64" s="57" t="str">
        <f t="shared" si="34"/>
        <v/>
      </c>
      <c r="B64" s="69" t="str">
        <f>Engagements!B67</f>
        <v/>
      </c>
      <c r="C64" s="69" t="str">
        <f>Engagements!C67</f>
        <v/>
      </c>
      <c r="D64" s="69" t="str">
        <f>Engagements!D67</f>
        <v/>
      </c>
      <c r="E64" s="69" t="str">
        <f>Engagements!E67</f>
        <v/>
      </c>
      <c r="F64" s="69" t="str">
        <f>Engagements!F67</f>
        <v/>
      </c>
      <c r="G64" s="71" t="str">
        <f>Engagements!G67</f>
        <v/>
      </c>
      <c r="H64" s="69" t="str">
        <f>Engagements!H67</f>
        <v/>
      </c>
      <c r="I64" s="69" t="str">
        <f>Engagements!I67</f>
        <v/>
      </c>
      <c r="J64" s="69" t="str">
        <f>Engagements!J67</f>
        <v/>
      </c>
      <c r="K64" s="69" t="str">
        <f>Engagements!K67</f>
        <v/>
      </c>
      <c r="L64" s="40"/>
    </row>
    <row r="65" spans="1:12" x14ac:dyDescent="0.2">
      <c r="A65" s="57" t="str">
        <f t="shared" si="34"/>
        <v/>
      </c>
      <c r="B65" s="69" t="str">
        <f>Engagements!B68</f>
        <v/>
      </c>
      <c r="C65" s="69" t="str">
        <f>Engagements!C68</f>
        <v/>
      </c>
      <c r="D65" s="69" t="str">
        <f>Engagements!D68</f>
        <v/>
      </c>
      <c r="E65" s="69" t="str">
        <f>Engagements!E68</f>
        <v/>
      </c>
      <c r="F65" s="69" t="str">
        <f>Engagements!F68</f>
        <v/>
      </c>
      <c r="G65" s="71" t="str">
        <f>Engagements!G68</f>
        <v/>
      </c>
      <c r="H65" s="69" t="str">
        <f>Engagements!H68</f>
        <v/>
      </c>
      <c r="I65" s="69" t="str">
        <f>Engagements!I68</f>
        <v/>
      </c>
      <c r="J65" s="69" t="str">
        <f>Engagements!J68</f>
        <v/>
      </c>
      <c r="K65" s="69" t="str">
        <f>Engagements!K68</f>
        <v/>
      </c>
      <c r="L65" s="40"/>
    </row>
    <row r="66" spans="1:12" x14ac:dyDescent="0.2">
      <c r="A66" s="57" t="str">
        <f t="shared" si="34"/>
        <v/>
      </c>
      <c r="B66" s="69" t="str">
        <f>Engagements!B69</f>
        <v/>
      </c>
      <c r="C66" s="69" t="str">
        <f>Engagements!C69</f>
        <v/>
      </c>
      <c r="D66" s="69" t="str">
        <f>Engagements!D69</f>
        <v/>
      </c>
      <c r="E66" s="69" t="str">
        <f>Engagements!E69</f>
        <v/>
      </c>
      <c r="F66" s="69" t="str">
        <f>Engagements!F69</f>
        <v/>
      </c>
      <c r="G66" s="71" t="str">
        <f>Engagements!G69</f>
        <v/>
      </c>
      <c r="H66" s="69" t="str">
        <f>Engagements!H69</f>
        <v/>
      </c>
      <c r="I66" s="69" t="str">
        <f>Engagements!I69</f>
        <v/>
      </c>
      <c r="J66" s="69" t="str">
        <f>Engagements!J69</f>
        <v/>
      </c>
      <c r="K66" s="69" t="str">
        <f>Engagements!K69</f>
        <v/>
      </c>
      <c r="L66" s="40"/>
    </row>
    <row r="67" spans="1:12" x14ac:dyDescent="0.2">
      <c r="A67" s="57" t="str">
        <f t="shared" ref="A67:A90" si="35">K67</f>
        <v/>
      </c>
      <c r="B67" s="69" t="str">
        <f>Engagements!B70</f>
        <v/>
      </c>
      <c r="C67" s="69" t="str">
        <f>Engagements!C70</f>
        <v/>
      </c>
      <c r="D67" s="69" t="str">
        <f>Engagements!D70</f>
        <v/>
      </c>
      <c r="E67" s="69" t="str">
        <f>Engagements!E70</f>
        <v/>
      </c>
      <c r="F67" s="69" t="str">
        <f>Engagements!F70</f>
        <v/>
      </c>
      <c r="G67" s="71" t="str">
        <f>Engagements!G70</f>
        <v/>
      </c>
      <c r="H67" s="69" t="str">
        <f>Engagements!H70</f>
        <v/>
      </c>
      <c r="I67" s="69" t="str">
        <f>Engagements!I70</f>
        <v/>
      </c>
      <c r="J67" s="69" t="str">
        <f>Engagements!J70</f>
        <v/>
      </c>
      <c r="K67" s="69" t="str">
        <f>Engagements!K70</f>
        <v/>
      </c>
      <c r="L67" s="40"/>
    </row>
    <row r="68" spans="1:12" x14ac:dyDescent="0.2">
      <c r="A68" s="57" t="str">
        <f t="shared" si="35"/>
        <v/>
      </c>
      <c r="B68" s="69" t="str">
        <f>Engagements!B71</f>
        <v/>
      </c>
      <c r="C68" s="69" t="str">
        <f>Engagements!C71</f>
        <v/>
      </c>
      <c r="D68" s="69" t="str">
        <f>Engagements!D71</f>
        <v/>
      </c>
      <c r="E68" s="69" t="str">
        <f>Engagements!E71</f>
        <v/>
      </c>
      <c r="F68" s="69" t="str">
        <f>Engagements!F71</f>
        <v/>
      </c>
      <c r="G68" s="71" t="str">
        <f>Engagements!G71</f>
        <v/>
      </c>
      <c r="H68" s="69" t="str">
        <f>Engagements!H71</f>
        <v/>
      </c>
      <c r="I68" s="69" t="str">
        <f>Engagements!I71</f>
        <v/>
      </c>
      <c r="J68" s="69" t="str">
        <f>Engagements!J71</f>
        <v/>
      </c>
      <c r="K68" s="69" t="str">
        <f>Engagements!K71</f>
        <v/>
      </c>
      <c r="L68" s="40"/>
    </row>
    <row r="69" spans="1:12" x14ac:dyDescent="0.2">
      <c r="A69" s="57" t="str">
        <f t="shared" si="35"/>
        <v/>
      </c>
      <c r="B69" s="69" t="str">
        <f>Engagements!B72</f>
        <v/>
      </c>
      <c r="C69" s="69" t="str">
        <f>Engagements!C72</f>
        <v/>
      </c>
      <c r="D69" s="69" t="str">
        <f>Engagements!D72</f>
        <v/>
      </c>
      <c r="E69" s="69" t="str">
        <f>Engagements!E72</f>
        <v/>
      </c>
      <c r="F69" s="69" t="str">
        <f>Engagements!F72</f>
        <v/>
      </c>
      <c r="G69" s="71" t="str">
        <f>Engagements!G72</f>
        <v/>
      </c>
      <c r="H69" s="69" t="str">
        <f>Engagements!H72</f>
        <v/>
      </c>
      <c r="I69" s="69" t="str">
        <f>Engagements!I72</f>
        <v/>
      </c>
      <c r="J69" s="69" t="str">
        <f>Engagements!J72</f>
        <v/>
      </c>
      <c r="K69" s="69" t="str">
        <f>Engagements!K72</f>
        <v/>
      </c>
      <c r="L69" s="40"/>
    </row>
    <row r="70" spans="1:12" x14ac:dyDescent="0.2">
      <c r="A70" s="57" t="str">
        <f t="shared" si="35"/>
        <v/>
      </c>
      <c r="B70" s="69" t="str">
        <f>Engagements!B73</f>
        <v/>
      </c>
      <c r="C70" s="69" t="str">
        <f>Engagements!C73</f>
        <v/>
      </c>
      <c r="D70" s="69" t="str">
        <f>Engagements!D73</f>
        <v/>
      </c>
      <c r="E70" s="69" t="str">
        <f>Engagements!E73</f>
        <v/>
      </c>
      <c r="F70" s="69" t="str">
        <f>Engagements!F73</f>
        <v/>
      </c>
      <c r="G70" s="71" t="str">
        <f>Engagements!G73</f>
        <v/>
      </c>
      <c r="H70" s="69" t="str">
        <f>Engagements!H73</f>
        <v/>
      </c>
      <c r="I70" s="69" t="str">
        <f>Engagements!I73</f>
        <v/>
      </c>
      <c r="J70" s="69" t="str">
        <f>Engagements!J73</f>
        <v/>
      </c>
      <c r="K70" s="69" t="str">
        <f>Engagements!K73</f>
        <v/>
      </c>
      <c r="L70" s="40"/>
    </row>
    <row r="71" spans="1:12" x14ac:dyDescent="0.2">
      <c r="A71" s="57" t="str">
        <f t="shared" si="35"/>
        <v/>
      </c>
      <c r="B71" s="69" t="str">
        <f>Engagements!B74</f>
        <v/>
      </c>
      <c r="C71" s="69" t="str">
        <f>Engagements!C74</f>
        <v/>
      </c>
      <c r="D71" s="69" t="str">
        <f>Engagements!D74</f>
        <v/>
      </c>
      <c r="E71" s="69" t="str">
        <f>Engagements!E74</f>
        <v/>
      </c>
      <c r="F71" s="69" t="str">
        <f>Engagements!F74</f>
        <v/>
      </c>
      <c r="G71" s="71" t="str">
        <f>Engagements!G74</f>
        <v/>
      </c>
      <c r="H71" s="69" t="str">
        <f>Engagements!H74</f>
        <v/>
      </c>
      <c r="I71" s="69" t="str">
        <f>Engagements!I74</f>
        <v/>
      </c>
      <c r="J71" s="69" t="str">
        <f>Engagements!J74</f>
        <v/>
      </c>
      <c r="K71" s="69" t="str">
        <f>Engagements!K74</f>
        <v/>
      </c>
      <c r="L71" s="40"/>
    </row>
    <row r="72" spans="1:12" x14ac:dyDescent="0.2">
      <c r="A72" s="57" t="str">
        <f t="shared" si="35"/>
        <v/>
      </c>
      <c r="B72" s="69" t="str">
        <f>Engagements!B75</f>
        <v/>
      </c>
      <c r="C72" s="69" t="str">
        <f>Engagements!C75</f>
        <v/>
      </c>
      <c r="D72" s="69" t="str">
        <f>Engagements!D75</f>
        <v/>
      </c>
      <c r="E72" s="69" t="str">
        <f>Engagements!E75</f>
        <v/>
      </c>
      <c r="F72" s="69" t="str">
        <f>Engagements!F75</f>
        <v/>
      </c>
      <c r="G72" s="71" t="str">
        <f>Engagements!G75</f>
        <v/>
      </c>
      <c r="H72" s="69" t="str">
        <f>Engagements!H75</f>
        <v/>
      </c>
      <c r="I72" s="69" t="str">
        <f>Engagements!I75</f>
        <v/>
      </c>
      <c r="J72" s="69" t="str">
        <f>Engagements!J75</f>
        <v/>
      </c>
      <c r="K72" s="69" t="str">
        <f>Engagements!K75</f>
        <v/>
      </c>
      <c r="L72" s="40"/>
    </row>
    <row r="73" spans="1:12" x14ac:dyDescent="0.2">
      <c r="A73" s="57" t="str">
        <f t="shared" si="35"/>
        <v/>
      </c>
      <c r="B73" s="69" t="str">
        <f>Engagements!B76</f>
        <v/>
      </c>
      <c r="C73" s="69" t="str">
        <f>Engagements!C76</f>
        <v/>
      </c>
      <c r="D73" s="69" t="str">
        <f>Engagements!D76</f>
        <v/>
      </c>
      <c r="E73" s="69" t="str">
        <f>Engagements!E76</f>
        <v/>
      </c>
      <c r="F73" s="69" t="str">
        <f>Engagements!F76</f>
        <v/>
      </c>
      <c r="G73" s="71" t="str">
        <f>Engagements!G76</f>
        <v/>
      </c>
      <c r="H73" s="69" t="str">
        <f>Engagements!H76</f>
        <v/>
      </c>
      <c r="I73" s="69" t="str">
        <f>Engagements!I76</f>
        <v/>
      </c>
      <c r="J73" s="69" t="str">
        <f>Engagements!J76</f>
        <v/>
      </c>
      <c r="K73" s="69" t="str">
        <f>Engagements!K76</f>
        <v/>
      </c>
      <c r="L73" s="40"/>
    </row>
    <row r="74" spans="1:12" x14ac:dyDescent="0.2">
      <c r="A74" s="57" t="str">
        <f t="shared" si="35"/>
        <v/>
      </c>
      <c r="B74" s="69" t="str">
        <f>Engagements!B77</f>
        <v/>
      </c>
      <c r="C74" s="69" t="str">
        <f>Engagements!C77</f>
        <v/>
      </c>
      <c r="D74" s="69" t="str">
        <f>Engagements!D77</f>
        <v/>
      </c>
      <c r="E74" s="69" t="str">
        <f>Engagements!E77</f>
        <v/>
      </c>
      <c r="F74" s="69" t="str">
        <f>Engagements!F77</f>
        <v/>
      </c>
      <c r="G74" s="71" t="str">
        <f>Engagements!G77</f>
        <v/>
      </c>
      <c r="H74" s="69" t="str">
        <f>Engagements!H77</f>
        <v/>
      </c>
      <c r="I74" s="69" t="str">
        <f>Engagements!I77</f>
        <v/>
      </c>
      <c r="J74" s="69" t="str">
        <f>Engagements!J77</f>
        <v/>
      </c>
      <c r="K74" s="69" t="str">
        <f>Engagements!K77</f>
        <v/>
      </c>
      <c r="L74" s="40"/>
    </row>
    <row r="75" spans="1:12" x14ac:dyDescent="0.2">
      <c r="A75" s="57" t="str">
        <f t="shared" si="35"/>
        <v/>
      </c>
      <c r="B75" s="69" t="str">
        <f>Engagements!B78</f>
        <v/>
      </c>
      <c r="C75" s="69" t="str">
        <f>Engagements!C78</f>
        <v/>
      </c>
      <c r="D75" s="69" t="str">
        <f>Engagements!D78</f>
        <v/>
      </c>
      <c r="E75" s="69" t="str">
        <f>Engagements!E78</f>
        <v/>
      </c>
      <c r="F75" s="69" t="str">
        <f>Engagements!F78</f>
        <v/>
      </c>
      <c r="G75" s="71" t="str">
        <f>Engagements!G78</f>
        <v/>
      </c>
      <c r="H75" s="69" t="str">
        <f>Engagements!H78</f>
        <v/>
      </c>
      <c r="I75" s="69" t="str">
        <f>Engagements!I78</f>
        <v/>
      </c>
      <c r="J75" s="69" t="str">
        <f>Engagements!J78</f>
        <v/>
      </c>
      <c r="K75" s="69" t="str">
        <f>Engagements!K78</f>
        <v/>
      </c>
      <c r="L75" s="40"/>
    </row>
    <row r="76" spans="1:12" x14ac:dyDescent="0.2">
      <c r="A76" s="57" t="str">
        <f t="shared" si="35"/>
        <v/>
      </c>
      <c r="B76" s="69" t="str">
        <f>Engagements!B79</f>
        <v/>
      </c>
      <c r="C76" s="69" t="str">
        <f>Engagements!C79</f>
        <v/>
      </c>
      <c r="D76" s="69" t="str">
        <f>Engagements!D79</f>
        <v/>
      </c>
      <c r="E76" s="69" t="str">
        <f>Engagements!E79</f>
        <v/>
      </c>
      <c r="F76" s="69" t="str">
        <f>Engagements!F79</f>
        <v/>
      </c>
      <c r="G76" s="71" t="str">
        <f>Engagements!G79</f>
        <v/>
      </c>
      <c r="H76" s="69" t="str">
        <f>Engagements!H79</f>
        <v/>
      </c>
      <c r="I76" s="69" t="str">
        <f>Engagements!I79</f>
        <v/>
      </c>
      <c r="J76" s="69" t="str">
        <f>Engagements!J79</f>
        <v/>
      </c>
      <c r="K76" s="69" t="str">
        <f>Engagements!K79</f>
        <v/>
      </c>
      <c r="L76" s="40"/>
    </row>
    <row r="77" spans="1:12" x14ac:dyDescent="0.2">
      <c r="A77" s="57" t="str">
        <f t="shared" si="35"/>
        <v/>
      </c>
      <c r="B77" s="69" t="str">
        <f>Engagements!B80</f>
        <v/>
      </c>
      <c r="C77" s="69" t="str">
        <f>Engagements!C80</f>
        <v/>
      </c>
      <c r="D77" s="69" t="str">
        <f>Engagements!D80</f>
        <v/>
      </c>
      <c r="E77" s="69" t="str">
        <f>Engagements!E80</f>
        <v/>
      </c>
      <c r="F77" s="69" t="str">
        <f>Engagements!F80</f>
        <v/>
      </c>
      <c r="G77" s="71" t="str">
        <f>Engagements!G80</f>
        <v/>
      </c>
      <c r="H77" s="69" t="str">
        <f>Engagements!H80</f>
        <v/>
      </c>
      <c r="I77" s="69" t="str">
        <f>Engagements!I80</f>
        <v/>
      </c>
      <c r="J77" s="69" t="str">
        <f>Engagements!J80</f>
        <v/>
      </c>
      <c r="K77" s="69" t="str">
        <f>Engagements!K80</f>
        <v/>
      </c>
      <c r="L77" s="40"/>
    </row>
    <row r="78" spans="1:12" x14ac:dyDescent="0.2">
      <c r="A78" s="57" t="str">
        <f t="shared" si="35"/>
        <v/>
      </c>
      <c r="B78" s="69" t="str">
        <f>Engagements!B81</f>
        <v/>
      </c>
      <c r="C78" s="69" t="str">
        <f>Engagements!C81</f>
        <v/>
      </c>
      <c r="D78" s="69" t="str">
        <f>Engagements!D81</f>
        <v/>
      </c>
      <c r="E78" s="69" t="str">
        <f>Engagements!E81</f>
        <v/>
      </c>
      <c r="F78" s="69" t="str">
        <f>Engagements!F81</f>
        <v/>
      </c>
      <c r="G78" s="71" t="str">
        <f>Engagements!G81</f>
        <v/>
      </c>
      <c r="H78" s="69" t="str">
        <f>Engagements!H81</f>
        <v/>
      </c>
      <c r="I78" s="69" t="str">
        <f>Engagements!I81</f>
        <v/>
      </c>
      <c r="J78" s="69" t="str">
        <f>Engagements!J81</f>
        <v/>
      </c>
      <c r="K78" s="69" t="str">
        <f>Engagements!K81</f>
        <v/>
      </c>
      <c r="L78" s="40"/>
    </row>
    <row r="79" spans="1:12" x14ac:dyDescent="0.2">
      <c r="A79" s="57" t="str">
        <f t="shared" si="35"/>
        <v/>
      </c>
      <c r="B79" s="69" t="str">
        <f>Engagements!B82</f>
        <v/>
      </c>
      <c r="C79" s="69" t="str">
        <f>Engagements!C82</f>
        <v/>
      </c>
      <c r="D79" s="69" t="str">
        <f>Engagements!D82</f>
        <v/>
      </c>
      <c r="E79" s="69" t="str">
        <f>Engagements!E82</f>
        <v/>
      </c>
      <c r="F79" s="69" t="str">
        <f>Engagements!F82</f>
        <v/>
      </c>
      <c r="G79" s="71" t="str">
        <f>Engagements!G82</f>
        <v/>
      </c>
      <c r="H79" s="69" t="str">
        <f>Engagements!H82</f>
        <v/>
      </c>
      <c r="I79" s="69" t="str">
        <f>Engagements!I82</f>
        <v/>
      </c>
      <c r="J79" s="69" t="str">
        <f>Engagements!J82</f>
        <v/>
      </c>
      <c r="K79" s="69" t="str">
        <f>Engagements!K82</f>
        <v/>
      </c>
      <c r="L79" s="40"/>
    </row>
    <row r="80" spans="1:12" x14ac:dyDescent="0.2">
      <c r="A80" s="57" t="str">
        <f t="shared" si="35"/>
        <v/>
      </c>
      <c r="B80" s="69" t="str">
        <f>Engagements!B83</f>
        <v/>
      </c>
      <c r="C80" s="69" t="str">
        <f>Engagements!C83</f>
        <v/>
      </c>
      <c r="D80" s="69" t="str">
        <f>Engagements!D83</f>
        <v/>
      </c>
      <c r="E80" s="69" t="str">
        <f>Engagements!E83</f>
        <v/>
      </c>
      <c r="F80" s="69" t="str">
        <f>Engagements!F83</f>
        <v/>
      </c>
      <c r="G80" s="71" t="str">
        <f>Engagements!G83</f>
        <v/>
      </c>
      <c r="H80" s="69" t="str">
        <f>Engagements!H83</f>
        <v/>
      </c>
      <c r="I80" s="69" t="str">
        <f>Engagements!I83</f>
        <v/>
      </c>
      <c r="J80" s="69" t="str">
        <f>Engagements!J83</f>
        <v/>
      </c>
      <c r="K80" s="69" t="str">
        <f>Engagements!K83</f>
        <v/>
      </c>
      <c r="L80" s="40"/>
    </row>
    <row r="81" spans="1:12" x14ac:dyDescent="0.2">
      <c r="A81" s="57" t="str">
        <f t="shared" si="35"/>
        <v/>
      </c>
      <c r="B81" s="69" t="str">
        <f>Engagements!B84</f>
        <v/>
      </c>
      <c r="C81" s="69" t="str">
        <f>Engagements!C84</f>
        <v/>
      </c>
      <c r="D81" s="69" t="str">
        <f>Engagements!D84</f>
        <v/>
      </c>
      <c r="E81" s="69" t="str">
        <f>Engagements!E84</f>
        <v/>
      </c>
      <c r="F81" s="69" t="str">
        <f>Engagements!F84</f>
        <v/>
      </c>
      <c r="G81" s="71" t="str">
        <f>Engagements!G84</f>
        <v/>
      </c>
      <c r="H81" s="69" t="str">
        <f>Engagements!H84</f>
        <v/>
      </c>
      <c r="I81" s="69" t="str">
        <f>Engagements!I84</f>
        <v/>
      </c>
      <c r="J81" s="69" t="str">
        <f>Engagements!J84</f>
        <v/>
      </c>
      <c r="K81" s="69" t="str">
        <f>Engagements!K84</f>
        <v/>
      </c>
      <c r="L81" s="40"/>
    </row>
    <row r="82" spans="1:12" x14ac:dyDescent="0.2">
      <c r="A82" s="57" t="str">
        <f t="shared" si="35"/>
        <v/>
      </c>
      <c r="B82" s="69" t="str">
        <f>Engagements!B85</f>
        <v/>
      </c>
      <c r="C82" s="69" t="str">
        <f>Engagements!C85</f>
        <v/>
      </c>
      <c r="D82" s="69" t="str">
        <f>Engagements!D85</f>
        <v/>
      </c>
      <c r="E82" s="69" t="str">
        <f>Engagements!E85</f>
        <v/>
      </c>
      <c r="F82" s="69" t="str">
        <f>Engagements!F85</f>
        <v/>
      </c>
      <c r="G82" s="71" t="str">
        <f>Engagements!G85</f>
        <v/>
      </c>
      <c r="H82" s="69" t="str">
        <f>Engagements!H85</f>
        <v/>
      </c>
      <c r="I82" s="69" t="str">
        <f>Engagements!I85</f>
        <v/>
      </c>
      <c r="J82" s="69" t="str">
        <f>Engagements!J85</f>
        <v/>
      </c>
      <c r="K82" s="69" t="str">
        <f>Engagements!K85</f>
        <v/>
      </c>
      <c r="L82" s="40"/>
    </row>
    <row r="83" spans="1:12" x14ac:dyDescent="0.2">
      <c r="A83" s="57" t="str">
        <f t="shared" si="35"/>
        <v/>
      </c>
      <c r="B83" s="69" t="str">
        <f>Engagements!B86</f>
        <v/>
      </c>
      <c r="C83" s="69" t="str">
        <f>Engagements!C86</f>
        <v/>
      </c>
      <c r="D83" s="69" t="str">
        <f>Engagements!D86</f>
        <v/>
      </c>
      <c r="E83" s="69" t="str">
        <f>Engagements!E86</f>
        <v/>
      </c>
      <c r="F83" s="69" t="str">
        <f>Engagements!F86</f>
        <v/>
      </c>
      <c r="G83" s="71" t="str">
        <f>Engagements!G86</f>
        <v/>
      </c>
      <c r="H83" s="69" t="str">
        <f>Engagements!H86</f>
        <v/>
      </c>
      <c r="I83" s="69" t="str">
        <f>Engagements!I86</f>
        <v/>
      </c>
      <c r="J83" s="69" t="str">
        <f>Engagements!J86</f>
        <v/>
      </c>
      <c r="K83" s="69" t="str">
        <f>Engagements!K86</f>
        <v/>
      </c>
      <c r="L83" s="40"/>
    </row>
    <row r="84" spans="1:12" x14ac:dyDescent="0.2">
      <c r="A84" s="57" t="str">
        <f t="shared" si="35"/>
        <v/>
      </c>
      <c r="B84" s="69" t="str">
        <f>Engagements!B87</f>
        <v/>
      </c>
      <c r="C84" s="69" t="str">
        <f>Engagements!C87</f>
        <v/>
      </c>
      <c r="D84" s="69" t="str">
        <f>Engagements!D87</f>
        <v/>
      </c>
      <c r="E84" s="69" t="str">
        <f>Engagements!E87</f>
        <v/>
      </c>
      <c r="F84" s="69" t="str">
        <f>Engagements!F87</f>
        <v/>
      </c>
      <c r="G84" s="71" t="str">
        <f>Engagements!G87</f>
        <v/>
      </c>
      <c r="H84" s="69" t="str">
        <f>Engagements!H87</f>
        <v/>
      </c>
      <c r="I84" s="69" t="str">
        <f>Engagements!I87</f>
        <v/>
      </c>
      <c r="J84" s="69" t="str">
        <f>Engagements!J87</f>
        <v/>
      </c>
      <c r="K84" s="69" t="str">
        <f>Engagements!K87</f>
        <v/>
      </c>
      <c r="L84" s="40"/>
    </row>
    <row r="85" spans="1:12" x14ac:dyDescent="0.2">
      <c r="A85" s="57" t="str">
        <f t="shared" si="35"/>
        <v/>
      </c>
      <c r="B85" s="69" t="str">
        <f>Engagements!B88</f>
        <v/>
      </c>
      <c r="C85" s="69" t="str">
        <f>Engagements!C88</f>
        <v/>
      </c>
      <c r="D85" s="69" t="str">
        <f>Engagements!D88</f>
        <v/>
      </c>
      <c r="E85" s="69" t="str">
        <f>Engagements!E88</f>
        <v/>
      </c>
      <c r="F85" s="69" t="str">
        <f>Engagements!F88</f>
        <v/>
      </c>
      <c r="G85" s="71" t="str">
        <f>Engagements!G88</f>
        <v/>
      </c>
      <c r="H85" s="69" t="str">
        <f>Engagements!H88</f>
        <v/>
      </c>
      <c r="I85" s="69" t="str">
        <f>Engagements!I88</f>
        <v/>
      </c>
      <c r="J85" s="69" t="str">
        <f>Engagements!J88</f>
        <v/>
      </c>
      <c r="K85" s="69" t="str">
        <f>Engagements!K88</f>
        <v/>
      </c>
      <c r="L85" s="40"/>
    </row>
    <row r="86" spans="1:12" x14ac:dyDescent="0.2">
      <c r="A86" s="57" t="str">
        <f t="shared" si="35"/>
        <v/>
      </c>
      <c r="B86" s="69" t="str">
        <f>Engagements!B89</f>
        <v/>
      </c>
      <c r="C86" s="69" t="str">
        <f>Engagements!C89</f>
        <v/>
      </c>
      <c r="D86" s="69" t="str">
        <f>Engagements!D89</f>
        <v/>
      </c>
      <c r="E86" s="69" t="str">
        <f>Engagements!E89</f>
        <v/>
      </c>
      <c r="F86" s="69" t="str">
        <f>Engagements!F89</f>
        <v/>
      </c>
      <c r="G86" s="71" t="str">
        <f>Engagements!G89</f>
        <v/>
      </c>
      <c r="H86" s="69" t="str">
        <f>Engagements!H89</f>
        <v/>
      </c>
      <c r="I86" s="69" t="str">
        <f>Engagements!I89</f>
        <v/>
      </c>
      <c r="J86" s="69" t="str">
        <f>Engagements!J89</f>
        <v/>
      </c>
      <c r="K86" s="69" t="str">
        <f>Engagements!K89</f>
        <v/>
      </c>
      <c r="L86" s="40"/>
    </row>
    <row r="87" spans="1:12" x14ac:dyDescent="0.2">
      <c r="A87" s="57" t="str">
        <f t="shared" si="35"/>
        <v/>
      </c>
      <c r="B87" s="69" t="str">
        <f>Engagements!B90</f>
        <v/>
      </c>
      <c r="C87" s="69" t="str">
        <f>Engagements!C90</f>
        <v/>
      </c>
      <c r="D87" s="69" t="str">
        <f>Engagements!D90</f>
        <v/>
      </c>
      <c r="E87" s="69" t="str">
        <f>Engagements!E90</f>
        <v/>
      </c>
      <c r="F87" s="69" t="str">
        <f>Engagements!F90</f>
        <v/>
      </c>
      <c r="G87" s="71" t="str">
        <f>Engagements!G90</f>
        <v/>
      </c>
      <c r="H87" s="69" t="str">
        <f>Engagements!H90</f>
        <v/>
      </c>
      <c r="I87" s="69" t="str">
        <f>Engagements!I90</f>
        <v/>
      </c>
      <c r="J87" s="69" t="str">
        <f>Engagements!J90</f>
        <v/>
      </c>
      <c r="K87" s="69" t="str">
        <f>Engagements!K90</f>
        <v/>
      </c>
      <c r="L87" s="40"/>
    </row>
    <row r="88" spans="1:12" x14ac:dyDescent="0.2">
      <c r="A88" s="57" t="str">
        <f t="shared" si="35"/>
        <v/>
      </c>
      <c r="B88" s="69" t="str">
        <f>Engagements!B91</f>
        <v/>
      </c>
      <c r="C88" s="69" t="str">
        <f>Engagements!C91</f>
        <v/>
      </c>
      <c r="D88" s="69" t="str">
        <f>Engagements!D91</f>
        <v/>
      </c>
      <c r="E88" s="69" t="str">
        <f>Engagements!E91</f>
        <v/>
      </c>
      <c r="F88" s="69" t="str">
        <f>Engagements!F91</f>
        <v/>
      </c>
      <c r="G88" s="71" t="str">
        <f>Engagements!G91</f>
        <v/>
      </c>
      <c r="H88" s="69" t="str">
        <f>Engagements!H91</f>
        <v/>
      </c>
      <c r="I88" s="69" t="str">
        <f>Engagements!I91</f>
        <v/>
      </c>
      <c r="J88" s="69" t="str">
        <f>Engagements!J91</f>
        <v/>
      </c>
      <c r="K88" s="69" t="str">
        <f>Engagements!K91</f>
        <v/>
      </c>
      <c r="L88" s="40"/>
    </row>
    <row r="89" spans="1:12" x14ac:dyDescent="0.2">
      <c r="A89" s="57" t="str">
        <f t="shared" si="35"/>
        <v/>
      </c>
      <c r="B89" s="69" t="str">
        <f>Engagements!B92</f>
        <v/>
      </c>
      <c r="C89" s="69" t="str">
        <f>Engagements!C92</f>
        <v/>
      </c>
      <c r="D89" s="69" t="str">
        <f>Engagements!D92</f>
        <v/>
      </c>
      <c r="E89" s="69" t="str">
        <f>Engagements!E92</f>
        <v/>
      </c>
      <c r="F89" s="69" t="str">
        <f>Engagements!F92</f>
        <v/>
      </c>
      <c r="G89" s="71" t="str">
        <f>Engagements!G92</f>
        <v/>
      </c>
      <c r="H89" s="69" t="str">
        <f>Engagements!H92</f>
        <v/>
      </c>
      <c r="I89" s="69" t="str">
        <f>Engagements!I92</f>
        <v/>
      </c>
      <c r="J89" s="69" t="str">
        <f>Engagements!J92</f>
        <v/>
      </c>
      <c r="K89" s="69" t="str">
        <f>Engagements!K92</f>
        <v/>
      </c>
      <c r="L89" s="40"/>
    </row>
    <row r="90" spans="1:12" x14ac:dyDescent="0.2">
      <c r="A90" s="57" t="str">
        <f t="shared" si="35"/>
        <v/>
      </c>
      <c r="B90" s="69" t="str">
        <f>Engagements!B93</f>
        <v/>
      </c>
      <c r="C90" s="69" t="str">
        <f>Engagements!C93</f>
        <v/>
      </c>
      <c r="D90" s="69" t="str">
        <f>Engagements!D93</f>
        <v/>
      </c>
      <c r="E90" s="69" t="str">
        <f>Engagements!E93</f>
        <v/>
      </c>
      <c r="F90" s="69" t="str">
        <f>Engagements!F93</f>
        <v/>
      </c>
      <c r="G90" s="71" t="str">
        <f>Engagements!G93</f>
        <v/>
      </c>
      <c r="H90" s="69" t="str">
        <f>Engagements!H93</f>
        <v/>
      </c>
      <c r="I90" s="69" t="str">
        <f>Engagements!I93</f>
        <v/>
      </c>
      <c r="J90" s="69" t="str">
        <f>Engagements!J93</f>
        <v/>
      </c>
      <c r="K90" s="69" t="str">
        <f>Engagements!K93</f>
        <v/>
      </c>
      <c r="L90" s="40"/>
    </row>
    <row r="91" spans="1:12" x14ac:dyDescent="0.2">
      <c r="A91" s="57" t="str">
        <f t="shared" ref="A91:A98" si="36">K91</f>
        <v/>
      </c>
      <c r="B91" s="69" t="str">
        <f>Engagements!B94</f>
        <v/>
      </c>
      <c r="C91" s="69" t="str">
        <f>Engagements!C94</f>
        <v/>
      </c>
      <c r="D91" s="69" t="str">
        <f>Engagements!D94</f>
        <v/>
      </c>
      <c r="E91" s="69" t="str">
        <f>Engagements!E94</f>
        <v/>
      </c>
      <c r="F91" s="69" t="str">
        <f>Engagements!F94</f>
        <v/>
      </c>
      <c r="G91" s="71" t="str">
        <f>Engagements!G94</f>
        <v/>
      </c>
      <c r="H91" s="69" t="str">
        <f>Engagements!H94</f>
        <v/>
      </c>
      <c r="I91" s="69" t="str">
        <f>Engagements!I94</f>
        <v/>
      </c>
      <c r="J91" s="69" t="str">
        <f>Engagements!J94</f>
        <v/>
      </c>
      <c r="K91" s="69" t="str">
        <f>Engagements!K94</f>
        <v/>
      </c>
    </row>
    <row r="92" spans="1:12" x14ac:dyDescent="0.2">
      <c r="A92" s="57" t="str">
        <f t="shared" si="36"/>
        <v/>
      </c>
      <c r="B92" s="69" t="str">
        <f>Engagements!B95</f>
        <v/>
      </c>
      <c r="C92" s="69" t="str">
        <f>Engagements!C95</f>
        <v/>
      </c>
      <c r="D92" s="69" t="str">
        <f>Engagements!D95</f>
        <v/>
      </c>
      <c r="E92" s="69" t="str">
        <f>Engagements!E95</f>
        <v/>
      </c>
      <c r="F92" s="69" t="str">
        <f>Engagements!F95</f>
        <v/>
      </c>
      <c r="G92" s="71" t="str">
        <f>Engagements!G95</f>
        <v/>
      </c>
      <c r="H92" s="69" t="str">
        <f>Engagements!H95</f>
        <v/>
      </c>
      <c r="I92" s="69" t="str">
        <f>Engagements!I95</f>
        <v/>
      </c>
      <c r="J92" s="69" t="str">
        <f>Engagements!J95</f>
        <v/>
      </c>
      <c r="K92" s="69" t="str">
        <f>Engagements!K95</f>
        <v/>
      </c>
    </row>
    <row r="93" spans="1:12" x14ac:dyDescent="0.2">
      <c r="A93" s="57" t="str">
        <f t="shared" si="36"/>
        <v/>
      </c>
      <c r="B93" s="69" t="str">
        <f>Engagements!B96</f>
        <v/>
      </c>
      <c r="C93" s="69" t="str">
        <f>Engagements!C96</f>
        <v/>
      </c>
      <c r="D93" s="69" t="str">
        <f>Engagements!D96</f>
        <v/>
      </c>
      <c r="E93" s="69" t="str">
        <f>Engagements!E96</f>
        <v/>
      </c>
      <c r="F93" s="69" t="str">
        <f>Engagements!F96</f>
        <v/>
      </c>
      <c r="G93" s="71" t="str">
        <f>Engagements!G96</f>
        <v/>
      </c>
      <c r="H93" s="69" t="str">
        <f>Engagements!H96</f>
        <v/>
      </c>
      <c r="I93" s="69" t="str">
        <f>Engagements!I96</f>
        <v/>
      </c>
      <c r="J93" s="69" t="str">
        <f>Engagements!J96</f>
        <v/>
      </c>
      <c r="K93" s="69" t="str">
        <f>Engagements!K96</f>
        <v/>
      </c>
    </row>
    <row r="94" spans="1:12" x14ac:dyDescent="0.2">
      <c r="A94" s="57" t="str">
        <f t="shared" si="36"/>
        <v/>
      </c>
      <c r="B94" s="69" t="str">
        <f>Engagements!B97</f>
        <v/>
      </c>
      <c r="C94" s="69" t="str">
        <f>Engagements!C97</f>
        <v/>
      </c>
      <c r="D94" s="69" t="str">
        <f>Engagements!D97</f>
        <v/>
      </c>
      <c r="E94" s="69" t="str">
        <f>Engagements!E97</f>
        <v/>
      </c>
      <c r="F94" s="69" t="str">
        <f>Engagements!F97</f>
        <v/>
      </c>
      <c r="G94" s="71" t="str">
        <f>Engagements!G97</f>
        <v/>
      </c>
      <c r="H94" s="69" t="str">
        <f>Engagements!H97</f>
        <v/>
      </c>
      <c r="I94" s="69" t="str">
        <f>Engagements!I97</f>
        <v/>
      </c>
      <c r="J94" s="69" t="str">
        <f>Engagements!J97</f>
        <v/>
      </c>
      <c r="K94" s="69" t="str">
        <f>Engagements!K97</f>
        <v/>
      </c>
    </row>
    <row r="95" spans="1:12" x14ac:dyDescent="0.2">
      <c r="A95" s="57" t="str">
        <f t="shared" si="36"/>
        <v/>
      </c>
      <c r="B95" s="69" t="str">
        <f>Engagements!B98</f>
        <v/>
      </c>
      <c r="C95" s="69" t="str">
        <f>Engagements!C98</f>
        <v/>
      </c>
      <c r="D95" s="69" t="str">
        <f>Engagements!D98</f>
        <v/>
      </c>
      <c r="E95" s="69" t="str">
        <f>Engagements!E98</f>
        <v/>
      </c>
      <c r="F95" s="69" t="str">
        <f>Engagements!F98</f>
        <v/>
      </c>
      <c r="G95" s="71" t="str">
        <f>Engagements!G98</f>
        <v/>
      </c>
      <c r="H95" s="69" t="str">
        <f>Engagements!H98</f>
        <v/>
      </c>
      <c r="I95" s="69" t="str">
        <f>Engagements!I98</f>
        <v/>
      </c>
      <c r="J95" s="69" t="str">
        <f>Engagements!J98</f>
        <v/>
      </c>
      <c r="K95" s="69" t="str">
        <f>Engagements!K98</f>
        <v/>
      </c>
    </row>
    <row r="96" spans="1:12" x14ac:dyDescent="0.2">
      <c r="A96" s="57" t="str">
        <f t="shared" si="36"/>
        <v/>
      </c>
      <c r="B96" s="69" t="str">
        <f>Engagements!B99</f>
        <v/>
      </c>
      <c r="C96" s="69" t="str">
        <f>Engagements!C99</f>
        <v/>
      </c>
      <c r="D96" s="69" t="str">
        <f>Engagements!D99</f>
        <v/>
      </c>
      <c r="E96" s="69" t="str">
        <f>Engagements!E99</f>
        <v/>
      </c>
      <c r="F96" s="69" t="str">
        <f>Engagements!F99</f>
        <v/>
      </c>
      <c r="G96" s="71" t="str">
        <f>Engagements!G99</f>
        <v/>
      </c>
      <c r="H96" s="69" t="str">
        <f>Engagements!H99</f>
        <v/>
      </c>
      <c r="I96" s="69" t="str">
        <f>Engagements!I99</f>
        <v/>
      </c>
      <c r="J96" s="69" t="str">
        <f>Engagements!J99</f>
        <v/>
      </c>
      <c r="K96" s="69" t="str">
        <f>Engagements!K99</f>
        <v/>
      </c>
    </row>
    <row r="97" spans="1:11" x14ac:dyDescent="0.2">
      <c r="A97" s="57" t="str">
        <f t="shared" si="36"/>
        <v/>
      </c>
      <c r="B97" s="69" t="str">
        <f>Engagements!B100</f>
        <v/>
      </c>
      <c r="C97" s="69" t="str">
        <f>Engagements!C100</f>
        <v/>
      </c>
      <c r="D97" s="69" t="str">
        <f>Engagements!D100</f>
        <v/>
      </c>
      <c r="E97" s="69" t="str">
        <f>Engagements!E100</f>
        <v/>
      </c>
      <c r="F97" s="69" t="str">
        <f>Engagements!F100</f>
        <v/>
      </c>
      <c r="G97" s="71" t="str">
        <f>Engagements!G100</f>
        <v/>
      </c>
      <c r="H97" s="69" t="str">
        <f>Engagements!H100</f>
        <v/>
      </c>
      <c r="I97" s="69" t="str">
        <f>Engagements!I100</f>
        <v/>
      </c>
      <c r="J97" s="69" t="str">
        <f>Engagements!J100</f>
        <v/>
      </c>
      <c r="K97" s="69" t="str">
        <f>Engagements!K100</f>
        <v/>
      </c>
    </row>
    <row r="98" spans="1:11" x14ac:dyDescent="0.2">
      <c r="A98" s="57" t="str">
        <f t="shared" si="36"/>
        <v/>
      </c>
      <c r="B98" s="69" t="str">
        <f>Engagements!B101</f>
        <v/>
      </c>
      <c r="C98" s="69" t="str">
        <f>Engagements!C101</f>
        <v/>
      </c>
      <c r="D98" s="69" t="str">
        <f>Engagements!D101</f>
        <v/>
      </c>
      <c r="E98" s="69" t="str">
        <f>Engagements!E101</f>
        <v/>
      </c>
      <c r="F98" s="69" t="str">
        <f>Engagements!F101</f>
        <v/>
      </c>
      <c r="G98" s="71" t="str">
        <f>Engagements!G101</f>
        <v/>
      </c>
      <c r="H98" s="69" t="str">
        <f>Engagements!H101</f>
        <v/>
      </c>
      <c r="I98" s="69" t="str">
        <f>Engagements!I101</f>
        <v/>
      </c>
      <c r="J98" s="69" t="str">
        <f>Engagements!J101</f>
        <v/>
      </c>
      <c r="K98" s="69" t="str">
        <f>Engagements!K101</f>
        <v/>
      </c>
    </row>
    <row r="99" spans="1:11" x14ac:dyDescent="0.2">
      <c r="A99" s="57"/>
      <c r="B99" s="69"/>
      <c r="C99" s="69"/>
      <c r="D99" s="69"/>
      <c r="E99" s="69"/>
      <c r="F99" s="69"/>
      <c r="G99" s="71"/>
      <c r="H99" s="69"/>
      <c r="I99" s="69"/>
      <c r="J99" s="69"/>
      <c r="K99" s="69"/>
    </row>
  </sheetData>
  <mergeCells count="2">
    <mergeCell ref="N1:O1"/>
    <mergeCell ref="N35:P36"/>
  </mergeCells>
  <pageMargins left="0.7" right="0.7" top="0.75" bottom="0.75" header="0.3" footer="0.3"/>
  <pageSetup paperSize="9" scale="96"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26"/>
  <dimension ref="A1:Y637"/>
  <sheetViews>
    <sheetView workbookViewId="0">
      <selection activeCell="I3" sqref="I3:L3"/>
    </sheetView>
  </sheetViews>
  <sheetFormatPr baseColWidth="10" defaultRowHeight="12.75" x14ac:dyDescent="0.2"/>
  <cols>
    <col min="1" max="1" width="12.42578125" style="217" customWidth="1"/>
    <col min="2" max="8" width="5.28515625" style="217" customWidth="1"/>
    <col min="9" max="9" width="3.7109375" style="217" customWidth="1"/>
    <col min="10" max="10" width="7.7109375" style="217" customWidth="1"/>
    <col min="11" max="13" width="5.28515625" style="217" customWidth="1"/>
    <col min="14" max="14" width="3.7109375" style="217" customWidth="1"/>
    <col min="15" max="15" width="7.7109375" style="217" customWidth="1"/>
    <col min="16" max="18" width="5.28515625" style="217" customWidth="1"/>
    <col min="19" max="19" width="3.7109375" style="217" customWidth="1"/>
    <col min="20" max="20" width="7.7109375" style="217" customWidth="1"/>
    <col min="21" max="23" width="5.28515625" style="217" customWidth="1"/>
    <col min="24" max="24" width="3.7109375" style="217" customWidth="1"/>
    <col min="25" max="25" width="7.7109375" style="217" customWidth="1"/>
    <col min="26" max="26" width="3.140625" style="217" customWidth="1"/>
    <col min="27" max="16384" width="11.42578125" style="217"/>
  </cols>
  <sheetData>
    <row r="1" spans="1:25" ht="6.75" customHeight="1" x14ac:dyDescent="0.2"/>
    <row r="2" spans="1:25" s="218" customFormat="1" ht="23.25" customHeight="1" x14ac:dyDescent="0.2">
      <c r="A2" s="1072" t="s">
        <v>546</v>
      </c>
      <c r="B2" s="1073"/>
      <c r="C2" s="402"/>
      <c r="D2" s="1098" t="s">
        <v>628</v>
      </c>
      <c r="E2" s="1072"/>
      <c r="F2" s="1072"/>
      <c r="G2" s="1103"/>
      <c r="H2" s="1104"/>
      <c r="K2" s="218" t="str">
        <f>CATEG_IMPORTEE</f>
        <v>Collèges Mixtes Etablissement</v>
      </c>
      <c r="T2" s="397" t="s">
        <v>627</v>
      </c>
      <c r="U2" s="401">
        <v>1</v>
      </c>
      <c r="V2" s="396" t="s">
        <v>547</v>
      </c>
      <c r="W2" s="401"/>
      <c r="X2" s="395"/>
    </row>
    <row r="3" spans="1:25" ht="27" customHeight="1" thickBot="1" x14ac:dyDescent="0.25">
      <c r="B3" s="1069" t="s">
        <v>0</v>
      </c>
      <c r="C3" s="1069"/>
      <c r="D3" s="1069"/>
      <c r="E3" s="1069"/>
      <c r="F3" s="1069"/>
      <c r="G3" s="1069"/>
      <c r="H3" s="1069"/>
      <c r="I3" s="1069" t="s">
        <v>374</v>
      </c>
      <c r="J3" s="1069"/>
      <c r="K3" s="1069"/>
      <c r="L3" s="1069"/>
      <c r="O3" s="1069" t="s">
        <v>0</v>
      </c>
      <c r="P3" s="1069"/>
      <c r="Q3" s="1069"/>
      <c r="R3" s="1069"/>
      <c r="S3" s="1069"/>
      <c r="T3" s="1069"/>
      <c r="U3" s="1069"/>
      <c r="V3" s="1069" t="s">
        <v>374</v>
      </c>
      <c r="W3" s="1069"/>
      <c r="X3" s="1069"/>
      <c r="Y3" s="1069"/>
    </row>
    <row r="4" spans="1:25" ht="24" customHeight="1" thickBot="1" x14ac:dyDescent="0.25">
      <c r="A4" s="219"/>
      <c r="B4" s="398" t="str">
        <f>VLOOKUP(U2,TBL_equipe,2,FALSE)</f>
        <v/>
      </c>
      <c r="C4" s="399"/>
      <c r="D4" s="399"/>
      <c r="E4" s="399"/>
      <c r="F4" s="399"/>
      <c r="G4" s="399"/>
      <c r="H4" s="400"/>
      <c r="I4" s="257" t="str">
        <f>VLOOKUP(U2,TBL_equipe,4,FALSE)</f>
        <v/>
      </c>
      <c r="J4" s="220"/>
      <c r="K4" s="220"/>
      <c r="L4" s="221"/>
      <c r="M4" s="1070" t="s">
        <v>547</v>
      </c>
      <c r="N4" s="1071"/>
      <c r="O4" s="398" t="e">
        <f>VLOOKUP(W2,TBL_equipe,2,FALSE)</f>
        <v>#N/A</v>
      </c>
      <c r="P4" s="220"/>
      <c r="Q4" s="220"/>
      <c r="R4" s="220"/>
      <c r="S4" s="220"/>
      <c r="T4" s="220"/>
      <c r="U4" s="221"/>
      <c r="V4" s="257" t="e">
        <f>VLOOKUP(W2,TBL_equipe,4,FALSE)</f>
        <v>#N/A</v>
      </c>
      <c r="W4" s="220"/>
      <c r="X4" s="220"/>
      <c r="Y4" s="221"/>
    </row>
    <row r="5" spans="1:25" ht="15" customHeight="1" x14ac:dyDescent="0.2"/>
    <row r="6" spans="1:25" ht="20.100000000000001" customHeight="1" x14ac:dyDescent="0.2">
      <c r="A6" s="1074" t="s">
        <v>548</v>
      </c>
      <c r="B6" s="1074"/>
      <c r="C6" s="1074"/>
      <c r="D6" s="1074"/>
      <c r="E6" s="1074"/>
    </row>
    <row r="7" spans="1:25" ht="20.100000000000001" customHeight="1" x14ac:dyDescent="0.2">
      <c r="A7" s="1075" t="s">
        <v>549</v>
      </c>
      <c r="B7" s="1075"/>
      <c r="C7" s="1075"/>
      <c r="D7" s="1075"/>
      <c r="E7" s="1075"/>
      <c r="G7" s="1076" t="s">
        <v>480</v>
      </c>
      <c r="H7" s="1076"/>
      <c r="I7" s="1077" t="s">
        <v>550</v>
      </c>
      <c r="J7" s="1077"/>
      <c r="K7" s="1077"/>
      <c r="L7" s="252" t="s">
        <v>551</v>
      </c>
      <c r="M7" s="1078" t="s">
        <v>552</v>
      </c>
      <c r="N7" s="1078"/>
      <c r="O7" s="251"/>
    </row>
    <row r="8" spans="1:25" ht="24" customHeight="1" x14ac:dyDescent="0.2">
      <c r="A8" s="258" t="str">
        <f>VLOOKUP(U2,TBL_equipe,5,FALSE)</f>
        <v/>
      </c>
      <c r="B8" s="223"/>
      <c r="C8" s="259" t="str">
        <f>VLOOKUP(U2,TBL_equipe,6,FALSE)</f>
        <v/>
      </c>
      <c r="D8" s="223"/>
      <c r="E8" s="224"/>
      <c r="F8" s="219"/>
      <c r="G8" s="403" t="str">
        <f>VLOOKUP(U2,TBL_equipe,9,FALSE)</f>
        <v/>
      </c>
      <c r="H8" s="224"/>
      <c r="I8" s="222"/>
      <c r="J8" s="246" t="str">
        <f>VLOOKUP(U2,TBL_equipe,8,FALSE)</f>
        <v/>
      </c>
      <c r="K8" s="224"/>
      <c r="L8" s="260" t="str">
        <f>VLOOKUP(U2,TBL_equipe,10,FALSE)</f>
        <v/>
      </c>
      <c r="M8" s="287">
        <f>G2</f>
        <v>0</v>
      </c>
      <c r="N8" s="288"/>
      <c r="O8" s="249"/>
      <c r="R8" s="254"/>
      <c r="S8" s="254"/>
      <c r="T8" s="254" t="s">
        <v>629</v>
      </c>
      <c r="U8" s="254"/>
      <c r="V8" s="254"/>
      <c r="W8" s="254"/>
      <c r="X8" s="254"/>
      <c r="Y8" s="254"/>
    </row>
    <row r="9" spans="1:25" ht="24" customHeight="1" x14ac:dyDescent="0.2">
      <c r="A9" s="258" t="str">
        <f>VLOOKUP(U2,TBL_equipe,11,FALSE)</f>
        <v/>
      </c>
      <c r="B9" s="223"/>
      <c r="C9" s="259" t="str">
        <f>VLOOKUP(U2,TBL_equipe,12,FALSE)</f>
        <v/>
      </c>
      <c r="D9" s="223"/>
      <c r="E9" s="224"/>
      <c r="F9" s="219"/>
      <c r="G9" s="403" t="str">
        <f>VLOOKUP(U2,TBL_equipe,15,FALSE)</f>
        <v/>
      </c>
      <c r="H9" s="224"/>
      <c r="I9" s="222"/>
      <c r="J9" s="246" t="str">
        <f>VLOOKUP(U2,TBL_equipe,14,FALSE)</f>
        <v/>
      </c>
      <c r="K9" s="224"/>
      <c r="L9" s="260" t="str">
        <f>VLOOKUP(U2,TBL_equipe,16,FALSE)</f>
        <v/>
      </c>
      <c r="M9" s="287">
        <f>G2</f>
        <v>0</v>
      </c>
      <c r="N9" s="288"/>
      <c r="O9" s="249"/>
      <c r="Q9" s="254"/>
      <c r="R9" s="254"/>
      <c r="S9" s="254"/>
      <c r="T9" s="254"/>
      <c r="U9" s="254"/>
      <c r="V9" s="254"/>
      <c r="W9" s="254"/>
      <c r="X9" s="254"/>
      <c r="Y9" s="254"/>
    </row>
    <row r="10" spans="1:25" ht="24" customHeight="1" x14ac:dyDescent="0.2">
      <c r="A10" s="258" t="str">
        <f>VLOOKUP(U2,TBL_equipe,17,FALSE)</f>
        <v/>
      </c>
      <c r="B10" s="223"/>
      <c r="C10" s="259" t="str">
        <f>VLOOKUP(U2,TBL_equipe,18,FALSE)</f>
        <v/>
      </c>
      <c r="D10" s="223"/>
      <c r="E10" s="224"/>
      <c r="F10" s="219"/>
      <c r="G10" s="403" t="str">
        <f>VLOOKUP(U2,TBL_equipe,21,FALSE)</f>
        <v/>
      </c>
      <c r="H10" s="224"/>
      <c r="I10" s="222"/>
      <c r="J10" s="246" t="str">
        <f>VLOOKUP(U2,TBL_equipe,20,FALSE)</f>
        <v/>
      </c>
      <c r="K10" s="224"/>
      <c r="L10" s="260" t="str">
        <f>VLOOKUP(U2,TBL_equipe,22,FALSE)</f>
        <v/>
      </c>
      <c r="M10" s="287">
        <f>G2</f>
        <v>0</v>
      </c>
      <c r="N10" s="288"/>
      <c r="O10" s="249"/>
      <c r="Q10" s="254"/>
      <c r="R10" s="254"/>
      <c r="S10" s="254"/>
      <c r="T10" s="254"/>
      <c r="U10" s="254"/>
      <c r="V10" s="254"/>
      <c r="W10" s="254"/>
      <c r="X10" s="254"/>
      <c r="Y10" s="254"/>
    </row>
    <row r="11" spans="1:25" ht="24" customHeight="1" x14ac:dyDescent="0.2">
      <c r="A11" s="258" t="str">
        <f>VLOOKUP(U2,TBL_equipe,23,FALSE)</f>
        <v/>
      </c>
      <c r="B11" s="223"/>
      <c r="C11" s="259" t="str">
        <f>VLOOKUP(U2,TBL_equipe,24,FALSE)</f>
        <v/>
      </c>
      <c r="D11" s="223"/>
      <c r="E11" s="224"/>
      <c r="F11" s="219"/>
      <c r="G11" s="403" t="str">
        <f>VLOOKUP(U2,TBL_equipe,27,FALSE)</f>
        <v/>
      </c>
      <c r="H11" s="224"/>
      <c r="I11" s="222"/>
      <c r="J11" s="246" t="str">
        <f>VLOOKUP(U2,TBL_equipe,26,FALSE)</f>
        <v/>
      </c>
      <c r="K11" s="224"/>
      <c r="L11" s="260" t="str">
        <f>VLOOKUP(U2,TBL_equipe,28,FALSE)</f>
        <v/>
      </c>
      <c r="M11" s="289">
        <f>G2</f>
        <v>0</v>
      </c>
      <c r="N11" s="290"/>
      <c r="O11" s="249"/>
    </row>
    <row r="12" spans="1:25" ht="15" customHeight="1" thickBot="1" x14ac:dyDescent="0.25"/>
    <row r="13" spans="1:25" ht="20.100000000000001" customHeight="1" x14ac:dyDescent="0.2">
      <c r="F13" s="1081" t="s">
        <v>555</v>
      </c>
      <c r="G13" s="1082"/>
      <c r="H13" s="1082"/>
      <c r="I13" s="1082"/>
      <c r="J13" s="1083"/>
      <c r="K13" s="1081" t="s">
        <v>556</v>
      </c>
      <c r="L13" s="1082"/>
      <c r="M13" s="1082"/>
      <c r="N13" s="1082"/>
      <c r="O13" s="1083"/>
      <c r="P13" s="1081" t="s">
        <v>557</v>
      </c>
      <c r="Q13" s="1082"/>
      <c r="R13" s="1082"/>
      <c r="S13" s="1082"/>
      <c r="T13" s="1083"/>
      <c r="U13" s="1081" t="s">
        <v>558</v>
      </c>
      <c r="V13" s="1082"/>
      <c r="W13" s="1082"/>
      <c r="X13" s="1082"/>
      <c r="Y13" s="1083"/>
    </row>
    <row r="14" spans="1:25" ht="20.100000000000001" customHeight="1" x14ac:dyDescent="0.2">
      <c r="A14" s="1075" t="s">
        <v>559</v>
      </c>
      <c r="B14" s="1075"/>
      <c r="C14" s="1075"/>
      <c r="D14" s="1075"/>
      <c r="E14" s="1089"/>
      <c r="F14" s="1090" t="s">
        <v>560</v>
      </c>
      <c r="G14" s="1075"/>
      <c r="H14" s="1075"/>
      <c r="J14" s="225" t="s">
        <v>7</v>
      </c>
      <c r="K14" s="1090" t="s">
        <v>560</v>
      </c>
      <c r="L14" s="1075"/>
      <c r="M14" s="1075"/>
      <c r="O14" s="225" t="s">
        <v>7</v>
      </c>
      <c r="P14" s="1090" t="s">
        <v>560</v>
      </c>
      <c r="Q14" s="1075"/>
      <c r="R14" s="1075"/>
      <c r="T14" s="225" t="s">
        <v>7</v>
      </c>
      <c r="U14" s="1090" t="s">
        <v>560</v>
      </c>
      <c r="V14" s="1075"/>
      <c r="W14" s="1075"/>
      <c r="Y14" s="225" t="s">
        <v>7</v>
      </c>
    </row>
    <row r="15" spans="1:25" ht="24" customHeight="1" x14ac:dyDescent="0.2">
      <c r="A15" s="261" t="str">
        <f>A8</f>
        <v/>
      </c>
      <c r="B15" s="227"/>
      <c r="C15" s="262" t="str">
        <f>C8</f>
        <v/>
      </c>
      <c r="D15" s="227"/>
      <c r="E15" s="227"/>
      <c r="F15" s="228"/>
      <c r="G15" s="229"/>
      <c r="H15" s="229"/>
      <c r="I15" s="230" t="s">
        <v>561</v>
      </c>
      <c r="J15" s="231"/>
      <c r="K15" s="228"/>
      <c r="L15" s="229"/>
      <c r="M15" s="229"/>
      <c r="N15" s="230" t="s">
        <v>561</v>
      </c>
      <c r="O15" s="231"/>
      <c r="P15" s="228"/>
      <c r="Q15" s="229"/>
      <c r="R15" s="229"/>
      <c r="S15" s="230" t="s">
        <v>561</v>
      </c>
      <c r="T15" s="231"/>
      <c r="U15" s="228"/>
      <c r="V15" s="229"/>
      <c r="W15" s="229"/>
      <c r="X15" s="230" t="s">
        <v>561</v>
      </c>
      <c r="Y15" s="231"/>
    </row>
    <row r="16" spans="1:25" ht="24" customHeight="1" x14ac:dyDescent="0.2">
      <c r="A16" s="261" t="str">
        <f>A9</f>
        <v/>
      </c>
      <c r="B16" s="227"/>
      <c r="C16" s="262" t="str">
        <f>C9</f>
        <v/>
      </c>
      <c r="D16" s="227"/>
      <c r="E16" s="227"/>
      <c r="F16" s="228"/>
      <c r="G16" s="229"/>
      <c r="H16" s="229"/>
      <c r="I16" s="230" t="s">
        <v>561</v>
      </c>
      <c r="J16" s="231"/>
      <c r="K16" s="228"/>
      <c r="L16" s="229"/>
      <c r="M16" s="229"/>
      <c r="N16" s="230" t="s">
        <v>561</v>
      </c>
      <c r="O16" s="231"/>
      <c r="P16" s="228"/>
      <c r="Q16" s="229"/>
      <c r="R16" s="229"/>
      <c r="S16" s="230" t="s">
        <v>561</v>
      </c>
      <c r="T16" s="231"/>
      <c r="U16" s="228"/>
      <c r="V16" s="229"/>
      <c r="W16" s="229"/>
      <c r="X16" s="230" t="s">
        <v>561</v>
      </c>
      <c r="Y16" s="231"/>
    </row>
    <row r="17" spans="1:25" ht="24" customHeight="1" x14ac:dyDescent="0.2">
      <c r="A17" s="261" t="str">
        <f>A10</f>
        <v/>
      </c>
      <c r="B17" s="227"/>
      <c r="C17" s="262" t="str">
        <f>C10</f>
        <v/>
      </c>
      <c r="D17" s="227"/>
      <c r="E17" s="227"/>
      <c r="F17" s="228"/>
      <c r="G17" s="229"/>
      <c r="H17" s="229"/>
      <c r="I17" s="230" t="s">
        <v>561</v>
      </c>
      <c r="J17" s="231"/>
      <c r="K17" s="228"/>
      <c r="L17" s="229"/>
      <c r="M17" s="229"/>
      <c r="N17" s="230" t="s">
        <v>561</v>
      </c>
      <c r="O17" s="231"/>
      <c r="P17" s="228"/>
      <c r="Q17" s="229"/>
      <c r="R17" s="229"/>
      <c r="S17" s="230" t="s">
        <v>561</v>
      </c>
      <c r="T17" s="231"/>
      <c r="U17" s="228"/>
      <c r="V17" s="229"/>
      <c r="W17" s="229"/>
      <c r="X17" s="230" t="s">
        <v>561</v>
      </c>
      <c r="Y17" s="231"/>
    </row>
    <row r="18" spans="1:25" ht="24" customHeight="1" x14ac:dyDescent="0.2">
      <c r="A18" s="261" t="str">
        <f>A11</f>
        <v/>
      </c>
      <c r="B18" s="227"/>
      <c r="C18" s="262" t="str">
        <f>C11</f>
        <v/>
      </c>
      <c r="D18" s="227"/>
      <c r="E18" s="227"/>
      <c r="F18" s="228"/>
      <c r="G18" s="229"/>
      <c r="H18" s="229"/>
      <c r="I18" s="230" t="s">
        <v>561</v>
      </c>
      <c r="J18" s="232"/>
      <c r="K18" s="228"/>
      <c r="L18" s="229"/>
      <c r="M18" s="229"/>
      <c r="N18" s="230" t="s">
        <v>561</v>
      </c>
      <c r="O18" s="232"/>
      <c r="P18" s="228"/>
      <c r="Q18" s="229"/>
      <c r="R18" s="229"/>
      <c r="S18" s="230" t="s">
        <v>561</v>
      </c>
      <c r="T18" s="232"/>
      <c r="U18" s="228"/>
      <c r="V18" s="229"/>
      <c r="W18" s="229"/>
      <c r="X18" s="230" t="s">
        <v>561</v>
      </c>
      <c r="Y18" s="232"/>
    </row>
    <row r="19" spans="1:25" ht="24" customHeight="1" thickBot="1" x14ac:dyDescent="0.25">
      <c r="F19" s="1079" t="s">
        <v>562</v>
      </c>
      <c r="G19" s="1080"/>
      <c r="H19" s="1080"/>
      <c r="I19" s="230" t="s">
        <v>561</v>
      </c>
      <c r="J19" s="231"/>
      <c r="K19" s="1079" t="s">
        <v>563</v>
      </c>
      <c r="L19" s="1080"/>
      <c r="M19" s="1080"/>
      <c r="N19" s="230" t="s">
        <v>561</v>
      </c>
      <c r="O19" s="232"/>
      <c r="P19" s="1079" t="s">
        <v>564</v>
      </c>
      <c r="Q19" s="1080"/>
      <c r="R19" s="1080"/>
      <c r="S19" s="230" t="s">
        <v>561</v>
      </c>
      <c r="T19" s="232"/>
      <c r="U19" s="1079" t="s">
        <v>565</v>
      </c>
      <c r="V19" s="1080"/>
      <c r="W19" s="1080"/>
      <c r="X19" s="230" t="s">
        <v>561</v>
      </c>
      <c r="Y19" s="232"/>
    </row>
    <row r="20" spans="1:25" ht="24" customHeight="1" thickBot="1" x14ac:dyDescent="0.25">
      <c r="F20" s="233"/>
      <c r="G20" s="234"/>
      <c r="H20" s="235" t="s">
        <v>566</v>
      </c>
      <c r="I20" s="235"/>
      <c r="J20" s="236"/>
      <c r="K20" s="1092" t="s">
        <v>567</v>
      </c>
      <c r="L20" s="1085"/>
      <c r="M20" s="1085"/>
      <c r="N20" s="237" t="s">
        <v>561</v>
      </c>
      <c r="O20" s="238"/>
      <c r="P20" s="1092" t="s">
        <v>568</v>
      </c>
      <c r="Q20" s="1085"/>
      <c r="R20" s="1085"/>
      <c r="S20" s="237" t="s">
        <v>561</v>
      </c>
      <c r="T20" s="238"/>
      <c r="U20" s="1092" t="s">
        <v>569</v>
      </c>
      <c r="V20" s="1085"/>
      <c r="W20" s="1085"/>
      <c r="X20" s="237" t="s">
        <v>561</v>
      </c>
      <c r="Y20" s="239"/>
    </row>
    <row r="21" spans="1:25" ht="12.75" customHeight="1" x14ac:dyDescent="0.2">
      <c r="Y21" s="240" t="s">
        <v>570</v>
      </c>
    </row>
    <row r="22" spans="1:25" ht="15.75" customHeight="1" x14ac:dyDescent="0.2">
      <c r="B22" s="1091" t="s">
        <v>521</v>
      </c>
      <c r="C22" s="1091"/>
      <c r="D22" s="1091"/>
      <c r="E22" s="1091"/>
      <c r="F22" s="1091"/>
      <c r="G22" s="1091"/>
      <c r="H22" s="1091"/>
      <c r="I22" s="1091"/>
      <c r="J22" s="1091"/>
      <c r="K22" s="1091"/>
      <c r="L22" s="1091"/>
      <c r="O22" s="1091" t="s">
        <v>522</v>
      </c>
      <c r="P22" s="1091"/>
      <c r="Q22" s="1091"/>
      <c r="R22" s="1091"/>
      <c r="S22" s="1091"/>
      <c r="T22" s="1091"/>
      <c r="U22" s="1091"/>
      <c r="V22" s="1091"/>
      <c r="W22" s="1091"/>
      <c r="X22" s="1091"/>
      <c r="Y22" s="1091"/>
    </row>
    <row r="23" spans="1:25" ht="13.5" customHeight="1" x14ac:dyDescent="0.2">
      <c r="B23" s="1086" t="s">
        <v>1</v>
      </c>
      <c r="C23" s="1087"/>
      <c r="D23" s="1087"/>
      <c r="E23" s="1087"/>
      <c r="F23" s="1087"/>
      <c r="G23" s="1087"/>
      <c r="H23" s="1088"/>
      <c r="I23" s="1086" t="s">
        <v>520</v>
      </c>
      <c r="J23" s="1087"/>
      <c r="K23" s="1087"/>
      <c r="L23" s="1088"/>
      <c r="N23" s="241"/>
      <c r="O23" s="1086" t="s">
        <v>1</v>
      </c>
      <c r="P23" s="1087"/>
      <c r="Q23" s="1087"/>
      <c r="R23" s="1087"/>
      <c r="S23" s="1087"/>
      <c r="T23" s="1087"/>
      <c r="U23" s="1088"/>
      <c r="V23" s="1086" t="s">
        <v>520</v>
      </c>
      <c r="W23" s="1087"/>
      <c r="X23" s="1087"/>
      <c r="Y23" s="1088"/>
    </row>
    <row r="24" spans="1:25" ht="21.75" customHeight="1" x14ac:dyDescent="0.2">
      <c r="B24" s="242"/>
      <c r="C24" s="243"/>
      <c r="D24" s="243"/>
      <c r="E24" s="243"/>
      <c r="F24" s="243"/>
      <c r="G24" s="243"/>
      <c r="H24" s="243"/>
      <c r="I24" s="242"/>
      <c r="J24" s="243"/>
      <c r="K24" s="243"/>
      <c r="L24" s="244"/>
      <c r="N24" s="241"/>
      <c r="O24" s="242"/>
      <c r="P24" s="243"/>
      <c r="Q24" s="243"/>
      <c r="R24" s="243"/>
      <c r="S24" s="243"/>
      <c r="T24" s="243"/>
      <c r="U24" s="243"/>
      <c r="V24" s="242"/>
      <c r="W24" s="243"/>
      <c r="X24" s="243"/>
      <c r="Y24" s="244"/>
    </row>
    <row r="25" spans="1:25" ht="13.5" customHeight="1" x14ac:dyDescent="0.2"/>
    <row r="26" spans="1:25" ht="14.25" customHeight="1" thickBot="1" x14ac:dyDescent="0.25">
      <c r="A26" s="241"/>
      <c r="G26" s="305"/>
      <c r="H26" s="305"/>
      <c r="I26" s="1069" t="s">
        <v>0</v>
      </c>
      <c r="J26" s="1069"/>
      <c r="K26" s="1069"/>
      <c r="L26" s="1069"/>
      <c r="M26" s="1069"/>
      <c r="N26" s="1069"/>
      <c r="O26" s="1069"/>
      <c r="P26" s="1069" t="s">
        <v>374</v>
      </c>
      <c r="Q26" s="1069"/>
      <c r="R26" s="1069"/>
      <c r="S26" s="1069"/>
      <c r="T26" s="1069"/>
      <c r="U26" s="1069" t="s">
        <v>571</v>
      </c>
      <c r="V26" s="1069"/>
      <c r="W26" s="1069"/>
      <c r="X26" s="305"/>
      <c r="Y26" s="305"/>
    </row>
    <row r="27" spans="1:25" ht="20.25" customHeight="1" x14ac:dyDescent="0.2">
      <c r="A27" s="241"/>
      <c r="F27" s="1074" t="s">
        <v>584</v>
      </c>
      <c r="G27" s="1074"/>
      <c r="H27" s="1074"/>
      <c r="I27" s="316"/>
      <c r="J27" s="306"/>
      <c r="K27" s="306"/>
      <c r="L27" s="306"/>
      <c r="M27" s="306"/>
      <c r="N27" s="306"/>
      <c r="O27" s="306"/>
      <c r="P27" s="312"/>
      <c r="Q27" s="306"/>
      <c r="R27" s="307"/>
      <c r="S27" s="304"/>
      <c r="T27" s="313"/>
      <c r="U27" s="310"/>
      <c r="V27" s="1084" t="s">
        <v>495</v>
      </c>
      <c r="W27" s="308"/>
    </row>
    <row r="28" spans="1:25" ht="13.5" thickBot="1" x14ac:dyDescent="0.25">
      <c r="F28" s="1074"/>
      <c r="G28" s="1074"/>
      <c r="H28" s="1074"/>
      <c r="I28" s="303"/>
      <c r="J28" s="235"/>
      <c r="K28" s="235"/>
      <c r="L28" s="235"/>
      <c r="M28" s="235"/>
      <c r="N28" s="235"/>
      <c r="O28" s="235"/>
      <c r="P28" s="314"/>
      <c r="Q28" s="235"/>
      <c r="R28" s="234"/>
      <c r="S28" s="234"/>
      <c r="T28" s="315"/>
      <c r="U28" s="311"/>
      <c r="V28" s="1085"/>
      <c r="W28" s="309"/>
    </row>
    <row r="30" spans="1:25" ht="6.75" customHeight="1" x14ac:dyDescent="0.2"/>
    <row r="31" spans="1:25" s="218" customFormat="1" ht="23.25" customHeight="1" x14ac:dyDescent="0.2">
      <c r="A31" s="1072" t="s">
        <v>546</v>
      </c>
      <c r="B31" s="1073"/>
      <c r="C31" s="402"/>
      <c r="D31" s="1098" t="s">
        <v>628</v>
      </c>
      <c r="E31" s="1072"/>
      <c r="F31" s="1072"/>
      <c r="G31" s="1103"/>
      <c r="H31" s="1104"/>
      <c r="K31" s="218" t="str">
        <f>RIGHT(CATEG_IMPORTEE, LEN(CATEG_IMPORTEE) - 2)</f>
        <v>llèges Mixtes Etablissement</v>
      </c>
      <c r="T31" s="397" t="s">
        <v>627</v>
      </c>
      <c r="U31" s="401">
        <v>2</v>
      </c>
      <c r="V31" s="396" t="s">
        <v>547</v>
      </c>
      <c r="W31" s="401"/>
      <c r="X31" s="395"/>
    </row>
    <row r="32" spans="1:25" ht="27" customHeight="1" thickBot="1" x14ac:dyDescent="0.25">
      <c r="B32" s="1069" t="s">
        <v>0</v>
      </c>
      <c r="C32" s="1069"/>
      <c r="D32" s="1069"/>
      <c r="E32" s="1069"/>
      <c r="F32" s="1069"/>
      <c r="G32" s="1069"/>
      <c r="H32" s="1069"/>
      <c r="I32" s="1069" t="s">
        <v>374</v>
      </c>
      <c r="J32" s="1069"/>
      <c r="K32" s="1069"/>
      <c r="L32" s="1069"/>
      <c r="O32" s="1069" t="s">
        <v>0</v>
      </c>
      <c r="P32" s="1069"/>
      <c r="Q32" s="1069"/>
      <c r="R32" s="1069"/>
      <c r="S32" s="1069"/>
      <c r="T32" s="1069"/>
      <c r="U32" s="1069"/>
      <c r="V32" s="1069" t="s">
        <v>374</v>
      </c>
      <c r="W32" s="1069"/>
      <c r="X32" s="1069"/>
      <c r="Y32" s="1069"/>
    </row>
    <row r="33" spans="1:25" ht="24" customHeight="1" thickBot="1" x14ac:dyDescent="0.25">
      <c r="A33" s="219"/>
      <c r="B33" s="398" t="str">
        <f>VLOOKUP(U31,TBL_equipe,2,FALSE)</f>
        <v/>
      </c>
      <c r="C33" s="399"/>
      <c r="D33" s="399"/>
      <c r="E33" s="399"/>
      <c r="F33" s="399"/>
      <c r="G33" s="399"/>
      <c r="H33" s="400"/>
      <c r="I33" s="257" t="str">
        <f>VLOOKUP(U31,TBL_equipe,4,FALSE)</f>
        <v/>
      </c>
      <c r="J33" s="220"/>
      <c r="K33" s="220"/>
      <c r="L33" s="221"/>
      <c r="M33" s="1070" t="s">
        <v>547</v>
      </c>
      <c r="N33" s="1071"/>
      <c r="O33" s="398" t="e">
        <f>VLOOKUP(W31,TBL_equipe,2,FALSE)</f>
        <v>#N/A</v>
      </c>
      <c r="P33" s="220"/>
      <c r="Q33" s="220"/>
      <c r="R33" s="220"/>
      <c r="S33" s="220"/>
      <c r="T33" s="220"/>
      <c r="U33" s="221"/>
      <c r="V33" s="257" t="e">
        <f>VLOOKUP(W31,TBL_equipe,4,FALSE)</f>
        <v>#N/A</v>
      </c>
      <c r="W33" s="220"/>
      <c r="X33" s="220"/>
      <c r="Y33" s="221"/>
    </row>
    <row r="34" spans="1:25" ht="15" customHeight="1" x14ac:dyDescent="0.2"/>
    <row r="35" spans="1:25" ht="20.100000000000001" customHeight="1" x14ac:dyDescent="0.2">
      <c r="A35" s="1074" t="s">
        <v>548</v>
      </c>
      <c r="B35" s="1074"/>
      <c r="C35" s="1074"/>
      <c r="D35" s="1074"/>
      <c r="E35" s="1074"/>
    </row>
    <row r="36" spans="1:25" ht="20.100000000000001" customHeight="1" x14ac:dyDescent="0.2">
      <c r="A36" s="1075" t="s">
        <v>549</v>
      </c>
      <c r="B36" s="1075"/>
      <c r="C36" s="1075"/>
      <c r="D36" s="1075"/>
      <c r="E36" s="1075"/>
      <c r="G36" s="1076" t="s">
        <v>480</v>
      </c>
      <c r="H36" s="1076"/>
      <c r="I36" s="1077" t="s">
        <v>550</v>
      </c>
      <c r="J36" s="1077"/>
      <c r="K36" s="1077"/>
      <c r="L36" s="252" t="s">
        <v>551</v>
      </c>
      <c r="M36" s="1078" t="s">
        <v>552</v>
      </c>
      <c r="N36" s="1078"/>
      <c r="O36" s="251"/>
    </row>
    <row r="37" spans="1:25" ht="24" customHeight="1" x14ac:dyDescent="0.2">
      <c r="A37" s="258" t="str">
        <f>VLOOKUP(U31,TBL_equipe,5,FALSE)</f>
        <v/>
      </c>
      <c r="B37" s="223"/>
      <c r="C37" s="259" t="str">
        <f>VLOOKUP(U31,TBL_equipe,6,FALSE)</f>
        <v/>
      </c>
      <c r="D37" s="223"/>
      <c r="E37" s="224"/>
      <c r="F37" s="219"/>
      <c r="G37" s="403" t="str">
        <f>VLOOKUP(U31,TBL_equipe,9,FALSE)</f>
        <v/>
      </c>
      <c r="H37" s="224"/>
      <c r="I37" s="222"/>
      <c r="J37" s="246" t="str">
        <f>VLOOKUP(U31,TBL_equipe,8,FALSE)</f>
        <v/>
      </c>
      <c r="K37" s="224"/>
      <c r="L37" s="260" t="str">
        <f>VLOOKUP(U31,TBL_equipe,10,FALSE)</f>
        <v/>
      </c>
      <c r="M37" s="287">
        <f>G31</f>
        <v>0</v>
      </c>
      <c r="N37" s="288"/>
      <c r="O37" s="249"/>
      <c r="R37" s="254"/>
      <c r="S37" s="254"/>
      <c r="T37" s="254" t="s">
        <v>629</v>
      </c>
      <c r="U37" s="254"/>
      <c r="V37" s="254"/>
      <c r="W37" s="254"/>
      <c r="X37" s="254"/>
      <c r="Y37" s="254"/>
    </row>
    <row r="38" spans="1:25" ht="24" customHeight="1" x14ac:dyDescent="0.2">
      <c r="A38" s="258" t="str">
        <f>VLOOKUP(U31,TBL_equipe,11,FALSE)</f>
        <v/>
      </c>
      <c r="B38" s="223"/>
      <c r="C38" s="259" t="str">
        <f>VLOOKUP(U31,TBL_equipe,12,FALSE)</f>
        <v/>
      </c>
      <c r="D38" s="223"/>
      <c r="E38" s="224"/>
      <c r="F38" s="219"/>
      <c r="G38" s="403" t="str">
        <f>VLOOKUP(U31,TBL_equipe,15,FALSE)</f>
        <v/>
      </c>
      <c r="H38" s="224"/>
      <c r="I38" s="222"/>
      <c r="J38" s="246" t="str">
        <f>VLOOKUP(U31,TBL_equipe,14,FALSE)</f>
        <v/>
      </c>
      <c r="K38" s="224"/>
      <c r="L38" s="260" t="str">
        <f>VLOOKUP(U31,TBL_equipe,16,FALSE)</f>
        <v/>
      </c>
      <c r="M38" s="287">
        <f>G31</f>
        <v>0</v>
      </c>
      <c r="N38" s="288"/>
      <c r="O38" s="249"/>
      <c r="Q38" s="254"/>
      <c r="R38" s="254"/>
      <c r="S38" s="254"/>
      <c r="T38" s="254"/>
      <c r="U38" s="254"/>
      <c r="V38" s="254"/>
      <c r="W38" s="254"/>
      <c r="X38" s="254"/>
      <c r="Y38" s="254"/>
    </row>
    <row r="39" spans="1:25" ht="24" customHeight="1" x14ac:dyDescent="0.2">
      <c r="A39" s="258" t="str">
        <f>VLOOKUP(U31,TBL_equipe,17,FALSE)</f>
        <v/>
      </c>
      <c r="B39" s="223"/>
      <c r="C39" s="259" t="str">
        <f>VLOOKUP(U31,TBL_equipe,18,FALSE)</f>
        <v/>
      </c>
      <c r="D39" s="223"/>
      <c r="E39" s="224"/>
      <c r="F39" s="219"/>
      <c r="G39" s="403" t="str">
        <f>VLOOKUP(U31,TBL_equipe,21,FALSE)</f>
        <v/>
      </c>
      <c r="H39" s="224"/>
      <c r="I39" s="222"/>
      <c r="J39" s="246" t="str">
        <f>VLOOKUP(U31,TBL_equipe,20,FALSE)</f>
        <v/>
      </c>
      <c r="K39" s="224"/>
      <c r="L39" s="260" t="str">
        <f>VLOOKUP(U31,TBL_equipe,22,FALSE)</f>
        <v/>
      </c>
      <c r="M39" s="287">
        <f>G31</f>
        <v>0</v>
      </c>
      <c r="N39" s="288"/>
      <c r="O39" s="249"/>
      <c r="Q39" s="254"/>
      <c r="R39" s="254"/>
      <c r="S39" s="254"/>
      <c r="T39" s="254"/>
      <c r="U39" s="254"/>
      <c r="V39" s="254"/>
      <c r="W39" s="254"/>
      <c r="X39" s="254"/>
      <c r="Y39" s="254"/>
    </row>
    <row r="40" spans="1:25" ht="24" customHeight="1" x14ac:dyDescent="0.2">
      <c r="A40" s="258" t="str">
        <f>VLOOKUP(U31,TBL_equipe,23,FALSE)</f>
        <v/>
      </c>
      <c r="B40" s="223"/>
      <c r="C40" s="259" t="str">
        <f>VLOOKUP(U31,TBL_equipe,24,FALSE)</f>
        <v/>
      </c>
      <c r="D40" s="223"/>
      <c r="E40" s="224"/>
      <c r="F40" s="219"/>
      <c r="G40" s="403" t="str">
        <f>VLOOKUP(U31,TBL_equipe,27,FALSE)</f>
        <v/>
      </c>
      <c r="H40" s="224"/>
      <c r="I40" s="222"/>
      <c r="J40" s="246" t="str">
        <f>VLOOKUP(U31,TBL_equipe,26,FALSE)</f>
        <v/>
      </c>
      <c r="K40" s="224"/>
      <c r="L40" s="260" t="str">
        <f>VLOOKUP(U31,TBL_equipe,28,FALSE)</f>
        <v/>
      </c>
      <c r="M40" s="289">
        <f>G31</f>
        <v>0</v>
      </c>
      <c r="N40" s="290"/>
      <c r="O40" s="249"/>
    </row>
    <row r="41" spans="1:25" ht="15" customHeight="1" thickBot="1" x14ac:dyDescent="0.25"/>
    <row r="42" spans="1:25" ht="20.100000000000001" customHeight="1" x14ac:dyDescent="0.2">
      <c r="F42" s="1081" t="s">
        <v>555</v>
      </c>
      <c r="G42" s="1082"/>
      <c r="H42" s="1082"/>
      <c r="I42" s="1082"/>
      <c r="J42" s="1083"/>
      <c r="K42" s="1081" t="s">
        <v>556</v>
      </c>
      <c r="L42" s="1082"/>
      <c r="M42" s="1082"/>
      <c r="N42" s="1082"/>
      <c r="O42" s="1083"/>
      <c r="P42" s="1081" t="s">
        <v>557</v>
      </c>
      <c r="Q42" s="1082"/>
      <c r="R42" s="1082"/>
      <c r="S42" s="1082"/>
      <c r="T42" s="1083"/>
      <c r="U42" s="1081" t="s">
        <v>558</v>
      </c>
      <c r="V42" s="1082"/>
      <c r="W42" s="1082"/>
      <c r="X42" s="1082"/>
      <c r="Y42" s="1083"/>
    </row>
    <row r="43" spans="1:25" ht="20.100000000000001" customHeight="1" x14ac:dyDescent="0.2">
      <c r="A43" s="1075" t="s">
        <v>559</v>
      </c>
      <c r="B43" s="1075"/>
      <c r="C43" s="1075"/>
      <c r="D43" s="1075"/>
      <c r="E43" s="1089"/>
      <c r="F43" s="1090" t="s">
        <v>560</v>
      </c>
      <c r="G43" s="1075"/>
      <c r="H43" s="1075"/>
      <c r="J43" s="225" t="s">
        <v>7</v>
      </c>
      <c r="K43" s="1090" t="s">
        <v>560</v>
      </c>
      <c r="L43" s="1075"/>
      <c r="M43" s="1075"/>
      <c r="O43" s="225" t="s">
        <v>7</v>
      </c>
      <c r="P43" s="1090" t="s">
        <v>560</v>
      </c>
      <c r="Q43" s="1075"/>
      <c r="R43" s="1075"/>
      <c r="T43" s="225" t="s">
        <v>7</v>
      </c>
      <c r="U43" s="1090" t="s">
        <v>560</v>
      </c>
      <c r="V43" s="1075"/>
      <c r="W43" s="1075"/>
      <c r="Y43" s="225" t="s">
        <v>7</v>
      </c>
    </row>
    <row r="44" spans="1:25" ht="24" customHeight="1" x14ac:dyDescent="0.2">
      <c r="A44" s="261" t="str">
        <f>A37</f>
        <v/>
      </c>
      <c r="B44" s="227"/>
      <c r="C44" s="262" t="str">
        <f>C37</f>
        <v/>
      </c>
      <c r="D44" s="227"/>
      <c r="E44" s="227"/>
      <c r="F44" s="228"/>
      <c r="G44" s="229"/>
      <c r="H44" s="229"/>
      <c r="I44" s="230" t="s">
        <v>561</v>
      </c>
      <c r="J44" s="231"/>
      <c r="K44" s="228"/>
      <c r="L44" s="229"/>
      <c r="M44" s="229"/>
      <c r="N44" s="230" t="s">
        <v>561</v>
      </c>
      <c r="O44" s="231"/>
      <c r="P44" s="228"/>
      <c r="Q44" s="229"/>
      <c r="R44" s="229"/>
      <c r="S44" s="230" t="s">
        <v>561</v>
      </c>
      <c r="T44" s="231"/>
      <c r="U44" s="228"/>
      <c r="V44" s="229"/>
      <c r="W44" s="229"/>
      <c r="X44" s="230" t="s">
        <v>561</v>
      </c>
      <c r="Y44" s="231"/>
    </row>
    <row r="45" spans="1:25" ht="24" customHeight="1" x14ac:dyDescent="0.2">
      <c r="A45" s="261" t="str">
        <f>A38</f>
        <v/>
      </c>
      <c r="B45" s="227"/>
      <c r="C45" s="262" t="str">
        <f>C38</f>
        <v/>
      </c>
      <c r="D45" s="227"/>
      <c r="E45" s="227"/>
      <c r="F45" s="228"/>
      <c r="G45" s="229"/>
      <c r="H45" s="229"/>
      <c r="I45" s="230" t="s">
        <v>561</v>
      </c>
      <c r="J45" s="231"/>
      <c r="K45" s="228"/>
      <c r="L45" s="229"/>
      <c r="M45" s="229"/>
      <c r="N45" s="230" t="s">
        <v>561</v>
      </c>
      <c r="O45" s="231"/>
      <c r="P45" s="228"/>
      <c r="Q45" s="229"/>
      <c r="R45" s="229"/>
      <c r="S45" s="230" t="s">
        <v>561</v>
      </c>
      <c r="T45" s="231"/>
      <c r="U45" s="228"/>
      <c r="V45" s="229"/>
      <c r="W45" s="229"/>
      <c r="X45" s="230" t="s">
        <v>561</v>
      </c>
      <c r="Y45" s="231"/>
    </row>
    <row r="46" spans="1:25" ht="24" customHeight="1" x14ac:dyDescent="0.2">
      <c r="A46" s="261" t="str">
        <f>A39</f>
        <v/>
      </c>
      <c r="B46" s="227"/>
      <c r="C46" s="262" t="str">
        <f>C39</f>
        <v/>
      </c>
      <c r="D46" s="227"/>
      <c r="E46" s="227"/>
      <c r="F46" s="228"/>
      <c r="G46" s="229"/>
      <c r="H46" s="229"/>
      <c r="I46" s="230" t="s">
        <v>561</v>
      </c>
      <c r="J46" s="231"/>
      <c r="K46" s="228"/>
      <c r="L46" s="229"/>
      <c r="M46" s="229"/>
      <c r="N46" s="230" t="s">
        <v>561</v>
      </c>
      <c r="O46" s="231"/>
      <c r="P46" s="228"/>
      <c r="Q46" s="229"/>
      <c r="R46" s="229"/>
      <c r="S46" s="230" t="s">
        <v>561</v>
      </c>
      <c r="T46" s="231"/>
      <c r="U46" s="228"/>
      <c r="V46" s="229"/>
      <c r="W46" s="229"/>
      <c r="X46" s="230" t="s">
        <v>561</v>
      </c>
      <c r="Y46" s="231"/>
    </row>
    <row r="47" spans="1:25" ht="24" customHeight="1" x14ac:dyDescent="0.2">
      <c r="A47" s="261" t="str">
        <f>A40</f>
        <v/>
      </c>
      <c r="B47" s="227"/>
      <c r="C47" s="262" t="str">
        <f>C40</f>
        <v/>
      </c>
      <c r="D47" s="227"/>
      <c r="E47" s="227"/>
      <c r="F47" s="228"/>
      <c r="G47" s="229"/>
      <c r="H47" s="229"/>
      <c r="I47" s="230" t="s">
        <v>561</v>
      </c>
      <c r="J47" s="232"/>
      <c r="K47" s="228"/>
      <c r="L47" s="229"/>
      <c r="M47" s="229"/>
      <c r="N47" s="230" t="s">
        <v>561</v>
      </c>
      <c r="O47" s="232"/>
      <c r="P47" s="228"/>
      <c r="Q47" s="229"/>
      <c r="R47" s="229"/>
      <c r="S47" s="230" t="s">
        <v>561</v>
      </c>
      <c r="T47" s="232"/>
      <c r="U47" s="228"/>
      <c r="V47" s="229"/>
      <c r="W47" s="229"/>
      <c r="X47" s="230" t="s">
        <v>561</v>
      </c>
      <c r="Y47" s="232"/>
    </row>
    <row r="48" spans="1:25" ht="24" customHeight="1" thickBot="1" x14ac:dyDescent="0.25">
      <c r="F48" s="1079" t="s">
        <v>562</v>
      </c>
      <c r="G48" s="1080"/>
      <c r="H48" s="1080"/>
      <c r="I48" s="230" t="s">
        <v>561</v>
      </c>
      <c r="J48" s="231"/>
      <c r="K48" s="1079" t="s">
        <v>563</v>
      </c>
      <c r="L48" s="1080"/>
      <c r="M48" s="1080"/>
      <c r="N48" s="230" t="s">
        <v>561</v>
      </c>
      <c r="O48" s="232"/>
      <c r="P48" s="1079" t="s">
        <v>564</v>
      </c>
      <c r="Q48" s="1080"/>
      <c r="R48" s="1080"/>
      <c r="S48" s="230" t="s">
        <v>561</v>
      </c>
      <c r="T48" s="232"/>
      <c r="U48" s="1079" t="s">
        <v>565</v>
      </c>
      <c r="V48" s="1080"/>
      <c r="W48" s="1080"/>
      <c r="X48" s="230" t="s">
        <v>561</v>
      </c>
      <c r="Y48" s="232"/>
    </row>
    <row r="49" spans="1:25" ht="24" customHeight="1" thickBot="1" x14ac:dyDescent="0.25">
      <c r="F49" s="233"/>
      <c r="G49" s="234"/>
      <c r="H49" s="235" t="s">
        <v>566</v>
      </c>
      <c r="I49" s="235"/>
      <c r="J49" s="236"/>
      <c r="K49" s="1092" t="s">
        <v>567</v>
      </c>
      <c r="L49" s="1085"/>
      <c r="M49" s="1085"/>
      <c r="N49" s="237" t="s">
        <v>561</v>
      </c>
      <c r="O49" s="238"/>
      <c r="P49" s="1092" t="s">
        <v>568</v>
      </c>
      <c r="Q49" s="1085"/>
      <c r="R49" s="1085"/>
      <c r="S49" s="237" t="s">
        <v>561</v>
      </c>
      <c r="T49" s="238"/>
      <c r="U49" s="1092" t="s">
        <v>569</v>
      </c>
      <c r="V49" s="1085"/>
      <c r="W49" s="1085"/>
      <c r="X49" s="237" t="s">
        <v>561</v>
      </c>
      <c r="Y49" s="239"/>
    </row>
    <row r="50" spans="1:25" ht="12.75" customHeight="1" x14ac:dyDescent="0.2">
      <c r="Y50" s="240" t="s">
        <v>570</v>
      </c>
    </row>
    <row r="51" spans="1:25" ht="15.75" customHeight="1" x14ac:dyDescent="0.2">
      <c r="B51" s="1091" t="s">
        <v>521</v>
      </c>
      <c r="C51" s="1091"/>
      <c r="D51" s="1091"/>
      <c r="E51" s="1091"/>
      <c r="F51" s="1091"/>
      <c r="G51" s="1091"/>
      <c r="H51" s="1091"/>
      <c r="I51" s="1091"/>
      <c r="J51" s="1091"/>
      <c r="K51" s="1091"/>
      <c r="L51" s="1091"/>
      <c r="O51" s="1091" t="s">
        <v>522</v>
      </c>
      <c r="P51" s="1091"/>
      <c r="Q51" s="1091"/>
      <c r="R51" s="1091"/>
      <c r="S51" s="1091"/>
      <c r="T51" s="1091"/>
      <c r="U51" s="1091"/>
      <c r="V51" s="1091"/>
      <c r="W51" s="1091"/>
      <c r="X51" s="1091"/>
      <c r="Y51" s="1091"/>
    </row>
    <row r="52" spans="1:25" ht="13.5" customHeight="1" x14ac:dyDescent="0.2">
      <c r="B52" s="1086" t="s">
        <v>1</v>
      </c>
      <c r="C52" s="1087"/>
      <c r="D52" s="1087"/>
      <c r="E52" s="1087"/>
      <c r="F52" s="1087"/>
      <c r="G52" s="1087"/>
      <c r="H52" s="1088"/>
      <c r="I52" s="1086" t="s">
        <v>520</v>
      </c>
      <c r="J52" s="1087"/>
      <c r="K52" s="1087"/>
      <c r="L52" s="1088"/>
      <c r="N52" s="241"/>
      <c r="O52" s="1086" t="s">
        <v>1</v>
      </c>
      <c r="P52" s="1087"/>
      <c r="Q52" s="1087"/>
      <c r="R52" s="1087"/>
      <c r="S52" s="1087"/>
      <c r="T52" s="1087"/>
      <c r="U52" s="1088"/>
      <c r="V52" s="1086" t="s">
        <v>520</v>
      </c>
      <c r="W52" s="1087"/>
      <c r="X52" s="1087"/>
      <c r="Y52" s="1088"/>
    </row>
    <row r="53" spans="1:25" ht="21.75" customHeight="1" x14ac:dyDescent="0.2">
      <c r="B53" s="242"/>
      <c r="C53" s="243"/>
      <c r="D53" s="243"/>
      <c r="E53" s="243"/>
      <c r="F53" s="243"/>
      <c r="G53" s="243"/>
      <c r="H53" s="243"/>
      <c r="I53" s="242"/>
      <c r="J53" s="243"/>
      <c r="K53" s="243"/>
      <c r="L53" s="244"/>
      <c r="N53" s="241"/>
      <c r="O53" s="242"/>
      <c r="P53" s="243"/>
      <c r="Q53" s="243"/>
      <c r="R53" s="243"/>
      <c r="S53" s="243"/>
      <c r="T53" s="243"/>
      <c r="U53" s="243"/>
      <c r="V53" s="242"/>
      <c r="W53" s="243"/>
      <c r="X53" s="243"/>
      <c r="Y53" s="244"/>
    </row>
    <row r="54" spans="1:25" ht="13.5" customHeight="1" x14ac:dyDescent="0.2"/>
    <row r="55" spans="1:25" ht="14.25" customHeight="1" thickBot="1" x14ac:dyDescent="0.25">
      <c r="A55" s="241"/>
      <c r="G55" s="305"/>
      <c r="H55" s="305"/>
      <c r="I55" s="1069" t="s">
        <v>0</v>
      </c>
      <c r="J55" s="1069"/>
      <c r="K55" s="1069"/>
      <c r="L55" s="1069"/>
      <c r="M55" s="1069"/>
      <c r="N55" s="1069"/>
      <c r="O55" s="1069"/>
      <c r="P55" s="1069" t="s">
        <v>374</v>
      </c>
      <c r="Q55" s="1069"/>
      <c r="R55" s="1069"/>
      <c r="S55" s="1069"/>
      <c r="T55" s="1069"/>
      <c r="U55" s="1069" t="s">
        <v>571</v>
      </c>
      <c r="V55" s="1069"/>
      <c r="W55" s="1069"/>
      <c r="X55" s="305"/>
      <c r="Y55" s="305"/>
    </row>
    <row r="56" spans="1:25" ht="20.25" customHeight="1" x14ac:dyDescent="0.2">
      <c r="A56" s="241"/>
      <c r="F56" s="1074" t="s">
        <v>584</v>
      </c>
      <c r="G56" s="1074"/>
      <c r="H56" s="1074"/>
      <c r="I56" s="316"/>
      <c r="J56" s="306"/>
      <c r="K56" s="306"/>
      <c r="L56" s="306"/>
      <c r="M56" s="306"/>
      <c r="N56" s="306"/>
      <c r="O56" s="306"/>
      <c r="P56" s="312"/>
      <c r="Q56" s="306"/>
      <c r="R56" s="307"/>
      <c r="S56" s="304"/>
      <c r="T56" s="313"/>
      <c r="U56" s="310"/>
      <c r="V56" s="1084" t="s">
        <v>495</v>
      </c>
      <c r="W56" s="308"/>
    </row>
    <row r="57" spans="1:25" ht="13.5" thickBot="1" x14ac:dyDescent="0.25">
      <c r="F57" s="1074"/>
      <c r="G57" s="1074"/>
      <c r="H57" s="1074"/>
      <c r="I57" s="303"/>
      <c r="J57" s="235"/>
      <c r="K57" s="235"/>
      <c r="L57" s="235"/>
      <c r="M57" s="235"/>
      <c r="N57" s="235"/>
      <c r="O57" s="235"/>
      <c r="P57" s="314"/>
      <c r="Q57" s="235"/>
      <c r="R57" s="234"/>
      <c r="S57" s="234"/>
      <c r="T57" s="315"/>
      <c r="U57" s="311"/>
      <c r="V57" s="1085"/>
      <c r="W57" s="309"/>
    </row>
    <row r="59" spans="1:25" ht="6.75" customHeight="1" x14ac:dyDescent="0.2"/>
    <row r="60" spans="1:25" s="218" customFormat="1" ht="23.25" customHeight="1" x14ac:dyDescent="0.2">
      <c r="A60" s="1072" t="s">
        <v>546</v>
      </c>
      <c r="B60" s="1073"/>
      <c r="C60" s="402"/>
      <c r="D60" s="1098" t="s">
        <v>628</v>
      </c>
      <c r="E60" s="1072"/>
      <c r="F60" s="1072"/>
      <c r="G60" s="1103"/>
      <c r="H60" s="1104"/>
      <c r="K60" s="218" t="str">
        <f>RIGHT(CATEG_IMPORTEE, LEN(CATEG_IMPORTEE) - 2)</f>
        <v>llèges Mixtes Etablissement</v>
      </c>
      <c r="T60" s="397" t="s">
        <v>627</v>
      </c>
      <c r="U60" s="401">
        <v>3</v>
      </c>
      <c r="V60" s="396" t="s">
        <v>547</v>
      </c>
      <c r="W60" s="401"/>
      <c r="X60" s="395"/>
    </row>
    <row r="61" spans="1:25" ht="27" customHeight="1" thickBot="1" x14ac:dyDescent="0.25">
      <c r="B61" s="1069" t="s">
        <v>0</v>
      </c>
      <c r="C61" s="1069"/>
      <c r="D61" s="1069"/>
      <c r="E61" s="1069"/>
      <c r="F61" s="1069"/>
      <c r="G61" s="1069"/>
      <c r="H61" s="1069"/>
      <c r="I61" s="1069" t="s">
        <v>374</v>
      </c>
      <c r="J61" s="1069"/>
      <c r="K61" s="1069"/>
      <c r="L61" s="1069"/>
      <c r="O61" s="1069" t="s">
        <v>0</v>
      </c>
      <c r="P61" s="1069"/>
      <c r="Q61" s="1069"/>
      <c r="R61" s="1069"/>
      <c r="S61" s="1069"/>
      <c r="T61" s="1069"/>
      <c r="U61" s="1069"/>
      <c r="V61" s="1069" t="s">
        <v>374</v>
      </c>
      <c r="W61" s="1069"/>
      <c r="X61" s="1069"/>
      <c r="Y61" s="1069"/>
    </row>
    <row r="62" spans="1:25" ht="24" customHeight="1" thickBot="1" x14ac:dyDescent="0.25">
      <c r="A62" s="219"/>
      <c r="B62" s="398" t="str">
        <f>VLOOKUP(U60,TBL_equipe,2,FALSE)</f>
        <v/>
      </c>
      <c r="C62" s="399"/>
      <c r="D62" s="399"/>
      <c r="E62" s="399"/>
      <c r="F62" s="399"/>
      <c r="G62" s="399"/>
      <c r="H62" s="400"/>
      <c r="I62" s="257" t="str">
        <f>VLOOKUP(U60,TBL_equipe,4,FALSE)</f>
        <v/>
      </c>
      <c r="J62" s="220"/>
      <c r="K62" s="220"/>
      <c r="L62" s="221"/>
      <c r="M62" s="1070" t="s">
        <v>547</v>
      </c>
      <c r="N62" s="1071"/>
      <c r="O62" s="398" t="e">
        <f>VLOOKUP(W60,TBL_equipe,2,FALSE)</f>
        <v>#N/A</v>
      </c>
      <c r="P62" s="220"/>
      <c r="Q62" s="220"/>
      <c r="R62" s="220"/>
      <c r="S62" s="220"/>
      <c r="T62" s="220"/>
      <c r="U62" s="221"/>
      <c r="V62" s="257" t="e">
        <f>VLOOKUP(W60,TBL_equipe,4,FALSE)</f>
        <v>#N/A</v>
      </c>
      <c r="W62" s="220"/>
      <c r="X62" s="220"/>
      <c r="Y62" s="221"/>
    </row>
    <row r="63" spans="1:25" ht="15" customHeight="1" x14ac:dyDescent="0.2"/>
    <row r="64" spans="1:25" ht="20.100000000000001" customHeight="1" x14ac:dyDescent="0.2">
      <c r="A64" s="1074" t="s">
        <v>548</v>
      </c>
      <c r="B64" s="1074"/>
      <c r="C64" s="1074"/>
      <c r="D64" s="1074"/>
      <c r="E64" s="1074"/>
    </row>
    <row r="65" spans="1:25" ht="20.100000000000001" customHeight="1" x14ac:dyDescent="0.2">
      <c r="A65" s="1075" t="s">
        <v>549</v>
      </c>
      <c r="B65" s="1075"/>
      <c r="C65" s="1075"/>
      <c r="D65" s="1075"/>
      <c r="E65" s="1075"/>
      <c r="G65" s="1076" t="s">
        <v>480</v>
      </c>
      <c r="H65" s="1076"/>
      <c r="I65" s="1077" t="s">
        <v>550</v>
      </c>
      <c r="J65" s="1077"/>
      <c r="K65" s="1077"/>
      <c r="L65" s="252" t="s">
        <v>551</v>
      </c>
      <c r="M65" s="1078" t="s">
        <v>552</v>
      </c>
      <c r="N65" s="1078"/>
      <c r="O65" s="251"/>
    </row>
    <row r="66" spans="1:25" ht="24" customHeight="1" x14ac:dyDescent="0.2">
      <c r="A66" s="258" t="str">
        <f>VLOOKUP(U60,TBL_equipe,5,FALSE)</f>
        <v/>
      </c>
      <c r="B66" s="223"/>
      <c r="C66" s="259" t="str">
        <f>VLOOKUP(U60,TBL_equipe,6,FALSE)</f>
        <v/>
      </c>
      <c r="D66" s="223"/>
      <c r="E66" s="224"/>
      <c r="F66" s="219"/>
      <c r="G66" s="403" t="str">
        <f>VLOOKUP(U60,TBL_equipe,9,FALSE)</f>
        <v/>
      </c>
      <c r="H66" s="224"/>
      <c r="I66" s="222"/>
      <c r="J66" s="246" t="str">
        <f>VLOOKUP(U60,TBL_equipe,8,FALSE)</f>
        <v/>
      </c>
      <c r="K66" s="224"/>
      <c r="L66" s="260" t="str">
        <f>VLOOKUP(U60,TBL_equipe,10,FALSE)</f>
        <v/>
      </c>
      <c r="M66" s="287">
        <f>G60</f>
        <v>0</v>
      </c>
      <c r="N66" s="288"/>
      <c r="O66" s="249"/>
      <c r="R66" s="254"/>
      <c r="S66" s="254"/>
      <c r="T66" s="254" t="s">
        <v>629</v>
      </c>
      <c r="U66" s="254"/>
      <c r="V66" s="254"/>
      <c r="W66" s="254"/>
      <c r="X66" s="254"/>
      <c r="Y66" s="254"/>
    </row>
    <row r="67" spans="1:25" ht="24" customHeight="1" x14ac:dyDescent="0.2">
      <c r="A67" s="258" t="str">
        <f>VLOOKUP(U60,TBL_equipe,11,FALSE)</f>
        <v/>
      </c>
      <c r="B67" s="223"/>
      <c r="C67" s="259" t="str">
        <f>VLOOKUP(U60,TBL_equipe,12,FALSE)</f>
        <v/>
      </c>
      <c r="D67" s="223"/>
      <c r="E67" s="224"/>
      <c r="F67" s="219"/>
      <c r="G67" s="403" t="str">
        <f>VLOOKUP(U60,TBL_equipe,15,FALSE)</f>
        <v/>
      </c>
      <c r="H67" s="224"/>
      <c r="I67" s="222"/>
      <c r="J67" s="246" t="str">
        <f>VLOOKUP(U60,TBL_equipe,14,FALSE)</f>
        <v/>
      </c>
      <c r="K67" s="224"/>
      <c r="L67" s="260" t="str">
        <f>VLOOKUP(U60,TBL_equipe,16,FALSE)</f>
        <v/>
      </c>
      <c r="M67" s="287">
        <f>G60</f>
        <v>0</v>
      </c>
      <c r="N67" s="288"/>
      <c r="O67" s="249"/>
      <c r="Q67" s="254"/>
      <c r="R67" s="254"/>
      <c r="S67" s="254"/>
      <c r="T67" s="254"/>
      <c r="U67" s="254"/>
      <c r="V67" s="254"/>
      <c r="W67" s="254"/>
      <c r="X67" s="254"/>
      <c r="Y67" s="254"/>
    </row>
    <row r="68" spans="1:25" ht="24" customHeight="1" x14ac:dyDescent="0.2">
      <c r="A68" s="258" t="str">
        <f>VLOOKUP(U60,TBL_equipe,17,FALSE)</f>
        <v/>
      </c>
      <c r="B68" s="223"/>
      <c r="C68" s="259" t="str">
        <f>VLOOKUP(U60,TBL_equipe,18,FALSE)</f>
        <v/>
      </c>
      <c r="D68" s="223"/>
      <c r="E68" s="224"/>
      <c r="F68" s="219"/>
      <c r="G68" s="403" t="str">
        <f>VLOOKUP(U60,TBL_equipe,21,FALSE)</f>
        <v/>
      </c>
      <c r="H68" s="224"/>
      <c r="I68" s="222"/>
      <c r="J68" s="246" t="str">
        <f>VLOOKUP(U60,TBL_equipe,20,FALSE)</f>
        <v/>
      </c>
      <c r="K68" s="224"/>
      <c r="L68" s="260" t="str">
        <f>VLOOKUP(U60,TBL_equipe,22,FALSE)</f>
        <v/>
      </c>
      <c r="M68" s="287">
        <f>G60</f>
        <v>0</v>
      </c>
      <c r="N68" s="288"/>
      <c r="O68" s="249"/>
      <c r="Q68" s="254"/>
      <c r="R68" s="254"/>
      <c r="S68" s="254"/>
      <c r="T68" s="254"/>
      <c r="U68" s="254"/>
      <c r="V68" s="254"/>
      <c r="W68" s="254"/>
      <c r="X68" s="254"/>
      <c r="Y68" s="254"/>
    </row>
    <row r="69" spans="1:25" ht="24" customHeight="1" x14ac:dyDescent="0.2">
      <c r="A69" s="258" t="str">
        <f>VLOOKUP(U60,TBL_equipe,23,FALSE)</f>
        <v/>
      </c>
      <c r="B69" s="223"/>
      <c r="C69" s="259" t="str">
        <f>VLOOKUP(U60,TBL_equipe,24,FALSE)</f>
        <v/>
      </c>
      <c r="D69" s="223"/>
      <c r="E69" s="224"/>
      <c r="F69" s="219"/>
      <c r="G69" s="403" t="str">
        <f>VLOOKUP(U60,TBL_equipe,27,FALSE)</f>
        <v/>
      </c>
      <c r="H69" s="224"/>
      <c r="I69" s="222"/>
      <c r="J69" s="246" t="str">
        <f>VLOOKUP(U60,TBL_equipe,26,FALSE)</f>
        <v/>
      </c>
      <c r="K69" s="224"/>
      <c r="L69" s="260" t="str">
        <f>VLOOKUP(U60,TBL_equipe,28,FALSE)</f>
        <v/>
      </c>
      <c r="M69" s="289">
        <f>G60</f>
        <v>0</v>
      </c>
      <c r="N69" s="290"/>
      <c r="O69" s="249"/>
    </row>
    <row r="70" spans="1:25" ht="15" customHeight="1" thickBot="1" x14ac:dyDescent="0.25"/>
    <row r="71" spans="1:25" ht="20.100000000000001" customHeight="1" x14ac:dyDescent="0.2">
      <c r="F71" s="1081" t="s">
        <v>555</v>
      </c>
      <c r="G71" s="1082"/>
      <c r="H71" s="1082"/>
      <c r="I71" s="1082"/>
      <c r="J71" s="1083"/>
      <c r="K71" s="1081" t="s">
        <v>556</v>
      </c>
      <c r="L71" s="1082"/>
      <c r="M71" s="1082"/>
      <c r="N71" s="1082"/>
      <c r="O71" s="1083"/>
      <c r="P71" s="1081" t="s">
        <v>557</v>
      </c>
      <c r="Q71" s="1082"/>
      <c r="R71" s="1082"/>
      <c r="S71" s="1082"/>
      <c r="T71" s="1083"/>
      <c r="U71" s="1081" t="s">
        <v>558</v>
      </c>
      <c r="V71" s="1082"/>
      <c r="W71" s="1082"/>
      <c r="X71" s="1082"/>
      <c r="Y71" s="1083"/>
    </row>
    <row r="72" spans="1:25" ht="20.100000000000001" customHeight="1" x14ac:dyDescent="0.2">
      <c r="A72" s="1075" t="s">
        <v>559</v>
      </c>
      <c r="B72" s="1075"/>
      <c r="C72" s="1075"/>
      <c r="D72" s="1075"/>
      <c r="E72" s="1089"/>
      <c r="F72" s="1090" t="s">
        <v>560</v>
      </c>
      <c r="G72" s="1075"/>
      <c r="H72" s="1075"/>
      <c r="J72" s="225" t="s">
        <v>7</v>
      </c>
      <c r="K72" s="1090" t="s">
        <v>560</v>
      </c>
      <c r="L72" s="1075"/>
      <c r="M72" s="1075"/>
      <c r="O72" s="225" t="s">
        <v>7</v>
      </c>
      <c r="P72" s="1090" t="s">
        <v>560</v>
      </c>
      <c r="Q72" s="1075"/>
      <c r="R72" s="1075"/>
      <c r="T72" s="225" t="s">
        <v>7</v>
      </c>
      <c r="U72" s="1090" t="s">
        <v>560</v>
      </c>
      <c r="V72" s="1075"/>
      <c r="W72" s="1075"/>
      <c r="Y72" s="225" t="s">
        <v>7</v>
      </c>
    </row>
    <row r="73" spans="1:25" ht="24" customHeight="1" x14ac:dyDescent="0.2">
      <c r="A73" s="261" t="str">
        <f>A66</f>
        <v/>
      </c>
      <c r="B73" s="227"/>
      <c r="C73" s="262" t="str">
        <f>C66</f>
        <v/>
      </c>
      <c r="D73" s="227"/>
      <c r="E73" s="227"/>
      <c r="F73" s="228"/>
      <c r="G73" s="229"/>
      <c r="H73" s="229"/>
      <c r="I73" s="230" t="s">
        <v>561</v>
      </c>
      <c r="J73" s="231"/>
      <c r="K73" s="228"/>
      <c r="L73" s="229"/>
      <c r="M73" s="229"/>
      <c r="N73" s="230" t="s">
        <v>561</v>
      </c>
      <c r="O73" s="231"/>
      <c r="P73" s="228"/>
      <c r="Q73" s="229"/>
      <c r="R73" s="229"/>
      <c r="S73" s="230" t="s">
        <v>561</v>
      </c>
      <c r="T73" s="231"/>
      <c r="U73" s="228"/>
      <c r="V73" s="229"/>
      <c r="W73" s="229"/>
      <c r="X73" s="230" t="s">
        <v>561</v>
      </c>
      <c r="Y73" s="231"/>
    </row>
    <row r="74" spans="1:25" ht="24" customHeight="1" x14ac:dyDescent="0.2">
      <c r="A74" s="261" t="str">
        <f>A67</f>
        <v/>
      </c>
      <c r="B74" s="227"/>
      <c r="C74" s="262" t="str">
        <f>C67</f>
        <v/>
      </c>
      <c r="D74" s="227"/>
      <c r="E74" s="227"/>
      <c r="F74" s="228"/>
      <c r="G74" s="229"/>
      <c r="H74" s="229"/>
      <c r="I74" s="230" t="s">
        <v>561</v>
      </c>
      <c r="J74" s="231"/>
      <c r="K74" s="228"/>
      <c r="L74" s="229"/>
      <c r="M74" s="229"/>
      <c r="N74" s="230" t="s">
        <v>561</v>
      </c>
      <c r="O74" s="231"/>
      <c r="P74" s="228"/>
      <c r="Q74" s="229"/>
      <c r="R74" s="229"/>
      <c r="S74" s="230" t="s">
        <v>561</v>
      </c>
      <c r="T74" s="231"/>
      <c r="U74" s="228"/>
      <c r="V74" s="229"/>
      <c r="W74" s="229"/>
      <c r="X74" s="230" t="s">
        <v>561</v>
      </c>
      <c r="Y74" s="231"/>
    </row>
    <row r="75" spans="1:25" ht="24" customHeight="1" x14ac:dyDescent="0.2">
      <c r="A75" s="261" t="str">
        <f>A68</f>
        <v/>
      </c>
      <c r="B75" s="227"/>
      <c r="C75" s="262" t="str">
        <f>C68</f>
        <v/>
      </c>
      <c r="D75" s="227"/>
      <c r="E75" s="227"/>
      <c r="F75" s="228"/>
      <c r="G75" s="229"/>
      <c r="H75" s="229"/>
      <c r="I75" s="230" t="s">
        <v>561</v>
      </c>
      <c r="J75" s="231"/>
      <c r="K75" s="228"/>
      <c r="L75" s="229"/>
      <c r="M75" s="229"/>
      <c r="N75" s="230" t="s">
        <v>561</v>
      </c>
      <c r="O75" s="231"/>
      <c r="P75" s="228"/>
      <c r="Q75" s="229"/>
      <c r="R75" s="229"/>
      <c r="S75" s="230" t="s">
        <v>561</v>
      </c>
      <c r="T75" s="231"/>
      <c r="U75" s="228"/>
      <c r="V75" s="229"/>
      <c r="W75" s="229"/>
      <c r="X75" s="230" t="s">
        <v>561</v>
      </c>
      <c r="Y75" s="231"/>
    </row>
    <row r="76" spans="1:25" ht="24" customHeight="1" x14ac:dyDescent="0.2">
      <c r="A76" s="261" t="str">
        <f>A69</f>
        <v/>
      </c>
      <c r="B76" s="227"/>
      <c r="C76" s="262" t="str">
        <f>C69</f>
        <v/>
      </c>
      <c r="D76" s="227"/>
      <c r="E76" s="227"/>
      <c r="F76" s="228"/>
      <c r="G76" s="229"/>
      <c r="H76" s="229"/>
      <c r="I76" s="230" t="s">
        <v>561</v>
      </c>
      <c r="J76" s="232"/>
      <c r="K76" s="228"/>
      <c r="L76" s="229"/>
      <c r="M76" s="229"/>
      <c r="N76" s="230" t="s">
        <v>561</v>
      </c>
      <c r="O76" s="232"/>
      <c r="P76" s="228"/>
      <c r="Q76" s="229"/>
      <c r="R76" s="229"/>
      <c r="S76" s="230" t="s">
        <v>561</v>
      </c>
      <c r="T76" s="232"/>
      <c r="U76" s="228"/>
      <c r="V76" s="229"/>
      <c r="W76" s="229"/>
      <c r="X76" s="230" t="s">
        <v>561</v>
      </c>
      <c r="Y76" s="232"/>
    </row>
    <row r="77" spans="1:25" ht="24" customHeight="1" thickBot="1" x14ac:dyDescent="0.25">
      <c r="F77" s="1079" t="s">
        <v>562</v>
      </c>
      <c r="G77" s="1080"/>
      <c r="H77" s="1080"/>
      <c r="I77" s="230" t="s">
        <v>561</v>
      </c>
      <c r="J77" s="231"/>
      <c r="K77" s="1079" t="s">
        <v>563</v>
      </c>
      <c r="L77" s="1080"/>
      <c r="M77" s="1080"/>
      <c r="N77" s="230" t="s">
        <v>561</v>
      </c>
      <c r="O77" s="232"/>
      <c r="P77" s="1079" t="s">
        <v>564</v>
      </c>
      <c r="Q77" s="1080"/>
      <c r="R77" s="1080"/>
      <c r="S77" s="230" t="s">
        <v>561</v>
      </c>
      <c r="T77" s="232"/>
      <c r="U77" s="1079" t="s">
        <v>565</v>
      </c>
      <c r="V77" s="1080"/>
      <c r="W77" s="1080"/>
      <c r="X77" s="230" t="s">
        <v>561</v>
      </c>
      <c r="Y77" s="232"/>
    </row>
    <row r="78" spans="1:25" ht="24" customHeight="1" thickBot="1" x14ac:dyDescent="0.25">
      <c r="F78" s="233"/>
      <c r="G78" s="234"/>
      <c r="H78" s="235" t="s">
        <v>566</v>
      </c>
      <c r="I78" s="235"/>
      <c r="J78" s="236"/>
      <c r="K78" s="1092" t="s">
        <v>567</v>
      </c>
      <c r="L78" s="1085"/>
      <c r="M78" s="1085"/>
      <c r="N78" s="237" t="s">
        <v>561</v>
      </c>
      <c r="O78" s="238"/>
      <c r="P78" s="1092" t="s">
        <v>568</v>
      </c>
      <c r="Q78" s="1085"/>
      <c r="R78" s="1085"/>
      <c r="S78" s="237" t="s">
        <v>561</v>
      </c>
      <c r="T78" s="238"/>
      <c r="U78" s="1092" t="s">
        <v>569</v>
      </c>
      <c r="V78" s="1085"/>
      <c r="W78" s="1085"/>
      <c r="X78" s="237" t="s">
        <v>561</v>
      </c>
      <c r="Y78" s="239"/>
    </row>
    <row r="79" spans="1:25" ht="12.75" customHeight="1" x14ac:dyDescent="0.2">
      <c r="Y79" s="240" t="s">
        <v>570</v>
      </c>
    </row>
    <row r="80" spans="1:25" ht="15.75" customHeight="1" x14ac:dyDescent="0.2">
      <c r="B80" s="1091" t="s">
        <v>521</v>
      </c>
      <c r="C80" s="1091"/>
      <c r="D80" s="1091"/>
      <c r="E80" s="1091"/>
      <c r="F80" s="1091"/>
      <c r="G80" s="1091"/>
      <c r="H80" s="1091"/>
      <c r="I80" s="1091"/>
      <c r="J80" s="1091"/>
      <c r="K80" s="1091"/>
      <c r="L80" s="1091"/>
      <c r="O80" s="1091" t="s">
        <v>522</v>
      </c>
      <c r="P80" s="1091"/>
      <c r="Q80" s="1091"/>
      <c r="R80" s="1091"/>
      <c r="S80" s="1091"/>
      <c r="T80" s="1091"/>
      <c r="U80" s="1091"/>
      <c r="V80" s="1091"/>
      <c r="W80" s="1091"/>
      <c r="X80" s="1091"/>
      <c r="Y80" s="1091"/>
    </row>
    <row r="81" spans="1:25" ht="13.5" customHeight="1" x14ac:dyDescent="0.2">
      <c r="B81" s="1086" t="s">
        <v>1</v>
      </c>
      <c r="C81" s="1087"/>
      <c r="D81" s="1087"/>
      <c r="E81" s="1087"/>
      <c r="F81" s="1087"/>
      <c r="G81" s="1087"/>
      <c r="H81" s="1088"/>
      <c r="I81" s="1086" t="s">
        <v>520</v>
      </c>
      <c r="J81" s="1087"/>
      <c r="K81" s="1087"/>
      <c r="L81" s="1088"/>
      <c r="N81" s="241"/>
      <c r="O81" s="1086" t="s">
        <v>1</v>
      </c>
      <c r="P81" s="1087"/>
      <c r="Q81" s="1087"/>
      <c r="R81" s="1087"/>
      <c r="S81" s="1087"/>
      <c r="T81" s="1087"/>
      <c r="U81" s="1088"/>
      <c r="V81" s="1086" t="s">
        <v>520</v>
      </c>
      <c r="W81" s="1087"/>
      <c r="X81" s="1087"/>
      <c r="Y81" s="1088"/>
    </row>
    <row r="82" spans="1:25" ht="21.75" customHeight="1" x14ac:dyDescent="0.2">
      <c r="B82" s="242"/>
      <c r="C82" s="243"/>
      <c r="D82" s="243"/>
      <c r="E82" s="243"/>
      <c r="F82" s="243"/>
      <c r="G82" s="243"/>
      <c r="H82" s="243"/>
      <c r="I82" s="242"/>
      <c r="J82" s="243"/>
      <c r="K82" s="243"/>
      <c r="L82" s="244"/>
      <c r="N82" s="241"/>
      <c r="O82" s="242"/>
      <c r="P82" s="243"/>
      <c r="Q82" s="243"/>
      <c r="R82" s="243"/>
      <c r="S82" s="243"/>
      <c r="T82" s="243"/>
      <c r="U82" s="243"/>
      <c r="V82" s="242"/>
      <c r="W82" s="243"/>
      <c r="X82" s="243"/>
      <c r="Y82" s="244"/>
    </row>
    <row r="83" spans="1:25" ht="13.5" customHeight="1" x14ac:dyDescent="0.2"/>
    <row r="84" spans="1:25" ht="14.25" customHeight="1" thickBot="1" x14ac:dyDescent="0.25">
      <c r="A84" s="241"/>
      <c r="G84" s="305"/>
      <c r="H84" s="305"/>
      <c r="I84" s="1069" t="s">
        <v>0</v>
      </c>
      <c r="J84" s="1069"/>
      <c r="K84" s="1069"/>
      <c r="L84" s="1069"/>
      <c r="M84" s="1069"/>
      <c r="N84" s="1069"/>
      <c r="O84" s="1069"/>
      <c r="P84" s="1069" t="s">
        <v>374</v>
      </c>
      <c r="Q84" s="1069"/>
      <c r="R84" s="1069"/>
      <c r="S84" s="1069"/>
      <c r="T84" s="1069"/>
      <c r="U84" s="1069" t="s">
        <v>571</v>
      </c>
      <c r="V84" s="1069"/>
      <c r="W84" s="1069"/>
      <c r="X84" s="305"/>
      <c r="Y84" s="305"/>
    </row>
    <row r="85" spans="1:25" ht="20.25" customHeight="1" x14ac:dyDescent="0.2">
      <c r="A85" s="241"/>
      <c r="F85" s="1074" t="s">
        <v>584</v>
      </c>
      <c r="G85" s="1074"/>
      <c r="H85" s="1074"/>
      <c r="I85" s="316"/>
      <c r="J85" s="306"/>
      <c r="K85" s="306"/>
      <c r="L85" s="306"/>
      <c r="M85" s="306"/>
      <c r="N85" s="306"/>
      <c r="O85" s="306"/>
      <c r="P85" s="312"/>
      <c r="Q85" s="306"/>
      <c r="R85" s="307"/>
      <c r="S85" s="304"/>
      <c r="T85" s="313"/>
      <c r="U85" s="310"/>
      <c r="V85" s="1084" t="s">
        <v>495</v>
      </c>
      <c r="W85" s="308"/>
    </row>
    <row r="86" spans="1:25" ht="13.5" thickBot="1" x14ac:dyDescent="0.25">
      <c r="F86" s="1074"/>
      <c r="G86" s="1074"/>
      <c r="H86" s="1074"/>
      <c r="I86" s="303"/>
      <c r="J86" s="235"/>
      <c r="K86" s="235"/>
      <c r="L86" s="235"/>
      <c r="M86" s="235"/>
      <c r="N86" s="235"/>
      <c r="O86" s="235"/>
      <c r="P86" s="314"/>
      <c r="Q86" s="235"/>
      <c r="R86" s="234"/>
      <c r="S86" s="234"/>
      <c r="T86" s="315"/>
      <c r="U86" s="311"/>
      <c r="V86" s="1085"/>
      <c r="W86" s="309"/>
    </row>
    <row r="88" spans="1:25" ht="6.75" customHeight="1" x14ac:dyDescent="0.2"/>
    <row r="89" spans="1:25" s="218" customFormat="1" ht="23.25" customHeight="1" x14ac:dyDescent="0.2">
      <c r="A89" s="1072" t="s">
        <v>546</v>
      </c>
      <c r="B89" s="1073"/>
      <c r="C89" s="402"/>
      <c r="D89" s="1098" t="s">
        <v>628</v>
      </c>
      <c r="E89" s="1072"/>
      <c r="F89" s="1072"/>
      <c r="G89" s="1103"/>
      <c r="H89" s="1104"/>
      <c r="K89" s="218" t="str">
        <f>RIGHT(CATEG_IMPORTEE, LEN(CATEG_IMPORTEE) - 2)</f>
        <v>llèges Mixtes Etablissement</v>
      </c>
      <c r="T89" s="397" t="s">
        <v>627</v>
      </c>
      <c r="U89" s="401">
        <v>4</v>
      </c>
      <c r="V89" s="396" t="s">
        <v>547</v>
      </c>
      <c r="W89" s="401"/>
      <c r="X89" s="395"/>
    </row>
    <row r="90" spans="1:25" ht="27" customHeight="1" thickBot="1" x14ac:dyDescent="0.25">
      <c r="B90" s="1069" t="s">
        <v>0</v>
      </c>
      <c r="C90" s="1069"/>
      <c r="D90" s="1069"/>
      <c r="E90" s="1069"/>
      <c r="F90" s="1069"/>
      <c r="G90" s="1069"/>
      <c r="H90" s="1069"/>
      <c r="I90" s="1069" t="s">
        <v>374</v>
      </c>
      <c r="J90" s="1069"/>
      <c r="K90" s="1069"/>
      <c r="L90" s="1069"/>
      <c r="O90" s="1069" t="s">
        <v>0</v>
      </c>
      <c r="P90" s="1069"/>
      <c r="Q90" s="1069"/>
      <c r="R90" s="1069"/>
      <c r="S90" s="1069"/>
      <c r="T90" s="1069"/>
      <c r="U90" s="1069"/>
      <c r="V90" s="1069" t="s">
        <v>374</v>
      </c>
      <c r="W90" s="1069"/>
      <c r="X90" s="1069"/>
      <c r="Y90" s="1069"/>
    </row>
    <row r="91" spans="1:25" ht="24" customHeight="1" thickBot="1" x14ac:dyDescent="0.25">
      <c r="A91" s="219"/>
      <c r="B91" s="398" t="str">
        <f>VLOOKUP(U89,TBL_equipe,2,FALSE)</f>
        <v/>
      </c>
      <c r="C91" s="399"/>
      <c r="D91" s="399"/>
      <c r="E91" s="399"/>
      <c r="F91" s="399"/>
      <c r="G91" s="399"/>
      <c r="H91" s="400"/>
      <c r="I91" s="257" t="str">
        <f>VLOOKUP(U89,TBL_equipe,4,FALSE)</f>
        <v/>
      </c>
      <c r="J91" s="220"/>
      <c r="K91" s="220"/>
      <c r="L91" s="221"/>
      <c r="M91" s="1070" t="s">
        <v>547</v>
      </c>
      <c r="N91" s="1071"/>
      <c r="O91" s="398" t="e">
        <f>VLOOKUP(W89,TBL_equipe,2,FALSE)</f>
        <v>#N/A</v>
      </c>
      <c r="P91" s="220"/>
      <c r="Q91" s="220"/>
      <c r="R91" s="220"/>
      <c r="S91" s="220"/>
      <c r="T91" s="220"/>
      <c r="U91" s="221"/>
      <c r="V91" s="257" t="e">
        <f>VLOOKUP(W89,TBL_equipe,4,FALSE)</f>
        <v>#N/A</v>
      </c>
      <c r="W91" s="220"/>
      <c r="X91" s="220"/>
      <c r="Y91" s="221"/>
    </row>
    <row r="92" spans="1:25" ht="15" customHeight="1" x14ac:dyDescent="0.2"/>
    <row r="93" spans="1:25" ht="20.100000000000001" customHeight="1" x14ac:dyDescent="0.2">
      <c r="A93" s="1074" t="s">
        <v>548</v>
      </c>
      <c r="B93" s="1074"/>
      <c r="C93" s="1074"/>
      <c r="D93" s="1074"/>
      <c r="E93" s="1074"/>
    </row>
    <row r="94" spans="1:25" ht="20.100000000000001" customHeight="1" x14ac:dyDescent="0.2">
      <c r="A94" s="1075" t="s">
        <v>549</v>
      </c>
      <c r="B94" s="1075"/>
      <c r="C94" s="1075"/>
      <c r="D94" s="1075"/>
      <c r="E94" s="1075"/>
      <c r="G94" s="1076" t="s">
        <v>480</v>
      </c>
      <c r="H94" s="1076"/>
      <c r="I94" s="1077" t="s">
        <v>550</v>
      </c>
      <c r="J94" s="1077"/>
      <c r="K94" s="1077"/>
      <c r="L94" s="252" t="s">
        <v>551</v>
      </c>
      <c r="M94" s="1078" t="s">
        <v>552</v>
      </c>
      <c r="N94" s="1078"/>
      <c r="O94" s="251"/>
    </row>
    <row r="95" spans="1:25" ht="24" customHeight="1" x14ac:dyDescent="0.2">
      <c r="A95" s="258" t="str">
        <f>VLOOKUP(U89,TBL_equipe,5,FALSE)</f>
        <v/>
      </c>
      <c r="B95" s="223"/>
      <c r="C95" s="259" t="str">
        <f>VLOOKUP(U89,TBL_equipe,6,FALSE)</f>
        <v/>
      </c>
      <c r="D95" s="223"/>
      <c r="E95" s="224"/>
      <c r="F95" s="219"/>
      <c r="G95" s="403" t="str">
        <f>VLOOKUP(U89,TBL_equipe,9,FALSE)</f>
        <v/>
      </c>
      <c r="H95" s="224"/>
      <c r="I95" s="222"/>
      <c r="J95" s="246" t="str">
        <f>VLOOKUP(U89,TBL_equipe,8,FALSE)</f>
        <v/>
      </c>
      <c r="K95" s="224"/>
      <c r="L95" s="260" t="str">
        <f>VLOOKUP(U89,TBL_equipe,10,FALSE)</f>
        <v/>
      </c>
      <c r="M95" s="287">
        <f>G89</f>
        <v>0</v>
      </c>
      <c r="N95" s="288"/>
      <c r="O95" s="249"/>
      <c r="R95" s="254"/>
      <c r="S95" s="254"/>
      <c r="T95" s="254" t="s">
        <v>629</v>
      </c>
      <c r="U95" s="254"/>
      <c r="V95" s="254"/>
      <c r="W95" s="254"/>
      <c r="X95" s="254"/>
      <c r="Y95" s="254"/>
    </row>
    <row r="96" spans="1:25" ht="24" customHeight="1" x14ac:dyDescent="0.2">
      <c r="A96" s="258" t="str">
        <f>VLOOKUP(U89,TBL_equipe,11,FALSE)</f>
        <v/>
      </c>
      <c r="B96" s="223"/>
      <c r="C96" s="259" t="str">
        <f>VLOOKUP(U89,TBL_equipe,12,FALSE)</f>
        <v/>
      </c>
      <c r="D96" s="223"/>
      <c r="E96" s="224"/>
      <c r="F96" s="219"/>
      <c r="G96" s="403" t="str">
        <f>VLOOKUP(U89,TBL_equipe,15,FALSE)</f>
        <v/>
      </c>
      <c r="H96" s="224"/>
      <c r="I96" s="222"/>
      <c r="J96" s="246" t="str">
        <f>VLOOKUP(U89,TBL_equipe,14,FALSE)</f>
        <v/>
      </c>
      <c r="K96" s="224"/>
      <c r="L96" s="260" t="str">
        <f>VLOOKUP(U89,TBL_equipe,16,FALSE)</f>
        <v/>
      </c>
      <c r="M96" s="287">
        <f>G89</f>
        <v>0</v>
      </c>
      <c r="N96" s="288"/>
      <c r="O96" s="249"/>
      <c r="Q96" s="254"/>
      <c r="R96" s="254"/>
      <c r="S96" s="254"/>
      <c r="T96" s="254"/>
      <c r="U96" s="254"/>
      <c r="V96" s="254"/>
      <c r="W96" s="254"/>
      <c r="X96" s="254"/>
      <c r="Y96" s="254"/>
    </row>
    <row r="97" spans="1:25" ht="24" customHeight="1" x14ac:dyDescent="0.2">
      <c r="A97" s="258" t="str">
        <f>VLOOKUP(U89,TBL_equipe,17,FALSE)</f>
        <v/>
      </c>
      <c r="B97" s="223"/>
      <c r="C97" s="259" t="str">
        <f>VLOOKUP(U89,TBL_equipe,18,FALSE)</f>
        <v/>
      </c>
      <c r="D97" s="223"/>
      <c r="E97" s="224"/>
      <c r="F97" s="219"/>
      <c r="G97" s="403" t="str">
        <f>VLOOKUP(U89,TBL_equipe,21,FALSE)</f>
        <v/>
      </c>
      <c r="H97" s="224"/>
      <c r="I97" s="222"/>
      <c r="J97" s="246" t="str">
        <f>VLOOKUP(U89,TBL_equipe,20,FALSE)</f>
        <v/>
      </c>
      <c r="K97" s="224"/>
      <c r="L97" s="260" t="str">
        <f>VLOOKUP(U89,TBL_equipe,22,FALSE)</f>
        <v/>
      </c>
      <c r="M97" s="287">
        <f>G89</f>
        <v>0</v>
      </c>
      <c r="N97" s="288"/>
      <c r="O97" s="249"/>
      <c r="Q97" s="254"/>
      <c r="R97" s="254"/>
      <c r="S97" s="254"/>
      <c r="T97" s="254"/>
      <c r="U97" s="254"/>
      <c r="V97" s="254"/>
      <c r="W97" s="254"/>
      <c r="X97" s="254"/>
      <c r="Y97" s="254"/>
    </row>
    <row r="98" spans="1:25" ht="24" customHeight="1" x14ac:dyDescent="0.2">
      <c r="A98" s="258" t="str">
        <f>VLOOKUP(U89,TBL_equipe,23,FALSE)</f>
        <v/>
      </c>
      <c r="B98" s="223"/>
      <c r="C98" s="259" t="str">
        <f>VLOOKUP(U89,TBL_equipe,24,FALSE)</f>
        <v/>
      </c>
      <c r="D98" s="223"/>
      <c r="E98" s="224"/>
      <c r="F98" s="219"/>
      <c r="G98" s="403" t="str">
        <f>VLOOKUP(U89,TBL_equipe,27,FALSE)</f>
        <v/>
      </c>
      <c r="H98" s="224"/>
      <c r="I98" s="222"/>
      <c r="J98" s="246" t="str">
        <f>VLOOKUP(U89,TBL_equipe,26,FALSE)</f>
        <v/>
      </c>
      <c r="K98" s="224"/>
      <c r="L98" s="260" t="str">
        <f>VLOOKUP(U89,TBL_equipe,28,FALSE)</f>
        <v/>
      </c>
      <c r="M98" s="289">
        <f>G89</f>
        <v>0</v>
      </c>
      <c r="N98" s="290"/>
      <c r="O98" s="249"/>
    </row>
    <row r="99" spans="1:25" ht="15" customHeight="1" thickBot="1" x14ac:dyDescent="0.25"/>
    <row r="100" spans="1:25" ht="20.100000000000001" customHeight="1" x14ac:dyDescent="0.2">
      <c r="F100" s="1081" t="s">
        <v>555</v>
      </c>
      <c r="G100" s="1082"/>
      <c r="H100" s="1082"/>
      <c r="I100" s="1082"/>
      <c r="J100" s="1083"/>
      <c r="K100" s="1081" t="s">
        <v>556</v>
      </c>
      <c r="L100" s="1082"/>
      <c r="M100" s="1082"/>
      <c r="N100" s="1082"/>
      <c r="O100" s="1083"/>
      <c r="P100" s="1081" t="s">
        <v>557</v>
      </c>
      <c r="Q100" s="1082"/>
      <c r="R100" s="1082"/>
      <c r="S100" s="1082"/>
      <c r="T100" s="1083"/>
      <c r="U100" s="1081" t="s">
        <v>558</v>
      </c>
      <c r="V100" s="1082"/>
      <c r="W100" s="1082"/>
      <c r="X100" s="1082"/>
      <c r="Y100" s="1083"/>
    </row>
    <row r="101" spans="1:25" ht="20.100000000000001" customHeight="1" x14ac:dyDescent="0.2">
      <c r="A101" s="1075" t="s">
        <v>559</v>
      </c>
      <c r="B101" s="1075"/>
      <c r="C101" s="1075"/>
      <c r="D101" s="1075"/>
      <c r="E101" s="1089"/>
      <c r="F101" s="1090" t="s">
        <v>560</v>
      </c>
      <c r="G101" s="1075"/>
      <c r="H101" s="1075"/>
      <c r="J101" s="225" t="s">
        <v>7</v>
      </c>
      <c r="K101" s="1090" t="s">
        <v>560</v>
      </c>
      <c r="L101" s="1075"/>
      <c r="M101" s="1075"/>
      <c r="O101" s="225" t="s">
        <v>7</v>
      </c>
      <c r="P101" s="1090" t="s">
        <v>560</v>
      </c>
      <c r="Q101" s="1075"/>
      <c r="R101" s="1075"/>
      <c r="T101" s="225" t="s">
        <v>7</v>
      </c>
      <c r="U101" s="1090" t="s">
        <v>560</v>
      </c>
      <c r="V101" s="1075"/>
      <c r="W101" s="1075"/>
      <c r="Y101" s="225" t="s">
        <v>7</v>
      </c>
    </row>
    <row r="102" spans="1:25" ht="24" customHeight="1" x14ac:dyDescent="0.2">
      <c r="A102" s="261" t="str">
        <f>A95</f>
        <v/>
      </c>
      <c r="B102" s="227"/>
      <c r="C102" s="262" t="str">
        <f>C95</f>
        <v/>
      </c>
      <c r="D102" s="227"/>
      <c r="E102" s="227"/>
      <c r="F102" s="228"/>
      <c r="G102" s="229"/>
      <c r="H102" s="229"/>
      <c r="I102" s="230" t="s">
        <v>561</v>
      </c>
      <c r="J102" s="231"/>
      <c r="K102" s="228"/>
      <c r="L102" s="229"/>
      <c r="M102" s="229"/>
      <c r="N102" s="230" t="s">
        <v>561</v>
      </c>
      <c r="O102" s="231"/>
      <c r="P102" s="228"/>
      <c r="Q102" s="229"/>
      <c r="R102" s="229"/>
      <c r="S102" s="230" t="s">
        <v>561</v>
      </c>
      <c r="T102" s="231"/>
      <c r="U102" s="228"/>
      <c r="V102" s="229"/>
      <c r="W102" s="229"/>
      <c r="X102" s="230" t="s">
        <v>561</v>
      </c>
      <c r="Y102" s="231"/>
    </row>
    <row r="103" spans="1:25" ht="24" customHeight="1" x14ac:dyDescent="0.2">
      <c r="A103" s="261" t="str">
        <f>A96</f>
        <v/>
      </c>
      <c r="B103" s="227"/>
      <c r="C103" s="262" t="str">
        <f>C96</f>
        <v/>
      </c>
      <c r="D103" s="227"/>
      <c r="E103" s="227"/>
      <c r="F103" s="228"/>
      <c r="G103" s="229"/>
      <c r="H103" s="229"/>
      <c r="I103" s="230" t="s">
        <v>561</v>
      </c>
      <c r="J103" s="231"/>
      <c r="K103" s="228"/>
      <c r="L103" s="229"/>
      <c r="M103" s="229"/>
      <c r="N103" s="230" t="s">
        <v>561</v>
      </c>
      <c r="O103" s="231"/>
      <c r="P103" s="228"/>
      <c r="Q103" s="229"/>
      <c r="R103" s="229"/>
      <c r="S103" s="230" t="s">
        <v>561</v>
      </c>
      <c r="T103" s="231"/>
      <c r="U103" s="228"/>
      <c r="V103" s="229"/>
      <c r="W103" s="229"/>
      <c r="X103" s="230" t="s">
        <v>561</v>
      </c>
      <c r="Y103" s="231"/>
    </row>
    <row r="104" spans="1:25" ht="24" customHeight="1" x14ac:dyDescent="0.2">
      <c r="A104" s="261" t="str">
        <f>A97</f>
        <v/>
      </c>
      <c r="B104" s="227"/>
      <c r="C104" s="262" t="str">
        <f>C97</f>
        <v/>
      </c>
      <c r="D104" s="227"/>
      <c r="E104" s="227"/>
      <c r="F104" s="228"/>
      <c r="G104" s="229"/>
      <c r="H104" s="229"/>
      <c r="I104" s="230" t="s">
        <v>561</v>
      </c>
      <c r="J104" s="231"/>
      <c r="K104" s="228"/>
      <c r="L104" s="229"/>
      <c r="M104" s="229"/>
      <c r="N104" s="230" t="s">
        <v>561</v>
      </c>
      <c r="O104" s="231"/>
      <c r="P104" s="228"/>
      <c r="Q104" s="229"/>
      <c r="R104" s="229"/>
      <c r="S104" s="230" t="s">
        <v>561</v>
      </c>
      <c r="T104" s="231"/>
      <c r="U104" s="228"/>
      <c r="V104" s="229"/>
      <c r="W104" s="229"/>
      <c r="X104" s="230" t="s">
        <v>561</v>
      </c>
      <c r="Y104" s="231"/>
    </row>
    <row r="105" spans="1:25" ht="24" customHeight="1" x14ac:dyDescent="0.2">
      <c r="A105" s="261" t="str">
        <f>A98</f>
        <v/>
      </c>
      <c r="B105" s="227"/>
      <c r="C105" s="262" t="str">
        <f>C98</f>
        <v/>
      </c>
      <c r="D105" s="227"/>
      <c r="E105" s="227"/>
      <c r="F105" s="228"/>
      <c r="G105" s="229"/>
      <c r="H105" s="229"/>
      <c r="I105" s="230" t="s">
        <v>561</v>
      </c>
      <c r="J105" s="232"/>
      <c r="K105" s="228"/>
      <c r="L105" s="229"/>
      <c r="M105" s="229"/>
      <c r="N105" s="230" t="s">
        <v>561</v>
      </c>
      <c r="O105" s="232"/>
      <c r="P105" s="228"/>
      <c r="Q105" s="229"/>
      <c r="R105" s="229"/>
      <c r="S105" s="230" t="s">
        <v>561</v>
      </c>
      <c r="T105" s="232"/>
      <c r="U105" s="228"/>
      <c r="V105" s="229"/>
      <c r="W105" s="229"/>
      <c r="X105" s="230" t="s">
        <v>561</v>
      </c>
      <c r="Y105" s="232"/>
    </row>
    <row r="106" spans="1:25" ht="24" customHeight="1" thickBot="1" x14ac:dyDescent="0.25">
      <c r="F106" s="1079" t="s">
        <v>562</v>
      </c>
      <c r="G106" s="1080"/>
      <c r="H106" s="1080"/>
      <c r="I106" s="230" t="s">
        <v>561</v>
      </c>
      <c r="J106" s="231"/>
      <c r="K106" s="1079" t="s">
        <v>563</v>
      </c>
      <c r="L106" s="1080"/>
      <c r="M106" s="1080"/>
      <c r="N106" s="230" t="s">
        <v>561</v>
      </c>
      <c r="O106" s="232"/>
      <c r="P106" s="1079" t="s">
        <v>564</v>
      </c>
      <c r="Q106" s="1080"/>
      <c r="R106" s="1080"/>
      <c r="S106" s="230" t="s">
        <v>561</v>
      </c>
      <c r="T106" s="232"/>
      <c r="U106" s="1079" t="s">
        <v>565</v>
      </c>
      <c r="V106" s="1080"/>
      <c r="W106" s="1080"/>
      <c r="X106" s="230" t="s">
        <v>561</v>
      </c>
      <c r="Y106" s="232"/>
    </row>
    <row r="107" spans="1:25" ht="24" customHeight="1" thickBot="1" x14ac:dyDescent="0.25">
      <c r="F107" s="233"/>
      <c r="G107" s="234"/>
      <c r="H107" s="235" t="s">
        <v>566</v>
      </c>
      <c r="I107" s="235"/>
      <c r="J107" s="236"/>
      <c r="K107" s="1092" t="s">
        <v>567</v>
      </c>
      <c r="L107" s="1085"/>
      <c r="M107" s="1085"/>
      <c r="N107" s="237" t="s">
        <v>561</v>
      </c>
      <c r="O107" s="238"/>
      <c r="P107" s="1092" t="s">
        <v>568</v>
      </c>
      <c r="Q107" s="1085"/>
      <c r="R107" s="1085"/>
      <c r="S107" s="237" t="s">
        <v>561</v>
      </c>
      <c r="T107" s="238"/>
      <c r="U107" s="1092" t="s">
        <v>569</v>
      </c>
      <c r="V107" s="1085"/>
      <c r="W107" s="1085"/>
      <c r="X107" s="237" t="s">
        <v>561</v>
      </c>
      <c r="Y107" s="239"/>
    </row>
    <row r="108" spans="1:25" ht="12.75" customHeight="1" x14ac:dyDescent="0.2">
      <c r="Y108" s="240" t="s">
        <v>570</v>
      </c>
    </row>
    <row r="109" spans="1:25" ht="15.75" customHeight="1" x14ac:dyDescent="0.2">
      <c r="B109" s="1091" t="s">
        <v>521</v>
      </c>
      <c r="C109" s="1091"/>
      <c r="D109" s="1091"/>
      <c r="E109" s="1091"/>
      <c r="F109" s="1091"/>
      <c r="G109" s="1091"/>
      <c r="H109" s="1091"/>
      <c r="I109" s="1091"/>
      <c r="J109" s="1091"/>
      <c r="K109" s="1091"/>
      <c r="L109" s="1091"/>
      <c r="O109" s="1091" t="s">
        <v>522</v>
      </c>
      <c r="P109" s="1091"/>
      <c r="Q109" s="1091"/>
      <c r="R109" s="1091"/>
      <c r="S109" s="1091"/>
      <c r="T109" s="1091"/>
      <c r="U109" s="1091"/>
      <c r="V109" s="1091"/>
      <c r="W109" s="1091"/>
      <c r="X109" s="1091"/>
      <c r="Y109" s="1091"/>
    </row>
    <row r="110" spans="1:25" ht="13.5" customHeight="1" x14ac:dyDescent="0.2">
      <c r="B110" s="1086" t="s">
        <v>1</v>
      </c>
      <c r="C110" s="1087"/>
      <c r="D110" s="1087"/>
      <c r="E110" s="1087"/>
      <c r="F110" s="1087"/>
      <c r="G110" s="1087"/>
      <c r="H110" s="1088"/>
      <c r="I110" s="1086" t="s">
        <v>520</v>
      </c>
      <c r="J110" s="1087"/>
      <c r="K110" s="1087"/>
      <c r="L110" s="1088"/>
      <c r="N110" s="241"/>
      <c r="O110" s="1086" t="s">
        <v>1</v>
      </c>
      <c r="P110" s="1087"/>
      <c r="Q110" s="1087"/>
      <c r="R110" s="1087"/>
      <c r="S110" s="1087"/>
      <c r="T110" s="1087"/>
      <c r="U110" s="1088"/>
      <c r="V110" s="1086" t="s">
        <v>520</v>
      </c>
      <c r="W110" s="1087"/>
      <c r="X110" s="1087"/>
      <c r="Y110" s="1088"/>
    </row>
    <row r="111" spans="1:25" ht="21.75" customHeight="1" x14ac:dyDescent="0.2">
      <c r="B111" s="242"/>
      <c r="C111" s="243"/>
      <c r="D111" s="243"/>
      <c r="E111" s="243"/>
      <c r="F111" s="243"/>
      <c r="G111" s="243"/>
      <c r="H111" s="243"/>
      <c r="I111" s="242"/>
      <c r="J111" s="243"/>
      <c r="K111" s="243"/>
      <c r="L111" s="244"/>
      <c r="N111" s="241"/>
      <c r="O111" s="242"/>
      <c r="P111" s="243"/>
      <c r="Q111" s="243"/>
      <c r="R111" s="243"/>
      <c r="S111" s="243"/>
      <c r="T111" s="243"/>
      <c r="U111" s="243"/>
      <c r="V111" s="242"/>
      <c r="W111" s="243"/>
      <c r="X111" s="243"/>
      <c r="Y111" s="244"/>
    </row>
    <row r="112" spans="1:25" ht="13.5" customHeight="1" x14ac:dyDescent="0.2"/>
    <row r="113" spans="1:25" ht="14.25" customHeight="1" thickBot="1" x14ac:dyDescent="0.25">
      <c r="A113" s="241"/>
      <c r="G113" s="305"/>
      <c r="H113" s="305"/>
      <c r="I113" s="1069" t="s">
        <v>0</v>
      </c>
      <c r="J113" s="1069"/>
      <c r="K113" s="1069"/>
      <c r="L113" s="1069"/>
      <c r="M113" s="1069"/>
      <c r="N113" s="1069"/>
      <c r="O113" s="1069"/>
      <c r="P113" s="1069" t="s">
        <v>374</v>
      </c>
      <c r="Q113" s="1069"/>
      <c r="R113" s="1069"/>
      <c r="S113" s="1069"/>
      <c r="T113" s="1069"/>
      <c r="U113" s="1069" t="s">
        <v>571</v>
      </c>
      <c r="V113" s="1069"/>
      <c r="W113" s="1069"/>
      <c r="X113" s="305"/>
      <c r="Y113" s="305"/>
    </row>
    <row r="114" spans="1:25" ht="20.25" customHeight="1" x14ac:dyDescent="0.2">
      <c r="A114" s="241"/>
      <c r="F114" s="1074" t="s">
        <v>584</v>
      </c>
      <c r="G114" s="1074"/>
      <c r="H114" s="1074"/>
      <c r="I114" s="316"/>
      <c r="J114" s="306"/>
      <c r="K114" s="306"/>
      <c r="L114" s="306"/>
      <c r="M114" s="306"/>
      <c r="N114" s="306"/>
      <c r="O114" s="306"/>
      <c r="P114" s="312"/>
      <c r="Q114" s="306"/>
      <c r="R114" s="307"/>
      <c r="S114" s="304"/>
      <c r="T114" s="313"/>
      <c r="U114" s="310"/>
      <c r="V114" s="1084" t="s">
        <v>495</v>
      </c>
      <c r="W114" s="308"/>
    </row>
    <row r="115" spans="1:25" ht="13.5" thickBot="1" x14ac:dyDescent="0.25">
      <c r="F115" s="1074"/>
      <c r="G115" s="1074"/>
      <c r="H115" s="1074"/>
      <c r="I115" s="303"/>
      <c r="J115" s="235"/>
      <c r="K115" s="235"/>
      <c r="L115" s="235"/>
      <c r="M115" s="235"/>
      <c r="N115" s="235"/>
      <c r="O115" s="235"/>
      <c r="P115" s="314"/>
      <c r="Q115" s="235"/>
      <c r="R115" s="234"/>
      <c r="S115" s="234"/>
      <c r="T115" s="315"/>
      <c r="U115" s="311"/>
      <c r="V115" s="1085"/>
      <c r="W115" s="309"/>
    </row>
    <row r="117" spans="1:25" ht="6.75" customHeight="1" x14ac:dyDescent="0.2"/>
    <row r="118" spans="1:25" s="218" customFormat="1" ht="23.25" customHeight="1" x14ac:dyDescent="0.2">
      <c r="A118" s="1072" t="s">
        <v>546</v>
      </c>
      <c r="B118" s="1073"/>
      <c r="C118" s="402"/>
      <c r="D118" s="1098" t="s">
        <v>628</v>
      </c>
      <c r="E118" s="1072"/>
      <c r="F118" s="1072"/>
      <c r="G118" s="1103"/>
      <c r="H118" s="1104"/>
      <c r="K118" s="218" t="str">
        <f>RIGHT(CATEG_IMPORTEE, LEN(CATEG_IMPORTEE) - 2)</f>
        <v>llèges Mixtes Etablissement</v>
      </c>
      <c r="T118" s="397" t="s">
        <v>627</v>
      </c>
      <c r="U118" s="401">
        <v>5</v>
      </c>
      <c r="V118" s="396" t="s">
        <v>547</v>
      </c>
      <c r="W118" s="401"/>
      <c r="X118" s="395"/>
    </row>
    <row r="119" spans="1:25" ht="27" customHeight="1" thickBot="1" x14ac:dyDescent="0.25">
      <c r="B119" s="1069" t="s">
        <v>0</v>
      </c>
      <c r="C119" s="1069"/>
      <c r="D119" s="1069"/>
      <c r="E119" s="1069"/>
      <c r="F119" s="1069"/>
      <c r="G119" s="1069"/>
      <c r="H119" s="1069"/>
      <c r="I119" s="1069" t="s">
        <v>374</v>
      </c>
      <c r="J119" s="1069"/>
      <c r="K119" s="1069"/>
      <c r="L119" s="1069"/>
      <c r="O119" s="1069" t="s">
        <v>0</v>
      </c>
      <c r="P119" s="1069"/>
      <c r="Q119" s="1069"/>
      <c r="R119" s="1069"/>
      <c r="S119" s="1069"/>
      <c r="T119" s="1069"/>
      <c r="U119" s="1069"/>
      <c r="V119" s="1069" t="s">
        <v>374</v>
      </c>
      <c r="W119" s="1069"/>
      <c r="X119" s="1069"/>
      <c r="Y119" s="1069"/>
    </row>
    <row r="120" spans="1:25" ht="24" customHeight="1" thickBot="1" x14ac:dyDescent="0.25">
      <c r="A120" s="219"/>
      <c r="B120" s="398" t="str">
        <f>VLOOKUP(U118,TBL_equipe,2,FALSE)</f>
        <v/>
      </c>
      <c r="C120" s="399"/>
      <c r="D120" s="399"/>
      <c r="E120" s="399"/>
      <c r="F120" s="399"/>
      <c r="G120" s="399"/>
      <c r="H120" s="400"/>
      <c r="I120" s="257" t="str">
        <f>VLOOKUP(U118,TBL_equipe,4,FALSE)</f>
        <v/>
      </c>
      <c r="J120" s="220"/>
      <c r="K120" s="220"/>
      <c r="L120" s="221"/>
      <c r="M120" s="1070" t="s">
        <v>547</v>
      </c>
      <c r="N120" s="1071"/>
      <c r="O120" s="398" t="e">
        <f>VLOOKUP(W118,TBL_equipe,2,FALSE)</f>
        <v>#N/A</v>
      </c>
      <c r="P120" s="220"/>
      <c r="Q120" s="220"/>
      <c r="R120" s="220"/>
      <c r="S120" s="220"/>
      <c r="T120" s="220"/>
      <c r="U120" s="221"/>
      <c r="V120" s="257" t="e">
        <f>VLOOKUP(W118,TBL_equipe,4,FALSE)</f>
        <v>#N/A</v>
      </c>
      <c r="W120" s="220"/>
      <c r="X120" s="220"/>
      <c r="Y120" s="221"/>
    </row>
    <row r="121" spans="1:25" ht="15" customHeight="1" x14ac:dyDescent="0.2"/>
    <row r="122" spans="1:25" ht="20.100000000000001" customHeight="1" x14ac:dyDescent="0.2">
      <c r="A122" s="1074" t="s">
        <v>548</v>
      </c>
      <c r="B122" s="1074"/>
      <c r="C122" s="1074"/>
      <c r="D122" s="1074"/>
      <c r="E122" s="1074"/>
    </row>
    <row r="123" spans="1:25" ht="20.100000000000001" customHeight="1" x14ac:dyDescent="0.2">
      <c r="A123" s="1075" t="s">
        <v>549</v>
      </c>
      <c r="B123" s="1075"/>
      <c r="C123" s="1075"/>
      <c r="D123" s="1075"/>
      <c r="E123" s="1075"/>
      <c r="G123" s="1076" t="s">
        <v>480</v>
      </c>
      <c r="H123" s="1076"/>
      <c r="I123" s="1077" t="s">
        <v>550</v>
      </c>
      <c r="J123" s="1077"/>
      <c r="K123" s="1077"/>
      <c r="L123" s="252" t="s">
        <v>551</v>
      </c>
      <c r="M123" s="1078" t="s">
        <v>552</v>
      </c>
      <c r="N123" s="1078"/>
      <c r="O123" s="251"/>
    </row>
    <row r="124" spans="1:25" ht="24" customHeight="1" x14ac:dyDescent="0.2">
      <c r="A124" s="258" t="str">
        <f>VLOOKUP(U118,TBL_equipe,5,FALSE)</f>
        <v/>
      </c>
      <c r="B124" s="223"/>
      <c r="C124" s="259" t="str">
        <f>VLOOKUP(U118,TBL_equipe,6,FALSE)</f>
        <v/>
      </c>
      <c r="D124" s="223"/>
      <c r="E124" s="224"/>
      <c r="F124" s="219"/>
      <c r="G124" s="403" t="str">
        <f>VLOOKUP(U118,TBL_equipe,9,FALSE)</f>
        <v/>
      </c>
      <c r="H124" s="224"/>
      <c r="I124" s="222"/>
      <c r="J124" s="246" t="str">
        <f>VLOOKUP(U118,TBL_equipe,8,FALSE)</f>
        <v/>
      </c>
      <c r="K124" s="224"/>
      <c r="L124" s="260" t="str">
        <f>VLOOKUP(U118,TBL_equipe,10,FALSE)</f>
        <v/>
      </c>
      <c r="M124" s="287">
        <f>G118</f>
        <v>0</v>
      </c>
      <c r="N124" s="288"/>
      <c r="O124" s="249"/>
      <c r="R124" s="254"/>
      <c r="S124" s="254"/>
      <c r="T124" s="254" t="s">
        <v>629</v>
      </c>
      <c r="U124" s="254"/>
      <c r="V124" s="254"/>
      <c r="W124" s="254"/>
      <c r="X124" s="254"/>
      <c r="Y124" s="254"/>
    </row>
    <row r="125" spans="1:25" ht="24" customHeight="1" x14ac:dyDescent="0.2">
      <c r="A125" s="258" t="str">
        <f>VLOOKUP(U118,TBL_equipe,11,FALSE)</f>
        <v/>
      </c>
      <c r="B125" s="223"/>
      <c r="C125" s="259" t="str">
        <f>VLOOKUP(U118,TBL_equipe,12,FALSE)</f>
        <v/>
      </c>
      <c r="D125" s="223"/>
      <c r="E125" s="224"/>
      <c r="F125" s="219"/>
      <c r="G125" s="403" t="str">
        <f>VLOOKUP(U118,TBL_equipe,15,FALSE)</f>
        <v/>
      </c>
      <c r="H125" s="224"/>
      <c r="I125" s="222"/>
      <c r="J125" s="246" t="str">
        <f>VLOOKUP(U118,TBL_equipe,14,FALSE)</f>
        <v/>
      </c>
      <c r="K125" s="224"/>
      <c r="L125" s="260" t="str">
        <f>VLOOKUP(U118,TBL_equipe,16,FALSE)</f>
        <v/>
      </c>
      <c r="M125" s="287">
        <f>G118</f>
        <v>0</v>
      </c>
      <c r="N125" s="288"/>
      <c r="O125" s="249"/>
      <c r="Q125" s="254"/>
      <c r="R125" s="254"/>
      <c r="S125" s="254"/>
      <c r="T125" s="254"/>
      <c r="U125" s="254"/>
      <c r="V125" s="254"/>
      <c r="W125" s="254"/>
      <c r="X125" s="254"/>
      <c r="Y125" s="254"/>
    </row>
    <row r="126" spans="1:25" ht="24" customHeight="1" x14ac:dyDescent="0.2">
      <c r="A126" s="258" t="str">
        <f>VLOOKUP(U118,TBL_equipe,17,FALSE)</f>
        <v/>
      </c>
      <c r="B126" s="223"/>
      <c r="C126" s="259" t="str">
        <f>VLOOKUP(U118,TBL_equipe,18,FALSE)</f>
        <v/>
      </c>
      <c r="D126" s="223"/>
      <c r="E126" s="224"/>
      <c r="F126" s="219"/>
      <c r="G126" s="403" t="str">
        <f>VLOOKUP(U118,TBL_equipe,21,FALSE)</f>
        <v/>
      </c>
      <c r="H126" s="224"/>
      <c r="I126" s="222"/>
      <c r="J126" s="246" t="str">
        <f>VLOOKUP(U118,TBL_equipe,20,FALSE)</f>
        <v/>
      </c>
      <c r="K126" s="224"/>
      <c r="L126" s="260" t="str">
        <f>VLOOKUP(U118,TBL_equipe,22,FALSE)</f>
        <v/>
      </c>
      <c r="M126" s="287">
        <f>G118</f>
        <v>0</v>
      </c>
      <c r="N126" s="288"/>
      <c r="O126" s="249"/>
      <c r="Q126" s="254"/>
      <c r="R126" s="254"/>
      <c r="S126" s="254"/>
      <c r="T126" s="254"/>
      <c r="U126" s="254"/>
      <c r="V126" s="254"/>
      <c r="W126" s="254"/>
      <c r="X126" s="254"/>
      <c r="Y126" s="254"/>
    </row>
    <row r="127" spans="1:25" ht="24" customHeight="1" x14ac:dyDescent="0.2">
      <c r="A127" s="258" t="str">
        <f>VLOOKUP(U118,TBL_equipe,23,FALSE)</f>
        <v/>
      </c>
      <c r="B127" s="223"/>
      <c r="C127" s="259" t="str">
        <f>VLOOKUP(U118,TBL_equipe,24,FALSE)</f>
        <v/>
      </c>
      <c r="D127" s="223"/>
      <c r="E127" s="224"/>
      <c r="F127" s="219"/>
      <c r="G127" s="403" t="str">
        <f>VLOOKUP(U118,TBL_equipe,27,FALSE)</f>
        <v/>
      </c>
      <c r="H127" s="224"/>
      <c r="I127" s="222"/>
      <c r="J127" s="246" t="str">
        <f>VLOOKUP(U118,TBL_equipe,26,FALSE)</f>
        <v/>
      </c>
      <c r="K127" s="224"/>
      <c r="L127" s="260" t="str">
        <f>VLOOKUP(U118,TBL_equipe,28,FALSE)</f>
        <v/>
      </c>
      <c r="M127" s="289">
        <f>G118</f>
        <v>0</v>
      </c>
      <c r="N127" s="290"/>
      <c r="O127" s="249"/>
    </row>
    <row r="128" spans="1:25" ht="15" customHeight="1" thickBot="1" x14ac:dyDescent="0.25"/>
    <row r="129" spans="1:25" ht="20.100000000000001" customHeight="1" x14ac:dyDescent="0.2">
      <c r="F129" s="1081" t="s">
        <v>555</v>
      </c>
      <c r="G129" s="1082"/>
      <c r="H129" s="1082"/>
      <c r="I129" s="1082"/>
      <c r="J129" s="1083"/>
      <c r="K129" s="1081" t="s">
        <v>556</v>
      </c>
      <c r="L129" s="1082"/>
      <c r="M129" s="1082"/>
      <c r="N129" s="1082"/>
      <c r="O129" s="1083"/>
      <c r="P129" s="1081" t="s">
        <v>557</v>
      </c>
      <c r="Q129" s="1082"/>
      <c r="R129" s="1082"/>
      <c r="S129" s="1082"/>
      <c r="T129" s="1083"/>
      <c r="U129" s="1081" t="s">
        <v>558</v>
      </c>
      <c r="V129" s="1082"/>
      <c r="W129" s="1082"/>
      <c r="X129" s="1082"/>
      <c r="Y129" s="1083"/>
    </row>
    <row r="130" spans="1:25" ht="20.100000000000001" customHeight="1" x14ac:dyDescent="0.2">
      <c r="A130" s="1075" t="s">
        <v>559</v>
      </c>
      <c r="B130" s="1075"/>
      <c r="C130" s="1075"/>
      <c r="D130" s="1075"/>
      <c r="E130" s="1089"/>
      <c r="F130" s="1090" t="s">
        <v>560</v>
      </c>
      <c r="G130" s="1075"/>
      <c r="H130" s="1075"/>
      <c r="J130" s="225" t="s">
        <v>7</v>
      </c>
      <c r="K130" s="1090" t="s">
        <v>560</v>
      </c>
      <c r="L130" s="1075"/>
      <c r="M130" s="1075"/>
      <c r="O130" s="225" t="s">
        <v>7</v>
      </c>
      <c r="P130" s="1090" t="s">
        <v>560</v>
      </c>
      <c r="Q130" s="1075"/>
      <c r="R130" s="1075"/>
      <c r="T130" s="225" t="s">
        <v>7</v>
      </c>
      <c r="U130" s="1090" t="s">
        <v>560</v>
      </c>
      <c r="V130" s="1075"/>
      <c r="W130" s="1075"/>
      <c r="Y130" s="225" t="s">
        <v>7</v>
      </c>
    </row>
    <row r="131" spans="1:25" ht="24" customHeight="1" x14ac:dyDescent="0.2">
      <c r="A131" s="261" t="str">
        <f>A124</f>
        <v/>
      </c>
      <c r="B131" s="227"/>
      <c r="C131" s="262" t="str">
        <f>C124</f>
        <v/>
      </c>
      <c r="D131" s="227"/>
      <c r="E131" s="227"/>
      <c r="F131" s="228"/>
      <c r="G131" s="229"/>
      <c r="H131" s="229"/>
      <c r="I131" s="230" t="s">
        <v>561</v>
      </c>
      <c r="J131" s="231"/>
      <c r="K131" s="228"/>
      <c r="L131" s="229"/>
      <c r="M131" s="229"/>
      <c r="N131" s="230" t="s">
        <v>561</v>
      </c>
      <c r="O131" s="231"/>
      <c r="P131" s="228"/>
      <c r="Q131" s="229"/>
      <c r="R131" s="229"/>
      <c r="S131" s="230" t="s">
        <v>561</v>
      </c>
      <c r="T131" s="231"/>
      <c r="U131" s="228"/>
      <c r="V131" s="229"/>
      <c r="W131" s="229"/>
      <c r="X131" s="230" t="s">
        <v>561</v>
      </c>
      <c r="Y131" s="231"/>
    </row>
    <row r="132" spans="1:25" ht="24" customHeight="1" x14ac:dyDescent="0.2">
      <c r="A132" s="261" t="str">
        <f>A125</f>
        <v/>
      </c>
      <c r="B132" s="227"/>
      <c r="C132" s="262" t="str">
        <f>C125</f>
        <v/>
      </c>
      <c r="D132" s="227"/>
      <c r="E132" s="227"/>
      <c r="F132" s="228"/>
      <c r="G132" s="229"/>
      <c r="H132" s="229"/>
      <c r="I132" s="230" t="s">
        <v>561</v>
      </c>
      <c r="J132" s="231"/>
      <c r="K132" s="228"/>
      <c r="L132" s="229"/>
      <c r="M132" s="229"/>
      <c r="N132" s="230" t="s">
        <v>561</v>
      </c>
      <c r="O132" s="231"/>
      <c r="P132" s="228"/>
      <c r="Q132" s="229"/>
      <c r="R132" s="229"/>
      <c r="S132" s="230" t="s">
        <v>561</v>
      </c>
      <c r="T132" s="231"/>
      <c r="U132" s="228"/>
      <c r="V132" s="229"/>
      <c r="W132" s="229"/>
      <c r="X132" s="230" t="s">
        <v>561</v>
      </c>
      <c r="Y132" s="231"/>
    </row>
    <row r="133" spans="1:25" ht="24" customHeight="1" x14ac:dyDescent="0.2">
      <c r="A133" s="261" t="str">
        <f>A126</f>
        <v/>
      </c>
      <c r="B133" s="227"/>
      <c r="C133" s="262" t="str">
        <f>C126</f>
        <v/>
      </c>
      <c r="D133" s="227"/>
      <c r="E133" s="227"/>
      <c r="F133" s="228"/>
      <c r="G133" s="229"/>
      <c r="H133" s="229"/>
      <c r="I133" s="230" t="s">
        <v>561</v>
      </c>
      <c r="J133" s="231"/>
      <c r="K133" s="228"/>
      <c r="L133" s="229"/>
      <c r="M133" s="229"/>
      <c r="N133" s="230" t="s">
        <v>561</v>
      </c>
      <c r="O133" s="231"/>
      <c r="P133" s="228"/>
      <c r="Q133" s="229"/>
      <c r="R133" s="229"/>
      <c r="S133" s="230" t="s">
        <v>561</v>
      </c>
      <c r="T133" s="231"/>
      <c r="U133" s="228"/>
      <c r="V133" s="229"/>
      <c r="W133" s="229"/>
      <c r="X133" s="230" t="s">
        <v>561</v>
      </c>
      <c r="Y133" s="231"/>
    </row>
    <row r="134" spans="1:25" ht="24" customHeight="1" x14ac:dyDescent="0.2">
      <c r="A134" s="261" t="str">
        <f>A127</f>
        <v/>
      </c>
      <c r="B134" s="227"/>
      <c r="C134" s="262" t="str">
        <f>C127</f>
        <v/>
      </c>
      <c r="D134" s="227"/>
      <c r="E134" s="227"/>
      <c r="F134" s="228"/>
      <c r="G134" s="229"/>
      <c r="H134" s="229"/>
      <c r="I134" s="230" t="s">
        <v>561</v>
      </c>
      <c r="J134" s="232"/>
      <c r="K134" s="228"/>
      <c r="L134" s="229"/>
      <c r="M134" s="229"/>
      <c r="N134" s="230" t="s">
        <v>561</v>
      </c>
      <c r="O134" s="232"/>
      <c r="P134" s="228"/>
      <c r="Q134" s="229"/>
      <c r="R134" s="229"/>
      <c r="S134" s="230" t="s">
        <v>561</v>
      </c>
      <c r="T134" s="232"/>
      <c r="U134" s="228"/>
      <c r="V134" s="229"/>
      <c r="W134" s="229"/>
      <c r="X134" s="230" t="s">
        <v>561</v>
      </c>
      <c r="Y134" s="232"/>
    </row>
    <row r="135" spans="1:25" ht="24" customHeight="1" thickBot="1" x14ac:dyDescent="0.25">
      <c r="F135" s="1079" t="s">
        <v>562</v>
      </c>
      <c r="G135" s="1080"/>
      <c r="H135" s="1080"/>
      <c r="I135" s="230" t="s">
        <v>561</v>
      </c>
      <c r="J135" s="231"/>
      <c r="K135" s="1079" t="s">
        <v>563</v>
      </c>
      <c r="L135" s="1080"/>
      <c r="M135" s="1080"/>
      <c r="N135" s="230" t="s">
        <v>561</v>
      </c>
      <c r="O135" s="232"/>
      <c r="P135" s="1079" t="s">
        <v>564</v>
      </c>
      <c r="Q135" s="1080"/>
      <c r="R135" s="1080"/>
      <c r="S135" s="230" t="s">
        <v>561</v>
      </c>
      <c r="T135" s="232"/>
      <c r="U135" s="1079" t="s">
        <v>565</v>
      </c>
      <c r="V135" s="1080"/>
      <c r="W135" s="1080"/>
      <c r="X135" s="230" t="s">
        <v>561</v>
      </c>
      <c r="Y135" s="232"/>
    </row>
    <row r="136" spans="1:25" ht="24" customHeight="1" thickBot="1" x14ac:dyDescent="0.25">
      <c r="F136" s="233"/>
      <c r="G136" s="234"/>
      <c r="H136" s="235" t="s">
        <v>566</v>
      </c>
      <c r="I136" s="235"/>
      <c r="J136" s="236"/>
      <c r="K136" s="1092" t="s">
        <v>567</v>
      </c>
      <c r="L136" s="1085"/>
      <c r="M136" s="1085"/>
      <c r="N136" s="237" t="s">
        <v>561</v>
      </c>
      <c r="O136" s="238"/>
      <c r="P136" s="1092" t="s">
        <v>568</v>
      </c>
      <c r="Q136" s="1085"/>
      <c r="R136" s="1085"/>
      <c r="S136" s="237" t="s">
        <v>561</v>
      </c>
      <c r="T136" s="238"/>
      <c r="U136" s="1092" t="s">
        <v>569</v>
      </c>
      <c r="V136" s="1085"/>
      <c r="W136" s="1085"/>
      <c r="X136" s="237" t="s">
        <v>561</v>
      </c>
      <c r="Y136" s="239"/>
    </row>
    <row r="137" spans="1:25" ht="12.75" customHeight="1" x14ac:dyDescent="0.2">
      <c r="Y137" s="240" t="s">
        <v>570</v>
      </c>
    </row>
    <row r="138" spans="1:25" ht="15.75" customHeight="1" x14ac:dyDescent="0.2">
      <c r="B138" s="1091" t="s">
        <v>521</v>
      </c>
      <c r="C138" s="1091"/>
      <c r="D138" s="1091"/>
      <c r="E138" s="1091"/>
      <c r="F138" s="1091"/>
      <c r="G138" s="1091"/>
      <c r="H138" s="1091"/>
      <c r="I138" s="1091"/>
      <c r="J138" s="1091"/>
      <c r="K138" s="1091"/>
      <c r="L138" s="1091"/>
      <c r="O138" s="1091" t="s">
        <v>522</v>
      </c>
      <c r="P138" s="1091"/>
      <c r="Q138" s="1091"/>
      <c r="R138" s="1091"/>
      <c r="S138" s="1091"/>
      <c r="T138" s="1091"/>
      <c r="U138" s="1091"/>
      <c r="V138" s="1091"/>
      <c r="W138" s="1091"/>
      <c r="X138" s="1091"/>
      <c r="Y138" s="1091"/>
    </row>
    <row r="139" spans="1:25" ht="13.5" customHeight="1" x14ac:dyDescent="0.2">
      <c r="B139" s="1086" t="s">
        <v>1</v>
      </c>
      <c r="C139" s="1087"/>
      <c r="D139" s="1087"/>
      <c r="E139" s="1087"/>
      <c r="F139" s="1087"/>
      <c r="G139" s="1087"/>
      <c r="H139" s="1088"/>
      <c r="I139" s="1086" t="s">
        <v>520</v>
      </c>
      <c r="J139" s="1087"/>
      <c r="K139" s="1087"/>
      <c r="L139" s="1088"/>
      <c r="N139" s="241"/>
      <c r="O139" s="1086" t="s">
        <v>1</v>
      </c>
      <c r="P139" s="1087"/>
      <c r="Q139" s="1087"/>
      <c r="R139" s="1087"/>
      <c r="S139" s="1087"/>
      <c r="T139" s="1087"/>
      <c r="U139" s="1088"/>
      <c r="V139" s="1086" t="s">
        <v>520</v>
      </c>
      <c r="W139" s="1087"/>
      <c r="X139" s="1087"/>
      <c r="Y139" s="1088"/>
    </row>
    <row r="140" spans="1:25" ht="21.75" customHeight="1" x14ac:dyDescent="0.2">
      <c r="B140" s="242"/>
      <c r="C140" s="243"/>
      <c r="D140" s="243"/>
      <c r="E140" s="243"/>
      <c r="F140" s="243"/>
      <c r="G140" s="243"/>
      <c r="H140" s="243"/>
      <c r="I140" s="242"/>
      <c r="J140" s="243"/>
      <c r="K140" s="243"/>
      <c r="L140" s="244"/>
      <c r="N140" s="241"/>
      <c r="O140" s="242"/>
      <c r="P140" s="243"/>
      <c r="Q140" s="243"/>
      <c r="R140" s="243"/>
      <c r="S140" s="243"/>
      <c r="T140" s="243"/>
      <c r="U140" s="243"/>
      <c r="V140" s="242"/>
      <c r="W140" s="243"/>
      <c r="X140" s="243"/>
      <c r="Y140" s="244"/>
    </row>
    <row r="141" spans="1:25" ht="13.5" customHeight="1" x14ac:dyDescent="0.2"/>
    <row r="142" spans="1:25" ht="14.25" customHeight="1" thickBot="1" x14ac:dyDescent="0.25">
      <c r="A142" s="241"/>
      <c r="G142" s="305"/>
      <c r="H142" s="305"/>
      <c r="I142" s="1069" t="s">
        <v>0</v>
      </c>
      <c r="J142" s="1069"/>
      <c r="K142" s="1069"/>
      <c r="L142" s="1069"/>
      <c r="M142" s="1069"/>
      <c r="N142" s="1069"/>
      <c r="O142" s="1069"/>
      <c r="P142" s="1069" t="s">
        <v>374</v>
      </c>
      <c r="Q142" s="1069"/>
      <c r="R142" s="1069"/>
      <c r="S142" s="1069"/>
      <c r="T142" s="1069"/>
      <c r="U142" s="1069" t="s">
        <v>571</v>
      </c>
      <c r="V142" s="1069"/>
      <c r="W142" s="1069"/>
      <c r="X142" s="305"/>
      <c r="Y142" s="305"/>
    </row>
    <row r="143" spans="1:25" ht="20.25" customHeight="1" x14ac:dyDescent="0.2">
      <c r="A143" s="241"/>
      <c r="F143" s="1074" t="s">
        <v>584</v>
      </c>
      <c r="G143" s="1074"/>
      <c r="H143" s="1074"/>
      <c r="I143" s="316"/>
      <c r="J143" s="306"/>
      <c r="K143" s="306"/>
      <c r="L143" s="306"/>
      <c r="M143" s="306"/>
      <c r="N143" s="306"/>
      <c r="O143" s="306"/>
      <c r="P143" s="312"/>
      <c r="Q143" s="306"/>
      <c r="R143" s="307"/>
      <c r="S143" s="304"/>
      <c r="T143" s="313"/>
      <c r="U143" s="310"/>
      <c r="V143" s="1084" t="s">
        <v>495</v>
      </c>
      <c r="W143" s="308"/>
    </row>
    <row r="144" spans="1:25" ht="13.5" thickBot="1" x14ac:dyDescent="0.25">
      <c r="F144" s="1074"/>
      <c r="G144" s="1074"/>
      <c r="H144" s="1074"/>
      <c r="I144" s="303"/>
      <c r="J144" s="235"/>
      <c r="K144" s="235"/>
      <c r="L144" s="235"/>
      <c r="M144" s="235"/>
      <c r="N144" s="235"/>
      <c r="O144" s="235"/>
      <c r="P144" s="314"/>
      <c r="Q144" s="235"/>
      <c r="R144" s="234"/>
      <c r="S144" s="234"/>
      <c r="T144" s="315"/>
      <c r="U144" s="311"/>
      <c r="V144" s="1085"/>
      <c r="W144" s="309"/>
    </row>
    <row r="146" spans="1:25" ht="6.75" customHeight="1" x14ac:dyDescent="0.2"/>
    <row r="147" spans="1:25" s="218" customFormat="1" ht="23.25" customHeight="1" x14ac:dyDescent="0.2">
      <c r="A147" s="1072" t="s">
        <v>546</v>
      </c>
      <c r="B147" s="1073"/>
      <c r="C147" s="402"/>
      <c r="D147" s="1098" t="s">
        <v>628</v>
      </c>
      <c r="E147" s="1072"/>
      <c r="F147" s="1072"/>
      <c r="G147" s="1103"/>
      <c r="H147" s="1104"/>
      <c r="K147" s="218" t="str">
        <f>RIGHT(CATEG_IMPORTEE, LEN(CATEG_IMPORTEE) - 2)</f>
        <v>llèges Mixtes Etablissement</v>
      </c>
      <c r="T147" s="397" t="s">
        <v>627</v>
      </c>
      <c r="U147" s="401">
        <v>6</v>
      </c>
      <c r="V147" s="396" t="s">
        <v>547</v>
      </c>
      <c r="W147" s="401"/>
      <c r="X147" s="395"/>
    </row>
    <row r="148" spans="1:25" ht="27" customHeight="1" thickBot="1" x14ac:dyDescent="0.25">
      <c r="B148" s="1069" t="s">
        <v>0</v>
      </c>
      <c r="C148" s="1069"/>
      <c r="D148" s="1069"/>
      <c r="E148" s="1069"/>
      <c r="F148" s="1069"/>
      <c r="G148" s="1069"/>
      <c r="H148" s="1069"/>
      <c r="I148" s="1069" t="s">
        <v>374</v>
      </c>
      <c r="J148" s="1069"/>
      <c r="K148" s="1069"/>
      <c r="L148" s="1069"/>
      <c r="O148" s="1069" t="s">
        <v>0</v>
      </c>
      <c r="P148" s="1069"/>
      <c r="Q148" s="1069"/>
      <c r="R148" s="1069"/>
      <c r="S148" s="1069"/>
      <c r="T148" s="1069"/>
      <c r="U148" s="1069"/>
      <c r="V148" s="1069" t="s">
        <v>374</v>
      </c>
      <c r="W148" s="1069"/>
      <c r="X148" s="1069"/>
      <c r="Y148" s="1069"/>
    </row>
    <row r="149" spans="1:25" ht="24" customHeight="1" thickBot="1" x14ac:dyDescent="0.25">
      <c r="A149" s="219"/>
      <c r="B149" s="398" t="str">
        <f>VLOOKUP(U147,TBL_equipe,2,FALSE)</f>
        <v/>
      </c>
      <c r="C149" s="399"/>
      <c r="D149" s="399"/>
      <c r="E149" s="399"/>
      <c r="F149" s="399"/>
      <c r="G149" s="399"/>
      <c r="H149" s="400"/>
      <c r="I149" s="257" t="str">
        <f>VLOOKUP(U147,TBL_equipe,4,FALSE)</f>
        <v/>
      </c>
      <c r="J149" s="220"/>
      <c r="K149" s="220"/>
      <c r="L149" s="221"/>
      <c r="M149" s="1070" t="s">
        <v>547</v>
      </c>
      <c r="N149" s="1071"/>
      <c r="O149" s="398" t="e">
        <f>VLOOKUP(W147,TBL_equipe,2,FALSE)</f>
        <v>#N/A</v>
      </c>
      <c r="P149" s="220"/>
      <c r="Q149" s="220"/>
      <c r="R149" s="220"/>
      <c r="S149" s="220"/>
      <c r="T149" s="220"/>
      <c r="U149" s="221"/>
      <c r="V149" s="257" t="e">
        <f>VLOOKUP(W147,TBL_equipe,4,FALSE)</f>
        <v>#N/A</v>
      </c>
      <c r="W149" s="220"/>
      <c r="X149" s="220"/>
      <c r="Y149" s="221"/>
    </row>
    <row r="150" spans="1:25" ht="15" customHeight="1" x14ac:dyDescent="0.2"/>
    <row r="151" spans="1:25" ht="20.100000000000001" customHeight="1" x14ac:dyDescent="0.2">
      <c r="A151" s="1074" t="s">
        <v>548</v>
      </c>
      <c r="B151" s="1074"/>
      <c r="C151" s="1074"/>
      <c r="D151" s="1074"/>
      <c r="E151" s="1074"/>
    </row>
    <row r="152" spans="1:25" ht="20.100000000000001" customHeight="1" x14ac:dyDescent="0.2">
      <c r="A152" s="1075" t="s">
        <v>549</v>
      </c>
      <c r="B152" s="1075"/>
      <c r="C152" s="1075"/>
      <c r="D152" s="1075"/>
      <c r="E152" s="1075"/>
      <c r="G152" s="1076" t="s">
        <v>480</v>
      </c>
      <c r="H152" s="1076"/>
      <c r="I152" s="1077" t="s">
        <v>550</v>
      </c>
      <c r="J152" s="1077"/>
      <c r="K152" s="1077"/>
      <c r="L152" s="252" t="s">
        <v>551</v>
      </c>
      <c r="M152" s="1078" t="s">
        <v>552</v>
      </c>
      <c r="N152" s="1078"/>
      <c r="O152" s="251"/>
    </row>
    <row r="153" spans="1:25" ht="24" customHeight="1" x14ac:dyDescent="0.2">
      <c r="A153" s="258" t="str">
        <f>VLOOKUP(U147,TBL_equipe,5,FALSE)</f>
        <v/>
      </c>
      <c r="B153" s="223"/>
      <c r="C153" s="259" t="str">
        <f>VLOOKUP(U147,TBL_equipe,6,FALSE)</f>
        <v/>
      </c>
      <c r="D153" s="223"/>
      <c r="E153" s="224"/>
      <c r="F153" s="219"/>
      <c r="G153" s="403" t="str">
        <f>VLOOKUP(U147,TBL_equipe,9,FALSE)</f>
        <v/>
      </c>
      <c r="H153" s="224"/>
      <c r="I153" s="222"/>
      <c r="J153" s="246" t="str">
        <f>VLOOKUP(U147,TBL_equipe,8,FALSE)</f>
        <v/>
      </c>
      <c r="K153" s="224"/>
      <c r="L153" s="260" t="str">
        <f>VLOOKUP(U147,TBL_equipe,10,FALSE)</f>
        <v/>
      </c>
      <c r="M153" s="287">
        <f>G147</f>
        <v>0</v>
      </c>
      <c r="N153" s="288"/>
      <c r="O153" s="249"/>
      <c r="R153" s="254"/>
      <c r="S153" s="254"/>
      <c r="T153" s="254" t="s">
        <v>629</v>
      </c>
      <c r="U153" s="254"/>
      <c r="V153" s="254"/>
      <c r="W153" s="254"/>
      <c r="X153" s="254"/>
      <c r="Y153" s="254"/>
    </row>
    <row r="154" spans="1:25" ht="24" customHeight="1" x14ac:dyDescent="0.2">
      <c r="A154" s="258" t="str">
        <f>VLOOKUP(U147,TBL_equipe,11,FALSE)</f>
        <v/>
      </c>
      <c r="B154" s="223"/>
      <c r="C154" s="259" t="str">
        <f>VLOOKUP(U147,TBL_equipe,12,FALSE)</f>
        <v/>
      </c>
      <c r="D154" s="223"/>
      <c r="E154" s="224"/>
      <c r="F154" s="219"/>
      <c r="G154" s="403" t="str">
        <f>VLOOKUP(U147,TBL_equipe,15,FALSE)</f>
        <v/>
      </c>
      <c r="H154" s="224"/>
      <c r="I154" s="222"/>
      <c r="J154" s="246" t="str">
        <f>VLOOKUP(U147,TBL_equipe,14,FALSE)</f>
        <v/>
      </c>
      <c r="K154" s="224"/>
      <c r="L154" s="260" t="str">
        <f>VLOOKUP(U147,TBL_equipe,16,FALSE)</f>
        <v/>
      </c>
      <c r="M154" s="287">
        <f>G147</f>
        <v>0</v>
      </c>
      <c r="N154" s="288"/>
      <c r="O154" s="249"/>
      <c r="Q154" s="254"/>
      <c r="R154" s="254"/>
      <c r="S154" s="254"/>
      <c r="T154" s="254"/>
      <c r="U154" s="254"/>
      <c r="V154" s="254"/>
      <c r="W154" s="254"/>
      <c r="X154" s="254"/>
      <c r="Y154" s="254"/>
    </row>
    <row r="155" spans="1:25" ht="24" customHeight="1" x14ac:dyDescent="0.2">
      <c r="A155" s="258" t="str">
        <f>VLOOKUP(U147,TBL_equipe,17,FALSE)</f>
        <v/>
      </c>
      <c r="B155" s="223"/>
      <c r="C155" s="259" t="str">
        <f>VLOOKUP(U147,TBL_equipe,18,FALSE)</f>
        <v/>
      </c>
      <c r="D155" s="223"/>
      <c r="E155" s="224"/>
      <c r="F155" s="219"/>
      <c r="G155" s="403" t="str">
        <f>VLOOKUP(U147,TBL_equipe,21,FALSE)</f>
        <v/>
      </c>
      <c r="H155" s="224"/>
      <c r="I155" s="222"/>
      <c r="J155" s="246" t="str">
        <f>VLOOKUP(U147,TBL_equipe,20,FALSE)</f>
        <v/>
      </c>
      <c r="K155" s="224"/>
      <c r="L155" s="260" t="str">
        <f>VLOOKUP(U147,TBL_equipe,22,FALSE)</f>
        <v/>
      </c>
      <c r="M155" s="287">
        <f>G147</f>
        <v>0</v>
      </c>
      <c r="N155" s="288"/>
      <c r="O155" s="249"/>
      <c r="Q155" s="254"/>
      <c r="R155" s="254"/>
      <c r="S155" s="254"/>
      <c r="T155" s="254"/>
      <c r="U155" s="254"/>
      <c r="V155" s="254"/>
      <c r="W155" s="254"/>
      <c r="X155" s="254"/>
      <c r="Y155" s="254"/>
    </row>
    <row r="156" spans="1:25" ht="24" customHeight="1" x14ac:dyDescent="0.2">
      <c r="A156" s="258" t="str">
        <f>VLOOKUP(U147,TBL_equipe,23,FALSE)</f>
        <v/>
      </c>
      <c r="B156" s="223"/>
      <c r="C156" s="259" t="str">
        <f>VLOOKUP(U147,TBL_equipe,24,FALSE)</f>
        <v/>
      </c>
      <c r="D156" s="223"/>
      <c r="E156" s="224"/>
      <c r="F156" s="219"/>
      <c r="G156" s="403" t="str">
        <f>VLOOKUP(U147,TBL_equipe,27,FALSE)</f>
        <v/>
      </c>
      <c r="H156" s="224"/>
      <c r="I156" s="222"/>
      <c r="J156" s="246" t="str">
        <f>VLOOKUP(U147,TBL_equipe,26,FALSE)</f>
        <v/>
      </c>
      <c r="K156" s="224"/>
      <c r="L156" s="260" t="str">
        <f>VLOOKUP(U147,TBL_equipe,28,FALSE)</f>
        <v/>
      </c>
      <c r="M156" s="289">
        <f>G147</f>
        <v>0</v>
      </c>
      <c r="N156" s="290"/>
      <c r="O156" s="249"/>
    </row>
    <row r="157" spans="1:25" ht="15" customHeight="1" thickBot="1" x14ac:dyDescent="0.25"/>
    <row r="158" spans="1:25" ht="20.100000000000001" customHeight="1" x14ac:dyDescent="0.2">
      <c r="F158" s="1081" t="s">
        <v>555</v>
      </c>
      <c r="G158" s="1082"/>
      <c r="H158" s="1082"/>
      <c r="I158" s="1082"/>
      <c r="J158" s="1083"/>
      <c r="K158" s="1081" t="s">
        <v>556</v>
      </c>
      <c r="L158" s="1082"/>
      <c r="M158" s="1082"/>
      <c r="N158" s="1082"/>
      <c r="O158" s="1083"/>
      <c r="P158" s="1081" t="s">
        <v>557</v>
      </c>
      <c r="Q158" s="1082"/>
      <c r="R158" s="1082"/>
      <c r="S158" s="1082"/>
      <c r="T158" s="1083"/>
      <c r="U158" s="1081" t="s">
        <v>558</v>
      </c>
      <c r="V158" s="1082"/>
      <c r="W158" s="1082"/>
      <c r="X158" s="1082"/>
      <c r="Y158" s="1083"/>
    </row>
    <row r="159" spans="1:25" ht="20.100000000000001" customHeight="1" x14ac:dyDescent="0.2">
      <c r="A159" s="1075" t="s">
        <v>559</v>
      </c>
      <c r="B159" s="1075"/>
      <c r="C159" s="1075"/>
      <c r="D159" s="1075"/>
      <c r="E159" s="1089"/>
      <c r="F159" s="1090" t="s">
        <v>560</v>
      </c>
      <c r="G159" s="1075"/>
      <c r="H159" s="1075"/>
      <c r="J159" s="225" t="s">
        <v>7</v>
      </c>
      <c r="K159" s="1090" t="s">
        <v>560</v>
      </c>
      <c r="L159" s="1075"/>
      <c r="M159" s="1075"/>
      <c r="O159" s="225" t="s">
        <v>7</v>
      </c>
      <c r="P159" s="1090" t="s">
        <v>560</v>
      </c>
      <c r="Q159" s="1075"/>
      <c r="R159" s="1075"/>
      <c r="T159" s="225" t="s">
        <v>7</v>
      </c>
      <c r="U159" s="1090" t="s">
        <v>560</v>
      </c>
      <c r="V159" s="1075"/>
      <c r="W159" s="1075"/>
      <c r="Y159" s="225" t="s">
        <v>7</v>
      </c>
    </row>
    <row r="160" spans="1:25" ht="24" customHeight="1" x14ac:dyDescent="0.2">
      <c r="A160" s="261" t="str">
        <f>A153</f>
        <v/>
      </c>
      <c r="B160" s="227"/>
      <c r="C160" s="262" t="str">
        <f>C153</f>
        <v/>
      </c>
      <c r="D160" s="227"/>
      <c r="E160" s="227"/>
      <c r="F160" s="228"/>
      <c r="G160" s="229"/>
      <c r="H160" s="229"/>
      <c r="I160" s="230" t="s">
        <v>561</v>
      </c>
      <c r="J160" s="231"/>
      <c r="K160" s="228"/>
      <c r="L160" s="229"/>
      <c r="M160" s="229"/>
      <c r="N160" s="230" t="s">
        <v>561</v>
      </c>
      <c r="O160" s="231"/>
      <c r="P160" s="228"/>
      <c r="Q160" s="229"/>
      <c r="R160" s="229"/>
      <c r="S160" s="230" t="s">
        <v>561</v>
      </c>
      <c r="T160" s="231"/>
      <c r="U160" s="228"/>
      <c r="V160" s="229"/>
      <c r="W160" s="229"/>
      <c r="X160" s="230" t="s">
        <v>561</v>
      </c>
      <c r="Y160" s="231"/>
    </row>
    <row r="161" spans="1:25" ht="24" customHeight="1" x14ac:dyDescent="0.2">
      <c r="A161" s="261" t="str">
        <f>A154</f>
        <v/>
      </c>
      <c r="B161" s="227"/>
      <c r="C161" s="262" t="str">
        <f>C154</f>
        <v/>
      </c>
      <c r="D161" s="227"/>
      <c r="E161" s="227"/>
      <c r="F161" s="228"/>
      <c r="G161" s="229"/>
      <c r="H161" s="229"/>
      <c r="I161" s="230" t="s">
        <v>561</v>
      </c>
      <c r="J161" s="231"/>
      <c r="K161" s="228"/>
      <c r="L161" s="229"/>
      <c r="M161" s="229"/>
      <c r="N161" s="230" t="s">
        <v>561</v>
      </c>
      <c r="O161" s="231"/>
      <c r="P161" s="228"/>
      <c r="Q161" s="229"/>
      <c r="R161" s="229"/>
      <c r="S161" s="230" t="s">
        <v>561</v>
      </c>
      <c r="T161" s="231"/>
      <c r="U161" s="228"/>
      <c r="V161" s="229"/>
      <c r="W161" s="229"/>
      <c r="X161" s="230" t="s">
        <v>561</v>
      </c>
      <c r="Y161" s="231"/>
    </row>
    <row r="162" spans="1:25" ht="24" customHeight="1" x14ac:dyDescent="0.2">
      <c r="A162" s="261" t="str">
        <f>A155</f>
        <v/>
      </c>
      <c r="B162" s="227"/>
      <c r="C162" s="262" t="str">
        <f>C155</f>
        <v/>
      </c>
      <c r="D162" s="227"/>
      <c r="E162" s="227"/>
      <c r="F162" s="228"/>
      <c r="G162" s="229"/>
      <c r="H162" s="229"/>
      <c r="I162" s="230" t="s">
        <v>561</v>
      </c>
      <c r="J162" s="231"/>
      <c r="K162" s="228"/>
      <c r="L162" s="229"/>
      <c r="M162" s="229"/>
      <c r="N162" s="230" t="s">
        <v>561</v>
      </c>
      <c r="O162" s="231"/>
      <c r="P162" s="228"/>
      <c r="Q162" s="229"/>
      <c r="R162" s="229"/>
      <c r="S162" s="230" t="s">
        <v>561</v>
      </c>
      <c r="T162" s="231"/>
      <c r="U162" s="228"/>
      <c r="V162" s="229"/>
      <c r="W162" s="229"/>
      <c r="X162" s="230" t="s">
        <v>561</v>
      </c>
      <c r="Y162" s="231"/>
    </row>
    <row r="163" spans="1:25" ht="24" customHeight="1" x14ac:dyDescent="0.2">
      <c r="A163" s="261" t="str">
        <f>A156</f>
        <v/>
      </c>
      <c r="B163" s="227"/>
      <c r="C163" s="262" t="str">
        <f>C156</f>
        <v/>
      </c>
      <c r="D163" s="227"/>
      <c r="E163" s="227"/>
      <c r="F163" s="228"/>
      <c r="G163" s="229"/>
      <c r="H163" s="229"/>
      <c r="I163" s="230" t="s">
        <v>561</v>
      </c>
      <c r="J163" s="232"/>
      <c r="K163" s="228"/>
      <c r="L163" s="229"/>
      <c r="M163" s="229"/>
      <c r="N163" s="230" t="s">
        <v>561</v>
      </c>
      <c r="O163" s="232"/>
      <c r="P163" s="228"/>
      <c r="Q163" s="229"/>
      <c r="R163" s="229"/>
      <c r="S163" s="230" t="s">
        <v>561</v>
      </c>
      <c r="T163" s="232"/>
      <c r="U163" s="228"/>
      <c r="V163" s="229"/>
      <c r="W163" s="229"/>
      <c r="X163" s="230" t="s">
        <v>561</v>
      </c>
      <c r="Y163" s="232"/>
    </row>
    <row r="164" spans="1:25" ht="24" customHeight="1" thickBot="1" x14ac:dyDescent="0.25">
      <c r="F164" s="1079" t="s">
        <v>562</v>
      </c>
      <c r="G164" s="1080"/>
      <c r="H164" s="1080"/>
      <c r="I164" s="230" t="s">
        <v>561</v>
      </c>
      <c r="J164" s="231"/>
      <c r="K164" s="1079" t="s">
        <v>563</v>
      </c>
      <c r="L164" s="1080"/>
      <c r="M164" s="1080"/>
      <c r="N164" s="230" t="s">
        <v>561</v>
      </c>
      <c r="O164" s="232"/>
      <c r="P164" s="1079" t="s">
        <v>564</v>
      </c>
      <c r="Q164" s="1080"/>
      <c r="R164" s="1080"/>
      <c r="S164" s="230" t="s">
        <v>561</v>
      </c>
      <c r="T164" s="232"/>
      <c r="U164" s="1079" t="s">
        <v>565</v>
      </c>
      <c r="V164" s="1080"/>
      <c r="W164" s="1080"/>
      <c r="X164" s="230" t="s">
        <v>561</v>
      </c>
      <c r="Y164" s="232"/>
    </row>
    <row r="165" spans="1:25" ht="24" customHeight="1" thickBot="1" x14ac:dyDescent="0.25">
      <c r="F165" s="233"/>
      <c r="G165" s="234"/>
      <c r="H165" s="235" t="s">
        <v>566</v>
      </c>
      <c r="I165" s="235"/>
      <c r="J165" s="236"/>
      <c r="K165" s="1092" t="s">
        <v>567</v>
      </c>
      <c r="L165" s="1085"/>
      <c r="M165" s="1085"/>
      <c r="N165" s="237" t="s">
        <v>561</v>
      </c>
      <c r="O165" s="238"/>
      <c r="P165" s="1092" t="s">
        <v>568</v>
      </c>
      <c r="Q165" s="1085"/>
      <c r="R165" s="1085"/>
      <c r="S165" s="237" t="s">
        <v>561</v>
      </c>
      <c r="T165" s="238"/>
      <c r="U165" s="1092" t="s">
        <v>569</v>
      </c>
      <c r="V165" s="1085"/>
      <c r="W165" s="1085"/>
      <c r="X165" s="237" t="s">
        <v>561</v>
      </c>
      <c r="Y165" s="239"/>
    </row>
    <row r="166" spans="1:25" ht="12.75" customHeight="1" x14ac:dyDescent="0.2">
      <c r="Y166" s="240" t="s">
        <v>570</v>
      </c>
    </row>
    <row r="167" spans="1:25" ht="15.75" customHeight="1" x14ac:dyDescent="0.2">
      <c r="B167" s="1091" t="s">
        <v>521</v>
      </c>
      <c r="C167" s="1091"/>
      <c r="D167" s="1091"/>
      <c r="E167" s="1091"/>
      <c r="F167" s="1091"/>
      <c r="G167" s="1091"/>
      <c r="H167" s="1091"/>
      <c r="I167" s="1091"/>
      <c r="J167" s="1091"/>
      <c r="K167" s="1091"/>
      <c r="L167" s="1091"/>
      <c r="O167" s="1091" t="s">
        <v>522</v>
      </c>
      <c r="P167" s="1091"/>
      <c r="Q167" s="1091"/>
      <c r="R167" s="1091"/>
      <c r="S167" s="1091"/>
      <c r="T167" s="1091"/>
      <c r="U167" s="1091"/>
      <c r="V167" s="1091"/>
      <c r="W167" s="1091"/>
      <c r="X167" s="1091"/>
      <c r="Y167" s="1091"/>
    </row>
    <row r="168" spans="1:25" ht="13.5" customHeight="1" x14ac:dyDescent="0.2">
      <c r="B168" s="1086" t="s">
        <v>1</v>
      </c>
      <c r="C168" s="1087"/>
      <c r="D168" s="1087"/>
      <c r="E168" s="1087"/>
      <c r="F168" s="1087"/>
      <c r="G168" s="1087"/>
      <c r="H168" s="1088"/>
      <c r="I168" s="1086" t="s">
        <v>520</v>
      </c>
      <c r="J168" s="1087"/>
      <c r="K168" s="1087"/>
      <c r="L168" s="1088"/>
      <c r="N168" s="241"/>
      <c r="O168" s="1086" t="s">
        <v>1</v>
      </c>
      <c r="P168" s="1087"/>
      <c r="Q168" s="1087"/>
      <c r="R168" s="1087"/>
      <c r="S168" s="1087"/>
      <c r="T168" s="1087"/>
      <c r="U168" s="1088"/>
      <c r="V168" s="1086" t="s">
        <v>520</v>
      </c>
      <c r="W168" s="1087"/>
      <c r="X168" s="1087"/>
      <c r="Y168" s="1088"/>
    </row>
    <row r="169" spans="1:25" ht="21.75" customHeight="1" x14ac:dyDescent="0.2">
      <c r="B169" s="242"/>
      <c r="C169" s="243"/>
      <c r="D169" s="243"/>
      <c r="E169" s="243"/>
      <c r="F169" s="243"/>
      <c r="G169" s="243"/>
      <c r="H169" s="243"/>
      <c r="I169" s="242"/>
      <c r="J169" s="243"/>
      <c r="K169" s="243"/>
      <c r="L169" s="244"/>
      <c r="N169" s="241"/>
      <c r="O169" s="242"/>
      <c r="P169" s="243"/>
      <c r="Q169" s="243"/>
      <c r="R169" s="243"/>
      <c r="S169" s="243"/>
      <c r="T169" s="243"/>
      <c r="U169" s="243"/>
      <c r="V169" s="242"/>
      <c r="W169" s="243"/>
      <c r="X169" s="243"/>
      <c r="Y169" s="244"/>
    </row>
    <row r="170" spans="1:25" ht="13.5" customHeight="1" x14ac:dyDescent="0.2"/>
    <row r="171" spans="1:25" ht="14.25" customHeight="1" thickBot="1" x14ac:dyDescent="0.25">
      <c r="A171" s="241"/>
      <c r="G171" s="305"/>
      <c r="H171" s="305"/>
      <c r="I171" s="1069" t="s">
        <v>0</v>
      </c>
      <c r="J171" s="1069"/>
      <c r="K171" s="1069"/>
      <c r="L171" s="1069"/>
      <c r="M171" s="1069"/>
      <c r="N171" s="1069"/>
      <c r="O171" s="1069"/>
      <c r="P171" s="1069" t="s">
        <v>374</v>
      </c>
      <c r="Q171" s="1069"/>
      <c r="R171" s="1069"/>
      <c r="S171" s="1069"/>
      <c r="T171" s="1069"/>
      <c r="U171" s="1069" t="s">
        <v>571</v>
      </c>
      <c r="V171" s="1069"/>
      <c r="W171" s="1069"/>
      <c r="X171" s="305"/>
      <c r="Y171" s="305"/>
    </row>
    <row r="172" spans="1:25" ht="20.25" customHeight="1" x14ac:dyDescent="0.2">
      <c r="A172" s="241"/>
      <c r="F172" s="1074" t="s">
        <v>584</v>
      </c>
      <c r="G172" s="1074"/>
      <c r="H172" s="1074"/>
      <c r="I172" s="316"/>
      <c r="J172" s="306"/>
      <c r="K172" s="306"/>
      <c r="L172" s="306"/>
      <c r="M172" s="306"/>
      <c r="N172" s="306"/>
      <c r="O172" s="306"/>
      <c r="P172" s="312"/>
      <c r="Q172" s="306"/>
      <c r="R172" s="307"/>
      <c r="S172" s="304"/>
      <c r="T172" s="313"/>
      <c r="U172" s="310"/>
      <c r="V172" s="1084" t="s">
        <v>495</v>
      </c>
      <c r="W172" s="308"/>
    </row>
    <row r="173" spans="1:25" ht="13.5" thickBot="1" x14ac:dyDescent="0.25">
      <c r="F173" s="1074"/>
      <c r="G173" s="1074"/>
      <c r="H173" s="1074"/>
      <c r="I173" s="303"/>
      <c r="J173" s="235"/>
      <c r="K173" s="235"/>
      <c r="L173" s="235"/>
      <c r="M173" s="235"/>
      <c r="N173" s="235"/>
      <c r="O173" s="235"/>
      <c r="P173" s="314"/>
      <c r="Q173" s="235"/>
      <c r="R173" s="234"/>
      <c r="S173" s="234"/>
      <c r="T173" s="315"/>
      <c r="U173" s="311"/>
      <c r="V173" s="1085"/>
      <c r="W173" s="309"/>
    </row>
    <row r="175" spans="1:25" ht="6.75" customHeight="1" x14ac:dyDescent="0.2"/>
    <row r="176" spans="1:25" s="218" customFormat="1" ht="23.25" customHeight="1" x14ac:dyDescent="0.2">
      <c r="A176" s="1072" t="s">
        <v>546</v>
      </c>
      <c r="B176" s="1073"/>
      <c r="C176" s="402"/>
      <c r="D176" s="1098" t="s">
        <v>628</v>
      </c>
      <c r="E176" s="1072"/>
      <c r="F176" s="1072"/>
      <c r="G176" s="1103"/>
      <c r="H176" s="1104"/>
      <c r="K176" s="218" t="str">
        <f>RIGHT(CATEG_IMPORTEE, LEN(CATEG_IMPORTEE) - 2)</f>
        <v>llèges Mixtes Etablissement</v>
      </c>
      <c r="T176" s="397" t="s">
        <v>627</v>
      </c>
      <c r="U176" s="401">
        <v>7</v>
      </c>
      <c r="V176" s="396" t="s">
        <v>547</v>
      </c>
      <c r="W176" s="401"/>
      <c r="X176" s="395"/>
    </row>
    <row r="177" spans="1:25" ht="27" customHeight="1" thickBot="1" x14ac:dyDescent="0.25">
      <c r="B177" s="1069" t="s">
        <v>0</v>
      </c>
      <c r="C177" s="1069"/>
      <c r="D177" s="1069"/>
      <c r="E177" s="1069"/>
      <c r="F177" s="1069"/>
      <c r="G177" s="1069"/>
      <c r="H177" s="1069"/>
      <c r="I177" s="1069" t="s">
        <v>374</v>
      </c>
      <c r="J177" s="1069"/>
      <c r="K177" s="1069"/>
      <c r="L177" s="1069"/>
      <c r="O177" s="1069" t="s">
        <v>0</v>
      </c>
      <c r="P177" s="1069"/>
      <c r="Q177" s="1069"/>
      <c r="R177" s="1069"/>
      <c r="S177" s="1069"/>
      <c r="T177" s="1069"/>
      <c r="U177" s="1069"/>
      <c r="V177" s="1069" t="s">
        <v>374</v>
      </c>
      <c r="W177" s="1069"/>
      <c r="X177" s="1069"/>
      <c r="Y177" s="1069"/>
    </row>
    <row r="178" spans="1:25" ht="24" customHeight="1" thickBot="1" x14ac:dyDescent="0.25">
      <c r="A178" s="219"/>
      <c r="B178" s="398" t="str">
        <f>VLOOKUP(U176,TBL_equipe,2,FALSE)</f>
        <v/>
      </c>
      <c r="C178" s="399"/>
      <c r="D178" s="399"/>
      <c r="E178" s="399"/>
      <c r="F178" s="399"/>
      <c r="G178" s="399"/>
      <c r="H178" s="400"/>
      <c r="I178" s="257" t="str">
        <f>VLOOKUP(U176,TBL_equipe,4,FALSE)</f>
        <v/>
      </c>
      <c r="J178" s="220"/>
      <c r="K178" s="220"/>
      <c r="L178" s="221"/>
      <c r="M178" s="1070" t="s">
        <v>547</v>
      </c>
      <c r="N178" s="1071"/>
      <c r="O178" s="398" t="e">
        <f>VLOOKUP(W176,TBL_equipe,2,FALSE)</f>
        <v>#N/A</v>
      </c>
      <c r="P178" s="220"/>
      <c r="Q178" s="220"/>
      <c r="R178" s="220"/>
      <c r="S178" s="220"/>
      <c r="T178" s="220"/>
      <c r="U178" s="221"/>
      <c r="V178" s="257" t="e">
        <f>VLOOKUP(W176,TBL_equipe,4,FALSE)</f>
        <v>#N/A</v>
      </c>
      <c r="W178" s="220"/>
      <c r="X178" s="220"/>
      <c r="Y178" s="221"/>
    </row>
    <row r="179" spans="1:25" ht="15" customHeight="1" x14ac:dyDescent="0.2"/>
    <row r="180" spans="1:25" ht="20.100000000000001" customHeight="1" x14ac:dyDescent="0.2">
      <c r="A180" s="1074" t="s">
        <v>548</v>
      </c>
      <c r="B180" s="1074"/>
      <c r="C180" s="1074"/>
      <c r="D180" s="1074"/>
      <c r="E180" s="1074"/>
    </row>
    <row r="181" spans="1:25" ht="20.100000000000001" customHeight="1" x14ac:dyDescent="0.2">
      <c r="A181" s="1075" t="s">
        <v>549</v>
      </c>
      <c r="B181" s="1075"/>
      <c r="C181" s="1075"/>
      <c r="D181" s="1075"/>
      <c r="E181" s="1075"/>
      <c r="G181" s="1076" t="s">
        <v>480</v>
      </c>
      <c r="H181" s="1076"/>
      <c r="I181" s="1077" t="s">
        <v>550</v>
      </c>
      <c r="J181" s="1077"/>
      <c r="K181" s="1077"/>
      <c r="L181" s="252" t="s">
        <v>551</v>
      </c>
      <c r="M181" s="1078" t="s">
        <v>552</v>
      </c>
      <c r="N181" s="1078"/>
      <c r="O181" s="251"/>
    </row>
    <row r="182" spans="1:25" ht="24" customHeight="1" x14ac:dyDescent="0.2">
      <c r="A182" s="258" t="str">
        <f>VLOOKUP(U176,TBL_equipe,5,FALSE)</f>
        <v/>
      </c>
      <c r="B182" s="223"/>
      <c r="C182" s="259" t="str">
        <f>VLOOKUP(U176,TBL_equipe,6,FALSE)</f>
        <v/>
      </c>
      <c r="D182" s="223"/>
      <c r="E182" s="224"/>
      <c r="F182" s="219"/>
      <c r="G182" s="403" t="str">
        <f>VLOOKUP(U176,TBL_equipe,9,FALSE)</f>
        <v/>
      </c>
      <c r="H182" s="224"/>
      <c r="I182" s="222"/>
      <c r="J182" s="246" t="str">
        <f>VLOOKUP(U176,TBL_equipe,8,FALSE)</f>
        <v/>
      </c>
      <c r="K182" s="224"/>
      <c r="L182" s="260" t="str">
        <f>VLOOKUP(U176,TBL_equipe,10,FALSE)</f>
        <v/>
      </c>
      <c r="M182" s="287">
        <f>G176</f>
        <v>0</v>
      </c>
      <c r="N182" s="288"/>
      <c r="O182" s="249"/>
      <c r="R182" s="254"/>
      <c r="S182" s="254"/>
      <c r="T182" s="254" t="s">
        <v>629</v>
      </c>
      <c r="U182" s="254"/>
      <c r="V182" s="254"/>
      <c r="W182" s="254"/>
      <c r="X182" s="254"/>
      <c r="Y182" s="254"/>
    </row>
    <row r="183" spans="1:25" ht="24" customHeight="1" x14ac:dyDescent="0.2">
      <c r="A183" s="258" t="str">
        <f>VLOOKUP(U176,TBL_equipe,11,FALSE)</f>
        <v/>
      </c>
      <c r="B183" s="223"/>
      <c r="C183" s="259" t="str">
        <f>VLOOKUP(U176,TBL_equipe,12,FALSE)</f>
        <v/>
      </c>
      <c r="D183" s="223"/>
      <c r="E183" s="224"/>
      <c r="F183" s="219"/>
      <c r="G183" s="403" t="str">
        <f>VLOOKUP(U176,TBL_equipe,15,FALSE)</f>
        <v/>
      </c>
      <c r="H183" s="224"/>
      <c r="I183" s="222"/>
      <c r="J183" s="246" t="str">
        <f>VLOOKUP(U176,TBL_equipe,14,FALSE)</f>
        <v/>
      </c>
      <c r="K183" s="224"/>
      <c r="L183" s="260" t="str">
        <f>VLOOKUP(U176,TBL_equipe,16,FALSE)</f>
        <v/>
      </c>
      <c r="M183" s="287">
        <f>G176</f>
        <v>0</v>
      </c>
      <c r="N183" s="288"/>
      <c r="O183" s="249"/>
      <c r="Q183" s="254"/>
      <c r="R183" s="254"/>
      <c r="S183" s="254"/>
      <c r="T183" s="254"/>
      <c r="U183" s="254"/>
      <c r="V183" s="254"/>
      <c r="W183" s="254"/>
      <c r="X183" s="254"/>
      <c r="Y183" s="254"/>
    </row>
    <row r="184" spans="1:25" ht="24" customHeight="1" x14ac:dyDescent="0.2">
      <c r="A184" s="258" t="str">
        <f>VLOOKUP(U176,TBL_equipe,17,FALSE)</f>
        <v/>
      </c>
      <c r="B184" s="223"/>
      <c r="C184" s="259" t="str">
        <f>VLOOKUP(U176,TBL_equipe,18,FALSE)</f>
        <v/>
      </c>
      <c r="D184" s="223"/>
      <c r="E184" s="224"/>
      <c r="F184" s="219"/>
      <c r="G184" s="403" t="str">
        <f>VLOOKUP(U176,TBL_equipe,21,FALSE)</f>
        <v/>
      </c>
      <c r="H184" s="224"/>
      <c r="I184" s="222"/>
      <c r="J184" s="246" t="str">
        <f>VLOOKUP(U176,TBL_equipe,20,FALSE)</f>
        <v/>
      </c>
      <c r="K184" s="224"/>
      <c r="L184" s="260" t="str">
        <f>VLOOKUP(U176,TBL_equipe,22,FALSE)</f>
        <v/>
      </c>
      <c r="M184" s="287">
        <f>G176</f>
        <v>0</v>
      </c>
      <c r="N184" s="288"/>
      <c r="O184" s="249"/>
      <c r="Q184" s="254"/>
      <c r="R184" s="254"/>
      <c r="S184" s="254"/>
      <c r="T184" s="254"/>
      <c r="U184" s="254"/>
      <c r="V184" s="254"/>
      <c r="W184" s="254"/>
      <c r="X184" s="254"/>
      <c r="Y184" s="254"/>
    </row>
    <row r="185" spans="1:25" ht="24" customHeight="1" x14ac:dyDescent="0.2">
      <c r="A185" s="258" t="str">
        <f>VLOOKUP(U176,TBL_equipe,23,FALSE)</f>
        <v/>
      </c>
      <c r="B185" s="223"/>
      <c r="C185" s="259" t="str">
        <f>VLOOKUP(U176,TBL_equipe,24,FALSE)</f>
        <v/>
      </c>
      <c r="D185" s="223"/>
      <c r="E185" s="224"/>
      <c r="F185" s="219"/>
      <c r="G185" s="403" t="str">
        <f>VLOOKUP(U176,TBL_equipe,27,FALSE)</f>
        <v/>
      </c>
      <c r="H185" s="224"/>
      <c r="I185" s="222"/>
      <c r="J185" s="246" t="str">
        <f>VLOOKUP(U176,TBL_equipe,26,FALSE)</f>
        <v/>
      </c>
      <c r="K185" s="224"/>
      <c r="L185" s="260" t="str">
        <f>VLOOKUP(U176,TBL_equipe,28,FALSE)</f>
        <v/>
      </c>
      <c r="M185" s="289">
        <f>G176</f>
        <v>0</v>
      </c>
      <c r="N185" s="290"/>
      <c r="O185" s="249"/>
    </row>
    <row r="186" spans="1:25" ht="15" customHeight="1" thickBot="1" x14ac:dyDescent="0.25"/>
    <row r="187" spans="1:25" ht="20.100000000000001" customHeight="1" x14ac:dyDescent="0.2">
      <c r="F187" s="1081" t="s">
        <v>555</v>
      </c>
      <c r="G187" s="1082"/>
      <c r="H187" s="1082"/>
      <c r="I187" s="1082"/>
      <c r="J187" s="1083"/>
      <c r="K187" s="1081" t="s">
        <v>556</v>
      </c>
      <c r="L187" s="1082"/>
      <c r="M187" s="1082"/>
      <c r="N187" s="1082"/>
      <c r="O187" s="1083"/>
      <c r="P187" s="1081" t="s">
        <v>557</v>
      </c>
      <c r="Q187" s="1082"/>
      <c r="R187" s="1082"/>
      <c r="S187" s="1082"/>
      <c r="T187" s="1083"/>
      <c r="U187" s="1081" t="s">
        <v>558</v>
      </c>
      <c r="V187" s="1082"/>
      <c r="W187" s="1082"/>
      <c r="X187" s="1082"/>
      <c r="Y187" s="1083"/>
    </row>
    <row r="188" spans="1:25" ht="20.100000000000001" customHeight="1" x14ac:dyDescent="0.2">
      <c r="A188" s="1075" t="s">
        <v>559</v>
      </c>
      <c r="B188" s="1075"/>
      <c r="C188" s="1075"/>
      <c r="D188" s="1075"/>
      <c r="E188" s="1089"/>
      <c r="F188" s="1090" t="s">
        <v>560</v>
      </c>
      <c r="G188" s="1075"/>
      <c r="H188" s="1075"/>
      <c r="J188" s="225" t="s">
        <v>7</v>
      </c>
      <c r="K188" s="1090" t="s">
        <v>560</v>
      </c>
      <c r="L188" s="1075"/>
      <c r="M188" s="1075"/>
      <c r="O188" s="225" t="s">
        <v>7</v>
      </c>
      <c r="P188" s="1090" t="s">
        <v>560</v>
      </c>
      <c r="Q188" s="1075"/>
      <c r="R188" s="1075"/>
      <c r="T188" s="225" t="s">
        <v>7</v>
      </c>
      <c r="U188" s="1090" t="s">
        <v>560</v>
      </c>
      <c r="V188" s="1075"/>
      <c r="W188" s="1075"/>
      <c r="Y188" s="225" t="s">
        <v>7</v>
      </c>
    </row>
    <row r="189" spans="1:25" ht="24" customHeight="1" x14ac:dyDescent="0.2">
      <c r="A189" s="261" t="str">
        <f>A182</f>
        <v/>
      </c>
      <c r="B189" s="227"/>
      <c r="C189" s="262" t="str">
        <f>C182</f>
        <v/>
      </c>
      <c r="D189" s="227"/>
      <c r="E189" s="227"/>
      <c r="F189" s="228"/>
      <c r="G189" s="229"/>
      <c r="H189" s="229"/>
      <c r="I189" s="230" t="s">
        <v>561</v>
      </c>
      <c r="J189" s="231"/>
      <c r="K189" s="228"/>
      <c r="L189" s="229"/>
      <c r="M189" s="229"/>
      <c r="N189" s="230" t="s">
        <v>561</v>
      </c>
      <c r="O189" s="231"/>
      <c r="P189" s="228"/>
      <c r="Q189" s="229"/>
      <c r="R189" s="229"/>
      <c r="S189" s="230" t="s">
        <v>561</v>
      </c>
      <c r="T189" s="231"/>
      <c r="U189" s="228"/>
      <c r="V189" s="229"/>
      <c r="W189" s="229"/>
      <c r="X189" s="230" t="s">
        <v>561</v>
      </c>
      <c r="Y189" s="231"/>
    </row>
    <row r="190" spans="1:25" ht="24" customHeight="1" x14ac:dyDescent="0.2">
      <c r="A190" s="261" t="str">
        <f>A183</f>
        <v/>
      </c>
      <c r="B190" s="227"/>
      <c r="C190" s="262" t="str">
        <f>C183</f>
        <v/>
      </c>
      <c r="D190" s="227"/>
      <c r="E190" s="227"/>
      <c r="F190" s="228"/>
      <c r="G190" s="229"/>
      <c r="H190" s="229"/>
      <c r="I190" s="230" t="s">
        <v>561</v>
      </c>
      <c r="J190" s="231"/>
      <c r="K190" s="228"/>
      <c r="L190" s="229"/>
      <c r="M190" s="229"/>
      <c r="N190" s="230" t="s">
        <v>561</v>
      </c>
      <c r="O190" s="231"/>
      <c r="P190" s="228"/>
      <c r="Q190" s="229"/>
      <c r="R190" s="229"/>
      <c r="S190" s="230" t="s">
        <v>561</v>
      </c>
      <c r="T190" s="231"/>
      <c r="U190" s="228"/>
      <c r="V190" s="229"/>
      <c r="W190" s="229"/>
      <c r="X190" s="230" t="s">
        <v>561</v>
      </c>
      <c r="Y190" s="231"/>
    </row>
    <row r="191" spans="1:25" ht="24" customHeight="1" x14ac:dyDescent="0.2">
      <c r="A191" s="261" t="str">
        <f>A184</f>
        <v/>
      </c>
      <c r="B191" s="227"/>
      <c r="C191" s="262" t="str">
        <f>C184</f>
        <v/>
      </c>
      <c r="D191" s="227"/>
      <c r="E191" s="227"/>
      <c r="F191" s="228"/>
      <c r="G191" s="229"/>
      <c r="H191" s="229"/>
      <c r="I191" s="230" t="s">
        <v>561</v>
      </c>
      <c r="J191" s="231"/>
      <c r="K191" s="228"/>
      <c r="L191" s="229"/>
      <c r="M191" s="229"/>
      <c r="N191" s="230" t="s">
        <v>561</v>
      </c>
      <c r="O191" s="231"/>
      <c r="P191" s="228"/>
      <c r="Q191" s="229"/>
      <c r="R191" s="229"/>
      <c r="S191" s="230" t="s">
        <v>561</v>
      </c>
      <c r="T191" s="231"/>
      <c r="U191" s="228"/>
      <c r="V191" s="229"/>
      <c r="W191" s="229"/>
      <c r="X191" s="230" t="s">
        <v>561</v>
      </c>
      <c r="Y191" s="231"/>
    </row>
    <row r="192" spans="1:25" ht="24" customHeight="1" x14ac:dyDescent="0.2">
      <c r="A192" s="261" t="str">
        <f>A185</f>
        <v/>
      </c>
      <c r="B192" s="227"/>
      <c r="C192" s="262" t="str">
        <f>C185</f>
        <v/>
      </c>
      <c r="D192" s="227"/>
      <c r="E192" s="227"/>
      <c r="F192" s="228"/>
      <c r="G192" s="229"/>
      <c r="H192" s="229"/>
      <c r="I192" s="230" t="s">
        <v>561</v>
      </c>
      <c r="J192" s="232"/>
      <c r="K192" s="228"/>
      <c r="L192" s="229"/>
      <c r="M192" s="229"/>
      <c r="N192" s="230" t="s">
        <v>561</v>
      </c>
      <c r="O192" s="232"/>
      <c r="P192" s="228"/>
      <c r="Q192" s="229"/>
      <c r="R192" s="229"/>
      <c r="S192" s="230" t="s">
        <v>561</v>
      </c>
      <c r="T192" s="232"/>
      <c r="U192" s="228"/>
      <c r="V192" s="229"/>
      <c r="W192" s="229"/>
      <c r="X192" s="230" t="s">
        <v>561</v>
      </c>
      <c r="Y192" s="232"/>
    </row>
    <row r="193" spans="1:25" ht="24" customHeight="1" thickBot="1" x14ac:dyDescent="0.25">
      <c r="F193" s="1079" t="s">
        <v>562</v>
      </c>
      <c r="G193" s="1080"/>
      <c r="H193" s="1080"/>
      <c r="I193" s="230" t="s">
        <v>561</v>
      </c>
      <c r="J193" s="231"/>
      <c r="K193" s="1079" t="s">
        <v>563</v>
      </c>
      <c r="L193" s="1080"/>
      <c r="M193" s="1080"/>
      <c r="N193" s="230" t="s">
        <v>561</v>
      </c>
      <c r="O193" s="232"/>
      <c r="P193" s="1079" t="s">
        <v>564</v>
      </c>
      <c r="Q193" s="1080"/>
      <c r="R193" s="1080"/>
      <c r="S193" s="230" t="s">
        <v>561</v>
      </c>
      <c r="T193" s="232"/>
      <c r="U193" s="1079" t="s">
        <v>565</v>
      </c>
      <c r="V193" s="1080"/>
      <c r="W193" s="1080"/>
      <c r="X193" s="230" t="s">
        <v>561</v>
      </c>
      <c r="Y193" s="232"/>
    </row>
    <row r="194" spans="1:25" ht="24" customHeight="1" thickBot="1" x14ac:dyDescent="0.25">
      <c r="F194" s="233"/>
      <c r="G194" s="234"/>
      <c r="H194" s="235" t="s">
        <v>566</v>
      </c>
      <c r="I194" s="235"/>
      <c r="J194" s="236"/>
      <c r="K194" s="1092" t="s">
        <v>567</v>
      </c>
      <c r="L194" s="1085"/>
      <c r="M194" s="1085"/>
      <c r="N194" s="237" t="s">
        <v>561</v>
      </c>
      <c r="O194" s="238"/>
      <c r="P194" s="1092" t="s">
        <v>568</v>
      </c>
      <c r="Q194" s="1085"/>
      <c r="R194" s="1085"/>
      <c r="S194" s="237" t="s">
        <v>561</v>
      </c>
      <c r="T194" s="238"/>
      <c r="U194" s="1092" t="s">
        <v>569</v>
      </c>
      <c r="V194" s="1085"/>
      <c r="W194" s="1085"/>
      <c r="X194" s="237" t="s">
        <v>561</v>
      </c>
      <c r="Y194" s="239"/>
    </row>
    <row r="195" spans="1:25" ht="12.75" customHeight="1" x14ac:dyDescent="0.2">
      <c r="Y195" s="240" t="s">
        <v>570</v>
      </c>
    </row>
    <row r="196" spans="1:25" ht="15.75" customHeight="1" x14ac:dyDescent="0.2">
      <c r="B196" s="1091" t="s">
        <v>521</v>
      </c>
      <c r="C196" s="1091"/>
      <c r="D196" s="1091"/>
      <c r="E196" s="1091"/>
      <c r="F196" s="1091"/>
      <c r="G196" s="1091"/>
      <c r="H196" s="1091"/>
      <c r="I196" s="1091"/>
      <c r="J196" s="1091"/>
      <c r="K196" s="1091"/>
      <c r="L196" s="1091"/>
      <c r="O196" s="1091" t="s">
        <v>522</v>
      </c>
      <c r="P196" s="1091"/>
      <c r="Q196" s="1091"/>
      <c r="R196" s="1091"/>
      <c r="S196" s="1091"/>
      <c r="T196" s="1091"/>
      <c r="U196" s="1091"/>
      <c r="V196" s="1091"/>
      <c r="W196" s="1091"/>
      <c r="X196" s="1091"/>
      <c r="Y196" s="1091"/>
    </row>
    <row r="197" spans="1:25" ht="13.5" customHeight="1" x14ac:dyDescent="0.2">
      <c r="B197" s="1086" t="s">
        <v>1</v>
      </c>
      <c r="C197" s="1087"/>
      <c r="D197" s="1087"/>
      <c r="E197" s="1087"/>
      <c r="F197" s="1087"/>
      <c r="G197" s="1087"/>
      <c r="H197" s="1088"/>
      <c r="I197" s="1086" t="s">
        <v>520</v>
      </c>
      <c r="J197" s="1087"/>
      <c r="K197" s="1087"/>
      <c r="L197" s="1088"/>
      <c r="N197" s="241"/>
      <c r="O197" s="1086" t="s">
        <v>1</v>
      </c>
      <c r="P197" s="1087"/>
      <c r="Q197" s="1087"/>
      <c r="R197" s="1087"/>
      <c r="S197" s="1087"/>
      <c r="T197" s="1087"/>
      <c r="U197" s="1088"/>
      <c r="V197" s="1086" t="s">
        <v>520</v>
      </c>
      <c r="W197" s="1087"/>
      <c r="X197" s="1087"/>
      <c r="Y197" s="1088"/>
    </row>
    <row r="198" spans="1:25" ht="21.75" customHeight="1" x14ac:dyDescent="0.2">
      <c r="B198" s="242"/>
      <c r="C198" s="243"/>
      <c r="D198" s="243"/>
      <c r="E198" s="243"/>
      <c r="F198" s="243"/>
      <c r="G198" s="243"/>
      <c r="H198" s="243"/>
      <c r="I198" s="242"/>
      <c r="J198" s="243"/>
      <c r="K198" s="243"/>
      <c r="L198" s="244"/>
      <c r="N198" s="241"/>
      <c r="O198" s="242"/>
      <c r="P198" s="243"/>
      <c r="Q198" s="243"/>
      <c r="R198" s="243"/>
      <c r="S198" s="243"/>
      <c r="T198" s="243"/>
      <c r="U198" s="243"/>
      <c r="V198" s="242"/>
      <c r="W198" s="243"/>
      <c r="X198" s="243"/>
      <c r="Y198" s="244"/>
    </row>
    <row r="199" spans="1:25" ht="13.5" customHeight="1" x14ac:dyDescent="0.2"/>
    <row r="200" spans="1:25" ht="14.25" customHeight="1" thickBot="1" x14ac:dyDescent="0.25">
      <c r="A200" s="241"/>
      <c r="G200" s="305"/>
      <c r="H200" s="305"/>
      <c r="I200" s="1069" t="s">
        <v>0</v>
      </c>
      <c r="J200" s="1069"/>
      <c r="K200" s="1069"/>
      <c r="L200" s="1069"/>
      <c r="M200" s="1069"/>
      <c r="N200" s="1069"/>
      <c r="O200" s="1069"/>
      <c r="P200" s="1069" t="s">
        <v>374</v>
      </c>
      <c r="Q200" s="1069"/>
      <c r="R200" s="1069"/>
      <c r="S200" s="1069"/>
      <c r="T200" s="1069"/>
      <c r="U200" s="1069" t="s">
        <v>571</v>
      </c>
      <c r="V200" s="1069"/>
      <c r="W200" s="1069"/>
      <c r="X200" s="305"/>
      <c r="Y200" s="305"/>
    </row>
    <row r="201" spans="1:25" ht="20.25" customHeight="1" x14ac:dyDescent="0.2">
      <c r="A201" s="241"/>
      <c r="F201" s="1074" t="s">
        <v>584</v>
      </c>
      <c r="G201" s="1074"/>
      <c r="H201" s="1074"/>
      <c r="I201" s="316"/>
      <c r="J201" s="306"/>
      <c r="K201" s="306"/>
      <c r="L201" s="306"/>
      <c r="M201" s="306"/>
      <c r="N201" s="306"/>
      <c r="O201" s="306"/>
      <c r="P201" s="312"/>
      <c r="Q201" s="306"/>
      <c r="R201" s="307"/>
      <c r="S201" s="304"/>
      <c r="T201" s="313"/>
      <c r="U201" s="310"/>
      <c r="V201" s="1084" t="s">
        <v>495</v>
      </c>
      <c r="W201" s="308"/>
    </row>
    <row r="202" spans="1:25" ht="13.5" thickBot="1" x14ac:dyDescent="0.25">
      <c r="F202" s="1074"/>
      <c r="G202" s="1074"/>
      <c r="H202" s="1074"/>
      <c r="I202" s="303"/>
      <c r="J202" s="235"/>
      <c r="K202" s="235"/>
      <c r="L202" s="235"/>
      <c r="M202" s="235"/>
      <c r="N202" s="235"/>
      <c r="O202" s="235"/>
      <c r="P202" s="314"/>
      <c r="Q202" s="235"/>
      <c r="R202" s="234"/>
      <c r="S202" s="234"/>
      <c r="T202" s="315"/>
      <c r="U202" s="311"/>
      <c r="V202" s="1085"/>
      <c r="W202" s="309"/>
    </row>
    <row r="204" spans="1:25" ht="6.75" customHeight="1" x14ac:dyDescent="0.2"/>
    <row r="205" spans="1:25" s="218" customFormat="1" ht="23.25" customHeight="1" x14ac:dyDescent="0.2">
      <c r="A205" s="1072" t="s">
        <v>546</v>
      </c>
      <c r="B205" s="1073"/>
      <c r="C205" s="402"/>
      <c r="D205" s="1098" t="s">
        <v>628</v>
      </c>
      <c r="E205" s="1072"/>
      <c r="F205" s="1072"/>
      <c r="G205" s="1103"/>
      <c r="H205" s="1104"/>
      <c r="K205" s="218" t="str">
        <f>RIGHT(CATEG_IMPORTEE, LEN(CATEG_IMPORTEE) - 2)</f>
        <v>llèges Mixtes Etablissement</v>
      </c>
      <c r="T205" s="397" t="s">
        <v>627</v>
      </c>
      <c r="U205" s="401">
        <v>8</v>
      </c>
      <c r="V205" s="396" t="s">
        <v>547</v>
      </c>
      <c r="W205" s="401"/>
      <c r="X205" s="395"/>
    </row>
    <row r="206" spans="1:25" ht="27" customHeight="1" thickBot="1" x14ac:dyDescent="0.25">
      <c r="B206" s="1069" t="s">
        <v>0</v>
      </c>
      <c r="C206" s="1069"/>
      <c r="D206" s="1069"/>
      <c r="E206" s="1069"/>
      <c r="F206" s="1069"/>
      <c r="G206" s="1069"/>
      <c r="H206" s="1069"/>
      <c r="I206" s="1069" t="s">
        <v>374</v>
      </c>
      <c r="J206" s="1069"/>
      <c r="K206" s="1069"/>
      <c r="L206" s="1069"/>
      <c r="O206" s="1069" t="s">
        <v>0</v>
      </c>
      <c r="P206" s="1069"/>
      <c r="Q206" s="1069"/>
      <c r="R206" s="1069"/>
      <c r="S206" s="1069"/>
      <c r="T206" s="1069"/>
      <c r="U206" s="1069"/>
      <c r="V206" s="1069" t="s">
        <v>374</v>
      </c>
      <c r="W206" s="1069"/>
      <c r="X206" s="1069"/>
      <c r="Y206" s="1069"/>
    </row>
    <row r="207" spans="1:25" ht="24" customHeight="1" thickBot="1" x14ac:dyDescent="0.25">
      <c r="A207" s="219"/>
      <c r="B207" s="398" t="str">
        <f>VLOOKUP(U205,TBL_equipe,2,FALSE)</f>
        <v/>
      </c>
      <c r="C207" s="399"/>
      <c r="D207" s="399"/>
      <c r="E207" s="399"/>
      <c r="F207" s="399"/>
      <c r="G207" s="399"/>
      <c r="H207" s="400"/>
      <c r="I207" s="257" t="str">
        <f>VLOOKUP(U205,TBL_equipe,4,FALSE)</f>
        <v/>
      </c>
      <c r="J207" s="220"/>
      <c r="K207" s="220"/>
      <c r="L207" s="221"/>
      <c r="M207" s="1070" t="s">
        <v>547</v>
      </c>
      <c r="N207" s="1071"/>
      <c r="O207" s="398" t="e">
        <f>VLOOKUP(W205,TBL_equipe,2,FALSE)</f>
        <v>#N/A</v>
      </c>
      <c r="P207" s="220"/>
      <c r="Q207" s="220"/>
      <c r="R207" s="220"/>
      <c r="S207" s="220"/>
      <c r="T207" s="220"/>
      <c r="U207" s="221"/>
      <c r="V207" s="257" t="e">
        <f>VLOOKUP(W205,TBL_equipe,4,FALSE)</f>
        <v>#N/A</v>
      </c>
      <c r="W207" s="220"/>
      <c r="X207" s="220"/>
      <c r="Y207" s="221"/>
    </row>
    <row r="208" spans="1:25" ht="15" customHeight="1" x14ac:dyDescent="0.2"/>
    <row r="209" spans="1:25" ht="20.100000000000001" customHeight="1" x14ac:dyDescent="0.2">
      <c r="A209" s="1074" t="s">
        <v>548</v>
      </c>
      <c r="B209" s="1074"/>
      <c r="C209" s="1074"/>
      <c r="D209" s="1074"/>
      <c r="E209" s="1074"/>
    </row>
    <row r="210" spans="1:25" ht="20.100000000000001" customHeight="1" x14ac:dyDescent="0.2">
      <c r="A210" s="1075" t="s">
        <v>549</v>
      </c>
      <c r="B210" s="1075"/>
      <c r="C210" s="1075"/>
      <c r="D210" s="1075"/>
      <c r="E210" s="1075"/>
      <c r="G210" s="1076" t="s">
        <v>480</v>
      </c>
      <c r="H210" s="1076"/>
      <c r="I210" s="1077" t="s">
        <v>550</v>
      </c>
      <c r="J210" s="1077"/>
      <c r="K210" s="1077"/>
      <c r="L210" s="252" t="s">
        <v>551</v>
      </c>
      <c r="M210" s="1078" t="s">
        <v>552</v>
      </c>
      <c r="N210" s="1078"/>
      <c r="O210" s="251"/>
    </row>
    <row r="211" spans="1:25" ht="24" customHeight="1" x14ac:dyDescent="0.2">
      <c r="A211" s="258" t="str">
        <f>VLOOKUP(U205,TBL_equipe,5,FALSE)</f>
        <v/>
      </c>
      <c r="B211" s="223"/>
      <c r="C211" s="259" t="str">
        <f>VLOOKUP(U205,TBL_equipe,6,FALSE)</f>
        <v/>
      </c>
      <c r="D211" s="223"/>
      <c r="E211" s="224"/>
      <c r="F211" s="219"/>
      <c r="G211" s="403" t="str">
        <f>VLOOKUP(U205,TBL_equipe,9,FALSE)</f>
        <v/>
      </c>
      <c r="H211" s="224"/>
      <c r="I211" s="222"/>
      <c r="J211" s="246" t="str">
        <f>VLOOKUP(U205,TBL_equipe,8,FALSE)</f>
        <v/>
      </c>
      <c r="K211" s="224"/>
      <c r="L211" s="260" t="str">
        <f>VLOOKUP(U205,TBL_equipe,10,FALSE)</f>
        <v/>
      </c>
      <c r="M211" s="287">
        <f>G205</f>
        <v>0</v>
      </c>
      <c r="N211" s="288"/>
      <c r="O211" s="249"/>
      <c r="R211" s="254"/>
      <c r="S211" s="254"/>
      <c r="T211" s="254" t="s">
        <v>629</v>
      </c>
      <c r="U211" s="254"/>
      <c r="V211" s="254"/>
      <c r="W211" s="254"/>
      <c r="X211" s="254"/>
      <c r="Y211" s="254"/>
    </row>
    <row r="212" spans="1:25" ht="24" customHeight="1" x14ac:dyDescent="0.2">
      <c r="A212" s="258" t="str">
        <f>VLOOKUP(U205,TBL_equipe,11,FALSE)</f>
        <v/>
      </c>
      <c r="B212" s="223"/>
      <c r="C212" s="259" t="str">
        <f>VLOOKUP(U205,TBL_equipe,12,FALSE)</f>
        <v/>
      </c>
      <c r="D212" s="223"/>
      <c r="E212" s="224"/>
      <c r="F212" s="219"/>
      <c r="G212" s="403" t="str">
        <f>VLOOKUP(U205,TBL_equipe,15,FALSE)</f>
        <v/>
      </c>
      <c r="H212" s="224"/>
      <c r="I212" s="222"/>
      <c r="J212" s="246" t="str">
        <f>VLOOKUP(U205,TBL_equipe,14,FALSE)</f>
        <v/>
      </c>
      <c r="K212" s="224"/>
      <c r="L212" s="260" t="str">
        <f>VLOOKUP(U205,TBL_equipe,16,FALSE)</f>
        <v/>
      </c>
      <c r="M212" s="287">
        <f>G205</f>
        <v>0</v>
      </c>
      <c r="N212" s="288"/>
      <c r="O212" s="249"/>
      <c r="Q212" s="254"/>
      <c r="R212" s="254"/>
      <c r="S212" s="254"/>
      <c r="T212" s="254"/>
      <c r="U212" s="254"/>
      <c r="V212" s="254"/>
      <c r="W212" s="254"/>
      <c r="X212" s="254"/>
      <c r="Y212" s="254"/>
    </row>
    <row r="213" spans="1:25" ht="24" customHeight="1" x14ac:dyDescent="0.2">
      <c r="A213" s="258" t="str">
        <f>VLOOKUP(U205,TBL_equipe,17,FALSE)</f>
        <v/>
      </c>
      <c r="B213" s="223"/>
      <c r="C213" s="259" t="str">
        <f>VLOOKUP(U205,TBL_equipe,18,FALSE)</f>
        <v/>
      </c>
      <c r="D213" s="223"/>
      <c r="E213" s="224"/>
      <c r="F213" s="219"/>
      <c r="G213" s="403" t="str">
        <f>VLOOKUP(U205,TBL_equipe,21,FALSE)</f>
        <v/>
      </c>
      <c r="H213" s="224"/>
      <c r="I213" s="222"/>
      <c r="J213" s="246" t="str">
        <f>VLOOKUP(U205,TBL_equipe,20,FALSE)</f>
        <v/>
      </c>
      <c r="K213" s="224"/>
      <c r="L213" s="260" t="str">
        <f>VLOOKUP(U205,TBL_equipe,22,FALSE)</f>
        <v/>
      </c>
      <c r="M213" s="287">
        <f>G205</f>
        <v>0</v>
      </c>
      <c r="N213" s="288"/>
      <c r="O213" s="249"/>
      <c r="Q213" s="254"/>
      <c r="R213" s="254"/>
      <c r="S213" s="254"/>
      <c r="T213" s="254"/>
      <c r="U213" s="254"/>
      <c r="V213" s="254"/>
      <c r="W213" s="254"/>
      <c r="X213" s="254"/>
      <c r="Y213" s="254"/>
    </row>
    <row r="214" spans="1:25" ht="24" customHeight="1" x14ac:dyDescent="0.2">
      <c r="A214" s="258" t="str">
        <f>VLOOKUP(U205,TBL_equipe,23,FALSE)</f>
        <v/>
      </c>
      <c r="B214" s="223"/>
      <c r="C214" s="259" t="str">
        <f>VLOOKUP(U205,TBL_equipe,24,FALSE)</f>
        <v/>
      </c>
      <c r="D214" s="223"/>
      <c r="E214" s="224"/>
      <c r="F214" s="219"/>
      <c r="G214" s="403" t="str">
        <f>VLOOKUP(U205,TBL_equipe,27,FALSE)</f>
        <v/>
      </c>
      <c r="H214" s="224"/>
      <c r="I214" s="222"/>
      <c r="J214" s="246" t="str">
        <f>VLOOKUP(U205,TBL_equipe,26,FALSE)</f>
        <v/>
      </c>
      <c r="K214" s="224"/>
      <c r="L214" s="260" t="str">
        <f>VLOOKUP(U205,TBL_equipe,28,FALSE)</f>
        <v/>
      </c>
      <c r="M214" s="289">
        <f>G205</f>
        <v>0</v>
      </c>
      <c r="N214" s="290"/>
      <c r="O214" s="249"/>
    </row>
    <row r="215" spans="1:25" ht="15" customHeight="1" thickBot="1" x14ac:dyDescent="0.25"/>
    <row r="216" spans="1:25" ht="20.100000000000001" customHeight="1" x14ac:dyDescent="0.2">
      <c r="F216" s="1081" t="s">
        <v>555</v>
      </c>
      <c r="G216" s="1082"/>
      <c r="H216" s="1082"/>
      <c r="I216" s="1082"/>
      <c r="J216" s="1083"/>
      <c r="K216" s="1081" t="s">
        <v>556</v>
      </c>
      <c r="L216" s="1082"/>
      <c r="M216" s="1082"/>
      <c r="N216" s="1082"/>
      <c r="O216" s="1083"/>
      <c r="P216" s="1081" t="s">
        <v>557</v>
      </c>
      <c r="Q216" s="1082"/>
      <c r="R216" s="1082"/>
      <c r="S216" s="1082"/>
      <c r="T216" s="1083"/>
      <c r="U216" s="1081" t="s">
        <v>558</v>
      </c>
      <c r="V216" s="1082"/>
      <c r="W216" s="1082"/>
      <c r="X216" s="1082"/>
      <c r="Y216" s="1083"/>
    </row>
    <row r="217" spans="1:25" ht="20.100000000000001" customHeight="1" x14ac:dyDescent="0.2">
      <c r="A217" s="1075" t="s">
        <v>559</v>
      </c>
      <c r="B217" s="1075"/>
      <c r="C217" s="1075"/>
      <c r="D217" s="1075"/>
      <c r="E217" s="1089"/>
      <c r="F217" s="1090" t="s">
        <v>560</v>
      </c>
      <c r="G217" s="1075"/>
      <c r="H217" s="1075"/>
      <c r="J217" s="225" t="s">
        <v>7</v>
      </c>
      <c r="K217" s="1090" t="s">
        <v>560</v>
      </c>
      <c r="L217" s="1075"/>
      <c r="M217" s="1075"/>
      <c r="O217" s="225" t="s">
        <v>7</v>
      </c>
      <c r="P217" s="1090" t="s">
        <v>560</v>
      </c>
      <c r="Q217" s="1075"/>
      <c r="R217" s="1075"/>
      <c r="T217" s="225" t="s">
        <v>7</v>
      </c>
      <c r="U217" s="1090" t="s">
        <v>560</v>
      </c>
      <c r="V217" s="1075"/>
      <c r="W217" s="1075"/>
      <c r="Y217" s="225" t="s">
        <v>7</v>
      </c>
    </row>
    <row r="218" spans="1:25" ht="24" customHeight="1" x14ac:dyDescent="0.2">
      <c r="A218" s="261" t="str">
        <f>A211</f>
        <v/>
      </c>
      <c r="B218" s="227"/>
      <c r="C218" s="262" t="str">
        <f>C211</f>
        <v/>
      </c>
      <c r="D218" s="227"/>
      <c r="E218" s="227"/>
      <c r="F218" s="228"/>
      <c r="G218" s="229"/>
      <c r="H218" s="229"/>
      <c r="I218" s="230" t="s">
        <v>561</v>
      </c>
      <c r="J218" s="231"/>
      <c r="K218" s="228"/>
      <c r="L218" s="229"/>
      <c r="M218" s="229"/>
      <c r="N218" s="230" t="s">
        <v>561</v>
      </c>
      <c r="O218" s="231"/>
      <c r="P218" s="228"/>
      <c r="Q218" s="229"/>
      <c r="R218" s="229"/>
      <c r="S218" s="230" t="s">
        <v>561</v>
      </c>
      <c r="T218" s="231"/>
      <c r="U218" s="228"/>
      <c r="V218" s="229"/>
      <c r="W218" s="229"/>
      <c r="X218" s="230" t="s">
        <v>561</v>
      </c>
      <c r="Y218" s="231"/>
    </row>
    <row r="219" spans="1:25" ht="24" customHeight="1" x14ac:dyDescent="0.2">
      <c r="A219" s="261" t="str">
        <f>A212</f>
        <v/>
      </c>
      <c r="B219" s="227"/>
      <c r="C219" s="262" t="str">
        <f>C212</f>
        <v/>
      </c>
      <c r="D219" s="227"/>
      <c r="E219" s="227"/>
      <c r="F219" s="228"/>
      <c r="G219" s="229"/>
      <c r="H219" s="229"/>
      <c r="I219" s="230" t="s">
        <v>561</v>
      </c>
      <c r="J219" s="231"/>
      <c r="K219" s="228"/>
      <c r="L219" s="229"/>
      <c r="M219" s="229"/>
      <c r="N219" s="230" t="s">
        <v>561</v>
      </c>
      <c r="O219" s="231"/>
      <c r="P219" s="228"/>
      <c r="Q219" s="229"/>
      <c r="R219" s="229"/>
      <c r="S219" s="230" t="s">
        <v>561</v>
      </c>
      <c r="T219" s="231"/>
      <c r="U219" s="228"/>
      <c r="V219" s="229"/>
      <c r="W219" s="229"/>
      <c r="X219" s="230" t="s">
        <v>561</v>
      </c>
      <c r="Y219" s="231"/>
    </row>
    <row r="220" spans="1:25" ht="24" customHeight="1" x14ac:dyDescent="0.2">
      <c r="A220" s="261" t="str">
        <f>A213</f>
        <v/>
      </c>
      <c r="B220" s="227"/>
      <c r="C220" s="262" t="str">
        <f>C213</f>
        <v/>
      </c>
      <c r="D220" s="227"/>
      <c r="E220" s="227"/>
      <c r="F220" s="228"/>
      <c r="G220" s="229"/>
      <c r="H220" s="229"/>
      <c r="I220" s="230" t="s">
        <v>561</v>
      </c>
      <c r="J220" s="231"/>
      <c r="K220" s="228"/>
      <c r="L220" s="229"/>
      <c r="M220" s="229"/>
      <c r="N220" s="230" t="s">
        <v>561</v>
      </c>
      <c r="O220" s="231"/>
      <c r="P220" s="228"/>
      <c r="Q220" s="229"/>
      <c r="R220" s="229"/>
      <c r="S220" s="230" t="s">
        <v>561</v>
      </c>
      <c r="T220" s="231"/>
      <c r="U220" s="228"/>
      <c r="V220" s="229"/>
      <c r="W220" s="229"/>
      <c r="X220" s="230" t="s">
        <v>561</v>
      </c>
      <c r="Y220" s="231"/>
    </row>
    <row r="221" spans="1:25" ht="24" customHeight="1" x14ac:dyDescent="0.2">
      <c r="A221" s="261" t="str">
        <f>A214</f>
        <v/>
      </c>
      <c r="B221" s="227"/>
      <c r="C221" s="262" t="str">
        <f>C214</f>
        <v/>
      </c>
      <c r="D221" s="227"/>
      <c r="E221" s="227"/>
      <c r="F221" s="228"/>
      <c r="G221" s="229"/>
      <c r="H221" s="229"/>
      <c r="I221" s="230" t="s">
        <v>561</v>
      </c>
      <c r="J221" s="232"/>
      <c r="K221" s="228"/>
      <c r="L221" s="229"/>
      <c r="M221" s="229"/>
      <c r="N221" s="230" t="s">
        <v>561</v>
      </c>
      <c r="O221" s="232"/>
      <c r="P221" s="228"/>
      <c r="Q221" s="229"/>
      <c r="R221" s="229"/>
      <c r="S221" s="230" t="s">
        <v>561</v>
      </c>
      <c r="T221" s="232"/>
      <c r="U221" s="228"/>
      <c r="V221" s="229"/>
      <c r="W221" s="229"/>
      <c r="X221" s="230" t="s">
        <v>561</v>
      </c>
      <c r="Y221" s="232"/>
    </row>
    <row r="222" spans="1:25" ht="24" customHeight="1" thickBot="1" x14ac:dyDescent="0.25">
      <c r="F222" s="1079" t="s">
        <v>562</v>
      </c>
      <c r="G222" s="1080"/>
      <c r="H222" s="1080"/>
      <c r="I222" s="230" t="s">
        <v>561</v>
      </c>
      <c r="J222" s="231"/>
      <c r="K222" s="1079" t="s">
        <v>563</v>
      </c>
      <c r="L222" s="1080"/>
      <c r="M222" s="1080"/>
      <c r="N222" s="230" t="s">
        <v>561</v>
      </c>
      <c r="O222" s="232"/>
      <c r="P222" s="1079" t="s">
        <v>564</v>
      </c>
      <c r="Q222" s="1080"/>
      <c r="R222" s="1080"/>
      <c r="S222" s="230" t="s">
        <v>561</v>
      </c>
      <c r="T222" s="232"/>
      <c r="U222" s="1079" t="s">
        <v>565</v>
      </c>
      <c r="V222" s="1080"/>
      <c r="W222" s="1080"/>
      <c r="X222" s="230" t="s">
        <v>561</v>
      </c>
      <c r="Y222" s="232"/>
    </row>
    <row r="223" spans="1:25" ht="24" customHeight="1" thickBot="1" x14ac:dyDescent="0.25">
      <c r="F223" s="233"/>
      <c r="G223" s="234"/>
      <c r="H223" s="235" t="s">
        <v>566</v>
      </c>
      <c r="I223" s="235"/>
      <c r="J223" s="236"/>
      <c r="K223" s="1092" t="s">
        <v>567</v>
      </c>
      <c r="L223" s="1085"/>
      <c r="M223" s="1085"/>
      <c r="N223" s="237" t="s">
        <v>561</v>
      </c>
      <c r="O223" s="238"/>
      <c r="P223" s="1092" t="s">
        <v>568</v>
      </c>
      <c r="Q223" s="1085"/>
      <c r="R223" s="1085"/>
      <c r="S223" s="237" t="s">
        <v>561</v>
      </c>
      <c r="T223" s="238"/>
      <c r="U223" s="1092" t="s">
        <v>569</v>
      </c>
      <c r="V223" s="1085"/>
      <c r="W223" s="1085"/>
      <c r="X223" s="237" t="s">
        <v>561</v>
      </c>
      <c r="Y223" s="239"/>
    </row>
    <row r="224" spans="1:25" ht="12.75" customHeight="1" x14ac:dyDescent="0.2">
      <c r="Y224" s="240" t="s">
        <v>570</v>
      </c>
    </row>
    <row r="225" spans="1:25" ht="15.75" customHeight="1" x14ac:dyDescent="0.2">
      <c r="B225" s="1091" t="s">
        <v>521</v>
      </c>
      <c r="C225" s="1091"/>
      <c r="D225" s="1091"/>
      <c r="E225" s="1091"/>
      <c r="F225" s="1091"/>
      <c r="G225" s="1091"/>
      <c r="H225" s="1091"/>
      <c r="I225" s="1091"/>
      <c r="J225" s="1091"/>
      <c r="K225" s="1091"/>
      <c r="L225" s="1091"/>
      <c r="O225" s="1091" t="s">
        <v>522</v>
      </c>
      <c r="P225" s="1091"/>
      <c r="Q225" s="1091"/>
      <c r="R225" s="1091"/>
      <c r="S225" s="1091"/>
      <c r="T225" s="1091"/>
      <c r="U225" s="1091"/>
      <c r="V225" s="1091"/>
      <c r="W225" s="1091"/>
      <c r="X225" s="1091"/>
      <c r="Y225" s="1091"/>
    </row>
    <row r="226" spans="1:25" ht="13.5" customHeight="1" x14ac:dyDescent="0.2">
      <c r="B226" s="1086" t="s">
        <v>1</v>
      </c>
      <c r="C226" s="1087"/>
      <c r="D226" s="1087"/>
      <c r="E226" s="1087"/>
      <c r="F226" s="1087"/>
      <c r="G226" s="1087"/>
      <c r="H226" s="1088"/>
      <c r="I226" s="1086" t="s">
        <v>520</v>
      </c>
      <c r="J226" s="1087"/>
      <c r="K226" s="1087"/>
      <c r="L226" s="1088"/>
      <c r="N226" s="241"/>
      <c r="O226" s="1086" t="s">
        <v>1</v>
      </c>
      <c r="P226" s="1087"/>
      <c r="Q226" s="1087"/>
      <c r="R226" s="1087"/>
      <c r="S226" s="1087"/>
      <c r="T226" s="1087"/>
      <c r="U226" s="1088"/>
      <c r="V226" s="1086" t="s">
        <v>520</v>
      </c>
      <c r="W226" s="1087"/>
      <c r="X226" s="1087"/>
      <c r="Y226" s="1088"/>
    </row>
    <row r="227" spans="1:25" ht="21.75" customHeight="1" x14ac:dyDescent="0.2">
      <c r="B227" s="242"/>
      <c r="C227" s="243"/>
      <c r="D227" s="243"/>
      <c r="E227" s="243"/>
      <c r="F227" s="243"/>
      <c r="G227" s="243"/>
      <c r="H227" s="243"/>
      <c r="I227" s="242"/>
      <c r="J227" s="243"/>
      <c r="K227" s="243"/>
      <c r="L227" s="244"/>
      <c r="N227" s="241"/>
      <c r="O227" s="242"/>
      <c r="P227" s="243"/>
      <c r="Q227" s="243"/>
      <c r="R227" s="243"/>
      <c r="S227" s="243"/>
      <c r="T227" s="243"/>
      <c r="U227" s="243"/>
      <c r="V227" s="242"/>
      <c r="W227" s="243"/>
      <c r="X227" s="243"/>
      <c r="Y227" s="244"/>
    </row>
    <row r="228" spans="1:25" ht="13.5" customHeight="1" x14ac:dyDescent="0.2"/>
    <row r="229" spans="1:25" ht="14.25" customHeight="1" thickBot="1" x14ac:dyDescent="0.25">
      <c r="A229" s="241"/>
      <c r="G229" s="305"/>
      <c r="H229" s="305"/>
      <c r="I229" s="1069" t="s">
        <v>0</v>
      </c>
      <c r="J229" s="1069"/>
      <c r="K229" s="1069"/>
      <c r="L229" s="1069"/>
      <c r="M229" s="1069"/>
      <c r="N229" s="1069"/>
      <c r="O229" s="1069"/>
      <c r="P229" s="1069" t="s">
        <v>374</v>
      </c>
      <c r="Q229" s="1069"/>
      <c r="R229" s="1069"/>
      <c r="S229" s="1069"/>
      <c r="T229" s="1069"/>
      <c r="U229" s="1069" t="s">
        <v>571</v>
      </c>
      <c r="V229" s="1069"/>
      <c r="W229" s="1069"/>
      <c r="X229" s="305"/>
      <c r="Y229" s="305"/>
    </row>
    <row r="230" spans="1:25" ht="20.25" customHeight="1" x14ac:dyDescent="0.2">
      <c r="A230" s="241"/>
      <c r="F230" s="1074" t="s">
        <v>584</v>
      </c>
      <c r="G230" s="1074"/>
      <c r="H230" s="1074"/>
      <c r="I230" s="316"/>
      <c r="J230" s="306"/>
      <c r="K230" s="306"/>
      <c r="L230" s="306"/>
      <c r="M230" s="306"/>
      <c r="N230" s="306"/>
      <c r="O230" s="306"/>
      <c r="P230" s="312"/>
      <c r="Q230" s="306"/>
      <c r="R230" s="307"/>
      <c r="S230" s="304"/>
      <c r="T230" s="313"/>
      <c r="U230" s="310"/>
      <c r="V230" s="1084" t="s">
        <v>495</v>
      </c>
      <c r="W230" s="308"/>
    </row>
    <row r="231" spans="1:25" ht="13.5" thickBot="1" x14ac:dyDescent="0.25">
      <c r="F231" s="1074"/>
      <c r="G231" s="1074"/>
      <c r="H231" s="1074"/>
      <c r="I231" s="303"/>
      <c r="J231" s="235"/>
      <c r="K231" s="235"/>
      <c r="L231" s="235"/>
      <c r="M231" s="235"/>
      <c r="N231" s="235"/>
      <c r="O231" s="235"/>
      <c r="P231" s="314"/>
      <c r="Q231" s="235"/>
      <c r="R231" s="234"/>
      <c r="S231" s="234"/>
      <c r="T231" s="315"/>
      <c r="U231" s="311"/>
      <c r="V231" s="1085"/>
      <c r="W231" s="309"/>
    </row>
    <row r="233" spans="1:25" ht="6.75" customHeight="1" x14ac:dyDescent="0.2"/>
    <row r="234" spans="1:25" s="218" customFormat="1" ht="23.25" customHeight="1" x14ac:dyDescent="0.2">
      <c r="A234" s="1072" t="s">
        <v>546</v>
      </c>
      <c r="B234" s="1073"/>
      <c r="C234" s="402"/>
      <c r="D234" s="1098" t="s">
        <v>628</v>
      </c>
      <c r="E234" s="1072"/>
      <c r="F234" s="1072"/>
      <c r="G234" s="1103"/>
      <c r="H234" s="1104"/>
      <c r="K234" s="218" t="str">
        <f>RIGHT(CATEG_IMPORTEE, LEN(CATEG_IMPORTEE) - 2)</f>
        <v>llèges Mixtes Etablissement</v>
      </c>
      <c r="T234" s="397" t="s">
        <v>627</v>
      </c>
      <c r="U234" s="401">
        <v>9</v>
      </c>
      <c r="V234" s="396" t="s">
        <v>547</v>
      </c>
      <c r="W234" s="401"/>
      <c r="X234" s="395"/>
    </row>
    <row r="235" spans="1:25" ht="27" customHeight="1" thickBot="1" x14ac:dyDescent="0.25">
      <c r="B235" s="1069" t="s">
        <v>0</v>
      </c>
      <c r="C235" s="1069"/>
      <c r="D235" s="1069"/>
      <c r="E235" s="1069"/>
      <c r="F235" s="1069"/>
      <c r="G235" s="1069"/>
      <c r="H235" s="1069"/>
      <c r="I235" s="1069" t="s">
        <v>374</v>
      </c>
      <c r="J235" s="1069"/>
      <c r="K235" s="1069"/>
      <c r="L235" s="1069"/>
      <c r="O235" s="1069" t="s">
        <v>0</v>
      </c>
      <c r="P235" s="1069"/>
      <c r="Q235" s="1069"/>
      <c r="R235" s="1069"/>
      <c r="S235" s="1069"/>
      <c r="T235" s="1069"/>
      <c r="U235" s="1069"/>
      <c r="V235" s="1069" t="s">
        <v>374</v>
      </c>
      <c r="W235" s="1069"/>
      <c r="X235" s="1069"/>
      <c r="Y235" s="1069"/>
    </row>
    <row r="236" spans="1:25" ht="24" customHeight="1" thickBot="1" x14ac:dyDescent="0.25">
      <c r="A236" s="219"/>
      <c r="B236" s="398" t="str">
        <f>VLOOKUP(U234,TBL_equipe,2,FALSE)</f>
        <v/>
      </c>
      <c r="C236" s="399"/>
      <c r="D236" s="399"/>
      <c r="E236" s="399"/>
      <c r="F236" s="399"/>
      <c r="G236" s="399"/>
      <c r="H236" s="400"/>
      <c r="I236" s="257" t="str">
        <f>VLOOKUP(U234,TBL_equipe,4,FALSE)</f>
        <v/>
      </c>
      <c r="J236" s="220"/>
      <c r="K236" s="220"/>
      <c r="L236" s="221"/>
      <c r="M236" s="1070" t="s">
        <v>547</v>
      </c>
      <c r="N236" s="1071"/>
      <c r="O236" s="398" t="e">
        <f>VLOOKUP(W234,TBL_equipe,2,FALSE)</f>
        <v>#N/A</v>
      </c>
      <c r="P236" s="220"/>
      <c r="Q236" s="220"/>
      <c r="R236" s="220"/>
      <c r="S236" s="220"/>
      <c r="T236" s="220"/>
      <c r="U236" s="221"/>
      <c r="V236" s="257" t="e">
        <f>VLOOKUP(W234,TBL_equipe,4,FALSE)</f>
        <v>#N/A</v>
      </c>
      <c r="W236" s="220"/>
      <c r="X236" s="220"/>
      <c r="Y236" s="221"/>
    </row>
    <row r="237" spans="1:25" ht="15" customHeight="1" x14ac:dyDescent="0.2"/>
    <row r="238" spans="1:25" ht="20.100000000000001" customHeight="1" x14ac:dyDescent="0.2">
      <c r="A238" s="1074" t="s">
        <v>548</v>
      </c>
      <c r="B238" s="1074"/>
      <c r="C238" s="1074"/>
      <c r="D238" s="1074"/>
      <c r="E238" s="1074"/>
    </row>
    <row r="239" spans="1:25" ht="20.100000000000001" customHeight="1" x14ac:dyDescent="0.2">
      <c r="A239" s="1075" t="s">
        <v>549</v>
      </c>
      <c r="B239" s="1075"/>
      <c r="C239" s="1075"/>
      <c r="D239" s="1075"/>
      <c r="E239" s="1075"/>
      <c r="G239" s="1076" t="s">
        <v>480</v>
      </c>
      <c r="H239" s="1076"/>
      <c r="I239" s="1077" t="s">
        <v>550</v>
      </c>
      <c r="J239" s="1077"/>
      <c r="K239" s="1077"/>
      <c r="L239" s="252" t="s">
        <v>551</v>
      </c>
      <c r="M239" s="1078" t="s">
        <v>552</v>
      </c>
      <c r="N239" s="1078"/>
      <c r="O239" s="251"/>
    </row>
    <row r="240" spans="1:25" ht="24" customHeight="1" x14ac:dyDescent="0.2">
      <c r="A240" s="258" t="str">
        <f>VLOOKUP(U234,TBL_equipe,5,FALSE)</f>
        <v/>
      </c>
      <c r="B240" s="223"/>
      <c r="C240" s="259" t="str">
        <f>VLOOKUP(U234,TBL_equipe,6,FALSE)</f>
        <v/>
      </c>
      <c r="D240" s="223"/>
      <c r="E240" s="224"/>
      <c r="F240" s="219"/>
      <c r="G240" s="403" t="str">
        <f>VLOOKUP(U234,TBL_equipe,9,FALSE)</f>
        <v/>
      </c>
      <c r="H240" s="224"/>
      <c r="I240" s="222"/>
      <c r="J240" s="246" t="str">
        <f>VLOOKUP(U234,TBL_equipe,8,FALSE)</f>
        <v/>
      </c>
      <c r="K240" s="224"/>
      <c r="L240" s="260" t="str">
        <f>VLOOKUP(U234,TBL_equipe,10,FALSE)</f>
        <v/>
      </c>
      <c r="M240" s="287">
        <f>G234</f>
        <v>0</v>
      </c>
      <c r="N240" s="288"/>
      <c r="O240" s="249"/>
      <c r="R240" s="254"/>
      <c r="S240" s="254"/>
      <c r="T240" s="254" t="s">
        <v>629</v>
      </c>
      <c r="U240" s="254"/>
      <c r="V240" s="254"/>
      <c r="W240" s="254"/>
      <c r="X240" s="254"/>
      <c r="Y240" s="254"/>
    </row>
    <row r="241" spans="1:25" ht="24" customHeight="1" x14ac:dyDescent="0.2">
      <c r="A241" s="258" t="str">
        <f>VLOOKUP(U234,TBL_equipe,11,FALSE)</f>
        <v/>
      </c>
      <c r="B241" s="223"/>
      <c r="C241" s="259" t="str">
        <f>VLOOKUP(U234,TBL_equipe,12,FALSE)</f>
        <v/>
      </c>
      <c r="D241" s="223"/>
      <c r="E241" s="224"/>
      <c r="F241" s="219"/>
      <c r="G241" s="403" t="str">
        <f>VLOOKUP(U234,TBL_equipe,15,FALSE)</f>
        <v/>
      </c>
      <c r="H241" s="224"/>
      <c r="I241" s="222"/>
      <c r="J241" s="246" t="str">
        <f>VLOOKUP(U234,TBL_equipe,14,FALSE)</f>
        <v/>
      </c>
      <c r="K241" s="224"/>
      <c r="L241" s="260" t="str">
        <f>VLOOKUP(U234,TBL_equipe,16,FALSE)</f>
        <v/>
      </c>
      <c r="M241" s="287">
        <f>G234</f>
        <v>0</v>
      </c>
      <c r="N241" s="288"/>
      <c r="O241" s="249"/>
      <c r="Q241" s="254"/>
      <c r="R241" s="254"/>
      <c r="S241" s="254"/>
      <c r="T241" s="254"/>
      <c r="U241" s="254"/>
      <c r="V241" s="254"/>
      <c r="W241" s="254"/>
      <c r="X241" s="254"/>
      <c r="Y241" s="254"/>
    </row>
    <row r="242" spans="1:25" ht="24" customHeight="1" x14ac:dyDescent="0.2">
      <c r="A242" s="258" t="str">
        <f>VLOOKUP(U234,TBL_equipe,17,FALSE)</f>
        <v/>
      </c>
      <c r="B242" s="223"/>
      <c r="C242" s="259" t="str">
        <f>VLOOKUP(U234,TBL_equipe,18,FALSE)</f>
        <v/>
      </c>
      <c r="D242" s="223"/>
      <c r="E242" s="224"/>
      <c r="F242" s="219"/>
      <c r="G242" s="403" t="str">
        <f>VLOOKUP(U234,TBL_equipe,21,FALSE)</f>
        <v/>
      </c>
      <c r="H242" s="224"/>
      <c r="I242" s="222"/>
      <c r="J242" s="246" t="str">
        <f>VLOOKUP(U234,TBL_equipe,20,FALSE)</f>
        <v/>
      </c>
      <c r="K242" s="224"/>
      <c r="L242" s="260" t="str">
        <f>VLOOKUP(U234,TBL_equipe,22,FALSE)</f>
        <v/>
      </c>
      <c r="M242" s="287">
        <f>G234</f>
        <v>0</v>
      </c>
      <c r="N242" s="288"/>
      <c r="O242" s="249"/>
      <c r="Q242" s="254"/>
      <c r="R242" s="254"/>
      <c r="S242" s="254"/>
      <c r="T242" s="254"/>
      <c r="U242" s="254"/>
      <c r="V242" s="254"/>
      <c r="W242" s="254"/>
      <c r="X242" s="254"/>
      <c r="Y242" s="254"/>
    </row>
    <row r="243" spans="1:25" ht="24" customHeight="1" x14ac:dyDescent="0.2">
      <c r="A243" s="258" t="str">
        <f>VLOOKUP(U234,TBL_equipe,23,FALSE)</f>
        <v/>
      </c>
      <c r="B243" s="223"/>
      <c r="C243" s="259" t="str">
        <f>VLOOKUP(U234,TBL_equipe,24,FALSE)</f>
        <v/>
      </c>
      <c r="D243" s="223"/>
      <c r="E243" s="224"/>
      <c r="F243" s="219"/>
      <c r="G243" s="403" t="str">
        <f>VLOOKUP(U234,TBL_equipe,27,FALSE)</f>
        <v/>
      </c>
      <c r="H243" s="224"/>
      <c r="I243" s="222"/>
      <c r="J243" s="246" t="str">
        <f>VLOOKUP(U234,TBL_equipe,26,FALSE)</f>
        <v/>
      </c>
      <c r="K243" s="224"/>
      <c r="L243" s="260" t="str">
        <f>VLOOKUP(U234,TBL_equipe,28,FALSE)</f>
        <v/>
      </c>
      <c r="M243" s="289">
        <f>G234</f>
        <v>0</v>
      </c>
      <c r="N243" s="290"/>
      <c r="O243" s="249"/>
    </row>
    <row r="244" spans="1:25" ht="15" customHeight="1" thickBot="1" x14ac:dyDescent="0.25"/>
    <row r="245" spans="1:25" ht="20.100000000000001" customHeight="1" x14ac:dyDescent="0.2">
      <c r="F245" s="1081" t="s">
        <v>555</v>
      </c>
      <c r="G245" s="1082"/>
      <c r="H245" s="1082"/>
      <c r="I245" s="1082"/>
      <c r="J245" s="1083"/>
      <c r="K245" s="1081" t="s">
        <v>556</v>
      </c>
      <c r="L245" s="1082"/>
      <c r="M245" s="1082"/>
      <c r="N245" s="1082"/>
      <c r="O245" s="1083"/>
      <c r="P245" s="1081" t="s">
        <v>557</v>
      </c>
      <c r="Q245" s="1082"/>
      <c r="R245" s="1082"/>
      <c r="S245" s="1082"/>
      <c r="T245" s="1083"/>
      <c r="U245" s="1081" t="s">
        <v>558</v>
      </c>
      <c r="V245" s="1082"/>
      <c r="W245" s="1082"/>
      <c r="X245" s="1082"/>
      <c r="Y245" s="1083"/>
    </row>
    <row r="246" spans="1:25" ht="20.100000000000001" customHeight="1" x14ac:dyDescent="0.2">
      <c r="A246" s="1075" t="s">
        <v>559</v>
      </c>
      <c r="B246" s="1075"/>
      <c r="C246" s="1075"/>
      <c r="D246" s="1075"/>
      <c r="E246" s="1089"/>
      <c r="F246" s="1090" t="s">
        <v>560</v>
      </c>
      <c r="G246" s="1075"/>
      <c r="H246" s="1075"/>
      <c r="J246" s="225" t="s">
        <v>7</v>
      </c>
      <c r="K246" s="1090" t="s">
        <v>560</v>
      </c>
      <c r="L246" s="1075"/>
      <c r="M246" s="1075"/>
      <c r="O246" s="225" t="s">
        <v>7</v>
      </c>
      <c r="P246" s="1090" t="s">
        <v>560</v>
      </c>
      <c r="Q246" s="1075"/>
      <c r="R246" s="1075"/>
      <c r="T246" s="225" t="s">
        <v>7</v>
      </c>
      <c r="U246" s="1090" t="s">
        <v>560</v>
      </c>
      <c r="V246" s="1075"/>
      <c r="W246" s="1075"/>
      <c r="Y246" s="225" t="s">
        <v>7</v>
      </c>
    </row>
    <row r="247" spans="1:25" ht="24" customHeight="1" x14ac:dyDescent="0.2">
      <c r="A247" s="261" t="str">
        <f>A240</f>
        <v/>
      </c>
      <c r="B247" s="227"/>
      <c r="C247" s="262" t="str">
        <f>C240</f>
        <v/>
      </c>
      <c r="D247" s="227"/>
      <c r="E247" s="227"/>
      <c r="F247" s="228"/>
      <c r="G247" s="229"/>
      <c r="H247" s="229"/>
      <c r="I247" s="230" t="s">
        <v>561</v>
      </c>
      <c r="J247" s="231"/>
      <c r="K247" s="228"/>
      <c r="L247" s="229"/>
      <c r="M247" s="229"/>
      <c r="N247" s="230" t="s">
        <v>561</v>
      </c>
      <c r="O247" s="231"/>
      <c r="P247" s="228"/>
      <c r="Q247" s="229"/>
      <c r="R247" s="229"/>
      <c r="S247" s="230" t="s">
        <v>561</v>
      </c>
      <c r="T247" s="231"/>
      <c r="U247" s="228"/>
      <c r="V247" s="229"/>
      <c r="W247" s="229"/>
      <c r="X247" s="230" t="s">
        <v>561</v>
      </c>
      <c r="Y247" s="231"/>
    </row>
    <row r="248" spans="1:25" ht="24" customHeight="1" x14ac:dyDescent="0.2">
      <c r="A248" s="261" t="str">
        <f>A241</f>
        <v/>
      </c>
      <c r="B248" s="227"/>
      <c r="C248" s="262" t="str">
        <f>C241</f>
        <v/>
      </c>
      <c r="D248" s="227"/>
      <c r="E248" s="227"/>
      <c r="F248" s="228"/>
      <c r="G248" s="229"/>
      <c r="H248" s="229"/>
      <c r="I248" s="230" t="s">
        <v>561</v>
      </c>
      <c r="J248" s="231"/>
      <c r="K248" s="228"/>
      <c r="L248" s="229"/>
      <c r="M248" s="229"/>
      <c r="N248" s="230" t="s">
        <v>561</v>
      </c>
      <c r="O248" s="231"/>
      <c r="P248" s="228"/>
      <c r="Q248" s="229"/>
      <c r="R248" s="229"/>
      <c r="S248" s="230" t="s">
        <v>561</v>
      </c>
      <c r="T248" s="231"/>
      <c r="U248" s="228"/>
      <c r="V248" s="229"/>
      <c r="W248" s="229"/>
      <c r="X248" s="230" t="s">
        <v>561</v>
      </c>
      <c r="Y248" s="231"/>
    </row>
    <row r="249" spans="1:25" ht="24" customHeight="1" x14ac:dyDescent="0.2">
      <c r="A249" s="261" t="str">
        <f>A242</f>
        <v/>
      </c>
      <c r="B249" s="227"/>
      <c r="C249" s="262" t="str">
        <f>C242</f>
        <v/>
      </c>
      <c r="D249" s="227"/>
      <c r="E249" s="227"/>
      <c r="F249" s="228"/>
      <c r="G249" s="229"/>
      <c r="H249" s="229"/>
      <c r="I249" s="230" t="s">
        <v>561</v>
      </c>
      <c r="J249" s="231"/>
      <c r="K249" s="228"/>
      <c r="L249" s="229"/>
      <c r="M249" s="229"/>
      <c r="N249" s="230" t="s">
        <v>561</v>
      </c>
      <c r="O249" s="231"/>
      <c r="P249" s="228"/>
      <c r="Q249" s="229"/>
      <c r="R249" s="229"/>
      <c r="S249" s="230" t="s">
        <v>561</v>
      </c>
      <c r="T249" s="231"/>
      <c r="U249" s="228"/>
      <c r="V249" s="229"/>
      <c r="W249" s="229"/>
      <c r="X249" s="230" t="s">
        <v>561</v>
      </c>
      <c r="Y249" s="231"/>
    </row>
    <row r="250" spans="1:25" ht="24" customHeight="1" x14ac:dyDescent="0.2">
      <c r="A250" s="261" t="str">
        <f>A243</f>
        <v/>
      </c>
      <c r="B250" s="227"/>
      <c r="C250" s="262" t="str">
        <f>C243</f>
        <v/>
      </c>
      <c r="D250" s="227"/>
      <c r="E250" s="227"/>
      <c r="F250" s="228"/>
      <c r="G250" s="229"/>
      <c r="H250" s="229"/>
      <c r="I250" s="230" t="s">
        <v>561</v>
      </c>
      <c r="J250" s="232"/>
      <c r="K250" s="228"/>
      <c r="L250" s="229"/>
      <c r="M250" s="229"/>
      <c r="N250" s="230" t="s">
        <v>561</v>
      </c>
      <c r="O250" s="232"/>
      <c r="P250" s="228"/>
      <c r="Q250" s="229"/>
      <c r="R250" s="229"/>
      <c r="S250" s="230" t="s">
        <v>561</v>
      </c>
      <c r="T250" s="232"/>
      <c r="U250" s="228"/>
      <c r="V250" s="229"/>
      <c r="W250" s="229"/>
      <c r="X250" s="230" t="s">
        <v>561</v>
      </c>
      <c r="Y250" s="232"/>
    </row>
    <row r="251" spans="1:25" ht="24" customHeight="1" thickBot="1" x14ac:dyDescent="0.25">
      <c r="F251" s="1079" t="s">
        <v>562</v>
      </c>
      <c r="G251" s="1080"/>
      <c r="H251" s="1080"/>
      <c r="I251" s="230" t="s">
        <v>561</v>
      </c>
      <c r="J251" s="231"/>
      <c r="K251" s="1079" t="s">
        <v>563</v>
      </c>
      <c r="L251" s="1080"/>
      <c r="M251" s="1080"/>
      <c r="N251" s="230" t="s">
        <v>561</v>
      </c>
      <c r="O251" s="232"/>
      <c r="P251" s="1079" t="s">
        <v>564</v>
      </c>
      <c r="Q251" s="1080"/>
      <c r="R251" s="1080"/>
      <c r="S251" s="230" t="s">
        <v>561</v>
      </c>
      <c r="T251" s="232"/>
      <c r="U251" s="1079" t="s">
        <v>565</v>
      </c>
      <c r="V251" s="1080"/>
      <c r="W251" s="1080"/>
      <c r="X251" s="230" t="s">
        <v>561</v>
      </c>
      <c r="Y251" s="232"/>
    </row>
    <row r="252" spans="1:25" ht="24" customHeight="1" thickBot="1" x14ac:dyDescent="0.25">
      <c r="F252" s="233"/>
      <c r="G252" s="234"/>
      <c r="H252" s="235" t="s">
        <v>566</v>
      </c>
      <c r="I252" s="235"/>
      <c r="J252" s="236"/>
      <c r="K252" s="1092" t="s">
        <v>567</v>
      </c>
      <c r="L252" s="1085"/>
      <c r="M252" s="1085"/>
      <c r="N252" s="237" t="s">
        <v>561</v>
      </c>
      <c r="O252" s="238"/>
      <c r="P252" s="1092" t="s">
        <v>568</v>
      </c>
      <c r="Q252" s="1085"/>
      <c r="R252" s="1085"/>
      <c r="S252" s="237" t="s">
        <v>561</v>
      </c>
      <c r="T252" s="238"/>
      <c r="U252" s="1092" t="s">
        <v>569</v>
      </c>
      <c r="V252" s="1085"/>
      <c r="W252" s="1085"/>
      <c r="X252" s="237" t="s">
        <v>561</v>
      </c>
      <c r="Y252" s="239"/>
    </row>
    <row r="253" spans="1:25" ht="12.75" customHeight="1" x14ac:dyDescent="0.2">
      <c r="Y253" s="240" t="s">
        <v>570</v>
      </c>
    </row>
    <row r="254" spans="1:25" ht="15.75" customHeight="1" x14ac:dyDescent="0.2">
      <c r="B254" s="1091" t="s">
        <v>521</v>
      </c>
      <c r="C254" s="1091"/>
      <c r="D254" s="1091"/>
      <c r="E254" s="1091"/>
      <c r="F254" s="1091"/>
      <c r="G254" s="1091"/>
      <c r="H254" s="1091"/>
      <c r="I254" s="1091"/>
      <c r="J254" s="1091"/>
      <c r="K254" s="1091"/>
      <c r="L254" s="1091"/>
      <c r="O254" s="1091" t="s">
        <v>522</v>
      </c>
      <c r="P254" s="1091"/>
      <c r="Q254" s="1091"/>
      <c r="R254" s="1091"/>
      <c r="S254" s="1091"/>
      <c r="T254" s="1091"/>
      <c r="U254" s="1091"/>
      <c r="V254" s="1091"/>
      <c r="W254" s="1091"/>
      <c r="X254" s="1091"/>
      <c r="Y254" s="1091"/>
    </row>
    <row r="255" spans="1:25" ht="13.5" customHeight="1" x14ac:dyDescent="0.2">
      <c r="B255" s="1086" t="s">
        <v>1</v>
      </c>
      <c r="C255" s="1087"/>
      <c r="D255" s="1087"/>
      <c r="E255" s="1087"/>
      <c r="F255" s="1087"/>
      <c r="G255" s="1087"/>
      <c r="H255" s="1088"/>
      <c r="I255" s="1086" t="s">
        <v>520</v>
      </c>
      <c r="J255" s="1087"/>
      <c r="K255" s="1087"/>
      <c r="L255" s="1088"/>
      <c r="N255" s="241"/>
      <c r="O255" s="1086" t="s">
        <v>1</v>
      </c>
      <c r="P255" s="1087"/>
      <c r="Q255" s="1087"/>
      <c r="R255" s="1087"/>
      <c r="S255" s="1087"/>
      <c r="T255" s="1087"/>
      <c r="U255" s="1088"/>
      <c r="V255" s="1086" t="s">
        <v>520</v>
      </c>
      <c r="W255" s="1087"/>
      <c r="X255" s="1087"/>
      <c r="Y255" s="1088"/>
    </row>
    <row r="256" spans="1:25" ht="21.75" customHeight="1" x14ac:dyDescent="0.2">
      <c r="B256" s="242"/>
      <c r="C256" s="243"/>
      <c r="D256" s="243"/>
      <c r="E256" s="243"/>
      <c r="F256" s="243"/>
      <c r="G256" s="243"/>
      <c r="H256" s="243"/>
      <c r="I256" s="242"/>
      <c r="J256" s="243"/>
      <c r="K256" s="243"/>
      <c r="L256" s="244"/>
      <c r="N256" s="241"/>
      <c r="O256" s="242"/>
      <c r="P256" s="243"/>
      <c r="Q256" s="243"/>
      <c r="R256" s="243"/>
      <c r="S256" s="243"/>
      <c r="T256" s="243"/>
      <c r="U256" s="243"/>
      <c r="V256" s="242"/>
      <c r="W256" s="243"/>
      <c r="X256" s="243"/>
      <c r="Y256" s="244"/>
    </row>
    <row r="257" spans="1:25" ht="13.5" customHeight="1" x14ac:dyDescent="0.2"/>
    <row r="258" spans="1:25" ht="14.25" customHeight="1" thickBot="1" x14ac:dyDescent="0.25">
      <c r="A258" s="241"/>
      <c r="G258" s="305"/>
      <c r="H258" s="305"/>
      <c r="I258" s="1069" t="s">
        <v>0</v>
      </c>
      <c r="J258" s="1069"/>
      <c r="K258" s="1069"/>
      <c r="L258" s="1069"/>
      <c r="M258" s="1069"/>
      <c r="N258" s="1069"/>
      <c r="O258" s="1069"/>
      <c r="P258" s="1069" t="s">
        <v>374</v>
      </c>
      <c r="Q258" s="1069"/>
      <c r="R258" s="1069"/>
      <c r="S258" s="1069"/>
      <c r="T258" s="1069"/>
      <c r="U258" s="1069" t="s">
        <v>571</v>
      </c>
      <c r="V258" s="1069"/>
      <c r="W258" s="1069"/>
      <c r="X258" s="305"/>
      <c r="Y258" s="305"/>
    </row>
    <row r="259" spans="1:25" ht="20.25" customHeight="1" x14ac:dyDescent="0.2">
      <c r="A259" s="241"/>
      <c r="F259" s="1074" t="s">
        <v>584</v>
      </c>
      <c r="G259" s="1074"/>
      <c r="H259" s="1074"/>
      <c r="I259" s="316"/>
      <c r="J259" s="306"/>
      <c r="K259" s="306"/>
      <c r="L259" s="306"/>
      <c r="M259" s="306"/>
      <c r="N259" s="306"/>
      <c r="O259" s="306"/>
      <c r="P259" s="312"/>
      <c r="Q259" s="306"/>
      <c r="R259" s="307"/>
      <c r="S259" s="304"/>
      <c r="T259" s="313"/>
      <c r="U259" s="310"/>
      <c r="V259" s="1084" t="s">
        <v>495</v>
      </c>
      <c r="W259" s="308"/>
    </row>
    <row r="260" spans="1:25" ht="13.5" thickBot="1" x14ac:dyDescent="0.25">
      <c r="F260" s="1074"/>
      <c r="G260" s="1074"/>
      <c r="H260" s="1074"/>
      <c r="I260" s="303"/>
      <c r="J260" s="235"/>
      <c r="K260" s="235"/>
      <c r="L260" s="235"/>
      <c r="M260" s="235"/>
      <c r="N260" s="235"/>
      <c r="O260" s="235"/>
      <c r="P260" s="314"/>
      <c r="Q260" s="235"/>
      <c r="R260" s="234"/>
      <c r="S260" s="234"/>
      <c r="T260" s="315"/>
      <c r="U260" s="311"/>
      <c r="V260" s="1085"/>
      <c r="W260" s="309"/>
    </row>
    <row r="262" spans="1:25" ht="6.75" customHeight="1" x14ac:dyDescent="0.2"/>
    <row r="263" spans="1:25" s="218" customFormat="1" ht="23.25" customHeight="1" x14ac:dyDescent="0.2">
      <c r="A263" s="1072" t="s">
        <v>546</v>
      </c>
      <c r="B263" s="1073"/>
      <c r="C263" s="402"/>
      <c r="D263" s="1098" t="s">
        <v>628</v>
      </c>
      <c r="E263" s="1072"/>
      <c r="F263" s="1072"/>
      <c r="G263" s="1103"/>
      <c r="H263" s="1104"/>
      <c r="K263" s="218" t="str">
        <f>RIGHT(CATEG_IMPORTEE, LEN(CATEG_IMPORTEE) - 2)</f>
        <v>llèges Mixtes Etablissement</v>
      </c>
      <c r="T263" s="397" t="s">
        <v>627</v>
      </c>
      <c r="U263" s="401">
        <v>10</v>
      </c>
      <c r="V263" s="396" t="s">
        <v>547</v>
      </c>
      <c r="W263" s="401"/>
      <c r="X263" s="395"/>
    </row>
    <row r="264" spans="1:25" ht="27" customHeight="1" thickBot="1" x14ac:dyDescent="0.25">
      <c r="B264" s="1069" t="s">
        <v>0</v>
      </c>
      <c r="C264" s="1069"/>
      <c r="D264" s="1069"/>
      <c r="E264" s="1069"/>
      <c r="F264" s="1069"/>
      <c r="G264" s="1069"/>
      <c r="H264" s="1069"/>
      <c r="I264" s="1069" t="s">
        <v>374</v>
      </c>
      <c r="J264" s="1069"/>
      <c r="K264" s="1069"/>
      <c r="L264" s="1069"/>
      <c r="O264" s="1069" t="s">
        <v>0</v>
      </c>
      <c r="P264" s="1069"/>
      <c r="Q264" s="1069"/>
      <c r="R264" s="1069"/>
      <c r="S264" s="1069"/>
      <c r="T264" s="1069"/>
      <c r="U264" s="1069"/>
      <c r="V264" s="1069" t="s">
        <v>374</v>
      </c>
      <c r="W264" s="1069"/>
      <c r="X264" s="1069"/>
      <c r="Y264" s="1069"/>
    </row>
    <row r="265" spans="1:25" ht="24" customHeight="1" thickBot="1" x14ac:dyDescent="0.25">
      <c r="A265" s="219"/>
      <c r="B265" s="398" t="str">
        <f>VLOOKUP(U263,TBL_equipe,2,FALSE)</f>
        <v/>
      </c>
      <c r="C265" s="399"/>
      <c r="D265" s="399"/>
      <c r="E265" s="399"/>
      <c r="F265" s="399"/>
      <c r="G265" s="399"/>
      <c r="H265" s="400"/>
      <c r="I265" s="257" t="str">
        <f>VLOOKUP(U263,TBL_equipe,4,FALSE)</f>
        <v/>
      </c>
      <c r="J265" s="220"/>
      <c r="K265" s="220"/>
      <c r="L265" s="221"/>
      <c r="M265" s="1070" t="s">
        <v>547</v>
      </c>
      <c r="N265" s="1071"/>
      <c r="O265" s="398" t="e">
        <f>VLOOKUP(W263,TBL_equipe,2,FALSE)</f>
        <v>#N/A</v>
      </c>
      <c r="P265" s="220"/>
      <c r="Q265" s="220"/>
      <c r="R265" s="220"/>
      <c r="S265" s="220"/>
      <c r="T265" s="220"/>
      <c r="U265" s="221"/>
      <c r="V265" s="257" t="e">
        <f>VLOOKUP(W263,TBL_equipe,4,FALSE)</f>
        <v>#N/A</v>
      </c>
      <c r="W265" s="220"/>
      <c r="X265" s="220"/>
      <c r="Y265" s="221"/>
    </row>
    <row r="266" spans="1:25" ht="15" customHeight="1" x14ac:dyDescent="0.2"/>
    <row r="267" spans="1:25" ht="20.100000000000001" customHeight="1" x14ac:dyDescent="0.2">
      <c r="A267" s="1074" t="s">
        <v>548</v>
      </c>
      <c r="B267" s="1074"/>
      <c r="C267" s="1074"/>
      <c r="D267" s="1074"/>
      <c r="E267" s="1074"/>
    </row>
    <row r="268" spans="1:25" ht="20.100000000000001" customHeight="1" x14ac:dyDescent="0.2">
      <c r="A268" s="1075" t="s">
        <v>549</v>
      </c>
      <c r="B268" s="1075"/>
      <c r="C268" s="1075"/>
      <c r="D268" s="1075"/>
      <c r="E268" s="1075"/>
      <c r="G268" s="1076" t="s">
        <v>480</v>
      </c>
      <c r="H268" s="1076"/>
      <c r="I268" s="1077" t="s">
        <v>550</v>
      </c>
      <c r="J268" s="1077"/>
      <c r="K268" s="1077"/>
      <c r="L268" s="252" t="s">
        <v>551</v>
      </c>
      <c r="M268" s="1078" t="s">
        <v>552</v>
      </c>
      <c r="N268" s="1078"/>
      <c r="O268" s="251"/>
    </row>
    <row r="269" spans="1:25" ht="24" customHeight="1" x14ac:dyDescent="0.2">
      <c r="A269" s="258" t="str">
        <f>VLOOKUP(U263,TBL_equipe,5,FALSE)</f>
        <v/>
      </c>
      <c r="B269" s="223"/>
      <c r="C269" s="259" t="str">
        <f>VLOOKUP(U263,TBL_equipe,6,FALSE)</f>
        <v/>
      </c>
      <c r="D269" s="223"/>
      <c r="E269" s="224"/>
      <c r="F269" s="219"/>
      <c r="G269" s="403" t="str">
        <f>VLOOKUP(U263,TBL_equipe,9,FALSE)</f>
        <v/>
      </c>
      <c r="H269" s="224"/>
      <c r="I269" s="222"/>
      <c r="J269" s="246" t="str">
        <f>VLOOKUP(U263,TBL_equipe,8,FALSE)</f>
        <v/>
      </c>
      <c r="K269" s="224"/>
      <c r="L269" s="260" t="str">
        <f>VLOOKUP(U263,TBL_equipe,10,FALSE)</f>
        <v/>
      </c>
      <c r="M269" s="287">
        <f>G263</f>
        <v>0</v>
      </c>
      <c r="N269" s="288"/>
      <c r="O269" s="249"/>
      <c r="R269" s="254"/>
      <c r="S269" s="254"/>
      <c r="T269" s="254" t="s">
        <v>629</v>
      </c>
      <c r="U269" s="254"/>
      <c r="V269" s="254"/>
      <c r="W269" s="254"/>
      <c r="X269" s="254"/>
      <c r="Y269" s="254"/>
    </row>
    <row r="270" spans="1:25" ht="24" customHeight="1" x14ac:dyDescent="0.2">
      <c r="A270" s="258" t="str">
        <f>VLOOKUP(U263,TBL_equipe,11,FALSE)</f>
        <v/>
      </c>
      <c r="B270" s="223"/>
      <c r="C270" s="259" t="str">
        <f>VLOOKUP(U263,TBL_equipe,12,FALSE)</f>
        <v/>
      </c>
      <c r="D270" s="223"/>
      <c r="E270" s="224"/>
      <c r="F270" s="219"/>
      <c r="G270" s="403" t="str">
        <f>VLOOKUP(U263,TBL_equipe,15,FALSE)</f>
        <v/>
      </c>
      <c r="H270" s="224"/>
      <c r="I270" s="222"/>
      <c r="J270" s="246" t="str">
        <f>VLOOKUP(U263,TBL_equipe,14,FALSE)</f>
        <v/>
      </c>
      <c r="K270" s="224"/>
      <c r="L270" s="260" t="str">
        <f>VLOOKUP(U263,TBL_equipe,16,FALSE)</f>
        <v/>
      </c>
      <c r="M270" s="287">
        <f>G263</f>
        <v>0</v>
      </c>
      <c r="N270" s="288"/>
      <c r="O270" s="249"/>
      <c r="Q270" s="254"/>
      <c r="R270" s="254"/>
      <c r="S270" s="254"/>
      <c r="T270" s="254"/>
      <c r="U270" s="254"/>
      <c r="V270" s="254"/>
      <c r="W270" s="254"/>
      <c r="X270" s="254"/>
      <c r="Y270" s="254"/>
    </row>
    <row r="271" spans="1:25" ht="24" customHeight="1" x14ac:dyDescent="0.2">
      <c r="A271" s="258" t="str">
        <f>VLOOKUP(U263,TBL_equipe,17,FALSE)</f>
        <v/>
      </c>
      <c r="B271" s="223"/>
      <c r="C271" s="259" t="str">
        <f>VLOOKUP(U263,TBL_equipe,18,FALSE)</f>
        <v/>
      </c>
      <c r="D271" s="223"/>
      <c r="E271" s="224"/>
      <c r="F271" s="219"/>
      <c r="G271" s="403" t="str">
        <f>VLOOKUP(U263,TBL_equipe,21,FALSE)</f>
        <v/>
      </c>
      <c r="H271" s="224"/>
      <c r="I271" s="222"/>
      <c r="J271" s="246" t="str">
        <f>VLOOKUP(U263,TBL_equipe,20,FALSE)</f>
        <v/>
      </c>
      <c r="K271" s="224"/>
      <c r="L271" s="260" t="str">
        <f>VLOOKUP(U263,TBL_equipe,22,FALSE)</f>
        <v/>
      </c>
      <c r="M271" s="287">
        <f>G263</f>
        <v>0</v>
      </c>
      <c r="N271" s="288"/>
      <c r="O271" s="249"/>
      <c r="Q271" s="254"/>
      <c r="R271" s="254"/>
      <c r="S271" s="254"/>
      <c r="T271" s="254"/>
      <c r="U271" s="254"/>
      <c r="V271" s="254"/>
      <c r="W271" s="254"/>
      <c r="X271" s="254"/>
      <c r="Y271" s="254"/>
    </row>
    <row r="272" spans="1:25" ht="24" customHeight="1" x14ac:dyDescent="0.2">
      <c r="A272" s="258" t="str">
        <f>VLOOKUP(U263,TBL_equipe,23,FALSE)</f>
        <v/>
      </c>
      <c r="B272" s="223"/>
      <c r="C272" s="259" t="str">
        <f>VLOOKUP(U263,TBL_equipe,24,FALSE)</f>
        <v/>
      </c>
      <c r="D272" s="223"/>
      <c r="E272" s="224"/>
      <c r="F272" s="219"/>
      <c r="G272" s="403" t="str">
        <f>VLOOKUP(U263,TBL_equipe,27,FALSE)</f>
        <v/>
      </c>
      <c r="H272" s="224"/>
      <c r="I272" s="222"/>
      <c r="J272" s="246" t="str">
        <f>VLOOKUP(U263,TBL_equipe,26,FALSE)</f>
        <v/>
      </c>
      <c r="K272" s="224"/>
      <c r="L272" s="260" t="str">
        <f>VLOOKUP(U263,TBL_equipe,28,FALSE)</f>
        <v/>
      </c>
      <c r="M272" s="289">
        <f>G263</f>
        <v>0</v>
      </c>
      <c r="N272" s="290"/>
      <c r="O272" s="249"/>
    </row>
    <row r="273" spans="1:25" ht="15" customHeight="1" thickBot="1" x14ac:dyDescent="0.25"/>
    <row r="274" spans="1:25" ht="20.100000000000001" customHeight="1" x14ac:dyDescent="0.2">
      <c r="F274" s="1081" t="s">
        <v>555</v>
      </c>
      <c r="G274" s="1082"/>
      <c r="H274" s="1082"/>
      <c r="I274" s="1082"/>
      <c r="J274" s="1083"/>
      <c r="K274" s="1081" t="s">
        <v>556</v>
      </c>
      <c r="L274" s="1082"/>
      <c r="M274" s="1082"/>
      <c r="N274" s="1082"/>
      <c r="O274" s="1083"/>
      <c r="P274" s="1081" t="s">
        <v>557</v>
      </c>
      <c r="Q274" s="1082"/>
      <c r="R274" s="1082"/>
      <c r="S274" s="1082"/>
      <c r="T274" s="1083"/>
      <c r="U274" s="1081" t="s">
        <v>558</v>
      </c>
      <c r="V274" s="1082"/>
      <c r="W274" s="1082"/>
      <c r="X274" s="1082"/>
      <c r="Y274" s="1083"/>
    </row>
    <row r="275" spans="1:25" ht="20.100000000000001" customHeight="1" x14ac:dyDescent="0.2">
      <c r="A275" s="1075" t="s">
        <v>559</v>
      </c>
      <c r="B275" s="1075"/>
      <c r="C275" s="1075"/>
      <c r="D275" s="1075"/>
      <c r="E275" s="1089"/>
      <c r="F275" s="1090" t="s">
        <v>560</v>
      </c>
      <c r="G275" s="1075"/>
      <c r="H275" s="1075"/>
      <c r="J275" s="225" t="s">
        <v>7</v>
      </c>
      <c r="K275" s="1090" t="s">
        <v>560</v>
      </c>
      <c r="L275" s="1075"/>
      <c r="M275" s="1075"/>
      <c r="O275" s="225" t="s">
        <v>7</v>
      </c>
      <c r="P275" s="1090" t="s">
        <v>560</v>
      </c>
      <c r="Q275" s="1075"/>
      <c r="R275" s="1075"/>
      <c r="T275" s="225" t="s">
        <v>7</v>
      </c>
      <c r="U275" s="1090" t="s">
        <v>560</v>
      </c>
      <c r="V275" s="1075"/>
      <c r="W275" s="1075"/>
      <c r="Y275" s="225" t="s">
        <v>7</v>
      </c>
    </row>
    <row r="276" spans="1:25" ht="24" customHeight="1" x14ac:dyDescent="0.2">
      <c r="A276" s="261" t="str">
        <f>A269</f>
        <v/>
      </c>
      <c r="B276" s="227"/>
      <c r="C276" s="262" t="str">
        <f>C269</f>
        <v/>
      </c>
      <c r="D276" s="227"/>
      <c r="E276" s="227"/>
      <c r="F276" s="228"/>
      <c r="G276" s="229"/>
      <c r="H276" s="229"/>
      <c r="I276" s="230" t="s">
        <v>561</v>
      </c>
      <c r="J276" s="231"/>
      <c r="K276" s="228"/>
      <c r="L276" s="229"/>
      <c r="M276" s="229"/>
      <c r="N276" s="230" t="s">
        <v>561</v>
      </c>
      <c r="O276" s="231"/>
      <c r="P276" s="228"/>
      <c r="Q276" s="229"/>
      <c r="R276" s="229"/>
      <c r="S276" s="230" t="s">
        <v>561</v>
      </c>
      <c r="T276" s="231"/>
      <c r="U276" s="228"/>
      <c r="V276" s="229"/>
      <c r="W276" s="229"/>
      <c r="X276" s="230" t="s">
        <v>561</v>
      </c>
      <c r="Y276" s="231"/>
    </row>
    <row r="277" spans="1:25" ht="24" customHeight="1" x14ac:dyDescent="0.2">
      <c r="A277" s="261" t="str">
        <f>A270</f>
        <v/>
      </c>
      <c r="B277" s="227"/>
      <c r="C277" s="262" t="str">
        <f>C270</f>
        <v/>
      </c>
      <c r="D277" s="227"/>
      <c r="E277" s="227"/>
      <c r="F277" s="228"/>
      <c r="G277" s="229"/>
      <c r="H277" s="229"/>
      <c r="I277" s="230" t="s">
        <v>561</v>
      </c>
      <c r="J277" s="231"/>
      <c r="K277" s="228"/>
      <c r="L277" s="229"/>
      <c r="M277" s="229"/>
      <c r="N277" s="230" t="s">
        <v>561</v>
      </c>
      <c r="O277" s="231"/>
      <c r="P277" s="228"/>
      <c r="Q277" s="229"/>
      <c r="R277" s="229"/>
      <c r="S277" s="230" t="s">
        <v>561</v>
      </c>
      <c r="T277" s="231"/>
      <c r="U277" s="228"/>
      <c r="V277" s="229"/>
      <c r="W277" s="229"/>
      <c r="X277" s="230" t="s">
        <v>561</v>
      </c>
      <c r="Y277" s="231"/>
    </row>
    <row r="278" spans="1:25" ht="24" customHeight="1" x14ac:dyDescent="0.2">
      <c r="A278" s="261" t="str">
        <f>A271</f>
        <v/>
      </c>
      <c r="B278" s="227"/>
      <c r="C278" s="262" t="str">
        <f>C271</f>
        <v/>
      </c>
      <c r="D278" s="227"/>
      <c r="E278" s="227"/>
      <c r="F278" s="228"/>
      <c r="G278" s="229"/>
      <c r="H278" s="229"/>
      <c r="I278" s="230" t="s">
        <v>561</v>
      </c>
      <c r="J278" s="231"/>
      <c r="K278" s="228"/>
      <c r="L278" s="229"/>
      <c r="M278" s="229"/>
      <c r="N278" s="230" t="s">
        <v>561</v>
      </c>
      <c r="O278" s="231"/>
      <c r="P278" s="228"/>
      <c r="Q278" s="229"/>
      <c r="R278" s="229"/>
      <c r="S278" s="230" t="s">
        <v>561</v>
      </c>
      <c r="T278" s="231"/>
      <c r="U278" s="228"/>
      <c r="V278" s="229"/>
      <c r="W278" s="229"/>
      <c r="X278" s="230" t="s">
        <v>561</v>
      </c>
      <c r="Y278" s="231"/>
    </row>
    <row r="279" spans="1:25" ht="24" customHeight="1" x14ac:dyDescent="0.2">
      <c r="A279" s="261" t="str">
        <f>A272</f>
        <v/>
      </c>
      <c r="B279" s="227"/>
      <c r="C279" s="262" t="str">
        <f>C272</f>
        <v/>
      </c>
      <c r="D279" s="227"/>
      <c r="E279" s="227"/>
      <c r="F279" s="228"/>
      <c r="G279" s="229"/>
      <c r="H279" s="229"/>
      <c r="I279" s="230" t="s">
        <v>561</v>
      </c>
      <c r="J279" s="232"/>
      <c r="K279" s="228"/>
      <c r="L279" s="229"/>
      <c r="M279" s="229"/>
      <c r="N279" s="230" t="s">
        <v>561</v>
      </c>
      <c r="O279" s="232"/>
      <c r="P279" s="228"/>
      <c r="Q279" s="229"/>
      <c r="R279" s="229"/>
      <c r="S279" s="230" t="s">
        <v>561</v>
      </c>
      <c r="T279" s="232"/>
      <c r="U279" s="228"/>
      <c r="V279" s="229"/>
      <c r="W279" s="229"/>
      <c r="X279" s="230" t="s">
        <v>561</v>
      </c>
      <c r="Y279" s="232"/>
    </row>
    <row r="280" spans="1:25" ht="24" customHeight="1" thickBot="1" x14ac:dyDescent="0.25">
      <c r="F280" s="1079" t="s">
        <v>562</v>
      </c>
      <c r="G280" s="1080"/>
      <c r="H280" s="1080"/>
      <c r="I280" s="230" t="s">
        <v>561</v>
      </c>
      <c r="J280" s="231"/>
      <c r="K280" s="1079" t="s">
        <v>563</v>
      </c>
      <c r="L280" s="1080"/>
      <c r="M280" s="1080"/>
      <c r="N280" s="230" t="s">
        <v>561</v>
      </c>
      <c r="O280" s="232"/>
      <c r="P280" s="1079" t="s">
        <v>564</v>
      </c>
      <c r="Q280" s="1080"/>
      <c r="R280" s="1080"/>
      <c r="S280" s="230" t="s">
        <v>561</v>
      </c>
      <c r="T280" s="232"/>
      <c r="U280" s="1079" t="s">
        <v>565</v>
      </c>
      <c r="V280" s="1080"/>
      <c r="W280" s="1080"/>
      <c r="X280" s="230" t="s">
        <v>561</v>
      </c>
      <c r="Y280" s="232"/>
    </row>
    <row r="281" spans="1:25" ht="24" customHeight="1" thickBot="1" x14ac:dyDescent="0.25">
      <c r="F281" s="233"/>
      <c r="G281" s="234"/>
      <c r="H281" s="235" t="s">
        <v>566</v>
      </c>
      <c r="I281" s="235"/>
      <c r="J281" s="236"/>
      <c r="K281" s="1092" t="s">
        <v>567</v>
      </c>
      <c r="L281" s="1085"/>
      <c r="M281" s="1085"/>
      <c r="N281" s="237" t="s">
        <v>561</v>
      </c>
      <c r="O281" s="238"/>
      <c r="P281" s="1092" t="s">
        <v>568</v>
      </c>
      <c r="Q281" s="1085"/>
      <c r="R281" s="1085"/>
      <c r="S281" s="237" t="s">
        <v>561</v>
      </c>
      <c r="T281" s="238"/>
      <c r="U281" s="1092" t="s">
        <v>569</v>
      </c>
      <c r="V281" s="1085"/>
      <c r="W281" s="1085"/>
      <c r="X281" s="237" t="s">
        <v>561</v>
      </c>
      <c r="Y281" s="239"/>
    </row>
    <row r="282" spans="1:25" ht="12.75" customHeight="1" x14ac:dyDescent="0.2">
      <c r="Y282" s="240" t="s">
        <v>570</v>
      </c>
    </row>
    <row r="283" spans="1:25" ht="15.75" customHeight="1" x14ac:dyDescent="0.2">
      <c r="B283" s="1091" t="s">
        <v>521</v>
      </c>
      <c r="C283" s="1091"/>
      <c r="D283" s="1091"/>
      <c r="E283" s="1091"/>
      <c r="F283" s="1091"/>
      <c r="G283" s="1091"/>
      <c r="H283" s="1091"/>
      <c r="I283" s="1091"/>
      <c r="J283" s="1091"/>
      <c r="K283" s="1091"/>
      <c r="L283" s="1091"/>
      <c r="O283" s="1091" t="s">
        <v>522</v>
      </c>
      <c r="P283" s="1091"/>
      <c r="Q283" s="1091"/>
      <c r="R283" s="1091"/>
      <c r="S283" s="1091"/>
      <c r="T283" s="1091"/>
      <c r="U283" s="1091"/>
      <c r="V283" s="1091"/>
      <c r="W283" s="1091"/>
      <c r="X283" s="1091"/>
      <c r="Y283" s="1091"/>
    </row>
    <row r="284" spans="1:25" ht="13.5" customHeight="1" x14ac:dyDescent="0.2">
      <c r="B284" s="1086" t="s">
        <v>1</v>
      </c>
      <c r="C284" s="1087"/>
      <c r="D284" s="1087"/>
      <c r="E284" s="1087"/>
      <c r="F284" s="1087"/>
      <c r="G284" s="1087"/>
      <c r="H284" s="1088"/>
      <c r="I284" s="1086" t="s">
        <v>520</v>
      </c>
      <c r="J284" s="1087"/>
      <c r="K284" s="1087"/>
      <c r="L284" s="1088"/>
      <c r="N284" s="241"/>
      <c r="O284" s="1086" t="s">
        <v>1</v>
      </c>
      <c r="P284" s="1087"/>
      <c r="Q284" s="1087"/>
      <c r="R284" s="1087"/>
      <c r="S284" s="1087"/>
      <c r="T284" s="1087"/>
      <c r="U284" s="1088"/>
      <c r="V284" s="1086" t="s">
        <v>520</v>
      </c>
      <c r="W284" s="1087"/>
      <c r="X284" s="1087"/>
      <c r="Y284" s="1088"/>
    </row>
    <row r="285" spans="1:25" ht="21.75" customHeight="1" x14ac:dyDescent="0.2">
      <c r="B285" s="242"/>
      <c r="C285" s="243"/>
      <c r="D285" s="243"/>
      <c r="E285" s="243"/>
      <c r="F285" s="243"/>
      <c r="G285" s="243"/>
      <c r="H285" s="243"/>
      <c r="I285" s="242"/>
      <c r="J285" s="243"/>
      <c r="K285" s="243"/>
      <c r="L285" s="244"/>
      <c r="N285" s="241"/>
      <c r="O285" s="242"/>
      <c r="P285" s="243"/>
      <c r="Q285" s="243"/>
      <c r="R285" s="243"/>
      <c r="S285" s="243"/>
      <c r="T285" s="243"/>
      <c r="U285" s="243"/>
      <c r="V285" s="242"/>
      <c r="W285" s="243"/>
      <c r="X285" s="243"/>
      <c r="Y285" s="244"/>
    </row>
    <row r="286" spans="1:25" ht="13.5" customHeight="1" x14ac:dyDescent="0.2"/>
    <row r="287" spans="1:25" ht="14.25" customHeight="1" thickBot="1" x14ac:dyDescent="0.25">
      <c r="A287" s="241"/>
      <c r="G287" s="305"/>
      <c r="H287" s="305"/>
      <c r="I287" s="1069" t="s">
        <v>0</v>
      </c>
      <c r="J287" s="1069"/>
      <c r="K287" s="1069"/>
      <c r="L287" s="1069"/>
      <c r="M287" s="1069"/>
      <c r="N287" s="1069"/>
      <c r="O287" s="1069"/>
      <c r="P287" s="1069" t="s">
        <v>374</v>
      </c>
      <c r="Q287" s="1069"/>
      <c r="R287" s="1069"/>
      <c r="S287" s="1069"/>
      <c r="T287" s="1069"/>
      <c r="U287" s="1069" t="s">
        <v>571</v>
      </c>
      <c r="V287" s="1069"/>
      <c r="W287" s="1069"/>
      <c r="X287" s="305"/>
      <c r="Y287" s="305"/>
    </row>
    <row r="288" spans="1:25" ht="20.25" customHeight="1" x14ac:dyDescent="0.2">
      <c r="A288" s="241"/>
      <c r="F288" s="1074" t="s">
        <v>584</v>
      </c>
      <c r="G288" s="1074"/>
      <c r="H288" s="1074"/>
      <c r="I288" s="316"/>
      <c r="J288" s="306"/>
      <c r="K288" s="306"/>
      <c r="L288" s="306"/>
      <c r="M288" s="306"/>
      <c r="N288" s="306"/>
      <c r="O288" s="306"/>
      <c r="P288" s="312"/>
      <c r="Q288" s="306"/>
      <c r="R288" s="307"/>
      <c r="S288" s="304"/>
      <c r="T288" s="313"/>
      <c r="U288" s="310"/>
      <c r="V288" s="1084" t="s">
        <v>495</v>
      </c>
      <c r="W288" s="308"/>
    </row>
    <row r="289" spans="1:25" ht="13.5" thickBot="1" x14ac:dyDescent="0.25">
      <c r="F289" s="1074"/>
      <c r="G289" s="1074"/>
      <c r="H289" s="1074"/>
      <c r="I289" s="303"/>
      <c r="J289" s="235"/>
      <c r="K289" s="235"/>
      <c r="L289" s="235"/>
      <c r="M289" s="235"/>
      <c r="N289" s="235"/>
      <c r="O289" s="235"/>
      <c r="P289" s="314"/>
      <c r="Q289" s="235"/>
      <c r="R289" s="234"/>
      <c r="S289" s="234"/>
      <c r="T289" s="315"/>
      <c r="U289" s="311"/>
      <c r="V289" s="1085"/>
      <c r="W289" s="309"/>
    </row>
    <row r="291" spans="1:25" ht="6.75" customHeight="1" x14ac:dyDescent="0.2"/>
    <row r="292" spans="1:25" s="218" customFormat="1" ht="23.25" customHeight="1" x14ac:dyDescent="0.2">
      <c r="A292" s="1072" t="s">
        <v>546</v>
      </c>
      <c r="B292" s="1073"/>
      <c r="C292" s="402"/>
      <c r="D292" s="1098" t="s">
        <v>628</v>
      </c>
      <c r="E292" s="1072"/>
      <c r="F292" s="1072"/>
      <c r="G292" s="1103"/>
      <c r="H292" s="1104"/>
      <c r="K292" s="218" t="str">
        <f>RIGHT(CATEG_IMPORTEE, LEN(CATEG_IMPORTEE) - 2)</f>
        <v>llèges Mixtes Etablissement</v>
      </c>
      <c r="T292" s="397" t="s">
        <v>627</v>
      </c>
      <c r="U292" s="401">
        <v>11</v>
      </c>
      <c r="V292" s="396" t="s">
        <v>547</v>
      </c>
      <c r="W292" s="401"/>
      <c r="X292" s="395"/>
    </row>
    <row r="293" spans="1:25" ht="27" customHeight="1" thickBot="1" x14ac:dyDescent="0.25">
      <c r="B293" s="1069" t="s">
        <v>0</v>
      </c>
      <c r="C293" s="1069"/>
      <c r="D293" s="1069"/>
      <c r="E293" s="1069"/>
      <c r="F293" s="1069"/>
      <c r="G293" s="1069"/>
      <c r="H293" s="1069"/>
      <c r="I293" s="1069" t="s">
        <v>374</v>
      </c>
      <c r="J293" s="1069"/>
      <c r="K293" s="1069"/>
      <c r="L293" s="1069"/>
      <c r="O293" s="1069" t="s">
        <v>0</v>
      </c>
      <c r="P293" s="1069"/>
      <c r="Q293" s="1069"/>
      <c r="R293" s="1069"/>
      <c r="S293" s="1069"/>
      <c r="T293" s="1069"/>
      <c r="U293" s="1069"/>
      <c r="V293" s="1069" t="s">
        <v>374</v>
      </c>
      <c r="W293" s="1069"/>
      <c r="X293" s="1069"/>
      <c r="Y293" s="1069"/>
    </row>
    <row r="294" spans="1:25" ht="24" customHeight="1" thickBot="1" x14ac:dyDescent="0.25">
      <c r="A294" s="219"/>
      <c r="B294" s="398" t="str">
        <f>VLOOKUP(U292,TBL_equipe,2,FALSE)</f>
        <v/>
      </c>
      <c r="C294" s="399"/>
      <c r="D294" s="399"/>
      <c r="E294" s="399"/>
      <c r="F294" s="399"/>
      <c r="G294" s="399"/>
      <c r="H294" s="400"/>
      <c r="I294" s="257" t="str">
        <f>VLOOKUP(U292,TBL_equipe,4,FALSE)</f>
        <v/>
      </c>
      <c r="J294" s="220"/>
      <c r="K294" s="220"/>
      <c r="L294" s="221"/>
      <c r="M294" s="1070" t="s">
        <v>547</v>
      </c>
      <c r="N294" s="1071"/>
      <c r="O294" s="398" t="e">
        <f>VLOOKUP(W292,TBL_equipe,2,FALSE)</f>
        <v>#N/A</v>
      </c>
      <c r="P294" s="220"/>
      <c r="Q294" s="220"/>
      <c r="R294" s="220"/>
      <c r="S294" s="220"/>
      <c r="T294" s="220"/>
      <c r="U294" s="221"/>
      <c r="V294" s="257" t="e">
        <f>VLOOKUP(W292,TBL_equipe,4,FALSE)</f>
        <v>#N/A</v>
      </c>
      <c r="W294" s="220"/>
      <c r="X294" s="220"/>
      <c r="Y294" s="221"/>
    </row>
    <row r="295" spans="1:25" ht="15" customHeight="1" x14ac:dyDescent="0.2"/>
    <row r="296" spans="1:25" ht="20.100000000000001" customHeight="1" x14ac:dyDescent="0.2">
      <c r="A296" s="1074" t="s">
        <v>548</v>
      </c>
      <c r="B296" s="1074"/>
      <c r="C296" s="1074"/>
      <c r="D296" s="1074"/>
      <c r="E296" s="1074"/>
    </row>
    <row r="297" spans="1:25" ht="20.100000000000001" customHeight="1" x14ac:dyDescent="0.2">
      <c r="A297" s="1075" t="s">
        <v>549</v>
      </c>
      <c r="B297" s="1075"/>
      <c r="C297" s="1075"/>
      <c r="D297" s="1075"/>
      <c r="E297" s="1075"/>
      <c r="G297" s="1076" t="s">
        <v>480</v>
      </c>
      <c r="H297" s="1076"/>
      <c r="I297" s="1077" t="s">
        <v>550</v>
      </c>
      <c r="J297" s="1077"/>
      <c r="K297" s="1077"/>
      <c r="L297" s="252" t="s">
        <v>551</v>
      </c>
      <c r="M297" s="1078" t="s">
        <v>552</v>
      </c>
      <c r="N297" s="1078"/>
      <c r="O297" s="251"/>
    </row>
    <row r="298" spans="1:25" ht="24" customHeight="1" x14ac:dyDescent="0.2">
      <c r="A298" s="258" t="str">
        <f>VLOOKUP(U292,TBL_equipe,5,FALSE)</f>
        <v/>
      </c>
      <c r="B298" s="223"/>
      <c r="C298" s="259" t="str">
        <f>VLOOKUP(U292,TBL_equipe,6,FALSE)</f>
        <v/>
      </c>
      <c r="D298" s="223"/>
      <c r="E298" s="224"/>
      <c r="F298" s="219"/>
      <c r="G298" s="403" t="str">
        <f>VLOOKUP(U292,TBL_equipe,9,FALSE)</f>
        <v/>
      </c>
      <c r="H298" s="224"/>
      <c r="I298" s="222"/>
      <c r="J298" s="246" t="str">
        <f>VLOOKUP(U292,TBL_equipe,8,FALSE)</f>
        <v/>
      </c>
      <c r="K298" s="224"/>
      <c r="L298" s="260" t="str">
        <f>VLOOKUP(U292,TBL_equipe,10,FALSE)</f>
        <v/>
      </c>
      <c r="M298" s="287">
        <f>G292</f>
        <v>0</v>
      </c>
      <c r="N298" s="288"/>
      <c r="O298" s="249"/>
      <c r="R298" s="254"/>
      <c r="S298" s="254"/>
      <c r="T298" s="254" t="s">
        <v>629</v>
      </c>
      <c r="U298" s="254"/>
      <c r="V298" s="254"/>
      <c r="W298" s="254"/>
      <c r="X298" s="254"/>
      <c r="Y298" s="254"/>
    </row>
    <row r="299" spans="1:25" ht="24" customHeight="1" x14ac:dyDescent="0.2">
      <c r="A299" s="258" t="str">
        <f>VLOOKUP(U292,TBL_equipe,11,FALSE)</f>
        <v/>
      </c>
      <c r="B299" s="223"/>
      <c r="C299" s="259" t="str">
        <f>VLOOKUP(U292,TBL_equipe,12,FALSE)</f>
        <v/>
      </c>
      <c r="D299" s="223"/>
      <c r="E299" s="224"/>
      <c r="F299" s="219"/>
      <c r="G299" s="403" t="str">
        <f>VLOOKUP(U292,TBL_equipe,15,FALSE)</f>
        <v/>
      </c>
      <c r="H299" s="224"/>
      <c r="I299" s="222"/>
      <c r="J299" s="246" t="str">
        <f>VLOOKUP(U292,TBL_equipe,14,FALSE)</f>
        <v/>
      </c>
      <c r="K299" s="224"/>
      <c r="L299" s="260" t="str">
        <f>VLOOKUP(U292,TBL_equipe,16,FALSE)</f>
        <v/>
      </c>
      <c r="M299" s="287">
        <f>G292</f>
        <v>0</v>
      </c>
      <c r="N299" s="288"/>
      <c r="O299" s="249"/>
      <c r="Q299" s="254"/>
      <c r="R299" s="254"/>
      <c r="S299" s="254"/>
      <c r="T299" s="254"/>
      <c r="U299" s="254"/>
      <c r="V299" s="254"/>
      <c r="W299" s="254"/>
      <c r="X299" s="254"/>
      <c r="Y299" s="254"/>
    </row>
    <row r="300" spans="1:25" ht="24" customHeight="1" x14ac:dyDescent="0.2">
      <c r="A300" s="258" t="str">
        <f>VLOOKUP(U292,TBL_equipe,17,FALSE)</f>
        <v/>
      </c>
      <c r="B300" s="223"/>
      <c r="C300" s="259" t="str">
        <f>VLOOKUP(U292,TBL_equipe,18,FALSE)</f>
        <v/>
      </c>
      <c r="D300" s="223"/>
      <c r="E300" s="224"/>
      <c r="F300" s="219"/>
      <c r="G300" s="403" t="str">
        <f>VLOOKUP(U292,TBL_equipe,21,FALSE)</f>
        <v/>
      </c>
      <c r="H300" s="224"/>
      <c r="I300" s="222"/>
      <c r="J300" s="246" t="str">
        <f>VLOOKUP(U292,TBL_equipe,20,FALSE)</f>
        <v/>
      </c>
      <c r="K300" s="224"/>
      <c r="L300" s="260" t="str">
        <f>VLOOKUP(U292,TBL_equipe,22,FALSE)</f>
        <v/>
      </c>
      <c r="M300" s="287">
        <f>G292</f>
        <v>0</v>
      </c>
      <c r="N300" s="288"/>
      <c r="O300" s="249"/>
      <c r="Q300" s="254"/>
      <c r="R300" s="254"/>
      <c r="S300" s="254"/>
      <c r="T300" s="254"/>
      <c r="U300" s="254"/>
      <c r="V300" s="254"/>
      <c r="W300" s="254"/>
      <c r="X300" s="254"/>
      <c r="Y300" s="254"/>
    </row>
    <row r="301" spans="1:25" ht="24" customHeight="1" x14ac:dyDescent="0.2">
      <c r="A301" s="258" t="str">
        <f>VLOOKUP(U292,TBL_equipe,23,FALSE)</f>
        <v/>
      </c>
      <c r="B301" s="223"/>
      <c r="C301" s="259" t="str">
        <f>VLOOKUP(U292,TBL_equipe,24,FALSE)</f>
        <v/>
      </c>
      <c r="D301" s="223"/>
      <c r="E301" s="224"/>
      <c r="F301" s="219"/>
      <c r="G301" s="403" t="str">
        <f>VLOOKUP(U292,TBL_equipe,27,FALSE)</f>
        <v/>
      </c>
      <c r="H301" s="224"/>
      <c r="I301" s="222"/>
      <c r="J301" s="246" t="str">
        <f>VLOOKUP(U292,TBL_equipe,26,FALSE)</f>
        <v/>
      </c>
      <c r="K301" s="224"/>
      <c r="L301" s="260" t="str">
        <f>VLOOKUP(U292,TBL_equipe,28,FALSE)</f>
        <v/>
      </c>
      <c r="M301" s="289">
        <f>G292</f>
        <v>0</v>
      </c>
      <c r="N301" s="290"/>
      <c r="O301" s="249"/>
    </row>
    <row r="302" spans="1:25" ht="15" customHeight="1" thickBot="1" x14ac:dyDescent="0.25"/>
    <row r="303" spans="1:25" ht="20.100000000000001" customHeight="1" x14ac:dyDescent="0.2">
      <c r="F303" s="1081" t="s">
        <v>555</v>
      </c>
      <c r="G303" s="1082"/>
      <c r="H303" s="1082"/>
      <c r="I303" s="1082"/>
      <c r="J303" s="1083"/>
      <c r="K303" s="1081" t="s">
        <v>556</v>
      </c>
      <c r="L303" s="1082"/>
      <c r="M303" s="1082"/>
      <c r="N303" s="1082"/>
      <c r="O303" s="1083"/>
      <c r="P303" s="1081" t="s">
        <v>557</v>
      </c>
      <c r="Q303" s="1082"/>
      <c r="R303" s="1082"/>
      <c r="S303" s="1082"/>
      <c r="T303" s="1083"/>
      <c r="U303" s="1081" t="s">
        <v>558</v>
      </c>
      <c r="V303" s="1082"/>
      <c r="W303" s="1082"/>
      <c r="X303" s="1082"/>
      <c r="Y303" s="1083"/>
    </row>
    <row r="304" spans="1:25" ht="20.100000000000001" customHeight="1" x14ac:dyDescent="0.2">
      <c r="A304" s="1075" t="s">
        <v>559</v>
      </c>
      <c r="B304" s="1075"/>
      <c r="C304" s="1075"/>
      <c r="D304" s="1075"/>
      <c r="E304" s="1089"/>
      <c r="F304" s="1090" t="s">
        <v>560</v>
      </c>
      <c r="G304" s="1075"/>
      <c r="H304" s="1075"/>
      <c r="J304" s="225" t="s">
        <v>7</v>
      </c>
      <c r="K304" s="1090" t="s">
        <v>560</v>
      </c>
      <c r="L304" s="1075"/>
      <c r="M304" s="1075"/>
      <c r="O304" s="225" t="s">
        <v>7</v>
      </c>
      <c r="P304" s="1090" t="s">
        <v>560</v>
      </c>
      <c r="Q304" s="1075"/>
      <c r="R304" s="1075"/>
      <c r="T304" s="225" t="s">
        <v>7</v>
      </c>
      <c r="U304" s="1090" t="s">
        <v>560</v>
      </c>
      <c r="V304" s="1075"/>
      <c r="W304" s="1075"/>
      <c r="Y304" s="225" t="s">
        <v>7</v>
      </c>
    </row>
    <row r="305" spans="1:25" ht="24" customHeight="1" x14ac:dyDescent="0.2">
      <c r="A305" s="261" t="str">
        <f>A298</f>
        <v/>
      </c>
      <c r="B305" s="227"/>
      <c r="C305" s="262" t="str">
        <f>C298</f>
        <v/>
      </c>
      <c r="D305" s="227"/>
      <c r="E305" s="227"/>
      <c r="F305" s="228"/>
      <c r="G305" s="229"/>
      <c r="H305" s="229"/>
      <c r="I305" s="230" t="s">
        <v>561</v>
      </c>
      <c r="J305" s="231"/>
      <c r="K305" s="228"/>
      <c r="L305" s="229"/>
      <c r="M305" s="229"/>
      <c r="N305" s="230" t="s">
        <v>561</v>
      </c>
      <c r="O305" s="231"/>
      <c r="P305" s="228"/>
      <c r="Q305" s="229"/>
      <c r="R305" s="229"/>
      <c r="S305" s="230" t="s">
        <v>561</v>
      </c>
      <c r="T305" s="231"/>
      <c r="U305" s="228"/>
      <c r="V305" s="229"/>
      <c r="W305" s="229"/>
      <c r="X305" s="230" t="s">
        <v>561</v>
      </c>
      <c r="Y305" s="231"/>
    </row>
    <row r="306" spans="1:25" ht="24" customHeight="1" x14ac:dyDescent="0.2">
      <c r="A306" s="261" t="str">
        <f>A299</f>
        <v/>
      </c>
      <c r="B306" s="227"/>
      <c r="C306" s="262" t="str">
        <f>C299</f>
        <v/>
      </c>
      <c r="D306" s="227"/>
      <c r="E306" s="227"/>
      <c r="F306" s="228"/>
      <c r="G306" s="229"/>
      <c r="H306" s="229"/>
      <c r="I306" s="230" t="s">
        <v>561</v>
      </c>
      <c r="J306" s="231"/>
      <c r="K306" s="228"/>
      <c r="L306" s="229"/>
      <c r="M306" s="229"/>
      <c r="N306" s="230" t="s">
        <v>561</v>
      </c>
      <c r="O306" s="231"/>
      <c r="P306" s="228"/>
      <c r="Q306" s="229"/>
      <c r="R306" s="229"/>
      <c r="S306" s="230" t="s">
        <v>561</v>
      </c>
      <c r="T306" s="231"/>
      <c r="U306" s="228"/>
      <c r="V306" s="229"/>
      <c r="W306" s="229"/>
      <c r="X306" s="230" t="s">
        <v>561</v>
      </c>
      <c r="Y306" s="231"/>
    </row>
    <row r="307" spans="1:25" ht="24" customHeight="1" x14ac:dyDescent="0.2">
      <c r="A307" s="261" t="str">
        <f>A300</f>
        <v/>
      </c>
      <c r="B307" s="227"/>
      <c r="C307" s="262" t="str">
        <f>C300</f>
        <v/>
      </c>
      <c r="D307" s="227"/>
      <c r="E307" s="227"/>
      <c r="F307" s="228"/>
      <c r="G307" s="229"/>
      <c r="H307" s="229"/>
      <c r="I307" s="230" t="s">
        <v>561</v>
      </c>
      <c r="J307" s="231"/>
      <c r="K307" s="228"/>
      <c r="L307" s="229"/>
      <c r="M307" s="229"/>
      <c r="N307" s="230" t="s">
        <v>561</v>
      </c>
      <c r="O307" s="231"/>
      <c r="P307" s="228"/>
      <c r="Q307" s="229"/>
      <c r="R307" s="229"/>
      <c r="S307" s="230" t="s">
        <v>561</v>
      </c>
      <c r="T307" s="231"/>
      <c r="U307" s="228"/>
      <c r="V307" s="229"/>
      <c r="W307" s="229"/>
      <c r="X307" s="230" t="s">
        <v>561</v>
      </c>
      <c r="Y307" s="231"/>
    </row>
    <row r="308" spans="1:25" ht="24" customHeight="1" x14ac:dyDescent="0.2">
      <c r="A308" s="261" t="str">
        <f>A301</f>
        <v/>
      </c>
      <c r="B308" s="227"/>
      <c r="C308" s="262" t="str">
        <f>C301</f>
        <v/>
      </c>
      <c r="D308" s="227"/>
      <c r="E308" s="227"/>
      <c r="F308" s="228"/>
      <c r="G308" s="229"/>
      <c r="H308" s="229"/>
      <c r="I308" s="230" t="s">
        <v>561</v>
      </c>
      <c r="J308" s="232"/>
      <c r="K308" s="228"/>
      <c r="L308" s="229"/>
      <c r="M308" s="229"/>
      <c r="N308" s="230" t="s">
        <v>561</v>
      </c>
      <c r="O308" s="232"/>
      <c r="P308" s="228"/>
      <c r="Q308" s="229"/>
      <c r="R308" s="229"/>
      <c r="S308" s="230" t="s">
        <v>561</v>
      </c>
      <c r="T308" s="232"/>
      <c r="U308" s="228"/>
      <c r="V308" s="229"/>
      <c r="W308" s="229"/>
      <c r="X308" s="230" t="s">
        <v>561</v>
      </c>
      <c r="Y308" s="232"/>
    </row>
    <row r="309" spans="1:25" ht="24" customHeight="1" thickBot="1" x14ac:dyDescent="0.25">
      <c r="F309" s="1079" t="s">
        <v>562</v>
      </c>
      <c r="G309" s="1080"/>
      <c r="H309" s="1080"/>
      <c r="I309" s="230" t="s">
        <v>561</v>
      </c>
      <c r="J309" s="231"/>
      <c r="K309" s="1079" t="s">
        <v>563</v>
      </c>
      <c r="L309" s="1080"/>
      <c r="M309" s="1080"/>
      <c r="N309" s="230" t="s">
        <v>561</v>
      </c>
      <c r="O309" s="232"/>
      <c r="P309" s="1079" t="s">
        <v>564</v>
      </c>
      <c r="Q309" s="1080"/>
      <c r="R309" s="1080"/>
      <c r="S309" s="230" t="s">
        <v>561</v>
      </c>
      <c r="T309" s="232"/>
      <c r="U309" s="1079" t="s">
        <v>565</v>
      </c>
      <c r="V309" s="1080"/>
      <c r="W309" s="1080"/>
      <c r="X309" s="230" t="s">
        <v>561</v>
      </c>
      <c r="Y309" s="232"/>
    </row>
    <row r="310" spans="1:25" ht="24" customHeight="1" thickBot="1" x14ac:dyDescent="0.25">
      <c r="F310" s="233"/>
      <c r="G310" s="234"/>
      <c r="H310" s="235" t="s">
        <v>566</v>
      </c>
      <c r="I310" s="235"/>
      <c r="J310" s="236"/>
      <c r="K310" s="1092" t="s">
        <v>567</v>
      </c>
      <c r="L310" s="1085"/>
      <c r="M310" s="1085"/>
      <c r="N310" s="237" t="s">
        <v>561</v>
      </c>
      <c r="O310" s="238"/>
      <c r="P310" s="1092" t="s">
        <v>568</v>
      </c>
      <c r="Q310" s="1085"/>
      <c r="R310" s="1085"/>
      <c r="S310" s="237" t="s">
        <v>561</v>
      </c>
      <c r="T310" s="238"/>
      <c r="U310" s="1092" t="s">
        <v>569</v>
      </c>
      <c r="V310" s="1085"/>
      <c r="W310" s="1085"/>
      <c r="X310" s="237" t="s">
        <v>561</v>
      </c>
      <c r="Y310" s="239"/>
    </row>
    <row r="311" spans="1:25" ht="12.75" customHeight="1" x14ac:dyDescent="0.2">
      <c r="Y311" s="240" t="s">
        <v>570</v>
      </c>
    </row>
    <row r="312" spans="1:25" ht="15.75" customHeight="1" x14ac:dyDescent="0.2">
      <c r="B312" s="1091" t="s">
        <v>521</v>
      </c>
      <c r="C312" s="1091"/>
      <c r="D312" s="1091"/>
      <c r="E312" s="1091"/>
      <c r="F312" s="1091"/>
      <c r="G312" s="1091"/>
      <c r="H312" s="1091"/>
      <c r="I312" s="1091"/>
      <c r="J312" s="1091"/>
      <c r="K312" s="1091"/>
      <c r="L312" s="1091"/>
      <c r="O312" s="1091" t="s">
        <v>522</v>
      </c>
      <c r="P312" s="1091"/>
      <c r="Q312" s="1091"/>
      <c r="R312" s="1091"/>
      <c r="S312" s="1091"/>
      <c r="T312" s="1091"/>
      <c r="U312" s="1091"/>
      <c r="V312" s="1091"/>
      <c r="W312" s="1091"/>
      <c r="X312" s="1091"/>
      <c r="Y312" s="1091"/>
    </row>
    <row r="313" spans="1:25" ht="13.5" customHeight="1" x14ac:dyDescent="0.2">
      <c r="B313" s="1086" t="s">
        <v>1</v>
      </c>
      <c r="C313" s="1087"/>
      <c r="D313" s="1087"/>
      <c r="E313" s="1087"/>
      <c r="F313" s="1087"/>
      <c r="G313" s="1087"/>
      <c r="H313" s="1088"/>
      <c r="I313" s="1086" t="s">
        <v>520</v>
      </c>
      <c r="J313" s="1087"/>
      <c r="K313" s="1087"/>
      <c r="L313" s="1088"/>
      <c r="N313" s="241"/>
      <c r="O313" s="1086" t="s">
        <v>1</v>
      </c>
      <c r="P313" s="1087"/>
      <c r="Q313" s="1087"/>
      <c r="R313" s="1087"/>
      <c r="S313" s="1087"/>
      <c r="T313" s="1087"/>
      <c r="U313" s="1088"/>
      <c r="V313" s="1086" t="s">
        <v>520</v>
      </c>
      <c r="W313" s="1087"/>
      <c r="X313" s="1087"/>
      <c r="Y313" s="1088"/>
    </row>
    <row r="314" spans="1:25" ht="21.75" customHeight="1" x14ac:dyDescent="0.2">
      <c r="B314" s="242"/>
      <c r="C314" s="243"/>
      <c r="D314" s="243"/>
      <c r="E314" s="243"/>
      <c r="F314" s="243"/>
      <c r="G314" s="243"/>
      <c r="H314" s="243"/>
      <c r="I314" s="242"/>
      <c r="J314" s="243"/>
      <c r="K314" s="243"/>
      <c r="L314" s="244"/>
      <c r="N314" s="241"/>
      <c r="O314" s="242"/>
      <c r="P314" s="243"/>
      <c r="Q314" s="243"/>
      <c r="R314" s="243"/>
      <c r="S314" s="243"/>
      <c r="T314" s="243"/>
      <c r="U314" s="243"/>
      <c r="V314" s="242"/>
      <c r="W314" s="243"/>
      <c r="X314" s="243"/>
      <c r="Y314" s="244"/>
    </row>
    <row r="315" spans="1:25" ht="13.5" customHeight="1" x14ac:dyDescent="0.2"/>
    <row r="316" spans="1:25" ht="14.25" customHeight="1" thickBot="1" x14ac:dyDescent="0.25">
      <c r="A316" s="241"/>
      <c r="G316" s="305"/>
      <c r="H316" s="305"/>
      <c r="I316" s="1069" t="s">
        <v>0</v>
      </c>
      <c r="J316" s="1069"/>
      <c r="K316" s="1069"/>
      <c r="L316" s="1069"/>
      <c r="M316" s="1069"/>
      <c r="N316" s="1069"/>
      <c r="O316" s="1069"/>
      <c r="P316" s="1069" t="s">
        <v>374</v>
      </c>
      <c r="Q316" s="1069"/>
      <c r="R316" s="1069"/>
      <c r="S316" s="1069"/>
      <c r="T316" s="1069"/>
      <c r="U316" s="1069" t="s">
        <v>571</v>
      </c>
      <c r="V316" s="1069"/>
      <c r="W316" s="1069"/>
      <c r="X316" s="305"/>
      <c r="Y316" s="305"/>
    </row>
    <row r="317" spans="1:25" ht="20.25" customHeight="1" x14ac:dyDescent="0.2">
      <c r="A317" s="241"/>
      <c r="F317" s="1074" t="s">
        <v>584</v>
      </c>
      <c r="G317" s="1074"/>
      <c r="H317" s="1074"/>
      <c r="I317" s="316"/>
      <c r="J317" s="306"/>
      <c r="K317" s="306"/>
      <c r="L317" s="306"/>
      <c r="M317" s="306"/>
      <c r="N317" s="306"/>
      <c r="O317" s="306"/>
      <c r="P317" s="312"/>
      <c r="Q317" s="306"/>
      <c r="R317" s="307"/>
      <c r="S317" s="304"/>
      <c r="T317" s="313"/>
      <c r="U317" s="310"/>
      <c r="V317" s="1084" t="s">
        <v>495</v>
      </c>
      <c r="W317" s="308"/>
    </row>
    <row r="318" spans="1:25" ht="13.5" thickBot="1" x14ac:dyDescent="0.25">
      <c r="F318" s="1074"/>
      <c r="G318" s="1074"/>
      <c r="H318" s="1074"/>
      <c r="I318" s="303"/>
      <c r="J318" s="235"/>
      <c r="K318" s="235"/>
      <c r="L318" s="235"/>
      <c r="M318" s="235"/>
      <c r="N318" s="235"/>
      <c r="O318" s="235"/>
      <c r="P318" s="314"/>
      <c r="Q318" s="235"/>
      <c r="R318" s="234"/>
      <c r="S318" s="234"/>
      <c r="T318" s="315"/>
      <c r="U318" s="311"/>
      <c r="V318" s="1085"/>
      <c r="W318" s="309"/>
    </row>
    <row r="320" spans="1:25" ht="6.75" customHeight="1" x14ac:dyDescent="0.2"/>
    <row r="321" spans="1:25" s="218" customFormat="1" ht="23.25" customHeight="1" x14ac:dyDescent="0.2">
      <c r="A321" s="1072" t="s">
        <v>546</v>
      </c>
      <c r="B321" s="1073"/>
      <c r="C321" s="402"/>
      <c r="D321" s="1098" t="s">
        <v>628</v>
      </c>
      <c r="E321" s="1072"/>
      <c r="F321" s="1072"/>
      <c r="G321" s="1103"/>
      <c r="H321" s="1104"/>
      <c r="K321" s="218" t="str">
        <f>RIGHT(CATEG_IMPORTEE, LEN(CATEG_IMPORTEE) - 2)</f>
        <v>llèges Mixtes Etablissement</v>
      </c>
      <c r="T321" s="397" t="s">
        <v>627</v>
      </c>
      <c r="U321" s="401">
        <v>12</v>
      </c>
      <c r="V321" s="396" t="s">
        <v>547</v>
      </c>
      <c r="W321" s="401"/>
      <c r="X321" s="395"/>
    </row>
    <row r="322" spans="1:25" ht="27" customHeight="1" thickBot="1" x14ac:dyDescent="0.25">
      <c r="B322" s="1069" t="s">
        <v>0</v>
      </c>
      <c r="C322" s="1069"/>
      <c r="D322" s="1069"/>
      <c r="E322" s="1069"/>
      <c r="F322" s="1069"/>
      <c r="G322" s="1069"/>
      <c r="H322" s="1069"/>
      <c r="I322" s="1069" t="s">
        <v>374</v>
      </c>
      <c r="J322" s="1069"/>
      <c r="K322" s="1069"/>
      <c r="L322" s="1069"/>
      <c r="O322" s="1069" t="s">
        <v>0</v>
      </c>
      <c r="P322" s="1069"/>
      <c r="Q322" s="1069"/>
      <c r="R322" s="1069"/>
      <c r="S322" s="1069"/>
      <c r="T322" s="1069"/>
      <c r="U322" s="1069"/>
      <c r="V322" s="1069" t="s">
        <v>374</v>
      </c>
      <c r="W322" s="1069"/>
      <c r="X322" s="1069"/>
      <c r="Y322" s="1069"/>
    </row>
    <row r="323" spans="1:25" ht="24" customHeight="1" thickBot="1" x14ac:dyDescent="0.25">
      <c r="A323" s="219"/>
      <c r="B323" s="398" t="str">
        <f>VLOOKUP(U321,TBL_equipe,2,FALSE)</f>
        <v/>
      </c>
      <c r="C323" s="399"/>
      <c r="D323" s="399"/>
      <c r="E323" s="399"/>
      <c r="F323" s="399"/>
      <c r="G323" s="399"/>
      <c r="H323" s="400"/>
      <c r="I323" s="257" t="str">
        <f>VLOOKUP(U321,TBL_equipe,4,FALSE)</f>
        <v/>
      </c>
      <c r="J323" s="220"/>
      <c r="K323" s="220"/>
      <c r="L323" s="221"/>
      <c r="M323" s="1070" t="s">
        <v>547</v>
      </c>
      <c r="N323" s="1071"/>
      <c r="O323" s="398" t="e">
        <f>VLOOKUP(W321,TBL_equipe,2,FALSE)</f>
        <v>#N/A</v>
      </c>
      <c r="P323" s="220"/>
      <c r="Q323" s="220"/>
      <c r="R323" s="220"/>
      <c r="S323" s="220"/>
      <c r="T323" s="220"/>
      <c r="U323" s="221"/>
      <c r="V323" s="257" t="e">
        <f>VLOOKUP(W321,TBL_equipe,4,FALSE)</f>
        <v>#N/A</v>
      </c>
      <c r="W323" s="220"/>
      <c r="X323" s="220"/>
      <c r="Y323" s="221"/>
    </row>
    <row r="324" spans="1:25" ht="15" customHeight="1" x14ac:dyDescent="0.2"/>
    <row r="325" spans="1:25" ht="20.100000000000001" customHeight="1" x14ac:dyDescent="0.2">
      <c r="A325" s="1074" t="s">
        <v>548</v>
      </c>
      <c r="B325" s="1074"/>
      <c r="C325" s="1074"/>
      <c r="D325" s="1074"/>
      <c r="E325" s="1074"/>
    </row>
    <row r="326" spans="1:25" ht="20.100000000000001" customHeight="1" x14ac:dyDescent="0.2">
      <c r="A326" s="1075" t="s">
        <v>549</v>
      </c>
      <c r="B326" s="1075"/>
      <c r="C326" s="1075"/>
      <c r="D326" s="1075"/>
      <c r="E326" s="1075"/>
      <c r="G326" s="1076" t="s">
        <v>480</v>
      </c>
      <c r="H326" s="1076"/>
      <c r="I326" s="1077" t="s">
        <v>550</v>
      </c>
      <c r="J326" s="1077"/>
      <c r="K326" s="1077"/>
      <c r="L326" s="252" t="s">
        <v>551</v>
      </c>
      <c r="M326" s="1078" t="s">
        <v>552</v>
      </c>
      <c r="N326" s="1078"/>
      <c r="O326" s="251"/>
    </row>
    <row r="327" spans="1:25" ht="24" customHeight="1" x14ac:dyDescent="0.2">
      <c r="A327" s="258" t="str">
        <f>VLOOKUP(U321,TBL_equipe,5,FALSE)</f>
        <v/>
      </c>
      <c r="B327" s="223"/>
      <c r="C327" s="259" t="str">
        <f>VLOOKUP(U321,TBL_equipe,6,FALSE)</f>
        <v/>
      </c>
      <c r="D327" s="223"/>
      <c r="E327" s="224"/>
      <c r="F327" s="219"/>
      <c r="G327" s="403" t="str">
        <f>VLOOKUP(U321,TBL_equipe,9,FALSE)</f>
        <v/>
      </c>
      <c r="H327" s="224"/>
      <c r="I327" s="222"/>
      <c r="J327" s="246" t="str">
        <f>VLOOKUP(U321,TBL_equipe,8,FALSE)</f>
        <v/>
      </c>
      <c r="K327" s="224"/>
      <c r="L327" s="260" t="str">
        <f>VLOOKUP(U321,TBL_equipe,10,FALSE)</f>
        <v/>
      </c>
      <c r="M327" s="287">
        <f>G321</f>
        <v>0</v>
      </c>
      <c r="N327" s="288"/>
      <c r="O327" s="249"/>
      <c r="R327" s="254"/>
      <c r="S327" s="254"/>
      <c r="T327" s="254" t="s">
        <v>629</v>
      </c>
      <c r="U327" s="254"/>
      <c r="V327" s="254"/>
      <c r="W327" s="254"/>
      <c r="X327" s="254"/>
      <c r="Y327" s="254"/>
    </row>
    <row r="328" spans="1:25" ht="24" customHeight="1" x14ac:dyDescent="0.2">
      <c r="A328" s="258" t="str">
        <f>VLOOKUP(U321,TBL_equipe,11,FALSE)</f>
        <v/>
      </c>
      <c r="B328" s="223"/>
      <c r="C328" s="259" t="str">
        <f>VLOOKUP(U321,TBL_equipe,12,FALSE)</f>
        <v/>
      </c>
      <c r="D328" s="223"/>
      <c r="E328" s="224"/>
      <c r="F328" s="219"/>
      <c r="G328" s="403" t="str">
        <f>VLOOKUP(U321,TBL_equipe,15,FALSE)</f>
        <v/>
      </c>
      <c r="H328" s="224"/>
      <c r="I328" s="222"/>
      <c r="J328" s="246" t="str">
        <f>VLOOKUP(U321,TBL_equipe,14,FALSE)</f>
        <v/>
      </c>
      <c r="K328" s="224"/>
      <c r="L328" s="260" t="str">
        <f>VLOOKUP(U321,TBL_equipe,16,FALSE)</f>
        <v/>
      </c>
      <c r="M328" s="287">
        <f>G321</f>
        <v>0</v>
      </c>
      <c r="N328" s="288"/>
      <c r="O328" s="249"/>
      <c r="Q328" s="254"/>
      <c r="R328" s="254"/>
      <c r="S328" s="254"/>
      <c r="T328" s="254"/>
      <c r="U328" s="254"/>
      <c r="V328" s="254"/>
      <c r="W328" s="254"/>
      <c r="X328" s="254"/>
      <c r="Y328" s="254"/>
    </row>
    <row r="329" spans="1:25" ht="24" customHeight="1" x14ac:dyDescent="0.2">
      <c r="A329" s="258" t="str">
        <f>VLOOKUP(U321,TBL_equipe,17,FALSE)</f>
        <v/>
      </c>
      <c r="B329" s="223"/>
      <c r="C329" s="259" t="str">
        <f>VLOOKUP(U321,TBL_equipe,18,FALSE)</f>
        <v/>
      </c>
      <c r="D329" s="223"/>
      <c r="E329" s="224"/>
      <c r="F329" s="219"/>
      <c r="G329" s="403" t="str">
        <f>VLOOKUP(U321,TBL_equipe,21,FALSE)</f>
        <v/>
      </c>
      <c r="H329" s="224"/>
      <c r="I329" s="222"/>
      <c r="J329" s="246" t="str">
        <f>VLOOKUP(U321,TBL_equipe,20,FALSE)</f>
        <v/>
      </c>
      <c r="K329" s="224"/>
      <c r="L329" s="260" t="str">
        <f>VLOOKUP(U321,TBL_equipe,22,FALSE)</f>
        <v/>
      </c>
      <c r="M329" s="287">
        <f>G321</f>
        <v>0</v>
      </c>
      <c r="N329" s="288"/>
      <c r="O329" s="249"/>
      <c r="Q329" s="254"/>
      <c r="R329" s="254"/>
      <c r="S329" s="254"/>
      <c r="T329" s="254"/>
      <c r="U329" s="254"/>
      <c r="V329" s="254"/>
      <c r="W329" s="254"/>
      <c r="X329" s="254"/>
      <c r="Y329" s="254"/>
    </row>
    <row r="330" spans="1:25" ht="24" customHeight="1" x14ac:dyDescent="0.2">
      <c r="A330" s="258" t="str">
        <f>VLOOKUP(U321,TBL_equipe,23,FALSE)</f>
        <v/>
      </c>
      <c r="B330" s="223"/>
      <c r="C330" s="259" t="str">
        <f>VLOOKUP(U321,TBL_equipe,24,FALSE)</f>
        <v/>
      </c>
      <c r="D330" s="223"/>
      <c r="E330" s="224"/>
      <c r="F330" s="219"/>
      <c r="G330" s="403" t="str">
        <f>VLOOKUP(U321,TBL_equipe,27,FALSE)</f>
        <v/>
      </c>
      <c r="H330" s="224"/>
      <c r="I330" s="222"/>
      <c r="J330" s="246" t="str">
        <f>VLOOKUP(U321,TBL_equipe,26,FALSE)</f>
        <v/>
      </c>
      <c r="K330" s="224"/>
      <c r="L330" s="260" t="str">
        <f>VLOOKUP(U321,TBL_equipe,28,FALSE)</f>
        <v/>
      </c>
      <c r="M330" s="289">
        <f>G321</f>
        <v>0</v>
      </c>
      <c r="N330" s="290"/>
      <c r="O330" s="249"/>
    </row>
    <row r="331" spans="1:25" ht="15" customHeight="1" thickBot="1" x14ac:dyDescent="0.25"/>
    <row r="332" spans="1:25" ht="20.100000000000001" customHeight="1" x14ac:dyDescent="0.2">
      <c r="F332" s="1081" t="s">
        <v>555</v>
      </c>
      <c r="G332" s="1082"/>
      <c r="H332" s="1082"/>
      <c r="I332" s="1082"/>
      <c r="J332" s="1083"/>
      <c r="K332" s="1081" t="s">
        <v>556</v>
      </c>
      <c r="L332" s="1082"/>
      <c r="M332" s="1082"/>
      <c r="N332" s="1082"/>
      <c r="O332" s="1083"/>
      <c r="P332" s="1081" t="s">
        <v>557</v>
      </c>
      <c r="Q332" s="1082"/>
      <c r="R332" s="1082"/>
      <c r="S332" s="1082"/>
      <c r="T332" s="1083"/>
      <c r="U332" s="1081" t="s">
        <v>558</v>
      </c>
      <c r="V332" s="1082"/>
      <c r="W332" s="1082"/>
      <c r="X332" s="1082"/>
      <c r="Y332" s="1083"/>
    </row>
    <row r="333" spans="1:25" ht="20.100000000000001" customHeight="1" x14ac:dyDescent="0.2">
      <c r="A333" s="1075" t="s">
        <v>559</v>
      </c>
      <c r="B333" s="1075"/>
      <c r="C333" s="1075"/>
      <c r="D333" s="1075"/>
      <c r="E333" s="1089"/>
      <c r="F333" s="1090" t="s">
        <v>560</v>
      </c>
      <c r="G333" s="1075"/>
      <c r="H333" s="1075"/>
      <c r="J333" s="225" t="s">
        <v>7</v>
      </c>
      <c r="K333" s="1090" t="s">
        <v>560</v>
      </c>
      <c r="L333" s="1075"/>
      <c r="M333" s="1075"/>
      <c r="O333" s="225" t="s">
        <v>7</v>
      </c>
      <c r="P333" s="1090" t="s">
        <v>560</v>
      </c>
      <c r="Q333" s="1075"/>
      <c r="R333" s="1075"/>
      <c r="T333" s="225" t="s">
        <v>7</v>
      </c>
      <c r="U333" s="1090" t="s">
        <v>560</v>
      </c>
      <c r="V333" s="1075"/>
      <c r="W333" s="1075"/>
      <c r="Y333" s="225" t="s">
        <v>7</v>
      </c>
    </row>
    <row r="334" spans="1:25" ht="24" customHeight="1" x14ac:dyDescent="0.2">
      <c r="A334" s="261" t="str">
        <f>A327</f>
        <v/>
      </c>
      <c r="B334" s="227"/>
      <c r="C334" s="262" t="str">
        <f>C327</f>
        <v/>
      </c>
      <c r="D334" s="227"/>
      <c r="E334" s="227"/>
      <c r="F334" s="228"/>
      <c r="G334" s="229"/>
      <c r="H334" s="229"/>
      <c r="I334" s="230" t="s">
        <v>561</v>
      </c>
      <c r="J334" s="231"/>
      <c r="K334" s="228"/>
      <c r="L334" s="229"/>
      <c r="M334" s="229"/>
      <c r="N334" s="230" t="s">
        <v>561</v>
      </c>
      <c r="O334" s="231"/>
      <c r="P334" s="228"/>
      <c r="Q334" s="229"/>
      <c r="R334" s="229"/>
      <c r="S334" s="230" t="s">
        <v>561</v>
      </c>
      <c r="T334" s="231"/>
      <c r="U334" s="228"/>
      <c r="V334" s="229"/>
      <c r="W334" s="229"/>
      <c r="X334" s="230" t="s">
        <v>561</v>
      </c>
      <c r="Y334" s="231"/>
    </row>
    <row r="335" spans="1:25" ht="24" customHeight="1" x14ac:dyDescent="0.2">
      <c r="A335" s="261" t="str">
        <f>A328</f>
        <v/>
      </c>
      <c r="B335" s="227"/>
      <c r="C335" s="262" t="str">
        <f>C328</f>
        <v/>
      </c>
      <c r="D335" s="227"/>
      <c r="E335" s="227"/>
      <c r="F335" s="228"/>
      <c r="G335" s="229"/>
      <c r="H335" s="229"/>
      <c r="I335" s="230" t="s">
        <v>561</v>
      </c>
      <c r="J335" s="231"/>
      <c r="K335" s="228"/>
      <c r="L335" s="229"/>
      <c r="M335" s="229"/>
      <c r="N335" s="230" t="s">
        <v>561</v>
      </c>
      <c r="O335" s="231"/>
      <c r="P335" s="228"/>
      <c r="Q335" s="229"/>
      <c r="R335" s="229"/>
      <c r="S335" s="230" t="s">
        <v>561</v>
      </c>
      <c r="T335" s="231"/>
      <c r="U335" s="228"/>
      <c r="V335" s="229"/>
      <c r="W335" s="229"/>
      <c r="X335" s="230" t="s">
        <v>561</v>
      </c>
      <c r="Y335" s="231"/>
    </row>
    <row r="336" spans="1:25" ht="24" customHeight="1" x14ac:dyDescent="0.2">
      <c r="A336" s="261" t="str">
        <f>A329</f>
        <v/>
      </c>
      <c r="B336" s="227"/>
      <c r="C336" s="262" t="str">
        <f>C329</f>
        <v/>
      </c>
      <c r="D336" s="227"/>
      <c r="E336" s="227"/>
      <c r="F336" s="228"/>
      <c r="G336" s="229"/>
      <c r="H336" s="229"/>
      <c r="I336" s="230" t="s">
        <v>561</v>
      </c>
      <c r="J336" s="231"/>
      <c r="K336" s="228"/>
      <c r="L336" s="229"/>
      <c r="M336" s="229"/>
      <c r="N336" s="230" t="s">
        <v>561</v>
      </c>
      <c r="O336" s="231"/>
      <c r="P336" s="228"/>
      <c r="Q336" s="229"/>
      <c r="R336" s="229"/>
      <c r="S336" s="230" t="s">
        <v>561</v>
      </c>
      <c r="T336" s="231"/>
      <c r="U336" s="228"/>
      <c r="V336" s="229"/>
      <c r="W336" s="229"/>
      <c r="X336" s="230" t="s">
        <v>561</v>
      </c>
      <c r="Y336" s="231"/>
    </row>
    <row r="337" spans="1:25" ht="24" customHeight="1" x14ac:dyDescent="0.2">
      <c r="A337" s="261" t="str">
        <f>A330</f>
        <v/>
      </c>
      <c r="B337" s="227"/>
      <c r="C337" s="262" t="str">
        <f>C330</f>
        <v/>
      </c>
      <c r="D337" s="227"/>
      <c r="E337" s="227"/>
      <c r="F337" s="228"/>
      <c r="G337" s="229"/>
      <c r="H337" s="229"/>
      <c r="I337" s="230" t="s">
        <v>561</v>
      </c>
      <c r="J337" s="232"/>
      <c r="K337" s="228"/>
      <c r="L337" s="229"/>
      <c r="M337" s="229"/>
      <c r="N337" s="230" t="s">
        <v>561</v>
      </c>
      <c r="O337" s="232"/>
      <c r="P337" s="228"/>
      <c r="Q337" s="229"/>
      <c r="R337" s="229"/>
      <c r="S337" s="230" t="s">
        <v>561</v>
      </c>
      <c r="T337" s="232"/>
      <c r="U337" s="228"/>
      <c r="V337" s="229"/>
      <c r="W337" s="229"/>
      <c r="X337" s="230" t="s">
        <v>561</v>
      </c>
      <c r="Y337" s="232"/>
    </row>
    <row r="338" spans="1:25" ht="24" customHeight="1" thickBot="1" x14ac:dyDescent="0.25">
      <c r="F338" s="1079" t="s">
        <v>562</v>
      </c>
      <c r="G338" s="1080"/>
      <c r="H338" s="1080"/>
      <c r="I338" s="230" t="s">
        <v>561</v>
      </c>
      <c r="J338" s="231"/>
      <c r="K338" s="1079" t="s">
        <v>563</v>
      </c>
      <c r="L338" s="1080"/>
      <c r="M338" s="1080"/>
      <c r="N338" s="230" t="s">
        <v>561</v>
      </c>
      <c r="O338" s="232"/>
      <c r="P338" s="1079" t="s">
        <v>564</v>
      </c>
      <c r="Q338" s="1080"/>
      <c r="R338" s="1080"/>
      <c r="S338" s="230" t="s">
        <v>561</v>
      </c>
      <c r="T338" s="232"/>
      <c r="U338" s="1079" t="s">
        <v>565</v>
      </c>
      <c r="V338" s="1080"/>
      <c r="W338" s="1080"/>
      <c r="X338" s="230" t="s">
        <v>561</v>
      </c>
      <c r="Y338" s="232"/>
    </row>
    <row r="339" spans="1:25" ht="24" customHeight="1" thickBot="1" x14ac:dyDescent="0.25">
      <c r="F339" s="233"/>
      <c r="G339" s="234"/>
      <c r="H339" s="235" t="s">
        <v>566</v>
      </c>
      <c r="I339" s="235"/>
      <c r="J339" s="236"/>
      <c r="K339" s="1092" t="s">
        <v>567</v>
      </c>
      <c r="L339" s="1085"/>
      <c r="M339" s="1085"/>
      <c r="N339" s="237" t="s">
        <v>561</v>
      </c>
      <c r="O339" s="238"/>
      <c r="P339" s="1092" t="s">
        <v>568</v>
      </c>
      <c r="Q339" s="1085"/>
      <c r="R339" s="1085"/>
      <c r="S339" s="237" t="s">
        <v>561</v>
      </c>
      <c r="T339" s="238"/>
      <c r="U339" s="1092" t="s">
        <v>569</v>
      </c>
      <c r="V339" s="1085"/>
      <c r="W339" s="1085"/>
      <c r="X339" s="237" t="s">
        <v>561</v>
      </c>
      <c r="Y339" s="239"/>
    </row>
    <row r="340" spans="1:25" ht="12.75" customHeight="1" x14ac:dyDescent="0.2">
      <c r="Y340" s="240" t="s">
        <v>570</v>
      </c>
    </row>
    <row r="341" spans="1:25" ht="15.75" customHeight="1" x14ac:dyDescent="0.2">
      <c r="B341" s="1091" t="s">
        <v>521</v>
      </c>
      <c r="C341" s="1091"/>
      <c r="D341" s="1091"/>
      <c r="E341" s="1091"/>
      <c r="F341" s="1091"/>
      <c r="G341" s="1091"/>
      <c r="H341" s="1091"/>
      <c r="I341" s="1091"/>
      <c r="J341" s="1091"/>
      <c r="K341" s="1091"/>
      <c r="L341" s="1091"/>
      <c r="O341" s="1091" t="s">
        <v>522</v>
      </c>
      <c r="P341" s="1091"/>
      <c r="Q341" s="1091"/>
      <c r="R341" s="1091"/>
      <c r="S341" s="1091"/>
      <c r="T341" s="1091"/>
      <c r="U341" s="1091"/>
      <c r="V341" s="1091"/>
      <c r="W341" s="1091"/>
      <c r="X341" s="1091"/>
      <c r="Y341" s="1091"/>
    </row>
    <row r="342" spans="1:25" ht="13.5" customHeight="1" x14ac:dyDescent="0.2">
      <c r="B342" s="1086" t="s">
        <v>1</v>
      </c>
      <c r="C342" s="1087"/>
      <c r="D342" s="1087"/>
      <c r="E342" s="1087"/>
      <c r="F342" s="1087"/>
      <c r="G342" s="1087"/>
      <c r="H342" s="1088"/>
      <c r="I342" s="1086" t="s">
        <v>520</v>
      </c>
      <c r="J342" s="1087"/>
      <c r="K342" s="1087"/>
      <c r="L342" s="1088"/>
      <c r="N342" s="241"/>
      <c r="O342" s="1086" t="s">
        <v>1</v>
      </c>
      <c r="P342" s="1087"/>
      <c r="Q342" s="1087"/>
      <c r="R342" s="1087"/>
      <c r="S342" s="1087"/>
      <c r="T342" s="1087"/>
      <c r="U342" s="1088"/>
      <c r="V342" s="1086" t="s">
        <v>520</v>
      </c>
      <c r="W342" s="1087"/>
      <c r="X342" s="1087"/>
      <c r="Y342" s="1088"/>
    </row>
    <row r="343" spans="1:25" ht="21.75" customHeight="1" x14ac:dyDescent="0.2">
      <c r="B343" s="242"/>
      <c r="C343" s="243"/>
      <c r="D343" s="243"/>
      <c r="E343" s="243"/>
      <c r="F343" s="243"/>
      <c r="G343" s="243"/>
      <c r="H343" s="243"/>
      <c r="I343" s="242"/>
      <c r="J343" s="243"/>
      <c r="K343" s="243"/>
      <c r="L343" s="244"/>
      <c r="N343" s="241"/>
      <c r="O343" s="242"/>
      <c r="P343" s="243"/>
      <c r="Q343" s="243"/>
      <c r="R343" s="243"/>
      <c r="S343" s="243"/>
      <c r="T343" s="243"/>
      <c r="U343" s="243"/>
      <c r="V343" s="242"/>
      <c r="W343" s="243"/>
      <c r="X343" s="243"/>
      <c r="Y343" s="244"/>
    </row>
    <row r="344" spans="1:25" ht="13.5" customHeight="1" x14ac:dyDescent="0.2"/>
    <row r="345" spans="1:25" ht="14.25" customHeight="1" thickBot="1" x14ac:dyDescent="0.25">
      <c r="A345" s="241"/>
      <c r="G345" s="305"/>
      <c r="H345" s="305"/>
      <c r="I345" s="1069" t="s">
        <v>0</v>
      </c>
      <c r="J345" s="1069"/>
      <c r="K345" s="1069"/>
      <c r="L345" s="1069"/>
      <c r="M345" s="1069"/>
      <c r="N345" s="1069"/>
      <c r="O345" s="1069"/>
      <c r="P345" s="1069" t="s">
        <v>374</v>
      </c>
      <c r="Q345" s="1069"/>
      <c r="R345" s="1069"/>
      <c r="S345" s="1069"/>
      <c r="T345" s="1069"/>
      <c r="U345" s="1069" t="s">
        <v>571</v>
      </c>
      <c r="V345" s="1069"/>
      <c r="W345" s="1069"/>
      <c r="X345" s="305"/>
      <c r="Y345" s="305"/>
    </row>
    <row r="346" spans="1:25" ht="20.25" customHeight="1" x14ac:dyDescent="0.2">
      <c r="A346" s="241"/>
      <c r="F346" s="1074" t="s">
        <v>584</v>
      </c>
      <c r="G346" s="1074"/>
      <c r="H346" s="1074"/>
      <c r="I346" s="316"/>
      <c r="J346" s="306"/>
      <c r="K346" s="306"/>
      <c r="L346" s="306"/>
      <c r="M346" s="306"/>
      <c r="N346" s="306"/>
      <c r="O346" s="306"/>
      <c r="P346" s="312"/>
      <c r="Q346" s="306"/>
      <c r="R346" s="307"/>
      <c r="S346" s="304"/>
      <c r="T346" s="313"/>
      <c r="U346" s="310"/>
      <c r="V346" s="1084" t="s">
        <v>495</v>
      </c>
      <c r="W346" s="308"/>
    </row>
    <row r="347" spans="1:25" ht="13.5" thickBot="1" x14ac:dyDescent="0.25">
      <c r="F347" s="1074"/>
      <c r="G347" s="1074"/>
      <c r="H347" s="1074"/>
      <c r="I347" s="303"/>
      <c r="J347" s="235"/>
      <c r="K347" s="235"/>
      <c r="L347" s="235"/>
      <c r="M347" s="235"/>
      <c r="N347" s="235"/>
      <c r="O347" s="235"/>
      <c r="P347" s="314"/>
      <c r="Q347" s="235"/>
      <c r="R347" s="234"/>
      <c r="S347" s="234"/>
      <c r="T347" s="315"/>
      <c r="U347" s="311"/>
      <c r="V347" s="1085"/>
      <c r="W347" s="309"/>
    </row>
    <row r="349" spans="1:25" ht="6.75" customHeight="1" x14ac:dyDescent="0.2"/>
    <row r="350" spans="1:25" s="218" customFormat="1" ht="23.25" customHeight="1" x14ac:dyDescent="0.2">
      <c r="A350" s="1072" t="s">
        <v>546</v>
      </c>
      <c r="B350" s="1073"/>
      <c r="C350" s="402"/>
      <c r="D350" s="1098" t="s">
        <v>628</v>
      </c>
      <c r="E350" s="1072"/>
      <c r="F350" s="1072"/>
      <c r="G350" s="1103"/>
      <c r="H350" s="1104"/>
      <c r="K350" s="218" t="str">
        <f>RIGHT(CATEG_IMPORTEE, LEN(CATEG_IMPORTEE) - 2)</f>
        <v>llèges Mixtes Etablissement</v>
      </c>
      <c r="T350" s="397" t="s">
        <v>627</v>
      </c>
      <c r="U350" s="401">
        <v>13</v>
      </c>
      <c r="V350" s="396" t="s">
        <v>547</v>
      </c>
      <c r="W350" s="401"/>
      <c r="X350" s="395"/>
    </row>
    <row r="351" spans="1:25" ht="27" customHeight="1" thickBot="1" x14ac:dyDescent="0.25">
      <c r="B351" s="1069" t="s">
        <v>0</v>
      </c>
      <c r="C351" s="1069"/>
      <c r="D351" s="1069"/>
      <c r="E351" s="1069"/>
      <c r="F351" s="1069"/>
      <c r="G351" s="1069"/>
      <c r="H351" s="1069"/>
      <c r="I351" s="1069" t="s">
        <v>374</v>
      </c>
      <c r="J351" s="1069"/>
      <c r="K351" s="1069"/>
      <c r="L351" s="1069"/>
      <c r="O351" s="1069" t="s">
        <v>0</v>
      </c>
      <c r="P351" s="1069"/>
      <c r="Q351" s="1069"/>
      <c r="R351" s="1069"/>
      <c r="S351" s="1069"/>
      <c r="T351" s="1069"/>
      <c r="U351" s="1069"/>
      <c r="V351" s="1069" t="s">
        <v>374</v>
      </c>
      <c r="W351" s="1069"/>
      <c r="X351" s="1069"/>
      <c r="Y351" s="1069"/>
    </row>
    <row r="352" spans="1:25" ht="24" customHeight="1" thickBot="1" x14ac:dyDescent="0.25">
      <c r="A352" s="219"/>
      <c r="B352" s="398" t="str">
        <f>VLOOKUP(U350,TBL_equipe,2,FALSE)</f>
        <v/>
      </c>
      <c r="C352" s="399"/>
      <c r="D352" s="399"/>
      <c r="E352" s="399"/>
      <c r="F352" s="399"/>
      <c r="G352" s="399"/>
      <c r="H352" s="400"/>
      <c r="I352" s="257" t="str">
        <f>VLOOKUP(U350,TBL_equipe,4,FALSE)</f>
        <v/>
      </c>
      <c r="J352" s="220"/>
      <c r="K352" s="220"/>
      <c r="L352" s="221"/>
      <c r="M352" s="1070" t="s">
        <v>547</v>
      </c>
      <c r="N352" s="1071"/>
      <c r="O352" s="398" t="e">
        <f>VLOOKUP(W350,TBL_equipe,2,FALSE)</f>
        <v>#N/A</v>
      </c>
      <c r="P352" s="220"/>
      <c r="Q352" s="220"/>
      <c r="R352" s="220"/>
      <c r="S352" s="220"/>
      <c r="T352" s="220"/>
      <c r="U352" s="221"/>
      <c r="V352" s="257" t="e">
        <f>VLOOKUP(W350,TBL_equipe,4,FALSE)</f>
        <v>#N/A</v>
      </c>
      <c r="W352" s="220"/>
      <c r="X352" s="220"/>
      <c r="Y352" s="221"/>
    </row>
    <row r="353" spans="1:25" ht="15" customHeight="1" x14ac:dyDescent="0.2"/>
    <row r="354" spans="1:25" ht="20.100000000000001" customHeight="1" x14ac:dyDescent="0.2">
      <c r="A354" s="1074" t="s">
        <v>548</v>
      </c>
      <c r="B354" s="1074"/>
      <c r="C354" s="1074"/>
      <c r="D354" s="1074"/>
      <c r="E354" s="1074"/>
    </row>
    <row r="355" spans="1:25" ht="20.100000000000001" customHeight="1" x14ac:dyDescent="0.2">
      <c r="A355" s="1075" t="s">
        <v>549</v>
      </c>
      <c r="B355" s="1075"/>
      <c r="C355" s="1075"/>
      <c r="D355" s="1075"/>
      <c r="E355" s="1075"/>
      <c r="G355" s="1076" t="s">
        <v>480</v>
      </c>
      <c r="H355" s="1076"/>
      <c r="I355" s="1077" t="s">
        <v>550</v>
      </c>
      <c r="J355" s="1077"/>
      <c r="K355" s="1077"/>
      <c r="L355" s="252" t="s">
        <v>551</v>
      </c>
      <c r="M355" s="1078" t="s">
        <v>552</v>
      </c>
      <c r="N355" s="1078"/>
      <c r="O355" s="251"/>
    </row>
    <row r="356" spans="1:25" ht="24" customHeight="1" x14ac:dyDescent="0.2">
      <c r="A356" s="258" t="str">
        <f>VLOOKUP(U350,TBL_equipe,5,FALSE)</f>
        <v/>
      </c>
      <c r="B356" s="223"/>
      <c r="C356" s="259" t="str">
        <f>VLOOKUP(U350,TBL_equipe,6,FALSE)</f>
        <v/>
      </c>
      <c r="D356" s="223"/>
      <c r="E356" s="224"/>
      <c r="F356" s="219"/>
      <c r="G356" s="403" t="str">
        <f>VLOOKUP(U350,TBL_equipe,9,FALSE)</f>
        <v/>
      </c>
      <c r="H356" s="224"/>
      <c r="I356" s="222"/>
      <c r="J356" s="246" t="str">
        <f>VLOOKUP(U350,TBL_equipe,8,FALSE)</f>
        <v/>
      </c>
      <c r="K356" s="224"/>
      <c r="L356" s="260" t="str">
        <f>VLOOKUP(U350,TBL_equipe,10,FALSE)</f>
        <v/>
      </c>
      <c r="M356" s="287">
        <f>G350</f>
        <v>0</v>
      </c>
      <c r="N356" s="288"/>
      <c r="O356" s="249"/>
      <c r="R356" s="254"/>
      <c r="S356" s="254"/>
      <c r="T356" s="254" t="s">
        <v>629</v>
      </c>
      <c r="U356" s="254"/>
      <c r="V356" s="254"/>
      <c r="W356" s="254"/>
      <c r="X356" s="254"/>
      <c r="Y356" s="254"/>
    </row>
    <row r="357" spans="1:25" ht="24" customHeight="1" x14ac:dyDescent="0.2">
      <c r="A357" s="258" t="str">
        <f>VLOOKUP(U350,TBL_equipe,11,FALSE)</f>
        <v/>
      </c>
      <c r="B357" s="223"/>
      <c r="C357" s="259" t="str">
        <f>VLOOKUP(U350,TBL_equipe,12,FALSE)</f>
        <v/>
      </c>
      <c r="D357" s="223"/>
      <c r="E357" s="224"/>
      <c r="F357" s="219"/>
      <c r="G357" s="403" t="str">
        <f>VLOOKUP(U350,TBL_equipe,15,FALSE)</f>
        <v/>
      </c>
      <c r="H357" s="224"/>
      <c r="I357" s="222"/>
      <c r="J357" s="246" t="str">
        <f>VLOOKUP(U350,TBL_equipe,14,FALSE)</f>
        <v/>
      </c>
      <c r="K357" s="224"/>
      <c r="L357" s="260" t="str">
        <f>VLOOKUP(U350,TBL_equipe,16,FALSE)</f>
        <v/>
      </c>
      <c r="M357" s="287">
        <f>G350</f>
        <v>0</v>
      </c>
      <c r="N357" s="288"/>
      <c r="O357" s="249"/>
      <c r="Q357" s="254"/>
      <c r="R357" s="254"/>
      <c r="S357" s="254"/>
      <c r="T357" s="254"/>
      <c r="U357" s="254"/>
      <c r="V357" s="254"/>
      <c r="W357" s="254"/>
      <c r="X357" s="254"/>
      <c r="Y357" s="254"/>
    </row>
    <row r="358" spans="1:25" ht="24" customHeight="1" x14ac:dyDescent="0.2">
      <c r="A358" s="258" t="str">
        <f>VLOOKUP(U350,TBL_equipe,17,FALSE)</f>
        <v/>
      </c>
      <c r="B358" s="223"/>
      <c r="C358" s="259" t="str">
        <f>VLOOKUP(U350,TBL_equipe,18,FALSE)</f>
        <v/>
      </c>
      <c r="D358" s="223"/>
      <c r="E358" s="224"/>
      <c r="F358" s="219"/>
      <c r="G358" s="403" t="str">
        <f>VLOOKUP(U350,TBL_equipe,21,FALSE)</f>
        <v/>
      </c>
      <c r="H358" s="224"/>
      <c r="I358" s="222"/>
      <c r="J358" s="246" t="str">
        <f>VLOOKUP(U350,TBL_equipe,20,FALSE)</f>
        <v/>
      </c>
      <c r="K358" s="224"/>
      <c r="L358" s="260" t="str">
        <f>VLOOKUP(U350,TBL_equipe,22,FALSE)</f>
        <v/>
      </c>
      <c r="M358" s="287">
        <f>G350</f>
        <v>0</v>
      </c>
      <c r="N358" s="288"/>
      <c r="O358" s="249"/>
      <c r="Q358" s="254"/>
      <c r="R358" s="254"/>
      <c r="S358" s="254"/>
      <c r="T358" s="254"/>
      <c r="U358" s="254"/>
      <c r="V358" s="254"/>
      <c r="W358" s="254"/>
      <c r="X358" s="254"/>
      <c r="Y358" s="254"/>
    </row>
    <row r="359" spans="1:25" ht="24" customHeight="1" x14ac:dyDescent="0.2">
      <c r="A359" s="258" t="str">
        <f>VLOOKUP(U350,TBL_equipe,23,FALSE)</f>
        <v/>
      </c>
      <c r="B359" s="223"/>
      <c r="C359" s="259" t="str">
        <f>VLOOKUP(U350,TBL_equipe,24,FALSE)</f>
        <v/>
      </c>
      <c r="D359" s="223"/>
      <c r="E359" s="224"/>
      <c r="F359" s="219"/>
      <c r="G359" s="403" t="str">
        <f>VLOOKUP(U350,TBL_equipe,27,FALSE)</f>
        <v/>
      </c>
      <c r="H359" s="224"/>
      <c r="I359" s="222"/>
      <c r="J359" s="246" t="str">
        <f>VLOOKUP(U350,TBL_equipe,26,FALSE)</f>
        <v/>
      </c>
      <c r="K359" s="224"/>
      <c r="L359" s="260" t="str">
        <f>VLOOKUP(U350,TBL_equipe,28,FALSE)</f>
        <v/>
      </c>
      <c r="M359" s="289">
        <f>G350</f>
        <v>0</v>
      </c>
      <c r="N359" s="290"/>
      <c r="O359" s="249"/>
    </row>
    <row r="360" spans="1:25" ht="15" customHeight="1" thickBot="1" x14ac:dyDescent="0.25"/>
    <row r="361" spans="1:25" ht="20.100000000000001" customHeight="1" x14ac:dyDescent="0.2">
      <c r="F361" s="1081" t="s">
        <v>555</v>
      </c>
      <c r="G361" s="1082"/>
      <c r="H361" s="1082"/>
      <c r="I361" s="1082"/>
      <c r="J361" s="1083"/>
      <c r="K361" s="1081" t="s">
        <v>556</v>
      </c>
      <c r="L361" s="1082"/>
      <c r="M361" s="1082"/>
      <c r="N361" s="1082"/>
      <c r="O361" s="1083"/>
      <c r="P361" s="1081" t="s">
        <v>557</v>
      </c>
      <c r="Q361" s="1082"/>
      <c r="R361" s="1082"/>
      <c r="S361" s="1082"/>
      <c r="T361" s="1083"/>
      <c r="U361" s="1081" t="s">
        <v>558</v>
      </c>
      <c r="V361" s="1082"/>
      <c r="W361" s="1082"/>
      <c r="X361" s="1082"/>
      <c r="Y361" s="1083"/>
    </row>
    <row r="362" spans="1:25" ht="20.100000000000001" customHeight="1" x14ac:dyDescent="0.2">
      <c r="A362" s="1075" t="s">
        <v>559</v>
      </c>
      <c r="B362" s="1075"/>
      <c r="C362" s="1075"/>
      <c r="D362" s="1075"/>
      <c r="E362" s="1089"/>
      <c r="F362" s="1090" t="s">
        <v>560</v>
      </c>
      <c r="G362" s="1075"/>
      <c r="H362" s="1075"/>
      <c r="J362" s="225" t="s">
        <v>7</v>
      </c>
      <c r="K362" s="1090" t="s">
        <v>560</v>
      </c>
      <c r="L362" s="1075"/>
      <c r="M362" s="1075"/>
      <c r="O362" s="225" t="s">
        <v>7</v>
      </c>
      <c r="P362" s="1090" t="s">
        <v>560</v>
      </c>
      <c r="Q362" s="1075"/>
      <c r="R362" s="1075"/>
      <c r="T362" s="225" t="s">
        <v>7</v>
      </c>
      <c r="U362" s="1090" t="s">
        <v>560</v>
      </c>
      <c r="V362" s="1075"/>
      <c r="W362" s="1075"/>
      <c r="Y362" s="225" t="s">
        <v>7</v>
      </c>
    </row>
    <row r="363" spans="1:25" ht="24" customHeight="1" x14ac:dyDescent="0.2">
      <c r="A363" s="261" t="str">
        <f>A356</f>
        <v/>
      </c>
      <c r="B363" s="227"/>
      <c r="C363" s="262" t="str">
        <f>C356</f>
        <v/>
      </c>
      <c r="D363" s="227"/>
      <c r="E363" s="227"/>
      <c r="F363" s="228"/>
      <c r="G363" s="229"/>
      <c r="H363" s="229"/>
      <c r="I363" s="230" t="s">
        <v>561</v>
      </c>
      <c r="J363" s="231"/>
      <c r="K363" s="228"/>
      <c r="L363" s="229"/>
      <c r="M363" s="229"/>
      <c r="N363" s="230" t="s">
        <v>561</v>
      </c>
      <c r="O363" s="231"/>
      <c r="P363" s="228"/>
      <c r="Q363" s="229"/>
      <c r="R363" s="229"/>
      <c r="S363" s="230" t="s">
        <v>561</v>
      </c>
      <c r="T363" s="231"/>
      <c r="U363" s="228"/>
      <c r="V363" s="229"/>
      <c r="W363" s="229"/>
      <c r="X363" s="230" t="s">
        <v>561</v>
      </c>
      <c r="Y363" s="231"/>
    </row>
    <row r="364" spans="1:25" ht="24" customHeight="1" x14ac:dyDescent="0.2">
      <c r="A364" s="261" t="str">
        <f>A357</f>
        <v/>
      </c>
      <c r="B364" s="227"/>
      <c r="C364" s="262" t="str">
        <f>C357</f>
        <v/>
      </c>
      <c r="D364" s="227"/>
      <c r="E364" s="227"/>
      <c r="F364" s="228"/>
      <c r="G364" s="229"/>
      <c r="H364" s="229"/>
      <c r="I364" s="230" t="s">
        <v>561</v>
      </c>
      <c r="J364" s="231"/>
      <c r="K364" s="228"/>
      <c r="L364" s="229"/>
      <c r="M364" s="229"/>
      <c r="N364" s="230" t="s">
        <v>561</v>
      </c>
      <c r="O364" s="231"/>
      <c r="P364" s="228"/>
      <c r="Q364" s="229"/>
      <c r="R364" s="229"/>
      <c r="S364" s="230" t="s">
        <v>561</v>
      </c>
      <c r="T364" s="231"/>
      <c r="U364" s="228"/>
      <c r="V364" s="229"/>
      <c r="W364" s="229"/>
      <c r="X364" s="230" t="s">
        <v>561</v>
      </c>
      <c r="Y364" s="231"/>
    </row>
    <row r="365" spans="1:25" ht="24" customHeight="1" x14ac:dyDescent="0.2">
      <c r="A365" s="261" t="str">
        <f>A358</f>
        <v/>
      </c>
      <c r="B365" s="227"/>
      <c r="C365" s="262" t="str">
        <f>C358</f>
        <v/>
      </c>
      <c r="D365" s="227"/>
      <c r="E365" s="227"/>
      <c r="F365" s="228"/>
      <c r="G365" s="229"/>
      <c r="H365" s="229"/>
      <c r="I365" s="230" t="s">
        <v>561</v>
      </c>
      <c r="J365" s="231"/>
      <c r="K365" s="228"/>
      <c r="L365" s="229"/>
      <c r="M365" s="229"/>
      <c r="N365" s="230" t="s">
        <v>561</v>
      </c>
      <c r="O365" s="231"/>
      <c r="P365" s="228"/>
      <c r="Q365" s="229"/>
      <c r="R365" s="229"/>
      <c r="S365" s="230" t="s">
        <v>561</v>
      </c>
      <c r="T365" s="231"/>
      <c r="U365" s="228"/>
      <c r="V365" s="229"/>
      <c r="W365" s="229"/>
      <c r="X365" s="230" t="s">
        <v>561</v>
      </c>
      <c r="Y365" s="231"/>
    </row>
    <row r="366" spans="1:25" ht="24" customHeight="1" x14ac:dyDescent="0.2">
      <c r="A366" s="261" t="str">
        <f>A359</f>
        <v/>
      </c>
      <c r="B366" s="227"/>
      <c r="C366" s="262" t="str">
        <f>C359</f>
        <v/>
      </c>
      <c r="D366" s="227"/>
      <c r="E366" s="227"/>
      <c r="F366" s="228"/>
      <c r="G366" s="229"/>
      <c r="H366" s="229"/>
      <c r="I366" s="230" t="s">
        <v>561</v>
      </c>
      <c r="J366" s="232"/>
      <c r="K366" s="228"/>
      <c r="L366" s="229"/>
      <c r="M366" s="229"/>
      <c r="N366" s="230" t="s">
        <v>561</v>
      </c>
      <c r="O366" s="232"/>
      <c r="P366" s="228"/>
      <c r="Q366" s="229"/>
      <c r="R366" s="229"/>
      <c r="S366" s="230" t="s">
        <v>561</v>
      </c>
      <c r="T366" s="232"/>
      <c r="U366" s="228"/>
      <c r="V366" s="229"/>
      <c r="W366" s="229"/>
      <c r="X366" s="230" t="s">
        <v>561</v>
      </c>
      <c r="Y366" s="232"/>
    </row>
    <row r="367" spans="1:25" ht="24" customHeight="1" thickBot="1" x14ac:dyDescent="0.25">
      <c r="F367" s="1079" t="s">
        <v>562</v>
      </c>
      <c r="G367" s="1080"/>
      <c r="H367" s="1080"/>
      <c r="I367" s="230" t="s">
        <v>561</v>
      </c>
      <c r="J367" s="231"/>
      <c r="K367" s="1079" t="s">
        <v>563</v>
      </c>
      <c r="L367" s="1080"/>
      <c r="M367" s="1080"/>
      <c r="N367" s="230" t="s">
        <v>561</v>
      </c>
      <c r="O367" s="232"/>
      <c r="P367" s="1079" t="s">
        <v>564</v>
      </c>
      <c r="Q367" s="1080"/>
      <c r="R367" s="1080"/>
      <c r="S367" s="230" t="s">
        <v>561</v>
      </c>
      <c r="T367" s="232"/>
      <c r="U367" s="1079" t="s">
        <v>565</v>
      </c>
      <c r="V367" s="1080"/>
      <c r="W367" s="1080"/>
      <c r="X367" s="230" t="s">
        <v>561</v>
      </c>
      <c r="Y367" s="232"/>
    </row>
    <row r="368" spans="1:25" ht="24" customHeight="1" thickBot="1" x14ac:dyDescent="0.25">
      <c r="F368" s="233"/>
      <c r="G368" s="234"/>
      <c r="H368" s="235" t="s">
        <v>566</v>
      </c>
      <c r="I368" s="235"/>
      <c r="J368" s="236"/>
      <c r="K368" s="1092" t="s">
        <v>567</v>
      </c>
      <c r="L368" s="1085"/>
      <c r="M368" s="1085"/>
      <c r="N368" s="237" t="s">
        <v>561</v>
      </c>
      <c r="O368" s="238"/>
      <c r="P368" s="1092" t="s">
        <v>568</v>
      </c>
      <c r="Q368" s="1085"/>
      <c r="R368" s="1085"/>
      <c r="S368" s="237" t="s">
        <v>561</v>
      </c>
      <c r="T368" s="238"/>
      <c r="U368" s="1092" t="s">
        <v>569</v>
      </c>
      <c r="V368" s="1085"/>
      <c r="W368" s="1085"/>
      <c r="X368" s="237" t="s">
        <v>561</v>
      </c>
      <c r="Y368" s="239"/>
    </row>
    <row r="369" spans="1:25" ht="12.75" customHeight="1" x14ac:dyDescent="0.2">
      <c r="Y369" s="240" t="s">
        <v>570</v>
      </c>
    </row>
    <row r="370" spans="1:25" ht="15.75" customHeight="1" x14ac:dyDescent="0.2">
      <c r="B370" s="1091" t="s">
        <v>521</v>
      </c>
      <c r="C370" s="1091"/>
      <c r="D370" s="1091"/>
      <c r="E370" s="1091"/>
      <c r="F370" s="1091"/>
      <c r="G370" s="1091"/>
      <c r="H370" s="1091"/>
      <c r="I370" s="1091"/>
      <c r="J370" s="1091"/>
      <c r="K370" s="1091"/>
      <c r="L370" s="1091"/>
      <c r="O370" s="1091" t="s">
        <v>522</v>
      </c>
      <c r="P370" s="1091"/>
      <c r="Q370" s="1091"/>
      <c r="R370" s="1091"/>
      <c r="S370" s="1091"/>
      <c r="T370" s="1091"/>
      <c r="U370" s="1091"/>
      <c r="V370" s="1091"/>
      <c r="W370" s="1091"/>
      <c r="X370" s="1091"/>
      <c r="Y370" s="1091"/>
    </row>
    <row r="371" spans="1:25" ht="13.5" customHeight="1" x14ac:dyDescent="0.2">
      <c r="B371" s="1086" t="s">
        <v>1</v>
      </c>
      <c r="C371" s="1087"/>
      <c r="D371" s="1087"/>
      <c r="E371" s="1087"/>
      <c r="F371" s="1087"/>
      <c r="G371" s="1087"/>
      <c r="H371" s="1088"/>
      <c r="I371" s="1086" t="s">
        <v>520</v>
      </c>
      <c r="J371" s="1087"/>
      <c r="K371" s="1087"/>
      <c r="L371" s="1088"/>
      <c r="N371" s="241"/>
      <c r="O371" s="1086" t="s">
        <v>1</v>
      </c>
      <c r="P371" s="1087"/>
      <c r="Q371" s="1087"/>
      <c r="R371" s="1087"/>
      <c r="S371" s="1087"/>
      <c r="T371" s="1087"/>
      <c r="U371" s="1088"/>
      <c r="V371" s="1086" t="s">
        <v>520</v>
      </c>
      <c r="W371" s="1087"/>
      <c r="X371" s="1087"/>
      <c r="Y371" s="1088"/>
    </row>
    <row r="372" spans="1:25" ht="21.75" customHeight="1" x14ac:dyDescent="0.2">
      <c r="B372" s="242"/>
      <c r="C372" s="243"/>
      <c r="D372" s="243"/>
      <c r="E372" s="243"/>
      <c r="F372" s="243"/>
      <c r="G372" s="243"/>
      <c r="H372" s="243"/>
      <c r="I372" s="242"/>
      <c r="J372" s="243"/>
      <c r="K372" s="243"/>
      <c r="L372" s="244"/>
      <c r="N372" s="241"/>
      <c r="O372" s="242"/>
      <c r="P372" s="243"/>
      <c r="Q372" s="243"/>
      <c r="R372" s="243"/>
      <c r="S372" s="243"/>
      <c r="T372" s="243"/>
      <c r="U372" s="243"/>
      <c r="V372" s="242"/>
      <c r="W372" s="243"/>
      <c r="X372" s="243"/>
      <c r="Y372" s="244"/>
    </row>
    <row r="373" spans="1:25" ht="13.5" customHeight="1" x14ac:dyDescent="0.2"/>
    <row r="374" spans="1:25" ht="14.25" customHeight="1" thickBot="1" x14ac:dyDescent="0.25">
      <c r="A374" s="241"/>
      <c r="G374" s="305"/>
      <c r="H374" s="305"/>
      <c r="I374" s="1069" t="s">
        <v>0</v>
      </c>
      <c r="J374" s="1069"/>
      <c r="K374" s="1069"/>
      <c r="L374" s="1069"/>
      <c r="M374" s="1069"/>
      <c r="N374" s="1069"/>
      <c r="O374" s="1069"/>
      <c r="P374" s="1069" t="s">
        <v>374</v>
      </c>
      <c r="Q374" s="1069"/>
      <c r="R374" s="1069"/>
      <c r="S374" s="1069"/>
      <c r="T374" s="1069"/>
      <c r="U374" s="1069" t="s">
        <v>571</v>
      </c>
      <c r="V374" s="1069"/>
      <c r="W374" s="1069"/>
      <c r="X374" s="305"/>
      <c r="Y374" s="305"/>
    </row>
    <row r="375" spans="1:25" ht="20.25" customHeight="1" x14ac:dyDescent="0.2">
      <c r="A375" s="241"/>
      <c r="F375" s="1074" t="s">
        <v>584</v>
      </c>
      <c r="G375" s="1074"/>
      <c r="H375" s="1074"/>
      <c r="I375" s="316"/>
      <c r="J375" s="306"/>
      <c r="K375" s="306"/>
      <c r="L375" s="306"/>
      <c r="M375" s="306"/>
      <c r="N375" s="306"/>
      <c r="O375" s="306"/>
      <c r="P375" s="312"/>
      <c r="Q375" s="306"/>
      <c r="R375" s="307"/>
      <c r="S375" s="304"/>
      <c r="T375" s="313"/>
      <c r="U375" s="310"/>
      <c r="V375" s="1084" t="s">
        <v>495</v>
      </c>
      <c r="W375" s="308"/>
    </row>
    <row r="376" spans="1:25" ht="13.5" thickBot="1" x14ac:dyDescent="0.25">
      <c r="F376" s="1074"/>
      <c r="G376" s="1074"/>
      <c r="H376" s="1074"/>
      <c r="I376" s="303"/>
      <c r="J376" s="235"/>
      <c r="K376" s="235"/>
      <c r="L376" s="235"/>
      <c r="M376" s="235"/>
      <c r="N376" s="235"/>
      <c r="O376" s="235"/>
      <c r="P376" s="314"/>
      <c r="Q376" s="235"/>
      <c r="R376" s="234"/>
      <c r="S376" s="234"/>
      <c r="T376" s="315"/>
      <c r="U376" s="311"/>
      <c r="V376" s="1085"/>
      <c r="W376" s="309"/>
    </row>
    <row r="378" spans="1:25" ht="6.75" customHeight="1" x14ac:dyDescent="0.2"/>
    <row r="379" spans="1:25" s="218" customFormat="1" ht="23.25" customHeight="1" x14ac:dyDescent="0.2">
      <c r="A379" s="1072" t="s">
        <v>546</v>
      </c>
      <c r="B379" s="1073"/>
      <c r="C379" s="402"/>
      <c r="D379" s="1098" t="s">
        <v>628</v>
      </c>
      <c r="E379" s="1072"/>
      <c r="F379" s="1072"/>
      <c r="G379" s="1103"/>
      <c r="H379" s="1104"/>
      <c r="K379" s="218" t="str">
        <f>RIGHT(CATEG_IMPORTEE, LEN(CATEG_IMPORTEE) - 2)</f>
        <v>llèges Mixtes Etablissement</v>
      </c>
      <c r="T379" s="397" t="s">
        <v>627</v>
      </c>
      <c r="U379" s="401">
        <v>14</v>
      </c>
      <c r="V379" s="396" t="s">
        <v>547</v>
      </c>
      <c r="W379" s="401"/>
      <c r="X379" s="395"/>
    </row>
    <row r="380" spans="1:25" ht="27" customHeight="1" thickBot="1" x14ac:dyDescent="0.25">
      <c r="B380" s="1069" t="s">
        <v>0</v>
      </c>
      <c r="C380" s="1069"/>
      <c r="D380" s="1069"/>
      <c r="E380" s="1069"/>
      <c r="F380" s="1069"/>
      <c r="G380" s="1069"/>
      <c r="H380" s="1069"/>
      <c r="I380" s="1069" t="s">
        <v>374</v>
      </c>
      <c r="J380" s="1069"/>
      <c r="K380" s="1069"/>
      <c r="L380" s="1069"/>
      <c r="O380" s="1069" t="s">
        <v>0</v>
      </c>
      <c r="P380" s="1069"/>
      <c r="Q380" s="1069"/>
      <c r="R380" s="1069"/>
      <c r="S380" s="1069"/>
      <c r="T380" s="1069"/>
      <c r="U380" s="1069"/>
      <c r="V380" s="1069" t="s">
        <v>374</v>
      </c>
      <c r="W380" s="1069"/>
      <c r="X380" s="1069"/>
      <c r="Y380" s="1069"/>
    </row>
    <row r="381" spans="1:25" ht="24" customHeight="1" thickBot="1" x14ac:dyDescent="0.25">
      <c r="A381" s="219"/>
      <c r="B381" s="398" t="str">
        <f>VLOOKUP(U379,TBL_equipe,2,FALSE)</f>
        <v/>
      </c>
      <c r="C381" s="399"/>
      <c r="D381" s="399"/>
      <c r="E381" s="399"/>
      <c r="F381" s="399"/>
      <c r="G381" s="399"/>
      <c r="H381" s="400"/>
      <c r="I381" s="257" t="str">
        <f>VLOOKUP(U379,TBL_equipe,4,FALSE)</f>
        <v/>
      </c>
      <c r="J381" s="220"/>
      <c r="K381" s="220"/>
      <c r="L381" s="221"/>
      <c r="M381" s="1070" t="s">
        <v>547</v>
      </c>
      <c r="N381" s="1071"/>
      <c r="O381" s="398" t="e">
        <f>VLOOKUP(W379,TBL_equipe,2,FALSE)</f>
        <v>#N/A</v>
      </c>
      <c r="P381" s="220"/>
      <c r="Q381" s="220"/>
      <c r="R381" s="220"/>
      <c r="S381" s="220"/>
      <c r="T381" s="220"/>
      <c r="U381" s="221"/>
      <c r="V381" s="257" t="e">
        <f>VLOOKUP(W379,TBL_equipe,4,FALSE)</f>
        <v>#N/A</v>
      </c>
      <c r="W381" s="220"/>
      <c r="X381" s="220"/>
      <c r="Y381" s="221"/>
    </row>
    <row r="382" spans="1:25" ht="15" customHeight="1" x14ac:dyDescent="0.2"/>
    <row r="383" spans="1:25" ht="20.100000000000001" customHeight="1" x14ac:dyDescent="0.2">
      <c r="A383" s="1074" t="s">
        <v>548</v>
      </c>
      <c r="B383" s="1074"/>
      <c r="C383" s="1074"/>
      <c r="D383" s="1074"/>
      <c r="E383" s="1074"/>
    </row>
    <row r="384" spans="1:25" ht="20.100000000000001" customHeight="1" x14ac:dyDescent="0.2">
      <c r="A384" s="1075" t="s">
        <v>549</v>
      </c>
      <c r="B384" s="1075"/>
      <c r="C384" s="1075"/>
      <c r="D384" s="1075"/>
      <c r="E384" s="1075"/>
      <c r="G384" s="1076" t="s">
        <v>480</v>
      </c>
      <c r="H384" s="1076"/>
      <c r="I384" s="1077" t="s">
        <v>550</v>
      </c>
      <c r="J384" s="1077"/>
      <c r="K384" s="1077"/>
      <c r="L384" s="252" t="s">
        <v>551</v>
      </c>
      <c r="M384" s="1078" t="s">
        <v>552</v>
      </c>
      <c r="N384" s="1078"/>
      <c r="O384" s="251"/>
    </row>
    <row r="385" spans="1:25" ht="24" customHeight="1" x14ac:dyDescent="0.2">
      <c r="A385" s="258" t="str">
        <f>VLOOKUP(U379,TBL_equipe,5,FALSE)</f>
        <v/>
      </c>
      <c r="B385" s="223"/>
      <c r="C385" s="259" t="str">
        <f>VLOOKUP(U379,TBL_equipe,6,FALSE)</f>
        <v/>
      </c>
      <c r="D385" s="223"/>
      <c r="E385" s="224"/>
      <c r="F385" s="219"/>
      <c r="G385" s="403" t="str">
        <f>VLOOKUP(U379,TBL_equipe,9,FALSE)</f>
        <v/>
      </c>
      <c r="H385" s="224"/>
      <c r="I385" s="222"/>
      <c r="J385" s="246" t="str">
        <f>VLOOKUP(U379,TBL_equipe,8,FALSE)</f>
        <v/>
      </c>
      <c r="K385" s="224"/>
      <c r="L385" s="260" t="str">
        <f>VLOOKUP(U379,TBL_equipe,10,FALSE)</f>
        <v/>
      </c>
      <c r="M385" s="287">
        <f>G379</f>
        <v>0</v>
      </c>
      <c r="N385" s="288"/>
      <c r="O385" s="249"/>
      <c r="R385" s="254"/>
      <c r="S385" s="254"/>
      <c r="T385" s="254" t="s">
        <v>629</v>
      </c>
      <c r="U385" s="254"/>
      <c r="V385" s="254"/>
      <c r="W385" s="254"/>
      <c r="X385" s="254"/>
      <c r="Y385" s="254"/>
    </row>
    <row r="386" spans="1:25" ht="24" customHeight="1" x14ac:dyDescent="0.2">
      <c r="A386" s="258" t="str">
        <f>VLOOKUP(U379,TBL_equipe,11,FALSE)</f>
        <v/>
      </c>
      <c r="B386" s="223"/>
      <c r="C386" s="259" t="str">
        <f>VLOOKUP(U379,TBL_equipe,12,FALSE)</f>
        <v/>
      </c>
      <c r="D386" s="223"/>
      <c r="E386" s="224"/>
      <c r="F386" s="219"/>
      <c r="G386" s="403" t="str">
        <f>VLOOKUP(U379,TBL_equipe,15,FALSE)</f>
        <v/>
      </c>
      <c r="H386" s="224"/>
      <c r="I386" s="222"/>
      <c r="J386" s="246" t="str">
        <f>VLOOKUP(U379,TBL_equipe,14,FALSE)</f>
        <v/>
      </c>
      <c r="K386" s="224"/>
      <c r="L386" s="260" t="str">
        <f>VLOOKUP(U379,TBL_equipe,16,FALSE)</f>
        <v/>
      </c>
      <c r="M386" s="287">
        <f>G379</f>
        <v>0</v>
      </c>
      <c r="N386" s="288"/>
      <c r="O386" s="249"/>
      <c r="Q386" s="254"/>
      <c r="R386" s="254"/>
      <c r="S386" s="254"/>
      <c r="T386" s="254"/>
      <c r="U386" s="254"/>
      <c r="V386" s="254"/>
      <c r="W386" s="254"/>
      <c r="X386" s="254"/>
      <c r="Y386" s="254"/>
    </row>
    <row r="387" spans="1:25" ht="24" customHeight="1" x14ac:dyDescent="0.2">
      <c r="A387" s="258" t="str">
        <f>VLOOKUP(U379,TBL_equipe,17,FALSE)</f>
        <v/>
      </c>
      <c r="B387" s="223"/>
      <c r="C387" s="259" t="str">
        <f>VLOOKUP(U379,TBL_equipe,18,FALSE)</f>
        <v/>
      </c>
      <c r="D387" s="223"/>
      <c r="E387" s="224"/>
      <c r="F387" s="219"/>
      <c r="G387" s="403" t="str">
        <f>VLOOKUP(U379,TBL_equipe,21,FALSE)</f>
        <v/>
      </c>
      <c r="H387" s="224"/>
      <c r="I387" s="222"/>
      <c r="J387" s="246" t="str">
        <f>VLOOKUP(U379,TBL_equipe,20,FALSE)</f>
        <v/>
      </c>
      <c r="K387" s="224"/>
      <c r="L387" s="260" t="str">
        <f>VLOOKUP(U379,TBL_equipe,22,FALSE)</f>
        <v/>
      </c>
      <c r="M387" s="287">
        <f>G379</f>
        <v>0</v>
      </c>
      <c r="N387" s="288"/>
      <c r="O387" s="249"/>
      <c r="Q387" s="254"/>
      <c r="R387" s="254"/>
      <c r="S387" s="254"/>
      <c r="T387" s="254"/>
      <c r="U387" s="254"/>
      <c r="V387" s="254"/>
      <c r="W387" s="254"/>
      <c r="X387" s="254"/>
      <c r="Y387" s="254"/>
    </row>
    <row r="388" spans="1:25" ht="24" customHeight="1" x14ac:dyDescent="0.2">
      <c r="A388" s="258" t="str">
        <f>VLOOKUP(U379,TBL_equipe,23,FALSE)</f>
        <v/>
      </c>
      <c r="B388" s="223"/>
      <c r="C388" s="259" t="str">
        <f>VLOOKUP(U379,TBL_equipe,24,FALSE)</f>
        <v/>
      </c>
      <c r="D388" s="223"/>
      <c r="E388" s="224"/>
      <c r="F388" s="219"/>
      <c r="G388" s="403" t="str">
        <f>VLOOKUP(U379,TBL_equipe,27,FALSE)</f>
        <v/>
      </c>
      <c r="H388" s="224"/>
      <c r="I388" s="222"/>
      <c r="J388" s="246" t="str">
        <f>VLOOKUP(U379,TBL_equipe,26,FALSE)</f>
        <v/>
      </c>
      <c r="K388" s="224"/>
      <c r="L388" s="260" t="str">
        <f>VLOOKUP(U379,TBL_equipe,28,FALSE)</f>
        <v/>
      </c>
      <c r="M388" s="289">
        <f>G379</f>
        <v>0</v>
      </c>
      <c r="N388" s="290"/>
      <c r="O388" s="249"/>
    </row>
    <row r="389" spans="1:25" ht="15" customHeight="1" thickBot="1" x14ac:dyDescent="0.25"/>
    <row r="390" spans="1:25" ht="20.100000000000001" customHeight="1" x14ac:dyDescent="0.2">
      <c r="F390" s="1081" t="s">
        <v>555</v>
      </c>
      <c r="G390" s="1082"/>
      <c r="H390" s="1082"/>
      <c r="I390" s="1082"/>
      <c r="J390" s="1083"/>
      <c r="K390" s="1081" t="s">
        <v>556</v>
      </c>
      <c r="L390" s="1082"/>
      <c r="M390" s="1082"/>
      <c r="N390" s="1082"/>
      <c r="O390" s="1083"/>
      <c r="P390" s="1081" t="s">
        <v>557</v>
      </c>
      <c r="Q390" s="1082"/>
      <c r="R390" s="1082"/>
      <c r="S390" s="1082"/>
      <c r="T390" s="1083"/>
      <c r="U390" s="1081" t="s">
        <v>558</v>
      </c>
      <c r="V390" s="1082"/>
      <c r="W390" s="1082"/>
      <c r="X390" s="1082"/>
      <c r="Y390" s="1083"/>
    </row>
    <row r="391" spans="1:25" ht="20.100000000000001" customHeight="1" x14ac:dyDescent="0.2">
      <c r="A391" s="1075" t="s">
        <v>559</v>
      </c>
      <c r="B391" s="1075"/>
      <c r="C391" s="1075"/>
      <c r="D391" s="1075"/>
      <c r="E391" s="1089"/>
      <c r="F391" s="1090" t="s">
        <v>560</v>
      </c>
      <c r="G391" s="1075"/>
      <c r="H391" s="1075"/>
      <c r="J391" s="225" t="s">
        <v>7</v>
      </c>
      <c r="K391" s="1090" t="s">
        <v>560</v>
      </c>
      <c r="L391" s="1075"/>
      <c r="M391" s="1075"/>
      <c r="O391" s="225" t="s">
        <v>7</v>
      </c>
      <c r="P391" s="1090" t="s">
        <v>560</v>
      </c>
      <c r="Q391" s="1075"/>
      <c r="R391" s="1075"/>
      <c r="T391" s="225" t="s">
        <v>7</v>
      </c>
      <c r="U391" s="1090" t="s">
        <v>560</v>
      </c>
      <c r="V391" s="1075"/>
      <c r="W391" s="1075"/>
      <c r="Y391" s="225" t="s">
        <v>7</v>
      </c>
    </row>
    <row r="392" spans="1:25" ht="24" customHeight="1" x14ac:dyDescent="0.2">
      <c r="A392" s="261" t="str">
        <f>A385</f>
        <v/>
      </c>
      <c r="B392" s="227"/>
      <c r="C392" s="262" t="str">
        <f>C385</f>
        <v/>
      </c>
      <c r="D392" s="227"/>
      <c r="E392" s="227"/>
      <c r="F392" s="228"/>
      <c r="G392" s="229"/>
      <c r="H392" s="229"/>
      <c r="I392" s="230" t="s">
        <v>561</v>
      </c>
      <c r="J392" s="231"/>
      <c r="K392" s="228"/>
      <c r="L392" s="229"/>
      <c r="M392" s="229"/>
      <c r="N392" s="230" t="s">
        <v>561</v>
      </c>
      <c r="O392" s="231"/>
      <c r="P392" s="228"/>
      <c r="Q392" s="229"/>
      <c r="R392" s="229"/>
      <c r="S392" s="230" t="s">
        <v>561</v>
      </c>
      <c r="T392" s="231"/>
      <c r="U392" s="228"/>
      <c r="V392" s="229"/>
      <c r="W392" s="229"/>
      <c r="X392" s="230" t="s">
        <v>561</v>
      </c>
      <c r="Y392" s="231"/>
    </row>
    <row r="393" spans="1:25" ht="24" customHeight="1" x14ac:dyDescent="0.2">
      <c r="A393" s="261" t="str">
        <f>A386</f>
        <v/>
      </c>
      <c r="B393" s="227"/>
      <c r="C393" s="262" t="str">
        <f>C386</f>
        <v/>
      </c>
      <c r="D393" s="227"/>
      <c r="E393" s="227"/>
      <c r="F393" s="228"/>
      <c r="G393" s="229"/>
      <c r="H393" s="229"/>
      <c r="I393" s="230" t="s">
        <v>561</v>
      </c>
      <c r="J393" s="231"/>
      <c r="K393" s="228"/>
      <c r="L393" s="229"/>
      <c r="M393" s="229"/>
      <c r="N393" s="230" t="s">
        <v>561</v>
      </c>
      <c r="O393" s="231"/>
      <c r="P393" s="228"/>
      <c r="Q393" s="229"/>
      <c r="R393" s="229"/>
      <c r="S393" s="230" t="s">
        <v>561</v>
      </c>
      <c r="T393" s="231"/>
      <c r="U393" s="228"/>
      <c r="V393" s="229"/>
      <c r="W393" s="229"/>
      <c r="X393" s="230" t="s">
        <v>561</v>
      </c>
      <c r="Y393" s="231"/>
    </row>
    <row r="394" spans="1:25" ht="24" customHeight="1" x14ac:dyDescent="0.2">
      <c r="A394" s="261" t="str">
        <f>A387</f>
        <v/>
      </c>
      <c r="B394" s="227"/>
      <c r="C394" s="262" t="str">
        <f>C387</f>
        <v/>
      </c>
      <c r="D394" s="227"/>
      <c r="E394" s="227"/>
      <c r="F394" s="228"/>
      <c r="G394" s="229"/>
      <c r="H394" s="229"/>
      <c r="I394" s="230" t="s">
        <v>561</v>
      </c>
      <c r="J394" s="231"/>
      <c r="K394" s="228"/>
      <c r="L394" s="229"/>
      <c r="M394" s="229"/>
      <c r="N394" s="230" t="s">
        <v>561</v>
      </c>
      <c r="O394" s="231"/>
      <c r="P394" s="228"/>
      <c r="Q394" s="229"/>
      <c r="R394" s="229"/>
      <c r="S394" s="230" t="s">
        <v>561</v>
      </c>
      <c r="T394" s="231"/>
      <c r="U394" s="228"/>
      <c r="V394" s="229"/>
      <c r="W394" s="229"/>
      <c r="X394" s="230" t="s">
        <v>561</v>
      </c>
      <c r="Y394" s="231"/>
    </row>
    <row r="395" spans="1:25" ht="24" customHeight="1" x14ac:dyDescent="0.2">
      <c r="A395" s="261" t="str">
        <f>A388</f>
        <v/>
      </c>
      <c r="B395" s="227"/>
      <c r="C395" s="262" t="str">
        <f>C388</f>
        <v/>
      </c>
      <c r="D395" s="227"/>
      <c r="E395" s="227"/>
      <c r="F395" s="228"/>
      <c r="G395" s="229"/>
      <c r="H395" s="229"/>
      <c r="I395" s="230" t="s">
        <v>561</v>
      </c>
      <c r="J395" s="232"/>
      <c r="K395" s="228"/>
      <c r="L395" s="229"/>
      <c r="M395" s="229"/>
      <c r="N395" s="230" t="s">
        <v>561</v>
      </c>
      <c r="O395" s="232"/>
      <c r="P395" s="228"/>
      <c r="Q395" s="229"/>
      <c r="R395" s="229"/>
      <c r="S395" s="230" t="s">
        <v>561</v>
      </c>
      <c r="T395" s="232"/>
      <c r="U395" s="228"/>
      <c r="V395" s="229"/>
      <c r="W395" s="229"/>
      <c r="X395" s="230" t="s">
        <v>561</v>
      </c>
      <c r="Y395" s="232"/>
    </row>
    <row r="396" spans="1:25" ht="24" customHeight="1" thickBot="1" x14ac:dyDescent="0.25">
      <c r="F396" s="1079" t="s">
        <v>562</v>
      </c>
      <c r="G396" s="1080"/>
      <c r="H396" s="1080"/>
      <c r="I396" s="230" t="s">
        <v>561</v>
      </c>
      <c r="J396" s="231"/>
      <c r="K396" s="1079" t="s">
        <v>563</v>
      </c>
      <c r="L396" s="1080"/>
      <c r="M396" s="1080"/>
      <c r="N396" s="230" t="s">
        <v>561</v>
      </c>
      <c r="O396" s="232"/>
      <c r="P396" s="1079" t="s">
        <v>564</v>
      </c>
      <c r="Q396" s="1080"/>
      <c r="R396" s="1080"/>
      <c r="S396" s="230" t="s">
        <v>561</v>
      </c>
      <c r="T396" s="232"/>
      <c r="U396" s="1079" t="s">
        <v>565</v>
      </c>
      <c r="V396" s="1080"/>
      <c r="W396" s="1080"/>
      <c r="X396" s="230" t="s">
        <v>561</v>
      </c>
      <c r="Y396" s="232"/>
    </row>
    <row r="397" spans="1:25" ht="24" customHeight="1" thickBot="1" x14ac:dyDescent="0.25">
      <c r="F397" s="233"/>
      <c r="G397" s="234"/>
      <c r="H397" s="235" t="s">
        <v>566</v>
      </c>
      <c r="I397" s="235"/>
      <c r="J397" s="236"/>
      <c r="K397" s="1092" t="s">
        <v>567</v>
      </c>
      <c r="L397" s="1085"/>
      <c r="M397" s="1085"/>
      <c r="N397" s="237" t="s">
        <v>561</v>
      </c>
      <c r="O397" s="238"/>
      <c r="P397" s="1092" t="s">
        <v>568</v>
      </c>
      <c r="Q397" s="1085"/>
      <c r="R397" s="1085"/>
      <c r="S397" s="237" t="s">
        <v>561</v>
      </c>
      <c r="T397" s="238"/>
      <c r="U397" s="1092" t="s">
        <v>569</v>
      </c>
      <c r="V397" s="1085"/>
      <c r="W397" s="1085"/>
      <c r="X397" s="237" t="s">
        <v>561</v>
      </c>
      <c r="Y397" s="239"/>
    </row>
    <row r="398" spans="1:25" ht="12.75" customHeight="1" x14ac:dyDescent="0.2">
      <c r="Y398" s="240" t="s">
        <v>570</v>
      </c>
    </row>
    <row r="399" spans="1:25" ht="15.75" customHeight="1" x14ac:dyDescent="0.2">
      <c r="B399" s="1091" t="s">
        <v>521</v>
      </c>
      <c r="C399" s="1091"/>
      <c r="D399" s="1091"/>
      <c r="E399" s="1091"/>
      <c r="F399" s="1091"/>
      <c r="G399" s="1091"/>
      <c r="H399" s="1091"/>
      <c r="I399" s="1091"/>
      <c r="J399" s="1091"/>
      <c r="K399" s="1091"/>
      <c r="L399" s="1091"/>
      <c r="O399" s="1091" t="s">
        <v>522</v>
      </c>
      <c r="P399" s="1091"/>
      <c r="Q399" s="1091"/>
      <c r="R399" s="1091"/>
      <c r="S399" s="1091"/>
      <c r="T399" s="1091"/>
      <c r="U399" s="1091"/>
      <c r="V399" s="1091"/>
      <c r="W399" s="1091"/>
      <c r="X399" s="1091"/>
      <c r="Y399" s="1091"/>
    </row>
    <row r="400" spans="1:25" ht="13.5" customHeight="1" x14ac:dyDescent="0.2">
      <c r="B400" s="1086" t="s">
        <v>1</v>
      </c>
      <c r="C400" s="1087"/>
      <c r="D400" s="1087"/>
      <c r="E400" s="1087"/>
      <c r="F400" s="1087"/>
      <c r="G400" s="1087"/>
      <c r="H400" s="1088"/>
      <c r="I400" s="1086" t="s">
        <v>520</v>
      </c>
      <c r="J400" s="1087"/>
      <c r="K400" s="1087"/>
      <c r="L400" s="1088"/>
      <c r="N400" s="241"/>
      <c r="O400" s="1086" t="s">
        <v>1</v>
      </c>
      <c r="P400" s="1087"/>
      <c r="Q400" s="1087"/>
      <c r="R400" s="1087"/>
      <c r="S400" s="1087"/>
      <c r="T400" s="1087"/>
      <c r="U400" s="1088"/>
      <c r="V400" s="1086" t="s">
        <v>520</v>
      </c>
      <c r="W400" s="1087"/>
      <c r="X400" s="1087"/>
      <c r="Y400" s="1088"/>
    </row>
    <row r="401" spans="1:25" ht="21.75" customHeight="1" x14ac:dyDescent="0.2">
      <c r="B401" s="242"/>
      <c r="C401" s="243"/>
      <c r="D401" s="243"/>
      <c r="E401" s="243"/>
      <c r="F401" s="243"/>
      <c r="G401" s="243"/>
      <c r="H401" s="243"/>
      <c r="I401" s="242"/>
      <c r="J401" s="243"/>
      <c r="K401" s="243"/>
      <c r="L401" s="244"/>
      <c r="N401" s="241"/>
      <c r="O401" s="242"/>
      <c r="P401" s="243"/>
      <c r="Q401" s="243"/>
      <c r="R401" s="243"/>
      <c r="S401" s="243"/>
      <c r="T401" s="243"/>
      <c r="U401" s="243"/>
      <c r="V401" s="242"/>
      <c r="W401" s="243"/>
      <c r="X401" s="243"/>
      <c r="Y401" s="244"/>
    </row>
    <row r="402" spans="1:25" ht="13.5" customHeight="1" x14ac:dyDescent="0.2"/>
    <row r="403" spans="1:25" ht="14.25" customHeight="1" thickBot="1" x14ac:dyDescent="0.25">
      <c r="A403" s="241"/>
      <c r="G403" s="305"/>
      <c r="H403" s="305"/>
      <c r="I403" s="1069" t="s">
        <v>0</v>
      </c>
      <c r="J403" s="1069"/>
      <c r="K403" s="1069"/>
      <c r="L403" s="1069"/>
      <c r="M403" s="1069"/>
      <c r="N403" s="1069"/>
      <c r="O403" s="1069"/>
      <c r="P403" s="1069" t="s">
        <v>374</v>
      </c>
      <c r="Q403" s="1069"/>
      <c r="R403" s="1069"/>
      <c r="S403" s="1069"/>
      <c r="T403" s="1069"/>
      <c r="U403" s="1069" t="s">
        <v>571</v>
      </c>
      <c r="V403" s="1069"/>
      <c r="W403" s="1069"/>
      <c r="X403" s="305"/>
      <c r="Y403" s="305"/>
    </row>
    <row r="404" spans="1:25" ht="20.25" customHeight="1" x14ac:dyDescent="0.2">
      <c r="A404" s="241"/>
      <c r="F404" s="1074" t="s">
        <v>584</v>
      </c>
      <c r="G404" s="1074"/>
      <c r="H404" s="1074"/>
      <c r="I404" s="316"/>
      <c r="J404" s="306"/>
      <c r="K404" s="306"/>
      <c r="L404" s="306"/>
      <c r="M404" s="306"/>
      <c r="N404" s="306"/>
      <c r="O404" s="306"/>
      <c r="P404" s="312"/>
      <c r="Q404" s="306"/>
      <c r="R404" s="307"/>
      <c r="S404" s="304"/>
      <c r="T404" s="313"/>
      <c r="U404" s="310"/>
      <c r="V404" s="1084" t="s">
        <v>495</v>
      </c>
      <c r="W404" s="308"/>
    </row>
    <row r="405" spans="1:25" ht="13.5" thickBot="1" x14ac:dyDescent="0.25">
      <c r="F405" s="1074"/>
      <c r="G405" s="1074"/>
      <c r="H405" s="1074"/>
      <c r="I405" s="303"/>
      <c r="J405" s="235"/>
      <c r="K405" s="235"/>
      <c r="L405" s="235"/>
      <c r="M405" s="235"/>
      <c r="N405" s="235"/>
      <c r="O405" s="235"/>
      <c r="P405" s="314"/>
      <c r="Q405" s="235"/>
      <c r="R405" s="234"/>
      <c r="S405" s="234"/>
      <c r="T405" s="315"/>
      <c r="U405" s="311"/>
      <c r="V405" s="1085"/>
      <c r="W405" s="309"/>
    </row>
    <row r="407" spans="1:25" ht="6.75" customHeight="1" x14ac:dyDescent="0.2"/>
    <row r="408" spans="1:25" s="218" customFormat="1" ht="23.25" customHeight="1" x14ac:dyDescent="0.2">
      <c r="A408" s="1072" t="s">
        <v>546</v>
      </c>
      <c r="B408" s="1073"/>
      <c r="C408" s="402"/>
      <c r="D408" s="1098" t="s">
        <v>628</v>
      </c>
      <c r="E408" s="1072"/>
      <c r="F408" s="1072"/>
      <c r="G408" s="1103"/>
      <c r="H408" s="1104"/>
      <c r="K408" s="218" t="str">
        <f>RIGHT(CATEG_IMPORTEE, LEN(CATEG_IMPORTEE) - 2)</f>
        <v>llèges Mixtes Etablissement</v>
      </c>
      <c r="T408" s="397" t="s">
        <v>627</v>
      </c>
      <c r="U408" s="401">
        <v>15</v>
      </c>
      <c r="V408" s="396" t="s">
        <v>547</v>
      </c>
      <c r="W408" s="401"/>
      <c r="X408" s="395"/>
    </row>
    <row r="409" spans="1:25" ht="27" customHeight="1" thickBot="1" x14ac:dyDescent="0.25">
      <c r="B409" s="1069" t="s">
        <v>0</v>
      </c>
      <c r="C409" s="1069"/>
      <c r="D409" s="1069"/>
      <c r="E409" s="1069"/>
      <c r="F409" s="1069"/>
      <c r="G409" s="1069"/>
      <c r="H409" s="1069"/>
      <c r="I409" s="1069" t="s">
        <v>374</v>
      </c>
      <c r="J409" s="1069"/>
      <c r="K409" s="1069"/>
      <c r="L409" s="1069"/>
      <c r="O409" s="1069" t="s">
        <v>0</v>
      </c>
      <c r="P409" s="1069"/>
      <c r="Q409" s="1069"/>
      <c r="R409" s="1069"/>
      <c r="S409" s="1069"/>
      <c r="T409" s="1069"/>
      <c r="U409" s="1069"/>
      <c r="V409" s="1069" t="s">
        <v>374</v>
      </c>
      <c r="W409" s="1069"/>
      <c r="X409" s="1069"/>
      <c r="Y409" s="1069"/>
    </row>
    <row r="410" spans="1:25" ht="24" customHeight="1" thickBot="1" x14ac:dyDescent="0.25">
      <c r="A410" s="219"/>
      <c r="B410" s="398" t="str">
        <f>VLOOKUP(U408,TBL_equipe,2,FALSE)</f>
        <v/>
      </c>
      <c r="C410" s="399"/>
      <c r="D410" s="399"/>
      <c r="E410" s="399"/>
      <c r="F410" s="399"/>
      <c r="G410" s="399"/>
      <c r="H410" s="400"/>
      <c r="I410" s="257" t="str">
        <f>VLOOKUP(U408,TBL_equipe,4,FALSE)</f>
        <v/>
      </c>
      <c r="J410" s="220"/>
      <c r="K410" s="220"/>
      <c r="L410" s="221"/>
      <c r="M410" s="1070" t="s">
        <v>547</v>
      </c>
      <c r="N410" s="1071"/>
      <c r="O410" s="398" t="e">
        <f>VLOOKUP(W408,TBL_equipe,2,FALSE)</f>
        <v>#N/A</v>
      </c>
      <c r="P410" s="220"/>
      <c r="Q410" s="220"/>
      <c r="R410" s="220"/>
      <c r="S410" s="220"/>
      <c r="T410" s="220"/>
      <c r="U410" s="221"/>
      <c r="V410" s="257" t="e">
        <f>VLOOKUP(W408,TBL_equipe,4,FALSE)</f>
        <v>#N/A</v>
      </c>
      <c r="W410" s="220"/>
      <c r="X410" s="220"/>
      <c r="Y410" s="221"/>
    </row>
    <row r="411" spans="1:25" ht="15" customHeight="1" x14ac:dyDescent="0.2"/>
    <row r="412" spans="1:25" ht="20.100000000000001" customHeight="1" x14ac:dyDescent="0.2">
      <c r="A412" s="1074" t="s">
        <v>548</v>
      </c>
      <c r="B412" s="1074"/>
      <c r="C412" s="1074"/>
      <c r="D412" s="1074"/>
      <c r="E412" s="1074"/>
    </row>
    <row r="413" spans="1:25" ht="20.100000000000001" customHeight="1" x14ac:dyDescent="0.2">
      <c r="A413" s="1075" t="s">
        <v>549</v>
      </c>
      <c r="B413" s="1075"/>
      <c r="C413" s="1075"/>
      <c r="D413" s="1075"/>
      <c r="E413" s="1075"/>
      <c r="G413" s="1076" t="s">
        <v>480</v>
      </c>
      <c r="H413" s="1076"/>
      <c r="I413" s="1077" t="s">
        <v>550</v>
      </c>
      <c r="J413" s="1077"/>
      <c r="K413" s="1077"/>
      <c r="L413" s="252" t="s">
        <v>551</v>
      </c>
      <c r="M413" s="1078" t="s">
        <v>552</v>
      </c>
      <c r="N413" s="1078"/>
      <c r="O413" s="251"/>
    </row>
    <row r="414" spans="1:25" ht="24" customHeight="1" x14ac:dyDescent="0.2">
      <c r="A414" s="258" t="str">
        <f>VLOOKUP(U408,TBL_equipe,5,FALSE)</f>
        <v/>
      </c>
      <c r="B414" s="223"/>
      <c r="C414" s="259" t="str">
        <f>VLOOKUP(U408,TBL_equipe,6,FALSE)</f>
        <v/>
      </c>
      <c r="D414" s="223"/>
      <c r="E414" s="224"/>
      <c r="F414" s="219"/>
      <c r="G414" s="403" t="str">
        <f>VLOOKUP(U408,TBL_equipe,9,FALSE)</f>
        <v/>
      </c>
      <c r="H414" s="224"/>
      <c r="I414" s="222"/>
      <c r="J414" s="246" t="str">
        <f>VLOOKUP(U408,TBL_equipe,8,FALSE)</f>
        <v/>
      </c>
      <c r="K414" s="224"/>
      <c r="L414" s="260" t="str">
        <f>VLOOKUP(U408,TBL_equipe,10,FALSE)</f>
        <v/>
      </c>
      <c r="M414" s="287">
        <f>G408</f>
        <v>0</v>
      </c>
      <c r="N414" s="288"/>
      <c r="O414" s="249"/>
      <c r="R414" s="254"/>
      <c r="S414" s="254"/>
      <c r="T414" s="254" t="s">
        <v>629</v>
      </c>
      <c r="U414" s="254"/>
      <c r="V414" s="254"/>
      <c r="W414" s="254"/>
      <c r="X414" s="254"/>
      <c r="Y414" s="254"/>
    </row>
    <row r="415" spans="1:25" ht="24" customHeight="1" x14ac:dyDescent="0.2">
      <c r="A415" s="258" t="str">
        <f>VLOOKUP(U408,TBL_equipe,11,FALSE)</f>
        <v/>
      </c>
      <c r="B415" s="223"/>
      <c r="C415" s="259" t="str">
        <f>VLOOKUP(U408,TBL_equipe,12,FALSE)</f>
        <v/>
      </c>
      <c r="D415" s="223"/>
      <c r="E415" s="224"/>
      <c r="F415" s="219"/>
      <c r="G415" s="403" t="str">
        <f>VLOOKUP(U408,TBL_equipe,15,FALSE)</f>
        <v/>
      </c>
      <c r="H415" s="224"/>
      <c r="I415" s="222"/>
      <c r="J415" s="246" t="str">
        <f>VLOOKUP(U408,TBL_equipe,14,FALSE)</f>
        <v/>
      </c>
      <c r="K415" s="224"/>
      <c r="L415" s="260" t="str">
        <f>VLOOKUP(U408,TBL_equipe,16,FALSE)</f>
        <v/>
      </c>
      <c r="M415" s="287">
        <f>G408</f>
        <v>0</v>
      </c>
      <c r="N415" s="288"/>
      <c r="O415" s="249"/>
      <c r="Q415" s="254"/>
      <c r="R415" s="254"/>
      <c r="S415" s="254"/>
      <c r="T415" s="254"/>
      <c r="U415" s="254"/>
      <c r="V415" s="254"/>
      <c r="W415" s="254"/>
      <c r="X415" s="254"/>
      <c r="Y415" s="254"/>
    </row>
    <row r="416" spans="1:25" ht="24" customHeight="1" x14ac:dyDescent="0.2">
      <c r="A416" s="258" t="str">
        <f>VLOOKUP(U408,TBL_equipe,17,FALSE)</f>
        <v/>
      </c>
      <c r="B416" s="223"/>
      <c r="C416" s="259" t="str">
        <f>VLOOKUP(U408,TBL_equipe,18,FALSE)</f>
        <v/>
      </c>
      <c r="D416" s="223"/>
      <c r="E416" s="224"/>
      <c r="F416" s="219"/>
      <c r="G416" s="403" t="str">
        <f>VLOOKUP(U408,TBL_equipe,21,FALSE)</f>
        <v/>
      </c>
      <c r="H416" s="224"/>
      <c r="I416" s="222"/>
      <c r="J416" s="246" t="str">
        <f>VLOOKUP(U408,TBL_equipe,20,FALSE)</f>
        <v/>
      </c>
      <c r="K416" s="224"/>
      <c r="L416" s="260" t="str">
        <f>VLOOKUP(U408,TBL_equipe,22,FALSE)</f>
        <v/>
      </c>
      <c r="M416" s="287">
        <f>G408</f>
        <v>0</v>
      </c>
      <c r="N416" s="288"/>
      <c r="O416" s="249"/>
      <c r="Q416" s="254"/>
      <c r="R416" s="254"/>
      <c r="S416" s="254"/>
      <c r="T416" s="254"/>
      <c r="U416" s="254"/>
      <c r="V416" s="254"/>
      <c r="W416" s="254"/>
      <c r="X416" s="254"/>
      <c r="Y416" s="254"/>
    </row>
    <row r="417" spans="1:25" ht="24" customHeight="1" x14ac:dyDescent="0.2">
      <c r="A417" s="258" t="str">
        <f>VLOOKUP(U408,TBL_equipe,23,FALSE)</f>
        <v/>
      </c>
      <c r="B417" s="223"/>
      <c r="C417" s="259" t="str">
        <f>VLOOKUP(U408,TBL_equipe,24,FALSE)</f>
        <v/>
      </c>
      <c r="D417" s="223"/>
      <c r="E417" s="224"/>
      <c r="F417" s="219"/>
      <c r="G417" s="403" t="str">
        <f>VLOOKUP(U408,TBL_equipe,27,FALSE)</f>
        <v/>
      </c>
      <c r="H417" s="224"/>
      <c r="I417" s="222"/>
      <c r="J417" s="246" t="str">
        <f>VLOOKUP(U408,TBL_equipe,26,FALSE)</f>
        <v/>
      </c>
      <c r="K417" s="224"/>
      <c r="L417" s="260" t="str">
        <f>VLOOKUP(U408,TBL_equipe,28,FALSE)</f>
        <v/>
      </c>
      <c r="M417" s="289">
        <f>G408</f>
        <v>0</v>
      </c>
      <c r="N417" s="290"/>
      <c r="O417" s="249"/>
    </row>
    <row r="418" spans="1:25" ht="15" customHeight="1" thickBot="1" x14ac:dyDescent="0.25"/>
    <row r="419" spans="1:25" ht="20.100000000000001" customHeight="1" x14ac:dyDescent="0.2">
      <c r="F419" s="1081" t="s">
        <v>555</v>
      </c>
      <c r="G419" s="1082"/>
      <c r="H419" s="1082"/>
      <c r="I419" s="1082"/>
      <c r="J419" s="1083"/>
      <c r="K419" s="1081" t="s">
        <v>556</v>
      </c>
      <c r="L419" s="1082"/>
      <c r="M419" s="1082"/>
      <c r="N419" s="1082"/>
      <c r="O419" s="1083"/>
      <c r="P419" s="1081" t="s">
        <v>557</v>
      </c>
      <c r="Q419" s="1082"/>
      <c r="R419" s="1082"/>
      <c r="S419" s="1082"/>
      <c r="T419" s="1083"/>
      <c r="U419" s="1081" t="s">
        <v>558</v>
      </c>
      <c r="V419" s="1082"/>
      <c r="W419" s="1082"/>
      <c r="X419" s="1082"/>
      <c r="Y419" s="1083"/>
    </row>
    <row r="420" spans="1:25" ht="20.100000000000001" customHeight="1" x14ac:dyDescent="0.2">
      <c r="A420" s="1075" t="s">
        <v>559</v>
      </c>
      <c r="B420" s="1075"/>
      <c r="C420" s="1075"/>
      <c r="D420" s="1075"/>
      <c r="E420" s="1089"/>
      <c r="F420" s="1090" t="s">
        <v>560</v>
      </c>
      <c r="G420" s="1075"/>
      <c r="H420" s="1075"/>
      <c r="J420" s="225" t="s">
        <v>7</v>
      </c>
      <c r="K420" s="1090" t="s">
        <v>560</v>
      </c>
      <c r="L420" s="1075"/>
      <c r="M420" s="1075"/>
      <c r="O420" s="225" t="s">
        <v>7</v>
      </c>
      <c r="P420" s="1090" t="s">
        <v>560</v>
      </c>
      <c r="Q420" s="1075"/>
      <c r="R420" s="1075"/>
      <c r="T420" s="225" t="s">
        <v>7</v>
      </c>
      <c r="U420" s="1090" t="s">
        <v>560</v>
      </c>
      <c r="V420" s="1075"/>
      <c r="W420" s="1075"/>
      <c r="Y420" s="225" t="s">
        <v>7</v>
      </c>
    </row>
    <row r="421" spans="1:25" ht="24" customHeight="1" x14ac:dyDescent="0.2">
      <c r="A421" s="261" t="str">
        <f>A414</f>
        <v/>
      </c>
      <c r="B421" s="227"/>
      <c r="C421" s="262" t="str">
        <f>C414</f>
        <v/>
      </c>
      <c r="D421" s="227"/>
      <c r="E421" s="227"/>
      <c r="F421" s="228"/>
      <c r="G421" s="229"/>
      <c r="H421" s="229"/>
      <c r="I421" s="230" t="s">
        <v>561</v>
      </c>
      <c r="J421" s="231"/>
      <c r="K421" s="228"/>
      <c r="L421" s="229"/>
      <c r="M421" s="229"/>
      <c r="N421" s="230" t="s">
        <v>561</v>
      </c>
      <c r="O421" s="231"/>
      <c r="P421" s="228"/>
      <c r="Q421" s="229"/>
      <c r="R421" s="229"/>
      <c r="S421" s="230" t="s">
        <v>561</v>
      </c>
      <c r="T421" s="231"/>
      <c r="U421" s="228"/>
      <c r="V421" s="229"/>
      <c r="W421" s="229"/>
      <c r="X421" s="230" t="s">
        <v>561</v>
      </c>
      <c r="Y421" s="231"/>
    </row>
    <row r="422" spans="1:25" ht="24" customHeight="1" x14ac:dyDescent="0.2">
      <c r="A422" s="261" t="str">
        <f>A415</f>
        <v/>
      </c>
      <c r="B422" s="227"/>
      <c r="C422" s="262" t="str">
        <f>C415</f>
        <v/>
      </c>
      <c r="D422" s="227"/>
      <c r="E422" s="227"/>
      <c r="F422" s="228"/>
      <c r="G422" s="229"/>
      <c r="H422" s="229"/>
      <c r="I422" s="230" t="s">
        <v>561</v>
      </c>
      <c r="J422" s="231"/>
      <c r="K422" s="228"/>
      <c r="L422" s="229"/>
      <c r="M422" s="229"/>
      <c r="N422" s="230" t="s">
        <v>561</v>
      </c>
      <c r="O422" s="231"/>
      <c r="P422" s="228"/>
      <c r="Q422" s="229"/>
      <c r="R422" s="229"/>
      <c r="S422" s="230" t="s">
        <v>561</v>
      </c>
      <c r="T422" s="231"/>
      <c r="U422" s="228"/>
      <c r="V422" s="229"/>
      <c r="W422" s="229"/>
      <c r="X422" s="230" t="s">
        <v>561</v>
      </c>
      <c r="Y422" s="231"/>
    </row>
    <row r="423" spans="1:25" ht="24" customHeight="1" x14ac:dyDescent="0.2">
      <c r="A423" s="261" t="str">
        <f>A416</f>
        <v/>
      </c>
      <c r="B423" s="227"/>
      <c r="C423" s="262" t="str">
        <f>C416</f>
        <v/>
      </c>
      <c r="D423" s="227"/>
      <c r="E423" s="227"/>
      <c r="F423" s="228"/>
      <c r="G423" s="229"/>
      <c r="H423" s="229"/>
      <c r="I423" s="230" t="s">
        <v>561</v>
      </c>
      <c r="J423" s="231"/>
      <c r="K423" s="228"/>
      <c r="L423" s="229"/>
      <c r="M423" s="229"/>
      <c r="N423" s="230" t="s">
        <v>561</v>
      </c>
      <c r="O423" s="231"/>
      <c r="P423" s="228"/>
      <c r="Q423" s="229"/>
      <c r="R423" s="229"/>
      <c r="S423" s="230" t="s">
        <v>561</v>
      </c>
      <c r="T423" s="231"/>
      <c r="U423" s="228"/>
      <c r="V423" s="229"/>
      <c r="W423" s="229"/>
      <c r="X423" s="230" t="s">
        <v>561</v>
      </c>
      <c r="Y423" s="231"/>
    </row>
    <row r="424" spans="1:25" ht="24" customHeight="1" x14ac:dyDescent="0.2">
      <c r="A424" s="261" t="str">
        <f>A417</f>
        <v/>
      </c>
      <c r="B424" s="227"/>
      <c r="C424" s="262" t="str">
        <f>C417</f>
        <v/>
      </c>
      <c r="D424" s="227"/>
      <c r="E424" s="227"/>
      <c r="F424" s="228"/>
      <c r="G424" s="229"/>
      <c r="H424" s="229"/>
      <c r="I424" s="230" t="s">
        <v>561</v>
      </c>
      <c r="J424" s="232"/>
      <c r="K424" s="228"/>
      <c r="L424" s="229"/>
      <c r="M424" s="229"/>
      <c r="N424" s="230" t="s">
        <v>561</v>
      </c>
      <c r="O424" s="232"/>
      <c r="P424" s="228"/>
      <c r="Q424" s="229"/>
      <c r="R424" s="229"/>
      <c r="S424" s="230" t="s">
        <v>561</v>
      </c>
      <c r="T424" s="232"/>
      <c r="U424" s="228"/>
      <c r="V424" s="229"/>
      <c r="W424" s="229"/>
      <c r="X424" s="230" t="s">
        <v>561</v>
      </c>
      <c r="Y424" s="232"/>
    </row>
    <row r="425" spans="1:25" ht="24" customHeight="1" thickBot="1" x14ac:dyDescent="0.25">
      <c r="F425" s="1079" t="s">
        <v>562</v>
      </c>
      <c r="G425" s="1080"/>
      <c r="H425" s="1080"/>
      <c r="I425" s="230" t="s">
        <v>561</v>
      </c>
      <c r="J425" s="231"/>
      <c r="K425" s="1079" t="s">
        <v>563</v>
      </c>
      <c r="L425" s="1080"/>
      <c r="M425" s="1080"/>
      <c r="N425" s="230" t="s">
        <v>561</v>
      </c>
      <c r="O425" s="232"/>
      <c r="P425" s="1079" t="s">
        <v>564</v>
      </c>
      <c r="Q425" s="1080"/>
      <c r="R425" s="1080"/>
      <c r="S425" s="230" t="s">
        <v>561</v>
      </c>
      <c r="T425" s="232"/>
      <c r="U425" s="1079" t="s">
        <v>565</v>
      </c>
      <c r="V425" s="1080"/>
      <c r="W425" s="1080"/>
      <c r="X425" s="230" t="s">
        <v>561</v>
      </c>
      <c r="Y425" s="232"/>
    </row>
    <row r="426" spans="1:25" ht="24" customHeight="1" thickBot="1" x14ac:dyDescent="0.25">
      <c r="F426" s="233"/>
      <c r="G426" s="234"/>
      <c r="H426" s="235" t="s">
        <v>566</v>
      </c>
      <c r="I426" s="235"/>
      <c r="J426" s="236"/>
      <c r="K426" s="1092" t="s">
        <v>567</v>
      </c>
      <c r="L426" s="1085"/>
      <c r="M426" s="1085"/>
      <c r="N426" s="237" t="s">
        <v>561</v>
      </c>
      <c r="O426" s="238"/>
      <c r="P426" s="1092" t="s">
        <v>568</v>
      </c>
      <c r="Q426" s="1085"/>
      <c r="R426" s="1085"/>
      <c r="S426" s="237" t="s">
        <v>561</v>
      </c>
      <c r="T426" s="238"/>
      <c r="U426" s="1092" t="s">
        <v>569</v>
      </c>
      <c r="V426" s="1085"/>
      <c r="W426" s="1085"/>
      <c r="X426" s="237" t="s">
        <v>561</v>
      </c>
      <c r="Y426" s="239"/>
    </row>
    <row r="427" spans="1:25" ht="12.75" customHeight="1" x14ac:dyDescent="0.2">
      <c r="Y427" s="240" t="s">
        <v>570</v>
      </c>
    </row>
    <row r="428" spans="1:25" ht="15.75" customHeight="1" x14ac:dyDescent="0.2">
      <c r="B428" s="1091" t="s">
        <v>521</v>
      </c>
      <c r="C428" s="1091"/>
      <c r="D428" s="1091"/>
      <c r="E428" s="1091"/>
      <c r="F428" s="1091"/>
      <c r="G428" s="1091"/>
      <c r="H428" s="1091"/>
      <c r="I428" s="1091"/>
      <c r="J428" s="1091"/>
      <c r="K428" s="1091"/>
      <c r="L428" s="1091"/>
      <c r="O428" s="1091" t="s">
        <v>522</v>
      </c>
      <c r="P428" s="1091"/>
      <c r="Q428" s="1091"/>
      <c r="R428" s="1091"/>
      <c r="S428" s="1091"/>
      <c r="T428" s="1091"/>
      <c r="U428" s="1091"/>
      <c r="V428" s="1091"/>
      <c r="W428" s="1091"/>
      <c r="X428" s="1091"/>
      <c r="Y428" s="1091"/>
    </row>
    <row r="429" spans="1:25" ht="13.5" customHeight="1" x14ac:dyDescent="0.2">
      <c r="B429" s="1086" t="s">
        <v>1</v>
      </c>
      <c r="C429" s="1087"/>
      <c r="D429" s="1087"/>
      <c r="E429" s="1087"/>
      <c r="F429" s="1087"/>
      <c r="G429" s="1087"/>
      <c r="H429" s="1088"/>
      <c r="I429" s="1086" t="s">
        <v>520</v>
      </c>
      <c r="J429" s="1087"/>
      <c r="K429" s="1087"/>
      <c r="L429" s="1088"/>
      <c r="N429" s="241"/>
      <c r="O429" s="1086" t="s">
        <v>1</v>
      </c>
      <c r="P429" s="1087"/>
      <c r="Q429" s="1087"/>
      <c r="R429" s="1087"/>
      <c r="S429" s="1087"/>
      <c r="T429" s="1087"/>
      <c r="U429" s="1088"/>
      <c r="V429" s="1086" t="s">
        <v>520</v>
      </c>
      <c r="W429" s="1087"/>
      <c r="X429" s="1087"/>
      <c r="Y429" s="1088"/>
    </row>
    <row r="430" spans="1:25" ht="21.75" customHeight="1" x14ac:dyDescent="0.2">
      <c r="B430" s="242"/>
      <c r="C430" s="243"/>
      <c r="D430" s="243"/>
      <c r="E430" s="243"/>
      <c r="F430" s="243"/>
      <c r="G430" s="243"/>
      <c r="H430" s="243"/>
      <c r="I430" s="242"/>
      <c r="J430" s="243"/>
      <c r="K430" s="243"/>
      <c r="L430" s="244"/>
      <c r="N430" s="241"/>
      <c r="O430" s="242"/>
      <c r="P430" s="243"/>
      <c r="Q430" s="243"/>
      <c r="R430" s="243"/>
      <c r="S430" s="243"/>
      <c r="T430" s="243"/>
      <c r="U430" s="243"/>
      <c r="V430" s="242"/>
      <c r="W430" s="243"/>
      <c r="X430" s="243"/>
      <c r="Y430" s="244"/>
    </row>
    <row r="431" spans="1:25" ht="13.5" customHeight="1" x14ac:dyDescent="0.2"/>
    <row r="432" spans="1:25" ht="14.25" customHeight="1" thickBot="1" x14ac:dyDescent="0.25">
      <c r="A432" s="241"/>
      <c r="G432" s="305"/>
      <c r="H432" s="305"/>
      <c r="I432" s="1069" t="s">
        <v>0</v>
      </c>
      <c r="J432" s="1069"/>
      <c r="K432" s="1069"/>
      <c r="L432" s="1069"/>
      <c r="M432" s="1069"/>
      <c r="N432" s="1069"/>
      <c r="O432" s="1069"/>
      <c r="P432" s="1069" t="s">
        <v>374</v>
      </c>
      <c r="Q432" s="1069"/>
      <c r="R432" s="1069"/>
      <c r="S432" s="1069"/>
      <c r="T432" s="1069"/>
      <c r="U432" s="1069" t="s">
        <v>571</v>
      </c>
      <c r="V432" s="1069"/>
      <c r="W432" s="1069"/>
      <c r="X432" s="305"/>
      <c r="Y432" s="305"/>
    </row>
    <row r="433" spans="1:25" ht="20.25" customHeight="1" x14ac:dyDescent="0.2">
      <c r="A433" s="241"/>
      <c r="F433" s="1074" t="s">
        <v>584</v>
      </c>
      <c r="G433" s="1074"/>
      <c r="H433" s="1074"/>
      <c r="I433" s="316"/>
      <c r="J433" s="306"/>
      <c r="K433" s="306"/>
      <c r="L433" s="306"/>
      <c r="M433" s="306"/>
      <c r="N433" s="306"/>
      <c r="O433" s="306"/>
      <c r="P433" s="312"/>
      <c r="Q433" s="306"/>
      <c r="R433" s="307"/>
      <c r="S433" s="304"/>
      <c r="T433" s="313"/>
      <c r="U433" s="310"/>
      <c r="V433" s="1084" t="s">
        <v>495</v>
      </c>
      <c r="W433" s="308"/>
    </row>
    <row r="434" spans="1:25" ht="13.5" thickBot="1" x14ac:dyDescent="0.25">
      <c r="F434" s="1074"/>
      <c r="G434" s="1074"/>
      <c r="H434" s="1074"/>
      <c r="I434" s="303"/>
      <c r="J434" s="235"/>
      <c r="K434" s="235"/>
      <c r="L434" s="235"/>
      <c r="M434" s="235"/>
      <c r="N434" s="235"/>
      <c r="O434" s="235"/>
      <c r="P434" s="314"/>
      <c r="Q434" s="235"/>
      <c r="R434" s="234"/>
      <c r="S434" s="234"/>
      <c r="T434" s="315"/>
      <c r="U434" s="311"/>
      <c r="V434" s="1085"/>
      <c r="W434" s="309"/>
    </row>
    <row r="436" spans="1:25" ht="6.75" customHeight="1" x14ac:dyDescent="0.2"/>
    <row r="437" spans="1:25" s="218" customFormat="1" ht="23.25" customHeight="1" x14ac:dyDescent="0.2">
      <c r="A437" s="1072" t="s">
        <v>546</v>
      </c>
      <c r="B437" s="1073"/>
      <c r="C437" s="402"/>
      <c r="D437" s="1098" t="s">
        <v>628</v>
      </c>
      <c r="E437" s="1072"/>
      <c r="F437" s="1072"/>
      <c r="G437" s="1103"/>
      <c r="H437" s="1104"/>
      <c r="K437" s="218" t="str">
        <f>RIGHT(CATEG_IMPORTEE, LEN(CATEG_IMPORTEE) - 2)</f>
        <v>llèges Mixtes Etablissement</v>
      </c>
      <c r="T437" s="397" t="s">
        <v>627</v>
      </c>
      <c r="U437" s="401">
        <v>16</v>
      </c>
      <c r="V437" s="396" t="s">
        <v>547</v>
      </c>
      <c r="W437" s="401"/>
      <c r="X437" s="395"/>
    </row>
    <row r="438" spans="1:25" ht="27" customHeight="1" thickBot="1" x14ac:dyDescent="0.25">
      <c r="B438" s="1069" t="s">
        <v>0</v>
      </c>
      <c r="C438" s="1069"/>
      <c r="D438" s="1069"/>
      <c r="E438" s="1069"/>
      <c r="F438" s="1069"/>
      <c r="G438" s="1069"/>
      <c r="H438" s="1069"/>
      <c r="I438" s="1069" t="s">
        <v>374</v>
      </c>
      <c r="J438" s="1069"/>
      <c r="K438" s="1069"/>
      <c r="L438" s="1069"/>
      <c r="O438" s="1069" t="s">
        <v>0</v>
      </c>
      <c r="P438" s="1069"/>
      <c r="Q438" s="1069"/>
      <c r="R438" s="1069"/>
      <c r="S438" s="1069"/>
      <c r="T438" s="1069"/>
      <c r="U438" s="1069"/>
      <c r="V438" s="1069" t="s">
        <v>374</v>
      </c>
      <c r="W438" s="1069"/>
      <c r="X438" s="1069"/>
      <c r="Y438" s="1069"/>
    </row>
    <row r="439" spans="1:25" ht="24" customHeight="1" thickBot="1" x14ac:dyDescent="0.25">
      <c r="A439" s="219"/>
      <c r="B439" s="398" t="str">
        <f>VLOOKUP(U437,TBL_equipe,2,FALSE)</f>
        <v/>
      </c>
      <c r="C439" s="399"/>
      <c r="D439" s="399"/>
      <c r="E439" s="399"/>
      <c r="F439" s="399"/>
      <c r="G439" s="399"/>
      <c r="H439" s="400"/>
      <c r="I439" s="257" t="str">
        <f>VLOOKUP(U437,TBL_equipe,4,FALSE)</f>
        <v/>
      </c>
      <c r="J439" s="220"/>
      <c r="K439" s="220"/>
      <c r="L439" s="221"/>
      <c r="M439" s="1070" t="s">
        <v>547</v>
      </c>
      <c r="N439" s="1071"/>
      <c r="O439" s="398" t="e">
        <f>VLOOKUP(W437,TBL_equipe,2,FALSE)</f>
        <v>#N/A</v>
      </c>
      <c r="P439" s="220"/>
      <c r="Q439" s="220"/>
      <c r="R439" s="220"/>
      <c r="S439" s="220"/>
      <c r="T439" s="220"/>
      <c r="U439" s="221"/>
      <c r="V439" s="257" t="e">
        <f>VLOOKUP(W437,TBL_equipe,4,FALSE)</f>
        <v>#N/A</v>
      </c>
      <c r="W439" s="220"/>
      <c r="X439" s="220"/>
      <c r="Y439" s="221"/>
    </row>
    <row r="440" spans="1:25" ht="15" customHeight="1" x14ac:dyDescent="0.2"/>
    <row r="441" spans="1:25" ht="20.100000000000001" customHeight="1" x14ac:dyDescent="0.2">
      <c r="A441" s="1074" t="s">
        <v>548</v>
      </c>
      <c r="B441" s="1074"/>
      <c r="C441" s="1074"/>
      <c r="D441" s="1074"/>
      <c r="E441" s="1074"/>
    </row>
    <row r="442" spans="1:25" ht="20.100000000000001" customHeight="1" x14ac:dyDescent="0.2">
      <c r="A442" s="1075" t="s">
        <v>549</v>
      </c>
      <c r="B442" s="1075"/>
      <c r="C442" s="1075"/>
      <c r="D442" s="1075"/>
      <c r="E442" s="1075"/>
      <c r="G442" s="1076" t="s">
        <v>480</v>
      </c>
      <c r="H442" s="1076"/>
      <c r="I442" s="1077" t="s">
        <v>550</v>
      </c>
      <c r="J442" s="1077"/>
      <c r="K442" s="1077"/>
      <c r="L442" s="252" t="s">
        <v>551</v>
      </c>
      <c r="M442" s="1078" t="s">
        <v>552</v>
      </c>
      <c r="N442" s="1078"/>
      <c r="O442" s="251"/>
    </row>
    <row r="443" spans="1:25" ht="24" customHeight="1" x14ac:dyDescent="0.2">
      <c r="A443" s="258" t="str">
        <f>VLOOKUP(U437,TBL_equipe,5,FALSE)</f>
        <v/>
      </c>
      <c r="B443" s="223"/>
      <c r="C443" s="259" t="str">
        <f>VLOOKUP(U437,TBL_equipe,6,FALSE)</f>
        <v/>
      </c>
      <c r="D443" s="223"/>
      <c r="E443" s="224"/>
      <c r="F443" s="219"/>
      <c r="G443" s="403" t="str">
        <f>VLOOKUP(U437,TBL_equipe,9,FALSE)</f>
        <v/>
      </c>
      <c r="H443" s="224"/>
      <c r="I443" s="222"/>
      <c r="J443" s="246" t="str">
        <f>VLOOKUP(U437,TBL_equipe,8,FALSE)</f>
        <v/>
      </c>
      <c r="K443" s="224"/>
      <c r="L443" s="260" t="str">
        <f>VLOOKUP(U437,TBL_equipe,10,FALSE)</f>
        <v/>
      </c>
      <c r="M443" s="287">
        <f>G437</f>
        <v>0</v>
      </c>
      <c r="N443" s="288"/>
      <c r="O443" s="249"/>
      <c r="R443" s="254"/>
      <c r="S443" s="254"/>
      <c r="T443" s="254" t="s">
        <v>629</v>
      </c>
      <c r="U443" s="254"/>
      <c r="V443" s="254"/>
      <c r="W443" s="254"/>
      <c r="X443" s="254"/>
      <c r="Y443" s="254"/>
    </row>
    <row r="444" spans="1:25" ht="24" customHeight="1" x14ac:dyDescent="0.2">
      <c r="A444" s="258" t="str">
        <f>VLOOKUP(U437,TBL_equipe,11,FALSE)</f>
        <v/>
      </c>
      <c r="B444" s="223"/>
      <c r="C444" s="259" t="str">
        <f>VLOOKUP(U437,TBL_equipe,12,FALSE)</f>
        <v/>
      </c>
      <c r="D444" s="223"/>
      <c r="E444" s="224"/>
      <c r="F444" s="219"/>
      <c r="G444" s="403" t="str">
        <f>VLOOKUP(U437,TBL_equipe,15,FALSE)</f>
        <v/>
      </c>
      <c r="H444" s="224"/>
      <c r="I444" s="222"/>
      <c r="J444" s="246" t="str">
        <f>VLOOKUP(U437,TBL_equipe,14,FALSE)</f>
        <v/>
      </c>
      <c r="K444" s="224"/>
      <c r="L444" s="260" t="str">
        <f>VLOOKUP(U437,TBL_equipe,16,FALSE)</f>
        <v/>
      </c>
      <c r="M444" s="287">
        <f>G437</f>
        <v>0</v>
      </c>
      <c r="N444" s="288"/>
      <c r="O444" s="249"/>
      <c r="Q444" s="254"/>
      <c r="R444" s="254"/>
      <c r="S444" s="254"/>
      <c r="T444" s="254"/>
      <c r="U444" s="254"/>
      <c r="V444" s="254"/>
      <c r="W444" s="254"/>
      <c r="X444" s="254"/>
      <c r="Y444" s="254"/>
    </row>
    <row r="445" spans="1:25" ht="24" customHeight="1" x14ac:dyDescent="0.2">
      <c r="A445" s="258" t="str">
        <f>VLOOKUP(U437,TBL_equipe,17,FALSE)</f>
        <v/>
      </c>
      <c r="B445" s="223"/>
      <c r="C445" s="259" t="str">
        <f>VLOOKUP(U437,TBL_equipe,18,FALSE)</f>
        <v/>
      </c>
      <c r="D445" s="223"/>
      <c r="E445" s="224"/>
      <c r="F445" s="219"/>
      <c r="G445" s="403" t="str">
        <f>VLOOKUP(U437,TBL_equipe,21,FALSE)</f>
        <v/>
      </c>
      <c r="H445" s="224"/>
      <c r="I445" s="222"/>
      <c r="J445" s="246" t="str">
        <f>VLOOKUP(U437,TBL_equipe,20,FALSE)</f>
        <v/>
      </c>
      <c r="K445" s="224"/>
      <c r="L445" s="260" t="str">
        <f>VLOOKUP(U437,TBL_equipe,22,FALSE)</f>
        <v/>
      </c>
      <c r="M445" s="287">
        <f>G437</f>
        <v>0</v>
      </c>
      <c r="N445" s="288"/>
      <c r="O445" s="249"/>
      <c r="Q445" s="254"/>
      <c r="R445" s="254"/>
      <c r="S445" s="254"/>
      <c r="T445" s="254"/>
      <c r="U445" s="254"/>
      <c r="V445" s="254"/>
      <c r="W445" s="254"/>
      <c r="X445" s="254"/>
      <c r="Y445" s="254"/>
    </row>
    <row r="446" spans="1:25" ht="24" customHeight="1" x14ac:dyDescent="0.2">
      <c r="A446" s="258" t="str">
        <f>VLOOKUP(U437,TBL_equipe,23,FALSE)</f>
        <v/>
      </c>
      <c r="B446" s="223"/>
      <c r="C446" s="259" t="str">
        <f>VLOOKUP(U437,TBL_equipe,24,FALSE)</f>
        <v/>
      </c>
      <c r="D446" s="223"/>
      <c r="E446" s="224"/>
      <c r="F446" s="219"/>
      <c r="G446" s="403" t="str">
        <f>VLOOKUP(U437,TBL_equipe,27,FALSE)</f>
        <v/>
      </c>
      <c r="H446" s="224"/>
      <c r="I446" s="222"/>
      <c r="J446" s="246" t="str">
        <f>VLOOKUP(U437,TBL_equipe,26,FALSE)</f>
        <v/>
      </c>
      <c r="K446" s="224"/>
      <c r="L446" s="260" t="str">
        <f>VLOOKUP(U437,TBL_equipe,28,FALSE)</f>
        <v/>
      </c>
      <c r="M446" s="289">
        <f>G437</f>
        <v>0</v>
      </c>
      <c r="N446" s="290"/>
      <c r="O446" s="249"/>
    </row>
    <row r="447" spans="1:25" ht="15" customHeight="1" thickBot="1" x14ac:dyDescent="0.25"/>
    <row r="448" spans="1:25" ht="20.100000000000001" customHeight="1" x14ac:dyDescent="0.2">
      <c r="F448" s="1081" t="s">
        <v>555</v>
      </c>
      <c r="G448" s="1082"/>
      <c r="H448" s="1082"/>
      <c r="I448" s="1082"/>
      <c r="J448" s="1083"/>
      <c r="K448" s="1081" t="s">
        <v>556</v>
      </c>
      <c r="L448" s="1082"/>
      <c r="M448" s="1082"/>
      <c r="N448" s="1082"/>
      <c r="O448" s="1083"/>
      <c r="P448" s="1081" t="s">
        <v>557</v>
      </c>
      <c r="Q448" s="1082"/>
      <c r="R448" s="1082"/>
      <c r="S448" s="1082"/>
      <c r="T448" s="1083"/>
      <c r="U448" s="1081" t="s">
        <v>558</v>
      </c>
      <c r="V448" s="1082"/>
      <c r="W448" s="1082"/>
      <c r="X448" s="1082"/>
      <c r="Y448" s="1083"/>
    </row>
    <row r="449" spans="1:25" ht="20.100000000000001" customHeight="1" x14ac:dyDescent="0.2">
      <c r="A449" s="1075" t="s">
        <v>559</v>
      </c>
      <c r="B449" s="1075"/>
      <c r="C449" s="1075"/>
      <c r="D449" s="1075"/>
      <c r="E449" s="1089"/>
      <c r="F449" s="1090" t="s">
        <v>560</v>
      </c>
      <c r="G449" s="1075"/>
      <c r="H449" s="1075"/>
      <c r="J449" s="225" t="s">
        <v>7</v>
      </c>
      <c r="K449" s="1090" t="s">
        <v>560</v>
      </c>
      <c r="L449" s="1075"/>
      <c r="M449" s="1075"/>
      <c r="O449" s="225" t="s">
        <v>7</v>
      </c>
      <c r="P449" s="1090" t="s">
        <v>560</v>
      </c>
      <c r="Q449" s="1075"/>
      <c r="R449" s="1075"/>
      <c r="T449" s="225" t="s">
        <v>7</v>
      </c>
      <c r="U449" s="1090" t="s">
        <v>560</v>
      </c>
      <c r="V449" s="1075"/>
      <c r="W449" s="1075"/>
      <c r="Y449" s="225" t="s">
        <v>7</v>
      </c>
    </row>
    <row r="450" spans="1:25" ht="24" customHeight="1" x14ac:dyDescent="0.2">
      <c r="A450" s="261" t="str">
        <f>A443</f>
        <v/>
      </c>
      <c r="B450" s="227"/>
      <c r="C450" s="262" t="str">
        <f>C443</f>
        <v/>
      </c>
      <c r="D450" s="227"/>
      <c r="E450" s="227"/>
      <c r="F450" s="228"/>
      <c r="G450" s="229"/>
      <c r="H450" s="229"/>
      <c r="I450" s="230" t="s">
        <v>561</v>
      </c>
      <c r="J450" s="231"/>
      <c r="K450" s="228"/>
      <c r="L450" s="229"/>
      <c r="M450" s="229"/>
      <c r="N450" s="230" t="s">
        <v>561</v>
      </c>
      <c r="O450" s="231"/>
      <c r="P450" s="228"/>
      <c r="Q450" s="229"/>
      <c r="R450" s="229"/>
      <c r="S450" s="230" t="s">
        <v>561</v>
      </c>
      <c r="T450" s="231"/>
      <c r="U450" s="228"/>
      <c r="V450" s="229"/>
      <c r="W450" s="229"/>
      <c r="X450" s="230" t="s">
        <v>561</v>
      </c>
      <c r="Y450" s="231"/>
    </row>
    <row r="451" spans="1:25" ht="24" customHeight="1" x14ac:dyDescent="0.2">
      <c r="A451" s="261" t="str">
        <f>A444</f>
        <v/>
      </c>
      <c r="B451" s="227"/>
      <c r="C451" s="262" t="str">
        <f>C444</f>
        <v/>
      </c>
      <c r="D451" s="227"/>
      <c r="E451" s="227"/>
      <c r="F451" s="228"/>
      <c r="G451" s="229"/>
      <c r="H451" s="229"/>
      <c r="I451" s="230" t="s">
        <v>561</v>
      </c>
      <c r="J451" s="231"/>
      <c r="K451" s="228"/>
      <c r="L451" s="229"/>
      <c r="M451" s="229"/>
      <c r="N451" s="230" t="s">
        <v>561</v>
      </c>
      <c r="O451" s="231"/>
      <c r="P451" s="228"/>
      <c r="Q451" s="229"/>
      <c r="R451" s="229"/>
      <c r="S451" s="230" t="s">
        <v>561</v>
      </c>
      <c r="T451" s="231"/>
      <c r="U451" s="228"/>
      <c r="V451" s="229"/>
      <c r="W451" s="229"/>
      <c r="X451" s="230" t="s">
        <v>561</v>
      </c>
      <c r="Y451" s="231"/>
    </row>
    <row r="452" spans="1:25" ht="24" customHeight="1" x14ac:dyDescent="0.2">
      <c r="A452" s="261" t="str">
        <f>A445</f>
        <v/>
      </c>
      <c r="B452" s="227"/>
      <c r="C452" s="262" t="str">
        <f>C445</f>
        <v/>
      </c>
      <c r="D452" s="227"/>
      <c r="E452" s="227"/>
      <c r="F452" s="228"/>
      <c r="G452" s="229"/>
      <c r="H452" s="229"/>
      <c r="I452" s="230" t="s">
        <v>561</v>
      </c>
      <c r="J452" s="231"/>
      <c r="K452" s="228"/>
      <c r="L452" s="229"/>
      <c r="M452" s="229"/>
      <c r="N452" s="230" t="s">
        <v>561</v>
      </c>
      <c r="O452" s="231"/>
      <c r="P452" s="228"/>
      <c r="Q452" s="229"/>
      <c r="R452" s="229"/>
      <c r="S452" s="230" t="s">
        <v>561</v>
      </c>
      <c r="T452" s="231"/>
      <c r="U452" s="228"/>
      <c r="V452" s="229"/>
      <c r="W452" s="229"/>
      <c r="X452" s="230" t="s">
        <v>561</v>
      </c>
      <c r="Y452" s="231"/>
    </row>
    <row r="453" spans="1:25" ht="24" customHeight="1" x14ac:dyDescent="0.2">
      <c r="A453" s="261" t="str">
        <f>A446</f>
        <v/>
      </c>
      <c r="B453" s="227"/>
      <c r="C453" s="262" t="str">
        <f>C446</f>
        <v/>
      </c>
      <c r="D453" s="227"/>
      <c r="E453" s="227"/>
      <c r="F453" s="228"/>
      <c r="G453" s="229"/>
      <c r="H453" s="229"/>
      <c r="I453" s="230" t="s">
        <v>561</v>
      </c>
      <c r="J453" s="232"/>
      <c r="K453" s="228"/>
      <c r="L453" s="229"/>
      <c r="M453" s="229"/>
      <c r="N453" s="230" t="s">
        <v>561</v>
      </c>
      <c r="O453" s="232"/>
      <c r="P453" s="228"/>
      <c r="Q453" s="229"/>
      <c r="R453" s="229"/>
      <c r="S453" s="230" t="s">
        <v>561</v>
      </c>
      <c r="T453" s="232"/>
      <c r="U453" s="228"/>
      <c r="V453" s="229"/>
      <c r="W453" s="229"/>
      <c r="X453" s="230" t="s">
        <v>561</v>
      </c>
      <c r="Y453" s="232"/>
    </row>
    <row r="454" spans="1:25" ht="24" customHeight="1" thickBot="1" x14ac:dyDescent="0.25">
      <c r="F454" s="1079" t="s">
        <v>562</v>
      </c>
      <c r="G454" s="1080"/>
      <c r="H454" s="1080"/>
      <c r="I454" s="230" t="s">
        <v>561</v>
      </c>
      <c r="J454" s="231"/>
      <c r="K454" s="1079" t="s">
        <v>563</v>
      </c>
      <c r="L454" s="1080"/>
      <c r="M454" s="1080"/>
      <c r="N454" s="230" t="s">
        <v>561</v>
      </c>
      <c r="O454" s="232"/>
      <c r="P454" s="1079" t="s">
        <v>564</v>
      </c>
      <c r="Q454" s="1080"/>
      <c r="R454" s="1080"/>
      <c r="S454" s="230" t="s">
        <v>561</v>
      </c>
      <c r="T454" s="232"/>
      <c r="U454" s="1079" t="s">
        <v>565</v>
      </c>
      <c r="V454" s="1080"/>
      <c r="W454" s="1080"/>
      <c r="X454" s="230" t="s">
        <v>561</v>
      </c>
      <c r="Y454" s="232"/>
    </row>
    <row r="455" spans="1:25" ht="24" customHeight="1" thickBot="1" x14ac:dyDescent="0.25">
      <c r="F455" s="233"/>
      <c r="G455" s="234"/>
      <c r="H455" s="235" t="s">
        <v>566</v>
      </c>
      <c r="I455" s="235"/>
      <c r="J455" s="236"/>
      <c r="K455" s="1092" t="s">
        <v>567</v>
      </c>
      <c r="L455" s="1085"/>
      <c r="M455" s="1085"/>
      <c r="N455" s="237" t="s">
        <v>561</v>
      </c>
      <c r="O455" s="238"/>
      <c r="P455" s="1092" t="s">
        <v>568</v>
      </c>
      <c r="Q455" s="1085"/>
      <c r="R455" s="1085"/>
      <c r="S455" s="237" t="s">
        <v>561</v>
      </c>
      <c r="T455" s="238"/>
      <c r="U455" s="1092" t="s">
        <v>569</v>
      </c>
      <c r="V455" s="1085"/>
      <c r="W455" s="1085"/>
      <c r="X455" s="237" t="s">
        <v>561</v>
      </c>
      <c r="Y455" s="239"/>
    </row>
    <row r="456" spans="1:25" ht="12.75" customHeight="1" x14ac:dyDescent="0.2">
      <c r="Y456" s="240" t="s">
        <v>570</v>
      </c>
    </row>
    <row r="457" spans="1:25" ht="15.75" customHeight="1" x14ac:dyDescent="0.2">
      <c r="B457" s="1091" t="s">
        <v>521</v>
      </c>
      <c r="C457" s="1091"/>
      <c r="D457" s="1091"/>
      <c r="E457" s="1091"/>
      <c r="F457" s="1091"/>
      <c r="G457" s="1091"/>
      <c r="H457" s="1091"/>
      <c r="I457" s="1091"/>
      <c r="J457" s="1091"/>
      <c r="K457" s="1091"/>
      <c r="L457" s="1091"/>
      <c r="O457" s="1091" t="s">
        <v>522</v>
      </c>
      <c r="P457" s="1091"/>
      <c r="Q457" s="1091"/>
      <c r="R457" s="1091"/>
      <c r="S457" s="1091"/>
      <c r="T457" s="1091"/>
      <c r="U457" s="1091"/>
      <c r="V457" s="1091"/>
      <c r="W457" s="1091"/>
      <c r="X457" s="1091"/>
      <c r="Y457" s="1091"/>
    </row>
    <row r="458" spans="1:25" ht="13.5" customHeight="1" x14ac:dyDescent="0.2">
      <c r="B458" s="1086" t="s">
        <v>1</v>
      </c>
      <c r="C458" s="1087"/>
      <c r="D458" s="1087"/>
      <c r="E458" s="1087"/>
      <c r="F458" s="1087"/>
      <c r="G458" s="1087"/>
      <c r="H458" s="1088"/>
      <c r="I458" s="1086" t="s">
        <v>520</v>
      </c>
      <c r="J458" s="1087"/>
      <c r="K458" s="1087"/>
      <c r="L458" s="1088"/>
      <c r="N458" s="241"/>
      <c r="O458" s="1086" t="s">
        <v>1</v>
      </c>
      <c r="P458" s="1087"/>
      <c r="Q458" s="1087"/>
      <c r="R458" s="1087"/>
      <c r="S458" s="1087"/>
      <c r="T458" s="1087"/>
      <c r="U458" s="1088"/>
      <c r="V458" s="1086" t="s">
        <v>520</v>
      </c>
      <c r="W458" s="1087"/>
      <c r="X458" s="1087"/>
      <c r="Y458" s="1088"/>
    </row>
    <row r="459" spans="1:25" ht="21.75" customHeight="1" x14ac:dyDescent="0.2">
      <c r="B459" s="242"/>
      <c r="C459" s="243"/>
      <c r="D459" s="243"/>
      <c r="E459" s="243"/>
      <c r="F459" s="243"/>
      <c r="G459" s="243"/>
      <c r="H459" s="243"/>
      <c r="I459" s="242"/>
      <c r="J459" s="243"/>
      <c r="K459" s="243"/>
      <c r="L459" s="244"/>
      <c r="N459" s="241"/>
      <c r="O459" s="242"/>
      <c r="P459" s="243"/>
      <c r="Q459" s="243"/>
      <c r="R459" s="243"/>
      <c r="S459" s="243"/>
      <c r="T459" s="243"/>
      <c r="U459" s="243"/>
      <c r="V459" s="242"/>
      <c r="W459" s="243"/>
      <c r="X459" s="243"/>
      <c r="Y459" s="244"/>
    </row>
    <row r="460" spans="1:25" ht="13.5" customHeight="1" x14ac:dyDescent="0.2"/>
    <row r="461" spans="1:25" ht="14.25" customHeight="1" thickBot="1" x14ac:dyDescent="0.25">
      <c r="A461" s="241"/>
      <c r="G461" s="305"/>
      <c r="H461" s="305"/>
      <c r="I461" s="1069" t="s">
        <v>0</v>
      </c>
      <c r="J461" s="1069"/>
      <c r="K461" s="1069"/>
      <c r="L461" s="1069"/>
      <c r="M461" s="1069"/>
      <c r="N461" s="1069"/>
      <c r="O461" s="1069"/>
      <c r="P461" s="1069" t="s">
        <v>374</v>
      </c>
      <c r="Q461" s="1069"/>
      <c r="R461" s="1069"/>
      <c r="S461" s="1069"/>
      <c r="T461" s="1069"/>
      <c r="U461" s="1069" t="s">
        <v>571</v>
      </c>
      <c r="V461" s="1069"/>
      <c r="W461" s="1069"/>
      <c r="X461" s="305"/>
      <c r="Y461" s="305"/>
    </row>
    <row r="462" spans="1:25" ht="20.25" customHeight="1" x14ac:dyDescent="0.2">
      <c r="A462" s="241"/>
      <c r="F462" s="1074" t="s">
        <v>584</v>
      </c>
      <c r="G462" s="1074"/>
      <c r="H462" s="1074"/>
      <c r="I462" s="316"/>
      <c r="J462" s="306"/>
      <c r="K462" s="306"/>
      <c r="L462" s="306"/>
      <c r="M462" s="306"/>
      <c r="N462" s="306"/>
      <c r="O462" s="306"/>
      <c r="P462" s="312"/>
      <c r="Q462" s="306"/>
      <c r="R462" s="307"/>
      <c r="S462" s="304"/>
      <c r="T462" s="313"/>
      <c r="U462" s="310"/>
      <c r="V462" s="1084" t="s">
        <v>495</v>
      </c>
      <c r="W462" s="308"/>
    </row>
    <row r="463" spans="1:25" ht="13.5" thickBot="1" x14ac:dyDescent="0.25">
      <c r="F463" s="1074"/>
      <c r="G463" s="1074"/>
      <c r="H463" s="1074"/>
      <c r="I463" s="303"/>
      <c r="J463" s="235"/>
      <c r="K463" s="235"/>
      <c r="L463" s="235"/>
      <c r="M463" s="235"/>
      <c r="N463" s="235"/>
      <c r="O463" s="235"/>
      <c r="P463" s="314"/>
      <c r="Q463" s="235"/>
      <c r="R463" s="234"/>
      <c r="S463" s="234"/>
      <c r="T463" s="315"/>
      <c r="U463" s="311"/>
      <c r="V463" s="1085"/>
      <c r="W463" s="309"/>
    </row>
    <row r="465" spans="1:25" ht="6.75" customHeight="1" x14ac:dyDescent="0.2"/>
    <row r="466" spans="1:25" s="218" customFormat="1" ht="23.25" customHeight="1" x14ac:dyDescent="0.2">
      <c r="A466" s="1072" t="s">
        <v>546</v>
      </c>
      <c r="B466" s="1073"/>
      <c r="C466" s="402"/>
      <c r="D466" s="1098" t="s">
        <v>628</v>
      </c>
      <c r="E466" s="1072"/>
      <c r="F466" s="1072"/>
      <c r="G466" s="1103"/>
      <c r="H466" s="1104"/>
      <c r="K466" s="218" t="str">
        <f>RIGHT(CATEG_IMPORTEE, LEN(CATEG_IMPORTEE) - 2)</f>
        <v>llèges Mixtes Etablissement</v>
      </c>
      <c r="T466" s="397" t="s">
        <v>627</v>
      </c>
      <c r="U466" s="401">
        <v>17</v>
      </c>
      <c r="V466" s="396" t="s">
        <v>547</v>
      </c>
      <c r="W466" s="401"/>
      <c r="X466" s="395"/>
    </row>
    <row r="467" spans="1:25" ht="27" customHeight="1" thickBot="1" x14ac:dyDescent="0.25">
      <c r="B467" s="1069" t="s">
        <v>0</v>
      </c>
      <c r="C467" s="1069"/>
      <c r="D467" s="1069"/>
      <c r="E467" s="1069"/>
      <c r="F467" s="1069"/>
      <c r="G467" s="1069"/>
      <c r="H467" s="1069"/>
      <c r="I467" s="1069" t="s">
        <v>374</v>
      </c>
      <c r="J467" s="1069"/>
      <c r="K467" s="1069"/>
      <c r="L467" s="1069"/>
      <c r="O467" s="1069" t="s">
        <v>0</v>
      </c>
      <c r="P467" s="1069"/>
      <c r="Q467" s="1069"/>
      <c r="R467" s="1069"/>
      <c r="S467" s="1069"/>
      <c r="T467" s="1069"/>
      <c r="U467" s="1069"/>
      <c r="V467" s="1069" t="s">
        <v>374</v>
      </c>
      <c r="W467" s="1069"/>
      <c r="X467" s="1069"/>
      <c r="Y467" s="1069"/>
    </row>
    <row r="468" spans="1:25" ht="24" customHeight="1" thickBot="1" x14ac:dyDescent="0.25">
      <c r="A468" s="219"/>
      <c r="B468" s="398" t="str">
        <f>VLOOKUP(U466,TBL_equipe,2,FALSE)</f>
        <v/>
      </c>
      <c r="C468" s="399"/>
      <c r="D468" s="399"/>
      <c r="E468" s="399"/>
      <c r="F468" s="399"/>
      <c r="G468" s="399"/>
      <c r="H468" s="400"/>
      <c r="I468" s="257" t="str">
        <f>VLOOKUP(U466,TBL_equipe,4,FALSE)</f>
        <v/>
      </c>
      <c r="J468" s="220"/>
      <c r="K468" s="220"/>
      <c r="L468" s="221"/>
      <c r="M468" s="1070" t="s">
        <v>547</v>
      </c>
      <c r="N468" s="1071"/>
      <c r="O468" s="398" t="e">
        <f>VLOOKUP(W466,TBL_equipe,2,FALSE)</f>
        <v>#N/A</v>
      </c>
      <c r="P468" s="220"/>
      <c r="Q468" s="220"/>
      <c r="R468" s="220"/>
      <c r="S468" s="220"/>
      <c r="T468" s="220"/>
      <c r="U468" s="221"/>
      <c r="V468" s="257" t="e">
        <f>VLOOKUP(W466,TBL_equipe,4,FALSE)</f>
        <v>#N/A</v>
      </c>
      <c r="W468" s="220"/>
      <c r="X468" s="220"/>
      <c r="Y468" s="221"/>
    </row>
    <row r="469" spans="1:25" ht="15" customHeight="1" x14ac:dyDescent="0.2"/>
    <row r="470" spans="1:25" ht="20.100000000000001" customHeight="1" x14ac:dyDescent="0.2">
      <c r="A470" s="1074" t="s">
        <v>548</v>
      </c>
      <c r="B470" s="1074"/>
      <c r="C470" s="1074"/>
      <c r="D470" s="1074"/>
      <c r="E470" s="1074"/>
    </row>
    <row r="471" spans="1:25" ht="20.100000000000001" customHeight="1" x14ac:dyDescent="0.2">
      <c r="A471" s="1075" t="s">
        <v>549</v>
      </c>
      <c r="B471" s="1075"/>
      <c r="C471" s="1075"/>
      <c r="D471" s="1075"/>
      <c r="E471" s="1075"/>
      <c r="G471" s="1076" t="s">
        <v>480</v>
      </c>
      <c r="H471" s="1076"/>
      <c r="I471" s="1077" t="s">
        <v>550</v>
      </c>
      <c r="J471" s="1077"/>
      <c r="K471" s="1077"/>
      <c r="L471" s="252" t="s">
        <v>551</v>
      </c>
      <c r="M471" s="1078" t="s">
        <v>552</v>
      </c>
      <c r="N471" s="1078"/>
      <c r="O471" s="251"/>
    </row>
    <row r="472" spans="1:25" ht="24" customHeight="1" x14ac:dyDescent="0.2">
      <c r="A472" s="258" t="str">
        <f>VLOOKUP(U466,TBL_equipe,5,FALSE)</f>
        <v/>
      </c>
      <c r="B472" s="223"/>
      <c r="C472" s="259" t="str">
        <f>VLOOKUP(U466,TBL_equipe,6,FALSE)</f>
        <v/>
      </c>
      <c r="D472" s="223"/>
      <c r="E472" s="224"/>
      <c r="F472" s="219"/>
      <c r="G472" s="403" t="str">
        <f>VLOOKUP(U466,TBL_equipe,9,FALSE)</f>
        <v/>
      </c>
      <c r="H472" s="224"/>
      <c r="I472" s="222"/>
      <c r="J472" s="246" t="str">
        <f>VLOOKUP(U466,TBL_equipe,8,FALSE)</f>
        <v/>
      </c>
      <c r="K472" s="224"/>
      <c r="L472" s="260" t="str">
        <f>VLOOKUP(U466,TBL_equipe,10,FALSE)</f>
        <v/>
      </c>
      <c r="M472" s="287">
        <f>G466</f>
        <v>0</v>
      </c>
      <c r="N472" s="288"/>
      <c r="O472" s="249"/>
      <c r="R472" s="254"/>
      <c r="S472" s="254"/>
      <c r="T472" s="254" t="s">
        <v>629</v>
      </c>
      <c r="U472" s="254"/>
      <c r="V472" s="254"/>
      <c r="W472" s="254"/>
      <c r="X472" s="254"/>
      <c r="Y472" s="254"/>
    </row>
    <row r="473" spans="1:25" ht="24" customHeight="1" x14ac:dyDescent="0.2">
      <c r="A473" s="258" t="str">
        <f>VLOOKUP(U466,TBL_equipe,11,FALSE)</f>
        <v/>
      </c>
      <c r="B473" s="223"/>
      <c r="C473" s="259" t="str">
        <f>VLOOKUP(U466,TBL_equipe,12,FALSE)</f>
        <v/>
      </c>
      <c r="D473" s="223"/>
      <c r="E473" s="224"/>
      <c r="F473" s="219"/>
      <c r="G473" s="403" t="str">
        <f>VLOOKUP(U466,TBL_equipe,15,FALSE)</f>
        <v/>
      </c>
      <c r="H473" s="224"/>
      <c r="I473" s="222"/>
      <c r="J473" s="246" t="str">
        <f>VLOOKUP(U466,TBL_equipe,14,FALSE)</f>
        <v/>
      </c>
      <c r="K473" s="224"/>
      <c r="L473" s="260" t="str">
        <f>VLOOKUP(U466,TBL_equipe,16,FALSE)</f>
        <v/>
      </c>
      <c r="M473" s="287">
        <f>G466</f>
        <v>0</v>
      </c>
      <c r="N473" s="288"/>
      <c r="O473" s="249"/>
      <c r="Q473" s="254"/>
      <c r="R473" s="254"/>
      <c r="S473" s="254"/>
      <c r="T473" s="254"/>
      <c r="U473" s="254"/>
      <c r="V473" s="254"/>
      <c r="W473" s="254"/>
      <c r="X473" s="254"/>
      <c r="Y473" s="254"/>
    </row>
    <row r="474" spans="1:25" ht="24" customHeight="1" x14ac:dyDescent="0.2">
      <c r="A474" s="258" t="str">
        <f>VLOOKUP(U466,TBL_equipe,17,FALSE)</f>
        <v/>
      </c>
      <c r="B474" s="223"/>
      <c r="C474" s="259" t="str">
        <f>VLOOKUP(U466,TBL_equipe,18,FALSE)</f>
        <v/>
      </c>
      <c r="D474" s="223"/>
      <c r="E474" s="224"/>
      <c r="F474" s="219"/>
      <c r="G474" s="403" t="str">
        <f>VLOOKUP(U466,TBL_equipe,21,FALSE)</f>
        <v/>
      </c>
      <c r="H474" s="224"/>
      <c r="I474" s="222"/>
      <c r="J474" s="246" t="str">
        <f>VLOOKUP(U466,TBL_equipe,20,FALSE)</f>
        <v/>
      </c>
      <c r="K474" s="224"/>
      <c r="L474" s="260" t="str">
        <f>VLOOKUP(U466,TBL_equipe,22,FALSE)</f>
        <v/>
      </c>
      <c r="M474" s="287">
        <f>G466</f>
        <v>0</v>
      </c>
      <c r="N474" s="288"/>
      <c r="O474" s="249"/>
      <c r="Q474" s="254"/>
      <c r="R474" s="254"/>
      <c r="S474" s="254"/>
      <c r="T474" s="254"/>
      <c r="U474" s="254"/>
      <c r="V474" s="254"/>
      <c r="W474" s="254"/>
      <c r="X474" s="254"/>
      <c r="Y474" s="254"/>
    </row>
    <row r="475" spans="1:25" ht="24" customHeight="1" x14ac:dyDescent="0.2">
      <c r="A475" s="258" t="str">
        <f>VLOOKUP(U466,TBL_equipe,23,FALSE)</f>
        <v/>
      </c>
      <c r="B475" s="223"/>
      <c r="C475" s="259" t="str">
        <f>VLOOKUP(U466,TBL_equipe,24,FALSE)</f>
        <v/>
      </c>
      <c r="D475" s="223"/>
      <c r="E475" s="224"/>
      <c r="F475" s="219"/>
      <c r="G475" s="403" t="str">
        <f>VLOOKUP(U466,TBL_equipe,27,FALSE)</f>
        <v/>
      </c>
      <c r="H475" s="224"/>
      <c r="I475" s="222"/>
      <c r="J475" s="246" t="str">
        <f>VLOOKUP(U466,TBL_equipe,26,FALSE)</f>
        <v/>
      </c>
      <c r="K475" s="224"/>
      <c r="L475" s="260" t="str">
        <f>VLOOKUP(U466,TBL_equipe,28,FALSE)</f>
        <v/>
      </c>
      <c r="M475" s="289">
        <f>G466</f>
        <v>0</v>
      </c>
      <c r="N475" s="290"/>
      <c r="O475" s="249"/>
    </row>
    <row r="476" spans="1:25" ht="15" customHeight="1" thickBot="1" x14ac:dyDescent="0.25"/>
    <row r="477" spans="1:25" ht="20.100000000000001" customHeight="1" x14ac:dyDescent="0.2">
      <c r="F477" s="1081" t="s">
        <v>555</v>
      </c>
      <c r="G477" s="1082"/>
      <c r="H477" s="1082"/>
      <c r="I477" s="1082"/>
      <c r="J477" s="1083"/>
      <c r="K477" s="1081" t="s">
        <v>556</v>
      </c>
      <c r="L477" s="1082"/>
      <c r="M477" s="1082"/>
      <c r="N477" s="1082"/>
      <c r="O477" s="1083"/>
      <c r="P477" s="1081" t="s">
        <v>557</v>
      </c>
      <c r="Q477" s="1082"/>
      <c r="R477" s="1082"/>
      <c r="S477" s="1082"/>
      <c r="T477" s="1083"/>
      <c r="U477" s="1081" t="s">
        <v>558</v>
      </c>
      <c r="V477" s="1082"/>
      <c r="W477" s="1082"/>
      <c r="X477" s="1082"/>
      <c r="Y477" s="1083"/>
    </row>
    <row r="478" spans="1:25" ht="20.100000000000001" customHeight="1" x14ac:dyDescent="0.2">
      <c r="A478" s="1075" t="s">
        <v>559</v>
      </c>
      <c r="B478" s="1075"/>
      <c r="C478" s="1075"/>
      <c r="D478" s="1075"/>
      <c r="E478" s="1089"/>
      <c r="F478" s="1090" t="s">
        <v>560</v>
      </c>
      <c r="G478" s="1075"/>
      <c r="H478" s="1075"/>
      <c r="J478" s="225" t="s">
        <v>7</v>
      </c>
      <c r="K478" s="1090" t="s">
        <v>560</v>
      </c>
      <c r="L478" s="1075"/>
      <c r="M478" s="1075"/>
      <c r="O478" s="225" t="s">
        <v>7</v>
      </c>
      <c r="P478" s="1090" t="s">
        <v>560</v>
      </c>
      <c r="Q478" s="1075"/>
      <c r="R478" s="1075"/>
      <c r="T478" s="225" t="s">
        <v>7</v>
      </c>
      <c r="U478" s="1090" t="s">
        <v>560</v>
      </c>
      <c r="V478" s="1075"/>
      <c r="W478" s="1075"/>
      <c r="Y478" s="225" t="s">
        <v>7</v>
      </c>
    </row>
    <row r="479" spans="1:25" ht="24" customHeight="1" x14ac:dyDescent="0.2">
      <c r="A479" s="261" t="str">
        <f>A472</f>
        <v/>
      </c>
      <c r="B479" s="227"/>
      <c r="C479" s="262" t="str">
        <f>C472</f>
        <v/>
      </c>
      <c r="D479" s="227"/>
      <c r="E479" s="227"/>
      <c r="F479" s="228"/>
      <c r="G479" s="229"/>
      <c r="H479" s="229"/>
      <c r="I479" s="230" t="s">
        <v>561</v>
      </c>
      <c r="J479" s="231"/>
      <c r="K479" s="228"/>
      <c r="L479" s="229"/>
      <c r="M479" s="229"/>
      <c r="N479" s="230" t="s">
        <v>561</v>
      </c>
      <c r="O479" s="231"/>
      <c r="P479" s="228"/>
      <c r="Q479" s="229"/>
      <c r="R479" s="229"/>
      <c r="S479" s="230" t="s">
        <v>561</v>
      </c>
      <c r="T479" s="231"/>
      <c r="U479" s="228"/>
      <c r="V479" s="229"/>
      <c r="W479" s="229"/>
      <c r="X479" s="230" t="s">
        <v>561</v>
      </c>
      <c r="Y479" s="231"/>
    </row>
    <row r="480" spans="1:25" ht="24" customHeight="1" x14ac:dyDescent="0.2">
      <c r="A480" s="261" t="str">
        <f>A473</f>
        <v/>
      </c>
      <c r="B480" s="227"/>
      <c r="C480" s="262" t="str">
        <f>C473</f>
        <v/>
      </c>
      <c r="D480" s="227"/>
      <c r="E480" s="227"/>
      <c r="F480" s="228"/>
      <c r="G480" s="229"/>
      <c r="H480" s="229"/>
      <c r="I480" s="230" t="s">
        <v>561</v>
      </c>
      <c r="J480" s="231"/>
      <c r="K480" s="228"/>
      <c r="L480" s="229"/>
      <c r="M480" s="229"/>
      <c r="N480" s="230" t="s">
        <v>561</v>
      </c>
      <c r="O480" s="231"/>
      <c r="P480" s="228"/>
      <c r="Q480" s="229"/>
      <c r="R480" s="229"/>
      <c r="S480" s="230" t="s">
        <v>561</v>
      </c>
      <c r="T480" s="231"/>
      <c r="U480" s="228"/>
      <c r="V480" s="229"/>
      <c r="W480" s="229"/>
      <c r="X480" s="230" t="s">
        <v>561</v>
      </c>
      <c r="Y480" s="231"/>
    </row>
    <row r="481" spans="1:25" ht="24" customHeight="1" x14ac:dyDescent="0.2">
      <c r="A481" s="261" t="str">
        <f>A474</f>
        <v/>
      </c>
      <c r="B481" s="227"/>
      <c r="C481" s="262" t="str">
        <f>C474</f>
        <v/>
      </c>
      <c r="D481" s="227"/>
      <c r="E481" s="227"/>
      <c r="F481" s="228"/>
      <c r="G481" s="229"/>
      <c r="H481" s="229"/>
      <c r="I481" s="230" t="s">
        <v>561</v>
      </c>
      <c r="J481" s="231"/>
      <c r="K481" s="228"/>
      <c r="L481" s="229"/>
      <c r="M481" s="229"/>
      <c r="N481" s="230" t="s">
        <v>561</v>
      </c>
      <c r="O481" s="231"/>
      <c r="P481" s="228"/>
      <c r="Q481" s="229"/>
      <c r="R481" s="229"/>
      <c r="S481" s="230" t="s">
        <v>561</v>
      </c>
      <c r="T481" s="231"/>
      <c r="U481" s="228"/>
      <c r="V481" s="229"/>
      <c r="W481" s="229"/>
      <c r="X481" s="230" t="s">
        <v>561</v>
      </c>
      <c r="Y481" s="231"/>
    </row>
    <row r="482" spans="1:25" ht="24" customHeight="1" x14ac:dyDescent="0.2">
      <c r="A482" s="261" t="str">
        <f>A475</f>
        <v/>
      </c>
      <c r="B482" s="227"/>
      <c r="C482" s="262" t="str">
        <f>C475</f>
        <v/>
      </c>
      <c r="D482" s="227"/>
      <c r="E482" s="227"/>
      <c r="F482" s="228"/>
      <c r="G482" s="229"/>
      <c r="H482" s="229"/>
      <c r="I482" s="230" t="s">
        <v>561</v>
      </c>
      <c r="J482" s="232"/>
      <c r="K482" s="228"/>
      <c r="L482" s="229"/>
      <c r="M482" s="229"/>
      <c r="N482" s="230" t="s">
        <v>561</v>
      </c>
      <c r="O482" s="232"/>
      <c r="P482" s="228"/>
      <c r="Q482" s="229"/>
      <c r="R482" s="229"/>
      <c r="S482" s="230" t="s">
        <v>561</v>
      </c>
      <c r="T482" s="232"/>
      <c r="U482" s="228"/>
      <c r="V482" s="229"/>
      <c r="W482" s="229"/>
      <c r="X482" s="230" t="s">
        <v>561</v>
      </c>
      <c r="Y482" s="232"/>
    </row>
    <row r="483" spans="1:25" ht="24" customHeight="1" thickBot="1" x14ac:dyDescent="0.25">
      <c r="F483" s="1079" t="s">
        <v>562</v>
      </c>
      <c r="G483" s="1080"/>
      <c r="H483" s="1080"/>
      <c r="I483" s="230" t="s">
        <v>561</v>
      </c>
      <c r="J483" s="231"/>
      <c r="K483" s="1079" t="s">
        <v>563</v>
      </c>
      <c r="L483" s="1080"/>
      <c r="M483" s="1080"/>
      <c r="N483" s="230" t="s">
        <v>561</v>
      </c>
      <c r="O483" s="232"/>
      <c r="P483" s="1079" t="s">
        <v>564</v>
      </c>
      <c r="Q483" s="1080"/>
      <c r="R483" s="1080"/>
      <c r="S483" s="230" t="s">
        <v>561</v>
      </c>
      <c r="T483" s="232"/>
      <c r="U483" s="1079" t="s">
        <v>565</v>
      </c>
      <c r="V483" s="1080"/>
      <c r="W483" s="1080"/>
      <c r="X483" s="230" t="s">
        <v>561</v>
      </c>
      <c r="Y483" s="232"/>
    </row>
    <row r="484" spans="1:25" ht="24" customHeight="1" thickBot="1" x14ac:dyDescent="0.25">
      <c r="F484" s="233"/>
      <c r="G484" s="234"/>
      <c r="H484" s="235" t="s">
        <v>566</v>
      </c>
      <c r="I484" s="235"/>
      <c r="J484" s="236"/>
      <c r="K484" s="1092" t="s">
        <v>567</v>
      </c>
      <c r="L484" s="1085"/>
      <c r="M484" s="1085"/>
      <c r="N484" s="237" t="s">
        <v>561</v>
      </c>
      <c r="O484" s="238"/>
      <c r="P484" s="1092" t="s">
        <v>568</v>
      </c>
      <c r="Q484" s="1085"/>
      <c r="R484" s="1085"/>
      <c r="S484" s="237" t="s">
        <v>561</v>
      </c>
      <c r="T484" s="238"/>
      <c r="U484" s="1092" t="s">
        <v>569</v>
      </c>
      <c r="V484" s="1085"/>
      <c r="W484" s="1085"/>
      <c r="X484" s="237" t="s">
        <v>561</v>
      </c>
      <c r="Y484" s="239"/>
    </row>
    <row r="485" spans="1:25" ht="12.75" customHeight="1" x14ac:dyDescent="0.2">
      <c r="Y485" s="240" t="s">
        <v>570</v>
      </c>
    </row>
    <row r="486" spans="1:25" ht="15.75" customHeight="1" x14ac:dyDescent="0.2">
      <c r="B486" s="1091" t="s">
        <v>521</v>
      </c>
      <c r="C486" s="1091"/>
      <c r="D486" s="1091"/>
      <c r="E486" s="1091"/>
      <c r="F486" s="1091"/>
      <c r="G486" s="1091"/>
      <c r="H486" s="1091"/>
      <c r="I486" s="1091"/>
      <c r="J486" s="1091"/>
      <c r="K486" s="1091"/>
      <c r="L486" s="1091"/>
      <c r="O486" s="1091" t="s">
        <v>522</v>
      </c>
      <c r="P486" s="1091"/>
      <c r="Q486" s="1091"/>
      <c r="R486" s="1091"/>
      <c r="S486" s="1091"/>
      <c r="T486" s="1091"/>
      <c r="U486" s="1091"/>
      <c r="V486" s="1091"/>
      <c r="W486" s="1091"/>
      <c r="X486" s="1091"/>
      <c r="Y486" s="1091"/>
    </row>
    <row r="487" spans="1:25" ht="13.5" customHeight="1" x14ac:dyDescent="0.2">
      <c r="B487" s="1086" t="s">
        <v>1</v>
      </c>
      <c r="C487" s="1087"/>
      <c r="D487" s="1087"/>
      <c r="E487" s="1087"/>
      <c r="F487" s="1087"/>
      <c r="G487" s="1087"/>
      <c r="H487" s="1088"/>
      <c r="I487" s="1086" t="s">
        <v>520</v>
      </c>
      <c r="J487" s="1087"/>
      <c r="K487" s="1087"/>
      <c r="L487" s="1088"/>
      <c r="N487" s="241"/>
      <c r="O487" s="1086" t="s">
        <v>1</v>
      </c>
      <c r="P487" s="1087"/>
      <c r="Q487" s="1087"/>
      <c r="R487" s="1087"/>
      <c r="S487" s="1087"/>
      <c r="T487" s="1087"/>
      <c r="U487" s="1088"/>
      <c r="V487" s="1086" t="s">
        <v>520</v>
      </c>
      <c r="W487" s="1087"/>
      <c r="X487" s="1087"/>
      <c r="Y487" s="1088"/>
    </row>
    <row r="488" spans="1:25" ht="21.75" customHeight="1" x14ac:dyDescent="0.2">
      <c r="B488" s="242"/>
      <c r="C488" s="243"/>
      <c r="D488" s="243"/>
      <c r="E488" s="243"/>
      <c r="F488" s="243"/>
      <c r="G488" s="243"/>
      <c r="H488" s="243"/>
      <c r="I488" s="242"/>
      <c r="J488" s="243"/>
      <c r="K488" s="243"/>
      <c r="L488" s="244"/>
      <c r="N488" s="241"/>
      <c r="O488" s="242"/>
      <c r="P488" s="243"/>
      <c r="Q488" s="243"/>
      <c r="R488" s="243"/>
      <c r="S488" s="243"/>
      <c r="T488" s="243"/>
      <c r="U488" s="243"/>
      <c r="V488" s="242"/>
      <c r="W488" s="243"/>
      <c r="X488" s="243"/>
      <c r="Y488" s="244"/>
    </row>
    <row r="489" spans="1:25" ht="13.5" customHeight="1" x14ac:dyDescent="0.2"/>
    <row r="490" spans="1:25" ht="14.25" customHeight="1" thickBot="1" x14ac:dyDescent="0.25">
      <c r="A490" s="241"/>
      <c r="G490" s="305"/>
      <c r="H490" s="305"/>
      <c r="I490" s="1069" t="s">
        <v>0</v>
      </c>
      <c r="J490" s="1069"/>
      <c r="K490" s="1069"/>
      <c r="L490" s="1069"/>
      <c r="M490" s="1069"/>
      <c r="N490" s="1069"/>
      <c r="O490" s="1069"/>
      <c r="P490" s="1069" t="s">
        <v>374</v>
      </c>
      <c r="Q490" s="1069"/>
      <c r="R490" s="1069"/>
      <c r="S490" s="1069"/>
      <c r="T490" s="1069"/>
      <c r="U490" s="1069" t="s">
        <v>571</v>
      </c>
      <c r="V490" s="1069"/>
      <c r="W490" s="1069"/>
      <c r="X490" s="305"/>
      <c r="Y490" s="305"/>
    </row>
    <row r="491" spans="1:25" ht="20.25" customHeight="1" x14ac:dyDescent="0.2">
      <c r="A491" s="241"/>
      <c r="F491" s="1074" t="s">
        <v>584</v>
      </c>
      <c r="G491" s="1074"/>
      <c r="H491" s="1074"/>
      <c r="I491" s="316"/>
      <c r="J491" s="306"/>
      <c r="K491" s="306"/>
      <c r="L491" s="306"/>
      <c r="M491" s="306"/>
      <c r="N491" s="306"/>
      <c r="O491" s="306"/>
      <c r="P491" s="312"/>
      <c r="Q491" s="306"/>
      <c r="R491" s="307"/>
      <c r="S491" s="304"/>
      <c r="T491" s="313"/>
      <c r="U491" s="310"/>
      <c r="V491" s="1084" t="s">
        <v>495</v>
      </c>
      <c r="W491" s="308"/>
    </row>
    <row r="492" spans="1:25" ht="13.5" thickBot="1" x14ac:dyDescent="0.25">
      <c r="F492" s="1074"/>
      <c r="G492" s="1074"/>
      <c r="H492" s="1074"/>
      <c r="I492" s="303"/>
      <c r="J492" s="235"/>
      <c r="K492" s="235"/>
      <c r="L492" s="235"/>
      <c r="M492" s="235"/>
      <c r="N492" s="235"/>
      <c r="O492" s="235"/>
      <c r="P492" s="314"/>
      <c r="Q492" s="235"/>
      <c r="R492" s="234"/>
      <c r="S492" s="234"/>
      <c r="T492" s="315"/>
      <c r="U492" s="311"/>
      <c r="V492" s="1085"/>
      <c r="W492" s="309"/>
    </row>
    <row r="494" spans="1:25" ht="6.75" customHeight="1" x14ac:dyDescent="0.2"/>
    <row r="495" spans="1:25" s="218" customFormat="1" ht="23.25" customHeight="1" x14ac:dyDescent="0.2">
      <c r="A495" s="1072" t="s">
        <v>546</v>
      </c>
      <c r="B495" s="1073"/>
      <c r="C495" s="402"/>
      <c r="D495" s="1098" t="s">
        <v>628</v>
      </c>
      <c r="E495" s="1072"/>
      <c r="F495" s="1072"/>
      <c r="G495" s="1103"/>
      <c r="H495" s="1104"/>
      <c r="K495" s="218" t="str">
        <f>RIGHT(CATEG_IMPORTEE, LEN(CATEG_IMPORTEE) - 2)</f>
        <v>llèges Mixtes Etablissement</v>
      </c>
      <c r="T495" s="397" t="s">
        <v>627</v>
      </c>
      <c r="U495" s="401">
        <v>18</v>
      </c>
      <c r="V495" s="396" t="s">
        <v>547</v>
      </c>
      <c r="W495" s="401"/>
      <c r="X495" s="395"/>
    </row>
    <row r="496" spans="1:25" ht="27" customHeight="1" thickBot="1" x14ac:dyDescent="0.25">
      <c r="B496" s="1069" t="s">
        <v>0</v>
      </c>
      <c r="C496" s="1069"/>
      <c r="D496" s="1069"/>
      <c r="E496" s="1069"/>
      <c r="F496" s="1069"/>
      <c r="G496" s="1069"/>
      <c r="H496" s="1069"/>
      <c r="I496" s="1069" t="s">
        <v>374</v>
      </c>
      <c r="J496" s="1069"/>
      <c r="K496" s="1069"/>
      <c r="L496" s="1069"/>
      <c r="O496" s="1069" t="s">
        <v>0</v>
      </c>
      <c r="P496" s="1069"/>
      <c r="Q496" s="1069"/>
      <c r="R496" s="1069"/>
      <c r="S496" s="1069"/>
      <c r="T496" s="1069"/>
      <c r="U496" s="1069"/>
      <c r="V496" s="1069" t="s">
        <v>374</v>
      </c>
      <c r="W496" s="1069"/>
      <c r="X496" s="1069"/>
      <c r="Y496" s="1069"/>
    </row>
    <row r="497" spans="1:25" ht="24" customHeight="1" thickBot="1" x14ac:dyDescent="0.25">
      <c r="A497" s="219"/>
      <c r="B497" s="398" t="str">
        <f>VLOOKUP(U495,TBL_equipe,2,FALSE)</f>
        <v/>
      </c>
      <c r="C497" s="399"/>
      <c r="D497" s="399"/>
      <c r="E497" s="399"/>
      <c r="F497" s="399"/>
      <c r="G497" s="399"/>
      <c r="H497" s="400"/>
      <c r="I497" s="257" t="str">
        <f>VLOOKUP(U495,TBL_equipe,4,FALSE)</f>
        <v/>
      </c>
      <c r="J497" s="220"/>
      <c r="K497" s="220"/>
      <c r="L497" s="221"/>
      <c r="M497" s="1070" t="s">
        <v>547</v>
      </c>
      <c r="N497" s="1071"/>
      <c r="O497" s="398" t="e">
        <f>VLOOKUP(W495,TBL_equipe,2,FALSE)</f>
        <v>#N/A</v>
      </c>
      <c r="P497" s="220"/>
      <c r="Q497" s="220"/>
      <c r="R497" s="220"/>
      <c r="S497" s="220"/>
      <c r="T497" s="220"/>
      <c r="U497" s="221"/>
      <c r="V497" s="257" t="e">
        <f>VLOOKUP(W495,TBL_equipe,4,FALSE)</f>
        <v>#N/A</v>
      </c>
      <c r="W497" s="220"/>
      <c r="X497" s="220"/>
      <c r="Y497" s="221"/>
    </row>
    <row r="498" spans="1:25" ht="15" customHeight="1" x14ac:dyDescent="0.2"/>
    <row r="499" spans="1:25" ht="20.100000000000001" customHeight="1" x14ac:dyDescent="0.2">
      <c r="A499" s="1074" t="s">
        <v>548</v>
      </c>
      <c r="B499" s="1074"/>
      <c r="C499" s="1074"/>
      <c r="D499" s="1074"/>
      <c r="E499" s="1074"/>
    </row>
    <row r="500" spans="1:25" ht="20.100000000000001" customHeight="1" x14ac:dyDescent="0.2">
      <c r="A500" s="1075" t="s">
        <v>549</v>
      </c>
      <c r="B500" s="1075"/>
      <c r="C500" s="1075"/>
      <c r="D500" s="1075"/>
      <c r="E500" s="1075"/>
      <c r="G500" s="1076" t="s">
        <v>480</v>
      </c>
      <c r="H500" s="1076"/>
      <c r="I500" s="1077" t="s">
        <v>550</v>
      </c>
      <c r="J500" s="1077"/>
      <c r="K500" s="1077"/>
      <c r="L500" s="252" t="s">
        <v>551</v>
      </c>
      <c r="M500" s="1078" t="s">
        <v>552</v>
      </c>
      <c r="N500" s="1078"/>
      <c r="O500" s="251"/>
    </row>
    <row r="501" spans="1:25" ht="24" customHeight="1" x14ac:dyDescent="0.2">
      <c r="A501" s="258" t="str">
        <f>VLOOKUP(U495,TBL_equipe,5,FALSE)</f>
        <v/>
      </c>
      <c r="B501" s="223"/>
      <c r="C501" s="259" t="str">
        <f>VLOOKUP(U495,TBL_equipe,6,FALSE)</f>
        <v/>
      </c>
      <c r="D501" s="223"/>
      <c r="E501" s="224"/>
      <c r="F501" s="219"/>
      <c r="G501" s="403" t="str">
        <f>VLOOKUP(U495,TBL_equipe,9,FALSE)</f>
        <v/>
      </c>
      <c r="H501" s="224"/>
      <c r="I501" s="222"/>
      <c r="J501" s="246" t="str">
        <f>VLOOKUP(U495,TBL_equipe,8,FALSE)</f>
        <v/>
      </c>
      <c r="K501" s="224"/>
      <c r="L501" s="260" t="str">
        <f>VLOOKUP(U495,TBL_equipe,10,FALSE)</f>
        <v/>
      </c>
      <c r="M501" s="287">
        <f>G495</f>
        <v>0</v>
      </c>
      <c r="N501" s="288"/>
      <c r="O501" s="249"/>
      <c r="R501" s="254"/>
      <c r="S501" s="254"/>
      <c r="T501" s="254" t="s">
        <v>629</v>
      </c>
      <c r="U501" s="254"/>
      <c r="V501" s="254"/>
      <c r="W501" s="254"/>
      <c r="X501" s="254"/>
      <c r="Y501" s="254"/>
    </row>
    <row r="502" spans="1:25" ht="24" customHeight="1" x14ac:dyDescent="0.2">
      <c r="A502" s="258" t="str">
        <f>VLOOKUP(U495,TBL_equipe,11,FALSE)</f>
        <v/>
      </c>
      <c r="B502" s="223"/>
      <c r="C502" s="259" t="str">
        <f>VLOOKUP(U495,TBL_equipe,12,FALSE)</f>
        <v/>
      </c>
      <c r="D502" s="223"/>
      <c r="E502" s="224"/>
      <c r="F502" s="219"/>
      <c r="G502" s="403" t="str">
        <f>VLOOKUP(U495,TBL_equipe,15,FALSE)</f>
        <v/>
      </c>
      <c r="H502" s="224"/>
      <c r="I502" s="222"/>
      <c r="J502" s="246" t="str">
        <f>VLOOKUP(U495,TBL_equipe,14,FALSE)</f>
        <v/>
      </c>
      <c r="K502" s="224"/>
      <c r="L502" s="260" t="str">
        <f>VLOOKUP(U495,TBL_equipe,16,FALSE)</f>
        <v/>
      </c>
      <c r="M502" s="287">
        <f>G495</f>
        <v>0</v>
      </c>
      <c r="N502" s="288"/>
      <c r="O502" s="249"/>
      <c r="Q502" s="254"/>
      <c r="R502" s="254"/>
      <c r="S502" s="254"/>
      <c r="T502" s="254"/>
      <c r="U502" s="254"/>
      <c r="V502" s="254"/>
      <c r="W502" s="254"/>
      <c r="X502" s="254"/>
      <c r="Y502" s="254"/>
    </row>
    <row r="503" spans="1:25" ht="24" customHeight="1" x14ac:dyDescent="0.2">
      <c r="A503" s="258" t="str">
        <f>VLOOKUP(U495,TBL_equipe,17,FALSE)</f>
        <v/>
      </c>
      <c r="B503" s="223"/>
      <c r="C503" s="259" t="str">
        <f>VLOOKUP(U495,TBL_equipe,18,FALSE)</f>
        <v/>
      </c>
      <c r="D503" s="223"/>
      <c r="E503" s="224"/>
      <c r="F503" s="219"/>
      <c r="G503" s="403" t="str">
        <f>VLOOKUP(U495,TBL_equipe,21,FALSE)</f>
        <v/>
      </c>
      <c r="H503" s="224"/>
      <c r="I503" s="222"/>
      <c r="J503" s="246" t="str">
        <f>VLOOKUP(U495,TBL_equipe,20,FALSE)</f>
        <v/>
      </c>
      <c r="K503" s="224"/>
      <c r="L503" s="260" t="str">
        <f>VLOOKUP(U495,TBL_equipe,22,FALSE)</f>
        <v/>
      </c>
      <c r="M503" s="287">
        <f>G495</f>
        <v>0</v>
      </c>
      <c r="N503" s="288"/>
      <c r="O503" s="249"/>
      <c r="Q503" s="254"/>
      <c r="R503" s="254"/>
      <c r="S503" s="254"/>
      <c r="T503" s="254"/>
      <c r="U503" s="254"/>
      <c r="V503" s="254"/>
      <c r="W503" s="254"/>
      <c r="X503" s="254"/>
      <c r="Y503" s="254"/>
    </row>
    <row r="504" spans="1:25" ht="24" customHeight="1" x14ac:dyDescent="0.2">
      <c r="A504" s="258" t="str">
        <f>VLOOKUP(U495,TBL_equipe,23,FALSE)</f>
        <v/>
      </c>
      <c r="B504" s="223"/>
      <c r="C504" s="259" t="str">
        <f>VLOOKUP(U495,TBL_equipe,24,FALSE)</f>
        <v/>
      </c>
      <c r="D504" s="223"/>
      <c r="E504" s="224"/>
      <c r="F504" s="219"/>
      <c r="G504" s="403" t="str">
        <f>VLOOKUP(U495,TBL_equipe,27,FALSE)</f>
        <v/>
      </c>
      <c r="H504" s="224"/>
      <c r="I504" s="222"/>
      <c r="J504" s="246" t="str">
        <f>VLOOKUP(U495,TBL_equipe,26,FALSE)</f>
        <v/>
      </c>
      <c r="K504" s="224"/>
      <c r="L504" s="260" t="str">
        <f>VLOOKUP(U495,TBL_equipe,28,FALSE)</f>
        <v/>
      </c>
      <c r="M504" s="289">
        <f>G495</f>
        <v>0</v>
      </c>
      <c r="N504" s="290"/>
      <c r="O504" s="249"/>
    </row>
    <row r="505" spans="1:25" ht="15" customHeight="1" thickBot="1" x14ac:dyDescent="0.25"/>
    <row r="506" spans="1:25" ht="20.100000000000001" customHeight="1" x14ac:dyDescent="0.2">
      <c r="F506" s="1081" t="s">
        <v>555</v>
      </c>
      <c r="G506" s="1082"/>
      <c r="H506" s="1082"/>
      <c r="I506" s="1082"/>
      <c r="J506" s="1083"/>
      <c r="K506" s="1081" t="s">
        <v>556</v>
      </c>
      <c r="L506" s="1082"/>
      <c r="M506" s="1082"/>
      <c r="N506" s="1082"/>
      <c r="O506" s="1083"/>
      <c r="P506" s="1081" t="s">
        <v>557</v>
      </c>
      <c r="Q506" s="1082"/>
      <c r="R506" s="1082"/>
      <c r="S506" s="1082"/>
      <c r="T506" s="1083"/>
      <c r="U506" s="1081" t="s">
        <v>558</v>
      </c>
      <c r="V506" s="1082"/>
      <c r="W506" s="1082"/>
      <c r="X506" s="1082"/>
      <c r="Y506" s="1083"/>
    </row>
    <row r="507" spans="1:25" ht="20.100000000000001" customHeight="1" x14ac:dyDescent="0.2">
      <c r="A507" s="1075" t="s">
        <v>559</v>
      </c>
      <c r="B507" s="1075"/>
      <c r="C507" s="1075"/>
      <c r="D507" s="1075"/>
      <c r="E507" s="1089"/>
      <c r="F507" s="1090" t="s">
        <v>560</v>
      </c>
      <c r="G507" s="1075"/>
      <c r="H507" s="1075"/>
      <c r="J507" s="225" t="s">
        <v>7</v>
      </c>
      <c r="K507" s="1090" t="s">
        <v>560</v>
      </c>
      <c r="L507" s="1075"/>
      <c r="M507" s="1075"/>
      <c r="O507" s="225" t="s">
        <v>7</v>
      </c>
      <c r="P507" s="1090" t="s">
        <v>560</v>
      </c>
      <c r="Q507" s="1075"/>
      <c r="R507" s="1075"/>
      <c r="T507" s="225" t="s">
        <v>7</v>
      </c>
      <c r="U507" s="1090" t="s">
        <v>560</v>
      </c>
      <c r="V507" s="1075"/>
      <c r="W507" s="1075"/>
      <c r="Y507" s="225" t="s">
        <v>7</v>
      </c>
    </row>
    <row r="508" spans="1:25" ht="24" customHeight="1" x14ac:dyDescent="0.2">
      <c r="A508" s="261" t="str">
        <f>A501</f>
        <v/>
      </c>
      <c r="B508" s="227"/>
      <c r="C508" s="262" t="str">
        <f>C501</f>
        <v/>
      </c>
      <c r="D508" s="227"/>
      <c r="E508" s="227"/>
      <c r="F508" s="228"/>
      <c r="G508" s="229"/>
      <c r="H508" s="229"/>
      <c r="I508" s="230" t="s">
        <v>561</v>
      </c>
      <c r="J508" s="231"/>
      <c r="K508" s="228"/>
      <c r="L508" s="229"/>
      <c r="M508" s="229"/>
      <c r="N508" s="230" t="s">
        <v>561</v>
      </c>
      <c r="O508" s="231"/>
      <c r="P508" s="228"/>
      <c r="Q508" s="229"/>
      <c r="R508" s="229"/>
      <c r="S508" s="230" t="s">
        <v>561</v>
      </c>
      <c r="T508" s="231"/>
      <c r="U508" s="228"/>
      <c r="V508" s="229"/>
      <c r="W508" s="229"/>
      <c r="X508" s="230" t="s">
        <v>561</v>
      </c>
      <c r="Y508" s="231"/>
    </row>
    <row r="509" spans="1:25" ht="24" customHeight="1" x14ac:dyDescent="0.2">
      <c r="A509" s="261" t="str">
        <f>A502</f>
        <v/>
      </c>
      <c r="B509" s="227"/>
      <c r="C509" s="262" t="str">
        <f>C502</f>
        <v/>
      </c>
      <c r="D509" s="227"/>
      <c r="E509" s="227"/>
      <c r="F509" s="228"/>
      <c r="G509" s="229"/>
      <c r="H509" s="229"/>
      <c r="I509" s="230" t="s">
        <v>561</v>
      </c>
      <c r="J509" s="231"/>
      <c r="K509" s="228"/>
      <c r="L509" s="229"/>
      <c r="M509" s="229"/>
      <c r="N509" s="230" t="s">
        <v>561</v>
      </c>
      <c r="O509" s="231"/>
      <c r="P509" s="228"/>
      <c r="Q509" s="229"/>
      <c r="R509" s="229"/>
      <c r="S509" s="230" t="s">
        <v>561</v>
      </c>
      <c r="T509" s="231"/>
      <c r="U509" s="228"/>
      <c r="V509" s="229"/>
      <c r="W509" s="229"/>
      <c r="X509" s="230" t="s">
        <v>561</v>
      </c>
      <c r="Y509" s="231"/>
    </row>
    <row r="510" spans="1:25" ht="24" customHeight="1" x14ac:dyDescent="0.2">
      <c r="A510" s="261" t="str">
        <f>A503</f>
        <v/>
      </c>
      <c r="B510" s="227"/>
      <c r="C510" s="262" t="str">
        <f>C503</f>
        <v/>
      </c>
      <c r="D510" s="227"/>
      <c r="E510" s="227"/>
      <c r="F510" s="228"/>
      <c r="G510" s="229"/>
      <c r="H510" s="229"/>
      <c r="I510" s="230" t="s">
        <v>561</v>
      </c>
      <c r="J510" s="231"/>
      <c r="K510" s="228"/>
      <c r="L510" s="229"/>
      <c r="M510" s="229"/>
      <c r="N510" s="230" t="s">
        <v>561</v>
      </c>
      <c r="O510" s="231"/>
      <c r="P510" s="228"/>
      <c r="Q510" s="229"/>
      <c r="R510" s="229"/>
      <c r="S510" s="230" t="s">
        <v>561</v>
      </c>
      <c r="T510" s="231"/>
      <c r="U510" s="228"/>
      <c r="V510" s="229"/>
      <c r="W510" s="229"/>
      <c r="X510" s="230" t="s">
        <v>561</v>
      </c>
      <c r="Y510" s="231"/>
    </row>
    <row r="511" spans="1:25" ht="24" customHeight="1" x14ac:dyDescent="0.2">
      <c r="A511" s="261" t="str">
        <f>A504</f>
        <v/>
      </c>
      <c r="B511" s="227"/>
      <c r="C511" s="262" t="str">
        <f>C504</f>
        <v/>
      </c>
      <c r="D511" s="227"/>
      <c r="E511" s="227"/>
      <c r="F511" s="228"/>
      <c r="G511" s="229"/>
      <c r="H511" s="229"/>
      <c r="I511" s="230" t="s">
        <v>561</v>
      </c>
      <c r="J511" s="232"/>
      <c r="K511" s="228"/>
      <c r="L511" s="229"/>
      <c r="M511" s="229"/>
      <c r="N511" s="230" t="s">
        <v>561</v>
      </c>
      <c r="O511" s="232"/>
      <c r="P511" s="228"/>
      <c r="Q511" s="229"/>
      <c r="R511" s="229"/>
      <c r="S511" s="230" t="s">
        <v>561</v>
      </c>
      <c r="T511" s="232"/>
      <c r="U511" s="228"/>
      <c r="V511" s="229"/>
      <c r="W511" s="229"/>
      <c r="X511" s="230" t="s">
        <v>561</v>
      </c>
      <c r="Y511" s="232"/>
    </row>
    <row r="512" spans="1:25" ht="24" customHeight="1" thickBot="1" x14ac:dyDescent="0.25">
      <c r="F512" s="1079" t="s">
        <v>562</v>
      </c>
      <c r="G512" s="1080"/>
      <c r="H512" s="1080"/>
      <c r="I512" s="230" t="s">
        <v>561</v>
      </c>
      <c r="J512" s="231"/>
      <c r="K512" s="1079" t="s">
        <v>563</v>
      </c>
      <c r="L512" s="1080"/>
      <c r="M512" s="1080"/>
      <c r="N512" s="230" t="s">
        <v>561</v>
      </c>
      <c r="O512" s="232"/>
      <c r="P512" s="1079" t="s">
        <v>564</v>
      </c>
      <c r="Q512" s="1080"/>
      <c r="R512" s="1080"/>
      <c r="S512" s="230" t="s">
        <v>561</v>
      </c>
      <c r="T512" s="232"/>
      <c r="U512" s="1079" t="s">
        <v>565</v>
      </c>
      <c r="V512" s="1080"/>
      <c r="W512" s="1080"/>
      <c r="X512" s="230" t="s">
        <v>561</v>
      </c>
      <c r="Y512" s="232"/>
    </row>
    <row r="513" spans="1:25" ht="24" customHeight="1" thickBot="1" x14ac:dyDescent="0.25">
      <c r="F513" s="233"/>
      <c r="G513" s="234"/>
      <c r="H513" s="235" t="s">
        <v>566</v>
      </c>
      <c r="I513" s="235"/>
      <c r="J513" s="236"/>
      <c r="K513" s="1092" t="s">
        <v>567</v>
      </c>
      <c r="L513" s="1085"/>
      <c r="M513" s="1085"/>
      <c r="N513" s="237" t="s">
        <v>561</v>
      </c>
      <c r="O513" s="238"/>
      <c r="P513" s="1092" t="s">
        <v>568</v>
      </c>
      <c r="Q513" s="1085"/>
      <c r="R513" s="1085"/>
      <c r="S513" s="237" t="s">
        <v>561</v>
      </c>
      <c r="T513" s="238"/>
      <c r="U513" s="1092" t="s">
        <v>569</v>
      </c>
      <c r="V513" s="1085"/>
      <c r="W513" s="1085"/>
      <c r="X513" s="237" t="s">
        <v>561</v>
      </c>
      <c r="Y513" s="239"/>
    </row>
    <row r="514" spans="1:25" ht="12.75" customHeight="1" x14ac:dyDescent="0.2">
      <c r="Y514" s="240" t="s">
        <v>570</v>
      </c>
    </row>
    <row r="515" spans="1:25" ht="15.75" customHeight="1" x14ac:dyDescent="0.2">
      <c r="B515" s="1091" t="s">
        <v>521</v>
      </c>
      <c r="C515" s="1091"/>
      <c r="D515" s="1091"/>
      <c r="E515" s="1091"/>
      <c r="F515" s="1091"/>
      <c r="G515" s="1091"/>
      <c r="H515" s="1091"/>
      <c r="I515" s="1091"/>
      <c r="J515" s="1091"/>
      <c r="K515" s="1091"/>
      <c r="L515" s="1091"/>
      <c r="O515" s="1091" t="s">
        <v>522</v>
      </c>
      <c r="P515" s="1091"/>
      <c r="Q515" s="1091"/>
      <c r="R515" s="1091"/>
      <c r="S515" s="1091"/>
      <c r="T515" s="1091"/>
      <c r="U515" s="1091"/>
      <c r="V515" s="1091"/>
      <c r="W515" s="1091"/>
      <c r="X515" s="1091"/>
      <c r="Y515" s="1091"/>
    </row>
    <row r="516" spans="1:25" ht="13.5" customHeight="1" x14ac:dyDescent="0.2">
      <c r="B516" s="1086" t="s">
        <v>1</v>
      </c>
      <c r="C516" s="1087"/>
      <c r="D516" s="1087"/>
      <c r="E516" s="1087"/>
      <c r="F516" s="1087"/>
      <c r="G516" s="1087"/>
      <c r="H516" s="1088"/>
      <c r="I516" s="1086" t="s">
        <v>520</v>
      </c>
      <c r="J516" s="1087"/>
      <c r="K516" s="1087"/>
      <c r="L516" s="1088"/>
      <c r="N516" s="241"/>
      <c r="O516" s="1086" t="s">
        <v>1</v>
      </c>
      <c r="P516" s="1087"/>
      <c r="Q516" s="1087"/>
      <c r="R516" s="1087"/>
      <c r="S516" s="1087"/>
      <c r="T516" s="1087"/>
      <c r="U516" s="1088"/>
      <c r="V516" s="1086" t="s">
        <v>520</v>
      </c>
      <c r="W516" s="1087"/>
      <c r="X516" s="1087"/>
      <c r="Y516" s="1088"/>
    </row>
    <row r="517" spans="1:25" ht="21.75" customHeight="1" x14ac:dyDescent="0.2">
      <c r="B517" s="242"/>
      <c r="C517" s="243"/>
      <c r="D517" s="243"/>
      <c r="E517" s="243"/>
      <c r="F517" s="243"/>
      <c r="G517" s="243"/>
      <c r="H517" s="243"/>
      <c r="I517" s="242"/>
      <c r="J517" s="243"/>
      <c r="K517" s="243"/>
      <c r="L517" s="244"/>
      <c r="N517" s="241"/>
      <c r="O517" s="242"/>
      <c r="P517" s="243"/>
      <c r="Q517" s="243"/>
      <c r="R517" s="243"/>
      <c r="S517" s="243"/>
      <c r="T517" s="243"/>
      <c r="U517" s="243"/>
      <c r="V517" s="242"/>
      <c r="W517" s="243"/>
      <c r="X517" s="243"/>
      <c r="Y517" s="244"/>
    </row>
    <row r="518" spans="1:25" ht="13.5" customHeight="1" x14ac:dyDescent="0.2"/>
    <row r="519" spans="1:25" ht="14.25" customHeight="1" thickBot="1" x14ac:dyDescent="0.25">
      <c r="A519" s="241"/>
      <c r="G519" s="305"/>
      <c r="H519" s="305"/>
      <c r="I519" s="1069" t="s">
        <v>0</v>
      </c>
      <c r="J519" s="1069"/>
      <c r="K519" s="1069"/>
      <c r="L519" s="1069"/>
      <c r="M519" s="1069"/>
      <c r="N519" s="1069"/>
      <c r="O519" s="1069"/>
      <c r="P519" s="1069" t="s">
        <v>374</v>
      </c>
      <c r="Q519" s="1069"/>
      <c r="R519" s="1069"/>
      <c r="S519" s="1069"/>
      <c r="T519" s="1069"/>
      <c r="U519" s="1069" t="s">
        <v>571</v>
      </c>
      <c r="V519" s="1069"/>
      <c r="W519" s="1069"/>
      <c r="X519" s="305"/>
      <c r="Y519" s="305"/>
    </row>
    <row r="520" spans="1:25" ht="20.25" customHeight="1" x14ac:dyDescent="0.2">
      <c r="A520" s="241"/>
      <c r="F520" s="1074" t="s">
        <v>584</v>
      </c>
      <c r="G520" s="1074"/>
      <c r="H520" s="1074"/>
      <c r="I520" s="316"/>
      <c r="J520" s="306"/>
      <c r="K520" s="306"/>
      <c r="L520" s="306"/>
      <c r="M520" s="306"/>
      <c r="N520" s="306"/>
      <c r="O520" s="306"/>
      <c r="P520" s="312"/>
      <c r="Q520" s="306"/>
      <c r="R520" s="307"/>
      <c r="S520" s="304"/>
      <c r="T520" s="313"/>
      <c r="U520" s="310"/>
      <c r="V520" s="1084" t="s">
        <v>495</v>
      </c>
      <c r="W520" s="308"/>
    </row>
    <row r="521" spans="1:25" ht="13.5" thickBot="1" x14ac:dyDescent="0.25">
      <c r="F521" s="1074"/>
      <c r="G521" s="1074"/>
      <c r="H521" s="1074"/>
      <c r="I521" s="303"/>
      <c r="J521" s="235"/>
      <c r="K521" s="235"/>
      <c r="L521" s="235"/>
      <c r="M521" s="235"/>
      <c r="N521" s="235"/>
      <c r="O521" s="235"/>
      <c r="P521" s="314"/>
      <c r="Q521" s="235"/>
      <c r="R521" s="234"/>
      <c r="S521" s="234"/>
      <c r="T521" s="315"/>
      <c r="U521" s="311"/>
      <c r="V521" s="1085"/>
      <c r="W521" s="309"/>
    </row>
    <row r="523" spans="1:25" ht="6.75" customHeight="1" x14ac:dyDescent="0.2"/>
    <row r="524" spans="1:25" s="218" customFormat="1" ht="23.25" customHeight="1" x14ac:dyDescent="0.2">
      <c r="A524" s="1072" t="s">
        <v>546</v>
      </c>
      <c r="B524" s="1073"/>
      <c r="C524" s="402"/>
      <c r="D524" s="1098" t="s">
        <v>628</v>
      </c>
      <c r="E524" s="1072"/>
      <c r="F524" s="1072"/>
      <c r="G524" s="1103"/>
      <c r="H524" s="1104"/>
      <c r="K524" s="218" t="str">
        <f>RIGHT(CATEG_IMPORTEE, LEN(CATEG_IMPORTEE) - 2)</f>
        <v>llèges Mixtes Etablissement</v>
      </c>
      <c r="T524" s="397" t="s">
        <v>627</v>
      </c>
      <c r="U524" s="401">
        <v>19</v>
      </c>
      <c r="V524" s="396" t="s">
        <v>547</v>
      </c>
      <c r="W524" s="401"/>
      <c r="X524" s="395"/>
    </row>
    <row r="525" spans="1:25" ht="27" customHeight="1" thickBot="1" x14ac:dyDescent="0.25">
      <c r="B525" s="1069" t="s">
        <v>0</v>
      </c>
      <c r="C525" s="1069"/>
      <c r="D525" s="1069"/>
      <c r="E525" s="1069"/>
      <c r="F525" s="1069"/>
      <c r="G525" s="1069"/>
      <c r="H525" s="1069"/>
      <c r="I525" s="1069" t="s">
        <v>374</v>
      </c>
      <c r="J525" s="1069"/>
      <c r="K525" s="1069"/>
      <c r="L525" s="1069"/>
      <c r="O525" s="1069" t="s">
        <v>0</v>
      </c>
      <c r="P525" s="1069"/>
      <c r="Q525" s="1069"/>
      <c r="R525" s="1069"/>
      <c r="S525" s="1069"/>
      <c r="T525" s="1069"/>
      <c r="U525" s="1069"/>
      <c r="V525" s="1069" t="s">
        <v>374</v>
      </c>
      <c r="W525" s="1069"/>
      <c r="X525" s="1069"/>
      <c r="Y525" s="1069"/>
    </row>
    <row r="526" spans="1:25" ht="24" customHeight="1" thickBot="1" x14ac:dyDescent="0.25">
      <c r="A526" s="219"/>
      <c r="B526" s="398" t="str">
        <f>VLOOKUP(U524,TBL_equipe,2,FALSE)</f>
        <v/>
      </c>
      <c r="C526" s="399"/>
      <c r="D526" s="399"/>
      <c r="E526" s="399"/>
      <c r="F526" s="399"/>
      <c r="G526" s="399"/>
      <c r="H526" s="400"/>
      <c r="I526" s="257" t="str">
        <f>VLOOKUP(U524,TBL_equipe,4,FALSE)</f>
        <v/>
      </c>
      <c r="J526" s="220"/>
      <c r="K526" s="220"/>
      <c r="L526" s="221"/>
      <c r="M526" s="1070" t="s">
        <v>547</v>
      </c>
      <c r="N526" s="1071"/>
      <c r="O526" s="398" t="e">
        <f>VLOOKUP(W524,TBL_equipe,2,FALSE)</f>
        <v>#N/A</v>
      </c>
      <c r="P526" s="220"/>
      <c r="Q526" s="220"/>
      <c r="R526" s="220"/>
      <c r="S526" s="220"/>
      <c r="T526" s="220"/>
      <c r="U526" s="221"/>
      <c r="V526" s="257" t="e">
        <f>VLOOKUP(W524,TBL_equipe,4,FALSE)</f>
        <v>#N/A</v>
      </c>
      <c r="W526" s="220"/>
      <c r="X526" s="220"/>
      <c r="Y526" s="221"/>
    </row>
    <row r="527" spans="1:25" ht="15" customHeight="1" x14ac:dyDescent="0.2"/>
    <row r="528" spans="1:25" ht="20.100000000000001" customHeight="1" x14ac:dyDescent="0.2">
      <c r="A528" s="1074" t="s">
        <v>548</v>
      </c>
      <c r="B528" s="1074"/>
      <c r="C528" s="1074"/>
      <c r="D528" s="1074"/>
      <c r="E528" s="1074"/>
    </row>
    <row r="529" spans="1:25" ht="20.100000000000001" customHeight="1" x14ac:dyDescent="0.2">
      <c r="A529" s="1075" t="s">
        <v>549</v>
      </c>
      <c r="B529" s="1075"/>
      <c r="C529" s="1075"/>
      <c r="D529" s="1075"/>
      <c r="E529" s="1075"/>
      <c r="G529" s="1076" t="s">
        <v>480</v>
      </c>
      <c r="H529" s="1076"/>
      <c r="I529" s="1077" t="s">
        <v>550</v>
      </c>
      <c r="J529" s="1077"/>
      <c r="K529" s="1077"/>
      <c r="L529" s="252" t="s">
        <v>551</v>
      </c>
      <c r="M529" s="1078" t="s">
        <v>552</v>
      </c>
      <c r="N529" s="1078"/>
      <c r="O529" s="251"/>
    </row>
    <row r="530" spans="1:25" ht="24" customHeight="1" x14ac:dyDescent="0.2">
      <c r="A530" s="258" t="str">
        <f>VLOOKUP(U524,TBL_equipe,5,FALSE)</f>
        <v/>
      </c>
      <c r="B530" s="223"/>
      <c r="C530" s="259" t="str">
        <f>VLOOKUP(U524,TBL_equipe,6,FALSE)</f>
        <v/>
      </c>
      <c r="D530" s="223"/>
      <c r="E530" s="224"/>
      <c r="F530" s="219"/>
      <c r="G530" s="403" t="str">
        <f>VLOOKUP(U524,TBL_equipe,9,FALSE)</f>
        <v/>
      </c>
      <c r="H530" s="224"/>
      <c r="I530" s="222"/>
      <c r="J530" s="246" t="str">
        <f>VLOOKUP(U524,TBL_equipe,8,FALSE)</f>
        <v/>
      </c>
      <c r="K530" s="224"/>
      <c r="L530" s="260" t="str">
        <f>VLOOKUP(U524,TBL_equipe,10,FALSE)</f>
        <v/>
      </c>
      <c r="M530" s="287">
        <f>G524</f>
        <v>0</v>
      </c>
      <c r="N530" s="288"/>
      <c r="O530" s="249"/>
      <c r="R530" s="254"/>
      <c r="S530" s="254"/>
      <c r="T530" s="254" t="s">
        <v>629</v>
      </c>
      <c r="U530" s="254"/>
      <c r="V530" s="254"/>
      <c r="W530" s="254"/>
      <c r="X530" s="254"/>
      <c r="Y530" s="254"/>
    </row>
    <row r="531" spans="1:25" ht="24" customHeight="1" x14ac:dyDescent="0.2">
      <c r="A531" s="258" t="str">
        <f>VLOOKUP(U524,TBL_equipe,11,FALSE)</f>
        <v/>
      </c>
      <c r="B531" s="223"/>
      <c r="C531" s="259" t="str">
        <f>VLOOKUP(U524,TBL_equipe,12,FALSE)</f>
        <v/>
      </c>
      <c r="D531" s="223"/>
      <c r="E531" s="224"/>
      <c r="F531" s="219"/>
      <c r="G531" s="403" t="str">
        <f>VLOOKUP(U524,TBL_equipe,15,FALSE)</f>
        <v/>
      </c>
      <c r="H531" s="224"/>
      <c r="I531" s="222"/>
      <c r="J531" s="246" t="str">
        <f>VLOOKUP(U524,TBL_equipe,14,FALSE)</f>
        <v/>
      </c>
      <c r="K531" s="224"/>
      <c r="L531" s="260" t="str">
        <f>VLOOKUP(U524,TBL_equipe,16,FALSE)</f>
        <v/>
      </c>
      <c r="M531" s="287">
        <f>G524</f>
        <v>0</v>
      </c>
      <c r="N531" s="288"/>
      <c r="O531" s="249"/>
      <c r="Q531" s="254"/>
      <c r="R531" s="254"/>
      <c r="S531" s="254"/>
      <c r="T531" s="254"/>
      <c r="U531" s="254"/>
      <c r="V531" s="254"/>
      <c r="W531" s="254"/>
      <c r="X531" s="254"/>
      <c r="Y531" s="254"/>
    </row>
    <row r="532" spans="1:25" ht="24" customHeight="1" x14ac:dyDescent="0.2">
      <c r="A532" s="258" t="str">
        <f>VLOOKUP(U524,TBL_equipe,17,FALSE)</f>
        <v/>
      </c>
      <c r="B532" s="223"/>
      <c r="C532" s="259" t="str">
        <f>VLOOKUP(U524,TBL_equipe,18,FALSE)</f>
        <v/>
      </c>
      <c r="D532" s="223"/>
      <c r="E532" s="224"/>
      <c r="F532" s="219"/>
      <c r="G532" s="403" t="str">
        <f>VLOOKUP(U524,TBL_equipe,21,FALSE)</f>
        <v/>
      </c>
      <c r="H532" s="224"/>
      <c r="I532" s="222"/>
      <c r="J532" s="246" t="str">
        <f>VLOOKUP(U524,TBL_equipe,20,FALSE)</f>
        <v/>
      </c>
      <c r="K532" s="224"/>
      <c r="L532" s="260" t="str">
        <f>VLOOKUP(U524,TBL_equipe,22,FALSE)</f>
        <v/>
      </c>
      <c r="M532" s="287">
        <f>G524</f>
        <v>0</v>
      </c>
      <c r="N532" s="288"/>
      <c r="O532" s="249"/>
      <c r="Q532" s="254"/>
      <c r="R532" s="254"/>
      <c r="S532" s="254"/>
      <c r="T532" s="254"/>
      <c r="U532" s="254"/>
      <c r="V532" s="254"/>
      <c r="W532" s="254"/>
      <c r="X532" s="254"/>
      <c r="Y532" s="254"/>
    </row>
    <row r="533" spans="1:25" ht="24" customHeight="1" x14ac:dyDescent="0.2">
      <c r="A533" s="258" t="str">
        <f>VLOOKUP(U524,TBL_equipe,23,FALSE)</f>
        <v/>
      </c>
      <c r="B533" s="223"/>
      <c r="C533" s="259" t="str">
        <f>VLOOKUP(U524,TBL_equipe,24,FALSE)</f>
        <v/>
      </c>
      <c r="D533" s="223"/>
      <c r="E533" s="224"/>
      <c r="F533" s="219"/>
      <c r="G533" s="403" t="str">
        <f>VLOOKUP(U524,TBL_equipe,27,FALSE)</f>
        <v/>
      </c>
      <c r="H533" s="224"/>
      <c r="I533" s="222"/>
      <c r="J533" s="246" t="str">
        <f>VLOOKUP(U524,TBL_equipe,26,FALSE)</f>
        <v/>
      </c>
      <c r="K533" s="224"/>
      <c r="L533" s="260" t="str">
        <f>VLOOKUP(U524,TBL_equipe,28,FALSE)</f>
        <v/>
      </c>
      <c r="M533" s="289">
        <f>G524</f>
        <v>0</v>
      </c>
      <c r="N533" s="290"/>
      <c r="O533" s="249"/>
    </row>
    <row r="534" spans="1:25" ht="15" customHeight="1" thickBot="1" x14ac:dyDescent="0.25"/>
    <row r="535" spans="1:25" ht="20.100000000000001" customHeight="1" x14ac:dyDescent="0.2">
      <c r="F535" s="1081" t="s">
        <v>555</v>
      </c>
      <c r="G535" s="1082"/>
      <c r="H535" s="1082"/>
      <c r="I535" s="1082"/>
      <c r="J535" s="1083"/>
      <c r="K535" s="1081" t="s">
        <v>556</v>
      </c>
      <c r="L535" s="1082"/>
      <c r="M535" s="1082"/>
      <c r="N535" s="1082"/>
      <c r="O535" s="1083"/>
      <c r="P535" s="1081" t="s">
        <v>557</v>
      </c>
      <c r="Q535" s="1082"/>
      <c r="R535" s="1082"/>
      <c r="S535" s="1082"/>
      <c r="T535" s="1083"/>
      <c r="U535" s="1081" t="s">
        <v>558</v>
      </c>
      <c r="V535" s="1082"/>
      <c r="W535" s="1082"/>
      <c r="X535" s="1082"/>
      <c r="Y535" s="1083"/>
    </row>
    <row r="536" spans="1:25" ht="20.100000000000001" customHeight="1" x14ac:dyDescent="0.2">
      <c r="A536" s="1075" t="s">
        <v>559</v>
      </c>
      <c r="B536" s="1075"/>
      <c r="C536" s="1075"/>
      <c r="D536" s="1075"/>
      <c r="E536" s="1089"/>
      <c r="F536" s="1090" t="s">
        <v>560</v>
      </c>
      <c r="G536" s="1075"/>
      <c r="H536" s="1075"/>
      <c r="J536" s="225" t="s">
        <v>7</v>
      </c>
      <c r="K536" s="1090" t="s">
        <v>560</v>
      </c>
      <c r="L536" s="1075"/>
      <c r="M536" s="1075"/>
      <c r="O536" s="225" t="s">
        <v>7</v>
      </c>
      <c r="P536" s="1090" t="s">
        <v>560</v>
      </c>
      <c r="Q536" s="1075"/>
      <c r="R536" s="1075"/>
      <c r="T536" s="225" t="s">
        <v>7</v>
      </c>
      <c r="U536" s="1090" t="s">
        <v>560</v>
      </c>
      <c r="V536" s="1075"/>
      <c r="W536" s="1075"/>
      <c r="Y536" s="225" t="s">
        <v>7</v>
      </c>
    </row>
    <row r="537" spans="1:25" ht="24" customHeight="1" x14ac:dyDescent="0.2">
      <c r="A537" s="261" t="str">
        <f>A530</f>
        <v/>
      </c>
      <c r="B537" s="227"/>
      <c r="C537" s="262" t="str">
        <f>C530</f>
        <v/>
      </c>
      <c r="D537" s="227"/>
      <c r="E537" s="227"/>
      <c r="F537" s="228"/>
      <c r="G537" s="229"/>
      <c r="H537" s="229"/>
      <c r="I537" s="230" t="s">
        <v>561</v>
      </c>
      <c r="J537" s="231"/>
      <c r="K537" s="228"/>
      <c r="L537" s="229"/>
      <c r="M537" s="229"/>
      <c r="N537" s="230" t="s">
        <v>561</v>
      </c>
      <c r="O537" s="231"/>
      <c r="P537" s="228"/>
      <c r="Q537" s="229"/>
      <c r="R537" s="229"/>
      <c r="S537" s="230" t="s">
        <v>561</v>
      </c>
      <c r="T537" s="231"/>
      <c r="U537" s="228"/>
      <c r="V537" s="229"/>
      <c r="W537" s="229"/>
      <c r="X537" s="230" t="s">
        <v>561</v>
      </c>
      <c r="Y537" s="231"/>
    </row>
    <row r="538" spans="1:25" ht="24" customHeight="1" x14ac:dyDescent="0.2">
      <c r="A538" s="261" t="str">
        <f>A531</f>
        <v/>
      </c>
      <c r="B538" s="227"/>
      <c r="C538" s="262" t="str">
        <f>C531</f>
        <v/>
      </c>
      <c r="D538" s="227"/>
      <c r="E538" s="227"/>
      <c r="F538" s="228"/>
      <c r="G538" s="229"/>
      <c r="H538" s="229"/>
      <c r="I538" s="230" t="s">
        <v>561</v>
      </c>
      <c r="J538" s="231"/>
      <c r="K538" s="228"/>
      <c r="L538" s="229"/>
      <c r="M538" s="229"/>
      <c r="N538" s="230" t="s">
        <v>561</v>
      </c>
      <c r="O538" s="231"/>
      <c r="P538" s="228"/>
      <c r="Q538" s="229"/>
      <c r="R538" s="229"/>
      <c r="S538" s="230" t="s">
        <v>561</v>
      </c>
      <c r="T538" s="231"/>
      <c r="U538" s="228"/>
      <c r="V538" s="229"/>
      <c r="W538" s="229"/>
      <c r="X538" s="230" t="s">
        <v>561</v>
      </c>
      <c r="Y538" s="231"/>
    </row>
    <row r="539" spans="1:25" ht="24" customHeight="1" x14ac:dyDescent="0.2">
      <c r="A539" s="261" t="str">
        <f>A532</f>
        <v/>
      </c>
      <c r="B539" s="227"/>
      <c r="C539" s="262" t="str">
        <f>C532</f>
        <v/>
      </c>
      <c r="D539" s="227"/>
      <c r="E539" s="227"/>
      <c r="F539" s="228"/>
      <c r="G539" s="229"/>
      <c r="H539" s="229"/>
      <c r="I539" s="230" t="s">
        <v>561</v>
      </c>
      <c r="J539" s="231"/>
      <c r="K539" s="228"/>
      <c r="L539" s="229"/>
      <c r="M539" s="229"/>
      <c r="N539" s="230" t="s">
        <v>561</v>
      </c>
      <c r="O539" s="231"/>
      <c r="P539" s="228"/>
      <c r="Q539" s="229"/>
      <c r="R539" s="229"/>
      <c r="S539" s="230" t="s">
        <v>561</v>
      </c>
      <c r="T539" s="231"/>
      <c r="U539" s="228"/>
      <c r="V539" s="229"/>
      <c r="W539" s="229"/>
      <c r="X539" s="230" t="s">
        <v>561</v>
      </c>
      <c r="Y539" s="231"/>
    </row>
    <row r="540" spans="1:25" ht="24" customHeight="1" x14ac:dyDescent="0.2">
      <c r="A540" s="261" t="str">
        <f>A533</f>
        <v/>
      </c>
      <c r="B540" s="227"/>
      <c r="C540" s="262" t="str">
        <f>C533</f>
        <v/>
      </c>
      <c r="D540" s="227"/>
      <c r="E540" s="227"/>
      <c r="F540" s="228"/>
      <c r="G540" s="229"/>
      <c r="H540" s="229"/>
      <c r="I540" s="230" t="s">
        <v>561</v>
      </c>
      <c r="J540" s="232"/>
      <c r="K540" s="228"/>
      <c r="L540" s="229"/>
      <c r="M540" s="229"/>
      <c r="N540" s="230" t="s">
        <v>561</v>
      </c>
      <c r="O540" s="232"/>
      <c r="P540" s="228"/>
      <c r="Q540" s="229"/>
      <c r="R540" s="229"/>
      <c r="S540" s="230" t="s">
        <v>561</v>
      </c>
      <c r="T540" s="232"/>
      <c r="U540" s="228"/>
      <c r="V540" s="229"/>
      <c r="W540" s="229"/>
      <c r="X540" s="230" t="s">
        <v>561</v>
      </c>
      <c r="Y540" s="232"/>
    </row>
    <row r="541" spans="1:25" ht="24" customHeight="1" thickBot="1" x14ac:dyDescent="0.25">
      <c r="F541" s="1079" t="s">
        <v>562</v>
      </c>
      <c r="G541" s="1080"/>
      <c r="H541" s="1080"/>
      <c r="I541" s="230" t="s">
        <v>561</v>
      </c>
      <c r="J541" s="231"/>
      <c r="K541" s="1079" t="s">
        <v>563</v>
      </c>
      <c r="L541" s="1080"/>
      <c r="M541" s="1080"/>
      <c r="N541" s="230" t="s">
        <v>561</v>
      </c>
      <c r="O541" s="232"/>
      <c r="P541" s="1079" t="s">
        <v>564</v>
      </c>
      <c r="Q541" s="1080"/>
      <c r="R541" s="1080"/>
      <c r="S541" s="230" t="s">
        <v>561</v>
      </c>
      <c r="T541" s="232"/>
      <c r="U541" s="1079" t="s">
        <v>565</v>
      </c>
      <c r="V541" s="1080"/>
      <c r="W541" s="1080"/>
      <c r="X541" s="230" t="s">
        <v>561</v>
      </c>
      <c r="Y541" s="232"/>
    </row>
    <row r="542" spans="1:25" ht="24" customHeight="1" thickBot="1" x14ac:dyDescent="0.25">
      <c r="F542" s="233"/>
      <c r="G542" s="234"/>
      <c r="H542" s="235" t="s">
        <v>566</v>
      </c>
      <c r="I542" s="235"/>
      <c r="J542" s="236"/>
      <c r="K542" s="1092" t="s">
        <v>567</v>
      </c>
      <c r="L542" s="1085"/>
      <c r="M542" s="1085"/>
      <c r="N542" s="237" t="s">
        <v>561</v>
      </c>
      <c r="O542" s="238"/>
      <c r="P542" s="1092" t="s">
        <v>568</v>
      </c>
      <c r="Q542" s="1085"/>
      <c r="R542" s="1085"/>
      <c r="S542" s="237" t="s">
        <v>561</v>
      </c>
      <c r="T542" s="238"/>
      <c r="U542" s="1092" t="s">
        <v>569</v>
      </c>
      <c r="V542" s="1085"/>
      <c r="W542" s="1085"/>
      <c r="X542" s="237" t="s">
        <v>561</v>
      </c>
      <c r="Y542" s="239"/>
    </row>
    <row r="543" spans="1:25" ht="12.75" customHeight="1" x14ac:dyDescent="0.2">
      <c r="Y543" s="240" t="s">
        <v>570</v>
      </c>
    </row>
    <row r="544" spans="1:25" ht="15.75" customHeight="1" x14ac:dyDescent="0.2">
      <c r="B544" s="1091" t="s">
        <v>521</v>
      </c>
      <c r="C544" s="1091"/>
      <c r="D544" s="1091"/>
      <c r="E544" s="1091"/>
      <c r="F544" s="1091"/>
      <c r="G544" s="1091"/>
      <c r="H544" s="1091"/>
      <c r="I544" s="1091"/>
      <c r="J544" s="1091"/>
      <c r="K544" s="1091"/>
      <c r="L544" s="1091"/>
      <c r="O544" s="1091" t="s">
        <v>522</v>
      </c>
      <c r="P544" s="1091"/>
      <c r="Q544" s="1091"/>
      <c r="R544" s="1091"/>
      <c r="S544" s="1091"/>
      <c r="T544" s="1091"/>
      <c r="U544" s="1091"/>
      <c r="V544" s="1091"/>
      <c r="W544" s="1091"/>
      <c r="X544" s="1091"/>
      <c r="Y544" s="1091"/>
    </row>
    <row r="545" spans="1:25" ht="13.5" customHeight="1" x14ac:dyDescent="0.2">
      <c r="B545" s="1086" t="s">
        <v>1</v>
      </c>
      <c r="C545" s="1087"/>
      <c r="D545" s="1087"/>
      <c r="E545" s="1087"/>
      <c r="F545" s="1087"/>
      <c r="G545" s="1087"/>
      <c r="H545" s="1088"/>
      <c r="I545" s="1086" t="s">
        <v>520</v>
      </c>
      <c r="J545" s="1087"/>
      <c r="K545" s="1087"/>
      <c r="L545" s="1088"/>
      <c r="N545" s="241"/>
      <c r="O545" s="1086" t="s">
        <v>1</v>
      </c>
      <c r="P545" s="1087"/>
      <c r="Q545" s="1087"/>
      <c r="R545" s="1087"/>
      <c r="S545" s="1087"/>
      <c r="T545" s="1087"/>
      <c r="U545" s="1088"/>
      <c r="V545" s="1086" t="s">
        <v>520</v>
      </c>
      <c r="W545" s="1087"/>
      <c r="X545" s="1087"/>
      <c r="Y545" s="1088"/>
    </row>
    <row r="546" spans="1:25" ht="21.75" customHeight="1" x14ac:dyDescent="0.2">
      <c r="B546" s="242"/>
      <c r="C546" s="243"/>
      <c r="D546" s="243"/>
      <c r="E546" s="243"/>
      <c r="F546" s="243"/>
      <c r="G546" s="243"/>
      <c r="H546" s="243"/>
      <c r="I546" s="242"/>
      <c r="J546" s="243"/>
      <c r="K546" s="243"/>
      <c r="L546" s="244"/>
      <c r="N546" s="241"/>
      <c r="O546" s="242"/>
      <c r="P546" s="243"/>
      <c r="Q546" s="243"/>
      <c r="R546" s="243"/>
      <c r="S546" s="243"/>
      <c r="T546" s="243"/>
      <c r="U546" s="243"/>
      <c r="V546" s="242"/>
      <c r="W546" s="243"/>
      <c r="X546" s="243"/>
      <c r="Y546" s="244"/>
    </row>
    <row r="547" spans="1:25" ht="13.5" customHeight="1" x14ac:dyDescent="0.2"/>
    <row r="548" spans="1:25" ht="14.25" customHeight="1" thickBot="1" x14ac:dyDescent="0.25">
      <c r="A548" s="241"/>
      <c r="G548" s="305"/>
      <c r="H548" s="305"/>
      <c r="I548" s="1069" t="s">
        <v>0</v>
      </c>
      <c r="J548" s="1069"/>
      <c r="K548" s="1069"/>
      <c r="L548" s="1069"/>
      <c r="M548" s="1069"/>
      <c r="N548" s="1069"/>
      <c r="O548" s="1069"/>
      <c r="P548" s="1069" t="s">
        <v>374</v>
      </c>
      <c r="Q548" s="1069"/>
      <c r="R548" s="1069"/>
      <c r="S548" s="1069"/>
      <c r="T548" s="1069"/>
      <c r="U548" s="1069" t="s">
        <v>571</v>
      </c>
      <c r="V548" s="1069"/>
      <c r="W548" s="1069"/>
      <c r="X548" s="305"/>
      <c r="Y548" s="305"/>
    </row>
    <row r="549" spans="1:25" ht="20.25" customHeight="1" x14ac:dyDescent="0.2">
      <c r="A549" s="241"/>
      <c r="F549" s="1074" t="s">
        <v>584</v>
      </c>
      <c r="G549" s="1074"/>
      <c r="H549" s="1074"/>
      <c r="I549" s="316"/>
      <c r="J549" s="306"/>
      <c r="K549" s="306"/>
      <c r="L549" s="306"/>
      <c r="M549" s="306"/>
      <c r="N549" s="306"/>
      <c r="O549" s="306"/>
      <c r="P549" s="312"/>
      <c r="Q549" s="306"/>
      <c r="R549" s="307"/>
      <c r="S549" s="304"/>
      <c r="T549" s="313"/>
      <c r="U549" s="310"/>
      <c r="V549" s="1084" t="s">
        <v>495</v>
      </c>
      <c r="W549" s="308"/>
    </row>
    <row r="550" spans="1:25" ht="13.5" thickBot="1" x14ac:dyDescent="0.25">
      <c r="F550" s="1074"/>
      <c r="G550" s="1074"/>
      <c r="H550" s="1074"/>
      <c r="I550" s="303"/>
      <c r="J550" s="235"/>
      <c r="K550" s="235"/>
      <c r="L550" s="235"/>
      <c r="M550" s="235"/>
      <c r="N550" s="235"/>
      <c r="O550" s="235"/>
      <c r="P550" s="314"/>
      <c r="Q550" s="235"/>
      <c r="R550" s="234"/>
      <c r="S550" s="234"/>
      <c r="T550" s="315"/>
      <c r="U550" s="311"/>
      <c r="V550" s="1085"/>
      <c r="W550" s="309"/>
    </row>
    <row r="552" spans="1:25" ht="6.75" customHeight="1" x14ac:dyDescent="0.2"/>
    <row r="553" spans="1:25" s="218" customFormat="1" ht="23.25" customHeight="1" x14ac:dyDescent="0.2">
      <c r="A553" s="1072" t="s">
        <v>546</v>
      </c>
      <c r="B553" s="1073"/>
      <c r="C553" s="402"/>
      <c r="D553" s="1098" t="s">
        <v>628</v>
      </c>
      <c r="E553" s="1072"/>
      <c r="F553" s="1072"/>
      <c r="G553" s="1103"/>
      <c r="H553" s="1104"/>
      <c r="K553" s="218" t="str">
        <f>RIGHT(CATEG_IMPORTEE, LEN(CATEG_IMPORTEE) - 2)</f>
        <v>llèges Mixtes Etablissement</v>
      </c>
      <c r="T553" s="397" t="s">
        <v>627</v>
      </c>
      <c r="U553" s="401">
        <v>20</v>
      </c>
      <c r="V553" s="396" t="s">
        <v>547</v>
      </c>
      <c r="W553" s="401"/>
      <c r="X553" s="395"/>
    </row>
    <row r="554" spans="1:25" ht="27" customHeight="1" thickBot="1" x14ac:dyDescent="0.25">
      <c r="B554" s="1069" t="s">
        <v>0</v>
      </c>
      <c r="C554" s="1069"/>
      <c r="D554" s="1069"/>
      <c r="E554" s="1069"/>
      <c r="F554" s="1069"/>
      <c r="G554" s="1069"/>
      <c r="H554" s="1069"/>
      <c r="I554" s="1069" t="s">
        <v>374</v>
      </c>
      <c r="J554" s="1069"/>
      <c r="K554" s="1069"/>
      <c r="L554" s="1069"/>
      <c r="O554" s="1069" t="s">
        <v>0</v>
      </c>
      <c r="P554" s="1069"/>
      <c r="Q554" s="1069"/>
      <c r="R554" s="1069"/>
      <c r="S554" s="1069"/>
      <c r="T554" s="1069"/>
      <c r="U554" s="1069"/>
      <c r="V554" s="1069" t="s">
        <v>374</v>
      </c>
      <c r="W554" s="1069"/>
      <c r="X554" s="1069"/>
      <c r="Y554" s="1069"/>
    </row>
    <row r="555" spans="1:25" ht="24" customHeight="1" thickBot="1" x14ac:dyDescent="0.25">
      <c r="A555" s="219"/>
      <c r="B555" s="398" t="str">
        <f>VLOOKUP(U553,TBL_equipe,2,FALSE)</f>
        <v/>
      </c>
      <c r="C555" s="399"/>
      <c r="D555" s="399"/>
      <c r="E555" s="399"/>
      <c r="F555" s="399"/>
      <c r="G555" s="399"/>
      <c r="H555" s="400"/>
      <c r="I555" s="257" t="str">
        <f>VLOOKUP(U553,TBL_equipe,4,FALSE)</f>
        <v/>
      </c>
      <c r="J555" s="220"/>
      <c r="K555" s="220"/>
      <c r="L555" s="221"/>
      <c r="M555" s="1070" t="s">
        <v>547</v>
      </c>
      <c r="N555" s="1071"/>
      <c r="O555" s="398" t="e">
        <f>VLOOKUP(W553,TBL_equipe,2,FALSE)</f>
        <v>#N/A</v>
      </c>
      <c r="P555" s="220"/>
      <c r="Q555" s="220"/>
      <c r="R555" s="220"/>
      <c r="S555" s="220"/>
      <c r="T555" s="220"/>
      <c r="U555" s="221"/>
      <c r="V555" s="257" t="e">
        <f>VLOOKUP(W553,TBL_equipe,4,FALSE)</f>
        <v>#N/A</v>
      </c>
      <c r="W555" s="220"/>
      <c r="X555" s="220"/>
      <c r="Y555" s="221"/>
    </row>
    <row r="556" spans="1:25" ht="15" customHeight="1" x14ac:dyDescent="0.2"/>
    <row r="557" spans="1:25" ht="20.100000000000001" customHeight="1" x14ac:dyDescent="0.2">
      <c r="A557" s="1074" t="s">
        <v>548</v>
      </c>
      <c r="B557" s="1074"/>
      <c r="C557" s="1074"/>
      <c r="D557" s="1074"/>
      <c r="E557" s="1074"/>
    </row>
    <row r="558" spans="1:25" ht="20.100000000000001" customHeight="1" x14ac:dyDescent="0.2">
      <c r="A558" s="1075" t="s">
        <v>549</v>
      </c>
      <c r="B558" s="1075"/>
      <c r="C558" s="1075"/>
      <c r="D558" s="1075"/>
      <c r="E558" s="1075"/>
      <c r="G558" s="1076" t="s">
        <v>480</v>
      </c>
      <c r="H558" s="1076"/>
      <c r="I558" s="1077" t="s">
        <v>550</v>
      </c>
      <c r="J558" s="1077"/>
      <c r="K558" s="1077"/>
      <c r="L558" s="252" t="s">
        <v>551</v>
      </c>
      <c r="M558" s="1078" t="s">
        <v>552</v>
      </c>
      <c r="N558" s="1078"/>
      <c r="O558" s="251"/>
    </row>
    <row r="559" spans="1:25" ht="24" customHeight="1" x14ac:dyDescent="0.2">
      <c r="A559" s="258" t="str">
        <f>VLOOKUP(U553,TBL_equipe,5,FALSE)</f>
        <v/>
      </c>
      <c r="B559" s="223"/>
      <c r="C559" s="259" t="str">
        <f>VLOOKUP(U553,TBL_equipe,6,FALSE)</f>
        <v/>
      </c>
      <c r="D559" s="223"/>
      <c r="E559" s="224"/>
      <c r="F559" s="219"/>
      <c r="G559" s="403" t="str">
        <f>VLOOKUP(U553,TBL_equipe,9,FALSE)</f>
        <v/>
      </c>
      <c r="H559" s="224"/>
      <c r="I559" s="222"/>
      <c r="J559" s="246" t="str">
        <f>VLOOKUP(U553,TBL_equipe,8,FALSE)</f>
        <v/>
      </c>
      <c r="K559" s="224"/>
      <c r="L559" s="260" t="str">
        <f>VLOOKUP(U553,TBL_equipe,10,FALSE)</f>
        <v/>
      </c>
      <c r="M559" s="287">
        <f>G553</f>
        <v>0</v>
      </c>
      <c r="N559" s="288"/>
      <c r="O559" s="249"/>
      <c r="R559" s="254"/>
      <c r="S559" s="254"/>
      <c r="T559" s="254" t="s">
        <v>629</v>
      </c>
      <c r="U559" s="254"/>
      <c r="V559" s="254"/>
      <c r="W559" s="254"/>
      <c r="X559" s="254"/>
      <c r="Y559" s="254"/>
    </row>
    <row r="560" spans="1:25" ht="24" customHeight="1" x14ac:dyDescent="0.2">
      <c r="A560" s="258" t="str">
        <f>VLOOKUP(U553,TBL_equipe,11,FALSE)</f>
        <v/>
      </c>
      <c r="B560" s="223"/>
      <c r="C560" s="259" t="str">
        <f>VLOOKUP(U553,TBL_equipe,12,FALSE)</f>
        <v/>
      </c>
      <c r="D560" s="223"/>
      <c r="E560" s="224"/>
      <c r="F560" s="219"/>
      <c r="G560" s="403" t="str">
        <f>VLOOKUP(U553,TBL_equipe,15,FALSE)</f>
        <v/>
      </c>
      <c r="H560" s="224"/>
      <c r="I560" s="222"/>
      <c r="J560" s="246" t="str">
        <f>VLOOKUP(U553,TBL_equipe,14,FALSE)</f>
        <v/>
      </c>
      <c r="K560" s="224"/>
      <c r="L560" s="260" t="str">
        <f>VLOOKUP(U553,TBL_equipe,16,FALSE)</f>
        <v/>
      </c>
      <c r="M560" s="287">
        <f>G553</f>
        <v>0</v>
      </c>
      <c r="N560" s="288"/>
      <c r="O560" s="249"/>
      <c r="Q560" s="254"/>
      <c r="R560" s="254"/>
      <c r="S560" s="254"/>
      <c r="T560" s="254"/>
      <c r="U560" s="254"/>
      <c r="V560" s="254"/>
      <c r="W560" s="254"/>
      <c r="X560" s="254"/>
      <c r="Y560" s="254"/>
    </row>
    <row r="561" spans="1:25" ht="24" customHeight="1" x14ac:dyDescent="0.2">
      <c r="A561" s="258" t="str">
        <f>VLOOKUP(U553,TBL_equipe,17,FALSE)</f>
        <v/>
      </c>
      <c r="B561" s="223"/>
      <c r="C561" s="259" t="str">
        <f>VLOOKUP(U553,TBL_equipe,18,FALSE)</f>
        <v/>
      </c>
      <c r="D561" s="223"/>
      <c r="E561" s="224"/>
      <c r="F561" s="219"/>
      <c r="G561" s="403" t="str">
        <f>VLOOKUP(U553,TBL_equipe,21,FALSE)</f>
        <v/>
      </c>
      <c r="H561" s="224"/>
      <c r="I561" s="222"/>
      <c r="J561" s="246" t="str">
        <f>VLOOKUP(U553,TBL_equipe,20,FALSE)</f>
        <v/>
      </c>
      <c r="K561" s="224"/>
      <c r="L561" s="260" t="str">
        <f>VLOOKUP(U553,TBL_equipe,22,FALSE)</f>
        <v/>
      </c>
      <c r="M561" s="287">
        <f>G553</f>
        <v>0</v>
      </c>
      <c r="N561" s="288"/>
      <c r="O561" s="249"/>
      <c r="Q561" s="254"/>
      <c r="R561" s="254"/>
      <c r="S561" s="254"/>
      <c r="T561" s="254"/>
      <c r="U561" s="254"/>
      <c r="V561" s="254"/>
      <c r="W561" s="254"/>
      <c r="X561" s="254"/>
      <c r="Y561" s="254"/>
    </row>
    <row r="562" spans="1:25" ht="24" customHeight="1" x14ac:dyDescent="0.2">
      <c r="A562" s="258" t="str">
        <f>VLOOKUP(U553,TBL_equipe,23,FALSE)</f>
        <v/>
      </c>
      <c r="B562" s="223"/>
      <c r="C562" s="259" t="str">
        <f>VLOOKUP(U553,TBL_equipe,24,FALSE)</f>
        <v/>
      </c>
      <c r="D562" s="223"/>
      <c r="E562" s="224"/>
      <c r="F562" s="219"/>
      <c r="G562" s="403" t="str">
        <f>VLOOKUP(U553,TBL_equipe,27,FALSE)</f>
        <v/>
      </c>
      <c r="H562" s="224"/>
      <c r="I562" s="222"/>
      <c r="J562" s="246" t="str">
        <f>VLOOKUP(U553,TBL_equipe,26,FALSE)</f>
        <v/>
      </c>
      <c r="K562" s="224"/>
      <c r="L562" s="260" t="str">
        <f>VLOOKUP(U553,TBL_equipe,28,FALSE)</f>
        <v/>
      </c>
      <c r="M562" s="289">
        <f>G553</f>
        <v>0</v>
      </c>
      <c r="N562" s="290"/>
      <c r="O562" s="249"/>
    </row>
    <row r="563" spans="1:25" ht="15" customHeight="1" thickBot="1" x14ac:dyDescent="0.25"/>
    <row r="564" spans="1:25" ht="20.100000000000001" customHeight="1" x14ac:dyDescent="0.2">
      <c r="F564" s="1081" t="s">
        <v>555</v>
      </c>
      <c r="G564" s="1082"/>
      <c r="H564" s="1082"/>
      <c r="I564" s="1082"/>
      <c r="J564" s="1083"/>
      <c r="K564" s="1081" t="s">
        <v>556</v>
      </c>
      <c r="L564" s="1082"/>
      <c r="M564" s="1082"/>
      <c r="N564" s="1082"/>
      <c r="O564" s="1083"/>
      <c r="P564" s="1081" t="s">
        <v>557</v>
      </c>
      <c r="Q564" s="1082"/>
      <c r="R564" s="1082"/>
      <c r="S564" s="1082"/>
      <c r="T564" s="1083"/>
      <c r="U564" s="1081" t="s">
        <v>558</v>
      </c>
      <c r="V564" s="1082"/>
      <c r="W564" s="1082"/>
      <c r="X564" s="1082"/>
      <c r="Y564" s="1083"/>
    </row>
    <row r="565" spans="1:25" ht="20.100000000000001" customHeight="1" x14ac:dyDescent="0.2">
      <c r="A565" s="1075" t="s">
        <v>559</v>
      </c>
      <c r="B565" s="1075"/>
      <c r="C565" s="1075"/>
      <c r="D565" s="1075"/>
      <c r="E565" s="1089"/>
      <c r="F565" s="1090" t="s">
        <v>560</v>
      </c>
      <c r="G565" s="1075"/>
      <c r="H565" s="1075"/>
      <c r="J565" s="225" t="s">
        <v>7</v>
      </c>
      <c r="K565" s="1090" t="s">
        <v>560</v>
      </c>
      <c r="L565" s="1075"/>
      <c r="M565" s="1075"/>
      <c r="O565" s="225" t="s">
        <v>7</v>
      </c>
      <c r="P565" s="1090" t="s">
        <v>560</v>
      </c>
      <c r="Q565" s="1075"/>
      <c r="R565" s="1075"/>
      <c r="T565" s="225" t="s">
        <v>7</v>
      </c>
      <c r="U565" s="1090" t="s">
        <v>560</v>
      </c>
      <c r="V565" s="1075"/>
      <c r="W565" s="1075"/>
      <c r="Y565" s="225" t="s">
        <v>7</v>
      </c>
    </row>
    <row r="566" spans="1:25" ht="24" customHeight="1" x14ac:dyDescent="0.2">
      <c r="A566" s="261" t="str">
        <f>A559</f>
        <v/>
      </c>
      <c r="B566" s="227"/>
      <c r="C566" s="262" t="str">
        <f>C559</f>
        <v/>
      </c>
      <c r="D566" s="227"/>
      <c r="E566" s="227"/>
      <c r="F566" s="228"/>
      <c r="G566" s="229"/>
      <c r="H566" s="229"/>
      <c r="I566" s="230" t="s">
        <v>561</v>
      </c>
      <c r="J566" s="231"/>
      <c r="K566" s="228"/>
      <c r="L566" s="229"/>
      <c r="M566" s="229"/>
      <c r="N566" s="230" t="s">
        <v>561</v>
      </c>
      <c r="O566" s="231"/>
      <c r="P566" s="228"/>
      <c r="Q566" s="229"/>
      <c r="R566" s="229"/>
      <c r="S566" s="230" t="s">
        <v>561</v>
      </c>
      <c r="T566" s="231"/>
      <c r="U566" s="228"/>
      <c r="V566" s="229"/>
      <c r="W566" s="229"/>
      <c r="X566" s="230" t="s">
        <v>561</v>
      </c>
      <c r="Y566" s="231"/>
    </row>
    <row r="567" spans="1:25" ht="24" customHeight="1" x14ac:dyDescent="0.2">
      <c r="A567" s="261" t="str">
        <f>A560</f>
        <v/>
      </c>
      <c r="B567" s="227"/>
      <c r="C567" s="262" t="str">
        <f>C560</f>
        <v/>
      </c>
      <c r="D567" s="227"/>
      <c r="E567" s="227"/>
      <c r="F567" s="228"/>
      <c r="G567" s="229"/>
      <c r="H567" s="229"/>
      <c r="I567" s="230" t="s">
        <v>561</v>
      </c>
      <c r="J567" s="231"/>
      <c r="K567" s="228"/>
      <c r="L567" s="229"/>
      <c r="M567" s="229"/>
      <c r="N567" s="230" t="s">
        <v>561</v>
      </c>
      <c r="O567" s="231"/>
      <c r="P567" s="228"/>
      <c r="Q567" s="229"/>
      <c r="R567" s="229"/>
      <c r="S567" s="230" t="s">
        <v>561</v>
      </c>
      <c r="T567" s="231"/>
      <c r="U567" s="228"/>
      <c r="V567" s="229"/>
      <c r="W567" s="229"/>
      <c r="X567" s="230" t="s">
        <v>561</v>
      </c>
      <c r="Y567" s="231"/>
    </row>
    <row r="568" spans="1:25" ht="24" customHeight="1" x14ac:dyDescent="0.2">
      <c r="A568" s="261" t="str">
        <f>A561</f>
        <v/>
      </c>
      <c r="B568" s="227"/>
      <c r="C568" s="262" t="str">
        <f>C561</f>
        <v/>
      </c>
      <c r="D568" s="227"/>
      <c r="E568" s="227"/>
      <c r="F568" s="228"/>
      <c r="G568" s="229"/>
      <c r="H568" s="229"/>
      <c r="I568" s="230" t="s">
        <v>561</v>
      </c>
      <c r="J568" s="231"/>
      <c r="K568" s="228"/>
      <c r="L568" s="229"/>
      <c r="M568" s="229"/>
      <c r="N568" s="230" t="s">
        <v>561</v>
      </c>
      <c r="O568" s="231"/>
      <c r="P568" s="228"/>
      <c r="Q568" s="229"/>
      <c r="R568" s="229"/>
      <c r="S568" s="230" t="s">
        <v>561</v>
      </c>
      <c r="T568" s="231"/>
      <c r="U568" s="228"/>
      <c r="V568" s="229"/>
      <c r="W568" s="229"/>
      <c r="X568" s="230" t="s">
        <v>561</v>
      </c>
      <c r="Y568" s="231"/>
    </row>
    <row r="569" spans="1:25" ht="24" customHeight="1" x14ac:dyDescent="0.2">
      <c r="A569" s="261" t="str">
        <f>A562</f>
        <v/>
      </c>
      <c r="B569" s="227"/>
      <c r="C569" s="262" t="str">
        <f>C562</f>
        <v/>
      </c>
      <c r="D569" s="227"/>
      <c r="E569" s="227"/>
      <c r="F569" s="228"/>
      <c r="G569" s="229"/>
      <c r="H569" s="229"/>
      <c r="I569" s="230" t="s">
        <v>561</v>
      </c>
      <c r="J569" s="232"/>
      <c r="K569" s="228"/>
      <c r="L569" s="229"/>
      <c r="M569" s="229"/>
      <c r="N569" s="230" t="s">
        <v>561</v>
      </c>
      <c r="O569" s="232"/>
      <c r="P569" s="228"/>
      <c r="Q569" s="229"/>
      <c r="R569" s="229"/>
      <c r="S569" s="230" t="s">
        <v>561</v>
      </c>
      <c r="T569" s="232"/>
      <c r="U569" s="228"/>
      <c r="V569" s="229"/>
      <c r="W569" s="229"/>
      <c r="X569" s="230" t="s">
        <v>561</v>
      </c>
      <c r="Y569" s="232"/>
    </row>
    <row r="570" spans="1:25" ht="24" customHeight="1" thickBot="1" x14ac:dyDescent="0.25">
      <c r="F570" s="1079" t="s">
        <v>562</v>
      </c>
      <c r="G570" s="1080"/>
      <c r="H570" s="1080"/>
      <c r="I570" s="230" t="s">
        <v>561</v>
      </c>
      <c r="J570" s="231"/>
      <c r="K570" s="1079" t="s">
        <v>563</v>
      </c>
      <c r="L570" s="1080"/>
      <c r="M570" s="1080"/>
      <c r="N570" s="230" t="s">
        <v>561</v>
      </c>
      <c r="O570" s="232"/>
      <c r="P570" s="1079" t="s">
        <v>564</v>
      </c>
      <c r="Q570" s="1080"/>
      <c r="R570" s="1080"/>
      <c r="S570" s="230" t="s">
        <v>561</v>
      </c>
      <c r="T570" s="232"/>
      <c r="U570" s="1079" t="s">
        <v>565</v>
      </c>
      <c r="V570" s="1080"/>
      <c r="W570" s="1080"/>
      <c r="X570" s="230" t="s">
        <v>561</v>
      </c>
      <c r="Y570" s="232"/>
    </row>
    <row r="571" spans="1:25" ht="24" customHeight="1" thickBot="1" x14ac:dyDescent="0.25">
      <c r="F571" s="233"/>
      <c r="G571" s="234"/>
      <c r="H571" s="235" t="s">
        <v>566</v>
      </c>
      <c r="I571" s="235"/>
      <c r="J571" s="236"/>
      <c r="K571" s="1092" t="s">
        <v>567</v>
      </c>
      <c r="L571" s="1085"/>
      <c r="M571" s="1085"/>
      <c r="N571" s="237" t="s">
        <v>561</v>
      </c>
      <c r="O571" s="238"/>
      <c r="P571" s="1092" t="s">
        <v>568</v>
      </c>
      <c r="Q571" s="1085"/>
      <c r="R571" s="1085"/>
      <c r="S571" s="237" t="s">
        <v>561</v>
      </c>
      <c r="T571" s="238"/>
      <c r="U571" s="1092" t="s">
        <v>569</v>
      </c>
      <c r="V571" s="1085"/>
      <c r="W571" s="1085"/>
      <c r="X571" s="237" t="s">
        <v>561</v>
      </c>
      <c r="Y571" s="239"/>
    </row>
    <row r="572" spans="1:25" ht="12.75" customHeight="1" x14ac:dyDescent="0.2">
      <c r="Y572" s="240" t="s">
        <v>570</v>
      </c>
    </row>
    <row r="573" spans="1:25" ht="15.75" customHeight="1" x14ac:dyDescent="0.2">
      <c r="B573" s="1091" t="s">
        <v>521</v>
      </c>
      <c r="C573" s="1091"/>
      <c r="D573" s="1091"/>
      <c r="E573" s="1091"/>
      <c r="F573" s="1091"/>
      <c r="G573" s="1091"/>
      <c r="H573" s="1091"/>
      <c r="I573" s="1091"/>
      <c r="J573" s="1091"/>
      <c r="K573" s="1091"/>
      <c r="L573" s="1091"/>
      <c r="O573" s="1091" t="s">
        <v>522</v>
      </c>
      <c r="P573" s="1091"/>
      <c r="Q573" s="1091"/>
      <c r="R573" s="1091"/>
      <c r="S573" s="1091"/>
      <c r="T573" s="1091"/>
      <c r="U573" s="1091"/>
      <c r="V573" s="1091"/>
      <c r="W573" s="1091"/>
      <c r="X573" s="1091"/>
      <c r="Y573" s="1091"/>
    </row>
    <row r="574" spans="1:25" ht="13.5" customHeight="1" x14ac:dyDescent="0.2">
      <c r="B574" s="1086" t="s">
        <v>1</v>
      </c>
      <c r="C574" s="1087"/>
      <c r="D574" s="1087"/>
      <c r="E574" s="1087"/>
      <c r="F574" s="1087"/>
      <c r="G574" s="1087"/>
      <c r="H574" s="1088"/>
      <c r="I574" s="1086" t="s">
        <v>520</v>
      </c>
      <c r="J574" s="1087"/>
      <c r="K574" s="1087"/>
      <c r="L574" s="1088"/>
      <c r="N574" s="241"/>
      <c r="O574" s="1086" t="s">
        <v>1</v>
      </c>
      <c r="P574" s="1087"/>
      <c r="Q574" s="1087"/>
      <c r="R574" s="1087"/>
      <c r="S574" s="1087"/>
      <c r="T574" s="1087"/>
      <c r="U574" s="1088"/>
      <c r="V574" s="1086" t="s">
        <v>520</v>
      </c>
      <c r="W574" s="1087"/>
      <c r="X574" s="1087"/>
      <c r="Y574" s="1088"/>
    </row>
    <row r="575" spans="1:25" ht="21.75" customHeight="1" x14ac:dyDescent="0.2">
      <c r="B575" s="242"/>
      <c r="C575" s="243"/>
      <c r="D575" s="243"/>
      <c r="E575" s="243"/>
      <c r="F575" s="243"/>
      <c r="G575" s="243"/>
      <c r="H575" s="243"/>
      <c r="I575" s="242"/>
      <c r="J575" s="243"/>
      <c r="K575" s="243"/>
      <c r="L575" s="244"/>
      <c r="N575" s="241"/>
      <c r="O575" s="242"/>
      <c r="P575" s="243"/>
      <c r="Q575" s="243"/>
      <c r="R575" s="243"/>
      <c r="S575" s="243"/>
      <c r="T575" s="243"/>
      <c r="U575" s="243"/>
      <c r="V575" s="242"/>
      <c r="W575" s="243"/>
      <c r="X575" s="243"/>
      <c r="Y575" s="244"/>
    </row>
    <row r="576" spans="1:25" ht="13.5" customHeight="1" x14ac:dyDescent="0.2"/>
    <row r="577" spans="1:25" ht="14.25" customHeight="1" thickBot="1" x14ac:dyDescent="0.25">
      <c r="A577" s="241"/>
      <c r="G577" s="305"/>
      <c r="H577" s="305"/>
      <c r="I577" s="1069" t="s">
        <v>0</v>
      </c>
      <c r="J577" s="1069"/>
      <c r="K577" s="1069"/>
      <c r="L577" s="1069"/>
      <c r="M577" s="1069"/>
      <c r="N577" s="1069"/>
      <c r="O577" s="1069"/>
      <c r="P577" s="1069" t="s">
        <v>374</v>
      </c>
      <c r="Q577" s="1069"/>
      <c r="R577" s="1069"/>
      <c r="S577" s="1069"/>
      <c r="T577" s="1069"/>
      <c r="U577" s="1069" t="s">
        <v>571</v>
      </c>
      <c r="V577" s="1069"/>
      <c r="W577" s="1069"/>
      <c r="X577" s="305"/>
      <c r="Y577" s="305"/>
    </row>
    <row r="578" spans="1:25" ht="20.25" customHeight="1" x14ac:dyDescent="0.2">
      <c r="A578" s="241"/>
      <c r="F578" s="1074" t="s">
        <v>584</v>
      </c>
      <c r="G578" s="1074"/>
      <c r="H578" s="1074"/>
      <c r="I578" s="316"/>
      <c r="J578" s="306"/>
      <c r="K578" s="306"/>
      <c r="L578" s="306"/>
      <c r="M578" s="306"/>
      <c r="N578" s="306"/>
      <c r="O578" s="306"/>
      <c r="P578" s="312"/>
      <c r="Q578" s="306"/>
      <c r="R578" s="307"/>
      <c r="S578" s="304"/>
      <c r="T578" s="313"/>
      <c r="U578" s="310"/>
      <c r="V578" s="1084" t="s">
        <v>495</v>
      </c>
      <c r="W578" s="308"/>
    </row>
    <row r="579" spans="1:25" ht="13.5" thickBot="1" x14ac:dyDescent="0.25">
      <c r="F579" s="1074"/>
      <c r="G579" s="1074"/>
      <c r="H579" s="1074"/>
      <c r="I579" s="303"/>
      <c r="J579" s="235"/>
      <c r="K579" s="235"/>
      <c r="L579" s="235"/>
      <c r="M579" s="235"/>
      <c r="N579" s="235"/>
      <c r="O579" s="235"/>
      <c r="P579" s="314"/>
      <c r="Q579" s="235"/>
      <c r="R579" s="234"/>
      <c r="S579" s="234"/>
      <c r="T579" s="315"/>
      <c r="U579" s="311"/>
      <c r="V579" s="1085"/>
      <c r="W579" s="309"/>
    </row>
    <row r="581" spans="1:25" ht="6.75" customHeight="1" x14ac:dyDescent="0.2"/>
    <row r="582" spans="1:25" s="218" customFormat="1" ht="23.25" customHeight="1" x14ac:dyDescent="0.2">
      <c r="A582" s="1072" t="s">
        <v>546</v>
      </c>
      <c r="B582" s="1073"/>
      <c r="C582" s="402"/>
      <c r="D582" s="1098" t="s">
        <v>628</v>
      </c>
      <c r="E582" s="1072"/>
      <c r="F582" s="1072"/>
      <c r="G582" s="1103"/>
      <c r="H582" s="1104"/>
      <c r="K582" s="218" t="str">
        <f>RIGHT(CATEG_IMPORTEE, LEN(CATEG_IMPORTEE) - 2)</f>
        <v>llèges Mixtes Etablissement</v>
      </c>
      <c r="T582" s="397" t="s">
        <v>627</v>
      </c>
      <c r="U582" s="401">
        <v>21</v>
      </c>
      <c r="V582" s="396" t="s">
        <v>547</v>
      </c>
      <c r="W582" s="401"/>
      <c r="X582" s="395"/>
    </row>
    <row r="583" spans="1:25" ht="27" customHeight="1" thickBot="1" x14ac:dyDescent="0.25">
      <c r="B583" s="1069" t="s">
        <v>0</v>
      </c>
      <c r="C583" s="1069"/>
      <c r="D583" s="1069"/>
      <c r="E583" s="1069"/>
      <c r="F583" s="1069"/>
      <c r="G583" s="1069"/>
      <c r="H583" s="1069"/>
      <c r="I583" s="1069" t="s">
        <v>374</v>
      </c>
      <c r="J583" s="1069"/>
      <c r="K583" s="1069"/>
      <c r="L583" s="1069"/>
      <c r="O583" s="1069" t="s">
        <v>0</v>
      </c>
      <c r="P583" s="1069"/>
      <c r="Q583" s="1069"/>
      <c r="R583" s="1069"/>
      <c r="S583" s="1069"/>
      <c r="T583" s="1069"/>
      <c r="U583" s="1069"/>
      <c r="V583" s="1069" t="s">
        <v>374</v>
      </c>
      <c r="W583" s="1069"/>
      <c r="X583" s="1069"/>
      <c r="Y583" s="1069"/>
    </row>
    <row r="584" spans="1:25" ht="24" customHeight="1" thickBot="1" x14ac:dyDescent="0.25">
      <c r="A584" s="219"/>
      <c r="B584" s="398" t="str">
        <f>VLOOKUP(U582,TBL_equipe,2,FALSE)</f>
        <v/>
      </c>
      <c r="C584" s="399"/>
      <c r="D584" s="399"/>
      <c r="E584" s="399"/>
      <c r="F584" s="399"/>
      <c r="G584" s="399"/>
      <c r="H584" s="400"/>
      <c r="I584" s="257" t="str">
        <f>VLOOKUP(U582,TBL_equipe,4,FALSE)</f>
        <v/>
      </c>
      <c r="J584" s="220"/>
      <c r="K584" s="220"/>
      <c r="L584" s="221"/>
      <c r="M584" s="1070" t="s">
        <v>547</v>
      </c>
      <c r="N584" s="1071"/>
      <c r="O584" s="398" t="e">
        <f>VLOOKUP(W582,TBL_equipe,2,FALSE)</f>
        <v>#N/A</v>
      </c>
      <c r="P584" s="220"/>
      <c r="Q584" s="220"/>
      <c r="R584" s="220"/>
      <c r="S584" s="220"/>
      <c r="T584" s="220"/>
      <c r="U584" s="221"/>
      <c r="V584" s="257" t="e">
        <f>VLOOKUP(W582,TBL_equipe,4,FALSE)</f>
        <v>#N/A</v>
      </c>
      <c r="W584" s="220"/>
      <c r="X584" s="220"/>
      <c r="Y584" s="221"/>
    </row>
    <row r="585" spans="1:25" ht="15" customHeight="1" x14ac:dyDescent="0.2"/>
    <row r="586" spans="1:25" ht="20.100000000000001" customHeight="1" x14ac:dyDescent="0.2">
      <c r="A586" s="1074" t="s">
        <v>548</v>
      </c>
      <c r="B586" s="1074"/>
      <c r="C586" s="1074"/>
      <c r="D586" s="1074"/>
      <c r="E586" s="1074"/>
    </row>
    <row r="587" spans="1:25" ht="20.100000000000001" customHeight="1" x14ac:dyDescent="0.2">
      <c r="A587" s="1075" t="s">
        <v>549</v>
      </c>
      <c r="B587" s="1075"/>
      <c r="C587" s="1075"/>
      <c r="D587" s="1075"/>
      <c r="E587" s="1075"/>
      <c r="G587" s="1076" t="s">
        <v>480</v>
      </c>
      <c r="H587" s="1076"/>
      <c r="I587" s="1077" t="s">
        <v>550</v>
      </c>
      <c r="J587" s="1077"/>
      <c r="K587" s="1077"/>
      <c r="L587" s="252" t="s">
        <v>551</v>
      </c>
      <c r="M587" s="1078" t="s">
        <v>552</v>
      </c>
      <c r="N587" s="1078"/>
      <c r="O587" s="251"/>
    </row>
    <row r="588" spans="1:25" ht="24" customHeight="1" x14ac:dyDescent="0.2">
      <c r="A588" s="258" t="str">
        <f>VLOOKUP(U582,TBL_equipe,5,FALSE)</f>
        <v/>
      </c>
      <c r="B588" s="223"/>
      <c r="C588" s="259" t="str">
        <f>VLOOKUP(U582,TBL_equipe,6,FALSE)</f>
        <v/>
      </c>
      <c r="D588" s="223"/>
      <c r="E588" s="224"/>
      <c r="F588" s="219"/>
      <c r="G588" s="403" t="str">
        <f>VLOOKUP(U582,TBL_equipe,9,FALSE)</f>
        <v/>
      </c>
      <c r="H588" s="224"/>
      <c r="I588" s="222"/>
      <c r="J588" s="246" t="str">
        <f>VLOOKUP(U582,TBL_equipe,8,FALSE)</f>
        <v/>
      </c>
      <c r="K588" s="224"/>
      <c r="L588" s="260" t="str">
        <f>VLOOKUP(U582,TBL_equipe,10,FALSE)</f>
        <v/>
      </c>
      <c r="M588" s="287">
        <f>G582</f>
        <v>0</v>
      </c>
      <c r="N588" s="288"/>
      <c r="O588" s="249"/>
      <c r="R588" s="254"/>
      <c r="S588" s="254"/>
      <c r="T588" s="254" t="s">
        <v>629</v>
      </c>
      <c r="U588" s="254"/>
      <c r="V588" s="254"/>
      <c r="W588" s="254"/>
      <c r="X588" s="254"/>
      <c r="Y588" s="254"/>
    </row>
    <row r="589" spans="1:25" ht="24" customHeight="1" x14ac:dyDescent="0.2">
      <c r="A589" s="258" t="str">
        <f>VLOOKUP(U582,TBL_equipe,11,FALSE)</f>
        <v/>
      </c>
      <c r="B589" s="223"/>
      <c r="C589" s="259" t="str">
        <f>VLOOKUP(U582,TBL_equipe,12,FALSE)</f>
        <v/>
      </c>
      <c r="D589" s="223"/>
      <c r="E589" s="224"/>
      <c r="F589" s="219"/>
      <c r="G589" s="403" t="str">
        <f>VLOOKUP(U582,TBL_equipe,15,FALSE)</f>
        <v/>
      </c>
      <c r="H589" s="224"/>
      <c r="I589" s="222"/>
      <c r="J589" s="246" t="str">
        <f>VLOOKUP(U582,TBL_equipe,14,FALSE)</f>
        <v/>
      </c>
      <c r="K589" s="224"/>
      <c r="L589" s="260" t="str">
        <f>VLOOKUP(U582,TBL_equipe,16,FALSE)</f>
        <v/>
      </c>
      <c r="M589" s="287">
        <f>G582</f>
        <v>0</v>
      </c>
      <c r="N589" s="288"/>
      <c r="O589" s="249"/>
      <c r="Q589" s="254"/>
      <c r="R589" s="254"/>
      <c r="S589" s="254"/>
      <c r="T589" s="254"/>
      <c r="U589" s="254"/>
      <c r="V589" s="254"/>
      <c r="W589" s="254"/>
      <c r="X589" s="254"/>
      <c r="Y589" s="254"/>
    </row>
    <row r="590" spans="1:25" ht="24" customHeight="1" x14ac:dyDescent="0.2">
      <c r="A590" s="258" t="str">
        <f>VLOOKUP(U582,TBL_equipe,17,FALSE)</f>
        <v/>
      </c>
      <c r="B590" s="223"/>
      <c r="C590" s="259" t="str">
        <f>VLOOKUP(U582,TBL_equipe,18,FALSE)</f>
        <v/>
      </c>
      <c r="D590" s="223"/>
      <c r="E590" s="224"/>
      <c r="F590" s="219"/>
      <c r="G590" s="403" t="str">
        <f>VLOOKUP(U582,TBL_equipe,21,FALSE)</f>
        <v/>
      </c>
      <c r="H590" s="224"/>
      <c r="I590" s="222"/>
      <c r="J590" s="246" t="str">
        <f>VLOOKUP(U582,TBL_equipe,20,FALSE)</f>
        <v/>
      </c>
      <c r="K590" s="224"/>
      <c r="L590" s="260" t="str">
        <f>VLOOKUP(U582,TBL_equipe,22,FALSE)</f>
        <v/>
      </c>
      <c r="M590" s="287">
        <f>G582</f>
        <v>0</v>
      </c>
      <c r="N590" s="288"/>
      <c r="O590" s="249"/>
      <c r="Q590" s="254"/>
      <c r="R590" s="254"/>
      <c r="S590" s="254"/>
      <c r="T590" s="254"/>
      <c r="U590" s="254"/>
      <c r="V590" s="254"/>
      <c r="W590" s="254"/>
      <c r="X590" s="254"/>
      <c r="Y590" s="254"/>
    </row>
    <row r="591" spans="1:25" ht="24" customHeight="1" x14ac:dyDescent="0.2">
      <c r="A591" s="258" t="str">
        <f>VLOOKUP(U582,TBL_equipe,23,FALSE)</f>
        <v/>
      </c>
      <c r="B591" s="223"/>
      <c r="C591" s="259" t="str">
        <f>VLOOKUP(U582,TBL_equipe,24,FALSE)</f>
        <v/>
      </c>
      <c r="D591" s="223"/>
      <c r="E591" s="224"/>
      <c r="F591" s="219"/>
      <c r="G591" s="403" t="str">
        <f>VLOOKUP(U582,TBL_equipe,27,FALSE)</f>
        <v/>
      </c>
      <c r="H591" s="224"/>
      <c r="I591" s="222"/>
      <c r="J591" s="246" t="str">
        <f>VLOOKUP(U582,TBL_equipe,26,FALSE)</f>
        <v/>
      </c>
      <c r="K591" s="224"/>
      <c r="L591" s="260" t="str">
        <f>VLOOKUP(U582,TBL_equipe,28,FALSE)</f>
        <v/>
      </c>
      <c r="M591" s="289">
        <f>G582</f>
        <v>0</v>
      </c>
      <c r="N591" s="290"/>
      <c r="O591" s="249"/>
    </row>
    <row r="592" spans="1:25" ht="15" customHeight="1" thickBot="1" x14ac:dyDescent="0.25"/>
    <row r="593" spans="1:25" ht="20.100000000000001" customHeight="1" x14ac:dyDescent="0.2">
      <c r="F593" s="1081" t="s">
        <v>555</v>
      </c>
      <c r="G593" s="1082"/>
      <c r="H593" s="1082"/>
      <c r="I593" s="1082"/>
      <c r="J593" s="1083"/>
      <c r="K593" s="1081" t="s">
        <v>556</v>
      </c>
      <c r="L593" s="1082"/>
      <c r="M593" s="1082"/>
      <c r="N593" s="1082"/>
      <c r="O593" s="1083"/>
      <c r="P593" s="1081" t="s">
        <v>557</v>
      </c>
      <c r="Q593" s="1082"/>
      <c r="R593" s="1082"/>
      <c r="S593" s="1082"/>
      <c r="T593" s="1083"/>
      <c r="U593" s="1081" t="s">
        <v>558</v>
      </c>
      <c r="V593" s="1082"/>
      <c r="W593" s="1082"/>
      <c r="X593" s="1082"/>
      <c r="Y593" s="1083"/>
    </row>
    <row r="594" spans="1:25" ht="20.100000000000001" customHeight="1" x14ac:dyDescent="0.2">
      <c r="A594" s="1075" t="s">
        <v>559</v>
      </c>
      <c r="B594" s="1075"/>
      <c r="C594" s="1075"/>
      <c r="D594" s="1075"/>
      <c r="E594" s="1089"/>
      <c r="F594" s="1090" t="s">
        <v>560</v>
      </c>
      <c r="G594" s="1075"/>
      <c r="H594" s="1075"/>
      <c r="J594" s="225" t="s">
        <v>7</v>
      </c>
      <c r="K594" s="1090" t="s">
        <v>560</v>
      </c>
      <c r="L594" s="1075"/>
      <c r="M594" s="1075"/>
      <c r="O594" s="225" t="s">
        <v>7</v>
      </c>
      <c r="P594" s="1090" t="s">
        <v>560</v>
      </c>
      <c r="Q594" s="1075"/>
      <c r="R594" s="1075"/>
      <c r="T594" s="225" t="s">
        <v>7</v>
      </c>
      <c r="U594" s="1090" t="s">
        <v>560</v>
      </c>
      <c r="V594" s="1075"/>
      <c r="W594" s="1075"/>
      <c r="Y594" s="225" t="s">
        <v>7</v>
      </c>
    </row>
    <row r="595" spans="1:25" ht="24" customHeight="1" x14ac:dyDescent="0.2">
      <c r="A595" s="261" t="str">
        <f>A588</f>
        <v/>
      </c>
      <c r="B595" s="227"/>
      <c r="C595" s="262" t="str">
        <f>C588</f>
        <v/>
      </c>
      <c r="D595" s="227"/>
      <c r="E595" s="227"/>
      <c r="F595" s="228"/>
      <c r="G595" s="229"/>
      <c r="H595" s="229"/>
      <c r="I595" s="230" t="s">
        <v>561</v>
      </c>
      <c r="J595" s="231"/>
      <c r="K595" s="228"/>
      <c r="L595" s="229"/>
      <c r="M595" s="229"/>
      <c r="N595" s="230" t="s">
        <v>561</v>
      </c>
      <c r="O595" s="231"/>
      <c r="P595" s="228"/>
      <c r="Q595" s="229"/>
      <c r="R595" s="229"/>
      <c r="S595" s="230" t="s">
        <v>561</v>
      </c>
      <c r="T595" s="231"/>
      <c r="U595" s="228"/>
      <c r="V595" s="229"/>
      <c r="W595" s="229"/>
      <c r="X595" s="230" t="s">
        <v>561</v>
      </c>
      <c r="Y595" s="231"/>
    </row>
    <row r="596" spans="1:25" ht="24" customHeight="1" x14ac:dyDescent="0.2">
      <c r="A596" s="261" t="str">
        <f>A589</f>
        <v/>
      </c>
      <c r="B596" s="227"/>
      <c r="C596" s="262" t="str">
        <f>C589</f>
        <v/>
      </c>
      <c r="D596" s="227"/>
      <c r="E596" s="227"/>
      <c r="F596" s="228"/>
      <c r="G596" s="229"/>
      <c r="H596" s="229"/>
      <c r="I596" s="230" t="s">
        <v>561</v>
      </c>
      <c r="J596" s="231"/>
      <c r="K596" s="228"/>
      <c r="L596" s="229"/>
      <c r="M596" s="229"/>
      <c r="N596" s="230" t="s">
        <v>561</v>
      </c>
      <c r="O596" s="231"/>
      <c r="P596" s="228"/>
      <c r="Q596" s="229"/>
      <c r="R596" s="229"/>
      <c r="S596" s="230" t="s">
        <v>561</v>
      </c>
      <c r="T596" s="231"/>
      <c r="U596" s="228"/>
      <c r="V596" s="229"/>
      <c r="W596" s="229"/>
      <c r="X596" s="230" t="s">
        <v>561</v>
      </c>
      <c r="Y596" s="231"/>
    </row>
    <row r="597" spans="1:25" ht="24" customHeight="1" x14ac:dyDescent="0.2">
      <c r="A597" s="261" t="str">
        <f>A590</f>
        <v/>
      </c>
      <c r="B597" s="227"/>
      <c r="C597" s="262" t="str">
        <f>C590</f>
        <v/>
      </c>
      <c r="D597" s="227"/>
      <c r="E597" s="227"/>
      <c r="F597" s="228"/>
      <c r="G597" s="229"/>
      <c r="H597" s="229"/>
      <c r="I597" s="230" t="s">
        <v>561</v>
      </c>
      <c r="J597" s="231"/>
      <c r="K597" s="228"/>
      <c r="L597" s="229"/>
      <c r="M597" s="229"/>
      <c r="N597" s="230" t="s">
        <v>561</v>
      </c>
      <c r="O597" s="231"/>
      <c r="P597" s="228"/>
      <c r="Q597" s="229"/>
      <c r="R597" s="229"/>
      <c r="S597" s="230" t="s">
        <v>561</v>
      </c>
      <c r="T597" s="231"/>
      <c r="U597" s="228"/>
      <c r="V597" s="229"/>
      <c r="W597" s="229"/>
      <c r="X597" s="230" t="s">
        <v>561</v>
      </c>
      <c r="Y597" s="231"/>
    </row>
    <row r="598" spans="1:25" ht="24" customHeight="1" x14ac:dyDescent="0.2">
      <c r="A598" s="261" t="str">
        <f>A591</f>
        <v/>
      </c>
      <c r="B598" s="227"/>
      <c r="C598" s="262" t="str">
        <f>C591</f>
        <v/>
      </c>
      <c r="D598" s="227"/>
      <c r="E598" s="227"/>
      <c r="F598" s="228"/>
      <c r="G598" s="229"/>
      <c r="H598" s="229"/>
      <c r="I598" s="230" t="s">
        <v>561</v>
      </c>
      <c r="J598" s="232"/>
      <c r="K598" s="228"/>
      <c r="L598" s="229"/>
      <c r="M598" s="229"/>
      <c r="N598" s="230" t="s">
        <v>561</v>
      </c>
      <c r="O598" s="232"/>
      <c r="P598" s="228"/>
      <c r="Q598" s="229"/>
      <c r="R598" s="229"/>
      <c r="S598" s="230" t="s">
        <v>561</v>
      </c>
      <c r="T598" s="232"/>
      <c r="U598" s="228"/>
      <c r="V598" s="229"/>
      <c r="W598" s="229"/>
      <c r="X598" s="230" t="s">
        <v>561</v>
      </c>
      <c r="Y598" s="232"/>
    </row>
    <row r="599" spans="1:25" ht="24" customHeight="1" thickBot="1" x14ac:dyDescent="0.25">
      <c r="F599" s="1079" t="s">
        <v>562</v>
      </c>
      <c r="G599" s="1080"/>
      <c r="H599" s="1080"/>
      <c r="I599" s="230" t="s">
        <v>561</v>
      </c>
      <c r="J599" s="231"/>
      <c r="K599" s="1079" t="s">
        <v>563</v>
      </c>
      <c r="L599" s="1080"/>
      <c r="M599" s="1080"/>
      <c r="N599" s="230" t="s">
        <v>561</v>
      </c>
      <c r="O599" s="232"/>
      <c r="P599" s="1079" t="s">
        <v>564</v>
      </c>
      <c r="Q599" s="1080"/>
      <c r="R599" s="1080"/>
      <c r="S599" s="230" t="s">
        <v>561</v>
      </c>
      <c r="T599" s="232"/>
      <c r="U599" s="1079" t="s">
        <v>565</v>
      </c>
      <c r="V599" s="1080"/>
      <c r="W599" s="1080"/>
      <c r="X599" s="230" t="s">
        <v>561</v>
      </c>
      <c r="Y599" s="232"/>
    </row>
    <row r="600" spans="1:25" ht="24" customHeight="1" thickBot="1" x14ac:dyDescent="0.25">
      <c r="F600" s="233"/>
      <c r="G600" s="234"/>
      <c r="H600" s="235" t="s">
        <v>566</v>
      </c>
      <c r="I600" s="235"/>
      <c r="J600" s="236"/>
      <c r="K600" s="1092" t="s">
        <v>567</v>
      </c>
      <c r="L600" s="1085"/>
      <c r="M600" s="1085"/>
      <c r="N600" s="237" t="s">
        <v>561</v>
      </c>
      <c r="O600" s="238"/>
      <c r="P600" s="1092" t="s">
        <v>568</v>
      </c>
      <c r="Q600" s="1085"/>
      <c r="R600" s="1085"/>
      <c r="S600" s="237" t="s">
        <v>561</v>
      </c>
      <c r="T600" s="238"/>
      <c r="U600" s="1092" t="s">
        <v>569</v>
      </c>
      <c r="V600" s="1085"/>
      <c r="W600" s="1085"/>
      <c r="X600" s="237" t="s">
        <v>561</v>
      </c>
      <c r="Y600" s="239"/>
    </row>
    <row r="601" spans="1:25" ht="12.75" customHeight="1" x14ac:dyDescent="0.2">
      <c r="Y601" s="240" t="s">
        <v>570</v>
      </c>
    </row>
    <row r="602" spans="1:25" ht="15.75" customHeight="1" x14ac:dyDescent="0.2">
      <c r="B602" s="1091" t="s">
        <v>521</v>
      </c>
      <c r="C602" s="1091"/>
      <c r="D602" s="1091"/>
      <c r="E602" s="1091"/>
      <c r="F602" s="1091"/>
      <c r="G602" s="1091"/>
      <c r="H602" s="1091"/>
      <c r="I602" s="1091"/>
      <c r="J602" s="1091"/>
      <c r="K602" s="1091"/>
      <c r="L602" s="1091"/>
      <c r="O602" s="1091" t="s">
        <v>522</v>
      </c>
      <c r="P602" s="1091"/>
      <c r="Q602" s="1091"/>
      <c r="R602" s="1091"/>
      <c r="S602" s="1091"/>
      <c r="T602" s="1091"/>
      <c r="U602" s="1091"/>
      <c r="V602" s="1091"/>
      <c r="W602" s="1091"/>
      <c r="X602" s="1091"/>
      <c r="Y602" s="1091"/>
    </row>
    <row r="603" spans="1:25" ht="13.5" customHeight="1" x14ac:dyDescent="0.2">
      <c r="B603" s="1086" t="s">
        <v>1</v>
      </c>
      <c r="C603" s="1087"/>
      <c r="D603" s="1087"/>
      <c r="E603" s="1087"/>
      <c r="F603" s="1087"/>
      <c r="G603" s="1087"/>
      <c r="H603" s="1088"/>
      <c r="I603" s="1086" t="s">
        <v>520</v>
      </c>
      <c r="J603" s="1087"/>
      <c r="K603" s="1087"/>
      <c r="L603" s="1088"/>
      <c r="N603" s="241"/>
      <c r="O603" s="1086" t="s">
        <v>1</v>
      </c>
      <c r="P603" s="1087"/>
      <c r="Q603" s="1087"/>
      <c r="R603" s="1087"/>
      <c r="S603" s="1087"/>
      <c r="T603" s="1087"/>
      <c r="U603" s="1088"/>
      <c r="V603" s="1086" t="s">
        <v>520</v>
      </c>
      <c r="W603" s="1087"/>
      <c r="X603" s="1087"/>
      <c r="Y603" s="1088"/>
    </row>
    <row r="604" spans="1:25" ht="21.75" customHeight="1" x14ac:dyDescent="0.2">
      <c r="B604" s="242"/>
      <c r="C604" s="243"/>
      <c r="D604" s="243"/>
      <c r="E604" s="243"/>
      <c r="F604" s="243"/>
      <c r="G604" s="243"/>
      <c r="H604" s="243"/>
      <c r="I604" s="242"/>
      <c r="J604" s="243"/>
      <c r="K604" s="243"/>
      <c r="L604" s="244"/>
      <c r="N604" s="241"/>
      <c r="O604" s="242"/>
      <c r="P604" s="243"/>
      <c r="Q604" s="243"/>
      <c r="R604" s="243"/>
      <c r="S604" s="243"/>
      <c r="T604" s="243"/>
      <c r="U604" s="243"/>
      <c r="V604" s="242"/>
      <c r="W604" s="243"/>
      <c r="X604" s="243"/>
      <c r="Y604" s="244"/>
    </row>
    <row r="605" spans="1:25" ht="13.5" customHeight="1" x14ac:dyDescent="0.2"/>
    <row r="606" spans="1:25" ht="14.25" customHeight="1" thickBot="1" x14ac:dyDescent="0.25">
      <c r="A606" s="241"/>
      <c r="G606" s="305"/>
      <c r="H606" s="305"/>
      <c r="I606" s="1069" t="s">
        <v>0</v>
      </c>
      <c r="J606" s="1069"/>
      <c r="K606" s="1069"/>
      <c r="L606" s="1069"/>
      <c r="M606" s="1069"/>
      <c r="N606" s="1069"/>
      <c r="O606" s="1069"/>
      <c r="P606" s="1069" t="s">
        <v>374</v>
      </c>
      <c r="Q606" s="1069"/>
      <c r="R606" s="1069"/>
      <c r="S606" s="1069"/>
      <c r="T606" s="1069"/>
      <c r="U606" s="1069" t="s">
        <v>571</v>
      </c>
      <c r="V606" s="1069"/>
      <c r="W606" s="1069"/>
      <c r="X606" s="305"/>
      <c r="Y606" s="305"/>
    </row>
    <row r="607" spans="1:25" ht="20.25" customHeight="1" x14ac:dyDescent="0.2">
      <c r="A607" s="241"/>
      <c r="F607" s="1074" t="s">
        <v>584</v>
      </c>
      <c r="G607" s="1074"/>
      <c r="H607" s="1074"/>
      <c r="I607" s="316"/>
      <c r="J607" s="306"/>
      <c r="K607" s="306"/>
      <c r="L607" s="306"/>
      <c r="M607" s="306"/>
      <c r="N607" s="306"/>
      <c r="O607" s="306"/>
      <c r="P607" s="312"/>
      <c r="Q607" s="306"/>
      <c r="R607" s="307"/>
      <c r="S607" s="304"/>
      <c r="T607" s="313"/>
      <c r="U607" s="310"/>
      <c r="V607" s="1084" t="s">
        <v>495</v>
      </c>
      <c r="W607" s="308"/>
    </row>
    <row r="608" spans="1:25" ht="13.5" thickBot="1" x14ac:dyDescent="0.25">
      <c r="F608" s="1074"/>
      <c r="G608" s="1074"/>
      <c r="H608" s="1074"/>
      <c r="I608" s="303"/>
      <c r="J608" s="235"/>
      <c r="K608" s="235"/>
      <c r="L608" s="235"/>
      <c r="M608" s="235"/>
      <c r="N608" s="235"/>
      <c r="O608" s="235"/>
      <c r="P608" s="314"/>
      <c r="Q608" s="235"/>
      <c r="R608" s="234"/>
      <c r="S608" s="234"/>
      <c r="T608" s="315"/>
      <c r="U608" s="311"/>
      <c r="V608" s="1085"/>
      <c r="W608" s="309"/>
    </row>
    <row r="610" spans="1:25" ht="6.75" customHeight="1" x14ac:dyDescent="0.2"/>
    <row r="611" spans="1:25" s="218" customFormat="1" ht="23.25" customHeight="1" x14ac:dyDescent="0.2">
      <c r="A611" s="1072" t="s">
        <v>546</v>
      </c>
      <c r="B611" s="1073"/>
      <c r="C611" s="402"/>
      <c r="D611" s="1098" t="s">
        <v>628</v>
      </c>
      <c r="E611" s="1072"/>
      <c r="F611" s="1072"/>
      <c r="G611" s="1103"/>
      <c r="H611" s="1104"/>
      <c r="K611" s="218" t="str">
        <f>RIGHT(CATEG_IMPORTEE, LEN(CATEG_IMPORTEE) - 2)</f>
        <v>llèges Mixtes Etablissement</v>
      </c>
      <c r="T611" s="397" t="s">
        <v>627</v>
      </c>
      <c r="U611" s="401">
        <v>22</v>
      </c>
      <c r="V611" s="396" t="s">
        <v>547</v>
      </c>
      <c r="W611" s="401"/>
      <c r="X611" s="395"/>
    </row>
    <row r="612" spans="1:25" ht="27" customHeight="1" thickBot="1" x14ac:dyDescent="0.25">
      <c r="B612" s="1069" t="s">
        <v>0</v>
      </c>
      <c r="C612" s="1069"/>
      <c r="D612" s="1069"/>
      <c r="E612" s="1069"/>
      <c r="F612" s="1069"/>
      <c r="G612" s="1069"/>
      <c r="H612" s="1069"/>
      <c r="I612" s="1069" t="s">
        <v>374</v>
      </c>
      <c r="J612" s="1069"/>
      <c r="K612" s="1069"/>
      <c r="L612" s="1069"/>
      <c r="O612" s="1069" t="s">
        <v>0</v>
      </c>
      <c r="P612" s="1069"/>
      <c r="Q612" s="1069"/>
      <c r="R612" s="1069"/>
      <c r="S612" s="1069"/>
      <c r="T612" s="1069"/>
      <c r="U612" s="1069"/>
      <c r="V612" s="1069" t="s">
        <v>374</v>
      </c>
      <c r="W612" s="1069"/>
      <c r="X612" s="1069"/>
      <c r="Y612" s="1069"/>
    </row>
    <row r="613" spans="1:25" ht="24" customHeight="1" thickBot="1" x14ac:dyDescent="0.25">
      <c r="A613" s="219"/>
      <c r="B613" s="398" t="str">
        <f>VLOOKUP(U611,TBL_equipe,2,FALSE)</f>
        <v/>
      </c>
      <c r="C613" s="399"/>
      <c r="D613" s="399"/>
      <c r="E613" s="399"/>
      <c r="F613" s="399"/>
      <c r="G613" s="399"/>
      <c r="H613" s="400"/>
      <c r="I613" s="257" t="str">
        <f>VLOOKUP(U611,TBL_equipe,4,FALSE)</f>
        <v/>
      </c>
      <c r="J613" s="220"/>
      <c r="K613" s="220"/>
      <c r="L613" s="221"/>
      <c r="M613" s="1070" t="s">
        <v>547</v>
      </c>
      <c r="N613" s="1071"/>
      <c r="O613" s="398" t="e">
        <f>VLOOKUP(W611,TBL_equipe,2,FALSE)</f>
        <v>#N/A</v>
      </c>
      <c r="P613" s="220"/>
      <c r="Q613" s="220"/>
      <c r="R613" s="220"/>
      <c r="S613" s="220"/>
      <c r="T613" s="220"/>
      <c r="U613" s="221"/>
      <c r="V613" s="257" t="e">
        <f>VLOOKUP(W611,TBL_equipe,4,FALSE)</f>
        <v>#N/A</v>
      </c>
      <c r="W613" s="220"/>
      <c r="X613" s="220"/>
      <c r="Y613" s="221"/>
    </row>
    <row r="614" spans="1:25" ht="15" customHeight="1" x14ac:dyDescent="0.2"/>
    <row r="615" spans="1:25" ht="20.100000000000001" customHeight="1" x14ac:dyDescent="0.2">
      <c r="A615" s="1074" t="s">
        <v>548</v>
      </c>
      <c r="B615" s="1074"/>
      <c r="C615" s="1074"/>
      <c r="D615" s="1074"/>
      <c r="E615" s="1074"/>
    </row>
    <row r="616" spans="1:25" ht="20.100000000000001" customHeight="1" x14ac:dyDescent="0.2">
      <c r="A616" s="1075" t="s">
        <v>549</v>
      </c>
      <c r="B616" s="1075"/>
      <c r="C616" s="1075"/>
      <c r="D616" s="1075"/>
      <c r="E616" s="1075"/>
      <c r="G616" s="1076" t="s">
        <v>480</v>
      </c>
      <c r="H616" s="1076"/>
      <c r="I616" s="1077" t="s">
        <v>550</v>
      </c>
      <c r="J616" s="1077"/>
      <c r="K616" s="1077"/>
      <c r="L616" s="252" t="s">
        <v>551</v>
      </c>
      <c r="M616" s="1078" t="s">
        <v>552</v>
      </c>
      <c r="N616" s="1078"/>
      <c r="O616" s="251"/>
    </row>
    <row r="617" spans="1:25" ht="24" customHeight="1" x14ac:dyDescent="0.2">
      <c r="A617" s="258" t="str">
        <f>VLOOKUP(U611,TBL_equipe,5,FALSE)</f>
        <v/>
      </c>
      <c r="B617" s="223"/>
      <c r="C617" s="259" t="str">
        <f>VLOOKUP(U611,TBL_equipe,6,FALSE)</f>
        <v/>
      </c>
      <c r="D617" s="223"/>
      <c r="E617" s="224"/>
      <c r="F617" s="219"/>
      <c r="G617" s="403" t="str">
        <f>VLOOKUP(U611,TBL_equipe,9,FALSE)</f>
        <v/>
      </c>
      <c r="H617" s="224"/>
      <c r="I617" s="222"/>
      <c r="J617" s="246" t="str">
        <f>VLOOKUP(U611,TBL_equipe,8,FALSE)</f>
        <v/>
      </c>
      <c r="K617" s="224"/>
      <c r="L617" s="260" t="str">
        <f>VLOOKUP(U611,TBL_equipe,10,FALSE)</f>
        <v/>
      </c>
      <c r="M617" s="287">
        <f>G611</f>
        <v>0</v>
      </c>
      <c r="N617" s="288"/>
      <c r="O617" s="249"/>
      <c r="R617" s="254"/>
      <c r="S617" s="254"/>
      <c r="T617" s="254" t="s">
        <v>629</v>
      </c>
      <c r="U617" s="254"/>
      <c r="V617" s="254"/>
      <c r="W617" s="254"/>
      <c r="X617" s="254"/>
      <c r="Y617" s="254"/>
    </row>
    <row r="618" spans="1:25" ht="24" customHeight="1" x14ac:dyDescent="0.2">
      <c r="A618" s="258" t="str">
        <f>VLOOKUP(U611,TBL_equipe,11,FALSE)</f>
        <v/>
      </c>
      <c r="B618" s="223"/>
      <c r="C618" s="259" t="str">
        <f>VLOOKUP(U611,TBL_equipe,12,FALSE)</f>
        <v/>
      </c>
      <c r="D618" s="223"/>
      <c r="E618" s="224"/>
      <c r="F618" s="219"/>
      <c r="G618" s="403" t="str">
        <f>VLOOKUP(U611,TBL_equipe,15,FALSE)</f>
        <v/>
      </c>
      <c r="H618" s="224"/>
      <c r="I618" s="222"/>
      <c r="J618" s="246" t="str">
        <f>VLOOKUP(U611,TBL_equipe,14,FALSE)</f>
        <v/>
      </c>
      <c r="K618" s="224"/>
      <c r="L618" s="260" t="str">
        <f>VLOOKUP(U611,TBL_equipe,16,FALSE)</f>
        <v/>
      </c>
      <c r="M618" s="287">
        <f>G611</f>
        <v>0</v>
      </c>
      <c r="N618" s="288"/>
      <c r="O618" s="249"/>
      <c r="Q618" s="254"/>
      <c r="R618" s="254"/>
      <c r="S618" s="254"/>
      <c r="T618" s="254"/>
      <c r="U618" s="254"/>
      <c r="V618" s="254"/>
      <c r="W618" s="254"/>
      <c r="X618" s="254"/>
      <c r="Y618" s="254"/>
    </row>
    <row r="619" spans="1:25" ht="24" customHeight="1" x14ac:dyDescent="0.2">
      <c r="A619" s="258" t="str">
        <f>VLOOKUP(U611,TBL_equipe,17,FALSE)</f>
        <v/>
      </c>
      <c r="B619" s="223"/>
      <c r="C619" s="259" t="str">
        <f>VLOOKUP(U611,TBL_equipe,18,FALSE)</f>
        <v/>
      </c>
      <c r="D619" s="223"/>
      <c r="E619" s="224"/>
      <c r="F619" s="219"/>
      <c r="G619" s="403" t="str">
        <f>VLOOKUP(U611,TBL_equipe,21,FALSE)</f>
        <v/>
      </c>
      <c r="H619" s="224"/>
      <c r="I619" s="222"/>
      <c r="J619" s="246" t="str">
        <f>VLOOKUP(U611,TBL_equipe,20,FALSE)</f>
        <v/>
      </c>
      <c r="K619" s="224"/>
      <c r="L619" s="260" t="str">
        <f>VLOOKUP(U611,TBL_equipe,22,FALSE)</f>
        <v/>
      </c>
      <c r="M619" s="287">
        <f>G611</f>
        <v>0</v>
      </c>
      <c r="N619" s="288"/>
      <c r="O619" s="249"/>
      <c r="Q619" s="254"/>
      <c r="R619" s="254"/>
      <c r="S619" s="254"/>
      <c r="T619" s="254"/>
      <c r="U619" s="254"/>
      <c r="V619" s="254"/>
      <c r="W619" s="254"/>
      <c r="X619" s="254"/>
      <c r="Y619" s="254"/>
    </row>
    <row r="620" spans="1:25" ht="24" customHeight="1" x14ac:dyDescent="0.2">
      <c r="A620" s="258" t="str">
        <f>VLOOKUP(U611,TBL_equipe,23,FALSE)</f>
        <v/>
      </c>
      <c r="B620" s="223"/>
      <c r="C620" s="259" t="str">
        <f>VLOOKUP(U611,TBL_equipe,24,FALSE)</f>
        <v/>
      </c>
      <c r="D620" s="223"/>
      <c r="E620" s="224"/>
      <c r="F620" s="219"/>
      <c r="G620" s="403" t="str">
        <f>VLOOKUP(U611,TBL_equipe,27,FALSE)</f>
        <v/>
      </c>
      <c r="H620" s="224"/>
      <c r="I620" s="222"/>
      <c r="J620" s="246" t="str">
        <f>VLOOKUP(U611,TBL_equipe,26,FALSE)</f>
        <v/>
      </c>
      <c r="K620" s="224"/>
      <c r="L620" s="260" t="str">
        <f>VLOOKUP(U611,TBL_equipe,28,FALSE)</f>
        <v/>
      </c>
      <c r="M620" s="289">
        <f>G611</f>
        <v>0</v>
      </c>
      <c r="N620" s="290"/>
      <c r="O620" s="249"/>
    </row>
    <row r="621" spans="1:25" ht="15" customHeight="1" thickBot="1" x14ac:dyDescent="0.25"/>
    <row r="622" spans="1:25" ht="20.100000000000001" customHeight="1" x14ac:dyDescent="0.2">
      <c r="F622" s="1081" t="s">
        <v>555</v>
      </c>
      <c r="G622" s="1082"/>
      <c r="H622" s="1082"/>
      <c r="I622" s="1082"/>
      <c r="J622" s="1083"/>
      <c r="K622" s="1081" t="s">
        <v>556</v>
      </c>
      <c r="L622" s="1082"/>
      <c r="M622" s="1082"/>
      <c r="N622" s="1082"/>
      <c r="O622" s="1083"/>
      <c r="P622" s="1081" t="s">
        <v>557</v>
      </c>
      <c r="Q622" s="1082"/>
      <c r="R622" s="1082"/>
      <c r="S622" s="1082"/>
      <c r="T622" s="1083"/>
      <c r="U622" s="1081" t="s">
        <v>558</v>
      </c>
      <c r="V622" s="1082"/>
      <c r="W622" s="1082"/>
      <c r="X622" s="1082"/>
      <c r="Y622" s="1083"/>
    </row>
    <row r="623" spans="1:25" ht="20.100000000000001" customHeight="1" x14ac:dyDescent="0.2">
      <c r="A623" s="1075" t="s">
        <v>559</v>
      </c>
      <c r="B623" s="1075"/>
      <c r="C623" s="1075"/>
      <c r="D623" s="1075"/>
      <c r="E623" s="1089"/>
      <c r="F623" s="1090" t="s">
        <v>560</v>
      </c>
      <c r="G623" s="1075"/>
      <c r="H623" s="1075"/>
      <c r="J623" s="225" t="s">
        <v>7</v>
      </c>
      <c r="K623" s="1090" t="s">
        <v>560</v>
      </c>
      <c r="L623" s="1075"/>
      <c r="M623" s="1075"/>
      <c r="O623" s="225" t="s">
        <v>7</v>
      </c>
      <c r="P623" s="1090" t="s">
        <v>560</v>
      </c>
      <c r="Q623" s="1075"/>
      <c r="R623" s="1075"/>
      <c r="T623" s="225" t="s">
        <v>7</v>
      </c>
      <c r="U623" s="1090" t="s">
        <v>560</v>
      </c>
      <c r="V623" s="1075"/>
      <c r="W623" s="1075"/>
      <c r="Y623" s="225" t="s">
        <v>7</v>
      </c>
    </row>
    <row r="624" spans="1:25" ht="24" customHeight="1" x14ac:dyDescent="0.2">
      <c r="A624" s="261" t="str">
        <f>A617</f>
        <v/>
      </c>
      <c r="B624" s="227"/>
      <c r="C624" s="262" t="str">
        <f>C617</f>
        <v/>
      </c>
      <c r="D624" s="227"/>
      <c r="E624" s="227"/>
      <c r="F624" s="228"/>
      <c r="G624" s="229"/>
      <c r="H624" s="229"/>
      <c r="I624" s="230" t="s">
        <v>561</v>
      </c>
      <c r="J624" s="231"/>
      <c r="K624" s="228"/>
      <c r="L624" s="229"/>
      <c r="M624" s="229"/>
      <c r="N624" s="230" t="s">
        <v>561</v>
      </c>
      <c r="O624" s="231"/>
      <c r="P624" s="228"/>
      <c r="Q624" s="229"/>
      <c r="R624" s="229"/>
      <c r="S624" s="230" t="s">
        <v>561</v>
      </c>
      <c r="T624" s="231"/>
      <c r="U624" s="228"/>
      <c r="V624" s="229"/>
      <c r="W624" s="229"/>
      <c r="X624" s="230" t="s">
        <v>561</v>
      </c>
      <c r="Y624" s="231"/>
    </row>
    <row r="625" spans="1:25" ht="24" customHeight="1" x14ac:dyDescent="0.2">
      <c r="A625" s="261" t="str">
        <f>A618</f>
        <v/>
      </c>
      <c r="B625" s="227"/>
      <c r="C625" s="262" t="str">
        <f>C618</f>
        <v/>
      </c>
      <c r="D625" s="227"/>
      <c r="E625" s="227"/>
      <c r="F625" s="228"/>
      <c r="G625" s="229"/>
      <c r="H625" s="229"/>
      <c r="I625" s="230" t="s">
        <v>561</v>
      </c>
      <c r="J625" s="231"/>
      <c r="K625" s="228"/>
      <c r="L625" s="229"/>
      <c r="M625" s="229"/>
      <c r="N625" s="230" t="s">
        <v>561</v>
      </c>
      <c r="O625" s="231"/>
      <c r="P625" s="228"/>
      <c r="Q625" s="229"/>
      <c r="R625" s="229"/>
      <c r="S625" s="230" t="s">
        <v>561</v>
      </c>
      <c r="T625" s="231"/>
      <c r="U625" s="228"/>
      <c r="V625" s="229"/>
      <c r="W625" s="229"/>
      <c r="X625" s="230" t="s">
        <v>561</v>
      </c>
      <c r="Y625" s="231"/>
    </row>
    <row r="626" spans="1:25" ht="24" customHeight="1" x14ac:dyDescent="0.2">
      <c r="A626" s="261" t="str">
        <f>A619</f>
        <v/>
      </c>
      <c r="B626" s="227"/>
      <c r="C626" s="262" t="str">
        <f>C619</f>
        <v/>
      </c>
      <c r="D626" s="227"/>
      <c r="E626" s="227"/>
      <c r="F626" s="228"/>
      <c r="G626" s="229"/>
      <c r="H626" s="229"/>
      <c r="I626" s="230" t="s">
        <v>561</v>
      </c>
      <c r="J626" s="231"/>
      <c r="K626" s="228"/>
      <c r="L626" s="229"/>
      <c r="M626" s="229"/>
      <c r="N626" s="230" t="s">
        <v>561</v>
      </c>
      <c r="O626" s="231"/>
      <c r="P626" s="228"/>
      <c r="Q626" s="229"/>
      <c r="R626" s="229"/>
      <c r="S626" s="230" t="s">
        <v>561</v>
      </c>
      <c r="T626" s="231"/>
      <c r="U626" s="228"/>
      <c r="V626" s="229"/>
      <c r="W626" s="229"/>
      <c r="X626" s="230" t="s">
        <v>561</v>
      </c>
      <c r="Y626" s="231"/>
    </row>
    <row r="627" spans="1:25" ht="24" customHeight="1" x14ac:dyDescent="0.2">
      <c r="A627" s="261" t="str">
        <f>A620</f>
        <v/>
      </c>
      <c r="B627" s="227"/>
      <c r="C627" s="262" t="str">
        <f>C620</f>
        <v/>
      </c>
      <c r="D627" s="227"/>
      <c r="E627" s="227"/>
      <c r="F627" s="228"/>
      <c r="G627" s="229"/>
      <c r="H627" s="229"/>
      <c r="I627" s="230" t="s">
        <v>561</v>
      </c>
      <c r="J627" s="232"/>
      <c r="K627" s="228"/>
      <c r="L627" s="229"/>
      <c r="M627" s="229"/>
      <c r="N627" s="230" t="s">
        <v>561</v>
      </c>
      <c r="O627" s="232"/>
      <c r="P627" s="228"/>
      <c r="Q627" s="229"/>
      <c r="R627" s="229"/>
      <c r="S627" s="230" t="s">
        <v>561</v>
      </c>
      <c r="T627" s="232"/>
      <c r="U627" s="228"/>
      <c r="V627" s="229"/>
      <c r="W627" s="229"/>
      <c r="X627" s="230" t="s">
        <v>561</v>
      </c>
      <c r="Y627" s="232"/>
    </row>
    <row r="628" spans="1:25" ht="24" customHeight="1" thickBot="1" x14ac:dyDescent="0.25">
      <c r="F628" s="1079" t="s">
        <v>562</v>
      </c>
      <c r="G628" s="1080"/>
      <c r="H628" s="1080"/>
      <c r="I628" s="230" t="s">
        <v>561</v>
      </c>
      <c r="J628" s="231"/>
      <c r="K628" s="1079" t="s">
        <v>563</v>
      </c>
      <c r="L628" s="1080"/>
      <c r="M628" s="1080"/>
      <c r="N628" s="230" t="s">
        <v>561</v>
      </c>
      <c r="O628" s="232"/>
      <c r="P628" s="1079" t="s">
        <v>564</v>
      </c>
      <c r="Q628" s="1080"/>
      <c r="R628" s="1080"/>
      <c r="S628" s="230" t="s">
        <v>561</v>
      </c>
      <c r="T628" s="232"/>
      <c r="U628" s="1079" t="s">
        <v>565</v>
      </c>
      <c r="V628" s="1080"/>
      <c r="W628" s="1080"/>
      <c r="X628" s="230" t="s">
        <v>561</v>
      </c>
      <c r="Y628" s="232"/>
    </row>
    <row r="629" spans="1:25" ht="24" customHeight="1" thickBot="1" x14ac:dyDescent="0.25">
      <c r="F629" s="233"/>
      <c r="G629" s="234"/>
      <c r="H629" s="235" t="s">
        <v>566</v>
      </c>
      <c r="I629" s="235"/>
      <c r="J629" s="236"/>
      <c r="K629" s="1092" t="s">
        <v>567</v>
      </c>
      <c r="L629" s="1085"/>
      <c r="M629" s="1085"/>
      <c r="N629" s="237" t="s">
        <v>561</v>
      </c>
      <c r="O629" s="238"/>
      <c r="P629" s="1092" t="s">
        <v>568</v>
      </c>
      <c r="Q629" s="1085"/>
      <c r="R629" s="1085"/>
      <c r="S629" s="237" t="s">
        <v>561</v>
      </c>
      <c r="T629" s="238"/>
      <c r="U629" s="1092" t="s">
        <v>569</v>
      </c>
      <c r="V629" s="1085"/>
      <c r="W629" s="1085"/>
      <c r="X629" s="237" t="s">
        <v>561</v>
      </c>
      <c r="Y629" s="239"/>
    </row>
    <row r="630" spans="1:25" ht="12.75" customHeight="1" x14ac:dyDescent="0.2">
      <c r="Y630" s="240" t="s">
        <v>570</v>
      </c>
    </row>
    <row r="631" spans="1:25" ht="15.75" customHeight="1" x14ac:dyDescent="0.2">
      <c r="B631" s="1091" t="s">
        <v>521</v>
      </c>
      <c r="C631" s="1091"/>
      <c r="D631" s="1091"/>
      <c r="E631" s="1091"/>
      <c r="F631" s="1091"/>
      <c r="G631" s="1091"/>
      <c r="H631" s="1091"/>
      <c r="I631" s="1091"/>
      <c r="J631" s="1091"/>
      <c r="K631" s="1091"/>
      <c r="L631" s="1091"/>
      <c r="O631" s="1091" t="s">
        <v>522</v>
      </c>
      <c r="P631" s="1091"/>
      <c r="Q631" s="1091"/>
      <c r="R631" s="1091"/>
      <c r="S631" s="1091"/>
      <c r="T631" s="1091"/>
      <c r="U631" s="1091"/>
      <c r="V631" s="1091"/>
      <c r="W631" s="1091"/>
      <c r="X631" s="1091"/>
      <c r="Y631" s="1091"/>
    </row>
    <row r="632" spans="1:25" ht="13.5" customHeight="1" x14ac:dyDescent="0.2">
      <c r="B632" s="1086" t="s">
        <v>1</v>
      </c>
      <c r="C632" s="1087"/>
      <c r="D632" s="1087"/>
      <c r="E632" s="1087"/>
      <c r="F632" s="1087"/>
      <c r="G632" s="1087"/>
      <c r="H632" s="1088"/>
      <c r="I632" s="1086" t="s">
        <v>520</v>
      </c>
      <c r="J632" s="1087"/>
      <c r="K632" s="1087"/>
      <c r="L632" s="1088"/>
      <c r="N632" s="241"/>
      <c r="O632" s="1086" t="s">
        <v>1</v>
      </c>
      <c r="P632" s="1087"/>
      <c r="Q632" s="1087"/>
      <c r="R632" s="1087"/>
      <c r="S632" s="1087"/>
      <c r="T632" s="1087"/>
      <c r="U632" s="1088"/>
      <c r="V632" s="1086" t="s">
        <v>520</v>
      </c>
      <c r="W632" s="1087"/>
      <c r="X632" s="1087"/>
      <c r="Y632" s="1088"/>
    </row>
    <row r="633" spans="1:25" ht="21.75" customHeight="1" x14ac:dyDescent="0.2">
      <c r="B633" s="242"/>
      <c r="C633" s="243"/>
      <c r="D633" s="243"/>
      <c r="E633" s="243"/>
      <c r="F633" s="243"/>
      <c r="G633" s="243"/>
      <c r="H633" s="243"/>
      <c r="I633" s="242"/>
      <c r="J633" s="243"/>
      <c r="K633" s="243"/>
      <c r="L633" s="244"/>
      <c r="N633" s="241"/>
      <c r="O633" s="242"/>
      <c r="P633" s="243"/>
      <c r="Q633" s="243"/>
      <c r="R633" s="243"/>
      <c r="S633" s="243"/>
      <c r="T633" s="243"/>
      <c r="U633" s="243"/>
      <c r="V633" s="242"/>
      <c r="W633" s="243"/>
      <c r="X633" s="243"/>
      <c r="Y633" s="244"/>
    </row>
    <row r="634" spans="1:25" ht="13.5" customHeight="1" x14ac:dyDescent="0.2"/>
    <row r="635" spans="1:25" ht="14.25" customHeight="1" thickBot="1" x14ac:dyDescent="0.25">
      <c r="A635" s="241"/>
      <c r="G635" s="305"/>
      <c r="H635" s="305"/>
      <c r="I635" s="1069" t="s">
        <v>0</v>
      </c>
      <c r="J635" s="1069"/>
      <c r="K635" s="1069"/>
      <c r="L635" s="1069"/>
      <c r="M635" s="1069"/>
      <c r="N635" s="1069"/>
      <c r="O635" s="1069"/>
      <c r="P635" s="1069" t="s">
        <v>374</v>
      </c>
      <c r="Q635" s="1069"/>
      <c r="R635" s="1069"/>
      <c r="S635" s="1069"/>
      <c r="T635" s="1069"/>
      <c r="U635" s="1069" t="s">
        <v>571</v>
      </c>
      <c r="V635" s="1069"/>
      <c r="W635" s="1069"/>
      <c r="X635" s="305"/>
      <c r="Y635" s="305"/>
    </row>
    <row r="636" spans="1:25" ht="20.25" customHeight="1" x14ac:dyDescent="0.2">
      <c r="A636" s="241"/>
      <c r="F636" s="1074" t="s">
        <v>584</v>
      </c>
      <c r="G636" s="1074"/>
      <c r="H636" s="1074"/>
      <c r="I636" s="316"/>
      <c r="J636" s="306"/>
      <c r="K636" s="306"/>
      <c r="L636" s="306"/>
      <c r="M636" s="306"/>
      <c r="N636" s="306"/>
      <c r="O636" s="306"/>
      <c r="P636" s="312"/>
      <c r="Q636" s="306"/>
      <c r="R636" s="307"/>
      <c r="S636" s="304"/>
      <c r="T636" s="313"/>
      <c r="U636" s="310"/>
      <c r="V636" s="1084" t="s">
        <v>495</v>
      </c>
      <c r="W636" s="308"/>
    </row>
    <row r="637" spans="1:25" ht="13.5" thickBot="1" x14ac:dyDescent="0.25">
      <c r="F637" s="1074"/>
      <c r="G637" s="1074"/>
      <c r="H637" s="1074"/>
      <c r="I637" s="303"/>
      <c r="J637" s="235"/>
      <c r="K637" s="235"/>
      <c r="L637" s="235"/>
      <c r="M637" s="235"/>
      <c r="N637" s="235"/>
      <c r="O637" s="235"/>
      <c r="P637" s="314"/>
      <c r="Q637" s="235"/>
      <c r="R637" s="234"/>
      <c r="S637" s="234"/>
      <c r="T637" s="315"/>
      <c r="U637" s="311"/>
      <c r="V637" s="1085"/>
      <c r="W637" s="309"/>
    </row>
  </sheetData>
  <mergeCells count="880">
    <mergeCell ref="A2:B2"/>
    <mergeCell ref="D2:F2"/>
    <mergeCell ref="G2:H2"/>
    <mergeCell ref="B3:H3"/>
    <mergeCell ref="I3:L3"/>
    <mergeCell ref="O3:U3"/>
    <mergeCell ref="V3:Y3"/>
    <mergeCell ref="M4:N4"/>
    <mergeCell ref="A6:E6"/>
    <mergeCell ref="A7:E7"/>
    <mergeCell ref="G7:H7"/>
    <mergeCell ref="I7:K7"/>
    <mergeCell ref="M7:N7"/>
    <mergeCell ref="F13:J13"/>
    <mergeCell ref="K13:O13"/>
    <mergeCell ref="P13:T13"/>
    <mergeCell ref="U13:Y13"/>
    <mergeCell ref="A14:E14"/>
    <mergeCell ref="F14:H14"/>
    <mergeCell ref="K14:M14"/>
    <mergeCell ref="P14:R14"/>
    <mergeCell ref="U14:W14"/>
    <mergeCell ref="F19:H19"/>
    <mergeCell ref="K19:M19"/>
    <mergeCell ref="P19:R19"/>
    <mergeCell ref="U19:W19"/>
    <mergeCell ref="K20:M20"/>
    <mergeCell ref="P20:R20"/>
    <mergeCell ref="U20:W20"/>
    <mergeCell ref="B22:L22"/>
    <mergeCell ref="O22:Y22"/>
    <mergeCell ref="B23:H23"/>
    <mergeCell ref="I23:L23"/>
    <mergeCell ref="O23:U23"/>
    <mergeCell ref="V23:Y23"/>
    <mergeCell ref="I26:O26"/>
    <mergeCell ref="P26:T26"/>
    <mergeCell ref="U26:W26"/>
    <mergeCell ref="F27:H28"/>
    <mergeCell ref="V27:V28"/>
    <mergeCell ref="A31:B31"/>
    <mergeCell ref="D31:F31"/>
    <mergeCell ref="G31:H31"/>
    <mergeCell ref="B32:H32"/>
    <mergeCell ref="I32:L32"/>
    <mergeCell ref="O32:U32"/>
    <mergeCell ref="V32:Y32"/>
    <mergeCell ref="M33:N33"/>
    <mergeCell ref="A35:E35"/>
    <mergeCell ref="A36:E36"/>
    <mergeCell ref="G36:H36"/>
    <mergeCell ref="I36:K36"/>
    <mergeCell ref="M36:N36"/>
    <mergeCell ref="F42:J42"/>
    <mergeCell ref="K42:O42"/>
    <mergeCell ref="P42:T42"/>
    <mergeCell ref="U42:Y42"/>
    <mergeCell ref="A43:E43"/>
    <mergeCell ref="F43:H43"/>
    <mergeCell ref="K43:M43"/>
    <mergeCell ref="P43:R43"/>
    <mergeCell ref="U43:W43"/>
    <mergeCell ref="F48:H48"/>
    <mergeCell ref="K48:M48"/>
    <mergeCell ref="P48:R48"/>
    <mergeCell ref="U48:W48"/>
    <mergeCell ref="K49:M49"/>
    <mergeCell ref="P49:R49"/>
    <mergeCell ref="U49:W49"/>
    <mergeCell ref="B51:L51"/>
    <mergeCell ref="O51:Y51"/>
    <mergeCell ref="B52:H52"/>
    <mergeCell ref="I52:L52"/>
    <mergeCell ref="O52:U52"/>
    <mergeCell ref="V52:Y52"/>
    <mergeCell ref="I55:O55"/>
    <mergeCell ref="P55:T55"/>
    <mergeCell ref="U55:W55"/>
    <mergeCell ref="F56:H57"/>
    <mergeCell ref="V56:V57"/>
    <mergeCell ref="A60:B60"/>
    <mergeCell ref="D60:F60"/>
    <mergeCell ref="G60:H60"/>
    <mergeCell ref="B61:H61"/>
    <mergeCell ref="I61:L61"/>
    <mergeCell ref="O61:U61"/>
    <mergeCell ref="V61:Y61"/>
    <mergeCell ref="M62:N62"/>
    <mergeCell ref="A64:E64"/>
    <mergeCell ref="A65:E65"/>
    <mergeCell ref="G65:H65"/>
    <mergeCell ref="I65:K65"/>
    <mergeCell ref="M65:N65"/>
    <mergeCell ref="F71:J71"/>
    <mergeCell ref="K71:O71"/>
    <mergeCell ref="P71:T71"/>
    <mergeCell ref="U71:Y71"/>
    <mergeCell ref="A72:E72"/>
    <mergeCell ref="F72:H72"/>
    <mergeCell ref="K72:M72"/>
    <mergeCell ref="P72:R72"/>
    <mergeCell ref="U72:W72"/>
    <mergeCell ref="F77:H77"/>
    <mergeCell ref="K77:M77"/>
    <mergeCell ref="P77:R77"/>
    <mergeCell ref="U77:W77"/>
    <mergeCell ref="K78:M78"/>
    <mergeCell ref="P78:R78"/>
    <mergeCell ref="U78:W78"/>
    <mergeCell ref="B80:L80"/>
    <mergeCell ref="O80:Y80"/>
    <mergeCell ref="B81:H81"/>
    <mergeCell ref="I81:L81"/>
    <mergeCell ref="O81:U81"/>
    <mergeCell ref="V81:Y81"/>
    <mergeCell ref="I84:O84"/>
    <mergeCell ref="P84:T84"/>
    <mergeCell ref="U84:W84"/>
    <mergeCell ref="F85:H86"/>
    <mergeCell ref="V85:V86"/>
    <mergeCell ref="A89:B89"/>
    <mergeCell ref="D89:F89"/>
    <mergeCell ref="G89:H89"/>
    <mergeCell ref="B90:H90"/>
    <mergeCell ref="I90:L90"/>
    <mergeCell ref="O90:U90"/>
    <mergeCell ref="V90:Y90"/>
    <mergeCell ref="M91:N91"/>
    <mergeCell ref="A93:E93"/>
    <mergeCell ref="A94:E94"/>
    <mergeCell ref="G94:H94"/>
    <mergeCell ref="I94:K94"/>
    <mergeCell ref="M94:N94"/>
    <mergeCell ref="F100:J100"/>
    <mergeCell ref="K100:O100"/>
    <mergeCell ref="P100:T100"/>
    <mergeCell ref="U100:Y100"/>
    <mergeCell ref="A101:E101"/>
    <mergeCell ref="F101:H101"/>
    <mergeCell ref="K101:M101"/>
    <mergeCell ref="P101:R101"/>
    <mergeCell ref="U101:W101"/>
    <mergeCell ref="F106:H106"/>
    <mergeCell ref="K106:M106"/>
    <mergeCell ref="P106:R106"/>
    <mergeCell ref="U106:W106"/>
    <mergeCell ref="K107:M107"/>
    <mergeCell ref="P107:R107"/>
    <mergeCell ref="U107:W107"/>
    <mergeCell ref="B109:L109"/>
    <mergeCell ref="O109:Y109"/>
    <mergeCell ref="B110:H110"/>
    <mergeCell ref="I110:L110"/>
    <mergeCell ref="O110:U110"/>
    <mergeCell ref="V110:Y110"/>
    <mergeCell ref="I113:O113"/>
    <mergeCell ref="P113:T113"/>
    <mergeCell ref="U113:W113"/>
    <mergeCell ref="F114:H115"/>
    <mergeCell ref="V114:V115"/>
    <mergeCell ref="A118:B118"/>
    <mergeCell ref="D118:F118"/>
    <mergeCell ref="G118:H118"/>
    <mergeCell ref="B119:H119"/>
    <mergeCell ref="I119:L119"/>
    <mergeCell ref="O119:U119"/>
    <mergeCell ref="V119:Y119"/>
    <mergeCell ref="M120:N120"/>
    <mergeCell ref="A122:E122"/>
    <mergeCell ref="A123:E123"/>
    <mergeCell ref="G123:H123"/>
    <mergeCell ref="I123:K123"/>
    <mergeCell ref="M123:N123"/>
    <mergeCell ref="F129:J129"/>
    <mergeCell ref="K129:O129"/>
    <mergeCell ref="P129:T129"/>
    <mergeCell ref="U129:Y129"/>
    <mergeCell ref="A130:E130"/>
    <mergeCell ref="F130:H130"/>
    <mergeCell ref="K130:M130"/>
    <mergeCell ref="P130:R130"/>
    <mergeCell ref="U130:W130"/>
    <mergeCell ref="F135:H135"/>
    <mergeCell ref="K135:M135"/>
    <mergeCell ref="P135:R135"/>
    <mergeCell ref="U135:W135"/>
    <mergeCell ref="K136:M136"/>
    <mergeCell ref="P136:R136"/>
    <mergeCell ref="U136:W136"/>
    <mergeCell ref="B138:L138"/>
    <mergeCell ref="O138:Y138"/>
    <mergeCell ref="B139:H139"/>
    <mergeCell ref="I139:L139"/>
    <mergeCell ref="O139:U139"/>
    <mergeCell ref="V139:Y139"/>
    <mergeCell ref="I142:O142"/>
    <mergeCell ref="P142:T142"/>
    <mergeCell ref="U142:W142"/>
    <mergeCell ref="F143:H144"/>
    <mergeCell ref="V143:V144"/>
    <mergeCell ref="A147:B147"/>
    <mergeCell ref="D147:F147"/>
    <mergeCell ref="G147:H147"/>
    <mergeCell ref="B148:H148"/>
    <mergeCell ref="I148:L148"/>
    <mergeCell ref="O148:U148"/>
    <mergeCell ref="V148:Y148"/>
    <mergeCell ref="M149:N149"/>
    <mergeCell ref="A151:E151"/>
    <mergeCell ref="A152:E152"/>
    <mergeCell ref="G152:H152"/>
    <mergeCell ref="I152:K152"/>
    <mergeCell ref="M152:N152"/>
    <mergeCell ref="F158:J158"/>
    <mergeCell ref="K158:O158"/>
    <mergeCell ref="P158:T158"/>
    <mergeCell ref="U158:Y158"/>
    <mergeCell ref="A159:E159"/>
    <mergeCell ref="F159:H159"/>
    <mergeCell ref="K159:M159"/>
    <mergeCell ref="P159:R159"/>
    <mergeCell ref="U159:W159"/>
    <mergeCell ref="F164:H164"/>
    <mergeCell ref="K164:M164"/>
    <mergeCell ref="P164:R164"/>
    <mergeCell ref="U164:W164"/>
    <mergeCell ref="K165:M165"/>
    <mergeCell ref="P165:R165"/>
    <mergeCell ref="U165:W165"/>
    <mergeCell ref="B167:L167"/>
    <mergeCell ref="O167:Y167"/>
    <mergeCell ref="B168:H168"/>
    <mergeCell ref="I168:L168"/>
    <mergeCell ref="O168:U168"/>
    <mergeCell ref="V168:Y168"/>
    <mergeCell ref="I171:O171"/>
    <mergeCell ref="P171:T171"/>
    <mergeCell ref="U171:W171"/>
    <mergeCell ref="F172:H173"/>
    <mergeCell ref="V172:V173"/>
    <mergeCell ref="A176:B176"/>
    <mergeCell ref="D176:F176"/>
    <mergeCell ref="G176:H176"/>
    <mergeCell ref="B177:H177"/>
    <mergeCell ref="I177:L177"/>
    <mergeCell ref="O177:U177"/>
    <mergeCell ref="V177:Y177"/>
    <mergeCell ref="M178:N178"/>
    <mergeCell ref="A180:E180"/>
    <mergeCell ref="A181:E181"/>
    <mergeCell ref="G181:H181"/>
    <mergeCell ref="I181:K181"/>
    <mergeCell ref="M181:N181"/>
    <mergeCell ref="F187:J187"/>
    <mergeCell ref="K187:O187"/>
    <mergeCell ref="P187:T187"/>
    <mergeCell ref="U187:Y187"/>
    <mergeCell ref="A188:E188"/>
    <mergeCell ref="F188:H188"/>
    <mergeCell ref="K188:M188"/>
    <mergeCell ref="P188:R188"/>
    <mergeCell ref="U188:W188"/>
    <mergeCell ref="F193:H193"/>
    <mergeCell ref="K193:M193"/>
    <mergeCell ref="P193:R193"/>
    <mergeCell ref="U193:W193"/>
    <mergeCell ref="K194:M194"/>
    <mergeCell ref="P194:R194"/>
    <mergeCell ref="U194:W194"/>
    <mergeCell ref="B196:L196"/>
    <mergeCell ref="O196:Y196"/>
    <mergeCell ref="B197:H197"/>
    <mergeCell ref="I197:L197"/>
    <mergeCell ref="O197:U197"/>
    <mergeCell ref="V197:Y197"/>
    <mergeCell ref="I200:O200"/>
    <mergeCell ref="P200:T200"/>
    <mergeCell ref="U200:W200"/>
    <mergeCell ref="F201:H202"/>
    <mergeCell ref="V201:V202"/>
    <mergeCell ref="A205:B205"/>
    <mergeCell ref="D205:F205"/>
    <mergeCell ref="G205:H205"/>
    <mergeCell ref="B206:H206"/>
    <mergeCell ref="I206:L206"/>
    <mergeCell ref="O206:U206"/>
    <mergeCell ref="V206:Y206"/>
    <mergeCell ref="M207:N207"/>
    <mergeCell ref="A209:E209"/>
    <mergeCell ref="A210:E210"/>
    <mergeCell ref="G210:H210"/>
    <mergeCell ref="I210:K210"/>
    <mergeCell ref="M210:N210"/>
    <mergeCell ref="F216:J216"/>
    <mergeCell ref="K216:O216"/>
    <mergeCell ref="P216:T216"/>
    <mergeCell ref="U216:Y216"/>
    <mergeCell ref="A217:E217"/>
    <mergeCell ref="F217:H217"/>
    <mergeCell ref="K217:M217"/>
    <mergeCell ref="P217:R217"/>
    <mergeCell ref="U217:W217"/>
    <mergeCell ref="F222:H222"/>
    <mergeCell ref="K222:M222"/>
    <mergeCell ref="P222:R222"/>
    <mergeCell ref="U222:W222"/>
    <mergeCell ref="K223:M223"/>
    <mergeCell ref="P223:R223"/>
    <mergeCell ref="U223:W223"/>
    <mergeCell ref="B225:L225"/>
    <mergeCell ref="O225:Y225"/>
    <mergeCell ref="B226:H226"/>
    <mergeCell ref="I226:L226"/>
    <mergeCell ref="O226:U226"/>
    <mergeCell ref="V226:Y226"/>
    <mergeCell ref="I229:O229"/>
    <mergeCell ref="P229:T229"/>
    <mergeCell ref="U229:W229"/>
    <mergeCell ref="F230:H231"/>
    <mergeCell ref="V230:V231"/>
    <mergeCell ref="A234:B234"/>
    <mergeCell ref="D234:F234"/>
    <mergeCell ref="G234:H234"/>
    <mergeCell ref="B235:H235"/>
    <mergeCell ref="I235:L235"/>
    <mergeCell ref="O235:U235"/>
    <mergeCell ref="V235:Y235"/>
    <mergeCell ref="M236:N236"/>
    <mergeCell ref="A238:E238"/>
    <mergeCell ref="A239:E239"/>
    <mergeCell ref="G239:H239"/>
    <mergeCell ref="I239:K239"/>
    <mergeCell ref="M239:N239"/>
    <mergeCell ref="F245:J245"/>
    <mergeCell ref="K245:O245"/>
    <mergeCell ref="P245:T245"/>
    <mergeCell ref="U245:Y245"/>
    <mergeCell ref="A246:E246"/>
    <mergeCell ref="F246:H246"/>
    <mergeCell ref="K246:M246"/>
    <mergeCell ref="P246:R246"/>
    <mergeCell ref="U246:W246"/>
    <mergeCell ref="F251:H251"/>
    <mergeCell ref="K251:M251"/>
    <mergeCell ref="P251:R251"/>
    <mergeCell ref="U251:W251"/>
    <mergeCell ref="K252:M252"/>
    <mergeCell ref="P252:R252"/>
    <mergeCell ref="U252:W252"/>
    <mergeCell ref="B254:L254"/>
    <mergeCell ref="O254:Y254"/>
    <mergeCell ref="B255:H255"/>
    <mergeCell ref="I255:L255"/>
    <mergeCell ref="O255:U255"/>
    <mergeCell ref="V255:Y255"/>
    <mergeCell ref="I258:O258"/>
    <mergeCell ref="P258:T258"/>
    <mergeCell ref="U258:W258"/>
    <mergeCell ref="F259:H260"/>
    <mergeCell ref="V259:V260"/>
    <mergeCell ref="A263:B263"/>
    <mergeCell ref="D263:F263"/>
    <mergeCell ref="G263:H263"/>
    <mergeCell ref="B264:H264"/>
    <mergeCell ref="I264:L264"/>
    <mergeCell ref="O264:U264"/>
    <mergeCell ref="V264:Y264"/>
    <mergeCell ref="M265:N265"/>
    <mergeCell ref="A267:E267"/>
    <mergeCell ref="A268:E268"/>
    <mergeCell ref="G268:H268"/>
    <mergeCell ref="I268:K268"/>
    <mergeCell ref="M268:N268"/>
    <mergeCell ref="F274:J274"/>
    <mergeCell ref="K274:O274"/>
    <mergeCell ref="P274:T274"/>
    <mergeCell ref="U274:Y274"/>
    <mergeCell ref="A275:E275"/>
    <mergeCell ref="F275:H275"/>
    <mergeCell ref="K275:M275"/>
    <mergeCell ref="P275:R275"/>
    <mergeCell ref="U275:W275"/>
    <mergeCell ref="F280:H280"/>
    <mergeCell ref="K280:M280"/>
    <mergeCell ref="P280:R280"/>
    <mergeCell ref="U280:W280"/>
    <mergeCell ref="K281:M281"/>
    <mergeCell ref="P281:R281"/>
    <mergeCell ref="U281:W281"/>
    <mergeCell ref="B283:L283"/>
    <mergeCell ref="O283:Y283"/>
    <mergeCell ref="B284:H284"/>
    <mergeCell ref="I284:L284"/>
    <mergeCell ref="O284:U284"/>
    <mergeCell ref="V284:Y284"/>
    <mergeCell ref="I287:O287"/>
    <mergeCell ref="P287:T287"/>
    <mergeCell ref="U287:W287"/>
    <mergeCell ref="F288:H289"/>
    <mergeCell ref="V288:V289"/>
    <mergeCell ref="A292:B292"/>
    <mergeCell ref="D292:F292"/>
    <mergeCell ref="G292:H292"/>
    <mergeCell ref="B293:H293"/>
    <mergeCell ref="I293:L293"/>
    <mergeCell ref="O293:U293"/>
    <mergeCell ref="V293:Y293"/>
    <mergeCell ref="M294:N294"/>
    <mergeCell ref="A296:E296"/>
    <mergeCell ref="A297:E297"/>
    <mergeCell ref="G297:H297"/>
    <mergeCell ref="I297:K297"/>
    <mergeCell ref="M297:N297"/>
    <mergeCell ref="F303:J303"/>
    <mergeCell ref="K303:O303"/>
    <mergeCell ref="P303:T303"/>
    <mergeCell ref="U303:Y303"/>
    <mergeCell ref="A304:E304"/>
    <mergeCell ref="F304:H304"/>
    <mergeCell ref="K304:M304"/>
    <mergeCell ref="P304:R304"/>
    <mergeCell ref="U304:W304"/>
    <mergeCell ref="F309:H309"/>
    <mergeCell ref="K309:M309"/>
    <mergeCell ref="P309:R309"/>
    <mergeCell ref="U309:W309"/>
    <mergeCell ref="K310:M310"/>
    <mergeCell ref="P310:R310"/>
    <mergeCell ref="U310:W310"/>
    <mergeCell ref="B312:L312"/>
    <mergeCell ref="O312:Y312"/>
    <mergeCell ref="B313:H313"/>
    <mergeCell ref="I313:L313"/>
    <mergeCell ref="O313:U313"/>
    <mergeCell ref="V313:Y313"/>
    <mergeCell ref="I316:O316"/>
    <mergeCell ref="P316:T316"/>
    <mergeCell ref="U316:W316"/>
    <mergeCell ref="F317:H318"/>
    <mergeCell ref="V317:V318"/>
    <mergeCell ref="A321:B321"/>
    <mergeCell ref="D321:F321"/>
    <mergeCell ref="G321:H321"/>
    <mergeCell ref="B322:H322"/>
    <mergeCell ref="I322:L322"/>
    <mergeCell ref="O322:U322"/>
    <mergeCell ref="V322:Y322"/>
    <mergeCell ref="M323:N323"/>
    <mergeCell ref="A325:E325"/>
    <mergeCell ref="A326:E326"/>
    <mergeCell ref="G326:H326"/>
    <mergeCell ref="I326:K326"/>
    <mergeCell ref="M326:N326"/>
    <mergeCell ref="F332:J332"/>
    <mergeCell ref="K332:O332"/>
    <mergeCell ref="P332:T332"/>
    <mergeCell ref="U332:Y332"/>
    <mergeCell ref="A333:E333"/>
    <mergeCell ref="F333:H333"/>
    <mergeCell ref="K333:M333"/>
    <mergeCell ref="P333:R333"/>
    <mergeCell ref="U333:W333"/>
    <mergeCell ref="F338:H338"/>
    <mergeCell ref="K338:M338"/>
    <mergeCell ref="P338:R338"/>
    <mergeCell ref="U338:W338"/>
    <mergeCell ref="K339:M339"/>
    <mergeCell ref="P339:R339"/>
    <mergeCell ref="U339:W339"/>
    <mergeCell ref="B341:L341"/>
    <mergeCell ref="O341:Y341"/>
    <mergeCell ref="B342:H342"/>
    <mergeCell ref="I342:L342"/>
    <mergeCell ref="O342:U342"/>
    <mergeCell ref="V342:Y342"/>
    <mergeCell ref="I345:O345"/>
    <mergeCell ref="P345:T345"/>
    <mergeCell ref="U345:W345"/>
    <mergeCell ref="F346:H347"/>
    <mergeCell ref="V346:V347"/>
    <mergeCell ref="A350:B350"/>
    <mergeCell ref="D350:F350"/>
    <mergeCell ref="G350:H350"/>
    <mergeCell ref="B351:H351"/>
    <mergeCell ref="I351:L351"/>
    <mergeCell ref="O351:U351"/>
    <mergeCell ref="V351:Y351"/>
    <mergeCell ref="M352:N352"/>
    <mergeCell ref="A354:E354"/>
    <mergeCell ref="A355:E355"/>
    <mergeCell ref="G355:H355"/>
    <mergeCell ref="I355:K355"/>
    <mergeCell ref="M355:N355"/>
    <mergeCell ref="F361:J361"/>
    <mergeCell ref="K361:O361"/>
    <mergeCell ref="P361:T361"/>
    <mergeCell ref="U361:Y361"/>
    <mergeCell ref="A362:E362"/>
    <mergeCell ref="F362:H362"/>
    <mergeCell ref="K362:M362"/>
    <mergeCell ref="P362:R362"/>
    <mergeCell ref="U362:W362"/>
    <mergeCell ref="F367:H367"/>
    <mergeCell ref="K367:M367"/>
    <mergeCell ref="P367:R367"/>
    <mergeCell ref="U367:W367"/>
    <mergeCell ref="K368:M368"/>
    <mergeCell ref="P368:R368"/>
    <mergeCell ref="U368:W368"/>
    <mergeCell ref="B370:L370"/>
    <mergeCell ref="O370:Y370"/>
    <mergeCell ref="B371:H371"/>
    <mergeCell ref="I371:L371"/>
    <mergeCell ref="O371:U371"/>
    <mergeCell ref="V371:Y371"/>
    <mergeCell ref="I374:O374"/>
    <mergeCell ref="P374:T374"/>
    <mergeCell ref="U374:W374"/>
    <mergeCell ref="F375:H376"/>
    <mergeCell ref="V375:V376"/>
    <mergeCell ref="A379:B379"/>
    <mergeCell ref="D379:F379"/>
    <mergeCell ref="G379:H379"/>
    <mergeCell ref="B380:H380"/>
    <mergeCell ref="I380:L380"/>
    <mergeCell ref="O380:U380"/>
    <mergeCell ref="V380:Y380"/>
    <mergeCell ref="M381:N381"/>
    <mergeCell ref="A383:E383"/>
    <mergeCell ref="A384:E384"/>
    <mergeCell ref="G384:H384"/>
    <mergeCell ref="I384:K384"/>
    <mergeCell ref="M384:N384"/>
    <mergeCell ref="F390:J390"/>
    <mergeCell ref="K390:O390"/>
    <mergeCell ref="P390:T390"/>
    <mergeCell ref="U390:Y390"/>
    <mergeCell ref="A391:E391"/>
    <mergeCell ref="F391:H391"/>
    <mergeCell ref="K391:M391"/>
    <mergeCell ref="P391:R391"/>
    <mergeCell ref="U391:W391"/>
    <mergeCell ref="F396:H396"/>
    <mergeCell ref="K396:M396"/>
    <mergeCell ref="P396:R396"/>
    <mergeCell ref="U396:W396"/>
    <mergeCell ref="K397:M397"/>
    <mergeCell ref="P397:R397"/>
    <mergeCell ref="U397:W397"/>
    <mergeCell ref="B399:L399"/>
    <mergeCell ref="O399:Y399"/>
    <mergeCell ref="B400:H400"/>
    <mergeCell ref="I400:L400"/>
    <mergeCell ref="O400:U400"/>
    <mergeCell ref="V400:Y400"/>
    <mergeCell ref="I403:O403"/>
    <mergeCell ref="P403:T403"/>
    <mergeCell ref="U403:W403"/>
    <mergeCell ref="F404:H405"/>
    <mergeCell ref="V404:V405"/>
    <mergeCell ref="A408:B408"/>
    <mergeCell ref="D408:F408"/>
    <mergeCell ref="G408:H408"/>
    <mergeCell ref="B409:H409"/>
    <mergeCell ref="I409:L409"/>
    <mergeCell ref="O409:U409"/>
    <mergeCell ref="V409:Y409"/>
    <mergeCell ref="M410:N410"/>
    <mergeCell ref="A412:E412"/>
    <mergeCell ref="A413:E413"/>
    <mergeCell ref="G413:H413"/>
    <mergeCell ref="I413:K413"/>
    <mergeCell ref="M413:N413"/>
    <mergeCell ref="F419:J419"/>
    <mergeCell ref="K419:O419"/>
    <mergeCell ref="P419:T419"/>
    <mergeCell ref="U419:Y419"/>
    <mergeCell ref="A420:E420"/>
    <mergeCell ref="F420:H420"/>
    <mergeCell ref="K420:M420"/>
    <mergeCell ref="P420:R420"/>
    <mergeCell ref="U420:W420"/>
    <mergeCell ref="F425:H425"/>
    <mergeCell ref="K425:M425"/>
    <mergeCell ref="P425:R425"/>
    <mergeCell ref="U425:W425"/>
    <mergeCell ref="K426:M426"/>
    <mergeCell ref="P426:R426"/>
    <mergeCell ref="U426:W426"/>
    <mergeCell ref="B428:L428"/>
    <mergeCell ref="O428:Y428"/>
    <mergeCell ref="B429:H429"/>
    <mergeCell ref="I429:L429"/>
    <mergeCell ref="O429:U429"/>
    <mergeCell ref="V429:Y429"/>
    <mergeCell ref="I432:O432"/>
    <mergeCell ref="P432:T432"/>
    <mergeCell ref="U432:W432"/>
    <mergeCell ref="F433:H434"/>
    <mergeCell ref="V433:V434"/>
    <mergeCell ref="A437:B437"/>
    <mergeCell ref="D437:F437"/>
    <mergeCell ref="G437:H437"/>
    <mergeCell ref="B438:H438"/>
    <mergeCell ref="I438:L438"/>
    <mergeCell ref="O438:U438"/>
    <mergeCell ref="V438:Y438"/>
    <mergeCell ref="M439:N439"/>
    <mergeCell ref="A441:E441"/>
    <mergeCell ref="A442:E442"/>
    <mergeCell ref="G442:H442"/>
    <mergeCell ref="I442:K442"/>
    <mergeCell ref="M442:N442"/>
    <mergeCell ref="F448:J448"/>
    <mergeCell ref="K448:O448"/>
    <mergeCell ref="P448:T448"/>
    <mergeCell ref="U448:Y448"/>
    <mergeCell ref="A449:E449"/>
    <mergeCell ref="F449:H449"/>
    <mergeCell ref="K449:M449"/>
    <mergeCell ref="P449:R449"/>
    <mergeCell ref="U449:W449"/>
    <mergeCell ref="F454:H454"/>
    <mergeCell ref="K454:M454"/>
    <mergeCell ref="P454:R454"/>
    <mergeCell ref="U454:W454"/>
    <mergeCell ref="K455:M455"/>
    <mergeCell ref="P455:R455"/>
    <mergeCell ref="U455:W455"/>
    <mergeCell ref="B457:L457"/>
    <mergeCell ref="O457:Y457"/>
    <mergeCell ref="B458:H458"/>
    <mergeCell ref="I458:L458"/>
    <mergeCell ref="O458:U458"/>
    <mergeCell ref="V458:Y458"/>
    <mergeCell ref="I461:O461"/>
    <mergeCell ref="P461:T461"/>
    <mergeCell ref="U461:W461"/>
    <mergeCell ref="F462:H463"/>
    <mergeCell ref="V462:V463"/>
    <mergeCell ref="A466:B466"/>
    <mergeCell ref="D466:F466"/>
    <mergeCell ref="G466:H466"/>
    <mergeCell ref="B467:H467"/>
    <mergeCell ref="I467:L467"/>
    <mergeCell ref="O467:U467"/>
    <mergeCell ref="V467:Y467"/>
    <mergeCell ref="M468:N468"/>
    <mergeCell ref="A470:E470"/>
    <mergeCell ref="A471:E471"/>
    <mergeCell ref="G471:H471"/>
    <mergeCell ref="I471:K471"/>
    <mergeCell ref="M471:N471"/>
    <mergeCell ref="F477:J477"/>
    <mergeCell ref="K477:O477"/>
    <mergeCell ref="P477:T477"/>
    <mergeCell ref="U477:Y477"/>
    <mergeCell ref="A478:E478"/>
    <mergeCell ref="F478:H478"/>
    <mergeCell ref="K478:M478"/>
    <mergeCell ref="P478:R478"/>
    <mergeCell ref="U478:W478"/>
    <mergeCell ref="F483:H483"/>
    <mergeCell ref="K483:M483"/>
    <mergeCell ref="P483:R483"/>
    <mergeCell ref="U483:W483"/>
    <mergeCell ref="K484:M484"/>
    <mergeCell ref="P484:R484"/>
    <mergeCell ref="U484:W484"/>
    <mergeCell ref="B486:L486"/>
    <mergeCell ref="O486:Y486"/>
    <mergeCell ref="B487:H487"/>
    <mergeCell ref="I487:L487"/>
    <mergeCell ref="O487:U487"/>
    <mergeCell ref="V487:Y487"/>
    <mergeCell ref="I490:O490"/>
    <mergeCell ref="P490:T490"/>
    <mergeCell ref="U490:W490"/>
    <mergeCell ref="F491:H492"/>
    <mergeCell ref="V491:V492"/>
    <mergeCell ref="A495:B495"/>
    <mergeCell ref="D495:F495"/>
    <mergeCell ref="G495:H495"/>
    <mergeCell ref="B496:H496"/>
    <mergeCell ref="I496:L496"/>
    <mergeCell ref="O496:U496"/>
    <mergeCell ref="V496:Y496"/>
    <mergeCell ref="M497:N497"/>
    <mergeCell ref="A499:E499"/>
    <mergeCell ref="A500:E500"/>
    <mergeCell ref="G500:H500"/>
    <mergeCell ref="I500:K500"/>
    <mergeCell ref="M500:N500"/>
    <mergeCell ref="F506:J506"/>
    <mergeCell ref="K506:O506"/>
    <mergeCell ref="P506:T506"/>
    <mergeCell ref="U506:Y506"/>
    <mergeCell ref="A507:E507"/>
    <mergeCell ref="F507:H507"/>
    <mergeCell ref="K507:M507"/>
    <mergeCell ref="P507:R507"/>
    <mergeCell ref="U507:W507"/>
    <mergeCell ref="F512:H512"/>
    <mergeCell ref="K512:M512"/>
    <mergeCell ref="P512:R512"/>
    <mergeCell ref="U512:W512"/>
    <mergeCell ref="K513:M513"/>
    <mergeCell ref="P513:R513"/>
    <mergeCell ref="U513:W513"/>
    <mergeCell ref="B515:L515"/>
    <mergeCell ref="O515:Y515"/>
    <mergeCell ref="B516:H516"/>
    <mergeCell ref="I516:L516"/>
    <mergeCell ref="O516:U516"/>
    <mergeCell ref="V516:Y516"/>
    <mergeCell ref="I519:O519"/>
    <mergeCell ref="P519:T519"/>
    <mergeCell ref="U519:W519"/>
    <mergeCell ref="F520:H521"/>
    <mergeCell ref="V520:V521"/>
    <mergeCell ref="A524:B524"/>
    <mergeCell ref="D524:F524"/>
    <mergeCell ref="G524:H524"/>
    <mergeCell ref="B525:H525"/>
    <mergeCell ref="I525:L525"/>
    <mergeCell ref="O525:U525"/>
    <mergeCell ref="V525:Y525"/>
    <mergeCell ref="M526:N526"/>
    <mergeCell ref="A528:E528"/>
    <mergeCell ref="A529:E529"/>
    <mergeCell ref="G529:H529"/>
    <mergeCell ref="I529:K529"/>
    <mergeCell ref="M529:N529"/>
    <mergeCell ref="F535:J535"/>
    <mergeCell ref="K535:O535"/>
    <mergeCell ref="P535:T535"/>
    <mergeCell ref="U535:Y535"/>
    <mergeCell ref="A536:E536"/>
    <mergeCell ref="F536:H536"/>
    <mergeCell ref="K536:M536"/>
    <mergeCell ref="P536:R536"/>
    <mergeCell ref="U536:W536"/>
    <mergeCell ref="F541:H541"/>
    <mergeCell ref="K541:M541"/>
    <mergeCell ref="P541:R541"/>
    <mergeCell ref="U541:W541"/>
    <mergeCell ref="K542:M542"/>
    <mergeCell ref="P542:R542"/>
    <mergeCell ref="U542:W542"/>
    <mergeCell ref="B544:L544"/>
    <mergeCell ref="O544:Y544"/>
    <mergeCell ref="B545:H545"/>
    <mergeCell ref="I545:L545"/>
    <mergeCell ref="O545:U545"/>
    <mergeCell ref="V545:Y545"/>
    <mergeCell ref="I548:O548"/>
    <mergeCell ref="P548:T548"/>
    <mergeCell ref="U548:W548"/>
    <mergeCell ref="F549:H550"/>
    <mergeCell ref="V549:V550"/>
    <mergeCell ref="A553:B553"/>
    <mergeCell ref="D553:F553"/>
    <mergeCell ref="G553:H553"/>
    <mergeCell ref="B554:H554"/>
    <mergeCell ref="I554:L554"/>
    <mergeCell ref="O554:U554"/>
    <mergeCell ref="V554:Y554"/>
    <mergeCell ref="M555:N555"/>
    <mergeCell ref="A557:E557"/>
    <mergeCell ref="A558:E558"/>
    <mergeCell ref="G558:H558"/>
    <mergeCell ref="I558:K558"/>
    <mergeCell ref="M558:N558"/>
    <mergeCell ref="F564:J564"/>
    <mergeCell ref="K564:O564"/>
    <mergeCell ref="P564:T564"/>
    <mergeCell ref="U564:Y564"/>
    <mergeCell ref="A565:E565"/>
    <mergeCell ref="F565:H565"/>
    <mergeCell ref="K565:M565"/>
    <mergeCell ref="P565:R565"/>
    <mergeCell ref="U565:W565"/>
    <mergeCell ref="F570:H570"/>
    <mergeCell ref="K570:M570"/>
    <mergeCell ref="P570:R570"/>
    <mergeCell ref="U570:W570"/>
    <mergeCell ref="K571:M571"/>
    <mergeCell ref="P571:R571"/>
    <mergeCell ref="U571:W571"/>
    <mergeCell ref="B573:L573"/>
    <mergeCell ref="O573:Y573"/>
    <mergeCell ref="B574:H574"/>
    <mergeCell ref="I574:L574"/>
    <mergeCell ref="O574:U574"/>
    <mergeCell ref="V574:Y574"/>
    <mergeCell ref="I577:O577"/>
    <mergeCell ref="P577:T577"/>
    <mergeCell ref="U577:W577"/>
    <mergeCell ref="F578:H579"/>
    <mergeCell ref="V578:V579"/>
    <mergeCell ref="A582:B582"/>
    <mergeCell ref="D582:F582"/>
    <mergeCell ref="G582:H582"/>
    <mergeCell ref="B583:H583"/>
    <mergeCell ref="I583:L583"/>
    <mergeCell ref="O583:U583"/>
    <mergeCell ref="V583:Y583"/>
    <mergeCell ref="M584:N584"/>
    <mergeCell ref="A586:E586"/>
    <mergeCell ref="A587:E587"/>
    <mergeCell ref="G587:H587"/>
    <mergeCell ref="I587:K587"/>
    <mergeCell ref="M587:N587"/>
    <mergeCell ref="F593:J593"/>
    <mergeCell ref="K593:O593"/>
    <mergeCell ref="P593:T593"/>
    <mergeCell ref="U593:Y593"/>
    <mergeCell ref="A594:E594"/>
    <mergeCell ref="F594:H594"/>
    <mergeCell ref="K594:M594"/>
    <mergeCell ref="P594:R594"/>
    <mergeCell ref="U594:W594"/>
    <mergeCell ref="F599:H599"/>
    <mergeCell ref="K599:M599"/>
    <mergeCell ref="P599:R599"/>
    <mergeCell ref="U599:W599"/>
    <mergeCell ref="K600:M600"/>
    <mergeCell ref="P600:R600"/>
    <mergeCell ref="U600:W600"/>
    <mergeCell ref="B602:L602"/>
    <mergeCell ref="O602:Y602"/>
    <mergeCell ref="B603:H603"/>
    <mergeCell ref="I603:L603"/>
    <mergeCell ref="O603:U603"/>
    <mergeCell ref="V603:Y603"/>
    <mergeCell ref="I606:O606"/>
    <mergeCell ref="P606:T606"/>
    <mergeCell ref="U606:W606"/>
    <mergeCell ref="F607:H608"/>
    <mergeCell ref="V607:V608"/>
    <mergeCell ref="A611:B611"/>
    <mergeCell ref="D611:F611"/>
    <mergeCell ref="G611:H611"/>
    <mergeCell ref="B612:H612"/>
    <mergeCell ref="I612:L612"/>
    <mergeCell ref="O612:U612"/>
    <mergeCell ref="V612:Y612"/>
    <mergeCell ref="M613:N613"/>
    <mergeCell ref="A615:E615"/>
    <mergeCell ref="A616:E616"/>
    <mergeCell ref="G616:H616"/>
    <mergeCell ref="I616:K616"/>
    <mergeCell ref="M616:N616"/>
    <mergeCell ref="F622:J622"/>
    <mergeCell ref="K622:O622"/>
    <mergeCell ref="P622:T622"/>
    <mergeCell ref="U622:Y622"/>
    <mergeCell ref="A623:E623"/>
    <mergeCell ref="F623:H623"/>
    <mergeCell ref="K623:M623"/>
    <mergeCell ref="P623:R623"/>
    <mergeCell ref="U623:W623"/>
    <mergeCell ref="F636:H637"/>
    <mergeCell ref="V636:V637"/>
    <mergeCell ref="B631:L631"/>
    <mergeCell ref="O631:Y631"/>
    <mergeCell ref="B632:H632"/>
    <mergeCell ref="I632:L632"/>
    <mergeCell ref="O632:U632"/>
    <mergeCell ref="V632:Y632"/>
    <mergeCell ref="F628:H628"/>
    <mergeCell ref="K628:M628"/>
    <mergeCell ref="P628:R628"/>
    <mergeCell ref="U628:W628"/>
    <mergeCell ref="K629:M629"/>
    <mergeCell ref="P629:R629"/>
    <mergeCell ref="U629:W629"/>
    <mergeCell ref="I635:O635"/>
    <mergeCell ref="P635:T635"/>
    <mergeCell ref="U635:W635"/>
  </mergeCells>
  <pageMargins left="0.25" right="0.25" top="0.75" bottom="0.75" header="0.3" footer="0.3"/>
  <pageSetup paperSize="9" scale="88" orientation="landscape" r:id="rId1"/>
  <rowBreaks count="21" manualBreakCount="21">
    <brk id="29" max="16383" man="1"/>
    <brk id="58" max="16383" man="1"/>
    <brk id="87" max="16383" man="1"/>
    <brk id="116" max="16383" man="1"/>
    <brk id="145" max="16383" man="1"/>
    <brk id="174" max="16383" man="1"/>
    <brk id="203" max="16383" man="1"/>
    <brk id="232" max="16383" man="1"/>
    <brk id="261" max="16383" man="1"/>
    <brk id="290" max="16383" man="1"/>
    <brk id="319" max="16383" man="1"/>
    <brk id="348" max="16383" man="1"/>
    <brk id="377" max="16383" man="1"/>
    <brk id="406" max="16383" man="1"/>
    <brk id="435" max="16383" man="1"/>
    <brk id="464" max="16383" man="1"/>
    <brk id="493" max="16383" man="1"/>
    <brk id="522" max="16383" man="1"/>
    <brk id="551" max="16383" man="1"/>
    <brk id="580" max="16383" man="1"/>
    <brk id="609"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27"/>
  <dimension ref="A1:AB637"/>
  <sheetViews>
    <sheetView zoomScaleSheetLayoutView="90" workbookViewId="0">
      <selection activeCell="O4" sqref="O4"/>
    </sheetView>
  </sheetViews>
  <sheetFormatPr baseColWidth="10" defaultRowHeight="12.75" x14ac:dyDescent="0.2"/>
  <cols>
    <col min="1" max="1" width="12.42578125" style="217" customWidth="1"/>
    <col min="2" max="8" width="5.28515625" style="217" customWidth="1"/>
    <col min="9" max="9" width="3.7109375" style="217" customWidth="1"/>
    <col min="10" max="10" width="7.7109375" style="217" customWidth="1"/>
    <col min="11" max="13" width="5.28515625" style="217" customWidth="1"/>
    <col min="14" max="14" width="3.7109375" style="217" customWidth="1"/>
    <col min="15" max="15" width="7.7109375" style="217" customWidth="1"/>
    <col min="16" max="18" width="5.28515625" style="217" customWidth="1"/>
    <col min="19" max="19" width="3.7109375" style="217" customWidth="1"/>
    <col min="20" max="20" width="7.7109375" style="217" customWidth="1"/>
    <col min="21" max="23" width="5.28515625" style="217" customWidth="1"/>
    <col min="24" max="24" width="3.7109375" style="217" customWidth="1"/>
    <col min="25" max="25" width="7.7109375" style="217" customWidth="1"/>
    <col min="26" max="26" width="3.140625" style="217" customWidth="1"/>
    <col min="27" max="16384" width="11.42578125" style="217"/>
  </cols>
  <sheetData>
    <row r="1" spans="1:28" ht="6.75" customHeight="1" x14ac:dyDescent="0.2"/>
    <row r="2" spans="1:28" s="218" customFormat="1" ht="23.25" customHeight="1" x14ac:dyDescent="0.2">
      <c r="A2" s="1072" t="s">
        <v>546</v>
      </c>
      <c r="B2" s="1073"/>
      <c r="C2" s="402"/>
      <c r="D2" s="1098" t="s">
        <v>628</v>
      </c>
      <c r="E2" s="1072"/>
      <c r="F2" s="1072"/>
      <c r="G2" s="1103"/>
      <c r="H2" s="1104"/>
      <c r="J2" s="218" t="str">
        <f>CATEG_IMPORTEE</f>
        <v>Collèges Mixtes Etablissement</v>
      </c>
      <c r="K2" s="490"/>
      <c r="T2" s="397" t="s">
        <v>627</v>
      </c>
      <c r="U2" s="401">
        <v>1</v>
      </c>
      <c r="V2" s="396" t="s">
        <v>547</v>
      </c>
      <c r="W2" s="401"/>
      <c r="X2" s="395"/>
    </row>
    <row r="3" spans="1:28" ht="27" customHeight="1" thickBot="1" x14ac:dyDescent="0.25">
      <c r="B3" s="1069" t="s">
        <v>0</v>
      </c>
      <c r="C3" s="1069"/>
      <c r="D3" s="1069"/>
      <c r="E3" s="1069"/>
      <c r="F3" s="1069"/>
      <c r="G3" s="1069"/>
      <c r="H3" s="1069"/>
      <c r="I3" s="1069" t="s">
        <v>374</v>
      </c>
      <c r="J3" s="1069"/>
      <c r="K3" s="1069"/>
      <c r="L3" s="1069"/>
      <c r="O3" s="1069" t="s">
        <v>0</v>
      </c>
      <c r="P3" s="1069"/>
      <c r="Q3" s="1069"/>
      <c r="R3" s="1069"/>
      <c r="S3" s="1069"/>
      <c r="T3" s="1069"/>
      <c r="U3" s="1069"/>
      <c r="V3" s="1069" t="s">
        <v>374</v>
      </c>
      <c r="W3" s="1069"/>
      <c r="X3" s="1069"/>
      <c r="Y3" s="1069"/>
      <c r="AB3"/>
    </row>
    <row r="4" spans="1:28" ht="24" customHeight="1" thickBot="1" x14ac:dyDescent="0.25">
      <c r="A4" s="219"/>
      <c r="B4" s="398" t="str">
        <f>VLOOKUP(U2,TBL_equipe,2,FALSE)</f>
        <v/>
      </c>
      <c r="C4" s="399"/>
      <c r="D4" s="399"/>
      <c r="E4" s="399"/>
      <c r="F4" s="399"/>
      <c r="G4" s="399"/>
      <c r="H4" s="400"/>
      <c r="I4" s="257" t="str">
        <f>VLOOKUP(U2,TBL_equipe,4,FALSE)</f>
        <v/>
      </c>
      <c r="J4" s="220"/>
      <c r="K4" s="220"/>
      <c r="L4" s="221"/>
      <c r="M4" s="1070" t="s">
        <v>547</v>
      </c>
      <c r="N4" s="1071"/>
      <c r="O4" s="398" t="e">
        <f>VLOOKUP(W2,TBL_equipe,2,FALSE)</f>
        <v>#N/A</v>
      </c>
      <c r="P4" s="220"/>
      <c r="Q4" s="220"/>
      <c r="R4" s="220"/>
      <c r="S4" s="220"/>
      <c r="T4" s="220"/>
      <c r="U4" s="221"/>
      <c r="V4" s="257" t="e">
        <f>VLOOKUP(W2,TBL_equipe,4,FALSE)</f>
        <v>#N/A</v>
      </c>
      <c r="W4" s="220"/>
      <c r="X4" s="220"/>
      <c r="Y4" s="221"/>
    </row>
    <row r="5" spans="1:28" ht="15" customHeight="1" x14ac:dyDescent="0.2"/>
    <row r="6" spans="1:28" ht="20.100000000000001" customHeight="1" x14ac:dyDescent="0.2">
      <c r="A6" s="1074" t="s">
        <v>548</v>
      </c>
      <c r="B6" s="1074"/>
      <c r="C6" s="1074"/>
      <c r="D6" s="1074"/>
      <c r="E6" s="1074"/>
    </row>
    <row r="7" spans="1:28" ht="20.100000000000001" customHeight="1" x14ac:dyDescent="0.2">
      <c r="A7" s="1075" t="s">
        <v>549</v>
      </c>
      <c r="B7" s="1075"/>
      <c r="C7" s="1075"/>
      <c r="D7" s="1075"/>
      <c r="E7" s="1075"/>
      <c r="G7" s="1076" t="s">
        <v>480</v>
      </c>
      <c r="H7" s="1076"/>
      <c r="I7" s="1077" t="s">
        <v>550</v>
      </c>
      <c r="J7" s="1077"/>
      <c r="K7" s="1077"/>
      <c r="L7" s="252" t="s">
        <v>551</v>
      </c>
      <c r="M7" s="1078" t="s">
        <v>552</v>
      </c>
      <c r="N7" s="1078"/>
      <c r="O7" s="251"/>
    </row>
    <row r="8" spans="1:28" ht="24" customHeight="1" x14ac:dyDescent="0.2">
      <c r="A8" s="258" t="str">
        <f>VLOOKUP(U2,TBL_equipe,5,FALSE)</f>
        <v/>
      </c>
      <c r="B8" s="223"/>
      <c r="C8" s="259" t="str">
        <f>VLOOKUP(U2,TBL_equipe,6,FALSE)</f>
        <v/>
      </c>
      <c r="D8" s="223"/>
      <c r="E8" s="224"/>
      <c r="F8" s="219"/>
      <c r="G8" s="403" t="str">
        <f>VLOOKUP(U2,TBL_equipe,9,FALSE)</f>
        <v/>
      </c>
      <c r="H8" s="224"/>
      <c r="I8" s="222"/>
      <c r="J8" s="246" t="str">
        <f>VLOOKUP(U2,TBL_equipe,8,FALSE)</f>
        <v/>
      </c>
      <c r="K8" s="224"/>
      <c r="L8" s="260" t="str">
        <f>VLOOKUP(U2,TBL_equipe,10,FALSE)</f>
        <v/>
      </c>
      <c r="M8" s="287">
        <f>G2</f>
        <v>0</v>
      </c>
      <c r="N8" s="288"/>
      <c r="O8" s="249"/>
      <c r="R8" s="254"/>
      <c r="S8" s="254"/>
      <c r="T8" s="254" t="s">
        <v>51</v>
      </c>
      <c r="U8" s="254"/>
      <c r="V8" s="254"/>
      <c r="W8" s="254"/>
      <c r="X8" s="254"/>
      <c r="Y8" s="254"/>
    </row>
    <row r="9" spans="1:28" ht="24" customHeight="1" x14ac:dyDescent="0.2">
      <c r="A9" s="258" t="str">
        <f>VLOOKUP(U2,TBL_equipe,11,FALSE)</f>
        <v/>
      </c>
      <c r="B9" s="223"/>
      <c r="C9" s="259" t="str">
        <f>VLOOKUP(U2,TBL_equipe,12,FALSE)</f>
        <v/>
      </c>
      <c r="D9" s="223"/>
      <c r="E9" s="224"/>
      <c r="F9" s="219"/>
      <c r="G9" s="403" t="str">
        <f>VLOOKUP(U2,TBL_equipe,15,FALSE)</f>
        <v/>
      </c>
      <c r="H9" s="224"/>
      <c r="I9" s="222"/>
      <c r="J9" s="246" t="str">
        <f>VLOOKUP(U2,TBL_equipe,14,FALSE)</f>
        <v/>
      </c>
      <c r="K9" s="224"/>
      <c r="L9" s="260" t="str">
        <f>VLOOKUP(U2,TBL_equipe,16,FALSE)</f>
        <v/>
      </c>
      <c r="M9" s="287">
        <f>G2</f>
        <v>0</v>
      </c>
      <c r="N9" s="288"/>
      <c r="O9" s="249"/>
      <c r="Q9" s="254"/>
      <c r="R9" s="254"/>
      <c r="S9" s="254"/>
      <c r="T9" s="254"/>
      <c r="U9" s="254"/>
      <c r="V9" s="254"/>
      <c r="W9" s="254"/>
      <c r="X9" s="254"/>
      <c r="Y9" s="254"/>
    </row>
    <row r="10" spans="1:28" ht="24" customHeight="1" x14ac:dyDescent="0.2">
      <c r="A10" s="258" t="str">
        <f>VLOOKUP(U2,TBL_equipe,17,FALSE)</f>
        <v/>
      </c>
      <c r="B10" s="223"/>
      <c r="C10" s="259" t="str">
        <f>VLOOKUP(U2,TBL_equipe,18,FALSE)</f>
        <v/>
      </c>
      <c r="D10" s="223"/>
      <c r="E10" s="224"/>
      <c r="F10" s="219"/>
      <c r="G10" s="403" t="str">
        <f>VLOOKUP(U2,TBL_equipe,21,FALSE)</f>
        <v/>
      </c>
      <c r="H10" s="224"/>
      <c r="I10" s="222"/>
      <c r="J10" s="246" t="str">
        <f>VLOOKUP(U2,TBL_equipe,20,FALSE)</f>
        <v/>
      </c>
      <c r="K10" s="224"/>
      <c r="L10" s="260" t="str">
        <f>VLOOKUP(U2,TBL_equipe,22,FALSE)</f>
        <v/>
      </c>
      <c r="M10" s="287">
        <f>G2</f>
        <v>0</v>
      </c>
      <c r="N10" s="288"/>
      <c r="O10" s="249"/>
      <c r="Q10" s="254"/>
      <c r="R10" s="254"/>
      <c r="S10" s="254"/>
      <c r="T10" s="254"/>
      <c r="U10" s="254"/>
      <c r="V10" s="254"/>
      <c r="W10" s="254"/>
      <c r="X10" s="254"/>
      <c r="Y10" s="254"/>
    </row>
    <row r="11" spans="1:28" ht="24" customHeight="1" x14ac:dyDescent="0.2">
      <c r="A11" s="258" t="str">
        <f>VLOOKUP(U2,TBL_equipe,23,FALSE)</f>
        <v/>
      </c>
      <c r="B11" s="223"/>
      <c r="C11" s="259" t="str">
        <f>VLOOKUP(U2,TBL_equipe,24,FALSE)</f>
        <v/>
      </c>
      <c r="D11" s="223"/>
      <c r="E11" s="224"/>
      <c r="F11" s="219"/>
      <c r="G11" s="403" t="str">
        <f>VLOOKUP(U2,TBL_equipe,27,FALSE)</f>
        <v/>
      </c>
      <c r="H11" s="224"/>
      <c r="I11" s="222"/>
      <c r="J11" s="246" t="str">
        <f>VLOOKUP(U2,TBL_equipe,26,FALSE)</f>
        <v/>
      </c>
      <c r="K11" s="224"/>
      <c r="L11" s="260" t="str">
        <f>VLOOKUP(U2,TBL_equipe,28,FALSE)</f>
        <v/>
      </c>
      <c r="M11" s="289">
        <f>G2</f>
        <v>0</v>
      </c>
      <c r="N11" s="290"/>
      <c r="O11" s="249"/>
    </row>
    <row r="12" spans="1:28" ht="15" customHeight="1" thickBot="1" x14ac:dyDescent="0.25"/>
    <row r="13" spans="1:28" ht="20.100000000000001" customHeight="1" x14ac:dyDescent="0.2">
      <c r="F13" s="1081" t="s">
        <v>555</v>
      </c>
      <c r="G13" s="1082"/>
      <c r="H13" s="1082"/>
      <c r="I13" s="1082"/>
      <c r="J13" s="1083"/>
      <c r="K13" s="1081" t="s">
        <v>556</v>
      </c>
      <c r="L13" s="1082"/>
      <c r="M13" s="1082"/>
      <c r="N13" s="1082"/>
      <c r="O13" s="1083"/>
      <c r="P13" s="1081" t="s">
        <v>557</v>
      </c>
      <c r="Q13" s="1082"/>
      <c r="R13" s="1082"/>
      <c r="S13" s="1082"/>
      <c r="T13" s="1083"/>
      <c r="U13" s="1081" t="s">
        <v>558</v>
      </c>
      <c r="V13" s="1082"/>
      <c r="W13" s="1082"/>
      <c r="X13" s="1082"/>
      <c r="Y13" s="1083"/>
    </row>
    <row r="14" spans="1:28" ht="20.100000000000001" customHeight="1" x14ac:dyDescent="0.2">
      <c r="A14" s="1075" t="s">
        <v>559</v>
      </c>
      <c r="B14" s="1075"/>
      <c r="C14" s="1075"/>
      <c r="D14" s="1075"/>
      <c r="E14" s="1089"/>
      <c r="F14" s="1090" t="s">
        <v>560</v>
      </c>
      <c r="G14" s="1075"/>
      <c r="H14" s="1075"/>
      <c r="J14" s="225" t="s">
        <v>7</v>
      </c>
      <c r="K14" s="1090" t="s">
        <v>560</v>
      </c>
      <c r="L14" s="1075"/>
      <c r="M14" s="1075"/>
      <c r="O14" s="225" t="s">
        <v>7</v>
      </c>
      <c r="P14" s="1090" t="s">
        <v>560</v>
      </c>
      <c r="Q14" s="1075"/>
      <c r="R14" s="1075"/>
      <c r="T14" s="225" t="s">
        <v>7</v>
      </c>
      <c r="U14" s="1090" t="s">
        <v>560</v>
      </c>
      <c r="V14" s="1075"/>
      <c r="W14" s="1075"/>
      <c r="Y14" s="225" t="s">
        <v>7</v>
      </c>
    </row>
    <row r="15" spans="1:28" ht="24" customHeight="1" x14ac:dyDescent="0.2">
      <c r="A15" s="261" t="str">
        <f>A8</f>
        <v/>
      </c>
      <c r="B15" s="227"/>
      <c r="C15" s="262" t="str">
        <f>C8</f>
        <v/>
      </c>
      <c r="D15" s="227"/>
      <c r="E15" s="227"/>
      <c r="F15" s="228"/>
      <c r="G15" s="229"/>
      <c r="H15" s="229"/>
      <c r="I15" s="230" t="s">
        <v>561</v>
      </c>
      <c r="J15" s="231"/>
      <c r="K15" s="228"/>
      <c r="L15" s="229"/>
      <c r="M15" s="229"/>
      <c r="N15" s="230" t="s">
        <v>561</v>
      </c>
      <c r="O15" s="231"/>
      <c r="P15" s="228"/>
      <c r="Q15" s="229"/>
      <c r="R15" s="229"/>
      <c r="S15" s="230" t="s">
        <v>561</v>
      </c>
      <c r="T15" s="231"/>
      <c r="U15" s="228"/>
      <c r="V15" s="229"/>
      <c r="W15" s="229"/>
      <c r="X15" s="230" t="s">
        <v>561</v>
      </c>
      <c r="Y15" s="231"/>
    </row>
    <row r="16" spans="1:28" ht="24" customHeight="1" x14ac:dyDescent="0.2">
      <c r="A16" s="261" t="str">
        <f>A9</f>
        <v/>
      </c>
      <c r="B16" s="227"/>
      <c r="C16" s="262" t="str">
        <f>C9</f>
        <v/>
      </c>
      <c r="D16" s="227"/>
      <c r="E16" s="227"/>
      <c r="F16" s="228"/>
      <c r="G16" s="229"/>
      <c r="H16" s="229"/>
      <c r="I16" s="230" t="s">
        <v>561</v>
      </c>
      <c r="J16" s="231"/>
      <c r="K16" s="228"/>
      <c r="L16" s="229"/>
      <c r="M16" s="229"/>
      <c r="N16" s="230" t="s">
        <v>561</v>
      </c>
      <c r="O16" s="231"/>
      <c r="P16" s="228"/>
      <c r="Q16" s="229"/>
      <c r="R16" s="229"/>
      <c r="S16" s="230" t="s">
        <v>561</v>
      </c>
      <c r="T16" s="231"/>
      <c r="U16" s="228"/>
      <c r="V16" s="229"/>
      <c r="W16" s="229"/>
      <c r="X16" s="230" t="s">
        <v>561</v>
      </c>
      <c r="Y16" s="231"/>
    </row>
    <row r="17" spans="1:25" ht="24" customHeight="1" x14ac:dyDescent="0.2">
      <c r="A17" s="261" t="str">
        <f>A10</f>
        <v/>
      </c>
      <c r="B17" s="227"/>
      <c r="C17" s="262" t="str">
        <f>C10</f>
        <v/>
      </c>
      <c r="D17" s="227"/>
      <c r="E17" s="227"/>
      <c r="F17" s="228"/>
      <c r="G17" s="229"/>
      <c r="H17" s="229"/>
      <c r="I17" s="230" t="s">
        <v>561</v>
      </c>
      <c r="J17" s="231"/>
      <c r="K17" s="228"/>
      <c r="L17" s="229"/>
      <c r="M17" s="229"/>
      <c r="N17" s="230" t="s">
        <v>561</v>
      </c>
      <c r="O17" s="231"/>
      <c r="P17" s="228"/>
      <c r="Q17" s="229"/>
      <c r="R17" s="229"/>
      <c r="S17" s="230" t="s">
        <v>561</v>
      </c>
      <c r="T17" s="231"/>
      <c r="U17" s="228"/>
      <c r="V17" s="229"/>
      <c r="W17" s="229"/>
      <c r="X17" s="230" t="s">
        <v>561</v>
      </c>
      <c r="Y17" s="231"/>
    </row>
    <row r="18" spans="1:25" ht="24" customHeight="1" x14ac:dyDescent="0.2">
      <c r="A18" s="261" t="str">
        <f>A11</f>
        <v/>
      </c>
      <c r="B18" s="227"/>
      <c r="C18" s="262" t="str">
        <f>C11</f>
        <v/>
      </c>
      <c r="D18" s="227"/>
      <c r="E18" s="227"/>
      <c r="F18" s="228"/>
      <c r="G18" s="229"/>
      <c r="H18" s="229"/>
      <c r="I18" s="230" t="s">
        <v>561</v>
      </c>
      <c r="J18" s="232"/>
      <c r="K18" s="228"/>
      <c r="L18" s="229"/>
      <c r="M18" s="229"/>
      <c r="N18" s="230" t="s">
        <v>561</v>
      </c>
      <c r="O18" s="232"/>
      <c r="P18" s="228"/>
      <c r="Q18" s="229"/>
      <c r="R18" s="229"/>
      <c r="S18" s="230" t="s">
        <v>561</v>
      </c>
      <c r="T18" s="232"/>
      <c r="U18" s="228"/>
      <c r="V18" s="229"/>
      <c r="W18" s="229"/>
      <c r="X18" s="230" t="s">
        <v>561</v>
      </c>
      <c r="Y18" s="232"/>
    </row>
    <row r="19" spans="1:25" ht="24" customHeight="1" thickBot="1" x14ac:dyDescent="0.25">
      <c r="F19" s="1079" t="s">
        <v>562</v>
      </c>
      <c r="G19" s="1080"/>
      <c r="H19" s="1080"/>
      <c r="I19" s="230" t="s">
        <v>561</v>
      </c>
      <c r="J19" s="231"/>
      <c r="K19" s="1079" t="s">
        <v>563</v>
      </c>
      <c r="L19" s="1080"/>
      <c r="M19" s="1080"/>
      <c r="N19" s="230" t="s">
        <v>561</v>
      </c>
      <c r="O19" s="232"/>
      <c r="P19" s="1079" t="s">
        <v>564</v>
      </c>
      <c r="Q19" s="1080"/>
      <c r="R19" s="1080"/>
      <c r="S19" s="230" t="s">
        <v>561</v>
      </c>
      <c r="T19" s="232"/>
      <c r="U19" s="1079" t="s">
        <v>565</v>
      </c>
      <c r="V19" s="1080"/>
      <c r="W19" s="1080"/>
      <c r="X19" s="230" t="s">
        <v>561</v>
      </c>
      <c r="Y19" s="232"/>
    </row>
    <row r="20" spans="1:25" ht="24" customHeight="1" thickBot="1" x14ac:dyDescent="0.25">
      <c r="F20" s="233"/>
      <c r="G20" s="234"/>
      <c r="H20" s="235" t="s">
        <v>566</v>
      </c>
      <c r="I20" s="235"/>
      <c r="J20" s="236"/>
      <c r="K20" s="1092" t="s">
        <v>567</v>
      </c>
      <c r="L20" s="1085"/>
      <c r="M20" s="1085"/>
      <c r="N20" s="237" t="s">
        <v>561</v>
      </c>
      <c r="O20" s="238"/>
      <c r="P20" s="1092" t="s">
        <v>568</v>
      </c>
      <c r="Q20" s="1085"/>
      <c r="R20" s="1085"/>
      <c r="S20" s="237" t="s">
        <v>561</v>
      </c>
      <c r="T20" s="238"/>
      <c r="U20" s="1092" t="s">
        <v>569</v>
      </c>
      <c r="V20" s="1085"/>
      <c r="W20" s="1085"/>
      <c r="X20" s="237" t="s">
        <v>561</v>
      </c>
      <c r="Y20" s="239"/>
    </row>
    <row r="21" spans="1:25" ht="12.75" customHeight="1" x14ac:dyDescent="0.2">
      <c r="Y21" s="240" t="s">
        <v>570</v>
      </c>
    </row>
    <row r="22" spans="1:25" ht="15.75" customHeight="1" x14ac:dyDescent="0.2">
      <c r="B22" s="1091" t="s">
        <v>521</v>
      </c>
      <c r="C22" s="1091"/>
      <c r="D22" s="1091"/>
      <c r="E22" s="1091"/>
      <c r="F22" s="1091"/>
      <c r="G22" s="1091"/>
      <c r="H22" s="1091"/>
      <c r="I22" s="1091"/>
      <c r="J22" s="1091"/>
      <c r="K22" s="1091"/>
      <c r="L22" s="1091"/>
      <c r="O22" s="1091" t="s">
        <v>522</v>
      </c>
      <c r="P22" s="1091"/>
      <c r="Q22" s="1091"/>
      <c r="R22" s="1091"/>
      <c r="S22" s="1091"/>
      <c r="T22" s="1091"/>
      <c r="U22" s="1091"/>
      <c r="V22" s="1091"/>
      <c r="W22" s="1091"/>
      <c r="X22" s="1091"/>
      <c r="Y22" s="1091"/>
    </row>
    <row r="23" spans="1:25" ht="13.5" customHeight="1" x14ac:dyDescent="0.2">
      <c r="B23" s="1086" t="s">
        <v>1</v>
      </c>
      <c r="C23" s="1087"/>
      <c r="D23" s="1087"/>
      <c r="E23" s="1087"/>
      <c r="F23" s="1087"/>
      <c r="G23" s="1087"/>
      <c r="H23" s="1088"/>
      <c r="I23" s="1086" t="s">
        <v>520</v>
      </c>
      <c r="J23" s="1087"/>
      <c r="K23" s="1087"/>
      <c r="L23" s="1088"/>
      <c r="N23" s="241"/>
      <c r="O23" s="1086" t="s">
        <v>1</v>
      </c>
      <c r="P23" s="1087"/>
      <c r="Q23" s="1087"/>
      <c r="R23" s="1087"/>
      <c r="S23" s="1087"/>
      <c r="T23" s="1087"/>
      <c r="U23" s="1088"/>
      <c r="V23" s="1086" t="s">
        <v>520</v>
      </c>
      <c r="W23" s="1087"/>
      <c r="X23" s="1087"/>
      <c r="Y23" s="1088"/>
    </row>
    <row r="24" spans="1:25" ht="21.75" customHeight="1" x14ac:dyDescent="0.2">
      <c r="B24" s="242"/>
      <c r="C24" s="243"/>
      <c r="D24" s="243"/>
      <c r="E24" s="243"/>
      <c r="F24" s="243"/>
      <c r="G24" s="243"/>
      <c r="H24" s="243"/>
      <c r="I24" s="242"/>
      <c r="J24" s="243"/>
      <c r="K24" s="243"/>
      <c r="L24" s="244"/>
      <c r="N24" s="241"/>
      <c r="O24" s="242"/>
      <c r="P24" s="243"/>
      <c r="Q24" s="243"/>
      <c r="R24" s="243"/>
      <c r="S24" s="243"/>
      <c r="T24" s="243"/>
      <c r="U24" s="243"/>
      <c r="V24" s="242"/>
      <c r="W24" s="243"/>
      <c r="X24" s="243"/>
      <c r="Y24" s="244"/>
    </row>
    <row r="25" spans="1:25" ht="13.5" customHeight="1" x14ac:dyDescent="0.2"/>
    <row r="26" spans="1:25" ht="14.25" customHeight="1" thickBot="1" x14ac:dyDescent="0.25">
      <c r="A26" s="241"/>
      <c r="G26" s="305"/>
      <c r="H26" s="305"/>
      <c r="I26" s="1069" t="s">
        <v>0</v>
      </c>
      <c r="J26" s="1069"/>
      <c r="K26" s="1069"/>
      <c r="L26" s="1069"/>
      <c r="M26" s="1069"/>
      <c r="N26" s="1069"/>
      <c r="O26" s="1069"/>
      <c r="P26" s="1069" t="s">
        <v>374</v>
      </c>
      <c r="Q26" s="1069"/>
      <c r="R26" s="1069"/>
      <c r="S26" s="1069"/>
      <c r="T26" s="1069"/>
      <c r="U26" s="1069" t="s">
        <v>571</v>
      </c>
      <c r="V26" s="1069"/>
      <c r="W26" s="1069"/>
      <c r="X26" s="305"/>
      <c r="Y26" s="305"/>
    </row>
    <row r="27" spans="1:25" ht="20.25" customHeight="1" x14ac:dyDescent="0.2">
      <c r="A27" s="241"/>
      <c r="F27" s="1074" t="s">
        <v>584</v>
      </c>
      <c r="G27" s="1074"/>
      <c r="H27" s="1074"/>
      <c r="I27" s="316"/>
      <c r="J27" s="306"/>
      <c r="K27" s="306"/>
      <c r="L27" s="306"/>
      <c r="M27" s="306"/>
      <c r="N27" s="306"/>
      <c r="O27" s="306"/>
      <c r="P27" s="312"/>
      <c r="Q27" s="306"/>
      <c r="R27" s="307"/>
      <c r="S27" s="304"/>
      <c r="T27" s="313"/>
      <c r="U27" s="310"/>
      <c r="V27" s="1084" t="s">
        <v>495</v>
      </c>
      <c r="W27" s="308"/>
    </row>
    <row r="28" spans="1:25" ht="13.5" thickBot="1" x14ac:dyDescent="0.25">
      <c r="F28" s="1074"/>
      <c r="G28" s="1074"/>
      <c r="H28" s="1074"/>
      <c r="I28" s="303"/>
      <c r="J28" s="235"/>
      <c r="K28" s="235"/>
      <c r="L28" s="235"/>
      <c r="M28" s="235"/>
      <c r="N28" s="235"/>
      <c r="O28" s="235"/>
      <c r="P28" s="314"/>
      <c r="Q28" s="235"/>
      <c r="R28" s="234"/>
      <c r="S28" s="234"/>
      <c r="T28" s="315"/>
      <c r="U28" s="311"/>
      <c r="V28" s="1085"/>
      <c r="W28" s="309"/>
    </row>
    <row r="30" spans="1:25" ht="6.75" customHeight="1" x14ac:dyDescent="0.2"/>
    <row r="31" spans="1:25" s="218" customFormat="1" ht="23.25" customHeight="1" x14ac:dyDescent="0.2">
      <c r="A31" s="1072" t="s">
        <v>546</v>
      </c>
      <c r="B31" s="1073"/>
      <c r="C31" s="402"/>
      <c r="D31" s="1098" t="s">
        <v>628</v>
      </c>
      <c r="E31" s="1072"/>
      <c r="F31" s="1072"/>
      <c r="G31" s="1103"/>
      <c r="H31" s="1104"/>
      <c r="K31" s="218" t="str">
        <f>RIGHT(CATEG_IMPORTEE, LEN(CATEG_IMPORTEE) - 2)</f>
        <v>llèges Mixtes Etablissement</v>
      </c>
      <c r="T31" s="397" t="s">
        <v>627</v>
      </c>
      <c r="U31" s="401">
        <v>2</v>
      </c>
      <c r="V31" s="396" t="s">
        <v>547</v>
      </c>
      <c r="W31" s="401"/>
      <c r="X31" s="395"/>
    </row>
    <row r="32" spans="1:25" ht="27" customHeight="1" thickBot="1" x14ac:dyDescent="0.25">
      <c r="B32" s="1069" t="s">
        <v>0</v>
      </c>
      <c r="C32" s="1069"/>
      <c r="D32" s="1069"/>
      <c r="E32" s="1069"/>
      <c r="F32" s="1069"/>
      <c r="G32" s="1069"/>
      <c r="H32" s="1069"/>
      <c r="I32" s="1069" t="s">
        <v>374</v>
      </c>
      <c r="J32" s="1069"/>
      <c r="K32" s="1069"/>
      <c r="L32" s="1069"/>
      <c r="O32" s="1069" t="s">
        <v>0</v>
      </c>
      <c r="P32" s="1069"/>
      <c r="Q32" s="1069"/>
      <c r="R32" s="1069"/>
      <c r="S32" s="1069"/>
      <c r="T32" s="1069"/>
      <c r="U32" s="1069"/>
      <c r="V32" s="1069" t="s">
        <v>374</v>
      </c>
      <c r="W32" s="1069"/>
      <c r="X32" s="1069"/>
      <c r="Y32" s="1069"/>
    </row>
    <row r="33" spans="1:25" ht="24" customHeight="1" thickBot="1" x14ac:dyDescent="0.25">
      <c r="A33" s="219"/>
      <c r="B33" s="398" t="str">
        <f>VLOOKUP(U31,TBL_equipe,2,FALSE)</f>
        <v/>
      </c>
      <c r="C33" s="399"/>
      <c r="D33" s="399"/>
      <c r="E33" s="399"/>
      <c r="F33" s="399"/>
      <c r="G33" s="399"/>
      <c r="H33" s="400"/>
      <c r="I33" s="257" t="str">
        <f>VLOOKUP(U31,TBL_equipe,4,FALSE)</f>
        <v/>
      </c>
      <c r="J33" s="220"/>
      <c r="K33" s="220"/>
      <c r="L33" s="221"/>
      <c r="M33" s="1070" t="s">
        <v>547</v>
      </c>
      <c r="N33" s="1071"/>
      <c r="O33" s="398" t="e">
        <f>VLOOKUP(W31,TBL_equipe,2,FALSE)</f>
        <v>#N/A</v>
      </c>
      <c r="P33" s="220"/>
      <c r="Q33" s="220"/>
      <c r="R33" s="220"/>
      <c r="S33" s="220"/>
      <c r="T33" s="220"/>
      <c r="U33" s="221"/>
      <c r="V33" s="257" t="e">
        <f>VLOOKUP(W31,TBL_equipe,4,FALSE)</f>
        <v>#N/A</v>
      </c>
      <c r="W33" s="220"/>
      <c r="X33" s="220"/>
      <c r="Y33" s="221"/>
    </row>
    <row r="34" spans="1:25" ht="15" customHeight="1" x14ac:dyDescent="0.2"/>
    <row r="35" spans="1:25" ht="20.100000000000001" customHeight="1" x14ac:dyDescent="0.2">
      <c r="A35" s="1074" t="s">
        <v>548</v>
      </c>
      <c r="B35" s="1074"/>
      <c r="C35" s="1074"/>
      <c r="D35" s="1074"/>
      <c r="E35" s="1074"/>
    </row>
    <row r="36" spans="1:25" ht="20.100000000000001" customHeight="1" x14ac:dyDescent="0.2">
      <c r="A36" s="1075" t="s">
        <v>549</v>
      </c>
      <c r="B36" s="1075"/>
      <c r="C36" s="1075"/>
      <c r="D36" s="1075"/>
      <c r="E36" s="1075"/>
      <c r="G36" s="1076" t="s">
        <v>480</v>
      </c>
      <c r="H36" s="1076"/>
      <c r="I36" s="1077" t="s">
        <v>550</v>
      </c>
      <c r="J36" s="1077"/>
      <c r="K36" s="1077"/>
      <c r="L36" s="252" t="s">
        <v>551</v>
      </c>
      <c r="M36" s="1078" t="s">
        <v>552</v>
      </c>
      <c r="N36" s="1078"/>
      <c r="O36" s="251"/>
    </row>
    <row r="37" spans="1:25" ht="24" customHeight="1" x14ac:dyDescent="0.2">
      <c r="A37" s="258" t="str">
        <f>VLOOKUP(U31,TBL_equipe,5,FALSE)</f>
        <v/>
      </c>
      <c r="B37" s="223"/>
      <c r="C37" s="259" t="str">
        <f>VLOOKUP(U31,TBL_equipe,6,FALSE)</f>
        <v/>
      </c>
      <c r="D37" s="223"/>
      <c r="E37" s="224"/>
      <c r="F37" s="219"/>
      <c r="G37" s="403" t="str">
        <f>VLOOKUP(U31,TBL_equipe,9,FALSE)</f>
        <v/>
      </c>
      <c r="H37" s="224"/>
      <c r="I37" s="222"/>
      <c r="J37" s="246" t="str">
        <f>VLOOKUP(U31,TBL_equipe,8,FALSE)</f>
        <v/>
      </c>
      <c r="K37" s="224"/>
      <c r="L37" s="260" t="str">
        <f>VLOOKUP(U31,TBL_equipe,10,FALSE)</f>
        <v/>
      </c>
      <c r="M37" s="287">
        <f>G31</f>
        <v>0</v>
      </c>
      <c r="N37" s="288"/>
      <c r="O37" s="249"/>
      <c r="R37" s="254"/>
      <c r="S37" s="254"/>
      <c r="T37" s="254" t="s">
        <v>51</v>
      </c>
      <c r="U37" s="254"/>
      <c r="V37" s="254"/>
      <c r="W37" s="254"/>
      <c r="X37" s="254"/>
      <c r="Y37" s="254"/>
    </row>
    <row r="38" spans="1:25" ht="24" customHeight="1" x14ac:dyDescent="0.2">
      <c r="A38" s="258" t="str">
        <f>VLOOKUP(U31,TBL_equipe,11,FALSE)</f>
        <v/>
      </c>
      <c r="B38" s="223"/>
      <c r="C38" s="259" t="str">
        <f>VLOOKUP(U31,TBL_equipe,12,FALSE)</f>
        <v/>
      </c>
      <c r="D38" s="223"/>
      <c r="E38" s="224"/>
      <c r="F38" s="219"/>
      <c r="G38" s="403" t="str">
        <f>VLOOKUP(U31,TBL_equipe,15,FALSE)</f>
        <v/>
      </c>
      <c r="H38" s="224"/>
      <c r="I38" s="222"/>
      <c r="J38" s="246" t="str">
        <f>VLOOKUP(U31,TBL_equipe,14,FALSE)</f>
        <v/>
      </c>
      <c r="K38" s="224"/>
      <c r="L38" s="260" t="str">
        <f>VLOOKUP(U31,TBL_equipe,16,FALSE)</f>
        <v/>
      </c>
      <c r="M38" s="287">
        <f>G31</f>
        <v>0</v>
      </c>
      <c r="N38" s="288"/>
      <c r="O38" s="249"/>
      <c r="Q38" s="254"/>
      <c r="R38" s="254"/>
      <c r="S38" s="254"/>
      <c r="T38" s="254"/>
      <c r="U38" s="254"/>
      <c r="V38" s="254"/>
      <c r="W38" s="254"/>
      <c r="X38" s="254"/>
      <c r="Y38" s="254"/>
    </row>
    <row r="39" spans="1:25" ht="24" customHeight="1" x14ac:dyDescent="0.2">
      <c r="A39" s="258" t="str">
        <f>VLOOKUP(U31,TBL_equipe,17,FALSE)</f>
        <v/>
      </c>
      <c r="B39" s="223"/>
      <c r="C39" s="259" t="str">
        <f>VLOOKUP(U31,TBL_equipe,18,FALSE)</f>
        <v/>
      </c>
      <c r="D39" s="223"/>
      <c r="E39" s="224"/>
      <c r="F39" s="219"/>
      <c r="G39" s="403" t="str">
        <f>VLOOKUP(U31,TBL_equipe,21,FALSE)</f>
        <v/>
      </c>
      <c r="H39" s="224"/>
      <c r="I39" s="222"/>
      <c r="J39" s="246" t="str">
        <f>VLOOKUP(U31,TBL_equipe,20,FALSE)</f>
        <v/>
      </c>
      <c r="K39" s="224"/>
      <c r="L39" s="260" t="str">
        <f>VLOOKUP(U31,TBL_equipe,22,FALSE)</f>
        <v/>
      </c>
      <c r="M39" s="287">
        <f>G31</f>
        <v>0</v>
      </c>
      <c r="N39" s="288"/>
      <c r="O39" s="249"/>
      <c r="Q39" s="254"/>
      <c r="R39" s="254"/>
      <c r="S39" s="254"/>
      <c r="T39" s="254"/>
      <c r="U39" s="254"/>
      <c r="V39" s="254"/>
      <c r="W39" s="254"/>
      <c r="X39" s="254"/>
      <c r="Y39" s="254"/>
    </row>
    <row r="40" spans="1:25" ht="24" customHeight="1" x14ac:dyDescent="0.2">
      <c r="A40" s="258" t="str">
        <f>VLOOKUP(U31,TBL_equipe,23,FALSE)</f>
        <v/>
      </c>
      <c r="B40" s="223"/>
      <c r="C40" s="259" t="str">
        <f>VLOOKUP(U31,TBL_equipe,24,FALSE)</f>
        <v/>
      </c>
      <c r="D40" s="223"/>
      <c r="E40" s="224"/>
      <c r="F40" s="219"/>
      <c r="G40" s="403" t="str">
        <f>VLOOKUP(U31,TBL_equipe,27,FALSE)</f>
        <v/>
      </c>
      <c r="H40" s="224"/>
      <c r="I40" s="222"/>
      <c r="J40" s="246" t="str">
        <f>VLOOKUP(U31,TBL_equipe,26,FALSE)</f>
        <v/>
      </c>
      <c r="K40" s="224"/>
      <c r="L40" s="260" t="str">
        <f>VLOOKUP(U31,TBL_equipe,28,FALSE)</f>
        <v/>
      </c>
      <c r="M40" s="289">
        <f>G31</f>
        <v>0</v>
      </c>
      <c r="N40" s="290"/>
      <c r="O40" s="249"/>
    </row>
    <row r="41" spans="1:25" ht="15" customHeight="1" thickBot="1" x14ac:dyDescent="0.25"/>
    <row r="42" spans="1:25" ht="20.100000000000001" customHeight="1" x14ac:dyDescent="0.2">
      <c r="F42" s="1081" t="s">
        <v>555</v>
      </c>
      <c r="G42" s="1082"/>
      <c r="H42" s="1082"/>
      <c r="I42" s="1082"/>
      <c r="J42" s="1083"/>
      <c r="K42" s="1081" t="s">
        <v>556</v>
      </c>
      <c r="L42" s="1082"/>
      <c r="M42" s="1082"/>
      <c r="N42" s="1082"/>
      <c r="O42" s="1083"/>
      <c r="P42" s="1081" t="s">
        <v>557</v>
      </c>
      <c r="Q42" s="1082"/>
      <c r="R42" s="1082"/>
      <c r="S42" s="1082"/>
      <c r="T42" s="1083"/>
      <c r="U42" s="1081" t="s">
        <v>558</v>
      </c>
      <c r="V42" s="1082"/>
      <c r="W42" s="1082"/>
      <c r="X42" s="1082"/>
      <c r="Y42" s="1083"/>
    </row>
    <row r="43" spans="1:25" ht="20.100000000000001" customHeight="1" x14ac:dyDescent="0.2">
      <c r="A43" s="1075" t="s">
        <v>559</v>
      </c>
      <c r="B43" s="1075"/>
      <c r="C43" s="1075"/>
      <c r="D43" s="1075"/>
      <c r="E43" s="1089"/>
      <c r="F43" s="1090" t="s">
        <v>560</v>
      </c>
      <c r="G43" s="1075"/>
      <c r="H43" s="1075"/>
      <c r="J43" s="225" t="s">
        <v>7</v>
      </c>
      <c r="K43" s="1090" t="s">
        <v>560</v>
      </c>
      <c r="L43" s="1075"/>
      <c r="M43" s="1075"/>
      <c r="O43" s="225" t="s">
        <v>7</v>
      </c>
      <c r="P43" s="1090" t="s">
        <v>560</v>
      </c>
      <c r="Q43" s="1075"/>
      <c r="R43" s="1075"/>
      <c r="T43" s="225" t="s">
        <v>7</v>
      </c>
      <c r="U43" s="1090" t="s">
        <v>560</v>
      </c>
      <c r="V43" s="1075"/>
      <c r="W43" s="1075"/>
      <c r="Y43" s="225" t="s">
        <v>7</v>
      </c>
    </row>
    <row r="44" spans="1:25" ht="24" customHeight="1" x14ac:dyDescent="0.2">
      <c r="A44" s="261" t="str">
        <f>A37</f>
        <v/>
      </c>
      <c r="B44" s="227"/>
      <c r="C44" s="262" t="str">
        <f>C37</f>
        <v/>
      </c>
      <c r="D44" s="227"/>
      <c r="E44" s="227"/>
      <c r="F44" s="228"/>
      <c r="G44" s="229"/>
      <c r="H44" s="229"/>
      <c r="I44" s="230" t="s">
        <v>561</v>
      </c>
      <c r="J44" s="231"/>
      <c r="K44" s="228"/>
      <c r="L44" s="229"/>
      <c r="M44" s="229"/>
      <c r="N44" s="230" t="s">
        <v>561</v>
      </c>
      <c r="O44" s="231"/>
      <c r="P44" s="228"/>
      <c r="Q44" s="229"/>
      <c r="R44" s="229"/>
      <c r="S44" s="230" t="s">
        <v>561</v>
      </c>
      <c r="T44" s="231"/>
      <c r="U44" s="228"/>
      <c r="V44" s="229"/>
      <c r="W44" s="229"/>
      <c r="X44" s="230" t="s">
        <v>561</v>
      </c>
      <c r="Y44" s="231"/>
    </row>
    <row r="45" spans="1:25" ht="24" customHeight="1" x14ac:dyDescent="0.2">
      <c r="A45" s="261" t="str">
        <f>A38</f>
        <v/>
      </c>
      <c r="B45" s="227"/>
      <c r="C45" s="262" t="str">
        <f>C38</f>
        <v/>
      </c>
      <c r="D45" s="227"/>
      <c r="E45" s="227"/>
      <c r="F45" s="228"/>
      <c r="G45" s="229"/>
      <c r="H45" s="229"/>
      <c r="I45" s="230" t="s">
        <v>561</v>
      </c>
      <c r="J45" s="231"/>
      <c r="K45" s="228"/>
      <c r="L45" s="229"/>
      <c r="M45" s="229"/>
      <c r="N45" s="230" t="s">
        <v>561</v>
      </c>
      <c r="O45" s="231"/>
      <c r="P45" s="228"/>
      <c r="Q45" s="229"/>
      <c r="R45" s="229"/>
      <c r="S45" s="230" t="s">
        <v>561</v>
      </c>
      <c r="T45" s="231"/>
      <c r="U45" s="228"/>
      <c r="V45" s="229"/>
      <c r="W45" s="229"/>
      <c r="X45" s="230" t="s">
        <v>561</v>
      </c>
      <c r="Y45" s="231"/>
    </row>
    <row r="46" spans="1:25" ht="24" customHeight="1" x14ac:dyDescent="0.2">
      <c r="A46" s="261" t="str">
        <f>A39</f>
        <v/>
      </c>
      <c r="B46" s="227"/>
      <c r="C46" s="262" t="str">
        <f>C39</f>
        <v/>
      </c>
      <c r="D46" s="227"/>
      <c r="E46" s="227"/>
      <c r="F46" s="228"/>
      <c r="G46" s="229"/>
      <c r="H46" s="229"/>
      <c r="I46" s="230" t="s">
        <v>561</v>
      </c>
      <c r="J46" s="231"/>
      <c r="K46" s="228"/>
      <c r="L46" s="229"/>
      <c r="M46" s="229"/>
      <c r="N46" s="230" t="s">
        <v>561</v>
      </c>
      <c r="O46" s="231"/>
      <c r="P46" s="228"/>
      <c r="Q46" s="229"/>
      <c r="R46" s="229"/>
      <c r="S46" s="230" t="s">
        <v>561</v>
      </c>
      <c r="T46" s="231"/>
      <c r="U46" s="228"/>
      <c r="V46" s="229"/>
      <c r="W46" s="229"/>
      <c r="X46" s="230" t="s">
        <v>561</v>
      </c>
      <c r="Y46" s="231"/>
    </row>
    <row r="47" spans="1:25" ht="24" customHeight="1" x14ac:dyDescent="0.2">
      <c r="A47" s="261" t="str">
        <f>A40</f>
        <v/>
      </c>
      <c r="B47" s="227"/>
      <c r="C47" s="262" t="str">
        <f>C40</f>
        <v/>
      </c>
      <c r="D47" s="227"/>
      <c r="E47" s="227"/>
      <c r="F47" s="228"/>
      <c r="G47" s="229"/>
      <c r="H47" s="229"/>
      <c r="I47" s="230" t="s">
        <v>561</v>
      </c>
      <c r="J47" s="232"/>
      <c r="K47" s="228"/>
      <c r="L47" s="229"/>
      <c r="M47" s="229"/>
      <c r="N47" s="230" t="s">
        <v>561</v>
      </c>
      <c r="O47" s="232"/>
      <c r="P47" s="228"/>
      <c r="Q47" s="229"/>
      <c r="R47" s="229"/>
      <c r="S47" s="230" t="s">
        <v>561</v>
      </c>
      <c r="T47" s="232"/>
      <c r="U47" s="228"/>
      <c r="V47" s="229"/>
      <c r="W47" s="229"/>
      <c r="X47" s="230" t="s">
        <v>561</v>
      </c>
      <c r="Y47" s="232"/>
    </row>
    <row r="48" spans="1:25" ht="24" customHeight="1" thickBot="1" x14ac:dyDescent="0.25">
      <c r="F48" s="1079" t="s">
        <v>562</v>
      </c>
      <c r="G48" s="1080"/>
      <c r="H48" s="1080"/>
      <c r="I48" s="230" t="s">
        <v>561</v>
      </c>
      <c r="J48" s="231"/>
      <c r="K48" s="1079" t="s">
        <v>563</v>
      </c>
      <c r="L48" s="1080"/>
      <c r="M48" s="1080"/>
      <c r="N48" s="230" t="s">
        <v>561</v>
      </c>
      <c r="O48" s="232"/>
      <c r="P48" s="1079" t="s">
        <v>564</v>
      </c>
      <c r="Q48" s="1080"/>
      <c r="R48" s="1080"/>
      <c r="S48" s="230" t="s">
        <v>561</v>
      </c>
      <c r="T48" s="232"/>
      <c r="U48" s="1079" t="s">
        <v>565</v>
      </c>
      <c r="V48" s="1080"/>
      <c r="W48" s="1080"/>
      <c r="X48" s="230" t="s">
        <v>561</v>
      </c>
      <c r="Y48" s="232"/>
    </row>
    <row r="49" spans="1:25" ht="24" customHeight="1" thickBot="1" x14ac:dyDescent="0.25">
      <c r="F49" s="233"/>
      <c r="G49" s="234"/>
      <c r="H49" s="235" t="s">
        <v>566</v>
      </c>
      <c r="I49" s="235"/>
      <c r="J49" s="236"/>
      <c r="K49" s="1092" t="s">
        <v>567</v>
      </c>
      <c r="L49" s="1085"/>
      <c r="M49" s="1085"/>
      <c r="N49" s="237" t="s">
        <v>561</v>
      </c>
      <c r="O49" s="238"/>
      <c r="P49" s="1092" t="s">
        <v>568</v>
      </c>
      <c r="Q49" s="1085"/>
      <c r="R49" s="1085"/>
      <c r="S49" s="237" t="s">
        <v>561</v>
      </c>
      <c r="T49" s="238"/>
      <c r="U49" s="1092" t="s">
        <v>569</v>
      </c>
      <c r="V49" s="1085"/>
      <c r="W49" s="1085"/>
      <c r="X49" s="237" t="s">
        <v>561</v>
      </c>
      <c r="Y49" s="239"/>
    </row>
    <row r="50" spans="1:25" ht="12.75" customHeight="1" x14ac:dyDescent="0.2">
      <c r="Y50" s="240" t="s">
        <v>570</v>
      </c>
    </row>
    <row r="51" spans="1:25" ht="15.75" customHeight="1" x14ac:dyDescent="0.2">
      <c r="B51" s="1091" t="s">
        <v>521</v>
      </c>
      <c r="C51" s="1091"/>
      <c r="D51" s="1091"/>
      <c r="E51" s="1091"/>
      <c r="F51" s="1091"/>
      <c r="G51" s="1091"/>
      <c r="H51" s="1091"/>
      <c r="I51" s="1091"/>
      <c r="J51" s="1091"/>
      <c r="K51" s="1091"/>
      <c r="L51" s="1091"/>
      <c r="O51" s="1091" t="s">
        <v>522</v>
      </c>
      <c r="P51" s="1091"/>
      <c r="Q51" s="1091"/>
      <c r="R51" s="1091"/>
      <c r="S51" s="1091"/>
      <c r="T51" s="1091"/>
      <c r="U51" s="1091"/>
      <c r="V51" s="1091"/>
      <c r="W51" s="1091"/>
      <c r="X51" s="1091"/>
      <c r="Y51" s="1091"/>
    </row>
    <row r="52" spans="1:25" ht="13.5" customHeight="1" x14ac:dyDescent="0.2">
      <c r="B52" s="1086" t="s">
        <v>1</v>
      </c>
      <c r="C52" s="1087"/>
      <c r="D52" s="1087"/>
      <c r="E52" s="1087"/>
      <c r="F52" s="1087"/>
      <c r="G52" s="1087"/>
      <c r="H52" s="1088"/>
      <c r="I52" s="1086" t="s">
        <v>520</v>
      </c>
      <c r="J52" s="1087"/>
      <c r="K52" s="1087"/>
      <c r="L52" s="1088"/>
      <c r="N52" s="241"/>
      <c r="O52" s="1086" t="s">
        <v>1</v>
      </c>
      <c r="P52" s="1087"/>
      <c r="Q52" s="1087"/>
      <c r="R52" s="1087"/>
      <c r="S52" s="1087"/>
      <c r="T52" s="1087"/>
      <c r="U52" s="1088"/>
      <c r="V52" s="1086" t="s">
        <v>520</v>
      </c>
      <c r="W52" s="1087"/>
      <c r="X52" s="1087"/>
      <c r="Y52" s="1088"/>
    </row>
    <row r="53" spans="1:25" ht="21.75" customHeight="1" x14ac:dyDescent="0.2">
      <c r="B53" s="242"/>
      <c r="C53" s="243"/>
      <c r="D53" s="243"/>
      <c r="E53" s="243"/>
      <c r="F53" s="243"/>
      <c r="G53" s="243"/>
      <c r="H53" s="243"/>
      <c r="I53" s="242"/>
      <c r="J53" s="243"/>
      <c r="K53" s="243"/>
      <c r="L53" s="244"/>
      <c r="N53" s="241"/>
      <c r="O53" s="242"/>
      <c r="P53" s="243"/>
      <c r="Q53" s="243"/>
      <c r="R53" s="243"/>
      <c r="S53" s="243"/>
      <c r="T53" s="243"/>
      <c r="U53" s="243"/>
      <c r="V53" s="242"/>
      <c r="W53" s="243"/>
      <c r="X53" s="243"/>
      <c r="Y53" s="244"/>
    </row>
    <row r="54" spans="1:25" ht="13.5" customHeight="1" x14ac:dyDescent="0.2"/>
    <row r="55" spans="1:25" ht="14.25" customHeight="1" thickBot="1" x14ac:dyDescent="0.25">
      <c r="A55" s="241"/>
      <c r="G55" s="305"/>
      <c r="H55" s="305"/>
      <c r="I55" s="1069" t="s">
        <v>0</v>
      </c>
      <c r="J55" s="1069"/>
      <c r="K55" s="1069"/>
      <c r="L55" s="1069"/>
      <c r="M55" s="1069"/>
      <c r="N55" s="1069"/>
      <c r="O55" s="1069"/>
      <c r="P55" s="1069" t="s">
        <v>374</v>
      </c>
      <c r="Q55" s="1069"/>
      <c r="R55" s="1069"/>
      <c r="S55" s="1069"/>
      <c r="T55" s="1069"/>
      <c r="U55" s="1069" t="s">
        <v>571</v>
      </c>
      <c r="V55" s="1069"/>
      <c r="W55" s="1069"/>
      <c r="X55" s="305"/>
      <c r="Y55" s="305"/>
    </row>
    <row r="56" spans="1:25" ht="20.25" customHeight="1" x14ac:dyDescent="0.2">
      <c r="A56" s="241"/>
      <c r="F56" s="1074" t="s">
        <v>584</v>
      </c>
      <c r="G56" s="1074"/>
      <c r="H56" s="1074"/>
      <c r="I56" s="316"/>
      <c r="J56" s="306"/>
      <c r="K56" s="306"/>
      <c r="L56" s="306"/>
      <c r="M56" s="306"/>
      <c r="N56" s="306"/>
      <c r="O56" s="306"/>
      <c r="P56" s="312"/>
      <c r="Q56" s="306"/>
      <c r="R56" s="307"/>
      <c r="S56" s="304"/>
      <c r="T56" s="313"/>
      <c r="U56" s="310"/>
      <c r="V56" s="1084" t="s">
        <v>495</v>
      </c>
      <c r="W56" s="308"/>
    </row>
    <row r="57" spans="1:25" ht="13.5" thickBot="1" x14ac:dyDescent="0.25">
      <c r="F57" s="1074"/>
      <c r="G57" s="1074"/>
      <c r="H57" s="1074"/>
      <c r="I57" s="303"/>
      <c r="J57" s="235"/>
      <c r="K57" s="235"/>
      <c r="L57" s="235"/>
      <c r="M57" s="235"/>
      <c r="N57" s="235"/>
      <c r="O57" s="235"/>
      <c r="P57" s="314"/>
      <c r="Q57" s="235"/>
      <c r="R57" s="234"/>
      <c r="S57" s="234"/>
      <c r="T57" s="315"/>
      <c r="U57" s="311"/>
      <c r="V57" s="1085"/>
      <c r="W57" s="309"/>
    </row>
    <row r="59" spans="1:25" ht="6.75" customHeight="1" x14ac:dyDescent="0.2"/>
    <row r="60" spans="1:25" s="218" customFormat="1" ht="23.25" customHeight="1" x14ac:dyDescent="0.2">
      <c r="A60" s="1072" t="s">
        <v>546</v>
      </c>
      <c r="B60" s="1073"/>
      <c r="C60" s="402"/>
      <c r="D60" s="1098" t="s">
        <v>628</v>
      </c>
      <c r="E60" s="1072"/>
      <c r="F60" s="1072"/>
      <c r="G60" s="1103"/>
      <c r="H60" s="1104"/>
      <c r="K60" s="218" t="str">
        <f>RIGHT(CATEG_IMPORTEE, LEN(CATEG_IMPORTEE) - 2)</f>
        <v>llèges Mixtes Etablissement</v>
      </c>
      <c r="T60" s="397" t="s">
        <v>627</v>
      </c>
      <c r="U60" s="401">
        <v>3</v>
      </c>
      <c r="V60" s="396" t="s">
        <v>547</v>
      </c>
      <c r="W60" s="401"/>
      <c r="X60" s="395"/>
    </row>
    <row r="61" spans="1:25" ht="27" customHeight="1" thickBot="1" x14ac:dyDescent="0.25">
      <c r="B61" s="1069" t="s">
        <v>0</v>
      </c>
      <c r="C61" s="1069"/>
      <c r="D61" s="1069"/>
      <c r="E61" s="1069"/>
      <c r="F61" s="1069"/>
      <c r="G61" s="1069"/>
      <c r="H61" s="1069"/>
      <c r="I61" s="1069" t="s">
        <v>374</v>
      </c>
      <c r="J61" s="1069"/>
      <c r="K61" s="1069"/>
      <c r="L61" s="1069"/>
      <c r="O61" s="1069" t="s">
        <v>0</v>
      </c>
      <c r="P61" s="1069"/>
      <c r="Q61" s="1069"/>
      <c r="R61" s="1069"/>
      <c r="S61" s="1069"/>
      <c r="T61" s="1069"/>
      <c r="U61" s="1069"/>
      <c r="V61" s="1069" t="s">
        <v>374</v>
      </c>
      <c r="W61" s="1069"/>
      <c r="X61" s="1069"/>
      <c r="Y61" s="1069"/>
    </row>
    <row r="62" spans="1:25" ht="24" customHeight="1" thickBot="1" x14ac:dyDescent="0.25">
      <c r="A62" s="219"/>
      <c r="B62" s="398" t="str">
        <f>VLOOKUP(U60,TBL_equipe,2,FALSE)</f>
        <v/>
      </c>
      <c r="C62" s="399"/>
      <c r="D62" s="399"/>
      <c r="E62" s="399"/>
      <c r="F62" s="399"/>
      <c r="G62" s="399"/>
      <c r="H62" s="400"/>
      <c r="I62" s="257" t="str">
        <f>VLOOKUP(U60,TBL_equipe,4,FALSE)</f>
        <v/>
      </c>
      <c r="J62" s="220"/>
      <c r="K62" s="220"/>
      <c r="L62" s="221"/>
      <c r="M62" s="1070" t="s">
        <v>547</v>
      </c>
      <c r="N62" s="1071"/>
      <c r="O62" s="398" t="e">
        <f>VLOOKUP(W60,TBL_equipe,2,FALSE)</f>
        <v>#N/A</v>
      </c>
      <c r="P62" s="220"/>
      <c r="Q62" s="220"/>
      <c r="R62" s="220"/>
      <c r="S62" s="220"/>
      <c r="T62" s="220"/>
      <c r="U62" s="221"/>
      <c r="V62" s="257" t="e">
        <f>VLOOKUP(W60,TBL_equipe,4,FALSE)</f>
        <v>#N/A</v>
      </c>
      <c r="W62" s="220"/>
      <c r="X62" s="220"/>
      <c r="Y62" s="221"/>
    </row>
    <row r="63" spans="1:25" ht="15" customHeight="1" x14ac:dyDescent="0.2"/>
    <row r="64" spans="1:25" ht="20.100000000000001" customHeight="1" x14ac:dyDescent="0.2">
      <c r="A64" s="1074" t="s">
        <v>548</v>
      </c>
      <c r="B64" s="1074"/>
      <c r="C64" s="1074"/>
      <c r="D64" s="1074"/>
      <c r="E64" s="1074"/>
    </row>
    <row r="65" spans="1:25" ht="20.100000000000001" customHeight="1" x14ac:dyDescent="0.2">
      <c r="A65" s="1075" t="s">
        <v>549</v>
      </c>
      <c r="B65" s="1075"/>
      <c r="C65" s="1075"/>
      <c r="D65" s="1075"/>
      <c r="E65" s="1075"/>
      <c r="G65" s="1076" t="s">
        <v>480</v>
      </c>
      <c r="H65" s="1076"/>
      <c r="I65" s="1077" t="s">
        <v>550</v>
      </c>
      <c r="J65" s="1077"/>
      <c r="K65" s="1077"/>
      <c r="L65" s="252" t="s">
        <v>551</v>
      </c>
      <c r="M65" s="1078" t="s">
        <v>552</v>
      </c>
      <c r="N65" s="1078"/>
      <c r="O65" s="251"/>
    </row>
    <row r="66" spans="1:25" ht="24" customHeight="1" x14ac:dyDescent="0.2">
      <c r="A66" s="258" t="str">
        <f>VLOOKUP(U60,TBL_equipe,5,FALSE)</f>
        <v/>
      </c>
      <c r="B66" s="223"/>
      <c r="C66" s="259" t="str">
        <f>VLOOKUP(U60,TBL_equipe,6,FALSE)</f>
        <v/>
      </c>
      <c r="D66" s="223"/>
      <c r="E66" s="224"/>
      <c r="F66" s="219"/>
      <c r="G66" s="403" t="str">
        <f>VLOOKUP(U60,TBL_equipe,9,FALSE)</f>
        <v/>
      </c>
      <c r="H66" s="224"/>
      <c r="I66" s="222"/>
      <c r="J66" s="246" t="str">
        <f>VLOOKUP(U60,TBL_equipe,8,FALSE)</f>
        <v/>
      </c>
      <c r="K66" s="224"/>
      <c r="L66" s="260" t="str">
        <f>VLOOKUP(U60,TBL_equipe,10,FALSE)</f>
        <v/>
      </c>
      <c r="M66" s="287">
        <f>G60</f>
        <v>0</v>
      </c>
      <c r="N66" s="288"/>
      <c r="O66" s="249"/>
      <c r="R66" s="254"/>
      <c r="S66" s="254"/>
      <c r="T66" s="254" t="s">
        <v>51</v>
      </c>
      <c r="U66" s="254"/>
      <c r="V66" s="254"/>
      <c r="W66" s="254"/>
      <c r="X66" s="254"/>
      <c r="Y66" s="254"/>
    </row>
    <row r="67" spans="1:25" ht="24" customHeight="1" x14ac:dyDescent="0.2">
      <c r="A67" s="258" t="str">
        <f>VLOOKUP(U60,TBL_equipe,11,FALSE)</f>
        <v/>
      </c>
      <c r="B67" s="223"/>
      <c r="C67" s="259" t="str">
        <f>VLOOKUP(U60,TBL_equipe,12,FALSE)</f>
        <v/>
      </c>
      <c r="D67" s="223"/>
      <c r="E67" s="224"/>
      <c r="F67" s="219"/>
      <c r="G67" s="403" t="str">
        <f>VLOOKUP(U60,TBL_equipe,15,FALSE)</f>
        <v/>
      </c>
      <c r="H67" s="224"/>
      <c r="I67" s="222"/>
      <c r="J67" s="246" t="str">
        <f>VLOOKUP(U60,TBL_equipe,14,FALSE)</f>
        <v/>
      </c>
      <c r="K67" s="224"/>
      <c r="L67" s="260" t="str">
        <f>VLOOKUP(U60,TBL_equipe,16,FALSE)</f>
        <v/>
      </c>
      <c r="M67" s="287">
        <f>G60</f>
        <v>0</v>
      </c>
      <c r="N67" s="288"/>
      <c r="O67" s="249"/>
      <c r="Q67" s="254"/>
      <c r="R67" s="254"/>
      <c r="S67" s="254"/>
      <c r="T67" s="254"/>
      <c r="U67" s="254"/>
      <c r="V67" s="254"/>
      <c r="W67" s="254"/>
      <c r="X67" s="254"/>
      <c r="Y67" s="254"/>
    </row>
    <row r="68" spans="1:25" ht="24" customHeight="1" x14ac:dyDescent="0.2">
      <c r="A68" s="258" t="str">
        <f>VLOOKUP(U60,TBL_equipe,17,FALSE)</f>
        <v/>
      </c>
      <c r="B68" s="223"/>
      <c r="C68" s="259" t="str">
        <f>VLOOKUP(U60,TBL_equipe,18,FALSE)</f>
        <v/>
      </c>
      <c r="D68" s="223"/>
      <c r="E68" s="224"/>
      <c r="F68" s="219"/>
      <c r="G68" s="403" t="str">
        <f>VLOOKUP(U60,TBL_equipe,21,FALSE)</f>
        <v/>
      </c>
      <c r="H68" s="224"/>
      <c r="I68" s="222"/>
      <c r="J68" s="246" t="str">
        <f>VLOOKUP(U60,TBL_equipe,20,FALSE)</f>
        <v/>
      </c>
      <c r="K68" s="224"/>
      <c r="L68" s="260" t="str">
        <f>VLOOKUP(U60,TBL_equipe,22,FALSE)</f>
        <v/>
      </c>
      <c r="M68" s="287">
        <f>G60</f>
        <v>0</v>
      </c>
      <c r="N68" s="288"/>
      <c r="O68" s="249"/>
      <c r="Q68" s="254"/>
      <c r="R68" s="254"/>
      <c r="S68" s="254"/>
      <c r="T68" s="254"/>
      <c r="U68" s="254"/>
      <c r="V68" s="254"/>
      <c r="W68" s="254"/>
      <c r="X68" s="254"/>
      <c r="Y68" s="254"/>
    </row>
    <row r="69" spans="1:25" ht="24" customHeight="1" x14ac:dyDescent="0.2">
      <c r="A69" s="258" t="str">
        <f>VLOOKUP(U60,TBL_equipe,23,FALSE)</f>
        <v/>
      </c>
      <c r="B69" s="223"/>
      <c r="C69" s="259" t="str">
        <f>VLOOKUP(U60,TBL_equipe,24,FALSE)</f>
        <v/>
      </c>
      <c r="D69" s="223"/>
      <c r="E69" s="224"/>
      <c r="F69" s="219"/>
      <c r="G69" s="403" t="str">
        <f>VLOOKUP(U60,TBL_equipe,27,FALSE)</f>
        <v/>
      </c>
      <c r="H69" s="224"/>
      <c r="I69" s="222"/>
      <c r="J69" s="246" t="str">
        <f>VLOOKUP(U60,TBL_equipe,26,FALSE)</f>
        <v/>
      </c>
      <c r="K69" s="224"/>
      <c r="L69" s="260" t="str">
        <f>VLOOKUP(U60,TBL_equipe,28,FALSE)</f>
        <v/>
      </c>
      <c r="M69" s="289">
        <f>G60</f>
        <v>0</v>
      </c>
      <c r="N69" s="290"/>
      <c r="O69" s="249"/>
    </row>
    <row r="70" spans="1:25" ht="15" customHeight="1" thickBot="1" x14ac:dyDescent="0.25"/>
    <row r="71" spans="1:25" ht="20.100000000000001" customHeight="1" x14ac:dyDescent="0.2">
      <c r="F71" s="1081" t="s">
        <v>555</v>
      </c>
      <c r="G71" s="1082"/>
      <c r="H71" s="1082"/>
      <c r="I71" s="1082"/>
      <c r="J71" s="1083"/>
      <c r="K71" s="1081" t="s">
        <v>556</v>
      </c>
      <c r="L71" s="1082"/>
      <c r="M71" s="1082"/>
      <c r="N71" s="1082"/>
      <c r="O71" s="1083"/>
      <c r="P71" s="1081" t="s">
        <v>557</v>
      </c>
      <c r="Q71" s="1082"/>
      <c r="R71" s="1082"/>
      <c r="S71" s="1082"/>
      <c r="T71" s="1083"/>
      <c r="U71" s="1081" t="s">
        <v>558</v>
      </c>
      <c r="V71" s="1082"/>
      <c r="W71" s="1082"/>
      <c r="X71" s="1082"/>
      <c r="Y71" s="1083"/>
    </row>
    <row r="72" spans="1:25" ht="20.100000000000001" customHeight="1" x14ac:dyDescent="0.2">
      <c r="A72" s="1075" t="s">
        <v>559</v>
      </c>
      <c r="B72" s="1075"/>
      <c r="C72" s="1075"/>
      <c r="D72" s="1075"/>
      <c r="E72" s="1089"/>
      <c r="F72" s="1090" t="s">
        <v>560</v>
      </c>
      <c r="G72" s="1075"/>
      <c r="H72" s="1075"/>
      <c r="J72" s="225" t="s">
        <v>7</v>
      </c>
      <c r="K72" s="1090" t="s">
        <v>560</v>
      </c>
      <c r="L72" s="1075"/>
      <c r="M72" s="1075"/>
      <c r="O72" s="225" t="s">
        <v>7</v>
      </c>
      <c r="P72" s="1090" t="s">
        <v>560</v>
      </c>
      <c r="Q72" s="1075"/>
      <c r="R72" s="1075"/>
      <c r="T72" s="225" t="s">
        <v>7</v>
      </c>
      <c r="U72" s="1090" t="s">
        <v>560</v>
      </c>
      <c r="V72" s="1075"/>
      <c r="W72" s="1075"/>
      <c r="Y72" s="225" t="s">
        <v>7</v>
      </c>
    </row>
    <row r="73" spans="1:25" ht="24" customHeight="1" x14ac:dyDescent="0.2">
      <c r="A73" s="261" t="str">
        <f>A66</f>
        <v/>
      </c>
      <c r="B73" s="227"/>
      <c r="C73" s="262" t="str">
        <f>C66</f>
        <v/>
      </c>
      <c r="D73" s="227"/>
      <c r="E73" s="227"/>
      <c r="F73" s="228"/>
      <c r="G73" s="229"/>
      <c r="H73" s="229"/>
      <c r="I73" s="230" t="s">
        <v>561</v>
      </c>
      <c r="J73" s="231"/>
      <c r="K73" s="228"/>
      <c r="L73" s="229"/>
      <c r="M73" s="229"/>
      <c r="N73" s="230" t="s">
        <v>561</v>
      </c>
      <c r="O73" s="231"/>
      <c r="P73" s="228"/>
      <c r="Q73" s="229"/>
      <c r="R73" s="229"/>
      <c r="S73" s="230" t="s">
        <v>561</v>
      </c>
      <c r="T73" s="231"/>
      <c r="U73" s="228"/>
      <c r="V73" s="229"/>
      <c r="W73" s="229"/>
      <c r="X73" s="230" t="s">
        <v>561</v>
      </c>
      <c r="Y73" s="231"/>
    </row>
    <row r="74" spans="1:25" ht="24" customHeight="1" x14ac:dyDescent="0.2">
      <c r="A74" s="261" t="str">
        <f>A67</f>
        <v/>
      </c>
      <c r="B74" s="227"/>
      <c r="C74" s="262" t="str">
        <f>C67</f>
        <v/>
      </c>
      <c r="D74" s="227"/>
      <c r="E74" s="227"/>
      <c r="F74" s="228"/>
      <c r="G74" s="229"/>
      <c r="H74" s="229"/>
      <c r="I74" s="230" t="s">
        <v>561</v>
      </c>
      <c r="J74" s="231"/>
      <c r="K74" s="228"/>
      <c r="L74" s="229"/>
      <c r="M74" s="229"/>
      <c r="N74" s="230" t="s">
        <v>561</v>
      </c>
      <c r="O74" s="231"/>
      <c r="P74" s="228"/>
      <c r="Q74" s="229"/>
      <c r="R74" s="229"/>
      <c r="S74" s="230" t="s">
        <v>561</v>
      </c>
      <c r="T74" s="231"/>
      <c r="U74" s="228"/>
      <c r="V74" s="229"/>
      <c r="W74" s="229"/>
      <c r="X74" s="230" t="s">
        <v>561</v>
      </c>
      <c r="Y74" s="231"/>
    </row>
    <row r="75" spans="1:25" ht="24" customHeight="1" x14ac:dyDescent="0.2">
      <c r="A75" s="261" t="str">
        <f>A68</f>
        <v/>
      </c>
      <c r="B75" s="227"/>
      <c r="C75" s="262" t="str">
        <f>C68</f>
        <v/>
      </c>
      <c r="D75" s="227"/>
      <c r="E75" s="227"/>
      <c r="F75" s="228"/>
      <c r="G75" s="229"/>
      <c r="H75" s="229"/>
      <c r="I75" s="230" t="s">
        <v>561</v>
      </c>
      <c r="J75" s="231"/>
      <c r="K75" s="228"/>
      <c r="L75" s="229"/>
      <c r="M75" s="229"/>
      <c r="N75" s="230" t="s">
        <v>561</v>
      </c>
      <c r="O75" s="231"/>
      <c r="P75" s="228"/>
      <c r="Q75" s="229"/>
      <c r="R75" s="229"/>
      <c r="S75" s="230" t="s">
        <v>561</v>
      </c>
      <c r="T75" s="231"/>
      <c r="U75" s="228"/>
      <c r="V75" s="229"/>
      <c r="W75" s="229"/>
      <c r="X75" s="230" t="s">
        <v>561</v>
      </c>
      <c r="Y75" s="231"/>
    </row>
    <row r="76" spans="1:25" ht="24" customHeight="1" x14ac:dyDescent="0.2">
      <c r="A76" s="261" t="str">
        <f>A69</f>
        <v/>
      </c>
      <c r="B76" s="227"/>
      <c r="C76" s="262" t="str">
        <f>C69</f>
        <v/>
      </c>
      <c r="D76" s="227"/>
      <c r="E76" s="227"/>
      <c r="F76" s="228"/>
      <c r="G76" s="229"/>
      <c r="H76" s="229"/>
      <c r="I76" s="230" t="s">
        <v>561</v>
      </c>
      <c r="J76" s="232"/>
      <c r="K76" s="228"/>
      <c r="L76" s="229"/>
      <c r="M76" s="229"/>
      <c r="N76" s="230" t="s">
        <v>561</v>
      </c>
      <c r="O76" s="232"/>
      <c r="P76" s="228"/>
      <c r="Q76" s="229"/>
      <c r="R76" s="229"/>
      <c r="S76" s="230" t="s">
        <v>561</v>
      </c>
      <c r="T76" s="232"/>
      <c r="U76" s="228"/>
      <c r="V76" s="229"/>
      <c r="W76" s="229"/>
      <c r="X76" s="230" t="s">
        <v>561</v>
      </c>
      <c r="Y76" s="232"/>
    </row>
    <row r="77" spans="1:25" ht="24" customHeight="1" thickBot="1" x14ac:dyDescent="0.25">
      <c r="F77" s="1079" t="s">
        <v>562</v>
      </c>
      <c r="G77" s="1080"/>
      <c r="H77" s="1080"/>
      <c r="I77" s="230" t="s">
        <v>561</v>
      </c>
      <c r="J77" s="231"/>
      <c r="K77" s="1079" t="s">
        <v>563</v>
      </c>
      <c r="L77" s="1080"/>
      <c r="M77" s="1080"/>
      <c r="N77" s="230" t="s">
        <v>561</v>
      </c>
      <c r="O77" s="232"/>
      <c r="P77" s="1079" t="s">
        <v>564</v>
      </c>
      <c r="Q77" s="1080"/>
      <c r="R77" s="1080"/>
      <c r="S77" s="230" t="s">
        <v>561</v>
      </c>
      <c r="T77" s="232"/>
      <c r="U77" s="1079" t="s">
        <v>565</v>
      </c>
      <c r="V77" s="1080"/>
      <c r="W77" s="1080"/>
      <c r="X77" s="230" t="s">
        <v>561</v>
      </c>
      <c r="Y77" s="232"/>
    </row>
    <row r="78" spans="1:25" ht="24" customHeight="1" thickBot="1" x14ac:dyDescent="0.25">
      <c r="F78" s="233"/>
      <c r="G78" s="234"/>
      <c r="H78" s="235" t="s">
        <v>566</v>
      </c>
      <c r="I78" s="235"/>
      <c r="J78" s="236"/>
      <c r="K78" s="1092" t="s">
        <v>567</v>
      </c>
      <c r="L78" s="1085"/>
      <c r="M78" s="1085"/>
      <c r="N78" s="237" t="s">
        <v>561</v>
      </c>
      <c r="O78" s="238"/>
      <c r="P78" s="1092" t="s">
        <v>568</v>
      </c>
      <c r="Q78" s="1085"/>
      <c r="R78" s="1085"/>
      <c r="S78" s="237" t="s">
        <v>561</v>
      </c>
      <c r="T78" s="238"/>
      <c r="U78" s="1092" t="s">
        <v>569</v>
      </c>
      <c r="V78" s="1085"/>
      <c r="W78" s="1085"/>
      <c r="X78" s="237" t="s">
        <v>561</v>
      </c>
      <c r="Y78" s="239"/>
    </row>
    <row r="79" spans="1:25" ht="12.75" customHeight="1" x14ac:dyDescent="0.2">
      <c r="Y79" s="240" t="s">
        <v>570</v>
      </c>
    </row>
    <row r="80" spans="1:25" ht="15.75" customHeight="1" x14ac:dyDescent="0.2">
      <c r="B80" s="1091" t="s">
        <v>521</v>
      </c>
      <c r="C80" s="1091"/>
      <c r="D80" s="1091"/>
      <c r="E80" s="1091"/>
      <c r="F80" s="1091"/>
      <c r="G80" s="1091"/>
      <c r="H80" s="1091"/>
      <c r="I80" s="1091"/>
      <c r="J80" s="1091"/>
      <c r="K80" s="1091"/>
      <c r="L80" s="1091"/>
      <c r="O80" s="1091" t="s">
        <v>522</v>
      </c>
      <c r="P80" s="1091"/>
      <c r="Q80" s="1091"/>
      <c r="R80" s="1091"/>
      <c r="S80" s="1091"/>
      <c r="T80" s="1091"/>
      <c r="U80" s="1091"/>
      <c r="V80" s="1091"/>
      <c r="W80" s="1091"/>
      <c r="X80" s="1091"/>
      <c r="Y80" s="1091"/>
    </row>
    <row r="81" spans="1:25" ht="13.5" customHeight="1" x14ac:dyDescent="0.2">
      <c r="B81" s="1086" t="s">
        <v>1</v>
      </c>
      <c r="C81" s="1087"/>
      <c r="D81" s="1087"/>
      <c r="E81" s="1087"/>
      <c r="F81" s="1087"/>
      <c r="G81" s="1087"/>
      <c r="H81" s="1088"/>
      <c r="I81" s="1086" t="s">
        <v>520</v>
      </c>
      <c r="J81" s="1087"/>
      <c r="K81" s="1087"/>
      <c r="L81" s="1088"/>
      <c r="N81" s="241"/>
      <c r="O81" s="1086" t="s">
        <v>1</v>
      </c>
      <c r="P81" s="1087"/>
      <c r="Q81" s="1087"/>
      <c r="R81" s="1087"/>
      <c r="S81" s="1087"/>
      <c r="T81" s="1087"/>
      <c r="U81" s="1088"/>
      <c r="V81" s="1086" t="s">
        <v>520</v>
      </c>
      <c r="W81" s="1087"/>
      <c r="X81" s="1087"/>
      <c r="Y81" s="1088"/>
    </row>
    <row r="82" spans="1:25" ht="21.75" customHeight="1" x14ac:dyDescent="0.2">
      <c r="B82" s="242"/>
      <c r="C82" s="243"/>
      <c r="D82" s="243"/>
      <c r="E82" s="243"/>
      <c r="F82" s="243"/>
      <c r="G82" s="243"/>
      <c r="H82" s="243"/>
      <c r="I82" s="242"/>
      <c r="J82" s="243"/>
      <c r="K82" s="243"/>
      <c r="L82" s="244"/>
      <c r="N82" s="241"/>
      <c r="O82" s="242"/>
      <c r="P82" s="243"/>
      <c r="Q82" s="243"/>
      <c r="R82" s="243"/>
      <c r="S82" s="243"/>
      <c r="T82" s="243"/>
      <c r="U82" s="243"/>
      <c r="V82" s="242"/>
      <c r="W82" s="243"/>
      <c r="X82" s="243"/>
      <c r="Y82" s="244"/>
    </row>
    <row r="83" spans="1:25" ht="13.5" customHeight="1" x14ac:dyDescent="0.2"/>
    <row r="84" spans="1:25" ht="14.25" customHeight="1" thickBot="1" x14ac:dyDescent="0.25">
      <c r="A84" s="241"/>
      <c r="G84" s="305"/>
      <c r="H84" s="305"/>
      <c r="I84" s="1069" t="s">
        <v>0</v>
      </c>
      <c r="J84" s="1069"/>
      <c r="K84" s="1069"/>
      <c r="L84" s="1069"/>
      <c r="M84" s="1069"/>
      <c r="N84" s="1069"/>
      <c r="O84" s="1069"/>
      <c r="P84" s="1069" t="s">
        <v>374</v>
      </c>
      <c r="Q84" s="1069"/>
      <c r="R84" s="1069"/>
      <c r="S84" s="1069"/>
      <c r="T84" s="1069"/>
      <c r="U84" s="1069" t="s">
        <v>571</v>
      </c>
      <c r="V84" s="1069"/>
      <c r="W84" s="1069"/>
      <c r="X84" s="305"/>
      <c r="Y84" s="305"/>
    </row>
    <row r="85" spans="1:25" ht="20.25" customHeight="1" x14ac:dyDescent="0.2">
      <c r="A85" s="241"/>
      <c r="F85" s="1074" t="s">
        <v>584</v>
      </c>
      <c r="G85" s="1074"/>
      <c r="H85" s="1074"/>
      <c r="I85" s="316"/>
      <c r="J85" s="306"/>
      <c r="K85" s="306"/>
      <c r="L85" s="306"/>
      <c r="M85" s="306"/>
      <c r="N85" s="306"/>
      <c r="O85" s="306"/>
      <c r="P85" s="312"/>
      <c r="Q85" s="306"/>
      <c r="R85" s="307"/>
      <c r="S85" s="304"/>
      <c r="T85" s="313"/>
      <c r="U85" s="310"/>
      <c r="V85" s="1084" t="s">
        <v>495</v>
      </c>
      <c r="W85" s="308"/>
    </row>
    <row r="86" spans="1:25" ht="13.5" thickBot="1" x14ac:dyDescent="0.25">
      <c r="F86" s="1074"/>
      <c r="G86" s="1074"/>
      <c r="H86" s="1074"/>
      <c r="I86" s="303"/>
      <c r="J86" s="235"/>
      <c r="K86" s="235"/>
      <c r="L86" s="235"/>
      <c r="M86" s="235"/>
      <c r="N86" s="235"/>
      <c r="O86" s="235"/>
      <c r="P86" s="314"/>
      <c r="Q86" s="235"/>
      <c r="R86" s="234"/>
      <c r="S86" s="234"/>
      <c r="T86" s="315"/>
      <c r="U86" s="311"/>
      <c r="V86" s="1085"/>
      <c r="W86" s="309"/>
    </row>
    <row r="88" spans="1:25" ht="6.75" customHeight="1" x14ac:dyDescent="0.2"/>
    <row r="89" spans="1:25" s="218" customFormat="1" ht="23.25" customHeight="1" x14ac:dyDescent="0.2">
      <c r="A89" s="1072" t="s">
        <v>546</v>
      </c>
      <c r="B89" s="1073"/>
      <c r="C89" s="402"/>
      <c r="D89" s="1098" t="s">
        <v>628</v>
      </c>
      <c r="E89" s="1072"/>
      <c r="F89" s="1072"/>
      <c r="G89" s="1103"/>
      <c r="H89" s="1104"/>
      <c r="K89" s="218" t="str">
        <f>RIGHT(CATEG_IMPORTEE, LEN(CATEG_IMPORTEE) - 2)</f>
        <v>llèges Mixtes Etablissement</v>
      </c>
      <c r="T89" s="397" t="s">
        <v>627</v>
      </c>
      <c r="U89" s="401">
        <v>4</v>
      </c>
      <c r="V89" s="396" t="s">
        <v>547</v>
      </c>
      <c r="W89" s="401"/>
      <c r="X89" s="395"/>
    </row>
    <row r="90" spans="1:25" ht="27" customHeight="1" thickBot="1" x14ac:dyDescent="0.25">
      <c r="B90" s="1069" t="s">
        <v>0</v>
      </c>
      <c r="C90" s="1069"/>
      <c r="D90" s="1069"/>
      <c r="E90" s="1069"/>
      <c r="F90" s="1069"/>
      <c r="G90" s="1069"/>
      <c r="H90" s="1069"/>
      <c r="I90" s="1069" t="s">
        <v>374</v>
      </c>
      <c r="J90" s="1069"/>
      <c r="K90" s="1069"/>
      <c r="L90" s="1069"/>
      <c r="O90" s="1069" t="s">
        <v>0</v>
      </c>
      <c r="P90" s="1069"/>
      <c r="Q90" s="1069"/>
      <c r="R90" s="1069"/>
      <c r="S90" s="1069"/>
      <c r="T90" s="1069"/>
      <c r="U90" s="1069"/>
      <c r="V90" s="1069" t="s">
        <v>374</v>
      </c>
      <c r="W90" s="1069"/>
      <c r="X90" s="1069"/>
      <c r="Y90" s="1069"/>
    </row>
    <row r="91" spans="1:25" ht="24" customHeight="1" thickBot="1" x14ac:dyDescent="0.25">
      <c r="A91" s="219"/>
      <c r="B91" s="398" t="str">
        <f>VLOOKUP(U89,TBL_equipe,2,FALSE)</f>
        <v/>
      </c>
      <c r="C91" s="399"/>
      <c r="D91" s="399"/>
      <c r="E91" s="399"/>
      <c r="F91" s="399"/>
      <c r="G91" s="399"/>
      <c r="H91" s="400"/>
      <c r="I91" s="257" t="str">
        <f>VLOOKUP(U89,TBL_equipe,4,FALSE)</f>
        <v/>
      </c>
      <c r="J91" s="220"/>
      <c r="K91" s="220"/>
      <c r="L91" s="221"/>
      <c r="M91" s="1070" t="s">
        <v>547</v>
      </c>
      <c r="N91" s="1071"/>
      <c r="O91" s="398" t="e">
        <f>VLOOKUP(W89,TBL_equipe,2,FALSE)</f>
        <v>#N/A</v>
      </c>
      <c r="P91" s="220"/>
      <c r="Q91" s="220"/>
      <c r="R91" s="220"/>
      <c r="S91" s="220"/>
      <c r="T91" s="220"/>
      <c r="U91" s="221"/>
      <c r="V91" s="257" t="e">
        <f>VLOOKUP(W89,TBL_equipe,4,FALSE)</f>
        <v>#N/A</v>
      </c>
      <c r="W91" s="220"/>
      <c r="X91" s="220"/>
      <c r="Y91" s="221"/>
    </row>
    <row r="92" spans="1:25" ht="15" customHeight="1" x14ac:dyDescent="0.2"/>
    <row r="93" spans="1:25" ht="20.100000000000001" customHeight="1" x14ac:dyDescent="0.2">
      <c r="A93" s="1074" t="s">
        <v>548</v>
      </c>
      <c r="B93" s="1074"/>
      <c r="C93" s="1074"/>
      <c r="D93" s="1074"/>
      <c r="E93" s="1074"/>
    </row>
    <row r="94" spans="1:25" ht="20.100000000000001" customHeight="1" x14ac:dyDescent="0.2">
      <c r="A94" s="1075" t="s">
        <v>549</v>
      </c>
      <c r="B94" s="1075"/>
      <c r="C94" s="1075"/>
      <c r="D94" s="1075"/>
      <c r="E94" s="1075"/>
      <c r="G94" s="1076" t="s">
        <v>480</v>
      </c>
      <c r="H94" s="1076"/>
      <c r="I94" s="1077" t="s">
        <v>550</v>
      </c>
      <c r="J94" s="1077"/>
      <c r="K94" s="1077"/>
      <c r="L94" s="252" t="s">
        <v>551</v>
      </c>
      <c r="M94" s="1078" t="s">
        <v>552</v>
      </c>
      <c r="N94" s="1078"/>
      <c r="O94" s="251"/>
    </row>
    <row r="95" spans="1:25" ht="24" customHeight="1" x14ac:dyDescent="0.2">
      <c r="A95" s="258" t="str">
        <f>VLOOKUP(U89,TBL_equipe,5,FALSE)</f>
        <v/>
      </c>
      <c r="B95" s="223"/>
      <c r="C95" s="259" t="str">
        <f>VLOOKUP(U89,TBL_equipe,6,FALSE)</f>
        <v/>
      </c>
      <c r="D95" s="223"/>
      <c r="E95" s="224"/>
      <c r="F95" s="219"/>
      <c r="G95" s="403" t="str">
        <f>VLOOKUP(U89,TBL_equipe,9,FALSE)</f>
        <v/>
      </c>
      <c r="H95" s="224"/>
      <c r="I95" s="222"/>
      <c r="J95" s="246" t="str">
        <f>VLOOKUP(U89,TBL_equipe,8,FALSE)</f>
        <v/>
      </c>
      <c r="K95" s="224"/>
      <c r="L95" s="260" t="str">
        <f>VLOOKUP(U89,TBL_equipe,10,FALSE)</f>
        <v/>
      </c>
      <c r="M95" s="287">
        <f>G89</f>
        <v>0</v>
      </c>
      <c r="N95" s="288"/>
      <c r="O95" s="249"/>
      <c r="R95" s="254"/>
      <c r="S95" s="254"/>
      <c r="T95" s="254" t="s">
        <v>51</v>
      </c>
      <c r="U95" s="254"/>
      <c r="V95" s="254"/>
      <c r="W95" s="254"/>
      <c r="X95" s="254"/>
      <c r="Y95" s="254"/>
    </row>
    <row r="96" spans="1:25" ht="24" customHeight="1" x14ac:dyDescent="0.2">
      <c r="A96" s="258" t="str">
        <f>VLOOKUP(U89,TBL_equipe,11,FALSE)</f>
        <v/>
      </c>
      <c r="B96" s="223"/>
      <c r="C96" s="259" t="str">
        <f>VLOOKUP(U89,TBL_equipe,12,FALSE)</f>
        <v/>
      </c>
      <c r="D96" s="223"/>
      <c r="E96" s="224"/>
      <c r="F96" s="219"/>
      <c r="G96" s="403" t="str">
        <f>VLOOKUP(U89,TBL_equipe,15,FALSE)</f>
        <v/>
      </c>
      <c r="H96" s="224"/>
      <c r="I96" s="222"/>
      <c r="J96" s="246" t="str">
        <f>VLOOKUP(U89,TBL_equipe,14,FALSE)</f>
        <v/>
      </c>
      <c r="K96" s="224"/>
      <c r="L96" s="260" t="str">
        <f>VLOOKUP(U89,TBL_equipe,16,FALSE)</f>
        <v/>
      </c>
      <c r="M96" s="287">
        <f>G89</f>
        <v>0</v>
      </c>
      <c r="N96" s="288"/>
      <c r="O96" s="249"/>
      <c r="Q96" s="254"/>
      <c r="R96" s="254"/>
      <c r="S96" s="254"/>
      <c r="T96" s="254"/>
      <c r="U96" s="254"/>
      <c r="V96" s="254"/>
      <c r="W96" s="254"/>
      <c r="X96" s="254"/>
      <c r="Y96" s="254"/>
    </row>
    <row r="97" spans="1:25" ht="24" customHeight="1" x14ac:dyDescent="0.2">
      <c r="A97" s="258" t="str">
        <f>VLOOKUP(U89,TBL_equipe,17,FALSE)</f>
        <v/>
      </c>
      <c r="B97" s="223"/>
      <c r="C97" s="259" t="str">
        <f>VLOOKUP(U89,TBL_equipe,18,FALSE)</f>
        <v/>
      </c>
      <c r="D97" s="223"/>
      <c r="E97" s="224"/>
      <c r="F97" s="219"/>
      <c r="G97" s="403" t="str">
        <f>VLOOKUP(U89,TBL_equipe,21,FALSE)</f>
        <v/>
      </c>
      <c r="H97" s="224"/>
      <c r="I97" s="222"/>
      <c r="J97" s="246" t="str">
        <f>VLOOKUP(U89,TBL_equipe,20,FALSE)</f>
        <v/>
      </c>
      <c r="K97" s="224"/>
      <c r="L97" s="260" t="str">
        <f>VLOOKUP(U89,TBL_equipe,22,FALSE)</f>
        <v/>
      </c>
      <c r="M97" s="287">
        <f>G89</f>
        <v>0</v>
      </c>
      <c r="N97" s="288"/>
      <c r="O97" s="249"/>
      <c r="Q97" s="254"/>
      <c r="R97" s="254"/>
      <c r="S97" s="254"/>
      <c r="T97" s="254"/>
      <c r="U97" s="254"/>
      <c r="V97" s="254"/>
      <c r="W97" s="254"/>
      <c r="X97" s="254"/>
      <c r="Y97" s="254"/>
    </row>
    <row r="98" spans="1:25" ht="24" customHeight="1" x14ac:dyDescent="0.2">
      <c r="A98" s="258" t="str">
        <f>VLOOKUP(U89,TBL_equipe,23,FALSE)</f>
        <v/>
      </c>
      <c r="B98" s="223"/>
      <c r="C98" s="259" t="str">
        <f>VLOOKUP(U89,TBL_equipe,24,FALSE)</f>
        <v/>
      </c>
      <c r="D98" s="223"/>
      <c r="E98" s="224"/>
      <c r="F98" s="219"/>
      <c r="G98" s="403" t="str">
        <f>VLOOKUP(U89,TBL_equipe,27,FALSE)</f>
        <v/>
      </c>
      <c r="H98" s="224"/>
      <c r="I98" s="222"/>
      <c r="J98" s="246" t="str">
        <f>VLOOKUP(U89,TBL_equipe,26,FALSE)</f>
        <v/>
      </c>
      <c r="K98" s="224"/>
      <c r="L98" s="260" t="str">
        <f>VLOOKUP(U89,TBL_equipe,28,FALSE)</f>
        <v/>
      </c>
      <c r="M98" s="289">
        <f>G89</f>
        <v>0</v>
      </c>
      <c r="N98" s="290"/>
      <c r="O98" s="249"/>
    </row>
    <row r="99" spans="1:25" ht="15" customHeight="1" thickBot="1" x14ac:dyDescent="0.25"/>
    <row r="100" spans="1:25" ht="20.100000000000001" customHeight="1" x14ac:dyDescent="0.2">
      <c r="F100" s="1081" t="s">
        <v>555</v>
      </c>
      <c r="G100" s="1082"/>
      <c r="H100" s="1082"/>
      <c r="I100" s="1082"/>
      <c r="J100" s="1083"/>
      <c r="K100" s="1081" t="s">
        <v>556</v>
      </c>
      <c r="L100" s="1082"/>
      <c r="M100" s="1082"/>
      <c r="N100" s="1082"/>
      <c r="O100" s="1083"/>
      <c r="P100" s="1081" t="s">
        <v>557</v>
      </c>
      <c r="Q100" s="1082"/>
      <c r="R100" s="1082"/>
      <c r="S100" s="1082"/>
      <c r="T100" s="1083"/>
      <c r="U100" s="1081" t="s">
        <v>558</v>
      </c>
      <c r="V100" s="1082"/>
      <c r="W100" s="1082"/>
      <c r="X100" s="1082"/>
      <c r="Y100" s="1083"/>
    </row>
    <row r="101" spans="1:25" ht="20.100000000000001" customHeight="1" x14ac:dyDescent="0.2">
      <c r="A101" s="1075" t="s">
        <v>559</v>
      </c>
      <c r="B101" s="1075"/>
      <c r="C101" s="1075"/>
      <c r="D101" s="1075"/>
      <c r="E101" s="1089"/>
      <c r="F101" s="1090" t="s">
        <v>560</v>
      </c>
      <c r="G101" s="1075"/>
      <c r="H101" s="1075"/>
      <c r="J101" s="225" t="s">
        <v>7</v>
      </c>
      <c r="K101" s="1090" t="s">
        <v>560</v>
      </c>
      <c r="L101" s="1075"/>
      <c r="M101" s="1075"/>
      <c r="O101" s="225" t="s">
        <v>7</v>
      </c>
      <c r="P101" s="1090" t="s">
        <v>560</v>
      </c>
      <c r="Q101" s="1075"/>
      <c r="R101" s="1075"/>
      <c r="T101" s="225" t="s">
        <v>7</v>
      </c>
      <c r="U101" s="1090" t="s">
        <v>560</v>
      </c>
      <c r="V101" s="1075"/>
      <c r="W101" s="1075"/>
      <c r="Y101" s="225" t="s">
        <v>7</v>
      </c>
    </row>
    <row r="102" spans="1:25" ht="24" customHeight="1" x14ac:dyDescent="0.2">
      <c r="A102" s="261" t="str">
        <f>A95</f>
        <v/>
      </c>
      <c r="B102" s="227"/>
      <c r="C102" s="262" t="str">
        <f>C95</f>
        <v/>
      </c>
      <c r="D102" s="227"/>
      <c r="E102" s="227"/>
      <c r="F102" s="228"/>
      <c r="G102" s="229"/>
      <c r="H102" s="229"/>
      <c r="I102" s="230" t="s">
        <v>561</v>
      </c>
      <c r="J102" s="231"/>
      <c r="K102" s="228"/>
      <c r="L102" s="229"/>
      <c r="M102" s="229"/>
      <c r="N102" s="230" t="s">
        <v>561</v>
      </c>
      <c r="O102" s="231"/>
      <c r="P102" s="228"/>
      <c r="Q102" s="229"/>
      <c r="R102" s="229"/>
      <c r="S102" s="230" t="s">
        <v>561</v>
      </c>
      <c r="T102" s="231"/>
      <c r="U102" s="228"/>
      <c r="V102" s="229"/>
      <c r="W102" s="229"/>
      <c r="X102" s="230" t="s">
        <v>561</v>
      </c>
      <c r="Y102" s="231"/>
    </row>
    <row r="103" spans="1:25" ht="24" customHeight="1" x14ac:dyDescent="0.2">
      <c r="A103" s="261" t="str">
        <f>A96</f>
        <v/>
      </c>
      <c r="B103" s="227"/>
      <c r="C103" s="262" t="str">
        <f>C96</f>
        <v/>
      </c>
      <c r="D103" s="227"/>
      <c r="E103" s="227"/>
      <c r="F103" s="228"/>
      <c r="G103" s="229"/>
      <c r="H103" s="229"/>
      <c r="I103" s="230" t="s">
        <v>561</v>
      </c>
      <c r="J103" s="231"/>
      <c r="K103" s="228"/>
      <c r="L103" s="229"/>
      <c r="M103" s="229"/>
      <c r="N103" s="230" t="s">
        <v>561</v>
      </c>
      <c r="O103" s="231"/>
      <c r="P103" s="228"/>
      <c r="Q103" s="229"/>
      <c r="R103" s="229"/>
      <c r="S103" s="230" t="s">
        <v>561</v>
      </c>
      <c r="T103" s="231"/>
      <c r="U103" s="228"/>
      <c r="V103" s="229"/>
      <c r="W103" s="229"/>
      <c r="X103" s="230" t="s">
        <v>561</v>
      </c>
      <c r="Y103" s="231"/>
    </row>
    <row r="104" spans="1:25" ht="24" customHeight="1" x14ac:dyDescent="0.2">
      <c r="A104" s="261" t="str">
        <f>A97</f>
        <v/>
      </c>
      <c r="B104" s="227"/>
      <c r="C104" s="262" t="str">
        <f>C97</f>
        <v/>
      </c>
      <c r="D104" s="227"/>
      <c r="E104" s="227"/>
      <c r="F104" s="228"/>
      <c r="G104" s="229"/>
      <c r="H104" s="229"/>
      <c r="I104" s="230" t="s">
        <v>561</v>
      </c>
      <c r="J104" s="231"/>
      <c r="K104" s="228"/>
      <c r="L104" s="229"/>
      <c r="M104" s="229"/>
      <c r="N104" s="230" t="s">
        <v>561</v>
      </c>
      <c r="O104" s="231"/>
      <c r="P104" s="228"/>
      <c r="Q104" s="229"/>
      <c r="R104" s="229"/>
      <c r="S104" s="230" t="s">
        <v>561</v>
      </c>
      <c r="T104" s="231"/>
      <c r="U104" s="228"/>
      <c r="V104" s="229"/>
      <c r="W104" s="229"/>
      <c r="X104" s="230" t="s">
        <v>561</v>
      </c>
      <c r="Y104" s="231"/>
    </row>
    <row r="105" spans="1:25" ht="24" customHeight="1" x14ac:dyDescent="0.2">
      <c r="A105" s="261" t="str">
        <f>A98</f>
        <v/>
      </c>
      <c r="B105" s="227"/>
      <c r="C105" s="262" t="str">
        <f>C98</f>
        <v/>
      </c>
      <c r="D105" s="227"/>
      <c r="E105" s="227"/>
      <c r="F105" s="228"/>
      <c r="G105" s="229"/>
      <c r="H105" s="229"/>
      <c r="I105" s="230" t="s">
        <v>561</v>
      </c>
      <c r="J105" s="232"/>
      <c r="K105" s="228"/>
      <c r="L105" s="229"/>
      <c r="M105" s="229"/>
      <c r="N105" s="230" t="s">
        <v>561</v>
      </c>
      <c r="O105" s="232"/>
      <c r="P105" s="228"/>
      <c r="Q105" s="229"/>
      <c r="R105" s="229"/>
      <c r="S105" s="230" t="s">
        <v>561</v>
      </c>
      <c r="T105" s="232"/>
      <c r="U105" s="228"/>
      <c r="V105" s="229"/>
      <c r="W105" s="229"/>
      <c r="X105" s="230" t="s">
        <v>561</v>
      </c>
      <c r="Y105" s="232"/>
    </row>
    <row r="106" spans="1:25" ht="24" customHeight="1" thickBot="1" x14ac:dyDescent="0.25">
      <c r="F106" s="1079" t="s">
        <v>562</v>
      </c>
      <c r="G106" s="1080"/>
      <c r="H106" s="1080"/>
      <c r="I106" s="230" t="s">
        <v>561</v>
      </c>
      <c r="J106" s="231"/>
      <c r="K106" s="1079" t="s">
        <v>563</v>
      </c>
      <c r="L106" s="1080"/>
      <c r="M106" s="1080"/>
      <c r="N106" s="230" t="s">
        <v>561</v>
      </c>
      <c r="O106" s="232"/>
      <c r="P106" s="1079" t="s">
        <v>564</v>
      </c>
      <c r="Q106" s="1080"/>
      <c r="R106" s="1080"/>
      <c r="S106" s="230" t="s">
        <v>561</v>
      </c>
      <c r="T106" s="232"/>
      <c r="U106" s="1079" t="s">
        <v>565</v>
      </c>
      <c r="V106" s="1080"/>
      <c r="W106" s="1080"/>
      <c r="X106" s="230" t="s">
        <v>561</v>
      </c>
      <c r="Y106" s="232"/>
    </row>
    <row r="107" spans="1:25" ht="24" customHeight="1" thickBot="1" x14ac:dyDescent="0.25">
      <c r="F107" s="233"/>
      <c r="G107" s="234"/>
      <c r="H107" s="235" t="s">
        <v>566</v>
      </c>
      <c r="I107" s="235"/>
      <c r="J107" s="236"/>
      <c r="K107" s="1092" t="s">
        <v>567</v>
      </c>
      <c r="L107" s="1085"/>
      <c r="M107" s="1085"/>
      <c r="N107" s="237" t="s">
        <v>561</v>
      </c>
      <c r="O107" s="238"/>
      <c r="P107" s="1092" t="s">
        <v>568</v>
      </c>
      <c r="Q107" s="1085"/>
      <c r="R107" s="1085"/>
      <c r="S107" s="237" t="s">
        <v>561</v>
      </c>
      <c r="T107" s="238"/>
      <c r="U107" s="1092" t="s">
        <v>569</v>
      </c>
      <c r="V107" s="1085"/>
      <c r="W107" s="1085"/>
      <c r="X107" s="237" t="s">
        <v>561</v>
      </c>
      <c r="Y107" s="239"/>
    </row>
    <row r="108" spans="1:25" ht="12.75" customHeight="1" x14ac:dyDescent="0.2">
      <c r="Y108" s="240" t="s">
        <v>570</v>
      </c>
    </row>
    <row r="109" spans="1:25" ht="15.75" customHeight="1" x14ac:dyDescent="0.2">
      <c r="B109" s="1091" t="s">
        <v>521</v>
      </c>
      <c r="C109" s="1091"/>
      <c r="D109" s="1091"/>
      <c r="E109" s="1091"/>
      <c r="F109" s="1091"/>
      <c r="G109" s="1091"/>
      <c r="H109" s="1091"/>
      <c r="I109" s="1091"/>
      <c r="J109" s="1091"/>
      <c r="K109" s="1091"/>
      <c r="L109" s="1091"/>
      <c r="O109" s="1091" t="s">
        <v>522</v>
      </c>
      <c r="P109" s="1091"/>
      <c r="Q109" s="1091"/>
      <c r="R109" s="1091"/>
      <c r="S109" s="1091"/>
      <c r="T109" s="1091"/>
      <c r="U109" s="1091"/>
      <c r="V109" s="1091"/>
      <c r="W109" s="1091"/>
      <c r="X109" s="1091"/>
      <c r="Y109" s="1091"/>
    </row>
    <row r="110" spans="1:25" ht="13.5" customHeight="1" x14ac:dyDescent="0.2">
      <c r="B110" s="1086" t="s">
        <v>1</v>
      </c>
      <c r="C110" s="1087"/>
      <c r="D110" s="1087"/>
      <c r="E110" s="1087"/>
      <c r="F110" s="1087"/>
      <c r="G110" s="1087"/>
      <c r="H110" s="1088"/>
      <c r="I110" s="1086" t="s">
        <v>520</v>
      </c>
      <c r="J110" s="1087"/>
      <c r="K110" s="1087"/>
      <c r="L110" s="1088"/>
      <c r="N110" s="241"/>
      <c r="O110" s="1086" t="s">
        <v>1</v>
      </c>
      <c r="P110" s="1087"/>
      <c r="Q110" s="1087"/>
      <c r="R110" s="1087"/>
      <c r="S110" s="1087"/>
      <c r="T110" s="1087"/>
      <c r="U110" s="1088"/>
      <c r="V110" s="1086" t="s">
        <v>520</v>
      </c>
      <c r="W110" s="1087"/>
      <c r="X110" s="1087"/>
      <c r="Y110" s="1088"/>
    </row>
    <row r="111" spans="1:25" ht="21.75" customHeight="1" x14ac:dyDescent="0.2">
      <c r="B111" s="242"/>
      <c r="C111" s="243"/>
      <c r="D111" s="243"/>
      <c r="E111" s="243"/>
      <c r="F111" s="243"/>
      <c r="G111" s="243"/>
      <c r="H111" s="243"/>
      <c r="I111" s="242"/>
      <c r="J111" s="243"/>
      <c r="K111" s="243"/>
      <c r="L111" s="244"/>
      <c r="N111" s="241"/>
      <c r="O111" s="242"/>
      <c r="P111" s="243"/>
      <c r="Q111" s="243"/>
      <c r="R111" s="243"/>
      <c r="S111" s="243"/>
      <c r="T111" s="243"/>
      <c r="U111" s="243"/>
      <c r="V111" s="242"/>
      <c r="W111" s="243"/>
      <c r="X111" s="243"/>
      <c r="Y111" s="244"/>
    </row>
    <row r="112" spans="1:25" ht="13.5" customHeight="1" x14ac:dyDescent="0.2"/>
    <row r="113" spans="1:25" ht="14.25" customHeight="1" thickBot="1" x14ac:dyDescent="0.25">
      <c r="A113" s="241"/>
      <c r="G113" s="305"/>
      <c r="H113" s="305"/>
      <c r="I113" s="1069" t="s">
        <v>0</v>
      </c>
      <c r="J113" s="1069"/>
      <c r="K113" s="1069"/>
      <c r="L113" s="1069"/>
      <c r="M113" s="1069"/>
      <c r="N113" s="1069"/>
      <c r="O113" s="1069"/>
      <c r="P113" s="1069" t="s">
        <v>374</v>
      </c>
      <c r="Q113" s="1069"/>
      <c r="R113" s="1069"/>
      <c r="S113" s="1069"/>
      <c r="T113" s="1069"/>
      <c r="U113" s="1069" t="s">
        <v>571</v>
      </c>
      <c r="V113" s="1069"/>
      <c r="W113" s="1069"/>
      <c r="X113" s="305"/>
      <c r="Y113" s="305"/>
    </row>
    <row r="114" spans="1:25" ht="20.25" customHeight="1" x14ac:dyDescent="0.2">
      <c r="A114" s="241"/>
      <c r="F114" s="1074" t="s">
        <v>584</v>
      </c>
      <c r="G114" s="1074"/>
      <c r="H114" s="1074"/>
      <c r="I114" s="316"/>
      <c r="J114" s="306"/>
      <c r="K114" s="306"/>
      <c r="L114" s="306"/>
      <c r="M114" s="306"/>
      <c r="N114" s="306"/>
      <c r="O114" s="306"/>
      <c r="P114" s="312"/>
      <c r="Q114" s="306"/>
      <c r="R114" s="307"/>
      <c r="S114" s="304"/>
      <c r="T114" s="313"/>
      <c r="U114" s="310"/>
      <c r="V114" s="1084" t="s">
        <v>495</v>
      </c>
      <c r="W114" s="308"/>
    </row>
    <row r="115" spans="1:25" ht="13.5" thickBot="1" x14ac:dyDescent="0.25">
      <c r="F115" s="1074"/>
      <c r="G115" s="1074"/>
      <c r="H115" s="1074"/>
      <c r="I115" s="303"/>
      <c r="J115" s="235"/>
      <c r="K115" s="235"/>
      <c r="L115" s="235"/>
      <c r="M115" s="235"/>
      <c r="N115" s="235"/>
      <c r="O115" s="235"/>
      <c r="P115" s="314"/>
      <c r="Q115" s="235"/>
      <c r="R115" s="234"/>
      <c r="S115" s="234"/>
      <c r="T115" s="315"/>
      <c r="U115" s="311"/>
      <c r="V115" s="1085"/>
      <c r="W115" s="309"/>
    </row>
    <row r="117" spans="1:25" ht="6.75" customHeight="1" x14ac:dyDescent="0.2"/>
    <row r="118" spans="1:25" s="218" customFormat="1" ht="23.25" customHeight="1" x14ac:dyDescent="0.2">
      <c r="A118" s="1072" t="s">
        <v>546</v>
      </c>
      <c r="B118" s="1073"/>
      <c r="C118" s="402"/>
      <c r="D118" s="1098" t="s">
        <v>628</v>
      </c>
      <c r="E118" s="1072"/>
      <c r="F118" s="1072"/>
      <c r="G118" s="1103"/>
      <c r="H118" s="1104"/>
      <c r="K118" s="218" t="str">
        <f>RIGHT(CATEG_IMPORTEE, LEN(CATEG_IMPORTEE) - 2)</f>
        <v>llèges Mixtes Etablissement</v>
      </c>
      <c r="T118" s="397" t="s">
        <v>627</v>
      </c>
      <c r="U118" s="401">
        <v>5</v>
      </c>
      <c r="V118" s="396" t="s">
        <v>547</v>
      </c>
      <c r="W118" s="401"/>
      <c r="X118" s="395"/>
    </row>
    <row r="119" spans="1:25" ht="27" customHeight="1" thickBot="1" x14ac:dyDescent="0.25">
      <c r="B119" s="1069" t="s">
        <v>0</v>
      </c>
      <c r="C119" s="1069"/>
      <c r="D119" s="1069"/>
      <c r="E119" s="1069"/>
      <c r="F119" s="1069"/>
      <c r="G119" s="1069"/>
      <c r="H119" s="1069"/>
      <c r="I119" s="1069" t="s">
        <v>374</v>
      </c>
      <c r="J119" s="1069"/>
      <c r="K119" s="1069"/>
      <c r="L119" s="1069"/>
      <c r="O119" s="1069" t="s">
        <v>0</v>
      </c>
      <c r="P119" s="1069"/>
      <c r="Q119" s="1069"/>
      <c r="R119" s="1069"/>
      <c r="S119" s="1069"/>
      <c r="T119" s="1069"/>
      <c r="U119" s="1069"/>
      <c r="V119" s="1069" t="s">
        <v>374</v>
      </c>
      <c r="W119" s="1069"/>
      <c r="X119" s="1069"/>
      <c r="Y119" s="1069"/>
    </row>
    <row r="120" spans="1:25" ht="24" customHeight="1" thickBot="1" x14ac:dyDescent="0.25">
      <c r="A120" s="219"/>
      <c r="B120" s="398" t="str">
        <f>VLOOKUP(U118,TBL_equipe,2,FALSE)</f>
        <v/>
      </c>
      <c r="C120" s="399"/>
      <c r="D120" s="399"/>
      <c r="E120" s="399"/>
      <c r="F120" s="399"/>
      <c r="G120" s="399"/>
      <c r="H120" s="400"/>
      <c r="I120" s="257" t="str">
        <f>VLOOKUP(U118,TBL_equipe,4,FALSE)</f>
        <v/>
      </c>
      <c r="J120" s="220"/>
      <c r="K120" s="220"/>
      <c r="L120" s="221"/>
      <c r="M120" s="1070" t="s">
        <v>547</v>
      </c>
      <c r="N120" s="1071"/>
      <c r="O120" s="398" t="e">
        <f>VLOOKUP(W118,TBL_equipe,2,FALSE)</f>
        <v>#N/A</v>
      </c>
      <c r="P120" s="220"/>
      <c r="Q120" s="220"/>
      <c r="R120" s="220"/>
      <c r="S120" s="220"/>
      <c r="T120" s="220"/>
      <c r="U120" s="221"/>
      <c r="V120" s="257" t="e">
        <f>VLOOKUP(W118,TBL_equipe,4,FALSE)</f>
        <v>#N/A</v>
      </c>
      <c r="W120" s="220"/>
      <c r="X120" s="220"/>
      <c r="Y120" s="221"/>
    </row>
    <row r="121" spans="1:25" ht="15" customHeight="1" x14ac:dyDescent="0.2"/>
    <row r="122" spans="1:25" ht="20.100000000000001" customHeight="1" x14ac:dyDescent="0.2">
      <c r="A122" s="1074" t="s">
        <v>548</v>
      </c>
      <c r="B122" s="1074"/>
      <c r="C122" s="1074"/>
      <c r="D122" s="1074"/>
      <c r="E122" s="1074"/>
    </row>
    <row r="123" spans="1:25" ht="20.100000000000001" customHeight="1" x14ac:dyDescent="0.2">
      <c r="A123" s="1075" t="s">
        <v>549</v>
      </c>
      <c r="B123" s="1075"/>
      <c r="C123" s="1075"/>
      <c r="D123" s="1075"/>
      <c r="E123" s="1075"/>
      <c r="G123" s="1076" t="s">
        <v>480</v>
      </c>
      <c r="H123" s="1076"/>
      <c r="I123" s="1077" t="s">
        <v>550</v>
      </c>
      <c r="J123" s="1077"/>
      <c r="K123" s="1077"/>
      <c r="L123" s="252" t="s">
        <v>551</v>
      </c>
      <c r="M123" s="1078" t="s">
        <v>552</v>
      </c>
      <c r="N123" s="1078"/>
      <c r="O123" s="251"/>
    </row>
    <row r="124" spans="1:25" ht="24" customHeight="1" x14ac:dyDescent="0.2">
      <c r="A124" s="258" t="str">
        <f>VLOOKUP(U118,TBL_equipe,5,FALSE)</f>
        <v/>
      </c>
      <c r="B124" s="223"/>
      <c r="C124" s="259" t="str">
        <f>VLOOKUP(U118,TBL_equipe,6,FALSE)</f>
        <v/>
      </c>
      <c r="D124" s="223"/>
      <c r="E124" s="224"/>
      <c r="F124" s="219"/>
      <c r="G124" s="403" t="str">
        <f>VLOOKUP(U118,TBL_equipe,9,FALSE)</f>
        <v/>
      </c>
      <c r="H124" s="224"/>
      <c r="I124" s="222"/>
      <c r="J124" s="246" t="str">
        <f>VLOOKUP(U118,TBL_equipe,8,FALSE)</f>
        <v/>
      </c>
      <c r="K124" s="224"/>
      <c r="L124" s="260" t="str">
        <f>VLOOKUP(U118,TBL_equipe,10,FALSE)</f>
        <v/>
      </c>
      <c r="M124" s="287">
        <f>G118</f>
        <v>0</v>
      </c>
      <c r="N124" s="288"/>
      <c r="O124" s="249"/>
      <c r="R124" s="254"/>
      <c r="S124" s="254"/>
      <c r="T124" s="254" t="s">
        <v>51</v>
      </c>
      <c r="U124" s="254"/>
      <c r="V124" s="254"/>
      <c r="W124" s="254"/>
      <c r="X124" s="254"/>
      <c r="Y124" s="254"/>
    </row>
    <row r="125" spans="1:25" ht="24" customHeight="1" x14ac:dyDescent="0.2">
      <c r="A125" s="258" t="str">
        <f>VLOOKUP(U118,TBL_equipe,11,FALSE)</f>
        <v/>
      </c>
      <c r="B125" s="223"/>
      <c r="C125" s="259" t="str">
        <f>VLOOKUP(U118,TBL_equipe,12,FALSE)</f>
        <v/>
      </c>
      <c r="D125" s="223"/>
      <c r="E125" s="224"/>
      <c r="F125" s="219"/>
      <c r="G125" s="403" t="str">
        <f>VLOOKUP(U118,TBL_equipe,15,FALSE)</f>
        <v/>
      </c>
      <c r="H125" s="224"/>
      <c r="I125" s="222"/>
      <c r="J125" s="246" t="str">
        <f>VLOOKUP(U118,TBL_equipe,14,FALSE)</f>
        <v/>
      </c>
      <c r="K125" s="224"/>
      <c r="L125" s="260" t="str">
        <f>VLOOKUP(U118,TBL_equipe,16,FALSE)</f>
        <v/>
      </c>
      <c r="M125" s="287">
        <f>G118</f>
        <v>0</v>
      </c>
      <c r="N125" s="288"/>
      <c r="O125" s="249"/>
      <c r="Q125" s="254"/>
      <c r="R125" s="254"/>
      <c r="S125" s="254"/>
      <c r="T125" s="254"/>
      <c r="U125" s="254"/>
      <c r="V125" s="254"/>
      <c r="W125" s="254"/>
      <c r="X125" s="254"/>
      <c r="Y125" s="254"/>
    </row>
    <row r="126" spans="1:25" ht="24" customHeight="1" x14ac:dyDescent="0.2">
      <c r="A126" s="258" t="str">
        <f>VLOOKUP(U118,TBL_equipe,17,FALSE)</f>
        <v/>
      </c>
      <c r="B126" s="223"/>
      <c r="C126" s="259" t="str">
        <f>VLOOKUP(U118,TBL_equipe,18,FALSE)</f>
        <v/>
      </c>
      <c r="D126" s="223"/>
      <c r="E126" s="224"/>
      <c r="F126" s="219"/>
      <c r="G126" s="403" t="str">
        <f>VLOOKUP(U118,TBL_equipe,21,FALSE)</f>
        <v/>
      </c>
      <c r="H126" s="224"/>
      <c r="I126" s="222"/>
      <c r="J126" s="246" t="str">
        <f>VLOOKUP(U118,TBL_equipe,20,FALSE)</f>
        <v/>
      </c>
      <c r="K126" s="224"/>
      <c r="L126" s="260" t="str">
        <f>VLOOKUP(U118,TBL_equipe,22,FALSE)</f>
        <v/>
      </c>
      <c r="M126" s="287">
        <f>G118</f>
        <v>0</v>
      </c>
      <c r="N126" s="288"/>
      <c r="O126" s="249"/>
      <c r="Q126" s="254"/>
      <c r="R126" s="254"/>
      <c r="S126" s="254"/>
      <c r="T126" s="254"/>
      <c r="U126" s="254"/>
      <c r="V126" s="254"/>
      <c r="W126" s="254"/>
      <c r="X126" s="254"/>
      <c r="Y126" s="254"/>
    </row>
    <row r="127" spans="1:25" ht="24" customHeight="1" x14ac:dyDescent="0.2">
      <c r="A127" s="258" t="str">
        <f>VLOOKUP(U118,TBL_equipe,23,FALSE)</f>
        <v/>
      </c>
      <c r="B127" s="223"/>
      <c r="C127" s="259" t="str">
        <f>VLOOKUP(U118,TBL_equipe,24,FALSE)</f>
        <v/>
      </c>
      <c r="D127" s="223"/>
      <c r="E127" s="224"/>
      <c r="F127" s="219"/>
      <c r="G127" s="403" t="str">
        <f>VLOOKUP(U118,TBL_equipe,27,FALSE)</f>
        <v/>
      </c>
      <c r="H127" s="224"/>
      <c r="I127" s="222"/>
      <c r="J127" s="246" t="str">
        <f>VLOOKUP(U118,TBL_equipe,26,FALSE)</f>
        <v/>
      </c>
      <c r="K127" s="224"/>
      <c r="L127" s="260" t="str">
        <f>VLOOKUP(U118,TBL_equipe,28,FALSE)</f>
        <v/>
      </c>
      <c r="M127" s="289">
        <f>G118</f>
        <v>0</v>
      </c>
      <c r="N127" s="290"/>
      <c r="O127" s="249"/>
    </row>
    <row r="128" spans="1:25" ht="15" customHeight="1" thickBot="1" x14ac:dyDescent="0.25"/>
    <row r="129" spans="1:25" ht="20.100000000000001" customHeight="1" x14ac:dyDescent="0.2">
      <c r="F129" s="1081" t="s">
        <v>555</v>
      </c>
      <c r="G129" s="1082"/>
      <c r="H129" s="1082"/>
      <c r="I129" s="1082"/>
      <c r="J129" s="1083"/>
      <c r="K129" s="1081" t="s">
        <v>556</v>
      </c>
      <c r="L129" s="1082"/>
      <c r="M129" s="1082"/>
      <c r="N129" s="1082"/>
      <c r="O129" s="1083"/>
      <c r="P129" s="1081" t="s">
        <v>557</v>
      </c>
      <c r="Q129" s="1082"/>
      <c r="R129" s="1082"/>
      <c r="S129" s="1082"/>
      <c r="T129" s="1083"/>
      <c r="U129" s="1081" t="s">
        <v>558</v>
      </c>
      <c r="V129" s="1082"/>
      <c r="W129" s="1082"/>
      <c r="X129" s="1082"/>
      <c r="Y129" s="1083"/>
    </row>
    <row r="130" spans="1:25" ht="20.100000000000001" customHeight="1" x14ac:dyDescent="0.2">
      <c r="A130" s="1075" t="s">
        <v>559</v>
      </c>
      <c r="B130" s="1075"/>
      <c r="C130" s="1075"/>
      <c r="D130" s="1075"/>
      <c r="E130" s="1089"/>
      <c r="F130" s="1090" t="s">
        <v>560</v>
      </c>
      <c r="G130" s="1075"/>
      <c r="H130" s="1075"/>
      <c r="J130" s="225" t="s">
        <v>7</v>
      </c>
      <c r="K130" s="1090" t="s">
        <v>560</v>
      </c>
      <c r="L130" s="1075"/>
      <c r="M130" s="1075"/>
      <c r="O130" s="225" t="s">
        <v>7</v>
      </c>
      <c r="P130" s="1090" t="s">
        <v>560</v>
      </c>
      <c r="Q130" s="1075"/>
      <c r="R130" s="1075"/>
      <c r="T130" s="225" t="s">
        <v>7</v>
      </c>
      <c r="U130" s="1090" t="s">
        <v>560</v>
      </c>
      <c r="V130" s="1075"/>
      <c r="W130" s="1075"/>
      <c r="Y130" s="225" t="s">
        <v>7</v>
      </c>
    </row>
    <row r="131" spans="1:25" ht="24" customHeight="1" x14ac:dyDescent="0.2">
      <c r="A131" s="261" t="str">
        <f>A124</f>
        <v/>
      </c>
      <c r="B131" s="227"/>
      <c r="C131" s="262" t="str">
        <f>C124</f>
        <v/>
      </c>
      <c r="D131" s="227"/>
      <c r="E131" s="227"/>
      <c r="F131" s="228"/>
      <c r="G131" s="229"/>
      <c r="H131" s="229"/>
      <c r="I131" s="230" t="s">
        <v>561</v>
      </c>
      <c r="J131" s="231"/>
      <c r="K131" s="228"/>
      <c r="L131" s="229"/>
      <c r="M131" s="229"/>
      <c r="N131" s="230" t="s">
        <v>561</v>
      </c>
      <c r="O131" s="231"/>
      <c r="P131" s="228"/>
      <c r="Q131" s="229"/>
      <c r="R131" s="229"/>
      <c r="S131" s="230" t="s">
        <v>561</v>
      </c>
      <c r="T131" s="231"/>
      <c r="U131" s="228"/>
      <c r="V131" s="229"/>
      <c r="W131" s="229"/>
      <c r="X131" s="230" t="s">
        <v>561</v>
      </c>
      <c r="Y131" s="231"/>
    </row>
    <row r="132" spans="1:25" ht="24" customHeight="1" x14ac:dyDescent="0.2">
      <c r="A132" s="261" t="str">
        <f>A125</f>
        <v/>
      </c>
      <c r="B132" s="227"/>
      <c r="C132" s="262" t="str">
        <f>C125</f>
        <v/>
      </c>
      <c r="D132" s="227"/>
      <c r="E132" s="227"/>
      <c r="F132" s="228"/>
      <c r="G132" s="229"/>
      <c r="H132" s="229"/>
      <c r="I132" s="230" t="s">
        <v>561</v>
      </c>
      <c r="J132" s="231"/>
      <c r="K132" s="228"/>
      <c r="L132" s="229"/>
      <c r="M132" s="229"/>
      <c r="N132" s="230" t="s">
        <v>561</v>
      </c>
      <c r="O132" s="231"/>
      <c r="P132" s="228"/>
      <c r="Q132" s="229"/>
      <c r="R132" s="229"/>
      <c r="S132" s="230" t="s">
        <v>561</v>
      </c>
      <c r="T132" s="231"/>
      <c r="U132" s="228"/>
      <c r="V132" s="229"/>
      <c r="W132" s="229"/>
      <c r="X132" s="230" t="s">
        <v>561</v>
      </c>
      <c r="Y132" s="231"/>
    </row>
    <row r="133" spans="1:25" ht="24" customHeight="1" x14ac:dyDescent="0.2">
      <c r="A133" s="261" t="str">
        <f>A126</f>
        <v/>
      </c>
      <c r="B133" s="227"/>
      <c r="C133" s="262" t="str">
        <f>C126</f>
        <v/>
      </c>
      <c r="D133" s="227"/>
      <c r="E133" s="227"/>
      <c r="F133" s="228"/>
      <c r="G133" s="229"/>
      <c r="H133" s="229"/>
      <c r="I133" s="230" t="s">
        <v>561</v>
      </c>
      <c r="J133" s="231"/>
      <c r="K133" s="228"/>
      <c r="L133" s="229"/>
      <c r="M133" s="229"/>
      <c r="N133" s="230" t="s">
        <v>561</v>
      </c>
      <c r="O133" s="231"/>
      <c r="P133" s="228"/>
      <c r="Q133" s="229"/>
      <c r="R133" s="229"/>
      <c r="S133" s="230" t="s">
        <v>561</v>
      </c>
      <c r="T133" s="231"/>
      <c r="U133" s="228"/>
      <c r="V133" s="229"/>
      <c r="W133" s="229"/>
      <c r="X133" s="230" t="s">
        <v>561</v>
      </c>
      <c r="Y133" s="231"/>
    </row>
    <row r="134" spans="1:25" ht="24" customHeight="1" x14ac:dyDescent="0.2">
      <c r="A134" s="261" t="str">
        <f>A127</f>
        <v/>
      </c>
      <c r="B134" s="227"/>
      <c r="C134" s="262" t="str">
        <f>C127</f>
        <v/>
      </c>
      <c r="D134" s="227"/>
      <c r="E134" s="227"/>
      <c r="F134" s="228"/>
      <c r="G134" s="229"/>
      <c r="H134" s="229"/>
      <c r="I134" s="230" t="s">
        <v>561</v>
      </c>
      <c r="J134" s="232"/>
      <c r="K134" s="228"/>
      <c r="L134" s="229"/>
      <c r="M134" s="229"/>
      <c r="N134" s="230" t="s">
        <v>561</v>
      </c>
      <c r="O134" s="232"/>
      <c r="P134" s="228"/>
      <c r="Q134" s="229"/>
      <c r="R134" s="229"/>
      <c r="S134" s="230" t="s">
        <v>561</v>
      </c>
      <c r="T134" s="232"/>
      <c r="U134" s="228"/>
      <c r="V134" s="229"/>
      <c r="W134" s="229"/>
      <c r="X134" s="230" t="s">
        <v>561</v>
      </c>
      <c r="Y134" s="232"/>
    </row>
    <row r="135" spans="1:25" ht="24" customHeight="1" thickBot="1" x14ac:dyDescent="0.25">
      <c r="F135" s="1079" t="s">
        <v>562</v>
      </c>
      <c r="G135" s="1080"/>
      <c r="H135" s="1080"/>
      <c r="I135" s="230" t="s">
        <v>561</v>
      </c>
      <c r="J135" s="231"/>
      <c r="K135" s="1079" t="s">
        <v>563</v>
      </c>
      <c r="L135" s="1080"/>
      <c r="M135" s="1080"/>
      <c r="N135" s="230" t="s">
        <v>561</v>
      </c>
      <c r="O135" s="232"/>
      <c r="P135" s="1079" t="s">
        <v>564</v>
      </c>
      <c r="Q135" s="1080"/>
      <c r="R135" s="1080"/>
      <c r="S135" s="230" t="s">
        <v>561</v>
      </c>
      <c r="T135" s="232"/>
      <c r="U135" s="1079" t="s">
        <v>565</v>
      </c>
      <c r="V135" s="1080"/>
      <c r="W135" s="1080"/>
      <c r="X135" s="230" t="s">
        <v>561</v>
      </c>
      <c r="Y135" s="232"/>
    </row>
    <row r="136" spans="1:25" ht="24" customHeight="1" thickBot="1" x14ac:dyDescent="0.25">
      <c r="F136" s="233"/>
      <c r="G136" s="234"/>
      <c r="H136" s="235" t="s">
        <v>566</v>
      </c>
      <c r="I136" s="235"/>
      <c r="J136" s="236"/>
      <c r="K136" s="1092" t="s">
        <v>567</v>
      </c>
      <c r="L136" s="1085"/>
      <c r="M136" s="1085"/>
      <c r="N136" s="237" t="s">
        <v>561</v>
      </c>
      <c r="O136" s="238"/>
      <c r="P136" s="1092" t="s">
        <v>568</v>
      </c>
      <c r="Q136" s="1085"/>
      <c r="R136" s="1085"/>
      <c r="S136" s="237" t="s">
        <v>561</v>
      </c>
      <c r="T136" s="238"/>
      <c r="U136" s="1092" t="s">
        <v>569</v>
      </c>
      <c r="V136" s="1085"/>
      <c r="W136" s="1085"/>
      <c r="X136" s="237" t="s">
        <v>561</v>
      </c>
      <c r="Y136" s="239"/>
    </row>
    <row r="137" spans="1:25" ht="12.75" customHeight="1" x14ac:dyDescent="0.2">
      <c r="Y137" s="240" t="s">
        <v>570</v>
      </c>
    </row>
    <row r="138" spans="1:25" ht="15.75" customHeight="1" x14ac:dyDescent="0.2">
      <c r="B138" s="1091" t="s">
        <v>521</v>
      </c>
      <c r="C138" s="1091"/>
      <c r="D138" s="1091"/>
      <c r="E138" s="1091"/>
      <c r="F138" s="1091"/>
      <c r="G138" s="1091"/>
      <c r="H138" s="1091"/>
      <c r="I138" s="1091"/>
      <c r="J138" s="1091"/>
      <c r="K138" s="1091"/>
      <c r="L138" s="1091"/>
      <c r="O138" s="1091" t="s">
        <v>522</v>
      </c>
      <c r="P138" s="1091"/>
      <c r="Q138" s="1091"/>
      <c r="R138" s="1091"/>
      <c r="S138" s="1091"/>
      <c r="T138" s="1091"/>
      <c r="U138" s="1091"/>
      <c r="V138" s="1091"/>
      <c r="W138" s="1091"/>
      <c r="X138" s="1091"/>
      <c r="Y138" s="1091"/>
    </row>
    <row r="139" spans="1:25" ht="13.5" customHeight="1" x14ac:dyDescent="0.2">
      <c r="B139" s="1086" t="s">
        <v>1</v>
      </c>
      <c r="C139" s="1087"/>
      <c r="D139" s="1087"/>
      <c r="E139" s="1087"/>
      <c r="F139" s="1087"/>
      <c r="G139" s="1087"/>
      <c r="H139" s="1088"/>
      <c r="I139" s="1086" t="s">
        <v>520</v>
      </c>
      <c r="J139" s="1087"/>
      <c r="K139" s="1087"/>
      <c r="L139" s="1088"/>
      <c r="N139" s="241"/>
      <c r="O139" s="1086" t="s">
        <v>1</v>
      </c>
      <c r="P139" s="1087"/>
      <c r="Q139" s="1087"/>
      <c r="R139" s="1087"/>
      <c r="S139" s="1087"/>
      <c r="T139" s="1087"/>
      <c r="U139" s="1088"/>
      <c r="V139" s="1086" t="s">
        <v>520</v>
      </c>
      <c r="W139" s="1087"/>
      <c r="X139" s="1087"/>
      <c r="Y139" s="1088"/>
    </row>
    <row r="140" spans="1:25" ht="21.75" customHeight="1" x14ac:dyDescent="0.2">
      <c r="B140" s="242"/>
      <c r="C140" s="243"/>
      <c r="D140" s="243"/>
      <c r="E140" s="243"/>
      <c r="F140" s="243"/>
      <c r="G140" s="243"/>
      <c r="H140" s="243"/>
      <c r="I140" s="242"/>
      <c r="J140" s="243"/>
      <c r="K140" s="243"/>
      <c r="L140" s="244"/>
      <c r="N140" s="241"/>
      <c r="O140" s="242"/>
      <c r="P140" s="243"/>
      <c r="Q140" s="243"/>
      <c r="R140" s="243"/>
      <c r="S140" s="243"/>
      <c r="T140" s="243"/>
      <c r="U140" s="243"/>
      <c r="V140" s="242"/>
      <c r="W140" s="243"/>
      <c r="X140" s="243"/>
      <c r="Y140" s="244"/>
    </row>
    <row r="141" spans="1:25" ht="13.5" customHeight="1" x14ac:dyDescent="0.2"/>
    <row r="142" spans="1:25" ht="14.25" customHeight="1" thickBot="1" x14ac:dyDescent="0.25">
      <c r="A142" s="241"/>
      <c r="G142" s="305"/>
      <c r="H142" s="305"/>
      <c r="I142" s="1069" t="s">
        <v>0</v>
      </c>
      <c r="J142" s="1069"/>
      <c r="K142" s="1069"/>
      <c r="L142" s="1069"/>
      <c r="M142" s="1069"/>
      <c r="N142" s="1069"/>
      <c r="O142" s="1069"/>
      <c r="P142" s="1069" t="s">
        <v>374</v>
      </c>
      <c r="Q142" s="1069"/>
      <c r="R142" s="1069"/>
      <c r="S142" s="1069"/>
      <c r="T142" s="1069"/>
      <c r="U142" s="1069" t="s">
        <v>571</v>
      </c>
      <c r="V142" s="1069"/>
      <c r="W142" s="1069"/>
      <c r="X142" s="305"/>
      <c r="Y142" s="305"/>
    </row>
    <row r="143" spans="1:25" ht="20.25" customHeight="1" x14ac:dyDescent="0.2">
      <c r="A143" s="241"/>
      <c r="F143" s="1074" t="s">
        <v>584</v>
      </c>
      <c r="G143" s="1074"/>
      <c r="H143" s="1074"/>
      <c r="I143" s="316"/>
      <c r="J143" s="306"/>
      <c r="K143" s="306"/>
      <c r="L143" s="306"/>
      <c r="M143" s="306"/>
      <c r="N143" s="306"/>
      <c r="O143" s="306"/>
      <c r="P143" s="312"/>
      <c r="Q143" s="306"/>
      <c r="R143" s="307"/>
      <c r="S143" s="304"/>
      <c r="T143" s="313"/>
      <c r="U143" s="310"/>
      <c r="V143" s="1084" t="s">
        <v>495</v>
      </c>
      <c r="W143" s="308"/>
    </row>
    <row r="144" spans="1:25" ht="13.5" thickBot="1" x14ac:dyDescent="0.25">
      <c r="F144" s="1074"/>
      <c r="G144" s="1074"/>
      <c r="H144" s="1074"/>
      <c r="I144" s="303"/>
      <c r="J144" s="235"/>
      <c r="K144" s="235"/>
      <c r="L144" s="235"/>
      <c r="M144" s="235"/>
      <c r="N144" s="235"/>
      <c r="O144" s="235"/>
      <c r="P144" s="314"/>
      <c r="Q144" s="235"/>
      <c r="R144" s="234"/>
      <c r="S144" s="234"/>
      <c r="T144" s="315"/>
      <c r="U144" s="311"/>
      <c r="V144" s="1085"/>
      <c r="W144" s="309"/>
    </row>
    <row r="146" spans="1:25" ht="6.75" customHeight="1" x14ac:dyDescent="0.2"/>
    <row r="147" spans="1:25" s="218" customFormat="1" ht="23.25" customHeight="1" x14ac:dyDescent="0.2">
      <c r="A147" s="1072" t="s">
        <v>546</v>
      </c>
      <c r="B147" s="1073"/>
      <c r="C147" s="402"/>
      <c r="D147" s="1098" t="s">
        <v>628</v>
      </c>
      <c r="E147" s="1072"/>
      <c r="F147" s="1072"/>
      <c r="G147" s="1103"/>
      <c r="H147" s="1104"/>
      <c r="K147" s="218" t="str">
        <f>RIGHT(CATEG_IMPORTEE, LEN(CATEG_IMPORTEE) - 2)</f>
        <v>llèges Mixtes Etablissement</v>
      </c>
      <c r="T147" s="397" t="s">
        <v>627</v>
      </c>
      <c r="U147" s="401">
        <v>6</v>
      </c>
      <c r="V147" s="396" t="s">
        <v>547</v>
      </c>
      <c r="W147" s="401"/>
      <c r="X147" s="395"/>
    </row>
    <row r="148" spans="1:25" ht="27" customHeight="1" thickBot="1" x14ac:dyDescent="0.25">
      <c r="B148" s="1069" t="s">
        <v>0</v>
      </c>
      <c r="C148" s="1069"/>
      <c r="D148" s="1069"/>
      <c r="E148" s="1069"/>
      <c r="F148" s="1069"/>
      <c r="G148" s="1069"/>
      <c r="H148" s="1069"/>
      <c r="I148" s="1069" t="s">
        <v>374</v>
      </c>
      <c r="J148" s="1069"/>
      <c r="K148" s="1069"/>
      <c r="L148" s="1069"/>
      <c r="O148" s="1069" t="s">
        <v>0</v>
      </c>
      <c r="P148" s="1069"/>
      <c r="Q148" s="1069"/>
      <c r="R148" s="1069"/>
      <c r="S148" s="1069"/>
      <c r="T148" s="1069"/>
      <c r="U148" s="1069"/>
      <c r="V148" s="1069" t="s">
        <v>374</v>
      </c>
      <c r="W148" s="1069"/>
      <c r="X148" s="1069"/>
      <c r="Y148" s="1069"/>
    </row>
    <row r="149" spans="1:25" ht="24" customHeight="1" thickBot="1" x14ac:dyDescent="0.25">
      <c r="A149" s="219"/>
      <c r="B149" s="398" t="str">
        <f>VLOOKUP(U147,TBL_equipe,2,FALSE)</f>
        <v/>
      </c>
      <c r="C149" s="399"/>
      <c r="D149" s="399"/>
      <c r="E149" s="399"/>
      <c r="F149" s="399"/>
      <c r="G149" s="399"/>
      <c r="H149" s="400"/>
      <c r="I149" s="257" t="str">
        <f>VLOOKUP(U147,TBL_equipe,4,FALSE)</f>
        <v/>
      </c>
      <c r="J149" s="220"/>
      <c r="K149" s="220"/>
      <c r="L149" s="221"/>
      <c r="M149" s="1070" t="s">
        <v>547</v>
      </c>
      <c r="N149" s="1071"/>
      <c r="O149" s="398" t="e">
        <f>VLOOKUP(W147,TBL_equipe,2,FALSE)</f>
        <v>#N/A</v>
      </c>
      <c r="P149" s="220"/>
      <c r="Q149" s="220"/>
      <c r="R149" s="220"/>
      <c r="S149" s="220"/>
      <c r="T149" s="220"/>
      <c r="U149" s="221"/>
      <c r="V149" s="257" t="e">
        <f>VLOOKUP(W147,TBL_equipe,4,FALSE)</f>
        <v>#N/A</v>
      </c>
      <c r="W149" s="220"/>
      <c r="X149" s="220"/>
      <c r="Y149" s="221"/>
    </row>
    <row r="150" spans="1:25" ht="15" customHeight="1" x14ac:dyDescent="0.2"/>
    <row r="151" spans="1:25" ht="20.100000000000001" customHeight="1" x14ac:dyDescent="0.2">
      <c r="A151" s="1074" t="s">
        <v>548</v>
      </c>
      <c r="B151" s="1074"/>
      <c r="C151" s="1074"/>
      <c r="D151" s="1074"/>
      <c r="E151" s="1074"/>
    </row>
    <row r="152" spans="1:25" ht="20.100000000000001" customHeight="1" x14ac:dyDescent="0.2">
      <c r="A152" s="1075" t="s">
        <v>549</v>
      </c>
      <c r="B152" s="1075"/>
      <c r="C152" s="1075"/>
      <c r="D152" s="1075"/>
      <c r="E152" s="1075"/>
      <c r="G152" s="1076" t="s">
        <v>480</v>
      </c>
      <c r="H152" s="1076"/>
      <c r="I152" s="1077" t="s">
        <v>550</v>
      </c>
      <c r="J152" s="1077"/>
      <c r="K152" s="1077"/>
      <c r="L152" s="252" t="s">
        <v>551</v>
      </c>
      <c r="M152" s="1078" t="s">
        <v>552</v>
      </c>
      <c r="N152" s="1078"/>
      <c r="O152" s="251"/>
    </row>
    <row r="153" spans="1:25" ht="24" customHeight="1" x14ac:dyDescent="0.2">
      <c r="A153" s="258" t="str">
        <f>VLOOKUP(U147,TBL_equipe,5,FALSE)</f>
        <v/>
      </c>
      <c r="B153" s="223"/>
      <c r="C153" s="259" t="str">
        <f>VLOOKUP(U147,TBL_equipe,6,FALSE)</f>
        <v/>
      </c>
      <c r="D153" s="223"/>
      <c r="E153" s="224"/>
      <c r="F153" s="219"/>
      <c r="G153" s="403" t="str">
        <f>VLOOKUP(U147,TBL_equipe,9,FALSE)</f>
        <v/>
      </c>
      <c r="H153" s="224"/>
      <c r="I153" s="222"/>
      <c r="J153" s="246" t="str">
        <f>VLOOKUP(U147,TBL_equipe,8,FALSE)</f>
        <v/>
      </c>
      <c r="K153" s="224"/>
      <c r="L153" s="260" t="str">
        <f>VLOOKUP(U147,TBL_equipe,10,FALSE)</f>
        <v/>
      </c>
      <c r="M153" s="287">
        <f>G147</f>
        <v>0</v>
      </c>
      <c r="N153" s="288"/>
      <c r="O153" s="249"/>
      <c r="R153" s="254"/>
      <c r="S153" s="254"/>
      <c r="T153" s="254" t="s">
        <v>51</v>
      </c>
      <c r="U153" s="254"/>
      <c r="V153" s="254"/>
      <c r="W153" s="254"/>
      <c r="X153" s="254"/>
      <c r="Y153" s="254"/>
    </row>
    <row r="154" spans="1:25" ht="24" customHeight="1" x14ac:dyDescent="0.2">
      <c r="A154" s="258" t="str">
        <f>VLOOKUP(U147,TBL_equipe,11,FALSE)</f>
        <v/>
      </c>
      <c r="B154" s="223"/>
      <c r="C154" s="259" t="str">
        <f>VLOOKUP(U147,TBL_equipe,12,FALSE)</f>
        <v/>
      </c>
      <c r="D154" s="223"/>
      <c r="E154" s="224"/>
      <c r="F154" s="219"/>
      <c r="G154" s="403" t="str">
        <f>VLOOKUP(U147,TBL_equipe,15,FALSE)</f>
        <v/>
      </c>
      <c r="H154" s="224"/>
      <c r="I154" s="222"/>
      <c r="J154" s="246" t="str">
        <f>VLOOKUP(U147,TBL_equipe,14,FALSE)</f>
        <v/>
      </c>
      <c r="K154" s="224"/>
      <c r="L154" s="260" t="str">
        <f>VLOOKUP(U147,TBL_equipe,16,FALSE)</f>
        <v/>
      </c>
      <c r="M154" s="287">
        <f>G147</f>
        <v>0</v>
      </c>
      <c r="N154" s="288"/>
      <c r="O154" s="249"/>
      <c r="Q154" s="254"/>
      <c r="R154" s="254"/>
      <c r="S154" s="254"/>
      <c r="T154" s="254"/>
      <c r="U154" s="254"/>
      <c r="V154" s="254"/>
      <c r="W154" s="254"/>
      <c r="X154" s="254"/>
      <c r="Y154" s="254"/>
    </row>
    <row r="155" spans="1:25" ht="24" customHeight="1" x14ac:dyDescent="0.2">
      <c r="A155" s="258" t="str">
        <f>VLOOKUP(U147,TBL_equipe,17,FALSE)</f>
        <v/>
      </c>
      <c r="B155" s="223"/>
      <c r="C155" s="259" t="str">
        <f>VLOOKUP(U147,TBL_equipe,18,FALSE)</f>
        <v/>
      </c>
      <c r="D155" s="223"/>
      <c r="E155" s="224"/>
      <c r="F155" s="219"/>
      <c r="G155" s="403" t="str">
        <f>VLOOKUP(U147,TBL_equipe,21,FALSE)</f>
        <v/>
      </c>
      <c r="H155" s="224"/>
      <c r="I155" s="222"/>
      <c r="J155" s="246" t="str">
        <f>VLOOKUP(U147,TBL_equipe,20,FALSE)</f>
        <v/>
      </c>
      <c r="K155" s="224"/>
      <c r="L155" s="260" t="str">
        <f>VLOOKUP(U147,TBL_equipe,22,FALSE)</f>
        <v/>
      </c>
      <c r="M155" s="287">
        <f>G147</f>
        <v>0</v>
      </c>
      <c r="N155" s="288"/>
      <c r="O155" s="249"/>
      <c r="Q155" s="254"/>
      <c r="R155" s="254"/>
      <c r="S155" s="254"/>
      <c r="T155" s="254"/>
      <c r="U155" s="254"/>
      <c r="V155" s="254"/>
      <c r="W155" s="254"/>
      <c r="X155" s="254"/>
      <c r="Y155" s="254"/>
    </row>
    <row r="156" spans="1:25" ht="24" customHeight="1" x14ac:dyDescent="0.2">
      <c r="A156" s="258" t="str">
        <f>VLOOKUP(U147,TBL_equipe,23,FALSE)</f>
        <v/>
      </c>
      <c r="B156" s="223"/>
      <c r="C156" s="259" t="str">
        <f>VLOOKUP(U147,TBL_equipe,24,FALSE)</f>
        <v/>
      </c>
      <c r="D156" s="223"/>
      <c r="E156" s="224"/>
      <c r="F156" s="219"/>
      <c r="G156" s="403" t="str">
        <f>VLOOKUP(U147,TBL_equipe,27,FALSE)</f>
        <v/>
      </c>
      <c r="H156" s="224"/>
      <c r="I156" s="222"/>
      <c r="J156" s="246" t="str">
        <f>VLOOKUP(U147,TBL_equipe,26,FALSE)</f>
        <v/>
      </c>
      <c r="K156" s="224"/>
      <c r="L156" s="260" t="str">
        <f>VLOOKUP(U147,TBL_equipe,28,FALSE)</f>
        <v/>
      </c>
      <c r="M156" s="289">
        <f>G147</f>
        <v>0</v>
      </c>
      <c r="N156" s="290"/>
      <c r="O156" s="249"/>
    </row>
    <row r="157" spans="1:25" ht="15" customHeight="1" thickBot="1" x14ac:dyDescent="0.25"/>
    <row r="158" spans="1:25" ht="20.100000000000001" customHeight="1" x14ac:dyDescent="0.2">
      <c r="F158" s="1081" t="s">
        <v>555</v>
      </c>
      <c r="G158" s="1082"/>
      <c r="H158" s="1082"/>
      <c r="I158" s="1082"/>
      <c r="J158" s="1083"/>
      <c r="K158" s="1081" t="s">
        <v>556</v>
      </c>
      <c r="L158" s="1082"/>
      <c r="M158" s="1082"/>
      <c r="N158" s="1082"/>
      <c r="O158" s="1083"/>
      <c r="P158" s="1081" t="s">
        <v>557</v>
      </c>
      <c r="Q158" s="1082"/>
      <c r="R158" s="1082"/>
      <c r="S158" s="1082"/>
      <c r="T158" s="1083"/>
      <c r="U158" s="1081" t="s">
        <v>558</v>
      </c>
      <c r="V158" s="1082"/>
      <c r="W158" s="1082"/>
      <c r="X158" s="1082"/>
      <c r="Y158" s="1083"/>
    </row>
    <row r="159" spans="1:25" ht="20.100000000000001" customHeight="1" x14ac:dyDescent="0.2">
      <c r="A159" s="1075" t="s">
        <v>559</v>
      </c>
      <c r="B159" s="1075"/>
      <c r="C159" s="1075"/>
      <c r="D159" s="1075"/>
      <c r="E159" s="1089"/>
      <c r="F159" s="1090" t="s">
        <v>560</v>
      </c>
      <c r="G159" s="1075"/>
      <c r="H159" s="1075"/>
      <c r="J159" s="225" t="s">
        <v>7</v>
      </c>
      <c r="K159" s="1090" t="s">
        <v>560</v>
      </c>
      <c r="L159" s="1075"/>
      <c r="M159" s="1075"/>
      <c r="O159" s="225" t="s">
        <v>7</v>
      </c>
      <c r="P159" s="1090" t="s">
        <v>560</v>
      </c>
      <c r="Q159" s="1075"/>
      <c r="R159" s="1075"/>
      <c r="T159" s="225" t="s">
        <v>7</v>
      </c>
      <c r="U159" s="1090" t="s">
        <v>560</v>
      </c>
      <c r="V159" s="1075"/>
      <c r="W159" s="1075"/>
      <c r="Y159" s="225" t="s">
        <v>7</v>
      </c>
    </row>
    <row r="160" spans="1:25" ht="24" customHeight="1" x14ac:dyDescent="0.2">
      <c r="A160" s="261" t="str">
        <f>A153</f>
        <v/>
      </c>
      <c r="B160" s="227"/>
      <c r="C160" s="262" t="str">
        <f>C153</f>
        <v/>
      </c>
      <c r="D160" s="227"/>
      <c r="E160" s="227"/>
      <c r="F160" s="228"/>
      <c r="G160" s="229"/>
      <c r="H160" s="229"/>
      <c r="I160" s="230" t="s">
        <v>561</v>
      </c>
      <c r="J160" s="231"/>
      <c r="K160" s="228"/>
      <c r="L160" s="229"/>
      <c r="M160" s="229"/>
      <c r="N160" s="230" t="s">
        <v>561</v>
      </c>
      <c r="O160" s="231"/>
      <c r="P160" s="228"/>
      <c r="Q160" s="229"/>
      <c r="R160" s="229"/>
      <c r="S160" s="230" t="s">
        <v>561</v>
      </c>
      <c r="T160" s="231"/>
      <c r="U160" s="228"/>
      <c r="V160" s="229"/>
      <c r="W160" s="229"/>
      <c r="X160" s="230" t="s">
        <v>561</v>
      </c>
      <c r="Y160" s="231"/>
    </row>
    <row r="161" spans="1:25" ht="24" customHeight="1" x14ac:dyDescent="0.2">
      <c r="A161" s="261" t="str">
        <f>A154</f>
        <v/>
      </c>
      <c r="B161" s="227"/>
      <c r="C161" s="262" t="str">
        <f>C154</f>
        <v/>
      </c>
      <c r="D161" s="227"/>
      <c r="E161" s="227"/>
      <c r="F161" s="228"/>
      <c r="G161" s="229"/>
      <c r="H161" s="229"/>
      <c r="I161" s="230" t="s">
        <v>561</v>
      </c>
      <c r="J161" s="231"/>
      <c r="K161" s="228"/>
      <c r="L161" s="229"/>
      <c r="M161" s="229"/>
      <c r="N161" s="230" t="s">
        <v>561</v>
      </c>
      <c r="O161" s="231"/>
      <c r="P161" s="228"/>
      <c r="Q161" s="229"/>
      <c r="R161" s="229"/>
      <c r="S161" s="230" t="s">
        <v>561</v>
      </c>
      <c r="T161" s="231"/>
      <c r="U161" s="228"/>
      <c r="V161" s="229"/>
      <c r="W161" s="229"/>
      <c r="X161" s="230" t="s">
        <v>561</v>
      </c>
      <c r="Y161" s="231"/>
    </row>
    <row r="162" spans="1:25" ht="24" customHeight="1" x14ac:dyDescent="0.2">
      <c r="A162" s="261" t="str">
        <f>A155</f>
        <v/>
      </c>
      <c r="B162" s="227"/>
      <c r="C162" s="262" t="str">
        <f>C155</f>
        <v/>
      </c>
      <c r="D162" s="227"/>
      <c r="E162" s="227"/>
      <c r="F162" s="228"/>
      <c r="G162" s="229"/>
      <c r="H162" s="229"/>
      <c r="I162" s="230" t="s">
        <v>561</v>
      </c>
      <c r="J162" s="231"/>
      <c r="K162" s="228"/>
      <c r="L162" s="229"/>
      <c r="M162" s="229"/>
      <c r="N162" s="230" t="s">
        <v>561</v>
      </c>
      <c r="O162" s="231"/>
      <c r="P162" s="228"/>
      <c r="Q162" s="229"/>
      <c r="R162" s="229"/>
      <c r="S162" s="230" t="s">
        <v>561</v>
      </c>
      <c r="T162" s="231"/>
      <c r="U162" s="228"/>
      <c r="V162" s="229"/>
      <c r="W162" s="229"/>
      <c r="X162" s="230" t="s">
        <v>561</v>
      </c>
      <c r="Y162" s="231"/>
    </row>
    <row r="163" spans="1:25" ht="24" customHeight="1" x14ac:dyDescent="0.2">
      <c r="A163" s="261" t="str">
        <f>A156</f>
        <v/>
      </c>
      <c r="B163" s="227"/>
      <c r="C163" s="262" t="str">
        <f>C156</f>
        <v/>
      </c>
      <c r="D163" s="227"/>
      <c r="E163" s="227"/>
      <c r="F163" s="228"/>
      <c r="G163" s="229"/>
      <c r="H163" s="229"/>
      <c r="I163" s="230" t="s">
        <v>561</v>
      </c>
      <c r="J163" s="232"/>
      <c r="K163" s="228"/>
      <c r="L163" s="229"/>
      <c r="M163" s="229"/>
      <c r="N163" s="230" t="s">
        <v>561</v>
      </c>
      <c r="O163" s="232"/>
      <c r="P163" s="228"/>
      <c r="Q163" s="229"/>
      <c r="R163" s="229"/>
      <c r="S163" s="230" t="s">
        <v>561</v>
      </c>
      <c r="T163" s="232"/>
      <c r="U163" s="228"/>
      <c r="V163" s="229"/>
      <c r="W163" s="229"/>
      <c r="X163" s="230" t="s">
        <v>561</v>
      </c>
      <c r="Y163" s="232"/>
    </row>
    <row r="164" spans="1:25" ht="24" customHeight="1" thickBot="1" x14ac:dyDescent="0.25">
      <c r="F164" s="1079" t="s">
        <v>562</v>
      </c>
      <c r="G164" s="1080"/>
      <c r="H164" s="1080"/>
      <c r="I164" s="230" t="s">
        <v>561</v>
      </c>
      <c r="J164" s="231"/>
      <c r="K164" s="1079" t="s">
        <v>563</v>
      </c>
      <c r="L164" s="1080"/>
      <c r="M164" s="1080"/>
      <c r="N164" s="230" t="s">
        <v>561</v>
      </c>
      <c r="O164" s="232"/>
      <c r="P164" s="1079" t="s">
        <v>564</v>
      </c>
      <c r="Q164" s="1080"/>
      <c r="R164" s="1080"/>
      <c r="S164" s="230" t="s">
        <v>561</v>
      </c>
      <c r="T164" s="232"/>
      <c r="U164" s="1079" t="s">
        <v>565</v>
      </c>
      <c r="V164" s="1080"/>
      <c r="W164" s="1080"/>
      <c r="X164" s="230" t="s">
        <v>561</v>
      </c>
      <c r="Y164" s="232"/>
    </row>
    <row r="165" spans="1:25" ht="24" customHeight="1" thickBot="1" x14ac:dyDescent="0.25">
      <c r="F165" s="233"/>
      <c r="G165" s="234"/>
      <c r="H165" s="235" t="s">
        <v>566</v>
      </c>
      <c r="I165" s="235"/>
      <c r="J165" s="236"/>
      <c r="K165" s="1092" t="s">
        <v>567</v>
      </c>
      <c r="L165" s="1085"/>
      <c r="M165" s="1085"/>
      <c r="N165" s="237" t="s">
        <v>561</v>
      </c>
      <c r="O165" s="238"/>
      <c r="P165" s="1092" t="s">
        <v>568</v>
      </c>
      <c r="Q165" s="1085"/>
      <c r="R165" s="1085"/>
      <c r="S165" s="237" t="s">
        <v>561</v>
      </c>
      <c r="T165" s="238"/>
      <c r="U165" s="1092" t="s">
        <v>569</v>
      </c>
      <c r="V165" s="1085"/>
      <c r="W165" s="1085"/>
      <c r="X165" s="237" t="s">
        <v>561</v>
      </c>
      <c r="Y165" s="239"/>
    </row>
    <row r="166" spans="1:25" ht="12.75" customHeight="1" x14ac:dyDescent="0.2">
      <c r="Y166" s="240" t="s">
        <v>570</v>
      </c>
    </row>
    <row r="167" spans="1:25" ht="15.75" customHeight="1" x14ac:dyDescent="0.2">
      <c r="B167" s="1091" t="s">
        <v>521</v>
      </c>
      <c r="C167" s="1091"/>
      <c r="D167" s="1091"/>
      <c r="E167" s="1091"/>
      <c r="F167" s="1091"/>
      <c r="G167" s="1091"/>
      <c r="H167" s="1091"/>
      <c r="I167" s="1091"/>
      <c r="J167" s="1091"/>
      <c r="K167" s="1091"/>
      <c r="L167" s="1091"/>
      <c r="O167" s="1091" t="s">
        <v>522</v>
      </c>
      <c r="P167" s="1091"/>
      <c r="Q167" s="1091"/>
      <c r="R167" s="1091"/>
      <c r="S167" s="1091"/>
      <c r="T167" s="1091"/>
      <c r="U167" s="1091"/>
      <c r="V167" s="1091"/>
      <c r="W167" s="1091"/>
      <c r="X167" s="1091"/>
      <c r="Y167" s="1091"/>
    </row>
    <row r="168" spans="1:25" ht="13.5" customHeight="1" x14ac:dyDescent="0.2">
      <c r="B168" s="1086" t="s">
        <v>1</v>
      </c>
      <c r="C168" s="1087"/>
      <c r="D168" s="1087"/>
      <c r="E168" s="1087"/>
      <c r="F168" s="1087"/>
      <c r="G168" s="1087"/>
      <c r="H168" s="1088"/>
      <c r="I168" s="1086" t="s">
        <v>520</v>
      </c>
      <c r="J168" s="1087"/>
      <c r="K168" s="1087"/>
      <c r="L168" s="1088"/>
      <c r="N168" s="241"/>
      <c r="O168" s="1086" t="s">
        <v>1</v>
      </c>
      <c r="P168" s="1087"/>
      <c r="Q168" s="1087"/>
      <c r="R168" s="1087"/>
      <c r="S168" s="1087"/>
      <c r="T168" s="1087"/>
      <c r="U168" s="1088"/>
      <c r="V168" s="1086" t="s">
        <v>520</v>
      </c>
      <c r="W168" s="1087"/>
      <c r="X168" s="1087"/>
      <c r="Y168" s="1088"/>
    </row>
    <row r="169" spans="1:25" ht="21.75" customHeight="1" x14ac:dyDescent="0.2">
      <c r="B169" s="242"/>
      <c r="C169" s="243"/>
      <c r="D169" s="243"/>
      <c r="E169" s="243"/>
      <c r="F169" s="243"/>
      <c r="G169" s="243"/>
      <c r="H169" s="243"/>
      <c r="I169" s="242"/>
      <c r="J169" s="243"/>
      <c r="K169" s="243"/>
      <c r="L169" s="244"/>
      <c r="N169" s="241"/>
      <c r="O169" s="242"/>
      <c r="P169" s="243"/>
      <c r="Q169" s="243"/>
      <c r="R169" s="243"/>
      <c r="S169" s="243"/>
      <c r="T169" s="243"/>
      <c r="U169" s="243"/>
      <c r="V169" s="242"/>
      <c r="W169" s="243"/>
      <c r="X169" s="243"/>
      <c r="Y169" s="244"/>
    </row>
    <row r="170" spans="1:25" ht="13.5" customHeight="1" x14ac:dyDescent="0.2"/>
    <row r="171" spans="1:25" ht="14.25" customHeight="1" thickBot="1" x14ac:dyDescent="0.25">
      <c r="A171" s="241"/>
      <c r="G171" s="305"/>
      <c r="H171" s="305"/>
      <c r="I171" s="1069" t="s">
        <v>0</v>
      </c>
      <c r="J171" s="1069"/>
      <c r="K171" s="1069"/>
      <c r="L171" s="1069"/>
      <c r="M171" s="1069"/>
      <c r="N171" s="1069"/>
      <c r="O171" s="1069"/>
      <c r="P171" s="1069" t="s">
        <v>374</v>
      </c>
      <c r="Q171" s="1069"/>
      <c r="R171" s="1069"/>
      <c r="S171" s="1069"/>
      <c r="T171" s="1069"/>
      <c r="U171" s="1069" t="s">
        <v>571</v>
      </c>
      <c r="V171" s="1069"/>
      <c r="W171" s="1069"/>
      <c r="X171" s="305"/>
      <c r="Y171" s="305"/>
    </row>
    <row r="172" spans="1:25" ht="20.25" customHeight="1" x14ac:dyDescent="0.2">
      <c r="A172" s="241"/>
      <c r="F172" s="1074" t="s">
        <v>584</v>
      </c>
      <c r="G172" s="1074"/>
      <c r="H172" s="1074"/>
      <c r="I172" s="316"/>
      <c r="J172" s="306"/>
      <c r="K172" s="306"/>
      <c r="L172" s="306"/>
      <c r="M172" s="306"/>
      <c r="N172" s="306"/>
      <c r="O172" s="306"/>
      <c r="P172" s="312"/>
      <c r="Q172" s="306"/>
      <c r="R172" s="307"/>
      <c r="S172" s="304"/>
      <c r="T172" s="313"/>
      <c r="U172" s="310"/>
      <c r="V172" s="1084" t="s">
        <v>495</v>
      </c>
      <c r="W172" s="308"/>
    </row>
    <row r="173" spans="1:25" ht="13.5" thickBot="1" x14ac:dyDescent="0.25">
      <c r="F173" s="1074"/>
      <c r="G173" s="1074"/>
      <c r="H173" s="1074"/>
      <c r="I173" s="303"/>
      <c r="J173" s="235"/>
      <c r="K173" s="235"/>
      <c r="L173" s="235"/>
      <c r="M173" s="235"/>
      <c r="N173" s="235"/>
      <c r="O173" s="235"/>
      <c r="P173" s="314"/>
      <c r="Q173" s="235"/>
      <c r="R173" s="234"/>
      <c r="S173" s="234"/>
      <c r="T173" s="315"/>
      <c r="U173" s="311"/>
      <c r="V173" s="1085"/>
      <c r="W173" s="309"/>
    </row>
    <row r="175" spans="1:25" ht="6.75" customHeight="1" x14ac:dyDescent="0.2"/>
    <row r="176" spans="1:25" s="218" customFormat="1" ht="23.25" customHeight="1" x14ac:dyDescent="0.2">
      <c r="A176" s="1072" t="s">
        <v>546</v>
      </c>
      <c r="B176" s="1073"/>
      <c r="C176" s="402"/>
      <c r="D176" s="1098" t="s">
        <v>628</v>
      </c>
      <c r="E176" s="1072"/>
      <c r="F176" s="1072"/>
      <c r="G176" s="1103"/>
      <c r="H176" s="1104"/>
      <c r="K176" s="218" t="str">
        <f>RIGHT(CATEG_IMPORTEE, LEN(CATEG_IMPORTEE) - 2)</f>
        <v>llèges Mixtes Etablissement</v>
      </c>
      <c r="T176" s="397" t="s">
        <v>627</v>
      </c>
      <c r="U176" s="401">
        <v>7</v>
      </c>
      <c r="V176" s="396" t="s">
        <v>547</v>
      </c>
      <c r="W176" s="401"/>
      <c r="X176" s="395"/>
    </row>
    <row r="177" spans="1:25" ht="27" customHeight="1" thickBot="1" x14ac:dyDescent="0.25">
      <c r="B177" s="1069" t="s">
        <v>0</v>
      </c>
      <c r="C177" s="1069"/>
      <c r="D177" s="1069"/>
      <c r="E177" s="1069"/>
      <c r="F177" s="1069"/>
      <c r="G177" s="1069"/>
      <c r="H177" s="1069"/>
      <c r="I177" s="1069" t="s">
        <v>374</v>
      </c>
      <c r="J177" s="1069"/>
      <c r="K177" s="1069"/>
      <c r="L177" s="1069"/>
      <c r="O177" s="1069" t="s">
        <v>0</v>
      </c>
      <c r="P177" s="1069"/>
      <c r="Q177" s="1069"/>
      <c r="R177" s="1069"/>
      <c r="S177" s="1069"/>
      <c r="T177" s="1069"/>
      <c r="U177" s="1069"/>
      <c r="V177" s="1069" t="s">
        <v>374</v>
      </c>
      <c r="W177" s="1069"/>
      <c r="X177" s="1069"/>
      <c r="Y177" s="1069"/>
    </row>
    <row r="178" spans="1:25" ht="24" customHeight="1" thickBot="1" x14ac:dyDescent="0.25">
      <c r="A178" s="219"/>
      <c r="B178" s="398" t="str">
        <f>VLOOKUP(U176,TBL_equipe,2,FALSE)</f>
        <v/>
      </c>
      <c r="C178" s="399"/>
      <c r="D178" s="399"/>
      <c r="E178" s="399"/>
      <c r="F178" s="399"/>
      <c r="G178" s="399"/>
      <c r="H178" s="400"/>
      <c r="I178" s="257" t="str">
        <f>VLOOKUP(U176,TBL_equipe,4,FALSE)</f>
        <v/>
      </c>
      <c r="J178" s="220"/>
      <c r="K178" s="220"/>
      <c r="L178" s="221"/>
      <c r="M178" s="1070" t="s">
        <v>547</v>
      </c>
      <c r="N178" s="1071"/>
      <c r="O178" s="398" t="e">
        <f>VLOOKUP(W176,TBL_equipe,2,FALSE)</f>
        <v>#N/A</v>
      </c>
      <c r="P178" s="220"/>
      <c r="Q178" s="220"/>
      <c r="R178" s="220"/>
      <c r="S178" s="220"/>
      <c r="T178" s="220"/>
      <c r="U178" s="221"/>
      <c r="V178" s="257" t="e">
        <f>VLOOKUP(W176,TBL_equipe,4,FALSE)</f>
        <v>#N/A</v>
      </c>
      <c r="W178" s="220"/>
      <c r="X178" s="220"/>
      <c r="Y178" s="221"/>
    </row>
    <row r="179" spans="1:25" ht="15" customHeight="1" x14ac:dyDescent="0.2"/>
    <row r="180" spans="1:25" ht="20.100000000000001" customHeight="1" x14ac:dyDescent="0.2">
      <c r="A180" s="1074" t="s">
        <v>548</v>
      </c>
      <c r="B180" s="1074"/>
      <c r="C180" s="1074"/>
      <c r="D180" s="1074"/>
      <c r="E180" s="1074"/>
    </row>
    <row r="181" spans="1:25" ht="20.100000000000001" customHeight="1" x14ac:dyDescent="0.2">
      <c r="A181" s="1075" t="s">
        <v>549</v>
      </c>
      <c r="B181" s="1075"/>
      <c r="C181" s="1075"/>
      <c r="D181" s="1075"/>
      <c r="E181" s="1075"/>
      <c r="G181" s="1076" t="s">
        <v>480</v>
      </c>
      <c r="H181" s="1076"/>
      <c r="I181" s="1077" t="s">
        <v>550</v>
      </c>
      <c r="J181" s="1077"/>
      <c r="K181" s="1077"/>
      <c r="L181" s="252" t="s">
        <v>551</v>
      </c>
      <c r="M181" s="1078" t="s">
        <v>552</v>
      </c>
      <c r="N181" s="1078"/>
      <c r="O181" s="251"/>
    </row>
    <row r="182" spans="1:25" ht="24" customHeight="1" x14ac:dyDescent="0.2">
      <c r="A182" s="258" t="str">
        <f>VLOOKUP(U176,TBL_equipe,5,FALSE)</f>
        <v/>
      </c>
      <c r="B182" s="223"/>
      <c r="C182" s="259" t="str">
        <f>VLOOKUP(U176,TBL_equipe,6,FALSE)</f>
        <v/>
      </c>
      <c r="D182" s="223"/>
      <c r="E182" s="224"/>
      <c r="F182" s="219"/>
      <c r="G182" s="403" t="str">
        <f>VLOOKUP(U176,TBL_equipe,9,FALSE)</f>
        <v/>
      </c>
      <c r="H182" s="224"/>
      <c r="I182" s="222"/>
      <c r="J182" s="246" t="str">
        <f>VLOOKUP(U176,TBL_equipe,8,FALSE)</f>
        <v/>
      </c>
      <c r="K182" s="224"/>
      <c r="L182" s="260" t="str">
        <f>VLOOKUP(U176,TBL_equipe,10,FALSE)</f>
        <v/>
      </c>
      <c r="M182" s="287">
        <f>G176</f>
        <v>0</v>
      </c>
      <c r="N182" s="288"/>
      <c r="O182" s="249"/>
      <c r="R182" s="254"/>
      <c r="S182" s="254"/>
      <c r="T182" s="254" t="s">
        <v>51</v>
      </c>
      <c r="U182" s="254"/>
      <c r="V182" s="254"/>
      <c r="W182" s="254"/>
      <c r="X182" s="254"/>
      <c r="Y182" s="254"/>
    </row>
    <row r="183" spans="1:25" ht="24" customHeight="1" x14ac:dyDescent="0.2">
      <c r="A183" s="258" t="str">
        <f>VLOOKUP(U176,TBL_equipe,11,FALSE)</f>
        <v/>
      </c>
      <c r="B183" s="223"/>
      <c r="C183" s="259" t="str">
        <f>VLOOKUP(U176,TBL_equipe,12,FALSE)</f>
        <v/>
      </c>
      <c r="D183" s="223"/>
      <c r="E183" s="224"/>
      <c r="F183" s="219"/>
      <c r="G183" s="403" t="str">
        <f>VLOOKUP(U176,TBL_equipe,15,FALSE)</f>
        <v/>
      </c>
      <c r="H183" s="224"/>
      <c r="I183" s="222"/>
      <c r="J183" s="246" t="str">
        <f>VLOOKUP(U176,TBL_equipe,14,FALSE)</f>
        <v/>
      </c>
      <c r="K183" s="224"/>
      <c r="L183" s="260" t="str">
        <f>VLOOKUP(U176,TBL_equipe,16,FALSE)</f>
        <v/>
      </c>
      <c r="M183" s="287">
        <f>G176</f>
        <v>0</v>
      </c>
      <c r="N183" s="288"/>
      <c r="O183" s="249"/>
      <c r="Q183" s="254"/>
      <c r="R183" s="254"/>
      <c r="S183" s="254"/>
      <c r="T183" s="254"/>
      <c r="U183" s="254"/>
      <c r="V183" s="254"/>
      <c r="W183" s="254"/>
      <c r="X183" s="254"/>
      <c r="Y183" s="254"/>
    </row>
    <row r="184" spans="1:25" ht="24" customHeight="1" x14ac:dyDescent="0.2">
      <c r="A184" s="258" t="str">
        <f>VLOOKUP(U176,TBL_equipe,17,FALSE)</f>
        <v/>
      </c>
      <c r="B184" s="223"/>
      <c r="C184" s="259" t="str">
        <f>VLOOKUP(U176,TBL_equipe,18,FALSE)</f>
        <v/>
      </c>
      <c r="D184" s="223"/>
      <c r="E184" s="224"/>
      <c r="F184" s="219"/>
      <c r="G184" s="403" t="str">
        <f>VLOOKUP(U176,TBL_equipe,21,FALSE)</f>
        <v/>
      </c>
      <c r="H184" s="224"/>
      <c r="I184" s="222"/>
      <c r="J184" s="246" t="str">
        <f>VLOOKUP(U176,TBL_equipe,20,FALSE)</f>
        <v/>
      </c>
      <c r="K184" s="224"/>
      <c r="L184" s="260" t="str">
        <f>VLOOKUP(U176,TBL_equipe,22,FALSE)</f>
        <v/>
      </c>
      <c r="M184" s="287">
        <f>G176</f>
        <v>0</v>
      </c>
      <c r="N184" s="288"/>
      <c r="O184" s="249"/>
      <c r="Q184" s="254"/>
      <c r="R184" s="254"/>
      <c r="S184" s="254"/>
      <c r="T184" s="254"/>
      <c r="U184" s="254"/>
      <c r="V184" s="254"/>
      <c r="W184" s="254"/>
      <c r="X184" s="254"/>
      <c r="Y184" s="254"/>
    </row>
    <row r="185" spans="1:25" ht="24" customHeight="1" x14ac:dyDescent="0.2">
      <c r="A185" s="258" t="str">
        <f>VLOOKUP(U176,TBL_equipe,23,FALSE)</f>
        <v/>
      </c>
      <c r="B185" s="223"/>
      <c r="C185" s="259" t="str">
        <f>VLOOKUP(U176,TBL_equipe,24,FALSE)</f>
        <v/>
      </c>
      <c r="D185" s="223"/>
      <c r="E185" s="224"/>
      <c r="F185" s="219"/>
      <c r="G185" s="403" t="str">
        <f>VLOOKUP(U176,TBL_equipe,27,FALSE)</f>
        <v/>
      </c>
      <c r="H185" s="224"/>
      <c r="I185" s="222"/>
      <c r="J185" s="246" t="str">
        <f>VLOOKUP(U176,TBL_equipe,26,FALSE)</f>
        <v/>
      </c>
      <c r="K185" s="224"/>
      <c r="L185" s="260" t="str">
        <f>VLOOKUP(U176,TBL_equipe,28,FALSE)</f>
        <v/>
      </c>
      <c r="M185" s="289">
        <f>G176</f>
        <v>0</v>
      </c>
      <c r="N185" s="290"/>
      <c r="O185" s="249"/>
    </row>
    <row r="186" spans="1:25" ht="15" customHeight="1" thickBot="1" x14ac:dyDescent="0.25"/>
    <row r="187" spans="1:25" ht="20.100000000000001" customHeight="1" x14ac:dyDescent="0.2">
      <c r="F187" s="1081" t="s">
        <v>555</v>
      </c>
      <c r="G187" s="1082"/>
      <c r="H187" s="1082"/>
      <c r="I187" s="1082"/>
      <c r="J187" s="1083"/>
      <c r="K187" s="1081" t="s">
        <v>556</v>
      </c>
      <c r="L187" s="1082"/>
      <c r="M187" s="1082"/>
      <c r="N187" s="1082"/>
      <c r="O187" s="1083"/>
      <c r="P187" s="1081" t="s">
        <v>557</v>
      </c>
      <c r="Q187" s="1082"/>
      <c r="R187" s="1082"/>
      <c r="S187" s="1082"/>
      <c r="T187" s="1083"/>
      <c r="U187" s="1081" t="s">
        <v>558</v>
      </c>
      <c r="V187" s="1082"/>
      <c r="W187" s="1082"/>
      <c r="X187" s="1082"/>
      <c r="Y187" s="1083"/>
    </row>
    <row r="188" spans="1:25" ht="20.100000000000001" customHeight="1" x14ac:dyDescent="0.2">
      <c r="A188" s="1075" t="s">
        <v>559</v>
      </c>
      <c r="B188" s="1075"/>
      <c r="C188" s="1075"/>
      <c r="D188" s="1075"/>
      <c r="E188" s="1089"/>
      <c r="F188" s="1090" t="s">
        <v>560</v>
      </c>
      <c r="G188" s="1075"/>
      <c r="H188" s="1075"/>
      <c r="J188" s="225" t="s">
        <v>7</v>
      </c>
      <c r="K188" s="1090" t="s">
        <v>560</v>
      </c>
      <c r="L188" s="1075"/>
      <c r="M188" s="1075"/>
      <c r="O188" s="225" t="s">
        <v>7</v>
      </c>
      <c r="P188" s="1090" t="s">
        <v>560</v>
      </c>
      <c r="Q188" s="1075"/>
      <c r="R188" s="1075"/>
      <c r="T188" s="225" t="s">
        <v>7</v>
      </c>
      <c r="U188" s="1090" t="s">
        <v>560</v>
      </c>
      <c r="V188" s="1075"/>
      <c r="W188" s="1075"/>
      <c r="Y188" s="225" t="s">
        <v>7</v>
      </c>
    </row>
    <row r="189" spans="1:25" ht="24" customHeight="1" x14ac:dyDescent="0.2">
      <c r="A189" s="261" t="str">
        <f>A182</f>
        <v/>
      </c>
      <c r="B189" s="227"/>
      <c r="C189" s="262" t="str">
        <f>C182</f>
        <v/>
      </c>
      <c r="D189" s="227"/>
      <c r="E189" s="227"/>
      <c r="F189" s="228"/>
      <c r="G189" s="229"/>
      <c r="H189" s="229"/>
      <c r="I189" s="230" t="s">
        <v>561</v>
      </c>
      <c r="J189" s="231"/>
      <c r="K189" s="228"/>
      <c r="L189" s="229"/>
      <c r="M189" s="229"/>
      <c r="N189" s="230" t="s">
        <v>561</v>
      </c>
      <c r="O189" s="231"/>
      <c r="P189" s="228"/>
      <c r="Q189" s="229"/>
      <c r="R189" s="229"/>
      <c r="S189" s="230" t="s">
        <v>561</v>
      </c>
      <c r="T189" s="231"/>
      <c r="U189" s="228"/>
      <c r="V189" s="229"/>
      <c r="W189" s="229"/>
      <c r="X189" s="230" t="s">
        <v>561</v>
      </c>
      <c r="Y189" s="231"/>
    </row>
    <row r="190" spans="1:25" ht="24" customHeight="1" x14ac:dyDescent="0.2">
      <c r="A190" s="261" t="str">
        <f>A183</f>
        <v/>
      </c>
      <c r="B190" s="227"/>
      <c r="C190" s="262" t="str">
        <f>C183</f>
        <v/>
      </c>
      <c r="D190" s="227"/>
      <c r="E190" s="227"/>
      <c r="F190" s="228"/>
      <c r="G190" s="229"/>
      <c r="H190" s="229"/>
      <c r="I190" s="230" t="s">
        <v>561</v>
      </c>
      <c r="J190" s="231"/>
      <c r="K190" s="228"/>
      <c r="L190" s="229"/>
      <c r="M190" s="229"/>
      <c r="N190" s="230" t="s">
        <v>561</v>
      </c>
      <c r="O190" s="231"/>
      <c r="P190" s="228"/>
      <c r="Q190" s="229"/>
      <c r="R190" s="229"/>
      <c r="S190" s="230" t="s">
        <v>561</v>
      </c>
      <c r="T190" s="231"/>
      <c r="U190" s="228"/>
      <c r="V190" s="229"/>
      <c r="W190" s="229"/>
      <c r="X190" s="230" t="s">
        <v>561</v>
      </c>
      <c r="Y190" s="231"/>
    </row>
    <row r="191" spans="1:25" ht="24" customHeight="1" x14ac:dyDescent="0.2">
      <c r="A191" s="261" t="str">
        <f>A184</f>
        <v/>
      </c>
      <c r="B191" s="227"/>
      <c r="C191" s="262" t="str">
        <f>C184</f>
        <v/>
      </c>
      <c r="D191" s="227"/>
      <c r="E191" s="227"/>
      <c r="F191" s="228"/>
      <c r="G191" s="229"/>
      <c r="H191" s="229"/>
      <c r="I191" s="230" t="s">
        <v>561</v>
      </c>
      <c r="J191" s="231"/>
      <c r="K191" s="228"/>
      <c r="L191" s="229"/>
      <c r="M191" s="229"/>
      <c r="N191" s="230" t="s">
        <v>561</v>
      </c>
      <c r="O191" s="231"/>
      <c r="P191" s="228"/>
      <c r="Q191" s="229"/>
      <c r="R191" s="229"/>
      <c r="S191" s="230" t="s">
        <v>561</v>
      </c>
      <c r="T191" s="231"/>
      <c r="U191" s="228"/>
      <c r="V191" s="229"/>
      <c r="W191" s="229"/>
      <c r="X191" s="230" t="s">
        <v>561</v>
      </c>
      <c r="Y191" s="231"/>
    </row>
    <row r="192" spans="1:25" ht="24" customHeight="1" x14ac:dyDescent="0.2">
      <c r="A192" s="261" t="str">
        <f>A185</f>
        <v/>
      </c>
      <c r="B192" s="227"/>
      <c r="C192" s="262" t="str">
        <f>C185</f>
        <v/>
      </c>
      <c r="D192" s="227"/>
      <c r="E192" s="227"/>
      <c r="F192" s="228"/>
      <c r="G192" s="229"/>
      <c r="H192" s="229"/>
      <c r="I192" s="230" t="s">
        <v>561</v>
      </c>
      <c r="J192" s="232"/>
      <c r="K192" s="228"/>
      <c r="L192" s="229"/>
      <c r="M192" s="229"/>
      <c r="N192" s="230" t="s">
        <v>561</v>
      </c>
      <c r="O192" s="232"/>
      <c r="P192" s="228"/>
      <c r="Q192" s="229"/>
      <c r="R192" s="229"/>
      <c r="S192" s="230" t="s">
        <v>561</v>
      </c>
      <c r="T192" s="232"/>
      <c r="U192" s="228"/>
      <c r="V192" s="229"/>
      <c r="W192" s="229"/>
      <c r="X192" s="230" t="s">
        <v>561</v>
      </c>
      <c r="Y192" s="232"/>
    </row>
    <row r="193" spans="1:25" ht="24" customHeight="1" thickBot="1" x14ac:dyDescent="0.25">
      <c r="F193" s="1079" t="s">
        <v>562</v>
      </c>
      <c r="G193" s="1080"/>
      <c r="H193" s="1080"/>
      <c r="I193" s="230" t="s">
        <v>561</v>
      </c>
      <c r="J193" s="231"/>
      <c r="K193" s="1079" t="s">
        <v>563</v>
      </c>
      <c r="L193" s="1080"/>
      <c r="M193" s="1080"/>
      <c r="N193" s="230" t="s">
        <v>561</v>
      </c>
      <c r="O193" s="232"/>
      <c r="P193" s="1079" t="s">
        <v>564</v>
      </c>
      <c r="Q193" s="1080"/>
      <c r="R193" s="1080"/>
      <c r="S193" s="230" t="s">
        <v>561</v>
      </c>
      <c r="T193" s="232"/>
      <c r="U193" s="1079" t="s">
        <v>565</v>
      </c>
      <c r="V193" s="1080"/>
      <c r="W193" s="1080"/>
      <c r="X193" s="230" t="s">
        <v>561</v>
      </c>
      <c r="Y193" s="232"/>
    </row>
    <row r="194" spans="1:25" ht="24" customHeight="1" thickBot="1" x14ac:dyDescent="0.25">
      <c r="F194" s="233"/>
      <c r="G194" s="234"/>
      <c r="H194" s="235" t="s">
        <v>566</v>
      </c>
      <c r="I194" s="235"/>
      <c r="J194" s="236"/>
      <c r="K194" s="1092" t="s">
        <v>567</v>
      </c>
      <c r="L194" s="1085"/>
      <c r="M194" s="1085"/>
      <c r="N194" s="237" t="s">
        <v>561</v>
      </c>
      <c r="O194" s="238"/>
      <c r="P194" s="1092" t="s">
        <v>568</v>
      </c>
      <c r="Q194" s="1085"/>
      <c r="R194" s="1085"/>
      <c r="S194" s="237" t="s">
        <v>561</v>
      </c>
      <c r="T194" s="238"/>
      <c r="U194" s="1092" t="s">
        <v>569</v>
      </c>
      <c r="V194" s="1085"/>
      <c r="W194" s="1085"/>
      <c r="X194" s="237" t="s">
        <v>561</v>
      </c>
      <c r="Y194" s="239"/>
    </row>
    <row r="195" spans="1:25" ht="12.75" customHeight="1" x14ac:dyDescent="0.2">
      <c r="Y195" s="240" t="s">
        <v>570</v>
      </c>
    </row>
    <row r="196" spans="1:25" ht="15.75" customHeight="1" x14ac:dyDescent="0.2">
      <c r="B196" s="1091" t="s">
        <v>521</v>
      </c>
      <c r="C196" s="1091"/>
      <c r="D196" s="1091"/>
      <c r="E196" s="1091"/>
      <c r="F196" s="1091"/>
      <c r="G196" s="1091"/>
      <c r="H196" s="1091"/>
      <c r="I196" s="1091"/>
      <c r="J196" s="1091"/>
      <c r="K196" s="1091"/>
      <c r="L196" s="1091"/>
      <c r="O196" s="1091" t="s">
        <v>522</v>
      </c>
      <c r="P196" s="1091"/>
      <c r="Q196" s="1091"/>
      <c r="R196" s="1091"/>
      <c r="S196" s="1091"/>
      <c r="T196" s="1091"/>
      <c r="U196" s="1091"/>
      <c r="V196" s="1091"/>
      <c r="W196" s="1091"/>
      <c r="X196" s="1091"/>
      <c r="Y196" s="1091"/>
    </row>
    <row r="197" spans="1:25" ht="13.5" customHeight="1" x14ac:dyDescent="0.2">
      <c r="B197" s="1086" t="s">
        <v>1</v>
      </c>
      <c r="C197" s="1087"/>
      <c r="D197" s="1087"/>
      <c r="E197" s="1087"/>
      <c r="F197" s="1087"/>
      <c r="G197" s="1087"/>
      <c r="H197" s="1088"/>
      <c r="I197" s="1086" t="s">
        <v>520</v>
      </c>
      <c r="J197" s="1087"/>
      <c r="K197" s="1087"/>
      <c r="L197" s="1088"/>
      <c r="N197" s="241"/>
      <c r="O197" s="1086" t="s">
        <v>1</v>
      </c>
      <c r="P197" s="1087"/>
      <c r="Q197" s="1087"/>
      <c r="R197" s="1087"/>
      <c r="S197" s="1087"/>
      <c r="T197" s="1087"/>
      <c r="U197" s="1088"/>
      <c r="V197" s="1086" t="s">
        <v>520</v>
      </c>
      <c r="W197" s="1087"/>
      <c r="X197" s="1087"/>
      <c r="Y197" s="1088"/>
    </row>
    <row r="198" spans="1:25" ht="21.75" customHeight="1" x14ac:dyDescent="0.2">
      <c r="B198" s="242"/>
      <c r="C198" s="243"/>
      <c r="D198" s="243"/>
      <c r="E198" s="243"/>
      <c r="F198" s="243"/>
      <c r="G198" s="243"/>
      <c r="H198" s="243"/>
      <c r="I198" s="242"/>
      <c r="J198" s="243"/>
      <c r="K198" s="243"/>
      <c r="L198" s="244"/>
      <c r="N198" s="241"/>
      <c r="O198" s="242"/>
      <c r="P198" s="243"/>
      <c r="Q198" s="243"/>
      <c r="R198" s="243"/>
      <c r="S198" s="243"/>
      <c r="T198" s="243"/>
      <c r="U198" s="243"/>
      <c r="V198" s="242"/>
      <c r="W198" s="243"/>
      <c r="X198" s="243"/>
      <c r="Y198" s="244"/>
    </row>
    <row r="199" spans="1:25" ht="13.5" customHeight="1" x14ac:dyDescent="0.2"/>
    <row r="200" spans="1:25" ht="14.25" customHeight="1" thickBot="1" x14ac:dyDescent="0.25">
      <c r="A200" s="241"/>
      <c r="G200" s="305"/>
      <c r="H200" s="305"/>
      <c r="I200" s="1069" t="s">
        <v>0</v>
      </c>
      <c r="J200" s="1069"/>
      <c r="K200" s="1069"/>
      <c r="L200" s="1069"/>
      <c r="M200" s="1069"/>
      <c r="N200" s="1069"/>
      <c r="O200" s="1069"/>
      <c r="P200" s="1069" t="s">
        <v>374</v>
      </c>
      <c r="Q200" s="1069"/>
      <c r="R200" s="1069"/>
      <c r="S200" s="1069"/>
      <c r="T200" s="1069"/>
      <c r="U200" s="1069" t="s">
        <v>571</v>
      </c>
      <c r="V200" s="1069"/>
      <c r="W200" s="1069"/>
      <c r="X200" s="305"/>
      <c r="Y200" s="305"/>
    </row>
    <row r="201" spans="1:25" ht="20.25" customHeight="1" x14ac:dyDescent="0.2">
      <c r="A201" s="241"/>
      <c r="F201" s="1074" t="s">
        <v>584</v>
      </c>
      <c r="G201" s="1074"/>
      <c r="H201" s="1074"/>
      <c r="I201" s="316"/>
      <c r="J201" s="306"/>
      <c r="K201" s="306"/>
      <c r="L201" s="306"/>
      <c r="M201" s="306"/>
      <c r="N201" s="306"/>
      <c r="O201" s="306"/>
      <c r="P201" s="312"/>
      <c r="Q201" s="306"/>
      <c r="R201" s="307"/>
      <c r="S201" s="304"/>
      <c r="T201" s="313"/>
      <c r="U201" s="310"/>
      <c r="V201" s="1084" t="s">
        <v>495</v>
      </c>
      <c r="W201" s="308"/>
    </row>
    <row r="202" spans="1:25" ht="13.5" thickBot="1" x14ac:dyDescent="0.25">
      <c r="F202" s="1074"/>
      <c r="G202" s="1074"/>
      <c r="H202" s="1074"/>
      <c r="I202" s="303"/>
      <c r="J202" s="235"/>
      <c r="K202" s="235"/>
      <c r="L202" s="235"/>
      <c r="M202" s="235"/>
      <c r="N202" s="235"/>
      <c r="O202" s="235"/>
      <c r="P202" s="314"/>
      <c r="Q202" s="235"/>
      <c r="R202" s="234"/>
      <c r="S202" s="234"/>
      <c r="T202" s="315"/>
      <c r="U202" s="311"/>
      <c r="V202" s="1085"/>
      <c r="W202" s="309"/>
    </row>
    <row r="204" spans="1:25" ht="6.75" customHeight="1" x14ac:dyDescent="0.2"/>
    <row r="205" spans="1:25" s="218" customFormat="1" ht="23.25" customHeight="1" x14ac:dyDescent="0.2">
      <c r="A205" s="1072" t="s">
        <v>546</v>
      </c>
      <c r="B205" s="1073"/>
      <c r="C205" s="402"/>
      <c r="D205" s="1098" t="s">
        <v>628</v>
      </c>
      <c r="E205" s="1072"/>
      <c r="F205" s="1072"/>
      <c r="G205" s="1103"/>
      <c r="H205" s="1104"/>
      <c r="K205" s="218" t="str">
        <f>RIGHT(CATEG_IMPORTEE, LEN(CATEG_IMPORTEE) - 2)</f>
        <v>llèges Mixtes Etablissement</v>
      </c>
      <c r="T205" s="397" t="s">
        <v>627</v>
      </c>
      <c r="U205" s="401">
        <v>8</v>
      </c>
      <c r="V205" s="396" t="s">
        <v>547</v>
      </c>
      <c r="W205" s="401"/>
      <c r="X205" s="395"/>
    </row>
    <row r="206" spans="1:25" ht="27" customHeight="1" thickBot="1" x14ac:dyDescent="0.25">
      <c r="B206" s="1069" t="s">
        <v>0</v>
      </c>
      <c r="C206" s="1069"/>
      <c r="D206" s="1069"/>
      <c r="E206" s="1069"/>
      <c r="F206" s="1069"/>
      <c r="G206" s="1069"/>
      <c r="H206" s="1069"/>
      <c r="I206" s="1069" t="s">
        <v>374</v>
      </c>
      <c r="J206" s="1069"/>
      <c r="K206" s="1069"/>
      <c r="L206" s="1069"/>
      <c r="O206" s="1069" t="s">
        <v>0</v>
      </c>
      <c r="P206" s="1069"/>
      <c r="Q206" s="1069"/>
      <c r="R206" s="1069"/>
      <c r="S206" s="1069"/>
      <c r="T206" s="1069"/>
      <c r="U206" s="1069"/>
      <c r="V206" s="1069" t="s">
        <v>374</v>
      </c>
      <c r="W206" s="1069"/>
      <c r="X206" s="1069"/>
      <c r="Y206" s="1069"/>
    </row>
    <row r="207" spans="1:25" ht="24" customHeight="1" thickBot="1" x14ac:dyDescent="0.25">
      <c r="A207" s="219"/>
      <c r="B207" s="398" t="str">
        <f>VLOOKUP(U205,TBL_equipe,2,FALSE)</f>
        <v/>
      </c>
      <c r="C207" s="399"/>
      <c r="D207" s="399"/>
      <c r="E207" s="399"/>
      <c r="F207" s="399"/>
      <c r="G207" s="399"/>
      <c r="H207" s="400"/>
      <c r="I207" s="257" t="str">
        <f>VLOOKUP(U205,TBL_equipe,4,FALSE)</f>
        <v/>
      </c>
      <c r="J207" s="220"/>
      <c r="K207" s="220"/>
      <c r="L207" s="221"/>
      <c r="M207" s="1070" t="s">
        <v>547</v>
      </c>
      <c r="N207" s="1071"/>
      <c r="O207" s="398" t="e">
        <f>VLOOKUP(W205,TBL_equipe,2,FALSE)</f>
        <v>#N/A</v>
      </c>
      <c r="P207" s="220"/>
      <c r="Q207" s="220"/>
      <c r="R207" s="220"/>
      <c r="S207" s="220"/>
      <c r="T207" s="220"/>
      <c r="U207" s="221"/>
      <c r="V207" s="257" t="e">
        <f>VLOOKUP(W205,TBL_equipe,4,FALSE)</f>
        <v>#N/A</v>
      </c>
      <c r="W207" s="220"/>
      <c r="X207" s="220"/>
      <c r="Y207" s="221"/>
    </row>
    <row r="208" spans="1:25" ht="15" customHeight="1" x14ac:dyDescent="0.2"/>
    <row r="209" spans="1:25" ht="20.100000000000001" customHeight="1" x14ac:dyDescent="0.2">
      <c r="A209" s="1074" t="s">
        <v>548</v>
      </c>
      <c r="B209" s="1074"/>
      <c r="C209" s="1074"/>
      <c r="D209" s="1074"/>
      <c r="E209" s="1074"/>
    </row>
    <row r="210" spans="1:25" ht="20.100000000000001" customHeight="1" x14ac:dyDescent="0.2">
      <c r="A210" s="1075" t="s">
        <v>549</v>
      </c>
      <c r="B210" s="1075"/>
      <c r="C210" s="1075"/>
      <c r="D210" s="1075"/>
      <c r="E210" s="1075"/>
      <c r="G210" s="1076" t="s">
        <v>480</v>
      </c>
      <c r="H210" s="1076"/>
      <c r="I210" s="1077" t="s">
        <v>550</v>
      </c>
      <c r="J210" s="1077"/>
      <c r="K210" s="1077"/>
      <c r="L210" s="252" t="s">
        <v>551</v>
      </c>
      <c r="M210" s="1078" t="s">
        <v>552</v>
      </c>
      <c r="N210" s="1078"/>
      <c r="O210" s="251"/>
    </row>
    <row r="211" spans="1:25" ht="24" customHeight="1" x14ac:dyDescent="0.2">
      <c r="A211" s="258" t="str">
        <f>VLOOKUP(U205,TBL_equipe,5,FALSE)</f>
        <v/>
      </c>
      <c r="B211" s="223"/>
      <c r="C211" s="259" t="str">
        <f>VLOOKUP(U205,TBL_equipe,6,FALSE)</f>
        <v/>
      </c>
      <c r="D211" s="223"/>
      <c r="E211" s="224"/>
      <c r="F211" s="219"/>
      <c r="G211" s="403" t="str">
        <f>VLOOKUP(U205,TBL_equipe,9,FALSE)</f>
        <v/>
      </c>
      <c r="H211" s="224"/>
      <c r="I211" s="222"/>
      <c r="J211" s="246" t="str">
        <f>VLOOKUP(U205,TBL_equipe,8,FALSE)</f>
        <v/>
      </c>
      <c r="K211" s="224"/>
      <c r="L211" s="260" t="str">
        <f>VLOOKUP(U205,TBL_equipe,10,FALSE)</f>
        <v/>
      </c>
      <c r="M211" s="287">
        <f>G205</f>
        <v>0</v>
      </c>
      <c r="N211" s="288"/>
      <c r="O211" s="249"/>
      <c r="R211" s="254"/>
      <c r="S211" s="254"/>
      <c r="T211" s="254" t="s">
        <v>51</v>
      </c>
      <c r="U211" s="254"/>
      <c r="V211" s="254"/>
      <c r="W211" s="254"/>
      <c r="X211" s="254"/>
      <c r="Y211" s="254"/>
    </row>
    <row r="212" spans="1:25" ht="24" customHeight="1" x14ac:dyDescent="0.2">
      <c r="A212" s="258" t="str">
        <f>VLOOKUP(U205,TBL_equipe,11,FALSE)</f>
        <v/>
      </c>
      <c r="B212" s="223"/>
      <c r="C212" s="259" t="str">
        <f>VLOOKUP(U205,TBL_equipe,12,FALSE)</f>
        <v/>
      </c>
      <c r="D212" s="223"/>
      <c r="E212" s="224"/>
      <c r="F212" s="219"/>
      <c r="G212" s="403" t="str">
        <f>VLOOKUP(U205,TBL_equipe,15,FALSE)</f>
        <v/>
      </c>
      <c r="H212" s="224"/>
      <c r="I212" s="222"/>
      <c r="J212" s="246" t="str">
        <f>VLOOKUP(U205,TBL_equipe,14,FALSE)</f>
        <v/>
      </c>
      <c r="K212" s="224"/>
      <c r="L212" s="260" t="str">
        <f>VLOOKUP(U205,TBL_equipe,16,FALSE)</f>
        <v/>
      </c>
      <c r="M212" s="287">
        <f>G205</f>
        <v>0</v>
      </c>
      <c r="N212" s="288"/>
      <c r="O212" s="249"/>
      <c r="Q212" s="254"/>
      <c r="R212" s="254"/>
      <c r="S212" s="254"/>
      <c r="T212" s="254"/>
      <c r="U212" s="254"/>
      <c r="V212" s="254"/>
      <c r="W212" s="254"/>
      <c r="X212" s="254"/>
      <c r="Y212" s="254"/>
    </row>
    <row r="213" spans="1:25" ht="24" customHeight="1" x14ac:dyDescent="0.2">
      <c r="A213" s="258" t="str">
        <f>VLOOKUP(U205,TBL_equipe,17,FALSE)</f>
        <v/>
      </c>
      <c r="B213" s="223"/>
      <c r="C213" s="259" t="str">
        <f>VLOOKUP(U205,TBL_equipe,18,FALSE)</f>
        <v/>
      </c>
      <c r="D213" s="223"/>
      <c r="E213" s="224"/>
      <c r="F213" s="219"/>
      <c r="G213" s="403" t="str">
        <f>VLOOKUP(U205,TBL_equipe,21,FALSE)</f>
        <v/>
      </c>
      <c r="H213" s="224"/>
      <c r="I213" s="222"/>
      <c r="J213" s="246" t="str">
        <f>VLOOKUP(U205,TBL_equipe,20,FALSE)</f>
        <v/>
      </c>
      <c r="K213" s="224"/>
      <c r="L213" s="260" t="str">
        <f>VLOOKUP(U205,TBL_equipe,22,FALSE)</f>
        <v/>
      </c>
      <c r="M213" s="287">
        <f>G205</f>
        <v>0</v>
      </c>
      <c r="N213" s="288"/>
      <c r="O213" s="249"/>
      <c r="Q213" s="254"/>
      <c r="R213" s="254"/>
      <c r="S213" s="254"/>
      <c r="T213" s="254"/>
      <c r="U213" s="254"/>
      <c r="V213" s="254"/>
      <c r="W213" s="254"/>
      <c r="X213" s="254"/>
      <c r="Y213" s="254"/>
    </row>
    <row r="214" spans="1:25" ht="24" customHeight="1" x14ac:dyDescent="0.2">
      <c r="A214" s="258" t="str">
        <f>VLOOKUP(U205,TBL_equipe,23,FALSE)</f>
        <v/>
      </c>
      <c r="B214" s="223"/>
      <c r="C214" s="259" t="str">
        <f>VLOOKUP(U205,TBL_equipe,24,FALSE)</f>
        <v/>
      </c>
      <c r="D214" s="223"/>
      <c r="E214" s="224"/>
      <c r="F214" s="219"/>
      <c r="G214" s="403" t="str">
        <f>VLOOKUP(U205,TBL_equipe,27,FALSE)</f>
        <v/>
      </c>
      <c r="H214" s="224"/>
      <c r="I214" s="222"/>
      <c r="J214" s="246" t="str">
        <f>VLOOKUP(U205,TBL_equipe,26,FALSE)</f>
        <v/>
      </c>
      <c r="K214" s="224"/>
      <c r="L214" s="260" t="str">
        <f>VLOOKUP(U205,TBL_equipe,28,FALSE)</f>
        <v/>
      </c>
      <c r="M214" s="289">
        <f>G205</f>
        <v>0</v>
      </c>
      <c r="N214" s="290"/>
      <c r="O214" s="249"/>
    </row>
    <row r="215" spans="1:25" ht="15" customHeight="1" thickBot="1" x14ac:dyDescent="0.25"/>
    <row r="216" spans="1:25" ht="20.100000000000001" customHeight="1" x14ac:dyDescent="0.2">
      <c r="F216" s="1081" t="s">
        <v>555</v>
      </c>
      <c r="G216" s="1082"/>
      <c r="H216" s="1082"/>
      <c r="I216" s="1082"/>
      <c r="J216" s="1083"/>
      <c r="K216" s="1081" t="s">
        <v>556</v>
      </c>
      <c r="L216" s="1082"/>
      <c r="M216" s="1082"/>
      <c r="N216" s="1082"/>
      <c r="O216" s="1083"/>
      <c r="P216" s="1081" t="s">
        <v>557</v>
      </c>
      <c r="Q216" s="1082"/>
      <c r="R216" s="1082"/>
      <c r="S216" s="1082"/>
      <c r="T216" s="1083"/>
      <c r="U216" s="1081" t="s">
        <v>558</v>
      </c>
      <c r="V216" s="1082"/>
      <c r="W216" s="1082"/>
      <c r="X216" s="1082"/>
      <c r="Y216" s="1083"/>
    </row>
    <row r="217" spans="1:25" ht="20.100000000000001" customHeight="1" x14ac:dyDescent="0.2">
      <c r="A217" s="1075" t="s">
        <v>559</v>
      </c>
      <c r="B217" s="1075"/>
      <c r="C217" s="1075"/>
      <c r="D217" s="1075"/>
      <c r="E217" s="1089"/>
      <c r="F217" s="1090" t="s">
        <v>560</v>
      </c>
      <c r="G217" s="1075"/>
      <c r="H217" s="1075"/>
      <c r="J217" s="225" t="s">
        <v>7</v>
      </c>
      <c r="K217" s="1090" t="s">
        <v>560</v>
      </c>
      <c r="L217" s="1075"/>
      <c r="M217" s="1075"/>
      <c r="O217" s="225" t="s">
        <v>7</v>
      </c>
      <c r="P217" s="1090" t="s">
        <v>560</v>
      </c>
      <c r="Q217" s="1075"/>
      <c r="R217" s="1075"/>
      <c r="T217" s="225" t="s">
        <v>7</v>
      </c>
      <c r="U217" s="1090" t="s">
        <v>560</v>
      </c>
      <c r="V217" s="1075"/>
      <c r="W217" s="1075"/>
      <c r="Y217" s="225" t="s">
        <v>7</v>
      </c>
    </row>
    <row r="218" spans="1:25" ht="24" customHeight="1" x14ac:dyDescent="0.2">
      <c r="A218" s="261" t="str">
        <f>A211</f>
        <v/>
      </c>
      <c r="B218" s="227"/>
      <c r="C218" s="262" t="str">
        <f>C211</f>
        <v/>
      </c>
      <c r="D218" s="227"/>
      <c r="E218" s="227"/>
      <c r="F218" s="228"/>
      <c r="G218" s="229"/>
      <c r="H218" s="229"/>
      <c r="I218" s="230" t="s">
        <v>561</v>
      </c>
      <c r="J218" s="231"/>
      <c r="K218" s="228"/>
      <c r="L218" s="229"/>
      <c r="M218" s="229"/>
      <c r="N218" s="230" t="s">
        <v>561</v>
      </c>
      <c r="O218" s="231"/>
      <c r="P218" s="228"/>
      <c r="Q218" s="229"/>
      <c r="R218" s="229"/>
      <c r="S218" s="230" t="s">
        <v>561</v>
      </c>
      <c r="T218" s="231"/>
      <c r="U218" s="228"/>
      <c r="V218" s="229"/>
      <c r="W218" s="229"/>
      <c r="X218" s="230" t="s">
        <v>561</v>
      </c>
      <c r="Y218" s="231"/>
    </row>
    <row r="219" spans="1:25" ht="24" customHeight="1" x14ac:dyDescent="0.2">
      <c r="A219" s="261" t="str">
        <f>A212</f>
        <v/>
      </c>
      <c r="B219" s="227"/>
      <c r="C219" s="262" t="str">
        <f>C212</f>
        <v/>
      </c>
      <c r="D219" s="227"/>
      <c r="E219" s="227"/>
      <c r="F219" s="228"/>
      <c r="G219" s="229"/>
      <c r="H219" s="229"/>
      <c r="I219" s="230" t="s">
        <v>561</v>
      </c>
      <c r="J219" s="231"/>
      <c r="K219" s="228"/>
      <c r="L219" s="229"/>
      <c r="M219" s="229"/>
      <c r="N219" s="230" t="s">
        <v>561</v>
      </c>
      <c r="O219" s="231"/>
      <c r="P219" s="228"/>
      <c r="Q219" s="229"/>
      <c r="R219" s="229"/>
      <c r="S219" s="230" t="s">
        <v>561</v>
      </c>
      <c r="T219" s="231"/>
      <c r="U219" s="228"/>
      <c r="V219" s="229"/>
      <c r="W219" s="229"/>
      <c r="X219" s="230" t="s">
        <v>561</v>
      </c>
      <c r="Y219" s="231"/>
    </row>
    <row r="220" spans="1:25" ht="24" customHeight="1" x14ac:dyDescent="0.2">
      <c r="A220" s="261" t="str">
        <f>A213</f>
        <v/>
      </c>
      <c r="B220" s="227"/>
      <c r="C220" s="262" t="str">
        <f>C213</f>
        <v/>
      </c>
      <c r="D220" s="227"/>
      <c r="E220" s="227"/>
      <c r="F220" s="228"/>
      <c r="G220" s="229"/>
      <c r="H220" s="229"/>
      <c r="I220" s="230" t="s">
        <v>561</v>
      </c>
      <c r="J220" s="231"/>
      <c r="K220" s="228"/>
      <c r="L220" s="229"/>
      <c r="M220" s="229"/>
      <c r="N220" s="230" t="s">
        <v>561</v>
      </c>
      <c r="O220" s="231"/>
      <c r="P220" s="228"/>
      <c r="Q220" s="229"/>
      <c r="R220" s="229"/>
      <c r="S220" s="230" t="s">
        <v>561</v>
      </c>
      <c r="T220" s="231"/>
      <c r="U220" s="228"/>
      <c r="V220" s="229"/>
      <c r="W220" s="229"/>
      <c r="X220" s="230" t="s">
        <v>561</v>
      </c>
      <c r="Y220" s="231"/>
    </row>
    <row r="221" spans="1:25" ht="24" customHeight="1" x14ac:dyDescent="0.2">
      <c r="A221" s="261" t="str">
        <f>A214</f>
        <v/>
      </c>
      <c r="B221" s="227"/>
      <c r="C221" s="262" t="str">
        <f>C214</f>
        <v/>
      </c>
      <c r="D221" s="227"/>
      <c r="E221" s="227"/>
      <c r="F221" s="228"/>
      <c r="G221" s="229"/>
      <c r="H221" s="229"/>
      <c r="I221" s="230" t="s">
        <v>561</v>
      </c>
      <c r="J221" s="232"/>
      <c r="K221" s="228"/>
      <c r="L221" s="229"/>
      <c r="M221" s="229"/>
      <c r="N221" s="230" t="s">
        <v>561</v>
      </c>
      <c r="O221" s="232"/>
      <c r="P221" s="228"/>
      <c r="Q221" s="229"/>
      <c r="R221" s="229"/>
      <c r="S221" s="230" t="s">
        <v>561</v>
      </c>
      <c r="T221" s="232"/>
      <c r="U221" s="228"/>
      <c r="V221" s="229"/>
      <c r="W221" s="229"/>
      <c r="X221" s="230" t="s">
        <v>561</v>
      </c>
      <c r="Y221" s="232"/>
    </row>
    <row r="222" spans="1:25" ht="24" customHeight="1" thickBot="1" x14ac:dyDescent="0.25">
      <c r="F222" s="1079" t="s">
        <v>562</v>
      </c>
      <c r="G222" s="1080"/>
      <c r="H222" s="1080"/>
      <c r="I222" s="230" t="s">
        <v>561</v>
      </c>
      <c r="J222" s="231"/>
      <c r="K222" s="1079" t="s">
        <v>563</v>
      </c>
      <c r="L222" s="1080"/>
      <c r="M222" s="1080"/>
      <c r="N222" s="230" t="s">
        <v>561</v>
      </c>
      <c r="O222" s="232"/>
      <c r="P222" s="1079" t="s">
        <v>564</v>
      </c>
      <c r="Q222" s="1080"/>
      <c r="R222" s="1080"/>
      <c r="S222" s="230" t="s">
        <v>561</v>
      </c>
      <c r="T222" s="232"/>
      <c r="U222" s="1079" t="s">
        <v>565</v>
      </c>
      <c r="V222" s="1080"/>
      <c r="W222" s="1080"/>
      <c r="X222" s="230" t="s">
        <v>561</v>
      </c>
      <c r="Y222" s="232"/>
    </row>
    <row r="223" spans="1:25" ht="24" customHeight="1" thickBot="1" x14ac:dyDescent="0.25">
      <c r="F223" s="233"/>
      <c r="G223" s="234"/>
      <c r="H223" s="235" t="s">
        <v>566</v>
      </c>
      <c r="I223" s="235"/>
      <c r="J223" s="236"/>
      <c r="K223" s="1092" t="s">
        <v>567</v>
      </c>
      <c r="L223" s="1085"/>
      <c r="M223" s="1085"/>
      <c r="N223" s="237" t="s">
        <v>561</v>
      </c>
      <c r="O223" s="238"/>
      <c r="P223" s="1092" t="s">
        <v>568</v>
      </c>
      <c r="Q223" s="1085"/>
      <c r="R223" s="1085"/>
      <c r="S223" s="237" t="s">
        <v>561</v>
      </c>
      <c r="T223" s="238"/>
      <c r="U223" s="1092" t="s">
        <v>569</v>
      </c>
      <c r="V223" s="1085"/>
      <c r="W223" s="1085"/>
      <c r="X223" s="237" t="s">
        <v>561</v>
      </c>
      <c r="Y223" s="239"/>
    </row>
    <row r="224" spans="1:25" ht="12.75" customHeight="1" x14ac:dyDescent="0.2">
      <c r="Y224" s="240" t="s">
        <v>570</v>
      </c>
    </row>
    <row r="225" spans="1:25" ht="15.75" customHeight="1" x14ac:dyDescent="0.2">
      <c r="B225" s="1091" t="s">
        <v>521</v>
      </c>
      <c r="C225" s="1091"/>
      <c r="D225" s="1091"/>
      <c r="E225" s="1091"/>
      <c r="F225" s="1091"/>
      <c r="G225" s="1091"/>
      <c r="H225" s="1091"/>
      <c r="I225" s="1091"/>
      <c r="J225" s="1091"/>
      <c r="K225" s="1091"/>
      <c r="L225" s="1091"/>
      <c r="O225" s="1091" t="s">
        <v>522</v>
      </c>
      <c r="P225" s="1091"/>
      <c r="Q225" s="1091"/>
      <c r="R225" s="1091"/>
      <c r="S225" s="1091"/>
      <c r="T225" s="1091"/>
      <c r="U225" s="1091"/>
      <c r="V225" s="1091"/>
      <c r="W225" s="1091"/>
      <c r="X225" s="1091"/>
      <c r="Y225" s="1091"/>
    </row>
    <row r="226" spans="1:25" ht="13.5" customHeight="1" x14ac:dyDescent="0.2">
      <c r="B226" s="1086" t="s">
        <v>1</v>
      </c>
      <c r="C226" s="1087"/>
      <c r="D226" s="1087"/>
      <c r="E226" s="1087"/>
      <c r="F226" s="1087"/>
      <c r="G226" s="1087"/>
      <c r="H226" s="1088"/>
      <c r="I226" s="1086" t="s">
        <v>520</v>
      </c>
      <c r="J226" s="1087"/>
      <c r="K226" s="1087"/>
      <c r="L226" s="1088"/>
      <c r="N226" s="241"/>
      <c r="O226" s="1086" t="s">
        <v>1</v>
      </c>
      <c r="P226" s="1087"/>
      <c r="Q226" s="1087"/>
      <c r="R226" s="1087"/>
      <c r="S226" s="1087"/>
      <c r="T226" s="1087"/>
      <c r="U226" s="1088"/>
      <c r="V226" s="1086" t="s">
        <v>520</v>
      </c>
      <c r="W226" s="1087"/>
      <c r="X226" s="1087"/>
      <c r="Y226" s="1088"/>
    </row>
    <row r="227" spans="1:25" ht="21.75" customHeight="1" x14ac:dyDescent="0.2">
      <c r="B227" s="242"/>
      <c r="C227" s="243"/>
      <c r="D227" s="243"/>
      <c r="E227" s="243"/>
      <c r="F227" s="243"/>
      <c r="G227" s="243"/>
      <c r="H227" s="243"/>
      <c r="I227" s="242"/>
      <c r="J227" s="243"/>
      <c r="K227" s="243"/>
      <c r="L227" s="244"/>
      <c r="N227" s="241"/>
      <c r="O227" s="242"/>
      <c r="P227" s="243"/>
      <c r="Q227" s="243"/>
      <c r="R227" s="243"/>
      <c r="S227" s="243"/>
      <c r="T227" s="243"/>
      <c r="U227" s="243"/>
      <c r="V227" s="242"/>
      <c r="W227" s="243"/>
      <c r="X227" s="243"/>
      <c r="Y227" s="244"/>
    </row>
    <row r="228" spans="1:25" ht="13.5" customHeight="1" x14ac:dyDescent="0.2"/>
    <row r="229" spans="1:25" ht="14.25" customHeight="1" thickBot="1" x14ac:dyDescent="0.25">
      <c r="A229" s="241"/>
      <c r="G229" s="305"/>
      <c r="H229" s="305"/>
      <c r="I229" s="1069" t="s">
        <v>0</v>
      </c>
      <c r="J229" s="1069"/>
      <c r="K229" s="1069"/>
      <c r="L229" s="1069"/>
      <c r="M229" s="1069"/>
      <c r="N229" s="1069"/>
      <c r="O229" s="1069"/>
      <c r="P229" s="1069" t="s">
        <v>374</v>
      </c>
      <c r="Q229" s="1069"/>
      <c r="R229" s="1069"/>
      <c r="S229" s="1069"/>
      <c r="T229" s="1069"/>
      <c r="U229" s="1069" t="s">
        <v>571</v>
      </c>
      <c r="V229" s="1069"/>
      <c r="W229" s="1069"/>
      <c r="X229" s="305"/>
      <c r="Y229" s="305"/>
    </row>
    <row r="230" spans="1:25" ht="20.25" customHeight="1" x14ac:dyDescent="0.2">
      <c r="A230" s="241"/>
      <c r="F230" s="1074" t="s">
        <v>584</v>
      </c>
      <c r="G230" s="1074"/>
      <c r="H230" s="1074"/>
      <c r="I230" s="316"/>
      <c r="J230" s="306"/>
      <c r="K230" s="306"/>
      <c r="L230" s="306"/>
      <c r="M230" s="306"/>
      <c r="N230" s="306"/>
      <c r="O230" s="306"/>
      <c r="P230" s="312"/>
      <c r="Q230" s="306"/>
      <c r="R230" s="307"/>
      <c r="S230" s="304"/>
      <c r="T230" s="313"/>
      <c r="U230" s="310"/>
      <c r="V230" s="1084" t="s">
        <v>495</v>
      </c>
      <c r="W230" s="308"/>
    </row>
    <row r="231" spans="1:25" ht="13.5" thickBot="1" x14ac:dyDescent="0.25">
      <c r="F231" s="1074"/>
      <c r="G231" s="1074"/>
      <c r="H231" s="1074"/>
      <c r="I231" s="303"/>
      <c r="J231" s="235"/>
      <c r="K231" s="235"/>
      <c r="L231" s="235"/>
      <c r="M231" s="235"/>
      <c r="N231" s="235"/>
      <c r="O231" s="235"/>
      <c r="P231" s="314"/>
      <c r="Q231" s="235"/>
      <c r="R231" s="234"/>
      <c r="S231" s="234"/>
      <c r="T231" s="315"/>
      <c r="U231" s="311"/>
      <c r="V231" s="1085"/>
      <c r="W231" s="309"/>
    </row>
    <row r="233" spans="1:25" ht="6.75" customHeight="1" x14ac:dyDescent="0.2"/>
    <row r="234" spans="1:25" s="218" customFormat="1" ht="23.25" customHeight="1" x14ac:dyDescent="0.2">
      <c r="A234" s="1072" t="s">
        <v>546</v>
      </c>
      <c r="B234" s="1073"/>
      <c r="C234" s="402"/>
      <c r="D234" s="1098" t="s">
        <v>628</v>
      </c>
      <c r="E234" s="1072"/>
      <c r="F234" s="1072"/>
      <c r="G234" s="1103"/>
      <c r="H234" s="1104"/>
      <c r="K234" s="218" t="str">
        <f>RIGHT(CATEG_IMPORTEE, LEN(CATEG_IMPORTEE) - 2)</f>
        <v>llèges Mixtes Etablissement</v>
      </c>
      <c r="T234" s="397" t="s">
        <v>627</v>
      </c>
      <c r="U234" s="401">
        <v>9</v>
      </c>
      <c r="V234" s="396" t="s">
        <v>547</v>
      </c>
      <c r="W234" s="401"/>
      <c r="X234" s="395"/>
    </row>
    <row r="235" spans="1:25" ht="27" customHeight="1" thickBot="1" x14ac:dyDescent="0.25">
      <c r="B235" s="1069" t="s">
        <v>0</v>
      </c>
      <c r="C235" s="1069"/>
      <c r="D235" s="1069"/>
      <c r="E235" s="1069"/>
      <c r="F235" s="1069"/>
      <c r="G235" s="1069"/>
      <c r="H235" s="1069"/>
      <c r="I235" s="1069" t="s">
        <v>374</v>
      </c>
      <c r="J235" s="1069"/>
      <c r="K235" s="1069"/>
      <c r="L235" s="1069"/>
      <c r="O235" s="1069" t="s">
        <v>0</v>
      </c>
      <c r="P235" s="1069"/>
      <c r="Q235" s="1069"/>
      <c r="R235" s="1069"/>
      <c r="S235" s="1069"/>
      <c r="T235" s="1069"/>
      <c r="U235" s="1069"/>
      <c r="V235" s="1069" t="s">
        <v>374</v>
      </c>
      <c r="W235" s="1069"/>
      <c r="X235" s="1069"/>
      <c r="Y235" s="1069"/>
    </row>
    <row r="236" spans="1:25" ht="24" customHeight="1" thickBot="1" x14ac:dyDescent="0.25">
      <c r="A236" s="219"/>
      <c r="B236" s="398" t="str">
        <f>VLOOKUP(U234,TBL_equipe,2,FALSE)</f>
        <v/>
      </c>
      <c r="C236" s="399"/>
      <c r="D236" s="399"/>
      <c r="E236" s="399"/>
      <c r="F236" s="399"/>
      <c r="G236" s="399"/>
      <c r="H236" s="400"/>
      <c r="I236" s="257" t="str">
        <f>VLOOKUP(U234,TBL_equipe,4,FALSE)</f>
        <v/>
      </c>
      <c r="J236" s="220"/>
      <c r="K236" s="220"/>
      <c r="L236" s="221"/>
      <c r="M236" s="1070" t="s">
        <v>547</v>
      </c>
      <c r="N236" s="1071"/>
      <c r="O236" s="398" t="e">
        <f>VLOOKUP(W234,TBL_equipe,2,FALSE)</f>
        <v>#N/A</v>
      </c>
      <c r="P236" s="220"/>
      <c r="Q236" s="220"/>
      <c r="R236" s="220"/>
      <c r="S236" s="220"/>
      <c r="T236" s="220"/>
      <c r="U236" s="221"/>
      <c r="V236" s="257" t="e">
        <f>VLOOKUP(W234,TBL_equipe,4,FALSE)</f>
        <v>#N/A</v>
      </c>
      <c r="W236" s="220"/>
      <c r="X236" s="220"/>
      <c r="Y236" s="221"/>
    </row>
    <row r="237" spans="1:25" ht="15" customHeight="1" x14ac:dyDescent="0.2"/>
    <row r="238" spans="1:25" ht="20.100000000000001" customHeight="1" x14ac:dyDescent="0.2">
      <c r="A238" s="1074" t="s">
        <v>548</v>
      </c>
      <c r="B238" s="1074"/>
      <c r="C238" s="1074"/>
      <c r="D238" s="1074"/>
      <c r="E238" s="1074"/>
    </row>
    <row r="239" spans="1:25" ht="20.100000000000001" customHeight="1" x14ac:dyDescent="0.2">
      <c r="A239" s="1075" t="s">
        <v>549</v>
      </c>
      <c r="B239" s="1075"/>
      <c r="C239" s="1075"/>
      <c r="D239" s="1075"/>
      <c r="E239" s="1075"/>
      <c r="G239" s="1076" t="s">
        <v>480</v>
      </c>
      <c r="H239" s="1076"/>
      <c r="I239" s="1077" t="s">
        <v>550</v>
      </c>
      <c r="J239" s="1077"/>
      <c r="K239" s="1077"/>
      <c r="L239" s="252" t="s">
        <v>551</v>
      </c>
      <c r="M239" s="1078" t="s">
        <v>552</v>
      </c>
      <c r="N239" s="1078"/>
      <c r="O239" s="251"/>
    </row>
    <row r="240" spans="1:25" ht="24" customHeight="1" x14ac:dyDescent="0.2">
      <c r="A240" s="258" t="str">
        <f>VLOOKUP(U234,TBL_equipe,5,FALSE)</f>
        <v/>
      </c>
      <c r="B240" s="223"/>
      <c r="C240" s="259" t="str">
        <f>VLOOKUP(U234,TBL_equipe,6,FALSE)</f>
        <v/>
      </c>
      <c r="D240" s="223"/>
      <c r="E240" s="224"/>
      <c r="F240" s="219"/>
      <c r="G240" s="403" t="str">
        <f>VLOOKUP(U234,TBL_equipe,9,FALSE)</f>
        <v/>
      </c>
      <c r="H240" s="224"/>
      <c r="I240" s="222"/>
      <c r="J240" s="246" t="str">
        <f>VLOOKUP(U234,TBL_equipe,8,FALSE)</f>
        <v/>
      </c>
      <c r="K240" s="224"/>
      <c r="L240" s="260" t="str">
        <f>VLOOKUP(U234,TBL_equipe,10,FALSE)</f>
        <v/>
      </c>
      <c r="M240" s="287">
        <f>G234</f>
        <v>0</v>
      </c>
      <c r="N240" s="288"/>
      <c r="O240" s="249"/>
      <c r="R240" s="254"/>
      <c r="S240" s="254"/>
      <c r="T240" s="254" t="s">
        <v>51</v>
      </c>
      <c r="U240" s="254"/>
      <c r="V240" s="254"/>
      <c r="W240" s="254"/>
      <c r="X240" s="254"/>
      <c r="Y240" s="254"/>
    </row>
    <row r="241" spans="1:25" ht="24" customHeight="1" x14ac:dyDescent="0.2">
      <c r="A241" s="258" t="str">
        <f>VLOOKUP(U234,TBL_equipe,11,FALSE)</f>
        <v/>
      </c>
      <c r="B241" s="223"/>
      <c r="C241" s="259" t="str">
        <f>VLOOKUP(U234,TBL_equipe,12,FALSE)</f>
        <v/>
      </c>
      <c r="D241" s="223"/>
      <c r="E241" s="224"/>
      <c r="F241" s="219"/>
      <c r="G241" s="403" t="str">
        <f>VLOOKUP(U234,TBL_equipe,15,FALSE)</f>
        <v/>
      </c>
      <c r="H241" s="224"/>
      <c r="I241" s="222"/>
      <c r="J241" s="246" t="str">
        <f>VLOOKUP(U234,TBL_equipe,14,FALSE)</f>
        <v/>
      </c>
      <c r="K241" s="224"/>
      <c r="L241" s="260" t="str">
        <f>VLOOKUP(U234,TBL_equipe,16,FALSE)</f>
        <v/>
      </c>
      <c r="M241" s="287">
        <f>G234</f>
        <v>0</v>
      </c>
      <c r="N241" s="288"/>
      <c r="O241" s="249"/>
      <c r="Q241" s="254"/>
      <c r="R241" s="254"/>
      <c r="S241" s="254"/>
      <c r="T241" s="254"/>
      <c r="U241" s="254"/>
      <c r="V241" s="254"/>
      <c r="W241" s="254"/>
      <c r="X241" s="254"/>
      <c r="Y241" s="254"/>
    </row>
    <row r="242" spans="1:25" ht="24" customHeight="1" x14ac:dyDescent="0.2">
      <c r="A242" s="258" t="str">
        <f>VLOOKUP(U234,TBL_equipe,17,FALSE)</f>
        <v/>
      </c>
      <c r="B242" s="223"/>
      <c r="C242" s="259" t="str">
        <f>VLOOKUP(U234,TBL_equipe,18,FALSE)</f>
        <v/>
      </c>
      <c r="D242" s="223"/>
      <c r="E242" s="224"/>
      <c r="F242" s="219"/>
      <c r="G242" s="403" t="str">
        <f>VLOOKUP(U234,TBL_equipe,21,FALSE)</f>
        <v/>
      </c>
      <c r="H242" s="224"/>
      <c r="I242" s="222"/>
      <c r="J242" s="246" t="str">
        <f>VLOOKUP(U234,TBL_equipe,20,FALSE)</f>
        <v/>
      </c>
      <c r="K242" s="224"/>
      <c r="L242" s="260" t="str">
        <f>VLOOKUP(U234,TBL_equipe,22,FALSE)</f>
        <v/>
      </c>
      <c r="M242" s="287">
        <f>G234</f>
        <v>0</v>
      </c>
      <c r="N242" s="288"/>
      <c r="O242" s="249"/>
      <c r="Q242" s="254"/>
      <c r="R242" s="254"/>
      <c r="S242" s="254"/>
      <c r="T242" s="254"/>
      <c r="U242" s="254"/>
      <c r="V242" s="254"/>
      <c r="W242" s="254"/>
      <c r="X242" s="254"/>
      <c r="Y242" s="254"/>
    </row>
    <row r="243" spans="1:25" ht="24" customHeight="1" x14ac:dyDescent="0.2">
      <c r="A243" s="258" t="str">
        <f>VLOOKUP(U234,TBL_equipe,23,FALSE)</f>
        <v/>
      </c>
      <c r="B243" s="223"/>
      <c r="C243" s="259" t="str">
        <f>VLOOKUP(U234,TBL_equipe,24,FALSE)</f>
        <v/>
      </c>
      <c r="D243" s="223"/>
      <c r="E243" s="224"/>
      <c r="F243" s="219"/>
      <c r="G243" s="403" t="str">
        <f>VLOOKUP(U234,TBL_equipe,27,FALSE)</f>
        <v/>
      </c>
      <c r="H243" s="224"/>
      <c r="I243" s="222"/>
      <c r="J243" s="246" t="str">
        <f>VLOOKUP(U234,TBL_equipe,26,FALSE)</f>
        <v/>
      </c>
      <c r="K243" s="224"/>
      <c r="L243" s="260" t="str">
        <f>VLOOKUP(U234,TBL_equipe,28,FALSE)</f>
        <v/>
      </c>
      <c r="M243" s="289">
        <f>G234</f>
        <v>0</v>
      </c>
      <c r="N243" s="290"/>
      <c r="O243" s="249"/>
    </row>
    <row r="244" spans="1:25" ht="15" customHeight="1" thickBot="1" x14ac:dyDescent="0.25"/>
    <row r="245" spans="1:25" ht="20.100000000000001" customHeight="1" x14ac:dyDescent="0.2">
      <c r="F245" s="1081" t="s">
        <v>555</v>
      </c>
      <c r="G245" s="1082"/>
      <c r="H245" s="1082"/>
      <c r="I245" s="1082"/>
      <c r="J245" s="1083"/>
      <c r="K245" s="1081" t="s">
        <v>556</v>
      </c>
      <c r="L245" s="1082"/>
      <c r="M245" s="1082"/>
      <c r="N245" s="1082"/>
      <c r="O245" s="1083"/>
      <c r="P245" s="1081" t="s">
        <v>557</v>
      </c>
      <c r="Q245" s="1082"/>
      <c r="R245" s="1082"/>
      <c r="S245" s="1082"/>
      <c r="T245" s="1083"/>
      <c r="U245" s="1081" t="s">
        <v>558</v>
      </c>
      <c r="V245" s="1082"/>
      <c r="W245" s="1082"/>
      <c r="X245" s="1082"/>
      <c r="Y245" s="1083"/>
    </row>
    <row r="246" spans="1:25" ht="20.100000000000001" customHeight="1" x14ac:dyDescent="0.2">
      <c r="A246" s="1075" t="s">
        <v>559</v>
      </c>
      <c r="B246" s="1075"/>
      <c r="C246" s="1075"/>
      <c r="D246" s="1075"/>
      <c r="E246" s="1089"/>
      <c r="F246" s="1090" t="s">
        <v>560</v>
      </c>
      <c r="G246" s="1075"/>
      <c r="H246" s="1075"/>
      <c r="J246" s="225" t="s">
        <v>7</v>
      </c>
      <c r="K246" s="1090" t="s">
        <v>560</v>
      </c>
      <c r="L246" s="1075"/>
      <c r="M246" s="1075"/>
      <c r="O246" s="225" t="s">
        <v>7</v>
      </c>
      <c r="P246" s="1090" t="s">
        <v>560</v>
      </c>
      <c r="Q246" s="1075"/>
      <c r="R246" s="1075"/>
      <c r="T246" s="225" t="s">
        <v>7</v>
      </c>
      <c r="U246" s="1090" t="s">
        <v>560</v>
      </c>
      <c r="V246" s="1075"/>
      <c r="W246" s="1075"/>
      <c r="Y246" s="225" t="s">
        <v>7</v>
      </c>
    </row>
    <row r="247" spans="1:25" ht="24" customHeight="1" x14ac:dyDescent="0.2">
      <c r="A247" s="261" t="str">
        <f>A240</f>
        <v/>
      </c>
      <c r="B247" s="227"/>
      <c r="C247" s="262" t="str">
        <f>C240</f>
        <v/>
      </c>
      <c r="D247" s="227"/>
      <c r="E247" s="227"/>
      <c r="F247" s="228"/>
      <c r="G247" s="229"/>
      <c r="H247" s="229"/>
      <c r="I247" s="230" t="s">
        <v>561</v>
      </c>
      <c r="J247" s="231"/>
      <c r="K247" s="228"/>
      <c r="L247" s="229"/>
      <c r="M247" s="229"/>
      <c r="N247" s="230" t="s">
        <v>561</v>
      </c>
      <c r="O247" s="231"/>
      <c r="P247" s="228"/>
      <c r="Q247" s="229"/>
      <c r="R247" s="229"/>
      <c r="S247" s="230" t="s">
        <v>561</v>
      </c>
      <c r="T247" s="231"/>
      <c r="U247" s="228"/>
      <c r="V247" s="229"/>
      <c r="W247" s="229"/>
      <c r="X247" s="230" t="s">
        <v>561</v>
      </c>
      <c r="Y247" s="231"/>
    </row>
    <row r="248" spans="1:25" ht="24" customHeight="1" x14ac:dyDescent="0.2">
      <c r="A248" s="261" t="str">
        <f>A241</f>
        <v/>
      </c>
      <c r="B248" s="227"/>
      <c r="C248" s="262" t="str">
        <f>C241</f>
        <v/>
      </c>
      <c r="D248" s="227"/>
      <c r="E248" s="227"/>
      <c r="F248" s="228"/>
      <c r="G248" s="229"/>
      <c r="H248" s="229"/>
      <c r="I248" s="230" t="s">
        <v>561</v>
      </c>
      <c r="J248" s="231"/>
      <c r="K248" s="228"/>
      <c r="L248" s="229"/>
      <c r="M248" s="229"/>
      <c r="N248" s="230" t="s">
        <v>561</v>
      </c>
      <c r="O248" s="231"/>
      <c r="P248" s="228"/>
      <c r="Q248" s="229"/>
      <c r="R248" s="229"/>
      <c r="S248" s="230" t="s">
        <v>561</v>
      </c>
      <c r="T248" s="231"/>
      <c r="U248" s="228"/>
      <c r="V248" s="229"/>
      <c r="W248" s="229"/>
      <c r="X248" s="230" t="s">
        <v>561</v>
      </c>
      <c r="Y248" s="231"/>
    </row>
    <row r="249" spans="1:25" ht="24" customHeight="1" x14ac:dyDescent="0.2">
      <c r="A249" s="261" t="str">
        <f>A242</f>
        <v/>
      </c>
      <c r="B249" s="227"/>
      <c r="C249" s="262" t="str">
        <f>C242</f>
        <v/>
      </c>
      <c r="D249" s="227"/>
      <c r="E249" s="227"/>
      <c r="F249" s="228"/>
      <c r="G249" s="229"/>
      <c r="H249" s="229"/>
      <c r="I249" s="230" t="s">
        <v>561</v>
      </c>
      <c r="J249" s="231"/>
      <c r="K249" s="228"/>
      <c r="L249" s="229"/>
      <c r="M249" s="229"/>
      <c r="N249" s="230" t="s">
        <v>561</v>
      </c>
      <c r="O249" s="231"/>
      <c r="P249" s="228"/>
      <c r="Q249" s="229"/>
      <c r="R249" s="229"/>
      <c r="S249" s="230" t="s">
        <v>561</v>
      </c>
      <c r="T249" s="231"/>
      <c r="U249" s="228"/>
      <c r="V249" s="229"/>
      <c r="W249" s="229"/>
      <c r="X249" s="230" t="s">
        <v>561</v>
      </c>
      <c r="Y249" s="231"/>
    </row>
    <row r="250" spans="1:25" ht="24" customHeight="1" x14ac:dyDescent="0.2">
      <c r="A250" s="261" t="str">
        <f>A243</f>
        <v/>
      </c>
      <c r="B250" s="227"/>
      <c r="C250" s="262" t="str">
        <f>C243</f>
        <v/>
      </c>
      <c r="D250" s="227"/>
      <c r="E250" s="227"/>
      <c r="F250" s="228"/>
      <c r="G250" s="229"/>
      <c r="H250" s="229"/>
      <c r="I250" s="230" t="s">
        <v>561</v>
      </c>
      <c r="J250" s="232"/>
      <c r="K250" s="228"/>
      <c r="L250" s="229"/>
      <c r="M250" s="229"/>
      <c r="N250" s="230" t="s">
        <v>561</v>
      </c>
      <c r="O250" s="232"/>
      <c r="P250" s="228"/>
      <c r="Q250" s="229"/>
      <c r="R250" s="229"/>
      <c r="S250" s="230" t="s">
        <v>561</v>
      </c>
      <c r="T250" s="232"/>
      <c r="U250" s="228"/>
      <c r="V250" s="229"/>
      <c r="W250" s="229"/>
      <c r="X250" s="230" t="s">
        <v>561</v>
      </c>
      <c r="Y250" s="232"/>
    </row>
    <row r="251" spans="1:25" ht="24" customHeight="1" thickBot="1" x14ac:dyDescent="0.25">
      <c r="F251" s="1079" t="s">
        <v>562</v>
      </c>
      <c r="G251" s="1080"/>
      <c r="H251" s="1080"/>
      <c r="I251" s="230" t="s">
        <v>561</v>
      </c>
      <c r="J251" s="231"/>
      <c r="K251" s="1079" t="s">
        <v>563</v>
      </c>
      <c r="L251" s="1080"/>
      <c r="M251" s="1080"/>
      <c r="N251" s="230" t="s">
        <v>561</v>
      </c>
      <c r="O251" s="232"/>
      <c r="P251" s="1079" t="s">
        <v>564</v>
      </c>
      <c r="Q251" s="1080"/>
      <c r="R251" s="1080"/>
      <c r="S251" s="230" t="s">
        <v>561</v>
      </c>
      <c r="T251" s="232"/>
      <c r="U251" s="1079" t="s">
        <v>565</v>
      </c>
      <c r="V251" s="1080"/>
      <c r="W251" s="1080"/>
      <c r="X251" s="230" t="s">
        <v>561</v>
      </c>
      <c r="Y251" s="232"/>
    </row>
    <row r="252" spans="1:25" ht="24" customHeight="1" thickBot="1" x14ac:dyDescent="0.25">
      <c r="F252" s="233"/>
      <c r="G252" s="234"/>
      <c r="H252" s="235" t="s">
        <v>566</v>
      </c>
      <c r="I252" s="235"/>
      <c r="J252" s="236"/>
      <c r="K252" s="1092" t="s">
        <v>567</v>
      </c>
      <c r="L252" s="1085"/>
      <c r="M252" s="1085"/>
      <c r="N252" s="237" t="s">
        <v>561</v>
      </c>
      <c r="O252" s="238"/>
      <c r="P252" s="1092" t="s">
        <v>568</v>
      </c>
      <c r="Q252" s="1085"/>
      <c r="R252" s="1085"/>
      <c r="S252" s="237" t="s">
        <v>561</v>
      </c>
      <c r="T252" s="238"/>
      <c r="U252" s="1092" t="s">
        <v>569</v>
      </c>
      <c r="V252" s="1085"/>
      <c r="W252" s="1085"/>
      <c r="X252" s="237" t="s">
        <v>561</v>
      </c>
      <c r="Y252" s="239"/>
    </row>
    <row r="253" spans="1:25" ht="12.75" customHeight="1" x14ac:dyDescent="0.2">
      <c r="Y253" s="240" t="s">
        <v>570</v>
      </c>
    </row>
    <row r="254" spans="1:25" ht="15.75" customHeight="1" x14ac:dyDescent="0.2">
      <c r="B254" s="1091" t="s">
        <v>521</v>
      </c>
      <c r="C254" s="1091"/>
      <c r="D254" s="1091"/>
      <c r="E254" s="1091"/>
      <c r="F254" s="1091"/>
      <c r="G254" s="1091"/>
      <c r="H254" s="1091"/>
      <c r="I254" s="1091"/>
      <c r="J254" s="1091"/>
      <c r="K254" s="1091"/>
      <c r="L254" s="1091"/>
      <c r="O254" s="1091" t="s">
        <v>522</v>
      </c>
      <c r="P254" s="1091"/>
      <c r="Q254" s="1091"/>
      <c r="R254" s="1091"/>
      <c r="S254" s="1091"/>
      <c r="T254" s="1091"/>
      <c r="U254" s="1091"/>
      <c r="V254" s="1091"/>
      <c r="W254" s="1091"/>
      <c r="X254" s="1091"/>
      <c r="Y254" s="1091"/>
    </row>
    <row r="255" spans="1:25" ht="13.5" customHeight="1" x14ac:dyDescent="0.2">
      <c r="B255" s="1086" t="s">
        <v>1</v>
      </c>
      <c r="C255" s="1087"/>
      <c r="D255" s="1087"/>
      <c r="E255" s="1087"/>
      <c r="F255" s="1087"/>
      <c r="G255" s="1087"/>
      <c r="H255" s="1088"/>
      <c r="I255" s="1086" t="s">
        <v>520</v>
      </c>
      <c r="J255" s="1087"/>
      <c r="K255" s="1087"/>
      <c r="L255" s="1088"/>
      <c r="N255" s="241"/>
      <c r="O255" s="1086" t="s">
        <v>1</v>
      </c>
      <c r="P255" s="1087"/>
      <c r="Q255" s="1087"/>
      <c r="R255" s="1087"/>
      <c r="S255" s="1087"/>
      <c r="T255" s="1087"/>
      <c r="U255" s="1088"/>
      <c r="V255" s="1086" t="s">
        <v>520</v>
      </c>
      <c r="W255" s="1087"/>
      <c r="X255" s="1087"/>
      <c r="Y255" s="1088"/>
    </row>
    <row r="256" spans="1:25" ht="21.75" customHeight="1" x14ac:dyDescent="0.2">
      <c r="B256" s="242"/>
      <c r="C256" s="243"/>
      <c r="D256" s="243"/>
      <c r="E256" s="243"/>
      <c r="F256" s="243"/>
      <c r="G256" s="243"/>
      <c r="H256" s="243"/>
      <c r="I256" s="242"/>
      <c r="J256" s="243"/>
      <c r="K256" s="243"/>
      <c r="L256" s="244"/>
      <c r="N256" s="241"/>
      <c r="O256" s="242"/>
      <c r="P256" s="243"/>
      <c r="Q256" s="243"/>
      <c r="R256" s="243"/>
      <c r="S256" s="243"/>
      <c r="T256" s="243"/>
      <c r="U256" s="243"/>
      <c r="V256" s="242"/>
      <c r="W256" s="243"/>
      <c r="X256" s="243"/>
      <c r="Y256" s="244"/>
    </row>
    <row r="257" spans="1:25" ht="13.5" customHeight="1" x14ac:dyDescent="0.2"/>
    <row r="258" spans="1:25" ht="14.25" customHeight="1" thickBot="1" x14ac:dyDescent="0.25">
      <c r="A258" s="241"/>
      <c r="G258" s="305"/>
      <c r="H258" s="305"/>
      <c r="I258" s="1069" t="s">
        <v>0</v>
      </c>
      <c r="J258" s="1069"/>
      <c r="K258" s="1069"/>
      <c r="L258" s="1069"/>
      <c r="M258" s="1069"/>
      <c r="N258" s="1069"/>
      <c r="O258" s="1069"/>
      <c r="P258" s="1069" t="s">
        <v>374</v>
      </c>
      <c r="Q258" s="1069"/>
      <c r="R258" s="1069"/>
      <c r="S258" s="1069"/>
      <c r="T258" s="1069"/>
      <c r="U258" s="1069" t="s">
        <v>571</v>
      </c>
      <c r="V258" s="1069"/>
      <c r="W258" s="1069"/>
      <c r="X258" s="305"/>
      <c r="Y258" s="305"/>
    </row>
    <row r="259" spans="1:25" ht="20.25" customHeight="1" x14ac:dyDescent="0.2">
      <c r="A259" s="241"/>
      <c r="F259" s="1074" t="s">
        <v>584</v>
      </c>
      <c r="G259" s="1074"/>
      <c r="H259" s="1074"/>
      <c r="I259" s="316"/>
      <c r="J259" s="306"/>
      <c r="K259" s="306"/>
      <c r="L259" s="306"/>
      <c r="M259" s="306"/>
      <c r="N259" s="306"/>
      <c r="O259" s="306"/>
      <c r="P259" s="312"/>
      <c r="Q259" s="306"/>
      <c r="R259" s="307"/>
      <c r="S259" s="304"/>
      <c r="T259" s="313"/>
      <c r="U259" s="310"/>
      <c r="V259" s="1084" t="s">
        <v>495</v>
      </c>
      <c r="W259" s="308"/>
    </row>
    <row r="260" spans="1:25" ht="13.5" thickBot="1" x14ac:dyDescent="0.25">
      <c r="F260" s="1074"/>
      <c r="G260" s="1074"/>
      <c r="H260" s="1074"/>
      <c r="I260" s="303"/>
      <c r="J260" s="235"/>
      <c r="K260" s="235"/>
      <c r="L260" s="235"/>
      <c r="M260" s="235"/>
      <c r="N260" s="235"/>
      <c r="O260" s="235"/>
      <c r="P260" s="314"/>
      <c r="Q260" s="235"/>
      <c r="R260" s="234"/>
      <c r="S260" s="234"/>
      <c r="T260" s="315"/>
      <c r="U260" s="311"/>
      <c r="V260" s="1085"/>
      <c r="W260" s="309"/>
    </row>
    <row r="262" spans="1:25" ht="6.75" customHeight="1" x14ac:dyDescent="0.2"/>
    <row r="263" spans="1:25" s="218" customFormat="1" ht="23.25" customHeight="1" x14ac:dyDescent="0.2">
      <c r="A263" s="1072" t="s">
        <v>546</v>
      </c>
      <c r="B263" s="1073"/>
      <c r="C263" s="402"/>
      <c r="D263" s="1098" t="s">
        <v>628</v>
      </c>
      <c r="E263" s="1072"/>
      <c r="F263" s="1072"/>
      <c r="G263" s="1103"/>
      <c r="H263" s="1104"/>
      <c r="K263" s="218" t="str">
        <f>RIGHT(CATEG_IMPORTEE, LEN(CATEG_IMPORTEE) - 2)</f>
        <v>llèges Mixtes Etablissement</v>
      </c>
      <c r="T263" s="397" t="s">
        <v>627</v>
      </c>
      <c r="U263" s="401">
        <v>10</v>
      </c>
      <c r="V263" s="396" t="s">
        <v>547</v>
      </c>
      <c r="W263" s="401"/>
      <c r="X263" s="395"/>
    </row>
    <row r="264" spans="1:25" ht="27" customHeight="1" thickBot="1" x14ac:dyDescent="0.25">
      <c r="B264" s="1069" t="s">
        <v>0</v>
      </c>
      <c r="C264" s="1069"/>
      <c r="D264" s="1069"/>
      <c r="E264" s="1069"/>
      <c r="F264" s="1069"/>
      <c r="G264" s="1069"/>
      <c r="H264" s="1069"/>
      <c r="I264" s="1069" t="s">
        <v>374</v>
      </c>
      <c r="J264" s="1069"/>
      <c r="K264" s="1069"/>
      <c r="L264" s="1069"/>
      <c r="O264" s="1069" t="s">
        <v>0</v>
      </c>
      <c r="P264" s="1069"/>
      <c r="Q264" s="1069"/>
      <c r="R264" s="1069"/>
      <c r="S264" s="1069"/>
      <c r="T264" s="1069"/>
      <c r="U264" s="1069"/>
      <c r="V264" s="1069" t="s">
        <v>374</v>
      </c>
      <c r="W264" s="1069"/>
      <c r="X264" s="1069"/>
      <c r="Y264" s="1069"/>
    </row>
    <row r="265" spans="1:25" ht="24" customHeight="1" thickBot="1" x14ac:dyDescent="0.25">
      <c r="A265" s="219"/>
      <c r="B265" s="398" t="str">
        <f>VLOOKUP(U263,TBL_equipe,2,FALSE)</f>
        <v/>
      </c>
      <c r="C265" s="399"/>
      <c r="D265" s="399"/>
      <c r="E265" s="399"/>
      <c r="F265" s="399"/>
      <c r="G265" s="399"/>
      <c r="H265" s="400"/>
      <c r="I265" s="257" t="str">
        <f>VLOOKUP(U263,TBL_equipe,4,FALSE)</f>
        <v/>
      </c>
      <c r="J265" s="220"/>
      <c r="K265" s="220"/>
      <c r="L265" s="221"/>
      <c r="M265" s="1070" t="s">
        <v>547</v>
      </c>
      <c r="N265" s="1071"/>
      <c r="O265" s="398" t="e">
        <f>VLOOKUP(W263,TBL_equipe,2,FALSE)</f>
        <v>#N/A</v>
      </c>
      <c r="P265" s="220"/>
      <c r="Q265" s="220"/>
      <c r="R265" s="220"/>
      <c r="S265" s="220"/>
      <c r="T265" s="220"/>
      <c r="U265" s="221"/>
      <c r="V265" s="257" t="e">
        <f>VLOOKUP(W263,TBL_equipe,4,FALSE)</f>
        <v>#N/A</v>
      </c>
      <c r="W265" s="220"/>
      <c r="X265" s="220"/>
      <c r="Y265" s="221"/>
    </row>
    <row r="266" spans="1:25" ht="15" customHeight="1" x14ac:dyDescent="0.2"/>
    <row r="267" spans="1:25" ht="20.100000000000001" customHeight="1" x14ac:dyDescent="0.2">
      <c r="A267" s="1074" t="s">
        <v>548</v>
      </c>
      <c r="B267" s="1074"/>
      <c r="C267" s="1074"/>
      <c r="D267" s="1074"/>
      <c r="E267" s="1074"/>
    </row>
    <row r="268" spans="1:25" ht="20.100000000000001" customHeight="1" x14ac:dyDescent="0.2">
      <c r="A268" s="1075" t="s">
        <v>549</v>
      </c>
      <c r="B268" s="1075"/>
      <c r="C268" s="1075"/>
      <c r="D268" s="1075"/>
      <c r="E268" s="1075"/>
      <c r="G268" s="1076" t="s">
        <v>480</v>
      </c>
      <c r="H268" s="1076"/>
      <c r="I268" s="1077" t="s">
        <v>550</v>
      </c>
      <c r="J268" s="1077"/>
      <c r="K268" s="1077"/>
      <c r="L268" s="252" t="s">
        <v>551</v>
      </c>
      <c r="M268" s="1078" t="s">
        <v>552</v>
      </c>
      <c r="N268" s="1078"/>
      <c r="O268" s="251"/>
    </row>
    <row r="269" spans="1:25" ht="24" customHeight="1" x14ac:dyDescent="0.2">
      <c r="A269" s="258" t="str">
        <f>VLOOKUP(U263,TBL_equipe,5,FALSE)</f>
        <v/>
      </c>
      <c r="B269" s="223"/>
      <c r="C269" s="259" t="str">
        <f>VLOOKUP(U263,TBL_equipe,6,FALSE)</f>
        <v/>
      </c>
      <c r="D269" s="223"/>
      <c r="E269" s="224"/>
      <c r="F269" s="219"/>
      <c r="G269" s="403" t="str">
        <f>VLOOKUP(U263,TBL_equipe,9,FALSE)</f>
        <v/>
      </c>
      <c r="H269" s="224"/>
      <c r="I269" s="222"/>
      <c r="J269" s="246" t="str">
        <f>VLOOKUP(U263,TBL_equipe,8,FALSE)</f>
        <v/>
      </c>
      <c r="K269" s="224"/>
      <c r="L269" s="260" t="str">
        <f>VLOOKUP(U263,TBL_equipe,10,FALSE)</f>
        <v/>
      </c>
      <c r="M269" s="287">
        <f>G263</f>
        <v>0</v>
      </c>
      <c r="N269" s="288"/>
      <c r="O269" s="249"/>
      <c r="R269" s="254"/>
      <c r="S269" s="254"/>
      <c r="T269" s="254" t="s">
        <v>51</v>
      </c>
      <c r="U269" s="254"/>
      <c r="V269" s="254"/>
      <c r="W269" s="254"/>
      <c r="X269" s="254"/>
      <c r="Y269" s="254"/>
    </row>
    <row r="270" spans="1:25" ht="24" customHeight="1" x14ac:dyDescent="0.2">
      <c r="A270" s="258" t="str">
        <f>VLOOKUP(U263,TBL_equipe,11,FALSE)</f>
        <v/>
      </c>
      <c r="B270" s="223"/>
      <c r="C270" s="259" t="str">
        <f>VLOOKUP(U263,TBL_equipe,12,FALSE)</f>
        <v/>
      </c>
      <c r="D270" s="223"/>
      <c r="E270" s="224"/>
      <c r="F270" s="219"/>
      <c r="G270" s="403" t="str">
        <f>VLOOKUP(U263,TBL_equipe,15,FALSE)</f>
        <v/>
      </c>
      <c r="H270" s="224"/>
      <c r="I270" s="222"/>
      <c r="J270" s="246" t="str">
        <f>VLOOKUP(U263,TBL_equipe,14,FALSE)</f>
        <v/>
      </c>
      <c r="K270" s="224"/>
      <c r="L270" s="260" t="str">
        <f>VLOOKUP(U263,TBL_equipe,16,FALSE)</f>
        <v/>
      </c>
      <c r="M270" s="287">
        <f>G263</f>
        <v>0</v>
      </c>
      <c r="N270" s="288"/>
      <c r="O270" s="249"/>
      <c r="Q270" s="254"/>
      <c r="R270" s="254"/>
      <c r="S270" s="254"/>
      <c r="T270" s="254"/>
      <c r="U270" s="254"/>
      <c r="V270" s="254"/>
      <c r="W270" s="254"/>
      <c r="X270" s="254"/>
      <c r="Y270" s="254"/>
    </row>
    <row r="271" spans="1:25" ht="24" customHeight="1" x14ac:dyDescent="0.2">
      <c r="A271" s="258" t="str">
        <f>VLOOKUP(U263,TBL_equipe,17,FALSE)</f>
        <v/>
      </c>
      <c r="B271" s="223"/>
      <c r="C271" s="259" t="str">
        <f>VLOOKUP(U263,TBL_equipe,18,FALSE)</f>
        <v/>
      </c>
      <c r="D271" s="223"/>
      <c r="E271" s="224"/>
      <c r="F271" s="219"/>
      <c r="G271" s="403" t="str">
        <f>VLOOKUP(U263,TBL_equipe,21,FALSE)</f>
        <v/>
      </c>
      <c r="H271" s="224"/>
      <c r="I271" s="222"/>
      <c r="J271" s="246" t="str">
        <f>VLOOKUP(U263,TBL_equipe,20,FALSE)</f>
        <v/>
      </c>
      <c r="K271" s="224"/>
      <c r="L271" s="260" t="str">
        <f>VLOOKUP(U263,TBL_equipe,22,FALSE)</f>
        <v/>
      </c>
      <c r="M271" s="287">
        <f>G263</f>
        <v>0</v>
      </c>
      <c r="N271" s="288"/>
      <c r="O271" s="249"/>
      <c r="Q271" s="254"/>
      <c r="R271" s="254"/>
      <c r="S271" s="254"/>
      <c r="T271" s="254"/>
      <c r="U271" s="254"/>
      <c r="V271" s="254"/>
      <c r="W271" s="254"/>
      <c r="X271" s="254"/>
      <c r="Y271" s="254"/>
    </row>
    <row r="272" spans="1:25" ht="24" customHeight="1" x14ac:dyDescent="0.2">
      <c r="A272" s="258" t="str">
        <f>VLOOKUP(U263,TBL_equipe,23,FALSE)</f>
        <v/>
      </c>
      <c r="B272" s="223"/>
      <c r="C272" s="259" t="str">
        <f>VLOOKUP(U263,TBL_equipe,24,FALSE)</f>
        <v/>
      </c>
      <c r="D272" s="223"/>
      <c r="E272" s="224"/>
      <c r="F272" s="219"/>
      <c r="G272" s="403" t="str">
        <f>VLOOKUP(U263,TBL_equipe,27,FALSE)</f>
        <v/>
      </c>
      <c r="H272" s="224"/>
      <c r="I272" s="222"/>
      <c r="J272" s="246" t="str">
        <f>VLOOKUP(U263,TBL_equipe,26,FALSE)</f>
        <v/>
      </c>
      <c r="K272" s="224"/>
      <c r="L272" s="260" t="str">
        <f>VLOOKUP(U263,TBL_equipe,28,FALSE)</f>
        <v/>
      </c>
      <c r="M272" s="289">
        <f>G263</f>
        <v>0</v>
      </c>
      <c r="N272" s="290"/>
      <c r="O272" s="249"/>
    </row>
    <row r="273" spans="1:25" ht="15" customHeight="1" thickBot="1" x14ac:dyDescent="0.25"/>
    <row r="274" spans="1:25" ht="20.100000000000001" customHeight="1" x14ac:dyDescent="0.2">
      <c r="F274" s="1081" t="s">
        <v>555</v>
      </c>
      <c r="G274" s="1082"/>
      <c r="H274" s="1082"/>
      <c r="I274" s="1082"/>
      <c r="J274" s="1083"/>
      <c r="K274" s="1081" t="s">
        <v>556</v>
      </c>
      <c r="L274" s="1082"/>
      <c r="M274" s="1082"/>
      <c r="N274" s="1082"/>
      <c r="O274" s="1083"/>
      <c r="P274" s="1081" t="s">
        <v>557</v>
      </c>
      <c r="Q274" s="1082"/>
      <c r="R274" s="1082"/>
      <c r="S274" s="1082"/>
      <c r="T274" s="1083"/>
      <c r="U274" s="1081" t="s">
        <v>558</v>
      </c>
      <c r="V274" s="1082"/>
      <c r="W274" s="1082"/>
      <c r="X274" s="1082"/>
      <c r="Y274" s="1083"/>
    </row>
    <row r="275" spans="1:25" ht="20.100000000000001" customHeight="1" x14ac:dyDescent="0.2">
      <c r="A275" s="1075" t="s">
        <v>559</v>
      </c>
      <c r="B275" s="1075"/>
      <c r="C275" s="1075"/>
      <c r="D275" s="1075"/>
      <c r="E275" s="1089"/>
      <c r="F275" s="1090" t="s">
        <v>560</v>
      </c>
      <c r="G275" s="1075"/>
      <c r="H275" s="1075"/>
      <c r="J275" s="225" t="s">
        <v>7</v>
      </c>
      <c r="K275" s="1090" t="s">
        <v>560</v>
      </c>
      <c r="L275" s="1075"/>
      <c r="M275" s="1075"/>
      <c r="O275" s="225" t="s">
        <v>7</v>
      </c>
      <c r="P275" s="1090" t="s">
        <v>560</v>
      </c>
      <c r="Q275" s="1075"/>
      <c r="R275" s="1075"/>
      <c r="T275" s="225" t="s">
        <v>7</v>
      </c>
      <c r="U275" s="1090" t="s">
        <v>560</v>
      </c>
      <c r="V275" s="1075"/>
      <c r="W275" s="1075"/>
      <c r="Y275" s="225" t="s">
        <v>7</v>
      </c>
    </row>
    <row r="276" spans="1:25" ht="24" customHeight="1" x14ac:dyDescent="0.2">
      <c r="A276" s="261" t="str">
        <f>A269</f>
        <v/>
      </c>
      <c r="B276" s="227"/>
      <c r="C276" s="262" t="str">
        <f>C269</f>
        <v/>
      </c>
      <c r="D276" s="227"/>
      <c r="E276" s="227"/>
      <c r="F276" s="228"/>
      <c r="G276" s="229"/>
      <c r="H276" s="229"/>
      <c r="I276" s="230" t="s">
        <v>561</v>
      </c>
      <c r="J276" s="231"/>
      <c r="K276" s="228"/>
      <c r="L276" s="229"/>
      <c r="M276" s="229"/>
      <c r="N276" s="230" t="s">
        <v>561</v>
      </c>
      <c r="O276" s="231"/>
      <c r="P276" s="228"/>
      <c r="Q276" s="229"/>
      <c r="R276" s="229"/>
      <c r="S276" s="230" t="s">
        <v>561</v>
      </c>
      <c r="T276" s="231"/>
      <c r="U276" s="228"/>
      <c r="V276" s="229"/>
      <c r="W276" s="229"/>
      <c r="X276" s="230" t="s">
        <v>561</v>
      </c>
      <c r="Y276" s="231"/>
    </row>
    <row r="277" spans="1:25" ht="24" customHeight="1" x14ac:dyDescent="0.2">
      <c r="A277" s="261" t="str">
        <f>A270</f>
        <v/>
      </c>
      <c r="B277" s="227"/>
      <c r="C277" s="262" t="str">
        <f>C270</f>
        <v/>
      </c>
      <c r="D277" s="227"/>
      <c r="E277" s="227"/>
      <c r="F277" s="228"/>
      <c r="G277" s="229"/>
      <c r="H277" s="229"/>
      <c r="I277" s="230" t="s">
        <v>561</v>
      </c>
      <c r="J277" s="231"/>
      <c r="K277" s="228"/>
      <c r="L277" s="229"/>
      <c r="M277" s="229"/>
      <c r="N277" s="230" t="s">
        <v>561</v>
      </c>
      <c r="O277" s="231"/>
      <c r="P277" s="228"/>
      <c r="Q277" s="229"/>
      <c r="R277" s="229"/>
      <c r="S277" s="230" t="s">
        <v>561</v>
      </c>
      <c r="T277" s="231"/>
      <c r="U277" s="228"/>
      <c r="V277" s="229"/>
      <c r="W277" s="229"/>
      <c r="X277" s="230" t="s">
        <v>561</v>
      </c>
      <c r="Y277" s="231"/>
    </row>
    <row r="278" spans="1:25" ht="24" customHeight="1" x14ac:dyDescent="0.2">
      <c r="A278" s="261" t="str">
        <f>A271</f>
        <v/>
      </c>
      <c r="B278" s="227"/>
      <c r="C278" s="262" t="str">
        <f>C271</f>
        <v/>
      </c>
      <c r="D278" s="227"/>
      <c r="E278" s="227"/>
      <c r="F278" s="228"/>
      <c r="G278" s="229"/>
      <c r="H278" s="229"/>
      <c r="I278" s="230" t="s">
        <v>561</v>
      </c>
      <c r="J278" s="231"/>
      <c r="K278" s="228"/>
      <c r="L278" s="229"/>
      <c r="M278" s="229"/>
      <c r="N278" s="230" t="s">
        <v>561</v>
      </c>
      <c r="O278" s="231"/>
      <c r="P278" s="228"/>
      <c r="Q278" s="229"/>
      <c r="R278" s="229"/>
      <c r="S278" s="230" t="s">
        <v>561</v>
      </c>
      <c r="T278" s="231"/>
      <c r="U278" s="228"/>
      <c r="V278" s="229"/>
      <c r="W278" s="229"/>
      <c r="X278" s="230" t="s">
        <v>561</v>
      </c>
      <c r="Y278" s="231"/>
    </row>
    <row r="279" spans="1:25" ht="24" customHeight="1" x14ac:dyDescent="0.2">
      <c r="A279" s="261" t="str">
        <f>A272</f>
        <v/>
      </c>
      <c r="B279" s="227"/>
      <c r="C279" s="262" t="str">
        <f>C272</f>
        <v/>
      </c>
      <c r="D279" s="227"/>
      <c r="E279" s="227"/>
      <c r="F279" s="228"/>
      <c r="G279" s="229"/>
      <c r="H279" s="229"/>
      <c r="I279" s="230" t="s">
        <v>561</v>
      </c>
      <c r="J279" s="232"/>
      <c r="K279" s="228"/>
      <c r="L279" s="229"/>
      <c r="M279" s="229"/>
      <c r="N279" s="230" t="s">
        <v>561</v>
      </c>
      <c r="O279" s="232"/>
      <c r="P279" s="228"/>
      <c r="Q279" s="229"/>
      <c r="R279" s="229"/>
      <c r="S279" s="230" t="s">
        <v>561</v>
      </c>
      <c r="T279" s="232"/>
      <c r="U279" s="228"/>
      <c r="V279" s="229"/>
      <c r="W279" s="229"/>
      <c r="X279" s="230" t="s">
        <v>561</v>
      </c>
      <c r="Y279" s="232"/>
    </row>
    <row r="280" spans="1:25" ht="24" customHeight="1" thickBot="1" x14ac:dyDescent="0.25">
      <c r="F280" s="1079" t="s">
        <v>562</v>
      </c>
      <c r="G280" s="1080"/>
      <c r="H280" s="1080"/>
      <c r="I280" s="230" t="s">
        <v>561</v>
      </c>
      <c r="J280" s="231"/>
      <c r="K280" s="1079" t="s">
        <v>563</v>
      </c>
      <c r="L280" s="1080"/>
      <c r="M280" s="1080"/>
      <c r="N280" s="230" t="s">
        <v>561</v>
      </c>
      <c r="O280" s="232"/>
      <c r="P280" s="1079" t="s">
        <v>564</v>
      </c>
      <c r="Q280" s="1080"/>
      <c r="R280" s="1080"/>
      <c r="S280" s="230" t="s">
        <v>561</v>
      </c>
      <c r="T280" s="232"/>
      <c r="U280" s="1079" t="s">
        <v>565</v>
      </c>
      <c r="V280" s="1080"/>
      <c r="W280" s="1080"/>
      <c r="X280" s="230" t="s">
        <v>561</v>
      </c>
      <c r="Y280" s="232"/>
    </row>
    <row r="281" spans="1:25" ht="24" customHeight="1" thickBot="1" x14ac:dyDescent="0.25">
      <c r="F281" s="233"/>
      <c r="G281" s="234"/>
      <c r="H281" s="235" t="s">
        <v>566</v>
      </c>
      <c r="I281" s="235"/>
      <c r="J281" s="236"/>
      <c r="K281" s="1092" t="s">
        <v>567</v>
      </c>
      <c r="L281" s="1085"/>
      <c r="M281" s="1085"/>
      <c r="N281" s="237" t="s">
        <v>561</v>
      </c>
      <c r="O281" s="238"/>
      <c r="P281" s="1092" t="s">
        <v>568</v>
      </c>
      <c r="Q281" s="1085"/>
      <c r="R281" s="1085"/>
      <c r="S281" s="237" t="s">
        <v>561</v>
      </c>
      <c r="T281" s="238"/>
      <c r="U281" s="1092" t="s">
        <v>569</v>
      </c>
      <c r="V281" s="1085"/>
      <c r="W281" s="1085"/>
      <c r="X281" s="237" t="s">
        <v>561</v>
      </c>
      <c r="Y281" s="239"/>
    </row>
    <row r="282" spans="1:25" ht="12.75" customHeight="1" x14ac:dyDescent="0.2">
      <c r="Y282" s="240" t="s">
        <v>570</v>
      </c>
    </row>
    <row r="283" spans="1:25" ht="15.75" customHeight="1" x14ac:dyDescent="0.2">
      <c r="B283" s="1091" t="s">
        <v>521</v>
      </c>
      <c r="C283" s="1091"/>
      <c r="D283" s="1091"/>
      <c r="E283" s="1091"/>
      <c r="F283" s="1091"/>
      <c r="G283" s="1091"/>
      <c r="H283" s="1091"/>
      <c r="I283" s="1091"/>
      <c r="J283" s="1091"/>
      <c r="K283" s="1091"/>
      <c r="L283" s="1091"/>
      <c r="O283" s="1091" t="s">
        <v>522</v>
      </c>
      <c r="P283" s="1091"/>
      <c r="Q283" s="1091"/>
      <c r="R283" s="1091"/>
      <c r="S283" s="1091"/>
      <c r="T283" s="1091"/>
      <c r="U283" s="1091"/>
      <c r="V283" s="1091"/>
      <c r="W283" s="1091"/>
      <c r="X283" s="1091"/>
      <c r="Y283" s="1091"/>
    </row>
    <row r="284" spans="1:25" ht="13.5" customHeight="1" x14ac:dyDescent="0.2">
      <c r="B284" s="1086" t="s">
        <v>1</v>
      </c>
      <c r="C284" s="1087"/>
      <c r="D284" s="1087"/>
      <c r="E284" s="1087"/>
      <c r="F284" s="1087"/>
      <c r="G284" s="1087"/>
      <c r="H284" s="1088"/>
      <c r="I284" s="1086" t="s">
        <v>520</v>
      </c>
      <c r="J284" s="1087"/>
      <c r="K284" s="1087"/>
      <c r="L284" s="1088"/>
      <c r="N284" s="241"/>
      <c r="O284" s="1086" t="s">
        <v>1</v>
      </c>
      <c r="P284" s="1087"/>
      <c r="Q284" s="1087"/>
      <c r="R284" s="1087"/>
      <c r="S284" s="1087"/>
      <c r="T284" s="1087"/>
      <c r="U284" s="1088"/>
      <c r="V284" s="1086" t="s">
        <v>520</v>
      </c>
      <c r="W284" s="1087"/>
      <c r="X284" s="1087"/>
      <c r="Y284" s="1088"/>
    </row>
    <row r="285" spans="1:25" ht="21.75" customHeight="1" x14ac:dyDescent="0.2">
      <c r="B285" s="242"/>
      <c r="C285" s="243"/>
      <c r="D285" s="243"/>
      <c r="E285" s="243"/>
      <c r="F285" s="243"/>
      <c r="G285" s="243"/>
      <c r="H285" s="243"/>
      <c r="I285" s="242"/>
      <c r="J285" s="243"/>
      <c r="K285" s="243"/>
      <c r="L285" s="244"/>
      <c r="N285" s="241"/>
      <c r="O285" s="242"/>
      <c r="P285" s="243"/>
      <c r="Q285" s="243"/>
      <c r="R285" s="243"/>
      <c r="S285" s="243"/>
      <c r="T285" s="243"/>
      <c r="U285" s="243"/>
      <c r="V285" s="242"/>
      <c r="W285" s="243"/>
      <c r="X285" s="243"/>
      <c r="Y285" s="244"/>
    </row>
    <row r="286" spans="1:25" ht="13.5" customHeight="1" x14ac:dyDescent="0.2"/>
    <row r="287" spans="1:25" ht="14.25" customHeight="1" thickBot="1" x14ac:dyDescent="0.25">
      <c r="A287" s="241"/>
      <c r="G287" s="305"/>
      <c r="H287" s="305"/>
      <c r="I287" s="1069" t="s">
        <v>0</v>
      </c>
      <c r="J287" s="1069"/>
      <c r="K287" s="1069"/>
      <c r="L287" s="1069"/>
      <c r="M287" s="1069"/>
      <c r="N287" s="1069"/>
      <c r="O287" s="1069"/>
      <c r="P287" s="1069" t="s">
        <v>374</v>
      </c>
      <c r="Q287" s="1069"/>
      <c r="R287" s="1069"/>
      <c r="S287" s="1069"/>
      <c r="T287" s="1069"/>
      <c r="U287" s="1069" t="s">
        <v>571</v>
      </c>
      <c r="V287" s="1069"/>
      <c r="W287" s="1069"/>
      <c r="X287" s="305"/>
      <c r="Y287" s="305"/>
    </row>
    <row r="288" spans="1:25" ht="20.25" customHeight="1" x14ac:dyDescent="0.2">
      <c r="A288" s="241"/>
      <c r="F288" s="1074" t="s">
        <v>584</v>
      </c>
      <c r="G288" s="1074"/>
      <c r="H288" s="1074"/>
      <c r="I288" s="316"/>
      <c r="J288" s="306"/>
      <c r="K288" s="306"/>
      <c r="L288" s="306"/>
      <c r="M288" s="306"/>
      <c r="N288" s="306"/>
      <c r="O288" s="306"/>
      <c r="P288" s="312"/>
      <c r="Q288" s="306"/>
      <c r="R288" s="307"/>
      <c r="S288" s="304"/>
      <c r="T288" s="313"/>
      <c r="U288" s="310"/>
      <c r="V288" s="1084" t="s">
        <v>495</v>
      </c>
      <c r="W288" s="308"/>
    </row>
    <row r="289" spans="1:25" ht="13.5" thickBot="1" x14ac:dyDescent="0.25">
      <c r="F289" s="1074"/>
      <c r="G289" s="1074"/>
      <c r="H289" s="1074"/>
      <c r="I289" s="303"/>
      <c r="J289" s="235"/>
      <c r="K289" s="235"/>
      <c r="L289" s="235"/>
      <c r="M289" s="235"/>
      <c r="N289" s="235"/>
      <c r="O289" s="235"/>
      <c r="P289" s="314"/>
      <c r="Q289" s="235"/>
      <c r="R289" s="234"/>
      <c r="S289" s="234"/>
      <c r="T289" s="315"/>
      <c r="U289" s="311"/>
      <c r="V289" s="1085"/>
      <c r="W289" s="309"/>
    </row>
    <row r="291" spans="1:25" ht="6.75" customHeight="1" x14ac:dyDescent="0.2"/>
    <row r="292" spans="1:25" s="218" customFormat="1" ht="23.25" customHeight="1" x14ac:dyDescent="0.2">
      <c r="A292" s="1072" t="s">
        <v>546</v>
      </c>
      <c r="B292" s="1073"/>
      <c r="C292" s="402"/>
      <c r="D292" s="1098" t="s">
        <v>628</v>
      </c>
      <c r="E292" s="1072"/>
      <c r="F292" s="1072"/>
      <c r="G292" s="1103"/>
      <c r="H292" s="1104"/>
      <c r="K292" s="218" t="str">
        <f>RIGHT(CATEG_IMPORTEE, LEN(CATEG_IMPORTEE) - 2)</f>
        <v>llèges Mixtes Etablissement</v>
      </c>
      <c r="T292" s="397" t="s">
        <v>627</v>
      </c>
      <c r="U292" s="401">
        <v>11</v>
      </c>
      <c r="V292" s="396" t="s">
        <v>547</v>
      </c>
      <c r="W292" s="401"/>
      <c r="X292" s="395"/>
    </row>
    <row r="293" spans="1:25" ht="27" customHeight="1" thickBot="1" x14ac:dyDescent="0.25">
      <c r="B293" s="1069" t="s">
        <v>0</v>
      </c>
      <c r="C293" s="1069"/>
      <c r="D293" s="1069"/>
      <c r="E293" s="1069"/>
      <c r="F293" s="1069"/>
      <c r="G293" s="1069"/>
      <c r="H293" s="1069"/>
      <c r="I293" s="1069" t="s">
        <v>374</v>
      </c>
      <c r="J293" s="1069"/>
      <c r="K293" s="1069"/>
      <c r="L293" s="1069"/>
      <c r="O293" s="1069" t="s">
        <v>0</v>
      </c>
      <c r="P293" s="1069"/>
      <c r="Q293" s="1069"/>
      <c r="R293" s="1069"/>
      <c r="S293" s="1069"/>
      <c r="T293" s="1069"/>
      <c r="U293" s="1069"/>
      <c r="V293" s="1069" t="s">
        <v>374</v>
      </c>
      <c r="W293" s="1069"/>
      <c r="X293" s="1069"/>
      <c r="Y293" s="1069"/>
    </row>
    <row r="294" spans="1:25" ht="24" customHeight="1" thickBot="1" x14ac:dyDescent="0.25">
      <c r="A294" s="219"/>
      <c r="B294" s="398" t="str">
        <f>VLOOKUP(U292,TBL_equipe,2,FALSE)</f>
        <v/>
      </c>
      <c r="C294" s="399"/>
      <c r="D294" s="399"/>
      <c r="E294" s="399"/>
      <c r="F294" s="399"/>
      <c r="G294" s="399"/>
      <c r="H294" s="400"/>
      <c r="I294" s="257" t="str">
        <f>VLOOKUP(U292,TBL_equipe,4,FALSE)</f>
        <v/>
      </c>
      <c r="J294" s="220"/>
      <c r="K294" s="220"/>
      <c r="L294" s="221"/>
      <c r="M294" s="1070" t="s">
        <v>547</v>
      </c>
      <c r="N294" s="1071"/>
      <c r="O294" s="398" t="e">
        <f>VLOOKUP(W292,TBL_equipe,2,FALSE)</f>
        <v>#N/A</v>
      </c>
      <c r="P294" s="220"/>
      <c r="Q294" s="220"/>
      <c r="R294" s="220"/>
      <c r="S294" s="220"/>
      <c r="T294" s="220"/>
      <c r="U294" s="221"/>
      <c r="V294" s="257" t="e">
        <f>VLOOKUP(W292,TBL_equipe,4,FALSE)</f>
        <v>#N/A</v>
      </c>
      <c r="W294" s="220"/>
      <c r="X294" s="220"/>
      <c r="Y294" s="221"/>
    </row>
    <row r="295" spans="1:25" ht="15" customHeight="1" x14ac:dyDescent="0.2"/>
    <row r="296" spans="1:25" ht="20.100000000000001" customHeight="1" x14ac:dyDescent="0.2">
      <c r="A296" s="1074" t="s">
        <v>548</v>
      </c>
      <c r="B296" s="1074"/>
      <c r="C296" s="1074"/>
      <c r="D296" s="1074"/>
      <c r="E296" s="1074"/>
    </row>
    <row r="297" spans="1:25" ht="20.100000000000001" customHeight="1" x14ac:dyDescent="0.2">
      <c r="A297" s="1075" t="s">
        <v>549</v>
      </c>
      <c r="B297" s="1075"/>
      <c r="C297" s="1075"/>
      <c r="D297" s="1075"/>
      <c r="E297" s="1075"/>
      <c r="G297" s="1076" t="s">
        <v>480</v>
      </c>
      <c r="H297" s="1076"/>
      <c r="I297" s="1077" t="s">
        <v>550</v>
      </c>
      <c r="J297" s="1077"/>
      <c r="K297" s="1077"/>
      <c r="L297" s="252" t="s">
        <v>551</v>
      </c>
      <c r="M297" s="1078" t="s">
        <v>552</v>
      </c>
      <c r="N297" s="1078"/>
      <c r="O297" s="251"/>
    </row>
    <row r="298" spans="1:25" ht="24" customHeight="1" x14ac:dyDescent="0.2">
      <c r="A298" s="258" t="str">
        <f>VLOOKUP(U292,TBL_equipe,5,FALSE)</f>
        <v/>
      </c>
      <c r="B298" s="223"/>
      <c r="C298" s="259" t="str">
        <f>VLOOKUP(U292,TBL_equipe,6,FALSE)</f>
        <v/>
      </c>
      <c r="D298" s="223"/>
      <c r="E298" s="224"/>
      <c r="F298" s="219"/>
      <c r="G298" s="403" t="str">
        <f>VLOOKUP(U292,TBL_equipe,9,FALSE)</f>
        <v/>
      </c>
      <c r="H298" s="224"/>
      <c r="I298" s="222"/>
      <c r="J298" s="246" t="str">
        <f>VLOOKUP(U292,TBL_equipe,8,FALSE)</f>
        <v/>
      </c>
      <c r="K298" s="224"/>
      <c r="L298" s="260" t="str">
        <f>VLOOKUP(U292,TBL_equipe,10,FALSE)</f>
        <v/>
      </c>
      <c r="M298" s="287">
        <f>G292</f>
        <v>0</v>
      </c>
      <c r="N298" s="288"/>
      <c r="O298" s="249"/>
      <c r="R298" s="254"/>
      <c r="S298" s="254"/>
      <c r="T298" s="254" t="s">
        <v>51</v>
      </c>
      <c r="U298" s="254"/>
      <c r="V298" s="254"/>
      <c r="W298" s="254"/>
      <c r="X298" s="254"/>
      <c r="Y298" s="254"/>
    </row>
    <row r="299" spans="1:25" ht="24" customHeight="1" x14ac:dyDescent="0.2">
      <c r="A299" s="258" t="str">
        <f>VLOOKUP(U292,TBL_equipe,11,FALSE)</f>
        <v/>
      </c>
      <c r="B299" s="223"/>
      <c r="C299" s="259" t="str">
        <f>VLOOKUP(U292,TBL_equipe,12,FALSE)</f>
        <v/>
      </c>
      <c r="D299" s="223"/>
      <c r="E299" s="224"/>
      <c r="F299" s="219"/>
      <c r="G299" s="403" t="str">
        <f>VLOOKUP(U292,TBL_equipe,15,FALSE)</f>
        <v/>
      </c>
      <c r="H299" s="224"/>
      <c r="I299" s="222"/>
      <c r="J299" s="246" t="str">
        <f>VLOOKUP(U292,TBL_equipe,14,FALSE)</f>
        <v/>
      </c>
      <c r="K299" s="224"/>
      <c r="L299" s="260" t="str">
        <f>VLOOKUP(U292,TBL_equipe,16,FALSE)</f>
        <v/>
      </c>
      <c r="M299" s="287">
        <f>G292</f>
        <v>0</v>
      </c>
      <c r="N299" s="288"/>
      <c r="O299" s="249"/>
      <c r="Q299" s="254"/>
      <c r="R299" s="254"/>
      <c r="S299" s="254"/>
      <c r="T299" s="254"/>
      <c r="U299" s="254"/>
      <c r="V299" s="254"/>
      <c r="W299" s="254"/>
      <c r="X299" s="254"/>
      <c r="Y299" s="254"/>
    </row>
    <row r="300" spans="1:25" ht="24" customHeight="1" x14ac:dyDescent="0.2">
      <c r="A300" s="258" t="str">
        <f>VLOOKUP(U292,TBL_equipe,17,FALSE)</f>
        <v/>
      </c>
      <c r="B300" s="223"/>
      <c r="C300" s="259" t="str">
        <f>VLOOKUP(U292,TBL_equipe,18,FALSE)</f>
        <v/>
      </c>
      <c r="D300" s="223"/>
      <c r="E300" s="224"/>
      <c r="F300" s="219"/>
      <c r="G300" s="403" t="str">
        <f>VLOOKUP(U292,TBL_equipe,21,FALSE)</f>
        <v/>
      </c>
      <c r="H300" s="224"/>
      <c r="I300" s="222"/>
      <c r="J300" s="246" t="str">
        <f>VLOOKUP(U292,TBL_equipe,20,FALSE)</f>
        <v/>
      </c>
      <c r="K300" s="224"/>
      <c r="L300" s="260" t="str">
        <f>VLOOKUP(U292,TBL_equipe,22,FALSE)</f>
        <v/>
      </c>
      <c r="M300" s="287">
        <f>G292</f>
        <v>0</v>
      </c>
      <c r="N300" s="288"/>
      <c r="O300" s="249"/>
      <c r="Q300" s="254"/>
      <c r="R300" s="254"/>
      <c r="S300" s="254"/>
      <c r="T300" s="254"/>
      <c r="U300" s="254"/>
      <c r="V300" s="254"/>
      <c r="W300" s="254"/>
      <c r="X300" s="254"/>
      <c r="Y300" s="254"/>
    </row>
    <row r="301" spans="1:25" ht="24" customHeight="1" x14ac:dyDescent="0.2">
      <c r="A301" s="258" t="str">
        <f>VLOOKUP(U292,TBL_equipe,23,FALSE)</f>
        <v/>
      </c>
      <c r="B301" s="223"/>
      <c r="C301" s="259" t="str">
        <f>VLOOKUP(U292,TBL_equipe,24,FALSE)</f>
        <v/>
      </c>
      <c r="D301" s="223"/>
      <c r="E301" s="224"/>
      <c r="F301" s="219"/>
      <c r="G301" s="403" t="str">
        <f>VLOOKUP(U292,TBL_equipe,27,FALSE)</f>
        <v/>
      </c>
      <c r="H301" s="224"/>
      <c r="I301" s="222"/>
      <c r="J301" s="246" t="str">
        <f>VLOOKUP(U292,TBL_equipe,26,FALSE)</f>
        <v/>
      </c>
      <c r="K301" s="224"/>
      <c r="L301" s="260" t="str">
        <f>VLOOKUP(U292,TBL_equipe,28,FALSE)</f>
        <v/>
      </c>
      <c r="M301" s="289">
        <f>G292</f>
        <v>0</v>
      </c>
      <c r="N301" s="290"/>
      <c r="O301" s="249"/>
    </row>
    <row r="302" spans="1:25" ht="15" customHeight="1" thickBot="1" x14ac:dyDescent="0.25"/>
    <row r="303" spans="1:25" ht="20.100000000000001" customHeight="1" x14ac:dyDescent="0.2">
      <c r="F303" s="1081" t="s">
        <v>555</v>
      </c>
      <c r="G303" s="1082"/>
      <c r="H303" s="1082"/>
      <c r="I303" s="1082"/>
      <c r="J303" s="1083"/>
      <c r="K303" s="1081" t="s">
        <v>556</v>
      </c>
      <c r="L303" s="1082"/>
      <c r="M303" s="1082"/>
      <c r="N303" s="1082"/>
      <c r="O303" s="1083"/>
      <c r="P303" s="1081" t="s">
        <v>557</v>
      </c>
      <c r="Q303" s="1082"/>
      <c r="R303" s="1082"/>
      <c r="S303" s="1082"/>
      <c r="T303" s="1083"/>
      <c r="U303" s="1081" t="s">
        <v>558</v>
      </c>
      <c r="V303" s="1082"/>
      <c r="W303" s="1082"/>
      <c r="X303" s="1082"/>
      <c r="Y303" s="1083"/>
    </row>
    <row r="304" spans="1:25" ht="20.100000000000001" customHeight="1" x14ac:dyDescent="0.2">
      <c r="A304" s="1075" t="s">
        <v>559</v>
      </c>
      <c r="B304" s="1075"/>
      <c r="C304" s="1075"/>
      <c r="D304" s="1075"/>
      <c r="E304" s="1089"/>
      <c r="F304" s="1090" t="s">
        <v>560</v>
      </c>
      <c r="G304" s="1075"/>
      <c r="H304" s="1075"/>
      <c r="J304" s="225" t="s">
        <v>7</v>
      </c>
      <c r="K304" s="1090" t="s">
        <v>560</v>
      </c>
      <c r="L304" s="1075"/>
      <c r="M304" s="1075"/>
      <c r="O304" s="225" t="s">
        <v>7</v>
      </c>
      <c r="P304" s="1090" t="s">
        <v>560</v>
      </c>
      <c r="Q304" s="1075"/>
      <c r="R304" s="1075"/>
      <c r="T304" s="225" t="s">
        <v>7</v>
      </c>
      <c r="U304" s="1090" t="s">
        <v>560</v>
      </c>
      <c r="V304" s="1075"/>
      <c r="W304" s="1075"/>
      <c r="Y304" s="225" t="s">
        <v>7</v>
      </c>
    </row>
    <row r="305" spans="1:25" ht="24" customHeight="1" x14ac:dyDescent="0.2">
      <c r="A305" s="261" t="str">
        <f>A298</f>
        <v/>
      </c>
      <c r="B305" s="227"/>
      <c r="C305" s="262" t="str">
        <f>C298</f>
        <v/>
      </c>
      <c r="D305" s="227"/>
      <c r="E305" s="227"/>
      <c r="F305" s="228"/>
      <c r="G305" s="229"/>
      <c r="H305" s="229"/>
      <c r="I305" s="230" t="s">
        <v>561</v>
      </c>
      <c r="J305" s="231"/>
      <c r="K305" s="228"/>
      <c r="L305" s="229"/>
      <c r="M305" s="229"/>
      <c r="N305" s="230" t="s">
        <v>561</v>
      </c>
      <c r="O305" s="231"/>
      <c r="P305" s="228"/>
      <c r="Q305" s="229"/>
      <c r="R305" s="229"/>
      <c r="S305" s="230" t="s">
        <v>561</v>
      </c>
      <c r="T305" s="231"/>
      <c r="U305" s="228"/>
      <c r="V305" s="229"/>
      <c r="W305" s="229"/>
      <c r="X305" s="230" t="s">
        <v>561</v>
      </c>
      <c r="Y305" s="231"/>
    </row>
    <row r="306" spans="1:25" ht="24" customHeight="1" x14ac:dyDescent="0.2">
      <c r="A306" s="261" t="str">
        <f>A299</f>
        <v/>
      </c>
      <c r="B306" s="227"/>
      <c r="C306" s="262" t="str">
        <f>C299</f>
        <v/>
      </c>
      <c r="D306" s="227"/>
      <c r="E306" s="227"/>
      <c r="F306" s="228"/>
      <c r="G306" s="229"/>
      <c r="H306" s="229"/>
      <c r="I306" s="230" t="s">
        <v>561</v>
      </c>
      <c r="J306" s="231"/>
      <c r="K306" s="228"/>
      <c r="L306" s="229"/>
      <c r="M306" s="229"/>
      <c r="N306" s="230" t="s">
        <v>561</v>
      </c>
      <c r="O306" s="231"/>
      <c r="P306" s="228"/>
      <c r="Q306" s="229"/>
      <c r="R306" s="229"/>
      <c r="S306" s="230" t="s">
        <v>561</v>
      </c>
      <c r="T306" s="231"/>
      <c r="U306" s="228"/>
      <c r="V306" s="229"/>
      <c r="W306" s="229"/>
      <c r="X306" s="230" t="s">
        <v>561</v>
      </c>
      <c r="Y306" s="231"/>
    </row>
    <row r="307" spans="1:25" ht="24" customHeight="1" x14ac:dyDescent="0.2">
      <c r="A307" s="261" t="str">
        <f>A300</f>
        <v/>
      </c>
      <c r="B307" s="227"/>
      <c r="C307" s="262" t="str">
        <f>C300</f>
        <v/>
      </c>
      <c r="D307" s="227"/>
      <c r="E307" s="227"/>
      <c r="F307" s="228"/>
      <c r="G307" s="229"/>
      <c r="H307" s="229"/>
      <c r="I307" s="230" t="s">
        <v>561</v>
      </c>
      <c r="J307" s="231"/>
      <c r="K307" s="228"/>
      <c r="L307" s="229"/>
      <c r="M307" s="229"/>
      <c r="N307" s="230" t="s">
        <v>561</v>
      </c>
      <c r="O307" s="231"/>
      <c r="P307" s="228"/>
      <c r="Q307" s="229"/>
      <c r="R307" s="229"/>
      <c r="S307" s="230" t="s">
        <v>561</v>
      </c>
      <c r="T307" s="231"/>
      <c r="U307" s="228"/>
      <c r="V307" s="229"/>
      <c r="W307" s="229"/>
      <c r="X307" s="230" t="s">
        <v>561</v>
      </c>
      <c r="Y307" s="231"/>
    </row>
    <row r="308" spans="1:25" ht="24" customHeight="1" x14ac:dyDescent="0.2">
      <c r="A308" s="261" t="str">
        <f>A301</f>
        <v/>
      </c>
      <c r="B308" s="227"/>
      <c r="C308" s="262" t="str">
        <f>C301</f>
        <v/>
      </c>
      <c r="D308" s="227"/>
      <c r="E308" s="227"/>
      <c r="F308" s="228"/>
      <c r="G308" s="229"/>
      <c r="H308" s="229"/>
      <c r="I308" s="230" t="s">
        <v>561</v>
      </c>
      <c r="J308" s="232"/>
      <c r="K308" s="228"/>
      <c r="L308" s="229"/>
      <c r="M308" s="229"/>
      <c r="N308" s="230" t="s">
        <v>561</v>
      </c>
      <c r="O308" s="232"/>
      <c r="P308" s="228"/>
      <c r="Q308" s="229"/>
      <c r="R308" s="229"/>
      <c r="S308" s="230" t="s">
        <v>561</v>
      </c>
      <c r="T308" s="232"/>
      <c r="U308" s="228"/>
      <c r="V308" s="229"/>
      <c r="W308" s="229"/>
      <c r="X308" s="230" t="s">
        <v>561</v>
      </c>
      <c r="Y308" s="232"/>
    </row>
    <row r="309" spans="1:25" ht="24" customHeight="1" thickBot="1" x14ac:dyDescent="0.25">
      <c r="F309" s="1079" t="s">
        <v>562</v>
      </c>
      <c r="G309" s="1080"/>
      <c r="H309" s="1080"/>
      <c r="I309" s="230" t="s">
        <v>561</v>
      </c>
      <c r="J309" s="231"/>
      <c r="K309" s="1079" t="s">
        <v>563</v>
      </c>
      <c r="L309" s="1080"/>
      <c r="M309" s="1080"/>
      <c r="N309" s="230" t="s">
        <v>561</v>
      </c>
      <c r="O309" s="232"/>
      <c r="P309" s="1079" t="s">
        <v>564</v>
      </c>
      <c r="Q309" s="1080"/>
      <c r="R309" s="1080"/>
      <c r="S309" s="230" t="s">
        <v>561</v>
      </c>
      <c r="T309" s="232"/>
      <c r="U309" s="1079" t="s">
        <v>565</v>
      </c>
      <c r="V309" s="1080"/>
      <c r="W309" s="1080"/>
      <c r="X309" s="230" t="s">
        <v>561</v>
      </c>
      <c r="Y309" s="232"/>
    </row>
    <row r="310" spans="1:25" ht="24" customHeight="1" thickBot="1" x14ac:dyDescent="0.25">
      <c r="F310" s="233"/>
      <c r="G310" s="234"/>
      <c r="H310" s="235" t="s">
        <v>566</v>
      </c>
      <c r="I310" s="235"/>
      <c r="J310" s="236"/>
      <c r="K310" s="1092" t="s">
        <v>567</v>
      </c>
      <c r="L310" s="1085"/>
      <c r="M310" s="1085"/>
      <c r="N310" s="237" t="s">
        <v>561</v>
      </c>
      <c r="O310" s="238"/>
      <c r="P310" s="1092" t="s">
        <v>568</v>
      </c>
      <c r="Q310" s="1085"/>
      <c r="R310" s="1085"/>
      <c r="S310" s="237" t="s">
        <v>561</v>
      </c>
      <c r="T310" s="238"/>
      <c r="U310" s="1092" t="s">
        <v>569</v>
      </c>
      <c r="V310" s="1085"/>
      <c r="W310" s="1085"/>
      <c r="X310" s="237" t="s">
        <v>561</v>
      </c>
      <c r="Y310" s="239"/>
    </row>
    <row r="311" spans="1:25" ht="12.75" customHeight="1" x14ac:dyDescent="0.2">
      <c r="Y311" s="240" t="s">
        <v>570</v>
      </c>
    </row>
    <row r="312" spans="1:25" ht="15.75" customHeight="1" x14ac:dyDescent="0.2">
      <c r="B312" s="1091" t="s">
        <v>521</v>
      </c>
      <c r="C312" s="1091"/>
      <c r="D312" s="1091"/>
      <c r="E312" s="1091"/>
      <c r="F312" s="1091"/>
      <c r="G312" s="1091"/>
      <c r="H312" s="1091"/>
      <c r="I312" s="1091"/>
      <c r="J312" s="1091"/>
      <c r="K312" s="1091"/>
      <c r="L312" s="1091"/>
      <c r="O312" s="1091" t="s">
        <v>522</v>
      </c>
      <c r="P312" s="1091"/>
      <c r="Q312" s="1091"/>
      <c r="R312" s="1091"/>
      <c r="S312" s="1091"/>
      <c r="T312" s="1091"/>
      <c r="U312" s="1091"/>
      <c r="V312" s="1091"/>
      <c r="W312" s="1091"/>
      <c r="X312" s="1091"/>
      <c r="Y312" s="1091"/>
    </row>
    <row r="313" spans="1:25" ht="13.5" customHeight="1" x14ac:dyDescent="0.2">
      <c r="B313" s="1086" t="s">
        <v>1</v>
      </c>
      <c r="C313" s="1087"/>
      <c r="D313" s="1087"/>
      <c r="E313" s="1087"/>
      <c r="F313" s="1087"/>
      <c r="G313" s="1087"/>
      <c r="H313" s="1088"/>
      <c r="I313" s="1086" t="s">
        <v>520</v>
      </c>
      <c r="J313" s="1087"/>
      <c r="K313" s="1087"/>
      <c r="L313" s="1088"/>
      <c r="N313" s="241"/>
      <c r="O313" s="1086" t="s">
        <v>1</v>
      </c>
      <c r="P313" s="1087"/>
      <c r="Q313" s="1087"/>
      <c r="R313" s="1087"/>
      <c r="S313" s="1087"/>
      <c r="T313" s="1087"/>
      <c r="U313" s="1088"/>
      <c r="V313" s="1086" t="s">
        <v>520</v>
      </c>
      <c r="W313" s="1087"/>
      <c r="X313" s="1087"/>
      <c r="Y313" s="1088"/>
    </row>
    <row r="314" spans="1:25" ht="21.75" customHeight="1" x14ac:dyDescent="0.2">
      <c r="B314" s="242"/>
      <c r="C314" s="243"/>
      <c r="D314" s="243"/>
      <c r="E314" s="243"/>
      <c r="F314" s="243"/>
      <c r="G314" s="243"/>
      <c r="H314" s="243"/>
      <c r="I314" s="242"/>
      <c r="J314" s="243"/>
      <c r="K314" s="243"/>
      <c r="L314" s="244"/>
      <c r="N314" s="241"/>
      <c r="O314" s="242"/>
      <c r="P314" s="243"/>
      <c r="Q314" s="243"/>
      <c r="R314" s="243"/>
      <c r="S314" s="243"/>
      <c r="T314" s="243"/>
      <c r="U314" s="243"/>
      <c r="V314" s="242"/>
      <c r="W314" s="243"/>
      <c r="X314" s="243"/>
      <c r="Y314" s="244"/>
    </row>
    <row r="315" spans="1:25" ht="13.5" customHeight="1" x14ac:dyDescent="0.2"/>
    <row r="316" spans="1:25" ht="14.25" customHeight="1" thickBot="1" x14ac:dyDescent="0.25">
      <c r="A316" s="241"/>
      <c r="G316" s="305"/>
      <c r="H316" s="305"/>
      <c r="I316" s="1069" t="s">
        <v>0</v>
      </c>
      <c r="J316" s="1069"/>
      <c r="K316" s="1069"/>
      <c r="L316" s="1069"/>
      <c r="M316" s="1069"/>
      <c r="N316" s="1069"/>
      <c r="O316" s="1069"/>
      <c r="P316" s="1069" t="s">
        <v>374</v>
      </c>
      <c r="Q316" s="1069"/>
      <c r="R316" s="1069"/>
      <c r="S316" s="1069"/>
      <c r="T316" s="1069"/>
      <c r="U316" s="1069" t="s">
        <v>571</v>
      </c>
      <c r="V316" s="1069"/>
      <c r="W316" s="1069"/>
      <c r="X316" s="305"/>
      <c r="Y316" s="305"/>
    </row>
    <row r="317" spans="1:25" ht="20.25" customHeight="1" x14ac:dyDescent="0.2">
      <c r="A317" s="241"/>
      <c r="F317" s="1074" t="s">
        <v>584</v>
      </c>
      <c r="G317" s="1074"/>
      <c r="H317" s="1074"/>
      <c r="I317" s="316"/>
      <c r="J317" s="306"/>
      <c r="K317" s="306"/>
      <c r="L317" s="306"/>
      <c r="M317" s="306"/>
      <c r="N317" s="306"/>
      <c r="O317" s="306"/>
      <c r="P317" s="312"/>
      <c r="Q317" s="306"/>
      <c r="R317" s="307"/>
      <c r="S317" s="304"/>
      <c r="T317" s="313"/>
      <c r="U317" s="310"/>
      <c r="V317" s="1084" t="s">
        <v>495</v>
      </c>
      <c r="W317" s="308"/>
    </row>
    <row r="318" spans="1:25" ht="13.5" thickBot="1" x14ac:dyDescent="0.25">
      <c r="F318" s="1074"/>
      <c r="G318" s="1074"/>
      <c r="H318" s="1074"/>
      <c r="I318" s="303"/>
      <c r="J318" s="235"/>
      <c r="K318" s="235"/>
      <c r="L318" s="235"/>
      <c r="M318" s="235"/>
      <c r="N318" s="235"/>
      <c r="O318" s="235"/>
      <c r="P318" s="314"/>
      <c r="Q318" s="235"/>
      <c r="R318" s="234"/>
      <c r="S318" s="234"/>
      <c r="T318" s="315"/>
      <c r="U318" s="311"/>
      <c r="V318" s="1085"/>
      <c r="W318" s="309"/>
    </row>
    <row r="320" spans="1:25" ht="6.75" customHeight="1" x14ac:dyDescent="0.2"/>
    <row r="321" spans="1:25" s="218" customFormat="1" ht="23.25" customHeight="1" x14ac:dyDescent="0.2">
      <c r="A321" s="1072" t="s">
        <v>546</v>
      </c>
      <c r="B321" s="1073"/>
      <c r="C321" s="402"/>
      <c r="D321" s="1098" t="s">
        <v>628</v>
      </c>
      <c r="E321" s="1072"/>
      <c r="F321" s="1072"/>
      <c r="G321" s="1103"/>
      <c r="H321" s="1104"/>
      <c r="K321" s="218" t="str">
        <f>RIGHT(CATEG_IMPORTEE, LEN(CATEG_IMPORTEE) - 2)</f>
        <v>llèges Mixtes Etablissement</v>
      </c>
      <c r="T321" s="397" t="s">
        <v>627</v>
      </c>
      <c r="U321" s="401">
        <v>12</v>
      </c>
      <c r="V321" s="396" t="s">
        <v>547</v>
      </c>
      <c r="W321" s="401"/>
      <c r="X321" s="395"/>
    </row>
    <row r="322" spans="1:25" ht="27" customHeight="1" thickBot="1" x14ac:dyDescent="0.25">
      <c r="B322" s="1069" t="s">
        <v>0</v>
      </c>
      <c r="C322" s="1069"/>
      <c r="D322" s="1069"/>
      <c r="E322" s="1069"/>
      <c r="F322" s="1069"/>
      <c r="G322" s="1069"/>
      <c r="H322" s="1069"/>
      <c r="I322" s="1069" t="s">
        <v>374</v>
      </c>
      <c r="J322" s="1069"/>
      <c r="K322" s="1069"/>
      <c r="L322" s="1069"/>
      <c r="O322" s="1069" t="s">
        <v>0</v>
      </c>
      <c r="P322" s="1069"/>
      <c r="Q322" s="1069"/>
      <c r="R322" s="1069"/>
      <c r="S322" s="1069"/>
      <c r="T322" s="1069"/>
      <c r="U322" s="1069"/>
      <c r="V322" s="1069" t="s">
        <v>374</v>
      </c>
      <c r="W322" s="1069"/>
      <c r="X322" s="1069"/>
      <c r="Y322" s="1069"/>
    </row>
    <row r="323" spans="1:25" ht="24" customHeight="1" thickBot="1" x14ac:dyDescent="0.25">
      <c r="A323" s="219"/>
      <c r="B323" s="398" t="str">
        <f>VLOOKUP(U321,TBL_equipe,2,FALSE)</f>
        <v/>
      </c>
      <c r="C323" s="399"/>
      <c r="D323" s="399"/>
      <c r="E323" s="399"/>
      <c r="F323" s="399"/>
      <c r="G323" s="399"/>
      <c r="H323" s="400"/>
      <c r="I323" s="257" t="str">
        <f>VLOOKUP(U321,TBL_equipe,4,FALSE)</f>
        <v/>
      </c>
      <c r="J323" s="220"/>
      <c r="K323" s="220"/>
      <c r="L323" s="221"/>
      <c r="M323" s="1070" t="s">
        <v>547</v>
      </c>
      <c r="N323" s="1071"/>
      <c r="O323" s="398" t="e">
        <f>VLOOKUP(W321,TBL_equipe,2,FALSE)</f>
        <v>#N/A</v>
      </c>
      <c r="P323" s="220"/>
      <c r="Q323" s="220"/>
      <c r="R323" s="220"/>
      <c r="S323" s="220"/>
      <c r="T323" s="220"/>
      <c r="U323" s="221"/>
      <c r="V323" s="257" t="e">
        <f>VLOOKUP(W321,TBL_equipe,4,FALSE)</f>
        <v>#N/A</v>
      </c>
      <c r="W323" s="220"/>
      <c r="X323" s="220"/>
      <c r="Y323" s="221"/>
    </row>
    <row r="324" spans="1:25" ht="15" customHeight="1" x14ac:dyDescent="0.2"/>
    <row r="325" spans="1:25" ht="20.100000000000001" customHeight="1" x14ac:dyDescent="0.2">
      <c r="A325" s="1074" t="s">
        <v>548</v>
      </c>
      <c r="B325" s="1074"/>
      <c r="C325" s="1074"/>
      <c r="D325" s="1074"/>
      <c r="E325" s="1074"/>
    </row>
    <row r="326" spans="1:25" ht="20.100000000000001" customHeight="1" x14ac:dyDescent="0.2">
      <c r="A326" s="1075" t="s">
        <v>549</v>
      </c>
      <c r="B326" s="1075"/>
      <c r="C326" s="1075"/>
      <c r="D326" s="1075"/>
      <c r="E326" s="1075"/>
      <c r="G326" s="1076" t="s">
        <v>480</v>
      </c>
      <c r="H326" s="1076"/>
      <c r="I326" s="1077" t="s">
        <v>550</v>
      </c>
      <c r="J326" s="1077"/>
      <c r="K326" s="1077"/>
      <c r="L326" s="252" t="s">
        <v>551</v>
      </c>
      <c r="M326" s="1078" t="s">
        <v>552</v>
      </c>
      <c r="N326" s="1078"/>
      <c r="O326" s="251"/>
    </row>
    <row r="327" spans="1:25" ht="24" customHeight="1" x14ac:dyDescent="0.2">
      <c r="A327" s="258" t="str">
        <f>VLOOKUP(U321,TBL_equipe,5,FALSE)</f>
        <v/>
      </c>
      <c r="B327" s="223"/>
      <c r="C327" s="259" t="str">
        <f>VLOOKUP(U321,TBL_equipe,6,FALSE)</f>
        <v/>
      </c>
      <c r="D327" s="223"/>
      <c r="E327" s="224"/>
      <c r="F327" s="219"/>
      <c r="G327" s="403" t="str">
        <f>VLOOKUP(U321,TBL_equipe,9,FALSE)</f>
        <v/>
      </c>
      <c r="H327" s="224"/>
      <c r="I327" s="222"/>
      <c r="J327" s="246" t="str">
        <f>VLOOKUP(U321,TBL_equipe,8,FALSE)</f>
        <v/>
      </c>
      <c r="K327" s="224"/>
      <c r="L327" s="260" t="str">
        <f>VLOOKUP(U321,TBL_equipe,10,FALSE)</f>
        <v/>
      </c>
      <c r="M327" s="287">
        <f>G321</f>
        <v>0</v>
      </c>
      <c r="N327" s="288"/>
      <c r="O327" s="249"/>
      <c r="R327" s="254"/>
      <c r="S327" s="254"/>
      <c r="T327" s="254" t="s">
        <v>51</v>
      </c>
      <c r="U327" s="254"/>
      <c r="V327" s="254"/>
      <c r="W327" s="254"/>
      <c r="X327" s="254"/>
      <c r="Y327" s="254"/>
    </row>
    <row r="328" spans="1:25" ht="24" customHeight="1" x14ac:dyDescent="0.2">
      <c r="A328" s="258" t="str">
        <f>VLOOKUP(U321,TBL_equipe,11,FALSE)</f>
        <v/>
      </c>
      <c r="B328" s="223"/>
      <c r="C328" s="259" t="str">
        <f>VLOOKUP(U321,TBL_equipe,12,FALSE)</f>
        <v/>
      </c>
      <c r="D328" s="223"/>
      <c r="E328" s="224"/>
      <c r="F328" s="219"/>
      <c r="G328" s="403" t="str">
        <f>VLOOKUP(U321,TBL_equipe,15,FALSE)</f>
        <v/>
      </c>
      <c r="H328" s="224"/>
      <c r="I328" s="222"/>
      <c r="J328" s="246" t="str">
        <f>VLOOKUP(U321,TBL_equipe,14,FALSE)</f>
        <v/>
      </c>
      <c r="K328" s="224"/>
      <c r="L328" s="260" t="str">
        <f>VLOOKUP(U321,TBL_equipe,16,FALSE)</f>
        <v/>
      </c>
      <c r="M328" s="287">
        <f>G321</f>
        <v>0</v>
      </c>
      <c r="N328" s="288"/>
      <c r="O328" s="249"/>
      <c r="Q328" s="254"/>
      <c r="R328" s="254"/>
      <c r="S328" s="254"/>
      <c r="T328" s="254"/>
      <c r="U328" s="254"/>
      <c r="V328" s="254"/>
      <c r="W328" s="254"/>
      <c r="X328" s="254"/>
      <c r="Y328" s="254"/>
    </row>
    <row r="329" spans="1:25" ht="24" customHeight="1" x14ac:dyDescent="0.2">
      <c r="A329" s="258" t="str">
        <f>VLOOKUP(U321,TBL_equipe,17,FALSE)</f>
        <v/>
      </c>
      <c r="B329" s="223"/>
      <c r="C329" s="259" t="str">
        <f>VLOOKUP(U321,TBL_equipe,18,FALSE)</f>
        <v/>
      </c>
      <c r="D329" s="223"/>
      <c r="E329" s="224"/>
      <c r="F329" s="219"/>
      <c r="G329" s="403" t="str">
        <f>VLOOKUP(U321,TBL_equipe,21,FALSE)</f>
        <v/>
      </c>
      <c r="H329" s="224"/>
      <c r="I329" s="222"/>
      <c r="J329" s="246" t="str">
        <f>VLOOKUP(U321,TBL_equipe,20,FALSE)</f>
        <v/>
      </c>
      <c r="K329" s="224"/>
      <c r="L329" s="260" t="str">
        <f>VLOOKUP(U321,TBL_equipe,22,FALSE)</f>
        <v/>
      </c>
      <c r="M329" s="287">
        <f>G321</f>
        <v>0</v>
      </c>
      <c r="N329" s="288"/>
      <c r="O329" s="249"/>
      <c r="Q329" s="254"/>
      <c r="R329" s="254"/>
      <c r="S329" s="254"/>
      <c r="T329" s="254"/>
      <c r="U329" s="254"/>
      <c r="V329" s="254"/>
      <c r="W329" s="254"/>
      <c r="X329" s="254"/>
      <c r="Y329" s="254"/>
    </row>
    <row r="330" spans="1:25" ht="24" customHeight="1" x14ac:dyDescent="0.2">
      <c r="A330" s="258" t="str">
        <f>VLOOKUP(U321,TBL_equipe,23,FALSE)</f>
        <v/>
      </c>
      <c r="B330" s="223"/>
      <c r="C330" s="259" t="str">
        <f>VLOOKUP(U321,TBL_equipe,24,FALSE)</f>
        <v/>
      </c>
      <c r="D330" s="223"/>
      <c r="E330" s="224"/>
      <c r="F330" s="219"/>
      <c r="G330" s="403" t="str">
        <f>VLOOKUP(U321,TBL_equipe,27,FALSE)</f>
        <v/>
      </c>
      <c r="H330" s="224"/>
      <c r="I330" s="222"/>
      <c r="J330" s="246" t="str">
        <f>VLOOKUP(U321,TBL_equipe,26,FALSE)</f>
        <v/>
      </c>
      <c r="K330" s="224"/>
      <c r="L330" s="260" t="str">
        <f>VLOOKUP(U321,TBL_equipe,28,FALSE)</f>
        <v/>
      </c>
      <c r="M330" s="289">
        <f>G321</f>
        <v>0</v>
      </c>
      <c r="N330" s="290"/>
      <c r="O330" s="249"/>
    </row>
    <row r="331" spans="1:25" ht="15" customHeight="1" thickBot="1" x14ac:dyDescent="0.25"/>
    <row r="332" spans="1:25" ht="20.100000000000001" customHeight="1" x14ac:dyDescent="0.2">
      <c r="F332" s="1081" t="s">
        <v>555</v>
      </c>
      <c r="G332" s="1082"/>
      <c r="H332" s="1082"/>
      <c r="I332" s="1082"/>
      <c r="J332" s="1083"/>
      <c r="K332" s="1081" t="s">
        <v>556</v>
      </c>
      <c r="L332" s="1082"/>
      <c r="M332" s="1082"/>
      <c r="N332" s="1082"/>
      <c r="O332" s="1083"/>
      <c r="P332" s="1081" t="s">
        <v>557</v>
      </c>
      <c r="Q332" s="1082"/>
      <c r="R332" s="1082"/>
      <c r="S332" s="1082"/>
      <c r="T332" s="1083"/>
      <c r="U332" s="1081" t="s">
        <v>558</v>
      </c>
      <c r="V332" s="1082"/>
      <c r="W332" s="1082"/>
      <c r="X332" s="1082"/>
      <c r="Y332" s="1083"/>
    </row>
    <row r="333" spans="1:25" ht="20.100000000000001" customHeight="1" x14ac:dyDescent="0.2">
      <c r="A333" s="1075" t="s">
        <v>559</v>
      </c>
      <c r="B333" s="1075"/>
      <c r="C333" s="1075"/>
      <c r="D333" s="1075"/>
      <c r="E333" s="1089"/>
      <c r="F333" s="1090" t="s">
        <v>560</v>
      </c>
      <c r="G333" s="1075"/>
      <c r="H333" s="1075"/>
      <c r="J333" s="225" t="s">
        <v>7</v>
      </c>
      <c r="K333" s="1090" t="s">
        <v>560</v>
      </c>
      <c r="L333" s="1075"/>
      <c r="M333" s="1075"/>
      <c r="O333" s="225" t="s">
        <v>7</v>
      </c>
      <c r="P333" s="1090" t="s">
        <v>560</v>
      </c>
      <c r="Q333" s="1075"/>
      <c r="R333" s="1075"/>
      <c r="T333" s="225" t="s">
        <v>7</v>
      </c>
      <c r="U333" s="1090" t="s">
        <v>560</v>
      </c>
      <c r="V333" s="1075"/>
      <c r="W333" s="1075"/>
      <c r="Y333" s="225" t="s">
        <v>7</v>
      </c>
    </row>
    <row r="334" spans="1:25" ht="24" customHeight="1" x14ac:dyDescent="0.2">
      <c r="A334" s="261" t="str">
        <f>A327</f>
        <v/>
      </c>
      <c r="B334" s="227"/>
      <c r="C334" s="262" t="str">
        <f>C327</f>
        <v/>
      </c>
      <c r="D334" s="227"/>
      <c r="E334" s="227"/>
      <c r="F334" s="228"/>
      <c r="G334" s="229"/>
      <c r="H334" s="229"/>
      <c r="I334" s="230" t="s">
        <v>561</v>
      </c>
      <c r="J334" s="231"/>
      <c r="K334" s="228"/>
      <c r="L334" s="229"/>
      <c r="M334" s="229"/>
      <c r="N334" s="230" t="s">
        <v>561</v>
      </c>
      <c r="O334" s="231"/>
      <c r="P334" s="228"/>
      <c r="Q334" s="229"/>
      <c r="R334" s="229"/>
      <c r="S334" s="230" t="s">
        <v>561</v>
      </c>
      <c r="T334" s="231"/>
      <c r="U334" s="228"/>
      <c r="V334" s="229"/>
      <c r="W334" s="229"/>
      <c r="X334" s="230" t="s">
        <v>561</v>
      </c>
      <c r="Y334" s="231"/>
    </row>
    <row r="335" spans="1:25" ht="24" customHeight="1" x14ac:dyDescent="0.2">
      <c r="A335" s="261" t="str">
        <f>A328</f>
        <v/>
      </c>
      <c r="B335" s="227"/>
      <c r="C335" s="262" t="str">
        <f>C328</f>
        <v/>
      </c>
      <c r="D335" s="227"/>
      <c r="E335" s="227"/>
      <c r="F335" s="228"/>
      <c r="G335" s="229"/>
      <c r="H335" s="229"/>
      <c r="I335" s="230" t="s">
        <v>561</v>
      </c>
      <c r="J335" s="231"/>
      <c r="K335" s="228"/>
      <c r="L335" s="229"/>
      <c r="M335" s="229"/>
      <c r="N335" s="230" t="s">
        <v>561</v>
      </c>
      <c r="O335" s="231"/>
      <c r="P335" s="228"/>
      <c r="Q335" s="229"/>
      <c r="R335" s="229"/>
      <c r="S335" s="230" t="s">
        <v>561</v>
      </c>
      <c r="T335" s="231"/>
      <c r="U335" s="228"/>
      <c r="V335" s="229"/>
      <c r="W335" s="229"/>
      <c r="X335" s="230" t="s">
        <v>561</v>
      </c>
      <c r="Y335" s="231"/>
    </row>
    <row r="336" spans="1:25" ht="24" customHeight="1" x14ac:dyDescent="0.2">
      <c r="A336" s="261" t="str">
        <f>A329</f>
        <v/>
      </c>
      <c r="B336" s="227"/>
      <c r="C336" s="262" t="str">
        <f>C329</f>
        <v/>
      </c>
      <c r="D336" s="227"/>
      <c r="E336" s="227"/>
      <c r="F336" s="228"/>
      <c r="G336" s="229"/>
      <c r="H336" s="229"/>
      <c r="I336" s="230" t="s">
        <v>561</v>
      </c>
      <c r="J336" s="231"/>
      <c r="K336" s="228"/>
      <c r="L336" s="229"/>
      <c r="M336" s="229"/>
      <c r="N336" s="230" t="s">
        <v>561</v>
      </c>
      <c r="O336" s="231"/>
      <c r="P336" s="228"/>
      <c r="Q336" s="229"/>
      <c r="R336" s="229"/>
      <c r="S336" s="230" t="s">
        <v>561</v>
      </c>
      <c r="T336" s="231"/>
      <c r="U336" s="228"/>
      <c r="V336" s="229"/>
      <c r="W336" s="229"/>
      <c r="X336" s="230" t="s">
        <v>561</v>
      </c>
      <c r="Y336" s="231"/>
    </row>
    <row r="337" spans="1:25" ht="24" customHeight="1" x14ac:dyDescent="0.2">
      <c r="A337" s="261" t="str">
        <f>A330</f>
        <v/>
      </c>
      <c r="B337" s="227"/>
      <c r="C337" s="262" t="str">
        <f>C330</f>
        <v/>
      </c>
      <c r="D337" s="227"/>
      <c r="E337" s="227"/>
      <c r="F337" s="228"/>
      <c r="G337" s="229"/>
      <c r="H337" s="229"/>
      <c r="I337" s="230" t="s">
        <v>561</v>
      </c>
      <c r="J337" s="232"/>
      <c r="K337" s="228"/>
      <c r="L337" s="229"/>
      <c r="M337" s="229"/>
      <c r="N337" s="230" t="s">
        <v>561</v>
      </c>
      <c r="O337" s="232"/>
      <c r="P337" s="228"/>
      <c r="Q337" s="229"/>
      <c r="R337" s="229"/>
      <c r="S337" s="230" t="s">
        <v>561</v>
      </c>
      <c r="T337" s="232"/>
      <c r="U337" s="228"/>
      <c r="V337" s="229"/>
      <c r="W337" s="229"/>
      <c r="X337" s="230" t="s">
        <v>561</v>
      </c>
      <c r="Y337" s="232"/>
    </row>
    <row r="338" spans="1:25" ht="24" customHeight="1" thickBot="1" x14ac:dyDescent="0.25">
      <c r="F338" s="1079" t="s">
        <v>562</v>
      </c>
      <c r="G338" s="1080"/>
      <c r="H338" s="1080"/>
      <c r="I338" s="230" t="s">
        <v>561</v>
      </c>
      <c r="J338" s="231"/>
      <c r="K338" s="1079" t="s">
        <v>563</v>
      </c>
      <c r="L338" s="1080"/>
      <c r="M338" s="1080"/>
      <c r="N338" s="230" t="s">
        <v>561</v>
      </c>
      <c r="O338" s="232"/>
      <c r="P338" s="1079" t="s">
        <v>564</v>
      </c>
      <c r="Q338" s="1080"/>
      <c r="R338" s="1080"/>
      <c r="S338" s="230" t="s">
        <v>561</v>
      </c>
      <c r="T338" s="232"/>
      <c r="U338" s="1079" t="s">
        <v>565</v>
      </c>
      <c r="V338" s="1080"/>
      <c r="W338" s="1080"/>
      <c r="X338" s="230" t="s">
        <v>561</v>
      </c>
      <c r="Y338" s="232"/>
    </row>
    <row r="339" spans="1:25" ht="24" customHeight="1" thickBot="1" x14ac:dyDescent="0.25">
      <c r="F339" s="233"/>
      <c r="G339" s="234"/>
      <c r="H339" s="235" t="s">
        <v>566</v>
      </c>
      <c r="I339" s="235"/>
      <c r="J339" s="236"/>
      <c r="K339" s="1092" t="s">
        <v>567</v>
      </c>
      <c r="L339" s="1085"/>
      <c r="M339" s="1085"/>
      <c r="N339" s="237" t="s">
        <v>561</v>
      </c>
      <c r="O339" s="238"/>
      <c r="P339" s="1092" t="s">
        <v>568</v>
      </c>
      <c r="Q339" s="1085"/>
      <c r="R339" s="1085"/>
      <c r="S339" s="237" t="s">
        <v>561</v>
      </c>
      <c r="T339" s="238"/>
      <c r="U339" s="1092" t="s">
        <v>569</v>
      </c>
      <c r="V339" s="1085"/>
      <c r="W339" s="1085"/>
      <c r="X339" s="237" t="s">
        <v>561</v>
      </c>
      <c r="Y339" s="239"/>
    </row>
    <row r="340" spans="1:25" ht="12.75" customHeight="1" x14ac:dyDescent="0.2">
      <c r="Y340" s="240" t="s">
        <v>570</v>
      </c>
    </row>
    <row r="341" spans="1:25" ht="15.75" customHeight="1" x14ac:dyDescent="0.2">
      <c r="B341" s="1091" t="s">
        <v>521</v>
      </c>
      <c r="C341" s="1091"/>
      <c r="D341" s="1091"/>
      <c r="E341" s="1091"/>
      <c r="F341" s="1091"/>
      <c r="G341" s="1091"/>
      <c r="H341" s="1091"/>
      <c r="I341" s="1091"/>
      <c r="J341" s="1091"/>
      <c r="K341" s="1091"/>
      <c r="L341" s="1091"/>
      <c r="O341" s="1091" t="s">
        <v>522</v>
      </c>
      <c r="P341" s="1091"/>
      <c r="Q341" s="1091"/>
      <c r="R341" s="1091"/>
      <c r="S341" s="1091"/>
      <c r="T341" s="1091"/>
      <c r="U341" s="1091"/>
      <c r="V341" s="1091"/>
      <c r="W341" s="1091"/>
      <c r="X341" s="1091"/>
      <c r="Y341" s="1091"/>
    </row>
    <row r="342" spans="1:25" ht="13.5" customHeight="1" x14ac:dyDescent="0.2">
      <c r="B342" s="1086" t="s">
        <v>1</v>
      </c>
      <c r="C342" s="1087"/>
      <c r="D342" s="1087"/>
      <c r="E342" s="1087"/>
      <c r="F342" s="1087"/>
      <c r="G342" s="1087"/>
      <c r="H342" s="1088"/>
      <c r="I342" s="1086" t="s">
        <v>520</v>
      </c>
      <c r="J342" s="1087"/>
      <c r="K342" s="1087"/>
      <c r="L342" s="1088"/>
      <c r="N342" s="241"/>
      <c r="O342" s="1086" t="s">
        <v>1</v>
      </c>
      <c r="P342" s="1087"/>
      <c r="Q342" s="1087"/>
      <c r="R342" s="1087"/>
      <c r="S342" s="1087"/>
      <c r="T342" s="1087"/>
      <c r="U342" s="1088"/>
      <c r="V342" s="1086" t="s">
        <v>520</v>
      </c>
      <c r="W342" s="1087"/>
      <c r="X342" s="1087"/>
      <c r="Y342" s="1088"/>
    </row>
    <row r="343" spans="1:25" ht="21.75" customHeight="1" x14ac:dyDescent="0.2">
      <c r="B343" s="242"/>
      <c r="C343" s="243"/>
      <c r="D343" s="243"/>
      <c r="E343" s="243"/>
      <c r="F343" s="243"/>
      <c r="G343" s="243"/>
      <c r="H343" s="243"/>
      <c r="I343" s="242"/>
      <c r="J343" s="243"/>
      <c r="K343" s="243"/>
      <c r="L343" s="244"/>
      <c r="N343" s="241"/>
      <c r="O343" s="242"/>
      <c r="P343" s="243"/>
      <c r="Q343" s="243"/>
      <c r="R343" s="243"/>
      <c r="S343" s="243"/>
      <c r="T343" s="243"/>
      <c r="U343" s="243"/>
      <c r="V343" s="242"/>
      <c r="W343" s="243"/>
      <c r="X343" s="243"/>
      <c r="Y343" s="244"/>
    </row>
    <row r="344" spans="1:25" ht="13.5" customHeight="1" x14ac:dyDescent="0.2"/>
    <row r="345" spans="1:25" ht="14.25" customHeight="1" thickBot="1" x14ac:dyDescent="0.25">
      <c r="A345" s="241"/>
      <c r="G345" s="305"/>
      <c r="H345" s="305"/>
      <c r="I345" s="1069" t="s">
        <v>0</v>
      </c>
      <c r="J345" s="1069"/>
      <c r="K345" s="1069"/>
      <c r="L345" s="1069"/>
      <c r="M345" s="1069"/>
      <c r="N345" s="1069"/>
      <c r="O345" s="1069"/>
      <c r="P345" s="1069" t="s">
        <v>374</v>
      </c>
      <c r="Q345" s="1069"/>
      <c r="R345" s="1069"/>
      <c r="S345" s="1069"/>
      <c r="T345" s="1069"/>
      <c r="U345" s="1069" t="s">
        <v>571</v>
      </c>
      <c r="V345" s="1069"/>
      <c r="W345" s="1069"/>
      <c r="X345" s="305"/>
      <c r="Y345" s="305"/>
    </row>
    <row r="346" spans="1:25" ht="20.25" customHeight="1" x14ac:dyDescent="0.2">
      <c r="A346" s="241"/>
      <c r="F346" s="1074" t="s">
        <v>584</v>
      </c>
      <c r="G346" s="1074"/>
      <c r="H346" s="1074"/>
      <c r="I346" s="316"/>
      <c r="J346" s="306"/>
      <c r="K346" s="306"/>
      <c r="L346" s="306"/>
      <c r="M346" s="306"/>
      <c r="N346" s="306"/>
      <c r="O346" s="306"/>
      <c r="P346" s="312"/>
      <c r="Q346" s="306"/>
      <c r="R346" s="307"/>
      <c r="S346" s="304"/>
      <c r="T346" s="313"/>
      <c r="U346" s="310"/>
      <c r="V346" s="1084" t="s">
        <v>495</v>
      </c>
      <c r="W346" s="308"/>
    </row>
    <row r="347" spans="1:25" ht="13.5" thickBot="1" x14ac:dyDescent="0.25">
      <c r="F347" s="1074"/>
      <c r="G347" s="1074"/>
      <c r="H347" s="1074"/>
      <c r="I347" s="303"/>
      <c r="J347" s="235"/>
      <c r="K347" s="235"/>
      <c r="L347" s="235"/>
      <c r="M347" s="235"/>
      <c r="N347" s="235"/>
      <c r="O347" s="235"/>
      <c r="P347" s="314"/>
      <c r="Q347" s="235"/>
      <c r="R347" s="234"/>
      <c r="S347" s="234"/>
      <c r="T347" s="315"/>
      <c r="U347" s="311"/>
      <c r="V347" s="1085"/>
      <c r="W347" s="309"/>
    </row>
    <row r="349" spans="1:25" ht="6.75" customHeight="1" x14ac:dyDescent="0.2"/>
    <row r="350" spans="1:25" s="218" customFormat="1" ht="23.25" customHeight="1" x14ac:dyDescent="0.2">
      <c r="A350" s="1072" t="s">
        <v>546</v>
      </c>
      <c r="B350" s="1073"/>
      <c r="C350" s="402"/>
      <c r="D350" s="1098" t="s">
        <v>628</v>
      </c>
      <c r="E350" s="1072"/>
      <c r="F350" s="1072"/>
      <c r="G350" s="1103"/>
      <c r="H350" s="1104"/>
      <c r="K350" s="218" t="str">
        <f>RIGHT(CATEG_IMPORTEE, LEN(CATEG_IMPORTEE) - 2)</f>
        <v>llèges Mixtes Etablissement</v>
      </c>
      <c r="T350" s="397" t="s">
        <v>627</v>
      </c>
      <c r="U350" s="401">
        <v>13</v>
      </c>
      <c r="V350" s="396" t="s">
        <v>547</v>
      </c>
      <c r="W350" s="401"/>
      <c r="X350" s="395"/>
    </row>
    <row r="351" spans="1:25" ht="27" customHeight="1" thickBot="1" x14ac:dyDescent="0.25">
      <c r="B351" s="1069" t="s">
        <v>0</v>
      </c>
      <c r="C351" s="1069"/>
      <c r="D351" s="1069"/>
      <c r="E351" s="1069"/>
      <c r="F351" s="1069"/>
      <c r="G351" s="1069"/>
      <c r="H351" s="1069"/>
      <c r="I351" s="1069" t="s">
        <v>374</v>
      </c>
      <c r="J351" s="1069"/>
      <c r="K351" s="1069"/>
      <c r="L351" s="1069"/>
      <c r="O351" s="1069" t="s">
        <v>0</v>
      </c>
      <c r="P351" s="1069"/>
      <c r="Q351" s="1069"/>
      <c r="R351" s="1069"/>
      <c r="S351" s="1069"/>
      <c r="T351" s="1069"/>
      <c r="U351" s="1069"/>
      <c r="V351" s="1069" t="s">
        <v>374</v>
      </c>
      <c r="W351" s="1069"/>
      <c r="X351" s="1069"/>
      <c r="Y351" s="1069"/>
    </row>
    <row r="352" spans="1:25" ht="24" customHeight="1" thickBot="1" x14ac:dyDescent="0.25">
      <c r="A352" s="219"/>
      <c r="B352" s="398" t="str">
        <f>VLOOKUP(U350,TBL_equipe,2,FALSE)</f>
        <v/>
      </c>
      <c r="C352" s="399"/>
      <c r="D352" s="399"/>
      <c r="E352" s="399"/>
      <c r="F352" s="399"/>
      <c r="G352" s="399"/>
      <c r="H352" s="400"/>
      <c r="I352" s="257" t="str">
        <f>VLOOKUP(U350,TBL_equipe,4,FALSE)</f>
        <v/>
      </c>
      <c r="J352" s="220"/>
      <c r="K352" s="220"/>
      <c r="L352" s="221"/>
      <c r="M352" s="1070" t="s">
        <v>547</v>
      </c>
      <c r="N352" s="1071"/>
      <c r="O352" s="398" t="e">
        <f>VLOOKUP(W350,TBL_equipe,2,FALSE)</f>
        <v>#N/A</v>
      </c>
      <c r="P352" s="220"/>
      <c r="Q352" s="220"/>
      <c r="R352" s="220"/>
      <c r="S352" s="220"/>
      <c r="T352" s="220"/>
      <c r="U352" s="221"/>
      <c r="V352" s="257" t="e">
        <f>VLOOKUP(W350,TBL_equipe,4,FALSE)</f>
        <v>#N/A</v>
      </c>
      <c r="W352" s="220"/>
      <c r="X352" s="220"/>
      <c r="Y352" s="221"/>
    </row>
    <row r="353" spans="1:25" ht="15" customHeight="1" x14ac:dyDescent="0.2"/>
    <row r="354" spans="1:25" ht="20.100000000000001" customHeight="1" x14ac:dyDescent="0.2">
      <c r="A354" s="1074" t="s">
        <v>548</v>
      </c>
      <c r="B354" s="1074"/>
      <c r="C354" s="1074"/>
      <c r="D354" s="1074"/>
      <c r="E354" s="1074"/>
    </row>
    <row r="355" spans="1:25" ht="20.100000000000001" customHeight="1" x14ac:dyDescent="0.2">
      <c r="A355" s="1075" t="s">
        <v>549</v>
      </c>
      <c r="B355" s="1075"/>
      <c r="C355" s="1075"/>
      <c r="D355" s="1075"/>
      <c r="E355" s="1075"/>
      <c r="G355" s="1076" t="s">
        <v>480</v>
      </c>
      <c r="H355" s="1076"/>
      <c r="I355" s="1077" t="s">
        <v>550</v>
      </c>
      <c r="J355" s="1077"/>
      <c r="K355" s="1077"/>
      <c r="L355" s="252" t="s">
        <v>551</v>
      </c>
      <c r="M355" s="1078" t="s">
        <v>552</v>
      </c>
      <c r="N355" s="1078"/>
      <c r="O355" s="251"/>
    </row>
    <row r="356" spans="1:25" ht="24" customHeight="1" x14ac:dyDescent="0.2">
      <c r="A356" s="258" t="str">
        <f>VLOOKUP(U350,TBL_equipe,5,FALSE)</f>
        <v/>
      </c>
      <c r="B356" s="223"/>
      <c r="C356" s="259" t="str">
        <f>VLOOKUP(U350,TBL_equipe,6,FALSE)</f>
        <v/>
      </c>
      <c r="D356" s="223"/>
      <c r="E356" s="224"/>
      <c r="F356" s="219"/>
      <c r="G356" s="403" t="str">
        <f>VLOOKUP(U350,TBL_equipe,9,FALSE)</f>
        <v/>
      </c>
      <c r="H356" s="224"/>
      <c r="I356" s="222"/>
      <c r="J356" s="246" t="str">
        <f>VLOOKUP(U350,TBL_equipe,8,FALSE)</f>
        <v/>
      </c>
      <c r="K356" s="224"/>
      <c r="L356" s="260" t="str">
        <f>VLOOKUP(U350,TBL_equipe,10,FALSE)</f>
        <v/>
      </c>
      <c r="M356" s="287">
        <f>G350</f>
        <v>0</v>
      </c>
      <c r="N356" s="288"/>
      <c r="O356" s="249"/>
      <c r="R356" s="254"/>
      <c r="S356" s="254"/>
      <c r="T356" s="254" t="s">
        <v>51</v>
      </c>
      <c r="U356" s="254"/>
      <c r="V356" s="254"/>
      <c r="W356" s="254"/>
      <c r="X356" s="254"/>
      <c r="Y356" s="254"/>
    </row>
    <row r="357" spans="1:25" ht="24" customHeight="1" x14ac:dyDescent="0.2">
      <c r="A357" s="258" t="str">
        <f>VLOOKUP(U350,TBL_equipe,11,FALSE)</f>
        <v/>
      </c>
      <c r="B357" s="223"/>
      <c r="C357" s="259" t="str">
        <f>VLOOKUP(U350,TBL_equipe,12,FALSE)</f>
        <v/>
      </c>
      <c r="D357" s="223"/>
      <c r="E357" s="224"/>
      <c r="F357" s="219"/>
      <c r="G357" s="403" t="str">
        <f>VLOOKUP(U350,TBL_equipe,15,FALSE)</f>
        <v/>
      </c>
      <c r="H357" s="224"/>
      <c r="I357" s="222"/>
      <c r="J357" s="246" t="str">
        <f>VLOOKUP(U350,TBL_equipe,14,FALSE)</f>
        <v/>
      </c>
      <c r="K357" s="224"/>
      <c r="L357" s="260" t="str">
        <f>VLOOKUP(U350,TBL_equipe,16,FALSE)</f>
        <v/>
      </c>
      <c r="M357" s="287">
        <f>G350</f>
        <v>0</v>
      </c>
      <c r="N357" s="288"/>
      <c r="O357" s="249"/>
      <c r="Q357" s="254"/>
      <c r="R357" s="254"/>
      <c r="S357" s="254"/>
      <c r="T357" s="254"/>
      <c r="U357" s="254"/>
      <c r="V357" s="254"/>
      <c r="W357" s="254"/>
      <c r="X357" s="254"/>
      <c r="Y357" s="254"/>
    </row>
    <row r="358" spans="1:25" ht="24" customHeight="1" x14ac:dyDescent="0.2">
      <c r="A358" s="258" t="str">
        <f>VLOOKUP(U350,TBL_equipe,17,FALSE)</f>
        <v/>
      </c>
      <c r="B358" s="223"/>
      <c r="C358" s="259" t="str">
        <f>VLOOKUP(U350,TBL_equipe,18,FALSE)</f>
        <v/>
      </c>
      <c r="D358" s="223"/>
      <c r="E358" s="224"/>
      <c r="F358" s="219"/>
      <c r="G358" s="403" t="str">
        <f>VLOOKUP(U350,TBL_equipe,21,FALSE)</f>
        <v/>
      </c>
      <c r="H358" s="224"/>
      <c r="I358" s="222"/>
      <c r="J358" s="246" t="str">
        <f>VLOOKUP(U350,TBL_equipe,20,FALSE)</f>
        <v/>
      </c>
      <c r="K358" s="224"/>
      <c r="L358" s="260" t="str">
        <f>VLOOKUP(U350,TBL_equipe,22,FALSE)</f>
        <v/>
      </c>
      <c r="M358" s="287">
        <f>G350</f>
        <v>0</v>
      </c>
      <c r="N358" s="288"/>
      <c r="O358" s="249"/>
      <c r="Q358" s="254"/>
      <c r="R358" s="254"/>
      <c r="S358" s="254"/>
      <c r="T358" s="254"/>
      <c r="U358" s="254"/>
      <c r="V358" s="254"/>
      <c r="W358" s="254"/>
      <c r="X358" s="254"/>
      <c r="Y358" s="254"/>
    </row>
    <row r="359" spans="1:25" ht="24" customHeight="1" x14ac:dyDescent="0.2">
      <c r="A359" s="258" t="str">
        <f>VLOOKUP(U350,TBL_equipe,23,FALSE)</f>
        <v/>
      </c>
      <c r="B359" s="223"/>
      <c r="C359" s="259" t="str">
        <f>VLOOKUP(U350,TBL_equipe,24,FALSE)</f>
        <v/>
      </c>
      <c r="D359" s="223"/>
      <c r="E359" s="224"/>
      <c r="F359" s="219"/>
      <c r="G359" s="403" t="str">
        <f>VLOOKUP(U350,TBL_equipe,27,FALSE)</f>
        <v/>
      </c>
      <c r="H359" s="224"/>
      <c r="I359" s="222"/>
      <c r="J359" s="246" t="str">
        <f>VLOOKUP(U350,TBL_equipe,26,FALSE)</f>
        <v/>
      </c>
      <c r="K359" s="224"/>
      <c r="L359" s="260" t="str">
        <f>VLOOKUP(U350,TBL_equipe,28,FALSE)</f>
        <v/>
      </c>
      <c r="M359" s="289">
        <f>G350</f>
        <v>0</v>
      </c>
      <c r="N359" s="290"/>
      <c r="O359" s="249"/>
    </row>
    <row r="360" spans="1:25" ht="15" customHeight="1" thickBot="1" x14ac:dyDescent="0.25"/>
    <row r="361" spans="1:25" ht="20.100000000000001" customHeight="1" x14ac:dyDescent="0.2">
      <c r="F361" s="1081" t="s">
        <v>555</v>
      </c>
      <c r="G361" s="1082"/>
      <c r="H361" s="1082"/>
      <c r="I361" s="1082"/>
      <c r="J361" s="1083"/>
      <c r="K361" s="1081" t="s">
        <v>556</v>
      </c>
      <c r="L361" s="1082"/>
      <c r="M361" s="1082"/>
      <c r="N361" s="1082"/>
      <c r="O361" s="1083"/>
      <c r="P361" s="1081" t="s">
        <v>557</v>
      </c>
      <c r="Q361" s="1082"/>
      <c r="R361" s="1082"/>
      <c r="S361" s="1082"/>
      <c r="T361" s="1083"/>
      <c r="U361" s="1081" t="s">
        <v>558</v>
      </c>
      <c r="V361" s="1082"/>
      <c r="W361" s="1082"/>
      <c r="X361" s="1082"/>
      <c r="Y361" s="1083"/>
    </row>
    <row r="362" spans="1:25" ht="20.100000000000001" customHeight="1" x14ac:dyDescent="0.2">
      <c r="A362" s="1075" t="s">
        <v>559</v>
      </c>
      <c r="B362" s="1075"/>
      <c r="C362" s="1075"/>
      <c r="D362" s="1075"/>
      <c r="E362" s="1089"/>
      <c r="F362" s="1090" t="s">
        <v>560</v>
      </c>
      <c r="G362" s="1075"/>
      <c r="H362" s="1075"/>
      <c r="J362" s="225" t="s">
        <v>7</v>
      </c>
      <c r="K362" s="1090" t="s">
        <v>560</v>
      </c>
      <c r="L362" s="1075"/>
      <c r="M362" s="1075"/>
      <c r="O362" s="225" t="s">
        <v>7</v>
      </c>
      <c r="P362" s="1090" t="s">
        <v>560</v>
      </c>
      <c r="Q362" s="1075"/>
      <c r="R362" s="1075"/>
      <c r="T362" s="225" t="s">
        <v>7</v>
      </c>
      <c r="U362" s="1090" t="s">
        <v>560</v>
      </c>
      <c r="V362" s="1075"/>
      <c r="W362" s="1075"/>
      <c r="Y362" s="225" t="s">
        <v>7</v>
      </c>
    </row>
    <row r="363" spans="1:25" ht="24" customHeight="1" x14ac:dyDescent="0.2">
      <c r="A363" s="261" t="str">
        <f>A356</f>
        <v/>
      </c>
      <c r="B363" s="227"/>
      <c r="C363" s="262" t="str">
        <f>C356</f>
        <v/>
      </c>
      <c r="D363" s="227"/>
      <c r="E363" s="227"/>
      <c r="F363" s="228"/>
      <c r="G363" s="229"/>
      <c r="H363" s="229"/>
      <c r="I363" s="230" t="s">
        <v>561</v>
      </c>
      <c r="J363" s="231"/>
      <c r="K363" s="228"/>
      <c r="L363" s="229"/>
      <c r="M363" s="229"/>
      <c r="N363" s="230" t="s">
        <v>561</v>
      </c>
      <c r="O363" s="231"/>
      <c r="P363" s="228"/>
      <c r="Q363" s="229"/>
      <c r="R363" s="229"/>
      <c r="S363" s="230" t="s">
        <v>561</v>
      </c>
      <c r="T363" s="231"/>
      <c r="U363" s="228"/>
      <c r="V363" s="229"/>
      <c r="W363" s="229"/>
      <c r="X363" s="230" t="s">
        <v>561</v>
      </c>
      <c r="Y363" s="231"/>
    </row>
    <row r="364" spans="1:25" ht="24" customHeight="1" x14ac:dyDescent="0.2">
      <c r="A364" s="261" t="str">
        <f>A357</f>
        <v/>
      </c>
      <c r="B364" s="227"/>
      <c r="C364" s="262" t="str">
        <f>C357</f>
        <v/>
      </c>
      <c r="D364" s="227"/>
      <c r="E364" s="227"/>
      <c r="F364" s="228"/>
      <c r="G364" s="229"/>
      <c r="H364" s="229"/>
      <c r="I364" s="230" t="s">
        <v>561</v>
      </c>
      <c r="J364" s="231"/>
      <c r="K364" s="228"/>
      <c r="L364" s="229"/>
      <c r="M364" s="229"/>
      <c r="N364" s="230" t="s">
        <v>561</v>
      </c>
      <c r="O364" s="231"/>
      <c r="P364" s="228"/>
      <c r="Q364" s="229"/>
      <c r="R364" s="229"/>
      <c r="S364" s="230" t="s">
        <v>561</v>
      </c>
      <c r="T364" s="231"/>
      <c r="U364" s="228"/>
      <c r="V364" s="229"/>
      <c r="W364" s="229"/>
      <c r="X364" s="230" t="s">
        <v>561</v>
      </c>
      <c r="Y364" s="231"/>
    </row>
    <row r="365" spans="1:25" ht="24" customHeight="1" x14ac:dyDescent="0.2">
      <c r="A365" s="261" t="str">
        <f>A358</f>
        <v/>
      </c>
      <c r="B365" s="227"/>
      <c r="C365" s="262" t="str">
        <f>C358</f>
        <v/>
      </c>
      <c r="D365" s="227"/>
      <c r="E365" s="227"/>
      <c r="F365" s="228"/>
      <c r="G365" s="229"/>
      <c r="H365" s="229"/>
      <c r="I365" s="230" t="s">
        <v>561</v>
      </c>
      <c r="J365" s="231"/>
      <c r="K365" s="228"/>
      <c r="L365" s="229"/>
      <c r="M365" s="229"/>
      <c r="N365" s="230" t="s">
        <v>561</v>
      </c>
      <c r="O365" s="231"/>
      <c r="P365" s="228"/>
      <c r="Q365" s="229"/>
      <c r="R365" s="229"/>
      <c r="S365" s="230" t="s">
        <v>561</v>
      </c>
      <c r="T365" s="231"/>
      <c r="U365" s="228"/>
      <c r="V365" s="229"/>
      <c r="W365" s="229"/>
      <c r="X365" s="230" t="s">
        <v>561</v>
      </c>
      <c r="Y365" s="231"/>
    </row>
    <row r="366" spans="1:25" ht="24" customHeight="1" x14ac:dyDescent="0.2">
      <c r="A366" s="261" t="str">
        <f>A359</f>
        <v/>
      </c>
      <c r="B366" s="227"/>
      <c r="C366" s="262" t="str">
        <f>C359</f>
        <v/>
      </c>
      <c r="D366" s="227"/>
      <c r="E366" s="227"/>
      <c r="F366" s="228"/>
      <c r="G366" s="229"/>
      <c r="H366" s="229"/>
      <c r="I366" s="230" t="s">
        <v>561</v>
      </c>
      <c r="J366" s="232"/>
      <c r="K366" s="228"/>
      <c r="L366" s="229"/>
      <c r="M366" s="229"/>
      <c r="N366" s="230" t="s">
        <v>561</v>
      </c>
      <c r="O366" s="232"/>
      <c r="P366" s="228"/>
      <c r="Q366" s="229"/>
      <c r="R366" s="229"/>
      <c r="S366" s="230" t="s">
        <v>561</v>
      </c>
      <c r="T366" s="232"/>
      <c r="U366" s="228"/>
      <c r="V366" s="229"/>
      <c r="W366" s="229"/>
      <c r="X366" s="230" t="s">
        <v>561</v>
      </c>
      <c r="Y366" s="232"/>
    </row>
    <row r="367" spans="1:25" ht="24" customHeight="1" thickBot="1" x14ac:dyDescent="0.25">
      <c r="F367" s="1079" t="s">
        <v>562</v>
      </c>
      <c r="G367" s="1080"/>
      <c r="H367" s="1080"/>
      <c r="I367" s="230" t="s">
        <v>561</v>
      </c>
      <c r="J367" s="231"/>
      <c r="K367" s="1079" t="s">
        <v>563</v>
      </c>
      <c r="L367" s="1080"/>
      <c r="M367" s="1080"/>
      <c r="N367" s="230" t="s">
        <v>561</v>
      </c>
      <c r="O367" s="232"/>
      <c r="P367" s="1079" t="s">
        <v>564</v>
      </c>
      <c r="Q367" s="1080"/>
      <c r="R367" s="1080"/>
      <c r="S367" s="230" t="s">
        <v>561</v>
      </c>
      <c r="T367" s="232"/>
      <c r="U367" s="1079" t="s">
        <v>565</v>
      </c>
      <c r="V367" s="1080"/>
      <c r="W367" s="1080"/>
      <c r="X367" s="230" t="s">
        <v>561</v>
      </c>
      <c r="Y367" s="232"/>
    </row>
    <row r="368" spans="1:25" ht="24" customHeight="1" thickBot="1" x14ac:dyDescent="0.25">
      <c r="F368" s="233"/>
      <c r="G368" s="234"/>
      <c r="H368" s="235" t="s">
        <v>566</v>
      </c>
      <c r="I368" s="235"/>
      <c r="J368" s="236"/>
      <c r="K368" s="1092" t="s">
        <v>567</v>
      </c>
      <c r="L368" s="1085"/>
      <c r="M368" s="1085"/>
      <c r="N368" s="237" t="s">
        <v>561</v>
      </c>
      <c r="O368" s="238"/>
      <c r="P368" s="1092" t="s">
        <v>568</v>
      </c>
      <c r="Q368" s="1085"/>
      <c r="R368" s="1085"/>
      <c r="S368" s="237" t="s">
        <v>561</v>
      </c>
      <c r="T368" s="238"/>
      <c r="U368" s="1092" t="s">
        <v>569</v>
      </c>
      <c r="V368" s="1085"/>
      <c r="W368" s="1085"/>
      <c r="X368" s="237" t="s">
        <v>561</v>
      </c>
      <c r="Y368" s="239"/>
    </row>
    <row r="369" spans="1:25" ht="12.75" customHeight="1" x14ac:dyDescent="0.2">
      <c r="Y369" s="240" t="s">
        <v>570</v>
      </c>
    </row>
    <row r="370" spans="1:25" ht="15.75" customHeight="1" x14ac:dyDescent="0.2">
      <c r="B370" s="1091" t="s">
        <v>521</v>
      </c>
      <c r="C370" s="1091"/>
      <c r="D370" s="1091"/>
      <c r="E370" s="1091"/>
      <c r="F370" s="1091"/>
      <c r="G370" s="1091"/>
      <c r="H370" s="1091"/>
      <c r="I370" s="1091"/>
      <c r="J370" s="1091"/>
      <c r="K370" s="1091"/>
      <c r="L370" s="1091"/>
      <c r="O370" s="1091" t="s">
        <v>522</v>
      </c>
      <c r="P370" s="1091"/>
      <c r="Q370" s="1091"/>
      <c r="R370" s="1091"/>
      <c r="S370" s="1091"/>
      <c r="T370" s="1091"/>
      <c r="U370" s="1091"/>
      <c r="V370" s="1091"/>
      <c r="W370" s="1091"/>
      <c r="X370" s="1091"/>
      <c r="Y370" s="1091"/>
    </row>
    <row r="371" spans="1:25" ht="13.5" customHeight="1" x14ac:dyDescent="0.2">
      <c r="B371" s="1086" t="s">
        <v>1</v>
      </c>
      <c r="C371" s="1087"/>
      <c r="D371" s="1087"/>
      <c r="E371" s="1087"/>
      <c r="F371" s="1087"/>
      <c r="G371" s="1087"/>
      <c r="H371" s="1088"/>
      <c r="I371" s="1086" t="s">
        <v>520</v>
      </c>
      <c r="J371" s="1087"/>
      <c r="K371" s="1087"/>
      <c r="L371" s="1088"/>
      <c r="N371" s="241"/>
      <c r="O371" s="1086" t="s">
        <v>1</v>
      </c>
      <c r="P371" s="1087"/>
      <c r="Q371" s="1087"/>
      <c r="R371" s="1087"/>
      <c r="S371" s="1087"/>
      <c r="T371" s="1087"/>
      <c r="U371" s="1088"/>
      <c r="V371" s="1086" t="s">
        <v>520</v>
      </c>
      <c r="W371" s="1087"/>
      <c r="X371" s="1087"/>
      <c r="Y371" s="1088"/>
    </row>
    <row r="372" spans="1:25" ht="21.75" customHeight="1" x14ac:dyDescent="0.2">
      <c r="B372" s="242"/>
      <c r="C372" s="243"/>
      <c r="D372" s="243"/>
      <c r="E372" s="243"/>
      <c r="F372" s="243"/>
      <c r="G372" s="243"/>
      <c r="H372" s="243"/>
      <c r="I372" s="242"/>
      <c r="J372" s="243"/>
      <c r="K372" s="243"/>
      <c r="L372" s="244"/>
      <c r="N372" s="241"/>
      <c r="O372" s="242"/>
      <c r="P372" s="243"/>
      <c r="Q372" s="243"/>
      <c r="R372" s="243"/>
      <c r="S372" s="243"/>
      <c r="T372" s="243"/>
      <c r="U372" s="243"/>
      <c r="V372" s="242"/>
      <c r="W372" s="243"/>
      <c r="X372" s="243"/>
      <c r="Y372" s="244"/>
    </row>
    <row r="373" spans="1:25" ht="13.5" customHeight="1" x14ac:dyDescent="0.2"/>
    <row r="374" spans="1:25" ht="14.25" customHeight="1" thickBot="1" x14ac:dyDescent="0.25">
      <c r="A374" s="241"/>
      <c r="G374" s="305"/>
      <c r="H374" s="305"/>
      <c r="I374" s="1069" t="s">
        <v>0</v>
      </c>
      <c r="J374" s="1069"/>
      <c r="K374" s="1069"/>
      <c r="L374" s="1069"/>
      <c r="M374" s="1069"/>
      <c r="N374" s="1069"/>
      <c r="O374" s="1069"/>
      <c r="P374" s="1069" t="s">
        <v>374</v>
      </c>
      <c r="Q374" s="1069"/>
      <c r="R374" s="1069"/>
      <c r="S374" s="1069"/>
      <c r="T374" s="1069"/>
      <c r="U374" s="1069" t="s">
        <v>571</v>
      </c>
      <c r="V374" s="1069"/>
      <c r="W374" s="1069"/>
      <c r="X374" s="305"/>
      <c r="Y374" s="305"/>
    </row>
    <row r="375" spans="1:25" ht="20.25" customHeight="1" x14ac:dyDescent="0.2">
      <c r="A375" s="241"/>
      <c r="F375" s="1074" t="s">
        <v>584</v>
      </c>
      <c r="G375" s="1074"/>
      <c r="H375" s="1074"/>
      <c r="I375" s="316"/>
      <c r="J375" s="306"/>
      <c r="K375" s="306"/>
      <c r="L375" s="306"/>
      <c r="M375" s="306"/>
      <c r="N375" s="306"/>
      <c r="O375" s="306"/>
      <c r="P375" s="312"/>
      <c r="Q375" s="306"/>
      <c r="R375" s="307"/>
      <c r="S375" s="304"/>
      <c r="T375" s="313"/>
      <c r="U375" s="310"/>
      <c r="V375" s="1084" t="s">
        <v>495</v>
      </c>
      <c r="W375" s="308"/>
    </row>
    <row r="376" spans="1:25" ht="13.5" thickBot="1" x14ac:dyDescent="0.25">
      <c r="F376" s="1074"/>
      <c r="G376" s="1074"/>
      <c r="H376" s="1074"/>
      <c r="I376" s="303"/>
      <c r="J376" s="235"/>
      <c r="K376" s="235"/>
      <c r="L376" s="235"/>
      <c r="M376" s="235"/>
      <c r="N376" s="235"/>
      <c r="O376" s="235"/>
      <c r="P376" s="314"/>
      <c r="Q376" s="235"/>
      <c r="R376" s="234"/>
      <c r="S376" s="234"/>
      <c r="T376" s="315"/>
      <c r="U376" s="311"/>
      <c r="V376" s="1085"/>
      <c r="W376" s="309"/>
    </row>
    <row r="378" spans="1:25" ht="6.75" customHeight="1" x14ac:dyDescent="0.2"/>
    <row r="379" spans="1:25" s="218" customFormat="1" ht="23.25" customHeight="1" x14ac:dyDescent="0.2">
      <c r="A379" s="1072" t="s">
        <v>546</v>
      </c>
      <c r="B379" s="1073"/>
      <c r="C379" s="402"/>
      <c r="D379" s="1098" t="s">
        <v>628</v>
      </c>
      <c r="E379" s="1072"/>
      <c r="F379" s="1072"/>
      <c r="G379" s="1103"/>
      <c r="H379" s="1104"/>
      <c r="K379" s="218" t="str">
        <f>RIGHT(CATEG_IMPORTEE, LEN(CATEG_IMPORTEE) - 2)</f>
        <v>llèges Mixtes Etablissement</v>
      </c>
      <c r="T379" s="397" t="s">
        <v>627</v>
      </c>
      <c r="U379" s="401">
        <v>14</v>
      </c>
      <c r="V379" s="396" t="s">
        <v>547</v>
      </c>
      <c r="W379" s="401"/>
      <c r="X379" s="395"/>
    </row>
    <row r="380" spans="1:25" ht="27" customHeight="1" thickBot="1" x14ac:dyDescent="0.25">
      <c r="B380" s="1069" t="s">
        <v>0</v>
      </c>
      <c r="C380" s="1069"/>
      <c r="D380" s="1069"/>
      <c r="E380" s="1069"/>
      <c r="F380" s="1069"/>
      <c r="G380" s="1069"/>
      <c r="H380" s="1069"/>
      <c r="I380" s="1069" t="s">
        <v>374</v>
      </c>
      <c r="J380" s="1069"/>
      <c r="K380" s="1069"/>
      <c r="L380" s="1069"/>
      <c r="O380" s="1069" t="s">
        <v>0</v>
      </c>
      <c r="P380" s="1069"/>
      <c r="Q380" s="1069"/>
      <c r="R380" s="1069"/>
      <c r="S380" s="1069"/>
      <c r="T380" s="1069"/>
      <c r="U380" s="1069"/>
      <c r="V380" s="1069" t="s">
        <v>374</v>
      </c>
      <c r="W380" s="1069"/>
      <c r="X380" s="1069"/>
      <c r="Y380" s="1069"/>
    </row>
    <row r="381" spans="1:25" ht="24" customHeight="1" thickBot="1" x14ac:dyDescent="0.25">
      <c r="A381" s="219"/>
      <c r="B381" s="398" t="str">
        <f>VLOOKUP(U379,TBL_equipe,2,FALSE)</f>
        <v/>
      </c>
      <c r="C381" s="399"/>
      <c r="D381" s="399"/>
      <c r="E381" s="399"/>
      <c r="F381" s="399"/>
      <c r="G381" s="399"/>
      <c r="H381" s="400"/>
      <c r="I381" s="257" t="str">
        <f>VLOOKUP(U379,TBL_equipe,4,FALSE)</f>
        <v/>
      </c>
      <c r="J381" s="220"/>
      <c r="K381" s="220"/>
      <c r="L381" s="221"/>
      <c r="M381" s="1070" t="s">
        <v>547</v>
      </c>
      <c r="N381" s="1071"/>
      <c r="O381" s="398" t="e">
        <f>VLOOKUP(W379,TBL_equipe,2,FALSE)</f>
        <v>#N/A</v>
      </c>
      <c r="P381" s="220"/>
      <c r="Q381" s="220"/>
      <c r="R381" s="220"/>
      <c r="S381" s="220"/>
      <c r="T381" s="220"/>
      <c r="U381" s="221"/>
      <c r="V381" s="257" t="e">
        <f>VLOOKUP(W379,TBL_equipe,4,FALSE)</f>
        <v>#N/A</v>
      </c>
      <c r="W381" s="220"/>
      <c r="X381" s="220"/>
      <c r="Y381" s="221"/>
    </row>
    <row r="382" spans="1:25" ht="15" customHeight="1" x14ac:dyDescent="0.2"/>
    <row r="383" spans="1:25" ht="20.100000000000001" customHeight="1" x14ac:dyDescent="0.2">
      <c r="A383" s="1074" t="s">
        <v>548</v>
      </c>
      <c r="B383" s="1074"/>
      <c r="C383" s="1074"/>
      <c r="D383" s="1074"/>
      <c r="E383" s="1074"/>
    </row>
    <row r="384" spans="1:25" ht="20.100000000000001" customHeight="1" x14ac:dyDescent="0.2">
      <c r="A384" s="1075" t="s">
        <v>549</v>
      </c>
      <c r="B384" s="1075"/>
      <c r="C384" s="1075"/>
      <c r="D384" s="1075"/>
      <c r="E384" s="1075"/>
      <c r="G384" s="1076" t="s">
        <v>480</v>
      </c>
      <c r="H384" s="1076"/>
      <c r="I384" s="1077" t="s">
        <v>550</v>
      </c>
      <c r="J384" s="1077"/>
      <c r="K384" s="1077"/>
      <c r="L384" s="252" t="s">
        <v>551</v>
      </c>
      <c r="M384" s="1078" t="s">
        <v>552</v>
      </c>
      <c r="N384" s="1078"/>
      <c r="O384" s="251"/>
    </row>
    <row r="385" spans="1:25" ht="24" customHeight="1" x14ac:dyDescent="0.2">
      <c r="A385" s="258" t="str">
        <f>VLOOKUP(U379,TBL_equipe,5,FALSE)</f>
        <v/>
      </c>
      <c r="B385" s="223"/>
      <c r="C385" s="259" t="str">
        <f>VLOOKUP(U379,TBL_equipe,6,FALSE)</f>
        <v/>
      </c>
      <c r="D385" s="223"/>
      <c r="E385" s="224"/>
      <c r="F385" s="219"/>
      <c r="G385" s="403" t="str">
        <f>VLOOKUP(U379,TBL_equipe,9,FALSE)</f>
        <v/>
      </c>
      <c r="H385" s="224"/>
      <c r="I385" s="222"/>
      <c r="J385" s="246" t="str">
        <f>VLOOKUP(U379,TBL_equipe,8,FALSE)</f>
        <v/>
      </c>
      <c r="K385" s="224"/>
      <c r="L385" s="260" t="str">
        <f>VLOOKUP(U379,TBL_equipe,10,FALSE)</f>
        <v/>
      </c>
      <c r="M385" s="287">
        <f>G379</f>
        <v>0</v>
      </c>
      <c r="N385" s="288"/>
      <c r="O385" s="249"/>
      <c r="R385" s="254"/>
      <c r="S385" s="254"/>
      <c r="T385" s="254" t="s">
        <v>51</v>
      </c>
      <c r="U385" s="254"/>
      <c r="V385" s="254"/>
      <c r="W385" s="254"/>
      <c r="X385" s="254"/>
      <c r="Y385" s="254"/>
    </row>
    <row r="386" spans="1:25" ht="24" customHeight="1" x14ac:dyDescent="0.2">
      <c r="A386" s="258" t="str">
        <f>VLOOKUP(U379,TBL_equipe,11,FALSE)</f>
        <v/>
      </c>
      <c r="B386" s="223"/>
      <c r="C386" s="259" t="str">
        <f>VLOOKUP(U379,TBL_equipe,12,FALSE)</f>
        <v/>
      </c>
      <c r="D386" s="223"/>
      <c r="E386" s="224"/>
      <c r="F386" s="219"/>
      <c r="G386" s="403" t="str">
        <f>VLOOKUP(U379,TBL_equipe,15,FALSE)</f>
        <v/>
      </c>
      <c r="H386" s="224"/>
      <c r="I386" s="222"/>
      <c r="J386" s="246" t="str">
        <f>VLOOKUP(U379,TBL_equipe,14,FALSE)</f>
        <v/>
      </c>
      <c r="K386" s="224"/>
      <c r="L386" s="260" t="str">
        <f>VLOOKUP(U379,TBL_equipe,16,FALSE)</f>
        <v/>
      </c>
      <c r="M386" s="287">
        <f>G379</f>
        <v>0</v>
      </c>
      <c r="N386" s="288"/>
      <c r="O386" s="249"/>
      <c r="Q386" s="254"/>
      <c r="R386" s="254"/>
      <c r="S386" s="254"/>
      <c r="T386" s="254"/>
      <c r="U386" s="254"/>
      <c r="V386" s="254"/>
      <c r="W386" s="254"/>
      <c r="X386" s="254"/>
      <c r="Y386" s="254"/>
    </row>
    <row r="387" spans="1:25" ht="24" customHeight="1" x14ac:dyDescent="0.2">
      <c r="A387" s="258" t="str">
        <f>VLOOKUP(U379,TBL_equipe,17,FALSE)</f>
        <v/>
      </c>
      <c r="B387" s="223"/>
      <c r="C387" s="259" t="str">
        <f>VLOOKUP(U379,TBL_equipe,18,FALSE)</f>
        <v/>
      </c>
      <c r="D387" s="223"/>
      <c r="E387" s="224"/>
      <c r="F387" s="219"/>
      <c r="G387" s="403" t="str">
        <f>VLOOKUP(U379,TBL_equipe,21,FALSE)</f>
        <v/>
      </c>
      <c r="H387" s="224"/>
      <c r="I387" s="222"/>
      <c r="J387" s="246" t="str">
        <f>VLOOKUP(U379,TBL_equipe,20,FALSE)</f>
        <v/>
      </c>
      <c r="K387" s="224"/>
      <c r="L387" s="260" t="str">
        <f>VLOOKUP(U379,TBL_equipe,22,FALSE)</f>
        <v/>
      </c>
      <c r="M387" s="287">
        <f>G379</f>
        <v>0</v>
      </c>
      <c r="N387" s="288"/>
      <c r="O387" s="249"/>
      <c r="Q387" s="254"/>
      <c r="R387" s="254"/>
      <c r="S387" s="254"/>
      <c r="T387" s="254"/>
      <c r="U387" s="254"/>
      <c r="V387" s="254"/>
      <c r="W387" s="254"/>
      <c r="X387" s="254"/>
      <c r="Y387" s="254"/>
    </row>
    <row r="388" spans="1:25" ht="24" customHeight="1" x14ac:dyDescent="0.2">
      <c r="A388" s="258" t="str">
        <f>VLOOKUP(U379,TBL_equipe,23,FALSE)</f>
        <v/>
      </c>
      <c r="B388" s="223"/>
      <c r="C388" s="259" t="str">
        <f>VLOOKUP(U379,TBL_equipe,24,FALSE)</f>
        <v/>
      </c>
      <c r="D388" s="223"/>
      <c r="E388" s="224"/>
      <c r="F388" s="219"/>
      <c r="G388" s="403" t="str">
        <f>VLOOKUP(U379,TBL_equipe,27,FALSE)</f>
        <v/>
      </c>
      <c r="H388" s="224"/>
      <c r="I388" s="222"/>
      <c r="J388" s="246" t="str">
        <f>VLOOKUP(U379,TBL_equipe,26,FALSE)</f>
        <v/>
      </c>
      <c r="K388" s="224"/>
      <c r="L388" s="260" t="str">
        <f>VLOOKUP(U379,TBL_equipe,28,FALSE)</f>
        <v/>
      </c>
      <c r="M388" s="289">
        <f>G379</f>
        <v>0</v>
      </c>
      <c r="N388" s="290"/>
      <c r="O388" s="249"/>
    </row>
    <row r="389" spans="1:25" ht="15" customHeight="1" thickBot="1" x14ac:dyDescent="0.25"/>
    <row r="390" spans="1:25" ht="20.100000000000001" customHeight="1" x14ac:dyDescent="0.2">
      <c r="F390" s="1081" t="s">
        <v>555</v>
      </c>
      <c r="G390" s="1082"/>
      <c r="H390" s="1082"/>
      <c r="I390" s="1082"/>
      <c r="J390" s="1083"/>
      <c r="K390" s="1081" t="s">
        <v>556</v>
      </c>
      <c r="L390" s="1082"/>
      <c r="M390" s="1082"/>
      <c r="N390" s="1082"/>
      <c r="O390" s="1083"/>
      <c r="P390" s="1081" t="s">
        <v>557</v>
      </c>
      <c r="Q390" s="1082"/>
      <c r="R390" s="1082"/>
      <c r="S390" s="1082"/>
      <c r="T390" s="1083"/>
      <c r="U390" s="1081" t="s">
        <v>558</v>
      </c>
      <c r="V390" s="1082"/>
      <c r="W390" s="1082"/>
      <c r="X390" s="1082"/>
      <c r="Y390" s="1083"/>
    </row>
    <row r="391" spans="1:25" ht="20.100000000000001" customHeight="1" x14ac:dyDescent="0.2">
      <c r="A391" s="1075" t="s">
        <v>559</v>
      </c>
      <c r="B391" s="1075"/>
      <c r="C391" s="1075"/>
      <c r="D391" s="1075"/>
      <c r="E391" s="1089"/>
      <c r="F391" s="1090" t="s">
        <v>560</v>
      </c>
      <c r="G391" s="1075"/>
      <c r="H391" s="1075"/>
      <c r="J391" s="225" t="s">
        <v>7</v>
      </c>
      <c r="K391" s="1090" t="s">
        <v>560</v>
      </c>
      <c r="L391" s="1075"/>
      <c r="M391" s="1075"/>
      <c r="O391" s="225" t="s">
        <v>7</v>
      </c>
      <c r="P391" s="1090" t="s">
        <v>560</v>
      </c>
      <c r="Q391" s="1075"/>
      <c r="R391" s="1075"/>
      <c r="T391" s="225" t="s">
        <v>7</v>
      </c>
      <c r="U391" s="1090" t="s">
        <v>560</v>
      </c>
      <c r="V391" s="1075"/>
      <c r="W391" s="1075"/>
      <c r="Y391" s="225" t="s">
        <v>7</v>
      </c>
    </row>
    <row r="392" spans="1:25" ht="24" customHeight="1" x14ac:dyDescent="0.2">
      <c r="A392" s="261" t="str">
        <f>A385</f>
        <v/>
      </c>
      <c r="B392" s="227"/>
      <c r="C392" s="262" t="str">
        <f>C385</f>
        <v/>
      </c>
      <c r="D392" s="227"/>
      <c r="E392" s="227"/>
      <c r="F392" s="228"/>
      <c r="G392" s="229"/>
      <c r="H392" s="229"/>
      <c r="I392" s="230" t="s">
        <v>561</v>
      </c>
      <c r="J392" s="231"/>
      <c r="K392" s="228"/>
      <c r="L392" s="229"/>
      <c r="M392" s="229"/>
      <c r="N392" s="230" t="s">
        <v>561</v>
      </c>
      <c r="O392" s="231"/>
      <c r="P392" s="228"/>
      <c r="Q392" s="229"/>
      <c r="R392" s="229"/>
      <c r="S392" s="230" t="s">
        <v>561</v>
      </c>
      <c r="T392" s="231"/>
      <c r="U392" s="228"/>
      <c r="V392" s="229"/>
      <c r="W392" s="229"/>
      <c r="X392" s="230" t="s">
        <v>561</v>
      </c>
      <c r="Y392" s="231"/>
    </row>
    <row r="393" spans="1:25" ht="24" customHeight="1" x14ac:dyDescent="0.2">
      <c r="A393" s="261" t="str">
        <f>A386</f>
        <v/>
      </c>
      <c r="B393" s="227"/>
      <c r="C393" s="262" t="str">
        <f>C386</f>
        <v/>
      </c>
      <c r="D393" s="227"/>
      <c r="E393" s="227"/>
      <c r="F393" s="228"/>
      <c r="G393" s="229"/>
      <c r="H393" s="229"/>
      <c r="I393" s="230" t="s">
        <v>561</v>
      </c>
      <c r="J393" s="231"/>
      <c r="K393" s="228"/>
      <c r="L393" s="229"/>
      <c r="M393" s="229"/>
      <c r="N393" s="230" t="s">
        <v>561</v>
      </c>
      <c r="O393" s="231"/>
      <c r="P393" s="228"/>
      <c r="Q393" s="229"/>
      <c r="R393" s="229"/>
      <c r="S393" s="230" t="s">
        <v>561</v>
      </c>
      <c r="T393" s="231"/>
      <c r="U393" s="228"/>
      <c r="V393" s="229"/>
      <c r="W393" s="229"/>
      <c r="X393" s="230" t="s">
        <v>561</v>
      </c>
      <c r="Y393" s="231"/>
    </row>
    <row r="394" spans="1:25" ht="24" customHeight="1" x14ac:dyDescent="0.2">
      <c r="A394" s="261" t="str">
        <f>A387</f>
        <v/>
      </c>
      <c r="B394" s="227"/>
      <c r="C394" s="262" t="str">
        <f>C387</f>
        <v/>
      </c>
      <c r="D394" s="227"/>
      <c r="E394" s="227"/>
      <c r="F394" s="228"/>
      <c r="G394" s="229"/>
      <c r="H394" s="229"/>
      <c r="I394" s="230" t="s">
        <v>561</v>
      </c>
      <c r="J394" s="231"/>
      <c r="K394" s="228"/>
      <c r="L394" s="229"/>
      <c r="M394" s="229"/>
      <c r="N394" s="230" t="s">
        <v>561</v>
      </c>
      <c r="O394" s="231"/>
      <c r="P394" s="228"/>
      <c r="Q394" s="229"/>
      <c r="R394" s="229"/>
      <c r="S394" s="230" t="s">
        <v>561</v>
      </c>
      <c r="T394" s="231"/>
      <c r="U394" s="228"/>
      <c r="V394" s="229"/>
      <c r="W394" s="229"/>
      <c r="X394" s="230" t="s">
        <v>561</v>
      </c>
      <c r="Y394" s="231"/>
    </row>
    <row r="395" spans="1:25" ht="24" customHeight="1" x14ac:dyDescent="0.2">
      <c r="A395" s="261" t="str">
        <f>A388</f>
        <v/>
      </c>
      <c r="B395" s="227"/>
      <c r="C395" s="262" t="str">
        <f>C388</f>
        <v/>
      </c>
      <c r="D395" s="227"/>
      <c r="E395" s="227"/>
      <c r="F395" s="228"/>
      <c r="G395" s="229"/>
      <c r="H395" s="229"/>
      <c r="I395" s="230" t="s">
        <v>561</v>
      </c>
      <c r="J395" s="232"/>
      <c r="K395" s="228"/>
      <c r="L395" s="229"/>
      <c r="M395" s="229"/>
      <c r="N395" s="230" t="s">
        <v>561</v>
      </c>
      <c r="O395" s="232"/>
      <c r="P395" s="228"/>
      <c r="Q395" s="229"/>
      <c r="R395" s="229"/>
      <c r="S395" s="230" t="s">
        <v>561</v>
      </c>
      <c r="T395" s="232"/>
      <c r="U395" s="228"/>
      <c r="V395" s="229"/>
      <c r="W395" s="229"/>
      <c r="X395" s="230" t="s">
        <v>561</v>
      </c>
      <c r="Y395" s="232"/>
    </row>
    <row r="396" spans="1:25" ht="24" customHeight="1" thickBot="1" x14ac:dyDescent="0.25">
      <c r="F396" s="1079" t="s">
        <v>562</v>
      </c>
      <c r="G396" s="1080"/>
      <c r="H396" s="1080"/>
      <c r="I396" s="230" t="s">
        <v>561</v>
      </c>
      <c r="J396" s="231"/>
      <c r="K396" s="1079" t="s">
        <v>563</v>
      </c>
      <c r="L396" s="1080"/>
      <c r="M396" s="1080"/>
      <c r="N396" s="230" t="s">
        <v>561</v>
      </c>
      <c r="O396" s="232"/>
      <c r="P396" s="1079" t="s">
        <v>564</v>
      </c>
      <c r="Q396" s="1080"/>
      <c r="R396" s="1080"/>
      <c r="S396" s="230" t="s">
        <v>561</v>
      </c>
      <c r="T396" s="232"/>
      <c r="U396" s="1079" t="s">
        <v>565</v>
      </c>
      <c r="V396" s="1080"/>
      <c r="W396" s="1080"/>
      <c r="X396" s="230" t="s">
        <v>561</v>
      </c>
      <c r="Y396" s="232"/>
    </row>
    <row r="397" spans="1:25" ht="24" customHeight="1" thickBot="1" x14ac:dyDescent="0.25">
      <c r="F397" s="233"/>
      <c r="G397" s="234"/>
      <c r="H397" s="235" t="s">
        <v>566</v>
      </c>
      <c r="I397" s="235"/>
      <c r="J397" s="236"/>
      <c r="K397" s="1092" t="s">
        <v>567</v>
      </c>
      <c r="L397" s="1085"/>
      <c r="M397" s="1085"/>
      <c r="N397" s="237" t="s">
        <v>561</v>
      </c>
      <c r="O397" s="238"/>
      <c r="P397" s="1092" t="s">
        <v>568</v>
      </c>
      <c r="Q397" s="1085"/>
      <c r="R397" s="1085"/>
      <c r="S397" s="237" t="s">
        <v>561</v>
      </c>
      <c r="T397" s="238"/>
      <c r="U397" s="1092" t="s">
        <v>569</v>
      </c>
      <c r="V397" s="1085"/>
      <c r="W397" s="1085"/>
      <c r="X397" s="237" t="s">
        <v>561</v>
      </c>
      <c r="Y397" s="239"/>
    </row>
    <row r="398" spans="1:25" ht="12.75" customHeight="1" x14ac:dyDescent="0.2">
      <c r="Y398" s="240" t="s">
        <v>570</v>
      </c>
    </row>
    <row r="399" spans="1:25" ht="15.75" customHeight="1" x14ac:dyDescent="0.2">
      <c r="B399" s="1091" t="s">
        <v>521</v>
      </c>
      <c r="C399" s="1091"/>
      <c r="D399" s="1091"/>
      <c r="E399" s="1091"/>
      <c r="F399" s="1091"/>
      <c r="G399" s="1091"/>
      <c r="H399" s="1091"/>
      <c r="I399" s="1091"/>
      <c r="J399" s="1091"/>
      <c r="K399" s="1091"/>
      <c r="L399" s="1091"/>
      <c r="O399" s="1091" t="s">
        <v>522</v>
      </c>
      <c r="P399" s="1091"/>
      <c r="Q399" s="1091"/>
      <c r="R399" s="1091"/>
      <c r="S399" s="1091"/>
      <c r="T399" s="1091"/>
      <c r="U399" s="1091"/>
      <c r="V399" s="1091"/>
      <c r="W399" s="1091"/>
      <c r="X399" s="1091"/>
      <c r="Y399" s="1091"/>
    </row>
    <row r="400" spans="1:25" ht="13.5" customHeight="1" x14ac:dyDescent="0.2">
      <c r="B400" s="1086" t="s">
        <v>1</v>
      </c>
      <c r="C400" s="1087"/>
      <c r="D400" s="1087"/>
      <c r="E400" s="1087"/>
      <c r="F400" s="1087"/>
      <c r="G400" s="1087"/>
      <c r="H400" s="1088"/>
      <c r="I400" s="1086" t="s">
        <v>520</v>
      </c>
      <c r="J400" s="1087"/>
      <c r="K400" s="1087"/>
      <c r="L400" s="1088"/>
      <c r="N400" s="241"/>
      <c r="O400" s="1086" t="s">
        <v>1</v>
      </c>
      <c r="P400" s="1087"/>
      <c r="Q400" s="1087"/>
      <c r="R400" s="1087"/>
      <c r="S400" s="1087"/>
      <c r="T400" s="1087"/>
      <c r="U400" s="1088"/>
      <c r="V400" s="1086" t="s">
        <v>520</v>
      </c>
      <c r="W400" s="1087"/>
      <c r="X400" s="1087"/>
      <c r="Y400" s="1088"/>
    </row>
    <row r="401" spans="1:25" ht="21.75" customHeight="1" x14ac:dyDescent="0.2">
      <c r="B401" s="242"/>
      <c r="C401" s="243"/>
      <c r="D401" s="243"/>
      <c r="E401" s="243"/>
      <c r="F401" s="243"/>
      <c r="G401" s="243"/>
      <c r="H401" s="243"/>
      <c r="I401" s="242"/>
      <c r="J401" s="243"/>
      <c r="K401" s="243"/>
      <c r="L401" s="244"/>
      <c r="N401" s="241"/>
      <c r="O401" s="242"/>
      <c r="P401" s="243"/>
      <c r="Q401" s="243"/>
      <c r="R401" s="243"/>
      <c r="S401" s="243"/>
      <c r="T401" s="243"/>
      <c r="U401" s="243"/>
      <c r="V401" s="242"/>
      <c r="W401" s="243"/>
      <c r="X401" s="243"/>
      <c r="Y401" s="244"/>
    </row>
    <row r="402" spans="1:25" ht="13.5" customHeight="1" x14ac:dyDescent="0.2"/>
    <row r="403" spans="1:25" ht="14.25" customHeight="1" thickBot="1" x14ac:dyDescent="0.25">
      <c r="A403" s="241"/>
      <c r="G403" s="305"/>
      <c r="H403" s="305"/>
      <c r="I403" s="1069" t="s">
        <v>0</v>
      </c>
      <c r="J403" s="1069"/>
      <c r="K403" s="1069"/>
      <c r="L403" s="1069"/>
      <c r="M403" s="1069"/>
      <c r="N403" s="1069"/>
      <c r="O403" s="1069"/>
      <c r="P403" s="1069" t="s">
        <v>374</v>
      </c>
      <c r="Q403" s="1069"/>
      <c r="R403" s="1069"/>
      <c r="S403" s="1069"/>
      <c r="T403" s="1069"/>
      <c r="U403" s="1069" t="s">
        <v>571</v>
      </c>
      <c r="V403" s="1069"/>
      <c r="W403" s="1069"/>
      <c r="X403" s="305"/>
      <c r="Y403" s="305"/>
    </row>
    <row r="404" spans="1:25" ht="20.25" customHeight="1" x14ac:dyDescent="0.2">
      <c r="A404" s="241"/>
      <c r="F404" s="1074" t="s">
        <v>584</v>
      </c>
      <c r="G404" s="1074"/>
      <c r="H404" s="1074"/>
      <c r="I404" s="316"/>
      <c r="J404" s="306"/>
      <c r="K404" s="306"/>
      <c r="L404" s="306"/>
      <c r="M404" s="306"/>
      <c r="N404" s="306"/>
      <c r="O404" s="306"/>
      <c r="P404" s="312"/>
      <c r="Q404" s="306"/>
      <c r="R404" s="307"/>
      <c r="S404" s="304"/>
      <c r="T404" s="313"/>
      <c r="U404" s="310"/>
      <c r="V404" s="1084" t="s">
        <v>495</v>
      </c>
      <c r="W404" s="308"/>
    </row>
    <row r="405" spans="1:25" ht="13.5" thickBot="1" x14ac:dyDescent="0.25">
      <c r="F405" s="1074"/>
      <c r="G405" s="1074"/>
      <c r="H405" s="1074"/>
      <c r="I405" s="303"/>
      <c r="J405" s="235"/>
      <c r="K405" s="235"/>
      <c r="L405" s="235"/>
      <c r="M405" s="235"/>
      <c r="N405" s="235"/>
      <c r="O405" s="235"/>
      <c r="P405" s="314"/>
      <c r="Q405" s="235"/>
      <c r="R405" s="234"/>
      <c r="S405" s="234"/>
      <c r="T405" s="315"/>
      <c r="U405" s="311"/>
      <c r="V405" s="1085"/>
      <c r="W405" s="309"/>
    </row>
    <row r="407" spans="1:25" ht="6.75" customHeight="1" x14ac:dyDescent="0.2"/>
    <row r="408" spans="1:25" s="218" customFormat="1" ht="23.25" customHeight="1" x14ac:dyDescent="0.2">
      <c r="A408" s="1072" t="s">
        <v>546</v>
      </c>
      <c r="B408" s="1073"/>
      <c r="C408" s="402"/>
      <c r="D408" s="1098" t="s">
        <v>628</v>
      </c>
      <c r="E408" s="1072"/>
      <c r="F408" s="1072"/>
      <c r="G408" s="1103"/>
      <c r="H408" s="1104"/>
      <c r="K408" s="218" t="str">
        <f>RIGHT(CATEG_IMPORTEE, LEN(CATEG_IMPORTEE) - 2)</f>
        <v>llèges Mixtes Etablissement</v>
      </c>
      <c r="T408" s="397" t="s">
        <v>627</v>
      </c>
      <c r="U408" s="401">
        <v>15</v>
      </c>
      <c r="V408" s="396" t="s">
        <v>547</v>
      </c>
      <c r="W408" s="401"/>
      <c r="X408" s="395"/>
    </row>
    <row r="409" spans="1:25" ht="27" customHeight="1" thickBot="1" x14ac:dyDescent="0.25">
      <c r="B409" s="1069" t="s">
        <v>0</v>
      </c>
      <c r="C409" s="1069"/>
      <c r="D409" s="1069"/>
      <c r="E409" s="1069"/>
      <c r="F409" s="1069"/>
      <c r="G409" s="1069"/>
      <c r="H409" s="1069"/>
      <c r="I409" s="1069" t="s">
        <v>374</v>
      </c>
      <c r="J409" s="1069"/>
      <c r="K409" s="1069"/>
      <c r="L409" s="1069"/>
      <c r="O409" s="1069" t="s">
        <v>0</v>
      </c>
      <c r="P409" s="1069"/>
      <c r="Q409" s="1069"/>
      <c r="R409" s="1069"/>
      <c r="S409" s="1069"/>
      <c r="T409" s="1069"/>
      <c r="U409" s="1069"/>
      <c r="V409" s="1069" t="s">
        <v>374</v>
      </c>
      <c r="W409" s="1069"/>
      <c r="X409" s="1069"/>
      <c r="Y409" s="1069"/>
    </row>
    <row r="410" spans="1:25" ht="24" customHeight="1" thickBot="1" x14ac:dyDescent="0.25">
      <c r="A410" s="219"/>
      <c r="B410" s="398" t="str">
        <f>VLOOKUP(U408,TBL_equipe,2,FALSE)</f>
        <v/>
      </c>
      <c r="C410" s="399"/>
      <c r="D410" s="399"/>
      <c r="E410" s="399"/>
      <c r="F410" s="399"/>
      <c r="G410" s="399"/>
      <c r="H410" s="400"/>
      <c r="I410" s="257" t="str">
        <f>VLOOKUP(U408,TBL_equipe,4,FALSE)</f>
        <v/>
      </c>
      <c r="J410" s="220"/>
      <c r="K410" s="220"/>
      <c r="L410" s="221"/>
      <c r="M410" s="1070" t="s">
        <v>547</v>
      </c>
      <c r="N410" s="1071"/>
      <c r="O410" s="398" t="e">
        <f>VLOOKUP(W408,TBL_equipe,2,FALSE)</f>
        <v>#N/A</v>
      </c>
      <c r="P410" s="220"/>
      <c r="Q410" s="220"/>
      <c r="R410" s="220"/>
      <c r="S410" s="220"/>
      <c r="T410" s="220"/>
      <c r="U410" s="221"/>
      <c r="V410" s="257" t="e">
        <f>VLOOKUP(W408,TBL_equipe,4,FALSE)</f>
        <v>#N/A</v>
      </c>
      <c r="W410" s="220"/>
      <c r="X410" s="220"/>
      <c r="Y410" s="221"/>
    </row>
    <row r="411" spans="1:25" ht="15" customHeight="1" x14ac:dyDescent="0.2"/>
    <row r="412" spans="1:25" ht="20.100000000000001" customHeight="1" x14ac:dyDescent="0.2">
      <c r="A412" s="1074" t="s">
        <v>548</v>
      </c>
      <c r="B412" s="1074"/>
      <c r="C412" s="1074"/>
      <c r="D412" s="1074"/>
      <c r="E412" s="1074"/>
    </row>
    <row r="413" spans="1:25" ht="20.100000000000001" customHeight="1" x14ac:dyDescent="0.2">
      <c r="A413" s="1075" t="s">
        <v>549</v>
      </c>
      <c r="B413" s="1075"/>
      <c r="C413" s="1075"/>
      <c r="D413" s="1075"/>
      <c r="E413" s="1075"/>
      <c r="G413" s="1076" t="s">
        <v>480</v>
      </c>
      <c r="H413" s="1076"/>
      <c r="I413" s="1077" t="s">
        <v>550</v>
      </c>
      <c r="J413" s="1077"/>
      <c r="K413" s="1077"/>
      <c r="L413" s="252" t="s">
        <v>551</v>
      </c>
      <c r="M413" s="1078" t="s">
        <v>552</v>
      </c>
      <c r="N413" s="1078"/>
      <c r="O413" s="251"/>
    </row>
    <row r="414" spans="1:25" ht="24" customHeight="1" x14ac:dyDescent="0.2">
      <c r="A414" s="258" t="str">
        <f>VLOOKUP(U408,TBL_equipe,5,FALSE)</f>
        <v/>
      </c>
      <c r="B414" s="223"/>
      <c r="C414" s="259" t="str">
        <f>VLOOKUP(U408,TBL_equipe,6,FALSE)</f>
        <v/>
      </c>
      <c r="D414" s="223"/>
      <c r="E414" s="224"/>
      <c r="F414" s="219"/>
      <c r="G414" s="403" t="str">
        <f>VLOOKUP(U408,TBL_equipe,9,FALSE)</f>
        <v/>
      </c>
      <c r="H414" s="224"/>
      <c r="I414" s="222"/>
      <c r="J414" s="246" t="str">
        <f>VLOOKUP(U408,TBL_equipe,8,FALSE)</f>
        <v/>
      </c>
      <c r="K414" s="224"/>
      <c r="L414" s="260" t="str">
        <f>VLOOKUP(U408,TBL_equipe,10,FALSE)</f>
        <v/>
      </c>
      <c r="M414" s="287">
        <f>G408</f>
        <v>0</v>
      </c>
      <c r="N414" s="288"/>
      <c r="O414" s="249"/>
      <c r="R414" s="254"/>
      <c r="S414" s="254"/>
      <c r="T414" s="254" t="s">
        <v>51</v>
      </c>
      <c r="U414" s="254"/>
      <c r="V414" s="254"/>
      <c r="W414" s="254"/>
      <c r="X414" s="254"/>
      <c r="Y414" s="254"/>
    </row>
    <row r="415" spans="1:25" ht="24" customHeight="1" x14ac:dyDescent="0.2">
      <c r="A415" s="258" t="str">
        <f>VLOOKUP(U408,TBL_equipe,11,FALSE)</f>
        <v/>
      </c>
      <c r="B415" s="223"/>
      <c r="C415" s="259" t="str">
        <f>VLOOKUP(U408,TBL_equipe,12,FALSE)</f>
        <v/>
      </c>
      <c r="D415" s="223"/>
      <c r="E415" s="224"/>
      <c r="F415" s="219"/>
      <c r="G415" s="403" t="str">
        <f>VLOOKUP(U408,TBL_equipe,15,FALSE)</f>
        <v/>
      </c>
      <c r="H415" s="224"/>
      <c r="I415" s="222"/>
      <c r="J415" s="246" t="str">
        <f>VLOOKUP(U408,TBL_equipe,14,FALSE)</f>
        <v/>
      </c>
      <c r="K415" s="224"/>
      <c r="L415" s="260" t="str">
        <f>VLOOKUP(U408,TBL_equipe,16,FALSE)</f>
        <v/>
      </c>
      <c r="M415" s="287">
        <f>G408</f>
        <v>0</v>
      </c>
      <c r="N415" s="288"/>
      <c r="O415" s="249"/>
      <c r="Q415" s="254"/>
      <c r="R415" s="254"/>
      <c r="S415" s="254"/>
      <c r="T415" s="254"/>
      <c r="U415" s="254"/>
      <c r="V415" s="254"/>
      <c r="W415" s="254"/>
      <c r="X415" s="254"/>
      <c r="Y415" s="254"/>
    </row>
    <row r="416" spans="1:25" ht="24" customHeight="1" x14ac:dyDescent="0.2">
      <c r="A416" s="258" t="str">
        <f>VLOOKUP(U408,TBL_equipe,17,FALSE)</f>
        <v/>
      </c>
      <c r="B416" s="223"/>
      <c r="C416" s="259" t="str">
        <f>VLOOKUP(U408,TBL_equipe,18,FALSE)</f>
        <v/>
      </c>
      <c r="D416" s="223"/>
      <c r="E416" s="224"/>
      <c r="F416" s="219"/>
      <c r="G416" s="403" t="str">
        <f>VLOOKUP(U408,TBL_equipe,21,FALSE)</f>
        <v/>
      </c>
      <c r="H416" s="224"/>
      <c r="I416" s="222"/>
      <c r="J416" s="246" t="str">
        <f>VLOOKUP(U408,TBL_equipe,20,FALSE)</f>
        <v/>
      </c>
      <c r="K416" s="224"/>
      <c r="L416" s="260" t="str">
        <f>VLOOKUP(U408,TBL_equipe,22,FALSE)</f>
        <v/>
      </c>
      <c r="M416" s="287">
        <f>G408</f>
        <v>0</v>
      </c>
      <c r="N416" s="288"/>
      <c r="O416" s="249"/>
      <c r="Q416" s="254"/>
      <c r="R416" s="254"/>
      <c r="S416" s="254"/>
      <c r="T416" s="254"/>
      <c r="U416" s="254"/>
      <c r="V416" s="254"/>
      <c r="W416" s="254"/>
      <c r="X416" s="254"/>
      <c r="Y416" s="254"/>
    </row>
    <row r="417" spans="1:25" ht="24" customHeight="1" x14ac:dyDescent="0.2">
      <c r="A417" s="258" t="str">
        <f>VLOOKUP(U408,TBL_equipe,23,FALSE)</f>
        <v/>
      </c>
      <c r="B417" s="223"/>
      <c r="C417" s="259" t="str">
        <f>VLOOKUP(U408,TBL_equipe,24,FALSE)</f>
        <v/>
      </c>
      <c r="D417" s="223"/>
      <c r="E417" s="224"/>
      <c r="F417" s="219"/>
      <c r="G417" s="403" t="str">
        <f>VLOOKUP(U408,TBL_equipe,27,FALSE)</f>
        <v/>
      </c>
      <c r="H417" s="224"/>
      <c r="I417" s="222"/>
      <c r="J417" s="246" t="str">
        <f>VLOOKUP(U408,TBL_equipe,26,FALSE)</f>
        <v/>
      </c>
      <c r="K417" s="224"/>
      <c r="L417" s="260" t="str">
        <f>VLOOKUP(U408,TBL_equipe,28,FALSE)</f>
        <v/>
      </c>
      <c r="M417" s="289">
        <f>G408</f>
        <v>0</v>
      </c>
      <c r="N417" s="290"/>
      <c r="O417" s="249"/>
    </row>
    <row r="418" spans="1:25" ht="15" customHeight="1" thickBot="1" x14ac:dyDescent="0.25"/>
    <row r="419" spans="1:25" ht="20.100000000000001" customHeight="1" x14ac:dyDescent="0.2">
      <c r="F419" s="1081" t="s">
        <v>555</v>
      </c>
      <c r="G419" s="1082"/>
      <c r="H419" s="1082"/>
      <c r="I419" s="1082"/>
      <c r="J419" s="1083"/>
      <c r="K419" s="1081" t="s">
        <v>556</v>
      </c>
      <c r="L419" s="1082"/>
      <c r="M419" s="1082"/>
      <c r="N419" s="1082"/>
      <c r="O419" s="1083"/>
      <c r="P419" s="1081" t="s">
        <v>557</v>
      </c>
      <c r="Q419" s="1082"/>
      <c r="R419" s="1082"/>
      <c r="S419" s="1082"/>
      <c r="T419" s="1083"/>
      <c r="U419" s="1081" t="s">
        <v>558</v>
      </c>
      <c r="V419" s="1082"/>
      <c r="W419" s="1082"/>
      <c r="X419" s="1082"/>
      <c r="Y419" s="1083"/>
    </row>
    <row r="420" spans="1:25" ht="20.100000000000001" customHeight="1" x14ac:dyDescent="0.2">
      <c r="A420" s="1075" t="s">
        <v>559</v>
      </c>
      <c r="B420" s="1075"/>
      <c r="C420" s="1075"/>
      <c r="D420" s="1075"/>
      <c r="E420" s="1089"/>
      <c r="F420" s="1090" t="s">
        <v>560</v>
      </c>
      <c r="G420" s="1075"/>
      <c r="H420" s="1075"/>
      <c r="J420" s="225" t="s">
        <v>7</v>
      </c>
      <c r="K420" s="1090" t="s">
        <v>560</v>
      </c>
      <c r="L420" s="1075"/>
      <c r="M420" s="1075"/>
      <c r="O420" s="225" t="s">
        <v>7</v>
      </c>
      <c r="P420" s="1090" t="s">
        <v>560</v>
      </c>
      <c r="Q420" s="1075"/>
      <c r="R420" s="1075"/>
      <c r="T420" s="225" t="s">
        <v>7</v>
      </c>
      <c r="U420" s="1090" t="s">
        <v>560</v>
      </c>
      <c r="V420" s="1075"/>
      <c r="W420" s="1075"/>
      <c r="Y420" s="225" t="s">
        <v>7</v>
      </c>
    </row>
    <row r="421" spans="1:25" ht="24" customHeight="1" x14ac:dyDescent="0.2">
      <c r="A421" s="261" t="str">
        <f>A414</f>
        <v/>
      </c>
      <c r="B421" s="227"/>
      <c r="C421" s="262" t="str">
        <f>C414</f>
        <v/>
      </c>
      <c r="D421" s="227"/>
      <c r="E421" s="227"/>
      <c r="F421" s="228"/>
      <c r="G421" s="229"/>
      <c r="H421" s="229"/>
      <c r="I421" s="230" t="s">
        <v>561</v>
      </c>
      <c r="J421" s="231"/>
      <c r="K421" s="228"/>
      <c r="L421" s="229"/>
      <c r="M421" s="229"/>
      <c r="N421" s="230" t="s">
        <v>561</v>
      </c>
      <c r="O421" s="231"/>
      <c r="P421" s="228"/>
      <c r="Q421" s="229"/>
      <c r="R421" s="229"/>
      <c r="S421" s="230" t="s">
        <v>561</v>
      </c>
      <c r="T421" s="231"/>
      <c r="U421" s="228"/>
      <c r="V421" s="229"/>
      <c r="W421" s="229"/>
      <c r="X421" s="230" t="s">
        <v>561</v>
      </c>
      <c r="Y421" s="231"/>
    </row>
    <row r="422" spans="1:25" ht="24" customHeight="1" x14ac:dyDescent="0.2">
      <c r="A422" s="261" t="str">
        <f>A415</f>
        <v/>
      </c>
      <c r="B422" s="227"/>
      <c r="C422" s="262" t="str">
        <f>C415</f>
        <v/>
      </c>
      <c r="D422" s="227"/>
      <c r="E422" s="227"/>
      <c r="F422" s="228"/>
      <c r="G422" s="229"/>
      <c r="H422" s="229"/>
      <c r="I422" s="230" t="s">
        <v>561</v>
      </c>
      <c r="J422" s="231"/>
      <c r="K422" s="228"/>
      <c r="L422" s="229"/>
      <c r="M422" s="229"/>
      <c r="N422" s="230" t="s">
        <v>561</v>
      </c>
      <c r="O422" s="231"/>
      <c r="P422" s="228"/>
      <c r="Q422" s="229"/>
      <c r="R422" s="229"/>
      <c r="S422" s="230" t="s">
        <v>561</v>
      </c>
      <c r="T422" s="231"/>
      <c r="U422" s="228"/>
      <c r="V422" s="229"/>
      <c r="W422" s="229"/>
      <c r="X422" s="230" t="s">
        <v>561</v>
      </c>
      <c r="Y422" s="231"/>
    </row>
    <row r="423" spans="1:25" ht="24" customHeight="1" x14ac:dyDescent="0.2">
      <c r="A423" s="261" t="str">
        <f>A416</f>
        <v/>
      </c>
      <c r="B423" s="227"/>
      <c r="C423" s="262" t="str">
        <f>C416</f>
        <v/>
      </c>
      <c r="D423" s="227"/>
      <c r="E423" s="227"/>
      <c r="F423" s="228"/>
      <c r="G423" s="229"/>
      <c r="H423" s="229"/>
      <c r="I423" s="230" t="s">
        <v>561</v>
      </c>
      <c r="J423" s="231"/>
      <c r="K423" s="228"/>
      <c r="L423" s="229"/>
      <c r="M423" s="229"/>
      <c r="N423" s="230" t="s">
        <v>561</v>
      </c>
      <c r="O423" s="231"/>
      <c r="P423" s="228"/>
      <c r="Q423" s="229"/>
      <c r="R423" s="229"/>
      <c r="S423" s="230" t="s">
        <v>561</v>
      </c>
      <c r="T423" s="231"/>
      <c r="U423" s="228"/>
      <c r="V423" s="229"/>
      <c r="W423" s="229"/>
      <c r="X423" s="230" t="s">
        <v>561</v>
      </c>
      <c r="Y423" s="231"/>
    </row>
    <row r="424" spans="1:25" ht="24" customHeight="1" x14ac:dyDescent="0.2">
      <c r="A424" s="261" t="str">
        <f>A417</f>
        <v/>
      </c>
      <c r="B424" s="227"/>
      <c r="C424" s="262" t="str">
        <f>C417</f>
        <v/>
      </c>
      <c r="D424" s="227"/>
      <c r="E424" s="227"/>
      <c r="F424" s="228"/>
      <c r="G424" s="229"/>
      <c r="H424" s="229"/>
      <c r="I424" s="230" t="s">
        <v>561</v>
      </c>
      <c r="J424" s="232"/>
      <c r="K424" s="228"/>
      <c r="L424" s="229"/>
      <c r="M424" s="229"/>
      <c r="N424" s="230" t="s">
        <v>561</v>
      </c>
      <c r="O424" s="232"/>
      <c r="P424" s="228"/>
      <c r="Q424" s="229"/>
      <c r="R424" s="229"/>
      <c r="S424" s="230" t="s">
        <v>561</v>
      </c>
      <c r="T424" s="232"/>
      <c r="U424" s="228"/>
      <c r="V424" s="229"/>
      <c r="W424" s="229"/>
      <c r="X424" s="230" t="s">
        <v>561</v>
      </c>
      <c r="Y424" s="232"/>
    </row>
    <row r="425" spans="1:25" ht="24" customHeight="1" thickBot="1" x14ac:dyDescent="0.25">
      <c r="F425" s="1079" t="s">
        <v>562</v>
      </c>
      <c r="G425" s="1080"/>
      <c r="H425" s="1080"/>
      <c r="I425" s="230" t="s">
        <v>561</v>
      </c>
      <c r="J425" s="231"/>
      <c r="K425" s="1079" t="s">
        <v>563</v>
      </c>
      <c r="L425" s="1080"/>
      <c r="M425" s="1080"/>
      <c r="N425" s="230" t="s">
        <v>561</v>
      </c>
      <c r="O425" s="232"/>
      <c r="P425" s="1079" t="s">
        <v>564</v>
      </c>
      <c r="Q425" s="1080"/>
      <c r="R425" s="1080"/>
      <c r="S425" s="230" t="s">
        <v>561</v>
      </c>
      <c r="T425" s="232"/>
      <c r="U425" s="1079" t="s">
        <v>565</v>
      </c>
      <c r="V425" s="1080"/>
      <c r="W425" s="1080"/>
      <c r="X425" s="230" t="s">
        <v>561</v>
      </c>
      <c r="Y425" s="232"/>
    </row>
    <row r="426" spans="1:25" ht="24" customHeight="1" thickBot="1" x14ac:dyDescent="0.25">
      <c r="F426" s="233"/>
      <c r="G426" s="234"/>
      <c r="H426" s="235" t="s">
        <v>566</v>
      </c>
      <c r="I426" s="235"/>
      <c r="J426" s="236"/>
      <c r="K426" s="1092" t="s">
        <v>567</v>
      </c>
      <c r="L426" s="1085"/>
      <c r="M426" s="1085"/>
      <c r="N426" s="237" t="s">
        <v>561</v>
      </c>
      <c r="O426" s="238"/>
      <c r="P426" s="1092" t="s">
        <v>568</v>
      </c>
      <c r="Q426" s="1085"/>
      <c r="R426" s="1085"/>
      <c r="S426" s="237" t="s">
        <v>561</v>
      </c>
      <c r="T426" s="238"/>
      <c r="U426" s="1092" t="s">
        <v>569</v>
      </c>
      <c r="V426" s="1085"/>
      <c r="W426" s="1085"/>
      <c r="X426" s="237" t="s">
        <v>561</v>
      </c>
      <c r="Y426" s="239"/>
    </row>
    <row r="427" spans="1:25" ht="12.75" customHeight="1" x14ac:dyDescent="0.2">
      <c r="Y427" s="240" t="s">
        <v>570</v>
      </c>
    </row>
    <row r="428" spans="1:25" ht="15.75" customHeight="1" x14ac:dyDescent="0.2">
      <c r="B428" s="1091" t="s">
        <v>521</v>
      </c>
      <c r="C428" s="1091"/>
      <c r="D428" s="1091"/>
      <c r="E428" s="1091"/>
      <c r="F428" s="1091"/>
      <c r="G428" s="1091"/>
      <c r="H428" s="1091"/>
      <c r="I428" s="1091"/>
      <c r="J428" s="1091"/>
      <c r="K428" s="1091"/>
      <c r="L428" s="1091"/>
      <c r="O428" s="1091" t="s">
        <v>522</v>
      </c>
      <c r="P428" s="1091"/>
      <c r="Q428" s="1091"/>
      <c r="R428" s="1091"/>
      <c r="S428" s="1091"/>
      <c r="T428" s="1091"/>
      <c r="U428" s="1091"/>
      <c r="V428" s="1091"/>
      <c r="W428" s="1091"/>
      <c r="X428" s="1091"/>
      <c r="Y428" s="1091"/>
    </row>
    <row r="429" spans="1:25" ht="13.5" customHeight="1" x14ac:dyDescent="0.2">
      <c r="B429" s="1086" t="s">
        <v>1</v>
      </c>
      <c r="C429" s="1087"/>
      <c r="D429" s="1087"/>
      <c r="E429" s="1087"/>
      <c r="F429" s="1087"/>
      <c r="G429" s="1087"/>
      <c r="H429" s="1088"/>
      <c r="I429" s="1086" t="s">
        <v>520</v>
      </c>
      <c r="J429" s="1087"/>
      <c r="K429" s="1087"/>
      <c r="L429" s="1088"/>
      <c r="N429" s="241"/>
      <c r="O429" s="1086" t="s">
        <v>1</v>
      </c>
      <c r="P429" s="1087"/>
      <c r="Q429" s="1087"/>
      <c r="R429" s="1087"/>
      <c r="S429" s="1087"/>
      <c r="T429" s="1087"/>
      <c r="U429" s="1088"/>
      <c r="V429" s="1086" t="s">
        <v>520</v>
      </c>
      <c r="W429" s="1087"/>
      <c r="X429" s="1087"/>
      <c r="Y429" s="1088"/>
    </row>
    <row r="430" spans="1:25" ht="21.75" customHeight="1" x14ac:dyDescent="0.2">
      <c r="B430" s="242"/>
      <c r="C430" s="243"/>
      <c r="D430" s="243"/>
      <c r="E430" s="243"/>
      <c r="F430" s="243"/>
      <c r="G430" s="243"/>
      <c r="H430" s="243"/>
      <c r="I430" s="242"/>
      <c r="J430" s="243"/>
      <c r="K430" s="243"/>
      <c r="L430" s="244"/>
      <c r="N430" s="241"/>
      <c r="O430" s="242"/>
      <c r="P430" s="243"/>
      <c r="Q430" s="243"/>
      <c r="R430" s="243"/>
      <c r="S430" s="243"/>
      <c r="T430" s="243"/>
      <c r="U430" s="243"/>
      <c r="V430" s="242"/>
      <c r="W430" s="243"/>
      <c r="X430" s="243"/>
      <c r="Y430" s="244"/>
    </row>
    <row r="431" spans="1:25" ht="13.5" customHeight="1" x14ac:dyDescent="0.2"/>
    <row r="432" spans="1:25" ht="14.25" customHeight="1" thickBot="1" x14ac:dyDescent="0.25">
      <c r="A432" s="241"/>
      <c r="G432" s="305"/>
      <c r="H432" s="305"/>
      <c r="I432" s="1069" t="s">
        <v>0</v>
      </c>
      <c r="J432" s="1069"/>
      <c r="K432" s="1069"/>
      <c r="L432" s="1069"/>
      <c r="M432" s="1069"/>
      <c r="N432" s="1069"/>
      <c r="O432" s="1069"/>
      <c r="P432" s="1069" t="s">
        <v>374</v>
      </c>
      <c r="Q432" s="1069"/>
      <c r="R432" s="1069"/>
      <c r="S432" s="1069"/>
      <c r="T432" s="1069"/>
      <c r="U432" s="1069" t="s">
        <v>571</v>
      </c>
      <c r="V432" s="1069"/>
      <c r="W432" s="1069"/>
      <c r="X432" s="305"/>
      <c r="Y432" s="305"/>
    </row>
    <row r="433" spans="1:25" ht="20.25" customHeight="1" x14ac:dyDescent="0.2">
      <c r="A433" s="241"/>
      <c r="F433" s="1074" t="s">
        <v>584</v>
      </c>
      <c r="G433" s="1074"/>
      <c r="H433" s="1074"/>
      <c r="I433" s="316"/>
      <c r="J433" s="306"/>
      <c r="K433" s="306"/>
      <c r="L433" s="306"/>
      <c r="M433" s="306"/>
      <c r="N433" s="306"/>
      <c r="O433" s="306"/>
      <c r="P433" s="312"/>
      <c r="Q433" s="306"/>
      <c r="R433" s="307"/>
      <c r="S433" s="304"/>
      <c r="T433" s="313"/>
      <c r="U433" s="310"/>
      <c r="V433" s="1084" t="s">
        <v>495</v>
      </c>
      <c r="W433" s="308"/>
    </row>
    <row r="434" spans="1:25" ht="13.5" thickBot="1" x14ac:dyDescent="0.25">
      <c r="F434" s="1074"/>
      <c r="G434" s="1074"/>
      <c r="H434" s="1074"/>
      <c r="I434" s="303"/>
      <c r="J434" s="235"/>
      <c r="K434" s="235"/>
      <c r="L434" s="235"/>
      <c r="M434" s="235"/>
      <c r="N434" s="235"/>
      <c r="O434" s="235"/>
      <c r="P434" s="314"/>
      <c r="Q434" s="235"/>
      <c r="R434" s="234"/>
      <c r="S434" s="234"/>
      <c r="T434" s="315"/>
      <c r="U434" s="311"/>
      <c r="V434" s="1085"/>
      <c r="W434" s="309"/>
    </row>
    <row r="436" spans="1:25" ht="6.75" customHeight="1" x14ac:dyDescent="0.2"/>
    <row r="437" spans="1:25" s="218" customFormat="1" ht="23.25" customHeight="1" x14ac:dyDescent="0.2">
      <c r="A437" s="1072" t="s">
        <v>546</v>
      </c>
      <c r="B437" s="1073"/>
      <c r="C437" s="402"/>
      <c r="D437" s="1098" t="s">
        <v>628</v>
      </c>
      <c r="E437" s="1072"/>
      <c r="F437" s="1072"/>
      <c r="G437" s="1103"/>
      <c r="H437" s="1104"/>
      <c r="K437" s="218" t="str">
        <f>RIGHT(CATEG_IMPORTEE, LEN(CATEG_IMPORTEE) - 2)</f>
        <v>llèges Mixtes Etablissement</v>
      </c>
      <c r="T437" s="397" t="s">
        <v>627</v>
      </c>
      <c r="U437" s="401">
        <v>16</v>
      </c>
      <c r="V437" s="396" t="s">
        <v>547</v>
      </c>
      <c r="W437" s="401"/>
      <c r="X437" s="395"/>
    </row>
    <row r="438" spans="1:25" ht="27" customHeight="1" thickBot="1" x14ac:dyDescent="0.25">
      <c r="B438" s="1069" t="s">
        <v>0</v>
      </c>
      <c r="C438" s="1069"/>
      <c r="D438" s="1069"/>
      <c r="E438" s="1069"/>
      <c r="F438" s="1069"/>
      <c r="G438" s="1069"/>
      <c r="H438" s="1069"/>
      <c r="I438" s="1069" t="s">
        <v>374</v>
      </c>
      <c r="J438" s="1069"/>
      <c r="K438" s="1069"/>
      <c r="L438" s="1069"/>
      <c r="O438" s="1069" t="s">
        <v>0</v>
      </c>
      <c r="P438" s="1069"/>
      <c r="Q438" s="1069"/>
      <c r="R438" s="1069"/>
      <c r="S438" s="1069"/>
      <c r="T438" s="1069"/>
      <c r="U438" s="1069"/>
      <c r="V438" s="1069" t="s">
        <v>374</v>
      </c>
      <c r="W438" s="1069"/>
      <c r="X438" s="1069"/>
      <c r="Y438" s="1069"/>
    </row>
    <row r="439" spans="1:25" ht="24" customHeight="1" thickBot="1" x14ac:dyDescent="0.25">
      <c r="A439" s="219"/>
      <c r="B439" s="398" t="str">
        <f>VLOOKUP(U437,TBL_equipe,2,FALSE)</f>
        <v/>
      </c>
      <c r="C439" s="399"/>
      <c r="D439" s="399"/>
      <c r="E439" s="399"/>
      <c r="F439" s="399"/>
      <c r="G439" s="399"/>
      <c r="H439" s="400"/>
      <c r="I439" s="257" t="str">
        <f>VLOOKUP(U437,TBL_equipe,4,FALSE)</f>
        <v/>
      </c>
      <c r="J439" s="220"/>
      <c r="K439" s="220"/>
      <c r="L439" s="221"/>
      <c r="M439" s="1070" t="s">
        <v>547</v>
      </c>
      <c r="N439" s="1071"/>
      <c r="O439" s="398" t="e">
        <f>VLOOKUP(W437,TBL_equipe,2,FALSE)</f>
        <v>#N/A</v>
      </c>
      <c r="P439" s="220"/>
      <c r="Q439" s="220"/>
      <c r="R439" s="220"/>
      <c r="S439" s="220"/>
      <c r="T439" s="220"/>
      <c r="U439" s="221"/>
      <c r="V439" s="257" t="e">
        <f>VLOOKUP(W437,TBL_equipe,4,FALSE)</f>
        <v>#N/A</v>
      </c>
      <c r="W439" s="220"/>
      <c r="X439" s="220"/>
      <c r="Y439" s="221"/>
    </row>
    <row r="440" spans="1:25" ht="15" customHeight="1" x14ac:dyDescent="0.2"/>
    <row r="441" spans="1:25" ht="20.100000000000001" customHeight="1" x14ac:dyDescent="0.2">
      <c r="A441" s="1074" t="s">
        <v>548</v>
      </c>
      <c r="B441" s="1074"/>
      <c r="C441" s="1074"/>
      <c r="D441" s="1074"/>
      <c r="E441" s="1074"/>
    </row>
    <row r="442" spans="1:25" ht="20.100000000000001" customHeight="1" x14ac:dyDescent="0.2">
      <c r="A442" s="1075" t="s">
        <v>549</v>
      </c>
      <c r="B442" s="1075"/>
      <c r="C442" s="1075"/>
      <c r="D442" s="1075"/>
      <c r="E442" s="1075"/>
      <c r="G442" s="1076" t="s">
        <v>480</v>
      </c>
      <c r="H442" s="1076"/>
      <c r="I442" s="1077" t="s">
        <v>550</v>
      </c>
      <c r="J442" s="1077"/>
      <c r="K442" s="1077"/>
      <c r="L442" s="252" t="s">
        <v>551</v>
      </c>
      <c r="M442" s="1078" t="s">
        <v>552</v>
      </c>
      <c r="N442" s="1078"/>
      <c r="O442" s="251"/>
    </row>
    <row r="443" spans="1:25" ht="24" customHeight="1" x14ac:dyDescent="0.2">
      <c r="A443" s="258" t="str">
        <f>VLOOKUP(U437,TBL_equipe,5,FALSE)</f>
        <v/>
      </c>
      <c r="B443" s="223"/>
      <c r="C443" s="259" t="str">
        <f>VLOOKUP(U437,TBL_equipe,6,FALSE)</f>
        <v/>
      </c>
      <c r="D443" s="223"/>
      <c r="E443" s="224"/>
      <c r="F443" s="219"/>
      <c r="G443" s="403" t="str">
        <f>VLOOKUP(U437,TBL_equipe,9,FALSE)</f>
        <v/>
      </c>
      <c r="H443" s="224"/>
      <c r="I443" s="222"/>
      <c r="J443" s="246" t="str">
        <f>VLOOKUP(U437,TBL_equipe,8,FALSE)</f>
        <v/>
      </c>
      <c r="K443" s="224"/>
      <c r="L443" s="260" t="str">
        <f>VLOOKUP(U437,TBL_equipe,10,FALSE)</f>
        <v/>
      </c>
      <c r="M443" s="287">
        <f>G437</f>
        <v>0</v>
      </c>
      <c r="N443" s="288"/>
      <c r="O443" s="249"/>
      <c r="R443" s="254"/>
      <c r="S443" s="254"/>
      <c r="T443" s="254" t="s">
        <v>51</v>
      </c>
      <c r="U443" s="254"/>
      <c r="V443" s="254"/>
      <c r="W443" s="254"/>
      <c r="X443" s="254"/>
      <c r="Y443" s="254"/>
    </row>
    <row r="444" spans="1:25" ht="24" customHeight="1" x14ac:dyDescent="0.2">
      <c r="A444" s="258" t="str">
        <f>VLOOKUP(U437,TBL_equipe,11,FALSE)</f>
        <v/>
      </c>
      <c r="B444" s="223"/>
      <c r="C444" s="259" t="str">
        <f>VLOOKUP(U437,TBL_equipe,12,FALSE)</f>
        <v/>
      </c>
      <c r="D444" s="223"/>
      <c r="E444" s="224"/>
      <c r="F444" s="219"/>
      <c r="G444" s="403" t="str">
        <f>VLOOKUP(U437,TBL_equipe,15,FALSE)</f>
        <v/>
      </c>
      <c r="H444" s="224"/>
      <c r="I444" s="222"/>
      <c r="J444" s="246" t="str">
        <f>VLOOKUP(U437,TBL_equipe,14,FALSE)</f>
        <v/>
      </c>
      <c r="K444" s="224"/>
      <c r="L444" s="260" t="str">
        <f>VLOOKUP(U437,TBL_equipe,16,FALSE)</f>
        <v/>
      </c>
      <c r="M444" s="287">
        <f>G437</f>
        <v>0</v>
      </c>
      <c r="N444" s="288"/>
      <c r="O444" s="249"/>
      <c r="Q444" s="254"/>
      <c r="R444" s="254"/>
      <c r="S444" s="254"/>
      <c r="T444" s="254"/>
      <c r="U444" s="254"/>
      <c r="V444" s="254"/>
      <c r="W444" s="254"/>
      <c r="X444" s="254"/>
      <c r="Y444" s="254"/>
    </row>
    <row r="445" spans="1:25" ht="24" customHeight="1" x14ac:dyDescent="0.2">
      <c r="A445" s="258" t="str">
        <f>VLOOKUP(U437,TBL_equipe,17,FALSE)</f>
        <v/>
      </c>
      <c r="B445" s="223"/>
      <c r="C445" s="259" t="str">
        <f>VLOOKUP(U437,TBL_equipe,18,FALSE)</f>
        <v/>
      </c>
      <c r="D445" s="223"/>
      <c r="E445" s="224"/>
      <c r="F445" s="219"/>
      <c r="G445" s="403" t="str">
        <f>VLOOKUP(U437,TBL_equipe,21,FALSE)</f>
        <v/>
      </c>
      <c r="H445" s="224"/>
      <c r="I445" s="222"/>
      <c r="J445" s="246" t="str">
        <f>VLOOKUP(U437,TBL_equipe,20,FALSE)</f>
        <v/>
      </c>
      <c r="K445" s="224"/>
      <c r="L445" s="260" t="str">
        <f>VLOOKUP(U437,TBL_equipe,22,FALSE)</f>
        <v/>
      </c>
      <c r="M445" s="287">
        <f>G437</f>
        <v>0</v>
      </c>
      <c r="N445" s="288"/>
      <c r="O445" s="249"/>
      <c r="Q445" s="254"/>
      <c r="R445" s="254"/>
      <c r="S445" s="254"/>
      <c r="T445" s="254"/>
      <c r="U445" s="254"/>
      <c r="V445" s="254"/>
      <c r="W445" s="254"/>
      <c r="X445" s="254"/>
      <c r="Y445" s="254"/>
    </row>
    <row r="446" spans="1:25" ht="24" customHeight="1" x14ac:dyDescent="0.2">
      <c r="A446" s="258" t="str">
        <f>VLOOKUP(U437,TBL_equipe,23,FALSE)</f>
        <v/>
      </c>
      <c r="B446" s="223"/>
      <c r="C446" s="259" t="str">
        <f>VLOOKUP(U437,TBL_equipe,24,FALSE)</f>
        <v/>
      </c>
      <c r="D446" s="223"/>
      <c r="E446" s="224"/>
      <c r="F446" s="219"/>
      <c r="G446" s="403" t="str">
        <f>VLOOKUP(U437,TBL_equipe,27,FALSE)</f>
        <v/>
      </c>
      <c r="H446" s="224"/>
      <c r="I446" s="222"/>
      <c r="J446" s="246" t="str">
        <f>VLOOKUP(U437,TBL_equipe,26,FALSE)</f>
        <v/>
      </c>
      <c r="K446" s="224"/>
      <c r="L446" s="260" t="str">
        <f>VLOOKUP(U437,TBL_equipe,28,FALSE)</f>
        <v/>
      </c>
      <c r="M446" s="289">
        <f>G437</f>
        <v>0</v>
      </c>
      <c r="N446" s="290"/>
      <c r="O446" s="249"/>
    </row>
    <row r="447" spans="1:25" ht="15" customHeight="1" thickBot="1" x14ac:dyDescent="0.25"/>
    <row r="448" spans="1:25" ht="20.100000000000001" customHeight="1" x14ac:dyDescent="0.2">
      <c r="F448" s="1081" t="s">
        <v>555</v>
      </c>
      <c r="G448" s="1082"/>
      <c r="H448" s="1082"/>
      <c r="I448" s="1082"/>
      <c r="J448" s="1083"/>
      <c r="K448" s="1081" t="s">
        <v>556</v>
      </c>
      <c r="L448" s="1082"/>
      <c r="M448" s="1082"/>
      <c r="N448" s="1082"/>
      <c r="O448" s="1083"/>
      <c r="P448" s="1081" t="s">
        <v>557</v>
      </c>
      <c r="Q448" s="1082"/>
      <c r="R448" s="1082"/>
      <c r="S448" s="1082"/>
      <c r="T448" s="1083"/>
      <c r="U448" s="1081" t="s">
        <v>558</v>
      </c>
      <c r="V448" s="1082"/>
      <c r="W448" s="1082"/>
      <c r="X448" s="1082"/>
      <c r="Y448" s="1083"/>
    </row>
    <row r="449" spans="1:25" ht="20.100000000000001" customHeight="1" x14ac:dyDescent="0.2">
      <c r="A449" s="1075" t="s">
        <v>559</v>
      </c>
      <c r="B449" s="1075"/>
      <c r="C449" s="1075"/>
      <c r="D449" s="1075"/>
      <c r="E449" s="1089"/>
      <c r="F449" s="1090" t="s">
        <v>560</v>
      </c>
      <c r="G449" s="1075"/>
      <c r="H449" s="1075"/>
      <c r="J449" s="225" t="s">
        <v>7</v>
      </c>
      <c r="K449" s="1090" t="s">
        <v>560</v>
      </c>
      <c r="L449" s="1075"/>
      <c r="M449" s="1075"/>
      <c r="O449" s="225" t="s">
        <v>7</v>
      </c>
      <c r="P449" s="1090" t="s">
        <v>560</v>
      </c>
      <c r="Q449" s="1075"/>
      <c r="R449" s="1075"/>
      <c r="T449" s="225" t="s">
        <v>7</v>
      </c>
      <c r="U449" s="1090" t="s">
        <v>560</v>
      </c>
      <c r="V449" s="1075"/>
      <c r="W449" s="1075"/>
      <c r="Y449" s="225" t="s">
        <v>7</v>
      </c>
    </row>
    <row r="450" spans="1:25" ht="24" customHeight="1" x14ac:dyDescent="0.2">
      <c r="A450" s="261" t="str">
        <f>A443</f>
        <v/>
      </c>
      <c r="B450" s="227"/>
      <c r="C450" s="262" t="str">
        <f>C443</f>
        <v/>
      </c>
      <c r="D450" s="227"/>
      <c r="E450" s="227"/>
      <c r="F450" s="228"/>
      <c r="G450" s="229"/>
      <c r="H450" s="229"/>
      <c r="I450" s="230" t="s">
        <v>561</v>
      </c>
      <c r="J450" s="231"/>
      <c r="K450" s="228"/>
      <c r="L450" s="229"/>
      <c r="M450" s="229"/>
      <c r="N450" s="230" t="s">
        <v>561</v>
      </c>
      <c r="O450" s="231"/>
      <c r="P450" s="228"/>
      <c r="Q450" s="229"/>
      <c r="R450" s="229"/>
      <c r="S450" s="230" t="s">
        <v>561</v>
      </c>
      <c r="T450" s="231"/>
      <c r="U450" s="228"/>
      <c r="V450" s="229"/>
      <c r="W450" s="229"/>
      <c r="X450" s="230" t="s">
        <v>561</v>
      </c>
      <c r="Y450" s="231"/>
    </row>
    <row r="451" spans="1:25" ht="24" customHeight="1" x14ac:dyDescent="0.2">
      <c r="A451" s="261" t="str">
        <f>A444</f>
        <v/>
      </c>
      <c r="B451" s="227"/>
      <c r="C451" s="262" t="str">
        <f>C444</f>
        <v/>
      </c>
      <c r="D451" s="227"/>
      <c r="E451" s="227"/>
      <c r="F451" s="228"/>
      <c r="G451" s="229"/>
      <c r="H451" s="229"/>
      <c r="I451" s="230" t="s">
        <v>561</v>
      </c>
      <c r="J451" s="231"/>
      <c r="K451" s="228"/>
      <c r="L451" s="229"/>
      <c r="M451" s="229"/>
      <c r="N451" s="230" t="s">
        <v>561</v>
      </c>
      <c r="O451" s="231"/>
      <c r="P451" s="228"/>
      <c r="Q451" s="229"/>
      <c r="R451" s="229"/>
      <c r="S451" s="230" t="s">
        <v>561</v>
      </c>
      <c r="T451" s="231"/>
      <c r="U451" s="228"/>
      <c r="V451" s="229"/>
      <c r="W451" s="229"/>
      <c r="X451" s="230" t="s">
        <v>561</v>
      </c>
      <c r="Y451" s="231"/>
    </row>
    <row r="452" spans="1:25" ht="24" customHeight="1" x14ac:dyDescent="0.2">
      <c r="A452" s="261" t="str">
        <f>A445</f>
        <v/>
      </c>
      <c r="B452" s="227"/>
      <c r="C452" s="262" t="str">
        <f>C445</f>
        <v/>
      </c>
      <c r="D452" s="227"/>
      <c r="E452" s="227"/>
      <c r="F452" s="228"/>
      <c r="G452" s="229"/>
      <c r="H452" s="229"/>
      <c r="I452" s="230" t="s">
        <v>561</v>
      </c>
      <c r="J452" s="231"/>
      <c r="K452" s="228"/>
      <c r="L452" s="229"/>
      <c r="M452" s="229"/>
      <c r="N452" s="230" t="s">
        <v>561</v>
      </c>
      <c r="O452" s="231"/>
      <c r="P452" s="228"/>
      <c r="Q452" s="229"/>
      <c r="R452" s="229"/>
      <c r="S452" s="230" t="s">
        <v>561</v>
      </c>
      <c r="T452" s="231"/>
      <c r="U452" s="228"/>
      <c r="V452" s="229"/>
      <c r="W452" s="229"/>
      <c r="X452" s="230" t="s">
        <v>561</v>
      </c>
      <c r="Y452" s="231"/>
    </row>
    <row r="453" spans="1:25" ht="24" customHeight="1" x14ac:dyDescent="0.2">
      <c r="A453" s="261" t="str">
        <f>A446</f>
        <v/>
      </c>
      <c r="B453" s="227"/>
      <c r="C453" s="262" t="str">
        <f>C446</f>
        <v/>
      </c>
      <c r="D453" s="227"/>
      <c r="E453" s="227"/>
      <c r="F453" s="228"/>
      <c r="G453" s="229"/>
      <c r="H453" s="229"/>
      <c r="I453" s="230" t="s">
        <v>561</v>
      </c>
      <c r="J453" s="232"/>
      <c r="K453" s="228"/>
      <c r="L453" s="229"/>
      <c r="M453" s="229"/>
      <c r="N453" s="230" t="s">
        <v>561</v>
      </c>
      <c r="O453" s="232"/>
      <c r="P453" s="228"/>
      <c r="Q453" s="229"/>
      <c r="R453" s="229"/>
      <c r="S453" s="230" t="s">
        <v>561</v>
      </c>
      <c r="T453" s="232"/>
      <c r="U453" s="228"/>
      <c r="V453" s="229"/>
      <c r="W453" s="229"/>
      <c r="X453" s="230" t="s">
        <v>561</v>
      </c>
      <c r="Y453" s="232"/>
    </row>
    <row r="454" spans="1:25" ht="24" customHeight="1" thickBot="1" x14ac:dyDescent="0.25">
      <c r="F454" s="1079" t="s">
        <v>562</v>
      </c>
      <c r="G454" s="1080"/>
      <c r="H454" s="1080"/>
      <c r="I454" s="230" t="s">
        <v>561</v>
      </c>
      <c r="J454" s="231"/>
      <c r="K454" s="1079" t="s">
        <v>563</v>
      </c>
      <c r="L454" s="1080"/>
      <c r="M454" s="1080"/>
      <c r="N454" s="230" t="s">
        <v>561</v>
      </c>
      <c r="O454" s="232"/>
      <c r="P454" s="1079" t="s">
        <v>564</v>
      </c>
      <c r="Q454" s="1080"/>
      <c r="R454" s="1080"/>
      <c r="S454" s="230" t="s">
        <v>561</v>
      </c>
      <c r="T454" s="232"/>
      <c r="U454" s="1079" t="s">
        <v>565</v>
      </c>
      <c r="V454" s="1080"/>
      <c r="W454" s="1080"/>
      <c r="X454" s="230" t="s">
        <v>561</v>
      </c>
      <c r="Y454" s="232"/>
    </row>
    <row r="455" spans="1:25" ht="24" customHeight="1" thickBot="1" x14ac:dyDescent="0.25">
      <c r="F455" s="233"/>
      <c r="G455" s="234"/>
      <c r="H455" s="235" t="s">
        <v>566</v>
      </c>
      <c r="I455" s="235"/>
      <c r="J455" s="236"/>
      <c r="K455" s="1092" t="s">
        <v>567</v>
      </c>
      <c r="L455" s="1085"/>
      <c r="M455" s="1085"/>
      <c r="N455" s="237" t="s">
        <v>561</v>
      </c>
      <c r="O455" s="238"/>
      <c r="P455" s="1092" t="s">
        <v>568</v>
      </c>
      <c r="Q455" s="1085"/>
      <c r="R455" s="1085"/>
      <c r="S455" s="237" t="s">
        <v>561</v>
      </c>
      <c r="T455" s="238"/>
      <c r="U455" s="1092" t="s">
        <v>569</v>
      </c>
      <c r="V455" s="1085"/>
      <c r="W455" s="1085"/>
      <c r="X455" s="237" t="s">
        <v>561</v>
      </c>
      <c r="Y455" s="239"/>
    </row>
    <row r="456" spans="1:25" ht="12.75" customHeight="1" x14ac:dyDescent="0.2">
      <c r="Y456" s="240" t="s">
        <v>570</v>
      </c>
    </row>
    <row r="457" spans="1:25" ht="15.75" customHeight="1" x14ac:dyDescent="0.2">
      <c r="B457" s="1091" t="s">
        <v>521</v>
      </c>
      <c r="C457" s="1091"/>
      <c r="D457" s="1091"/>
      <c r="E457" s="1091"/>
      <c r="F457" s="1091"/>
      <c r="G457" s="1091"/>
      <c r="H457" s="1091"/>
      <c r="I457" s="1091"/>
      <c r="J457" s="1091"/>
      <c r="K457" s="1091"/>
      <c r="L457" s="1091"/>
      <c r="O457" s="1091" t="s">
        <v>522</v>
      </c>
      <c r="P457" s="1091"/>
      <c r="Q457" s="1091"/>
      <c r="R457" s="1091"/>
      <c r="S457" s="1091"/>
      <c r="T457" s="1091"/>
      <c r="U457" s="1091"/>
      <c r="V457" s="1091"/>
      <c r="W457" s="1091"/>
      <c r="X457" s="1091"/>
      <c r="Y457" s="1091"/>
    </row>
    <row r="458" spans="1:25" ht="13.5" customHeight="1" x14ac:dyDescent="0.2">
      <c r="B458" s="1086" t="s">
        <v>1</v>
      </c>
      <c r="C458" s="1087"/>
      <c r="D458" s="1087"/>
      <c r="E458" s="1087"/>
      <c r="F458" s="1087"/>
      <c r="G458" s="1087"/>
      <c r="H458" s="1088"/>
      <c r="I458" s="1086" t="s">
        <v>520</v>
      </c>
      <c r="J458" s="1087"/>
      <c r="K458" s="1087"/>
      <c r="L458" s="1088"/>
      <c r="N458" s="241"/>
      <c r="O458" s="1086" t="s">
        <v>1</v>
      </c>
      <c r="P458" s="1087"/>
      <c r="Q458" s="1087"/>
      <c r="R458" s="1087"/>
      <c r="S458" s="1087"/>
      <c r="T458" s="1087"/>
      <c r="U458" s="1088"/>
      <c r="V458" s="1086" t="s">
        <v>520</v>
      </c>
      <c r="W458" s="1087"/>
      <c r="X458" s="1087"/>
      <c r="Y458" s="1088"/>
    </row>
    <row r="459" spans="1:25" ht="21.75" customHeight="1" x14ac:dyDescent="0.2">
      <c r="B459" s="242"/>
      <c r="C459" s="243"/>
      <c r="D459" s="243"/>
      <c r="E459" s="243"/>
      <c r="F459" s="243"/>
      <c r="G459" s="243"/>
      <c r="H459" s="243"/>
      <c r="I459" s="242"/>
      <c r="J459" s="243"/>
      <c r="K459" s="243"/>
      <c r="L459" s="244"/>
      <c r="N459" s="241"/>
      <c r="O459" s="242"/>
      <c r="P459" s="243"/>
      <c r="Q459" s="243"/>
      <c r="R459" s="243"/>
      <c r="S459" s="243"/>
      <c r="T459" s="243"/>
      <c r="U459" s="243"/>
      <c r="V459" s="242"/>
      <c r="W459" s="243"/>
      <c r="X459" s="243"/>
      <c r="Y459" s="244"/>
    </row>
    <row r="460" spans="1:25" ht="13.5" customHeight="1" x14ac:dyDescent="0.2"/>
    <row r="461" spans="1:25" ht="14.25" customHeight="1" thickBot="1" x14ac:dyDescent="0.25">
      <c r="A461" s="241"/>
      <c r="G461" s="305"/>
      <c r="H461" s="305"/>
      <c r="I461" s="1069" t="s">
        <v>0</v>
      </c>
      <c r="J461" s="1069"/>
      <c r="K461" s="1069"/>
      <c r="L461" s="1069"/>
      <c r="M461" s="1069"/>
      <c r="N461" s="1069"/>
      <c r="O461" s="1069"/>
      <c r="P461" s="1069" t="s">
        <v>374</v>
      </c>
      <c r="Q461" s="1069"/>
      <c r="R461" s="1069"/>
      <c r="S461" s="1069"/>
      <c r="T461" s="1069"/>
      <c r="U461" s="1069" t="s">
        <v>571</v>
      </c>
      <c r="V461" s="1069"/>
      <c r="W461" s="1069"/>
      <c r="X461" s="305"/>
      <c r="Y461" s="305"/>
    </row>
    <row r="462" spans="1:25" ht="20.25" customHeight="1" x14ac:dyDescent="0.2">
      <c r="A462" s="241"/>
      <c r="F462" s="1074" t="s">
        <v>584</v>
      </c>
      <c r="G462" s="1074"/>
      <c r="H462" s="1074"/>
      <c r="I462" s="316"/>
      <c r="J462" s="306"/>
      <c r="K462" s="306"/>
      <c r="L462" s="306"/>
      <c r="M462" s="306"/>
      <c r="N462" s="306"/>
      <c r="O462" s="306"/>
      <c r="P462" s="312"/>
      <c r="Q462" s="306"/>
      <c r="R462" s="307"/>
      <c r="S462" s="304"/>
      <c r="T462" s="313"/>
      <c r="U462" s="310"/>
      <c r="V462" s="1084" t="s">
        <v>495</v>
      </c>
      <c r="W462" s="308"/>
    </row>
    <row r="463" spans="1:25" ht="13.5" thickBot="1" x14ac:dyDescent="0.25">
      <c r="F463" s="1074"/>
      <c r="G463" s="1074"/>
      <c r="H463" s="1074"/>
      <c r="I463" s="303"/>
      <c r="J463" s="235"/>
      <c r="K463" s="235"/>
      <c r="L463" s="235"/>
      <c r="M463" s="235"/>
      <c r="N463" s="235"/>
      <c r="O463" s="235"/>
      <c r="P463" s="314"/>
      <c r="Q463" s="235"/>
      <c r="R463" s="234"/>
      <c r="S463" s="234"/>
      <c r="T463" s="315"/>
      <c r="U463" s="311"/>
      <c r="V463" s="1085"/>
      <c r="W463" s="309"/>
    </row>
    <row r="465" spans="1:25" ht="6.75" customHeight="1" x14ac:dyDescent="0.2"/>
    <row r="466" spans="1:25" s="218" customFormat="1" ht="23.25" customHeight="1" x14ac:dyDescent="0.2">
      <c r="A466" s="1072" t="s">
        <v>546</v>
      </c>
      <c r="B466" s="1073"/>
      <c r="C466" s="402"/>
      <c r="D466" s="1098" t="s">
        <v>628</v>
      </c>
      <c r="E466" s="1072"/>
      <c r="F466" s="1072"/>
      <c r="G466" s="1103"/>
      <c r="H466" s="1104"/>
      <c r="K466" s="218" t="str">
        <f>RIGHT(CATEG_IMPORTEE, LEN(CATEG_IMPORTEE) - 2)</f>
        <v>llèges Mixtes Etablissement</v>
      </c>
      <c r="T466" s="397" t="s">
        <v>627</v>
      </c>
      <c r="U466" s="401">
        <v>17</v>
      </c>
      <c r="V466" s="396" t="s">
        <v>547</v>
      </c>
      <c r="W466" s="401"/>
      <c r="X466" s="395"/>
    </row>
    <row r="467" spans="1:25" ht="27" customHeight="1" thickBot="1" x14ac:dyDescent="0.25">
      <c r="B467" s="1069" t="s">
        <v>0</v>
      </c>
      <c r="C467" s="1069"/>
      <c r="D467" s="1069"/>
      <c r="E467" s="1069"/>
      <c r="F467" s="1069"/>
      <c r="G467" s="1069"/>
      <c r="H467" s="1069"/>
      <c r="I467" s="1069" t="s">
        <v>374</v>
      </c>
      <c r="J467" s="1069"/>
      <c r="K467" s="1069"/>
      <c r="L467" s="1069"/>
      <c r="O467" s="1069" t="s">
        <v>0</v>
      </c>
      <c r="P467" s="1069"/>
      <c r="Q467" s="1069"/>
      <c r="R467" s="1069"/>
      <c r="S467" s="1069"/>
      <c r="T467" s="1069"/>
      <c r="U467" s="1069"/>
      <c r="V467" s="1069" t="s">
        <v>374</v>
      </c>
      <c r="W467" s="1069"/>
      <c r="X467" s="1069"/>
      <c r="Y467" s="1069"/>
    </row>
    <row r="468" spans="1:25" ht="24" customHeight="1" thickBot="1" x14ac:dyDescent="0.25">
      <c r="A468" s="219"/>
      <c r="B468" s="398" t="str">
        <f>VLOOKUP(U466,TBL_equipe,2,FALSE)</f>
        <v/>
      </c>
      <c r="C468" s="399"/>
      <c r="D468" s="399"/>
      <c r="E468" s="399"/>
      <c r="F468" s="399"/>
      <c r="G468" s="399"/>
      <c r="H468" s="400"/>
      <c r="I468" s="257" t="str">
        <f>VLOOKUP(U466,TBL_equipe,4,FALSE)</f>
        <v/>
      </c>
      <c r="J468" s="220"/>
      <c r="K468" s="220"/>
      <c r="L468" s="221"/>
      <c r="M468" s="1070" t="s">
        <v>547</v>
      </c>
      <c r="N468" s="1071"/>
      <c r="O468" s="398" t="e">
        <f>VLOOKUP(W466,TBL_equipe,2,FALSE)</f>
        <v>#N/A</v>
      </c>
      <c r="P468" s="220"/>
      <c r="Q468" s="220"/>
      <c r="R468" s="220"/>
      <c r="S468" s="220"/>
      <c r="T468" s="220"/>
      <c r="U468" s="221"/>
      <c r="V468" s="257" t="e">
        <f>VLOOKUP(W466,TBL_equipe,4,FALSE)</f>
        <v>#N/A</v>
      </c>
      <c r="W468" s="220"/>
      <c r="X468" s="220"/>
      <c r="Y468" s="221"/>
    </row>
    <row r="469" spans="1:25" ht="15" customHeight="1" x14ac:dyDescent="0.2"/>
    <row r="470" spans="1:25" ht="20.100000000000001" customHeight="1" x14ac:dyDescent="0.2">
      <c r="A470" s="1074" t="s">
        <v>548</v>
      </c>
      <c r="B470" s="1074"/>
      <c r="C470" s="1074"/>
      <c r="D470" s="1074"/>
      <c r="E470" s="1074"/>
    </row>
    <row r="471" spans="1:25" ht="20.100000000000001" customHeight="1" x14ac:dyDescent="0.2">
      <c r="A471" s="1075" t="s">
        <v>549</v>
      </c>
      <c r="B471" s="1075"/>
      <c r="C471" s="1075"/>
      <c r="D471" s="1075"/>
      <c r="E471" s="1075"/>
      <c r="G471" s="1076" t="s">
        <v>480</v>
      </c>
      <c r="H471" s="1076"/>
      <c r="I471" s="1077" t="s">
        <v>550</v>
      </c>
      <c r="J471" s="1077"/>
      <c r="K471" s="1077"/>
      <c r="L471" s="252" t="s">
        <v>551</v>
      </c>
      <c r="M471" s="1078" t="s">
        <v>552</v>
      </c>
      <c r="N471" s="1078"/>
      <c r="O471" s="251"/>
    </row>
    <row r="472" spans="1:25" ht="24" customHeight="1" x14ac:dyDescent="0.2">
      <c r="A472" s="258" t="str">
        <f>VLOOKUP(U466,TBL_equipe,5,FALSE)</f>
        <v/>
      </c>
      <c r="B472" s="223"/>
      <c r="C472" s="259" t="str">
        <f>VLOOKUP(U466,TBL_equipe,6,FALSE)</f>
        <v/>
      </c>
      <c r="D472" s="223"/>
      <c r="E472" s="224"/>
      <c r="F472" s="219"/>
      <c r="G472" s="403" t="str">
        <f>VLOOKUP(U466,TBL_equipe,9,FALSE)</f>
        <v/>
      </c>
      <c r="H472" s="224"/>
      <c r="I472" s="222"/>
      <c r="J472" s="246" t="str">
        <f>VLOOKUP(U466,TBL_equipe,8,FALSE)</f>
        <v/>
      </c>
      <c r="K472" s="224"/>
      <c r="L472" s="260" t="str">
        <f>VLOOKUP(U466,TBL_equipe,10,FALSE)</f>
        <v/>
      </c>
      <c r="M472" s="287">
        <f>G466</f>
        <v>0</v>
      </c>
      <c r="N472" s="288"/>
      <c r="O472" s="249"/>
      <c r="R472" s="254"/>
      <c r="S472" s="254"/>
      <c r="T472" s="254" t="s">
        <v>51</v>
      </c>
      <c r="U472" s="254"/>
      <c r="V472" s="254"/>
      <c r="W472" s="254"/>
      <c r="X472" s="254"/>
      <c r="Y472" s="254"/>
    </row>
    <row r="473" spans="1:25" ht="24" customHeight="1" x14ac:dyDescent="0.2">
      <c r="A473" s="258" t="str">
        <f>VLOOKUP(U466,TBL_equipe,11,FALSE)</f>
        <v/>
      </c>
      <c r="B473" s="223"/>
      <c r="C473" s="259" t="str">
        <f>VLOOKUP(U466,TBL_equipe,12,FALSE)</f>
        <v/>
      </c>
      <c r="D473" s="223"/>
      <c r="E473" s="224"/>
      <c r="F473" s="219"/>
      <c r="G473" s="403" t="str">
        <f>VLOOKUP(U466,TBL_equipe,15,FALSE)</f>
        <v/>
      </c>
      <c r="H473" s="224"/>
      <c r="I473" s="222"/>
      <c r="J473" s="246" t="str">
        <f>VLOOKUP(U466,TBL_equipe,14,FALSE)</f>
        <v/>
      </c>
      <c r="K473" s="224"/>
      <c r="L473" s="260" t="str">
        <f>VLOOKUP(U466,TBL_equipe,16,FALSE)</f>
        <v/>
      </c>
      <c r="M473" s="287">
        <f>G466</f>
        <v>0</v>
      </c>
      <c r="N473" s="288"/>
      <c r="O473" s="249"/>
      <c r="Q473" s="254"/>
      <c r="R473" s="254"/>
      <c r="S473" s="254"/>
      <c r="T473" s="254"/>
      <c r="U473" s="254"/>
      <c r="V473" s="254"/>
      <c r="W473" s="254"/>
      <c r="X473" s="254"/>
      <c r="Y473" s="254"/>
    </row>
    <row r="474" spans="1:25" ht="24" customHeight="1" x14ac:dyDescent="0.2">
      <c r="A474" s="258" t="str">
        <f>VLOOKUP(U466,TBL_equipe,17,FALSE)</f>
        <v/>
      </c>
      <c r="B474" s="223"/>
      <c r="C474" s="259" t="str">
        <f>VLOOKUP(U466,TBL_equipe,18,FALSE)</f>
        <v/>
      </c>
      <c r="D474" s="223"/>
      <c r="E474" s="224"/>
      <c r="F474" s="219"/>
      <c r="G474" s="403" t="str">
        <f>VLOOKUP(U466,TBL_equipe,21,FALSE)</f>
        <v/>
      </c>
      <c r="H474" s="224"/>
      <c r="I474" s="222"/>
      <c r="J474" s="246" t="str">
        <f>VLOOKUP(U466,TBL_equipe,20,FALSE)</f>
        <v/>
      </c>
      <c r="K474" s="224"/>
      <c r="L474" s="260" t="str">
        <f>VLOOKUP(U466,TBL_equipe,22,FALSE)</f>
        <v/>
      </c>
      <c r="M474" s="287">
        <f>G466</f>
        <v>0</v>
      </c>
      <c r="N474" s="288"/>
      <c r="O474" s="249"/>
      <c r="Q474" s="254"/>
      <c r="R474" s="254"/>
      <c r="S474" s="254"/>
      <c r="T474" s="254"/>
      <c r="U474" s="254"/>
      <c r="V474" s="254"/>
      <c r="W474" s="254"/>
      <c r="X474" s="254"/>
      <c r="Y474" s="254"/>
    </row>
    <row r="475" spans="1:25" ht="24" customHeight="1" x14ac:dyDescent="0.2">
      <c r="A475" s="258" t="str">
        <f>VLOOKUP(U466,TBL_equipe,23,FALSE)</f>
        <v/>
      </c>
      <c r="B475" s="223"/>
      <c r="C475" s="259" t="str">
        <f>VLOOKUP(U466,TBL_equipe,24,FALSE)</f>
        <v/>
      </c>
      <c r="D475" s="223"/>
      <c r="E475" s="224"/>
      <c r="F475" s="219"/>
      <c r="G475" s="403" t="str">
        <f>VLOOKUP(U466,TBL_equipe,27,FALSE)</f>
        <v/>
      </c>
      <c r="H475" s="224"/>
      <c r="I475" s="222"/>
      <c r="J475" s="246" t="str">
        <f>VLOOKUP(U466,TBL_equipe,26,FALSE)</f>
        <v/>
      </c>
      <c r="K475" s="224"/>
      <c r="L475" s="260" t="str">
        <f>VLOOKUP(U466,TBL_equipe,28,FALSE)</f>
        <v/>
      </c>
      <c r="M475" s="289">
        <f>G466</f>
        <v>0</v>
      </c>
      <c r="N475" s="290"/>
      <c r="O475" s="249"/>
    </row>
    <row r="476" spans="1:25" ht="15" customHeight="1" thickBot="1" x14ac:dyDescent="0.25"/>
    <row r="477" spans="1:25" ht="20.100000000000001" customHeight="1" x14ac:dyDescent="0.2">
      <c r="F477" s="1081" t="s">
        <v>555</v>
      </c>
      <c r="G477" s="1082"/>
      <c r="H477" s="1082"/>
      <c r="I477" s="1082"/>
      <c r="J477" s="1083"/>
      <c r="K477" s="1081" t="s">
        <v>556</v>
      </c>
      <c r="L477" s="1082"/>
      <c r="M477" s="1082"/>
      <c r="N477" s="1082"/>
      <c r="O477" s="1083"/>
      <c r="P477" s="1081" t="s">
        <v>557</v>
      </c>
      <c r="Q477" s="1082"/>
      <c r="R477" s="1082"/>
      <c r="S477" s="1082"/>
      <c r="T477" s="1083"/>
      <c r="U477" s="1081" t="s">
        <v>558</v>
      </c>
      <c r="V477" s="1082"/>
      <c r="W477" s="1082"/>
      <c r="X477" s="1082"/>
      <c r="Y477" s="1083"/>
    </row>
    <row r="478" spans="1:25" ht="20.100000000000001" customHeight="1" x14ac:dyDescent="0.2">
      <c r="A478" s="1075" t="s">
        <v>559</v>
      </c>
      <c r="B478" s="1075"/>
      <c r="C478" s="1075"/>
      <c r="D478" s="1075"/>
      <c r="E478" s="1089"/>
      <c r="F478" s="1090" t="s">
        <v>560</v>
      </c>
      <c r="G478" s="1075"/>
      <c r="H478" s="1075"/>
      <c r="J478" s="225" t="s">
        <v>7</v>
      </c>
      <c r="K478" s="1090" t="s">
        <v>560</v>
      </c>
      <c r="L478" s="1075"/>
      <c r="M478" s="1075"/>
      <c r="O478" s="225" t="s">
        <v>7</v>
      </c>
      <c r="P478" s="1090" t="s">
        <v>560</v>
      </c>
      <c r="Q478" s="1075"/>
      <c r="R478" s="1075"/>
      <c r="T478" s="225" t="s">
        <v>7</v>
      </c>
      <c r="U478" s="1090" t="s">
        <v>560</v>
      </c>
      <c r="V478" s="1075"/>
      <c r="W478" s="1075"/>
      <c r="Y478" s="225" t="s">
        <v>7</v>
      </c>
    </row>
    <row r="479" spans="1:25" ht="24" customHeight="1" x14ac:dyDescent="0.2">
      <c r="A479" s="261" t="str">
        <f>A472</f>
        <v/>
      </c>
      <c r="B479" s="227"/>
      <c r="C479" s="262" t="str">
        <f>C472</f>
        <v/>
      </c>
      <c r="D479" s="227"/>
      <c r="E479" s="227"/>
      <c r="F479" s="228"/>
      <c r="G479" s="229"/>
      <c r="H479" s="229"/>
      <c r="I479" s="230" t="s">
        <v>561</v>
      </c>
      <c r="J479" s="231"/>
      <c r="K479" s="228"/>
      <c r="L479" s="229"/>
      <c r="M479" s="229"/>
      <c r="N479" s="230" t="s">
        <v>561</v>
      </c>
      <c r="O479" s="231"/>
      <c r="P479" s="228"/>
      <c r="Q479" s="229"/>
      <c r="R479" s="229"/>
      <c r="S479" s="230" t="s">
        <v>561</v>
      </c>
      <c r="T479" s="231"/>
      <c r="U479" s="228"/>
      <c r="V479" s="229"/>
      <c r="W479" s="229"/>
      <c r="X479" s="230" t="s">
        <v>561</v>
      </c>
      <c r="Y479" s="231"/>
    </row>
    <row r="480" spans="1:25" ht="24" customHeight="1" x14ac:dyDescent="0.2">
      <c r="A480" s="261" t="str">
        <f>A473</f>
        <v/>
      </c>
      <c r="B480" s="227"/>
      <c r="C480" s="262" t="str">
        <f>C473</f>
        <v/>
      </c>
      <c r="D480" s="227"/>
      <c r="E480" s="227"/>
      <c r="F480" s="228"/>
      <c r="G480" s="229"/>
      <c r="H480" s="229"/>
      <c r="I480" s="230" t="s">
        <v>561</v>
      </c>
      <c r="J480" s="231"/>
      <c r="K480" s="228"/>
      <c r="L480" s="229"/>
      <c r="M480" s="229"/>
      <c r="N480" s="230" t="s">
        <v>561</v>
      </c>
      <c r="O480" s="231"/>
      <c r="P480" s="228"/>
      <c r="Q480" s="229"/>
      <c r="R480" s="229"/>
      <c r="S480" s="230" t="s">
        <v>561</v>
      </c>
      <c r="T480" s="231"/>
      <c r="U480" s="228"/>
      <c r="V480" s="229"/>
      <c r="W480" s="229"/>
      <c r="X480" s="230" t="s">
        <v>561</v>
      </c>
      <c r="Y480" s="231"/>
    </row>
    <row r="481" spans="1:25" ht="24" customHeight="1" x14ac:dyDescent="0.2">
      <c r="A481" s="261" t="str">
        <f>A474</f>
        <v/>
      </c>
      <c r="B481" s="227"/>
      <c r="C481" s="262" t="str">
        <f>C474</f>
        <v/>
      </c>
      <c r="D481" s="227"/>
      <c r="E481" s="227"/>
      <c r="F481" s="228"/>
      <c r="G481" s="229"/>
      <c r="H481" s="229"/>
      <c r="I481" s="230" t="s">
        <v>561</v>
      </c>
      <c r="J481" s="231"/>
      <c r="K481" s="228"/>
      <c r="L481" s="229"/>
      <c r="M481" s="229"/>
      <c r="N481" s="230" t="s">
        <v>561</v>
      </c>
      <c r="O481" s="231"/>
      <c r="P481" s="228"/>
      <c r="Q481" s="229"/>
      <c r="R481" s="229"/>
      <c r="S481" s="230" t="s">
        <v>561</v>
      </c>
      <c r="T481" s="231"/>
      <c r="U481" s="228"/>
      <c r="V481" s="229"/>
      <c r="W481" s="229"/>
      <c r="X481" s="230" t="s">
        <v>561</v>
      </c>
      <c r="Y481" s="231"/>
    </row>
    <row r="482" spans="1:25" ht="24" customHeight="1" x14ac:dyDescent="0.2">
      <c r="A482" s="261" t="str">
        <f>A475</f>
        <v/>
      </c>
      <c r="B482" s="227"/>
      <c r="C482" s="262" t="str">
        <f>C475</f>
        <v/>
      </c>
      <c r="D482" s="227"/>
      <c r="E482" s="227"/>
      <c r="F482" s="228"/>
      <c r="G482" s="229"/>
      <c r="H482" s="229"/>
      <c r="I482" s="230" t="s">
        <v>561</v>
      </c>
      <c r="J482" s="232"/>
      <c r="K482" s="228"/>
      <c r="L482" s="229"/>
      <c r="M482" s="229"/>
      <c r="N482" s="230" t="s">
        <v>561</v>
      </c>
      <c r="O482" s="232"/>
      <c r="P482" s="228"/>
      <c r="Q482" s="229"/>
      <c r="R482" s="229"/>
      <c r="S482" s="230" t="s">
        <v>561</v>
      </c>
      <c r="T482" s="232"/>
      <c r="U482" s="228"/>
      <c r="V482" s="229"/>
      <c r="W482" s="229"/>
      <c r="X482" s="230" t="s">
        <v>561</v>
      </c>
      <c r="Y482" s="232"/>
    </row>
    <row r="483" spans="1:25" ht="24" customHeight="1" thickBot="1" x14ac:dyDescent="0.25">
      <c r="F483" s="1079" t="s">
        <v>562</v>
      </c>
      <c r="G483" s="1080"/>
      <c r="H483" s="1080"/>
      <c r="I483" s="230" t="s">
        <v>561</v>
      </c>
      <c r="J483" s="231"/>
      <c r="K483" s="1079" t="s">
        <v>563</v>
      </c>
      <c r="L483" s="1080"/>
      <c r="M483" s="1080"/>
      <c r="N483" s="230" t="s">
        <v>561</v>
      </c>
      <c r="O483" s="232"/>
      <c r="P483" s="1079" t="s">
        <v>564</v>
      </c>
      <c r="Q483" s="1080"/>
      <c r="R483" s="1080"/>
      <c r="S483" s="230" t="s">
        <v>561</v>
      </c>
      <c r="T483" s="232"/>
      <c r="U483" s="1079" t="s">
        <v>565</v>
      </c>
      <c r="V483" s="1080"/>
      <c r="W483" s="1080"/>
      <c r="X483" s="230" t="s">
        <v>561</v>
      </c>
      <c r="Y483" s="232"/>
    </row>
    <row r="484" spans="1:25" ht="24" customHeight="1" thickBot="1" x14ac:dyDescent="0.25">
      <c r="F484" s="233"/>
      <c r="G484" s="234"/>
      <c r="H484" s="235" t="s">
        <v>566</v>
      </c>
      <c r="I484" s="235"/>
      <c r="J484" s="236"/>
      <c r="K484" s="1092" t="s">
        <v>567</v>
      </c>
      <c r="L484" s="1085"/>
      <c r="M484" s="1085"/>
      <c r="N484" s="237" t="s">
        <v>561</v>
      </c>
      <c r="O484" s="238"/>
      <c r="P484" s="1092" t="s">
        <v>568</v>
      </c>
      <c r="Q484" s="1085"/>
      <c r="R484" s="1085"/>
      <c r="S484" s="237" t="s">
        <v>561</v>
      </c>
      <c r="T484" s="238"/>
      <c r="U484" s="1092" t="s">
        <v>569</v>
      </c>
      <c r="V484" s="1085"/>
      <c r="W484" s="1085"/>
      <c r="X484" s="237" t="s">
        <v>561</v>
      </c>
      <c r="Y484" s="239"/>
    </row>
    <row r="485" spans="1:25" ht="12.75" customHeight="1" x14ac:dyDescent="0.2">
      <c r="Y485" s="240" t="s">
        <v>570</v>
      </c>
    </row>
    <row r="486" spans="1:25" ht="15.75" customHeight="1" x14ac:dyDescent="0.2">
      <c r="B486" s="1091" t="s">
        <v>521</v>
      </c>
      <c r="C486" s="1091"/>
      <c r="D486" s="1091"/>
      <c r="E486" s="1091"/>
      <c r="F486" s="1091"/>
      <c r="G486" s="1091"/>
      <c r="H486" s="1091"/>
      <c r="I486" s="1091"/>
      <c r="J486" s="1091"/>
      <c r="K486" s="1091"/>
      <c r="L486" s="1091"/>
      <c r="O486" s="1091" t="s">
        <v>522</v>
      </c>
      <c r="P486" s="1091"/>
      <c r="Q486" s="1091"/>
      <c r="R486" s="1091"/>
      <c r="S486" s="1091"/>
      <c r="T486" s="1091"/>
      <c r="U486" s="1091"/>
      <c r="V486" s="1091"/>
      <c r="W486" s="1091"/>
      <c r="X486" s="1091"/>
      <c r="Y486" s="1091"/>
    </row>
    <row r="487" spans="1:25" ht="13.5" customHeight="1" x14ac:dyDescent="0.2">
      <c r="B487" s="1086" t="s">
        <v>1</v>
      </c>
      <c r="C487" s="1087"/>
      <c r="D487" s="1087"/>
      <c r="E487" s="1087"/>
      <c r="F487" s="1087"/>
      <c r="G487" s="1087"/>
      <c r="H487" s="1088"/>
      <c r="I487" s="1086" t="s">
        <v>520</v>
      </c>
      <c r="J487" s="1087"/>
      <c r="K487" s="1087"/>
      <c r="L487" s="1088"/>
      <c r="N487" s="241"/>
      <c r="O487" s="1086" t="s">
        <v>1</v>
      </c>
      <c r="P487" s="1087"/>
      <c r="Q487" s="1087"/>
      <c r="R487" s="1087"/>
      <c r="S487" s="1087"/>
      <c r="T487" s="1087"/>
      <c r="U487" s="1088"/>
      <c r="V487" s="1086" t="s">
        <v>520</v>
      </c>
      <c r="W487" s="1087"/>
      <c r="X487" s="1087"/>
      <c r="Y487" s="1088"/>
    </row>
    <row r="488" spans="1:25" ht="21.75" customHeight="1" x14ac:dyDescent="0.2">
      <c r="B488" s="242"/>
      <c r="C488" s="243"/>
      <c r="D488" s="243"/>
      <c r="E488" s="243"/>
      <c r="F488" s="243"/>
      <c r="G488" s="243"/>
      <c r="H488" s="243"/>
      <c r="I488" s="242"/>
      <c r="J488" s="243"/>
      <c r="K488" s="243"/>
      <c r="L488" s="244"/>
      <c r="N488" s="241"/>
      <c r="O488" s="242"/>
      <c r="P488" s="243"/>
      <c r="Q488" s="243"/>
      <c r="R488" s="243"/>
      <c r="S488" s="243"/>
      <c r="T488" s="243"/>
      <c r="U488" s="243"/>
      <c r="V488" s="242"/>
      <c r="W488" s="243"/>
      <c r="X488" s="243"/>
      <c r="Y488" s="244"/>
    </row>
    <row r="489" spans="1:25" ht="13.5" customHeight="1" x14ac:dyDescent="0.2"/>
    <row r="490" spans="1:25" ht="14.25" customHeight="1" thickBot="1" x14ac:dyDescent="0.25">
      <c r="A490" s="241"/>
      <c r="G490" s="305"/>
      <c r="H490" s="305"/>
      <c r="I490" s="1069" t="s">
        <v>0</v>
      </c>
      <c r="J490" s="1069"/>
      <c r="K490" s="1069"/>
      <c r="L490" s="1069"/>
      <c r="M490" s="1069"/>
      <c r="N490" s="1069"/>
      <c r="O490" s="1069"/>
      <c r="P490" s="1069" t="s">
        <v>374</v>
      </c>
      <c r="Q490" s="1069"/>
      <c r="R490" s="1069"/>
      <c r="S490" s="1069"/>
      <c r="T490" s="1069"/>
      <c r="U490" s="1069" t="s">
        <v>571</v>
      </c>
      <c r="V490" s="1069"/>
      <c r="W490" s="1069"/>
      <c r="X490" s="305"/>
      <c r="Y490" s="305"/>
    </row>
    <row r="491" spans="1:25" ht="20.25" customHeight="1" x14ac:dyDescent="0.2">
      <c r="A491" s="241"/>
      <c r="F491" s="1074" t="s">
        <v>584</v>
      </c>
      <c r="G491" s="1074"/>
      <c r="H491" s="1074"/>
      <c r="I491" s="316"/>
      <c r="J491" s="306"/>
      <c r="K491" s="306"/>
      <c r="L491" s="306"/>
      <c r="M491" s="306"/>
      <c r="N491" s="306"/>
      <c r="O491" s="306"/>
      <c r="P491" s="312"/>
      <c r="Q491" s="306"/>
      <c r="R491" s="307"/>
      <c r="S491" s="304"/>
      <c r="T491" s="313"/>
      <c r="U491" s="310"/>
      <c r="V491" s="1084" t="s">
        <v>495</v>
      </c>
      <c r="W491" s="308"/>
    </row>
    <row r="492" spans="1:25" ht="13.5" thickBot="1" x14ac:dyDescent="0.25">
      <c r="F492" s="1074"/>
      <c r="G492" s="1074"/>
      <c r="H492" s="1074"/>
      <c r="I492" s="303"/>
      <c r="J492" s="235"/>
      <c r="K492" s="235"/>
      <c r="L492" s="235"/>
      <c r="M492" s="235"/>
      <c r="N492" s="235"/>
      <c r="O492" s="235"/>
      <c r="P492" s="314"/>
      <c r="Q492" s="235"/>
      <c r="R492" s="234"/>
      <c r="S492" s="234"/>
      <c r="T492" s="315"/>
      <c r="U492" s="311"/>
      <c r="V492" s="1085"/>
      <c r="W492" s="309"/>
    </row>
    <row r="494" spans="1:25" ht="6.75" customHeight="1" x14ac:dyDescent="0.2"/>
    <row r="495" spans="1:25" s="218" customFormat="1" ht="23.25" customHeight="1" x14ac:dyDescent="0.2">
      <c r="A495" s="1072" t="s">
        <v>546</v>
      </c>
      <c r="B495" s="1073"/>
      <c r="C495" s="402"/>
      <c r="D495" s="1098" t="s">
        <v>628</v>
      </c>
      <c r="E495" s="1072"/>
      <c r="F495" s="1072"/>
      <c r="G495" s="1103"/>
      <c r="H495" s="1104"/>
      <c r="K495" s="218" t="str">
        <f>RIGHT(CATEG_IMPORTEE, LEN(CATEG_IMPORTEE) - 2)</f>
        <v>llèges Mixtes Etablissement</v>
      </c>
      <c r="T495" s="397" t="s">
        <v>627</v>
      </c>
      <c r="U495" s="401">
        <v>18</v>
      </c>
      <c r="V495" s="396" t="s">
        <v>547</v>
      </c>
      <c r="W495" s="401"/>
      <c r="X495" s="395"/>
    </row>
    <row r="496" spans="1:25" ht="27" customHeight="1" thickBot="1" x14ac:dyDescent="0.25">
      <c r="B496" s="1069" t="s">
        <v>0</v>
      </c>
      <c r="C496" s="1069"/>
      <c r="D496" s="1069"/>
      <c r="E496" s="1069"/>
      <c r="F496" s="1069"/>
      <c r="G496" s="1069"/>
      <c r="H496" s="1069"/>
      <c r="I496" s="1069" t="s">
        <v>374</v>
      </c>
      <c r="J496" s="1069"/>
      <c r="K496" s="1069"/>
      <c r="L496" s="1069"/>
      <c r="O496" s="1069" t="s">
        <v>0</v>
      </c>
      <c r="P496" s="1069"/>
      <c r="Q496" s="1069"/>
      <c r="R496" s="1069"/>
      <c r="S496" s="1069"/>
      <c r="T496" s="1069"/>
      <c r="U496" s="1069"/>
      <c r="V496" s="1069" t="s">
        <v>374</v>
      </c>
      <c r="W496" s="1069"/>
      <c r="X496" s="1069"/>
      <c r="Y496" s="1069"/>
    </row>
    <row r="497" spans="1:25" ht="24" customHeight="1" thickBot="1" x14ac:dyDescent="0.25">
      <c r="A497" s="219"/>
      <c r="B497" s="398" t="str">
        <f>VLOOKUP(U495,TBL_equipe,2,FALSE)</f>
        <v/>
      </c>
      <c r="C497" s="399"/>
      <c r="D497" s="399"/>
      <c r="E497" s="399"/>
      <c r="F497" s="399"/>
      <c r="G497" s="399"/>
      <c r="H497" s="400"/>
      <c r="I497" s="257" t="str">
        <f>VLOOKUP(U495,TBL_equipe,4,FALSE)</f>
        <v/>
      </c>
      <c r="J497" s="220"/>
      <c r="K497" s="220"/>
      <c r="L497" s="221"/>
      <c r="M497" s="1070" t="s">
        <v>547</v>
      </c>
      <c r="N497" s="1071"/>
      <c r="O497" s="398" t="e">
        <f>VLOOKUP(W495,TBL_equipe,2,FALSE)</f>
        <v>#N/A</v>
      </c>
      <c r="P497" s="220"/>
      <c r="Q497" s="220"/>
      <c r="R497" s="220"/>
      <c r="S497" s="220"/>
      <c r="T497" s="220"/>
      <c r="U497" s="221"/>
      <c r="V497" s="257" t="e">
        <f>VLOOKUP(W495,TBL_equipe,4,FALSE)</f>
        <v>#N/A</v>
      </c>
      <c r="W497" s="220"/>
      <c r="X497" s="220"/>
      <c r="Y497" s="221"/>
    </row>
    <row r="498" spans="1:25" ht="15" customHeight="1" x14ac:dyDescent="0.2"/>
    <row r="499" spans="1:25" ht="20.100000000000001" customHeight="1" x14ac:dyDescent="0.2">
      <c r="A499" s="1074" t="s">
        <v>548</v>
      </c>
      <c r="B499" s="1074"/>
      <c r="C499" s="1074"/>
      <c r="D499" s="1074"/>
      <c r="E499" s="1074"/>
    </row>
    <row r="500" spans="1:25" ht="20.100000000000001" customHeight="1" x14ac:dyDescent="0.2">
      <c r="A500" s="1075" t="s">
        <v>549</v>
      </c>
      <c r="B500" s="1075"/>
      <c r="C500" s="1075"/>
      <c r="D500" s="1075"/>
      <c r="E500" s="1075"/>
      <c r="G500" s="1076" t="s">
        <v>480</v>
      </c>
      <c r="H500" s="1076"/>
      <c r="I500" s="1077" t="s">
        <v>550</v>
      </c>
      <c r="J500" s="1077"/>
      <c r="K500" s="1077"/>
      <c r="L500" s="252" t="s">
        <v>551</v>
      </c>
      <c r="M500" s="1078" t="s">
        <v>552</v>
      </c>
      <c r="N500" s="1078"/>
      <c r="O500" s="251"/>
    </row>
    <row r="501" spans="1:25" ht="24" customHeight="1" x14ac:dyDescent="0.2">
      <c r="A501" s="258" t="str">
        <f>VLOOKUP(U495,TBL_equipe,5,FALSE)</f>
        <v/>
      </c>
      <c r="B501" s="223"/>
      <c r="C501" s="259" t="str">
        <f>VLOOKUP(U495,TBL_equipe,6,FALSE)</f>
        <v/>
      </c>
      <c r="D501" s="223"/>
      <c r="E501" s="224"/>
      <c r="F501" s="219"/>
      <c r="G501" s="403" t="str">
        <f>VLOOKUP(U495,TBL_equipe,9,FALSE)</f>
        <v/>
      </c>
      <c r="H501" s="224"/>
      <c r="I501" s="222"/>
      <c r="J501" s="246" t="str">
        <f>VLOOKUP(U495,TBL_equipe,8,FALSE)</f>
        <v/>
      </c>
      <c r="K501" s="224"/>
      <c r="L501" s="260" t="str">
        <f>VLOOKUP(U495,TBL_equipe,10,FALSE)</f>
        <v/>
      </c>
      <c r="M501" s="287">
        <f>G495</f>
        <v>0</v>
      </c>
      <c r="N501" s="288"/>
      <c r="O501" s="249"/>
      <c r="R501" s="254"/>
      <c r="S501" s="254"/>
      <c r="T501" s="254" t="s">
        <v>51</v>
      </c>
      <c r="U501" s="254"/>
      <c r="V501" s="254"/>
      <c r="W501" s="254"/>
      <c r="X501" s="254"/>
      <c r="Y501" s="254"/>
    </row>
    <row r="502" spans="1:25" ht="24" customHeight="1" x14ac:dyDescent="0.2">
      <c r="A502" s="258" t="str">
        <f>VLOOKUP(U495,TBL_equipe,11,FALSE)</f>
        <v/>
      </c>
      <c r="B502" s="223"/>
      <c r="C502" s="259" t="str">
        <f>VLOOKUP(U495,TBL_equipe,12,FALSE)</f>
        <v/>
      </c>
      <c r="D502" s="223"/>
      <c r="E502" s="224"/>
      <c r="F502" s="219"/>
      <c r="G502" s="403" t="str">
        <f>VLOOKUP(U495,TBL_equipe,15,FALSE)</f>
        <v/>
      </c>
      <c r="H502" s="224"/>
      <c r="I502" s="222"/>
      <c r="J502" s="246" t="str">
        <f>VLOOKUP(U495,TBL_equipe,14,FALSE)</f>
        <v/>
      </c>
      <c r="K502" s="224"/>
      <c r="L502" s="260" t="str">
        <f>VLOOKUP(U495,TBL_equipe,16,FALSE)</f>
        <v/>
      </c>
      <c r="M502" s="287">
        <f>G495</f>
        <v>0</v>
      </c>
      <c r="N502" s="288"/>
      <c r="O502" s="249"/>
      <c r="Q502" s="254"/>
      <c r="R502" s="254"/>
      <c r="S502" s="254"/>
      <c r="T502" s="254"/>
      <c r="U502" s="254"/>
      <c r="V502" s="254"/>
      <c r="W502" s="254"/>
      <c r="X502" s="254"/>
      <c r="Y502" s="254"/>
    </row>
    <row r="503" spans="1:25" ht="24" customHeight="1" x14ac:dyDescent="0.2">
      <c r="A503" s="258" t="str">
        <f>VLOOKUP(U495,TBL_equipe,17,FALSE)</f>
        <v/>
      </c>
      <c r="B503" s="223"/>
      <c r="C503" s="259" t="str">
        <f>VLOOKUP(U495,TBL_equipe,18,FALSE)</f>
        <v/>
      </c>
      <c r="D503" s="223"/>
      <c r="E503" s="224"/>
      <c r="F503" s="219"/>
      <c r="G503" s="403" t="str">
        <f>VLOOKUP(U495,TBL_equipe,21,FALSE)</f>
        <v/>
      </c>
      <c r="H503" s="224"/>
      <c r="I503" s="222"/>
      <c r="J503" s="246" t="str">
        <f>VLOOKUP(U495,TBL_equipe,20,FALSE)</f>
        <v/>
      </c>
      <c r="K503" s="224"/>
      <c r="L503" s="260" t="str">
        <f>VLOOKUP(U495,TBL_equipe,22,FALSE)</f>
        <v/>
      </c>
      <c r="M503" s="287">
        <f>G495</f>
        <v>0</v>
      </c>
      <c r="N503" s="288"/>
      <c r="O503" s="249"/>
      <c r="Q503" s="254"/>
      <c r="R503" s="254"/>
      <c r="S503" s="254"/>
      <c r="T503" s="254"/>
      <c r="U503" s="254"/>
      <c r="V503" s="254"/>
      <c r="W503" s="254"/>
      <c r="X503" s="254"/>
      <c r="Y503" s="254"/>
    </row>
    <row r="504" spans="1:25" ht="24" customHeight="1" x14ac:dyDescent="0.2">
      <c r="A504" s="258" t="str">
        <f>VLOOKUP(U495,TBL_equipe,23,FALSE)</f>
        <v/>
      </c>
      <c r="B504" s="223"/>
      <c r="C504" s="259" t="str">
        <f>VLOOKUP(U495,TBL_equipe,24,FALSE)</f>
        <v/>
      </c>
      <c r="D504" s="223"/>
      <c r="E504" s="224"/>
      <c r="F504" s="219"/>
      <c r="G504" s="403" t="str">
        <f>VLOOKUP(U495,TBL_equipe,27,FALSE)</f>
        <v/>
      </c>
      <c r="H504" s="224"/>
      <c r="I504" s="222"/>
      <c r="J504" s="246" t="str">
        <f>VLOOKUP(U495,TBL_equipe,26,FALSE)</f>
        <v/>
      </c>
      <c r="K504" s="224"/>
      <c r="L504" s="260" t="str">
        <f>VLOOKUP(U495,TBL_equipe,28,FALSE)</f>
        <v/>
      </c>
      <c r="M504" s="289">
        <f>G495</f>
        <v>0</v>
      </c>
      <c r="N504" s="290"/>
      <c r="O504" s="249"/>
    </row>
    <row r="505" spans="1:25" ht="15" customHeight="1" thickBot="1" x14ac:dyDescent="0.25"/>
    <row r="506" spans="1:25" ht="20.100000000000001" customHeight="1" x14ac:dyDescent="0.2">
      <c r="F506" s="1081" t="s">
        <v>555</v>
      </c>
      <c r="G506" s="1082"/>
      <c r="H506" s="1082"/>
      <c r="I506" s="1082"/>
      <c r="J506" s="1083"/>
      <c r="K506" s="1081" t="s">
        <v>556</v>
      </c>
      <c r="L506" s="1082"/>
      <c r="M506" s="1082"/>
      <c r="N506" s="1082"/>
      <c r="O506" s="1083"/>
      <c r="P506" s="1081" t="s">
        <v>557</v>
      </c>
      <c r="Q506" s="1082"/>
      <c r="R506" s="1082"/>
      <c r="S506" s="1082"/>
      <c r="T506" s="1083"/>
      <c r="U506" s="1081" t="s">
        <v>558</v>
      </c>
      <c r="V506" s="1082"/>
      <c r="W506" s="1082"/>
      <c r="X506" s="1082"/>
      <c r="Y506" s="1083"/>
    </row>
    <row r="507" spans="1:25" ht="20.100000000000001" customHeight="1" x14ac:dyDescent="0.2">
      <c r="A507" s="1075" t="s">
        <v>559</v>
      </c>
      <c r="B507" s="1075"/>
      <c r="C507" s="1075"/>
      <c r="D507" s="1075"/>
      <c r="E507" s="1089"/>
      <c r="F507" s="1090" t="s">
        <v>560</v>
      </c>
      <c r="G507" s="1075"/>
      <c r="H507" s="1075"/>
      <c r="J507" s="225" t="s">
        <v>7</v>
      </c>
      <c r="K507" s="1090" t="s">
        <v>560</v>
      </c>
      <c r="L507" s="1075"/>
      <c r="M507" s="1075"/>
      <c r="O507" s="225" t="s">
        <v>7</v>
      </c>
      <c r="P507" s="1090" t="s">
        <v>560</v>
      </c>
      <c r="Q507" s="1075"/>
      <c r="R507" s="1075"/>
      <c r="T507" s="225" t="s">
        <v>7</v>
      </c>
      <c r="U507" s="1090" t="s">
        <v>560</v>
      </c>
      <c r="V507" s="1075"/>
      <c r="W507" s="1075"/>
      <c r="Y507" s="225" t="s">
        <v>7</v>
      </c>
    </row>
    <row r="508" spans="1:25" ht="24" customHeight="1" x14ac:dyDescent="0.2">
      <c r="A508" s="261" t="str">
        <f>A501</f>
        <v/>
      </c>
      <c r="B508" s="227"/>
      <c r="C508" s="262" t="str">
        <f>C501</f>
        <v/>
      </c>
      <c r="D508" s="227"/>
      <c r="E508" s="227"/>
      <c r="F508" s="228"/>
      <c r="G508" s="229"/>
      <c r="H508" s="229"/>
      <c r="I508" s="230" t="s">
        <v>561</v>
      </c>
      <c r="J508" s="231"/>
      <c r="K508" s="228"/>
      <c r="L508" s="229"/>
      <c r="M508" s="229"/>
      <c r="N508" s="230" t="s">
        <v>561</v>
      </c>
      <c r="O508" s="231"/>
      <c r="P508" s="228"/>
      <c r="Q508" s="229"/>
      <c r="R508" s="229"/>
      <c r="S508" s="230" t="s">
        <v>561</v>
      </c>
      <c r="T508" s="231"/>
      <c r="U508" s="228"/>
      <c r="V508" s="229"/>
      <c r="W508" s="229"/>
      <c r="X508" s="230" t="s">
        <v>561</v>
      </c>
      <c r="Y508" s="231"/>
    </row>
    <row r="509" spans="1:25" ht="24" customHeight="1" x14ac:dyDescent="0.2">
      <c r="A509" s="261" t="str">
        <f>A502</f>
        <v/>
      </c>
      <c r="B509" s="227"/>
      <c r="C509" s="262" t="str">
        <f>C502</f>
        <v/>
      </c>
      <c r="D509" s="227"/>
      <c r="E509" s="227"/>
      <c r="F509" s="228"/>
      <c r="G509" s="229"/>
      <c r="H509" s="229"/>
      <c r="I509" s="230" t="s">
        <v>561</v>
      </c>
      <c r="J509" s="231"/>
      <c r="K509" s="228"/>
      <c r="L509" s="229"/>
      <c r="M509" s="229"/>
      <c r="N509" s="230" t="s">
        <v>561</v>
      </c>
      <c r="O509" s="231"/>
      <c r="P509" s="228"/>
      <c r="Q509" s="229"/>
      <c r="R509" s="229"/>
      <c r="S509" s="230" t="s">
        <v>561</v>
      </c>
      <c r="T509" s="231"/>
      <c r="U509" s="228"/>
      <c r="V509" s="229"/>
      <c r="W509" s="229"/>
      <c r="X509" s="230" t="s">
        <v>561</v>
      </c>
      <c r="Y509" s="231"/>
    </row>
    <row r="510" spans="1:25" ht="24" customHeight="1" x14ac:dyDescent="0.2">
      <c r="A510" s="261" t="str">
        <f>A503</f>
        <v/>
      </c>
      <c r="B510" s="227"/>
      <c r="C510" s="262" t="str">
        <f>C503</f>
        <v/>
      </c>
      <c r="D510" s="227"/>
      <c r="E510" s="227"/>
      <c r="F510" s="228"/>
      <c r="G510" s="229"/>
      <c r="H510" s="229"/>
      <c r="I510" s="230" t="s">
        <v>561</v>
      </c>
      <c r="J510" s="231"/>
      <c r="K510" s="228"/>
      <c r="L510" s="229"/>
      <c r="M510" s="229"/>
      <c r="N510" s="230" t="s">
        <v>561</v>
      </c>
      <c r="O510" s="231"/>
      <c r="P510" s="228"/>
      <c r="Q510" s="229"/>
      <c r="R510" s="229"/>
      <c r="S510" s="230" t="s">
        <v>561</v>
      </c>
      <c r="T510" s="231"/>
      <c r="U510" s="228"/>
      <c r="V510" s="229"/>
      <c r="W510" s="229"/>
      <c r="X510" s="230" t="s">
        <v>561</v>
      </c>
      <c r="Y510" s="231"/>
    </row>
    <row r="511" spans="1:25" ht="24" customHeight="1" x14ac:dyDescent="0.2">
      <c r="A511" s="261" t="str">
        <f>A504</f>
        <v/>
      </c>
      <c r="B511" s="227"/>
      <c r="C511" s="262" t="str">
        <f>C504</f>
        <v/>
      </c>
      <c r="D511" s="227"/>
      <c r="E511" s="227"/>
      <c r="F511" s="228"/>
      <c r="G511" s="229"/>
      <c r="H511" s="229"/>
      <c r="I511" s="230" t="s">
        <v>561</v>
      </c>
      <c r="J511" s="232"/>
      <c r="K511" s="228"/>
      <c r="L511" s="229"/>
      <c r="M511" s="229"/>
      <c r="N511" s="230" t="s">
        <v>561</v>
      </c>
      <c r="O511" s="232"/>
      <c r="P511" s="228"/>
      <c r="Q511" s="229"/>
      <c r="R511" s="229"/>
      <c r="S511" s="230" t="s">
        <v>561</v>
      </c>
      <c r="T511" s="232"/>
      <c r="U511" s="228"/>
      <c r="V511" s="229"/>
      <c r="W511" s="229"/>
      <c r="X511" s="230" t="s">
        <v>561</v>
      </c>
      <c r="Y511" s="232"/>
    </row>
    <row r="512" spans="1:25" ht="24" customHeight="1" thickBot="1" x14ac:dyDescent="0.25">
      <c r="F512" s="1079" t="s">
        <v>562</v>
      </c>
      <c r="G512" s="1080"/>
      <c r="H512" s="1080"/>
      <c r="I512" s="230" t="s">
        <v>561</v>
      </c>
      <c r="J512" s="231"/>
      <c r="K512" s="1079" t="s">
        <v>563</v>
      </c>
      <c r="L512" s="1080"/>
      <c r="M512" s="1080"/>
      <c r="N512" s="230" t="s">
        <v>561</v>
      </c>
      <c r="O512" s="232"/>
      <c r="P512" s="1079" t="s">
        <v>564</v>
      </c>
      <c r="Q512" s="1080"/>
      <c r="R512" s="1080"/>
      <c r="S512" s="230" t="s">
        <v>561</v>
      </c>
      <c r="T512" s="232"/>
      <c r="U512" s="1079" t="s">
        <v>565</v>
      </c>
      <c r="V512" s="1080"/>
      <c r="W512" s="1080"/>
      <c r="X512" s="230" t="s">
        <v>561</v>
      </c>
      <c r="Y512" s="232"/>
    </row>
    <row r="513" spans="1:25" ht="24" customHeight="1" thickBot="1" x14ac:dyDescent="0.25">
      <c r="F513" s="233"/>
      <c r="G513" s="234"/>
      <c r="H513" s="235" t="s">
        <v>566</v>
      </c>
      <c r="I513" s="235"/>
      <c r="J513" s="236"/>
      <c r="K513" s="1092" t="s">
        <v>567</v>
      </c>
      <c r="L513" s="1085"/>
      <c r="M513" s="1085"/>
      <c r="N513" s="237" t="s">
        <v>561</v>
      </c>
      <c r="O513" s="238"/>
      <c r="P513" s="1092" t="s">
        <v>568</v>
      </c>
      <c r="Q513" s="1085"/>
      <c r="R513" s="1085"/>
      <c r="S513" s="237" t="s">
        <v>561</v>
      </c>
      <c r="T513" s="238"/>
      <c r="U513" s="1092" t="s">
        <v>569</v>
      </c>
      <c r="V513" s="1085"/>
      <c r="W513" s="1085"/>
      <c r="X513" s="237" t="s">
        <v>561</v>
      </c>
      <c r="Y513" s="239"/>
    </row>
    <row r="514" spans="1:25" ht="12.75" customHeight="1" x14ac:dyDescent="0.2">
      <c r="Y514" s="240" t="s">
        <v>570</v>
      </c>
    </row>
    <row r="515" spans="1:25" ht="15.75" customHeight="1" x14ac:dyDescent="0.2">
      <c r="B515" s="1091" t="s">
        <v>521</v>
      </c>
      <c r="C515" s="1091"/>
      <c r="D515" s="1091"/>
      <c r="E515" s="1091"/>
      <c r="F515" s="1091"/>
      <c r="G515" s="1091"/>
      <c r="H515" s="1091"/>
      <c r="I515" s="1091"/>
      <c r="J515" s="1091"/>
      <c r="K515" s="1091"/>
      <c r="L515" s="1091"/>
      <c r="O515" s="1091" t="s">
        <v>522</v>
      </c>
      <c r="P515" s="1091"/>
      <c r="Q515" s="1091"/>
      <c r="R515" s="1091"/>
      <c r="S515" s="1091"/>
      <c r="T515" s="1091"/>
      <c r="U515" s="1091"/>
      <c r="V515" s="1091"/>
      <c r="W515" s="1091"/>
      <c r="X515" s="1091"/>
      <c r="Y515" s="1091"/>
    </row>
    <row r="516" spans="1:25" ht="13.5" customHeight="1" x14ac:dyDescent="0.2">
      <c r="B516" s="1086" t="s">
        <v>1</v>
      </c>
      <c r="C516" s="1087"/>
      <c r="D516" s="1087"/>
      <c r="E516" s="1087"/>
      <c r="F516" s="1087"/>
      <c r="G516" s="1087"/>
      <c r="H516" s="1088"/>
      <c r="I516" s="1086" t="s">
        <v>520</v>
      </c>
      <c r="J516" s="1087"/>
      <c r="K516" s="1087"/>
      <c r="L516" s="1088"/>
      <c r="N516" s="241"/>
      <c r="O516" s="1086" t="s">
        <v>1</v>
      </c>
      <c r="P516" s="1087"/>
      <c r="Q516" s="1087"/>
      <c r="R516" s="1087"/>
      <c r="S516" s="1087"/>
      <c r="T516" s="1087"/>
      <c r="U516" s="1088"/>
      <c r="V516" s="1086" t="s">
        <v>520</v>
      </c>
      <c r="W516" s="1087"/>
      <c r="X516" s="1087"/>
      <c r="Y516" s="1088"/>
    </row>
    <row r="517" spans="1:25" ht="21.75" customHeight="1" x14ac:dyDescent="0.2">
      <c r="B517" s="242"/>
      <c r="C517" s="243"/>
      <c r="D517" s="243"/>
      <c r="E517" s="243"/>
      <c r="F517" s="243"/>
      <c r="G517" s="243"/>
      <c r="H517" s="243"/>
      <c r="I517" s="242"/>
      <c r="J517" s="243"/>
      <c r="K517" s="243"/>
      <c r="L517" s="244"/>
      <c r="N517" s="241"/>
      <c r="O517" s="242"/>
      <c r="P517" s="243"/>
      <c r="Q517" s="243"/>
      <c r="R517" s="243"/>
      <c r="S517" s="243"/>
      <c r="T517" s="243"/>
      <c r="U517" s="243"/>
      <c r="V517" s="242"/>
      <c r="W517" s="243"/>
      <c r="X517" s="243"/>
      <c r="Y517" s="244"/>
    </row>
    <row r="518" spans="1:25" ht="13.5" customHeight="1" x14ac:dyDescent="0.2"/>
    <row r="519" spans="1:25" ht="14.25" customHeight="1" thickBot="1" x14ac:dyDescent="0.25">
      <c r="A519" s="241"/>
      <c r="G519" s="305"/>
      <c r="H519" s="305"/>
      <c r="I519" s="1069" t="s">
        <v>0</v>
      </c>
      <c r="J519" s="1069"/>
      <c r="K519" s="1069"/>
      <c r="L519" s="1069"/>
      <c r="M519" s="1069"/>
      <c r="N519" s="1069"/>
      <c r="O519" s="1069"/>
      <c r="P519" s="1069" t="s">
        <v>374</v>
      </c>
      <c r="Q519" s="1069"/>
      <c r="R519" s="1069"/>
      <c r="S519" s="1069"/>
      <c r="T519" s="1069"/>
      <c r="U519" s="1069" t="s">
        <v>571</v>
      </c>
      <c r="V519" s="1069"/>
      <c r="W519" s="1069"/>
      <c r="X519" s="305"/>
      <c r="Y519" s="305"/>
    </row>
    <row r="520" spans="1:25" ht="20.25" customHeight="1" x14ac:dyDescent="0.2">
      <c r="A520" s="241"/>
      <c r="F520" s="1074" t="s">
        <v>584</v>
      </c>
      <c r="G520" s="1074"/>
      <c r="H520" s="1074"/>
      <c r="I520" s="316"/>
      <c r="J520" s="306"/>
      <c r="K520" s="306"/>
      <c r="L520" s="306"/>
      <c r="M520" s="306"/>
      <c r="N520" s="306"/>
      <c r="O520" s="306"/>
      <c r="P520" s="312"/>
      <c r="Q520" s="306"/>
      <c r="R520" s="307"/>
      <c r="S520" s="304"/>
      <c r="T520" s="313"/>
      <c r="U520" s="310"/>
      <c r="V520" s="1084" t="s">
        <v>495</v>
      </c>
      <c r="W520" s="308"/>
    </row>
    <row r="521" spans="1:25" ht="13.5" thickBot="1" x14ac:dyDescent="0.25">
      <c r="F521" s="1074"/>
      <c r="G521" s="1074"/>
      <c r="H521" s="1074"/>
      <c r="I521" s="303"/>
      <c r="J521" s="235"/>
      <c r="K521" s="235"/>
      <c r="L521" s="235"/>
      <c r="M521" s="235"/>
      <c r="N521" s="235"/>
      <c r="O521" s="235"/>
      <c r="P521" s="314"/>
      <c r="Q521" s="235"/>
      <c r="R521" s="234"/>
      <c r="S521" s="234"/>
      <c r="T521" s="315"/>
      <c r="U521" s="311"/>
      <c r="V521" s="1085"/>
      <c r="W521" s="309"/>
    </row>
    <row r="523" spans="1:25" ht="6.75" customHeight="1" x14ac:dyDescent="0.2"/>
    <row r="524" spans="1:25" s="218" customFormat="1" ht="23.25" customHeight="1" x14ac:dyDescent="0.2">
      <c r="A524" s="1072" t="s">
        <v>546</v>
      </c>
      <c r="B524" s="1073"/>
      <c r="C524" s="402"/>
      <c r="D524" s="1098" t="s">
        <v>628</v>
      </c>
      <c r="E524" s="1072"/>
      <c r="F524" s="1072"/>
      <c r="G524" s="1103"/>
      <c r="H524" s="1104"/>
      <c r="K524" s="218" t="str">
        <f>RIGHT(CATEG_IMPORTEE, LEN(CATEG_IMPORTEE) - 2)</f>
        <v>llèges Mixtes Etablissement</v>
      </c>
      <c r="T524" s="397" t="s">
        <v>627</v>
      </c>
      <c r="U524" s="401">
        <v>19</v>
      </c>
      <c r="V524" s="396" t="s">
        <v>547</v>
      </c>
      <c r="W524" s="401"/>
      <c r="X524" s="395"/>
    </row>
    <row r="525" spans="1:25" ht="27" customHeight="1" thickBot="1" x14ac:dyDescent="0.25">
      <c r="B525" s="1069" t="s">
        <v>0</v>
      </c>
      <c r="C525" s="1069"/>
      <c r="D525" s="1069"/>
      <c r="E525" s="1069"/>
      <c r="F525" s="1069"/>
      <c r="G525" s="1069"/>
      <c r="H525" s="1069"/>
      <c r="I525" s="1069" t="s">
        <v>374</v>
      </c>
      <c r="J525" s="1069"/>
      <c r="K525" s="1069"/>
      <c r="L525" s="1069"/>
      <c r="O525" s="1069" t="s">
        <v>0</v>
      </c>
      <c r="P525" s="1069"/>
      <c r="Q525" s="1069"/>
      <c r="R525" s="1069"/>
      <c r="S525" s="1069"/>
      <c r="T525" s="1069"/>
      <c r="U525" s="1069"/>
      <c r="V525" s="1069" t="s">
        <v>374</v>
      </c>
      <c r="W525" s="1069"/>
      <c r="X525" s="1069"/>
      <c r="Y525" s="1069"/>
    </row>
    <row r="526" spans="1:25" ht="24" customHeight="1" thickBot="1" x14ac:dyDescent="0.25">
      <c r="A526" s="219"/>
      <c r="B526" s="398" t="str">
        <f>VLOOKUP(U524,TBL_equipe,2,FALSE)</f>
        <v/>
      </c>
      <c r="C526" s="399"/>
      <c r="D526" s="399"/>
      <c r="E526" s="399"/>
      <c r="F526" s="399"/>
      <c r="G526" s="399"/>
      <c r="H526" s="400"/>
      <c r="I526" s="257" t="str">
        <f>VLOOKUP(U524,TBL_equipe,4,FALSE)</f>
        <v/>
      </c>
      <c r="J526" s="220"/>
      <c r="K526" s="220"/>
      <c r="L526" s="221"/>
      <c r="M526" s="1070" t="s">
        <v>547</v>
      </c>
      <c r="N526" s="1071"/>
      <c r="O526" s="398" t="e">
        <f>VLOOKUP(W524,TBL_equipe,2,FALSE)</f>
        <v>#N/A</v>
      </c>
      <c r="P526" s="220"/>
      <c r="Q526" s="220"/>
      <c r="R526" s="220"/>
      <c r="S526" s="220"/>
      <c r="T526" s="220"/>
      <c r="U526" s="221"/>
      <c r="V526" s="257" t="e">
        <f>VLOOKUP(W524,TBL_equipe,4,FALSE)</f>
        <v>#N/A</v>
      </c>
      <c r="W526" s="220"/>
      <c r="X526" s="220"/>
      <c r="Y526" s="221"/>
    </row>
    <row r="527" spans="1:25" ht="15" customHeight="1" x14ac:dyDescent="0.2"/>
    <row r="528" spans="1:25" ht="20.100000000000001" customHeight="1" x14ac:dyDescent="0.2">
      <c r="A528" s="1074" t="s">
        <v>548</v>
      </c>
      <c r="B528" s="1074"/>
      <c r="C528" s="1074"/>
      <c r="D528" s="1074"/>
      <c r="E528" s="1074"/>
    </row>
    <row r="529" spans="1:25" ht="20.100000000000001" customHeight="1" x14ac:dyDescent="0.2">
      <c r="A529" s="1075" t="s">
        <v>549</v>
      </c>
      <c r="B529" s="1075"/>
      <c r="C529" s="1075"/>
      <c r="D529" s="1075"/>
      <c r="E529" s="1075"/>
      <c r="G529" s="1076" t="s">
        <v>480</v>
      </c>
      <c r="H529" s="1076"/>
      <c r="I529" s="1077" t="s">
        <v>550</v>
      </c>
      <c r="J529" s="1077"/>
      <c r="K529" s="1077"/>
      <c r="L529" s="252" t="s">
        <v>551</v>
      </c>
      <c r="M529" s="1078" t="s">
        <v>552</v>
      </c>
      <c r="N529" s="1078"/>
      <c r="O529" s="251"/>
    </row>
    <row r="530" spans="1:25" ht="24" customHeight="1" x14ac:dyDescent="0.2">
      <c r="A530" s="258" t="str">
        <f>VLOOKUP(U524,TBL_equipe,5,FALSE)</f>
        <v/>
      </c>
      <c r="B530" s="223"/>
      <c r="C530" s="259" t="str">
        <f>VLOOKUP(U524,TBL_equipe,6,FALSE)</f>
        <v/>
      </c>
      <c r="D530" s="223"/>
      <c r="E530" s="224"/>
      <c r="F530" s="219"/>
      <c r="G530" s="403" t="str">
        <f>VLOOKUP(U524,TBL_equipe,9,FALSE)</f>
        <v/>
      </c>
      <c r="H530" s="224"/>
      <c r="I530" s="222"/>
      <c r="J530" s="246" t="str">
        <f>VLOOKUP(U524,TBL_equipe,8,FALSE)</f>
        <v/>
      </c>
      <c r="K530" s="224"/>
      <c r="L530" s="260" t="str">
        <f>VLOOKUP(U524,TBL_equipe,10,FALSE)</f>
        <v/>
      </c>
      <c r="M530" s="287">
        <f>G524</f>
        <v>0</v>
      </c>
      <c r="N530" s="288"/>
      <c r="O530" s="249"/>
      <c r="R530" s="254"/>
      <c r="S530" s="254"/>
      <c r="T530" s="254" t="s">
        <v>51</v>
      </c>
      <c r="U530" s="254"/>
      <c r="V530" s="254"/>
      <c r="W530" s="254"/>
      <c r="X530" s="254"/>
      <c r="Y530" s="254"/>
    </row>
    <row r="531" spans="1:25" ht="24" customHeight="1" x14ac:dyDescent="0.2">
      <c r="A531" s="258" t="str">
        <f>VLOOKUP(U524,TBL_equipe,11,FALSE)</f>
        <v/>
      </c>
      <c r="B531" s="223"/>
      <c r="C531" s="259" t="str">
        <f>VLOOKUP(U524,TBL_equipe,12,FALSE)</f>
        <v/>
      </c>
      <c r="D531" s="223"/>
      <c r="E531" s="224"/>
      <c r="F531" s="219"/>
      <c r="G531" s="403" t="str">
        <f>VLOOKUP(U524,TBL_equipe,15,FALSE)</f>
        <v/>
      </c>
      <c r="H531" s="224"/>
      <c r="I531" s="222"/>
      <c r="J531" s="246" t="str">
        <f>VLOOKUP(U524,TBL_equipe,14,FALSE)</f>
        <v/>
      </c>
      <c r="K531" s="224"/>
      <c r="L531" s="260" t="str">
        <f>VLOOKUP(U524,TBL_equipe,16,FALSE)</f>
        <v/>
      </c>
      <c r="M531" s="287">
        <f>G524</f>
        <v>0</v>
      </c>
      <c r="N531" s="288"/>
      <c r="O531" s="249"/>
      <c r="Q531" s="254"/>
      <c r="R531" s="254"/>
      <c r="S531" s="254"/>
      <c r="T531" s="254"/>
      <c r="U531" s="254"/>
      <c r="V531" s="254"/>
      <c r="W531" s="254"/>
      <c r="X531" s="254"/>
      <c r="Y531" s="254"/>
    </row>
    <row r="532" spans="1:25" ht="24" customHeight="1" x14ac:dyDescent="0.2">
      <c r="A532" s="258" t="str">
        <f>VLOOKUP(U524,TBL_equipe,17,FALSE)</f>
        <v/>
      </c>
      <c r="B532" s="223"/>
      <c r="C532" s="259" t="str">
        <f>VLOOKUP(U524,TBL_equipe,18,FALSE)</f>
        <v/>
      </c>
      <c r="D532" s="223"/>
      <c r="E532" s="224"/>
      <c r="F532" s="219"/>
      <c r="G532" s="403" t="str">
        <f>VLOOKUP(U524,TBL_equipe,21,FALSE)</f>
        <v/>
      </c>
      <c r="H532" s="224"/>
      <c r="I532" s="222"/>
      <c r="J532" s="246" t="str">
        <f>VLOOKUP(U524,TBL_equipe,20,FALSE)</f>
        <v/>
      </c>
      <c r="K532" s="224"/>
      <c r="L532" s="260" t="str">
        <f>VLOOKUP(U524,TBL_equipe,22,FALSE)</f>
        <v/>
      </c>
      <c r="M532" s="287">
        <f>G524</f>
        <v>0</v>
      </c>
      <c r="N532" s="288"/>
      <c r="O532" s="249"/>
      <c r="Q532" s="254"/>
      <c r="R532" s="254"/>
      <c r="S532" s="254"/>
      <c r="T532" s="254"/>
      <c r="U532" s="254"/>
      <c r="V532" s="254"/>
      <c r="W532" s="254"/>
      <c r="X532" s="254"/>
      <c r="Y532" s="254"/>
    </row>
    <row r="533" spans="1:25" ht="24" customHeight="1" x14ac:dyDescent="0.2">
      <c r="A533" s="258" t="str">
        <f>VLOOKUP(U524,TBL_equipe,23,FALSE)</f>
        <v/>
      </c>
      <c r="B533" s="223"/>
      <c r="C533" s="259" t="str">
        <f>VLOOKUP(U524,TBL_equipe,24,FALSE)</f>
        <v/>
      </c>
      <c r="D533" s="223"/>
      <c r="E533" s="224"/>
      <c r="F533" s="219"/>
      <c r="G533" s="403" t="str">
        <f>VLOOKUP(U524,TBL_equipe,27,FALSE)</f>
        <v/>
      </c>
      <c r="H533" s="224"/>
      <c r="I533" s="222"/>
      <c r="J533" s="246" t="str">
        <f>VLOOKUP(U524,TBL_equipe,26,FALSE)</f>
        <v/>
      </c>
      <c r="K533" s="224"/>
      <c r="L533" s="260" t="str">
        <f>VLOOKUP(U524,TBL_equipe,28,FALSE)</f>
        <v/>
      </c>
      <c r="M533" s="289">
        <f>G524</f>
        <v>0</v>
      </c>
      <c r="N533" s="290"/>
      <c r="O533" s="249"/>
    </row>
    <row r="534" spans="1:25" ht="15" customHeight="1" thickBot="1" x14ac:dyDescent="0.25"/>
    <row r="535" spans="1:25" ht="20.100000000000001" customHeight="1" x14ac:dyDescent="0.2">
      <c r="F535" s="1081" t="s">
        <v>555</v>
      </c>
      <c r="G535" s="1082"/>
      <c r="H535" s="1082"/>
      <c r="I535" s="1082"/>
      <c r="J535" s="1083"/>
      <c r="K535" s="1081" t="s">
        <v>556</v>
      </c>
      <c r="L535" s="1082"/>
      <c r="M535" s="1082"/>
      <c r="N535" s="1082"/>
      <c r="O535" s="1083"/>
      <c r="P535" s="1081" t="s">
        <v>557</v>
      </c>
      <c r="Q535" s="1082"/>
      <c r="R535" s="1082"/>
      <c r="S535" s="1082"/>
      <c r="T535" s="1083"/>
      <c r="U535" s="1081" t="s">
        <v>558</v>
      </c>
      <c r="V535" s="1082"/>
      <c r="W535" s="1082"/>
      <c r="X535" s="1082"/>
      <c r="Y535" s="1083"/>
    </row>
    <row r="536" spans="1:25" ht="20.100000000000001" customHeight="1" x14ac:dyDescent="0.2">
      <c r="A536" s="1075" t="s">
        <v>559</v>
      </c>
      <c r="B536" s="1075"/>
      <c r="C536" s="1075"/>
      <c r="D536" s="1075"/>
      <c r="E536" s="1089"/>
      <c r="F536" s="1090" t="s">
        <v>560</v>
      </c>
      <c r="G536" s="1075"/>
      <c r="H536" s="1075"/>
      <c r="J536" s="225" t="s">
        <v>7</v>
      </c>
      <c r="K536" s="1090" t="s">
        <v>560</v>
      </c>
      <c r="L536" s="1075"/>
      <c r="M536" s="1075"/>
      <c r="O536" s="225" t="s">
        <v>7</v>
      </c>
      <c r="P536" s="1090" t="s">
        <v>560</v>
      </c>
      <c r="Q536" s="1075"/>
      <c r="R536" s="1075"/>
      <c r="T536" s="225" t="s">
        <v>7</v>
      </c>
      <c r="U536" s="1090" t="s">
        <v>560</v>
      </c>
      <c r="V536" s="1075"/>
      <c r="W536" s="1075"/>
      <c r="Y536" s="225" t="s">
        <v>7</v>
      </c>
    </row>
    <row r="537" spans="1:25" ht="24" customHeight="1" x14ac:dyDescent="0.2">
      <c r="A537" s="261" t="str">
        <f>A530</f>
        <v/>
      </c>
      <c r="B537" s="227"/>
      <c r="C537" s="262" t="str">
        <f>C530</f>
        <v/>
      </c>
      <c r="D537" s="227"/>
      <c r="E537" s="227"/>
      <c r="F537" s="228"/>
      <c r="G537" s="229"/>
      <c r="H537" s="229"/>
      <c r="I537" s="230" t="s">
        <v>561</v>
      </c>
      <c r="J537" s="231"/>
      <c r="K537" s="228"/>
      <c r="L537" s="229"/>
      <c r="M537" s="229"/>
      <c r="N537" s="230" t="s">
        <v>561</v>
      </c>
      <c r="O537" s="231"/>
      <c r="P537" s="228"/>
      <c r="Q537" s="229"/>
      <c r="R537" s="229"/>
      <c r="S537" s="230" t="s">
        <v>561</v>
      </c>
      <c r="T537" s="231"/>
      <c r="U537" s="228"/>
      <c r="V537" s="229"/>
      <c r="W537" s="229"/>
      <c r="X537" s="230" t="s">
        <v>561</v>
      </c>
      <c r="Y537" s="231"/>
    </row>
    <row r="538" spans="1:25" ht="24" customHeight="1" x14ac:dyDescent="0.2">
      <c r="A538" s="261" t="str">
        <f>A531</f>
        <v/>
      </c>
      <c r="B538" s="227"/>
      <c r="C538" s="262" t="str">
        <f>C531</f>
        <v/>
      </c>
      <c r="D538" s="227"/>
      <c r="E538" s="227"/>
      <c r="F538" s="228"/>
      <c r="G538" s="229"/>
      <c r="H538" s="229"/>
      <c r="I538" s="230" t="s">
        <v>561</v>
      </c>
      <c r="J538" s="231"/>
      <c r="K538" s="228"/>
      <c r="L538" s="229"/>
      <c r="M538" s="229"/>
      <c r="N538" s="230" t="s">
        <v>561</v>
      </c>
      <c r="O538" s="231"/>
      <c r="P538" s="228"/>
      <c r="Q538" s="229"/>
      <c r="R538" s="229"/>
      <c r="S538" s="230" t="s">
        <v>561</v>
      </c>
      <c r="T538" s="231"/>
      <c r="U538" s="228"/>
      <c r="V538" s="229"/>
      <c r="W538" s="229"/>
      <c r="X538" s="230" t="s">
        <v>561</v>
      </c>
      <c r="Y538" s="231"/>
    </row>
    <row r="539" spans="1:25" ht="24" customHeight="1" x14ac:dyDescent="0.2">
      <c r="A539" s="261" t="str">
        <f>A532</f>
        <v/>
      </c>
      <c r="B539" s="227"/>
      <c r="C539" s="262" t="str">
        <f>C532</f>
        <v/>
      </c>
      <c r="D539" s="227"/>
      <c r="E539" s="227"/>
      <c r="F539" s="228"/>
      <c r="G539" s="229"/>
      <c r="H539" s="229"/>
      <c r="I539" s="230" t="s">
        <v>561</v>
      </c>
      <c r="J539" s="231"/>
      <c r="K539" s="228"/>
      <c r="L539" s="229"/>
      <c r="M539" s="229"/>
      <c r="N539" s="230" t="s">
        <v>561</v>
      </c>
      <c r="O539" s="231"/>
      <c r="P539" s="228"/>
      <c r="Q539" s="229"/>
      <c r="R539" s="229"/>
      <c r="S539" s="230" t="s">
        <v>561</v>
      </c>
      <c r="T539" s="231"/>
      <c r="U539" s="228"/>
      <c r="V539" s="229"/>
      <c r="W539" s="229"/>
      <c r="X539" s="230" t="s">
        <v>561</v>
      </c>
      <c r="Y539" s="231"/>
    </row>
    <row r="540" spans="1:25" ht="24" customHeight="1" x14ac:dyDescent="0.2">
      <c r="A540" s="261" t="str">
        <f>A533</f>
        <v/>
      </c>
      <c r="B540" s="227"/>
      <c r="C540" s="262" t="str">
        <f>C533</f>
        <v/>
      </c>
      <c r="D540" s="227"/>
      <c r="E540" s="227"/>
      <c r="F540" s="228"/>
      <c r="G540" s="229"/>
      <c r="H540" s="229"/>
      <c r="I540" s="230" t="s">
        <v>561</v>
      </c>
      <c r="J540" s="232"/>
      <c r="K540" s="228"/>
      <c r="L540" s="229"/>
      <c r="M540" s="229"/>
      <c r="N540" s="230" t="s">
        <v>561</v>
      </c>
      <c r="O540" s="232"/>
      <c r="P540" s="228"/>
      <c r="Q540" s="229"/>
      <c r="R540" s="229"/>
      <c r="S540" s="230" t="s">
        <v>561</v>
      </c>
      <c r="T540" s="232"/>
      <c r="U540" s="228"/>
      <c r="V540" s="229"/>
      <c r="W540" s="229"/>
      <c r="X540" s="230" t="s">
        <v>561</v>
      </c>
      <c r="Y540" s="232"/>
    </row>
    <row r="541" spans="1:25" ht="24" customHeight="1" thickBot="1" x14ac:dyDescent="0.25">
      <c r="F541" s="1079" t="s">
        <v>562</v>
      </c>
      <c r="G541" s="1080"/>
      <c r="H541" s="1080"/>
      <c r="I541" s="230" t="s">
        <v>561</v>
      </c>
      <c r="J541" s="231"/>
      <c r="K541" s="1079" t="s">
        <v>563</v>
      </c>
      <c r="L541" s="1080"/>
      <c r="M541" s="1080"/>
      <c r="N541" s="230" t="s">
        <v>561</v>
      </c>
      <c r="O541" s="232"/>
      <c r="P541" s="1079" t="s">
        <v>564</v>
      </c>
      <c r="Q541" s="1080"/>
      <c r="R541" s="1080"/>
      <c r="S541" s="230" t="s">
        <v>561</v>
      </c>
      <c r="T541" s="232"/>
      <c r="U541" s="1079" t="s">
        <v>565</v>
      </c>
      <c r="V541" s="1080"/>
      <c r="W541" s="1080"/>
      <c r="X541" s="230" t="s">
        <v>561</v>
      </c>
      <c r="Y541" s="232"/>
    </row>
    <row r="542" spans="1:25" ht="24" customHeight="1" thickBot="1" x14ac:dyDescent="0.25">
      <c r="F542" s="233"/>
      <c r="G542" s="234"/>
      <c r="H542" s="235" t="s">
        <v>566</v>
      </c>
      <c r="I542" s="235"/>
      <c r="J542" s="236"/>
      <c r="K542" s="1092" t="s">
        <v>567</v>
      </c>
      <c r="L542" s="1085"/>
      <c r="M542" s="1085"/>
      <c r="N542" s="237" t="s">
        <v>561</v>
      </c>
      <c r="O542" s="238"/>
      <c r="P542" s="1092" t="s">
        <v>568</v>
      </c>
      <c r="Q542" s="1085"/>
      <c r="R542" s="1085"/>
      <c r="S542" s="237" t="s">
        <v>561</v>
      </c>
      <c r="T542" s="238"/>
      <c r="U542" s="1092" t="s">
        <v>569</v>
      </c>
      <c r="V542" s="1085"/>
      <c r="W542" s="1085"/>
      <c r="X542" s="237" t="s">
        <v>561</v>
      </c>
      <c r="Y542" s="239"/>
    </row>
    <row r="543" spans="1:25" ht="12.75" customHeight="1" x14ac:dyDescent="0.2">
      <c r="Y543" s="240" t="s">
        <v>570</v>
      </c>
    </row>
    <row r="544" spans="1:25" ht="15.75" customHeight="1" x14ac:dyDescent="0.2">
      <c r="B544" s="1091" t="s">
        <v>521</v>
      </c>
      <c r="C544" s="1091"/>
      <c r="D544" s="1091"/>
      <c r="E544" s="1091"/>
      <c r="F544" s="1091"/>
      <c r="G544" s="1091"/>
      <c r="H544" s="1091"/>
      <c r="I544" s="1091"/>
      <c r="J544" s="1091"/>
      <c r="K544" s="1091"/>
      <c r="L544" s="1091"/>
      <c r="O544" s="1091" t="s">
        <v>522</v>
      </c>
      <c r="P544" s="1091"/>
      <c r="Q544" s="1091"/>
      <c r="R544" s="1091"/>
      <c r="S544" s="1091"/>
      <c r="T544" s="1091"/>
      <c r="U544" s="1091"/>
      <c r="V544" s="1091"/>
      <c r="W544" s="1091"/>
      <c r="X544" s="1091"/>
      <c r="Y544" s="1091"/>
    </row>
    <row r="545" spans="1:25" ht="13.5" customHeight="1" x14ac:dyDescent="0.2">
      <c r="B545" s="1086" t="s">
        <v>1</v>
      </c>
      <c r="C545" s="1087"/>
      <c r="D545" s="1087"/>
      <c r="E545" s="1087"/>
      <c r="F545" s="1087"/>
      <c r="G545" s="1087"/>
      <c r="H545" s="1088"/>
      <c r="I545" s="1086" t="s">
        <v>520</v>
      </c>
      <c r="J545" s="1087"/>
      <c r="K545" s="1087"/>
      <c r="L545" s="1088"/>
      <c r="N545" s="241"/>
      <c r="O545" s="1086" t="s">
        <v>1</v>
      </c>
      <c r="P545" s="1087"/>
      <c r="Q545" s="1087"/>
      <c r="R545" s="1087"/>
      <c r="S545" s="1087"/>
      <c r="T545" s="1087"/>
      <c r="U545" s="1088"/>
      <c r="V545" s="1086" t="s">
        <v>520</v>
      </c>
      <c r="W545" s="1087"/>
      <c r="X545" s="1087"/>
      <c r="Y545" s="1088"/>
    </row>
    <row r="546" spans="1:25" ht="21.75" customHeight="1" x14ac:dyDescent="0.2">
      <c r="B546" s="242"/>
      <c r="C546" s="243"/>
      <c r="D546" s="243"/>
      <c r="E546" s="243"/>
      <c r="F546" s="243"/>
      <c r="G546" s="243"/>
      <c r="H546" s="243"/>
      <c r="I546" s="242"/>
      <c r="J546" s="243"/>
      <c r="K546" s="243"/>
      <c r="L546" s="244"/>
      <c r="N546" s="241"/>
      <c r="O546" s="242"/>
      <c r="P546" s="243"/>
      <c r="Q546" s="243"/>
      <c r="R546" s="243"/>
      <c r="S546" s="243"/>
      <c r="T546" s="243"/>
      <c r="U546" s="243"/>
      <c r="V546" s="242"/>
      <c r="W546" s="243"/>
      <c r="X546" s="243"/>
      <c r="Y546" s="244"/>
    </row>
    <row r="547" spans="1:25" ht="13.5" customHeight="1" x14ac:dyDescent="0.2"/>
    <row r="548" spans="1:25" ht="14.25" customHeight="1" thickBot="1" x14ac:dyDescent="0.25">
      <c r="A548" s="241"/>
      <c r="G548" s="305"/>
      <c r="H548" s="305"/>
      <c r="I548" s="1069" t="s">
        <v>0</v>
      </c>
      <c r="J548" s="1069"/>
      <c r="K548" s="1069"/>
      <c r="L548" s="1069"/>
      <c r="M548" s="1069"/>
      <c r="N548" s="1069"/>
      <c r="O548" s="1069"/>
      <c r="P548" s="1069" t="s">
        <v>374</v>
      </c>
      <c r="Q548" s="1069"/>
      <c r="R548" s="1069"/>
      <c r="S548" s="1069"/>
      <c r="T548" s="1069"/>
      <c r="U548" s="1069" t="s">
        <v>571</v>
      </c>
      <c r="V548" s="1069"/>
      <c r="W548" s="1069"/>
      <c r="X548" s="305"/>
      <c r="Y548" s="305"/>
    </row>
    <row r="549" spans="1:25" ht="20.25" customHeight="1" x14ac:dyDescent="0.2">
      <c r="A549" s="241"/>
      <c r="F549" s="1074" t="s">
        <v>584</v>
      </c>
      <c r="G549" s="1074"/>
      <c r="H549" s="1074"/>
      <c r="I549" s="316"/>
      <c r="J549" s="306"/>
      <c r="K549" s="306"/>
      <c r="L549" s="306"/>
      <c r="M549" s="306"/>
      <c r="N549" s="306"/>
      <c r="O549" s="306"/>
      <c r="P549" s="312"/>
      <c r="Q549" s="306"/>
      <c r="R549" s="307"/>
      <c r="S549" s="304"/>
      <c r="T549" s="313"/>
      <c r="U549" s="310"/>
      <c r="V549" s="1084" t="s">
        <v>495</v>
      </c>
      <c r="W549" s="308"/>
    </row>
    <row r="550" spans="1:25" ht="13.5" thickBot="1" x14ac:dyDescent="0.25">
      <c r="F550" s="1074"/>
      <c r="G550" s="1074"/>
      <c r="H550" s="1074"/>
      <c r="I550" s="303"/>
      <c r="J550" s="235"/>
      <c r="K550" s="235"/>
      <c r="L550" s="235"/>
      <c r="M550" s="235"/>
      <c r="N550" s="235"/>
      <c r="O550" s="235"/>
      <c r="P550" s="314"/>
      <c r="Q550" s="235"/>
      <c r="R550" s="234"/>
      <c r="S550" s="234"/>
      <c r="T550" s="315"/>
      <c r="U550" s="311"/>
      <c r="V550" s="1085"/>
      <c r="W550" s="309"/>
    </row>
    <row r="552" spans="1:25" ht="6.75" customHeight="1" x14ac:dyDescent="0.2"/>
    <row r="553" spans="1:25" s="218" customFormat="1" ht="23.25" customHeight="1" x14ac:dyDescent="0.2">
      <c r="A553" s="1072" t="s">
        <v>546</v>
      </c>
      <c r="B553" s="1073"/>
      <c r="C553" s="402"/>
      <c r="D553" s="1098" t="s">
        <v>628</v>
      </c>
      <c r="E553" s="1072"/>
      <c r="F553" s="1072"/>
      <c r="G553" s="1103"/>
      <c r="H553" s="1104"/>
      <c r="K553" s="218" t="str">
        <f>RIGHT(CATEG_IMPORTEE, LEN(CATEG_IMPORTEE) - 2)</f>
        <v>llèges Mixtes Etablissement</v>
      </c>
      <c r="T553" s="397" t="s">
        <v>627</v>
      </c>
      <c r="U553" s="401">
        <v>20</v>
      </c>
      <c r="V553" s="396" t="s">
        <v>547</v>
      </c>
      <c r="W553" s="401"/>
      <c r="X553" s="395"/>
    </row>
    <row r="554" spans="1:25" ht="27" customHeight="1" thickBot="1" x14ac:dyDescent="0.25">
      <c r="B554" s="1069" t="s">
        <v>0</v>
      </c>
      <c r="C554" s="1069"/>
      <c r="D554" s="1069"/>
      <c r="E554" s="1069"/>
      <c r="F554" s="1069"/>
      <c r="G554" s="1069"/>
      <c r="H554" s="1069"/>
      <c r="I554" s="1069" t="s">
        <v>374</v>
      </c>
      <c r="J554" s="1069"/>
      <c r="K554" s="1069"/>
      <c r="L554" s="1069"/>
      <c r="O554" s="1069" t="s">
        <v>0</v>
      </c>
      <c r="P554" s="1069"/>
      <c r="Q554" s="1069"/>
      <c r="R554" s="1069"/>
      <c r="S554" s="1069"/>
      <c r="T554" s="1069"/>
      <c r="U554" s="1069"/>
      <c r="V554" s="1069" t="s">
        <v>374</v>
      </c>
      <c r="W554" s="1069"/>
      <c r="X554" s="1069"/>
      <c r="Y554" s="1069"/>
    </row>
    <row r="555" spans="1:25" ht="24" customHeight="1" thickBot="1" x14ac:dyDescent="0.25">
      <c r="A555" s="219"/>
      <c r="B555" s="398" t="str">
        <f>VLOOKUP(U553,TBL_equipe,2,FALSE)</f>
        <v/>
      </c>
      <c r="C555" s="399"/>
      <c r="D555" s="399"/>
      <c r="E555" s="399"/>
      <c r="F555" s="399"/>
      <c r="G555" s="399"/>
      <c r="H555" s="400"/>
      <c r="I555" s="257" t="str">
        <f>VLOOKUP(U553,TBL_equipe,4,FALSE)</f>
        <v/>
      </c>
      <c r="J555" s="220"/>
      <c r="K555" s="220"/>
      <c r="L555" s="221"/>
      <c r="M555" s="1070" t="s">
        <v>547</v>
      </c>
      <c r="N555" s="1071"/>
      <c r="O555" s="398" t="e">
        <f>VLOOKUP(W553,TBL_equipe,2,FALSE)</f>
        <v>#N/A</v>
      </c>
      <c r="P555" s="220"/>
      <c r="Q555" s="220"/>
      <c r="R555" s="220"/>
      <c r="S555" s="220"/>
      <c r="T555" s="220"/>
      <c r="U555" s="221"/>
      <c r="V555" s="257" t="e">
        <f>VLOOKUP(W553,TBL_equipe,4,FALSE)</f>
        <v>#N/A</v>
      </c>
      <c r="W555" s="220"/>
      <c r="X555" s="220"/>
      <c r="Y555" s="221"/>
    </row>
    <row r="556" spans="1:25" ht="15" customHeight="1" x14ac:dyDescent="0.2"/>
    <row r="557" spans="1:25" ht="20.100000000000001" customHeight="1" x14ac:dyDescent="0.2">
      <c r="A557" s="1074" t="s">
        <v>548</v>
      </c>
      <c r="B557" s="1074"/>
      <c r="C557" s="1074"/>
      <c r="D557" s="1074"/>
      <c r="E557" s="1074"/>
    </row>
    <row r="558" spans="1:25" ht="20.100000000000001" customHeight="1" x14ac:dyDescent="0.2">
      <c r="A558" s="1075" t="s">
        <v>549</v>
      </c>
      <c r="B558" s="1075"/>
      <c r="C558" s="1075"/>
      <c r="D558" s="1075"/>
      <c r="E558" s="1075"/>
      <c r="G558" s="1076" t="s">
        <v>480</v>
      </c>
      <c r="H558" s="1076"/>
      <c r="I558" s="1077" t="s">
        <v>550</v>
      </c>
      <c r="J558" s="1077"/>
      <c r="K558" s="1077"/>
      <c r="L558" s="252" t="s">
        <v>551</v>
      </c>
      <c r="M558" s="1078" t="s">
        <v>552</v>
      </c>
      <c r="N558" s="1078"/>
      <c r="O558" s="251"/>
    </row>
    <row r="559" spans="1:25" ht="24" customHeight="1" x14ac:dyDescent="0.2">
      <c r="A559" s="258" t="str">
        <f>VLOOKUP(U553,TBL_equipe,5,FALSE)</f>
        <v/>
      </c>
      <c r="B559" s="223"/>
      <c r="C559" s="259" t="str">
        <f>VLOOKUP(U553,TBL_equipe,6,FALSE)</f>
        <v/>
      </c>
      <c r="D559" s="223"/>
      <c r="E559" s="224"/>
      <c r="F559" s="219"/>
      <c r="G559" s="403" t="str">
        <f>VLOOKUP(U553,TBL_equipe,9,FALSE)</f>
        <v/>
      </c>
      <c r="H559" s="224"/>
      <c r="I559" s="222"/>
      <c r="J559" s="246" t="str">
        <f>VLOOKUP(U553,TBL_equipe,8,FALSE)</f>
        <v/>
      </c>
      <c r="K559" s="224"/>
      <c r="L559" s="260" t="str">
        <f>VLOOKUP(U553,TBL_equipe,10,FALSE)</f>
        <v/>
      </c>
      <c r="M559" s="287">
        <f>G553</f>
        <v>0</v>
      </c>
      <c r="N559" s="288"/>
      <c r="O559" s="249"/>
      <c r="R559" s="254"/>
      <c r="S559" s="254"/>
      <c r="T559" s="254" t="s">
        <v>51</v>
      </c>
      <c r="U559" s="254"/>
      <c r="V559" s="254"/>
      <c r="W559" s="254"/>
      <c r="X559" s="254"/>
      <c r="Y559" s="254"/>
    </row>
    <row r="560" spans="1:25" ht="24" customHeight="1" x14ac:dyDescent="0.2">
      <c r="A560" s="258" t="str">
        <f>VLOOKUP(U553,TBL_equipe,11,FALSE)</f>
        <v/>
      </c>
      <c r="B560" s="223"/>
      <c r="C560" s="259" t="str">
        <f>VLOOKUP(U553,TBL_equipe,12,FALSE)</f>
        <v/>
      </c>
      <c r="D560" s="223"/>
      <c r="E560" s="224"/>
      <c r="F560" s="219"/>
      <c r="G560" s="403" t="str">
        <f>VLOOKUP(U553,TBL_equipe,15,FALSE)</f>
        <v/>
      </c>
      <c r="H560" s="224"/>
      <c r="I560" s="222"/>
      <c r="J560" s="246" t="str">
        <f>VLOOKUP(U553,TBL_equipe,14,FALSE)</f>
        <v/>
      </c>
      <c r="K560" s="224"/>
      <c r="L560" s="260" t="str">
        <f>VLOOKUP(U553,TBL_equipe,16,FALSE)</f>
        <v/>
      </c>
      <c r="M560" s="287">
        <f>G553</f>
        <v>0</v>
      </c>
      <c r="N560" s="288"/>
      <c r="O560" s="249"/>
      <c r="Q560" s="254"/>
      <c r="R560" s="254"/>
      <c r="S560" s="254"/>
      <c r="T560" s="254"/>
      <c r="U560" s="254"/>
      <c r="V560" s="254"/>
      <c r="W560" s="254"/>
      <c r="X560" s="254"/>
      <c r="Y560" s="254"/>
    </row>
    <row r="561" spans="1:25" ht="24" customHeight="1" x14ac:dyDescent="0.2">
      <c r="A561" s="258" t="str">
        <f>VLOOKUP(U553,TBL_equipe,17,FALSE)</f>
        <v/>
      </c>
      <c r="B561" s="223"/>
      <c r="C561" s="259" t="str">
        <f>VLOOKUP(U553,TBL_equipe,18,FALSE)</f>
        <v/>
      </c>
      <c r="D561" s="223"/>
      <c r="E561" s="224"/>
      <c r="F561" s="219"/>
      <c r="G561" s="403" t="str">
        <f>VLOOKUP(U553,TBL_equipe,21,FALSE)</f>
        <v/>
      </c>
      <c r="H561" s="224"/>
      <c r="I561" s="222"/>
      <c r="J561" s="246" t="str">
        <f>VLOOKUP(U553,TBL_equipe,20,FALSE)</f>
        <v/>
      </c>
      <c r="K561" s="224"/>
      <c r="L561" s="260" t="str">
        <f>VLOOKUP(U553,TBL_equipe,22,FALSE)</f>
        <v/>
      </c>
      <c r="M561" s="287">
        <f>G553</f>
        <v>0</v>
      </c>
      <c r="N561" s="288"/>
      <c r="O561" s="249"/>
      <c r="Q561" s="254"/>
      <c r="R561" s="254"/>
      <c r="S561" s="254"/>
      <c r="T561" s="254"/>
      <c r="U561" s="254"/>
      <c r="V561" s="254"/>
      <c r="W561" s="254"/>
      <c r="X561" s="254"/>
      <c r="Y561" s="254"/>
    </row>
    <row r="562" spans="1:25" ht="24" customHeight="1" x14ac:dyDescent="0.2">
      <c r="A562" s="258" t="str">
        <f>VLOOKUP(U553,TBL_equipe,23,FALSE)</f>
        <v/>
      </c>
      <c r="B562" s="223"/>
      <c r="C562" s="259" t="str">
        <f>VLOOKUP(U553,TBL_equipe,24,FALSE)</f>
        <v/>
      </c>
      <c r="D562" s="223"/>
      <c r="E562" s="224"/>
      <c r="F562" s="219"/>
      <c r="G562" s="403" t="str">
        <f>VLOOKUP(U553,TBL_equipe,27,FALSE)</f>
        <v/>
      </c>
      <c r="H562" s="224"/>
      <c r="I562" s="222"/>
      <c r="J562" s="246" t="str">
        <f>VLOOKUP(U553,TBL_equipe,26,FALSE)</f>
        <v/>
      </c>
      <c r="K562" s="224"/>
      <c r="L562" s="260" t="str">
        <f>VLOOKUP(U553,TBL_equipe,28,FALSE)</f>
        <v/>
      </c>
      <c r="M562" s="289">
        <f>G553</f>
        <v>0</v>
      </c>
      <c r="N562" s="290"/>
      <c r="O562" s="249"/>
    </row>
    <row r="563" spans="1:25" ht="15" customHeight="1" thickBot="1" x14ac:dyDescent="0.25"/>
    <row r="564" spans="1:25" ht="20.100000000000001" customHeight="1" x14ac:dyDescent="0.2">
      <c r="F564" s="1081" t="s">
        <v>555</v>
      </c>
      <c r="G564" s="1082"/>
      <c r="H564" s="1082"/>
      <c r="I564" s="1082"/>
      <c r="J564" s="1083"/>
      <c r="K564" s="1081" t="s">
        <v>556</v>
      </c>
      <c r="L564" s="1082"/>
      <c r="M564" s="1082"/>
      <c r="N564" s="1082"/>
      <c r="O564" s="1083"/>
      <c r="P564" s="1081" t="s">
        <v>557</v>
      </c>
      <c r="Q564" s="1082"/>
      <c r="R564" s="1082"/>
      <c r="S564" s="1082"/>
      <c r="T564" s="1083"/>
      <c r="U564" s="1081" t="s">
        <v>558</v>
      </c>
      <c r="V564" s="1082"/>
      <c r="W564" s="1082"/>
      <c r="X564" s="1082"/>
      <c r="Y564" s="1083"/>
    </row>
    <row r="565" spans="1:25" ht="20.100000000000001" customHeight="1" x14ac:dyDescent="0.2">
      <c r="A565" s="1075" t="s">
        <v>559</v>
      </c>
      <c r="B565" s="1075"/>
      <c r="C565" s="1075"/>
      <c r="D565" s="1075"/>
      <c r="E565" s="1089"/>
      <c r="F565" s="1090" t="s">
        <v>560</v>
      </c>
      <c r="G565" s="1075"/>
      <c r="H565" s="1075"/>
      <c r="J565" s="225" t="s">
        <v>7</v>
      </c>
      <c r="K565" s="1090" t="s">
        <v>560</v>
      </c>
      <c r="L565" s="1075"/>
      <c r="M565" s="1075"/>
      <c r="O565" s="225" t="s">
        <v>7</v>
      </c>
      <c r="P565" s="1090" t="s">
        <v>560</v>
      </c>
      <c r="Q565" s="1075"/>
      <c r="R565" s="1075"/>
      <c r="T565" s="225" t="s">
        <v>7</v>
      </c>
      <c r="U565" s="1090" t="s">
        <v>560</v>
      </c>
      <c r="V565" s="1075"/>
      <c r="W565" s="1075"/>
      <c r="Y565" s="225" t="s">
        <v>7</v>
      </c>
    </row>
    <row r="566" spans="1:25" ht="24" customHeight="1" x14ac:dyDescent="0.2">
      <c r="A566" s="261" t="str">
        <f>A559</f>
        <v/>
      </c>
      <c r="B566" s="227"/>
      <c r="C566" s="262" t="str">
        <f>C559</f>
        <v/>
      </c>
      <c r="D566" s="227"/>
      <c r="E566" s="227"/>
      <c r="F566" s="228"/>
      <c r="G566" s="229"/>
      <c r="H566" s="229"/>
      <c r="I566" s="230" t="s">
        <v>561</v>
      </c>
      <c r="J566" s="231"/>
      <c r="K566" s="228"/>
      <c r="L566" s="229"/>
      <c r="M566" s="229"/>
      <c r="N566" s="230" t="s">
        <v>561</v>
      </c>
      <c r="O566" s="231"/>
      <c r="P566" s="228"/>
      <c r="Q566" s="229"/>
      <c r="R566" s="229"/>
      <c r="S566" s="230" t="s">
        <v>561</v>
      </c>
      <c r="T566" s="231"/>
      <c r="U566" s="228"/>
      <c r="V566" s="229"/>
      <c r="W566" s="229"/>
      <c r="X566" s="230" t="s">
        <v>561</v>
      </c>
      <c r="Y566" s="231"/>
    </row>
    <row r="567" spans="1:25" ht="24" customHeight="1" x14ac:dyDescent="0.2">
      <c r="A567" s="261" t="str">
        <f>A560</f>
        <v/>
      </c>
      <c r="B567" s="227"/>
      <c r="C567" s="262" t="str">
        <f>C560</f>
        <v/>
      </c>
      <c r="D567" s="227"/>
      <c r="E567" s="227"/>
      <c r="F567" s="228"/>
      <c r="G567" s="229"/>
      <c r="H567" s="229"/>
      <c r="I567" s="230" t="s">
        <v>561</v>
      </c>
      <c r="J567" s="231"/>
      <c r="K567" s="228"/>
      <c r="L567" s="229"/>
      <c r="M567" s="229"/>
      <c r="N567" s="230" t="s">
        <v>561</v>
      </c>
      <c r="O567" s="231"/>
      <c r="P567" s="228"/>
      <c r="Q567" s="229"/>
      <c r="R567" s="229"/>
      <c r="S567" s="230" t="s">
        <v>561</v>
      </c>
      <c r="T567" s="231"/>
      <c r="U567" s="228"/>
      <c r="V567" s="229"/>
      <c r="W567" s="229"/>
      <c r="X567" s="230" t="s">
        <v>561</v>
      </c>
      <c r="Y567" s="231"/>
    </row>
    <row r="568" spans="1:25" ht="24" customHeight="1" x14ac:dyDescent="0.2">
      <c r="A568" s="261" t="str">
        <f>A561</f>
        <v/>
      </c>
      <c r="B568" s="227"/>
      <c r="C568" s="262" t="str">
        <f>C561</f>
        <v/>
      </c>
      <c r="D568" s="227"/>
      <c r="E568" s="227"/>
      <c r="F568" s="228"/>
      <c r="G568" s="229"/>
      <c r="H568" s="229"/>
      <c r="I568" s="230" t="s">
        <v>561</v>
      </c>
      <c r="J568" s="231"/>
      <c r="K568" s="228"/>
      <c r="L568" s="229"/>
      <c r="M568" s="229"/>
      <c r="N568" s="230" t="s">
        <v>561</v>
      </c>
      <c r="O568" s="231"/>
      <c r="P568" s="228"/>
      <c r="Q568" s="229"/>
      <c r="R568" s="229"/>
      <c r="S568" s="230" t="s">
        <v>561</v>
      </c>
      <c r="T568" s="231"/>
      <c r="U568" s="228"/>
      <c r="V568" s="229"/>
      <c r="W568" s="229"/>
      <c r="X568" s="230" t="s">
        <v>561</v>
      </c>
      <c r="Y568" s="231"/>
    </row>
    <row r="569" spans="1:25" ht="24" customHeight="1" x14ac:dyDescent="0.2">
      <c r="A569" s="261" t="str">
        <f>A562</f>
        <v/>
      </c>
      <c r="B569" s="227"/>
      <c r="C569" s="262" t="str">
        <f>C562</f>
        <v/>
      </c>
      <c r="D569" s="227"/>
      <c r="E569" s="227"/>
      <c r="F569" s="228"/>
      <c r="G569" s="229"/>
      <c r="H569" s="229"/>
      <c r="I569" s="230" t="s">
        <v>561</v>
      </c>
      <c r="J569" s="232"/>
      <c r="K569" s="228"/>
      <c r="L569" s="229"/>
      <c r="M569" s="229"/>
      <c r="N569" s="230" t="s">
        <v>561</v>
      </c>
      <c r="O569" s="232"/>
      <c r="P569" s="228"/>
      <c r="Q569" s="229"/>
      <c r="R569" s="229"/>
      <c r="S569" s="230" t="s">
        <v>561</v>
      </c>
      <c r="T569" s="232"/>
      <c r="U569" s="228"/>
      <c r="V569" s="229"/>
      <c r="W569" s="229"/>
      <c r="X569" s="230" t="s">
        <v>561</v>
      </c>
      <c r="Y569" s="232"/>
    </row>
    <row r="570" spans="1:25" ht="24" customHeight="1" thickBot="1" x14ac:dyDescent="0.25">
      <c r="F570" s="1079" t="s">
        <v>562</v>
      </c>
      <c r="G570" s="1080"/>
      <c r="H570" s="1080"/>
      <c r="I570" s="230" t="s">
        <v>561</v>
      </c>
      <c r="J570" s="231"/>
      <c r="K570" s="1079" t="s">
        <v>563</v>
      </c>
      <c r="L570" s="1080"/>
      <c r="M570" s="1080"/>
      <c r="N570" s="230" t="s">
        <v>561</v>
      </c>
      <c r="O570" s="232"/>
      <c r="P570" s="1079" t="s">
        <v>564</v>
      </c>
      <c r="Q570" s="1080"/>
      <c r="R570" s="1080"/>
      <c r="S570" s="230" t="s">
        <v>561</v>
      </c>
      <c r="T570" s="232"/>
      <c r="U570" s="1079" t="s">
        <v>565</v>
      </c>
      <c r="V570" s="1080"/>
      <c r="W570" s="1080"/>
      <c r="X570" s="230" t="s">
        <v>561</v>
      </c>
      <c r="Y570" s="232"/>
    </row>
    <row r="571" spans="1:25" ht="24" customHeight="1" thickBot="1" x14ac:dyDescent="0.25">
      <c r="F571" s="233"/>
      <c r="G571" s="234"/>
      <c r="H571" s="235" t="s">
        <v>566</v>
      </c>
      <c r="I571" s="235"/>
      <c r="J571" s="236"/>
      <c r="K571" s="1092" t="s">
        <v>567</v>
      </c>
      <c r="L571" s="1085"/>
      <c r="M571" s="1085"/>
      <c r="N571" s="237" t="s">
        <v>561</v>
      </c>
      <c r="O571" s="238"/>
      <c r="P571" s="1092" t="s">
        <v>568</v>
      </c>
      <c r="Q571" s="1085"/>
      <c r="R571" s="1085"/>
      <c r="S571" s="237" t="s">
        <v>561</v>
      </c>
      <c r="T571" s="238"/>
      <c r="U571" s="1092" t="s">
        <v>569</v>
      </c>
      <c r="V571" s="1085"/>
      <c r="W571" s="1085"/>
      <c r="X571" s="237" t="s">
        <v>561</v>
      </c>
      <c r="Y571" s="239"/>
    </row>
    <row r="572" spans="1:25" ht="12.75" customHeight="1" x14ac:dyDescent="0.2">
      <c r="Y572" s="240" t="s">
        <v>570</v>
      </c>
    </row>
    <row r="573" spans="1:25" ht="15.75" customHeight="1" x14ac:dyDescent="0.2">
      <c r="B573" s="1091" t="s">
        <v>521</v>
      </c>
      <c r="C573" s="1091"/>
      <c r="D573" s="1091"/>
      <c r="E573" s="1091"/>
      <c r="F573" s="1091"/>
      <c r="G573" s="1091"/>
      <c r="H573" s="1091"/>
      <c r="I573" s="1091"/>
      <c r="J573" s="1091"/>
      <c r="K573" s="1091"/>
      <c r="L573" s="1091"/>
      <c r="O573" s="1091" t="s">
        <v>522</v>
      </c>
      <c r="P573" s="1091"/>
      <c r="Q573" s="1091"/>
      <c r="R573" s="1091"/>
      <c r="S573" s="1091"/>
      <c r="T573" s="1091"/>
      <c r="U573" s="1091"/>
      <c r="V573" s="1091"/>
      <c r="W573" s="1091"/>
      <c r="X573" s="1091"/>
      <c r="Y573" s="1091"/>
    </row>
    <row r="574" spans="1:25" ht="13.5" customHeight="1" x14ac:dyDescent="0.2">
      <c r="B574" s="1086" t="s">
        <v>1</v>
      </c>
      <c r="C574" s="1087"/>
      <c r="D574" s="1087"/>
      <c r="E574" s="1087"/>
      <c r="F574" s="1087"/>
      <c r="G574" s="1087"/>
      <c r="H574" s="1088"/>
      <c r="I574" s="1086" t="s">
        <v>520</v>
      </c>
      <c r="J574" s="1087"/>
      <c r="K574" s="1087"/>
      <c r="L574" s="1088"/>
      <c r="N574" s="241"/>
      <c r="O574" s="1086" t="s">
        <v>1</v>
      </c>
      <c r="P574" s="1087"/>
      <c r="Q574" s="1087"/>
      <c r="R574" s="1087"/>
      <c r="S574" s="1087"/>
      <c r="T574" s="1087"/>
      <c r="U574" s="1088"/>
      <c r="V574" s="1086" t="s">
        <v>520</v>
      </c>
      <c r="W574" s="1087"/>
      <c r="X574" s="1087"/>
      <c r="Y574" s="1088"/>
    </row>
    <row r="575" spans="1:25" ht="21.75" customHeight="1" x14ac:dyDescent="0.2">
      <c r="B575" s="242"/>
      <c r="C575" s="243"/>
      <c r="D575" s="243"/>
      <c r="E575" s="243"/>
      <c r="F575" s="243"/>
      <c r="G575" s="243"/>
      <c r="H575" s="243"/>
      <c r="I575" s="242"/>
      <c r="J575" s="243"/>
      <c r="K575" s="243"/>
      <c r="L575" s="244"/>
      <c r="N575" s="241"/>
      <c r="O575" s="242"/>
      <c r="P575" s="243"/>
      <c r="Q575" s="243"/>
      <c r="R575" s="243"/>
      <c r="S575" s="243"/>
      <c r="T575" s="243"/>
      <c r="U575" s="243"/>
      <c r="V575" s="242"/>
      <c r="W575" s="243"/>
      <c r="X575" s="243"/>
      <c r="Y575" s="244"/>
    </row>
    <row r="576" spans="1:25" ht="13.5" customHeight="1" x14ac:dyDescent="0.2"/>
    <row r="577" spans="1:25" ht="14.25" customHeight="1" thickBot="1" x14ac:dyDescent="0.25">
      <c r="A577" s="241"/>
      <c r="G577" s="305"/>
      <c r="H577" s="305"/>
      <c r="I577" s="1069" t="s">
        <v>0</v>
      </c>
      <c r="J577" s="1069"/>
      <c r="K577" s="1069"/>
      <c r="L577" s="1069"/>
      <c r="M577" s="1069"/>
      <c r="N577" s="1069"/>
      <c r="O577" s="1069"/>
      <c r="P577" s="1069" t="s">
        <v>374</v>
      </c>
      <c r="Q577" s="1069"/>
      <c r="R577" s="1069"/>
      <c r="S577" s="1069"/>
      <c r="T577" s="1069"/>
      <c r="U577" s="1069" t="s">
        <v>571</v>
      </c>
      <c r="V577" s="1069"/>
      <c r="W577" s="1069"/>
      <c r="X577" s="305"/>
      <c r="Y577" s="305"/>
    </row>
    <row r="578" spans="1:25" ht="20.25" customHeight="1" x14ac:dyDescent="0.2">
      <c r="A578" s="241"/>
      <c r="F578" s="1074" t="s">
        <v>584</v>
      </c>
      <c r="G578" s="1074"/>
      <c r="H578" s="1074"/>
      <c r="I578" s="316"/>
      <c r="J578" s="306"/>
      <c r="K578" s="306"/>
      <c r="L578" s="306"/>
      <c r="M578" s="306"/>
      <c r="N578" s="306"/>
      <c r="O578" s="306"/>
      <c r="P578" s="312"/>
      <c r="Q578" s="306"/>
      <c r="R578" s="307"/>
      <c r="S578" s="304"/>
      <c r="T578" s="313"/>
      <c r="U578" s="310"/>
      <c r="V578" s="1084" t="s">
        <v>495</v>
      </c>
      <c r="W578" s="308"/>
    </row>
    <row r="579" spans="1:25" ht="13.5" thickBot="1" x14ac:dyDescent="0.25">
      <c r="F579" s="1074"/>
      <c r="G579" s="1074"/>
      <c r="H579" s="1074"/>
      <c r="I579" s="303"/>
      <c r="J579" s="235"/>
      <c r="K579" s="235"/>
      <c r="L579" s="235"/>
      <c r="M579" s="235"/>
      <c r="N579" s="235"/>
      <c r="O579" s="235"/>
      <c r="P579" s="314"/>
      <c r="Q579" s="235"/>
      <c r="R579" s="234"/>
      <c r="S579" s="234"/>
      <c r="T579" s="315"/>
      <c r="U579" s="311"/>
      <c r="V579" s="1085"/>
      <c r="W579" s="309"/>
    </row>
    <row r="581" spans="1:25" ht="6.75" customHeight="1" x14ac:dyDescent="0.2"/>
    <row r="582" spans="1:25" s="218" customFormat="1" ht="23.25" customHeight="1" x14ac:dyDescent="0.2">
      <c r="A582" s="1072" t="s">
        <v>546</v>
      </c>
      <c r="B582" s="1073"/>
      <c r="C582" s="402"/>
      <c r="D582" s="1098" t="s">
        <v>628</v>
      </c>
      <c r="E582" s="1072"/>
      <c r="F582" s="1072"/>
      <c r="G582" s="1103"/>
      <c r="H582" s="1104"/>
      <c r="K582" s="218" t="str">
        <f>RIGHT(CATEG_IMPORTEE, LEN(CATEG_IMPORTEE) - 2)</f>
        <v>llèges Mixtes Etablissement</v>
      </c>
      <c r="T582" s="397" t="s">
        <v>627</v>
      </c>
      <c r="U582" s="401">
        <v>21</v>
      </c>
      <c r="V582" s="396" t="s">
        <v>547</v>
      </c>
      <c r="W582" s="401"/>
      <c r="X582" s="395"/>
    </row>
    <row r="583" spans="1:25" ht="27" customHeight="1" thickBot="1" x14ac:dyDescent="0.25">
      <c r="B583" s="1069" t="s">
        <v>0</v>
      </c>
      <c r="C583" s="1069"/>
      <c r="D583" s="1069"/>
      <c r="E583" s="1069"/>
      <c r="F583" s="1069"/>
      <c r="G583" s="1069"/>
      <c r="H583" s="1069"/>
      <c r="I583" s="1069" t="s">
        <v>374</v>
      </c>
      <c r="J583" s="1069"/>
      <c r="K583" s="1069"/>
      <c r="L583" s="1069"/>
      <c r="O583" s="1069" t="s">
        <v>0</v>
      </c>
      <c r="P583" s="1069"/>
      <c r="Q583" s="1069"/>
      <c r="R583" s="1069"/>
      <c r="S583" s="1069"/>
      <c r="T583" s="1069"/>
      <c r="U583" s="1069"/>
      <c r="V583" s="1069" t="s">
        <v>374</v>
      </c>
      <c r="W583" s="1069"/>
      <c r="X583" s="1069"/>
      <c r="Y583" s="1069"/>
    </row>
    <row r="584" spans="1:25" ht="24" customHeight="1" thickBot="1" x14ac:dyDescent="0.25">
      <c r="A584" s="219"/>
      <c r="B584" s="398" t="str">
        <f>VLOOKUP(U582,TBL_equipe,2,FALSE)</f>
        <v/>
      </c>
      <c r="C584" s="399"/>
      <c r="D584" s="399"/>
      <c r="E584" s="399"/>
      <c r="F584" s="399"/>
      <c r="G584" s="399"/>
      <c r="H584" s="400"/>
      <c r="I584" s="257" t="str">
        <f>VLOOKUP(U582,TBL_equipe,4,FALSE)</f>
        <v/>
      </c>
      <c r="J584" s="220"/>
      <c r="K584" s="220"/>
      <c r="L584" s="221"/>
      <c r="M584" s="1070" t="s">
        <v>547</v>
      </c>
      <c r="N584" s="1071"/>
      <c r="O584" s="398" t="e">
        <f>VLOOKUP(W582,TBL_equipe,2,FALSE)</f>
        <v>#N/A</v>
      </c>
      <c r="P584" s="220"/>
      <c r="Q584" s="220"/>
      <c r="R584" s="220"/>
      <c r="S584" s="220"/>
      <c r="T584" s="220"/>
      <c r="U584" s="221"/>
      <c r="V584" s="257" t="e">
        <f>VLOOKUP(W582,TBL_equipe,4,FALSE)</f>
        <v>#N/A</v>
      </c>
      <c r="W584" s="220"/>
      <c r="X584" s="220"/>
      <c r="Y584" s="221"/>
    </row>
    <row r="585" spans="1:25" ht="15" customHeight="1" x14ac:dyDescent="0.2"/>
    <row r="586" spans="1:25" ht="20.100000000000001" customHeight="1" x14ac:dyDescent="0.2">
      <c r="A586" s="1074" t="s">
        <v>548</v>
      </c>
      <c r="B586" s="1074"/>
      <c r="C586" s="1074"/>
      <c r="D586" s="1074"/>
      <c r="E586" s="1074"/>
    </row>
    <row r="587" spans="1:25" ht="20.100000000000001" customHeight="1" x14ac:dyDescent="0.2">
      <c r="A587" s="1075" t="s">
        <v>549</v>
      </c>
      <c r="B587" s="1075"/>
      <c r="C587" s="1075"/>
      <c r="D587" s="1075"/>
      <c r="E587" s="1075"/>
      <c r="G587" s="1076" t="s">
        <v>480</v>
      </c>
      <c r="H587" s="1076"/>
      <c r="I587" s="1077" t="s">
        <v>550</v>
      </c>
      <c r="J587" s="1077"/>
      <c r="K587" s="1077"/>
      <c r="L587" s="252" t="s">
        <v>551</v>
      </c>
      <c r="M587" s="1078" t="s">
        <v>552</v>
      </c>
      <c r="N587" s="1078"/>
      <c r="O587" s="251"/>
    </row>
    <row r="588" spans="1:25" ht="24" customHeight="1" x14ac:dyDescent="0.2">
      <c r="A588" s="258" t="str">
        <f>VLOOKUP(U582,TBL_equipe,5,FALSE)</f>
        <v/>
      </c>
      <c r="B588" s="223"/>
      <c r="C588" s="259" t="str">
        <f>VLOOKUP(U582,TBL_equipe,6,FALSE)</f>
        <v/>
      </c>
      <c r="D588" s="223"/>
      <c r="E588" s="224"/>
      <c r="F588" s="219"/>
      <c r="G588" s="403" t="str">
        <f>VLOOKUP(U582,TBL_equipe,9,FALSE)</f>
        <v/>
      </c>
      <c r="H588" s="224"/>
      <c r="I588" s="222"/>
      <c r="J588" s="246" t="str">
        <f>VLOOKUP(U582,TBL_equipe,8,FALSE)</f>
        <v/>
      </c>
      <c r="K588" s="224"/>
      <c r="L588" s="260" t="str">
        <f>VLOOKUP(U582,TBL_equipe,10,FALSE)</f>
        <v/>
      </c>
      <c r="M588" s="287">
        <f>G582</f>
        <v>0</v>
      </c>
      <c r="N588" s="288"/>
      <c r="O588" s="249"/>
      <c r="R588" s="254"/>
      <c r="S588" s="254"/>
      <c r="T588" s="254" t="s">
        <v>51</v>
      </c>
      <c r="U588" s="254"/>
      <c r="V588" s="254"/>
      <c r="W588" s="254"/>
      <c r="X588" s="254"/>
      <c r="Y588" s="254"/>
    </row>
    <row r="589" spans="1:25" ht="24" customHeight="1" x14ac:dyDescent="0.2">
      <c r="A589" s="258" t="str">
        <f>VLOOKUP(U582,TBL_equipe,11,FALSE)</f>
        <v/>
      </c>
      <c r="B589" s="223"/>
      <c r="C589" s="259" t="str">
        <f>VLOOKUP(U582,TBL_equipe,12,FALSE)</f>
        <v/>
      </c>
      <c r="D589" s="223"/>
      <c r="E589" s="224"/>
      <c r="F589" s="219"/>
      <c r="G589" s="403" t="str">
        <f>VLOOKUP(U582,TBL_equipe,15,FALSE)</f>
        <v/>
      </c>
      <c r="H589" s="224"/>
      <c r="I589" s="222"/>
      <c r="J589" s="246" t="str">
        <f>VLOOKUP(U582,TBL_equipe,14,FALSE)</f>
        <v/>
      </c>
      <c r="K589" s="224"/>
      <c r="L589" s="260" t="str">
        <f>VLOOKUP(U582,TBL_equipe,16,FALSE)</f>
        <v/>
      </c>
      <c r="M589" s="287">
        <f>G582</f>
        <v>0</v>
      </c>
      <c r="N589" s="288"/>
      <c r="O589" s="249"/>
      <c r="Q589" s="254"/>
      <c r="R589" s="254"/>
      <c r="S589" s="254"/>
      <c r="T589" s="254"/>
      <c r="U589" s="254"/>
      <c r="V589" s="254"/>
      <c r="W589" s="254"/>
      <c r="X589" s="254"/>
      <c r="Y589" s="254"/>
    </row>
    <row r="590" spans="1:25" ht="24" customHeight="1" x14ac:dyDescent="0.2">
      <c r="A590" s="258" t="str">
        <f>VLOOKUP(U582,TBL_equipe,17,FALSE)</f>
        <v/>
      </c>
      <c r="B590" s="223"/>
      <c r="C590" s="259" t="str">
        <f>VLOOKUP(U582,TBL_equipe,18,FALSE)</f>
        <v/>
      </c>
      <c r="D590" s="223"/>
      <c r="E590" s="224"/>
      <c r="F590" s="219"/>
      <c r="G590" s="403" t="str">
        <f>VLOOKUP(U582,TBL_equipe,21,FALSE)</f>
        <v/>
      </c>
      <c r="H590" s="224"/>
      <c r="I590" s="222"/>
      <c r="J590" s="246" t="str">
        <f>VLOOKUP(U582,TBL_equipe,20,FALSE)</f>
        <v/>
      </c>
      <c r="K590" s="224"/>
      <c r="L590" s="260" t="str">
        <f>VLOOKUP(U582,TBL_equipe,22,FALSE)</f>
        <v/>
      </c>
      <c r="M590" s="287">
        <f>G582</f>
        <v>0</v>
      </c>
      <c r="N590" s="288"/>
      <c r="O590" s="249"/>
      <c r="Q590" s="254"/>
      <c r="R590" s="254"/>
      <c r="S590" s="254"/>
      <c r="T590" s="254"/>
      <c r="U590" s="254"/>
      <c r="V590" s="254"/>
      <c r="W590" s="254"/>
      <c r="X590" s="254"/>
      <c r="Y590" s="254"/>
    </row>
    <row r="591" spans="1:25" ht="24" customHeight="1" x14ac:dyDescent="0.2">
      <c r="A591" s="258" t="str">
        <f>VLOOKUP(U582,TBL_equipe,23,FALSE)</f>
        <v/>
      </c>
      <c r="B591" s="223"/>
      <c r="C591" s="259" t="str">
        <f>VLOOKUP(U582,TBL_equipe,24,FALSE)</f>
        <v/>
      </c>
      <c r="D591" s="223"/>
      <c r="E591" s="224"/>
      <c r="F591" s="219"/>
      <c r="G591" s="403" t="str">
        <f>VLOOKUP(U582,TBL_equipe,27,FALSE)</f>
        <v/>
      </c>
      <c r="H591" s="224"/>
      <c r="I591" s="222"/>
      <c r="J591" s="246" t="str">
        <f>VLOOKUP(U582,TBL_equipe,26,FALSE)</f>
        <v/>
      </c>
      <c r="K591" s="224"/>
      <c r="L591" s="260" t="str">
        <f>VLOOKUP(U582,TBL_equipe,28,FALSE)</f>
        <v/>
      </c>
      <c r="M591" s="289">
        <f>G582</f>
        <v>0</v>
      </c>
      <c r="N591" s="290"/>
      <c r="O591" s="249"/>
    </row>
    <row r="592" spans="1:25" ht="15" customHeight="1" thickBot="1" x14ac:dyDescent="0.25"/>
    <row r="593" spans="1:25" ht="20.100000000000001" customHeight="1" x14ac:dyDescent="0.2">
      <c r="F593" s="1081" t="s">
        <v>555</v>
      </c>
      <c r="G593" s="1082"/>
      <c r="H593" s="1082"/>
      <c r="I593" s="1082"/>
      <c r="J593" s="1083"/>
      <c r="K593" s="1081" t="s">
        <v>556</v>
      </c>
      <c r="L593" s="1082"/>
      <c r="M593" s="1082"/>
      <c r="N593" s="1082"/>
      <c r="O593" s="1083"/>
      <c r="P593" s="1081" t="s">
        <v>557</v>
      </c>
      <c r="Q593" s="1082"/>
      <c r="R593" s="1082"/>
      <c r="S593" s="1082"/>
      <c r="T593" s="1083"/>
      <c r="U593" s="1081" t="s">
        <v>558</v>
      </c>
      <c r="V593" s="1082"/>
      <c r="W593" s="1082"/>
      <c r="X593" s="1082"/>
      <c r="Y593" s="1083"/>
    </row>
    <row r="594" spans="1:25" ht="20.100000000000001" customHeight="1" x14ac:dyDescent="0.2">
      <c r="A594" s="1075" t="s">
        <v>559</v>
      </c>
      <c r="B594" s="1075"/>
      <c r="C594" s="1075"/>
      <c r="D594" s="1075"/>
      <c r="E594" s="1089"/>
      <c r="F594" s="1090" t="s">
        <v>560</v>
      </c>
      <c r="G594" s="1075"/>
      <c r="H594" s="1075"/>
      <c r="J594" s="225" t="s">
        <v>7</v>
      </c>
      <c r="K594" s="1090" t="s">
        <v>560</v>
      </c>
      <c r="L594" s="1075"/>
      <c r="M594" s="1075"/>
      <c r="O594" s="225" t="s">
        <v>7</v>
      </c>
      <c r="P594" s="1090" t="s">
        <v>560</v>
      </c>
      <c r="Q594" s="1075"/>
      <c r="R594" s="1075"/>
      <c r="T594" s="225" t="s">
        <v>7</v>
      </c>
      <c r="U594" s="1090" t="s">
        <v>560</v>
      </c>
      <c r="V594" s="1075"/>
      <c r="W594" s="1075"/>
      <c r="Y594" s="225" t="s">
        <v>7</v>
      </c>
    </row>
    <row r="595" spans="1:25" ht="24" customHeight="1" x14ac:dyDescent="0.2">
      <c r="A595" s="261" t="str">
        <f>A588</f>
        <v/>
      </c>
      <c r="B595" s="227"/>
      <c r="C595" s="262" t="str">
        <f>C588</f>
        <v/>
      </c>
      <c r="D595" s="227"/>
      <c r="E595" s="227"/>
      <c r="F595" s="228"/>
      <c r="G595" s="229"/>
      <c r="H595" s="229"/>
      <c r="I595" s="230" t="s">
        <v>561</v>
      </c>
      <c r="J595" s="231"/>
      <c r="K595" s="228"/>
      <c r="L595" s="229"/>
      <c r="M595" s="229"/>
      <c r="N595" s="230" t="s">
        <v>561</v>
      </c>
      <c r="O595" s="231"/>
      <c r="P595" s="228"/>
      <c r="Q595" s="229"/>
      <c r="R595" s="229"/>
      <c r="S595" s="230" t="s">
        <v>561</v>
      </c>
      <c r="T595" s="231"/>
      <c r="U595" s="228"/>
      <c r="V595" s="229"/>
      <c r="W595" s="229"/>
      <c r="X595" s="230" t="s">
        <v>561</v>
      </c>
      <c r="Y595" s="231"/>
    </row>
    <row r="596" spans="1:25" ht="24" customHeight="1" x14ac:dyDescent="0.2">
      <c r="A596" s="261" t="str">
        <f>A589</f>
        <v/>
      </c>
      <c r="B596" s="227"/>
      <c r="C596" s="262" t="str">
        <f>C589</f>
        <v/>
      </c>
      <c r="D596" s="227"/>
      <c r="E596" s="227"/>
      <c r="F596" s="228"/>
      <c r="G596" s="229"/>
      <c r="H596" s="229"/>
      <c r="I596" s="230" t="s">
        <v>561</v>
      </c>
      <c r="J596" s="231"/>
      <c r="K596" s="228"/>
      <c r="L596" s="229"/>
      <c r="M596" s="229"/>
      <c r="N596" s="230" t="s">
        <v>561</v>
      </c>
      <c r="O596" s="231"/>
      <c r="P596" s="228"/>
      <c r="Q596" s="229"/>
      <c r="R596" s="229"/>
      <c r="S596" s="230" t="s">
        <v>561</v>
      </c>
      <c r="T596" s="231"/>
      <c r="U596" s="228"/>
      <c r="V596" s="229"/>
      <c r="W596" s="229"/>
      <c r="X596" s="230" t="s">
        <v>561</v>
      </c>
      <c r="Y596" s="231"/>
    </row>
    <row r="597" spans="1:25" ht="24" customHeight="1" x14ac:dyDescent="0.2">
      <c r="A597" s="261" t="str">
        <f>A590</f>
        <v/>
      </c>
      <c r="B597" s="227"/>
      <c r="C597" s="262" t="str">
        <f>C590</f>
        <v/>
      </c>
      <c r="D597" s="227"/>
      <c r="E597" s="227"/>
      <c r="F597" s="228"/>
      <c r="G597" s="229"/>
      <c r="H597" s="229"/>
      <c r="I597" s="230" t="s">
        <v>561</v>
      </c>
      <c r="J597" s="231"/>
      <c r="K597" s="228"/>
      <c r="L597" s="229"/>
      <c r="M597" s="229"/>
      <c r="N597" s="230" t="s">
        <v>561</v>
      </c>
      <c r="O597" s="231"/>
      <c r="P597" s="228"/>
      <c r="Q597" s="229"/>
      <c r="R597" s="229"/>
      <c r="S597" s="230" t="s">
        <v>561</v>
      </c>
      <c r="T597" s="231"/>
      <c r="U597" s="228"/>
      <c r="V597" s="229"/>
      <c r="W597" s="229"/>
      <c r="X597" s="230" t="s">
        <v>561</v>
      </c>
      <c r="Y597" s="231"/>
    </row>
    <row r="598" spans="1:25" ht="24" customHeight="1" x14ac:dyDescent="0.2">
      <c r="A598" s="261" t="str">
        <f>A591</f>
        <v/>
      </c>
      <c r="B598" s="227"/>
      <c r="C598" s="262" t="str">
        <f>C591</f>
        <v/>
      </c>
      <c r="D598" s="227"/>
      <c r="E598" s="227"/>
      <c r="F598" s="228"/>
      <c r="G598" s="229"/>
      <c r="H598" s="229"/>
      <c r="I598" s="230" t="s">
        <v>561</v>
      </c>
      <c r="J598" s="232"/>
      <c r="K598" s="228"/>
      <c r="L598" s="229"/>
      <c r="M598" s="229"/>
      <c r="N598" s="230" t="s">
        <v>561</v>
      </c>
      <c r="O598" s="232"/>
      <c r="P598" s="228"/>
      <c r="Q598" s="229"/>
      <c r="R598" s="229"/>
      <c r="S598" s="230" t="s">
        <v>561</v>
      </c>
      <c r="T598" s="232"/>
      <c r="U598" s="228"/>
      <c r="V598" s="229"/>
      <c r="W598" s="229"/>
      <c r="X598" s="230" t="s">
        <v>561</v>
      </c>
      <c r="Y598" s="232"/>
    </row>
    <row r="599" spans="1:25" ht="24" customHeight="1" thickBot="1" x14ac:dyDescent="0.25">
      <c r="F599" s="1079" t="s">
        <v>562</v>
      </c>
      <c r="G599" s="1080"/>
      <c r="H599" s="1080"/>
      <c r="I599" s="230" t="s">
        <v>561</v>
      </c>
      <c r="J599" s="231"/>
      <c r="K599" s="1079" t="s">
        <v>563</v>
      </c>
      <c r="L599" s="1080"/>
      <c r="M599" s="1080"/>
      <c r="N599" s="230" t="s">
        <v>561</v>
      </c>
      <c r="O599" s="232"/>
      <c r="P599" s="1079" t="s">
        <v>564</v>
      </c>
      <c r="Q599" s="1080"/>
      <c r="R599" s="1080"/>
      <c r="S599" s="230" t="s">
        <v>561</v>
      </c>
      <c r="T599" s="232"/>
      <c r="U599" s="1079" t="s">
        <v>565</v>
      </c>
      <c r="V599" s="1080"/>
      <c r="W599" s="1080"/>
      <c r="X599" s="230" t="s">
        <v>561</v>
      </c>
      <c r="Y599" s="232"/>
    </row>
    <row r="600" spans="1:25" ht="24" customHeight="1" thickBot="1" x14ac:dyDescent="0.25">
      <c r="F600" s="233"/>
      <c r="G600" s="234"/>
      <c r="H600" s="235" t="s">
        <v>566</v>
      </c>
      <c r="I600" s="235"/>
      <c r="J600" s="236"/>
      <c r="K600" s="1092" t="s">
        <v>567</v>
      </c>
      <c r="L600" s="1085"/>
      <c r="M600" s="1085"/>
      <c r="N600" s="237" t="s">
        <v>561</v>
      </c>
      <c r="O600" s="238"/>
      <c r="P600" s="1092" t="s">
        <v>568</v>
      </c>
      <c r="Q600" s="1085"/>
      <c r="R600" s="1085"/>
      <c r="S600" s="237" t="s">
        <v>561</v>
      </c>
      <c r="T600" s="238"/>
      <c r="U600" s="1092" t="s">
        <v>569</v>
      </c>
      <c r="V600" s="1085"/>
      <c r="W600" s="1085"/>
      <c r="X600" s="237" t="s">
        <v>561</v>
      </c>
      <c r="Y600" s="239"/>
    </row>
    <row r="601" spans="1:25" ht="12.75" customHeight="1" x14ac:dyDescent="0.2">
      <c r="Y601" s="240" t="s">
        <v>570</v>
      </c>
    </row>
    <row r="602" spans="1:25" ht="15.75" customHeight="1" x14ac:dyDescent="0.2">
      <c r="B602" s="1091" t="s">
        <v>521</v>
      </c>
      <c r="C602" s="1091"/>
      <c r="D602" s="1091"/>
      <c r="E602" s="1091"/>
      <c r="F602" s="1091"/>
      <c r="G602" s="1091"/>
      <c r="H602" s="1091"/>
      <c r="I602" s="1091"/>
      <c r="J602" s="1091"/>
      <c r="K602" s="1091"/>
      <c r="L602" s="1091"/>
      <c r="O602" s="1091" t="s">
        <v>522</v>
      </c>
      <c r="P602" s="1091"/>
      <c r="Q602" s="1091"/>
      <c r="R602" s="1091"/>
      <c r="S602" s="1091"/>
      <c r="T602" s="1091"/>
      <c r="U602" s="1091"/>
      <c r="V602" s="1091"/>
      <c r="W602" s="1091"/>
      <c r="X602" s="1091"/>
      <c r="Y602" s="1091"/>
    </row>
    <row r="603" spans="1:25" ht="13.5" customHeight="1" x14ac:dyDescent="0.2">
      <c r="B603" s="1086" t="s">
        <v>1</v>
      </c>
      <c r="C603" s="1087"/>
      <c r="D603" s="1087"/>
      <c r="E603" s="1087"/>
      <c r="F603" s="1087"/>
      <c r="G603" s="1087"/>
      <c r="H603" s="1088"/>
      <c r="I603" s="1086" t="s">
        <v>520</v>
      </c>
      <c r="J603" s="1087"/>
      <c r="K603" s="1087"/>
      <c r="L603" s="1088"/>
      <c r="N603" s="241"/>
      <c r="O603" s="1086" t="s">
        <v>1</v>
      </c>
      <c r="P603" s="1087"/>
      <c r="Q603" s="1087"/>
      <c r="R603" s="1087"/>
      <c r="S603" s="1087"/>
      <c r="T603" s="1087"/>
      <c r="U603" s="1088"/>
      <c r="V603" s="1086" t="s">
        <v>520</v>
      </c>
      <c r="W603" s="1087"/>
      <c r="X603" s="1087"/>
      <c r="Y603" s="1088"/>
    </row>
    <row r="604" spans="1:25" ht="21.75" customHeight="1" x14ac:dyDescent="0.2">
      <c r="B604" s="242"/>
      <c r="C604" s="243"/>
      <c r="D604" s="243"/>
      <c r="E604" s="243"/>
      <c r="F604" s="243"/>
      <c r="G604" s="243"/>
      <c r="H604" s="243"/>
      <c r="I604" s="242"/>
      <c r="J604" s="243"/>
      <c r="K604" s="243"/>
      <c r="L604" s="244"/>
      <c r="N604" s="241"/>
      <c r="O604" s="242"/>
      <c r="P604" s="243"/>
      <c r="Q604" s="243"/>
      <c r="R604" s="243"/>
      <c r="S604" s="243"/>
      <c r="T604" s="243"/>
      <c r="U604" s="243"/>
      <c r="V604" s="242"/>
      <c r="W604" s="243"/>
      <c r="X604" s="243"/>
      <c r="Y604" s="244"/>
    </row>
    <row r="605" spans="1:25" ht="13.5" customHeight="1" x14ac:dyDescent="0.2"/>
    <row r="606" spans="1:25" ht="14.25" customHeight="1" thickBot="1" x14ac:dyDescent="0.25">
      <c r="A606" s="241"/>
      <c r="G606" s="305"/>
      <c r="H606" s="305"/>
      <c r="I606" s="1069" t="s">
        <v>0</v>
      </c>
      <c r="J606" s="1069"/>
      <c r="K606" s="1069"/>
      <c r="L606" s="1069"/>
      <c r="M606" s="1069"/>
      <c r="N606" s="1069"/>
      <c r="O606" s="1069"/>
      <c r="P606" s="1069" t="s">
        <v>374</v>
      </c>
      <c r="Q606" s="1069"/>
      <c r="R606" s="1069"/>
      <c r="S606" s="1069"/>
      <c r="T606" s="1069"/>
      <c r="U606" s="1069" t="s">
        <v>571</v>
      </c>
      <c r="V606" s="1069"/>
      <c r="W606" s="1069"/>
      <c r="X606" s="305"/>
      <c r="Y606" s="305"/>
    </row>
    <row r="607" spans="1:25" ht="20.25" customHeight="1" x14ac:dyDescent="0.2">
      <c r="A607" s="241"/>
      <c r="F607" s="1074" t="s">
        <v>584</v>
      </c>
      <c r="G607" s="1074"/>
      <c r="H607" s="1074"/>
      <c r="I607" s="316"/>
      <c r="J607" s="306"/>
      <c r="K607" s="306"/>
      <c r="L607" s="306"/>
      <c r="M607" s="306"/>
      <c r="N607" s="306"/>
      <c r="O607" s="306"/>
      <c r="P607" s="312"/>
      <c r="Q607" s="306"/>
      <c r="R607" s="307"/>
      <c r="S607" s="304"/>
      <c r="T607" s="313"/>
      <c r="U607" s="310"/>
      <c r="V607" s="1084" t="s">
        <v>495</v>
      </c>
      <c r="W607" s="308"/>
    </row>
    <row r="608" spans="1:25" ht="13.5" thickBot="1" x14ac:dyDescent="0.25">
      <c r="F608" s="1074"/>
      <c r="G608" s="1074"/>
      <c r="H608" s="1074"/>
      <c r="I608" s="303"/>
      <c r="J608" s="235"/>
      <c r="K608" s="235"/>
      <c r="L608" s="235"/>
      <c r="M608" s="235"/>
      <c r="N608" s="235"/>
      <c r="O608" s="235"/>
      <c r="P608" s="314"/>
      <c r="Q608" s="235"/>
      <c r="R608" s="234"/>
      <c r="S608" s="234"/>
      <c r="T608" s="315"/>
      <c r="U608" s="311"/>
      <c r="V608" s="1085"/>
      <c r="W608" s="309"/>
    </row>
    <row r="610" spans="1:25" ht="6.75" customHeight="1" x14ac:dyDescent="0.2"/>
    <row r="611" spans="1:25" s="218" customFormat="1" ht="23.25" customHeight="1" x14ac:dyDescent="0.2">
      <c r="A611" s="1072" t="s">
        <v>546</v>
      </c>
      <c r="B611" s="1073"/>
      <c r="C611" s="402"/>
      <c r="D611" s="1098" t="s">
        <v>628</v>
      </c>
      <c r="E611" s="1072"/>
      <c r="F611" s="1072"/>
      <c r="G611" s="1103"/>
      <c r="H611" s="1104"/>
      <c r="K611" s="218" t="str">
        <f>RIGHT(CATEG_IMPORTEE, LEN(CATEG_IMPORTEE) - 2)</f>
        <v>llèges Mixtes Etablissement</v>
      </c>
      <c r="T611" s="397" t="s">
        <v>627</v>
      </c>
      <c r="U611" s="401">
        <v>22</v>
      </c>
      <c r="V611" s="396" t="s">
        <v>547</v>
      </c>
      <c r="W611" s="401"/>
      <c r="X611" s="395"/>
    </row>
    <row r="612" spans="1:25" ht="27" customHeight="1" thickBot="1" x14ac:dyDescent="0.25">
      <c r="B612" s="1069" t="s">
        <v>0</v>
      </c>
      <c r="C612" s="1069"/>
      <c r="D612" s="1069"/>
      <c r="E612" s="1069"/>
      <c r="F612" s="1069"/>
      <c r="G612" s="1069"/>
      <c r="H612" s="1069"/>
      <c r="I612" s="1069" t="s">
        <v>374</v>
      </c>
      <c r="J612" s="1069"/>
      <c r="K612" s="1069"/>
      <c r="L612" s="1069"/>
      <c r="O612" s="1069" t="s">
        <v>0</v>
      </c>
      <c r="P612" s="1069"/>
      <c r="Q612" s="1069"/>
      <c r="R612" s="1069"/>
      <c r="S612" s="1069"/>
      <c r="T612" s="1069"/>
      <c r="U612" s="1069"/>
      <c r="V612" s="1069" t="s">
        <v>374</v>
      </c>
      <c r="W612" s="1069"/>
      <c r="X612" s="1069"/>
      <c r="Y612" s="1069"/>
    </row>
    <row r="613" spans="1:25" ht="24" customHeight="1" thickBot="1" x14ac:dyDescent="0.25">
      <c r="A613" s="219"/>
      <c r="B613" s="398" t="str">
        <f>VLOOKUP(U611,TBL_equipe,2,FALSE)</f>
        <v/>
      </c>
      <c r="C613" s="399"/>
      <c r="D613" s="399"/>
      <c r="E613" s="399"/>
      <c r="F613" s="399"/>
      <c r="G613" s="399"/>
      <c r="H613" s="400"/>
      <c r="I613" s="257" t="str">
        <f>VLOOKUP(U611,TBL_equipe,4,FALSE)</f>
        <v/>
      </c>
      <c r="J613" s="220"/>
      <c r="K613" s="220"/>
      <c r="L613" s="221"/>
      <c r="M613" s="1070" t="s">
        <v>547</v>
      </c>
      <c r="N613" s="1071"/>
      <c r="O613" s="398" t="e">
        <f>VLOOKUP(W611,TBL_equipe,2,FALSE)</f>
        <v>#N/A</v>
      </c>
      <c r="P613" s="220"/>
      <c r="Q613" s="220"/>
      <c r="R613" s="220"/>
      <c r="S613" s="220"/>
      <c r="T613" s="220"/>
      <c r="U613" s="221"/>
      <c r="V613" s="257" t="e">
        <f>VLOOKUP(W611,TBL_equipe,4,FALSE)</f>
        <v>#N/A</v>
      </c>
      <c r="W613" s="220"/>
      <c r="X613" s="220"/>
      <c r="Y613" s="221"/>
    </row>
    <row r="614" spans="1:25" ht="15" customHeight="1" x14ac:dyDescent="0.2"/>
    <row r="615" spans="1:25" ht="20.100000000000001" customHeight="1" x14ac:dyDescent="0.2">
      <c r="A615" s="1074" t="s">
        <v>548</v>
      </c>
      <c r="B615" s="1074"/>
      <c r="C615" s="1074"/>
      <c r="D615" s="1074"/>
      <c r="E615" s="1074"/>
    </row>
    <row r="616" spans="1:25" ht="20.100000000000001" customHeight="1" x14ac:dyDescent="0.2">
      <c r="A616" s="1075" t="s">
        <v>549</v>
      </c>
      <c r="B616" s="1075"/>
      <c r="C616" s="1075"/>
      <c r="D616" s="1075"/>
      <c r="E616" s="1075"/>
      <c r="G616" s="1076" t="s">
        <v>480</v>
      </c>
      <c r="H616" s="1076"/>
      <c r="I616" s="1077" t="s">
        <v>550</v>
      </c>
      <c r="J616" s="1077"/>
      <c r="K616" s="1077"/>
      <c r="L616" s="252" t="s">
        <v>551</v>
      </c>
      <c r="M616" s="1078" t="s">
        <v>552</v>
      </c>
      <c r="N616" s="1078"/>
      <c r="O616" s="251"/>
    </row>
    <row r="617" spans="1:25" ht="24" customHeight="1" x14ac:dyDescent="0.2">
      <c r="A617" s="258" t="str">
        <f>VLOOKUP(U611,TBL_equipe,5,FALSE)</f>
        <v/>
      </c>
      <c r="B617" s="223"/>
      <c r="C617" s="259" t="str">
        <f>VLOOKUP(U611,TBL_equipe,6,FALSE)</f>
        <v/>
      </c>
      <c r="D617" s="223"/>
      <c r="E617" s="224"/>
      <c r="F617" s="219"/>
      <c r="G617" s="403" t="str">
        <f>VLOOKUP(U611,TBL_equipe,9,FALSE)</f>
        <v/>
      </c>
      <c r="H617" s="224"/>
      <c r="I617" s="222"/>
      <c r="J617" s="246" t="str">
        <f>VLOOKUP(U611,TBL_equipe,8,FALSE)</f>
        <v/>
      </c>
      <c r="K617" s="224"/>
      <c r="L617" s="260" t="str">
        <f>VLOOKUP(U611,TBL_equipe,10,FALSE)</f>
        <v/>
      </c>
      <c r="M617" s="287">
        <f>G611</f>
        <v>0</v>
      </c>
      <c r="N617" s="288"/>
      <c r="O617" s="249"/>
      <c r="R617" s="254"/>
      <c r="S617" s="254"/>
      <c r="T617" s="254" t="s">
        <v>51</v>
      </c>
      <c r="U617" s="254"/>
      <c r="V617" s="254"/>
      <c r="W617" s="254"/>
      <c r="X617" s="254"/>
      <c r="Y617" s="254"/>
    </row>
    <row r="618" spans="1:25" ht="24" customHeight="1" x14ac:dyDescent="0.2">
      <c r="A618" s="258" t="str">
        <f>VLOOKUP(U611,TBL_equipe,11,FALSE)</f>
        <v/>
      </c>
      <c r="B618" s="223"/>
      <c r="C618" s="259" t="str">
        <f>VLOOKUP(U611,TBL_equipe,12,FALSE)</f>
        <v/>
      </c>
      <c r="D618" s="223"/>
      <c r="E618" s="224"/>
      <c r="F618" s="219"/>
      <c r="G618" s="403" t="str">
        <f>VLOOKUP(U611,TBL_equipe,15,FALSE)</f>
        <v/>
      </c>
      <c r="H618" s="224"/>
      <c r="I618" s="222"/>
      <c r="J618" s="246" t="str">
        <f>VLOOKUP(U611,TBL_equipe,14,FALSE)</f>
        <v/>
      </c>
      <c r="K618" s="224"/>
      <c r="L618" s="260" t="str">
        <f>VLOOKUP(U611,TBL_equipe,16,FALSE)</f>
        <v/>
      </c>
      <c r="M618" s="287">
        <f>G611</f>
        <v>0</v>
      </c>
      <c r="N618" s="288"/>
      <c r="O618" s="249"/>
      <c r="Q618" s="254"/>
      <c r="R618" s="254"/>
      <c r="S618" s="254"/>
      <c r="T618" s="254"/>
      <c r="U618" s="254"/>
      <c r="V618" s="254"/>
      <c r="W618" s="254"/>
      <c r="X618" s="254"/>
      <c r="Y618" s="254"/>
    </row>
    <row r="619" spans="1:25" ht="24" customHeight="1" x14ac:dyDescent="0.2">
      <c r="A619" s="258" t="str">
        <f>VLOOKUP(U611,TBL_equipe,17,FALSE)</f>
        <v/>
      </c>
      <c r="B619" s="223"/>
      <c r="C619" s="259" t="str">
        <f>VLOOKUP(U611,TBL_equipe,18,FALSE)</f>
        <v/>
      </c>
      <c r="D619" s="223"/>
      <c r="E619" s="224"/>
      <c r="F619" s="219"/>
      <c r="G619" s="403" t="str">
        <f>VLOOKUP(U611,TBL_equipe,21,FALSE)</f>
        <v/>
      </c>
      <c r="H619" s="224"/>
      <c r="I619" s="222"/>
      <c r="J619" s="246" t="str">
        <f>VLOOKUP(U611,TBL_equipe,20,FALSE)</f>
        <v/>
      </c>
      <c r="K619" s="224"/>
      <c r="L619" s="260" t="str">
        <f>VLOOKUP(U611,TBL_equipe,22,FALSE)</f>
        <v/>
      </c>
      <c r="M619" s="287">
        <f>G611</f>
        <v>0</v>
      </c>
      <c r="N619" s="288"/>
      <c r="O619" s="249"/>
      <c r="Q619" s="254"/>
      <c r="R619" s="254"/>
      <c r="S619" s="254"/>
      <c r="T619" s="254"/>
      <c r="U619" s="254"/>
      <c r="V619" s="254"/>
      <c r="W619" s="254"/>
      <c r="X619" s="254"/>
      <c r="Y619" s="254"/>
    </row>
    <row r="620" spans="1:25" ht="24" customHeight="1" x14ac:dyDescent="0.2">
      <c r="A620" s="258" t="str">
        <f>VLOOKUP(U611,TBL_equipe,23,FALSE)</f>
        <v/>
      </c>
      <c r="B620" s="223"/>
      <c r="C620" s="259" t="str">
        <f>VLOOKUP(U611,TBL_equipe,24,FALSE)</f>
        <v/>
      </c>
      <c r="D620" s="223"/>
      <c r="E620" s="224"/>
      <c r="F620" s="219"/>
      <c r="G620" s="403" t="str">
        <f>VLOOKUP(U611,TBL_equipe,27,FALSE)</f>
        <v/>
      </c>
      <c r="H620" s="224"/>
      <c r="I620" s="222"/>
      <c r="J620" s="246" t="str">
        <f>VLOOKUP(U611,TBL_equipe,26,FALSE)</f>
        <v/>
      </c>
      <c r="K620" s="224"/>
      <c r="L620" s="260" t="str">
        <f>VLOOKUP(U611,TBL_equipe,28,FALSE)</f>
        <v/>
      </c>
      <c r="M620" s="289">
        <f>G611</f>
        <v>0</v>
      </c>
      <c r="N620" s="290"/>
      <c r="O620" s="249"/>
    </row>
    <row r="621" spans="1:25" ht="15" customHeight="1" thickBot="1" x14ac:dyDescent="0.25"/>
    <row r="622" spans="1:25" ht="20.100000000000001" customHeight="1" x14ac:dyDescent="0.2">
      <c r="F622" s="1081" t="s">
        <v>555</v>
      </c>
      <c r="G622" s="1082"/>
      <c r="H622" s="1082"/>
      <c r="I622" s="1082"/>
      <c r="J622" s="1083"/>
      <c r="K622" s="1081" t="s">
        <v>556</v>
      </c>
      <c r="L622" s="1082"/>
      <c r="M622" s="1082"/>
      <c r="N622" s="1082"/>
      <c r="O622" s="1083"/>
      <c r="P622" s="1081" t="s">
        <v>557</v>
      </c>
      <c r="Q622" s="1082"/>
      <c r="R622" s="1082"/>
      <c r="S622" s="1082"/>
      <c r="T622" s="1083"/>
      <c r="U622" s="1081" t="s">
        <v>558</v>
      </c>
      <c r="V622" s="1082"/>
      <c r="W622" s="1082"/>
      <c r="X622" s="1082"/>
      <c r="Y622" s="1083"/>
    </row>
    <row r="623" spans="1:25" ht="20.100000000000001" customHeight="1" x14ac:dyDescent="0.2">
      <c r="A623" s="1075" t="s">
        <v>559</v>
      </c>
      <c r="B623" s="1075"/>
      <c r="C623" s="1075"/>
      <c r="D623" s="1075"/>
      <c r="E623" s="1089"/>
      <c r="F623" s="1090" t="s">
        <v>560</v>
      </c>
      <c r="G623" s="1075"/>
      <c r="H623" s="1075"/>
      <c r="J623" s="225" t="s">
        <v>7</v>
      </c>
      <c r="K623" s="1090" t="s">
        <v>560</v>
      </c>
      <c r="L623" s="1075"/>
      <c r="M623" s="1075"/>
      <c r="O623" s="225" t="s">
        <v>7</v>
      </c>
      <c r="P623" s="1090" t="s">
        <v>560</v>
      </c>
      <c r="Q623" s="1075"/>
      <c r="R623" s="1075"/>
      <c r="T623" s="225" t="s">
        <v>7</v>
      </c>
      <c r="U623" s="1090" t="s">
        <v>560</v>
      </c>
      <c r="V623" s="1075"/>
      <c r="W623" s="1075"/>
      <c r="Y623" s="225" t="s">
        <v>7</v>
      </c>
    </row>
    <row r="624" spans="1:25" ht="24" customHeight="1" x14ac:dyDescent="0.2">
      <c r="A624" s="261" t="str">
        <f>A617</f>
        <v/>
      </c>
      <c r="B624" s="227"/>
      <c r="C624" s="262" t="str">
        <f>C617</f>
        <v/>
      </c>
      <c r="D624" s="227"/>
      <c r="E624" s="227"/>
      <c r="F624" s="228"/>
      <c r="G624" s="229"/>
      <c r="H624" s="229"/>
      <c r="I624" s="230" t="s">
        <v>561</v>
      </c>
      <c r="J624" s="231"/>
      <c r="K624" s="228"/>
      <c r="L624" s="229"/>
      <c r="M624" s="229"/>
      <c r="N624" s="230" t="s">
        <v>561</v>
      </c>
      <c r="O624" s="231"/>
      <c r="P624" s="228"/>
      <c r="Q624" s="229"/>
      <c r="R624" s="229"/>
      <c r="S624" s="230" t="s">
        <v>561</v>
      </c>
      <c r="T624" s="231"/>
      <c r="U624" s="228"/>
      <c r="V624" s="229"/>
      <c r="W624" s="229"/>
      <c r="X624" s="230" t="s">
        <v>561</v>
      </c>
      <c r="Y624" s="231"/>
    </row>
    <row r="625" spans="1:25" ht="24" customHeight="1" x14ac:dyDescent="0.2">
      <c r="A625" s="261" t="str">
        <f>A618</f>
        <v/>
      </c>
      <c r="B625" s="227"/>
      <c r="C625" s="262" t="str">
        <f>C618</f>
        <v/>
      </c>
      <c r="D625" s="227"/>
      <c r="E625" s="227"/>
      <c r="F625" s="228"/>
      <c r="G625" s="229"/>
      <c r="H625" s="229"/>
      <c r="I625" s="230" t="s">
        <v>561</v>
      </c>
      <c r="J625" s="231"/>
      <c r="K625" s="228"/>
      <c r="L625" s="229"/>
      <c r="M625" s="229"/>
      <c r="N625" s="230" t="s">
        <v>561</v>
      </c>
      <c r="O625" s="231"/>
      <c r="P625" s="228"/>
      <c r="Q625" s="229"/>
      <c r="R625" s="229"/>
      <c r="S625" s="230" t="s">
        <v>561</v>
      </c>
      <c r="T625" s="231"/>
      <c r="U625" s="228"/>
      <c r="V625" s="229"/>
      <c r="W625" s="229"/>
      <c r="X625" s="230" t="s">
        <v>561</v>
      </c>
      <c r="Y625" s="231"/>
    </row>
    <row r="626" spans="1:25" ht="24" customHeight="1" x14ac:dyDescent="0.2">
      <c r="A626" s="261" t="str">
        <f>A619</f>
        <v/>
      </c>
      <c r="B626" s="227"/>
      <c r="C626" s="262" t="str">
        <f>C619</f>
        <v/>
      </c>
      <c r="D626" s="227"/>
      <c r="E626" s="227"/>
      <c r="F626" s="228"/>
      <c r="G626" s="229"/>
      <c r="H626" s="229"/>
      <c r="I626" s="230" t="s">
        <v>561</v>
      </c>
      <c r="J626" s="231"/>
      <c r="K626" s="228"/>
      <c r="L626" s="229"/>
      <c r="M626" s="229"/>
      <c r="N626" s="230" t="s">
        <v>561</v>
      </c>
      <c r="O626" s="231"/>
      <c r="P626" s="228"/>
      <c r="Q626" s="229"/>
      <c r="R626" s="229"/>
      <c r="S626" s="230" t="s">
        <v>561</v>
      </c>
      <c r="T626" s="231"/>
      <c r="U626" s="228"/>
      <c r="V626" s="229"/>
      <c r="W626" s="229"/>
      <c r="X626" s="230" t="s">
        <v>561</v>
      </c>
      <c r="Y626" s="231"/>
    </row>
    <row r="627" spans="1:25" ht="24" customHeight="1" x14ac:dyDescent="0.2">
      <c r="A627" s="261" t="str">
        <f>A620</f>
        <v/>
      </c>
      <c r="B627" s="227"/>
      <c r="C627" s="262" t="str">
        <f>C620</f>
        <v/>
      </c>
      <c r="D627" s="227"/>
      <c r="E627" s="227"/>
      <c r="F627" s="228"/>
      <c r="G627" s="229"/>
      <c r="H627" s="229"/>
      <c r="I627" s="230" t="s">
        <v>561</v>
      </c>
      <c r="J627" s="232"/>
      <c r="K627" s="228"/>
      <c r="L627" s="229"/>
      <c r="M627" s="229"/>
      <c r="N627" s="230" t="s">
        <v>561</v>
      </c>
      <c r="O627" s="232"/>
      <c r="P627" s="228"/>
      <c r="Q627" s="229"/>
      <c r="R627" s="229"/>
      <c r="S627" s="230" t="s">
        <v>561</v>
      </c>
      <c r="T627" s="232"/>
      <c r="U627" s="228"/>
      <c r="V627" s="229"/>
      <c r="W627" s="229"/>
      <c r="X627" s="230" t="s">
        <v>561</v>
      </c>
      <c r="Y627" s="232"/>
    </row>
    <row r="628" spans="1:25" ht="24" customHeight="1" thickBot="1" x14ac:dyDescent="0.25">
      <c r="F628" s="1079" t="s">
        <v>562</v>
      </c>
      <c r="G628" s="1080"/>
      <c r="H628" s="1080"/>
      <c r="I628" s="230" t="s">
        <v>561</v>
      </c>
      <c r="J628" s="231"/>
      <c r="K628" s="1079" t="s">
        <v>563</v>
      </c>
      <c r="L628" s="1080"/>
      <c r="M628" s="1080"/>
      <c r="N628" s="230" t="s">
        <v>561</v>
      </c>
      <c r="O628" s="232"/>
      <c r="P628" s="1079" t="s">
        <v>564</v>
      </c>
      <c r="Q628" s="1080"/>
      <c r="R628" s="1080"/>
      <c r="S628" s="230" t="s">
        <v>561</v>
      </c>
      <c r="T628" s="232"/>
      <c r="U628" s="1079" t="s">
        <v>565</v>
      </c>
      <c r="V628" s="1080"/>
      <c r="W628" s="1080"/>
      <c r="X628" s="230" t="s">
        <v>561</v>
      </c>
      <c r="Y628" s="232"/>
    </row>
    <row r="629" spans="1:25" ht="24" customHeight="1" thickBot="1" x14ac:dyDescent="0.25">
      <c r="F629" s="233"/>
      <c r="G629" s="234"/>
      <c r="H629" s="235" t="s">
        <v>566</v>
      </c>
      <c r="I629" s="235"/>
      <c r="J629" s="236"/>
      <c r="K629" s="1092" t="s">
        <v>567</v>
      </c>
      <c r="L629" s="1085"/>
      <c r="M629" s="1085"/>
      <c r="N629" s="237" t="s">
        <v>561</v>
      </c>
      <c r="O629" s="238"/>
      <c r="P629" s="1092" t="s">
        <v>568</v>
      </c>
      <c r="Q629" s="1085"/>
      <c r="R629" s="1085"/>
      <c r="S629" s="237" t="s">
        <v>561</v>
      </c>
      <c r="T629" s="238"/>
      <c r="U629" s="1092" t="s">
        <v>569</v>
      </c>
      <c r="V629" s="1085"/>
      <c r="W629" s="1085"/>
      <c r="X629" s="237" t="s">
        <v>561</v>
      </c>
      <c r="Y629" s="239"/>
    </row>
    <row r="630" spans="1:25" ht="12.75" customHeight="1" x14ac:dyDescent="0.2">
      <c r="Y630" s="240" t="s">
        <v>570</v>
      </c>
    </row>
    <row r="631" spans="1:25" ht="15.75" customHeight="1" x14ac:dyDescent="0.2">
      <c r="B631" s="1091" t="s">
        <v>521</v>
      </c>
      <c r="C631" s="1091"/>
      <c r="D631" s="1091"/>
      <c r="E631" s="1091"/>
      <c r="F631" s="1091"/>
      <c r="G631" s="1091"/>
      <c r="H631" s="1091"/>
      <c r="I631" s="1091"/>
      <c r="J631" s="1091"/>
      <c r="K631" s="1091"/>
      <c r="L631" s="1091"/>
      <c r="O631" s="1091" t="s">
        <v>522</v>
      </c>
      <c r="P631" s="1091"/>
      <c r="Q631" s="1091"/>
      <c r="R631" s="1091"/>
      <c r="S631" s="1091"/>
      <c r="T631" s="1091"/>
      <c r="U631" s="1091"/>
      <c r="V631" s="1091"/>
      <c r="W631" s="1091"/>
      <c r="X631" s="1091"/>
      <c r="Y631" s="1091"/>
    </row>
    <row r="632" spans="1:25" ht="13.5" customHeight="1" x14ac:dyDescent="0.2">
      <c r="B632" s="1086" t="s">
        <v>1</v>
      </c>
      <c r="C632" s="1087"/>
      <c r="D632" s="1087"/>
      <c r="E632" s="1087"/>
      <c r="F632" s="1087"/>
      <c r="G632" s="1087"/>
      <c r="H632" s="1088"/>
      <c r="I632" s="1086" t="s">
        <v>520</v>
      </c>
      <c r="J632" s="1087"/>
      <c r="K632" s="1087"/>
      <c r="L632" s="1088"/>
      <c r="N632" s="241"/>
      <c r="O632" s="1086" t="s">
        <v>1</v>
      </c>
      <c r="P632" s="1087"/>
      <c r="Q632" s="1087"/>
      <c r="R632" s="1087"/>
      <c r="S632" s="1087"/>
      <c r="T632" s="1087"/>
      <c r="U632" s="1088"/>
      <c r="V632" s="1086" t="s">
        <v>520</v>
      </c>
      <c r="W632" s="1087"/>
      <c r="X632" s="1087"/>
      <c r="Y632" s="1088"/>
    </row>
    <row r="633" spans="1:25" ht="21.75" customHeight="1" x14ac:dyDescent="0.2">
      <c r="B633" s="242"/>
      <c r="C633" s="243"/>
      <c r="D633" s="243"/>
      <c r="E633" s="243"/>
      <c r="F633" s="243"/>
      <c r="G633" s="243"/>
      <c r="H633" s="243"/>
      <c r="I633" s="242"/>
      <c r="J633" s="243"/>
      <c r="K633" s="243"/>
      <c r="L633" s="244"/>
      <c r="N633" s="241"/>
      <c r="O633" s="242"/>
      <c r="P633" s="243"/>
      <c r="Q633" s="243"/>
      <c r="R633" s="243"/>
      <c r="S633" s="243"/>
      <c r="T633" s="243"/>
      <c r="U633" s="243"/>
      <c r="V633" s="242"/>
      <c r="W633" s="243"/>
      <c r="X633" s="243"/>
      <c r="Y633" s="244"/>
    </row>
    <row r="634" spans="1:25" ht="13.5" customHeight="1" x14ac:dyDescent="0.2"/>
    <row r="635" spans="1:25" ht="14.25" customHeight="1" thickBot="1" x14ac:dyDescent="0.25">
      <c r="A635" s="241"/>
      <c r="G635" s="305"/>
      <c r="H635" s="305"/>
      <c r="I635" s="1069" t="s">
        <v>0</v>
      </c>
      <c r="J635" s="1069"/>
      <c r="K635" s="1069"/>
      <c r="L635" s="1069"/>
      <c r="M635" s="1069"/>
      <c r="N635" s="1069"/>
      <c r="O635" s="1069"/>
      <c r="P635" s="1069" t="s">
        <v>374</v>
      </c>
      <c r="Q635" s="1069"/>
      <c r="R635" s="1069"/>
      <c r="S635" s="1069"/>
      <c r="T635" s="1069"/>
      <c r="U635" s="1069" t="s">
        <v>571</v>
      </c>
      <c r="V635" s="1069"/>
      <c r="W635" s="1069"/>
      <c r="X635" s="305"/>
      <c r="Y635" s="305"/>
    </row>
    <row r="636" spans="1:25" ht="20.25" customHeight="1" x14ac:dyDescent="0.2">
      <c r="A636" s="241"/>
      <c r="F636" s="1074" t="s">
        <v>584</v>
      </c>
      <c r="G636" s="1074"/>
      <c r="H636" s="1074"/>
      <c r="I636" s="316"/>
      <c r="J636" s="306"/>
      <c r="K636" s="306"/>
      <c r="L636" s="306"/>
      <c r="M636" s="306"/>
      <c r="N636" s="306"/>
      <c r="O636" s="306"/>
      <c r="P636" s="312"/>
      <c r="Q636" s="306"/>
      <c r="R636" s="307"/>
      <c r="S636" s="304"/>
      <c r="T636" s="313"/>
      <c r="U636" s="310"/>
      <c r="V636" s="1084" t="s">
        <v>495</v>
      </c>
      <c r="W636" s="308"/>
    </row>
    <row r="637" spans="1:25" ht="13.5" thickBot="1" x14ac:dyDescent="0.25">
      <c r="F637" s="1074"/>
      <c r="G637" s="1074"/>
      <c r="H637" s="1074"/>
      <c r="I637" s="303"/>
      <c r="J637" s="235"/>
      <c r="K637" s="235"/>
      <c r="L637" s="235"/>
      <c r="M637" s="235"/>
      <c r="N637" s="235"/>
      <c r="O637" s="235"/>
      <c r="P637" s="314"/>
      <c r="Q637" s="235"/>
      <c r="R637" s="234"/>
      <c r="S637" s="234"/>
      <c r="T637" s="315"/>
      <c r="U637" s="311"/>
      <c r="V637" s="1085"/>
      <c r="W637" s="309"/>
    </row>
  </sheetData>
  <mergeCells count="880">
    <mergeCell ref="A2:B2"/>
    <mergeCell ref="D2:F2"/>
    <mergeCell ref="G2:H2"/>
    <mergeCell ref="B3:H3"/>
    <mergeCell ref="I3:L3"/>
    <mergeCell ref="O3:U3"/>
    <mergeCell ref="V3:Y3"/>
    <mergeCell ref="M4:N4"/>
    <mergeCell ref="A6:E6"/>
    <mergeCell ref="A7:E7"/>
    <mergeCell ref="G7:H7"/>
    <mergeCell ref="I7:K7"/>
    <mergeCell ref="M7:N7"/>
    <mergeCell ref="F13:J13"/>
    <mergeCell ref="K13:O13"/>
    <mergeCell ref="P13:T13"/>
    <mergeCell ref="U13:Y13"/>
    <mergeCell ref="A14:E14"/>
    <mergeCell ref="F14:H14"/>
    <mergeCell ref="K14:M14"/>
    <mergeCell ref="P14:R14"/>
    <mergeCell ref="U14:W14"/>
    <mergeCell ref="F19:H19"/>
    <mergeCell ref="K19:M19"/>
    <mergeCell ref="P19:R19"/>
    <mergeCell ref="U19:W19"/>
    <mergeCell ref="K20:M20"/>
    <mergeCell ref="P20:R20"/>
    <mergeCell ref="U20:W20"/>
    <mergeCell ref="B22:L22"/>
    <mergeCell ref="O22:Y22"/>
    <mergeCell ref="B23:H23"/>
    <mergeCell ref="I23:L23"/>
    <mergeCell ref="O23:U23"/>
    <mergeCell ref="V23:Y23"/>
    <mergeCell ref="I26:O26"/>
    <mergeCell ref="P26:T26"/>
    <mergeCell ref="U26:W26"/>
    <mergeCell ref="F27:H28"/>
    <mergeCell ref="V27:V28"/>
    <mergeCell ref="A31:B31"/>
    <mergeCell ref="D31:F31"/>
    <mergeCell ref="G31:H31"/>
    <mergeCell ref="B32:H32"/>
    <mergeCell ref="I32:L32"/>
    <mergeCell ref="O32:U32"/>
    <mergeCell ref="V32:Y32"/>
    <mergeCell ref="M33:N33"/>
    <mergeCell ref="A35:E35"/>
    <mergeCell ref="A36:E36"/>
    <mergeCell ref="G36:H36"/>
    <mergeCell ref="I36:K36"/>
    <mergeCell ref="M36:N36"/>
    <mergeCell ref="F42:J42"/>
    <mergeCell ref="K42:O42"/>
    <mergeCell ref="P42:T42"/>
    <mergeCell ref="U42:Y42"/>
    <mergeCell ref="A43:E43"/>
    <mergeCell ref="F43:H43"/>
    <mergeCell ref="K43:M43"/>
    <mergeCell ref="P43:R43"/>
    <mergeCell ref="U43:W43"/>
    <mergeCell ref="F48:H48"/>
    <mergeCell ref="K48:M48"/>
    <mergeCell ref="P48:R48"/>
    <mergeCell ref="U48:W48"/>
    <mergeCell ref="K49:M49"/>
    <mergeCell ref="P49:R49"/>
    <mergeCell ref="U49:W49"/>
    <mergeCell ref="B51:L51"/>
    <mergeCell ref="O51:Y51"/>
    <mergeCell ref="B52:H52"/>
    <mergeCell ref="I52:L52"/>
    <mergeCell ref="O52:U52"/>
    <mergeCell ref="V52:Y52"/>
    <mergeCell ref="I55:O55"/>
    <mergeCell ref="P55:T55"/>
    <mergeCell ref="U55:W55"/>
    <mergeCell ref="F56:H57"/>
    <mergeCell ref="V56:V57"/>
    <mergeCell ref="A60:B60"/>
    <mergeCell ref="D60:F60"/>
    <mergeCell ref="G60:H60"/>
    <mergeCell ref="B61:H61"/>
    <mergeCell ref="I61:L61"/>
    <mergeCell ref="O61:U61"/>
    <mergeCell ref="V61:Y61"/>
    <mergeCell ref="M62:N62"/>
    <mergeCell ref="A64:E64"/>
    <mergeCell ref="A65:E65"/>
    <mergeCell ref="G65:H65"/>
    <mergeCell ref="I65:K65"/>
    <mergeCell ref="M65:N65"/>
    <mergeCell ref="F71:J71"/>
    <mergeCell ref="K71:O71"/>
    <mergeCell ref="P71:T71"/>
    <mergeCell ref="U71:Y71"/>
    <mergeCell ref="A72:E72"/>
    <mergeCell ref="F72:H72"/>
    <mergeCell ref="K72:M72"/>
    <mergeCell ref="P72:R72"/>
    <mergeCell ref="U72:W72"/>
    <mergeCell ref="F77:H77"/>
    <mergeCell ref="K77:M77"/>
    <mergeCell ref="P77:R77"/>
    <mergeCell ref="U77:W77"/>
    <mergeCell ref="K78:M78"/>
    <mergeCell ref="P78:R78"/>
    <mergeCell ref="U78:W78"/>
    <mergeCell ref="B80:L80"/>
    <mergeCell ref="O80:Y80"/>
    <mergeCell ref="B81:H81"/>
    <mergeCell ref="I81:L81"/>
    <mergeCell ref="O81:U81"/>
    <mergeCell ref="V81:Y81"/>
    <mergeCell ref="I84:O84"/>
    <mergeCell ref="P84:T84"/>
    <mergeCell ref="U84:W84"/>
    <mergeCell ref="F85:H86"/>
    <mergeCell ref="V85:V86"/>
    <mergeCell ref="A89:B89"/>
    <mergeCell ref="D89:F89"/>
    <mergeCell ref="G89:H89"/>
    <mergeCell ref="B90:H90"/>
    <mergeCell ref="I90:L90"/>
    <mergeCell ref="O90:U90"/>
    <mergeCell ref="V90:Y90"/>
    <mergeCell ref="M91:N91"/>
    <mergeCell ref="A93:E93"/>
    <mergeCell ref="A94:E94"/>
    <mergeCell ref="G94:H94"/>
    <mergeCell ref="I94:K94"/>
    <mergeCell ref="M94:N94"/>
    <mergeCell ref="F100:J100"/>
    <mergeCell ref="K100:O100"/>
    <mergeCell ref="P100:T100"/>
    <mergeCell ref="U100:Y100"/>
    <mergeCell ref="A101:E101"/>
    <mergeCell ref="F101:H101"/>
    <mergeCell ref="K101:M101"/>
    <mergeCell ref="P101:R101"/>
    <mergeCell ref="U101:W101"/>
    <mergeCell ref="F106:H106"/>
    <mergeCell ref="K106:M106"/>
    <mergeCell ref="P106:R106"/>
    <mergeCell ref="U106:W106"/>
    <mergeCell ref="K107:M107"/>
    <mergeCell ref="P107:R107"/>
    <mergeCell ref="U107:W107"/>
    <mergeCell ref="B109:L109"/>
    <mergeCell ref="O109:Y109"/>
    <mergeCell ref="B110:H110"/>
    <mergeCell ref="I110:L110"/>
    <mergeCell ref="O110:U110"/>
    <mergeCell ref="V110:Y110"/>
    <mergeCell ref="I113:O113"/>
    <mergeCell ref="P113:T113"/>
    <mergeCell ref="U113:W113"/>
    <mergeCell ref="F114:H115"/>
    <mergeCell ref="V114:V115"/>
    <mergeCell ref="A118:B118"/>
    <mergeCell ref="D118:F118"/>
    <mergeCell ref="G118:H118"/>
    <mergeCell ref="B119:H119"/>
    <mergeCell ref="I119:L119"/>
    <mergeCell ref="O119:U119"/>
    <mergeCell ref="V119:Y119"/>
    <mergeCell ref="M120:N120"/>
    <mergeCell ref="A122:E122"/>
    <mergeCell ref="A123:E123"/>
    <mergeCell ref="G123:H123"/>
    <mergeCell ref="I123:K123"/>
    <mergeCell ref="M123:N123"/>
    <mergeCell ref="F129:J129"/>
    <mergeCell ref="K129:O129"/>
    <mergeCell ref="P129:T129"/>
    <mergeCell ref="U129:Y129"/>
    <mergeCell ref="A130:E130"/>
    <mergeCell ref="F130:H130"/>
    <mergeCell ref="K130:M130"/>
    <mergeCell ref="P130:R130"/>
    <mergeCell ref="U130:W130"/>
    <mergeCell ref="F135:H135"/>
    <mergeCell ref="K135:M135"/>
    <mergeCell ref="P135:R135"/>
    <mergeCell ref="U135:W135"/>
    <mergeCell ref="K136:M136"/>
    <mergeCell ref="P136:R136"/>
    <mergeCell ref="U136:W136"/>
    <mergeCell ref="B138:L138"/>
    <mergeCell ref="O138:Y138"/>
    <mergeCell ref="B139:H139"/>
    <mergeCell ref="I139:L139"/>
    <mergeCell ref="O139:U139"/>
    <mergeCell ref="V139:Y139"/>
    <mergeCell ref="I142:O142"/>
    <mergeCell ref="P142:T142"/>
    <mergeCell ref="U142:W142"/>
    <mergeCell ref="F143:H144"/>
    <mergeCell ref="V143:V144"/>
    <mergeCell ref="A147:B147"/>
    <mergeCell ref="D147:F147"/>
    <mergeCell ref="G147:H147"/>
    <mergeCell ref="B148:H148"/>
    <mergeCell ref="I148:L148"/>
    <mergeCell ref="O148:U148"/>
    <mergeCell ref="V148:Y148"/>
    <mergeCell ref="M149:N149"/>
    <mergeCell ref="A151:E151"/>
    <mergeCell ref="A152:E152"/>
    <mergeCell ref="G152:H152"/>
    <mergeCell ref="I152:K152"/>
    <mergeCell ref="M152:N152"/>
    <mergeCell ref="F158:J158"/>
    <mergeCell ref="K158:O158"/>
    <mergeCell ref="P158:T158"/>
    <mergeCell ref="U158:Y158"/>
    <mergeCell ref="A159:E159"/>
    <mergeCell ref="F159:H159"/>
    <mergeCell ref="K159:M159"/>
    <mergeCell ref="P159:R159"/>
    <mergeCell ref="U159:W159"/>
    <mergeCell ref="F164:H164"/>
    <mergeCell ref="K164:M164"/>
    <mergeCell ref="P164:R164"/>
    <mergeCell ref="U164:W164"/>
    <mergeCell ref="K165:M165"/>
    <mergeCell ref="P165:R165"/>
    <mergeCell ref="U165:W165"/>
    <mergeCell ref="B167:L167"/>
    <mergeCell ref="O167:Y167"/>
    <mergeCell ref="B168:H168"/>
    <mergeCell ref="I168:L168"/>
    <mergeCell ref="O168:U168"/>
    <mergeCell ref="V168:Y168"/>
    <mergeCell ref="I171:O171"/>
    <mergeCell ref="P171:T171"/>
    <mergeCell ref="U171:W171"/>
    <mergeCell ref="F172:H173"/>
    <mergeCell ref="V172:V173"/>
    <mergeCell ref="A176:B176"/>
    <mergeCell ref="D176:F176"/>
    <mergeCell ref="G176:H176"/>
    <mergeCell ref="B177:H177"/>
    <mergeCell ref="I177:L177"/>
    <mergeCell ref="O177:U177"/>
    <mergeCell ref="V177:Y177"/>
    <mergeCell ref="M178:N178"/>
    <mergeCell ref="A180:E180"/>
    <mergeCell ref="A181:E181"/>
    <mergeCell ref="G181:H181"/>
    <mergeCell ref="I181:K181"/>
    <mergeCell ref="M181:N181"/>
    <mergeCell ref="F187:J187"/>
    <mergeCell ref="K187:O187"/>
    <mergeCell ref="P187:T187"/>
    <mergeCell ref="U187:Y187"/>
    <mergeCell ref="A188:E188"/>
    <mergeCell ref="F188:H188"/>
    <mergeCell ref="K188:M188"/>
    <mergeCell ref="P188:R188"/>
    <mergeCell ref="U188:W188"/>
    <mergeCell ref="F193:H193"/>
    <mergeCell ref="K193:M193"/>
    <mergeCell ref="P193:R193"/>
    <mergeCell ref="U193:W193"/>
    <mergeCell ref="K194:M194"/>
    <mergeCell ref="P194:R194"/>
    <mergeCell ref="U194:W194"/>
    <mergeCell ref="B196:L196"/>
    <mergeCell ref="O196:Y196"/>
    <mergeCell ref="B197:H197"/>
    <mergeCell ref="I197:L197"/>
    <mergeCell ref="O197:U197"/>
    <mergeCell ref="V197:Y197"/>
    <mergeCell ref="I200:O200"/>
    <mergeCell ref="P200:T200"/>
    <mergeCell ref="U200:W200"/>
    <mergeCell ref="F201:H202"/>
    <mergeCell ref="V201:V202"/>
    <mergeCell ref="A205:B205"/>
    <mergeCell ref="D205:F205"/>
    <mergeCell ref="G205:H205"/>
    <mergeCell ref="B206:H206"/>
    <mergeCell ref="I206:L206"/>
    <mergeCell ref="O206:U206"/>
    <mergeCell ref="V206:Y206"/>
    <mergeCell ref="M207:N207"/>
    <mergeCell ref="A209:E209"/>
    <mergeCell ref="A210:E210"/>
    <mergeCell ref="G210:H210"/>
    <mergeCell ref="I210:K210"/>
    <mergeCell ref="M210:N210"/>
    <mergeCell ref="F216:J216"/>
    <mergeCell ref="K216:O216"/>
    <mergeCell ref="P216:T216"/>
    <mergeCell ref="U216:Y216"/>
    <mergeCell ref="A217:E217"/>
    <mergeCell ref="F217:H217"/>
    <mergeCell ref="K217:M217"/>
    <mergeCell ref="P217:R217"/>
    <mergeCell ref="U217:W217"/>
    <mergeCell ref="F222:H222"/>
    <mergeCell ref="K222:M222"/>
    <mergeCell ref="P222:R222"/>
    <mergeCell ref="U222:W222"/>
    <mergeCell ref="K223:M223"/>
    <mergeCell ref="P223:R223"/>
    <mergeCell ref="U223:W223"/>
    <mergeCell ref="B225:L225"/>
    <mergeCell ref="O225:Y225"/>
    <mergeCell ref="B226:H226"/>
    <mergeCell ref="I226:L226"/>
    <mergeCell ref="O226:U226"/>
    <mergeCell ref="V226:Y226"/>
    <mergeCell ref="I229:O229"/>
    <mergeCell ref="P229:T229"/>
    <mergeCell ref="U229:W229"/>
    <mergeCell ref="F230:H231"/>
    <mergeCell ref="V230:V231"/>
    <mergeCell ref="A234:B234"/>
    <mergeCell ref="D234:F234"/>
    <mergeCell ref="G234:H234"/>
    <mergeCell ref="B235:H235"/>
    <mergeCell ref="I235:L235"/>
    <mergeCell ref="O235:U235"/>
    <mergeCell ref="V235:Y235"/>
    <mergeCell ref="M236:N236"/>
    <mergeCell ref="A238:E238"/>
    <mergeCell ref="A239:E239"/>
    <mergeCell ref="G239:H239"/>
    <mergeCell ref="I239:K239"/>
    <mergeCell ref="M239:N239"/>
    <mergeCell ref="F245:J245"/>
    <mergeCell ref="K245:O245"/>
    <mergeCell ref="P245:T245"/>
    <mergeCell ref="U245:Y245"/>
    <mergeCell ref="A246:E246"/>
    <mergeCell ref="F246:H246"/>
    <mergeCell ref="K246:M246"/>
    <mergeCell ref="P246:R246"/>
    <mergeCell ref="U246:W246"/>
    <mergeCell ref="F251:H251"/>
    <mergeCell ref="K251:M251"/>
    <mergeCell ref="P251:R251"/>
    <mergeCell ref="U251:W251"/>
    <mergeCell ref="K252:M252"/>
    <mergeCell ref="P252:R252"/>
    <mergeCell ref="U252:W252"/>
    <mergeCell ref="B254:L254"/>
    <mergeCell ref="O254:Y254"/>
    <mergeCell ref="B255:H255"/>
    <mergeCell ref="I255:L255"/>
    <mergeCell ref="O255:U255"/>
    <mergeCell ref="V255:Y255"/>
    <mergeCell ref="I258:O258"/>
    <mergeCell ref="P258:T258"/>
    <mergeCell ref="U258:W258"/>
    <mergeCell ref="F259:H260"/>
    <mergeCell ref="V259:V260"/>
    <mergeCell ref="A263:B263"/>
    <mergeCell ref="D263:F263"/>
    <mergeCell ref="G263:H263"/>
    <mergeCell ref="B264:H264"/>
    <mergeCell ref="I264:L264"/>
    <mergeCell ref="O264:U264"/>
    <mergeCell ref="V264:Y264"/>
    <mergeCell ref="M265:N265"/>
    <mergeCell ref="A267:E267"/>
    <mergeCell ref="A268:E268"/>
    <mergeCell ref="G268:H268"/>
    <mergeCell ref="I268:K268"/>
    <mergeCell ref="M268:N268"/>
    <mergeCell ref="F274:J274"/>
    <mergeCell ref="K274:O274"/>
    <mergeCell ref="P274:T274"/>
    <mergeCell ref="U274:Y274"/>
    <mergeCell ref="A275:E275"/>
    <mergeCell ref="F275:H275"/>
    <mergeCell ref="K275:M275"/>
    <mergeCell ref="P275:R275"/>
    <mergeCell ref="U275:W275"/>
    <mergeCell ref="F280:H280"/>
    <mergeCell ref="K280:M280"/>
    <mergeCell ref="P280:R280"/>
    <mergeCell ref="U280:W280"/>
    <mergeCell ref="K281:M281"/>
    <mergeCell ref="P281:R281"/>
    <mergeCell ref="U281:W281"/>
    <mergeCell ref="B283:L283"/>
    <mergeCell ref="O283:Y283"/>
    <mergeCell ref="B284:H284"/>
    <mergeCell ref="I284:L284"/>
    <mergeCell ref="O284:U284"/>
    <mergeCell ref="V284:Y284"/>
    <mergeCell ref="I287:O287"/>
    <mergeCell ref="P287:T287"/>
    <mergeCell ref="U287:W287"/>
    <mergeCell ref="F288:H289"/>
    <mergeCell ref="V288:V289"/>
    <mergeCell ref="A292:B292"/>
    <mergeCell ref="D292:F292"/>
    <mergeCell ref="G292:H292"/>
    <mergeCell ref="B293:H293"/>
    <mergeCell ref="I293:L293"/>
    <mergeCell ref="O293:U293"/>
    <mergeCell ref="V293:Y293"/>
    <mergeCell ref="M294:N294"/>
    <mergeCell ref="A296:E296"/>
    <mergeCell ref="A297:E297"/>
    <mergeCell ref="G297:H297"/>
    <mergeCell ref="I297:K297"/>
    <mergeCell ref="M297:N297"/>
    <mergeCell ref="F303:J303"/>
    <mergeCell ref="K303:O303"/>
    <mergeCell ref="P303:T303"/>
    <mergeCell ref="U303:Y303"/>
    <mergeCell ref="A304:E304"/>
    <mergeCell ref="F304:H304"/>
    <mergeCell ref="K304:M304"/>
    <mergeCell ref="P304:R304"/>
    <mergeCell ref="U304:W304"/>
    <mergeCell ref="F309:H309"/>
    <mergeCell ref="K309:M309"/>
    <mergeCell ref="P309:R309"/>
    <mergeCell ref="U309:W309"/>
    <mergeCell ref="K310:M310"/>
    <mergeCell ref="P310:R310"/>
    <mergeCell ref="U310:W310"/>
    <mergeCell ref="B312:L312"/>
    <mergeCell ref="O312:Y312"/>
    <mergeCell ref="B313:H313"/>
    <mergeCell ref="I313:L313"/>
    <mergeCell ref="O313:U313"/>
    <mergeCell ref="V313:Y313"/>
    <mergeCell ref="I316:O316"/>
    <mergeCell ref="P316:T316"/>
    <mergeCell ref="U316:W316"/>
    <mergeCell ref="F317:H318"/>
    <mergeCell ref="V317:V318"/>
    <mergeCell ref="A321:B321"/>
    <mergeCell ref="D321:F321"/>
    <mergeCell ref="G321:H321"/>
    <mergeCell ref="B322:H322"/>
    <mergeCell ref="I322:L322"/>
    <mergeCell ref="O322:U322"/>
    <mergeCell ref="V322:Y322"/>
    <mergeCell ref="M323:N323"/>
    <mergeCell ref="A325:E325"/>
    <mergeCell ref="A326:E326"/>
    <mergeCell ref="G326:H326"/>
    <mergeCell ref="I326:K326"/>
    <mergeCell ref="M326:N326"/>
    <mergeCell ref="F332:J332"/>
    <mergeCell ref="K332:O332"/>
    <mergeCell ref="P332:T332"/>
    <mergeCell ref="U332:Y332"/>
    <mergeCell ref="A333:E333"/>
    <mergeCell ref="F333:H333"/>
    <mergeCell ref="K333:M333"/>
    <mergeCell ref="P333:R333"/>
    <mergeCell ref="U333:W333"/>
    <mergeCell ref="F338:H338"/>
    <mergeCell ref="K338:M338"/>
    <mergeCell ref="P338:R338"/>
    <mergeCell ref="U338:W338"/>
    <mergeCell ref="K339:M339"/>
    <mergeCell ref="P339:R339"/>
    <mergeCell ref="U339:W339"/>
    <mergeCell ref="B341:L341"/>
    <mergeCell ref="O341:Y341"/>
    <mergeCell ref="B342:H342"/>
    <mergeCell ref="I342:L342"/>
    <mergeCell ref="O342:U342"/>
    <mergeCell ref="V342:Y342"/>
    <mergeCell ref="I345:O345"/>
    <mergeCell ref="P345:T345"/>
    <mergeCell ref="U345:W345"/>
    <mergeCell ref="F346:H347"/>
    <mergeCell ref="V346:V347"/>
    <mergeCell ref="A350:B350"/>
    <mergeCell ref="D350:F350"/>
    <mergeCell ref="G350:H350"/>
    <mergeCell ref="B351:H351"/>
    <mergeCell ref="I351:L351"/>
    <mergeCell ref="O351:U351"/>
    <mergeCell ref="V351:Y351"/>
    <mergeCell ref="M352:N352"/>
    <mergeCell ref="A354:E354"/>
    <mergeCell ref="A355:E355"/>
    <mergeCell ref="G355:H355"/>
    <mergeCell ref="I355:K355"/>
    <mergeCell ref="M355:N355"/>
    <mergeCell ref="F361:J361"/>
    <mergeCell ref="K361:O361"/>
    <mergeCell ref="P361:T361"/>
    <mergeCell ref="U361:Y361"/>
    <mergeCell ref="A362:E362"/>
    <mergeCell ref="F362:H362"/>
    <mergeCell ref="K362:M362"/>
    <mergeCell ref="P362:R362"/>
    <mergeCell ref="U362:W362"/>
    <mergeCell ref="F367:H367"/>
    <mergeCell ref="K367:M367"/>
    <mergeCell ref="P367:R367"/>
    <mergeCell ref="U367:W367"/>
    <mergeCell ref="K368:M368"/>
    <mergeCell ref="P368:R368"/>
    <mergeCell ref="U368:W368"/>
    <mergeCell ref="B370:L370"/>
    <mergeCell ref="O370:Y370"/>
    <mergeCell ref="B371:H371"/>
    <mergeCell ref="I371:L371"/>
    <mergeCell ref="O371:U371"/>
    <mergeCell ref="V371:Y371"/>
    <mergeCell ref="I374:O374"/>
    <mergeCell ref="P374:T374"/>
    <mergeCell ref="U374:W374"/>
    <mergeCell ref="F375:H376"/>
    <mergeCell ref="V375:V376"/>
    <mergeCell ref="A379:B379"/>
    <mergeCell ref="D379:F379"/>
    <mergeCell ref="G379:H379"/>
    <mergeCell ref="B380:H380"/>
    <mergeCell ref="I380:L380"/>
    <mergeCell ref="O380:U380"/>
    <mergeCell ref="V380:Y380"/>
    <mergeCell ref="M381:N381"/>
    <mergeCell ref="A383:E383"/>
    <mergeCell ref="A384:E384"/>
    <mergeCell ref="G384:H384"/>
    <mergeCell ref="I384:K384"/>
    <mergeCell ref="M384:N384"/>
    <mergeCell ref="F390:J390"/>
    <mergeCell ref="K390:O390"/>
    <mergeCell ref="P390:T390"/>
    <mergeCell ref="U390:Y390"/>
    <mergeCell ref="A391:E391"/>
    <mergeCell ref="F391:H391"/>
    <mergeCell ref="K391:M391"/>
    <mergeCell ref="P391:R391"/>
    <mergeCell ref="U391:W391"/>
    <mergeCell ref="F396:H396"/>
    <mergeCell ref="K396:M396"/>
    <mergeCell ref="P396:R396"/>
    <mergeCell ref="U396:W396"/>
    <mergeCell ref="K397:M397"/>
    <mergeCell ref="P397:R397"/>
    <mergeCell ref="U397:W397"/>
    <mergeCell ref="B399:L399"/>
    <mergeCell ref="O399:Y399"/>
    <mergeCell ref="B400:H400"/>
    <mergeCell ref="I400:L400"/>
    <mergeCell ref="O400:U400"/>
    <mergeCell ref="V400:Y400"/>
    <mergeCell ref="I403:O403"/>
    <mergeCell ref="P403:T403"/>
    <mergeCell ref="U403:W403"/>
    <mergeCell ref="F404:H405"/>
    <mergeCell ref="V404:V405"/>
    <mergeCell ref="A408:B408"/>
    <mergeCell ref="D408:F408"/>
    <mergeCell ref="G408:H408"/>
    <mergeCell ref="B409:H409"/>
    <mergeCell ref="I409:L409"/>
    <mergeCell ref="O409:U409"/>
    <mergeCell ref="V409:Y409"/>
    <mergeCell ref="M410:N410"/>
    <mergeCell ref="A412:E412"/>
    <mergeCell ref="A413:E413"/>
    <mergeCell ref="G413:H413"/>
    <mergeCell ref="I413:K413"/>
    <mergeCell ref="M413:N413"/>
    <mergeCell ref="F419:J419"/>
    <mergeCell ref="K419:O419"/>
    <mergeCell ref="P419:T419"/>
    <mergeCell ref="U419:Y419"/>
    <mergeCell ref="A420:E420"/>
    <mergeCell ref="F420:H420"/>
    <mergeCell ref="K420:M420"/>
    <mergeCell ref="P420:R420"/>
    <mergeCell ref="U420:W420"/>
    <mergeCell ref="F425:H425"/>
    <mergeCell ref="K425:M425"/>
    <mergeCell ref="P425:R425"/>
    <mergeCell ref="U425:W425"/>
    <mergeCell ref="K426:M426"/>
    <mergeCell ref="P426:R426"/>
    <mergeCell ref="U426:W426"/>
    <mergeCell ref="B428:L428"/>
    <mergeCell ref="O428:Y428"/>
    <mergeCell ref="B429:H429"/>
    <mergeCell ref="I429:L429"/>
    <mergeCell ref="O429:U429"/>
    <mergeCell ref="V429:Y429"/>
    <mergeCell ref="I432:O432"/>
    <mergeCell ref="P432:T432"/>
    <mergeCell ref="U432:W432"/>
    <mergeCell ref="F433:H434"/>
    <mergeCell ref="V433:V434"/>
    <mergeCell ref="A437:B437"/>
    <mergeCell ref="D437:F437"/>
    <mergeCell ref="G437:H437"/>
    <mergeCell ref="B438:H438"/>
    <mergeCell ref="I438:L438"/>
    <mergeCell ref="O438:U438"/>
    <mergeCell ref="V438:Y438"/>
    <mergeCell ref="M439:N439"/>
    <mergeCell ref="A441:E441"/>
    <mergeCell ref="A442:E442"/>
    <mergeCell ref="G442:H442"/>
    <mergeCell ref="I442:K442"/>
    <mergeCell ref="M442:N442"/>
    <mergeCell ref="F448:J448"/>
    <mergeCell ref="K448:O448"/>
    <mergeCell ref="P448:T448"/>
    <mergeCell ref="U448:Y448"/>
    <mergeCell ref="A449:E449"/>
    <mergeCell ref="F449:H449"/>
    <mergeCell ref="K449:M449"/>
    <mergeCell ref="P449:R449"/>
    <mergeCell ref="U449:W449"/>
    <mergeCell ref="F454:H454"/>
    <mergeCell ref="K454:M454"/>
    <mergeCell ref="P454:R454"/>
    <mergeCell ref="U454:W454"/>
    <mergeCell ref="K455:M455"/>
    <mergeCell ref="P455:R455"/>
    <mergeCell ref="U455:W455"/>
    <mergeCell ref="B457:L457"/>
    <mergeCell ref="O457:Y457"/>
    <mergeCell ref="B458:H458"/>
    <mergeCell ref="I458:L458"/>
    <mergeCell ref="O458:U458"/>
    <mergeCell ref="V458:Y458"/>
    <mergeCell ref="I461:O461"/>
    <mergeCell ref="P461:T461"/>
    <mergeCell ref="U461:W461"/>
    <mergeCell ref="F462:H463"/>
    <mergeCell ref="V462:V463"/>
    <mergeCell ref="A466:B466"/>
    <mergeCell ref="D466:F466"/>
    <mergeCell ref="G466:H466"/>
    <mergeCell ref="B467:H467"/>
    <mergeCell ref="I467:L467"/>
    <mergeCell ref="O467:U467"/>
    <mergeCell ref="V467:Y467"/>
    <mergeCell ref="M468:N468"/>
    <mergeCell ref="A470:E470"/>
    <mergeCell ref="A471:E471"/>
    <mergeCell ref="G471:H471"/>
    <mergeCell ref="I471:K471"/>
    <mergeCell ref="M471:N471"/>
    <mergeCell ref="F477:J477"/>
    <mergeCell ref="K477:O477"/>
    <mergeCell ref="P477:T477"/>
    <mergeCell ref="U477:Y477"/>
    <mergeCell ref="A478:E478"/>
    <mergeCell ref="F478:H478"/>
    <mergeCell ref="K478:M478"/>
    <mergeCell ref="P478:R478"/>
    <mergeCell ref="U478:W478"/>
    <mergeCell ref="F483:H483"/>
    <mergeCell ref="K483:M483"/>
    <mergeCell ref="P483:R483"/>
    <mergeCell ref="U483:W483"/>
    <mergeCell ref="K484:M484"/>
    <mergeCell ref="P484:R484"/>
    <mergeCell ref="U484:W484"/>
    <mergeCell ref="B486:L486"/>
    <mergeCell ref="O486:Y486"/>
    <mergeCell ref="B487:H487"/>
    <mergeCell ref="I487:L487"/>
    <mergeCell ref="O487:U487"/>
    <mergeCell ref="V487:Y487"/>
    <mergeCell ref="I490:O490"/>
    <mergeCell ref="P490:T490"/>
    <mergeCell ref="U490:W490"/>
    <mergeCell ref="F491:H492"/>
    <mergeCell ref="V491:V492"/>
    <mergeCell ref="A495:B495"/>
    <mergeCell ref="D495:F495"/>
    <mergeCell ref="G495:H495"/>
    <mergeCell ref="B496:H496"/>
    <mergeCell ref="I496:L496"/>
    <mergeCell ref="O496:U496"/>
    <mergeCell ref="V496:Y496"/>
    <mergeCell ref="M497:N497"/>
    <mergeCell ref="A499:E499"/>
    <mergeCell ref="A500:E500"/>
    <mergeCell ref="G500:H500"/>
    <mergeCell ref="I500:K500"/>
    <mergeCell ref="M500:N500"/>
    <mergeCell ref="F506:J506"/>
    <mergeCell ref="K506:O506"/>
    <mergeCell ref="P506:T506"/>
    <mergeCell ref="U506:Y506"/>
    <mergeCell ref="A507:E507"/>
    <mergeCell ref="F507:H507"/>
    <mergeCell ref="K507:M507"/>
    <mergeCell ref="P507:R507"/>
    <mergeCell ref="U507:W507"/>
    <mergeCell ref="F512:H512"/>
    <mergeCell ref="K512:M512"/>
    <mergeCell ref="P512:R512"/>
    <mergeCell ref="U512:W512"/>
    <mergeCell ref="K513:M513"/>
    <mergeCell ref="P513:R513"/>
    <mergeCell ref="U513:W513"/>
    <mergeCell ref="B515:L515"/>
    <mergeCell ref="O515:Y515"/>
    <mergeCell ref="B516:H516"/>
    <mergeCell ref="I516:L516"/>
    <mergeCell ref="O516:U516"/>
    <mergeCell ref="V516:Y516"/>
    <mergeCell ref="I519:O519"/>
    <mergeCell ref="P519:T519"/>
    <mergeCell ref="U519:W519"/>
    <mergeCell ref="F520:H521"/>
    <mergeCell ref="V520:V521"/>
    <mergeCell ref="A524:B524"/>
    <mergeCell ref="D524:F524"/>
    <mergeCell ref="G524:H524"/>
    <mergeCell ref="B525:H525"/>
    <mergeCell ref="I525:L525"/>
    <mergeCell ref="O525:U525"/>
    <mergeCell ref="V525:Y525"/>
    <mergeCell ref="M526:N526"/>
    <mergeCell ref="A528:E528"/>
    <mergeCell ref="A529:E529"/>
    <mergeCell ref="G529:H529"/>
    <mergeCell ref="I529:K529"/>
    <mergeCell ref="M529:N529"/>
    <mergeCell ref="F535:J535"/>
    <mergeCell ref="K535:O535"/>
    <mergeCell ref="P535:T535"/>
    <mergeCell ref="U535:Y535"/>
    <mergeCell ref="A536:E536"/>
    <mergeCell ref="F536:H536"/>
    <mergeCell ref="K536:M536"/>
    <mergeCell ref="P536:R536"/>
    <mergeCell ref="U536:W536"/>
    <mergeCell ref="F541:H541"/>
    <mergeCell ref="K541:M541"/>
    <mergeCell ref="P541:R541"/>
    <mergeCell ref="U541:W541"/>
    <mergeCell ref="K542:M542"/>
    <mergeCell ref="P542:R542"/>
    <mergeCell ref="U542:W542"/>
    <mergeCell ref="B544:L544"/>
    <mergeCell ref="O544:Y544"/>
    <mergeCell ref="B545:H545"/>
    <mergeCell ref="I545:L545"/>
    <mergeCell ref="O545:U545"/>
    <mergeCell ref="V545:Y545"/>
    <mergeCell ref="I548:O548"/>
    <mergeCell ref="P548:T548"/>
    <mergeCell ref="U548:W548"/>
    <mergeCell ref="F549:H550"/>
    <mergeCell ref="V549:V550"/>
    <mergeCell ref="A553:B553"/>
    <mergeCell ref="D553:F553"/>
    <mergeCell ref="G553:H553"/>
    <mergeCell ref="B554:H554"/>
    <mergeCell ref="I554:L554"/>
    <mergeCell ref="O554:U554"/>
    <mergeCell ref="V554:Y554"/>
    <mergeCell ref="M555:N555"/>
    <mergeCell ref="A557:E557"/>
    <mergeCell ref="A558:E558"/>
    <mergeCell ref="G558:H558"/>
    <mergeCell ref="I558:K558"/>
    <mergeCell ref="M558:N558"/>
    <mergeCell ref="F564:J564"/>
    <mergeCell ref="K564:O564"/>
    <mergeCell ref="P564:T564"/>
    <mergeCell ref="U564:Y564"/>
    <mergeCell ref="A565:E565"/>
    <mergeCell ref="F565:H565"/>
    <mergeCell ref="K565:M565"/>
    <mergeCell ref="P565:R565"/>
    <mergeCell ref="U565:W565"/>
    <mergeCell ref="F570:H570"/>
    <mergeCell ref="K570:M570"/>
    <mergeCell ref="P570:R570"/>
    <mergeCell ref="U570:W570"/>
    <mergeCell ref="K571:M571"/>
    <mergeCell ref="P571:R571"/>
    <mergeCell ref="U571:W571"/>
    <mergeCell ref="B573:L573"/>
    <mergeCell ref="O573:Y573"/>
    <mergeCell ref="B574:H574"/>
    <mergeCell ref="I574:L574"/>
    <mergeCell ref="O574:U574"/>
    <mergeCell ref="V574:Y574"/>
    <mergeCell ref="I577:O577"/>
    <mergeCell ref="P577:T577"/>
    <mergeCell ref="U577:W577"/>
    <mergeCell ref="F578:H579"/>
    <mergeCell ref="V578:V579"/>
    <mergeCell ref="A582:B582"/>
    <mergeCell ref="D582:F582"/>
    <mergeCell ref="G582:H582"/>
    <mergeCell ref="B583:H583"/>
    <mergeCell ref="I583:L583"/>
    <mergeCell ref="O583:U583"/>
    <mergeCell ref="V583:Y583"/>
    <mergeCell ref="M584:N584"/>
    <mergeCell ref="A586:E586"/>
    <mergeCell ref="A587:E587"/>
    <mergeCell ref="G587:H587"/>
    <mergeCell ref="I587:K587"/>
    <mergeCell ref="M587:N587"/>
    <mergeCell ref="F593:J593"/>
    <mergeCell ref="K593:O593"/>
    <mergeCell ref="P593:T593"/>
    <mergeCell ref="U593:Y593"/>
    <mergeCell ref="A594:E594"/>
    <mergeCell ref="F594:H594"/>
    <mergeCell ref="K594:M594"/>
    <mergeCell ref="P594:R594"/>
    <mergeCell ref="U594:W594"/>
    <mergeCell ref="F599:H599"/>
    <mergeCell ref="K599:M599"/>
    <mergeCell ref="P599:R599"/>
    <mergeCell ref="U599:W599"/>
    <mergeCell ref="K600:M600"/>
    <mergeCell ref="P600:R600"/>
    <mergeCell ref="U600:W600"/>
    <mergeCell ref="B602:L602"/>
    <mergeCell ref="O602:Y602"/>
    <mergeCell ref="B603:H603"/>
    <mergeCell ref="I603:L603"/>
    <mergeCell ref="O603:U603"/>
    <mergeCell ref="V603:Y603"/>
    <mergeCell ref="I606:O606"/>
    <mergeCell ref="P606:T606"/>
    <mergeCell ref="U606:W606"/>
    <mergeCell ref="F607:H608"/>
    <mergeCell ref="V607:V608"/>
    <mergeCell ref="A611:B611"/>
    <mergeCell ref="D611:F611"/>
    <mergeCell ref="G611:H611"/>
    <mergeCell ref="B612:H612"/>
    <mergeCell ref="I612:L612"/>
    <mergeCell ref="O612:U612"/>
    <mergeCell ref="V612:Y612"/>
    <mergeCell ref="M613:N613"/>
    <mergeCell ref="A615:E615"/>
    <mergeCell ref="A616:E616"/>
    <mergeCell ref="G616:H616"/>
    <mergeCell ref="I616:K616"/>
    <mergeCell ref="M616:N616"/>
    <mergeCell ref="F622:J622"/>
    <mergeCell ref="K622:O622"/>
    <mergeCell ref="P622:T622"/>
    <mergeCell ref="U622:Y622"/>
    <mergeCell ref="A623:E623"/>
    <mergeCell ref="F623:H623"/>
    <mergeCell ref="K623:M623"/>
    <mergeCell ref="P623:R623"/>
    <mergeCell ref="U623:W623"/>
    <mergeCell ref="F636:H637"/>
    <mergeCell ref="V636:V637"/>
    <mergeCell ref="B631:L631"/>
    <mergeCell ref="O631:Y631"/>
    <mergeCell ref="B632:H632"/>
    <mergeCell ref="I632:L632"/>
    <mergeCell ref="O632:U632"/>
    <mergeCell ref="V632:Y632"/>
    <mergeCell ref="F628:H628"/>
    <mergeCell ref="K628:M628"/>
    <mergeCell ref="P628:R628"/>
    <mergeCell ref="U628:W628"/>
    <mergeCell ref="K629:M629"/>
    <mergeCell ref="P629:R629"/>
    <mergeCell ref="U629:W629"/>
    <mergeCell ref="I635:O635"/>
    <mergeCell ref="P635:T635"/>
    <mergeCell ref="U635:W635"/>
  </mergeCells>
  <pageMargins left="0.25" right="0.25" top="0.75" bottom="0.75" header="0.3" footer="0.3"/>
  <pageSetup paperSize="9" scale="88" orientation="landscape" r:id="rId1"/>
  <rowBreaks count="21" manualBreakCount="21">
    <brk id="29" max="16383" man="1"/>
    <brk id="58" max="16383" man="1"/>
    <brk id="87" max="25" man="1"/>
    <brk id="116" max="25" man="1"/>
    <brk id="145" max="25" man="1"/>
    <brk id="174" max="25" man="1"/>
    <brk id="203" max="25" man="1"/>
    <brk id="232" max="25" man="1"/>
    <brk id="261" max="25" man="1"/>
    <brk id="290" max="25" man="1"/>
    <brk id="319" max="25" man="1"/>
    <brk id="348" max="25" man="1"/>
    <brk id="377" max="25" man="1"/>
    <brk id="406" max="25" man="1"/>
    <brk id="435" max="25" man="1"/>
    <brk id="464" max="25" man="1"/>
    <brk id="493" max="25" man="1"/>
    <brk id="522" max="25" man="1"/>
    <brk id="551" max="25" man="1"/>
    <brk id="580" max="25" man="1"/>
    <brk id="609" max="25"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29">
    <pageSetUpPr fitToPage="1"/>
  </sheetPr>
  <dimension ref="A1:L108"/>
  <sheetViews>
    <sheetView topLeftCell="B1" workbookViewId="0">
      <selection activeCell="L57" sqref="A1:L57"/>
    </sheetView>
  </sheetViews>
  <sheetFormatPr baseColWidth="10" defaultRowHeight="15" x14ac:dyDescent="0.25"/>
  <cols>
    <col min="1" max="1" width="3.42578125" customWidth="1"/>
    <col min="2" max="2" width="36" bestFit="1" customWidth="1"/>
    <col min="3" max="3" width="27.140625" customWidth="1"/>
    <col min="4" max="4" width="21.7109375" customWidth="1"/>
    <col min="5" max="5" width="19" hidden="1" customWidth="1"/>
    <col min="6" max="6" width="12.28515625" hidden="1" customWidth="1"/>
    <col min="7" max="7" width="12.5703125" style="3" hidden="1" customWidth="1"/>
    <col min="8" max="8" width="12.42578125" style="3" hidden="1" customWidth="1"/>
    <col min="9" max="9" width="5.7109375" style="3" hidden="1" customWidth="1"/>
    <col min="10" max="10" width="5.7109375" style="18" hidden="1" customWidth="1"/>
    <col min="11" max="11" width="16.28515625" style="5" customWidth="1"/>
    <col min="12" max="12" width="7" customWidth="1"/>
    <col min="13" max="13" width="22" customWidth="1"/>
  </cols>
  <sheetData>
    <row r="1" spans="1:12" ht="83.25" customHeight="1" x14ac:dyDescent="0.2">
      <c r="A1" s="40"/>
      <c r="B1" s="550" t="s">
        <v>887</v>
      </c>
      <c r="C1" s="1241" t="str">
        <f>Championnat</f>
        <v>Championnat de France de Tir à l'ARC</v>
      </c>
      <c r="D1" s="1241"/>
      <c r="E1" s="1241"/>
      <c r="F1" s="1241"/>
      <c r="G1" s="1241"/>
      <c r="H1" s="1241"/>
      <c r="I1" s="1241"/>
      <c r="J1" s="549"/>
      <c r="K1" s="549"/>
    </row>
    <row r="2" spans="1:12" ht="20.25" x14ac:dyDescent="0.25">
      <c r="A2" s="40"/>
      <c r="B2" s="964" t="str">
        <f>CATEG_IMPORTEE</f>
        <v>Collèges Mixtes Etablissement</v>
      </c>
      <c r="C2" s="964"/>
      <c r="D2" s="964"/>
    </row>
    <row r="3" spans="1:12" x14ac:dyDescent="0.2">
      <c r="A3" s="1240" t="str">
        <f>LIEU&amp;" du "&amp;DATE</f>
        <v>L’Isle sur la Sorgue du 27 au 31 mars 2023</v>
      </c>
      <c r="B3" s="1240"/>
      <c r="C3" s="1240"/>
      <c r="D3" s="1240"/>
      <c r="E3" s="1240"/>
      <c r="F3" s="1240"/>
      <c r="G3" s="1240"/>
      <c r="H3" s="49" t="s">
        <v>31</v>
      </c>
      <c r="I3" s="44"/>
      <c r="J3" s="50" t="s">
        <v>12</v>
      </c>
      <c r="L3" s="50" t="s">
        <v>14</v>
      </c>
    </row>
    <row r="4" spans="1:12" ht="13.5" thickBot="1" x14ac:dyDescent="0.25">
      <c r="A4" s="40"/>
      <c r="B4" s="51" t="s">
        <v>0</v>
      </c>
      <c r="C4" s="51" t="s">
        <v>375</v>
      </c>
      <c r="D4" s="51" t="s">
        <v>374</v>
      </c>
      <c r="E4" s="52" t="s">
        <v>1</v>
      </c>
      <c r="F4" s="52" t="s">
        <v>2</v>
      </c>
      <c r="G4" s="53" t="s">
        <v>33</v>
      </c>
      <c r="H4" s="52" t="s">
        <v>32</v>
      </c>
      <c r="I4" s="52" t="s">
        <v>377</v>
      </c>
      <c r="J4" s="52" t="s">
        <v>13</v>
      </c>
      <c r="K4" s="51" t="s">
        <v>2</v>
      </c>
      <c r="L4" s="50" t="s">
        <v>13</v>
      </c>
    </row>
    <row r="5" spans="1:12" ht="14.25" x14ac:dyDescent="0.2">
      <c r="A5" s="411">
        <f>Engagements!A6</f>
        <v>1</v>
      </c>
      <c r="B5" s="412" t="str">
        <f>Engagements!B6</f>
        <v/>
      </c>
      <c r="C5" s="412" t="str">
        <f>Engagements!C6</f>
        <v/>
      </c>
      <c r="D5" s="768" t="str">
        <f>Engagements!E6</f>
        <v/>
      </c>
      <c r="E5" s="412" t="str">
        <f>Engagements!E6</f>
        <v/>
      </c>
      <c r="F5" s="412" t="str">
        <f>Engagements!F6</f>
        <v/>
      </c>
      <c r="G5" s="416" t="str">
        <f>Engagements!G6</f>
        <v/>
      </c>
      <c r="H5" s="417" t="str">
        <f>Engagements!H6</f>
        <v/>
      </c>
      <c r="I5" s="417" t="str">
        <f>Engagements!I6</f>
        <v/>
      </c>
      <c r="J5" s="417" t="str">
        <f>Engagements!J6</f>
        <v/>
      </c>
      <c r="K5" s="765" t="str">
        <f>Engagements!F6</f>
        <v/>
      </c>
      <c r="L5" s="771" t="str">
        <f>Engagements!K6</f>
        <v/>
      </c>
    </row>
    <row r="6" spans="1:12" ht="14.25" x14ac:dyDescent="0.2">
      <c r="A6" s="413">
        <f>Engagements!A7</f>
        <v>2</v>
      </c>
      <c r="B6" s="69" t="str">
        <f>Engagements!B7</f>
        <v/>
      </c>
      <c r="C6" s="69" t="str">
        <f>Engagements!C7</f>
        <v/>
      </c>
      <c r="D6" s="769" t="str">
        <f>Engagements!E7</f>
        <v/>
      </c>
      <c r="E6" s="69" t="str">
        <f>Engagements!E7</f>
        <v/>
      </c>
      <c r="F6" s="69" t="str">
        <f>Engagements!F7</f>
        <v/>
      </c>
      <c r="G6" s="71" t="str">
        <f>Engagements!G7</f>
        <v/>
      </c>
      <c r="H6" s="64" t="str">
        <f>Engagements!H7</f>
        <v/>
      </c>
      <c r="I6" s="64" t="str">
        <f>Engagements!I7</f>
        <v/>
      </c>
      <c r="J6" s="64" t="str">
        <f>Engagements!J7</f>
        <v/>
      </c>
      <c r="K6" s="766" t="str">
        <f>Engagements!F7</f>
        <v/>
      </c>
      <c r="L6" s="772" t="str">
        <f>Engagements!K7</f>
        <v/>
      </c>
    </row>
    <row r="7" spans="1:12" ht="14.25" x14ac:dyDescent="0.2">
      <c r="A7" s="413">
        <f>Engagements!A8</f>
        <v>3</v>
      </c>
      <c r="B7" s="69" t="str">
        <f>Engagements!B8</f>
        <v/>
      </c>
      <c r="C7" s="69" t="str">
        <f>Engagements!C8</f>
        <v/>
      </c>
      <c r="D7" s="769" t="str">
        <f>Engagements!E8</f>
        <v/>
      </c>
      <c r="E7" s="69" t="str">
        <f>Engagements!E8</f>
        <v/>
      </c>
      <c r="F7" s="69" t="str">
        <f>Engagements!F8</f>
        <v/>
      </c>
      <c r="G7" s="71" t="str">
        <f>Engagements!G8</f>
        <v/>
      </c>
      <c r="H7" s="64" t="str">
        <f>Engagements!H8</f>
        <v/>
      </c>
      <c r="I7" s="64" t="str">
        <f>Engagements!I8</f>
        <v/>
      </c>
      <c r="J7" s="64" t="str">
        <f>Engagements!J8</f>
        <v/>
      </c>
      <c r="K7" s="766" t="str">
        <f>Engagements!F8</f>
        <v/>
      </c>
      <c r="L7" s="772" t="str">
        <f>Engagements!K8</f>
        <v/>
      </c>
    </row>
    <row r="8" spans="1:12" thickBot="1" x14ac:dyDescent="0.25">
      <c r="A8" s="414">
        <f>Engagements!A9</f>
        <v>4</v>
      </c>
      <c r="B8" s="415" t="str">
        <f>Engagements!B9</f>
        <v/>
      </c>
      <c r="C8" s="415" t="str">
        <f>Engagements!C9</f>
        <v/>
      </c>
      <c r="D8" s="770" t="str">
        <f>Engagements!E9</f>
        <v/>
      </c>
      <c r="E8" s="415" t="str">
        <f>Engagements!E9</f>
        <v/>
      </c>
      <c r="F8" s="415" t="str">
        <f>Engagements!F9</f>
        <v/>
      </c>
      <c r="G8" s="419" t="str">
        <f>Engagements!G9</f>
        <v/>
      </c>
      <c r="H8" s="418" t="str">
        <f>Engagements!H9</f>
        <v/>
      </c>
      <c r="I8" s="418" t="str">
        <f>Engagements!I9</f>
        <v/>
      </c>
      <c r="J8" s="418" t="str">
        <f>Engagements!J9</f>
        <v/>
      </c>
      <c r="K8" s="767" t="str">
        <f>Engagements!F9</f>
        <v/>
      </c>
      <c r="L8" s="773" t="str">
        <f>Engagements!K9</f>
        <v/>
      </c>
    </row>
    <row r="9" spans="1:12" ht="14.25" x14ac:dyDescent="0.2">
      <c r="A9" s="411">
        <f>Engagements!A10</f>
        <v>5</v>
      </c>
      <c r="B9" s="412" t="str">
        <f>Engagements!B10</f>
        <v/>
      </c>
      <c r="C9" s="412" t="str">
        <f>Engagements!C10</f>
        <v/>
      </c>
      <c r="D9" s="768" t="str">
        <f>Engagements!E10</f>
        <v/>
      </c>
      <c r="E9" s="412" t="str">
        <f>Engagements!E10</f>
        <v/>
      </c>
      <c r="F9" s="412" t="str">
        <f>Engagements!F10</f>
        <v/>
      </c>
      <c r="G9" s="416" t="str">
        <f>Engagements!G10</f>
        <v/>
      </c>
      <c r="H9" s="417" t="str">
        <f>Engagements!H10</f>
        <v/>
      </c>
      <c r="I9" s="417" t="str">
        <f>Engagements!I10</f>
        <v/>
      </c>
      <c r="J9" s="417" t="str">
        <f>Engagements!J10</f>
        <v/>
      </c>
      <c r="K9" s="765" t="str">
        <f>Engagements!F10</f>
        <v/>
      </c>
      <c r="L9" s="771" t="str">
        <f>Engagements!K10</f>
        <v/>
      </c>
    </row>
    <row r="10" spans="1:12" ht="14.25" x14ac:dyDescent="0.2">
      <c r="A10" s="413">
        <f>Engagements!A11</f>
        <v>6</v>
      </c>
      <c r="B10" s="69" t="str">
        <f>Engagements!B11</f>
        <v/>
      </c>
      <c r="C10" s="69" t="str">
        <f>Engagements!C11</f>
        <v/>
      </c>
      <c r="D10" s="769" t="str">
        <f>Engagements!E11</f>
        <v/>
      </c>
      <c r="E10" s="69" t="str">
        <f>Engagements!E11</f>
        <v/>
      </c>
      <c r="F10" s="69" t="str">
        <f>Engagements!F11</f>
        <v/>
      </c>
      <c r="G10" s="71" t="str">
        <f>Engagements!G11</f>
        <v/>
      </c>
      <c r="H10" s="64" t="str">
        <f>Engagements!H11</f>
        <v/>
      </c>
      <c r="I10" s="64" t="str">
        <f>Engagements!I11</f>
        <v/>
      </c>
      <c r="J10" s="64" t="str">
        <f>Engagements!J11</f>
        <v/>
      </c>
      <c r="K10" s="766" t="str">
        <f>Engagements!F11</f>
        <v/>
      </c>
      <c r="L10" s="772" t="str">
        <f>Engagements!K11</f>
        <v/>
      </c>
    </row>
    <row r="11" spans="1:12" ht="14.25" x14ac:dyDescent="0.2">
      <c r="A11" s="413">
        <f>Engagements!A12</f>
        <v>7</v>
      </c>
      <c r="B11" s="69" t="str">
        <f>Engagements!B12</f>
        <v/>
      </c>
      <c r="C11" s="69" t="str">
        <f>Engagements!C12</f>
        <v/>
      </c>
      <c r="D11" s="769" t="str">
        <f>Engagements!E12</f>
        <v/>
      </c>
      <c r="E11" s="69" t="str">
        <f>Engagements!E12</f>
        <v/>
      </c>
      <c r="F11" s="69" t="str">
        <f>Engagements!F12</f>
        <v/>
      </c>
      <c r="G11" s="71" t="str">
        <f>Engagements!G12</f>
        <v/>
      </c>
      <c r="H11" s="64" t="str">
        <f>Engagements!H12</f>
        <v/>
      </c>
      <c r="I11" s="64" t="str">
        <f>Engagements!I12</f>
        <v/>
      </c>
      <c r="J11" s="64" t="str">
        <f>Engagements!J12</f>
        <v/>
      </c>
      <c r="K11" s="766" t="str">
        <f>Engagements!F12</f>
        <v/>
      </c>
      <c r="L11" s="772" t="str">
        <f>Engagements!K12</f>
        <v/>
      </c>
    </row>
    <row r="12" spans="1:12" thickBot="1" x14ac:dyDescent="0.25">
      <c r="A12" s="414">
        <f>Engagements!A13</f>
        <v>8</v>
      </c>
      <c r="B12" s="415" t="str">
        <f>Engagements!B13</f>
        <v/>
      </c>
      <c r="C12" s="415" t="str">
        <f>Engagements!C13</f>
        <v/>
      </c>
      <c r="D12" s="770" t="str">
        <f>Engagements!E13</f>
        <v/>
      </c>
      <c r="E12" s="415" t="str">
        <f>Engagements!E13</f>
        <v/>
      </c>
      <c r="F12" s="415" t="str">
        <f>Engagements!F13</f>
        <v/>
      </c>
      <c r="G12" s="419" t="str">
        <f>Engagements!G13</f>
        <v/>
      </c>
      <c r="H12" s="418" t="str">
        <f>Engagements!H13</f>
        <v/>
      </c>
      <c r="I12" s="418" t="str">
        <f>Engagements!I13</f>
        <v/>
      </c>
      <c r="J12" s="418" t="str">
        <f>Engagements!J13</f>
        <v/>
      </c>
      <c r="K12" s="767" t="str">
        <f>Engagements!F13</f>
        <v/>
      </c>
      <c r="L12" s="773" t="str">
        <f>Engagements!K13</f>
        <v/>
      </c>
    </row>
    <row r="13" spans="1:12" ht="14.25" x14ac:dyDescent="0.2">
      <c r="A13" s="411">
        <f>Engagements!A14</f>
        <v>9</v>
      </c>
      <c r="B13" s="412" t="str">
        <f>Engagements!B14</f>
        <v/>
      </c>
      <c r="C13" s="412" t="str">
        <f>Engagements!C14</f>
        <v/>
      </c>
      <c r="D13" s="768" t="str">
        <f>Engagements!E14</f>
        <v/>
      </c>
      <c r="E13" s="412" t="str">
        <f>Engagements!E14</f>
        <v/>
      </c>
      <c r="F13" s="412" t="str">
        <f>Engagements!F14</f>
        <v/>
      </c>
      <c r="G13" s="416" t="str">
        <f>Engagements!G14</f>
        <v/>
      </c>
      <c r="H13" s="417" t="str">
        <f>Engagements!H14</f>
        <v/>
      </c>
      <c r="I13" s="417" t="str">
        <f>Engagements!I14</f>
        <v/>
      </c>
      <c r="J13" s="417" t="str">
        <f>Engagements!J14</f>
        <v/>
      </c>
      <c r="K13" s="765" t="str">
        <f>Engagements!F14</f>
        <v/>
      </c>
      <c r="L13" s="771" t="str">
        <f>Engagements!K14</f>
        <v/>
      </c>
    </row>
    <row r="14" spans="1:12" ht="14.25" x14ac:dyDescent="0.2">
      <c r="A14" s="413">
        <f>Engagements!A15</f>
        <v>10</v>
      </c>
      <c r="B14" s="69" t="str">
        <f>Engagements!B15</f>
        <v/>
      </c>
      <c r="C14" s="69" t="str">
        <f>Engagements!C15</f>
        <v/>
      </c>
      <c r="D14" s="769" t="str">
        <f>Engagements!E15</f>
        <v/>
      </c>
      <c r="E14" s="69" t="str">
        <f>Engagements!E15</f>
        <v/>
      </c>
      <c r="F14" s="69" t="str">
        <f>Engagements!F15</f>
        <v/>
      </c>
      <c r="G14" s="71" t="str">
        <f>Engagements!G15</f>
        <v/>
      </c>
      <c r="H14" s="64" t="str">
        <f>Engagements!H15</f>
        <v/>
      </c>
      <c r="I14" s="64" t="str">
        <f>Engagements!I15</f>
        <v/>
      </c>
      <c r="J14" s="64" t="str">
        <f>Engagements!J15</f>
        <v/>
      </c>
      <c r="K14" s="766" t="str">
        <f>Engagements!F15</f>
        <v/>
      </c>
      <c r="L14" s="772" t="str">
        <f>Engagements!K15</f>
        <v/>
      </c>
    </row>
    <row r="15" spans="1:12" ht="14.25" x14ac:dyDescent="0.2">
      <c r="A15" s="413">
        <f>Engagements!A16</f>
        <v>11</v>
      </c>
      <c r="B15" s="69" t="str">
        <f>Engagements!B16</f>
        <v/>
      </c>
      <c r="C15" s="69" t="str">
        <f>Engagements!C16</f>
        <v/>
      </c>
      <c r="D15" s="769" t="str">
        <f>Engagements!E16</f>
        <v/>
      </c>
      <c r="E15" s="69" t="str">
        <f>Engagements!E16</f>
        <v/>
      </c>
      <c r="F15" s="69" t="str">
        <f>Engagements!F16</f>
        <v/>
      </c>
      <c r="G15" s="71" t="str">
        <f>Engagements!G16</f>
        <v/>
      </c>
      <c r="H15" s="64" t="str">
        <f>Engagements!H16</f>
        <v/>
      </c>
      <c r="I15" s="64" t="str">
        <f>Engagements!I16</f>
        <v/>
      </c>
      <c r="J15" s="64" t="str">
        <f>Engagements!J16</f>
        <v/>
      </c>
      <c r="K15" s="766" t="str">
        <f>Engagements!F16</f>
        <v/>
      </c>
      <c r="L15" s="772" t="str">
        <f>Engagements!K16</f>
        <v/>
      </c>
    </row>
    <row r="16" spans="1:12" thickBot="1" x14ac:dyDescent="0.25">
      <c r="A16" s="414">
        <f>Engagements!A17</f>
        <v>12</v>
      </c>
      <c r="B16" s="415" t="str">
        <f>Engagements!B17</f>
        <v/>
      </c>
      <c r="C16" s="415" t="str">
        <f>Engagements!C17</f>
        <v/>
      </c>
      <c r="D16" s="770" t="str">
        <f>Engagements!E17</f>
        <v/>
      </c>
      <c r="E16" s="415" t="str">
        <f>Engagements!E17</f>
        <v/>
      </c>
      <c r="F16" s="415" t="str">
        <f>Engagements!F17</f>
        <v/>
      </c>
      <c r="G16" s="419" t="str">
        <f>Engagements!G17</f>
        <v/>
      </c>
      <c r="H16" s="418" t="str">
        <f>Engagements!H17</f>
        <v/>
      </c>
      <c r="I16" s="418" t="str">
        <f>Engagements!I17</f>
        <v/>
      </c>
      <c r="J16" s="418" t="str">
        <f>Engagements!J17</f>
        <v/>
      </c>
      <c r="K16" s="767" t="str">
        <f>Engagements!F17</f>
        <v/>
      </c>
      <c r="L16" s="773" t="str">
        <f>Engagements!K17</f>
        <v/>
      </c>
    </row>
    <row r="17" spans="1:12" ht="14.25" x14ac:dyDescent="0.2">
      <c r="A17" s="411">
        <f>Engagements!A18</f>
        <v>13</v>
      </c>
      <c r="B17" s="412" t="str">
        <f>Engagements!B18</f>
        <v/>
      </c>
      <c r="C17" s="412" t="str">
        <f>Engagements!C18</f>
        <v/>
      </c>
      <c r="D17" s="768" t="str">
        <f>Engagements!E18</f>
        <v/>
      </c>
      <c r="E17" s="412" t="str">
        <f>Engagements!E18</f>
        <v/>
      </c>
      <c r="F17" s="412" t="str">
        <f>Engagements!F18</f>
        <v/>
      </c>
      <c r="G17" s="416" t="str">
        <f>Engagements!G18</f>
        <v/>
      </c>
      <c r="H17" s="417" t="str">
        <f>Engagements!H18</f>
        <v/>
      </c>
      <c r="I17" s="417" t="str">
        <f>Engagements!I18</f>
        <v/>
      </c>
      <c r="J17" s="417" t="str">
        <f>Engagements!J18</f>
        <v/>
      </c>
      <c r="K17" s="765" t="str">
        <f>Engagements!F18</f>
        <v/>
      </c>
      <c r="L17" s="771" t="str">
        <f>Engagements!K18</f>
        <v/>
      </c>
    </row>
    <row r="18" spans="1:12" ht="14.25" x14ac:dyDescent="0.2">
      <c r="A18" s="413">
        <f>Engagements!A19</f>
        <v>14</v>
      </c>
      <c r="B18" s="69" t="str">
        <f>Engagements!B19</f>
        <v/>
      </c>
      <c r="C18" s="69" t="str">
        <f>Engagements!C19</f>
        <v/>
      </c>
      <c r="D18" s="769" t="str">
        <f>Engagements!E19</f>
        <v/>
      </c>
      <c r="E18" s="69" t="str">
        <f>Engagements!E19</f>
        <v/>
      </c>
      <c r="F18" s="69" t="str">
        <f>Engagements!F19</f>
        <v/>
      </c>
      <c r="G18" s="71" t="str">
        <f>Engagements!G19</f>
        <v/>
      </c>
      <c r="H18" s="64" t="str">
        <f>Engagements!H19</f>
        <v/>
      </c>
      <c r="I18" s="64" t="str">
        <f>Engagements!I19</f>
        <v/>
      </c>
      <c r="J18" s="64" t="str">
        <f>Engagements!J19</f>
        <v/>
      </c>
      <c r="K18" s="766" t="str">
        <f>Engagements!F19</f>
        <v/>
      </c>
      <c r="L18" s="772" t="str">
        <f>Engagements!K19</f>
        <v/>
      </c>
    </row>
    <row r="19" spans="1:12" ht="14.25" x14ac:dyDescent="0.2">
      <c r="A19" s="413">
        <f>Engagements!A20</f>
        <v>15</v>
      </c>
      <c r="B19" s="69" t="str">
        <f>Engagements!B20</f>
        <v/>
      </c>
      <c r="C19" s="69" t="str">
        <f>Engagements!C20</f>
        <v/>
      </c>
      <c r="D19" s="769" t="str">
        <f>Engagements!E20</f>
        <v/>
      </c>
      <c r="E19" s="69" t="str">
        <f>Engagements!E20</f>
        <v/>
      </c>
      <c r="F19" s="69" t="str">
        <f>Engagements!F20</f>
        <v/>
      </c>
      <c r="G19" s="71" t="str">
        <f>Engagements!G20</f>
        <v/>
      </c>
      <c r="H19" s="64" t="str">
        <f>Engagements!H20</f>
        <v/>
      </c>
      <c r="I19" s="64" t="str">
        <f>Engagements!I20</f>
        <v/>
      </c>
      <c r="J19" s="64" t="str">
        <f>Engagements!J20</f>
        <v/>
      </c>
      <c r="K19" s="766" t="str">
        <f>Engagements!F20</f>
        <v/>
      </c>
      <c r="L19" s="772" t="str">
        <f>Engagements!K20</f>
        <v/>
      </c>
    </row>
    <row r="20" spans="1:12" thickBot="1" x14ac:dyDescent="0.25">
      <c r="A20" s="414">
        <f>Engagements!A21</f>
        <v>16</v>
      </c>
      <c r="B20" s="415" t="str">
        <f>Engagements!B21</f>
        <v/>
      </c>
      <c r="C20" s="415" t="str">
        <f>Engagements!C21</f>
        <v/>
      </c>
      <c r="D20" s="770" t="str">
        <f>Engagements!E21</f>
        <v/>
      </c>
      <c r="E20" s="415" t="str">
        <f>Engagements!E21</f>
        <v/>
      </c>
      <c r="F20" s="415" t="str">
        <f>Engagements!F21</f>
        <v/>
      </c>
      <c r="G20" s="419" t="str">
        <f>Engagements!G21</f>
        <v/>
      </c>
      <c r="H20" s="418" t="str">
        <f>Engagements!H21</f>
        <v/>
      </c>
      <c r="I20" s="418" t="str">
        <f>Engagements!I21</f>
        <v/>
      </c>
      <c r="J20" s="418" t="str">
        <f>Engagements!J21</f>
        <v/>
      </c>
      <c r="K20" s="767" t="str">
        <f>Engagements!F21</f>
        <v/>
      </c>
      <c r="L20" s="773" t="str">
        <f>Engagements!K21</f>
        <v/>
      </c>
    </row>
    <row r="21" spans="1:12" ht="14.25" x14ac:dyDescent="0.2">
      <c r="A21" s="411">
        <f>Engagements!A22</f>
        <v>17</v>
      </c>
      <c r="B21" s="412" t="str">
        <f>Engagements!B22</f>
        <v/>
      </c>
      <c r="C21" s="412" t="str">
        <f>Engagements!C22</f>
        <v/>
      </c>
      <c r="D21" s="768" t="str">
        <f>Engagements!E22</f>
        <v/>
      </c>
      <c r="E21" s="412" t="str">
        <f>Engagements!E22</f>
        <v/>
      </c>
      <c r="F21" s="412" t="str">
        <f>Engagements!F22</f>
        <v/>
      </c>
      <c r="G21" s="416" t="str">
        <f>Engagements!G22</f>
        <v/>
      </c>
      <c r="H21" s="417" t="str">
        <f>Engagements!H22</f>
        <v/>
      </c>
      <c r="I21" s="417" t="str">
        <f>Engagements!I22</f>
        <v/>
      </c>
      <c r="J21" s="417" t="str">
        <f>Engagements!J22</f>
        <v/>
      </c>
      <c r="K21" s="765" t="str">
        <f>Engagements!F22</f>
        <v/>
      </c>
      <c r="L21" s="771" t="str">
        <f>Engagements!K22</f>
        <v/>
      </c>
    </row>
    <row r="22" spans="1:12" ht="14.25" x14ac:dyDescent="0.2">
      <c r="A22" s="413">
        <f>Engagements!A23</f>
        <v>18</v>
      </c>
      <c r="B22" s="69" t="str">
        <f>Engagements!B23</f>
        <v/>
      </c>
      <c r="C22" s="69" t="str">
        <f>Engagements!C23</f>
        <v/>
      </c>
      <c r="D22" s="769" t="str">
        <f>Engagements!E23</f>
        <v/>
      </c>
      <c r="E22" s="69" t="str">
        <f>Engagements!E23</f>
        <v/>
      </c>
      <c r="F22" s="69" t="str">
        <f>Engagements!F23</f>
        <v/>
      </c>
      <c r="G22" s="71" t="str">
        <f>Engagements!G23</f>
        <v/>
      </c>
      <c r="H22" s="64" t="str">
        <f>Engagements!H23</f>
        <v/>
      </c>
      <c r="I22" s="64" t="str">
        <f>Engagements!I23</f>
        <v/>
      </c>
      <c r="J22" s="64" t="str">
        <f>Engagements!J23</f>
        <v/>
      </c>
      <c r="K22" s="766" t="str">
        <f>Engagements!F23</f>
        <v/>
      </c>
      <c r="L22" s="772" t="str">
        <f>Engagements!K23</f>
        <v/>
      </c>
    </row>
    <row r="23" spans="1:12" ht="14.25" x14ac:dyDescent="0.2">
      <c r="A23" s="413">
        <f>Engagements!A24</f>
        <v>19</v>
      </c>
      <c r="B23" s="69" t="str">
        <f>Engagements!B24</f>
        <v/>
      </c>
      <c r="C23" s="69" t="str">
        <f>Engagements!C24</f>
        <v/>
      </c>
      <c r="D23" s="769" t="str">
        <f>Engagements!E24</f>
        <v/>
      </c>
      <c r="E23" s="69" t="str">
        <f>Engagements!E24</f>
        <v/>
      </c>
      <c r="F23" s="69" t="str">
        <f>Engagements!F24</f>
        <v/>
      </c>
      <c r="G23" s="71" t="str">
        <f>Engagements!G24</f>
        <v/>
      </c>
      <c r="H23" s="64" t="str">
        <f>Engagements!H24</f>
        <v/>
      </c>
      <c r="I23" s="64" t="str">
        <f>Engagements!I24</f>
        <v/>
      </c>
      <c r="J23" s="64" t="str">
        <f>Engagements!J24</f>
        <v/>
      </c>
      <c r="K23" s="766" t="str">
        <f>Engagements!F24</f>
        <v/>
      </c>
      <c r="L23" s="772" t="str">
        <f>Engagements!K24</f>
        <v/>
      </c>
    </row>
    <row r="24" spans="1:12" thickBot="1" x14ac:dyDescent="0.25">
      <c r="A24" s="414">
        <f>Engagements!A25</f>
        <v>20</v>
      </c>
      <c r="B24" s="415" t="str">
        <f>Engagements!B25</f>
        <v/>
      </c>
      <c r="C24" s="415" t="str">
        <f>Engagements!C25</f>
        <v/>
      </c>
      <c r="D24" s="770" t="str">
        <f>Engagements!E25</f>
        <v/>
      </c>
      <c r="E24" s="415" t="str">
        <f>Engagements!E25</f>
        <v/>
      </c>
      <c r="F24" s="415" t="str">
        <f>Engagements!F25</f>
        <v/>
      </c>
      <c r="G24" s="419" t="str">
        <f>Engagements!G25</f>
        <v/>
      </c>
      <c r="H24" s="418" t="str">
        <f>Engagements!H25</f>
        <v/>
      </c>
      <c r="I24" s="418" t="str">
        <f>Engagements!I25</f>
        <v/>
      </c>
      <c r="J24" s="418" t="str">
        <f>Engagements!J25</f>
        <v/>
      </c>
      <c r="K24" s="767" t="str">
        <f>Engagements!F25</f>
        <v/>
      </c>
      <c r="L24" s="773" t="str">
        <f>Engagements!K25</f>
        <v/>
      </c>
    </row>
    <row r="25" spans="1:12" ht="14.25" x14ac:dyDescent="0.2">
      <c r="A25" s="411">
        <f>Engagements!A26</f>
        <v>21</v>
      </c>
      <c r="B25" s="412" t="str">
        <f>Engagements!B26</f>
        <v/>
      </c>
      <c r="C25" s="412" t="str">
        <f>Engagements!C26</f>
        <v/>
      </c>
      <c r="D25" s="768" t="str">
        <f>Engagements!E26</f>
        <v/>
      </c>
      <c r="E25" s="412" t="str">
        <f>Engagements!E26</f>
        <v/>
      </c>
      <c r="F25" s="412" t="str">
        <f>Engagements!F26</f>
        <v/>
      </c>
      <c r="G25" s="416" t="str">
        <f>Engagements!G26</f>
        <v/>
      </c>
      <c r="H25" s="417" t="str">
        <f>Engagements!H26</f>
        <v/>
      </c>
      <c r="I25" s="417" t="str">
        <f>Engagements!I26</f>
        <v/>
      </c>
      <c r="J25" s="417" t="str">
        <f>Engagements!J26</f>
        <v/>
      </c>
      <c r="K25" s="765" t="str">
        <f>Engagements!F26</f>
        <v/>
      </c>
      <c r="L25" s="771" t="str">
        <f>Engagements!K26</f>
        <v/>
      </c>
    </row>
    <row r="26" spans="1:12" ht="14.25" x14ac:dyDescent="0.2">
      <c r="A26" s="413">
        <f>Engagements!A27</f>
        <v>22</v>
      </c>
      <c r="B26" s="69" t="str">
        <f>Engagements!B27</f>
        <v/>
      </c>
      <c r="C26" s="69" t="str">
        <f>Engagements!C27</f>
        <v/>
      </c>
      <c r="D26" s="769" t="str">
        <f>Engagements!E27</f>
        <v/>
      </c>
      <c r="E26" s="69" t="str">
        <f>Engagements!E27</f>
        <v/>
      </c>
      <c r="F26" s="69" t="str">
        <f>Engagements!F27</f>
        <v/>
      </c>
      <c r="G26" s="71" t="str">
        <f>Engagements!G27</f>
        <v/>
      </c>
      <c r="H26" s="64" t="str">
        <f>Engagements!H27</f>
        <v/>
      </c>
      <c r="I26" s="64" t="str">
        <f>Engagements!I27</f>
        <v/>
      </c>
      <c r="J26" s="64" t="str">
        <f>Engagements!J27</f>
        <v/>
      </c>
      <c r="K26" s="766" t="str">
        <f>Engagements!F27</f>
        <v/>
      </c>
      <c r="L26" s="772" t="str">
        <f>Engagements!K27</f>
        <v/>
      </c>
    </row>
    <row r="27" spans="1:12" ht="14.25" x14ac:dyDescent="0.2">
      <c r="A27" s="413">
        <f>Engagements!A28</f>
        <v>23</v>
      </c>
      <c r="B27" s="69" t="str">
        <f>Engagements!B28</f>
        <v/>
      </c>
      <c r="C27" s="69" t="str">
        <f>Engagements!C28</f>
        <v/>
      </c>
      <c r="D27" s="769" t="str">
        <f>Engagements!E28</f>
        <v/>
      </c>
      <c r="E27" s="69" t="str">
        <f>Engagements!E28</f>
        <v/>
      </c>
      <c r="F27" s="69" t="str">
        <f>Engagements!F28</f>
        <v/>
      </c>
      <c r="G27" s="71" t="str">
        <f>Engagements!G28</f>
        <v/>
      </c>
      <c r="H27" s="64" t="str">
        <f>Engagements!H28</f>
        <v/>
      </c>
      <c r="I27" s="64" t="str">
        <f>Engagements!I28</f>
        <v/>
      </c>
      <c r="J27" s="64" t="str">
        <f>Engagements!J28</f>
        <v/>
      </c>
      <c r="K27" s="766" t="str">
        <f>Engagements!F28</f>
        <v/>
      </c>
      <c r="L27" s="772" t="str">
        <f>Engagements!K28</f>
        <v/>
      </c>
    </row>
    <row r="28" spans="1:12" thickBot="1" x14ac:dyDescent="0.25">
      <c r="A28" s="414">
        <f>Engagements!A29</f>
        <v>24</v>
      </c>
      <c r="B28" s="415" t="str">
        <f>Engagements!B29</f>
        <v/>
      </c>
      <c r="C28" s="415" t="str">
        <f>Engagements!C29</f>
        <v/>
      </c>
      <c r="D28" s="770" t="str">
        <f>Engagements!E29</f>
        <v/>
      </c>
      <c r="E28" s="415" t="str">
        <f>Engagements!E29</f>
        <v/>
      </c>
      <c r="F28" s="415" t="str">
        <f>Engagements!F29</f>
        <v/>
      </c>
      <c r="G28" s="419" t="str">
        <f>Engagements!G29</f>
        <v/>
      </c>
      <c r="H28" s="418" t="str">
        <f>Engagements!H29</f>
        <v/>
      </c>
      <c r="I28" s="418" t="str">
        <f>Engagements!I29</f>
        <v/>
      </c>
      <c r="J28" s="418" t="str">
        <f>Engagements!J29</f>
        <v/>
      </c>
      <c r="K28" s="767" t="str">
        <f>Engagements!F29</f>
        <v/>
      </c>
      <c r="L28" s="773" t="str">
        <f>Engagements!K29</f>
        <v/>
      </c>
    </row>
    <row r="29" spans="1:12" ht="14.25" x14ac:dyDescent="0.2">
      <c r="A29" s="411">
        <f>Engagements!A30</f>
        <v>25</v>
      </c>
      <c r="B29" s="412" t="str">
        <f>Engagements!B30</f>
        <v/>
      </c>
      <c r="C29" s="412" t="str">
        <f>Engagements!C30</f>
        <v/>
      </c>
      <c r="D29" s="768" t="str">
        <f>Engagements!E30</f>
        <v/>
      </c>
      <c r="E29" s="412" t="str">
        <f>Engagements!E30</f>
        <v/>
      </c>
      <c r="F29" s="412" t="str">
        <f>Engagements!F30</f>
        <v/>
      </c>
      <c r="G29" s="416" t="str">
        <f>Engagements!G30</f>
        <v/>
      </c>
      <c r="H29" s="417" t="str">
        <f>Engagements!H30</f>
        <v/>
      </c>
      <c r="I29" s="417" t="str">
        <f>Engagements!I30</f>
        <v/>
      </c>
      <c r="J29" s="417" t="str">
        <f>Engagements!J30</f>
        <v/>
      </c>
      <c r="K29" s="765" t="str">
        <f>Engagements!F30</f>
        <v/>
      </c>
      <c r="L29" s="771" t="str">
        <f>Engagements!K30</f>
        <v/>
      </c>
    </row>
    <row r="30" spans="1:12" ht="14.25" x14ac:dyDescent="0.2">
      <c r="A30" s="413">
        <f>Engagements!A31</f>
        <v>26</v>
      </c>
      <c r="B30" s="69" t="str">
        <f>Engagements!B31</f>
        <v/>
      </c>
      <c r="C30" s="69" t="str">
        <f>Engagements!C31</f>
        <v/>
      </c>
      <c r="D30" s="769" t="str">
        <f>Engagements!E31</f>
        <v/>
      </c>
      <c r="E30" s="69" t="str">
        <f>Engagements!E31</f>
        <v/>
      </c>
      <c r="F30" s="69" t="str">
        <f>Engagements!F31</f>
        <v/>
      </c>
      <c r="G30" s="71" t="str">
        <f>Engagements!G31</f>
        <v/>
      </c>
      <c r="H30" s="64" t="str">
        <f>Engagements!H31</f>
        <v/>
      </c>
      <c r="I30" s="64" t="str">
        <f>Engagements!I31</f>
        <v/>
      </c>
      <c r="J30" s="64" t="str">
        <f>Engagements!J31</f>
        <v/>
      </c>
      <c r="K30" s="766" t="str">
        <f>Engagements!F31</f>
        <v/>
      </c>
      <c r="L30" s="772" t="str">
        <f>Engagements!K31</f>
        <v/>
      </c>
    </row>
    <row r="31" spans="1:12" ht="14.25" x14ac:dyDescent="0.2">
      <c r="A31" s="413">
        <f>Engagements!A32</f>
        <v>27</v>
      </c>
      <c r="B31" s="69" t="str">
        <f>Engagements!B32</f>
        <v/>
      </c>
      <c r="C31" s="69" t="str">
        <f>Engagements!C32</f>
        <v/>
      </c>
      <c r="D31" s="769" t="str">
        <f>Engagements!E32</f>
        <v/>
      </c>
      <c r="E31" s="69" t="str">
        <f>Engagements!E32</f>
        <v/>
      </c>
      <c r="F31" s="69" t="str">
        <f>Engagements!F32</f>
        <v/>
      </c>
      <c r="G31" s="71" t="str">
        <f>Engagements!G32</f>
        <v/>
      </c>
      <c r="H31" s="64" t="str">
        <f>Engagements!H32</f>
        <v/>
      </c>
      <c r="I31" s="64" t="str">
        <f>Engagements!I32</f>
        <v/>
      </c>
      <c r="J31" s="64" t="str">
        <f>Engagements!J32</f>
        <v/>
      </c>
      <c r="K31" s="766" t="str">
        <f>Engagements!F32</f>
        <v/>
      </c>
      <c r="L31" s="772" t="str">
        <f>Engagements!K32</f>
        <v/>
      </c>
    </row>
    <row r="32" spans="1:12" thickBot="1" x14ac:dyDescent="0.25">
      <c r="A32" s="414">
        <f>Engagements!A33</f>
        <v>28</v>
      </c>
      <c r="B32" s="415" t="str">
        <f>Engagements!B33</f>
        <v/>
      </c>
      <c r="C32" s="415" t="str">
        <f>Engagements!C33</f>
        <v/>
      </c>
      <c r="D32" s="770" t="str">
        <f>Engagements!E33</f>
        <v/>
      </c>
      <c r="E32" s="415" t="str">
        <f>Engagements!E33</f>
        <v/>
      </c>
      <c r="F32" s="415" t="str">
        <f>Engagements!F33</f>
        <v/>
      </c>
      <c r="G32" s="419" t="str">
        <f>Engagements!G33</f>
        <v/>
      </c>
      <c r="H32" s="418" t="str">
        <f>Engagements!H33</f>
        <v/>
      </c>
      <c r="I32" s="418" t="str">
        <f>Engagements!I33</f>
        <v/>
      </c>
      <c r="J32" s="418" t="str">
        <f>Engagements!J33</f>
        <v/>
      </c>
      <c r="K32" s="767" t="str">
        <f>Engagements!F33</f>
        <v/>
      </c>
      <c r="L32" s="773" t="str">
        <f>Engagements!K33</f>
        <v/>
      </c>
    </row>
    <row r="33" spans="1:12" ht="14.25" x14ac:dyDescent="0.2">
      <c r="A33" s="411">
        <f>Engagements!A34</f>
        <v>29</v>
      </c>
      <c r="B33" s="412" t="str">
        <f>Engagements!B34</f>
        <v/>
      </c>
      <c r="C33" s="412" t="str">
        <f>Engagements!C34</f>
        <v/>
      </c>
      <c r="D33" s="768" t="str">
        <f>Engagements!E34</f>
        <v/>
      </c>
      <c r="E33" s="412" t="str">
        <f>Engagements!E34</f>
        <v/>
      </c>
      <c r="F33" s="412" t="str">
        <f>Engagements!F34</f>
        <v/>
      </c>
      <c r="G33" s="416" t="str">
        <f>Engagements!G34</f>
        <v/>
      </c>
      <c r="H33" s="417" t="str">
        <f>Engagements!H34</f>
        <v/>
      </c>
      <c r="I33" s="417" t="str">
        <f>Engagements!I34</f>
        <v/>
      </c>
      <c r="J33" s="417" t="str">
        <f>Engagements!J34</f>
        <v/>
      </c>
      <c r="K33" s="765" t="str">
        <f>Engagements!F34</f>
        <v/>
      </c>
      <c r="L33" s="771" t="str">
        <f>Engagements!K34</f>
        <v/>
      </c>
    </row>
    <row r="34" spans="1:12" ht="14.25" x14ac:dyDescent="0.2">
      <c r="A34" s="413">
        <f>Engagements!A35</f>
        <v>30</v>
      </c>
      <c r="B34" s="69" t="str">
        <f>Engagements!B35</f>
        <v/>
      </c>
      <c r="C34" s="69" t="str">
        <f>Engagements!C35</f>
        <v/>
      </c>
      <c r="D34" s="769" t="str">
        <f>Engagements!E35</f>
        <v/>
      </c>
      <c r="E34" s="69" t="str">
        <f>Engagements!E35</f>
        <v/>
      </c>
      <c r="F34" s="69" t="str">
        <f>Engagements!F35</f>
        <v/>
      </c>
      <c r="G34" s="71" t="str">
        <f>Engagements!G35</f>
        <v/>
      </c>
      <c r="H34" s="64" t="str">
        <f>Engagements!H35</f>
        <v/>
      </c>
      <c r="I34" s="64" t="str">
        <f>Engagements!I35</f>
        <v/>
      </c>
      <c r="J34" s="64" t="str">
        <f>Engagements!J35</f>
        <v/>
      </c>
      <c r="K34" s="766" t="str">
        <f>Engagements!F35</f>
        <v/>
      </c>
      <c r="L34" s="772" t="str">
        <f>Engagements!K35</f>
        <v/>
      </c>
    </row>
    <row r="35" spans="1:12" ht="14.25" x14ac:dyDescent="0.2">
      <c r="A35" s="413">
        <f>Engagements!A36</f>
        <v>31</v>
      </c>
      <c r="B35" s="69" t="str">
        <f>Engagements!B36</f>
        <v/>
      </c>
      <c r="C35" s="69" t="str">
        <f>Engagements!C36</f>
        <v/>
      </c>
      <c r="D35" s="769" t="str">
        <f>Engagements!E36</f>
        <v/>
      </c>
      <c r="E35" s="69" t="str">
        <f>Engagements!E36</f>
        <v/>
      </c>
      <c r="F35" s="69" t="str">
        <f>Engagements!F36</f>
        <v/>
      </c>
      <c r="G35" s="71" t="str">
        <f>Engagements!G36</f>
        <v/>
      </c>
      <c r="H35" s="64" t="str">
        <f>Engagements!H36</f>
        <v/>
      </c>
      <c r="I35" s="64" t="str">
        <f>Engagements!I36</f>
        <v/>
      </c>
      <c r="J35" s="64" t="str">
        <f>Engagements!J36</f>
        <v/>
      </c>
      <c r="K35" s="766" t="str">
        <f>Engagements!F36</f>
        <v/>
      </c>
      <c r="L35" s="772" t="str">
        <f>Engagements!K36</f>
        <v/>
      </c>
    </row>
    <row r="36" spans="1:12" thickBot="1" x14ac:dyDescent="0.25">
      <c r="A36" s="414">
        <f>Engagements!A37</f>
        <v>32</v>
      </c>
      <c r="B36" s="415" t="str">
        <f>Engagements!B37</f>
        <v/>
      </c>
      <c r="C36" s="415" t="str">
        <f>Engagements!C37</f>
        <v/>
      </c>
      <c r="D36" s="770" t="str">
        <f>Engagements!E37</f>
        <v/>
      </c>
      <c r="E36" s="415" t="str">
        <f>Engagements!E37</f>
        <v/>
      </c>
      <c r="F36" s="415" t="str">
        <f>Engagements!F37</f>
        <v/>
      </c>
      <c r="G36" s="419" t="str">
        <f>Engagements!G37</f>
        <v/>
      </c>
      <c r="H36" s="418" t="str">
        <f>Engagements!H37</f>
        <v/>
      </c>
      <c r="I36" s="418" t="str">
        <f>Engagements!I37</f>
        <v/>
      </c>
      <c r="J36" s="418" t="str">
        <f>Engagements!J37</f>
        <v/>
      </c>
      <c r="K36" s="767" t="str">
        <f>Engagements!F37</f>
        <v/>
      </c>
      <c r="L36" s="773" t="str">
        <f>Engagements!K37</f>
        <v/>
      </c>
    </row>
    <row r="37" spans="1:12" ht="14.25" x14ac:dyDescent="0.2">
      <c r="A37" s="411">
        <f>Engagements!A38</f>
        <v>33</v>
      </c>
      <c r="B37" s="412" t="str">
        <f>Engagements!B38</f>
        <v/>
      </c>
      <c r="C37" s="412" t="str">
        <f>Engagements!C38</f>
        <v/>
      </c>
      <c r="D37" s="768" t="str">
        <f>Engagements!E38</f>
        <v/>
      </c>
      <c r="E37" s="412" t="str">
        <f>Engagements!E38</f>
        <v/>
      </c>
      <c r="F37" s="412" t="str">
        <f>Engagements!F38</f>
        <v/>
      </c>
      <c r="G37" s="416" t="str">
        <f>Engagements!G38</f>
        <v/>
      </c>
      <c r="H37" s="417" t="str">
        <f>Engagements!H38</f>
        <v/>
      </c>
      <c r="I37" s="417" t="str">
        <f>Engagements!I38</f>
        <v/>
      </c>
      <c r="J37" s="417" t="str">
        <f>Engagements!J38</f>
        <v/>
      </c>
      <c r="K37" s="765" t="str">
        <f>Engagements!F38</f>
        <v/>
      </c>
      <c r="L37" s="771" t="str">
        <f>Engagements!K38</f>
        <v/>
      </c>
    </row>
    <row r="38" spans="1:12" ht="14.25" x14ac:dyDescent="0.2">
      <c r="A38" s="413">
        <f>Engagements!A39</f>
        <v>34</v>
      </c>
      <c r="B38" s="69" t="str">
        <f>Engagements!B39</f>
        <v/>
      </c>
      <c r="C38" s="69" t="str">
        <f>Engagements!C39</f>
        <v/>
      </c>
      <c r="D38" s="769" t="str">
        <f>Engagements!E39</f>
        <v/>
      </c>
      <c r="E38" s="69" t="str">
        <f>Engagements!E39</f>
        <v/>
      </c>
      <c r="F38" s="69" t="str">
        <f>Engagements!F39</f>
        <v/>
      </c>
      <c r="G38" s="71" t="str">
        <f>Engagements!G39</f>
        <v/>
      </c>
      <c r="H38" s="64" t="str">
        <f>Engagements!H39</f>
        <v/>
      </c>
      <c r="I38" s="64" t="str">
        <f>Engagements!I39</f>
        <v/>
      </c>
      <c r="J38" s="64" t="str">
        <f>Engagements!J39</f>
        <v/>
      </c>
      <c r="K38" s="766" t="str">
        <f>Engagements!F39</f>
        <v/>
      </c>
      <c r="L38" s="772" t="str">
        <f>Engagements!K39</f>
        <v/>
      </c>
    </row>
    <row r="39" spans="1:12" ht="14.25" x14ac:dyDescent="0.2">
      <c r="A39" s="413">
        <f>Engagements!A40</f>
        <v>35</v>
      </c>
      <c r="B39" s="69" t="str">
        <f>Engagements!B40</f>
        <v/>
      </c>
      <c r="C39" s="69" t="str">
        <f>Engagements!C40</f>
        <v/>
      </c>
      <c r="D39" s="769" t="str">
        <f>Engagements!E40</f>
        <v/>
      </c>
      <c r="E39" s="69" t="str">
        <f>Engagements!E40</f>
        <v/>
      </c>
      <c r="F39" s="69" t="str">
        <f>Engagements!F40</f>
        <v/>
      </c>
      <c r="G39" s="71" t="str">
        <f>Engagements!G40</f>
        <v/>
      </c>
      <c r="H39" s="64" t="str">
        <f>Engagements!H40</f>
        <v/>
      </c>
      <c r="I39" s="64" t="str">
        <f>Engagements!I40</f>
        <v/>
      </c>
      <c r="J39" s="64" t="str">
        <f>Engagements!J40</f>
        <v/>
      </c>
      <c r="K39" s="766" t="str">
        <f>Engagements!F40</f>
        <v/>
      </c>
      <c r="L39" s="772" t="str">
        <f>Engagements!K40</f>
        <v/>
      </c>
    </row>
    <row r="40" spans="1:12" thickBot="1" x14ac:dyDescent="0.25">
      <c r="A40" s="414">
        <f>Engagements!A41</f>
        <v>36</v>
      </c>
      <c r="B40" s="415" t="str">
        <f>Engagements!B41</f>
        <v/>
      </c>
      <c r="C40" s="415" t="str">
        <f>Engagements!C41</f>
        <v/>
      </c>
      <c r="D40" s="770" t="str">
        <f>Engagements!E41</f>
        <v/>
      </c>
      <c r="E40" s="415" t="str">
        <f>Engagements!E41</f>
        <v/>
      </c>
      <c r="F40" s="415" t="str">
        <f>Engagements!F41</f>
        <v/>
      </c>
      <c r="G40" s="419" t="str">
        <f>Engagements!G41</f>
        <v/>
      </c>
      <c r="H40" s="418" t="str">
        <f>Engagements!H41</f>
        <v/>
      </c>
      <c r="I40" s="418" t="str">
        <f>Engagements!I41</f>
        <v/>
      </c>
      <c r="J40" s="418" t="str">
        <f>Engagements!J41</f>
        <v/>
      </c>
      <c r="K40" s="767" t="str">
        <f>Engagements!F41</f>
        <v/>
      </c>
      <c r="L40" s="773" t="str">
        <f>Engagements!K41</f>
        <v/>
      </c>
    </row>
    <row r="41" spans="1:12" ht="14.25" x14ac:dyDescent="0.2">
      <c r="A41" s="411">
        <f>Engagements!A42</f>
        <v>37</v>
      </c>
      <c r="B41" s="412" t="str">
        <f>Engagements!B42</f>
        <v/>
      </c>
      <c r="C41" s="412" t="str">
        <f>Engagements!C42</f>
        <v/>
      </c>
      <c r="D41" s="768" t="str">
        <f>Engagements!E42</f>
        <v/>
      </c>
      <c r="E41" s="412" t="str">
        <f>Engagements!E42</f>
        <v/>
      </c>
      <c r="F41" s="412" t="str">
        <f>Engagements!F42</f>
        <v/>
      </c>
      <c r="G41" s="416" t="str">
        <f>Engagements!G42</f>
        <v/>
      </c>
      <c r="H41" s="417" t="str">
        <f>Engagements!H42</f>
        <v/>
      </c>
      <c r="I41" s="417" t="str">
        <f>Engagements!I42</f>
        <v/>
      </c>
      <c r="J41" s="417" t="str">
        <f>Engagements!J42</f>
        <v/>
      </c>
      <c r="K41" s="765" t="str">
        <f>Engagements!F42</f>
        <v/>
      </c>
      <c r="L41" s="771" t="str">
        <f>Engagements!K42</f>
        <v/>
      </c>
    </row>
    <row r="42" spans="1:12" ht="14.25" x14ac:dyDescent="0.2">
      <c r="A42" s="413">
        <f>Engagements!A43</f>
        <v>38</v>
      </c>
      <c r="B42" s="69" t="str">
        <f>Engagements!B43</f>
        <v/>
      </c>
      <c r="C42" s="69" t="str">
        <f>Engagements!C43</f>
        <v/>
      </c>
      <c r="D42" s="769" t="str">
        <f>Engagements!E43</f>
        <v/>
      </c>
      <c r="E42" s="69" t="str">
        <f>Engagements!E43</f>
        <v/>
      </c>
      <c r="F42" s="69" t="str">
        <f>Engagements!F43</f>
        <v/>
      </c>
      <c r="G42" s="71" t="str">
        <f>Engagements!G43</f>
        <v/>
      </c>
      <c r="H42" s="64" t="str">
        <f>Engagements!H43</f>
        <v/>
      </c>
      <c r="I42" s="64" t="str">
        <f>Engagements!I43</f>
        <v/>
      </c>
      <c r="J42" s="64" t="str">
        <f>Engagements!J43</f>
        <v/>
      </c>
      <c r="K42" s="766" t="str">
        <f>Engagements!F43</f>
        <v/>
      </c>
      <c r="L42" s="772" t="str">
        <f>Engagements!K43</f>
        <v/>
      </c>
    </row>
    <row r="43" spans="1:12" ht="14.25" x14ac:dyDescent="0.2">
      <c r="A43" s="413">
        <f>Engagements!A44</f>
        <v>39</v>
      </c>
      <c r="B43" s="69" t="str">
        <f>Engagements!B44</f>
        <v/>
      </c>
      <c r="C43" s="69" t="str">
        <f>Engagements!C44</f>
        <v/>
      </c>
      <c r="D43" s="769" t="str">
        <f>Engagements!E44</f>
        <v/>
      </c>
      <c r="E43" s="69" t="str">
        <f>Engagements!E44</f>
        <v/>
      </c>
      <c r="F43" s="69" t="str">
        <f>Engagements!F44</f>
        <v/>
      </c>
      <c r="G43" s="71" t="str">
        <f>Engagements!G44</f>
        <v/>
      </c>
      <c r="H43" s="64" t="str">
        <f>Engagements!H44</f>
        <v/>
      </c>
      <c r="I43" s="64" t="str">
        <f>Engagements!I44</f>
        <v/>
      </c>
      <c r="J43" s="64" t="str">
        <f>Engagements!J44</f>
        <v/>
      </c>
      <c r="K43" s="766" t="str">
        <f>Engagements!F44</f>
        <v/>
      </c>
      <c r="L43" s="772" t="str">
        <f>Engagements!K44</f>
        <v/>
      </c>
    </row>
    <row r="44" spans="1:12" thickBot="1" x14ac:dyDescent="0.25">
      <c r="A44" s="414">
        <f>Engagements!A45</f>
        <v>40</v>
      </c>
      <c r="B44" s="415" t="str">
        <f>Engagements!B45</f>
        <v/>
      </c>
      <c r="C44" s="415" t="str">
        <f>Engagements!C45</f>
        <v/>
      </c>
      <c r="D44" s="770" t="str">
        <f>Engagements!E45</f>
        <v/>
      </c>
      <c r="E44" s="415" t="str">
        <f>Engagements!E45</f>
        <v/>
      </c>
      <c r="F44" s="415" t="str">
        <f>Engagements!F45</f>
        <v/>
      </c>
      <c r="G44" s="419" t="str">
        <f>Engagements!G45</f>
        <v/>
      </c>
      <c r="H44" s="418" t="str">
        <f>Engagements!H45</f>
        <v/>
      </c>
      <c r="I44" s="418" t="str">
        <f>Engagements!I45</f>
        <v/>
      </c>
      <c r="J44" s="418" t="str">
        <f>Engagements!J45</f>
        <v/>
      </c>
      <c r="K44" s="767" t="str">
        <f>Engagements!F45</f>
        <v/>
      </c>
      <c r="L44" s="773" t="str">
        <f>Engagements!K45</f>
        <v/>
      </c>
    </row>
    <row r="45" spans="1:12" ht="14.25" x14ac:dyDescent="0.2">
      <c r="A45" s="411">
        <f>Engagements!A46</f>
        <v>41</v>
      </c>
      <c r="B45" s="412" t="str">
        <f>Engagements!B46</f>
        <v/>
      </c>
      <c r="C45" s="412" t="str">
        <f>Engagements!C46</f>
        <v/>
      </c>
      <c r="D45" s="768" t="str">
        <f>Engagements!E46</f>
        <v/>
      </c>
      <c r="E45" s="412" t="str">
        <f>Engagements!E46</f>
        <v/>
      </c>
      <c r="F45" s="412" t="str">
        <f>Engagements!F46</f>
        <v/>
      </c>
      <c r="G45" s="416" t="str">
        <f>Engagements!G46</f>
        <v/>
      </c>
      <c r="H45" s="417" t="str">
        <f>Engagements!H46</f>
        <v/>
      </c>
      <c r="I45" s="417" t="str">
        <f>Engagements!I46</f>
        <v/>
      </c>
      <c r="J45" s="417" t="str">
        <f>Engagements!J46</f>
        <v/>
      </c>
      <c r="K45" s="765" t="str">
        <f>Engagements!F46</f>
        <v/>
      </c>
      <c r="L45" s="771" t="str">
        <f>Engagements!K46</f>
        <v/>
      </c>
    </row>
    <row r="46" spans="1:12" ht="14.25" x14ac:dyDescent="0.2">
      <c r="A46" s="413">
        <f>Engagements!A47</f>
        <v>42</v>
      </c>
      <c r="B46" s="69" t="str">
        <f>Engagements!B47</f>
        <v/>
      </c>
      <c r="C46" s="69" t="str">
        <f>Engagements!C47</f>
        <v/>
      </c>
      <c r="D46" s="769" t="str">
        <f>Engagements!E47</f>
        <v/>
      </c>
      <c r="E46" s="69" t="str">
        <f>Engagements!E47</f>
        <v/>
      </c>
      <c r="F46" s="69" t="str">
        <f>Engagements!F47</f>
        <v/>
      </c>
      <c r="G46" s="71" t="str">
        <f>Engagements!G47</f>
        <v/>
      </c>
      <c r="H46" s="64" t="str">
        <f>Engagements!H47</f>
        <v/>
      </c>
      <c r="I46" s="64" t="str">
        <f>Engagements!I47</f>
        <v/>
      </c>
      <c r="J46" s="64" t="str">
        <f>Engagements!J47</f>
        <v/>
      </c>
      <c r="K46" s="766" t="str">
        <f>Engagements!F47</f>
        <v/>
      </c>
      <c r="L46" s="772" t="str">
        <f>Engagements!K47</f>
        <v/>
      </c>
    </row>
    <row r="47" spans="1:12" ht="14.25" x14ac:dyDescent="0.2">
      <c r="A47" s="413">
        <f>Engagements!A48</f>
        <v>43</v>
      </c>
      <c r="B47" s="69" t="str">
        <f>Engagements!B48</f>
        <v/>
      </c>
      <c r="C47" s="69" t="str">
        <f>Engagements!C48</f>
        <v/>
      </c>
      <c r="D47" s="769" t="str">
        <f>Engagements!E48</f>
        <v/>
      </c>
      <c r="E47" s="69" t="str">
        <f>Engagements!E48</f>
        <v/>
      </c>
      <c r="F47" s="69" t="str">
        <f>Engagements!F48</f>
        <v/>
      </c>
      <c r="G47" s="71" t="str">
        <f>Engagements!G48</f>
        <v/>
      </c>
      <c r="H47" s="64" t="str">
        <f>Engagements!H48</f>
        <v/>
      </c>
      <c r="I47" s="64" t="str">
        <f>Engagements!I48</f>
        <v/>
      </c>
      <c r="J47" s="64" t="str">
        <f>Engagements!J48</f>
        <v/>
      </c>
      <c r="K47" s="766" t="str">
        <f>Engagements!F48</f>
        <v/>
      </c>
      <c r="L47" s="772" t="str">
        <f>Engagements!K48</f>
        <v/>
      </c>
    </row>
    <row r="48" spans="1:12" thickBot="1" x14ac:dyDescent="0.25">
      <c r="A48" s="414">
        <f>Engagements!A49</f>
        <v>44</v>
      </c>
      <c r="B48" s="415" t="str">
        <f>Engagements!B49</f>
        <v/>
      </c>
      <c r="C48" s="415" t="str">
        <f>Engagements!C49</f>
        <v/>
      </c>
      <c r="D48" s="770" t="str">
        <f>Engagements!E49</f>
        <v/>
      </c>
      <c r="E48" s="415" t="str">
        <f>Engagements!E49</f>
        <v/>
      </c>
      <c r="F48" s="415" t="str">
        <f>Engagements!F49</f>
        <v/>
      </c>
      <c r="G48" s="419" t="str">
        <f>Engagements!G49</f>
        <v/>
      </c>
      <c r="H48" s="418" t="str">
        <f>Engagements!H49</f>
        <v/>
      </c>
      <c r="I48" s="418" t="str">
        <f>Engagements!I49</f>
        <v/>
      </c>
      <c r="J48" s="418" t="str">
        <f>Engagements!J49</f>
        <v/>
      </c>
      <c r="K48" s="767" t="str">
        <f>Engagements!F49</f>
        <v/>
      </c>
      <c r="L48" s="773" t="str">
        <f>Engagements!K49</f>
        <v/>
      </c>
    </row>
    <row r="49" spans="1:12" ht="14.25" x14ac:dyDescent="0.2">
      <c r="A49" s="411">
        <f>Engagements!A50</f>
        <v>45</v>
      </c>
      <c r="B49" s="412" t="str">
        <f>Engagements!B50</f>
        <v/>
      </c>
      <c r="C49" s="412" t="str">
        <f>Engagements!C50</f>
        <v/>
      </c>
      <c r="D49" s="768" t="str">
        <f>Engagements!E50</f>
        <v/>
      </c>
      <c r="E49" s="412" t="str">
        <f>Engagements!E50</f>
        <v/>
      </c>
      <c r="F49" s="412" t="str">
        <f>Engagements!F50</f>
        <v/>
      </c>
      <c r="G49" s="416" t="str">
        <f>Engagements!G50</f>
        <v/>
      </c>
      <c r="H49" s="417" t="str">
        <f>Engagements!H50</f>
        <v/>
      </c>
      <c r="I49" s="417" t="str">
        <f>Engagements!I50</f>
        <v/>
      </c>
      <c r="J49" s="417" t="str">
        <f>Engagements!J50</f>
        <v/>
      </c>
      <c r="K49" s="765" t="str">
        <f>Engagements!F50</f>
        <v/>
      </c>
      <c r="L49" s="771" t="str">
        <f>Engagements!K50</f>
        <v/>
      </c>
    </row>
    <row r="50" spans="1:12" ht="14.25" x14ac:dyDescent="0.2">
      <c r="A50" s="413">
        <f>Engagements!A51</f>
        <v>46</v>
      </c>
      <c r="B50" s="69" t="str">
        <f>Engagements!B51</f>
        <v/>
      </c>
      <c r="C50" s="69" t="str">
        <f>Engagements!C51</f>
        <v/>
      </c>
      <c r="D50" s="769" t="str">
        <f>Engagements!E51</f>
        <v/>
      </c>
      <c r="E50" s="69" t="str">
        <f>Engagements!E51</f>
        <v/>
      </c>
      <c r="F50" s="69" t="str">
        <f>Engagements!F51</f>
        <v/>
      </c>
      <c r="G50" s="71" t="str">
        <f>Engagements!G51</f>
        <v/>
      </c>
      <c r="H50" s="64" t="str">
        <f>Engagements!H51</f>
        <v/>
      </c>
      <c r="I50" s="64" t="str">
        <f>Engagements!I51</f>
        <v/>
      </c>
      <c r="J50" s="64" t="str">
        <f>Engagements!J51</f>
        <v/>
      </c>
      <c r="K50" s="766" t="str">
        <f>Engagements!F51</f>
        <v/>
      </c>
      <c r="L50" s="772" t="str">
        <f>Engagements!K51</f>
        <v/>
      </c>
    </row>
    <row r="51" spans="1:12" ht="14.25" x14ac:dyDescent="0.2">
      <c r="A51" s="413">
        <f>Engagements!A52</f>
        <v>47</v>
      </c>
      <c r="B51" s="69" t="str">
        <f>Engagements!B52</f>
        <v/>
      </c>
      <c r="C51" s="69" t="str">
        <f>Engagements!C52</f>
        <v/>
      </c>
      <c r="D51" s="769" t="str">
        <f>Engagements!E52</f>
        <v/>
      </c>
      <c r="E51" s="69" t="str">
        <f>Engagements!E52</f>
        <v/>
      </c>
      <c r="F51" s="69" t="str">
        <f>Engagements!F52</f>
        <v/>
      </c>
      <c r="G51" s="71" t="str">
        <f>Engagements!G52</f>
        <v/>
      </c>
      <c r="H51" s="64" t="str">
        <f>Engagements!H52</f>
        <v/>
      </c>
      <c r="I51" s="64" t="str">
        <f>Engagements!I52</f>
        <v/>
      </c>
      <c r="J51" s="64" t="str">
        <f>Engagements!J52</f>
        <v/>
      </c>
      <c r="K51" s="766" t="str">
        <f>Engagements!F52</f>
        <v/>
      </c>
      <c r="L51" s="772" t="str">
        <f>Engagements!K52</f>
        <v/>
      </c>
    </row>
    <row r="52" spans="1:12" thickBot="1" x14ac:dyDescent="0.25">
      <c r="A52" s="414">
        <f>Engagements!A53</f>
        <v>48</v>
      </c>
      <c r="B52" s="415" t="str">
        <f>Engagements!B53</f>
        <v/>
      </c>
      <c r="C52" s="415" t="str">
        <f>Engagements!C53</f>
        <v/>
      </c>
      <c r="D52" s="770" t="str">
        <f>Engagements!E53</f>
        <v/>
      </c>
      <c r="E52" s="415" t="str">
        <f>Engagements!E53</f>
        <v/>
      </c>
      <c r="F52" s="415" t="str">
        <f>Engagements!F53</f>
        <v/>
      </c>
      <c r="G52" s="419" t="str">
        <f>Engagements!G53</f>
        <v/>
      </c>
      <c r="H52" s="418" t="str">
        <f>Engagements!H53</f>
        <v/>
      </c>
      <c r="I52" s="418" t="str">
        <f>Engagements!I53</f>
        <v/>
      </c>
      <c r="J52" s="418" t="str">
        <f>Engagements!J53</f>
        <v/>
      </c>
      <c r="K52" s="767" t="str">
        <f>Engagements!F53</f>
        <v/>
      </c>
      <c r="L52" s="773" t="str">
        <f>Engagements!K53</f>
        <v/>
      </c>
    </row>
    <row r="53" spans="1:12" ht="14.25" x14ac:dyDescent="0.2">
      <c r="A53" s="411">
        <f>Engagements!A54</f>
        <v>49</v>
      </c>
      <c r="B53" s="412" t="str">
        <f>Engagements!B54</f>
        <v/>
      </c>
      <c r="C53" s="412" t="str">
        <f>Engagements!C54</f>
        <v/>
      </c>
      <c r="D53" s="768" t="str">
        <f>Engagements!E54</f>
        <v/>
      </c>
      <c r="E53" s="412" t="str">
        <f>Engagements!E54</f>
        <v/>
      </c>
      <c r="F53" s="412" t="str">
        <f>Engagements!F54</f>
        <v/>
      </c>
      <c r="G53" s="416" t="str">
        <f>Engagements!G54</f>
        <v/>
      </c>
      <c r="H53" s="417" t="str">
        <f>Engagements!H54</f>
        <v/>
      </c>
      <c r="I53" s="417" t="str">
        <f>Engagements!I54</f>
        <v/>
      </c>
      <c r="J53" s="417" t="str">
        <f>Engagements!J54</f>
        <v/>
      </c>
      <c r="K53" s="765" t="str">
        <f>Engagements!F54</f>
        <v/>
      </c>
      <c r="L53" s="771" t="str">
        <f>Engagements!K54</f>
        <v/>
      </c>
    </row>
    <row r="54" spans="1:12" ht="14.25" x14ac:dyDescent="0.2">
      <c r="A54" s="413">
        <f>Engagements!A55</f>
        <v>50</v>
      </c>
      <c r="B54" s="69" t="str">
        <f>Engagements!B55</f>
        <v/>
      </c>
      <c r="C54" s="69" t="str">
        <f>Engagements!C55</f>
        <v/>
      </c>
      <c r="D54" s="769" t="str">
        <f>Engagements!E55</f>
        <v/>
      </c>
      <c r="E54" s="69" t="str">
        <f>Engagements!E55</f>
        <v/>
      </c>
      <c r="F54" s="69" t="str">
        <f>Engagements!F55</f>
        <v/>
      </c>
      <c r="G54" s="71" t="str">
        <f>Engagements!G55</f>
        <v/>
      </c>
      <c r="H54" s="64" t="str">
        <f>Engagements!H55</f>
        <v/>
      </c>
      <c r="I54" s="64" t="str">
        <f>Engagements!I55</f>
        <v/>
      </c>
      <c r="J54" s="64" t="str">
        <f>Engagements!J55</f>
        <v/>
      </c>
      <c r="K54" s="766" t="str">
        <f>Engagements!F55</f>
        <v/>
      </c>
      <c r="L54" s="772" t="str">
        <f>Engagements!K55</f>
        <v/>
      </c>
    </row>
    <row r="55" spans="1:12" ht="14.25" x14ac:dyDescent="0.2">
      <c r="A55" s="413">
        <f>Engagements!A56</f>
        <v>51</v>
      </c>
      <c r="B55" s="69" t="str">
        <f>Engagements!B56</f>
        <v/>
      </c>
      <c r="C55" s="69" t="str">
        <f>Engagements!C56</f>
        <v/>
      </c>
      <c r="D55" s="769" t="str">
        <f>Engagements!E56</f>
        <v/>
      </c>
      <c r="E55" s="69" t="str">
        <f>Engagements!E56</f>
        <v/>
      </c>
      <c r="F55" s="69" t="str">
        <f>Engagements!F56</f>
        <v/>
      </c>
      <c r="G55" s="71" t="str">
        <f>Engagements!G56</f>
        <v/>
      </c>
      <c r="H55" s="64" t="str">
        <f>Engagements!H56</f>
        <v/>
      </c>
      <c r="I55" s="64" t="str">
        <f>Engagements!I56</f>
        <v/>
      </c>
      <c r="J55" s="64" t="str">
        <f>Engagements!J56</f>
        <v/>
      </c>
      <c r="K55" s="766" t="str">
        <f>Engagements!F56</f>
        <v/>
      </c>
      <c r="L55" s="772" t="str">
        <f>Engagements!K56</f>
        <v/>
      </c>
    </row>
    <row r="56" spans="1:12" thickBot="1" x14ac:dyDescent="0.25">
      <c r="A56" s="414">
        <f>Engagements!A57</f>
        <v>52</v>
      </c>
      <c r="B56" s="415" t="str">
        <f>Engagements!B57</f>
        <v/>
      </c>
      <c r="C56" s="415" t="str">
        <f>Engagements!C57</f>
        <v/>
      </c>
      <c r="D56" s="770" t="str">
        <f>Engagements!E57</f>
        <v/>
      </c>
      <c r="E56" s="415" t="str">
        <f>Engagements!E57</f>
        <v/>
      </c>
      <c r="F56" s="415" t="str">
        <f>Engagements!F57</f>
        <v/>
      </c>
      <c r="G56" s="419" t="str">
        <f>Engagements!G57</f>
        <v/>
      </c>
      <c r="H56" s="418" t="str">
        <f>Engagements!H57</f>
        <v/>
      </c>
      <c r="I56" s="418" t="str">
        <f>Engagements!I57</f>
        <v/>
      </c>
      <c r="J56" s="418" t="str">
        <f>Engagements!J57</f>
        <v/>
      </c>
      <c r="K56" s="767" t="str">
        <f>Engagements!F57</f>
        <v/>
      </c>
      <c r="L56" s="773" t="str">
        <f>Engagements!K57</f>
        <v/>
      </c>
    </row>
    <row r="57" spans="1:12" ht="14.25" x14ac:dyDescent="0.2">
      <c r="A57" s="411">
        <f>Engagements!A58</f>
        <v>53</v>
      </c>
      <c r="B57" s="412" t="str">
        <f>Engagements!B58</f>
        <v/>
      </c>
      <c r="C57" s="412" t="str">
        <f>Engagements!C58</f>
        <v/>
      </c>
      <c r="D57" s="768" t="str">
        <f>Engagements!E58</f>
        <v/>
      </c>
      <c r="E57" s="412" t="str">
        <f>Engagements!E58</f>
        <v/>
      </c>
      <c r="F57" s="412" t="str">
        <f>Engagements!F58</f>
        <v/>
      </c>
      <c r="G57" s="416" t="str">
        <f>Engagements!G58</f>
        <v/>
      </c>
      <c r="H57" s="417" t="str">
        <f>Engagements!H58</f>
        <v/>
      </c>
      <c r="I57" s="417" t="str">
        <f>Engagements!I58</f>
        <v/>
      </c>
      <c r="J57" s="417" t="str">
        <f>Engagements!J58</f>
        <v/>
      </c>
      <c r="K57" s="765" t="str">
        <f>Engagements!F58</f>
        <v/>
      </c>
      <c r="L57" s="771" t="str">
        <f>Engagements!K58</f>
        <v/>
      </c>
    </row>
    <row r="58" spans="1:12" ht="14.25" x14ac:dyDescent="0.2">
      <c r="A58" s="413">
        <f>Engagements!A59</f>
        <v>54</v>
      </c>
      <c r="B58" s="69" t="str">
        <f>Engagements!B59</f>
        <v/>
      </c>
      <c r="C58" s="69" t="str">
        <f>Engagements!C59</f>
        <v/>
      </c>
      <c r="D58" s="769" t="str">
        <f>Engagements!E59</f>
        <v/>
      </c>
      <c r="E58" s="69" t="str">
        <f>Engagements!E59</f>
        <v/>
      </c>
      <c r="F58" s="69" t="str">
        <f>Engagements!F59</f>
        <v/>
      </c>
      <c r="G58" s="71" t="str">
        <f>Engagements!G59</f>
        <v/>
      </c>
      <c r="H58" s="64" t="str">
        <f>Engagements!H59</f>
        <v/>
      </c>
      <c r="I58" s="64" t="str">
        <f>Engagements!I59</f>
        <v/>
      </c>
      <c r="J58" s="64" t="str">
        <f>Engagements!J59</f>
        <v/>
      </c>
      <c r="K58" s="766" t="str">
        <f>Engagements!F59</f>
        <v/>
      </c>
      <c r="L58" s="772" t="str">
        <f>Engagements!K59</f>
        <v/>
      </c>
    </row>
    <row r="59" spans="1:12" ht="14.25" x14ac:dyDescent="0.2">
      <c r="A59" s="413">
        <f>Engagements!A60</f>
        <v>55</v>
      </c>
      <c r="B59" s="69" t="str">
        <f>Engagements!B60</f>
        <v/>
      </c>
      <c r="C59" s="69" t="str">
        <f>Engagements!C60</f>
        <v/>
      </c>
      <c r="D59" s="769" t="str">
        <f>Engagements!E60</f>
        <v/>
      </c>
      <c r="E59" s="69" t="str">
        <f>Engagements!E60</f>
        <v/>
      </c>
      <c r="F59" s="69" t="str">
        <f>Engagements!F60</f>
        <v/>
      </c>
      <c r="G59" s="71" t="str">
        <f>Engagements!G60</f>
        <v/>
      </c>
      <c r="H59" s="64" t="str">
        <f>Engagements!H60</f>
        <v/>
      </c>
      <c r="I59" s="64" t="str">
        <f>Engagements!I60</f>
        <v/>
      </c>
      <c r="J59" s="64" t="str">
        <f>Engagements!J60</f>
        <v/>
      </c>
      <c r="K59" s="766" t="str">
        <f>Engagements!F60</f>
        <v/>
      </c>
      <c r="L59" s="772" t="str">
        <f>Engagements!K60</f>
        <v/>
      </c>
    </row>
    <row r="60" spans="1:12" thickBot="1" x14ac:dyDescent="0.25">
      <c r="A60" s="414">
        <f>Engagements!A61</f>
        <v>56</v>
      </c>
      <c r="B60" s="415" t="str">
        <f>Engagements!B61</f>
        <v/>
      </c>
      <c r="C60" s="415" t="str">
        <f>Engagements!C61</f>
        <v/>
      </c>
      <c r="D60" s="770" t="str">
        <f>Engagements!E61</f>
        <v/>
      </c>
      <c r="E60" s="415" t="str">
        <f>Engagements!E61</f>
        <v/>
      </c>
      <c r="F60" s="415" t="str">
        <f>Engagements!F61</f>
        <v/>
      </c>
      <c r="G60" s="419" t="str">
        <f>Engagements!G61</f>
        <v/>
      </c>
      <c r="H60" s="418" t="str">
        <f>Engagements!H61</f>
        <v/>
      </c>
      <c r="I60" s="418" t="str">
        <f>Engagements!I61</f>
        <v/>
      </c>
      <c r="J60" s="418" t="str">
        <f>Engagements!J61</f>
        <v/>
      </c>
      <c r="K60" s="767" t="str">
        <f>Engagements!F61</f>
        <v/>
      </c>
      <c r="L60" s="773" t="str">
        <f>Engagements!K61</f>
        <v/>
      </c>
    </row>
    <row r="61" spans="1:12" ht="14.25" x14ac:dyDescent="0.2">
      <c r="A61" s="411">
        <f>Engagements!A62</f>
        <v>57</v>
      </c>
      <c r="B61" s="412" t="str">
        <f>Engagements!B62</f>
        <v/>
      </c>
      <c r="C61" s="412" t="str">
        <f>Engagements!C62</f>
        <v/>
      </c>
      <c r="D61" s="768" t="str">
        <f>Engagements!E62</f>
        <v/>
      </c>
      <c r="E61" s="412" t="str">
        <f>Engagements!E62</f>
        <v/>
      </c>
      <c r="F61" s="412" t="str">
        <f>Engagements!F62</f>
        <v/>
      </c>
      <c r="G61" s="416" t="str">
        <f>Engagements!G62</f>
        <v/>
      </c>
      <c r="H61" s="417" t="str">
        <f>Engagements!H62</f>
        <v/>
      </c>
      <c r="I61" s="417" t="str">
        <f>Engagements!I62</f>
        <v/>
      </c>
      <c r="J61" s="417" t="str">
        <f>Engagements!J62</f>
        <v/>
      </c>
      <c r="K61" s="765" t="str">
        <f>Engagements!F62</f>
        <v/>
      </c>
      <c r="L61" s="771" t="str">
        <f>Engagements!K62</f>
        <v/>
      </c>
    </row>
    <row r="62" spans="1:12" ht="14.25" x14ac:dyDescent="0.2">
      <c r="A62" s="413">
        <f>Engagements!A63</f>
        <v>58</v>
      </c>
      <c r="B62" s="69" t="str">
        <f>Engagements!B63</f>
        <v/>
      </c>
      <c r="C62" s="69" t="str">
        <f>Engagements!C63</f>
        <v/>
      </c>
      <c r="D62" s="769" t="str">
        <f>Engagements!E63</f>
        <v/>
      </c>
      <c r="E62" s="69" t="str">
        <f>Engagements!E63</f>
        <v/>
      </c>
      <c r="F62" s="69" t="str">
        <f>Engagements!F63</f>
        <v/>
      </c>
      <c r="G62" s="71" t="str">
        <f>Engagements!G63</f>
        <v/>
      </c>
      <c r="H62" s="64" t="str">
        <f>Engagements!H63</f>
        <v/>
      </c>
      <c r="I62" s="64" t="str">
        <f>Engagements!I63</f>
        <v/>
      </c>
      <c r="J62" s="64" t="str">
        <f>Engagements!J63</f>
        <v/>
      </c>
      <c r="K62" s="766" t="str">
        <f>Engagements!F63</f>
        <v/>
      </c>
      <c r="L62" s="772" t="str">
        <f>Engagements!K63</f>
        <v/>
      </c>
    </row>
    <row r="63" spans="1:12" ht="14.25" x14ac:dyDescent="0.2">
      <c r="A63" s="413">
        <f>Engagements!A64</f>
        <v>59</v>
      </c>
      <c r="B63" s="69" t="str">
        <f>Engagements!B64</f>
        <v/>
      </c>
      <c r="C63" s="69" t="str">
        <f>Engagements!C64</f>
        <v/>
      </c>
      <c r="D63" s="769" t="str">
        <f>Engagements!E64</f>
        <v/>
      </c>
      <c r="E63" s="69" t="str">
        <f>Engagements!E64</f>
        <v/>
      </c>
      <c r="F63" s="69" t="str">
        <f>Engagements!F64</f>
        <v/>
      </c>
      <c r="G63" s="71" t="str">
        <f>Engagements!G64</f>
        <v/>
      </c>
      <c r="H63" s="64" t="str">
        <f>Engagements!H64</f>
        <v/>
      </c>
      <c r="I63" s="64" t="str">
        <f>Engagements!I64</f>
        <v/>
      </c>
      <c r="J63" s="64" t="str">
        <f>Engagements!J64</f>
        <v/>
      </c>
      <c r="K63" s="766" t="str">
        <f>Engagements!F64</f>
        <v/>
      </c>
      <c r="L63" s="772" t="str">
        <f>Engagements!K64</f>
        <v/>
      </c>
    </row>
    <row r="64" spans="1:12" thickBot="1" x14ac:dyDescent="0.25">
      <c r="A64" s="414">
        <f>Engagements!A65</f>
        <v>60</v>
      </c>
      <c r="B64" s="415" t="str">
        <f>Engagements!B65</f>
        <v/>
      </c>
      <c r="C64" s="415" t="str">
        <f>Engagements!C65</f>
        <v/>
      </c>
      <c r="D64" s="770" t="str">
        <f>Engagements!E65</f>
        <v/>
      </c>
      <c r="E64" s="415" t="str">
        <f>Engagements!E65</f>
        <v/>
      </c>
      <c r="F64" s="415" t="str">
        <f>Engagements!F65</f>
        <v/>
      </c>
      <c r="G64" s="419" t="str">
        <f>Engagements!G65</f>
        <v/>
      </c>
      <c r="H64" s="418" t="str">
        <f>Engagements!H65</f>
        <v/>
      </c>
      <c r="I64" s="418" t="str">
        <f>Engagements!I65</f>
        <v/>
      </c>
      <c r="J64" s="418" t="str">
        <f>Engagements!J65</f>
        <v/>
      </c>
      <c r="K64" s="767" t="str">
        <f>Engagements!F65</f>
        <v/>
      </c>
      <c r="L64" s="773" t="str">
        <f>Engagements!K65</f>
        <v/>
      </c>
    </row>
    <row r="65" spans="1:12" ht="14.25" x14ac:dyDescent="0.2">
      <c r="A65" s="411">
        <f>Engagements!A66</f>
        <v>61</v>
      </c>
      <c r="B65" s="412" t="str">
        <f>Engagements!B66</f>
        <v/>
      </c>
      <c r="C65" s="412" t="str">
        <f>Engagements!C66</f>
        <v/>
      </c>
      <c r="D65" s="768" t="str">
        <f>Engagements!E66</f>
        <v/>
      </c>
      <c r="E65" s="412" t="str">
        <f>Engagements!E66</f>
        <v/>
      </c>
      <c r="F65" s="412" t="str">
        <f>Engagements!F66</f>
        <v/>
      </c>
      <c r="G65" s="416" t="str">
        <f>Engagements!G66</f>
        <v/>
      </c>
      <c r="H65" s="417" t="str">
        <f>Engagements!H66</f>
        <v/>
      </c>
      <c r="I65" s="417" t="str">
        <f>Engagements!I66</f>
        <v/>
      </c>
      <c r="J65" s="417" t="str">
        <f>Engagements!J66</f>
        <v/>
      </c>
      <c r="K65" s="765" t="str">
        <f>Engagements!F66</f>
        <v/>
      </c>
      <c r="L65" s="771" t="str">
        <f>Engagements!K66</f>
        <v/>
      </c>
    </row>
    <row r="66" spans="1:12" ht="14.25" x14ac:dyDescent="0.2">
      <c r="A66" s="413">
        <f>Engagements!A67</f>
        <v>62</v>
      </c>
      <c r="B66" s="69" t="str">
        <f>Engagements!B67</f>
        <v/>
      </c>
      <c r="C66" s="69" t="str">
        <f>Engagements!C67</f>
        <v/>
      </c>
      <c r="D66" s="769" t="str">
        <f>Engagements!E67</f>
        <v/>
      </c>
      <c r="E66" s="69" t="str">
        <f>Engagements!E67</f>
        <v/>
      </c>
      <c r="F66" s="69" t="str">
        <f>Engagements!F67</f>
        <v/>
      </c>
      <c r="G66" s="71" t="str">
        <f>Engagements!G67</f>
        <v/>
      </c>
      <c r="H66" s="64" t="str">
        <f>Engagements!H67</f>
        <v/>
      </c>
      <c r="I66" s="64" t="str">
        <f>Engagements!I67</f>
        <v/>
      </c>
      <c r="J66" s="64" t="str">
        <f>Engagements!J67</f>
        <v/>
      </c>
      <c r="K66" s="766" t="str">
        <f>Engagements!F67</f>
        <v/>
      </c>
      <c r="L66" s="772" t="str">
        <f>Engagements!K67</f>
        <v/>
      </c>
    </row>
    <row r="67" spans="1:12" ht="14.25" x14ac:dyDescent="0.2">
      <c r="A67" s="413">
        <f>Engagements!A68</f>
        <v>63</v>
      </c>
      <c r="B67" s="69" t="str">
        <f>Engagements!B68</f>
        <v/>
      </c>
      <c r="C67" s="69" t="str">
        <f>Engagements!C68</f>
        <v/>
      </c>
      <c r="D67" s="769" t="str">
        <f>Engagements!E68</f>
        <v/>
      </c>
      <c r="E67" s="69" t="str">
        <f>Engagements!E68</f>
        <v/>
      </c>
      <c r="F67" s="69" t="str">
        <f>Engagements!F68</f>
        <v/>
      </c>
      <c r="G67" s="71" t="str">
        <f>Engagements!G68</f>
        <v/>
      </c>
      <c r="H67" s="64" t="str">
        <f>Engagements!H68</f>
        <v/>
      </c>
      <c r="I67" s="64" t="str">
        <f>Engagements!I68</f>
        <v/>
      </c>
      <c r="J67" s="64" t="str">
        <f>Engagements!J68</f>
        <v/>
      </c>
      <c r="K67" s="766" t="str">
        <f>Engagements!F68</f>
        <v/>
      </c>
      <c r="L67" s="772" t="str">
        <f>Engagements!K68</f>
        <v/>
      </c>
    </row>
    <row r="68" spans="1:12" thickBot="1" x14ac:dyDescent="0.25">
      <c r="A68" s="414">
        <f>Engagements!A69</f>
        <v>64</v>
      </c>
      <c r="B68" s="415" t="str">
        <f>Engagements!B69</f>
        <v/>
      </c>
      <c r="C68" s="415" t="str">
        <f>Engagements!C69</f>
        <v/>
      </c>
      <c r="D68" s="770" t="str">
        <f>Engagements!E69</f>
        <v/>
      </c>
      <c r="E68" s="415" t="str">
        <f>Engagements!E69</f>
        <v/>
      </c>
      <c r="F68" s="415" t="str">
        <f>Engagements!F69</f>
        <v/>
      </c>
      <c r="G68" s="419" t="str">
        <f>Engagements!G69</f>
        <v/>
      </c>
      <c r="H68" s="418" t="str">
        <f>Engagements!H69</f>
        <v/>
      </c>
      <c r="I68" s="418" t="str">
        <f>Engagements!I69</f>
        <v/>
      </c>
      <c r="J68" s="418" t="str">
        <f>Engagements!J69</f>
        <v/>
      </c>
      <c r="K68" s="767" t="str">
        <f>Engagements!F69</f>
        <v/>
      </c>
      <c r="L68" s="773" t="str">
        <f>Engagements!K69</f>
        <v/>
      </c>
    </row>
    <row r="69" spans="1:12" ht="14.25" x14ac:dyDescent="0.2">
      <c r="A69" s="411">
        <f>Engagements!A70</f>
        <v>65</v>
      </c>
      <c r="B69" s="412" t="str">
        <f>Engagements!B70</f>
        <v/>
      </c>
      <c r="C69" s="412" t="str">
        <f>Engagements!C70</f>
        <v/>
      </c>
      <c r="D69" s="768" t="str">
        <f>Engagements!E70</f>
        <v/>
      </c>
      <c r="E69" s="412" t="str">
        <f>Engagements!E70</f>
        <v/>
      </c>
      <c r="F69" s="412" t="str">
        <f>Engagements!F70</f>
        <v/>
      </c>
      <c r="G69" s="416" t="str">
        <f>Engagements!G70</f>
        <v/>
      </c>
      <c r="H69" s="417" t="str">
        <f>Engagements!H70</f>
        <v/>
      </c>
      <c r="I69" s="417" t="str">
        <f>Engagements!I70</f>
        <v/>
      </c>
      <c r="J69" s="417" t="str">
        <f>Engagements!J70</f>
        <v/>
      </c>
      <c r="K69" s="765" t="str">
        <f>Engagements!F70</f>
        <v/>
      </c>
      <c r="L69" s="771" t="str">
        <f>Engagements!K70</f>
        <v/>
      </c>
    </row>
    <row r="70" spans="1:12" ht="14.25" x14ac:dyDescent="0.2">
      <c r="A70" s="413">
        <f>Engagements!A71</f>
        <v>66</v>
      </c>
      <c r="B70" s="69" t="str">
        <f>Engagements!B71</f>
        <v/>
      </c>
      <c r="C70" s="69" t="str">
        <f>Engagements!C71</f>
        <v/>
      </c>
      <c r="D70" s="769" t="str">
        <f>Engagements!E71</f>
        <v/>
      </c>
      <c r="E70" s="69" t="str">
        <f>Engagements!E71</f>
        <v/>
      </c>
      <c r="F70" s="69" t="str">
        <f>Engagements!F71</f>
        <v/>
      </c>
      <c r="G70" s="71" t="str">
        <f>Engagements!G71</f>
        <v/>
      </c>
      <c r="H70" s="64" t="str">
        <f>Engagements!H71</f>
        <v/>
      </c>
      <c r="I70" s="64" t="str">
        <f>Engagements!I71</f>
        <v/>
      </c>
      <c r="J70" s="64" t="str">
        <f>Engagements!J71</f>
        <v/>
      </c>
      <c r="K70" s="766" t="str">
        <f>Engagements!F71</f>
        <v/>
      </c>
      <c r="L70" s="772" t="str">
        <f>Engagements!K71</f>
        <v/>
      </c>
    </row>
    <row r="71" spans="1:12" ht="14.25" x14ac:dyDescent="0.2">
      <c r="A71" s="413">
        <f>Engagements!A72</f>
        <v>67</v>
      </c>
      <c r="B71" s="69" t="str">
        <f>Engagements!B72</f>
        <v/>
      </c>
      <c r="C71" s="69" t="str">
        <f>Engagements!C72</f>
        <v/>
      </c>
      <c r="D71" s="769" t="str">
        <f>Engagements!E72</f>
        <v/>
      </c>
      <c r="E71" s="69" t="str">
        <f>Engagements!E72</f>
        <v/>
      </c>
      <c r="F71" s="69" t="str">
        <f>Engagements!F72</f>
        <v/>
      </c>
      <c r="G71" s="71" t="str">
        <f>Engagements!G72</f>
        <v/>
      </c>
      <c r="H71" s="64" t="str">
        <f>Engagements!H72</f>
        <v/>
      </c>
      <c r="I71" s="64" t="str">
        <f>Engagements!I72</f>
        <v/>
      </c>
      <c r="J71" s="64" t="str">
        <f>Engagements!J72</f>
        <v/>
      </c>
      <c r="K71" s="766" t="str">
        <f>Engagements!F72</f>
        <v/>
      </c>
      <c r="L71" s="772" t="str">
        <f>Engagements!K72</f>
        <v/>
      </c>
    </row>
    <row r="72" spans="1:12" thickBot="1" x14ac:dyDescent="0.25">
      <c r="A72" s="414">
        <f>Engagements!A73</f>
        <v>68</v>
      </c>
      <c r="B72" s="415" t="str">
        <f>Engagements!B73</f>
        <v/>
      </c>
      <c r="C72" s="415" t="str">
        <f>Engagements!C73</f>
        <v/>
      </c>
      <c r="D72" s="770" t="str">
        <f>Engagements!E73</f>
        <v/>
      </c>
      <c r="E72" s="415" t="str">
        <f>Engagements!E73</f>
        <v/>
      </c>
      <c r="F72" s="415" t="str">
        <f>Engagements!F73</f>
        <v/>
      </c>
      <c r="G72" s="419" t="str">
        <f>Engagements!G73</f>
        <v/>
      </c>
      <c r="H72" s="418" t="str">
        <f>Engagements!H73</f>
        <v/>
      </c>
      <c r="I72" s="418" t="str">
        <f>Engagements!I73</f>
        <v/>
      </c>
      <c r="J72" s="418" t="str">
        <f>Engagements!J73</f>
        <v/>
      </c>
      <c r="K72" s="767" t="str">
        <f>Engagements!F73</f>
        <v/>
      </c>
      <c r="L72" s="773" t="str">
        <f>Engagements!K73</f>
        <v/>
      </c>
    </row>
    <row r="73" spans="1:12" ht="14.25" x14ac:dyDescent="0.2">
      <c r="A73" s="411">
        <f>Engagements!A74</f>
        <v>69</v>
      </c>
      <c r="B73" s="412" t="str">
        <f>Engagements!B74</f>
        <v/>
      </c>
      <c r="C73" s="412" t="str">
        <f>Engagements!C74</f>
        <v/>
      </c>
      <c r="D73" s="768" t="str">
        <f>Engagements!E74</f>
        <v/>
      </c>
      <c r="E73" s="412" t="str">
        <f>Engagements!E74</f>
        <v/>
      </c>
      <c r="F73" s="412" t="str">
        <f>Engagements!F74</f>
        <v/>
      </c>
      <c r="G73" s="416" t="str">
        <f>Engagements!G74</f>
        <v/>
      </c>
      <c r="H73" s="417" t="str">
        <f>Engagements!H74</f>
        <v/>
      </c>
      <c r="I73" s="417" t="str">
        <f>Engagements!I74</f>
        <v/>
      </c>
      <c r="J73" s="417" t="str">
        <f>Engagements!J74</f>
        <v/>
      </c>
      <c r="K73" s="765" t="str">
        <f>Engagements!F74</f>
        <v/>
      </c>
      <c r="L73" s="771" t="str">
        <f>Engagements!K74</f>
        <v/>
      </c>
    </row>
    <row r="74" spans="1:12" ht="14.25" x14ac:dyDescent="0.2">
      <c r="A74" s="413">
        <f>Engagements!A75</f>
        <v>70</v>
      </c>
      <c r="B74" s="69" t="str">
        <f>Engagements!B75</f>
        <v/>
      </c>
      <c r="C74" s="69" t="str">
        <f>Engagements!C75</f>
        <v/>
      </c>
      <c r="D74" s="769" t="str">
        <f>Engagements!E75</f>
        <v/>
      </c>
      <c r="E74" s="69" t="str">
        <f>Engagements!E75</f>
        <v/>
      </c>
      <c r="F74" s="69" t="str">
        <f>Engagements!F75</f>
        <v/>
      </c>
      <c r="G74" s="71" t="str">
        <f>Engagements!G75</f>
        <v/>
      </c>
      <c r="H74" s="64" t="str">
        <f>Engagements!H75</f>
        <v/>
      </c>
      <c r="I74" s="64" t="str">
        <f>Engagements!I75</f>
        <v/>
      </c>
      <c r="J74" s="64" t="str">
        <f>Engagements!J75</f>
        <v/>
      </c>
      <c r="K74" s="766" t="str">
        <f>Engagements!F75</f>
        <v/>
      </c>
      <c r="L74" s="772" t="str">
        <f>Engagements!K75</f>
        <v/>
      </c>
    </row>
    <row r="75" spans="1:12" ht="14.25" x14ac:dyDescent="0.2">
      <c r="A75" s="413">
        <f>Engagements!A76</f>
        <v>71</v>
      </c>
      <c r="B75" s="69" t="str">
        <f>Engagements!B76</f>
        <v/>
      </c>
      <c r="C75" s="69" t="str">
        <f>Engagements!C76</f>
        <v/>
      </c>
      <c r="D75" s="769" t="str">
        <f>Engagements!E76</f>
        <v/>
      </c>
      <c r="E75" s="69" t="str">
        <f>Engagements!E76</f>
        <v/>
      </c>
      <c r="F75" s="69" t="str">
        <f>Engagements!F76</f>
        <v/>
      </c>
      <c r="G75" s="71" t="str">
        <f>Engagements!G76</f>
        <v/>
      </c>
      <c r="H75" s="64" t="str">
        <f>Engagements!H76</f>
        <v/>
      </c>
      <c r="I75" s="64" t="str">
        <f>Engagements!I76</f>
        <v/>
      </c>
      <c r="J75" s="64" t="str">
        <f>Engagements!J76</f>
        <v/>
      </c>
      <c r="K75" s="766" t="str">
        <f>Engagements!F76</f>
        <v/>
      </c>
      <c r="L75" s="772" t="str">
        <f>Engagements!K76</f>
        <v/>
      </c>
    </row>
    <row r="76" spans="1:12" thickBot="1" x14ac:dyDescent="0.25">
      <c r="A76" s="414">
        <f>Engagements!A77</f>
        <v>72</v>
      </c>
      <c r="B76" s="415" t="str">
        <f>Engagements!B77</f>
        <v/>
      </c>
      <c r="C76" s="415" t="str">
        <f>Engagements!C77</f>
        <v/>
      </c>
      <c r="D76" s="770" t="str">
        <f>Engagements!E77</f>
        <v/>
      </c>
      <c r="E76" s="415" t="str">
        <f>Engagements!E77</f>
        <v/>
      </c>
      <c r="F76" s="415" t="str">
        <f>Engagements!F77</f>
        <v/>
      </c>
      <c r="G76" s="419" t="str">
        <f>Engagements!G77</f>
        <v/>
      </c>
      <c r="H76" s="418" t="str">
        <f>Engagements!H77</f>
        <v/>
      </c>
      <c r="I76" s="418" t="str">
        <f>Engagements!I77</f>
        <v/>
      </c>
      <c r="J76" s="418" t="str">
        <f>Engagements!J77</f>
        <v/>
      </c>
      <c r="K76" s="767" t="str">
        <f>Engagements!F77</f>
        <v/>
      </c>
      <c r="L76" s="773" t="str">
        <f>Engagements!K77</f>
        <v/>
      </c>
    </row>
    <row r="77" spans="1:12" ht="14.25" x14ac:dyDescent="0.2">
      <c r="A77" s="411">
        <f>Engagements!A78</f>
        <v>73</v>
      </c>
      <c r="B77" s="412" t="str">
        <f>Engagements!B78</f>
        <v/>
      </c>
      <c r="C77" s="412" t="str">
        <f>Engagements!C78</f>
        <v/>
      </c>
      <c r="D77" s="768" t="str">
        <f>Engagements!E78</f>
        <v/>
      </c>
      <c r="E77" s="412" t="str">
        <f>Engagements!E78</f>
        <v/>
      </c>
      <c r="F77" s="412" t="str">
        <f>Engagements!F78</f>
        <v/>
      </c>
      <c r="G77" s="416" t="str">
        <f>Engagements!G78</f>
        <v/>
      </c>
      <c r="H77" s="417" t="str">
        <f>Engagements!H78</f>
        <v/>
      </c>
      <c r="I77" s="417" t="str">
        <f>Engagements!I78</f>
        <v/>
      </c>
      <c r="J77" s="417" t="str">
        <f>Engagements!J78</f>
        <v/>
      </c>
      <c r="K77" s="765" t="str">
        <f>Engagements!F78</f>
        <v/>
      </c>
      <c r="L77" s="771" t="str">
        <f>Engagements!K78</f>
        <v/>
      </c>
    </row>
    <row r="78" spans="1:12" ht="14.25" x14ac:dyDescent="0.2">
      <c r="A78" s="413">
        <f>Engagements!A79</f>
        <v>74</v>
      </c>
      <c r="B78" s="69" t="str">
        <f>Engagements!B79</f>
        <v/>
      </c>
      <c r="C78" s="69" t="str">
        <f>Engagements!C79</f>
        <v/>
      </c>
      <c r="D78" s="769" t="str">
        <f>Engagements!E79</f>
        <v/>
      </c>
      <c r="E78" s="69" t="str">
        <f>Engagements!E79</f>
        <v/>
      </c>
      <c r="F78" s="69" t="str">
        <f>Engagements!F79</f>
        <v/>
      </c>
      <c r="G78" s="71" t="str">
        <f>Engagements!G79</f>
        <v/>
      </c>
      <c r="H78" s="64" t="str">
        <f>Engagements!H79</f>
        <v/>
      </c>
      <c r="I78" s="64" t="str">
        <f>Engagements!I79</f>
        <v/>
      </c>
      <c r="J78" s="64" t="str">
        <f>Engagements!J79</f>
        <v/>
      </c>
      <c r="K78" s="766" t="str">
        <f>Engagements!F79</f>
        <v/>
      </c>
      <c r="L78" s="772" t="str">
        <f>Engagements!K79</f>
        <v/>
      </c>
    </row>
    <row r="79" spans="1:12" ht="14.25" x14ac:dyDescent="0.2">
      <c r="A79" s="413">
        <f>Engagements!A80</f>
        <v>75</v>
      </c>
      <c r="B79" s="69" t="str">
        <f>Engagements!B80</f>
        <v/>
      </c>
      <c r="C79" s="69" t="str">
        <f>Engagements!C80</f>
        <v/>
      </c>
      <c r="D79" s="769" t="str">
        <f>Engagements!E80</f>
        <v/>
      </c>
      <c r="E79" s="69" t="str">
        <f>Engagements!E80</f>
        <v/>
      </c>
      <c r="F79" s="69" t="str">
        <f>Engagements!F80</f>
        <v/>
      </c>
      <c r="G79" s="71" t="str">
        <f>Engagements!G80</f>
        <v/>
      </c>
      <c r="H79" s="64" t="str">
        <f>Engagements!H80</f>
        <v/>
      </c>
      <c r="I79" s="64" t="str">
        <f>Engagements!I80</f>
        <v/>
      </c>
      <c r="J79" s="64" t="str">
        <f>Engagements!J80</f>
        <v/>
      </c>
      <c r="K79" s="766" t="str">
        <f>Engagements!F80</f>
        <v/>
      </c>
      <c r="L79" s="772" t="str">
        <f>Engagements!K80</f>
        <v/>
      </c>
    </row>
    <row r="80" spans="1:12" thickBot="1" x14ac:dyDescent="0.25">
      <c r="A80" s="414">
        <f>Engagements!A81</f>
        <v>76</v>
      </c>
      <c r="B80" s="415" t="str">
        <f>Engagements!B81</f>
        <v/>
      </c>
      <c r="C80" s="415" t="str">
        <f>Engagements!C81</f>
        <v/>
      </c>
      <c r="D80" s="770" t="str">
        <f>Engagements!E81</f>
        <v/>
      </c>
      <c r="E80" s="415" t="str">
        <f>Engagements!E81</f>
        <v/>
      </c>
      <c r="F80" s="415" t="str">
        <f>Engagements!F81</f>
        <v/>
      </c>
      <c r="G80" s="419" t="str">
        <f>Engagements!G81</f>
        <v/>
      </c>
      <c r="H80" s="418" t="str">
        <f>Engagements!H81</f>
        <v/>
      </c>
      <c r="I80" s="418" t="str">
        <f>Engagements!I81</f>
        <v/>
      </c>
      <c r="J80" s="418" t="str">
        <f>Engagements!J81</f>
        <v/>
      </c>
      <c r="K80" s="767" t="str">
        <f>Engagements!F81</f>
        <v/>
      </c>
      <c r="L80" s="773" t="str">
        <f>Engagements!K81</f>
        <v/>
      </c>
    </row>
    <row r="81" spans="1:12" ht="14.25" x14ac:dyDescent="0.2">
      <c r="A81" s="411">
        <f>Engagements!A82</f>
        <v>77</v>
      </c>
      <c r="B81" s="412" t="str">
        <f>Engagements!B82</f>
        <v/>
      </c>
      <c r="C81" s="412" t="str">
        <f>Engagements!C82</f>
        <v/>
      </c>
      <c r="D81" s="768" t="str">
        <f>Engagements!E82</f>
        <v/>
      </c>
      <c r="E81" s="412" t="str">
        <f>Engagements!E82</f>
        <v/>
      </c>
      <c r="F81" s="412" t="str">
        <f>Engagements!F82</f>
        <v/>
      </c>
      <c r="G81" s="416" t="str">
        <f>Engagements!G82</f>
        <v/>
      </c>
      <c r="H81" s="417" t="str">
        <f>Engagements!H82</f>
        <v/>
      </c>
      <c r="I81" s="417" t="str">
        <f>Engagements!I82</f>
        <v/>
      </c>
      <c r="J81" s="417" t="str">
        <f>Engagements!J82</f>
        <v/>
      </c>
      <c r="K81" s="765" t="str">
        <f>Engagements!F82</f>
        <v/>
      </c>
      <c r="L81" s="771" t="str">
        <f>Engagements!K82</f>
        <v/>
      </c>
    </row>
    <row r="82" spans="1:12" ht="14.25" x14ac:dyDescent="0.2">
      <c r="A82" s="413">
        <f>Engagements!A83</f>
        <v>78</v>
      </c>
      <c r="B82" s="69" t="str">
        <f>Engagements!B83</f>
        <v/>
      </c>
      <c r="C82" s="69" t="str">
        <f>Engagements!C83</f>
        <v/>
      </c>
      <c r="D82" s="769" t="str">
        <f>Engagements!E83</f>
        <v/>
      </c>
      <c r="E82" s="69" t="str">
        <f>Engagements!E83</f>
        <v/>
      </c>
      <c r="F82" s="69" t="str">
        <f>Engagements!F83</f>
        <v/>
      </c>
      <c r="G82" s="71" t="str">
        <f>Engagements!G83</f>
        <v/>
      </c>
      <c r="H82" s="64" t="str">
        <f>Engagements!H83</f>
        <v/>
      </c>
      <c r="I82" s="64" t="str">
        <f>Engagements!I83</f>
        <v/>
      </c>
      <c r="J82" s="64" t="str">
        <f>Engagements!J83</f>
        <v/>
      </c>
      <c r="K82" s="766" t="str">
        <f>Engagements!F83</f>
        <v/>
      </c>
      <c r="L82" s="772" t="str">
        <f>Engagements!K83</f>
        <v/>
      </c>
    </row>
    <row r="83" spans="1:12" ht="14.25" x14ac:dyDescent="0.2">
      <c r="A83" s="413">
        <f>Engagements!A84</f>
        <v>79</v>
      </c>
      <c r="B83" s="69" t="str">
        <f>Engagements!B84</f>
        <v/>
      </c>
      <c r="C83" s="69" t="str">
        <f>Engagements!C84</f>
        <v/>
      </c>
      <c r="D83" s="769" t="str">
        <f>Engagements!E84</f>
        <v/>
      </c>
      <c r="E83" s="69" t="str">
        <f>Engagements!E84</f>
        <v/>
      </c>
      <c r="F83" s="69" t="str">
        <f>Engagements!F84</f>
        <v/>
      </c>
      <c r="G83" s="71" t="str">
        <f>Engagements!G84</f>
        <v/>
      </c>
      <c r="H83" s="64" t="str">
        <f>Engagements!H84</f>
        <v/>
      </c>
      <c r="I83" s="64" t="str">
        <f>Engagements!I84</f>
        <v/>
      </c>
      <c r="J83" s="64" t="str">
        <f>Engagements!J84</f>
        <v/>
      </c>
      <c r="K83" s="766" t="str">
        <f>Engagements!F84</f>
        <v/>
      </c>
      <c r="L83" s="772" t="str">
        <f>Engagements!K84</f>
        <v/>
      </c>
    </row>
    <row r="84" spans="1:12" thickBot="1" x14ac:dyDescent="0.25">
      <c r="A84" s="414">
        <f>Engagements!A85</f>
        <v>80</v>
      </c>
      <c r="B84" s="415" t="str">
        <f>Engagements!B85</f>
        <v/>
      </c>
      <c r="C84" s="415" t="str">
        <f>Engagements!C85</f>
        <v/>
      </c>
      <c r="D84" s="770" t="str">
        <f>Engagements!E85</f>
        <v/>
      </c>
      <c r="E84" s="415" t="str">
        <f>Engagements!E85</f>
        <v/>
      </c>
      <c r="F84" s="415" t="str">
        <f>Engagements!F85</f>
        <v/>
      </c>
      <c r="G84" s="419" t="str">
        <f>Engagements!G85</f>
        <v/>
      </c>
      <c r="H84" s="418" t="str">
        <f>Engagements!H85</f>
        <v/>
      </c>
      <c r="I84" s="418" t="str">
        <f>Engagements!I85</f>
        <v/>
      </c>
      <c r="J84" s="418" t="str">
        <f>Engagements!J85</f>
        <v/>
      </c>
      <c r="K84" s="767" t="str">
        <f>Engagements!F85</f>
        <v/>
      </c>
      <c r="L84" s="773" t="str">
        <f>Engagements!K85</f>
        <v/>
      </c>
    </row>
    <row r="85" spans="1:12" ht="14.25" x14ac:dyDescent="0.2">
      <c r="A85" s="411">
        <f>Engagements!A86</f>
        <v>81</v>
      </c>
      <c r="B85" s="412" t="str">
        <f>Engagements!B86</f>
        <v/>
      </c>
      <c r="C85" s="412" t="str">
        <f>Engagements!C86</f>
        <v/>
      </c>
      <c r="D85" s="768" t="str">
        <f>Engagements!E86</f>
        <v/>
      </c>
      <c r="E85" s="412" t="str">
        <f>Engagements!E86</f>
        <v/>
      </c>
      <c r="F85" s="412" t="str">
        <f>Engagements!F86</f>
        <v/>
      </c>
      <c r="G85" s="416" t="str">
        <f>Engagements!G86</f>
        <v/>
      </c>
      <c r="H85" s="417" t="str">
        <f>Engagements!H86</f>
        <v/>
      </c>
      <c r="I85" s="417" t="str">
        <f>Engagements!I86</f>
        <v/>
      </c>
      <c r="J85" s="417" t="str">
        <f>Engagements!J86</f>
        <v/>
      </c>
      <c r="K85" s="765" t="str">
        <f>Engagements!F86</f>
        <v/>
      </c>
      <c r="L85" s="771" t="str">
        <f>Engagements!K86</f>
        <v/>
      </c>
    </row>
    <row r="86" spans="1:12" ht="14.25" x14ac:dyDescent="0.2">
      <c r="A86" s="413">
        <f>Engagements!A87</f>
        <v>82</v>
      </c>
      <c r="B86" s="69" t="str">
        <f>Engagements!B87</f>
        <v/>
      </c>
      <c r="C86" s="69" t="str">
        <f>Engagements!C87</f>
        <v/>
      </c>
      <c r="D86" s="769" t="str">
        <f>Engagements!E87</f>
        <v/>
      </c>
      <c r="E86" s="69" t="str">
        <f>Engagements!E87</f>
        <v/>
      </c>
      <c r="F86" s="69" t="str">
        <f>Engagements!F87</f>
        <v/>
      </c>
      <c r="G86" s="71" t="str">
        <f>Engagements!G87</f>
        <v/>
      </c>
      <c r="H86" s="64" t="str">
        <f>Engagements!H87</f>
        <v/>
      </c>
      <c r="I86" s="64" t="str">
        <f>Engagements!I87</f>
        <v/>
      </c>
      <c r="J86" s="64" t="str">
        <f>Engagements!J87</f>
        <v/>
      </c>
      <c r="K86" s="766" t="str">
        <f>Engagements!F87</f>
        <v/>
      </c>
      <c r="L86" s="772" t="str">
        <f>Engagements!K87</f>
        <v/>
      </c>
    </row>
    <row r="87" spans="1:12" ht="14.25" x14ac:dyDescent="0.2">
      <c r="A87" s="413">
        <f>Engagements!A88</f>
        <v>83</v>
      </c>
      <c r="B87" s="69" t="str">
        <f>Engagements!B88</f>
        <v/>
      </c>
      <c r="C87" s="69" t="str">
        <f>Engagements!C88</f>
        <v/>
      </c>
      <c r="D87" s="769" t="str">
        <f>Engagements!E88</f>
        <v/>
      </c>
      <c r="E87" s="69" t="str">
        <f>Engagements!E88</f>
        <v/>
      </c>
      <c r="F87" s="69" t="str">
        <f>Engagements!F88</f>
        <v/>
      </c>
      <c r="G87" s="71" t="str">
        <f>Engagements!G88</f>
        <v/>
      </c>
      <c r="H87" s="64" t="str">
        <f>Engagements!H88</f>
        <v/>
      </c>
      <c r="I87" s="64" t="str">
        <f>Engagements!I88</f>
        <v/>
      </c>
      <c r="J87" s="64" t="str">
        <f>Engagements!J88</f>
        <v/>
      </c>
      <c r="K87" s="766" t="str">
        <f>Engagements!F88</f>
        <v/>
      </c>
      <c r="L87" s="772" t="str">
        <f>Engagements!K88</f>
        <v/>
      </c>
    </row>
    <row r="88" spans="1:12" thickBot="1" x14ac:dyDescent="0.25">
      <c r="A88" s="414">
        <f>Engagements!A89</f>
        <v>84</v>
      </c>
      <c r="B88" s="415" t="str">
        <f>Engagements!B89</f>
        <v/>
      </c>
      <c r="C88" s="415" t="str">
        <f>Engagements!C89</f>
        <v/>
      </c>
      <c r="D88" s="770" t="str">
        <f>Engagements!E89</f>
        <v/>
      </c>
      <c r="E88" s="415" t="str">
        <f>Engagements!E89</f>
        <v/>
      </c>
      <c r="F88" s="415" t="str">
        <f>Engagements!F89</f>
        <v/>
      </c>
      <c r="G88" s="419" t="str">
        <f>Engagements!G89</f>
        <v/>
      </c>
      <c r="H88" s="418" t="str">
        <f>Engagements!H89</f>
        <v/>
      </c>
      <c r="I88" s="418" t="str">
        <f>Engagements!I89</f>
        <v/>
      </c>
      <c r="J88" s="418" t="str">
        <f>Engagements!J89</f>
        <v/>
      </c>
      <c r="K88" s="767" t="str">
        <f>Engagements!F89</f>
        <v/>
      </c>
      <c r="L88" s="773" t="str">
        <f>Engagements!K89</f>
        <v/>
      </c>
    </row>
    <row r="89" spans="1:12" ht="14.25" x14ac:dyDescent="0.2">
      <c r="A89" s="411">
        <f>Engagements!A90</f>
        <v>85</v>
      </c>
      <c r="B89" s="412" t="str">
        <f>Engagements!B90</f>
        <v/>
      </c>
      <c r="C89" s="412" t="str">
        <f>Engagements!C90</f>
        <v/>
      </c>
      <c r="D89" s="768" t="str">
        <f>Engagements!E90</f>
        <v/>
      </c>
      <c r="E89" s="412" t="str">
        <f>Engagements!E90</f>
        <v/>
      </c>
      <c r="F89" s="412" t="str">
        <f>Engagements!F90</f>
        <v/>
      </c>
      <c r="G89" s="416" t="str">
        <f>Engagements!G90</f>
        <v/>
      </c>
      <c r="H89" s="417" t="str">
        <f>Engagements!H90</f>
        <v/>
      </c>
      <c r="I89" s="417" t="str">
        <f>Engagements!I90</f>
        <v/>
      </c>
      <c r="J89" s="417" t="str">
        <f>Engagements!J90</f>
        <v/>
      </c>
      <c r="K89" s="765" t="str">
        <f>Engagements!F90</f>
        <v/>
      </c>
      <c r="L89" s="771" t="str">
        <f>Engagements!K90</f>
        <v/>
      </c>
    </row>
    <row r="90" spans="1:12" ht="14.25" x14ac:dyDescent="0.2">
      <c r="A90" s="413">
        <f>Engagements!A91</f>
        <v>86</v>
      </c>
      <c r="B90" s="69" t="str">
        <f>Engagements!B91</f>
        <v/>
      </c>
      <c r="C90" s="69" t="str">
        <f>Engagements!C91</f>
        <v/>
      </c>
      <c r="D90" s="769" t="str">
        <f>Engagements!E91</f>
        <v/>
      </c>
      <c r="E90" s="69" t="str">
        <f>Engagements!E91</f>
        <v/>
      </c>
      <c r="F90" s="69" t="str">
        <f>Engagements!F91</f>
        <v/>
      </c>
      <c r="G90" s="71" t="str">
        <f>Engagements!G91</f>
        <v/>
      </c>
      <c r="H90" s="64" t="str">
        <f>Engagements!H91</f>
        <v/>
      </c>
      <c r="I90" s="64" t="str">
        <f>Engagements!I91</f>
        <v/>
      </c>
      <c r="J90" s="64" t="str">
        <f>Engagements!J91</f>
        <v/>
      </c>
      <c r="K90" s="766" t="str">
        <f>Engagements!F91</f>
        <v/>
      </c>
      <c r="L90" s="772" t="str">
        <f>Engagements!K91</f>
        <v/>
      </c>
    </row>
    <row r="91" spans="1:12" ht="14.25" x14ac:dyDescent="0.2">
      <c r="A91" s="413">
        <f>Engagements!A92</f>
        <v>87</v>
      </c>
      <c r="B91" s="69" t="str">
        <f>Engagements!B92</f>
        <v/>
      </c>
      <c r="C91" s="69" t="str">
        <f>Engagements!C92</f>
        <v/>
      </c>
      <c r="D91" s="769" t="str">
        <f>Engagements!E92</f>
        <v/>
      </c>
      <c r="E91" s="69" t="str">
        <f>Engagements!E92</f>
        <v/>
      </c>
      <c r="F91" s="69" t="str">
        <f>Engagements!F92</f>
        <v/>
      </c>
      <c r="G91" s="71" t="str">
        <f>Engagements!G92</f>
        <v/>
      </c>
      <c r="H91" s="64" t="str">
        <f>Engagements!H92</f>
        <v/>
      </c>
      <c r="I91" s="64" t="str">
        <f>Engagements!I92</f>
        <v/>
      </c>
      <c r="J91" s="64" t="str">
        <f>Engagements!J92</f>
        <v/>
      </c>
      <c r="K91" s="766" t="str">
        <f>Engagements!F92</f>
        <v/>
      </c>
      <c r="L91" s="772" t="str">
        <f>Engagements!K92</f>
        <v/>
      </c>
    </row>
    <row r="92" spans="1:12" thickBot="1" x14ac:dyDescent="0.25">
      <c r="A92" s="414">
        <f>Engagements!A93</f>
        <v>88</v>
      </c>
      <c r="B92" s="415" t="str">
        <f>Engagements!B93</f>
        <v/>
      </c>
      <c r="C92" s="415" t="str">
        <f>Engagements!C93</f>
        <v/>
      </c>
      <c r="D92" s="770" t="str">
        <f>Engagements!E93</f>
        <v/>
      </c>
      <c r="E92" s="415" t="str">
        <f>Engagements!E93</f>
        <v/>
      </c>
      <c r="F92" s="415" t="str">
        <f>Engagements!F93</f>
        <v/>
      </c>
      <c r="G92" s="419" t="str">
        <f>Engagements!G93</f>
        <v/>
      </c>
      <c r="H92" s="418" t="str">
        <f>Engagements!H93</f>
        <v/>
      </c>
      <c r="I92" s="418" t="str">
        <f>Engagements!I93</f>
        <v/>
      </c>
      <c r="J92" s="418" t="str">
        <f>Engagements!J93</f>
        <v/>
      </c>
      <c r="K92" s="767" t="str">
        <f>Engagements!F93</f>
        <v/>
      </c>
      <c r="L92" s="773" t="str">
        <f>Engagements!K93</f>
        <v/>
      </c>
    </row>
    <row r="93" spans="1:12" ht="14.25" x14ac:dyDescent="0.2">
      <c r="A93" s="411">
        <f>Engagements!A94</f>
        <v>89</v>
      </c>
      <c r="B93" s="412" t="str">
        <f>Engagements!B94</f>
        <v/>
      </c>
      <c r="C93" s="412" t="str">
        <f>Engagements!C94</f>
        <v/>
      </c>
      <c r="D93" s="768" t="str">
        <f>Engagements!E94</f>
        <v/>
      </c>
      <c r="E93" s="412" t="str">
        <f>Engagements!E94</f>
        <v/>
      </c>
      <c r="F93" s="412" t="str">
        <f>Engagements!F94</f>
        <v/>
      </c>
      <c r="G93" s="416" t="str">
        <f>Engagements!G94</f>
        <v/>
      </c>
      <c r="H93" s="417" t="str">
        <f>Engagements!H94</f>
        <v/>
      </c>
      <c r="I93" s="417" t="str">
        <f>Engagements!I94</f>
        <v/>
      </c>
      <c r="J93" s="417" t="str">
        <f>Engagements!J94</f>
        <v/>
      </c>
      <c r="K93" s="765" t="str">
        <f>Engagements!F94</f>
        <v/>
      </c>
      <c r="L93" s="771" t="str">
        <f>Engagements!K94</f>
        <v/>
      </c>
    </row>
    <row r="94" spans="1:12" ht="14.25" x14ac:dyDescent="0.2">
      <c r="A94" s="413">
        <f>Engagements!A95</f>
        <v>90</v>
      </c>
      <c r="B94" s="69" t="str">
        <f>Engagements!B95</f>
        <v/>
      </c>
      <c r="C94" s="69" t="str">
        <f>Engagements!C95</f>
        <v/>
      </c>
      <c r="D94" s="769" t="str">
        <f>Engagements!E95</f>
        <v/>
      </c>
      <c r="E94" s="69" t="str">
        <f>Engagements!E95</f>
        <v/>
      </c>
      <c r="F94" s="69" t="str">
        <f>Engagements!F95</f>
        <v/>
      </c>
      <c r="G94" s="71" t="str">
        <f>Engagements!G95</f>
        <v/>
      </c>
      <c r="H94" s="64" t="str">
        <f>Engagements!H95</f>
        <v/>
      </c>
      <c r="I94" s="64" t="str">
        <f>Engagements!I95</f>
        <v/>
      </c>
      <c r="J94" s="64" t="str">
        <f>Engagements!J95</f>
        <v/>
      </c>
      <c r="K94" s="766" t="str">
        <f>Engagements!F95</f>
        <v/>
      </c>
      <c r="L94" s="772" t="str">
        <f>Engagements!K95</f>
        <v/>
      </c>
    </row>
    <row r="95" spans="1:12" ht="14.25" x14ac:dyDescent="0.2">
      <c r="A95" s="413">
        <f>Engagements!A96</f>
        <v>91</v>
      </c>
      <c r="B95" s="69" t="str">
        <f>Engagements!B96</f>
        <v/>
      </c>
      <c r="C95" s="69" t="str">
        <f>Engagements!C96</f>
        <v/>
      </c>
      <c r="D95" s="769" t="str">
        <f>Engagements!E96</f>
        <v/>
      </c>
      <c r="E95" s="69" t="str">
        <f>Engagements!E96</f>
        <v/>
      </c>
      <c r="F95" s="69" t="str">
        <f>Engagements!F96</f>
        <v/>
      </c>
      <c r="G95" s="71" t="str">
        <f>Engagements!G96</f>
        <v/>
      </c>
      <c r="H95" s="64" t="str">
        <f>Engagements!H96</f>
        <v/>
      </c>
      <c r="I95" s="64" t="str">
        <f>Engagements!I96</f>
        <v/>
      </c>
      <c r="J95" s="64" t="str">
        <f>Engagements!J96</f>
        <v/>
      </c>
      <c r="K95" s="766" t="str">
        <f>Engagements!F96</f>
        <v/>
      </c>
      <c r="L95" s="772" t="str">
        <f>Engagements!K96</f>
        <v/>
      </c>
    </row>
    <row r="96" spans="1:12" thickBot="1" x14ac:dyDescent="0.25">
      <c r="A96" s="414">
        <f>Engagements!A97</f>
        <v>92</v>
      </c>
      <c r="B96" s="415" t="str">
        <f>Engagements!B97</f>
        <v/>
      </c>
      <c r="C96" s="415" t="str">
        <f>Engagements!C97</f>
        <v/>
      </c>
      <c r="D96" s="770" t="str">
        <f>Engagements!E97</f>
        <v/>
      </c>
      <c r="E96" s="415" t="str">
        <f>Engagements!E97</f>
        <v/>
      </c>
      <c r="F96" s="415" t="str">
        <f>Engagements!F97</f>
        <v/>
      </c>
      <c r="G96" s="419" t="str">
        <f>Engagements!G97</f>
        <v/>
      </c>
      <c r="H96" s="418" t="str">
        <f>Engagements!H97</f>
        <v/>
      </c>
      <c r="I96" s="418" t="str">
        <f>Engagements!I97</f>
        <v/>
      </c>
      <c r="J96" s="418" t="str">
        <f>Engagements!J97</f>
        <v/>
      </c>
      <c r="K96" s="767" t="str">
        <f>Engagements!F97</f>
        <v/>
      </c>
      <c r="L96" s="773" t="str">
        <f>Engagements!K97</f>
        <v/>
      </c>
    </row>
    <row r="97" spans="1:12" ht="14.25" x14ac:dyDescent="0.2">
      <c r="A97" s="411">
        <f>Engagements!A98</f>
        <v>93</v>
      </c>
      <c r="B97" s="412" t="str">
        <f>Engagements!B98</f>
        <v/>
      </c>
      <c r="C97" s="412" t="str">
        <f>Engagements!C98</f>
        <v/>
      </c>
      <c r="D97" s="768" t="str">
        <f>Engagements!E98</f>
        <v/>
      </c>
      <c r="E97" s="412" t="str">
        <f>Engagements!E98</f>
        <v/>
      </c>
      <c r="F97" s="412" t="str">
        <f>Engagements!F98</f>
        <v/>
      </c>
      <c r="G97" s="416" t="str">
        <f>Engagements!G98</f>
        <v/>
      </c>
      <c r="H97" s="417" t="str">
        <f>Engagements!H98</f>
        <v/>
      </c>
      <c r="I97" s="417" t="str">
        <f>Engagements!I98</f>
        <v/>
      </c>
      <c r="J97" s="417" t="str">
        <f>Engagements!J98</f>
        <v/>
      </c>
      <c r="K97" s="765" t="str">
        <f>Engagements!F98</f>
        <v/>
      </c>
      <c r="L97" s="771" t="str">
        <f>Engagements!K98</f>
        <v/>
      </c>
    </row>
    <row r="98" spans="1:12" ht="14.25" x14ac:dyDescent="0.2">
      <c r="A98" s="413">
        <f>Engagements!A99</f>
        <v>94</v>
      </c>
      <c r="B98" s="69" t="str">
        <f>Engagements!B99</f>
        <v/>
      </c>
      <c r="C98" s="69" t="str">
        <f>Engagements!C99</f>
        <v/>
      </c>
      <c r="D98" s="769" t="str">
        <f>Engagements!E99</f>
        <v/>
      </c>
      <c r="E98" s="69" t="str">
        <f>Engagements!E99</f>
        <v/>
      </c>
      <c r="F98" s="69" t="str">
        <f>Engagements!F99</f>
        <v/>
      </c>
      <c r="G98" s="71" t="str">
        <f>Engagements!G99</f>
        <v/>
      </c>
      <c r="H98" s="64" t="str">
        <f>Engagements!H99</f>
        <v/>
      </c>
      <c r="I98" s="64" t="str">
        <f>Engagements!I99</f>
        <v/>
      </c>
      <c r="J98" s="64" t="str">
        <f>Engagements!J99</f>
        <v/>
      </c>
      <c r="K98" s="766" t="str">
        <f>Engagements!F99</f>
        <v/>
      </c>
      <c r="L98" s="772" t="str">
        <f>Engagements!K99</f>
        <v/>
      </c>
    </row>
    <row r="99" spans="1:12" ht="14.25" x14ac:dyDescent="0.2">
      <c r="A99" s="413">
        <f>Engagements!A100</f>
        <v>95</v>
      </c>
      <c r="B99" s="69" t="str">
        <f>Engagements!B100</f>
        <v/>
      </c>
      <c r="C99" s="69" t="str">
        <f>Engagements!C100</f>
        <v/>
      </c>
      <c r="D99" s="769" t="str">
        <f>Engagements!E100</f>
        <v/>
      </c>
      <c r="E99" s="69" t="str">
        <f>Engagements!E100</f>
        <v/>
      </c>
      <c r="F99" s="69" t="str">
        <f>Engagements!F100</f>
        <v/>
      </c>
      <c r="G99" s="71" t="str">
        <f>Engagements!G100</f>
        <v/>
      </c>
      <c r="H99" s="64" t="str">
        <f>Engagements!H100</f>
        <v/>
      </c>
      <c r="I99" s="64" t="str">
        <f>Engagements!I100</f>
        <v/>
      </c>
      <c r="J99" s="64" t="str">
        <f>Engagements!J100</f>
        <v/>
      </c>
      <c r="K99" s="766" t="str">
        <f>Engagements!F100</f>
        <v/>
      </c>
      <c r="L99" s="772" t="str">
        <f>Engagements!K100</f>
        <v/>
      </c>
    </row>
    <row r="100" spans="1:12" thickBot="1" x14ac:dyDescent="0.25">
      <c r="A100" s="414">
        <f>Engagements!A101</f>
        <v>96</v>
      </c>
      <c r="B100" s="415" t="str">
        <f>Engagements!B101</f>
        <v/>
      </c>
      <c r="C100" s="415" t="str">
        <f>Engagements!C101</f>
        <v/>
      </c>
      <c r="D100" s="770" t="str">
        <f>Engagements!E101</f>
        <v/>
      </c>
      <c r="E100" s="415" t="str">
        <f>Engagements!E101</f>
        <v/>
      </c>
      <c r="F100" s="415" t="str">
        <f>Engagements!F101</f>
        <v/>
      </c>
      <c r="G100" s="419" t="str">
        <f>Engagements!G101</f>
        <v/>
      </c>
      <c r="H100" s="418" t="str">
        <f>Engagements!H101</f>
        <v/>
      </c>
      <c r="I100" s="418" t="str">
        <f>Engagements!I101</f>
        <v/>
      </c>
      <c r="J100" s="418" t="str">
        <f>Engagements!J101</f>
        <v/>
      </c>
      <c r="K100" s="767" t="str">
        <f>Engagements!F101</f>
        <v/>
      </c>
      <c r="L100" s="773" t="str">
        <f>Engagements!K101</f>
        <v/>
      </c>
    </row>
    <row r="101" spans="1:12" ht="12.75" x14ac:dyDescent="0.2">
      <c r="H101"/>
      <c r="J101" s="3"/>
    </row>
    <row r="102" spans="1:12" ht="12.75" x14ac:dyDescent="0.2">
      <c r="H102"/>
      <c r="J102" s="3"/>
    </row>
    <row r="103" spans="1:12" ht="12.75" x14ac:dyDescent="0.2">
      <c r="H103"/>
      <c r="J103" s="3"/>
    </row>
    <row r="104" spans="1:12" ht="12.75" x14ac:dyDescent="0.2">
      <c r="H104"/>
      <c r="J104" s="3"/>
    </row>
    <row r="105" spans="1:12" ht="12.75" x14ac:dyDescent="0.2">
      <c r="H105"/>
      <c r="J105" s="3"/>
    </row>
    <row r="106" spans="1:12" ht="12.75" x14ac:dyDescent="0.2">
      <c r="H106"/>
      <c r="J106" s="3"/>
    </row>
    <row r="107" spans="1:12" ht="12.75" x14ac:dyDescent="0.2">
      <c r="H107"/>
      <c r="J107" s="3"/>
    </row>
    <row r="108" spans="1:12" ht="12.75" x14ac:dyDescent="0.2">
      <c r="H108"/>
      <c r="J108" s="3"/>
    </row>
  </sheetData>
  <sheetProtection selectLockedCells="1"/>
  <mergeCells count="3">
    <mergeCell ref="B2:D2"/>
    <mergeCell ref="A3:G3"/>
    <mergeCell ref="C1:I1"/>
  </mergeCells>
  <printOptions horizontalCentered="1"/>
  <pageMargins left="0.23622047244094491" right="0.23622047244094491" top="0.35433070866141736" bottom="0.35433070866141736" header="0.31496062992125984" footer="0.31496062992125984"/>
  <pageSetup paperSize="9" scale="53" orientation="portrait" cellComments="atEnd" r:id="rId1"/>
  <rowBreaks count="1" manualBreakCount="1">
    <brk id="48" max="11"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3">
    <tabColor indexed="10"/>
    <pageSetUpPr fitToPage="1"/>
  </sheetPr>
  <dimension ref="A1:Y109"/>
  <sheetViews>
    <sheetView topLeftCell="A10" zoomScaleNormal="100" workbookViewId="0">
      <selection activeCell="U29" sqref="U29"/>
    </sheetView>
  </sheetViews>
  <sheetFormatPr baseColWidth="10" defaultRowHeight="12.75" x14ac:dyDescent="0.2"/>
  <cols>
    <col min="1" max="1" width="4" customWidth="1"/>
    <col min="2" max="2" width="14.42578125" hidden="1" customWidth="1"/>
    <col min="3" max="3" width="17" hidden="1" customWidth="1"/>
    <col min="4" max="4" width="10.42578125" hidden="1" customWidth="1"/>
    <col min="5" max="5" width="13.7109375" hidden="1" customWidth="1"/>
    <col min="6" max="6" width="10.85546875" hidden="1" customWidth="1"/>
    <col min="7" max="7" width="9.42578125" hidden="1" customWidth="1"/>
    <col min="8" max="8" width="7.28515625" hidden="1" customWidth="1"/>
    <col min="9" max="9" width="19" hidden="1" customWidth="1"/>
    <col min="10" max="10" width="1.42578125" hidden="1" customWidth="1"/>
    <col min="11" max="11" width="3" style="3" bestFit="1" customWidth="1"/>
    <col min="12" max="12" width="44" bestFit="1" customWidth="1"/>
    <col min="13" max="13" width="30.5703125" customWidth="1"/>
    <col min="14" max="14" width="21.42578125" customWidth="1"/>
    <col min="15" max="15" width="9" customWidth="1"/>
    <col min="16" max="16" width="8" customWidth="1"/>
    <col min="17" max="17" width="8" hidden="1" customWidth="1"/>
    <col min="18" max="18" width="16" customWidth="1"/>
  </cols>
  <sheetData>
    <row r="1" spans="1:25" ht="25.5" x14ac:dyDescent="0.35">
      <c r="C1" s="3"/>
      <c r="L1" s="1242" t="str">
        <f>Championnat</f>
        <v>Championnat de France de Tir à l'ARC</v>
      </c>
      <c r="M1" s="1242"/>
      <c r="N1" s="1242"/>
      <c r="O1" s="1242"/>
      <c r="P1" s="1242"/>
      <c r="U1" t="str">
        <f>L1</f>
        <v>Championnat de France de Tir à l'ARC</v>
      </c>
    </row>
    <row r="2" spans="1:25" ht="20.25" x14ac:dyDescent="0.3">
      <c r="C2" s="3"/>
      <c r="L2" s="1244" t="str">
        <f>CATEG_IMPORTEE</f>
        <v>Collèges Mixtes Etablissement</v>
      </c>
      <c r="M2" s="1244"/>
      <c r="N2" s="1244"/>
      <c r="O2" s="1244"/>
      <c r="P2" s="1244"/>
      <c r="U2" t="str">
        <f>L2</f>
        <v>Collèges Mixtes Etablissement</v>
      </c>
    </row>
    <row r="4" spans="1:25" ht="23.25" customHeight="1" x14ac:dyDescent="0.35">
      <c r="L4" s="1243" t="s">
        <v>34</v>
      </c>
      <c r="M4" s="1243"/>
      <c r="N4" s="1243"/>
      <c r="O4" s="1243"/>
      <c r="P4" s="1243"/>
    </row>
    <row r="5" spans="1:25" ht="23.25" customHeight="1" x14ac:dyDescent="0.35">
      <c r="L5" s="1243" t="s">
        <v>35</v>
      </c>
      <c r="M5" s="1243"/>
      <c r="N5" s="1243"/>
      <c r="O5" s="1243"/>
      <c r="P5" s="1243"/>
    </row>
    <row r="6" spans="1:25" ht="23.25" x14ac:dyDescent="0.35">
      <c r="B6" s="1243" t="s">
        <v>36</v>
      </c>
      <c r="C6" s="1243"/>
      <c r="D6" s="1243"/>
      <c r="E6" s="1243"/>
      <c r="F6" s="1243"/>
      <c r="I6" s="125"/>
      <c r="L6" s="1243" t="s">
        <v>41</v>
      </c>
      <c r="M6" s="1243"/>
      <c r="N6" s="1243"/>
      <c r="O6" s="1243"/>
      <c r="P6" s="1243"/>
    </row>
    <row r="7" spans="1:25" ht="21.75" customHeight="1" x14ac:dyDescent="0.35">
      <c r="B7" s="1243" t="s">
        <v>41</v>
      </c>
      <c r="C7" s="1243"/>
      <c r="D7" s="1243"/>
      <c r="E7" s="1243"/>
      <c r="F7" s="1243"/>
      <c r="L7" s="1245" t="s">
        <v>49</v>
      </c>
      <c r="M7" s="1246"/>
      <c r="N7" s="1246"/>
      <c r="O7" s="1246"/>
      <c r="P7" s="1246"/>
    </row>
    <row r="8" spans="1:25" ht="12.75" customHeight="1" x14ac:dyDescent="0.2">
      <c r="I8" s="21"/>
    </row>
    <row r="9" spans="1:25" ht="16.5" customHeight="1" x14ac:dyDescent="0.2">
      <c r="B9" s="67" t="s">
        <v>0</v>
      </c>
      <c r="C9" s="67" t="s">
        <v>375</v>
      </c>
      <c r="D9" s="67" t="s">
        <v>374</v>
      </c>
      <c r="E9" s="67" t="s">
        <v>1</v>
      </c>
      <c r="F9" s="67" t="s">
        <v>2</v>
      </c>
      <c r="G9" s="67" t="s">
        <v>3</v>
      </c>
      <c r="H9" s="67"/>
      <c r="I9" s="22"/>
    </row>
    <row r="10" spans="1:25" ht="25.5" x14ac:dyDescent="0.35">
      <c r="B10" s="78" t="s">
        <v>394</v>
      </c>
      <c r="C10" s="78" t="s">
        <v>45</v>
      </c>
      <c r="D10" s="78" t="s">
        <v>391</v>
      </c>
      <c r="E10" s="78" t="s">
        <v>441</v>
      </c>
      <c r="F10" s="78" t="s">
        <v>423</v>
      </c>
      <c r="G10" s="81">
        <v>21</v>
      </c>
      <c r="H10" s="82"/>
      <c r="I10" s="22"/>
      <c r="L10" s="733" t="s">
        <v>1317</v>
      </c>
      <c r="M10" s="733" t="s">
        <v>1318</v>
      </c>
      <c r="N10" s="733" t="s">
        <v>1319</v>
      </c>
      <c r="O10" s="733" t="s">
        <v>8</v>
      </c>
      <c r="P10" s="733" t="s">
        <v>16</v>
      </c>
      <c r="Q10" s="733" t="s">
        <v>1011</v>
      </c>
      <c r="R10" s="735" t="s">
        <v>1010</v>
      </c>
      <c r="S10" s="735" t="s">
        <v>1332</v>
      </c>
      <c r="U10" s="921" t="s">
        <v>1320</v>
      </c>
      <c r="V10" s="922"/>
      <c r="W10" s="922"/>
      <c r="X10" s="922"/>
      <c r="Y10" s="922"/>
    </row>
    <row r="11" spans="1:25" ht="21" customHeight="1" x14ac:dyDescent="0.3">
      <c r="B11" s="78" t="s">
        <v>394</v>
      </c>
      <c r="C11" s="78" t="s">
        <v>45</v>
      </c>
      <c r="D11" s="78" t="s">
        <v>391</v>
      </c>
      <c r="E11" s="78" t="s">
        <v>442</v>
      </c>
      <c r="F11" s="78" t="s">
        <v>443</v>
      </c>
      <c r="G11" s="81">
        <v>27</v>
      </c>
      <c r="H11" s="82"/>
      <c r="I11" s="23"/>
      <c r="J11" s="40"/>
      <c r="K11" s="44">
        <v>1</v>
      </c>
      <c r="L11" s="920" t="s">
        <v>11</v>
      </c>
      <c r="M11" s="920" t="s">
        <v>11</v>
      </c>
      <c r="N11" s="920" t="s">
        <v>11</v>
      </c>
      <c r="O11" s="563"/>
      <c r="P11" s="65"/>
      <c r="Q11" s="732" t="str">
        <f>L11&amp;M11</f>
        <v/>
      </c>
      <c r="R11" s="774"/>
      <c r="S11" s="774"/>
      <c r="U11" s="919"/>
    </row>
    <row r="12" spans="1:25" ht="21" customHeight="1" x14ac:dyDescent="0.3">
      <c r="B12" s="78" t="s">
        <v>394</v>
      </c>
      <c r="C12" s="78" t="s">
        <v>45</v>
      </c>
      <c r="D12" s="78" t="s">
        <v>391</v>
      </c>
      <c r="E12" s="78" t="s">
        <v>444</v>
      </c>
      <c r="F12" s="78" t="s">
        <v>445</v>
      </c>
      <c r="G12" s="81">
        <v>33</v>
      </c>
      <c r="H12" s="82"/>
      <c r="I12" s="23" t="s">
        <v>15</v>
      </c>
      <c r="J12" s="40"/>
      <c r="K12" s="44">
        <v>2</v>
      </c>
      <c r="L12" s="920" t="s">
        <v>11</v>
      </c>
      <c r="M12" s="920" t="s">
        <v>11</v>
      </c>
      <c r="N12" s="920" t="s">
        <v>11</v>
      </c>
      <c r="O12" s="563"/>
      <c r="P12" s="65"/>
      <c r="Q12" s="732" t="str">
        <f t="shared" ref="Q12:Q34" si="0">L12&amp;M12</f>
        <v/>
      </c>
      <c r="R12" s="774"/>
      <c r="S12" s="774"/>
      <c r="U12" s="919"/>
    </row>
    <row r="13" spans="1:25" ht="21" customHeight="1" x14ac:dyDescent="0.3">
      <c r="B13" s="78" t="s">
        <v>394</v>
      </c>
      <c r="C13" s="78" t="s">
        <v>45</v>
      </c>
      <c r="D13" s="78" t="s">
        <v>391</v>
      </c>
      <c r="E13" s="78" t="s">
        <v>446</v>
      </c>
      <c r="F13" s="78" t="s">
        <v>447</v>
      </c>
      <c r="G13" s="81">
        <v>39</v>
      </c>
      <c r="H13" s="82"/>
      <c r="I13" s="23" t="s">
        <v>17</v>
      </c>
      <c r="J13" s="40"/>
      <c r="K13" s="44">
        <v>3</v>
      </c>
      <c r="L13" s="920" t="s">
        <v>11</v>
      </c>
      <c r="M13" s="920" t="s">
        <v>11</v>
      </c>
      <c r="N13" s="920" t="s">
        <v>11</v>
      </c>
      <c r="O13" s="563"/>
      <c r="P13" s="65"/>
      <c r="Q13" s="732" t="str">
        <f t="shared" si="0"/>
        <v/>
      </c>
      <c r="R13" s="774"/>
      <c r="S13" s="774"/>
      <c r="U13" s="919"/>
    </row>
    <row r="14" spans="1:25" ht="21" customHeight="1" x14ac:dyDescent="0.3">
      <c r="A14" s="3"/>
      <c r="B14" s="78" t="s">
        <v>393</v>
      </c>
      <c r="C14" s="78" t="s">
        <v>45</v>
      </c>
      <c r="D14" s="78" t="s">
        <v>391</v>
      </c>
      <c r="E14" s="78" t="s">
        <v>448</v>
      </c>
      <c r="F14" s="78" t="s">
        <v>449</v>
      </c>
      <c r="G14" s="81">
        <v>45</v>
      </c>
      <c r="H14" s="82"/>
      <c r="I14" s="24" t="s">
        <v>42</v>
      </c>
      <c r="J14" s="66"/>
      <c r="K14" s="44">
        <v>4</v>
      </c>
      <c r="L14" s="920" t="s">
        <v>11</v>
      </c>
      <c r="M14" s="920" t="s">
        <v>11</v>
      </c>
      <c r="N14" s="920" t="s">
        <v>11</v>
      </c>
      <c r="O14" s="563"/>
      <c r="P14" s="65"/>
      <c r="Q14" s="732" t="str">
        <f t="shared" si="0"/>
        <v/>
      </c>
      <c r="R14" s="774"/>
      <c r="S14" s="774"/>
      <c r="U14" s="919"/>
    </row>
    <row r="15" spans="1:25" ht="21" customHeight="1" x14ac:dyDescent="0.3">
      <c r="A15" s="3"/>
      <c r="B15" s="78" t="s">
        <v>393</v>
      </c>
      <c r="C15" s="78" t="s">
        <v>45</v>
      </c>
      <c r="D15" s="78" t="s">
        <v>391</v>
      </c>
      <c r="E15" s="78" t="s">
        <v>450</v>
      </c>
      <c r="F15" s="78" t="s">
        <v>451</v>
      </c>
      <c r="G15" s="81">
        <v>51</v>
      </c>
      <c r="H15" s="83"/>
      <c r="J15" s="66"/>
      <c r="K15" s="44">
        <v>5</v>
      </c>
      <c r="L15" s="920" t="s">
        <v>11</v>
      </c>
      <c r="M15" s="920" t="s">
        <v>11</v>
      </c>
      <c r="N15" s="920" t="s">
        <v>11</v>
      </c>
      <c r="O15" s="563"/>
      <c r="P15" s="65"/>
      <c r="Q15" s="732" t="str">
        <f t="shared" si="0"/>
        <v/>
      </c>
      <c r="R15" s="774"/>
      <c r="S15" s="774"/>
      <c r="U15" s="919"/>
    </row>
    <row r="16" spans="1:25" ht="21" customHeight="1" x14ac:dyDescent="0.3">
      <c r="A16" s="3"/>
      <c r="B16" s="78" t="s">
        <v>393</v>
      </c>
      <c r="C16" s="78" t="s">
        <v>45</v>
      </c>
      <c r="D16" s="78" t="s">
        <v>391</v>
      </c>
      <c r="E16" s="78" t="s">
        <v>452</v>
      </c>
      <c r="F16" s="78" t="s">
        <v>453</v>
      </c>
      <c r="G16" s="81">
        <v>57</v>
      </c>
      <c r="H16" s="83"/>
      <c r="I16" s="21"/>
      <c r="J16" s="40"/>
      <c r="K16" s="44">
        <v>6</v>
      </c>
      <c r="L16" s="920" t="s">
        <v>11</v>
      </c>
      <c r="M16" s="920" t="s">
        <v>11</v>
      </c>
      <c r="N16" s="920" t="s">
        <v>11</v>
      </c>
      <c r="O16" s="563"/>
      <c r="P16" s="65"/>
      <c r="Q16" s="732" t="str">
        <f t="shared" si="0"/>
        <v/>
      </c>
      <c r="R16" s="774"/>
      <c r="S16" s="774"/>
      <c r="U16" s="919"/>
    </row>
    <row r="17" spans="1:21" ht="21" customHeight="1" x14ac:dyDescent="0.3">
      <c r="A17" s="3"/>
      <c r="B17" s="78" t="s">
        <v>393</v>
      </c>
      <c r="C17" s="78" t="s">
        <v>45</v>
      </c>
      <c r="D17" s="78" t="s">
        <v>391</v>
      </c>
      <c r="E17" s="78" t="s">
        <v>454</v>
      </c>
      <c r="F17" s="78" t="s">
        <v>455</v>
      </c>
      <c r="G17" s="81">
        <v>63</v>
      </c>
      <c r="H17" s="83"/>
      <c r="I17" s="22"/>
      <c r="J17" s="40"/>
      <c r="K17" s="44">
        <v>7</v>
      </c>
      <c r="L17" s="920" t="s">
        <v>11</v>
      </c>
      <c r="M17" s="920" t="s">
        <v>11</v>
      </c>
      <c r="N17" s="920" t="s">
        <v>11</v>
      </c>
      <c r="O17" s="563"/>
      <c r="P17" s="65"/>
      <c r="Q17" s="732" t="str">
        <f t="shared" si="0"/>
        <v/>
      </c>
      <c r="R17" s="774"/>
      <c r="S17" s="774"/>
      <c r="U17" s="919"/>
    </row>
    <row r="18" spans="1:21" ht="21" customHeight="1" x14ac:dyDescent="0.2">
      <c r="A18" s="3"/>
      <c r="B18" s="78" t="s">
        <v>395</v>
      </c>
      <c r="C18" s="78" t="s">
        <v>45</v>
      </c>
      <c r="D18" s="78" t="s">
        <v>391</v>
      </c>
      <c r="E18" s="78" t="s">
        <v>460</v>
      </c>
      <c r="F18" s="78" t="s">
        <v>409</v>
      </c>
      <c r="G18" s="81">
        <v>69</v>
      </c>
      <c r="H18" s="83"/>
      <c r="I18" s="23"/>
      <c r="J18" s="40"/>
      <c r="K18" s="44">
        <v>8</v>
      </c>
      <c r="L18" s="920" t="s">
        <v>11</v>
      </c>
      <c r="M18" s="920" t="s">
        <v>11</v>
      </c>
      <c r="N18" s="920" t="s">
        <v>11</v>
      </c>
      <c r="O18" s="563"/>
      <c r="P18" s="65"/>
      <c r="Q18" s="732" t="str">
        <f t="shared" si="0"/>
        <v/>
      </c>
      <c r="R18" s="774"/>
      <c r="S18" s="774"/>
    </row>
    <row r="19" spans="1:21" ht="21" customHeight="1" x14ac:dyDescent="0.3">
      <c r="A19" s="3"/>
      <c r="B19" s="78" t="s">
        <v>395</v>
      </c>
      <c r="C19" s="78" t="s">
        <v>45</v>
      </c>
      <c r="D19" s="78" t="s">
        <v>391</v>
      </c>
      <c r="E19" s="78" t="s">
        <v>456</v>
      </c>
      <c r="F19" s="78" t="s">
        <v>457</v>
      </c>
      <c r="G19" s="81">
        <v>75</v>
      </c>
      <c r="H19" s="83"/>
      <c r="I19" s="23"/>
      <c r="J19" s="40"/>
      <c r="K19" s="44">
        <v>9</v>
      </c>
      <c r="L19" s="920" t="s">
        <v>11</v>
      </c>
      <c r="M19" s="920" t="s">
        <v>11</v>
      </c>
      <c r="N19" s="920" t="s">
        <v>11</v>
      </c>
      <c r="O19" s="563"/>
      <c r="P19" s="65"/>
      <c r="Q19" s="732" t="str">
        <f t="shared" si="0"/>
        <v/>
      </c>
      <c r="R19" s="774"/>
      <c r="S19" s="774"/>
      <c r="U19" s="919"/>
    </row>
    <row r="20" spans="1:21" ht="21" customHeight="1" x14ac:dyDescent="0.2">
      <c r="A20" s="3"/>
      <c r="B20" s="78" t="s">
        <v>395</v>
      </c>
      <c r="C20" s="78" t="s">
        <v>45</v>
      </c>
      <c r="D20" s="78" t="s">
        <v>391</v>
      </c>
      <c r="E20" s="78" t="s">
        <v>458</v>
      </c>
      <c r="F20" s="78" t="s">
        <v>459</v>
      </c>
      <c r="G20" s="81">
        <v>81</v>
      </c>
      <c r="H20" s="83"/>
      <c r="I20" s="23" t="s">
        <v>48</v>
      </c>
      <c r="J20" s="40"/>
      <c r="K20" s="44">
        <v>10</v>
      </c>
      <c r="L20" s="920" t="s">
        <v>11</v>
      </c>
      <c r="M20" s="920" t="s">
        <v>11</v>
      </c>
      <c r="N20" s="920" t="s">
        <v>11</v>
      </c>
      <c r="O20" s="563"/>
      <c r="P20" s="65"/>
      <c r="Q20" s="732" t="str">
        <f t="shared" si="0"/>
        <v/>
      </c>
      <c r="R20" s="774"/>
      <c r="S20" s="774"/>
    </row>
    <row r="21" spans="1:21" ht="21" customHeight="1" x14ac:dyDescent="0.2">
      <c r="A21" s="3"/>
      <c r="B21" s="78" t="s">
        <v>395</v>
      </c>
      <c r="C21" s="78" t="s">
        <v>45</v>
      </c>
      <c r="D21" s="78" t="s">
        <v>391</v>
      </c>
      <c r="E21" s="78" t="s">
        <v>461</v>
      </c>
      <c r="F21" s="78" t="s">
        <v>462</v>
      </c>
      <c r="G21" s="81">
        <v>87</v>
      </c>
      <c r="H21" s="83"/>
      <c r="I21" s="24" t="s">
        <v>50</v>
      </c>
      <c r="J21" s="40"/>
      <c r="K21" s="44">
        <v>11</v>
      </c>
      <c r="L21" s="920" t="s">
        <v>11</v>
      </c>
      <c r="M21" s="920" t="s">
        <v>11</v>
      </c>
      <c r="N21" s="920" t="s">
        <v>11</v>
      </c>
      <c r="O21" s="563"/>
      <c r="P21" s="65"/>
      <c r="Q21" s="732" t="str">
        <f t="shared" si="0"/>
        <v/>
      </c>
      <c r="R21" s="774"/>
      <c r="S21" s="774"/>
      <c r="U21" s="471"/>
    </row>
    <row r="22" spans="1:21" ht="21" customHeight="1" x14ac:dyDescent="0.2">
      <c r="A22" s="3"/>
      <c r="B22" s="78" t="s">
        <v>396</v>
      </c>
      <c r="C22" s="78" t="s">
        <v>45</v>
      </c>
      <c r="D22" s="78" t="s">
        <v>391</v>
      </c>
      <c r="E22" s="78" t="s">
        <v>463</v>
      </c>
      <c r="F22" s="78" t="s">
        <v>464</v>
      </c>
      <c r="G22" s="81">
        <v>93</v>
      </c>
      <c r="H22" s="83"/>
      <c r="J22" s="40"/>
      <c r="K22" s="44">
        <v>12</v>
      </c>
      <c r="L22" s="920" t="s">
        <v>11</v>
      </c>
      <c r="M22" s="920" t="s">
        <v>11</v>
      </c>
      <c r="N22" s="920" t="s">
        <v>11</v>
      </c>
      <c r="O22" s="563"/>
      <c r="P22" s="65"/>
      <c r="Q22" s="732" t="str">
        <f t="shared" si="0"/>
        <v/>
      </c>
      <c r="R22" s="774"/>
      <c r="S22" s="774"/>
    </row>
    <row r="23" spans="1:21" ht="21" customHeight="1" x14ac:dyDescent="0.2">
      <c r="A23" s="3"/>
      <c r="B23" s="78" t="s">
        <v>396</v>
      </c>
      <c r="C23" s="78" t="s">
        <v>45</v>
      </c>
      <c r="D23" s="78" t="s">
        <v>391</v>
      </c>
      <c r="E23" s="78" t="s">
        <v>465</v>
      </c>
      <c r="F23" s="78" t="s">
        <v>436</v>
      </c>
      <c r="G23" s="81">
        <v>99</v>
      </c>
      <c r="H23" s="83"/>
      <c r="I23" s="126"/>
      <c r="J23" s="40"/>
      <c r="K23" s="44">
        <v>13</v>
      </c>
      <c r="L23" s="920" t="s">
        <v>11</v>
      </c>
      <c r="M23" s="920" t="s">
        <v>11</v>
      </c>
      <c r="N23" s="920" t="s">
        <v>11</v>
      </c>
      <c r="O23" s="563"/>
      <c r="P23" s="65"/>
      <c r="Q23" s="732" t="str">
        <f t="shared" si="0"/>
        <v/>
      </c>
      <c r="R23" s="774"/>
      <c r="S23" s="774"/>
    </row>
    <row r="24" spans="1:21" ht="21" customHeight="1" x14ac:dyDescent="0.2">
      <c r="A24" s="3"/>
      <c r="B24" s="78" t="s">
        <v>396</v>
      </c>
      <c r="C24" s="78" t="s">
        <v>45</v>
      </c>
      <c r="D24" s="78" t="s">
        <v>391</v>
      </c>
      <c r="E24" s="78" t="s">
        <v>466</v>
      </c>
      <c r="F24" s="78" t="s">
        <v>467</v>
      </c>
      <c r="G24" s="81">
        <v>105</v>
      </c>
      <c r="H24" s="83"/>
      <c r="I24" s="3"/>
      <c r="J24" s="40"/>
      <c r="K24" s="44">
        <v>14</v>
      </c>
      <c r="L24" s="920" t="s">
        <v>11</v>
      </c>
      <c r="M24" s="920" t="s">
        <v>11</v>
      </c>
      <c r="N24" s="920" t="s">
        <v>11</v>
      </c>
      <c r="O24" s="563"/>
      <c r="P24" s="65"/>
      <c r="Q24" s="732" t="str">
        <f t="shared" si="0"/>
        <v/>
      </c>
      <c r="R24" s="774"/>
      <c r="S24" s="774"/>
      <c r="U24" s="471"/>
    </row>
    <row r="25" spans="1:21" ht="21" customHeight="1" x14ac:dyDescent="0.2">
      <c r="A25" s="3"/>
      <c r="B25" s="78" t="s">
        <v>396</v>
      </c>
      <c r="C25" s="78" t="s">
        <v>45</v>
      </c>
      <c r="D25" s="78" t="s">
        <v>391</v>
      </c>
      <c r="E25" s="78" t="s">
        <v>468</v>
      </c>
      <c r="F25" s="78" t="s">
        <v>469</v>
      </c>
      <c r="G25" s="81">
        <v>111</v>
      </c>
      <c r="H25" s="83"/>
      <c r="I25" s="3"/>
      <c r="J25" s="40"/>
      <c r="K25" s="44">
        <v>15</v>
      </c>
      <c r="L25" s="920" t="s">
        <v>11</v>
      </c>
      <c r="M25" s="920" t="s">
        <v>11</v>
      </c>
      <c r="N25" s="920" t="s">
        <v>11</v>
      </c>
      <c r="O25" s="563"/>
      <c r="P25" s="65"/>
      <c r="Q25" s="732" t="str">
        <f t="shared" si="0"/>
        <v/>
      </c>
      <c r="R25" s="774"/>
      <c r="S25" s="774"/>
    </row>
    <row r="26" spans="1:21" ht="21" customHeight="1" x14ac:dyDescent="0.2">
      <c r="A26" s="3"/>
      <c r="B26" s="78" t="s">
        <v>397</v>
      </c>
      <c r="C26" s="78" t="s">
        <v>45</v>
      </c>
      <c r="D26" s="78" t="s">
        <v>391</v>
      </c>
      <c r="E26" s="78" t="s">
        <v>470</v>
      </c>
      <c r="F26" s="78" t="s">
        <v>471</v>
      </c>
      <c r="G26" s="81">
        <v>117</v>
      </c>
      <c r="H26" s="83"/>
      <c r="I26" s="3"/>
      <c r="J26" s="40"/>
      <c r="K26" s="44">
        <v>16</v>
      </c>
      <c r="L26" s="920" t="s">
        <v>11</v>
      </c>
      <c r="M26" s="920" t="s">
        <v>11</v>
      </c>
      <c r="N26" s="920" t="s">
        <v>11</v>
      </c>
      <c r="O26" s="563"/>
      <c r="P26" s="65"/>
      <c r="Q26" s="732" t="str">
        <f t="shared" si="0"/>
        <v/>
      </c>
      <c r="R26" s="774"/>
      <c r="S26" s="774"/>
    </row>
    <row r="27" spans="1:21" ht="21" customHeight="1" x14ac:dyDescent="0.2">
      <c r="A27" s="3"/>
      <c r="B27" s="78" t="s">
        <v>397</v>
      </c>
      <c r="C27" s="78" t="s">
        <v>45</v>
      </c>
      <c r="D27" s="78" t="s">
        <v>391</v>
      </c>
      <c r="E27" s="78" t="s">
        <v>472</v>
      </c>
      <c r="F27" s="78" t="s">
        <v>473</v>
      </c>
      <c r="G27" s="81">
        <v>123</v>
      </c>
      <c r="H27" s="83"/>
      <c r="J27" s="40"/>
      <c r="K27" s="44">
        <v>17</v>
      </c>
      <c r="L27" s="920" t="s">
        <v>11</v>
      </c>
      <c r="M27" s="920" t="s">
        <v>11</v>
      </c>
      <c r="N27" s="920" t="s">
        <v>11</v>
      </c>
      <c r="O27" s="563"/>
      <c r="P27" s="65"/>
      <c r="Q27" s="732" t="str">
        <f t="shared" si="0"/>
        <v/>
      </c>
      <c r="R27" s="774"/>
      <c r="S27" s="774"/>
    </row>
    <row r="28" spans="1:21" ht="21" customHeight="1" x14ac:dyDescent="0.2">
      <c r="A28" s="3"/>
      <c r="B28" s="78" t="s">
        <v>397</v>
      </c>
      <c r="C28" s="78" t="s">
        <v>45</v>
      </c>
      <c r="D28" s="78" t="s">
        <v>391</v>
      </c>
      <c r="E28" s="78" t="s">
        <v>474</v>
      </c>
      <c r="F28" s="78" t="s">
        <v>475</v>
      </c>
      <c r="G28" s="81">
        <v>129</v>
      </c>
      <c r="H28" s="83"/>
      <c r="J28" s="40"/>
      <c r="K28" s="44">
        <v>18</v>
      </c>
      <c r="L28" s="920" t="s">
        <v>11</v>
      </c>
      <c r="M28" s="920" t="s">
        <v>11</v>
      </c>
      <c r="N28" s="920" t="s">
        <v>11</v>
      </c>
      <c r="O28" s="563"/>
      <c r="P28" s="65"/>
      <c r="Q28" s="732" t="str">
        <f t="shared" si="0"/>
        <v/>
      </c>
      <c r="R28" s="774"/>
      <c r="S28" s="774"/>
    </row>
    <row r="29" spans="1:21" ht="21" customHeight="1" x14ac:dyDescent="0.2">
      <c r="A29" s="3"/>
      <c r="B29" s="78" t="s">
        <v>397</v>
      </c>
      <c r="C29" s="78" t="s">
        <v>45</v>
      </c>
      <c r="D29" s="78" t="s">
        <v>391</v>
      </c>
      <c r="E29" s="78" t="s">
        <v>476</v>
      </c>
      <c r="F29" s="78" t="s">
        <v>477</v>
      </c>
      <c r="G29" s="81">
        <v>135</v>
      </c>
      <c r="H29" s="83"/>
      <c r="J29" s="40"/>
      <c r="K29" s="44">
        <v>19</v>
      </c>
      <c r="L29" s="920" t="s">
        <v>11</v>
      </c>
      <c r="M29" s="920" t="s">
        <v>11</v>
      </c>
      <c r="N29" s="920" t="s">
        <v>11</v>
      </c>
      <c r="O29" s="563"/>
      <c r="P29" s="65"/>
      <c r="Q29" s="732" t="str">
        <f t="shared" si="0"/>
        <v/>
      </c>
      <c r="R29" s="774"/>
      <c r="S29" s="774"/>
    </row>
    <row r="30" spans="1:21" ht="21" customHeight="1" x14ac:dyDescent="0.2">
      <c r="A30" s="3"/>
      <c r="B30" s="78" t="s">
        <v>398</v>
      </c>
      <c r="C30" s="78" t="s">
        <v>392</v>
      </c>
      <c r="D30" s="78" t="s">
        <v>391</v>
      </c>
      <c r="E30" s="78" t="s">
        <v>410</v>
      </c>
      <c r="F30" s="78" t="s">
        <v>411</v>
      </c>
      <c r="G30" s="81">
        <v>141</v>
      </c>
      <c r="H30" s="83"/>
      <c r="J30" s="40"/>
      <c r="K30" s="44">
        <v>20</v>
      </c>
      <c r="L30" s="920" t="s">
        <v>11</v>
      </c>
      <c r="M30" s="920" t="s">
        <v>11</v>
      </c>
      <c r="N30" s="920" t="s">
        <v>11</v>
      </c>
      <c r="O30" s="563"/>
      <c r="P30" s="65"/>
      <c r="Q30" s="732" t="str">
        <f t="shared" si="0"/>
        <v/>
      </c>
      <c r="R30" s="774"/>
      <c r="S30" s="774"/>
    </row>
    <row r="31" spans="1:21" ht="21" customHeight="1" x14ac:dyDescent="0.2">
      <c r="A31" s="3"/>
      <c r="B31" s="78" t="s">
        <v>398</v>
      </c>
      <c r="C31" s="78" t="s">
        <v>392</v>
      </c>
      <c r="D31" s="78" t="s">
        <v>391</v>
      </c>
      <c r="E31" s="78" t="s">
        <v>412</v>
      </c>
      <c r="F31" s="78" t="s">
        <v>413</v>
      </c>
      <c r="G31" s="81">
        <v>147</v>
      </c>
      <c r="H31" s="83"/>
      <c r="K31" s="44">
        <v>21</v>
      </c>
      <c r="L31" s="920" t="s">
        <v>11</v>
      </c>
      <c r="M31" s="920" t="s">
        <v>11</v>
      </c>
      <c r="N31" s="920" t="s">
        <v>11</v>
      </c>
      <c r="O31" s="563"/>
      <c r="P31" s="65"/>
      <c r="Q31" s="732" t="str">
        <f t="shared" si="0"/>
        <v/>
      </c>
      <c r="R31" s="774"/>
      <c r="S31" s="774"/>
    </row>
    <row r="32" spans="1:21" ht="21" customHeight="1" x14ac:dyDescent="0.2">
      <c r="A32" s="3"/>
      <c r="B32" s="78" t="s">
        <v>398</v>
      </c>
      <c r="C32" s="78" t="s">
        <v>392</v>
      </c>
      <c r="D32" s="78" t="s">
        <v>391</v>
      </c>
      <c r="E32" s="78" t="s">
        <v>414</v>
      </c>
      <c r="F32" s="78" t="s">
        <v>415</v>
      </c>
      <c r="G32" s="81">
        <v>153</v>
      </c>
      <c r="H32" s="83"/>
      <c r="K32" s="44">
        <v>22</v>
      </c>
      <c r="L32" s="920" t="s">
        <v>11</v>
      </c>
      <c r="M32" s="920" t="s">
        <v>11</v>
      </c>
      <c r="N32" s="920" t="s">
        <v>11</v>
      </c>
      <c r="O32" s="563"/>
      <c r="P32" s="65"/>
      <c r="Q32" s="732" t="str">
        <f t="shared" si="0"/>
        <v/>
      </c>
      <c r="R32" s="774"/>
      <c r="S32" s="774"/>
    </row>
    <row r="33" spans="1:19" ht="21" customHeight="1" x14ac:dyDescent="0.2">
      <c r="A33" s="3"/>
      <c r="B33" s="78" t="s">
        <v>398</v>
      </c>
      <c r="C33" s="78" t="s">
        <v>392</v>
      </c>
      <c r="D33" s="78" t="s">
        <v>391</v>
      </c>
      <c r="E33" s="78" t="s">
        <v>416</v>
      </c>
      <c r="F33" s="78" t="s">
        <v>417</v>
      </c>
      <c r="G33" s="81">
        <v>159</v>
      </c>
      <c r="H33" s="83"/>
      <c r="K33" s="3">
        <v>23</v>
      </c>
      <c r="L33" s="920" t="s">
        <v>11</v>
      </c>
      <c r="M33" s="920" t="s">
        <v>11</v>
      </c>
      <c r="N33" s="920" t="s">
        <v>11</v>
      </c>
      <c r="O33" s="563"/>
      <c r="P33" s="65"/>
      <c r="Q33" s="732" t="str">
        <f t="shared" si="0"/>
        <v/>
      </c>
      <c r="R33" s="774"/>
      <c r="S33" s="774"/>
    </row>
    <row r="34" spans="1:19" ht="21" customHeight="1" x14ac:dyDescent="0.2">
      <c r="A34" s="3"/>
      <c r="B34" s="78" t="s">
        <v>399</v>
      </c>
      <c r="C34" s="78" t="s">
        <v>392</v>
      </c>
      <c r="D34" s="78" t="s">
        <v>391</v>
      </c>
      <c r="E34" s="78" t="s">
        <v>418</v>
      </c>
      <c r="F34" s="78" t="s">
        <v>419</v>
      </c>
      <c r="G34" s="81">
        <v>165</v>
      </c>
      <c r="H34" s="83"/>
      <c r="K34" s="3">
        <v>24</v>
      </c>
      <c r="L34" s="920" t="s">
        <v>11</v>
      </c>
      <c r="M34" s="920" t="s">
        <v>11</v>
      </c>
      <c r="N34" s="920" t="s">
        <v>11</v>
      </c>
      <c r="O34" s="563"/>
      <c r="P34" s="65"/>
      <c r="Q34" s="732" t="str">
        <f t="shared" si="0"/>
        <v/>
      </c>
      <c r="R34" s="774"/>
      <c r="S34" s="774"/>
    </row>
    <row r="35" spans="1:19" ht="12.75" customHeight="1" x14ac:dyDescent="0.2">
      <c r="A35" s="3"/>
      <c r="B35" s="78" t="s">
        <v>399</v>
      </c>
      <c r="C35" s="78" t="s">
        <v>392</v>
      </c>
      <c r="D35" s="78" t="s">
        <v>391</v>
      </c>
      <c r="E35" s="78" t="s">
        <v>420</v>
      </c>
      <c r="F35" s="78" t="s">
        <v>421</v>
      </c>
      <c r="G35" s="81">
        <v>171</v>
      </c>
      <c r="H35" s="83"/>
    </row>
    <row r="36" spans="1:19" ht="12.75" customHeight="1" x14ac:dyDescent="0.2">
      <c r="A36" s="3"/>
      <c r="B36" s="78" t="s">
        <v>399</v>
      </c>
      <c r="C36" s="78" t="s">
        <v>392</v>
      </c>
      <c r="D36" s="78" t="s">
        <v>391</v>
      </c>
      <c r="E36" s="78" t="s">
        <v>422</v>
      </c>
      <c r="F36" s="78" t="s">
        <v>423</v>
      </c>
      <c r="G36" s="81">
        <v>177</v>
      </c>
      <c r="H36" s="83"/>
    </row>
    <row r="37" spans="1:19" ht="12.75" customHeight="1" x14ac:dyDescent="0.2">
      <c r="A37" s="3"/>
      <c r="B37" s="78" t="s">
        <v>399</v>
      </c>
      <c r="C37" s="78" t="s">
        <v>392</v>
      </c>
      <c r="D37" s="78" t="s">
        <v>391</v>
      </c>
      <c r="E37" s="78" t="s">
        <v>424</v>
      </c>
      <c r="F37" s="78" t="s">
        <v>425</v>
      </c>
      <c r="G37" s="81">
        <v>183</v>
      </c>
      <c r="H37" s="83"/>
    </row>
    <row r="38" spans="1:19" ht="12.75" customHeight="1" x14ac:dyDescent="0.2">
      <c r="A38" s="3"/>
      <c r="B38" s="78" t="s">
        <v>400</v>
      </c>
      <c r="C38" s="78" t="s">
        <v>401</v>
      </c>
      <c r="D38" s="78" t="s">
        <v>391</v>
      </c>
      <c r="E38" s="78" t="s">
        <v>402</v>
      </c>
      <c r="F38" s="78" t="s">
        <v>403</v>
      </c>
      <c r="G38" s="81">
        <v>189</v>
      </c>
      <c r="H38" s="83"/>
    </row>
    <row r="39" spans="1:19" ht="12.75" customHeight="1" x14ac:dyDescent="0.2">
      <c r="A39" s="3"/>
      <c r="B39" s="78" t="s">
        <v>400</v>
      </c>
      <c r="C39" s="78" t="s">
        <v>401</v>
      </c>
      <c r="D39" s="78" t="s">
        <v>391</v>
      </c>
      <c r="E39" s="78" t="s">
        <v>404</v>
      </c>
      <c r="F39" s="78" t="s">
        <v>405</v>
      </c>
      <c r="G39" s="81">
        <v>195</v>
      </c>
      <c r="H39" s="83"/>
    </row>
    <row r="40" spans="1:19" ht="12.75" customHeight="1" x14ac:dyDescent="0.2">
      <c r="A40" s="3"/>
      <c r="B40" s="78" t="s">
        <v>400</v>
      </c>
      <c r="C40" s="78" t="s">
        <v>401</v>
      </c>
      <c r="D40" s="78" t="s">
        <v>391</v>
      </c>
      <c r="E40" s="78" t="s">
        <v>406</v>
      </c>
      <c r="F40" s="78" t="s">
        <v>407</v>
      </c>
      <c r="G40" s="81">
        <v>201</v>
      </c>
      <c r="H40" s="83"/>
    </row>
    <row r="41" spans="1:19" ht="12.75" customHeight="1" x14ac:dyDescent="0.2">
      <c r="A41" s="3"/>
      <c r="B41" s="78" t="s">
        <v>400</v>
      </c>
      <c r="C41" s="78" t="s">
        <v>401</v>
      </c>
      <c r="D41" s="78" t="s">
        <v>391</v>
      </c>
      <c r="E41" s="78" t="s">
        <v>408</v>
      </c>
      <c r="F41" s="78" t="s">
        <v>409</v>
      </c>
      <c r="G41" s="81">
        <v>207</v>
      </c>
      <c r="H41" s="83"/>
    </row>
    <row r="42" spans="1:19" ht="12.75" customHeight="1" x14ac:dyDescent="0.2">
      <c r="A42" s="3"/>
      <c r="B42" s="78" t="s">
        <v>433</v>
      </c>
      <c r="C42" s="78" t="s">
        <v>426</v>
      </c>
      <c r="D42" s="78" t="s">
        <v>391</v>
      </c>
      <c r="E42" s="78" t="s">
        <v>427</v>
      </c>
      <c r="F42" s="78" t="s">
        <v>428</v>
      </c>
      <c r="G42" s="81">
        <v>213</v>
      </c>
      <c r="H42" s="83"/>
    </row>
    <row r="43" spans="1:19" ht="12.75" customHeight="1" x14ac:dyDescent="0.2">
      <c r="A43" s="3"/>
      <c r="B43" s="78" t="s">
        <v>433</v>
      </c>
      <c r="C43" s="78" t="s">
        <v>426</v>
      </c>
      <c r="D43" s="78" t="s">
        <v>391</v>
      </c>
      <c r="E43" s="78" t="s">
        <v>429</v>
      </c>
      <c r="F43" s="78" t="s">
        <v>415</v>
      </c>
      <c r="G43" s="81">
        <v>219</v>
      </c>
      <c r="H43" s="83"/>
    </row>
    <row r="44" spans="1:19" ht="12.75" customHeight="1" x14ac:dyDescent="0.2">
      <c r="A44" s="3"/>
      <c r="B44" s="78" t="s">
        <v>433</v>
      </c>
      <c r="C44" s="78" t="s">
        <v>426</v>
      </c>
      <c r="D44" s="78" t="s">
        <v>391</v>
      </c>
      <c r="E44" s="78" t="s">
        <v>430</v>
      </c>
      <c r="F44" s="78" t="s">
        <v>417</v>
      </c>
      <c r="G44" s="81">
        <v>225</v>
      </c>
      <c r="H44" s="83"/>
    </row>
    <row r="45" spans="1:19" ht="12.75" customHeight="1" x14ac:dyDescent="0.2">
      <c r="A45" s="3"/>
      <c r="B45" s="78" t="s">
        <v>433</v>
      </c>
      <c r="C45" s="78" t="s">
        <v>426</v>
      </c>
      <c r="D45" s="78" t="s">
        <v>391</v>
      </c>
      <c r="E45" s="78" t="s">
        <v>431</v>
      </c>
      <c r="F45" s="78" t="s">
        <v>432</v>
      </c>
      <c r="G45" s="81">
        <v>231</v>
      </c>
      <c r="H45" s="83"/>
    </row>
    <row r="46" spans="1:19" ht="12.75" customHeight="1" x14ac:dyDescent="0.2">
      <c r="A46" s="3"/>
      <c r="B46" s="78" t="s">
        <v>434</v>
      </c>
      <c r="C46" s="78" t="s">
        <v>426</v>
      </c>
      <c r="D46" s="78" t="s">
        <v>391</v>
      </c>
      <c r="E46" s="78" t="s">
        <v>435</v>
      </c>
      <c r="F46" s="78" t="s">
        <v>436</v>
      </c>
      <c r="G46" s="81">
        <v>237</v>
      </c>
      <c r="H46" s="83"/>
    </row>
    <row r="47" spans="1:19" ht="12.75" customHeight="1" x14ac:dyDescent="0.2">
      <c r="A47" s="3"/>
      <c r="B47" s="78" t="s">
        <v>434</v>
      </c>
      <c r="C47" s="78" t="s">
        <v>426</v>
      </c>
      <c r="D47" s="78" t="s">
        <v>391</v>
      </c>
      <c r="E47" s="78" t="s">
        <v>435</v>
      </c>
      <c r="F47" s="78" t="s">
        <v>437</v>
      </c>
      <c r="G47" s="81">
        <v>243</v>
      </c>
      <c r="H47" s="83"/>
    </row>
    <row r="48" spans="1:19" ht="12.75" customHeight="1" x14ac:dyDescent="0.2">
      <c r="A48" s="3"/>
      <c r="B48" s="78" t="s">
        <v>434</v>
      </c>
      <c r="C48" s="78" t="s">
        <v>426</v>
      </c>
      <c r="D48" s="78" t="s">
        <v>391</v>
      </c>
      <c r="E48" s="78" t="s">
        <v>429</v>
      </c>
      <c r="F48" s="78" t="s">
        <v>438</v>
      </c>
      <c r="G48" s="81">
        <v>249</v>
      </c>
      <c r="H48" s="83"/>
    </row>
    <row r="49" spans="1:8" ht="12.75" customHeight="1" x14ac:dyDescent="0.2">
      <c r="A49" s="3"/>
      <c r="B49" s="78" t="s">
        <v>434</v>
      </c>
      <c r="C49" s="78" t="s">
        <v>426</v>
      </c>
      <c r="D49" s="78" t="s">
        <v>391</v>
      </c>
      <c r="E49" s="78" t="s">
        <v>439</v>
      </c>
      <c r="F49" s="78" t="s">
        <v>440</v>
      </c>
      <c r="G49" s="81">
        <v>255</v>
      </c>
      <c r="H49" s="83"/>
    </row>
    <row r="50" spans="1:8" ht="12.75" customHeight="1" x14ac:dyDescent="0.2">
      <c r="A50" s="3"/>
      <c r="B50" s="78" t="s">
        <v>11</v>
      </c>
      <c r="C50" s="78" t="s">
        <v>11</v>
      </c>
      <c r="D50" s="78" t="s">
        <v>11</v>
      </c>
      <c r="E50" s="78" t="s">
        <v>11</v>
      </c>
      <c r="F50" s="78" t="s">
        <v>11</v>
      </c>
      <c r="G50" s="81" t="s">
        <v>11</v>
      </c>
      <c r="H50" s="83"/>
    </row>
    <row r="51" spans="1:8" ht="12.75" customHeight="1" x14ac:dyDescent="0.2">
      <c r="A51" s="3"/>
      <c r="B51" s="78" t="s">
        <v>11</v>
      </c>
      <c r="C51" s="78" t="s">
        <v>11</v>
      </c>
      <c r="D51" s="78" t="s">
        <v>11</v>
      </c>
      <c r="E51" s="78" t="s">
        <v>11</v>
      </c>
      <c r="F51" s="78" t="s">
        <v>11</v>
      </c>
      <c r="G51" s="81" t="s">
        <v>11</v>
      </c>
      <c r="H51" s="83" t="s">
        <v>11</v>
      </c>
    </row>
    <row r="52" spans="1:8" ht="12.75" customHeight="1" x14ac:dyDescent="0.2">
      <c r="A52" s="3"/>
      <c r="B52" s="78" t="s">
        <v>11</v>
      </c>
      <c r="C52" s="78" t="s">
        <v>11</v>
      </c>
      <c r="D52" s="78" t="s">
        <v>11</v>
      </c>
      <c r="E52" s="78" t="s">
        <v>11</v>
      </c>
      <c r="F52" s="78" t="s">
        <v>11</v>
      </c>
      <c r="G52" s="81" t="s">
        <v>11</v>
      </c>
      <c r="H52" s="83" t="s">
        <v>11</v>
      </c>
    </row>
    <row r="53" spans="1:8" ht="12.75" customHeight="1" x14ac:dyDescent="0.2">
      <c r="A53" s="3"/>
      <c r="B53" s="78" t="s">
        <v>11</v>
      </c>
      <c r="C53" s="78" t="s">
        <v>11</v>
      </c>
      <c r="D53" s="78" t="s">
        <v>11</v>
      </c>
      <c r="E53" s="78" t="s">
        <v>11</v>
      </c>
      <c r="F53" s="78" t="s">
        <v>11</v>
      </c>
      <c r="G53" s="81" t="s">
        <v>11</v>
      </c>
      <c r="H53" s="83" t="s">
        <v>11</v>
      </c>
    </row>
    <row r="54" spans="1:8" ht="12.75" customHeight="1" x14ac:dyDescent="0.2">
      <c r="A54" s="3"/>
      <c r="B54" s="78" t="s">
        <v>11</v>
      </c>
      <c r="C54" s="78" t="s">
        <v>11</v>
      </c>
      <c r="D54" s="78" t="s">
        <v>11</v>
      </c>
      <c r="E54" s="78" t="s">
        <v>11</v>
      </c>
      <c r="F54" s="78" t="s">
        <v>11</v>
      </c>
      <c r="G54" s="81" t="s">
        <v>11</v>
      </c>
      <c r="H54" s="83" t="s">
        <v>11</v>
      </c>
    </row>
    <row r="55" spans="1:8" ht="12.75" customHeight="1" x14ac:dyDescent="0.2">
      <c r="A55" s="3"/>
      <c r="B55" s="78" t="s">
        <v>11</v>
      </c>
      <c r="C55" s="78" t="s">
        <v>11</v>
      </c>
      <c r="D55" s="78" t="s">
        <v>11</v>
      </c>
      <c r="E55" s="78" t="s">
        <v>11</v>
      </c>
      <c r="F55" s="78" t="s">
        <v>11</v>
      </c>
      <c r="G55" s="81" t="s">
        <v>11</v>
      </c>
      <c r="H55" s="83" t="s">
        <v>11</v>
      </c>
    </row>
    <row r="56" spans="1:8" ht="12.75" customHeight="1" x14ac:dyDescent="0.2">
      <c r="A56" s="3"/>
      <c r="B56" s="78" t="s">
        <v>11</v>
      </c>
      <c r="C56" s="78" t="s">
        <v>11</v>
      </c>
      <c r="D56" s="78" t="s">
        <v>11</v>
      </c>
      <c r="E56" s="78" t="s">
        <v>11</v>
      </c>
      <c r="F56" s="78" t="s">
        <v>11</v>
      </c>
      <c r="G56" s="81" t="s">
        <v>11</v>
      </c>
      <c r="H56" s="83" t="s">
        <v>11</v>
      </c>
    </row>
    <row r="57" spans="1:8" ht="12.75" customHeight="1" x14ac:dyDescent="0.2">
      <c r="A57" s="3"/>
      <c r="B57" s="78" t="s">
        <v>11</v>
      </c>
      <c r="C57" s="78" t="s">
        <v>11</v>
      </c>
      <c r="D57" s="78" t="s">
        <v>11</v>
      </c>
      <c r="E57" s="78" t="s">
        <v>11</v>
      </c>
      <c r="F57" s="78" t="s">
        <v>11</v>
      </c>
      <c r="G57" s="81" t="s">
        <v>11</v>
      </c>
      <c r="H57" s="83" t="s">
        <v>11</v>
      </c>
    </row>
    <row r="58" spans="1:8" ht="12.75" customHeight="1" x14ac:dyDescent="0.2">
      <c r="A58" s="3"/>
      <c r="B58" s="78" t="s">
        <v>11</v>
      </c>
      <c r="C58" s="78" t="s">
        <v>11</v>
      </c>
      <c r="D58" s="78" t="s">
        <v>11</v>
      </c>
      <c r="E58" s="78" t="s">
        <v>11</v>
      </c>
      <c r="F58" s="78" t="s">
        <v>11</v>
      </c>
      <c r="G58" s="81" t="s">
        <v>11</v>
      </c>
      <c r="H58" s="83" t="s">
        <v>11</v>
      </c>
    </row>
    <row r="59" spans="1:8" ht="12.75" customHeight="1" x14ac:dyDescent="0.2">
      <c r="A59" s="3"/>
      <c r="B59" s="78" t="s">
        <v>11</v>
      </c>
      <c r="C59" s="78" t="s">
        <v>11</v>
      </c>
      <c r="D59" s="78" t="s">
        <v>11</v>
      </c>
      <c r="E59" s="78" t="s">
        <v>11</v>
      </c>
      <c r="F59" s="78" t="s">
        <v>11</v>
      </c>
      <c r="G59" s="81" t="s">
        <v>11</v>
      </c>
      <c r="H59" s="83" t="s">
        <v>11</v>
      </c>
    </row>
    <row r="60" spans="1:8" ht="12.75" customHeight="1" x14ac:dyDescent="0.2">
      <c r="A60" s="3"/>
      <c r="B60" s="78" t="s">
        <v>11</v>
      </c>
      <c r="C60" s="78" t="s">
        <v>11</v>
      </c>
      <c r="D60" s="78" t="s">
        <v>11</v>
      </c>
      <c r="E60" s="78" t="s">
        <v>11</v>
      </c>
      <c r="F60" s="78" t="s">
        <v>11</v>
      </c>
      <c r="G60" s="81" t="s">
        <v>11</v>
      </c>
      <c r="H60" s="83" t="s">
        <v>11</v>
      </c>
    </row>
    <row r="61" spans="1:8" ht="12.75" customHeight="1" x14ac:dyDescent="0.2">
      <c r="A61" s="3"/>
      <c r="B61" s="78" t="s">
        <v>11</v>
      </c>
      <c r="C61" s="78" t="s">
        <v>11</v>
      </c>
      <c r="D61" s="78" t="s">
        <v>11</v>
      </c>
      <c r="E61" s="78" t="s">
        <v>11</v>
      </c>
      <c r="F61" s="78" t="s">
        <v>11</v>
      </c>
      <c r="G61" s="81" t="s">
        <v>11</v>
      </c>
      <c r="H61" s="83" t="s">
        <v>11</v>
      </c>
    </row>
    <row r="62" spans="1:8" ht="12.75" customHeight="1" x14ac:dyDescent="0.2">
      <c r="A62" s="3"/>
      <c r="B62" s="78" t="s">
        <v>11</v>
      </c>
      <c r="C62" s="78" t="s">
        <v>11</v>
      </c>
      <c r="D62" s="78" t="s">
        <v>11</v>
      </c>
      <c r="E62" s="78" t="s">
        <v>11</v>
      </c>
      <c r="F62" s="78" t="s">
        <v>11</v>
      </c>
      <c r="G62" s="81" t="s">
        <v>11</v>
      </c>
      <c r="H62" s="83" t="s">
        <v>11</v>
      </c>
    </row>
    <row r="63" spans="1:8" ht="12.75" customHeight="1" x14ac:dyDescent="0.2">
      <c r="A63" s="3"/>
      <c r="B63" s="78" t="s">
        <v>11</v>
      </c>
      <c r="C63" s="78" t="s">
        <v>11</v>
      </c>
      <c r="D63" s="78" t="s">
        <v>11</v>
      </c>
      <c r="E63" s="78" t="s">
        <v>11</v>
      </c>
      <c r="F63" s="78" t="s">
        <v>11</v>
      </c>
      <c r="G63" s="81" t="s">
        <v>11</v>
      </c>
      <c r="H63" s="83" t="s">
        <v>11</v>
      </c>
    </row>
    <row r="64" spans="1:8" ht="12.75" customHeight="1" x14ac:dyDescent="0.2">
      <c r="A64" s="3"/>
      <c r="B64" s="78" t="s">
        <v>11</v>
      </c>
      <c r="C64" s="78" t="s">
        <v>11</v>
      </c>
      <c r="D64" s="78" t="s">
        <v>11</v>
      </c>
      <c r="E64" s="78" t="s">
        <v>11</v>
      </c>
      <c r="F64" s="78" t="s">
        <v>11</v>
      </c>
      <c r="G64" s="81" t="s">
        <v>11</v>
      </c>
      <c r="H64" s="83" t="s">
        <v>11</v>
      </c>
    </row>
    <row r="65" spans="1:8" ht="12.75" customHeight="1" x14ac:dyDescent="0.2">
      <c r="A65" s="3"/>
      <c r="B65" s="78" t="s">
        <v>11</v>
      </c>
      <c r="C65" s="78" t="s">
        <v>11</v>
      </c>
      <c r="D65" s="78" t="s">
        <v>11</v>
      </c>
      <c r="E65" s="78" t="s">
        <v>11</v>
      </c>
      <c r="F65" s="78" t="s">
        <v>11</v>
      </c>
      <c r="G65" s="81" t="s">
        <v>11</v>
      </c>
      <c r="H65" s="83" t="s">
        <v>11</v>
      </c>
    </row>
    <row r="66" spans="1:8" ht="12.75" customHeight="1" x14ac:dyDescent="0.2">
      <c r="A66" s="3"/>
      <c r="B66" s="78" t="s">
        <v>11</v>
      </c>
      <c r="C66" s="78" t="s">
        <v>11</v>
      </c>
      <c r="D66" s="78" t="s">
        <v>11</v>
      </c>
      <c r="E66" s="78" t="s">
        <v>11</v>
      </c>
      <c r="F66" s="78" t="s">
        <v>11</v>
      </c>
      <c r="G66" s="81" t="s">
        <v>11</v>
      </c>
      <c r="H66" s="83" t="s">
        <v>11</v>
      </c>
    </row>
    <row r="67" spans="1:8" ht="12.75" customHeight="1" x14ac:dyDescent="0.2">
      <c r="A67" s="3"/>
      <c r="B67" s="78" t="s">
        <v>11</v>
      </c>
      <c r="C67" s="78" t="s">
        <v>11</v>
      </c>
      <c r="D67" s="78" t="s">
        <v>11</v>
      </c>
      <c r="E67" s="78" t="s">
        <v>11</v>
      </c>
      <c r="F67" s="78" t="s">
        <v>11</v>
      </c>
      <c r="G67" s="81" t="s">
        <v>11</v>
      </c>
      <c r="H67" s="83" t="s">
        <v>11</v>
      </c>
    </row>
    <row r="68" spans="1:8" ht="12.75" customHeight="1" x14ac:dyDescent="0.2">
      <c r="A68" s="3"/>
      <c r="B68" s="78" t="s">
        <v>11</v>
      </c>
      <c r="C68" s="78" t="s">
        <v>11</v>
      </c>
      <c r="D68" s="78" t="s">
        <v>11</v>
      </c>
      <c r="E68" s="78" t="s">
        <v>11</v>
      </c>
      <c r="F68" s="78" t="s">
        <v>11</v>
      </c>
      <c r="G68" s="81" t="s">
        <v>11</v>
      </c>
      <c r="H68" s="83" t="s">
        <v>11</v>
      </c>
    </row>
    <row r="69" spans="1:8" ht="12.75" customHeight="1" x14ac:dyDescent="0.2">
      <c r="A69" s="3"/>
      <c r="B69" s="78" t="s">
        <v>11</v>
      </c>
      <c r="C69" s="78" t="s">
        <v>11</v>
      </c>
      <c r="D69" s="78" t="s">
        <v>11</v>
      </c>
      <c r="E69" s="78" t="s">
        <v>11</v>
      </c>
      <c r="F69" s="78" t="s">
        <v>11</v>
      </c>
      <c r="G69" s="81" t="s">
        <v>11</v>
      </c>
      <c r="H69" s="83" t="s">
        <v>11</v>
      </c>
    </row>
    <row r="70" spans="1:8" ht="12.75" customHeight="1" x14ac:dyDescent="0.2">
      <c r="A70" s="3"/>
      <c r="B70" s="78" t="s">
        <v>11</v>
      </c>
      <c r="C70" s="78" t="s">
        <v>11</v>
      </c>
      <c r="D70" s="78" t="s">
        <v>11</v>
      </c>
      <c r="E70" s="78" t="s">
        <v>11</v>
      </c>
      <c r="F70" s="78" t="s">
        <v>11</v>
      </c>
      <c r="G70" s="81" t="s">
        <v>11</v>
      </c>
      <c r="H70" s="83" t="s">
        <v>11</v>
      </c>
    </row>
    <row r="71" spans="1:8" ht="12.75" customHeight="1" x14ac:dyDescent="0.2">
      <c r="A71" s="3"/>
      <c r="B71" s="78" t="s">
        <v>11</v>
      </c>
      <c r="C71" s="78" t="s">
        <v>11</v>
      </c>
      <c r="D71" s="78" t="s">
        <v>11</v>
      </c>
      <c r="E71" s="78" t="s">
        <v>11</v>
      </c>
      <c r="F71" s="78" t="s">
        <v>11</v>
      </c>
      <c r="G71" s="81" t="s">
        <v>11</v>
      </c>
      <c r="H71" s="83" t="s">
        <v>11</v>
      </c>
    </row>
    <row r="72" spans="1:8" ht="12.75" customHeight="1" x14ac:dyDescent="0.2">
      <c r="A72" s="3"/>
      <c r="B72" s="78" t="s">
        <v>11</v>
      </c>
      <c r="C72" s="78" t="s">
        <v>11</v>
      </c>
      <c r="D72" s="78" t="s">
        <v>11</v>
      </c>
      <c r="E72" s="78" t="s">
        <v>11</v>
      </c>
      <c r="F72" s="78" t="s">
        <v>11</v>
      </c>
      <c r="G72" s="81" t="s">
        <v>11</v>
      </c>
      <c r="H72" s="83" t="s">
        <v>11</v>
      </c>
    </row>
    <row r="73" spans="1:8" ht="12.75" customHeight="1" x14ac:dyDescent="0.2">
      <c r="A73" s="3"/>
      <c r="B73" s="78" t="s">
        <v>11</v>
      </c>
      <c r="C73" s="78" t="s">
        <v>11</v>
      </c>
      <c r="D73" s="78" t="s">
        <v>11</v>
      </c>
      <c r="E73" s="78" t="s">
        <v>11</v>
      </c>
      <c r="F73" s="78" t="s">
        <v>11</v>
      </c>
      <c r="G73" s="81" t="s">
        <v>11</v>
      </c>
      <c r="H73" s="83" t="s">
        <v>11</v>
      </c>
    </row>
    <row r="74" spans="1:8" ht="12.75" customHeight="1" x14ac:dyDescent="0.2">
      <c r="A74" s="3"/>
      <c r="B74" s="78" t="s">
        <v>11</v>
      </c>
      <c r="C74" s="78" t="s">
        <v>11</v>
      </c>
      <c r="D74" s="78" t="s">
        <v>11</v>
      </c>
      <c r="E74" s="78" t="s">
        <v>11</v>
      </c>
      <c r="F74" s="78" t="s">
        <v>11</v>
      </c>
      <c r="G74" s="81" t="s">
        <v>11</v>
      </c>
      <c r="H74" s="83" t="s">
        <v>11</v>
      </c>
    </row>
    <row r="75" spans="1:8" ht="12.75" customHeight="1" x14ac:dyDescent="0.2">
      <c r="A75" s="3"/>
      <c r="B75" s="78" t="s">
        <v>11</v>
      </c>
      <c r="C75" s="78" t="s">
        <v>11</v>
      </c>
      <c r="D75" s="78" t="s">
        <v>11</v>
      </c>
      <c r="E75" s="78" t="s">
        <v>11</v>
      </c>
      <c r="F75" s="78" t="s">
        <v>11</v>
      </c>
      <c r="G75" s="81" t="s">
        <v>11</v>
      </c>
      <c r="H75" s="83" t="s">
        <v>11</v>
      </c>
    </row>
    <row r="76" spans="1:8" ht="12.75" customHeight="1" x14ac:dyDescent="0.2">
      <c r="A76" s="3"/>
      <c r="B76" s="78" t="s">
        <v>11</v>
      </c>
      <c r="C76" s="78" t="s">
        <v>11</v>
      </c>
      <c r="D76" s="78" t="s">
        <v>11</v>
      </c>
      <c r="E76" s="78" t="s">
        <v>11</v>
      </c>
      <c r="F76" s="78" t="s">
        <v>11</v>
      </c>
      <c r="G76" s="81" t="s">
        <v>11</v>
      </c>
      <c r="H76" s="83" t="s">
        <v>11</v>
      </c>
    </row>
    <row r="77" spans="1:8" ht="12.75" customHeight="1" x14ac:dyDescent="0.2">
      <c r="A77" s="3"/>
      <c r="B77" s="78" t="s">
        <v>11</v>
      </c>
      <c r="C77" s="78" t="s">
        <v>11</v>
      </c>
      <c r="D77" s="78" t="s">
        <v>11</v>
      </c>
      <c r="E77" s="78" t="s">
        <v>11</v>
      </c>
      <c r="F77" s="78" t="s">
        <v>11</v>
      </c>
      <c r="G77" s="81" t="s">
        <v>11</v>
      </c>
      <c r="H77" s="83" t="s">
        <v>11</v>
      </c>
    </row>
    <row r="78" spans="1:8" ht="12.75" customHeight="1" x14ac:dyDescent="0.2">
      <c r="A78" s="3"/>
      <c r="B78" s="78" t="s">
        <v>11</v>
      </c>
      <c r="C78" s="78" t="s">
        <v>11</v>
      </c>
      <c r="D78" s="78" t="s">
        <v>11</v>
      </c>
      <c r="E78" s="78" t="s">
        <v>11</v>
      </c>
      <c r="F78" s="78" t="s">
        <v>11</v>
      </c>
      <c r="G78" s="81" t="s">
        <v>11</v>
      </c>
      <c r="H78" s="83" t="s">
        <v>11</v>
      </c>
    </row>
    <row r="79" spans="1:8" ht="12.75" customHeight="1" x14ac:dyDescent="0.2">
      <c r="A79" s="3"/>
      <c r="B79" s="78" t="s">
        <v>11</v>
      </c>
      <c r="C79" s="78" t="s">
        <v>11</v>
      </c>
      <c r="D79" s="78" t="s">
        <v>11</v>
      </c>
      <c r="E79" s="78" t="s">
        <v>11</v>
      </c>
      <c r="F79" s="78" t="s">
        <v>11</v>
      </c>
      <c r="G79" s="81" t="s">
        <v>11</v>
      </c>
      <c r="H79" s="83" t="s">
        <v>11</v>
      </c>
    </row>
    <row r="80" spans="1:8" ht="12.75" customHeight="1" x14ac:dyDescent="0.2">
      <c r="A80" s="3"/>
      <c r="B80" s="78" t="s">
        <v>11</v>
      </c>
      <c r="C80" s="78" t="s">
        <v>11</v>
      </c>
      <c r="D80" s="78" t="s">
        <v>11</v>
      </c>
      <c r="E80" s="78" t="s">
        <v>11</v>
      </c>
      <c r="F80" s="78" t="s">
        <v>11</v>
      </c>
      <c r="G80" s="81" t="s">
        <v>11</v>
      </c>
      <c r="H80" s="83" t="s">
        <v>11</v>
      </c>
    </row>
    <row r="81" spans="1:8" ht="12.75" customHeight="1" x14ac:dyDescent="0.2">
      <c r="A81" s="3"/>
      <c r="B81" s="78" t="s">
        <v>11</v>
      </c>
      <c r="C81" s="78" t="s">
        <v>11</v>
      </c>
      <c r="D81" s="78" t="s">
        <v>11</v>
      </c>
      <c r="E81" s="78" t="s">
        <v>11</v>
      </c>
      <c r="F81" s="78" t="s">
        <v>11</v>
      </c>
      <c r="G81" s="81" t="s">
        <v>11</v>
      </c>
      <c r="H81" s="83" t="s">
        <v>11</v>
      </c>
    </row>
    <row r="82" spans="1:8" ht="12.75" customHeight="1" x14ac:dyDescent="0.2">
      <c r="A82" s="3"/>
      <c r="B82" s="78" t="s">
        <v>11</v>
      </c>
      <c r="C82" s="78" t="s">
        <v>11</v>
      </c>
      <c r="D82" s="78" t="s">
        <v>11</v>
      </c>
      <c r="E82" s="78" t="s">
        <v>11</v>
      </c>
      <c r="F82" s="78" t="s">
        <v>11</v>
      </c>
      <c r="G82" s="81" t="s">
        <v>11</v>
      </c>
      <c r="H82" s="83" t="s">
        <v>11</v>
      </c>
    </row>
    <row r="83" spans="1:8" ht="12.75" customHeight="1" x14ac:dyDescent="0.2">
      <c r="A83" s="3"/>
      <c r="B83" s="78" t="s">
        <v>11</v>
      </c>
      <c r="C83" s="78" t="s">
        <v>11</v>
      </c>
      <c r="D83" s="78" t="s">
        <v>11</v>
      </c>
      <c r="E83" s="78" t="s">
        <v>11</v>
      </c>
      <c r="F83" s="78" t="s">
        <v>11</v>
      </c>
      <c r="G83" s="81" t="s">
        <v>11</v>
      </c>
      <c r="H83" s="83" t="s">
        <v>11</v>
      </c>
    </row>
    <row r="84" spans="1:8" ht="12.75" customHeight="1" x14ac:dyDescent="0.2">
      <c r="A84" s="3"/>
      <c r="B84" s="78" t="s">
        <v>11</v>
      </c>
      <c r="C84" s="78" t="s">
        <v>11</v>
      </c>
      <c r="D84" s="78" t="s">
        <v>11</v>
      </c>
      <c r="E84" s="78" t="s">
        <v>11</v>
      </c>
      <c r="F84" s="78" t="s">
        <v>11</v>
      </c>
      <c r="G84" s="81" t="s">
        <v>11</v>
      </c>
      <c r="H84" s="83" t="s">
        <v>11</v>
      </c>
    </row>
    <row r="85" spans="1:8" ht="12.75" customHeight="1" x14ac:dyDescent="0.2">
      <c r="A85" s="3"/>
      <c r="B85" s="78" t="s">
        <v>11</v>
      </c>
      <c r="C85" s="78" t="s">
        <v>11</v>
      </c>
      <c r="D85" s="78" t="s">
        <v>11</v>
      </c>
      <c r="E85" s="78" t="s">
        <v>11</v>
      </c>
      <c r="F85" s="78" t="s">
        <v>11</v>
      </c>
      <c r="G85" s="81" t="s">
        <v>11</v>
      </c>
      <c r="H85" s="83" t="s">
        <v>11</v>
      </c>
    </row>
    <row r="86" spans="1:8" ht="12.75" customHeight="1" x14ac:dyDescent="0.2">
      <c r="A86" s="3"/>
      <c r="B86" s="78" t="s">
        <v>11</v>
      </c>
      <c r="C86" s="78" t="s">
        <v>11</v>
      </c>
      <c r="D86" s="78" t="s">
        <v>11</v>
      </c>
      <c r="E86" s="78" t="s">
        <v>11</v>
      </c>
      <c r="F86" s="78" t="s">
        <v>11</v>
      </c>
      <c r="G86" s="81" t="s">
        <v>11</v>
      </c>
      <c r="H86" s="83" t="s">
        <v>11</v>
      </c>
    </row>
    <row r="87" spans="1:8" ht="12.75" customHeight="1" x14ac:dyDescent="0.2">
      <c r="A87" s="3"/>
      <c r="B87" s="78" t="s">
        <v>11</v>
      </c>
      <c r="C87" s="78" t="s">
        <v>11</v>
      </c>
      <c r="D87" s="78" t="s">
        <v>11</v>
      </c>
      <c r="E87" s="78" t="s">
        <v>11</v>
      </c>
      <c r="F87" s="78" t="s">
        <v>11</v>
      </c>
      <c r="G87" s="81" t="s">
        <v>11</v>
      </c>
      <c r="H87" s="83" t="s">
        <v>11</v>
      </c>
    </row>
    <row r="88" spans="1:8" ht="12.75" customHeight="1" x14ac:dyDescent="0.2">
      <c r="A88" s="3"/>
      <c r="B88" s="78" t="s">
        <v>11</v>
      </c>
      <c r="C88" s="78" t="s">
        <v>11</v>
      </c>
      <c r="D88" s="78" t="s">
        <v>11</v>
      </c>
      <c r="E88" s="78" t="s">
        <v>11</v>
      </c>
      <c r="F88" s="78" t="s">
        <v>11</v>
      </c>
      <c r="G88" s="81" t="s">
        <v>11</v>
      </c>
      <c r="H88" s="83" t="s">
        <v>11</v>
      </c>
    </row>
    <row r="89" spans="1:8" ht="12.75" customHeight="1" x14ac:dyDescent="0.2">
      <c r="A89" s="3"/>
      <c r="B89" s="78" t="s">
        <v>11</v>
      </c>
      <c r="C89" s="78" t="s">
        <v>11</v>
      </c>
      <c r="D89" s="78" t="s">
        <v>11</v>
      </c>
      <c r="E89" s="78" t="s">
        <v>11</v>
      </c>
      <c r="F89" s="78" t="s">
        <v>11</v>
      </c>
      <c r="G89" s="81" t="s">
        <v>11</v>
      </c>
      <c r="H89" s="83" t="s">
        <v>11</v>
      </c>
    </row>
    <row r="90" spans="1:8" x14ac:dyDescent="0.2">
      <c r="B90" t="s">
        <v>11</v>
      </c>
      <c r="E90" t="s">
        <v>11</v>
      </c>
      <c r="F90" t="s">
        <v>11</v>
      </c>
      <c r="G90" t="s">
        <v>11</v>
      </c>
      <c r="H90" t="s">
        <v>11</v>
      </c>
    </row>
    <row r="91" spans="1:8" x14ac:dyDescent="0.2">
      <c r="B91" t="s">
        <v>11</v>
      </c>
      <c r="E91" t="s">
        <v>11</v>
      </c>
      <c r="F91" t="s">
        <v>11</v>
      </c>
      <c r="G91" t="s">
        <v>11</v>
      </c>
      <c r="H91" t="s">
        <v>11</v>
      </c>
    </row>
    <row r="92" spans="1:8" x14ac:dyDescent="0.2">
      <c r="B92" t="s">
        <v>11</v>
      </c>
      <c r="E92" t="s">
        <v>11</v>
      </c>
      <c r="F92" t="s">
        <v>11</v>
      </c>
      <c r="G92" t="s">
        <v>11</v>
      </c>
      <c r="H92" t="s">
        <v>11</v>
      </c>
    </row>
    <row r="93" spans="1:8" x14ac:dyDescent="0.2">
      <c r="B93" t="s">
        <v>11</v>
      </c>
      <c r="E93" t="s">
        <v>11</v>
      </c>
      <c r="F93" t="s">
        <v>11</v>
      </c>
      <c r="G93" t="s">
        <v>11</v>
      </c>
      <c r="H93" t="s">
        <v>11</v>
      </c>
    </row>
    <row r="94" spans="1:8" x14ac:dyDescent="0.2">
      <c r="B94" t="s">
        <v>11</v>
      </c>
      <c r="E94" t="s">
        <v>11</v>
      </c>
      <c r="F94" t="s">
        <v>11</v>
      </c>
      <c r="G94" t="s">
        <v>11</v>
      </c>
      <c r="H94" t="s">
        <v>11</v>
      </c>
    </row>
    <row r="95" spans="1:8" x14ac:dyDescent="0.2">
      <c r="B95" t="s">
        <v>11</v>
      </c>
      <c r="E95" t="s">
        <v>11</v>
      </c>
      <c r="F95" t="s">
        <v>11</v>
      </c>
      <c r="G95" t="s">
        <v>11</v>
      </c>
      <c r="H95" t="s">
        <v>11</v>
      </c>
    </row>
    <row r="96" spans="1:8" x14ac:dyDescent="0.2">
      <c r="B96" t="s">
        <v>11</v>
      </c>
      <c r="E96" t="s">
        <v>11</v>
      </c>
      <c r="F96" t="s">
        <v>11</v>
      </c>
      <c r="G96" t="s">
        <v>11</v>
      </c>
      <c r="H96" t="s">
        <v>11</v>
      </c>
    </row>
    <row r="97" spans="2:8" x14ac:dyDescent="0.2">
      <c r="B97" t="s">
        <v>11</v>
      </c>
      <c r="E97" t="s">
        <v>11</v>
      </c>
      <c r="F97" t="s">
        <v>11</v>
      </c>
      <c r="G97" t="s">
        <v>11</v>
      </c>
      <c r="H97" t="s">
        <v>11</v>
      </c>
    </row>
    <row r="98" spans="2:8" x14ac:dyDescent="0.2">
      <c r="B98" t="s">
        <v>11</v>
      </c>
      <c r="E98" t="s">
        <v>11</v>
      </c>
      <c r="F98" t="s">
        <v>11</v>
      </c>
      <c r="G98" t="s">
        <v>11</v>
      </c>
      <c r="H98" t="s">
        <v>11</v>
      </c>
    </row>
    <row r="99" spans="2:8" x14ac:dyDescent="0.2">
      <c r="B99" t="s">
        <v>11</v>
      </c>
      <c r="E99" t="s">
        <v>11</v>
      </c>
      <c r="F99" t="s">
        <v>11</v>
      </c>
      <c r="G99" t="s">
        <v>11</v>
      </c>
      <c r="H99" t="s">
        <v>11</v>
      </c>
    </row>
    <row r="100" spans="2:8" x14ac:dyDescent="0.2">
      <c r="B100" t="s">
        <v>11</v>
      </c>
      <c r="E100" t="s">
        <v>11</v>
      </c>
      <c r="F100" t="s">
        <v>11</v>
      </c>
      <c r="G100" t="s">
        <v>11</v>
      </c>
      <c r="H100" t="s">
        <v>11</v>
      </c>
    </row>
    <row r="101" spans="2:8" x14ac:dyDescent="0.2">
      <c r="B101" t="s">
        <v>11</v>
      </c>
      <c r="E101" t="s">
        <v>11</v>
      </c>
      <c r="F101" t="s">
        <v>11</v>
      </c>
      <c r="G101" t="s">
        <v>11</v>
      </c>
      <c r="H101" t="s">
        <v>11</v>
      </c>
    </row>
    <row r="102" spans="2:8" x14ac:dyDescent="0.2">
      <c r="B102" t="s">
        <v>11</v>
      </c>
      <c r="E102" t="s">
        <v>11</v>
      </c>
      <c r="F102" t="s">
        <v>11</v>
      </c>
      <c r="G102" t="s">
        <v>11</v>
      </c>
      <c r="H102" t="s">
        <v>11</v>
      </c>
    </row>
    <row r="103" spans="2:8" x14ac:dyDescent="0.2">
      <c r="B103" t="s">
        <v>11</v>
      </c>
      <c r="E103" t="s">
        <v>11</v>
      </c>
      <c r="F103" t="s">
        <v>11</v>
      </c>
      <c r="G103" t="s">
        <v>11</v>
      </c>
      <c r="H103" t="s">
        <v>11</v>
      </c>
    </row>
    <row r="104" spans="2:8" x14ac:dyDescent="0.2">
      <c r="B104" t="s">
        <v>11</v>
      </c>
      <c r="E104" t="s">
        <v>11</v>
      </c>
      <c r="F104" t="s">
        <v>11</v>
      </c>
      <c r="G104" t="s">
        <v>11</v>
      </c>
      <c r="H104" t="s">
        <v>11</v>
      </c>
    </row>
    <row r="105" spans="2:8" x14ac:dyDescent="0.2">
      <c r="B105" t="s">
        <v>11</v>
      </c>
      <c r="E105" t="s">
        <v>11</v>
      </c>
      <c r="F105" t="s">
        <v>11</v>
      </c>
      <c r="G105" t="s">
        <v>11</v>
      </c>
      <c r="H105" t="s">
        <v>11</v>
      </c>
    </row>
    <row r="106" spans="2:8" x14ac:dyDescent="0.2">
      <c r="B106" t="s">
        <v>11</v>
      </c>
      <c r="E106" t="s">
        <v>11</v>
      </c>
      <c r="F106" t="s">
        <v>11</v>
      </c>
      <c r="G106" t="s">
        <v>11</v>
      </c>
      <c r="H106" t="s">
        <v>11</v>
      </c>
    </row>
    <row r="107" spans="2:8" x14ac:dyDescent="0.2">
      <c r="B107" t="s">
        <v>11</v>
      </c>
      <c r="E107" t="s">
        <v>11</v>
      </c>
      <c r="F107" t="s">
        <v>11</v>
      </c>
      <c r="G107" t="s">
        <v>11</v>
      </c>
      <c r="H107" t="s">
        <v>11</v>
      </c>
    </row>
    <row r="108" spans="2:8" x14ac:dyDescent="0.2">
      <c r="B108" t="s">
        <v>11</v>
      </c>
      <c r="E108" t="s">
        <v>11</v>
      </c>
      <c r="F108" t="s">
        <v>11</v>
      </c>
      <c r="G108" t="s">
        <v>11</v>
      </c>
      <c r="H108" t="s">
        <v>11</v>
      </c>
    </row>
    <row r="109" spans="2:8" x14ac:dyDescent="0.2">
      <c r="B109" t="s">
        <v>11</v>
      </c>
      <c r="E109" t="s">
        <v>11</v>
      </c>
      <c r="F109" t="s">
        <v>11</v>
      </c>
      <c r="G109" t="s">
        <v>11</v>
      </c>
      <c r="H109" t="s">
        <v>11</v>
      </c>
    </row>
  </sheetData>
  <sortState xmlns:xlrd2="http://schemas.microsoft.com/office/spreadsheetml/2017/richdata2" ref="L11:P34">
    <sortCondition descending="1" ref="O11:O32"/>
  </sortState>
  <mergeCells count="8">
    <mergeCell ref="L1:P1"/>
    <mergeCell ref="L4:P4"/>
    <mergeCell ref="L2:P2"/>
    <mergeCell ref="B6:F6"/>
    <mergeCell ref="B7:F7"/>
    <mergeCell ref="L7:P7"/>
    <mergeCell ref="L5:P5"/>
    <mergeCell ref="L6:P6"/>
  </mergeCells>
  <phoneticPr fontId="0" type="noConversion"/>
  <conditionalFormatting sqref="H10:H89">
    <cfRule type="cellIs" dxfId="2189" priority="1" stopIfTrue="1" operator="equal">
      <formula>1</formula>
    </cfRule>
    <cfRule type="cellIs" dxfId="2188" priority="2" stopIfTrue="1" operator="equal">
      <formula>2</formula>
    </cfRule>
    <cfRule type="cellIs" dxfId="2187" priority="3" stopIfTrue="1" operator="equal">
      <formula>3</formula>
    </cfRule>
  </conditionalFormatting>
  <pageMargins left="0.78740157499999996" right="0.78740157499999996" top="0.984251969" bottom="0.984251969" header="0.4921259845" footer="0.4921259845"/>
  <pageSetup paperSize="9" scale="63"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04EA5-6EB7-4DDD-82DC-6E8244BE35C8}">
  <sheetPr codeName="Feuil43">
    <pageSetUpPr fitToPage="1"/>
  </sheetPr>
  <dimension ref="A1:AY148"/>
  <sheetViews>
    <sheetView topLeftCell="X1" zoomScale="86" workbookViewId="0">
      <selection activeCell="O71" sqref="O71"/>
    </sheetView>
  </sheetViews>
  <sheetFormatPr baseColWidth="10" defaultColWidth="10.85546875" defaultRowHeight="12.75" x14ac:dyDescent="0.2"/>
  <cols>
    <col min="1" max="1" width="3.7109375" style="435" customWidth="1"/>
    <col min="2" max="4" width="16.140625" style="435" customWidth="1"/>
    <col min="5" max="10" width="11.28515625" style="435" customWidth="1"/>
    <col min="11" max="11" width="10.140625" style="441" bestFit="1" customWidth="1"/>
    <col min="12" max="12" width="10.140625" style="435" bestFit="1" customWidth="1"/>
    <col min="13" max="13" width="37.28515625" style="435" customWidth="1"/>
    <col min="14" max="14" width="11" style="442" bestFit="1" customWidth="1"/>
    <col min="15" max="15" width="6.140625" style="441" bestFit="1" customWidth="1"/>
    <col min="16" max="16" width="15.7109375" style="441" customWidth="1"/>
    <col min="17" max="18" width="10.140625" style="441" bestFit="1" customWidth="1"/>
    <col min="19" max="19" width="38" style="441" customWidth="1"/>
    <col min="20" max="20" width="11" style="442" bestFit="1" customWidth="1"/>
    <col min="21" max="21" width="4.85546875" style="441" bestFit="1" customWidth="1"/>
    <col min="22" max="22" width="15.85546875" style="441" customWidth="1"/>
    <col min="23" max="23" width="7.7109375" style="441" bestFit="1" customWidth="1"/>
    <col min="24" max="24" width="5.28515625" style="435" bestFit="1" customWidth="1"/>
    <col min="25" max="25" width="36.5703125" style="435" customWidth="1"/>
    <col min="26" max="26" width="10.85546875" style="442"/>
    <col min="27" max="27" width="4.85546875" style="441" bestFit="1" customWidth="1"/>
    <col min="28" max="28" width="6.5703125" style="435" customWidth="1"/>
    <col min="29" max="31" width="3.28515625" style="435" customWidth="1"/>
    <col min="32" max="32" width="12" style="435" customWidth="1"/>
    <col min="33" max="33" width="12" style="435" hidden="1" customWidth="1"/>
    <col min="34" max="34" width="36.7109375" style="435" customWidth="1"/>
    <col min="35" max="36" width="36.85546875" style="435" customWidth="1"/>
    <col min="37" max="42" width="10.85546875" style="435"/>
    <col min="43" max="43" width="1.7109375" style="435" bestFit="1" customWidth="1"/>
    <col min="44" max="46" width="10.85546875" style="435"/>
    <col min="47" max="47" width="1.7109375" style="435" bestFit="1" customWidth="1"/>
    <col min="48" max="50" width="10.85546875" style="435"/>
    <col min="51" max="51" width="1.7109375" style="435" bestFit="1" customWidth="1"/>
    <col min="52" max="16384" width="10.85546875" style="435"/>
  </cols>
  <sheetData>
    <row r="1" spans="1:51" ht="55.5" customHeight="1" x14ac:dyDescent="0.2">
      <c r="B1" s="436"/>
      <c r="C1" s="436"/>
      <c r="D1" s="436"/>
      <c r="I1" s="437"/>
      <c r="J1" s="437"/>
      <c r="K1" s="988" t="str">
        <f>Championnat</f>
        <v>Championnat de France de Tir à l'ARC</v>
      </c>
      <c r="L1" s="988"/>
      <c r="M1" s="988"/>
      <c r="N1" s="988"/>
      <c r="O1" s="988"/>
      <c r="P1" s="988"/>
      <c r="Q1" s="988"/>
      <c r="R1" s="988"/>
      <c r="S1" s="988"/>
      <c r="T1" s="988"/>
      <c r="U1" s="988"/>
      <c r="V1" s="988"/>
      <c r="W1" s="988"/>
      <c r="X1" s="988"/>
      <c r="Y1" s="988"/>
      <c r="Z1" s="988"/>
      <c r="AA1" s="988"/>
      <c r="AB1" s="439"/>
      <c r="AC1" s="439"/>
      <c r="AD1" s="439"/>
      <c r="AE1" s="439"/>
      <c r="AF1" s="988" t="str">
        <f>Championnat</f>
        <v>Championnat de France de Tir à l'ARC</v>
      </c>
      <c r="AG1" s="988"/>
      <c r="AH1" s="988"/>
      <c r="AI1" s="988"/>
      <c r="AJ1" s="988"/>
      <c r="AK1" s="491"/>
      <c r="AL1" s="491"/>
      <c r="AM1" s="491"/>
      <c r="AN1" s="491"/>
      <c r="AO1" s="491"/>
      <c r="AP1" s="491"/>
      <c r="AQ1" s="491"/>
      <c r="AR1" s="491"/>
      <c r="AS1" s="491"/>
      <c r="AT1" s="491"/>
      <c r="AU1" s="491"/>
      <c r="AV1" s="491"/>
      <c r="AW1" s="491"/>
      <c r="AY1" s="491"/>
    </row>
    <row r="2" spans="1:51" ht="61.5" customHeight="1" x14ac:dyDescent="0.2">
      <c r="A2" s="437"/>
      <c r="I2" s="437"/>
      <c r="J2" s="437"/>
      <c r="K2" s="989" t="str">
        <f>CATEG_IMPORTEE</f>
        <v>Collèges Mixtes Etablissement</v>
      </c>
      <c r="L2" s="989"/>
      <c r="M2" s="989"/>
      <c r="N2" s="989"/>
      <c r="O2" s="989"/>
      <c r="P2" s="989"/>
      <c r="Q2" s="989"/>
      <c r="R2" s="989"/>
      <c r="S2" s="989"/>
      <c r="T2" s="989"/>
      <c r="U2" s="989"/>
      <c r="V2" s="989"/>
      <c r="W2" s="989"/>
      <c r="X2" s="989"/>
      <c r="Y2" s="989"/>
      <c r="Z2" s="989"/>
      <c r="AA2" s="438"/>
      <c r="AB2" s="439"/>
      <c r="AC2" s="439"/>
      <c r="AD2" s="439"/>
      <c r="AE2" s="439"/>
      <c r="AF2" s="990" t="str">
        <f>CATEG_IMPORTEE</f>
        <v>Collèges Mixtes Etablissement</v>
      </c>
      <c r="AG2" s="990"/>
      <c r="AH2" s="990"/>
      <c r="AI2" s="990"/>
      <c r="AJ2" s="990"/>
      <c r="AK2" s="492"/>
      <c r="AL2" s="492"/>
      <c r="AM2" s="492"/>
      <c r="AN2" s="492"/>
      <c r="AO2" s="492"/>
      <c r="AP2" s="492"/>
      <c r="AQ2" s="492"/>
      <c r="AR2" s="492"/>
      <c r="AS2" s="492"/>
      <c r="AT2" s="492"/>
      <c r="AU2" s="492"/>
      <c r="AV2" s="492"/>
      <c r="AW2" s="492"/>
      <c r="AY2" s="492"/>
    </row>
    <row r="3" spans="1:51" ht="42" customHeight="1" x14ac:dyDescent="0.2">
      <c r="B3" s="440" t="s">
        <v>774</v>
      </c>
      <c r="I3" s="437"/>
      <c r="J3" s="437"/>
      <c r="N3" s="991" t="str">
        <f>LIEU&amp;" du "&amp;DATE</f>
        <v>L’Isle sur la Sorgue du 27 au 31 mars 2023</v>
      </c>
      <c r="O3" s="991"/>
      <c r="P3" s="991"/>
      <c r="Q3" s="991"/>
      <c r="R3" s="991"/>
      <c r="S3" s="991"/>
      <c r="T3" s="991"/>
      <c r="U3" s="991"/>
      <c r="V3" s="991"/>
      <c r="W3" s="991"/>
      <c r="X3" s="991"/>
      <c r="AF3" s="991" t="str">
        <f>LIEU&amp;" du "&amp;DATE</f>
        <v>L’Isle sur la Sorgue du 27 au 31 mars 2023</v>
      </c>
      <c r="AG3" s="991"/>
      <c r="AH3" s="991"/>
      <c r="AI3" s="991"/>
      <c r="AJ3" s="991"/>
      <c r="AK3" s="493"/>
      <c r="AL3" s="493"/>
      <c r="AM3" s="493"/>
      <c r="AN3" s="493"/>
      <c r="AO3" s="493"/>
      <c r="AP3" s="493"/>
      <c r="AQ3" s="493"/>
      <c r="AR3" s="493"/>
      <c r="AS3" s="493"/>
      <c r="AT3" s="493"/>
      <c r="AU3" s="493"/>
      <c r="AW3" s="442"/>
      <c r="AY3" s="493"/>
    </row>
    <row r="4" spans="1:51" ht="21" customHeight="1" x14ac:dyDescent="0.2">
      <c r="B4" s="440" t="s">
        <v>775</v>
      </c>
      <c r="C4" s="462" t="s">
        <v>375</v>
      </c>
      <c r="D4" s="462" t="s">
        <v>374</v>
      </c>
      <c r="E4" s="440" t="s">
        <v>776</v>
      </c>
      <c r="F4" s="487" t="s">
        <v>838</v>
      </c>
      <c r="G4" s="488" t="s">
        <v>837</v>
      </c>
      <c r="H4" s="898"/>
      <c r="I4" s="437"/>
      <c r="J4" s="437"/>
      <c r="K4" s="979" t="s">
        <v>815</v>
      </c>
      <c r="L4" s="979"/>
      <c r="M4" s="979"/>
      <c r="N4" s="979"/>
      <c r="O4" s="443"/>
      <c r="P4" s="443"/>
      <c r="Q4" s="979" t="s">
        <v>816</v>
      </c>
      <c r="R4" s="979"/>
      <c r="S4" s="979"/>
      <c r="T4" s="979"/>
      <c r="U4" s="443"/>
      <c r="V4" s="443"/>
      <c r="W4" s="979" t="s">
        <v>817</v>
      </c>
      <c r="X4" s="979"/>
      <c r="Y4" s="979"/>
      <c r="Z4" s="979"/>
      <c r="AA4" s="443"/>
      <c r="AH4" s="980" t="s">
        <v>778</v>
      </c>
      <c r="AI4" s="980"/>
      <c r="AJ4" s="980"/>
      <c r="AN4" s="497" t="s">
        <v>848</v>
      </c>
    </row>
    <row r="5" spans="1:51" ht="15.95" customHeight="1" thickBot="1" x14ac:dyDescent="0.25">
      <c r="A5" s="435">
        <v>1</v>
      </c>
      <c r="B5" s="444" t="str">
        <f ca="1">INDIRECT("'Imp. Qualif.'!L"&amp;INDIRECT("f"&amp;ROW()))</f>
        <v/>
      </c>
      <c r="C5" s="444" t="str">
        <f ca="1">INDIRECT("'Imp. Qualif.'!M"&amp;INDIRECT("f"&amp;ROW()))</f>
        <v/>
      </c>
      <c r="D5" s="444" t="str">
        <f ca="1">INDIRECT("'Imp. Qualif.'!N"&amp;INDIRECT("f"&amp;ROW()))</f>
        <v/>
      </c>
      <c r="E5" s="486">
        <f ca="1">INDIRECT("'Imp. Qualif.'!O"&amp;INDIRECT("f"&amp;ROW()))</f>
        <v>0</v>
      </c>
      <c r="F5" s="489">
        <v>11</v>
      </c>
      <c r="G5" s="488" t="str">
        <f ca="1">B5&amp;C5</f>
        <v/>
      </c>
      <c r="H5" s="898" t="str">
        <f ca="1">IF(B5&lt;&gt;"",B5,"")</f>
        <v/>
      </c>
      <c r="I5" s="898" t="str">
        <f t="shared" ref="I5:J20" ca="1" si="0">IF(C5&lt;&gt;"",C5,"")</f>
        <v/>
      </c>
      <c r="J5" s="898" t="str">
        <f t="shared" ca="1" si="0"/>
        <v/>
      </c>
      <c r="L5" s="516"/>
      <c r="M5" s="457"/>
      <c r="N5" s="457"/>
      <c r="O5" s="443"/>
      <c r="P5" s="443"/>
      <c r="R5" s="516"/>
      <c r="S5" s="457"/>
      <c r="T5" s="457"/>
      <c r="U5" s="443"/>
      <c r="V5" s="443"/>
      <c r="W5" s="445"/>
      <c r="X5" s="516"/>
      <c r="Y5" s="457"/>
      <c r="Z5" s="457"/>
      <c r="AA5" s="443"/>
      <c r="AH5" s="981"/>
      <c r="AI5" s="981"/>
      <c r="AJ5" s="981"/>
      <c r="AN5" s="494" t="s">
        <v>839</v>
      </c>
      <c r="AO5" s="494" t="s">
        <v>840</v>
      </c>
      <c r="AP5" s="494" t="s">
        <v>841</v>
      </c>
      <c r="AQ5" s="496" t="s">
        <v>793</v>
      </c>
      <c r="AR5" s="494" t="s">
        <v>842</v>
      </c>
      <c r="AS5" s="494" t="s">
        <v>843</v>
      </c>
      <c r="AT5" s="494" t="s">
        <v>844</v>
      </c>
      <c r="AU5" s="496" t="s">
        <v>793</v>
      </c>
      <c r="AV5" s="494" t="s">
        <v>845</v>
      </c>
      <c r="AW5" s="494" t="s">
        <v>846</v>
      </c>
      <c r="AX5" s="494" t="s">
        <v>847</v>
      </c>
      <c r="AY5" s="496" t="s">
        <v>793</v>
      </c>
    </row>
    <row r="6" spans="1:51" ht="15.95" customHeight="1" thickBot="1" x14ac:dyDescent="0.25">
      <c r="A6" s="435">
        <v>2</v>
      </c>
      <c r="B6" s="444" t="str">
        <f t="shared" ref="B6:B14" ca="1" si="1">INDIRECT("'Imp. Qualif.'!L"&amp;INDIRECT("f"&amp;ROW()))</f>
        <v/>
      </c>
      <c r="C6" s="444" t="str">
        <f t="shared" ref="C6:C14" ca="1" si="2">INDIRECT("'Imp. Qualif.'!M"&amp;INDIRECT("f"&amp;ROW()))</f>
        <v/>
      </c>
      <c r="D6" s="444" t="str">
        <f t="shared" ref="D6:D14" ca="1" si="3">INDIRECT("'Imp. Qualif.'!N"&amp;INDIRECT("f"&amp;ROW()))</f>
        <v/>
      </c>
      <c r="E6" s="486">
        <f t="shared" ref="E6:E14" ca="1" si="4">INDIRECT("'Imp. Qualif.'!O"&amp;INDIRECT("f"&amp;ROW()))</f>
        <v>0</v>
      </c>
      <c r="F6" s="489">
        <v>12</v>
      </c>
      <c r="G6" s="488" t="str">
        <f t="shared" ref="G6:G28" ca="1" si="5">B6&amp;C6</f>
        <v/>
      </c>
      <c r="H6" s="898" t="str">
        <f t="shared" ref="H6:J28" ca="1" si="6">IF(B6&lt;&gt;"",B6,"")</f>
        <v/>
      </c>
      <c r="I6" s="898" t="str">
        <f t="shared" ca="1" si="0"/>
        <v/>
      </c>
      <c r="J6" s="898" t="str">
        <f t="shared" ca="1" si="0"/>
        <v/>
      </c>
      <c r="K6" s="450"/>
      <c r="M6" s="982" t="s">
        <v>1325</v>
      </c>
      <c r="N6" s="983"/>
      <c r="O6" s="983"/>
      <c r="P6" s="983"/>
      <c r="Q6" s="983"/>
      <c r="R6" s="983"/>
      <c r="S6" s="983"/>
      <c r="T6" s="983"/>
      <c r="U6" s="983"/>
      <c r="V6" s="983"/>
      <c r="W6" s="983"/>
      <c r="X6" s="983"/>
      <c r="Y6" s="983"/>
      <c r="Z6" s="984"/>
      <c r="AH6" s="483" t="s">
        <v>782</v>
      </c>
      <c r="AI6" s="484" t="s">
        <v>375</v>
      </c>
      <c r="AJ6" s="485" t="s">
        <v>783</v>
      </c>
      <c r="AN6" s="494">
        <f>K10</f>
        <v>1</v>
      </c>
      <c r="AO6" s="495" t="str">
        <f ca="1">L11</f>
        <v/>
      </c>
      <c r="AP6" s="784" t="str">
        <f ca="1">L13</f>
        <v/>
      </c>
      <c r="AQ6" s="496" t="s">
        <v>793</v>
      </c>
      <c r="AR6" s="494">
        <f>Q10</f>
        <v>1</v>
      </c>
      <c r="AS6" s="495" t="str">
        <f ca="1">R11</f>
        <v/>
      </c>
      <c r="AT6" s="784" t="str">
        <f ca="1">R13</f>
        <v/>
      </c>
      <c r="AU6" s="496" t="s">
        <v>793</v>
      </c>
      <c r="AV6" s="494">
        <f>AR6</f>
        <v>1</v>
      </c>
      <c r="AW6" s="494" t="str">
        <f t="shared" ref="AW6:AX6" ca="1" si="7">AS6</f>
        <v/>
      </c>
      <c r="AX6" s="494" t="str">
        <f t="shared" ca="1" si="7"/>
        <v/>
      </c>
      <c r="AY6" s="496" t="s">
        <v>793</v>
      </c>
    </row>
    <row r="7" spans="1:51" ht="15.95" customHeight="1" thickBot="1" x14ac:dyDescent="0.25">
      <c r="A7" s="435">
        <v>3</v>
      </c>
      <c r="B7" s="444" t="str">
        <f t="shared" ca="1" si="1"/>
        <v/>
      </c>
      <c r="C7" s="444" t="str">
        <f t="shared" ca="1" si="2"/>
        <v/>
      </c>
      <c r="D7" s="444" t="str">
        <f t="shared" ca="1" si="3"/>
        <v/>
      </c>
      <c r="E7" s="486">
        <f t="shared" ca="1" si="4"/>
        <v>0</v>
      </c>
      <c r="F7" s="489">
        <v>13</v>
      </c>
      <c r="G7" s="488" t="str">
        <f t="shared" ca="1" si="5"/>
        <v/>
      </c>
      <c r="H7" s="898" t="str">
        <f t="shared" ca="1" si="6"/>
        <v/>
      </c>
      <c r="I7" s="898" t="str">
        <f t="shared" ca="1" si="0"/>
        <v/>
      </c>
      <c r="J7" s="898" t="str">
        <f t="shared" ca="1" si="0"/>
        <v/>
      </c>
      <c r="M7" s="985"/>
      <c r="N7" s="986"/>
      <c r="O7" s="986"/>
      <c r="P7" s="986"/>
      <c r="Q7" s="986"/>
      <c r="R7" s="986"/>
      <c r="S7" s="986"/>
      <c r="T7" s="986"/>
      <c r="U7" s="986"/>
      <c r="V7" s="986"/>
      <c r="W7" s="986"/>
      <c r="X7" s="986"/>
      <c r="Y7" s="986"/>
      <c r="Z7" s="987"/>
      <c r="AF7" s="448" t="s">
        <v>784</v>
      </c>
      <c r="AG7" s="435" t="str">
        <f ca="1">IF(ISBLANK(T16),"",IF(T16+U16&gt;Z16+AA16,R17,X17))</f>
        <v/>
      </c>
      <c r="AH7" s="939" t="str">
        <f ca="1">IFERROR(VLOOKUP(AG7,$G$5:$J$28,2,FALSE),"")</f>
        <v/>
      </c>
      <c r="AI7" s="476" t="str">
        <f ca="1">IFERROR(VLOOKUP(AG7,$G$5:$J$28,3,FALSE),"")</f>
        <v/>
      </c>
      <c r="AJ7" s="933" t="str">
        <f ca="1">IFERROR(VLOOKUP(AG7,$G$5:$J$28,4,FALSE),"")</f>
        <v/>
      </c>
      <c r="AN7" s="494">
        <f>K12</f>
        <v>2</v>
      </c>
      <c r="AO7" s="495" t="str">
        <f ca="1">L13</f>
        <v/>
      </c>
      <c r="AP7" s="784"/>
      <c r="AQ7" s="496" t="s">
        <v>793</v>
      </c>
      <c r="AR7" s="494">
        <f>Q12</f>
        <v>2</v>
      </c>
      <c r="AS7" s="495" t="str">
        <f ca="1">R13</f>
        <v/>
      </c>
      <c r="AT7" s="784" t="str">
        <f ca="1">R11</f>
        <v/>
      </c>
      <c r="AU7" s="496" t="s">
        <v>793</v>
      </c>
      <c r="AV7" s="494">
        <f>AR7</f>
        <v>2</v>
      </c>
      <c r="AW7" s="494" t="str">
        <f t="shared" ref="AW7" ca="1" si="8">AS7</f>
        <v/>
      </c>
      <c r="AX7" s="494" t="str">
        <f t="shared" ref="AX7" ca="1" si="9">AT7</f>
        <v/>
      </c>
      <c r="AY7" s="496" t="s">
        <v>793</v>
      </c>
    </row>
    <row r="8" spans="1:51" ht="15.95" customHeight="1" thickBot="1" x14ac:dyDescent="0.25">
      <c r="A8" s="435">
        <v>4</v>
      </c>
      <c r="B8" s="444" t="str">
        <f t="shared" ca="1" si="1"/>
        <v/>
      </c>
      <c r="C8" s="444" t="str">
        <f t="shared" ca="1" si="2"/>
        <v/>
      </c>
      <c r="D8" s="444" t="str">
        <f t="shared" ca="1" si="3"/>
        <v/>
      </c>
      <c r="E8" s="486">
        <f t="shared" ca="1" si="4"/>
        <v>0</v>
      </c>
      <c r="F8" s="489">
        <v>14</v>
      </c>
      <c r="G8" s="488" t="str">
        <f t="shared" ca="1" si="5"/>
        <v/>
      </c>
      <c r="H8" s="898" t="str">
        <f t="shared" ca="1" si="6"/>
        <v/>
      </c>
      <c r="I8" s="898" t="str">
        <f t="shared" ca="1" si="0"/>
        <v/>
      </c>
      <c r="J8" s="898" t="str">
        <f t="shared" ca="1" si="0"/>
        <v/>
      </c>
      <c r="AF8" s="449" t="s">
        <v>785</v>
      </c>
      <c r="AG8" s="435" t="str">
        <f ca="1">IF(ISBLANK(T16),"",IF(T16+U16&lt;Z16+AA16,R17,X17))</f>
        <v/>
      </c>
      <c r="AH8" s="480" t="str">
        <f ca="1">IFERROR(VLOOKUP(AG8,$G$5:$J$28,2,FALSE),"")</f>
        <v/>
      </c>
      <c r="AI8" s="481" t="str">
        <f ca="1">IFERROR(VLOOKUP(AG8,$G$5:$J$28,3,FALSE),"")</f>
        <v/>
      </c>
      <c r="AJ8" s="916" t="str">
        <f ca="1">IFERROR(VLOOKUP(AG8,$G$5:$J$28,4,FALSE),"")</f>
        <v/>
      </c>
      <c r="AN8" s="494"/>
      <c r="AO8" s="495"/>
      <c r="AP8" s="784"/>
      <c r="AQ8" s="496" t="s">
        <v>793</v>
      </c>
      <c r="AR8" s="494"/>
      <c r="AS8" s="495"/>
      <c r="AT8" s="495"/>
      <c r="AU8" s="496" t="s">
        <v>793</v>
      </c>
      <c r="AV8" s="494"/>
      <c r="AW8" s="495"/>
      <c r="AX8" s="495"/>
      <c r="AY8" s="496" t="s">
        <v>793</v>
      </c>
    </row>
    <row r="9" spans="1:51" ht="15.95" customHeight="1" thickBot="1" x14ac:dyDescent="0.25">
      <c r="A9" s="435">
        <v>5</v>
      </c>
      <c r="B9" s="444" t="str">
        <f t="shared" ca="1" si="1"/>
        <v/>
      </c>
      <c r="C9" s="444" t="str">
        <f t="shared" ca="1" si="2"/>
        <v/>
      </c>
      <c r="D9" s="444" t="str">
        <f t="shared" ca="1" si="3"/>
        <v/>
      </c>
      <c r="E9" s="486">
        <f t="shared" ca="1" si="4"/>
        <v>0</v>
      </c>
      <c r="F9" s="489">
        <v>15</v>
      </c>
      <c r="G9" s="488" t="str">
        <f t="shared" ca="1" si="5"/>
        <v/>
      </c>
      <c r="H9" s="898" t="str">
        <f t="shared" ca="1" si="6"/>
        <v/>
      </c>
      <c r="I9" s="898" t="str">
        <f t="shared" ca="1" si="0"/>
        <v/>
      </c>
      <c r="J9" s="898" t="str">
        <f t="shared" ca="1" si="0"/>
        <v/>
      </c>
      <c r="K9" s="445" t="s">
        <v>779</v>
      </c>
      <c r="L9" s="463" t="s">
        <v>1083</v>
      </c>
      <c r="M9" s="456" t="s">
        <v>481</v>
      </c>
      <c r="N9" s="464" t="s">
        <v>3</v>
      </c>
      <c r="O9" s="446" t="s">
        <v>781</v>
      </c>
      <c r="P9" s="445"/>
      <c r="Q9" s="445" t="s">
        <v>779</v>
      </c>
      <c r="R9" s="463" t="s">
        <v>1083</v>
      </c>
      <c r="S9" s="456" t="s">
        <v>481</v>
      </c>
      <c r="T9" s="464" t="s">
        <v>3</v>
      </c>
      <c r="U9" s="446" t="s">
        <v>781</v>
      </c>
      <c r="V9" s="445"/>
      <c r="W9" s="445" t="s">
        <v>779</v>
      </c>
      <c r="X9" s="463" t="s">
        <v>1083</v>
      </c>
      <c r="Y9" s="456" t="s">
        <v>481</v>
      </c>
      <c r="Z9" s="464" t="s">
        <v>3</v>
      </c>
      <c r="AA9" s="446" t="s">
        <v>781</v>
      </c>
      <c r="AF9" s="453"/>
      <c r="AH9" s="441"/>
      <c r="AI9" s="441"/>
      <c r="AJ9" s="938"/>
      <c r="AN9" s="494"/>
      <c r="AO9" s="495"/>
      <c r="AP9" s="495"/>
      <c r="AQ9" s="496" t="s">
        <v>793</v>
      </c>
      <c r="AR9" s="494"/>
      <c r="AS9" s="495"/>
      <c r="AT9" s="495"/>
      <c r="AU9" s="496" t="s">
        <v>793</v>
      </c>
      <c r="AV9" s="494"/>
      <c r="AW9" s="495"/>
      <c r="AX9" s="495"/>
      <c r="AY9" s="496" t="s">
        <v>793</v>
      </c>
    </row>
    <row r="10" spans="1:51" ht="15.95" customHeight="1" thickBot="1" x14ac:dyDescent="0.25">
      <c r="A10" s="435">
        <v>6</v>
      </c>
      <c r="B10" s="444" t="str">
        <f t="shared" ca="1" si="1"/>
        <v/>
      </c>
      <c r="C10" s="444" t="str">
        <f t="shared" ca="1" si="2"/>
        <v/>
      </c>
      <c r="D10" s="444" t="str">
        <f t="shared" ca="1" si="3"/>
        <v/>
      </c>
      <c r="E10" s="486">
        <f t="shared" ca="1" si="4"/>
        <v>0</v>
      </c>
      <c r="F10" s="489">
        <v>16</v>
      </c>
      <c r="G10" s="488" t="str">
        <f t="shared" ca="1" si="5"/>
        <v/>
      </c>
      <c r="H10" s="898" t="str">
        <f t="shared" ca="1" si="6"/>
        <v/>
      </c>
      <c r="I10" s="898" t="str">
        <f t="shared" ca="1" si="0"/>
        <v/>
      </c>
      <c r="J10" s="898" t="str">
        <f t="shared" ca="1" si="0"/>
        <v/>
      </c>
      <c r="K10" s="447">
        <f>Num_Cible</f>
        <v>1</v>
      </c>
      <c r="L10" s="472">
        <v>1</v>
      </c>
      <c r="M10" s="465" t="str">
        <f ca="1">IFERROR(VLOOKUP(L11,$G$5:$J$28,2,FALSE),"")</f>
        <v/>
      </c>
      <c r="N10" s="966"/>
      <c r="O10" s="780"/>
      <c r="Q10" s="447">
        <f>K10</f>
        <v>1</v>
      </c>
      <c r="R10" s="472">
        <v>1</v>
      </c>
      <c r="S10" s="465" t="str">
        <f ca="1">IFERROR(VLOOKUP(R11,$G$5:$J$28,2,FALSE),"")</f>
        <v/>
      </c>
      <c r="T10" s="966"/>
      <c r="U10" s="780"/>
      <c r="W10" s="447">
        <f>Q10</f>
        <v>1</v>
      </c>
      <c r="X10" s="472">
        <v>1</v>
      </c>
      <c r="Y10" s="465" t="str">
        <f ca="1">IFERROR(VLOOKUP(X11,$G$5:$J$28,2,FALSE),"")</f>
        <v/>
      </c>
      <c r="Z10" s="966"/>
      <c r="AA10" s="780"/>
      <c r="AF10" s="453"/>
      <c r="AH10" s="441"/>
      <c r="AI10" s="441"/>
      <c r="AJ10" s="938"/>
      <c r="AN10" s="494"/>
      <c r="AO10" s="495"/>
      <c r="AP10" s="495"/>
      <c r="AQ10" s="496" t="s">
        <v>793</v>
      </c>
      <c r="AR10" s="494"/>
      <c r="AS10" s="495"/>
      <c r="AT10" s="784"/>
      <c r="AU10" s="496" t="s">
        <v>793</v>
      </c>
      <c r="AV10" s="494"/>
      <c r="AW10" s="495"/>
      <c r="AX10" s="495"/>
      <c r="AY10" s="496" t="s">
        <v>793</v>
      </c>
    </row>
    <row r="11" spans="1:51" ht="15.95" customHeight="1" thickBot="1" x14ac:dyDescent="0.25">
      <c r="A11" s="435">
        <v>7</v>
      </c>
      <c r="B11" s="444" t="str">
        <f t="shared" ca="1" si="1"/>
        <v/>
      </c>
      <c r="C11" s="444" t="str">
        <f t="shared" ca="1" si="2"/>
        <v/>
      </c>
      <c r="D11" s="444" t="str">
        <f t="shared" ca="1" si="3"/>
        <v/>
      </c>
      <c r="E11" s="486">
        <f t="shared" ca="1" si="4"/>
        <v>0</v>
      </c>
      <c r="F11" s="489">
        <v>17</v>
      </c>
      <c r="G11" s="488" t="str">
        <f t="shared" ca="1" si="5"/>
        <v/>
      </c>
      <c r="H11" s="898" t="str">
        <f t="shared" ca="1" si="6"/>
        <v/>
      </c>
      <c r="I11" s="898" t="str">
        <f t="shared" ca="1" si="0"/>
        <v/>
      </c>
      <c r="J11" s="898" t="str">
        <f t="shared" ca="1" si="0"/>
        <v/>
      </c>
      <c r="K11" s="447"/>
      <c r="L11" s="473" t="str">
        <f ca="1">VLOOKUP(L10,$A$5:$G$24,7,FALSE)</f>
        <v/>
      </c>
      <c r="M11" s="466" t="str">
        <f ca="1">IFERROR(VLOOKUP(L11,$G$5:$J$28,3,FALSE),"")</f>
        <v/>
      </c>
      <c r="N11" s="967"/>
      <c r="Q11" s="447"/>
      <c r="R11" s="473" t="str">
        <f ca="1">L11</f>
        <v/>
      </c>
      <c r="S11" s="466" t="str">
        <f ca="1">IFERROR(VLOOKUP(R11,$G$5:$J$28,3,FALSE),"")</f>
        <v/>
      </c>
      <c r="T11" s="967"/>
      <c r="W11" s="447"/>
      <c r="X11" s="473" t="str">
        <f ca="1">R11</f>
        <v/>
      </c>
      <c r="Y11" s="466" t="str">
        <f ca="1">IFERROR(VLOOKUP(X11,$G$5:$J$28,3,FALSE),"")</f>
        <v/>
      </c>
      <c r="Z11" s="967"/>
      <c r="AF11" s="453"/>
      <c r="AH11" s="441"/>
      <c r="AI11" s="441"/>
      <c r="AJ11" s="938"/>
      <c r="AN11" s="494"/>
      <c r="AO11" s="495"/>
      <c r="AP11" s="495"/>
      <c r="AQ11" s="496" t="s">
        <v>793</v>
      </c>
      <c r="AR11" s="494"/>
      <c r="AS11" s="495"/>
      <c r="AT11" s="784"/>
      <c r="AU11" s="496" t="s">
        <v>793</v>
      </c>
      <c r="AV11" s="494"/>
      <c r="AW11" s="495"/>
      <c r="AX11" s="495"/>
      <c r="AY11" s="496" t="s">
        <v>793</v>
      </c>
    </row>
    <row r="12" spans="1:51" ht="15.95" customHeight="1" thickBot="1" x14ac:dyDescent="0.25">
      <c r="A12" s="435">
        <v>8</v>
      </c>
      <c r="B12" s="444" t="str">
        <f t="shared" ca="1" si="1"/>
        <v/>
      </c>
      <c r="C12" s="444" t="str">
        <f t="shared" ca="1" si="2"/>
        <v/>
      </c>
      <c r="D12" s="444" t="str">
        <f t="shared" ca="1" si="3"/>
        <v/>
      </c>
      <c r="E12" s="486">
        <f t="shared" ca="1" si="4"/>
        <v>0</v>
      </c>
      <c r="F12" s="489">
        <v>18</v>
      </c>
      <c r="G12" s="488" t="str">
        <f t="shared" ca="1" si="5"/>
        <v/>
      </c>
      <c r="H12" s="898" t="str">
        <f t="shared" ca="1" si="6"/>
        <v/>
      </c>
      <c r="I12" s="898" t="str">
        <f t="shared" ca="1" si="0"/>
        <v/>
      </c>
      <c r="J12" s="898" t="str">
        <f t="shared" ca="1" si="0"/>
        <v/>
      </c>
      <c r="K12" s="447">
        <f>K10+1</f>
        <v>2</v>
      </c>
      <c r="L12" s="472">
        <v>2</v>
      </c>
      <c r="M12" s="465" t="str">
        <f ca="1">IFERROR(VLOOKUP(L13,$G$5:$J$28,2,FALSE),"")</f>
        <v/>
      </c>
      <c r="N12" s="966"/>
      <c r="O12" s="780"/>
      <c r="Q12" s="447">
        <f>K12</f>
        <v>2</v>
      </c>
      <c r="R12" s="472">
        <v>2</v>
      </c>
      <c r="S12" s="465" t="str">
        <f ca="1">IFERROR(VLOOKUP(R13,$G$5:$J$28,2,FALSE),"")</f>
        <v/>
      </c>
      <c r="T12" s="966"/>
      <c r="U12" s="780"/>
      <c r="W12" s="447">
        <f>Q12</f>
        <v>2</v>
      </c>
      <c r="X12" s="472">
        <v>2</v>
      </c>
      <c r="Y12" s="465" t="str">
        <f ca="1">IFERROR(VLOOKUP(X13,$G$5:$J$28,2,FALSE),"")</f>
        <v/>
      </c>
      <c r="Z12" s="966"/>
      <c r="AA12" s="780"/>
      <c r="AF12" s="453"/>
      <c r="AH12" s="441"/>
      <c r="AI12" s="441"/>
      <c r="AJ12" s="938"/>
      <c r="AN12" s="494"/>
      <c r="AO12" s="495"/>
      <c r="AP12" s="495"/>
      <c r="AQ12" s="496" t="s">
        <v>793</v>
      </c>
      <c r="AR12" s="494"/>
      <c r="AS12" s="495"/>
      <c r="AT12" s="784"/>
      <c r="AU12" s="496" t="s">
        <v>793</v>
      </c>
      <c r="AV12" s="494"/>
      <c r="AW12" s="495"/>
      <c r="AX12" s="495"/>
      <c r="AY12" s="496" t="s">
        <v>793</v>
      </c>
    </row>
    <row r="13" spans="1:51" ht="15.95" customHeight="1" thickBot="1" x14ac:dyDescent="0.25">
      <c r="A13" s="435">
        <v>9</v>
      </c>
      <c r="B13" s="444" t="str">
        <f t="shared" ca="1" si="1"/>
        <v/>
      </c>
      <c r="C13" s="444" t="str">
        <f t="shared" ca="1" si="2"/>
        <v/>
      </c>
      <c r="D13" s="444" t="str">
        <f t="shared" ca="1" si="3"/>
        <v/>
      </c>
      <c r="E13" s="486">
        <f t="shared" ca="1" si="4"/>
        <v>0</v>
      </c>
      <c r="F13" s="489">
        <v>19</v>
      </c>
      <c r="G13" s="488" t="str">
        <f t="shared" ca="1" si="5"/>
        <v/>
      </c>
      <c r="H13" s="898" t="str">
        <f t="shared" ca="1" si="6"/>
        <v/>
      </c>
      <c r="I13" s="898" t="str">
        <f t="shared" ca="1" si="0"/>
        <v/>
      </c>
      <c r="J13" s="898" t="str">
        <f t="shared" ca="1" si="0"/>
        <v/>
      </c>
      <c r="K13" s="447"/>
      <c r="L13" s="473" t="str">
        <f ca="1">VLOOKUP(L12,$A$5:$G$24,7,FALSE)</f>
        <v/>
      </c>
      <c r="M13" s="466" t="str">
        <f ca="1">IFERROR(VLOOKUP(L13,$G$5:$J$28,3,FALSE),"")</f>
        <v/>
      </c>
      <c r="N13" s="967"/>
      <c r="Q13" s="447"/>
      <c r="R13" s="473" t="str">
        <f ca="1">L13</f>
        <v/>
      </c>
      <c r="S13" s="466" t="str">
        <f ca="1">IFERROR(VLOOKUP(R13,$G$5:$J$28,3,FALSE),"")</f>
        <v/>
      </c>
      <c r="T13" s="967"/>
      <c r="W13" s="447"/>
      <c r="X13" s="473" t="str">
        <f ca="1">R13</f>
        <v/>
      </c>
      <c r="Y13" s="466" t="str">
        <f ca="1">IFERROR(VLOOKUP(X13,$G$5:$J$28,3,FALSE),"")</f>
        <v/>
      </c>
      <c r="Z13" s="967"/>
      <c r="AF13" s="453"/>
      <c r="AH13" s="441"/>
      <c r="AI13" s="441"/>
      <c r="AJ13" s="938"/>
      <c r="AN13" s="494"/>
      <c r="AO13" s="495"/>
      <c r="AP13" s="784"/>
      <c r="AQ13" s="496" t="s">
        <v>793</v>
      </c>
      <c r="AR13" s="494"/>
      <c r="AS13" s="495"/>
      <c r="AT13" s="784"/>
      <c r="AU13" s="496" t="s">
        <v>793</v>
      </c>
      <c r="AV13" s="494"/>
      <c r="AW13" s="495"/>
      <c r="AX13" s="495"/>
      <c r="AY13" s="496" t="s">
        <v>793</v>
      </c>
    </row>
    <row r="14" spans="1:51" ht="15.95" customHeight="1" thickBot="1" x14ac:dyDescent="0.25">
      <c r="A14" s="435">
        <v>10</v>
      </c>
      <c r="B14" s="444" t="str">
        <f t="shared" ca="1" si="1"/>
        <v/>
      </c>
      <c r="C14" s="444" t="str">
        <f t="shared" ca="1" si="2"/>
        <v/>
      </c>
      <c r="D14" s="444" t="str">
        <f t="shared" ca="1" si="3"/>
        <v/>
      </c>
      <c r="E14" s="486">
        <f t="shared" ca="1" si="4"/>
        <v>0</v>
      </c>
      <c r="F14" s="489">
        <v>20</v>
      </c>
      <c r="G14" s="488" t="str">
        <f t="shared" ca="1" si="5"/>
        <v/>
      </c>
      <c r="H14" s="898" t="str">
        <f t="shared" ca="1" si="6"/>
        <v/>
      </c>
      <c r="I14" s="898" t="str">
        <f t="shared" ca="1" si="0"/>
        <v/>
      </c>
      <c r="J14" s="898" t="str">
        <f t="shared" ca="1" si="0"/>
        <v/>
      </c>
      <c r="AF14" s="453"/>
      <c r="AH14" s="441"/>
      <c r="AI14" s="441"/>
      <c r="AJ14" s="938"/>
      <c r="AN14" s="494"/>
      <c r="AO14" s="495"/>
      <c r="AP14" s="784"/>
      <c r="AQ14" s="496" t="s">
        <v>793</v>
      </c>
      <c r="AR14" s="494"/>
      <c r="AS14" s="495"/>
      <c r="AT14" s="784"/>
      <c r="AU14" s="496" t="s">
        <v>793</v>
      </c>
      <c r="AV14" s="494"/>
      <c r="AW14" s="495"/>
      <c r="AX14" s="495"/>
      <c r="AY14" s="496" t="s">
        <v>793</v>
      </c>
    </row>
    <row r="15" spans="1:51" ht="15.95" customHeight="1" thickBot="1" x14ac:dyDescent="0.25">
      <c r="F15" s="489">
        <v>21</v>
      </c>
      <c r="G15" s="488" t="str">
        <f t="shared" si="5"/>
        <v/>
      </c>
      <c r="H15" s="898" t="str">
        <f t="shared" si="6"/>
        <v/>
      </c>
      <c r="I15" s="898" t="str">
        <f t="shared" si="0"/>
        <v/>
      </c>
      <c r="J15" s="898" t="str">
        <f t="shared" si="0"/>
        <v/>
      </c>
      <c r="K15" s="450"/>
      <c r="L15" s="437"/>
      <c r="M15" s="968" t="s">
        <v>1314</v>
      </c>
      <c r="N15" s="969"/>
      <c r="O15" s="970"/>
      <c r="P15" s="792" t="e">
        <f>IF(Q15=1,5,IF(Q15=2,8,IF(Q15=3,9,"")))</f>
        <v>#REF!</v>
      </c>
      <c r="Q15" s="900" t="e">
        <f>RANK(R15,$R$15:$R$17,0)</f>
        <v>#REF!</v>
      </c>
      <c r="R15" s="901" t="e">
        <f>#REF!+#REF!/100</f>
        <v>#REF!</v>
      </c>
      <c r="S15" s="902" t="e">
        <f>#REF!</f>
        <v>#REF!</v>
      </c>
      <c r="T15" s="903"/>
      <c r="U15" s="904"/>
      <c r="V15" s="905"/>
      <c r="W15" s="905"/>
      <c r="X15" s="905"/>
      <c r="Y15" s="905"/>
      <c r="Z15" s="906"/>
      <c r="AA15" s="907"/>
      <c r="AF15" s="453"/>
      <c r="AH15" s="441"/>
      <c r="AI15" s="441"/>
      <c r="AJ15" s="938"/>
      <c r="AN15" s="494"/>
      <c r="AO15" s="495"/>
      <c r="AP15" s="784"/>
      <c r="AQ15" s="496" t="s">
        <v>793</v>
      </c>
      <c r="AR15" s="494"/>
      <c r="AS15" s="495"/>
      <c r="AT15" s="784"/>
      <c r="AU15" s="496" t="s">
        <v>793</v>
      </c>
      <c r="AV15" s="494"/>
      <c r="AW15" s="495"/>
      <c r="AX15" s="495"/>
      <c r="AY15" s="496" t="s">
        <v>793</v>
      </c>
    </row>
    <row r="16" spans="1:51" ht="15.95" customHeight="1" x14ac:dyDescent="0.2">
      <c r="F16" s="489">
        <v>22</v>
      </c>
      <c r="G16" s="488" t="str">
        <f t="shared" si="5"/>
        <v/>
      </c>
      <c r="H16" s="898" t="str">
        <f t="shared" si="6"/>
        <v/>
      </c>
      <c r="I16" s="898" t="str">
        <f t="shared" si="0"/>
        <v/>
      </c>
      <c r="J16" s="898" t="str">
        <f t="shared" si="0"/>
        <v/>
      </c>
      <c r="L16" s="437"/>
      <c r="M16" s="971"/>
      <c r="N16" s="972"/>
      <c r="O16" s="973"/>
      <c r="P16" s="892"/>
      <c r="Q16" s="908"/>
      <c r="R16" s="472">
        <v>1</v>
      </c>
      <c r="S16" s="465" t="str">
        <f ca="1">IFERROR(VLOOKUP(R17,$G$5:$J$28,2,FALSE),"")</f>
        <v/>
      </c>
      <c r="T16" s="977">
        <f>L58</f>
        <v>0</v>
      </c>
      <c r="U16" s="892"/>
      <c r="V16" s="892"/>
      <c r="W16" s="892"/>
      <c r="X16" s="472">
        <v>2</v>
      </c>
      <c r="Y16" s="465" t="str">
        <f ca="1">IFERROR(VLOOKUP(X17,$G$5:$J$28,2,FALSE),"")</f>
        <v/>
      </c>
      <c r="Z16" s="977">
        <f>L60</f>
        <v>0</v>
      </c>
      <c r="AA16" s="909"/>
      <c r="AF16" s="453"/>
      <c r="AH16" s="441"/>
      <c r="AI16" s="441"/>
      <c r="AJ16" s="938"/>
      <c r="AN16" s="494"/>
      <c r="AO16" s="495"/>
      <c r="AP16" s="495"/>
      <c r="AQ16" s="496"/>
      <c r="AR16" s="494"/>
      <c r="AS16" s="495"/>
      <c r="AT16" s="495"/>
      <c r="AU16" s="496"/>
      <c r="AV16" s="494"/>
      <c r="AW16" s="495"/>
      <c r="AX16" s="495"/>
      <c r="AY16" s="496"/>
    </row>
    <row r="17" spans="6:51" ht="15.95" customHeight="1" thickBot="1" x14ac:dyDescent="0.25">
      <c r="F17" s="489">
        <v>23</v>
      </c>
      <c r="G17" s="488" t="str">
        <f t="shared" si="5"/>
        <v/>
      </c>
      <c r="H17" s="898" t="str">
        <f t="shared" si="6"/>
        <v/>
      </c>
      <c r="I17" s="898" t="str">
        <f t="shared" si="0"/>
        <v/>
      </c>
      <c r="J17" s="898" t="str">
        <f t="shared" si="0"/>
        <v/>
      </c>
      <c r="K17" s="450"/>
      <c r="L17" s="437"/>
      <c r="M17" s="971"/>
      <c r="N17" s="972"/>
      <c r="O17" s="973"/>
      <c r="P17" s="892"/>
      <c r="Q17" s="908"/>
      <c r="R17" s="473" t="str">
        <f ca="1">L11</f>
        <v/>
      </c>
      <c r="S17" s="466" t="str">
        <f ca="1">IFERROR(VLOOKUP(R17,$G$5:$J$28,3,FALSE),"")</f>
        <v/>
      </c>
      <c r="T17" s="978"/>
      <c r="U17" s="892"/>
      <c r="V17" s="892"/>
      <c r="W17" s="892"/>
      <c r="X17" s="473" t="str">
        <f ca="1">L13</f>
        <v/>
      </c>
      <c r="Y17" s="466" t="str">
        <f ca="1">IFERROR(VLOOKUP(X17,$G$5:$J$28,3,FALSE),"")</f>
        <v/>
      </c>
      <c r="Z17" s="978"/>
      <c r="AA17" s="909"/>
      <c r="AF17" s="453"/>
      <c r="AG17" s="453"/>
      <c r="AH17" s="453"/>
      <c r="AI17" s="453"/>
      <c r="AJ17" s="453"/>
      <c r="AN17" s="494"/>
      <c r="AO17" s="495"/>
      <c r="AP17" s="495"/>
      <c r="AQ17" s="496"/>
      <c r="AR17" s="494"/>
      <c r="AS17" s="495"/>
      <c r="AT17" s="495"/>
      <c r="AU17" s="496"/>
      <c r="AV17" s="494"/>
      <c r="AW17" s="495"/>
      <c r="AX17" s="495"/>
      <c r="AY17" s="496"/>
    </row>
    <row r="18" spans="6:51" ht="15.95" customHeight="1" thickBot="1" x14ac:dyDescent="0.25">
      <c r="F18" s="489">
        <v>24</v>
      </c>
      <c r="G18" s="488" t="str">
        <f t="shared" si="5"/>
        <v/>
      </c>
      <c r="H18" s="898" t="str">
        <f t="shared" si="6"/>
        <v/>
      </c>
      <c r="I18" s="898" t="str">
        <f t="shared" si="0"/>
        <v/>
      </c>
      <c r="J18" s="898" t="str">
        <f t="shared" si="0"/>
        <v/>
      </c>
      <c r="K18" s="450"/>
      <c r="L18" s="450"/>
      <c r="M18" s="974"/>
      <c r="N18" s="975"/>
      <c r="O18" s="976"/>
      <c r="P18" s="450"/>
      <c r="Q18" s="910"/>
      <c r="R18" s="911"/>
      <c r="S18" s="911"/>
      <c r="T18" s="912"/>
      <c r="U18" s="466"/>
      <c r="V18" s="911"/>
      <c r="W18" s="911"/>
      <c r="X18" s="911"/>
      <c r="Y18" s="911"/>
      <c r="Z18" s="455"/>
      <c r="AA18" s="913"/>
      <c r="AF18" s="453"/>
      <c r="AG18" s="453"/>
      <c r="AH18" s="453"/>
      <c r="AI18" s="453"/>
      <c r="AJ18" s="453"/>
      <c r="AN18" s="494"/>
      <c r="AO18" s="495"/>
      <c r="AP18" s="495"/>
      <c r="AQ18" s="496"/>
      <c r="AR18" s="494"/>
      <c r="AS18" s="495"/>
      <c r="AT18" s="495"/>
      <c r="AU18" s="496"/>
      <c r="AV18" s="494"/>
      <c r="AW18" s="495"/>
      <c r="AX18" s="495"/>
      <c r="AY18" s="496"/>
    </row>
    <row r="19" spans="6:51" ht="15.95" customHeight="1" x14ac:dyDescent="0.2">
      <c r="F19" s="489">
        <v>25</v>
      </c>
      <c r="G19" s="488" t="str">
        <f t="shared" si="5"/>
        <v/>
      </c>
      <c r="H19" s="898" t="str">
        <f t="shared" si="6"/>
        <v/>
      </c>
      <c r="I19" s="898" t="str">
        <f t="shared" si="0"/>
        <v/>
      </c>
      <c r="J19" s="898" t="str">
        <f t="shared" si="0"/>
        <v/>
      </c>
      <c r="K19" s="523"/>
      <c r="L19" s="523"/>
      <c r="M19" s="523"/>
      <c r="N19" s="523"/>
      <c r="O19" s="778"/>
      <c r="P19" s="450"/>
      <c r="Q19" s="450"/>
      <c r="R19" s="450"/>
      <c r="S19" s="450"/>
      <c r="T19" s="815"/>
      <c r="U19" s="778"/>
      <c r="V19" s="450"/>
      <c r="W19" s="450"/>
      <c r="X19" s="450"/>
      <c r="Y19" s="450"/>
      <c r="Z19" s="451"/>
      <c r="AA19" s="450"/>
      <c r="AF19" s="453"/>
      <c r="AG19" s="453"/>
      <c r="AH19" s="453"/>
      <c r="AI19" s="453"/>
      <c r="AJ19" s="453"/>
      <c r="AN19" s="494"/>
      <c r="AO19" s="495"/>
      <c r="AP19" s="495"/>
      <c r="AQ19" s="496"/>
      <c r="AR19" s="494"/>
      <c r="AS19" s="495"/>
      <c r="AT19" s="495"/>
      <c r="AU19" s="496"/>
      <c r="AV19" s="494"/>
      <c r="AW19" s="495"/>
      <c r="AX19" s="495"/>
      <c r="AY19" s="496"/>
    </row>
    <row r="20" spans="6:51" ht="15.95" customHeight="1" x14ac:dyDescent="0.2">
      <c r="F20" s="489">
        <v>26</v>
      </c>
      <c r="G20" s="488" t="str">
        <f t="shared" si="5"/>
        <v/>
      </c>
      <c r="H20" s="898" t="str">
        <f t="shared" si="6"/>
        <v/>
      </c>
      <c r="I20" s="898" t="str">
        <f t="shared" si="0"/>
        <v/>
      </c>
      <c r="J20" s="898" t="str">
        <f t="shared" si="0"/>
        <v/>
      </c>
      <c r="K20" s="523"/>
      <c r="P20" s="778"/>
      <c r="Q20" s="809"/>
      <c r="R20" s="450"/>
      <c r="S20" s="450"/>
      <c r="T20" s="451"/>
      <c r="U20" s="450"/>
      <c r="V20" s="450"/>
      <c r="W20" s="809"/>
      <c r="X20" s="450"/>
      <c r="Y20" s="450"/>
      <c r="Z20" s="451"/>
      <c r="AA20" s="885"/>
      <c r="AF20" s="453"/>
      <c r="AG20" s="453"/>
      <c r="AH20" s="453"/>
      <c r="AI20" s="453"/>
      <c r="AJ20" s="453"/>
      <c r="AN20" s="494"/>
      <c r="AO20" s="495"/>
      <c r="AP20" s="495"/>
      <c r="AQ20" s="496"/>
      <c r="AR20" s="494"/>
      <c r="AS20" s="495"/>
      <c r="AT20" s="495"/>
      <c r="AU20" s="496"/>
      <c r="AV20" s="494"/>
      <c r="AW20" s="495"/>
      <c r="AX20" s="495"/>
      <c r="AY20" s="496" t="s">
        <v>793</v>
      </c>
    </row>
    <row r="21" spans="6:51" ht="15.95" customHeight="1" x14ac:dyDescent="0.2">
      <c r="F21" s="489">
        <v>27</v>
      </c>
      <c r="G21" s="488" t="str">
        <f t="shared" si="5"/>
        <v/>
      </c>
      <c r="H21" s="898" t="str">
        <f t="shared" si="6"/>
        <v/>
      </c>
      <c r="I21" s="898" t="str">
        <f t="shared" si="6"/>
        <v/>
      </c>
      <c r="J21" s="898" t="str">
        <f t="shared" si="6"/>
        <v/>
      </c>
      <c r="K21" s="786"/>
      <c r="P21" s="778"/>
      <c r="Q21" s="786"/>
      <c r="R21" s="450"/>
      <c r="S21" s="893"/>
      <c r="T21" s="883"/>
      <c r="U21" s="815"/>
      <c r="V21" s="450"/>
      <c r="W21" s="809"/>
      <c r="X21" s="450"/>
      <c r="Y21" s="450"/>
      <c r="Z21" s="451"/>
      <c r="AA21" s="885"/>
      <c r="AF21" s="453"/>
      <c r="AG21" s="453"/>
      <c r="AH21" s="453"/>
      <c r="AI21" s="453"/>
      <c r="AJ21" s="453"/>
      <c r="AN21" s="494"/>
      <c r="AO21" s="495"/>
      <c r="AP21" s="495"/>
      <c r="AQ21" s="496"/>
      <c r="AR21" s="494"/>
      <c r="AS21" s="495"/>
      <c r="AT21" s="495"/>
      <c r="AU21" s="496"/>
      <c r="AV21" s="494"/>
      <c r="AW21" s="495"/>
      <c r="AX21" s="495"/>
      <c r="AY21" s="496" t="s">
        <v>793</v>
      </c>
    </row>
    <row r="22" spans="6:51" ht="15.95" customHeight="1" x14ac:dyDescent="0.2">
      <c r="F22" s="489">
        <v>28</v>
      </c>
      <c r="G22" s="488" t="str">
        <f t="shared" si="5"/>
        <v/>
      </c>
      <c r="H22" s="898" t="str">
        <f t="shared" si="6"/>
        <v/>
      </c>
      <c r="I22" s="898" t="str">
        <f t="shared" si="6"/>
        <v/>
      </c>
      <c r="J22" s="898" t="str">
        <f t="shared" si="6"/>
        <v/>
      </c>
      <c r="K22" s="786"/>
      <c r="P22" s="778"/>
      <c r="Q22" s="786"/>
      <c r="R22" s="450"/>
      <c r="S22" s="893"/>
      <c r="T22" s="883"/>
      <c r="U22" s="815"/>
      <c r="V22" s="450"/>
      <c r="W22" s="809"/>
      <c r="X22" s="450"/>
      <c r="Y22" s="450"/>
      <c r="Z22" s="451"/>
      <c r="AA22" s="885"/>
      <c r="AF22" s="453"/>
      <c r="AG22" s="453"/>
      <c r="AH22" s="453"/>
      <c r="AI22" s="453"/>
      <c r="AJ22" s="453"/>
      <c r="AN22" s="494"/>
      <c r="AO22" s="495"/>
      <c r="AP22" s="495"/>
      <c r="AQ22" s="496"/>
      <c r="AR22" s="494"/>
      <c r="AS22" s="495"/>
      <c r="AT22" s="495"/>
      <c r="AU22" s="496"/>
      <c r="AV22" s="494"/>
      <c r="AW22" s="495"/>
      <c r="AX22" s="495"/>
      <c r="AY22" s="496" t="s">
        <v>793</v>
      </c>
    </row>
    <row r="23" spans="6:51" ht="15.95" customHeight="1" x14ac:dyDescent="0.2">
      <c r="F23" s="489">
        <v>29</v>
      </c>
      <c r="G23" s="488" t="str">
        <f t="shared" si="5"/>
        <v/>
      </c>
      <c r="H23" s="898" t="str">
        <f t="shared" si="6"/>
        <v/>
      </c>
      <c r="I23" s="898" t="str">
        <f t="shared" si="6"/>
        <v/>
      </c>
      <c r="J23" s="898" t="str">
        <f t="shared" si="6"/>
        <v/>
      </c>
      <c r="K23" s="786"/>
      <c r="L23" s="450"/>
      <c r="M23" s="893"/>
      <c r="N23" s="883"/>
      <c r="O23" s="815"/>
      <c r="P23" s="778"/>
      <c r="Q23" s="786"/>
      <c r="R23" s="450"/>
      <c r="S23" s="893"/>
      <c r="T23" s="883"/>
      <c r="U23" s="451"/>
      <c r="V23" s="450"/>
      <c r="W23" s="809"/>
      <c r="X23" s="450"/>
      <c r="Y23" s="450"/>
      <c r="Z23" s="451"/>
      <c r="AA23" s="450"/>
      <c r="AF23" s="453"/>
      <c r="AG23" s="453"/>
      <c r="AH23" s="453"/>
      <c r="AI23" s="453"/>
      <c r="AJ23" s="453"/>
      <c r="AN23" s="494"/>
      <c r="AO23" s="495"/>
      <c r="AP23" s="495"/>
      <c r="AQ23" s="496"/>
      <c r="AR23" s="494"/>
      <c r="AS23" s="495"/>
      <c r="AT23" s="495"/>
      <c r="AU23" s="496"/>
      <c r="AV23" s="494"/>
      <c r="AW23" s="495"/>
      <c r="AX23" s="495"/>
      <c r="AY23" s="496" t="s">
        <v>793</v>
      </c>
    </row>
    <row r="24" spans="6:51" ht="15.95" customHeight="1" x14ac:dyDescent="0.2">
      <c r="F24" s="489">
        <v>30</v>
      </c>
      <c r="G24" s="488" t="str">
        <f t="shared" si="5"/>
        <v/>
      </c>
      <c r="H24" s="898" t="str">
        <f t="shared" si="6"/>
        <v/>
      </c>
      <c r="I24" s="898" t="str">
        <f t="shared" si="6"/>
        <v/>
      </c>
      <c r="J24" s="898" t="str">
        <f t="shared" si="6"/>
        <v/>
      </c>
      <c r="K24" s="523"/>
      <c r="L24" s="523"/>
      <c r="M24" s="523"/>
      <c r="N24" s="523"/>
      <c r="O24" s="778"/>
      <c r="P24" s="778"/>
      <c r="Q24" s="809"/>
      <c r="R24" s="450"/>
      <c r="S24" s="450"/>
      <c r="T24" s="451"/>
      <c r="U24" s="450"/>
      <c r="V24" s="450"/>
      <c r="W24" s="809"/>
      <c r="X24" s="450"/>
      <c r="Y24" s="450"/>
      <c r="Z24" s="451"/>
      <c r="AA24" s="450"/>
      <c r="AF24" s="453"/>
      <c r="AG24" s="453"/>
      <c r="AH24" s="453"/>
      <c r="AI24" s="453"/>
      <c r="AJ24" s="453"/>
      <c r="AN24" s="494"/>
      <c r="AO24" s="495"/>
      <c r="AP24" s="495"/>
      <c r="AQ24" s="496"/>
      <c r="AR24" s="494"/>
      <c r="AS24" s="495"/>
      <c r="AT24" s="495"/>
      <c r="AU24" s="496"/>
      <c r="AV24" s="494"/>
      <c r="AW24" s="495"/>
      <c r="AX24" s="495"/>
      <c r="AY24" s="496" t="s">
        <v>793</v>
      </c>
    </row>
    <row r="25" spans="6:51" ht="15.95" customHeight="1" x14ac:dyDescent="0.2">
      <c r="F25" s="489">
        <v>31</v>
      </c>
      <c r="G25" s="488" t="str">
        <f t="shared" si="5"/>
        <v/>
      </c>
      <c r="H25" s="898" t="str">
        <f t="shared" si="6"/>
        <v/>
      </c>
      <c r="I25" s="898" t="str">
        <f t="shared" si="6"/>
        <v/>
      </c>
      <c r="J25" s="898" t="str">
        <f t="shared" si="6"/>
        <v/>
      </c>
      <c r="K25" s="523"/>
      <c r="L25" s="523"/>
      <c r="M25" s="523"/>
      <c r="N25" s="523"/>
      <c r="O25" s="778"/>
      <c r="P25" s="778"/>
      <c r="Q25" s="809"/>
      <c r="R25" s="450"/>
      <c r="S25" s="450"/>
      <c r="T25" s="451"/>
      <c r="U25" s="450"/>
      <c r="V25" s="450"/>
      <c r="W25" s="809"/>
      <c r="X25" s="450"/>
      <c r="Y25" s="450"/>
      <c r="Z25" s="451"/>
      <c r="AA25" s="450"/>
      <c r="AF25" s="453"/>
      <c r="AG25" s="453"/>
      <c r="AH25" s="453"/>
      <c r="AI25" s="453"/>
      <c r="AJ25" s="453"/>
      <c r="AN25" s="494"/>
      <c r="AO25" s="495"/>
      <c r="AP25" s="495"/>
      <c r="AQ25" s="496"/>
      <c r="AR25" s="494"/>
      <c r="AS25" s="495"/>
      <c r="AT25" s="495"/>
      <c r="AU25" s="496"/>
      <c r="AV25" s="494"/>
      <c r="AW25" s="495"/>
      <c r="AX25" s="495"/>
      <c r="AY25" s="496" t="s">
        <v>793</v>
      </c>
    </row>
    <row r="26" spans="6:51" ht="15.95" customHeight="1" x14ac:dyDescent="0.2">
      <c r="F26" s="489">
        <v>32</v>
      </c>
      <c r="G26" s="488" t="str">
        <f t="shared" si="5"/>
        <v/>
      </c>
      <c r="H26" s="898" t="str">
        <f t="shared" si="6"/>
        <v/>
      </c>
      <c r="I26" s="898" t="str">
        <f t="shared" si="6"/>
        <v/>
      </c>
      <c r="J26" s="898" t="str">
        <f t="shared" si="6"/>
        <v/>
      </c>
      <c r="K26" s="523"/>
      <c r="L26" s="523"/>
      <c r="M26" s="523"/>
      <c r="N26" s="523"/>
      <c r="O26" s="778"/>
      <c r="P26" s="450"/>
      <c r="Q26" s="450"/>
      <c r="R26" s="437"/>
      <c r="S26" s="437"/>
      <c r="T26" s="451"/>
      <c r="U26" s="450"/>
      <c r="V26" s="450"/>
      <c r="W26" s="450"/>
      <c r="X26" s="516"/>
      <c r="Y26" s="457"/>
      <c r="Z26" s="457"/>
      <c r="AA26" s="450"/>
      <c r="AF26" s="453"/>
      <c r="AG26" s="453"/>
      <c r="AH26" s="453"/>
      <c r="AI26" s="453"/>
      <c r="AJ26" s="453"/>
      <c r="AN26" s="494"/>
      <c r="AO26" s="495"/>
      <c r="AP26" s="495"/>
      <c r="AQ26" s="496"/>
      <c r="AR26" s="494"/>
      <c r="AS26" s="495"/>
      <c r="AT26" s="495"/>
      <c r="AU26" s="496"/>
      <c r="AV26" s="494"/>
      <c r="AW26" s="495"/>
      <c r="AX26" s="495"/>
      <c r="AY26" s="496" t="s">
        <v>793</v>
      </c>
    </row>
    <row r="27" spans="6:51" ht="15.95" customHeight="1" x14ac:dyDescent="0.2">
      <c r="F27" s="489">
        <v>33</v>
      </c>
      <c r="G27" s="488" t="str">
        <f t="shared" si="5"/>
        <v/>
      </c>
      <c r="H27" s="898" t="str">
        <f t="shared" si="6"/>
        <v/>
      </c>
      <c r="I27" s="898" t="str">
        <f t="shared" si="6"/>
        <v/>
      </c>
      <c r="J27" s="898" t="str">
        <f t="shared" si="6"/>
        <v/>
      </c>
      <c r="K27" s="523"/>
      <c r="L27" s="523"/>
      <c r="M27" s="523"/>
      <c r="N27" s="523"/>
      <c r="O27" s="778"/>
      <c r="P27" s="778"/>
      <c r="Q27" s="450"/>
      <c r="R27" s="437"/>
      <c r="S27" s="437"/>
      <c r="T27" s="451"/>
      <c r="U27" s="450"/>
      <c r="V27" s="450"/>
      <c r="W27" s="450"/>
      <c r="X27" s="516"/>
      <c r="Y27" s="457"/>
      <c r="Z27" s="457"/>
      <c r="AA27" s="450"/>
      <c r="AF27" s="453"/>
      <c r="AG27" s="453"/>
      <c r="AH27" s="453"/>
      <c r="AI27" s="453"/>
      <c r="AJ27" s="453"/>
      <c r="AN27" s="494"/>
      <c r="AO27" s="495"/>
      <c r="AP27" s="495"/>
      <c r="AQ27" s="496"/>
      <c r="AR27" s="494"/>
      <c r="AS27" s="495"/>
      <c r="AT27" s="495"/>
      <c r="AU27" s="496"/>
      <c r="AV27" s="494"/>
      <c r="AW27" s="495"/>
      <c r="AX27" s="495"/>
      <c r="AY27" s="496" t="s">
        <v>793</v>
      </c>
    </row>
    <row r="28" spans="6:51" ht="15.95" customHeight="1" x14ac:dyDescent="0.2">
      <c r="F28" s="489">
        <v>34</v>
      </c>
      <c r="G28" s="488" t="str">
        <f t="shared" si="5"/>
        <v/>
      </c>
      <c r="H28" s="898" t="str">
        <f t="shared" si="6"/>
        <v/>
      </c>
      <c r="I28" s="898" t="str">
        <f t="shared" si="6"/>
        <v/>
      </c>
      <c r="J28" s="898" t="str">
        <f t="shared" si="6"/>
        <v/>
      </c>
      <c r="K28" s="523"/>
      <c r="L28" s="523"/>
      <c r="M28" s="523"/>
      <c r="N28" s="523"/>
      <c r="O28" s="778"/>
      <c r="P28" s="778"/>
      <c r="Q28" s="450"/>
      <c r="R28" s="437"/>
      <c r="S28" s="437"/>
      <c r="T28" s="451"/>
      <c r="U28" s="450"/>
      <c r="V28" s="450"/>
      <c r="W28" s="450"/>
      <c r="X28" s="516"/>
      <c r="Y28" s="457"/>
      <c r="Z28" s="457"/>
      <c r="AA28" s="450"/>
      <c r="AF28" s="453"/>
      <c r="AG28" s="453"/>
      <c r="AH28" s="453"/>
      <c r="AI28" s="453"/>
      <c r="AJ28" s="453"/>
      <c r="AN28" s="494"/>
      <c r="AO28" s="495"/>
      <c r="AP28" s="495"/>
      <c r="AQ28" s="496"/>
      <c r="AR28" s="494"/>
      <c r="AS28" s="495"/>
      <c r="AT28" s="495"/>
      <c r="AU28" s="496"/>
      <c r="AV28" s="494"/>
      <c r="AW28" s="495"/>
      <c r="AX28" s="495"/>
      <c r="AY28" s="496" t="s">
        <v>793</v>
      </c>
    </row>
    <row r="29" spans="6:51" ht="15.95" customHeight="1" x14ac:dyDescent="0.2">
      <c r="I29" s="437"/>
      <c r="J29" s="437"/>
      <c r="K29" s="523"/>
      <c r="L29" s="523"/>
      <c r="M29" s="523"/>
      <c r="N29" s="523"/>
      <c r="O29" s="778"/>
      <c r="P29" s="778"/>
      <c r="Q29" s="450"/>
      <c r="R29" s="437"/>
      <c r="S29" s="437"/>
      <c r="T29" s="451"/>
      <c r="U29" s="450"/>
      <c r="V29" s="450"/>
      <c r="W29" s="450"/>
      <c r="X29" s="516"/>
      <c r="Y29" s="457"/>
      <c r="Z29" s="457"/>
      <c r="AA29" s="450"/>
      <c r="AF29" s="453"/>
      <c r="AG29" s="453"/>
      <c r="AH29" s="453"/>
      <c r="AI29" s="453"/>
      <c r="AJ29" s="453"/>
      <c r="AN29" s="494"/>
      <c r="AO29" s="495"/>
      <c r="AP29" s="495"/>
      <c r="AQ29" s="496"/>
      <c r="AR29" s="494"/>
      <c r="AS29" s="495"/>
      <c r="AT29" s="495"/>
      <c r="AU29" s="496"/>
      <c r="AV29" s="494"/>
      <c r="AW29" s="495"/>
      <c r="AX29" s="495"/>
      <c r="AY29" s="496" t="s">
        <v>793</v>
      </c>
    </row>
    <row r="30" spans="6:51" ht="15.95" customHeight="1" x14ac:dyDescent="0.2">
      <c r="I30" s="437"/>
      <c r="J30" s="437"/>
      <c r="K30" s="523"/>
      <c r="L30" s="523"/>
      <c r="M30" s="523"/>
      <c r="N30" s="523"/>
      <c r="Q30" s="450"/>
      <c r="R30" s="437"/>
      <c r="S30" s="437"/>
      <c r="T30" s="451"/>
      <c r="U30" s="450"/>
      <c r="V30" s="450"/>
      <c r="W30" s="450"/>
      <c r="X30" s="516"/>
      <c r="Y30" s="457"/>
      <c r="Z30" s="457"/>
      <c r="AA30" s="450"/>
      <c r="AF30" s="453"/>
      <c r="AG30" s="453"/>
      <c r="AH30" s="453"/>
      <c r="AI30" s="453"/>
      <c r="AJ30" s="453"/>
    </row>
    <row r="31" spans="6:51" ht="15.95" customHeight="1" x14ac:dyDescent="0.2">
      <c r="I31" s="437"/>
      <c r="J31" s="437"/>
      <c r="K31" s="523"/>
      <c r="L31" s="523"/>
      <c r="M31" s="523"/>
      <c r="N31" s="523"/>
      <c r="Q31" s="450"/>
      <c r="R31" s="437"/>
      <c r="S31" s="437"/>
      <c r="T31" s="451"/>
      <c r="U31" s="450"/>
      <c r="V31" s="450"/>
      <c r="W31" s="450"/>
      <c r="X31" s="516"/>
      <c r="Y31" s="457"/>
      <c r="Z31" s="457"/>
      <c r="AA31" s="450"/>
      <c r="AF31" s="453"/>
      <c r="AG31" s="453"/>
    </row>
    <row r="32" spans="6:51" ht="15.95" customHeight="1" x14ac:dyDescent="0.2">
      <c r="I32" s="437"/>
      <c r="J32" s="437"/>
      <c r="K32" s="523"/>
      <c r="N32" s="435"/>
      <c r="O32" s="435"/>
      <c r="Q32" s="447"/>
      <c r="X32" s="441"/>
      <c r="Y32" s="441"/>
      <c r="Z32" s="441"/>
      <c r="AF32" s="453"/>
      <c r="AG32" s="453"/>
    </row>
    <row r="33" spans="4:33" ht="15.95" customHeight="1" x14ac:dyDescent="0.2">
      <c r="I33" s="437"/>
      <c r="J33" s="437"/>
      <c r="K33" s="437"/>
      <c r="N33" s="435"/>
      <c r="O33" s="435"/>
      <c r="T33" s="441"/>
      <c r="X33" s="441"/>
      <c r="Y33" s="441"/>
      <c r="Z33" s="441"/>
      <c r="AF33" s="453"/>
      <c r="AG33" s="453"/>
    </row>
    <row r="34" spans="4:33" ht="15.95" customHeight="1" x14ac:dyDescent="0.2">
      <c r="I34" s="437"/>
      <c r="J34" s="437"/>
      <c r="K34" s="437"/>
      <c r="N34" s="435"/>
      <c r="O34" s="435"/>
      <c r="T34" s="441"/>
      <c r="X34" s="441"/>
      <c r="Y34" s="441"/>
      <c r="Z34" s="441"/>
      <c r="AF34" s="453"/>
      <c r="AG34" s="453"/>
    </row>
    <row r="35" spans="4:33" ht="15.95" customHeight="1" x14ac:dyDescent="0.2">
      <c r="I35" s="437"/>
      <c r="J35" s="437"/>
      <c r="K35" s="437"/>
      <c r="N35" s="435"/>
      <c r="O35" s="435"/>
      <c r="T35" s="441"/>
      <c r="X35" s="441"/>
      <c r="Y35" s="441"/>
      <c r="Z35" s="441"/>
      <c r="AF35" s="453"/>
      <c r="AG35" s="453"/>
    </row>
    <row r="36" spans="4:33" ht="15.95" customHeight="1" x14ac:dyDescent="0.2">
      <c r="I36" s="437"/>
      <c r="J36" s="437"/>
      <c r="K36" s="437"/>
      <c r="N36" s="435"/>
      <c r="O36" s="435"/>
      <c r="T36" s="441"/>
      <c r="X36" s="441"/>
      <c r="Y36" s="441"/>
      <c r="Z36" s="441"/>
      <c r="AF36" s="453"/>
      <c r="AG36" s="453"/>
    </row>
    <row r="37" spans="4:33" ht="15.95" customHeight="1" x14ac:dyDescent="0.2">
      <c r="I37" s="437"/>
      <c r="K37" s="437"/>
      <c r="L37" s="437"/>
      <c r="M37" s="437"/>
      <c r="N37" s="437"/>
      <c r="O37" s="437"/>
      <c r="P37" s="437"/>
      <c r="Q37" s="437"/>
      <c r="R37" s="437"/>
      <c r="S37" s="437"/>
      <c r="T37" s="437"/>
      <c r="U37" s="437"/>
      <c r="V37" s="437"/>
      <c r="W37" s="437"/>
      <c r="X37" s="437"/>
      <c r="Y37" s="437"/>
      <c r="Z37" s="437"/>
      <c r="AA37" s="437"/>
      <c r="AF37" s="453"/>
      <c r="AG37" s="453"/>
    </row>
    <row r="38" spans="4:33" ht="15.95" customHeight="1" x14ac:dyDescent="0.2">
      <c r="I38" s="437"/>
      <c r="K38" s="437"/>
      <c r="L38" s="437"/>
      <c r="M38" s="437"/>
      <c r="N38" s="437"/>
      <c r="O38" s="437"/>
      <c r="P38" s="437"/>
      <c r="Q38" s="437"/>
      <c r="R38" s="437"/>
      <c r="S38" s="437"/>
      <c r="T38" s="437"/>
      <c r="U38" s="437"/>
      <c r="V38" s="437"/>
      <c r="W38" s="437"/>
      <c r="X38" s="437"/>
      <c r="Y38" s="437"/>
      <c r="Z38" s="437"/>
      <c r="AA38" s="437"/>
      <c r="AF38" s="453"/>
      <c r="AG38" s="453"/>
    </row>
    <row r="39" spans="4:33" ht="15.95" customHeight="1" x14ac:dyDescent="0.2">
      <c r="I39" s="437"/>
      <c r="K39" s="437"/>
      <c r="L39" s="437"/>
      <c r="M39" s="437"/>
      <c r="N39" s="437"/>
      <c r="O39" s="437"/>
      <c r="P39" s="437"/>
      <c r="Q39" s="437"/>
      <c r="R39" s="437"/>
      <c r="S39" s="437"/>
      <c r="T39" s="437"/>
      <c r="U39" s="437"/>
      <c r="V39" s="437"/>
      <c r="W39" s="437"/>
      <c r="X39" s="437"/>
      <c r="Y39" s="437"/>
      <c r="Z39" s="437"/>
      <c r="AA39" s="437"/>
      <c r="AF39" s="453"/>
      <c r="AG39" s="453"/>
    </row>
    <row r="40" spans="4:33" ht="15.95" customHeight="1" x14ac:dyDescent="0.2">
      <c r="I40" s="437"/>
      <c r="K40" s="450"/>
      <c r="L40" s="450"/>
      <c r="M40" s="450"/>
      <c r="N40" s="521"/>
      <c r="O40" s="521"/>
      <c r="P40" s="450"/>
      <c r="Q40" s="450"/>
      <c r="R40" s="437"/>
      <c r="S40" s="437"/>
      <c r="T40" s="451"/>
      <c r="U40" s="450"/>
      <c r="W40" s="450"/>
      <c r="X40" s="516"/>
      <c r="Y40" s="457"/>
      <c r="Z40" s="457"/>
      <c r="AA40" s="450"/>
      <c r="AF40" s="453"/>
      <c r="AG40" s="453"/>
    </row>
    <row r="41" spans="4:33" ht="15.95" customHeight="1" x14ac:dyDescent="0.2">
      <c r="I41" s="437"/>
      <c r="K41" s="450"/>
      <c r="L41" s="450"/>
      <c r="M41" s="450"/>
      <c r="N41" s="521"/>
      <c r="O41" s="521"/>
      <c r="P41" s="450"/>
      <c r="Q41" s="450"/>
      <c r="R41" s="437"/>
      <c r="S41" s="437"/>
      <c r="T41" s="451"/>
      <c r="U41" s="450"/>
      <c r="W41" s="450"/>
      <c r="X41" s="516"/>
      <c r="Y41" s="457"/>
      <c r="Z41" s="457"/>
      <c r="AA41" s="450"/>
      <c r="AF41" s="453"/>
      <c r="AG41" s="453"/>
    </row>
    <row r="42" spans="4:33" ht="15.95" customHeight="1" x14ac:dyDescent="0.2">
      <c r="I42" s="437"/>
      <c r="K42" s="450"/>
      <c r="L42" s="450"/>
      <c r="M42" s="450"/>
      <c r="N42" s="521"/>
      <c r="O42" s="521"/>
      <c r="P42" s="450"/>
      <c r="Q42" s="450"/>
      <c r="R42" s="437"/>
      <c r="S42" s="437"/>
      <c r="T42" s="451"/>
      <c r="U42" s="450"/>
      <c r="W42" s="450"/>
      <c r="X42" s="516"/>
      <c r="Y42" s="457"/>
      <c r="Z42" s="457"/>
      <c r="AA42" s="450"/>
      <c r="AF42" s="453"/>
      <c r="AG42" s="453"/>
    </row>
    <row r="43" spans="4:33" ht="15.95" customHeight="1" x14ac:dyDescent="0.2">
      <c r="I43" s="437"/>
      <c r="K43" s="450"/>
      <c r="L43" s="450"/>
      <c r="M43" s="450"/>
      <c r="N43" s="521"/>
      <c r="O43" s="521"/>
      <c r="P43" s="450"/>
      <c r="Q43" s="450"/>
      <c r="R43" s="437"/>
      <c r="S43" s="437"/>
      <c r="T43" s="451"/>
      <c r="U43" s="450"/>
      <c r="W43" s="450"/>
      <c r="X43" s="516"/>
      <c r="Y43" s="457"/>
      <c r="Z43" s="457"/>
      <c r="AA43" s="450"/>
      <c r="AF43" s="453"/>
      <c r="AG43" s="453"/>
    </row>
    <row r="44" spans="4:33" ht="15.95" customHeight="1" x14ac:dyDescent="0.2">
      <c r="I44" s="437"/>
      <c r="K44" s="450"/>
      <c r="L44" s="450"/>
      <c r="M44" s="450"/>
      <c r="N44" s="521"/>
      <c r="O44" s="521"/>
      <c r="P44" s="450"/>
      <c r="Q44" s="450"/>
      <c r="R44" s="437"/>
      <c r="S44" s="437"/>
      <c r="T44" s="451"/>
      <c r="U44" s="450"/>
      <c r="W44" s="450"/>
      <c r="X44" s="516"/>
      <c r="Y44" s="457"/>
      <c r="Z44" s="457"/>
      <c r="AA44" s="450"/>
      <c r="AF44" s="453"/>
      <c r="AG44" s="453"/>
    </row>
    <row r="45" spans="4:33" ht="15.95" customHeight="1" x14ac:dyDescent="0.2">
      <c r="I45" s="437"/>
      <c r="K45" s="450"/>
      <c r="L45" s="450"/>
      <c r="M45" s="450"/>
      <c r="N45" s="521"/>
      <c r="O45" s="521"/>
      <c r="P45" s="450"/>
      <c r="Q45" s="450"/>
      <c r="R45" s="437"/>
      <c r="S45" s="437"/>
      <c r="T45" s="451"/>
      <c r="U45" s="450"/>
      <c r="W45" s="450"/>
      <c r="X45" s="516"/>
      <c r="Y45" s="457"/>
      <c r="Z45" s="457"/>
      <c r="AA45" s="450"/>
      <c r="AF45" s="453"/>
      <c r="AG45" s="453"/>
    </row>
    <row r="46" spans="4:33" ht="15.95" customHeight="1" x14ac:dyDescent="0.2">
      <c r="I46" s="437"/>
      <c r="K46" s="450"/>
      <c r="L46" s="450"/>
      <c r="M46" s="450"/>
      <c r="N46" s="521"/>
      <c r="O46" s="521"/>
      <c r="P46" s="450"/>
      <c r="Q46" s="450"/>
      <c r="R46" s="437"/>
      <c r="S46" s="437"/>
      <c r="T46" s="451"/>
      <c r="U46" s="450"/>
      <c r="W46" s="450"/>
      <c r="X46" s="516"/>
      <c r="Y46" s="457"/>
      <c r="Z46" s="457"/>
      <c r="AA46" s="450"/>
      <c r="AF46" s="453"/>
      <c r="AG46" s="453"/>
    </row>
    <row r="47" spans="4:33" ht="15.95" customHeight="1" x14ac:dyDescent="0.2">
      <c r="D47" s="816"/>
      <c r="E47" s="816"/>
      <c r="F47" s="816"/>
      <c r="G47" s="816"/>
      <c r="H47" s="816"/>
      <c r="I47" s="437"/>
      <c r="J47" s="816"/>
      <c r="K47" s="450"/>
      <c r="L47" s="450"/>
      <c r="M47" s="450"/>
      <c r="N47" s="521"/>
      <c r="O47" s="521"/>
      <c r="P47" s="450"/>
      <c r="Q47" s="450"/>
      <c r="R47" s="437"/>
      <c r="S47" s="437"/>
      <c r="T47" s="451"/>
      <c r="U47" s="450"/>
      <c r="W47" s="450"/>
      <c r="X47" s="516"/>
      <c r="Y47" s="457"/>
      <c r="Z47" s="457"/>
      <c r="AA47" s="450"/>
      <c r="AF47" s="453"/>
      <c r="AG47" s="453"/>
    </row>
    <row r="48" spans="4:33" ht="15.95" customHeight="1" x14ac:dyDescent="0.2">
      <c r="D48" s="816"/>
      <c r="E48" s="816"/>
      <c r="F48" s="816"/>
      <c r="G48" s="816"/>
      <c r="H48" s="816"/>
      <c r="I48" s="437"/>
      <c r="J48" s="816"/>
      <c r="K48" s="450"/>
      <c r="L48" s="450"/>
      <c r="M48" s="450"/>
      <c r="N48" s="521"/>
      <c r="O48" s="521"/>
      <c r="P48" s="450"/>
      <c r="Q48" s="450"/>
      <c r="R48" s="437"/>
      <c r="S48" s="437"/>
      <c r="T48" s="451"/>
      <c r="U48" s="450"/>
      <c r="W48" s="450"/>
      <c r="X48" s="516"/>
      <c r="Y48" s="457"/>
      <c r="Z48" s="457"/>
      <c r="AA48" s="450"/>
      <c r="AF48" s="453"/>
      <c r="AG48" s="453"/>
    </row>
    <row r="49" spans="4:33" ht="15.95" customHeight="1" x14ac:dyDescent="0.2">
      <c r="D49" s="816"/>
      <c r="E49" s="816"/>
      <c r="F49" s="816"/>
      <c r="G49" s="816"/>
      <c r="H49" s="816"/>
      <c r="I49" s="437"/>
      <c r="J49" s="437"/>
      <c r="K49" s="447"/>
      <c r="L49" s="450"/>
      <c r="M49" s="450"/>
      <c r="N49" s="521"/>
      <c r="O49" s="521"/>
      <c r="P49" s="450"/>
      <c r="Q49" s="450"/>
      <c r="R49" s="450"/>
      <c r="S49" s="450"/>
      <c r="T49" s="451"/>
      <c r="U49" s="450"/>
      <c r="W49" s="450"/>
      <c r="X49" s="450"/>
      <c r="Y49" s="450"/>
      <c r="Z49" s="451"/>
      <c r="AA49" s="450"/>
      <c r="AF49" s="453"/>
      <c r="AG49" s="453"/>
    </row>
    <row r="50" spans="4:33" ht="15.95" customHeight="1" x14ac:dyDescent="0.2">
      <c r="D50" s="816"/>
      <c r="E50" s="816"/>
      <c r="F50" s="816"/>
      <c r="G50" s="816"/>
      <c r="H50" s="816"/>
      <c r="I50" s="437"/>
      <c r="J50" s="437"/>
      <c r="K50" s="447"/>
      <c r="L50" s="450"/>
      <c r="M50" s="450"/>
      <c r="N50" s="521"/>
      <c r="O50" s="521"/>
      <c r="P50" s="450"/>
      <c r="Q50" s="450"/>
      <c r="R50" s="450"/>
      <c r="S50" s="450"/>
      <c r="T50" s="451"/>
      <c r="U50" s="450"/>
      <c r="W50" s="450"/>
      <c r="X50" s="450"/>
      <c r="Y50" s="450"/>
      <c r="Z50" s="451"/>
      <c r="AA50" s="450"/>
    </row>
    <row r="51" spans="4:33" ht="15.95" customHeight="1" x14ac:dyDescent="0.2">
      <c r="D51" s="816"/>
      <c r="E51" s="816"/>
      <c r="F51" s="816"/>
      <c r="G51" s="816"/>
      <c r="H51" s="816"/>
      <c r="I51" s="437"/>
      <c r="J51" s="437"/>
      <c r="K51" s="447"/>
      <c r="L51" s="450"/>
      <c r="M51" s="450"/>
      <c r="N51" s="521"/>
      <c r="O51" s="521"/>
      <c r="P51" s="450"/>
      <c r="Q51" s="450"/>
      <c r="R51" s="450"/>
      <c r="S51" s="450"/>
      <c r="T51" s="451"/>
      <c r="U51" s="450"/>
      <c r="W51" s="450"/>
      <c r="X51" s="450"/>
      <c r="Y51" s="450"/>
      <c r="Z51" s="451"/>
      <c r="AA51" s="450"/>
    </row>
    <row r="52" spans="4:33" ht="15.95" customHeight="1" x14ac:dyDescent="0.2">
      <c r="D52" s="816"/>
      <c r="E52" s="816"/>
      <c r="F52" s="816"/>
      <c r="G52" s="816"/>
      <c r="H52" s="816"/>
      <c r="I52" s="437"/>
      <c r="J52" s="437"/>
      <c r="K52" s="447"/>
      <c r="L52" s="450"/>
      <c r="M52" s="450"/>
      <c r="N52" s="521"/>
      <c r="O52" s="521"/>
      <c r="P52" s="450"/>
      <c r="Q52" s="450"/>
      <c r="R52" s="450"/>
      <c r="S52" s="450"/>
      <c r="T52" s="451"/>
      <c r="U52" s="450"/>
      <c r="W52" s="450"/>
      <c r="X52" s="450"/>
      <c r="Y52" s="450"/>
      <c r="Z52" s="451"/>
      <c r="AA52" s="450"/>
    </row>
    <row r="53" spans="4:33" ht="15.95" customHeight="1" x14ac:dyDescent="0.2">
      <c r="D53" s="816"/>
      <c r="E53" s="816"/>
      <c r="F53" s="816"/>
      <c r="G53" s="816"/>
      <c r="H53" s="816"/>
      <c r="I53" s="437"/>
      <c r="J53" s="437"/>
      <c r="K53" s="447"/>
      <c r="L53" s="450"/>
      <c r="M53" s="450"/>
      <c r="N53" s="521"/>
      <c r="O53" s="521"/>
      <c r="P53" s="450"/>
      <c r="Q53" s="450"/>
      <c r="R53" s="450"/>
      <c r="S53" s="450"/>
      <c r="T53" s="451"/>
      <c r="U53" s="450"/>
      <c r="W53" s="450"/>
      <c r="X53" s="450"/>
      <c r="Y53" s="450"/>
      <c r="Z53" s="451"/>
      <c r="AA53" s="450"/>
    </row>
    <row r="54" spans="4:33" ht="15.95" customHeight="1" x14ac:dyDescent="0.2">
      <c r="D54" s="816"/>
      <c r="E54" s="816"/>
      <c r="F54" s="816"/>
      <c r="G54" s="816"/>
      <c r="H54" s="816"/>
      <c r="I54" s="437"/>
      <c r="J54" s="437"/>
      <c r="K54" s="450"/>
      <c r="N54" s="435"/>
      <c r="O54" s="435"/>
      <c r="P54" s="450"/>
      <c r="Q54" s="450"/>
      <c r="R54" s="450"/>
      <c r="S54" s="450"/>
      <c r="T54" s="451"/>
      <c r="U54" s="450"/>
      <c r="W54" s="450"/>
      <c r="X54" s="450"/>
      <c r="Y54" s="450"/>
      <c r="Z54" s="451"/>
      <c r="AA54" s="450"/>
    </row>
    <row r="55" spans="4:33" ht="15.95" customHeight="1" x14ac:dyDescent="0.2">
      <c r="D55" s="816"/>
      <c r="E55" s="816"/>
      <c r="F55" s="816"/>
      <c r="G55" s="816"/>
      <c r="H55" s="816"/>
      <c r="I55" s="437"/>
      <c r="J55" s="437"/>
      <c r="K55" s="445"/>
      <c r="N55" s="435"/>
      <c r="O55" s="435"/>
      <c r="P55" s="450"/>
      <c r="Q55" s="450"/>
      <c r="R55" s="450"/>
      <c r="S55" s="450"/>
      <c r="T55" s="451"/>
      <c r="U55" s="450"/>
      <c r="W55" s="450"/>
      <c r="X55" s="450"/>
      <c r="Y55" s="450"/>
      <c r="Z55" s="451"/>
      <c r="AA55" s="450"/>
    </row>
    <row r="56" spans="4:33" ht="15.95" customHeight="1" x14ac:dyDescent="0.2">
      <c r="D56" s="816"/>
      <c r="E56" s="816"/>
      <c r="F56" s="816"/>
      <c r="G56" s="816"/>
      <c r="H56" s="816"/>
      <c r="I56" s="437"/>
      <c r="J56" s="437"/>
      <c r="K56" s="447"/>
      <c r="N56" s="435"/>
      <c r="O56" s="435"/>
      <c r="P56" s="450"/>
      <c r="Q56" s="450"/>
      <c r="R56" s="450"/>
      <c r="S56" s="450"/>
      <c r="T56" s="451"/>
      <c r="U56" s="450"/>
      <c r="W56" s="450"/>
      <c r="X56" s="450"/>
      <c r="Y56" s="450"/>
      <c r="Z56" s="451"/>
      <c r="AA56" s="450"/>
    </row>
    <row r="57" spans="4:33" ht="15.95" customHeight="1" x14ac:dyDescent="0.2">
      <c r="D57" s="816"/>
      <c r="E57" s="816"/>
      <c r="F57" s="816"/>
      <c r="G57" s="816"/>
      <c r="H57" s="816"/>
      <c r="I57" s="437"/>
      <c r="J57" s="437"/>
      <c r="K57" s="447"/>
      <c r="L57" s="1277" t="s">
        <v>1315</v>
      </c>
      <c r="M57" s="1277"/>
      <c r="N57" s="1278"/>
      <c r="O57" s="1278"/>
      <c r="P57" s="1277"/>
      <c r="Q57" s="450"/>
      <c r="R57" s="450"/>
      <c r="S57" s="450"/>
      <c r="T57" s="451"/>
      <c r="U57" s="450"/>
      <c r="W57" s="450"/>
      <c r="X57" s="450"/>
      <c r="Y57" s="450"/>
      <c r="Z57" s="451"/>
      <c r="AA57" s="450"/>
    </row>
    <row r="58" spans="4:33" ht="15.95" customHeight="1" x14ac:dyDescent="0.2">
      <c r="I58" s="437"/>
      <c r="J58" s="437"/>
      <c r="K58" s="447"/>
      <c r="L58" s="1279">
        <f>SUM(M58:O58)</f>
        <v>0</v>
      </c>
      <c r="M58" s="1280" t="str">
        <f>IF(ISBLANK(N10),"",IF(O10+N10&gt;N12+O12,1,0))</f>
        <v/>
      </c>
      <c r="N58" s="1280" t="str">
        <f>IF(ISBLANK(T10),"",IF(U10+T10&gt;T12+U12,1,0))</f>
        <v/>
      </c>
      <c r="O58" s="1280" t="str">
        <f>IF(ISBLANK(Z10),"",IF(AA10+Z10&gt;AA12+Z12,1,0))</f>
        <v/>
      </c>
      <c r="P58" s="1277"/>
      <c r="Q58" s="450"/>
      <c r="R58" s="450"/>
      <c r="S58" s="450"/>
      <c r="T58" s="451"/>
      <c r="U58" s="450"/>
      <c r="W58" s="450"/>
      <c r="X58" s="450"/>
      <c r="Y58" s="450"/>
      <c r="Z58" s="451"/>
      <c r="AA58" s="450"/>
    </row>
    <row r="59" spans="4:33" ht="15.95" customHeight="1" x14ac:dyDescent="0.2">
      <c r="I59" s="437"/>
      <c r="J59" s="437"/>
      <c r="K59" s="447"/>
      <c r="L59" s="1281"/>
      <c r="M59" s="1282"/>
      <c r="N59" s="1282"/>
      <c r="O59" s="1282"/>
      <c r="P59" s="1277"/>
      <c r="Q59" s="450"/>
      <c r="R59" s="450"/>
      <c r="S59" s="450"/>
      <c r="T59" s="451"/>
      <c r="U59" s="450"/>
      <c r="W59" s="450"/>
      <c r="X59" s="450"/>
      <c r="Y59" s="450"/>
      <c r="Z59" s="451"/>
      <c r="AA59" s="450"/>
    </row>
    <row r="60" spans="4:33" ht="15.95" customHeight="1" x14ac:dyDescent="0.2">
      <c r="I60" s="437"/>
      <c r="J60" s="437"/>
      <c r="L60" s="1283">
        <f>SUM(M60:O60)</f>
        <v>0</v>
      </c>
      <c r="M60" s="1280" t="str">
        <f>IF(ISBLANK(N10),"",IF(O10+N10&lt;N12+O12,1,0))</f>
        <v/>
      </c>
      <c r="N60" s="1280" t="str">
        <f>IF(ISBLANK(T10),"",IF(U10+T10&lt;T12+U12,1,0))</f>
        <v/>
      </c>
      <c r="O60" s="1280" t="str">
        <f>IF(ISBLANK(Z10),"",IF(AA10+Z10&lt;Z12+AA12,1,0))</f>
        <v/>
      </c>
      <c r="P60" s="1277"/>
      <c r="Q60" s="450"/>
      <c r="R60" s="450"/>
      <c r="S60" s="450"/>
      <c r="T60" s="451"/>
      <c r="U60" s="450"/>
      <c r="W60" s="450"/>
      <c r="X60" s="450"/>
      <c r="Y60" s="450"/>
      <c r="Z60" s="451"/>
      <c r="AA60" s="450"/>
    </row>
    <row r="61" spans="4:33" ht="15.95" customHeight="1" x14ac:dyDescent="0.2">
      <c r="I61" s="437"/>
      <c r="J61" s="437"/>
      <c r="K61" s="435"/>
      <c r="L61" s="437"/>
      <c r="M61" s="437"/>
      <c r="N61" s="437"/>
      <c r="O61" s="521"/>
      <c r="P61" s="450"/>
      <c r="Q61" s="450"/>
      <c r="R61" s="450"/>
      <c r="S61" s="450"/>
      <c r="T61" s="451"/>
      <c r="U61" s="450"/>
      <c r="W61" s="450"/>
      <c r="X61" s="450"/>
      <c r="Y61" s="450"/>
      <c r="Z61" s="451"/>
      <c r="AA61" s="450"/>
    </row>
    <row r="62" spans="4:33" ht="15.95" customHeight="1" x14ac:dyDescent="0.2">
      <c r="I62" s="437"/>
      <c r="J62" s="437"/>
      <c r="K62" s="435"/>
      <c r="R62" s="450"/>
      <c r="S62" s="450"/>
      <c r="T62" s="451"/>
      <c r="U62" s="450"/>
      <c r="W62" s="450"/>
      <c r="X62" s="450"/>
      <c r="Y62" s="450"/>
      <c r="Z62" s="451"/>
    </row>
    <row r="63" spans="4:33" ht="15.95" customHeight="1" x14ac:dyDescent="0.2">
      <c r="I63" s="437"/>
      <c r="J63" s="437"/>
      <c r="K63" s="435"/>
    </row>
    <row r="64" spans="4:33" ht="15.95" customHeight="1" x14ac:dyDescent="0.2">
      <c r="I64" s="437"/>
      <c r="J64" s="437"/>
      <c r="K64" s="435"/>
      <c r="N64" s="435"/>
      <c r="O64" s="435"/>
      <c r="P64" s="435"/>
      <c r="Q64" s="435"/>
      <c r="R64" s="435"/>
      <c r="S64" s="435"/>
      <c r="T64" s="435"/>
      <c r="U64" s="435"/>
      <c r="V64" s="435"/>
      <c r="W64" s="435"/>
      <c r="Z64" s="435"/>
      <c r="AA64" s="435"/>
    </row>
    <row r="65" spans="9:36" ht="15.95" customHeight="1" x14ac:dyDescent="0.2">
      <c r="I65" s="437"/>
      <c r="J65" s="437"/>
      <c r="K65" s="435"/>
      <c r="N65" s="435"/>
      <c r="O65" s="435"/>
      <c r="P65" s="435"/>
      <c r="Q65" s="435"/>
      <c r="R65" s="435"/>
      <c r="S65" s="435"/>
      <c r="T65" s="435"/>
      <c r="U65" s="435"/>
      <c r="V65" s="435"/>
      <c r="W65" s="435"/>
      <c r="Z65" s="435"/>
      <c r="AA65" s="435"/>
      <c r="AH65" s="441"/>
      <c r="AI65" s="441"/>
      <c r="AJ65" s="447"/>
    </row>
    <row r="66" spans="9:36" ht="15.95" customHeight="1" x14ac:dyDescent="0.2">
      <c r="I66" s="437"/>
      <c r="J66" s="437"/>
      <c r="K66" s="435"/>
      <c r="N66" s="435"/>
      <c r="O66" s="435"/>
      <c r="P66" s="435"/>
      <c r="Q66" s="435"/>
      <c r="R66" s="435"/>
      <c r="S66" s="435"/>
      <c r="T66" s="435"/>
      <c r="U66" s="435"/>
      <c r="V66" s="435"/>
      <c r="W66" s="435"/>
      <c r="Z66" s="435"/>
      <c r="AA66" s="435"/>
      <c r="AH66" s="441"/>
      <c r="AI66" s="441"/>
      <c r="AJ66" s="447"/>
    </row>
    <row r="67" spans="9:36" ht="15.95" customHeight="1" x14ac:dyDescent="0.2">
      <c r="I67" s="437"/>
      <c r="J67" s="437"/>
      <c r="K67" s="435"/>
      <c r="N67" s="435"/>
      <c r="O67" s="435"/>
      <c r="P67" s="435"/>
      <c r="Q67" s="435"/>
      <c r="R67" s="435"/>
      <c r="S67" s="435"/>
      <c r="T67" s="435"/>
      <c r="U67" s="435"/>
      <c r="V67" s="435"/>
      <c r="W67" s="435"/>
      <c r="Z67" s="435"/>
      <c r="AA67" s="435"/>
      <c r="AH67" s="441"/>
      <c r="AI67" s="441"/>
      <c r="AJ67" s="441"/>
    </row>
    <row r="68" spans="9:36" ht="15.95" customHeight="1" x14ac:dyDescent="0.2">
      <c r="I68" s="437"/>
      <c r="J68" s="437"/>
      <c r="K68" s="435"/>
      <c r="N68" s="435"/>
      <c r="O68" s="435"/>
      <c r="P68" s="435"/>
      <c r="Q68" s="435"/>
      <c r="R68" s="435"/>
      <c r="S68" s="435"/>
      <c r="T68" s="435"/>
      <c r="U68" s="435"/>
      <c r="V68" s="435"/>
      <c r="W68" s="435"/>
      <c r="Z68" s="435"/>
      <c r="AA68" s="435"/>
      <c r="AH68" s="441"/>
      <c r="AI68" s="441"/>
      <c r="AJ68" s="441"/>
    </row>
    <row r="69" spans="9:36" ht="15.95" customHeight="1" x14ac:dyDescent="0.2">
      <c r="I69" s="437"/>
      <c r="J69" s="437"/>
      <c r="K69" s="435"/>
      <c r="N69" s="435"/>
      <c r="O69" s="435"/>
      <c r="P69" s="435"/>
      <c r="Q69" s="435"/>
      <c r="R69" s="435"/>
      <c r="S69" s="435"/>
      <c r="T69" s="435"/>
      <c r="U69" s="435"/>
      <c r="V69" s="435"/>
      <c r="W69" s="435"/>
      <c r="Z69" s="435"/>
      <c r="AA69" s="435"/>
      <c r="AH69" s="441"/>
      <c r="AI69" s="441"/>
      <c r="AJ69" s="450"/>
    </row>
    <row r="70" spans="9:36" ht="15.95" customHeight="1" x14ac:dyDescent="0.2">
      <c r="I70" s="437"/>
      <c r="J70" s="437"/>
      <c r="K70" s="435"/>
      <c r="N70" s="435"/>
      <c r="O70" s="435"/>
      <c r="P70" s="435"/>
      <c r="Q70" s="435"/>
      <c r="R70" s="435"/>
      <c r="S70" s="435"/>
      <c r="T70" s="435"/>
      <c r="U70" s="435"/>
      <c r="V70" s="435"/>
      <c r="W70" s="435"/>
      <c r="Z70" s="435"/>
      <c r="AA70" s="435"/>
      <c r="AH70" s="441"/>
      <c r="AI70" s="441"/>
      <c r="AJ70" s="450"/>
    </row>
    <row r="71" spans="9:36" ht="15.95" customHeight="1" x14ac:dyDescent="0.2">
      <c r="I71" s="437"/>
      <c r="J71" s="437"/>
      <c r="K71" s="435"/>
      <c r="N71" s="435"/>
      <c r="O71" s="435"/>
      <c r="P71" s="435"/>
      <c r="Q71" s="435"/>
      <c r="R71" s="435"/>
      <c r="S71" s="435"/>
      <c r="T71" s="435"/>
      <c r="U71" s="435"/>
      <c r="V71" s="435"/>
      <c r="W71" s="435"/>
      <c r="Z71" s="435"/>
      <c r="AA71" s="435"/>
      <c r="AH71" s="441"/>
      <c r="AI71" s="441"/>
      <c r="AJ71" s="445"/>
    </row>
    <row r="72" spans="9:36" ht="15.95" customHeight="1" x14ac:dyDescent="0.2">
      <c r="I72" s="437"/>
      <c r="J72" s="437"/>
      <c r="K72" s="435"/>
      <c r="N72" s="435"/>
      <c r="O72" s="435"/>
      <c r="P72" s="435"/>
      <c r="Q72" s="435"/>
      <c r="R72" s="435"/>
      <c r="S72" s="435"/>
      <c r="T72" s="435"/>
      <c r="U72" s="435"/>
      <c r="V72" s="435"/>
      <c r="W72" s="435"/>
      <c r="Z72" s="435"/>
      <c r="AA72" s="435"/>
      <c r="AH72" s="441"/>
      <c r="AI72" s="441"/>
      <c r="AJ72" s="447"/>
    </row>
    <row r="73" spans="9:36" ht="15.95" customHeight="1" x14ac:dyDescent="0.2">
      <c r="I73" s="437"/>
      <c r="J73" s="437"/>
      <c r="K73" s="435"/>
      <c r="N73" s="435"/>
      <c r="O73" s="435"/>
      <c r="P73" s="435"/>
      <c r="Q73" s="435"/>
      <c r="R73" s="435"/>
      <c r="S73" s="435"/>
      <c r="T73" s="435"/>
      <c r="U73" s="435"/>
      <c r="V73" s="435"/>
      <c r="W73" s="435"/>
      <c r="Z73" s="435"/>
      <c r="AA73" s="435"/>
      <c r="AH73" s="441"/>
      <c r="AI73" s="441"/>
      <c r="AJ73" s="447"/>
    </row>
    <row r="74" spans="9:36" ht="15.95" customHeight="1" x14ac:dyDescent="0.2">
      <c r="I74" s="437"/>
      <c r="J74" s="437"/>
      <c r="K74" s="435"/>
      <c r="N74" s="435"/>
      <c r="O74" s="435"/>
      <c r="P74" s="435"/>
      <c r="Q74" s="435"/>
      <c r="R74" s="435"/>
      <c r="S74" s="435"/>
      <c r="T74" s="435"/>
      <c r="U74" s="435"/>
      <c r="V74" s="435"/>
      <c r="W74" s="435"/>
      <c r="Z74" s="435"/>
      <c r="AA74" s="435"/>
      <c r="AH74" s="441"/>
      <c r="AI74" s="441"/>
      <c r="AJ74" s="450"/>
    </row>
    <row r="75" spans="9:36" ht="15.95" customHeight="1" x14ac:dyDescent="0.2">
      <c r="I75" s="437"/>
      <c r="J75" s="437"/>
      <c r="K75" s="435"/>
      <c r="N75" s="435"/>
      <c r="O75" s="435"/>
      <c r="P75" s="435"/>
      <c r="Q75" s="435"/>
      <c r="R75" s="435"/>
      <c r="S75" s="435"/>
      <c r="T75" s="435"/>
      <c r="U75" s="435"/>
      <c r="V75" s="435"/>
      <c r="W75" s="435"/>
      <c r="Z75" s="435"/>
      <c r="AA75" s="435"/>
      <c r="AH75" s="441"/>
      <c r="AI75" s="441"/>
      <c r="AJ75" s="450"/>
    </row>
    <row r="76" spans="9:36" ht="15.95" customHeight="1" x14ac:dyDescent="0.2">
      <c r="I76" s="437"/>
      <c r="J76" s="437"/>
      <c r="K76" s="435"/>
      <c r="N76" s="435"/>
      <c r="O76" s="435"/>
      <c r="P76" s="435"/>
      <c r="Q76" s="435"/>
      <c r="R76" s="435"/>
      <c r="S76" s="435"/>
      <c r="T76" s="435"/>
      <c r="U76" s="435"/>
      <c r="V76" s="435"/>
      <c r="W76" s="435"/>
      <c r="Z76" s="435"/>
      <c r="AA76" s="435"/>
      <c r="AH76" s="441"/>
      <c r="AI76" s="441"/>
      <c r="AJ76" s="450"/>
    </row>
    <row r="77" spans="9:36" ht="15.95" customHeight="1" x14ac:dyDescent="0.2">
      <c r="I77" s="437"/>
      <c r="J77" s="437"/>
      <c r="K77" s="435"/>
      <c r="N77" s="435"/>
      <c r="O77" s="435"/>
      <c r="P77" s="435"/>
      <c r="Q77" s="435"/>
      <c r="R77" s="435"/>
      <c r="S77" s="435"/>
      <c r="T77" s="435"/>
      <c r="U77" s="435"/>
      <c r="V77" s="435"/>
      <c r="W77" s="435"/>
      <c r="Z77" s="435"/>
      <c r="AA77" s="435"/>
      <c r="AH77" s="441"/>
      <c r="AI77" s="441"/>
      <c r="AJ77" s="450"/>
    </row>
    <row r="78" spans="9:36" ht="15.95" customHeight="1" x14ac:dyDescent="0.2">
      <c r="I78" s="437"/>
      <c r="J78" s="437"/>
      <c r="K78" s="435"/>
      <c r="N78" s="435"/>
      <c r="O78" s="435"/>
      <c r="P78" s="435"/>
      <c r="Q78" s="435"/>
      <c r="R78" s="435"/>
      <c r="S78" s="435"/>
      <c r="T78" s="435"/>
      <c r="U78" s="435"/>
      <c r="V78" s="435"/>
      <c r="W78" s="435"/>
      <c r="Z78" s="435"/>
      <c r="AA78" s="435"/>
      <c r="AH78" s="441"/>
      <c r="AI78" s="441"/>
      <c r="AJ78" s="445"/>
    </row>
    <row r="79" spans="9:36" ht="15.95" customHeight="1" x14ac:dyDescent="0.2">
      <c r="I79" s="437"/>
      <c r="J79" s="437"/>
      <c r="K79" s="435"/>
      <c r="N79" s="435"/>
      <c r="O79" s="435"/>
      <c r="P79" s="435"/>
      <c r="Q79" s="435"/>
      <c r="R79" s="435"/>
      <c r="S79" s="435"/>
      <c r="T79" s="435"/>
      <c r="U79" s="435"/>
      <c r="V79" s="435"/>
      <c r="W79" s="435"/>
      <c r="Z79" s="435"/>
      <c r="AA79" s="435"/>
      <c r="AH79" s="441"/>
      <c r="AI79" s="441"/>
      <c r="AJ79" s="447"/>
    </row>
    <row r="80" spans="9:36" ht="15.95" customHeight="1" x14ac:dyDescent="0.2">
      <c r="I80" s="437"/>
      <c r="J80" s="437"/>
      <c r="K80" s="435"/>
      <c r="N80" s="435"/>
      <c r="O80" s="435"/>
      <c r="P80" s="435"/>
      <c r="Q80" s="435"/>
      <c r="R80" s="435"/>
      <c r="S80" s="435"/>
      <c r="T80" s="435"/>
      <c r="U80" s="435"/>
      <c r="V80" s="435"/>
      <c r="W80" s="435"/>
      <c r="Z80" s="435"/>
      <c r="AA80" s="435"/>
      <c r="AH80" s="441"/>
      <c r="AI80" s="441"/>
      <c r="AJ80" s="447"/>
    </row>
    <row r="81" spans="9:36" ht="15.95" customHeight="1" x14ac:dyDescent="0.2">
      <c r="I81" s="437"/>
      <c r="J81" s="437"/>
      <c r="K81" s="435"/>
      <c r="N81" s="435"/>
      <c r="O81" s="435"/>
      <c r="P81" s="435"/>
      <c r="Q81" s="435"/>
      <c r="R81" s="435"/>
      <c r="S81" s="435"/>
      <c r="T81" s="435"/>
      <c r="U81" s="435"/>
      <c r="V81" s="435"/>
      <c r="W81" s="435"/>
      <c r="Z81" s="435"/>
      <c r="AA81" s="435"/>
      <c r="AH81" s="441"/>
      <c r="AI81" s="441"/>
      <c r="AJ81" s="447"/>
    </row>
    <row r="82" spans="9:36" ht="15.95" customHeight="1" x14ac:dyDescent="0.2">
      <c r="I82" s="437"/>
      <c r="J82" s="437"/>
      <c r="K82" s="435"/>
      <c r="N82" s="435"/>
      <c r="O82" s="435"/>
      <c r="P82" s="435"/>
      <c r="Q82" s="435"/>
      <c r="R82" s="435"/>
      <c r="S82" s="435"/>
      <c r="T82" s="435"/>
      <c r="U82" s="435"/>
      <c r="V82" s="435"/>
      <c r="W82" s="435"/>
      <c r="Z82" s="435"/>
      <c r="AA82" s="435"/>
      <c r="AH82" s="441"/>
      <c r="AI82" s="441"/>
      <c r="AJ82" s="450"/>
    </row>
    <row r="83" spans="9:36" ht="15.95" customHeight="1" x14ac:dyDescent="0.2">
      <c r="I83" s="437"/>
      <c r="J83" s="437"/>
      <c r="K83" s="435"/>
      <c r="N83" s="435"/>
      <c r="O83" s="435"/>
      <c r="P83" s="435"/>
      <c r="Q83" s="435"/>
      <c r="R83" s="435"/>
      <c r="S83" s="435"/>
      <c r="T83" s="435"/>
      <c r="U83" s="435"/>
      <c r="V83" s="435"/>
      <c r="W83" s="435"/>
      <c r="Z83" s="435"/>
      <c r="AA83" s="435"/>
      <c r="AH83" s="441"/>
      <c r="AI83" s="441"/>
      <c r="AJ83" s="445"/>
    </row>
    <row r="84" spans="9:36" ht="15.95" customHeight="1" x14ac:dyDescent="0.2">
      <c r="I84" s="437"/>
      <c r="J84" s="437"/>
      <c r="K84" s="435"/>
      <c r="N84" s="435"/>
      <c r="O84" s="435"/>
      <c r="P84" s="435"/>
      <c r="Q84" s="435"/>
      <c r="R84" s="435"/>
      <c r="S84" s="435"/>
      <c r="T84" s="435"/>
      <c r="U84" s="435"/>
      <c r="V84" s="435"/>
      <c r="W84" s="435"/>
      <c r="Z84" s="435"/>
      <c r="AA84" s="435"/>
      <c r="AH84" s="441"/>
      <c r="AI84" s="441"/>
      <c r="AJ84" s="447"/>
    </row>
    <row r="85" spans="9:36" ht="15.95" customHeight="1" x14ac:dyDescent="0.2">
      <c r="I85" s="437"/>
      <c r="J85" s="437"/>
      <c r="K85" s="435"/>
      <c r="N85" s="435"/>
      <c r="O85" s="435"/>
      <c r="P85" s="435"/>
      <c r="Q85" s="435"/>
      <c r="R85" s="435"/>
      <c r="S85" s="435"/>
      <c r="T85" s="435"/>
      <c r="U85" s="435"/>
      <c r="V85" s="435"/>
      <c r="W85" s="435"/>
      <c r="Z85" s="435"/>
      <c r="AA85" s="435"/>
      <c r="AH85" s="441"/>
      <c r="AI85" s="441"/>
      <c r="AJ85" s="447"/>
    </row>
    <row r="86" spans="9:36" ht="15.95" customHeight="1" x14ac:dyDescent="0.2">
      <c r="K86" s="435"/>
      <c r="N86" s="435"/>
      <c r="O86" s="435"/>
      <c r="P86" s="435"/>
      <c r="Q86" s="435"/>
      <c r="R86" s="435"/>
      <c r="S86" s="435"/>
      <c r="T86" s="435"/>
      <c r="U86" s="435"/>
      <c r="V86" s="435"/>
      <c r="W86" s="435"/>
      <c r="Z86" s="435"/>
      <c r="AA86" s="435"/>
      <c r="AH86" s="441"/>
      <c r="AI86" s="441"/>
      <c r="AJ86" s="441"/>
    </row>
    <row r="87" spans="9:36" ht="15.95" customHeight="1" x14ac:dyDescent="0.2">
      <c r="K87" s="435"/>
      <c r="N87" s="435"/>
      <c r="O87" s="435"/>
      <c r="P87" s="435"/>
      <c r="Q87" s="435"/>
      <c r="R87" s="435"/>
      <c r="S87" s="435"/>
      <c r="T87" s="435"/>
      <c r="U87" s="435"/>
      <c r="V87" s="435"/>
      <c r="W87" s="435"/>
      <c r="Z87" s="435"/>
      <c r="AA87" s="435"/>
      <c r="AH87" s="441"/>
      <c r="AI87" s="441"/>
      <c r="AJ87" s="441"/>
    </row>
    <row r="88" spans="9:36" ht="15.95" customHeight="1" x14ac:dyDescent="0.2">
      <c r="K88" s="435"/>
      <c r="N88" s="435"/>
      <c r="O88" s="435"/>
      <c r="P88" s="435"/>
      <c r="Q88" s="435"/>
      <c r="R88" s="435"/>
      <c r="S88" s="435"/>
      <c r="T88" s="435"/>
      <c r="U88" s="435"/>
      <c r="V88" s="435"/>
      <c r="W88" s="435"/>
      <c r="Z88" s="435"/>
      <c r="AA88" s="435"/>
    </row>
    <row r="89" spans="9:36" ht="15.95" customHeight="1" x14ac:dyDescent="0.2">
      <c r="K89" s="435"/>
      <c r="N89" s="435"/>
      <c r="O89" s="435"/>
      <c r="P89" s="435"/>
      <c r="Q89" s="435"/>
      <c r="R89" s="435"/>
      <c r="S89" s="435"/>
      <c r="T89" s="435"/>
      <c r="U89" s="435"/>
      <c r="V89" s="435"/>
      <c r="W89" s="435"/>
      <c r="Z89" s="435"/>
      <c r="AA89" s="435"/>
    </row>
    <row r="90" spans="9:36" ht="15.95" customHeight="1" x14ac:dyDescent="0.2">
      <c r="K90" s="435"/>
      <c r="N90" s="435"/>
      <c r="O90" s="435"/>
      <c r="P90" s="435"/>
      <c r="Q90" s="435"/>
      <c r="R90" s="435"/>
      <c r="S90" s="435"/>
      <c r="T90" s="435"/>
      <c r="U90" s="435"/>
      <c r="V90" s="435"/>
      <c r="W90" s="435"/>
      <c r="Z90" s="435"/>
      <c r="AA90" s="435"/>
    </row>
    <row r="91" spans="9:36" ht="15.95" customHeight="1" x14ac:dyDescent="0.2">
      <c r="K91" s="435"/>
      <c r="N91" s="435"/>
      <c r="O91" s="435"/>
      <c r="P91" s="435"/>
      <c r="Q91" s="435"/>
      <c r="R91" s="435"/>
      <c r="S91" s="435"/>
      <c r="T91" s="435"/>
      <c r="U91" s="435"/>
      <c r="V91" s="435"/>
      <c r="W91" s="435"/>
      <c r="Z91" s="435"/>
      <c r="AA91" s="435"/>
    </row>
    <row r="92" spans="9:36" ht="15.95" customHeight="1" x14ac:dyDescent="0.2">
      <c r="K92" s="435"/>
    </row>
    <row r="93" spans="9:36" ht="15.95" customHeight="1" x14ac:dyDescent="0.2">
      <c r="K93" s="435"/>
    </row>
    <row r="94" spans="9:36" ht="15.95" customHeight="1" x14ac:dyDescent="0.2">
      <c r="K94" s="435"/>
    </row>
    <row r="95" spans="9:36" ht="15.95" customHeight="1" x14ac:dyDescent="0.2">
      <c r="K95" s="435"/>
      <c r="S95" s="450"/>
    </row>
    <row r="96" spans="9:36" ht="15.95" customHeight="1" x14ac:dyDescent="0.2">
      <c r="K96" s="435"/>
      <c r="S96" s="450"/>
    </row>
    <row r="97" ht="15.95" customHeight="1" x14ac:dyDescent="0.2"/>
    <row r="98" ht="15.95" customHeight="1" x14ac:dyDescent="0.2"/>
    <row r="99" ht="15.95" customHeight="1" x14ac:dyDescent="0.2"/>
    <row r="100" ht="15.95" customHeight="1" x14ac:dyDescent="0.2"/>
    <row r="101" ht="15.95" customHeight="1" x14ac:dyDescent="0.2"/>
    <row r="102" ht="15.95" customHeight="1" x14ac:dyDescent="0.2"/>
    <row r="103" ht="15.95" customHeight="1" x14ac:dyDescent="0.2"/>
    <row r="104" ht="15.95" customHeight="1" x14ac:dyDescent="0.2"/>
    <row r="105" ht="15.95" customHeight="1" x14ac:dyDescent="0.2"/>
    <row r="106" ht="15.95" customHeight="1" x14ac:dyDescent="0.2"/>
    <row r="107" ht="15.95" customHeight="1" x14ac:dyDescent="0.2"/>
    <row r="108" ht="15.95" customHeight="1" x14ac:dyDescent="0.2"/>
    <row r="109" ht="15.95" customHeight="1" x14ac:dyDescent="0.2"/>
    <row r="110" ht="15.95" customHeight="1" x14ac:dyDescent="0.2"/>
    <row r="111" ht="15.95" customHeight="1" x14ac:dyDescent="0.2"/>
    <row r="112" ht="15.95" customHeight="1" x14ac:dyDescent="0.2"/>
    <row r="113" ht="15.95" customHeight="1" x14ac:dyDescent="0.2"/>
    <row r="114" ht="15.95" customHeight="1" x14ac:dyDescent="0.2"/>
    <row r="115" ht="15.95" customHeight="1" x14ac:dyDescent="0.2"/>
    <row r="116" ht="15.95" customHeight="1" x14ac:dyDescent="0.2"/>
    <row r="117" ht="15.95" customHeight="1" x14ac:dyDescent="0.2"/>
    <row r="118" ht="15.95" customHeight="1" x14ac:dyDescent="0.2"/>
    <row r="119" ht="15.95" customHeight="1" x14ac:dyDescent="0.2"/>
    <row r="120" ht="15.95" customHeight="1" x14ac:dyDescent="0.2"/>
    <row r="121" ht="15.95" customHeight="1" x14ac:dyDescent="0.2"/>
    <row r="122" ht="15.95" customHeight="1" x14ac:dyDescent="0.2"/>
    <row r="123" ht="15.95" customHeight="1" x14ac:dyDescent="0.2"/>
    <row r="124" ht="15.95" customHeight="1" x14ac:dyDescent="0.2"/>
    <row r="125" ht="15.95" customHeight="1" x14ac:dyDescent="0.2"/>
    <row r="126" ht="15.95" customHeight="1" x14ac:dyDescent="0.2"/>
    <row r="127" ht="15.95" customHeight="1" x14ac:dyDescent="0.2"/>
    <row r="128" ht="15.95" customHeight="1" x14ac:dyDescent="0.2"/>
    <row r="129" ht="15.95" customHeight="1" x14ac:dyDescent="0.2"/>
    <row r="130" ht="15.95" customHeight="1" x14ac:dyDescent="0.2"/>
    <row r="131" ht="15.95" customHeight="1" x14ac:dyDescent="0.2"/>
    <row r="132" ht="15.95" customHeight="1" x14ac:dyDescent="0.2"/>
    <row r="133" ht="15.95" customHeight="1" x14ac:dyDescent="0.2"/>
    <row r="134" ht="15.95" customHeight="1" x14ac:dyDescent="0.2"/>
    <row r="135" ht="15.95" customHeight="1" x14ac:dyDescent="0.2"/>
    <row r="136" ht="15.95" customHeight="1" x14ac:dyDescent="0.2"/>
    <row r="137" ht="15.95" customHeight="1" x14ac:dyDescent="0.2"/>
    <row r="138" ht="15.95" customHeight="1" x14ac:dyDescent="0.2"/>
    <row r="139" ht="15.95" customHeight="1" x14ac:dyDescent="0.2"/>
    <row r="140" ht="15.95" customHeight="1" x14ac:dyDescent="0.2"/>
    <row r="141" ht="15.95" customHeight="1" x14ac:dyDescent="0.2"/>
    <row r="142" ht="15.95" customHeight="1" x14ac:dyDescent="0.2"/>
    <row r="143" ht="15.95" customHeight="1" x14ac:dyDescent="0.2"/>
    <row r="144" ht="15.95" customHeight="1" x14ac:dyDescent="0.2"/>
    <row r="145" ht="15.95" customHeight="1" x14ac:dyDescent="0.2"/>
    <row r="146" ht="15.95" customHeight="1" x14ac:dyDescent="0.2"/>
    <row r="147" ht="15.95" customHeight="1" x14ac:dyDescent="0.2"/>
    <row r="148" ht="15.95" customHeight="1" x14ac:dyDescent="0.2"/>
  </sheetData>
  <sheetProtection selectLockedCells="1"/>
  <mergeCells count="20">
    <mergeCell ref="K4:N4"/>
    <mergeCell ref="Q4:T4"/>
    <mergeCell ref="W4:Z4"/>
    <mergeCell ref="AH4:AJ5"/>
    <mergeCell ref="K1:AA1"/>
    <mergeCell ref="AF1:AJ1"/>
    <mergeCell ref="K2:Z2"/>
    <mergeCell ref="AF2:AJ2"/>
    <mergeCell ref="N3:X3"/>
    <mergeCell ref="AF3:AJ3"/>
    <mergeCell ref="M15:O18"/>
    <mergeCell ref="M6:Z7"/>
    <mergeCell ref="Z10:Z11"/>
    <mergeCell ref="Z12:Z13"/>
    <mergeCell ref="T10:T11"/>
    <mergeCell ref="T12:T13"/>
    <mergeCell ref="N10:N11"/>
    <mergeCell ref="T16:T17"/>
    <mergeCell ref="Z16:Z17"/>
    <mergeCell ref="N12:N13"/>
  </mergeCells>
  <conditionalFormatting sqref="O10:O11">
    <cfRule type="expression" priority="27" stopIfTrue="1">
      <formula>IF(N10="",1)</formula>
    </cfRule>
    <cfRule type="expression" dxfId="2186" priority="29">
      <formula>IF(N10=N12,1,0)</formula>
    </cfRule>
  </conditionalFormatting>
  <conditionalFormatting sqref="O12">
    <cfRule type="expression" priority="26" stopIfTrue="1">
      <formula>IF(N12="",1,0)</formula>
    </cfRule>
    <cfRule type="expression" dxfId="2185" priority="28">
      <formula>IF(N10=N12,1,0)</formula>
    </cfRule>
  </conditionalFormatting>
  <conditionalFormatting sqref="U10:U11">
    <cfRule type="expression" priority="23" stopIfTrue="1">
      <formula>IF(T10="",1)</formula>
    </cfRule>
    <cfRule type="expression" dxfId="2184" priority="25">
      <formula>IF(T10=T12,1,0)</formula>
    </cfRule>
  </conditionalFormatting>
  <conditionalFormatting sqref="U12">
    <cfRule type="expression" priority="22" stopIfTrue="1">
      <formula>IF(T12="",1,0)</formula>
    </cfRule>
    <cfRule type="expression" dxfId="2183" priority="24">
      <formula>IF(T10=T12,1,0)</formula>
    </cfRule>
  </conditionalFormatting>
  <conditionalFormatting sqref="AA10:AA11">
    <cfRule type="expression" priority="19" stopIfTrue="1">
      <formula>IF(Z10="",1)</formula>
    </cfRule>
    <cfRule type="expression" dxfId="2182" priority="21">
      <formula>IF(Z10=Z12,1,0)</formula>
    </cfRule>
  </conditionalFormatting>
  <conditionalFormatting sqref="AA12">
    <cfRule type="expression" priority="18" stopIfTrue="1">
      <formula>IF(Z12="",1,0)</formula>
    </cfRule>
    <cfRule type="expression" dxfId="2181" priority="20">
      <formula>IF(Z10=Z12,1,0)</formula>
    </cfRule>
  </conditionalFormatting>
  <conditionalFormatting sqref="M15">
    <cfRule type="expression" dxfId="2180" priority="17">
      <formula>IF(N16+O16&gt;#REF!+#REF!,1,0)</formula>
    </cfRule>
  </conditionalFormatting>
  <conditionalFormatting sqref="S16">
    <cfRule type="expression" dxfId="2179" priority="16">
      <formula>IF(T16&gt;Z16,1,0)</formula>
    </cfRule>
  </conditionalFormatting>
  <conditionalFormatting sqref="Y16">
    <cfRule type="expression" dxfId="2178" priority="15">
      <formula>IF(T16&lt;Z16,1,0)</formula>
    </cfRule>
  </conditionalFormatting>
  <conditionalFormatting sqref="M10">
    <cfRule type="expression" dxfId="2177" priority="6">
      <formula>IF(N10+O10&gt;N12+O12,1,0)</formula>
    </cfRule>
  </conditionalFormatting>
  <conditionalFormatting sqref="M12">
    <cfRule type="expression" dxfId="2176" priority="5">
      <formula>IF(N12+O12&gt;N14+O14,1,0)</formula>
    </cfRule>
  </conditionalFormatting>
  <conditionalFormatting sqref="S10">
    <cfRule type="expression" dxfId="2175" priority="4">
      <formula>IF(T10+U10&gt;T12+U12,1,0)</formula>
    </cfRule>
  </conditionalFormatting>
  <conditionalFormatting sqref="S12">
    <cfRule type="expression" dxfId="2174" priority="3">
      <formula>IF(T12+U12&gt;T14+U14,1,0)</formula>
    </cfRule>
  </conditionalFormatting>
  <conditionalFormatting sqref="Y10">
    <cfRule type="expression" dxfId="2173" priority="2">
      <formula>IF(Z10+AA10&gt;Z12+AA12,1,0)</formula>
    </cfRule>
  </conditionalFormatting>
  <conditionalFormatting sqref="Y12">
    <cfRule type="expression" dxfId="2172" priority="1">
      <formula>IF(Z12+AA12&gt;Z14+AA14,1,0)</formula>
    </cfRule>
  </conditionalFormatting>
  <pageMargins left="0.70866141732283472" right="0.70866141732283472" top="0.74803149606299213" bottom="0.74803149606299213" header="0.31496062992125984" footer="0.31496062992125984"/>
  <pageSetup paperSize="9" scale="17"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
    <tabColor rgb="FF00B0F0"/>
    <pageSetUpPr fitToPage="1"/>
  </sheetPr>
  <dimension ref="A1:P130"/>
  <sheetViews>
    <sheetView zoomScaleNormal="100" workbookViewId="0">
      <pane ySplit="5" topLeftCell="A6" activePane="bottomLeft" state="frozenSplit"/>
      <selection pane="bottomLeft"/>
    </sheetView>
  </sheetViews>
  <sheetFormatPr baseColWidth="10" defaultRowHeight="12" x14ac:dyDescent="0.2"/>
  <cols>
    <col min="1" max="1" width="3" style="169" bestFit="1" customWidth="1"/>
    <col min="2" max="2" width="44.140625" style="10" customWidth="1"/>
    <col min="3" max="3" width="30.85546875" style="10" customWidth="1"/>
    <col min="4" max="4" width="21.140625" style="10" customWidth="1"/>
    <col min="5" max="5" width="22.42578125" style="10" customWidth="1"/>
    <col min="6" max="6" width="17.85546875" style="10" customWidth="1"/>
    <col min="7" max="7" width="11.28515625" style="19" customWidth="1"/>
    <col min="8" max="8" width="11.28515625" style="170" customWidth="1"/>
    <col min="9" max="9" width="6.28515625" style="169" customWidth="1"/>
    <col min="10" max="10" width="3.85546875" style="19" bestFit="1" customWidth="1"/>
    <col min="11" max="11" width="7.42578125" style="171" bestFit="1" customWidth="1"/>
    <col min="12" max="12" width="5.28515625" style="19" customWidth="1"/>
    <col min="13" max="13" width="15.28515625" style="19" customWidth="1"/>
    <col min="14" max="14" width="10" style="19" customWidth="1"/>
    <col min="15" max="15" width="12.42578125" style="10" bestFit="1" customWidth="1"/>
    <col min="16" max="16" width="12.7109375" style="10" bestFit="1" customWidth="1"/>
    <col min="17" max="16384" width="11.42578125" style="10"/>
  </cols>
  <sheetData>
    <row r="1" spans="1:16" s="153" customFormat="1" ht="6" customHeight="1" x14ac:dyDescent="0.2">
      <c r="A1" s="157"/>
      <c r="B1" s="157"/>
      <c r="C1" s="154"/>
      <c r="D1" s="157"/>
      <c r="H1" s="158"/>
      <c r="I1" s="157"/>
      <c r="J1" s="154"/>
      <c r="K1" s="159"/>
      <c r="L1" s="154"/>
      <c r="M1" s="154"/>
      <c r="N1" s="19"/>
    </row>
    <row r="2" spans="1:16" s="153" customFormat="1" x14ac:dyDescent="0.2">
      <c r="A2" s="157"/>
      <c r="B2" s="157"/>
      <c r="C2" s="154"/>
      <c r="D2" s="157"/>
      <c r="H2" s="158"/>
      <c r="I2" s="160" t="s">
        <v>27</v>
      </c>
      <c r="J2" s="160"/>
      <c r="K2" s="160"/>
      <c r="L2" s="160"/>
      <c r="M2" s="154"/>
      <c r="N2" s="19"/>
      <c r="O2" s="160" t="s">
        <v>52</v>
      </c>
    </row>
    <row r="3" spans="1:16" s="153" customFormat="1" ht="18" x14ac:dyDescent="0.2">
      <c r="A3" s="157"/>
      <c r="B3" s="963" t="str">
        <f>CATEG_IMPORTEE</f>
        <v>Collèges Mixtes Etablissement</v>
      </c>
      <c r="C3" s="963" t="str">
        <f>RIGHT(CATEG_IMPORTEE, LEN(CATEG_IMPORTEE) - 2)</f>
        <v>llèges Mixtes Etablissement</v>
      </c>
      <c r="D3" s="963" t="str">
        <f>RIGHT(CATEG_IMPORTEE, LEN(CATEG_IMPORTEE) - 2)</f>
        <v>llèges Mixtes Etablissement</v>
      </c>
      <c r="L3" s="154"/>
      <c r="M3" s="154"/>
      <c r="N3" s="19"/>
    </row>
    <row r="4" spans="1:16" s="153" customFormat="1" x14ac:dyDescent="0.2">
      <c r="A4" s="157"/>
      <c r="G4" s="154"/>
      <c r="H4" s="335" t="s">
        <v>31</v>
      </c>
      <c r="I4" s="337" t="s">
        <v>388</v>
      </c>
      <c r="J4" s="154"/>
      <c r="K4" s="340" t="s">
        <v>12</v>
      </c>
      <c r="L4" s="157"/>
      <c r="M4" s="157"/>
      <c r="N4" s="19"/>
    </row>
    <row r="5" spans="1:16" s="153" customFormat="1" ht="15.75" customHeight="1" thickBot="1" x14ac:dyDescent="0.25">
      <c r="A5" s="427" t="s">
        <v>388</v>
      </c>
      <c r="B5" s="427" t="s">
        <v>0</v>
      </c>
      <c r="C5" s="332" t="s">
        <v>375</v>
      </c>
      <c r="D5" s="331" t="s">
        <v>374</v>
      </c>
      <c r="E5" s="333" t="s">
        <v>1</v>
      </c>
      <c r="F5" s="333" t="s">
        <v>2</v>
      </c>
      <c r="G5" s="334" t="s">
        <v>33</v>
      </c>
      <c r="H5" s="336" t="s">
        <v>32</v>
      </c>
      <c r="I5" s="338" t="s">
        <v>13</v>
      </c>
      <c r="J5" s="339" t="s">
        <v>377</v>
      </c>
      <c r="K5" s="341" t="s">
        <v>39</v>
      </c>
      <c r="L5" s="157"/>
      <c r="M5" s="157"/>
      <c r="N5" s="19" t="s">
        <v>1027</v>
      </c>
      <c r="O5" s="153" t="s">
        <v>1033</v>
      </c>
      <c r="P5" s="153" t="s">
        <v>1079</v>
      </c>
    </row>
    <row r="6" spans="1:16" s="153" customFormat="1" ht="12.75" customHeight="1" x14ac:dyDescent="0.2">
      <c r="A6" s="546">
        <v>1</v>
      </c>
      <c r="B6" s="317"/>
      <c r="C6" s="317"/>
      <c r="D6" s="318"/>
      <c r="E6" s="318"/>
      <c r="F6" s="318"/>
      <c r="G6" s="320"/>
      <c r="H6" s="165"/>
      <c r="I6" s="322"/>
      <c r="J6" s="323"/>
      <c r="K6" s="541" t="str">
        <f t="shared" ref="K6:K46" si="0">IF(G6="","",VLOOKUP(YEAR(G6),barèmecible,2))</f>
        <v/>
      </c>
      <c r="L6" s="429" t="str">
        <f t="shared" ref="L6:L14" si="1">RIGHT(J6,1)</f>
        <v/>
      </c>
      <c r="M6" s="430"/>
      <c r="N6" s="749" t="e">
        <f>VLOOKUP(H6,N°LicPRO,2,FALSE)</f>
        <v>#N/A</v>
      </c>
      <c r="O6" s="960" t="e">
        <f>IF(AND(N6="oui",N7="oui",N8="oui",N9="oui"),"PRO","N")</f>
        <v>#N/A</v>
      </c>
      <c r="P6" s="749" t="e">
        <f t="shared" ref="P6:P36" si="2">VLOOKUP(H6,N°LicPRO,3,FALSE)</f>
        <v>#N/A</v>
      </c>
    </row>
    <row r="7" spans="1:16" s="153" customFormat="1" ht="12.75" customHeight="1" x14ac:dyDescent="0.2">
      <c r="A7" s="547">
        <v>1</v>
      </c>
      <c r="B7" s="162"/>
      <c r="C7" s="162"/>
      <c r="D7" s="163"/>
      <c r="E7" s="163"/>
      <c r="F7" s="163"/>
      <c r="G7" s="164"/>
      <c r="H7" s="165"/>
      <c r="I7" s="602"/>
      <c r="J7" s="155"/>
      <c r="K7" s="541" t="str">
        <f t="shared" si="0"/>
        <v/>
      </c>
      <c r="L7" s="431" t="str">
        <f t="shared" si="1"/>
        <v/>
      </c>
      <c r="M7" s="432">
        <f>COUNTIF(L6:L9,"F")</f>
        <v>0</v>
      </c>
      <c r="N7" s="750" t="e">
        <f>VLOOKUP(H7,N°LicPRO,2,FALSE)</f>
        <v>#N/A</v>
      </c>
      <c r="O7" s="961"/>
      <c r="P7" s="750" t="e">
        <f t="shared" si="2"/>
        <v>#N/A</v>
      </c>
    </row>
    <row r="8" spans="1:16" s="153" customFormat="1" ht="12.75" customHeight="1" x14ac:dyDescent="0.2">
      <c r="A8" s="547">
        <v>1</v>
      </c>
      <c r="B8" s="162"/>
      <c r="C8" s="162"/>
      <c r="D8" s="163"/>
      <c r="E8" s="163"/>
      <c r="F8" s="163"/>
      <c r="G8" s="164"/>
      <c r="H8" s="165"/>
      <c r="I8" s="602"/>
      <c r="J8" s="155"/>
      <c r="K8" s="541" t="str">
        <f t="shared" si="0"/>
        <v/>
      </c>
      <c r="L8" s="431" t="str">
        <f t="shared" si="1"/>
        <v/>
      </c>
      <c r="M8" s="433">
        <f>COUNTIF(L6:L9,"G")</f>
        <v>0</v>
      </c>
      <c r="N8" s="750" t="e">
        <f t="shared" ref="N8:N70" si="3">VLOOKUP(H8,N°LicPRO,2,FALSE)</f>
        <v>#N/A</v>
      </c>
      <c r="O8" s="961"/>
      <c r="P8" s="750" t="e">
        <f t="shared" si="2"/>
        <v>#N/A</v>
      </c>
    </row>
    <row r="9" spans="1:16" s="153" customFormat="1" ht="12.75" customHeight="1" thickBot="1" x14ac:dyDescent="0.25">
      <c r="A9" s="548">
        <v>1</v>
      </c>
      <c r="B9" s="428"/>
      <c r="C9" s="325"/>
      <c r="D9" s="326"/>
      <c r="E9" s="326"/>
      <c r="F9" s="326"/>
      <c r="G9" s="327"/>
      <c r="H9" s="328"/>
      <c r="I9" s="839"/>
      <c r="J9" s="329"/>
      <c r="K9" s="542" t="str">
        <f t="shared" si="0"/>
        <v/>
      </c>
      <c r="L9" s="434" t="str">
        <f t="shared" si="1"/>
        <v/>
      </c>
      <c r="M9" s="826">
        <f ca="1">IF(YEAR(G9)&lt;SENIOR1,1,0)+IF(YEAR(G8)&lt;SENIOR1,1,0)+IF(YEAR(G7)&lt;SENIOR1,1,0)+IF(YEAR(G6)&lt;SENIOR1,1,0)</f>
        <v>4</v>
      </c>
      <c r="N9" s="751" t="e">
        <f t="shared" si="3"/>
        <v>#N/A</v>
      </c>
      <c r="O9" s="962"/>
      <c r="P9" s="751" t="e">
        <f t="shared" si="2"/>
        <v>#N/A</v>
      </c>
    </row>
    <row r="10" spans="1:16" s="153" customFormat="1" ht="12.75" customHeight="1" x14ac:dyDescent="0.2">
      <c r="A10" s="547">
        <v>2</v>
      </c>
      <c r="B10" s="317"/>
      <c r="C10" s="317"/>
      <c r="D10" s="318"/>
      <c r="E10" s="318"/>
      <c r="F10" s="318"/>
      <c r="G10" s="320"/>
      <c r="H10" s="165"/>
      <c r="I10" s="322"/>
      <c r="J10" s="323"/>
      <c r="K10" s="543" t="str">
        <f t="shared" si="0"/>
        <v/>
      </c>
      <c r="L10" s="429" t="str">
        <f t="shared" si="1"/>
        <v/>
      </c>
      <c r="M10" s="430"/>
      <c r="N10" s="749" t="e">
        <f t="shared" si="3"/>
        <v>#N/A</v>
      </c>
      <c r="O10" s="960" t="e">
        <f t="shared" ref="O10" si="4">IF(AND(N10="oui",N11="oui",N12="oui",N13="oui"),"PRO","N")</f>
        <v>#N/A</v>
      </c>
      <c r="P10" s="749" t="e">
        <f t="shared" si="2"/>
        <v>#N/A</v>
      </c>
    </row>
    <row r="11" spans="1:16" s="153" customFormat="1" ht="12.75" customHeight="1" x14ac:dyDescent="0.2">
      <c r="A11" s="547">
        <v>2</v>
      </c>
      <c r="B11" s="162"/>
      <c r="C11" s="162"/>
      <c r="D11" s="163"/>
      <c r="E11" s="163"/>
      <c r="F11" s="163"/>
      <c r="G11" s="164"/>
      <c r="H11" s="165"/>
      <c r="I11" s="168"/>
      <c r="J11" s="155"/>
      <c r="K11" s="544" t="str">
        <f t="shared" si="0"/>
        <v/>
      </c>
      <c r="L11" s="431" t="str">
        <f t="shared" si="1"/>
        <v/>
      </c>
      <c r="M11" s="432">
        <f t="shared" ref="M11" si="5">COUNTIF(L10:L13,"F")</f>
        <v>0</v>
      </c>
      <c r="N11" s="750" t="e">
        <f t="shared" si="3"/>
        <v>#N/A</v>
      </c>
      <c r="O11" s="961"/>
      <c r="P11" s="750"/>
    </row>
    <row r="12" spans="1:16" s="153" customFormat="1" ht="12.75" customHeight="1" x14ac:dyDescent="0.2">
      <c r="A12" s="547">
        <v>2</v>
      </c>
      <c r="B12" s="162"/>
      <c r="C12" s="162"/>
      <c r="D12" s="163"/>
      <c r="E12" s="163"/>
      <c r="F12" s="163"/>
      <c r="G12" s="164"/>
      <c r="H12" s="165"/>
      <c r="I12" s="168"/>
      <c r="J12" s="155"/>
      <c r="K12" s="544" t="str">
        <f t="shared" si="0"/>
        <v/>
      </c>
      <c r="L12" s="431" t="str">
        <f t="shared" si="1"/>
        <v/>
      </c>
      <c r="M12" s="433">
        <f t="shared" ref="M12" si="6">COUNTIF(L10:L13,"G")</f>
        <v>0</v>
      </c>
      <c r="N12" s="750" t="e">
        <f t="shared" si="3"/>
        <v>#N/A</v>
      </c>
      <c r="O12" s="961"/>
      <c r="P12" s="750" t="e">
        <f t="shared" si="2"/>
        <v>#N/A</v>
      </c>
    </row>
    <row r="13" spans="1:16" s="153" customFormat="1" ht="12.75" customHeight="1" thickBot="1" x14ac:dyDescent="0.25">
      <c r="A13" s="548">
        <v>2</v>
      </c>
      <c r="B13" s="428"/>
      <c r="C13" s="325"/>
      <c r="D13" s="326"/>
      <c r="E13" s="326"/>
      <c r="F13" s="326"/>
      <c r="G13" s="327"/>
      <c r="H13" s="328"/>
      <c r="I13" s="330"/>
      <c r="J13" s="329"/>
      <c r="K13" s="545" t="str">
        <f t="shared" si="0"/>
        <v/>
      </c>
      <c r="L13" s="434" t="str">
        <f t="shared" si="1"/>
        <v/>
      </c>
      <c r="M13" s="826">
        <f ca="1">IF(YEAR(G13)&lt;SENIOR1,1,0)+IF(YEAR(G12)&lt;SENIOR1,1,0)+IF(YEAR(G11)&lt;SENIOR1,1,0)+IF(YEAR(G10)&lt;SENIOR1,1,0)</f>
        <v>4</v>
      </c>
      <c r="N13" s="751" t="e">
        <f t="shared" si="3"/>
        <v>#N/A</v>
      </c>
      <c r="O13" s="962"/>
      <c r="P13" s="751" t="e">
        <f t="shared" si="2"/>
        <v>#N/A</v>
      </c>
    </row>
    <row r="14" spans="1:16" s="153" customFormat="1" ht="12.75" customHeight="1" x14ac:dyDescent="0.2">
      <c r="A14" s="547">
        <v>3</v>
      </c>
      <c r="B14" s="317"/>
      <c r="C14" s="317"/>
      <c r="D14" s="318"/>
      <c r="E14" s="318"/>
      <c r="F14" s="318"/>
      <c r="G14" s="320"/>
      <c r="H14" s="165"/>
      <c r="I14" s="322"/>
      <c r="J14" s="323"/>
      <c r="K14" s="543" t="str">
        <f t="shared" si="0"/>
        <v/>
      </c>
      <c r="L14" s="429" t="str">
        <f t="shared" si="1"/>
        <v/>
      </c>
      <c r="M14" s="430"/>
      <c r="N14" s="749" t="e">
        <f t="shared" si="3"/>
        <v>#N/A</v>
      </c>
      <c r="O14" s="960" t="e">
        <f t="shared" ref="O14" si="7">IF(AND(N14="oui",N15="oui",N16="oui",N17="oui"),"PRO","N")</f>
        <v>#N/A</v>
      </c>
      <c r="P14" s="749" t="e">
        <f t="shared" si="2"/>
        <v>#N/A</v>
      </c>
    </row>
    <row r="15" spans="1:16" s="153" customFormat="1" ht="12.75" customHeight="1" x14ac:dyDescent="0.2">
      <c r="A15" s="547">
        <v>3</v>
      </c>
      <c r="B15" s="162"/>
      <c r="C15" s="162"/>
      <c r="D15" s="163"/>
      <c r="E15" s="163"/>
      <c r="F15" s="163"/>
      <c r="G15" s="164"/>
      <c r="H15" s="165"/>
      <c r="I15" s="168"/>
      <c r="J15" s="155"/>
      <c r="K15" s="544" t="str">
        <f t="shared" si="0"/>
        <v/>
      </c>
      <c r="L15" s="431" t="str">
        <f t="shared" ref="L15:L38" si="8">RIGHT(J15,1)</f>
        <v/>
      </c>
      <c r="M15" s="432">
        <f t="shared" ref="M15" si="9">COUNTIF(L14:L17,"F")</f>
        <v>0</v>
      </c>
      <c r="N15" s="750" t="e">
        <f t="shared" si="3"/>
        <v>#N/A</v>
      </c>
      <c r="O15" s="961"/>
      <c r="P15" s="750"/>
    </row>
    <row r="16" spans="1:16" s="153" customFormat="1" ht="12.75" customHeight="1" x14ac:dyDescent="0.2">
      <c r="A16" s="547">
        <v>3</v>
      </c>
      <c r="B16" s="162"/>
      <c r="C16" s="162"/>
      <c r="D16" s="163"/>
      <c r="E16" s="163"/>
      <c r="F16" s="163"/>
      <c r="G16" s="164"/>
      <c r="H16" s="165"/>
      <c r="I16" s="168"/>
      <c r="J16" s="155"/>
      <c r="K16" s="544" t="str">
        <f t="shared" si="0"/>
        <v/>
      </c>
      <c r="L16" s="431" t="str">
        <f t="shared" si="8"/>
        <v/>
      </c>
      <c r="M16" s="433">
        <f t="shared" ref="M16" si="10">COUNTIF(L14:L17,"G")</f>
        <v>0</v>
      </c>
      <c r="N16" s="750" t="e">
        <f t="shared" si="3"/>
        <v>#N/A</v>
      </c>
      <c r="O16" s="961"/>
      <c r="P16" s="750" t="e">
        <f t="shared" si="2"/>
        <v>#N/A</v>
      </c>
    </row>
    <row r="17" spans="1:16" s="153" customFormat="1" ht="12.75" customHeight="1" thickBot="1" x14ac:dyDescent="0.25">
      <c r="A17" s="548">
        <v>3</v>
      </c>
      <c r="B17" s="428"/>
      <c r="C17" s="325"/>
      <c r="D17" s="326"/>
      <c r="E17" s="326"/>
      <c r="F17" s="326"/>
      <c r="G17" s="327"/>
      <c r="H17" s="328"/>
      <c r="I17" s="168"/>
      <c r="J17" s="155"/>
      <c r="K17" s="545" t="str">
        <f t="shared" si="0"/>
        <v/>
      </c>
      <c r="L17" s="434" t="str">
        <f t="shared" si="8"/>
        <v/>
      </c>
      <c r="M17" s="826">
        <f ca="1">IF(YEAR(G17)&lt;SENIOR1,1,0)+IF(YEAR(G16)&lt;SENIOR1,1,0)+IF(YEAR(G15)&lt;SENIOR1,1,0)+IF(YEAR(G14)&lt;SENIOR1,1,0)</f>
        <v>4</v>
      </c>
      <c r="N17" s="751" t="e">
        <f t="shared" si="3"/>
        <v>#N/A</v>
      </c>
      <c r="O17" s="962"/>
      <c r="P17" s="751" t="e">
        <f t="shared" si="2"/>
        <v>#N/A</v>
      </c>
    </row>
    <row r="18" spans="1:16" s="153" customFormat="1" ht="12.75" customHeight="1" x14ac:dyDescent="0.2">
      <c r="A18" s="547">
        <v>4</v>
      </c>
      <c r="B18" s="317"/>
      <c r="C18" s="317"/>
      <c r="D18" s="318"/>
      <c r="E18" s="318"/>
      <c r="F18" s="318"/>
      <c r="G18" s="320"/>
      <c r="H18" s="165"/>
      <c r="I18" s="322"/>
      <c r="J18" s="323"/>
      <c r="K18" s="543" t="str">
        <f t="shared" si="0"/>
        <v/>
      </c>
      <c r="L18" s="429" t="str">
        <f t="shared" si="8"/>
        <v/>
      </c>
      <c r="M18" s="430"/>
      <c r="N18" s="749" t="s">
        <v>941</v>
      </c>
      <c r="O18" s="960" t="e">
        <f t="shared" ref="O18" si="11">IF(AND(N18="oui",N19="oui",N20="oui",N21="oui"),"PRO","N")</f>
        <v>#N/A</v>
      </c>
      <c r="P18" s="749" t="e">
        <f t="shared" si="2"/>
        <v>#N/A</v>
      </c>
    </row>
    <row r="19" spans="1:16" s="153" customFormat="1" ht="12.75" customHeight="1" x14ac:dyDescent="0.2">
      <c r="A19" s="547">
        <v>4</v>
      </c>
      <c r="B19" s="162"/>
      <c r="C19" s="162"/>
      <c r="D19" s="163"/>
      <c r="E19" s="163"/>
      <c r="F19" s="163"/>
      <c r="G19" s="164"/>
      <c r="H19" s="165"/>
      <c r="I19" s="168"/>
      <c r="J19" s="155"/>
      <c r="K19" s="544" t="str">
        <f t="shared" si="0"/>
        <v/>
      </c>
      <c r="L19" s="431" t="str">
        <f t="shared" si="8"/>
        <v/>
      </c>
      <c r="M19" s="432">
        <f t="shared" ref="M19" si="12">COUNTIF(L18:L21,"F")</f>
        <v>0</v>
      </c>
      <c r="N19" s="750" t="e">
        <f t="shared" si="3"/>
        <v>#N/A</v>
      </c>
      <c r="O19" s="961"/>
      <c r="P19" s="750" t="e">
        <f t="shared" si="2"/>
        <v>#N/A</v>
      </c>
    </row>
    <row r="20" spans="1:16" s="153" customFormat="1" ht="12.75" customHeight="1" x14ac:dyDescent="0.2">
      <c r="A20" s="547">
        <v>4</v>
      </c>
      <c r="B20" s="162"/>
      <c r="C20" s="162"/>
      <c r="D20" s="163"/>
      <c r="E20" s="163"/>
      <c r="F20" s="163"/>
      <c r="G20" s="164"/>
      <c r="H20" s="165"/>
      <c r="I20" s="168"/>
      <c r="J20" s="155"/>
      <c r="K20" s="544" t="str">
        <f t="shared" si="0"/>
        <v/>
      </c>
      <c r="L20" s="431" t="str">
        <f t="shared" si="8"/>
        <v/>
      </c>
      <c r="M20" s="433">
        <f t="shared" ref="M20" si="13">COUNTIF(L18:L21,"G")</f>
        <v>0</v>
      </c>
      <c r="N20" s="750" t="e">
        <f t="shared" si="3"/>
        <v>#N/A</v>
      </c>
      <c r="O20" s="961"/>
      <c r="P20" s="750" t="e">
        <f t="shared" si="2"/>
        <v>#N/A</v>
      </c>
    </row>
    <row r="21" spans="1:16" s="153" customFormat="1" ht="12.75" customHeight="1" thickBot="1" x14ac:dyDescent="0.25">
      <c r="A21" s="548">
        <v>4</v>
      </c>
      <c r="B21" s="428"/>
      <c r="C21" s="325"/>
      <c r="D21" s="326"/>
      <c r="E21" s="326"/>
      <c r="F21" s="326"/>
      <c r="G21" s="327"/>
      <c r="H21" s="328"/>
      <c r="I21" s="330"/>
      <c r="J21" s="329"/>
      <c r="K21" s="545" t="str">
        <f t="shared" si="0"/>
        <v/>
      </c>
      <c r="L21" s="434" t="str">
        <f t="shared" si="8"/>
        <v/>
      </c>
      <c r="M21" s="826">
        <f ca="1">IF(YEAR(G21)&lt;SENIOR1,1,0)+IF(YEAR(G20)&lt;SENIOR1,1,0)+IF(YEAR(G19)&lt;SENIOR1,1,0)+IF(YEAR(G18)&lt;SENIOR1,1,0)</f>
        <v>4</v>
      </c>
      <c r="N21" s="751" t="s">
        <v>941</v>
      </c>
      <c r="O21" s="962"/>
      <c r="P21" s="751" t="e">
        <f t="shared" si="2"/>
        <v>#N/A</v>
      </c>
    </row>
    <row r="22" spans="1:16" s="153" customFormat="1" ht="12.75" customHeight="1" x14ac:dyDescent="0.2">
      <c r="A22" s="547">
        <v>5</v>
      </c>
      <c r="B22" s="317"/>
      <c r="C22" s="317"/>
      <c r="D22" s="318"/>
      <c r="E22" s="318"/>
      <c r="F22" s="318"/>
      <c r="G22" s="320"/>
      <c r="H22" s="165"/>
      <c r="I22" s="322"/>
      <c r="J22" s="323"/>
      <c r="K22" s="543" t="str">
        <f t="shared" si="0"/>
        <v/>
      </c>
      <c r="L22" s="429" t="str">
        <f t="shared" si="8"/>
        <v/>
      </c>
      <c r="M22" s="430"/>
      <c r="N22" s="749" t="e">
        <f t="shared" si="3"/>
        <v>#N/A</v>
      </c>
      <c r="O22" s="960" t="e">
        <f t="shared" ref="O22" si="14">IF(AND(N22="oui",N23="oui",N24="oui",N25="oui"),"PRO","N")</f>
        <v>#N/A</v>
      </c>
      <c r="P22" s="749" t="e">
        <f t="shared" si="2"/>
        <v>#N/A</v>
      </c>
    </row>
    <row r="23" spans="1:16" s="153" customFormat="1" ht="12.75" customHeight="1" x14ac:dyDescent="0.2">
      <c r="A23" s="547">
        <v>5</v>
      </c>
      <c r="B23" s="162"/>
      <c r="C23" s="162"/>
      <c r="D23" s="163"/>
      <c r="E23" s="163"/>
      <c r="F23" s="163"/>
      <c r="G23" s="164"/>
      <c r="H23" s="165"/>
      <c r="I23" s="168"/>
      <c r="J23" s="155"/>
      <c r="K23" s="544" t="str">
        <f t="shared" si="0"/>
        <v/>
      </c>
      <c r="L23" s="431" t="str">
        <f t="shared" si="8"/>
        <v/>
      </c>
      <c r="M23" s="432">
        <f t="shared" ref="M23" si="15">COUNTIF(L22:L25,"F")</f>
        <v>0</v>
      </c>
      <c r="N23" s="750" t="e">
        <f t="shared" si="3"/>
        <v>#N/A</v>
      </c>
      <c r="O23" s="961"/>
      <c r="P23" s="750" t="e">
        <f t="shared" si="2"/>
        <v>#N/A</v>
      </c>
    </row>
    <row r="24" spans="1:16" s="153" customFormat="1" ht="12.75" customHeight="1" x14ac:dyDescent="0.2">
      <c r="A24" s="547">
        <v>5</v>
      </c>
      <c r="B24" s="162"/>
      <c r="C24" s="162"/>
      <c r="D24" s="163"/>
      <c r="E24" s="163"/>
      <c r="F24" s="163"/>
      <c r="G24" s="164"/>
      <c r="H24" s="165"/>
      <c r="I24" s="168"/>
      <c r="J24" s="155"/>
      <c r="K24" s="544" t="str">
        <f t="shared" si="0"/>
        <v/>
      </c>
      <c r="L24" s="431" t="str">
        <f t="shared" si="8"/>
        <v/>
      </c>
      <c r="M24" s="433">
        <f t="shared" ref="M24" si="16">COUNTIF(L22:L25,"G")</f>
        <v>0</v>
      </c>
      <c r="N24" s="750" t="e">
        <f t="shared" si="3"/>
        <v>#N/A</v>
      </c>
      <c r="O24" s="961"/>
      <c r="P24" s="750"/>
    </row>
    <row r="25" spans="1:16" s="153" customFormat="1" ht="12.75" customHeight="1" thickBot="1" x14ac:dyDescent="0.25">
      <c r="A25" s="548">
        <v>5</v>
      </c>
      <c r="B25" s="428"/>
      <c r="C25" s="325"/>
      <c r="D25" s="326"/>
      <c r="E25" s="326"/>
      <c r="F25" s="326"/>
      <c r="G25" s="327"/>
      <c r="H25" s="328"/>
      <c r="I25" s="330"/>
      <c r="J25" s="329"/>
      <c r="K25" s="545" t="str">
        <f t="shared" si="0"/>
        <v/>
      </c>
      <c r="L25" s="434" t="str">
        <f t="shared" si="8"/>
        <v/>
      </c>
      <c r="M25" s="826">
        <f ca="1">IF(YEAR(G25)&lt;SENIOR1,1,0)+IF(YEAR(G24)&lt;SENIOR1,1,0)+IF(YEAR(G23)&lt;SENIOR1,1,0)+IF(YEAR(G22)&lt;SENIOR1,1,0)</f>
        <v>4</v>
      </c>
      <c r="N25" s="751" t="e">
        <f t="shared" si="3"/>
        <v>#N/A</v>
      </c>
      <c r="O25" s="962"/>
      <c r="P25" s="751" t="e">
        <f t="shared" si="2"/>
        <v>#N/A</v>
      </c>
    </row>
    <row r="26" spans="1:16" s="153" customFormat="1" ht="12.75" customHeight="1" x14ac:dyDescent="0.2">
      <c r="A26" s="547">
        <v>6</v>
      </c>
      <c r="B26" s="317"/>
      <c r="C26" s="317"/>
      <c r="D26" s="318"/>
      <c r="E26" s="318"/>
      <c r="F26" s="318"/>
      <c r="G26" s="320"/>
      <c r="H26" s="165"/>
      <c r="I26" s="322"/>
      <c r="J26" s="323"/>
      <c r="K26" s="543" t="str">
        <f>IF(G26="","",VLOOKUP(YEAR(G26),barèmecible,2))</f>
        <v/>
      </c>
      <c r="L26" s="429" t="str">
        <f t="shared" si="8"/>
        <v/>
      </c>
      <c r="M26" s="430"/>
      <c r="N26" s="749" t="e">
        <f t="shared" si="3"/>
        <v>#N/A</v>
      </c>
      <c r="O26" s="960" t="e">
        <f t="shared" ref="O26" si="17">IF(AND(N26="oui",N27="oui",N28="oui",N29="oui"),"PRO","N")</f>
        <v>#N/A</v>
      </c>
      <c r="P26" s="749" t="e">
        <f t="shared" si="2"/>
        <v>#N/A</v>
      </c>
    </row>
    <row r="27" spans="1:16" s="153" customFormat="1" ht="12.75" customHeight="1" x14ac:dyDescent="0.2">
      <c r="A27" s="547">
        <v>6</v>
      </c>
      <c r="B27" s="162"/>
      <c r="C27" s="162"/>
      <c r="D27" s="163"/>
      <c r="E27" s="163"/>
      <c r="F27" s="163"/>
      <c r="G27" s="164"/>
      <c r="H27" s="165"/>
      <c r="I27" s="168"/>
      <c r="J27" s="155"/>
      <c r="K27" s="544" t="str">
        <f t="shared" si="0"/>
        <v/>
      </c>
      <c r="L27" s="431" t="str">
        <f t="shared" si="8"/>
        <v/>
      </c>
      <c r="M27" s="432">
        <f t="shared" ref="M27" si="18">COUNTIF(L26:L29,"F")</f>
        <v>0</v>
      </c>
      <c r="N27" s="750" t="e">
        <f>VLOOKUP(H27,N°LicPRO,2,FALSE)</f>
        <v>#N/A</v>
      </c>
      <c r="O27" s="961"/>
      <c r="P27" s="750" t="e">
        <f t="shared" si="2"/>
        <v>#N/A</v>
      </c>
    </row>
    <row r="28" spans="1:16" s="153" customFormat="1" ht="12.75" customHeight="1" x14ac:dyDescent="0.2">
      <c r="A28" s="547">
        <v>6</v>
      </c>
      <c r="B28" s="162"/>
      <c r="C28" s="162"/>
      <c r="D28" s="318"/>
      <c r="E28" s="318"/>
      <c r="F28" s="318"/>
      <c r="G28" s="320"/>
      <c r="H28" s="165"/>
      <c r="I28" s="322"/>
      <c r="J28" s="323"/>
      <c r="K28" s="544" t="str">
        <f t="shared" si="0"/>
        <v/>
      </c>
      <c r="L28" s="431" t="str">
        <f t="shared" si="8"/>
        <v/>
      </c>
      <c r="M28" s="433">
        <f t="shared" ref="M28" si="19">COUNTIF(L26:L29,"G")</f>
        <v>0</v>
      </c>
      <c r="N28" s="750" t="e">
        <f t="shared" si="3"/>
        <v>#N/A</v>
      </c>
      <c r="O28" s="961"/>
      <c r="P28" s="750" t="e">
        <f t="shared" si="2"/>
        <v>#N/A</v>
      </c>
    </row>
    <row r="29" spans="1:16" s="153" customFormat="1" ht="12.75" customHeight="1" thickBot="1" x14ac:dyDescent="0.25">
      <c r="A29" s="548">
        <v>6</v>
      </c>
      <c r="B29" s="428"/>
      <c r="C29" s="325"/>
      <c r="D29" s="163"/>
      <c r="E29" s="163"/>
      <c r="F29" s="163"/>
      <c r="G29" s="164"/>
      <c r="H29" s="165"/>
      <c r="I29" s="840"/>
      <c r="J29" s="841"/>
      <c r="K29" s="545" t="str">
        <f t="shared" si="0"/>
        <v/>
      </c>
      <c r="L29" s="434" t="str">
        <f t="shared" si="8"/>
        <v/>
      </c>
      <c r="M29" s="826">
        <f ca="1">IF(YEAR(G29)&lt;SENIOR1,1,0)+IF(YEAR(G28)&lt;SENIOR1,1,0)+IF(YEAR(G27)&lt;SENIOR1,1,0)+IF(YEAR(G26)&lt;SENIOR1,1,0)</f>
        <v>4</v>
      </c>
      <c r="N29" s="751" t="e">
        <f t="shared" si="3"/>
        <v>#N/A</v>
      </c>
      <c r="O29" s="962"/>
      <c r="P29" s="751" t="e">
        <f t="shared" si="2"/>
        <v>#N/A</v>
      </c>
    </row>
    <row r="30" spans="1:16" s="153" customFormat="1" ht="12.75" customHeight="1" x14ac:dyDescent="0.2">
      <c r="A30" s="547">
        <v>7</v>
      </c>
      <c r="B30" s="317"/>
      <c r="C30" s="317"/>
      <c r="D30" s="318"/>
      <c r="E30" s="318"/>
      <c r="F30" s="318"/>
      <c r="G30" s="320"/>
      <c r="H30" s="165"/>
      <c r="I30" s="322"/>
      <c r="J30" s="323"/>
      <c r="K30" s="543" t="str">
        <f t="shared" si="0"/>
        <v/>
      </c>
      <c r="L30" s="429" t="str">
        <f t="shared" si="8"/>
        <v/>
      </c>
      <c r="M30" s="430"/>
      <c r="N30" s="749" t="e">
        <f t="shared" si="3"/>
        <v>#N/A</v>
      </c>
      <c r="O30" s="960" t="e">
        <f t="shared" ref="O30" si="20">IF(AND(N30="oui",N31="oui",N32="oui",N33="oui"),"PRO","N")</f>
        <v>#N/A</v>
      </c>
      <c r="P30" s="749" t="e">
        <f t="shared" si="2"/>
        <v>#N/A</v>
      </c>
    </row>
    <row r="31" spans="1:16" s="153" customFormat="1" ht="16.5" customHeight="1" x14ac:dyDescent="0.2">
      <c r="A31" s="547">
        <v>7</v>
      </c>
      <c r="B31" s="162"/>
      <c r="C31" s="162"/>
      <c r="D31" s="163"/>
      <c r="E31" s="163"/>
      <c r="F31" s="163"/>
      <c r="G31" s="164"/>
      <c r="H31" s="165"/>
      <c r="I31" s="168"/>
      <c r="J31" s="155"/>
      <c r="K31" s="544" t="str">
        <f t="shared" si="0"/>
        <v/>
      </c>
      <c r="L31" s="431" t="str">
        <f t="shared" si="8"/>
        <v/>
      </c>
      <c r="M31" s="432">
        <f t="shared" ref="M31" si="21">COUNTIF(L30:L33,"F")</f>
        <v>0</v>
      </c>
      <c r="N31" s="750" t="e">
        <f t="shared" si="3"/>
        <v>#N/A</v>
      </c>
      <c r="O31" s="961"/>
      <c r="P31" s="750" t="e">
        <f t="shared" si="2"/>
        <v>#N/A</v>
      </c>
    </row>
    <row r="32" spans="1:16" s="153" customFormat="1" ht="16.5" customHeight="1" x14ac:dyDescent="0.2">
      <c r="A32" s="547">
        <v>7</v>
      </c>
      <c r="B32" s="162"/>
      <c r="C32" s="162"/>
      <c r="D32" s="163"/>
      <c r="E32" s="163"/>
      <c r="F32" s="163"/>
      <c r="G32" s="164"/>
      <c r="H32" s="165"/>
      <c r="I32" s="168"/>
      <c r="J32" s="155"/>
      <c r="K32" s="544" t="str">
        <f t="shared" si="0"/>
        <v/>
      </c>
      <c r="L32" s="431" t="str">
        <f t="shared" si="8"/>
        <v/>
      </c>
      <c r="M32" s="433">
        <f t="shared" ref="M32" si="22">COUNTIF(L30:L33,"G")</f>
        <v>0</v>
      </c>
      <c r="N32" s="750" t="e">
        <f t="shared" si="3"/>
        <v>#N/A</v>
      </c>
      <c r="O32" s="961"/>
      <c r="P32" s="750" t="e">
        <f t="shared" si="2"/>
        <v>#N/A</v>
      </c>
    </row>
    <row r="33" spans="1:16" s="153" customFormat="1" ht="16.5" customHeight="1" thickBot="1" x14ac:dyDescent="0.25">
      <c r="A33" s="548">
        <v>7</v>
      </c>
      <c r="B33" s="428"/>
      <c r="C33" s="325"/>
      <c r="D33" s="326"/>
      <c r="E33" s="326"/>
      <c r="F33" s="326"/>
      <c r="G33" s="327"/>
      <c r="H33" s="328"/>
      <c r="I33" s="330"/>
      <c r="J33" s="329"/>
      <c r="K33" s="545" t="str">
        <f t="shared" si="0"/>
        <v/>
      </c>
      <c r="L33" s="434" t="str">
        <f t="shared" si="8"/>
        <v/>
      </c>
      <c r="M33" s="826">
        <f ca="1">IF(YEAR(G33)&lt;SENIOR1,1,0)+IF(YEAR(G32)&lt;SENIOR1,1,0)+IF(YEAR(G31)&lt;SENIOR1,1,0)+IF(YEAR(G30)&lt;SENIOR1,1,0)</f>
        <v>4</v>
      </c>
      <c r="N33" s="751" t="e">
        <f t="shared" si="3"/>
        <v>#N/A</v>
      </c>
      <c r="O33" s="962"/>
      <c r="P33" s="751" t="e">
        <f t="shared" si="2"/>
        <v>#N/A</v>
      </c>
    </row>
    <row r="34" spans="1:16" s="153" customFormat="1" ht="12.75" customHeight="1" x14ac:dyDescent="0.2">
      <c r="A34" s="547">
        <v>8</v>
      </c>
      <c r="B34" s="317"/>
      <c r="C34" s="317"/>
      <c r="D34" s="318"/>
      <c r="E34" s="318"/>
      <c r="F34" s="318"/>
      <c r="G34" s="320"/>
      <c r="H34" s="165"/>
      <c r="I34" s="322"/>
      <c r="J34" s="323"/>
      <c r="K34" s="543" t="str">
        <f t="shared" si="0"/>
        <v/>
      </c>
      <c r="L34" s="429" t="str">
        <f t="shared" si="8"/>
        <v/>
      </c>
      <c r="M34" s="430"/>
      <c r="N34" s="749" t="e">
        <f t="shared" si="3"/>
        <v>#N/A</v>
      </c>
      <c r="O34" s="960" t="e">
        <f t="shared" ref="O34" si="23">IF(AND(N34="oui",N35="oui",N36="oui",N37="oui"),"PRO","N")</f>
        <v>#N/A</v>
      </c>
      <c r="P34" s="749" t="e">
        <f t="shared" si="2"/>
        <v>#N/A</v>
      </c>
    </row>
    <row r="35" spans="1:16" s="153" customFormat="1" ht="12.75" customHeight="1" x14ac:dyDescent="0.2">
      <c r="A35" s="547">
        <v>8</v>
      </c>
      <c r="B35" s="162"/>
      <c r="C35" s="162"/>
      <c r="D35" s="163"/>
      <c r="E35" s="163"/>
      <c r="F35" s="163"/>
      <c r="G35" s="164"/>
      <c r="H35" s="165"/>
      <c r="I35" s="168"/>
      <c r="J35" s="155"/>
      <c r="K35" s="544" t="str">
        <f t="shared" si="0"/>
        <v/>
      </c>
      <c r="L35" s="431" t="str">
        <f t="shared" si="8"/>
        <v/>
      </c>
      <c r="M35" s="432">
        <f t="shared" ref="M35" si="24">COUNTIF(L34:L37,"F")</f>
        <v>0</v>
      </c>
      <c r="N35" s="750" t="e">
        <f t="shared" si="3"/>
        <v>#N/A</v>
      </c>
      <c r="O35" s="961"/>
      <c r="P35" s="750" t="e">
        <f t="shared" si="2"/>
        <v>#N/A</v>
      </c>
    </row>
    <row r="36" spans="1:16" s="153" customFormat="1" ht="12.75" customHeight="1" x14ac:dyDescent="0.2">
      <c r="A36" s="547">
        <v>8</v>
      </c>
      <c r="B36" s="162"/>
      <c r="C36" s="162"/>
      <c r="D36" s="163"/>
      <c r="E36" s="163"/>
      <c r="F36" s="163"/>
      <c r="G36" s="164"/>
      <c r="H36" s="165"/>
      <c r="I36" s="168"/>
      <c r="J36" s="155"/>
      <c r="K36" s="544" t="str">
        <f t="shared" si="0"/>
        <v/>
      </c>
      <c r="L36" s="431" t="str">
        <f t="shared" si="8"/>
        <v/>
      </c>
      <c r="M36" s="433">
        <f t="shared" ref="M36" si="25">COUNTIF(L34:L37,"G")</f>
        <v>0</v>
      </c>
      <c r="N36" s="750" t="e">
        <f t="shared" si="3"/>
        <v>#N/A</v>
      </c>
      <c r="O36" s="961"/>
      <c r="P36" s="750" t="e">
        <f t="shared" si="2"/>
        <v>#N/A</v>
      </c>
    </row>
    <row r="37" spans="1:16" s="153" customFormat="1" ht="12.75" customHeight="1" thickBot="1" x14ac:dyDescent="0.25">
      <c r="A37" s="548">
        <v>8</v>
      </c>
      <c r="B37" s="428"/>
      <c r="C37" s="325"/>
      <c r="D37" s="326"/>
      <c r="E37" s="326"/>
      <c r="F37" s="326"/>
      <c r="G37" s="327"/>
      <c r="H37" s="328"/>
      <c r="I37" s="330"/>
      <c r="J37" s="329"/>
      <c r="K37" s="545" t="str">
        <f t="shared" si="0"/>
        <v/>
      </c>
      <c r="L37" s="434" t="str">
        <f t="shared" si="8"/>
        <v/>
      </c>
      <c r="M37" s="826">
        <f ca="1">IF(YEAR(G37)&lt;SENIOR1,1,0)+IF(YEAR(G36)&lt;SENIOR1,1,0)+IF(YEAR(G35)&lt;SENIOR1,1,0)+IF(YEAR(G34)&lt;SENIOR1,1,0)</f>
        <v>4</v>
      </c>
      <c r="N37" s="751" t="e">
        <f t="shared" si="3"/>
        <v>#N/A</v>
      </c>
      <c r="O37" s="962"/>
      <c r="P37" s="751" t="s">
        <v>1268</v>
      </c>
    </row>
    <row r="38" spans="1:16" s="153" customFormat="1" ht="12.75" customHeight="1" x14ac:dyDescent="0.2">
      <c r="A38" s="547">
        <v>9</v>
      </c>
      <c r="B38" s="317"/>
      <c r="C38" s="317"/>
      <c r="D38" s="318"/>
      <c r="E38" s="318"/>
      <c r="F38" s="318"/>
      <c r="G38" s="320"/>
      <c r="H38" s="165"/>
      <c r="I38" s="322"/>
      <c r="J38" s="323"/>
      <c r="K38" s="543" t="str">
        <f t="shared" si="0"/>
        <v/>
      </c>
      <c r="L38" s="429" t="str">
        <f t="shared" si="8"/>
        <v/>
      </c>
      <c r="M38" s="430"/>
      <c r="N38" s="749" t="e">
        <f t="shared" si="3"/>
        <v>#N/A</v>
      </c>
      <c r="O38" s="960" t="e">
        <f t="shared" ref="O38" si="26">IF(AND(N38="oui",N39="oui",N40="oui",N41="oui"),"PRO","N")</f>
        <v>#N/A</v>
      </c>
      <c r="P38" s="749" t="e">
        <f t="shared" ref="P38:P69" si="27">VLOOKUP(H38,N°LicPRO,3,FALSE)</f>
        <v>#N/A</v>
      </c>
    </row>
    <row r="39" spans="1:16" s="153" customFormat="1" ht="12.75" customHeight="1" x14ac:dyDescent="0.2">
      <c r="A39" s="547">
        <v>9</v>
      </c>
      <c r="B39" s="162"/>
      <c r="C39" s="162"/>
      <c r="D39" s="163"/>
      <c r="E39" s="163"/>
      <c r="F39" s="163"/>
      <c r="G39" s="164"/>
      <c r="H39" s="165"/>
      <c r="I39" s="168"/>
      <c r="J39" s="155"/>
      <c r="K39" s="544" t="str">
        <f t="shared" si="0"/>
        <v/>
      </c>
      <c r="L39" s="431" t="str">
        <f t="shared" ref="L39:L49" si="28">RIGHT(J39,1)</f>
        <v/>
      </c>
      <c r="M39" s="432">
        <f t="shared" ref="M39" si="29">COUNTIF(L38:L41,"F")</f>
        <v>0</v>
      </c>
      <c r="N39" s="750" t="e">
        <f t="shared" si="3"/>
        <v>#N/A</v>
      </c>
      <c r="O39" s="961"/>
      <c r="P39" s="750" t="e">
        <f t="shared" si="27"/>
        <v>#N/A</v>
      </c>
    </row>
    <row r="40" spans="1:16" s="153" customFormat="1" ht="12.75" customHeight="1" x14ac:dyDescent="0.2">
      <c r="A40" s="547">
        <v>9</v>
      </c>
      <c r="B40" s="162"/>
      <c r="C40" s="162"/>
      <c r="D40" s="163"/>
      <c r="E40" s="163"/>
      <c r="F40" s="163"/>
      <c r="G40" s="164"/>
      <c r="H40" s="165"/>
      <c r="I40" s="168"/>
      <c r="J40" s="155"/>
      <c r="K40" s="544" t="str">
        <f t="shared" si="0"/>
        <v/>
      </c>
      <c r="L40" s="431" t="str">
        <f t="shared" si="28"/>
        <v/>
      </c>
      <c r="M40" s="433">
        <f t="shared" ref="M40" si="30">COUNTIF(L38:L41,"G")</f>
        <v>0</v>
      </c>
      <c r="N40" s="750" t="e">
        <f t="shared" si="3"/>
        <v>#N/A</v>
      </c>
      <c r="O40" s="961"/>
      <c r="P40" s="750" t="s">
        <v>1268</v>
      </c>
    </row>
    <row r="41" spans="1:16" s="153" customFormat="1" ht="12.75" customHeight="1" thickBot="1" x14ac:dyDescent="0.25">
      <c r="A41" s="548">
        <v>9</v>
      </c>
      <c r="B41" s="428"/>
      <c r="C41" s="325"/>
      <c r="D41" s="326"/>
      <c r="E41" s="326"/>
      <c r="F41" s="326"/>
      <c r="G41" s="327"/>
      <c r="H41" s="328"/>
      <c r="I41" s="330"/>
      <c r="J41" s="329"/>
      <c r="K41" s="545" t="str">
        <f t="shared" si="0"/>
        <v/>
      </c>
      <c r="L41" s="434" t="str">
        <f t="shared" si="28"/>
        <v/>
      </c>
      <c r="M41" s="826">
        <f ca="1">IF(YEAR(G41)&lt;SENIOR1,1,0)+IF(YEAR(G40)&lt;SENIOR1,1,0)+IF(YEAR(G39)&lt;SENIOR1,1,0)+IF(YEAR(G38)&lt;SENIOR1,1,0)</f>
        <v>4</v>
      </c>
      <c r="N41" s="751" t="e">
        <f t="shared" si="3"/>
        <v>#N/A</v>
      </c>
      <c r="O41" s="962"/>
      <c r="P41" s="751" t="e">
        <f t="shared" si="27"/>
        <v>#N/A</v>
      </c>
    </row>
    <row r="42" spans="1:16" s="153" customFormat="1" ht="12.75" customHeight="1" x14ac:dyDescent="0.2">
      <c r="A42" s="547">
        <v>10</v>
      </c>
      <c r="B42" s="317"/>
      <c r="C42" s="317"/>
      <c r="D42" s="318"/>
      <c r="E42" s="318"/>
      <c r="F42" s="318"/>
      <c r="G42" s="320"/>
      <c r="H42" s="165"/>
      <c r="I42" s="322"/>
      <c r="J42" s="323"/>
      <c r="K42" s="543" t="str">
        <f t="shared" si="0"/>
        <v/>
      </c>
      <c r="L42" s="429" t="str">
        <f t="shared" si="28"/>
        <v/>
      </c>
      <c r="M42" s="430"/>
      <c r="N42" s="749" t="e">
        <f t="shared" si="3"/>
        <v>#N/A</v>
      </c>
      <c r="O42" s="960" t="e">
        <f t="shared" ref="O42" si="31">IF(AND(N42="oui",N43="oui",N44="oui",N45="oui"),"PRO","N")</f>
        <v>#N/A</v>
      </c>
      <c r="P42" s="749" t="e">
        <f t="shared" si="27"/>
        <v>#N/A</v>
      </c>
    </row>
    <row r="43" spans="1:16" s="153" customFormat="1" ht="12.75" customHeight="1" x14ac:dyDescent="0.2">
      <c r="A43" s="547">
        <v>10</v>
      </c>
      <c r="B43" s="162"/>
      <c r="C43" s="162"/>
      <c r="D43" s="163"/>
      <c r="E43" s="163"/>
      <c r="F43" s="163"/>
      <c r="G43" s="164"/>
      <c r="H43" s="165"/>
      <c r="I43" s="168"/>
      <c r="J43" s="155"/>
      <c r="K43" s="544" t="str">
        <f t="shared" si="0"/>
        <v/>
      </c>
      <c r="L43" s="431" t="str">
        <f t="shared" si="28"/>
        <v/>
      </c>
      <c r="M43" s="432">
        <f t="shared" ref="M43" si="32">COUNTIF(L42:L45,"F")</f>
        <v>0</v>
      </c>
      <c r="N43" s="750" t="e">
        <f t="shared" si="3"/>
        <v>#N/A</v>
      </c>
      <c r="O43" s="961"/>
      <c r="P43" s="750"/>
    </row>
    <row r="44" spans="1:16" s="153" customFormat="1" ht="12.75" customHeight="1" x14ac:dyDescent="0.2">
      <c r="A44" s="547">
        <v>10</v>
      </c>
      <c r="B44" s="162"/>
      <c r="C44" s="162"/>
      <c r="D44" s="163"/>
      <c r="E44" s="163"/>
      <c r="F44" s="163"/>
      <c r="G44" s="164"/>
      <c r="H44" s="165"/>
      <c r="I44" s="168"/>
      <c r="J44" s="155"/>
      <c r="K44" s="544" t="str">
        <f t="shared" si="0"/>
        <v/>
      </c>
      <c r="L44" s="431" t="str">
        <f t="shared" si="28"/>
        <v/>
      </c>
      <c r="M44" s="433">
        <f t="shared" ref="M44" si="33">COUNTIF(L42:L45,"G")</f>
        <v>0</v>
      </c>
      <c r="N44" s="750" t="s">
        <v>941</v>
      </c>
      <c r="O44" s="961"/>
      <c r="P44" s="750" t="e">
        <f t="shared" si="27"/>
        <v>#N/A</v>
      </c>
    </row>
    <row r="45" spans="1:16" s="153" customFormat="1" ht="12.75" customHeight="1" thickBot="1" x14ac:dyDescent="0.25">
      <c r="A45" s="548">
        <v>10</v>
      </c>
      <c r="B45" s="428"/>
      <c r="C45" s="325"/>
      <c r="D45" s="326"/>
      <c r="E45" s="326"/>
      <c r="F45" s="326"/>
      <c r="G45" s="327"/>
      <c r="H45" s="328"/>
      <c r="I45" s="330"/>
      <c r="J45" s="329"/>
      <c r="K45" s="544" t="str">
        <f t="shared" si="0"/>
        <v/>
      </c>
      <c r="L45" s="434" t="str">
        <f t="shared" si="28"/>
        <v/>
      </c>
      <c r="M45" s="826">
        <f ca="1">IF(YEAR(G45)&lt;SENIOR1,1,0)+IF(YEAR(G44)&lt;SENIOR1,1,0)+IF(YEAR(G43)&lt;SENIOR1,1,0)+IF(YEAR(G42)&lt;SENIOR1,1,0)</f>
        <v>4</v>
      </c>
      <c r="N45" s="751" t="e">
        <f t="shared" si="3"/>
        <v>#N/A</v>
      </c>
      <c r="O45" s="962"/>
      <c r="P45" s="751" t="s">
        <v>1268</v>
      </c>
    </row>
    <row r="46" spans="1:16" s="153" customFormat="1" ht="12.75" customHeight="1" x14ac:dyDescent="0.2">
      <c r="A46" s="547">
        <v>11</v>
      </c>
      <c r="B46" s="317"/>
      <c r="C46" s="317"/>
      <c r="D46" s="318"/>
      <c r="E46" s="318"/>
      <c r="F46" s="318"/>
      <c r="G46" s="320"/>
      <c r="H46" s="165"/>
      <c r="I46" s="322"/>
      <c r="J46" s="323"/>
      <c r="K46" s="544" t="str">
        <f t="shared" si="0"/>
        <v/>
      </c>
      <c r="L46" s="429" t="str">
        <f t="shared" si="28"/>
        <v/>
      </c>
      <c r="M46" s="430"/>
      <c r="N46" s="749" t="e">
        <f t="shared" si="3"/>
        <v>#N/A</v>
      </c>
      <c r="O46" s="960" t="e">
        <f t="shared" ref="O46" si="34">IF(AND(N46="oui",N47="oui",N48="oui",N49="oui"),"PRO","N")</f>
        <v>#N/A</v>
      </c>
      <c r="P46" s="749" t="e">
        <f t="shared" si="27"/>
        <v>#N/A</v>
      </c>
    </row>
    <row r="47" spans="1:16" s="153" customFormat="1" ht="12.75" customHeight="1" x14ac:dyDescent="0.2">
      <c r="A47" s="547">
        <v>11</v>
      </c>
      <c r="B47" s="162"/>
      <c r="C47" s="162"/>
      <c r="D47" s="163"/>
      <c r="E47" s="163"/>
      <c r="F47" s="163"/>
      <c r="G47" s="164"/>
      <c r="H47" s="165"/>
      <c r="I47" s="168"/>
      <c r="J47" s="155"/>
      <c r="K47" s="544" t="str">
        <f t="shared" ref="K47:K72" si="35">IF(G47="","",VLOOKUP(YEAR(G47),barèmecible,2))</f>
        <v/>
      </c>
      <c r="L47" s="431" t="str">
        <f t="shared" si="28"/>
        <v/>
      </c>
      <c r="M47" s="432">
        <f t="shared" ref="M47" si="36">COUNTIF(L46:L49,"F")</f>
        <v>0</v>
      </c>
      <c r="N47" s="750" t="e">
        <f t="shared" si="3"/>
        <v>#N/A</v>
      </c>
      <c r="O47" s="961"/>
      <c r="P47" s="750" t="e">
        <f t="shared" si="27"/>
        <v>#N/A</v>
      </c>
    </row>
    <row r="48" spans="1:16" s="153" customFormat="1" ht="12.75" customHeight="1" x14ac:dyDescent="0.2">
      <c r="A48" s="547">
        <v>11</v>
      </c>
      <c r="B48" s="162"/>
      <c r="C48" s="162"/>
      <c r="D48" s="163"/>
      <c r="E48" s="163"/>
      <c r="F48" s="163"/>
      <c r="G48" s="164"/>
      <c r="H48" s="165"/>
      <c r="I48" s="168"/>
      <c r="J48" s="155"/>
      <c r="K48" s="544" t="str">
        <f t="shared" si="35"/>
        <v/>
      </c>
      <c r="L48" s="431" t="str">
        <f t="shared" si="28"/>
        <v/>
      </c>
      <c r="M48" s="433">
        <f t="shared" ref="M48" si="37">COUNTIF(L46:L49,"G")</f>
        <v>0</v>
      </c>
      <c r="N48" s="750" t="e">
        <f t="shared" si="3"/>
        <v>#N/A</v>
      </c>
      <c r="O48" s="961"/>
      <c r="P48" s="750" t="e">
        <f t="shared" si="27"/>
        <v>#N/A</v>
      </c>
    </row>
    <row r="49" spans="1:16" s="153" customFormat="1" ht="12.75" customHeight="1" thickBot="1" x14ac:dyDescent="0.25">
      <c r="A49" s="548">
        <v>11</v>
      </c>
      <c r="B49" s="428"/>
      <c r="C49" s="325"/>
      <c r="D49" s="326"/>
      <c r="E49" s="326"/>
      <c r="F49" s="326"/>
      <c r="G49" s="327"/>
      <c r="H49" s="328"/>
      <c r="I49" s="330"/>
      <c r="J49" s="329"/>
      <c r="K49" s="545" t="str">
        <f t="shared" si="35"/>
        <v/>
      </c>
      <c r="L49" s="434" t="str">
        <f t="shared" si="28"/>
        <v/>
      </c>
      <c r="M49" s="826">
        <f ca="1">IF(YEAR(G49)&lt;SENIOR1,1,0)+IF(YEAR(G48)&lt;SENIOR1,1,0)+IF(YEAR(G47)&lt;SENIOR1,1,0)+IF(YEAR(G46)&lt;SENIOR1,1,0)</f>
        <v>4</v>
      </c>
      <c r="N49" s="751" t="e">
        <f t="shared" si="3"/>
        <v>#N/A</v>
      </c>
      <c r="O49" s="962"/>
      <c r="P49" s="751" t="e">
        <f t="shared" si="27"/>
        <v>#N/A</v>
      </c>
    </row>
    <row r="50" spans="1:16" s="153" customFormat="1" ht="12.75" customHeight="1" x14ac:dyDescent="0.2">
      <c r="A50" s="547">
        <v>12</v>
      </c>
      <c r="B50" s="317"/>
      <c r="C50" s="317"/>
      <c r="D50" s="318"/>
      <c r="E50" s="318"/>
      <c r="F50" s="318"/>
      <c r="G50" s="320"/>
      <c r="H50" s="165"/>
      <c r="I50" s="322"/>
      <c r="J50" s="323"/>
      <c r="K50" s="543" t="str">
        <f t="shared" si="35"/>
        <v/>
      </c>
      <c r="L50" s="429" t="str">
        <f t="shared" ref="L50:L93" si="38">RIGHT(J50,1)</f>
        <v/>
      </c>
      <c r="M50" s="430"/>
      <c r="N50" s="749" t="e">
        <f t="shared" si="3"/>
        <v>#N/A</v>
      </c>
      <c r="O50" s="960" t="e">
        <f t="shared" ref="O50" si="39">IF(AND(N50="oui",N51="oui",N52="oui",N53="oui"),"PRO","N")</f>
        <v>#N/A</v>
      </c>
      <c r="P50" s="749" t="e">
        <f t="shared" si="27"/>
        <v>#N/A</v>
      </c>
    </row>
    <row r="51" spans="1:16" s="153" customFormat="1" ht="12.75" customHeight="1" x14ac:dyDescent="0.2">
      <c r="A51" s="547">
        <v>12</v>
      </c>
      <c r="B51" s="162"/>
      <c r="C51" s="162"/>
      <c r="D51" s="163"/>
      <c r="E51" s="163"/>
      <c r="F51" s="163"/>
      <c r="G51" s="164"/>
      <c r="H51" s="165"/>
      <c r="I51" s="168"/>
      <c r="J51" s="155"/>
      <c r="K51" s="544" t="str">
        <f t="shared" si="35"/>
        <v/>
      </c>
      <c r="L51" s="431" t="str">
        <f t="shared" si="38"/>
        <v/>
      </c>
      <c r="M51" s="432">
        <f t="shared" ref="M51" si="40">COUNTIF(L50:L53,"F")</f>
        <v>0</v>
      </c>
      <c r="N51" s="750" t="e">
        <f t="shared" si="3"/>
        <v>#N/A</v>
      </c>
      <c r="O51" s="961"/>
      <c r="P51" s="750" t="e">
        <f t="shared" si="27"/>
        <v>#N/A</v>
      </c>
    </row>
    <row r="52" spans="1:16" s="153" customFormat="1" ht="12.75" customHeight="1" x14ac:dyDescent="0.2">
      <c r="A52" s="547">
        <v>12</v>
      </c>
      <c r="B52" s="162"/>
      <c r="C52" s="162"/>
      <c r="D52" s="163"/>
      <c r="E52" s="163"/>
      <c r="F52" s="163"/>
      <c r="G52" s="164"/>
      <c r="H52" s="165"/>
      <c r="I52" s="168"/>
      <c r="J52" s="155"/>
      <c r="K52" s="544" t="str">
        <f t="shared" si="35"/>
        <v/>
      </c>
      <c r="L52" s="431" t="str">
        <f t="shared" si="38"/>
        <v/>
      </c>
      <c r="M52" s="433">
        <f t="shared" ref="M52" si="41">COUNTIF(L50:L53,"G")</f>
        <v>0</v>
      </c>
      <c r="N52" s="750" t="e">
        <f t="shared" si="3"/>
        <v>#N/A</v>
      </c>
      <c r="O52" s="961"/>
      <c r="P52" s="750" t="e">
        <f t="shared" si="27"/>
        <v>#N/A</v>
      </c>
    </row>
    <row r="53" spans="1:16" s="153" customFormat="1" ht="12.75" customHeight="1" thickBot="1" x14ac:dyDescent="0.25">
      <c r="A53" s="548">
        <v>12</v>
      </c>
      <c r="B53" s="428"/>
      <c r="C53" s="325"/>
      <c r="D53" s="326"/>
      <c r="E53" s="326"/>
      <c r="F53" s="326"/>
      <c r="G53" s="327"/>
      <c r="H53" s="328"/>
      <c r="I53" s="330"/>
      <c r="J53" s="329"/>
      <c r="K53" s="545" t="str">
        <f t="shared" si="35"/>
        <v/>
      </c>
      <c r="L53" s="434" t="str">
        <f t="shared" si="38"/>
        <v/>
      </c>
      <c r="M53" s="826">
        <f ca="1">IF(YEAR(G53)&lt;SENIOR1,1,0)+IF(YEAR(G52)&lt;SENIOR1,1,0)+IF(YEAR(G51)&lt;SENIOR1,1,0)+IF(YEAR(G50)&lt;SENIOR1,1,0)</f>
        <v>4</v>
      </c>
      <c r="N53" s="751" t="e">
        <f t="shared" si="3"/>
        <v>#N/A</v>
      </c>
      <c r="O53" s="962"/>
      <c r="P53" s="751" t="e">
        <f t="shared" si="27"/>
        <v>#N/A</v>
      </c>
    </row>
    <row r="54" spans="1:16" s="153" customFormat="1" ht="12.75" customHeight="1" x14ac:dyDescent="0.2">
      <c r="A54" s="547">
        <v>13</v>
      </c>
      <c r="B54" s="317"/>
      <c r="C54" s="317"/>
      <c r="D54" s="318"/>
      <c r="E54" s="318"/>
      <c r="F54" s="318"/>
      <c r="G54" s="320"/>
      <c r="H54" s="165"/>
      <c r="I54" s="322"/>
      <c r="J54" s="323"/>
      <c r="K54" s="543" t="str">
        <f t="shared" si="35"/>
        <v/>
      </c>
      <c r="L54" s="429" t="str">
        <f t="shared" si="38"/>
        <v/>
      </c>
      <c r="M54" s="430"/>
      <c r="N54" s="749" t="e">
        <f t="shared" si="3"/>
        <v>#N/A</v>
      </c>
      <c r="O54" s="960" t="e">
        <f t="shared" ref="O54" si="42">IF(AND(N54="oui",N55="oui",N56="oui",N57="oui"),"PRO","N")</f>
        <v>#N/A</v>
      </c>
      <c r="P54" s="749" t="s">
        <v>1268</v>
      </c>
    </row>
    <row r="55" spans="1:16" s="153" customFormat="1" ht="12.75" customHeight="1" x14ac:dyDescent="0.2">
      <c r="A55" s="547">
        <v>13</v>
      </c>
      <c r="B55" s="162"/>
      <c r="C55" s="162"/>
      <c r="D55" s="163"/>
      <c r="E55" s="163"/>
      <c r="F55" s="163"/>
      <c r="G55" s="164"/>
      <c r="H55" s="165"/>
      <c r="I55" s="168"/>
      <c r="J55" s="155"/>
      <c r="K55" s="544" t="str">
        <f t="shared" si="35"/>
        <v/>
      </c>
      <c r="L55" s="431" t="str">
        <f t="shared" si="38"/>
        <v/>
      </c>
      <c r="M55" s="432">
        <f t="shared" ref="M55" si="43">COUNTIF(L54:L57,"F")</f>
        <v>0</v>
      </c>
      <c r="N55" s="750" t="e">
        <f t="shared" si="3"/>
        <v>#N/A</v>
      </c>
      <c r="O55" s="961"/>
      <c r="P55" s="750" t="e">
        <f t="shared" si="27"/>
        <v>#N/A</v>
      </c>
    </row>
    <row r="56" spans="1:16" s="153" customFormat="1" ht="12.75" customHeight="1" x14ac:dyDescent="0.2">
      <c r="A56" s="547">
        <v>13</v>
      </c>
      <c r="B56" s="162"/>
      <c r="C56" s="162"/>
      <c r="D56" s="163"/>
      <c r="E56" s="163"/>
      <c r="F56" s="163"/>
      <c r="G56" s="164"/>
      <c r="H56" s="165"/>
      <c r="I56" s="168"/>
      <c r="J56" s="155"/>
      <c r="K56" s="544" t="str">
        <f t="shared" si="35"/>
        <v/>
      </c>
      <c r="L56" s="431" t="str">
        <f t="shared" si="38"/>
        <v/>
      </c>
      <c r="M56" s="433">
        <f t="shared" ref="M56" si="44">COUNTIF(L54:L57,"G")</f>
        <v>0</v>
      </c>
      <c r="N56" s="750" t="e">
        <f t="shared" si="3"/>
        <v>#N/A</v>
      </c>
      <c r="O56" s="961"/>
      <c r="P56" s="750" t="e">
        <f t="shared" si="27"/>
        <v>#N/A</v>
      </c>
    </row>
    <row r="57" spans="1:16" s="153" customFormat="1" ht="12.75" customHeight="1" thickBot="1" x14ac:dyDescent="0.25">
      <c r="A57" s="548">
        <v>13</v>
      </c>
      <c r="B57" s="428"/>
      <c r="C57" s="325"/>
      <c r="D57" s="326"/>
      <c r="E57" s="326"/>
      <c r="F57" s="326"/>
      <c r="G57" s="327"/>
      <c r="H57" s="328"/>
      <c r="I57" s="330"/>
      <c r="J57" s="329"/>
      <c r="K57" s="545" t="str">
        <f t="shared" si="35"/>
        <v/>
      </c>
      <c r="L57" s="434" t="str">
        <f t="shared" si="38"/>
        <v/>
      </c>
      <c r="M57" s="826">
        <f ca="1">IF(YEAR(G57)&lt;SENIOR1,1,0)+IF(YEAR(G56)&lt;SENIOR1,1,0)+IF(YEAR(G55)&lt;SENIOR1,1,0)+IF(YEAR(G54)&lt;SENIOR1,1,0)</f>
        <v>4</v>
      </c>
      <c r="N57" s="751" t="e">
        <f t="shared" si="3"/>
        <v>#N/A</v>
      </c>
      <c r="O57" s="962"/>
      <c r="P57" s="751" t="e">
        <f t="shared" si="27"/>
        <v>#N/A</v>
      </c>
    </row>
    <row r="58" spans="1:16" s="153" customFormat="1" ht="12.75" customHeight="1" x14ac:dyDescent="0.2">
      <c r="A58" s="547">
        <v>14</v>
      </c>
      <c r="B58" s="317"/>
      <c r="C58" s="317"/>
      <c r="D58" s="318"/>
      <c r="E58" s="318"/>
      <c r="F58" s="318"/>
      <c r="G58" s="320"/>
      <c r="H58" s="165"/>
      <c r="I58" s="322"/>
      <c r="J58" s="323"/>
      <c r="K58" s="543" t="str">
        <f t="shared" si="35"/>
        <v/>
      </c>
      <c r="L58" s="429" t="str">
        <f t="shared" si="38"/>
        <v/>
      </c>
      <c r="M58" s="430"/>
      <c r="N58" s="749" t="e">
        <f t="shared" si="3"/>
        <v>#N/A</v>
      </c>
      <c r="O58" s="960" t="e">
        <f t="shared" ref="O58" si="45">IF(AND(N58="oui",N59="oui",N60="oui",N61="oui"),"PRO","N")</f>
        <v>#N/A</v>
      </c>
      <c r="P58" s="749" t="e">
        <f t="shared" si="27"/>
        <v>#N/A</v>
      </c>
    </row>
    <row r="59" spans="1:16" s="153" customFormat="1" ht="12.75" customHeight="1" x14ac:dyDescent="0.2">
      <c r="A59" s="547">
        <v>14</v>
      </c>
      <c r="B59" s="162"/>
      <c r="C59" s="162"/>
      <c r="D59" s="163"/>
      <c r="E59" s="163"/>
      <c r="F59" s="163"/>
      <c r="G59" s="164"/>
      <c r="H59" s="165"/>
      <c r="I59" s="168"/>
      <c r="J59" s="775"/>
      <c r="K59" s="544" t="str">
        <f t="shared" si="35"/>
        <v/>
      </c>
      <c r="L59" s="431" t="str">
        <f t="shared" si="38"/>
        <v/>
      </c>
      <c r="M59" s="432">
        <f t="shared" ref="M59" si="46">COUNTIF(L58:L61,"F")</f>
        <v>0</v>
      </c>
      <c r="N59" s="750" t="e">
        <f t="shared" si="3"/>
        <v>#N/A</v>
      </c>
      <c r="O59" s="961"/>
      <c r="P59" s="750" t="e">
        <f t="shared" si="27"/>
        <v>#N/A</v>
      </c>
    </row>
    <row r="60" spans="1:16" s="153" customFormat="1" ht="12.75" customHeight="1" x14ac:dyDescent="0.2">
      <c r="A60" s="547">
        <v>14</v>
      </c>
      <c r="B60" s="162"/>
      <c r="C60" s="162"/>
      <c r="D60" s="163"/>
      <c r="E60" s="163"/>
      <c r="F60" s="163"/>
      <c r="G60" s="164"/>
      <c r="H60" s="165"/>
      <c r="I60" s="168"/>
      <c r="J60" s="155"/>
      <c r="K60" s="544" t="str">
        <f t="shared" si="35"/>
        <v/>
      </c>
      <c r="L60" s="431" t="str">
        <f t="shared" si="38"/>
        <v/>
      </c>
      <c r="M60" s="433">
        <f t="shared" ref="M60" si="47">COUNTIF(L58:L61,"G")</f>
        <v>0</v>
      </c>
      <c r="N60" s="750" t="e">
        <f t="shared" si="3"/>
        <v>#N/A</v>
      </c>
      <c r="O60" s="961"/>
      <c r="P60" s="750" t="e">
        <f t="shared" si="27"/>
        <v>#N/A</v>
      </c>
    </row>
    <row r="61" spans="1:16" s="153" customFormat="1" ht="12.75" customHeight="1" thickBot="1" x14ac:dyDescent="0.25">
      <c r="A61" s="548">
        <v>14</v>
      </c>
      <c r="B61" s="428"/>
      <c r="C61" s="325"/>
      <c r="D61" s="326"/>
      <c r="E61" s="326"/>
      <c r="F61" s="326"/>
      <c r="G61" s="327"/>
      <c r="H61" s="328"/>
      <c r="I61" s="330"/>
      <c r="J61" s="329"/>
      <c r="K61" s="545" t="str">
        <f t="shared" si="35"/>
        <v/>
      </c>
      <c r="L61" s="434" t="str">
        <f t="shared" si="38"/>
        <v/>
      </c>
      <c r="M61" s="826">
        <f ca="1">IF(YEAR(G61)&lt;SENIOR1,1,0)+IF(YEAR(G60)&lt;SENIOR1,1,0)+IF(YEAR(G59)&lt;SENIOR1,1,0)+IF(YEAR(G58)&lt;SENIOR1,1,0)</f>
        <v>4</v>
      </c>
      <c r="N61" s="751" t="e">
        <f t="shared" si="3"/>
        <v>#N/A</v>
      </c>
      <c r="O61" s="962"/>
      <c r="P61" s="751" t="e">
        <f t="shared" si="27"/>
        <v>#N/A</v>
      </c>
    </row>
    <row r="62" spans="1:16" s="153" customFormat="1" ht="12.75" customHeight="1" x14ac:dyDescent="0.2">
      <c r="A62" s="547">
        <v>15</v>
      </c>
      <c r="B62" s="317"/>
      <c r="C62" s="317"/>
      <c r="D62" s="318"/>
      <c r="E62" s="318"/>
      <c r="F62" s="318"/>
      <c r="G62" s="320"/>
      <c r="H62" s="165"/>
      <c r="I62" s="322"/>
      <c r="J62" s="323"/>
      <c r="K62" s="543" t="str">
        <f t="shared" si="35"/>
        <v/>
      </c>
      <c r="L62" s="429" t="str">
        <f t="shared" si="38"/>
        <v/>
      </c>
      <c r="M62" s="430"/>
      <c r="N62" s="749" t="e">
        <f t="shared" si="3"/>
        <v>#N/A</v>
      </c>
      <c r="O62" s="960" t="e">
        <f t="shared" ref="O62" si="48">IF(AND(N62="oui",N63="oui",N64="oui",N65="oui"),"PRO","N")</f>
        <v>#N/A</v>
      </c>
      <c r="P62" s="749" t="e">
        <f t="shared" si="27"/>
        <v>#N/A</v>
      </c>
    </row>
    <row r="63" spans="1:16" s="153" customFormat="1" ht="12.75" customHeight="1" x14ac:dyDescent="0.2">
      <c r="A63" s="547">
        <v>15</v>
      </c>
      <c r="B63" s="162"/>
      <c r="C63" s="162"/>
      <c r="D63" s="163"/>
      <c r="E63" s="163"/>
      <c r="F63" s="163"/>
      <c r="G63" s="164"/>
      <c r="H63" s="165"/>
      <c r="I63" s="168"/>
      <c r="J63" s="775"/>
      <c r="K63" s="544" t="str">
        <f t="shared" si="35"/>
        <v/>
      </c>
      <c r="L63" s="431" t="str">
        <f t="shared" si="38"/>
        <v/>
      </c>
      <c r="M63" s="432">
        <f t="shared" ref="M63" si="49">COUNTIF(L62:L65,"F")</f>
        <v>0</v>
      </c>
      <c r="N63" s="750" t="e">
        <f t="shared" si="3"/>
        <v>#N/A</v>
      </c>
      <c r="O63" s="961"/>
      <c r="P63" s="750" t="e">
        <f t="shared" si="27"/>
        <v>#N/A</v>
      </c>
    </row>
    <row r="64" spans="1:16" s="153" customFormat="1" x14ac:dyDescent="0.2">
      <c r="A64" s="547">
        <v>15</v>
      </c>
      <c r="B64" s="162"/>
      <c r="C64" s="162"/>
      <c r="D64" s="163"/>
      <c r="E64" s="163"/>
      <c r="F64" s="163"/>
      <c r="G64" s="164"/>
      <c r="H64" s="165"/>
      <c r="I64" s="168"/>
      <c r="J64" s="155"/>
      <c r="K64" s="544" t="str">
        <f t="shared" si="35"/>
        <v/>
      </c>
      <c r="L64" s="431" t="str">
        <f t="shared" si="38"/>
        <v/>
      </c>
      <c r="M64" s="433">
        <f t="shared" ref="M64" si="50">COUNTIF(L62:L65,"G")</f>
        <v>0</v>
      </c>
      <c r="N64" s="750" t="e">
        <f t="shared" si="3"/>
        <v>#N/A</v>
      </c>
      <c r="O64" s="961"/>
      <c r="P64" s="750" t="e">
        <f t="shared" si="27"/>
        <v>#N/A</v>
      </c>
    </row>
    <row r="65" spans="1:16" s="153" customFormat="1" ht="12.75" thickBot="1" x14ac:dyDescent="0.25">
      <c r="A65" s="548">
        <v>15</v>
      </c>
      <c r="B65" s="428"/>
      <c r="C65" s="325"/>
      <c r="D65" s="326"/>
      <c r="E65" s="326"/>
      <c r="F65" s="326"/>
      <c r="G65" s="327"/>
      <c r="H65" s="328"/>
      <c r="I65" s="330"/>
      <c r="J65" s="329"/>
      <c r="K65" s="545" t="str">
        <f t="shared" si="35"/>
        <v/>
      </c>
      <c r="L65" s="434" t="str">
        <f t="shared" si="38"/>
        <v/>
      </c>
      <c r="M65" s="826">
        <f ca="1">IF(YEAR(G65)&lt;SENIOR1,1,0)+IF(YEAR(G64)&lt;SENIOR1,1,0)+IF(YEAR(G63)&lt;SENIOR1,1,0)+IF(YEAR(G62)&lt;SENIOR1,1,0)</f>
        <v>4</v>
      </c>
      <c r="N65" s="751" t="e">
        <f t="shared" si="3"/>
        <v>#N/A</v>
      </c>
      <c r="O65" s="962"/>
      <c r="P65" s="751" t="e">
        <f t="shared" si="27"/>
        <v>#N/A</v>
      </c>
    </row>
    <row r="66" spans="1:16" s="153" customFormat="1" x14ac:dyDescent="0.2">
      <c r="A66" s="547">
        <v>16</v>
      </c>
      <c r="B66" s="317"/>
      <c r="C66" s="317"/>
      <c r="D66" s="318"/>
      <c r="E66" s="318"/>
      <c r="F66" s="318"/>
      <c r="G66" s="320"/>
      <c r="H66" s="165"/>
      <c r="I66" s="322"/>
      <c r="J66" s="323"/>
      <c r="K66" s="543" t="str">
        <f t="shared" si="35"/>
        <v/>
      </c>
      <c r="L66" s="429" t="str">
        <f t="shared" si="38"/>
        <v/>
      </c>
      <c r="M66" s="430"/>
      <c r="N66" s="749" t="e">
        <f t="shared" si="3"/>
        <v>#N/A</v>
      </c>
      <c r="O66" s="960" t="e">
        <f t="shared" ref="O66" si="51">IF(AND(N66="oui",N67="oui",N68="oui",N69="oui"),"PRO","N")</f>
        <v>#N/A</v>
      </c>
      <c r="P66" s="749" t="e">
        <f t="shared" si="27"/>
        <v>#N/A</v>
      </c>
    </row>
    <row r="67" spans="1:16" s="153" customFormat="1" x14ac:dyDescent="0.2">
      <c r="A67" s="547">
        <v>16</v>
      </c>
      <c r="B67" s="162"/>
      <c r="C67" s="162"/>
      <c r="D67" s="163"/>
      <c r="E67" s="163"/>
      <c r="F67" s="163"/>
      <c r="G67" s="164"/>
      <c r="H67" s="165"/>
      <c r="I67" s="168"/>
      <c r="J67" s="155"/>
      <c r="K67" s="544" t="str">
        <f t="shared" si="35"/>
        <v/>
      </c>
      <c r="L67" s="431" t="str">
        <f t="shared" si="38"/>
        <v/>
      </c>
      <c r="M67" s="432">
        <f t="shared" ref="M67" si="52">COUNTIF(L66:L69,"F")</f>
        <v>0</v>
      </c>
      <c r="N67" s="750" t="e">
        <f t="shared" si="3"/>
        <v>#N/A</v>
      </c>
      <c r="O67" s="961"/>
      <c r="P67" s="750" t="e">
        <f t="shared" si="27"/>
        <v>#N/A</v>
      </c>
    </row>
    <row r="68" spans="1:16" s="153" customFormat="1" x14ac:dyDescent="0.2">
      <c r="A68" s="547">
        <v>16</v>
      </c>
      <c r="B68" s="162"/>
      <c r="C68" s="162"/>
      <c r="D68" s="163"/>
      <c r="E68" s="163"/>
      <c r="F68" s="163"/>
      <c r="G68" s="164"/>
      <c r="H68" s="165"/>
      <c r="I68" s="168"/>
      <c r="J68" s="155"/>
      <c r="K68" s="544" t="str">
        <f t="shared" si="35"/>
        <v/>
      </c>
      <c r="L68" s="431" t="str">
        <f t="shared" si="38"/>
        <v/>
      </c>
      <c r="M68" s="433">
        <f t="shared" ref="M68" si="53">COUNTIF(L66:L69,"G")</f>
        <v>0</v>
      </c>
      <c r="N68" s="750" t="e">
        <f t="shared" si="3"/>
        <v>#N/A</v>
      </c>
      <c r="O68" s="961"/>
      <c r="P68" s="750" t="e">
        <f t="shared" si="27"/>
        <v>#N/A</v>
      </c>
    </row>
    <row r="69" spans="1:16" s="153" customFormat="1" ht="12.75" thickBot="1" x14ac:dyDescent="0.25">
      <c r="A69" s="548">
        <v>16</v>
      </c>
      <c r="B69" s="428"/>
      <c r="C69" s="325"/>
      <c r="D69" s="326"/>
      <c r="E69" s="326"/>
      <c r="F69" s="326"/>
      <c r="G69" s="327"/>
      <c r="H69" s="328"/>
      <c r="I69" s="330"/>
      <c r="J69" s="329"/>
      <c r="K69" s="545" t="str">
        <f t="shared" si="35"/>
        <v/>
      </c>
      <c r="L69" s="434" t="str">
        <f t="shared" si="38"/>
        <v/>
      </c>
      <c r="M69" s="826">
        <f ca="1">IF(YEAR(G69)&lt;SENIOR1,1,0)+IF(YEAR(G68)&lt;SENIOR1,1,0)+IF(YEAR(G67)&lt;SENIOR1,1,0)+IF(YEAR(G66)&lt;SENIOR1,1,0)</f>
        <v>4</v>
      </c>
      <c r="N69" s="751" t="e">
        <f t="shared" si="3"/>
        <v>#N/A</v>
      </c>
      <c r="O69" s="962"/>
      <c r="P69" s="751" t="e">
        <f t="shared" si="27"/>
        <v>#N/A</v>
      </c>
    </row>
    <row r="70" spans="1:16" s="153" customFormat="1" ht="12.75" thickBot="1" x14ac:dyDescent="0.25">
      <c r="A70" s="547">
        <v>17</v>
      </c>
      <c r="B70" s="317"/>
      <c r="C70" s="317"/>
      <c r="D70" s="318"/>
      <c r="E70" s="318"/>
      <c r="F70" s="318"/>
      <c r="G70" s="320"/>
      <c r="H70" s="165"/>
      <c r="I70" s="322"/>
      <c r="J70" s="323"/>
      <c r="K70" s="545" t="str">
        <f t="shared" si="35"/>
        <v/>
      </c>
      <c r="L70" s="429" t="str">
        <f t="shared" si="38"/>
        <v/>
      </c>
      <c r="M70" s="430"/>
      <c r="N70" s="749" t="e">
        <f t="shared" si="3"/>
        <v>#N/A</v>
      </c>
      <c r="O70" s="960" t="e">
        <f t="shared" ref="O70" si="54">IF(AND(N70="oui",N71="oui",N72="oui",N73="oui"),"PRO","N")</f>
        <v>#N/A</v>
      </c>
      <c r="P70" s="749" t="e">
        <f t="shared" ref="P70:P101" si="55">VLOOKUP(H70,N°LicPRO,3,FALSE)</f>
        <v>#N/A</v>
      </c>
    </row>
    <row r="71" spans="1:16" s="153" customFormat="1" ht="12.75" thickBot="1" x14ac:dyDescent="0.25">
      <c r="A71" s="547">
        <v>17</v>
      </c>
      <c r="B71" s="162"/>
      <c r="C71" s="162"/>
      <c r="D71" s="163"/>
      <c r="E71" s="163"/>
      <c r="F71" s="163"/>
      <c r="G71" s="164"/>
      <c r="H71" s="165"/>
      <c r="I71" s="168"/>
      <c r="J71" s="775"/>
      <c r="K71" s="545" t="str">
        <f t="shared" si="35"/>
        <v/>
      </c>
      <c r="L71" s="431" t="str">
        <f t="shared" si="38"/>
        <v/>
      </c>
      <c r="M71" s="432">
        <f t="shared" ref="M71" si="56">COUNTIF(L70:L73,"F")</f>
        <v>0</v>
      </c>
      <c r="N71" s="750" t="e">
        <f t="shared" ref="N71:N73" si="57">VLOOKUP(H71,N°LicPRO,2,FALSE)</f>
        <v>#N/A</v>
      </c>
      <c r="O71" s="961"/>
      <c r="P71" s="750" t="e">
        <f t="shared" si="55"/>
        <v>#N/A</v>
      </c>
    </row>
    <row r="72" spans="1:16" s="153" customFormat="1" ht="12.75" thickBot="1" x14ac:dyDescent="0.25">
      <c r="A72" s="547">
        <v>17</v>
      </c>
      <c r="B72" s="162"/>
      <c r="C72" s="162"/>
      <c r="D72" s="163"/>
      <c r="E72" s="163"/>
      <c r="F72" s="163"/>
      <c r="G72" s="164"/>
      <c r="H72" s="165"/>
      <c r="I72" s="564"/>
      <c r="J72" s="775"/>
      <c r="K72" s="545" t="str">
        <f t="shared" si="35"/>
        <v/>
      </c>
      <c r="L72" s="431" t="str">
        <f t="shared" si="38"/>
        <v/>
      </c>
      <c r="M72" s="433">
        <f t="shared" ref="M72" si="58">COUNTIF(L70:L73,"G")</f>
        <v>0</v>
      </c>
      <c r="N72" s="750" t="e">
        <f t="shared" si="57"/>
        <v>#N/A</v>
      </c>
      <c r="O72" s="961"/>
      <c r="P72" s="750" t="e">
        <f t="shared" si="55"/>
        <v>#N/A</v>
      </c>
    </row>
    <row r="73" spans="1:16" s="153" customFormat="1" ht="12.75" thickBot="1" x14ac:dyDescent="0.25">
      <c r="A73" s="548">
        <v>17</v>
      </c>
      <c r="B73" s="428"/>
      <c r="C73" s="325"/>
      <c r="D73" s="326"/>
      <c r="E73" s="326"/>
      <c r="F73" s="326"/>
      <c r="G73" s="327"/>
      <c r="H73" s="328"/>
      <c r="I73" s="330"/>
      <c r="J73" s="329"/>
      <c r="K73" s="545" t="str">
        <f t="shared" ref="K73:K97" si="59">IF(G73="","",VLOOKUP(YEAR(G73),barèmecible,2))</f>
        <v/>
      </c>
      <c r="L73" s="434" t="str">
        <f t="shared" si="38"/>
        <v/>
      </c>
      <c r="M73" s="826">
        <f ca="1">IF(YEAR(G73)&lt;SENIOR1,1,0)+IF(YEAR(G72)&lt;SENIOR1,1,0)+IF(YEAR(G71)&lt;SENIOR1,1,0)+IF(YEAR(G70)&lt;SENIOR1,1,0)</f>
        <v>4</v>
      </c>
      <c r="N73" s="751" t="e">
        <f t="shared" si="57"/>
        <v>#N/A</v>
      </c>
      <c r="O73" s="962"/>
      <c r="P73" s="751" t="e">
        <f t="shared" si="55"/>
        <v>#N/A</v>
      </c>
    </row>
    <row r="74" spans="1:16" s="153" customFormat="1" x14ac:dyDescent="0.2">
      <c r="A74" s="547">
        <v>18</v>
      </c>
      <c r="B74" s="317"/>
      <c r="C74" s="317"/>
      <c r="D74" s="318"/>
      <c r="E74" s="318"/>
      <c r="F74" s="318"/>
      <c r="G74" s="320"/>
      <c r="H74" s="165"/>
      <c r="I74" s="322"/>
      <c r="J74" s="323"/>
      <c r="K74" s="543" t="str">
        <f t="shared" si="59"/>
        <v/>
      </c>
      <c r="L74" s="429" t="str">
        <f t="shared" si="38"/>
        <v/>
      </c>
      <c r="M74" s="430"/>
      <c r="N74" s="749" t="e">
        <f t="shared" ref="N74:N101" si="60">VLOOKUP(H74,N°LicPRO,2,FALSE)</f>
        <v>#N/A</v>
      </c>
      <c r="O74" s="960" t="e">
        <f t="shared" ref="O74" si="61">IF(AND(N74="oui",N75="oui",N76="oui",N77="oui"),"PRO","N")</f>
        <v>#N/A</v>
      </c>
      <c r="P74" s="749" t="e">
        <f t="shared" si="55"/>
        <v>#N/A</v>
      </c>
    </row>
    <row r="75" spans="1:16" s="153" customFormat="1" x14ac:dyDescent="0.2">
      <c r="A75" s="547">
        <v>18</v>
      </c>
      <c r="B75" s="162"/>
      <c r="C75" s="162"/>
      <c r="D75" s="163"/>
      <c r="E75" s="163"/>
      <c r="F75" s="163"/>
      <c r="G75" s="164"/>
      <c r="H75" s="165"/>
      <c r="I75" s="168"/>
      <c r="J75" s="155"/>
      <c r="K75" s="544" t="str">
        <f t="shared" si="59"/>
        <v/>
      </c>
      <c r="L75" s="431" t="str">
        <f t="shared" si="38"/>
        <v/>
      </c>
      <c r="M75" s="432">
        <f t="shared" ref="M75" si="62">COUNTIF(L74:L77,"F")</f>
        <v>0</v>
      </c>
      <c r="N75" s="750" t="e">
        <f t="shared" si="60"/>
        <v>#N/A</v>
      </c>
      <c r="O75" s="961"/>
      <c r="P75" s="750" t="e">
        <f t="shared" si="55"/>
        <v>#N/A</v>
      </c>
    </row>
    <row r="76" spans="1:16" s="153" customFormat="1" x14ac:dyDescent="0.2">
      <c r="A76" s="547">
        <v>18</v>
      </c>
      <c r="B76" s="162"/>
      <c r="C76" s="162"/>
      <c r="D76" s="163"/>
      <c r="E76" s="163"/>
      <c r="F76" s="163"/>
      <c r="G76" s="164"/>
      <c r="H76" s="165"/>
      <c r="I76" s="168"/>
      <c r="J76" s="155"/>
      <c r="K76" s="544" t="str">
        <f t="shared" si="59"/>
        <v/>
      </c>
      <c r="L76" s="431" t="str">
        <f t="shared" si="38"/>
        <v/>
      </c>
      <c r="M76" s="433">
        <f t="shared" ref="M76" si="63">COUNTIF(L74:L77,"G")</f>
        <v>0</v>
      </c>
      <c r="N76" s="750" t="e">
        <f t="shared" si="60"/>
        <v>#N/A</v>
      </c>
      <c r="O76" s="961"/>
      <c r="P76" s="750" t="e">
        <f t="shared" si="55"/>
        <v>#N/A</v>
      </c>
    </row>
    <row r="77" spans="1:16" s="153" customFormat="1" ht="12.75" thickBot="1" x14ac:dyDescent="0.25">
      <c r="A77" s="548">
        <v>18</v>
      </c>
      <c r="B77" s="428"/>
      <c r="C77" s="325"/>
      <c r="D77" s="326"/>
      <c r="E77" s="326"/>
      <c r="F77" s="326"/>
      <c r="G77" s="327"/>
      <c r="H77" s="328"/>
      <c r="I77" s="330"/>
      <c r="J77" s="329"/>
      <c r="K77" s="545" t="str">
        <f t="shared" si="59"/>
        <v/>
      </c>
      <c r="L77" s="434" t="str">
        <f t="shared" si="38"/>
        <v/>
      </c>
      <c r="M77" s="826">
        <f ca="1">IF(YEAR(G77)&lt;SENIOR1,1,0)+IF(YEAR(G76)&lt;SENIOR1,1,0)+IF(YEAR(G75)&lt;SENIOR1,1,0)+IF(YEAR(G74)&lt;SENIOR1,1,0)</f>
        <v>4</v>
      </c>
      <c r="N77" s="751" t="e">
        <f t="shared" si="60"/>
        <v>#N/A</v>
      </c>
      <c r="O77" s="962"/>
      <c r="P77" s="751" t="e">
        <f t="shared" si="55"/>
        <v>#N/A</v>
      </c>
    </row>
    <row r="78" spans="1:16" s="153" customFormat="1" x14ac:dyDescent="0.2">
      <c r="A78" s="547">
        <v>19</v>
      </c>
      <c r="B78" s="317"/>
      <c r="C78" s="317"/>
      <c r="D78" s="318"/>
      <c r="E78" s="318"/>
      <c r="F78" s="318"/>
      <c r="G78" s="320"/>
      <c r="H78" s="165"/>
      <c r="I78" s="322"/>
      <c r="J78" s="323"/>
      <c r="K78" s="543" t="str">
        <f t="shared" si="59"/>
        <v/>
      </c>
      <c r="L78" s="429" t="str">
        <f t="shared" si="38"/>
        <v/>
      </c>
      <c r="M78" s="430"/>
      <c r="N78" s="749" t="e">
        <f t="shared" si="60"/>
        <v>#N/A</v>
      </c>
      <c r="O78" s="960" t="e">
        <f t="shared" ref="O78" si="64">IF(AND(N78="oui",N79="oui",N80="oui",N81="oui"),"PRO","N")</f>
        <v>#N/A</v>
      </c>
      <c r="P78" s="749" t="e">
        <f t="shared" si="55"/>
        <v>#N/A</v>
      </c>
    </row>
    <row r="79" spans="1:16" s="153" customFormat="1" x14ac:dyDescent="0.2">
      <c r="A79" s="547">
        <v>19</v>
      </c>
      <c r="B79" s="162"/>
      <c r="C79" s="162"/>
      <c r="D79" s="163"/>
      <c r="E79" s="163"/>
      <c r="F79" s="163"/>
      <c r="G79" s="164"/>
      <c r="H79" s="165"/>
      <c r="I79" s="168"/>
      <c r="J79" s="155"/>
      <c r="K79" s="544" t="str">
        <f t="shared" si="59"/>
        <v/>
      </c>
      <c r="L79" s="431" t="str">
        <f t="shared" si="38"/>
        <v/>
      </c>
      <c r="M79" s="432">
        <f t="shared" ref="M79" si="65">COUNTIF(L78:L81,"F")</f>
        <v>0</v>
      </c>
      <c r="N79" s="750" t="e">
        <f t="shared" si="60"/>
        <v>#N/A</v>
      </c>
      <c r="O79" s="961"/>
      <c r="P79" s="750" t="e">
        <f t="shared" si="55"/>
        <v>#N/A</v>
      </c>
    </row>
    <row r="80" spans="1:16" s="153" customFormat="1" x14ac:dyDescent="0.2">
      <c r="A80" s="547">
        <v>19</v>
      </c>
      <c r="B80" s="162"/>
      <c r="C80" s="162"/>
      <c r="D80" s="163"/>
      <c r="E80" s="163"/>
      <c r="F80" s="163"/>
      <c r="G80" s="164"/>
      <c r="H80" s="165"/>
      <c r="I80" s="168"/>
      <c r="J80" s="155"/>
      <c r="K80" s="544" t="str">
        <f t="shared" si="59"/>
        <v/>
      </c>
      <c r="L80" s="431" t="str">
        <f t="shared" si="38"/>
        <v/>
      </c>
      <c r="M80" s="433">
        <f t="shared" ref="M80" si="66">COUNTIF(L78:L81,"G")</f>
        <v>0</v>
      </c>
      <c r="N80" s="750" t="e">
        <f t="shared" si="60"/>
        <v>#N/A</v>
      </c>
      <c r="O80" s="961"/>
      <c r="P80" s="750" t="e">
        <f t="shared" si="55"/>
        <v>#N/A</v>
      </c>
    </row>
    <row r="81" spans="1:16" s="153" customFormat="1" ht="12.75" thickBot="1" x14ac:dyDescent="0.25">
      <c r="A81" s="548">
        <v>19</v>
      </c>
      <c r="B81" s="428"/>
      <c r="C81" s="325"/>
      <c r="D81" s="326"/>
      <c r="E81" s="326"/>
      <c r="F81" s="326"/>
      <c r="G81" s="327"/>
      <c r="H81" s="328"/>
      <c r="I81" s="330"/>
      <c r="J81" s="329"/>
      <c r="K81" s="545" t="str">
        <f t="shared" si="59"/>
        <v/>
      </c>
      <c r="L81" s="434" t="str">
        <f t="shared" si="38"/>
        <v/>
      </c>
      <c r="M81" s="826">
        <f ca="1">IF(YEAR(G81)&lt;SENIOR1,1,0)+IF(YEAR(G80)&lt;SENIOR1,1,0)+IF(YEAR(G79)&lt;SENIOR1,1,0)+IF(YEAR(G78)&lt;SENIOR1,1,0)</f>
        <v>4</v>
      </c>
      <c r="N81" s="751" t="e">
        <f t="shared" si="60"/>
        <v>#N/A</v>
      </c>
      <c r="O81" s="962"/>
      <c r="P81" s="751" t="e">
        <f t="shared" si="55"/>
        <v>#N/A</v>
      </c>
    </row>
    <row r="82" spans="1:16" s="153" customFormat="1" x14ac:dyDescent="0.2">
      <c r="A82" s="547">
        <v>20</v>
      </c>
      <c r="B82" s="317"/>
      <c r="C82" s="317"/>
      <c r="D82" s="318"/>
      <c r="E82" s="318"/>
      <c r="F82" s="318"/>
      <c r="G82" s="320"/>
      <c r="H82" s="165"/>
      <c r="I82" s="322"/>
      <c r="J82" s="323"/>
      <c r="K82" s="543" t="str">
        <f t="shared" si="59"/>
        <v/>
      </c>
      <c r="L82" s="429" t="str">
        <f t="shared" si="38"/>
        <v/>
      </c>
      <c r="M82" s="430"/>
      <c r="N82" s="749" t="e">
        <f t="shared" si="60"/>
        <v>#N/A</v>
      </c>
      <c r="O82" s="960" t="e">
        <f t="shared" ref="O82" si="67">IF(AND(N82="oui",N83="oui",N84="oui",N85="oui"),"PRO","N")</f>
        <v>#N/A</v>
      </c>
      <c r="P82" s="749" t="e">
        <f t="shared" si="55"/>
        <v>#N/A</v>
      </c>
    </row>
    <row r="83" spans="1:16" s="153" customFormat="1" x14ac:dyDescent="0.2">
      <c r="A83" s="547">
        <v>20</v>
      </c>
      <c r="B83" s="162"/>
      <c r="C83" s="162"/>
      <c r="D83" s="163"/>
      <c r="E83" s="163"/>
      <c r="F83" s="163"/>
      <c r="G83" s="164"/>
      <c r="H83" s="165"/>
      <c r="I83" s="168"/>
      <c r="J83" s="155"/>
      <c r="K83" s="544" t="str">
        <f t="shared" si="59"/>
        <v/>
      </c>
      <c r="L83" s="431" t="str">
        <f t="shared" si="38"/>
        <v/>
      </c>
      <c r="M83" s="432">
        <f t="shared" ref="M83" si="68">COUNTIF(L82:L85,"F")</f>
        <v>0</v>
      </c>
      <c r="N83" s="750" t="e">
        <f t="shared" si="60"/>
        <v>#N/A</v>
      </c>
      <c r="O83" s="961"/>
      <c r="P83" s="750" t="e">
        <f t="shared" si="55"/>
        <v>#N/A</v>
      </c>
    </row>
    <row r="84" spans="1:16" s="153" customFormat="1" x14ac:dyDescent="0.2">
      <c r="A84" s="547">
        <v>20</v>
      </c>
      <c r="B84" s="162"/>
      <c r="C84" s="162"/>
      <c r="D84" s="163"/>
      <c r="E84" s="163"/>
      <c r="F84" s="163"/>
      <c r="G84" s="164"/>
      <c r="H84" s="165"/>
      <c r="I84" s="168"/>
      <c r="J84" s="155"/>
      <c r="K84" s="544" t="str">
        <f t="shared" si="59"/>
        <v/>
      </c>
      <c r="L84" s="431" t="str">
        <f t="shared" si="38"/>
        <v/>
      </c>
      <c r="M84" s="433">
        <f t="shared" ref="M84" si="69">COUNTIF(L82:L85,"G")</f>
        <v>0</v>
      </c>
      <c r="N84" s="750" t="e">
        <f t="shared" si="60"/>
        <v>#N/A</v>
      </c>
      <c r="O84" s="961"/>
      <c r="P84" s="750" t="e">
        <f t="shared" si="55"/>
        <v>#N/A</v>
      </c>
    </row>
    <row r="85" spans="1:16" s="153" customFormat="1" ht="12.75" thickBot="1" x14ac:dyDescent="0.25">
      <c r="A85" s="548">
        <v>20</v>
      </c>
      <c r="B85" s="428"/>
      <c r="C85" s="325"/>
      <c r="D85" s="326"/>
      <c r="E85" s="326"/>
      <c r="F85" s="326"/>
      <c r="G85" s="327"/>
      <c r="H85" s="328"/>
      <c r="I85" s="330"/>
      <c r="J85" s="329"/>
      <c r="K85" s="545" t="str">
        <f t="shared" si="59"/>
        <v/>
      </c>
      <c r="L85" s="434" t="str">
        <f t="shared" si="38"/>
        <v/>
      </c>
      <c r="M85" s="826">
        <f ca="1">IF(YEAR(G85)&lt;SENIOR1,1,0)+IF(YEAR(G84)&lt;SENIOR1,1,0)+IF(YEAR(G83)&lt;SENIOR1,1,0)+IF(YEAR(G82)&lt;SENIOR1,1,0)</f>
        <v>4</v>
      </c>
      <c r="N85" s="751" t="e">
        <f t="shared" si="60"/>
        <v>#N/A</v>
      </c>
      <c r="O85" s="962"/>
      <c r="P85" s="751" t="e">
        <f t="shared" si="55"/>
        <v>#N/A</v>
      </c>
    </row>
    <row r="86" spans="1:16" s="153" customFormat="1" x14ac:dyDescent="0.2">
      <c r="A86" s="547">
        <v>21</v>
      </c>
      <c r="B86" s="317"/>
      <c r="C86" s="317"/>
      <c r="D86" s="318"/>
      <c r="E86" s="318"/>
      <c r="F86" s="318"/>
      <c r="G86" s="320"/>
      <c r="H86" s="165"/>
      <c r="I86" s="322"/>
      <c r="J86" s="323"/>
      <c r="K86" s="543" t="str">
        <f t="shared" si="59"/>
        <v/>
      </c>
      <c r="L86" s="429" t="str">
        <f t="shared" si="38"/>
        <v/>
      </c>
      <c r="M86" s="430"/>
      <c r="N86" s="749" t="e">
        <f t="shared" si="60"/>
        <v>#N/A</v>
      </c>
      <c r="O86" s="960" t="e">
        <f t="shared" ref="O86" si="70">IF(AND(N86="oui",N87="oui",N88="oui",N89="oui"),"PRO","N")</f>
        <v>#N/A</v>
      </c>
      <c r="P86" s="749" t="e">
        <f t="shared" si="55"/>
        <v>#N/A</v>
      </c>
    </row>
    <row r="87" spans="1:16" s="153" customFormat="1" x14ac:dyDescent="0.2">
      <c r="A87" s="547">
        <v>21</v>
      </c>
      <c r="B87" s="162"/>
      <c r="C87" s="162"/>
      <c r="D87" s="163"/>
      <c r="E87" s="163"/>
      <c r="F87" s="163"/>
      <c r="G87" s="164"/>
      <c r="H87" s="165"/>
      <c r="I87" s="168"/>
      <c r="J87" s="155"/>
      <c r="K87" s="544" t="str">
        <f t="shared" si="59"/>
        <v/>
      </c>
      <c r="L87" s="431" t="str">
        <f t="shared" si="38"/>
        <v/>
      </c>
      <c r="M87" s="432">
        <f t="shared" ref="M87" si="71">COUNTIF(L86:L89,"F")</f>
        <v>0</v>
      </c>
      <c r="N87" s="750" t="e">
        <f t="shared" si="60"/>
        <v>#N/A</v>
      </c>
      <c r="O87" s="961"/>
      <c r="P87" s="750" t="e">
        <f t="shared" si="55"/>
        <v>#N/A</v>
      </c>
    </row>
    <row r="88" spans="1:16" s="153" customFormat="1" x14ac:dyDescent="0.2">
      <c r="A88" s="547">
        <v>21</v>
      </c>
      <c r="B88" s="162"/>
      <c r="C88" s="162"/>
      <c r="D88" s="163"/>
      <c r="E88" s="163"/>
      <c r="F88" s="163"/>
      <c r="G88" s="164"/>
      <c r="H88" s="165"/>
      <c r="I88" s="168"/>
      <c r="J88" s="155"/>
      <c r="K88" s="544" t="str">
        <f t="shared" si="59"/>
        <v/>
      </c>
      <c r="L88" s="431" t="str">
        <f t="shared" si="38"/>
        <v/>
      </c>
      <c r="M88" s="433">
        <f t="shared" ref="M88" si="72">COUNTIF(L86:L89,"G")</f>
        <v>0</v>
      </c>
      <c r="N88" s="750" t="e">
        <f t="shared" si="60"/>
        <v>#N/A</v>
      </c>
      <c r="O88" s="961"/>
      <c r="P88" s="750" t="e">
        <f t="shared" si="55"/>
        <v>#N/A</v>
      </c>
    </row>
    <row r="89" spans="1:16" s="153" customFormat="1" ht="12.75" thickBot="1" x14ac:dyDescent="0.25">
      <c r="A89" s="548">
        <v>21</v>
      </c>
      <c r="B89" s="428"/>
      <c r="C89" s="325"/>
      <c r="D89" s="326"/>
      <c r="E89" s="326"/>
      <c r="F89" s="326"/>
      <c r="G89" s="327"/>
      <c r="H89" s="328"/>
      <c r="I89" s="330"/>
      <c r="J89" s="329"/>
      <c r="K89" s="545" t="str">
        <f t="shared" si="59"/>
        <v/>
      </c>
      <c r="L89" s="434" t="str">
        <f t="shared" si="38"/>
        <v/>
      </c>
      <c r="M89" s="826">
        <f ca="1">IF(YEAR(G89)&lt;SENIOR1,1,0)+IF(YEAR(G88)&lt;SENIOR1,1,0)+IF(YEAR(G87)&lt;SENIOR1,1,0)+IF(YEAR(G86)&lt;SENIOR1,1,0)</f>
        <v>4</v>
      </c>
      <c r="N89" s="751" t="e">
        <f t="shared" si="60"/>
        <v>#N/A</v>
      </c>
      <c r="O89" s="962"/>
      <c r="P89" s="751" t="e">
        <f t="shared" si="55"/>
        <v>#N/A</v>
      </c>
    </row>
    <row r="90" spans="1:16" s="153" customFormat="1" x14ac:dyDescent="0.2">
      <c r="A90" s="547">
        <v>22</v>
      </c>
      <c r="B90" s="317"/>
      <c r="C90" s="317"/>
      <c r="D90" s="318"/>
      <c r="E90" s="318"/>
      <c r="F90" s="318"/>
      <c r="G90" s="320"/>
      <c r="H90" s="165"/>
      <c r="I90" s="322"/>
      <c r="J90" s="323"/>
      <c r="K90" s="543" t="str">
        <f t="shared" si="59"/>
        <v/>
      </c>
      <c r="L90" s="429" t="str">
        <f t="shared" si="38"/>
        <v/>
      </c>
      <c r="M90" s="430"/>
      <c r="N90" s="749" t="e">
        <f t="shared" si="60"/>
        <v>#N/A</v>
      </c>
      <c r="O90" s="960" t="e">
        <f t="shared" ref="O90" si="73">IF(AND(N90="oui",N91="oui",N92="oui",N93="oui"),"PRO","N")</f>
        <v>#N/A</v>
      </c>
      <c r="P90" s="749" t="e">
        <f t="shared" si="55"/>
        <v>#N/A</v>
      </c>
    </row>
    <row r="91" spans="1:16" s="153" customFormat="1" x14ac:dyDescent="0.2">
      <c r="A91" s="547">
        <v>22</v>
      </c>
      <c r="B91" s="162"/>
      <c r="C91" s="162"/>
      <c r="D91" s="163"/>
      <c r="E91" s="163"/>
      <c r="F91" s="163"/>
      <c r="G91" s="164"/>
      <c r="H91" s="165"/>
      <c r="I91" s="168"/>
      <c r="J91" s="155"/>
      <c r="K91" s="544" t="str">
        <f t="shared" si="59"/>
        <v/>
      </c>
      <c r="L91" s="431" t="str">
        <f t="shared" si="38"/>
        <v/>
      </c>
      <c r="M91" s="432">
        <f t="shared" ref="M91" si="74">COUNTIF(L90:L93,"F")</f>
        <v>0</v>
      </c>
      <c r="N91" s="750" t="e">
        <f t="shared" si="60"/>
        <v>#N/A</v>
      </c>
      <c r="O91" s="961"/>
      <c r="P91" s="750" t="e">
        <f t="shared" si="55"/>
        <v>#N/A</v>
      </c>
    </row>
    <row r="92" spans="1:16" s="153" customFormat="1" x14ac:dyDescent="0.2">
      <c r="A92" s="547">
        <v>22</v>
      </c>
      <c r="B92" s="162"/>
      <c r="C92" s="162"/>
      <c r="D92" s="163"/>
      <c r="E92" s="163"/>
      <c r="F92" s="163"/>
      <c r="G92" s="164"/>
      <c r="H92" s="165"/>
      <c r="I92" s="564"/>
      <c r="J92" s="775"/>
      <c r="K92" s="544" t="str">
        <f t="shared" si="59"/>
        <v/>
      </c>
      <c r="L92" s="431" t="str">
        <f t="shared" si="38"/>
        <v/>
      </c>
      <c r="M92" s="433">
        <f t="shared" ref="M92" si="75">COUNTIF(L90:L93,"G")</f>
        <v>0</v>
      </c>
      <c r="N92" s="750" t="e">
        <f t="shared" si="60"/>
        <v>#N/A</v>
      </c>
      <c r="O92" s="961"/>
      <c r="P92" s="750" t="e">
        <f t="shared" si="55"/>
        <v>#N/A</v>
      </c>
    </row>
    <row r="93" spans="1:16" s="153" customFormat="1" ht="12.75" thickBot="1" x14ac:dyDescent="0.25">
      <c r="A93" s="548">
        <v>22</v>
      </c>
      <c r="B93" s="428"/>
      <c r="C93" s="325"/>
      <c r="D93" s="326"/>
      <c r="E93" s="326"/>
      <c r="F93" s="326"/>
      <c r="G93" s="327"/>
      <c r="H93" s="328"/>
      <c r="I93" s="330"/>
      <c r="J93" s="329"/>
      <c r="K93" s="545" t="str">
        <f t="shared" si="59"/>
        <v/>
      </c>
      <c r="L93" s="434" t="str">
        <f t="shared" si="38"/>
        <v/>
      </c>
      <c r="M93" s="826">
        <f ca="1">IF(YEAR(G93)&lt;SENIOR1,1,0)+IF(YEAR(G92)&lt;SENIOR1,1,0)+IF(YEAR(G91)&lt;SENIOR1,1,0)+IF(YEAR(G90)&lt;SENIOR1,1,0)</f>
        <v>4</v>
      </c>
      <c r="N93" s="751" t="e">
        <f t="shared" si="60"/>
        <v>#N/A</v>
      </c>
      <c r="O93" s="962"/>
      <c r="P93" s="751" t="e">
        <f t="shared" si="55"/>
        <v>#N/A</v>
      </c>
    </row>
    <row r="94" spans="1:16" s="153" customFormat="1" x14ac:dyDescent="0.2">
      <c r="A94" s="547">
        <v>23</v>
      </c>
      <c r="B94" s="317"/>
      <c r="C94" s="317"/>
      <c r="D94" s="318"/>
      <c r="E94" s="318"/>
      <c r="F94" s="318"/>
      <c r="G94" s="320"/>
      <c r="H94" s="165"/>
      <c r="I94" s="322"/>
      <c r="J94" s="323"/>
      <c r="K94" s="543" t="str">
        <f t="shared" si="59"/>
        <v/>
      </c>
      <c r="L94" s="429" t="str">
        <f t="shared" ref="L94:L101" si="76">RIGHT(J94,1)</f>
        <v/>
      </c>
      <c r="M94" s="430"/>
      <c r="N94" s="749" t="e">
        <f t="shared" si="60"/>
        <v>#N/A</v>
      </c>
      <c r="O94" s="960" t="e">
        <f t="shared" ref="O94" si="77">IF(AND(N94="oui",N95="oui",N96="oui",N97="oui"),"PRO","N")</f>
        <v>#N/A</v>
      </c>
      <c r="P94" s="749" t="e">
        <f t="shared" si="55"/>
        <v>#N/A</v>
      </c>
    </row>
    <row r="95" spans="1:16" s="153" customFormat="1" x14ac:dyDescent="0.2">
      <c r="A95" s="547">
        <v>23</v>
      </c>
      <c r="B95" s="162"/>
      <c r="C95" s="162"/>
      <c r="D95" s="163"/>
      <c r="E95" s="163"/>
      <c r="F95" s="163"/>
      <c r="G95" s="164"/>
      <c r="H95" s="165"/>
      <c r="I95" s="168"/>
      <c r="J95" s="155"/>
      <c r="K95" s="544" t="str">
        <f t="shared" si="59"/>
        <v/>
      </c>
      <c r="L95" s="431" t="str">
        <f t="shared" si="76"/>
        <v/>
      </c>
      <c r="M95" s="432">
        <f t="shared" ref="M95" si="78">COUNTIF(L94:L97,"F")</f>
        <v>0</v>
      </c>
      <c r="N95" s="750" t="e">
        <f t="shared" si="60"/>
        <v>#N/A</v>
      </c>
      <c r="O95" s="961"/>
      <c r="P95" s="750" t="e">
        <f t="shared" si="55"/>
        <v>#N/A</v>
      </c>
    </row>
    <row r="96" spans="1:16" s="153" customFormat="1" x14ac:dyDescent="0.2">
      <c r="A96" s="547">
        <v>23</v>
      </c>
      <c r="B96" s="162"/>
      <c r="C96" s="162"/>
      <c r="D96" s="163"/>
      <c r="E96" s="163"/>
      <c r="F96" s="163"/>
      <c r="G96" s="164"/>
      <c r="H96" s="165"/>
      <c r="I96" s="168"/>
      <c r="J96" s="155"/>
      <c r="K96" s="544" t="str">
        <f t="shared" si="59"/>
        <v/>
      </c>
      <c r="L96" s="431" t="str">
        <f t="shared" si="76"/>
        <v/>
      </c>
      <c r="M96" s="433">
        <f t="shared" ref="M96" si="79">COUNTIF(L94:L97,"G")</f>
        <v>0</v>
      </c>
      <c r="N96" s="750" t="e">
        <f t="shared" si="60"/>
        <v>#N/A</v>
      </c>
      <c r="O96" s="961"/>
      <c r="P96" s="750" t="e">
        <f t="shared" si="55"/>
        <v>#N/A</v>
      </c>
    </row>
    <row r="97" spans="1:16" s="153" customFormat="1" ht="12.75" thickBot="1" x14ac:dyDescent="0.25">
      <c r="A97" s="548">
        <v>23</v>
      </c>
      <c r="B97" s="428"/>
      <c r="C97" s="325"/>
      <c r="D97" s="326"/>
      <c r="E97" s="326"/>
      <c r="F97" s="326"/>
      <c r="G97" s="327"/>
      <c r="H97" s="328"/>
      <c r="I97" s="330"/>
      <c r="J97" s="329"/>
      <c r="K97" s="545" t="str">
        <f t="shared" si="59"/>
        <v/>
      </c>
      <c r="L97" s="434" t="str">
        <f t="shared" si="76"/>
        <v/>
      </c>
      <c r="M97" s="826">
        <f ca="1">IF(YEAR(G97)&lt;SENIOR1,1,0)+IF(YEAR(G96)&lt;SENIOR1,1,0)+IF(YEAR(G95)&lt;SENIOR1,1,0)+IF(YEAR(G94)&lt;SENIOR1,1,0)</f>
        <v>4</v>
      </c>
      <c r="N97" s="751" t="e">
        <f t="shared" si="60"/>
        <v>#N/A</v>
      </c>
      <c r="O97" s="962"/>
      <c r="P97" s="751" t="e">
        <f t="shared" si="55"/>
        <v>#N/A</v>
      </c>
    </row>
    <row r="98" spans="1:16" s="153" customFormat="1" x14ac:dyDescent="0.2">
      <c r="A98" s="547">
        <v>24</v>
      </c>
      <c r="B98" s="317"/>
      <c r="C98" s="317"/>
      <c r="D98" s="318"/>
      <c r="E98" s="318"/>
      <c r="F98" s="318"/>
      <c r="G98" s="320"/>
      <c r="H98" s="165"/>
      <c r="I98" s="322"/>
      <c r="J98" s="323"/>
      <c r="K98" s="543" t="str">
        <f t="shared" ref="K98:K101" si="80">IF(G98="","",VLOOKUP(YEAR(G98),barèmecible,2))</f>
        <v/>
      </c>
      <c r="L98" s="429" t="str">
        <f t="shared" si="76"/>
        <v/>
      </c>
      <c r="M98" s="430"/>
      <c r="N98" s="749" t="e">
        <f t="shared" si="60"/>
        <v>#N/A</v>
      </c>
      <c r="O98" s="960" t="e">
        <f t="shared" ref="O98" si="81">IF(AND(N98="oui",N99="oui",N100="oui",N101="oui"),"PRO","N")</f>
        <v>#N/A</v>
      </c>
      <c r="P98" s="749" t="e">
        <f t="shared" si="55"/>
        <v>#N/A</v>
      </c>
    </row>
    <row r="99" spans="1:16" s="153" customFormat="1" x14ac:dyDescent="0.2">
      <c r="A99" s="547">
        <v>24</v>
      </c>
      <c r="B99" s="162"/>
      <c r="C99" s="162"/>
      <c r="D99" s="163"/>
      <c r="E99" s="163"/>
      <c r="F99" s="163"/>
      <c r="G99" s="164"/>
      <c r="H99" s="165"/>
      <c r="I99" s="168"/>
      <c r="J99" s="155"/>
      <c r="K99" s="544" t="str">
        <f t="shared" si="80"/>
        <v/>
      </c>
      <c r="L99" s="431" t="str">
        <f t="shared" si="76"/>
        <v/>
      </c>
      <c r="M99" s="432">
        <f t="shared" ref="M99" si="82">COUNTIF(L98:L101,"F")</f>
        <v>0</v>
      </c>
      <c r="N99" s="750" t="e">
        <f t="shared" si="60"/>
        <v>#N/A</v>
      </c>
      <c r="O99" s="961"/>
      <c r="P99" s="750" t="e">
        <f t="shared" si="55"/>
        <v>#N/A</v>
      </c>
    </row>
    <row r="100" spans="1:16" s="153" customFormat="1" x14ac:dyDescent="0.2">
      <c r="A100" s="547">
        <v>24</v>
      </c>
      <c r="B100" s="162"/>
      <c r="C100" s="162"/>
      <c r="D100" s="163"/>
      <c r="E100" s="163"/>
      <c r="F100" s="163"/>
      <c r="G100" s="164"/>
      <c r="H100" s="165"/>
      <c r="I100" s="168"/>
      <c r="J100" s="155"/>
      <c r="K100" s="544" t="str">
        <f t="shared" si="80"/>
        <v/>
      </c>
      <c r="L100" s="431" t="str">
        <f t="shared" si="76"/>
        <v/>
      </c>
      <c r="M100" s="433">
        <f t="shared" ref="M100" si="83">COUNTIF(L98:L101,"G")</f>
        <v>0</v>
      </c>
      <c r="N100" s="750" t="e">
        <f t="shared" si="60"/>
        <v>#N/A</v>
      </c>
      <c r="O100" s="961"/>
      <c r="P100" s="750" t="e">
        <f t="shared" si="55"/>
        <v>#N/A</v>
      </c>
    </row>
    <row r="101" spans="1:16" s="153" customFormat="1" ht="12.75" thickBot="1" x14ac:dyDescent="0.25">
      <c r="A101" s="548">
        <v>24</v>
      </c>
      <c r="B101" s="428"/>
      <c r="C101" s="325"/>
      <c r="D101" s="326"/>
      <c r="E101" s="326"/>
      <c r="F101" s="326"/>
      <c r="G101" s="327"/>
      <c r="H101" s="328"/>
      <c r="I101" s="330"/>
      <c r="J101" s="329"/>
      <c r="K101" s="545" t="str">
        <f t="shared" si="80"/>
        <v/>
      </c>
      <c r="L101" s="434" t="str">
        <f t="shared" si="76"/>
        <v/>
      </c>
      <c r="M101" s="826">
        <f ca="1">IF(YEAR(G101)&lt;SENIOR1,1,0)+IF(YEAR(G100)&lt;SENIOR1,1,0)+IF(YEAR(G99)&lt;SENIOR1,1,0)+IF(YEAR(G98)&lt;SENIOR1,1,0)</f>
        <v>4</v>
      </c>
      <c r="N101" s="751" t="e">
        <f t="shared" si="60"/>
        <v>#N/A</v>
      </c>
      <c r="O101" s="962"/>
      <c r="P101" s="751" t="e">
        <f t="shared" si="55"/>
        <v>#N/A</v>
      </c>
    </row>
    <row r="102" spans="1:16" x14ac:dyDescent="0.2">
      <c r="G102" s="746"/>
      <c r="J102" s="10"/>
      <c r="K102" s="10"/>
      <c r="L102" s="10"/>
      <c r="M102" s="10"/>
    </row>
    <row r="103" spans="1:16" x14ac:dyDescent="0.2">
      <c r="G103" s="10"/>
      <c r="J103" s="10"/>
      <c r="K103" s="10"/>
      <c r="L103" s="10"/>
      <c r="M103" s="10"/>
    </row>
    <row r="104" spans="1:16" x14ac:dyDescent="0.2">
      <c r="G104" s="10"/>
      <c r="J104" s="10"/>
      <c r="K104" s="10"/>
      <c r="L104" s="10"/>
      <c r="M104" s="10"/>
    </row>
    <row r="105" spans="1:16" x14ac:dyDescent="0.2">
      <c r="G105" s="10"/>
      <c r="J105" s="10"/>
      <c r="K105" s="10"/>
      <c r="L105" s="10"/>
      <c r="M105" s="10"/>
    </row>
    <row r="106" spans="1:16" x14ac:dyDescent="0.2">
      <c r="G106" s="10"/>
      <c r="J106" s="10"/>
      <c r="K106" s="10"/>
      <c r="L106" s="10"/>
      <c r="M106" s="10"/>
    </row>
    <row r="107" spans="1:16" x14ac:dyDescent="0.2">
      <c r="G107" s="10"/>
      <c r="J107" s="10"/>
      <c r="K107" s="10"/>
      <c r="L107" s="10"/>
      <c r="M107" s="10"/>
    </row>
    <row r="108" spans="1:16" x14ac:dyDescent="0.2">
      <c r="G108" s="10"/>
      <c r="J108" s="10"/>
      <c r="K108" s="10"/>
      <c r="L108" s="10"/>
      <c r="M108" s="10"/>
    </row>
    <row r="109" spans="1:16" x14ac:dyDescent="0.2">
      <c r="G109" s="10"/>
      <c r="J109" s="10"/>
      <c r="K109" s="10"/>
      <c r="L109" s="10"/>
      <c r="M109" s="10"/>
    </row>
    <row r="110" spans="1:16" x14ac:dyDescent="0.2">
      <c r="G110" s="10"/>
      <c r="J110" s="10"/>
      <c r="K110" s="10"/>
      <c r="L110" s="10"/>
      <c r="M110" s="10"/>
    </row>
    <row r="111" spans="1:16" x14ac:dyDescent="0.2">
      <c r="G111" s="10"/>
      <c r="J111" s="10"/>
      <c r="K111" s="10"/>
      <c r="L111" s="10"/>
      <c r="M111" s="10"/>
    </row>
    <row r="112" spans="1:16" x14ac:dyDescent="0.2">
      <c r="G112" s="10"/>
      <c r="J112" s="10"/>
      <c r="K112" s="10"/>
      <c r="L112" s="10"/>
      <c r="M112" s="10"/>
    </row>
    <row r="113" spans="7:13" x14ac:dyDescent="0.2">
      <c r="G113" s="10"/>
      <c r="J113" s="10"/>
      <c r="K113" s="10"/>
      <c r="L113" s="10"/>
      <c r="M113" s="10"/>
    </row>
    <row r="114" spans="7:13" x14ac:dyDescent="0.2">
      <c r="G114" s="10"/>
      <c r="J114" s="10"/>
      <c r="K114" s="10"/>
      <c r="L114" s="10"/>
      <c r="M114" s="10"/>
    </row>
    <row r="115" spans="7:13" x14ac:dyDescent="0.2">
      <c r="G115" s="10"/>
      <c r="J115" s="10"/>
      <c r="K115" s="10"/>
      <c r="L115" s="10"/>
      <c r="M115" s="10"/>
    </row>
    <row r="116" spans="7:13" x14ac:dyDescent="0.2">
      <c r="G116" s="10"/>
      <c r="J116" s="10"/>
      <c r="K116" s="10"/>
      <c r="L116" s="10"/>
      <c r="M116" s="10"/>
    </row>
    <row r="117" spans="7:13" x14ac:dyDescent="0.2">
      <c r="G117" s="10"/>
      <c r="J117" s="10"/>
      <c r="K117" s="10"/>
      <c r="L117" s="10"/>
      <c r="M117" s="10"/>
    </row>
    <row r="118" spans="7:13" x14ac:dyDescent="0.2">
      <c r="G118" s="10"/>
      <c r="J118" s="10"/>
      <c r="K118" s="10"/>
      <c r="L118" s="10"/>
      <c r="M118" s="10"/>
    </row>
    <row r="119" spans="7:13" x14ac:dyDescent="0.2">
      <c r="G119" s="10"/>
      <c r="J119" s="10"/>
      <c r="K119" s="10"/>
      <c r="L119" s="10"/>
      <c r="M119" s="10"/>
    </row>
    <row r="120" spans="7:13" x14ac:dyDescent="0.2">
      <c r="G120" s="10"/>
      <c r="J120" s="10"/>
      <c r="K120" s="10"/>
      <c r="L120" s="10"/>
      <c r="M120" s="10"/>
    </row>
    <row r="121" spans="7:13" x14ac:dyDescent="0.2">
      <c r="G121" s="10"/>
      <c r="J121" s="10"/>
      <c r="K121" s="10"/>
      <c r="L121" s="10"/>
      <c r="M121" s="10"/>
    </row>
    <row r="122" spans="7:13" x14ac:dyDescent="0.2">
      <c r="G122" s="10"/>
      <c r="J122" s="10"/>
      <c r="K122" s="10"/>
      <c r="L122" s="10"/>
      <c r="M122" s="10"/>
    </row>
    <row r="123" spans="7:13" x14ac:dyDescent="0.2">
      <c r="G123" s="10"/>
      <c r="J123" s="10"/>
      <c r="K123" s="10"/>
      <c r="L123" s="10"/>
      <c r="M123" s="10"/>
    </row>
    <row r="124" spans="7:13" x14ac:dyDescent="0.2">
      <c r="G124" s="10"/>
      <c r="J124" s="10"/>
      <c r="K124" s="10"/>
      <c r="L124" s="10"/>
      <c r="M124" s="10"/>
    </row>
    <row r="125" spans="7:13" x14ac:dyDescent="0.2">
      <c r="G125" s="10"/>
      <c r="J125" s="10"/>
      <c r="K125" s="10"/>
      <c r="L125" s="10"/>
      <c r="M125" s="10"/>
    </row>
    <row r="126" spans="7:13" x14ac:dyDescent="0.2">
      <c r="G126" s="10"/>
      <c r="J126" s="10"/>
      <c r="K126" s="10"/>
      <c r="L126" s="10"/>
      <c r="M126" s="10"/>
    </row>
    <row r="127" spans="7:13" x14ac:dyDescent="0.2">
      <c r="G127" s="10"/>
      <c r="J127" s="10"/>
      <c r="K127" s="10"/>
      <c r="L127" s="10"/>
      <c r="M127" s="10"/>
    </row>
    <row r="128" spans="7:13" x14ac:dyDescent="0.2">
      <c r="G128" s="10"/>
      <c r="J128" s="10"/>
      <c r="K128" s="10"/>
      <c r="L128" s="10"/>
      <c r="M128" s="10"/>
    </row>
    <row r="129" spans="7:13" x14ac:dyDescent="0.2">
      <c r="G129" s="10"/>
      <c r="J129" s="10"/>
      <c r="K129" s="10"/>
      <c r="L129" s="10"/>
      <c r="M129" s="10"/>
    </row>
    <row r="130" spans="7:13" x14ac:dyDescent="0.2">
      <c r="G130" s="10"/>
      <c r="J130" s="10"/>
      <c r="K130" s="10"/>
      <c r="L130" s="10"/>
      <c r="M130" s="10"/>
    </row>
  </sheetData>
  <sortState xmlns:xlrd2="http://schemas.microsoft.com/office/spreadsheetml/2017/richdata2" ref="B6:J101">
    <sortCondition ref="B6:B101"/>
    <sortCondition ref="D6:D101"/>
    <sortCondition ref="C6:C101"/>
  </sortState>
  <mergeCells count="25">
    <mergeCell ref="B3:D3"/>
    <mergeCell ref="O6:O9"/>
    <mergeCell ref="O10:O13"/>
    <mergeCell ref="O14:O17"/>
    <mergeCell ref="O18:O21"/>
    <mergeCell ref="O22:O25"/>
    <mergeCell ref="O26:O29"/>
    <mergeCell ref="O30:O33"/>
    <mergeCell ref="O34:O37"/>
    <mergeCell ref="O38:O41"/>
    <mergeCell ref="O42:O45"/>
    <mergeCell ref="O46:O49"/>
    <mergeCell ref="O50:O53"/>
    <mergeCell ref="O54:O57"/>
    <mergeCell ref="O58:O61"/>
    <mergeCell ref="O62:O65"/>
    <mergeCell ref="O66:O69"/>
    <mergeCell ref="O70:O73"/>
    <mergeCell ref="O74:O77"/>
    <mergeCell ref="O78:O81"/>
    <mergeCell ref="O82:O85"/>
    <mergeCell ref="O86:O89"/>
    <mergeCell ref="O90:O93"/>
    <mergeCell ref="O94:O97"/>
    <mergeCell ref="O98:O101"/>
  </mergeCells>
  <phoneticPr fontId="0" type="noConversion"/>
  <conditionalFormatting sqref="M7:M8">
    <cfRule type="cellIs" dxfId="2232" priority="73" stopIfTrue="1" operator="equal">
      <formula>0</formula>
    </cfRule>
  </conditionalFormatting>
  <conditionalFormatting sqref="B7">
    <cfRule type="expression" dxfId="2231" priority="52" stopIfTrue="1">
      <formula>IF(B7&lt;&gt;B6,1,0)</formula>
    </cfRule>
  </conditionalFormatting>
  <conditionalFormatting sqref="B8:B9">
    <cfRule type="expression" dxfId="2230" priority="51" stopIfTrue="1">
      <formula>IF(B8&lt;&gt;B7,1,0)</formula>
    </cfRule>
  </conditionalFormatting>
  <conditionalFormatting sqref="B11 B79 B83 B87 B91 B95">
    <cfRule type="expression" dxfId="2229" priority="50" stopIfTrue="1">
      <formula>IF(B11&lt;&gt;B10,1,0)</formula>
    </cfRule>
  </conditionalFormatting>
  <conditionalFormatting sqref="B12:B13 B80:B81 B84:B85 B88:B89 B92:B93 B96:B97 B100:B101">
    <cfRule type="expression" dxfId="2228" priority="49" stopIfTrue="1">
      <formula>IF(B12&lt;&gt;B11,1,0)</formula>
    </cfRule>
  </conditionalFormatting>
  <conditionalFormatting sqref="B99">
    <cfRule type="expression" dxfId="2227" priority="48" stopIfTrue="1">
      <formula>IF(B99&lt;&gt;B98,1,0)</formula>
    </cfRule>
  </conditionalFormatting>
  <conditionalFormatting sqref="N6:N101">
    <cfRule type="cellIs" dxfId="2226" priority="47" operator="equal">
      <formula>"oui"</formula>
    </cfRule>
  </conditionalFormatting>
  <conditionalFormatting sqref="O6:O101">
    <cfRule type="cellIs" dxfId="2225" priority="46" operator="equal">
      <formula>"PRO"</formula>
    </cfRule>
  </conditionalFormatting>
  <conditionalFormatting sqref="P78:P101">
    <cfRule type="cellIs" dxfId="2224" priority="43" operator="equal">
      <formula>"oui"</formula>
    </cfRule>
  </conditionalFormatting>
  <conditionalFormatting sqref="P6:P96">
    <cfRule type="cellIs" dxfId="2223" priority="42" operator="equal">
      <formula>"oui"</formula>
    </cfRule>
  </conditionalFormatting>
  <conditionalFormatting sqref="M9">
    <cfRule type="cellIs" dxfId="2222" priority="38" operator="greaterThanOrEqual">
      <formula>1</formula>
    </cfRule>
  </conditionalFormatting>
  <conditionalFormatting sqref="M11:M12 M15:M16 M19:M20 M23:M24 M27:M28 M31:M32 M35:M36 M39:M40 M43:M44 M47:M48 M51:M52 M55:M56 M59:M60 M63:M64 M67:M68 M71:M72 M75:M76 M79:M80 M83:M84 M87:M88 M91:M92 M95:M96 M99:M100">
    <cfRule type="cellIs" dxfId="2221" priority="4" stopIfTrue="1" operator="equal">
      <formula>0</formula>
    </cfRule>
  </conditionalFormatting>
  <conditionalFormatting sqref="M13 M17 M21 M25 M29 M33 M37 M41 M45 M49 M53 M57 M61 M65 M69 M73 M77 M81 M85 M89 M93 M97 M101">
    <cfRule type="cellIs" dxfId="2220" priority="3" operator="greaterThanOrEqual">
      <formula>1</formula>
    </cfRule>
  </conditionalFormatting>
  <conditionalFormatting sqref="B15 B19 B23 B27 B31 B35 B39 B43 B47 B51 B55 B59 B63 B67 B71 B75">
    <cfRule type="expression" dxfId="2219" priority="2" stopIfTrue="1">
      <formula>IF(B15&lt;&gt;B14,1,0)</formula>
    </cfRule>
  </conditionalFormatting>
  <conditionalFormatting sqref="B16:B17 B20:B21 B24:B25 B28:B29 B32:B33 B36:B37 B40:B41 B44:B45 B48:B49 B52:B53 B56:B57 B60:B61 B64:B65 B68:B69 B72:B73 B76:B77">
    <cfRule type="expression" dxfId="2218" priority="1" stopIfTrue="1">
      <formula>IF(B16&lt;&gt;B15,1,0)</formula>
    </cfRule>
  </conditionalFormatting>
  <pageMargins left="0.23622047244094491" right="0.23622047244094491" top="0.74803149606299213" bottom="0.74803149606299213" header="0.31496062992125984" footer="0.31496062992125984"/>
  <pageSetup paperSize="9" scale="81" fitToHeight="2" orientation="landscape"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euil75">
    <tabColor rgb="FFFFC000"/>
  </sheetPr>
  <dimension ref="A1:AY148"/>
  <sheetViews>
    <sheetView topLeftCell="K1" zoomScale="68" zoomScaleNormal="196" workbookViewId="0">
      <selection activeCell="K24" sqref="K1:AB24"/>
    </sheetView>
  </sheetViews>
  <sheetFormatPr baseColWidth="10" defaultColWidth="10.85546875" defaultRowHeight="12.75" x14ac:dyDescent="0.2"/>
  <cols>
    <col min="1" max="1" width="3.7109375" style="435" hidden="1" customWidth="1"/>
    <col min="2" max="4" width="16.140625" style="435" hidden="1" customWidth="1"/>
    <col min="5" max="10" width="12.85546875" style="435" hidden="1" customWidth="1"/>
    <col min="11" max="11" width="7.7109375" style="441" bestFit="1" customWidth="1"/>
    <col min="12" max="12" width="6.42578125" style="435" bestFit="1" customWidth="1"/>
    <col min="13" max="13" width="37.28515625" style="435" customWidth="1"/>
    <col min="14" max="14" width="10.85546875" style="442"/>
    <col min="15" max="15" width="4.7109375" style="441" bestFit="1" customWidth="1"/>
    <col min="16" max="16" width="15.7109375" style="441" customWidth="1"/>
    <col min="17" max="17" width="7.7109375" style="441" bestFit="1" customWidth="1"/>
    <col min="18" max="18" width="6.42578125" style="441" bestFit="1" customWidth="1"/>
    <col min="19" max="19" width="38" style="441" customWidth="1"/>
    <col min="20" max="20" width="10.85546875" style="442"/>
    <col min="21" max="21" width="5.140625" style="441" bestFit="1" customWidth="1"/>
    <col min="22" max="22" width="15.85546875" style="441" customWidth="1"/>
    <col min="23" max="23" width="7.7109375" style="441" bestFit="1" customWidth="1"/>
    <col min="24" max="24" width="5.28515625" style="435" bestFit="1" customWidth="1"/>
    <col min="25" max="25" width="36.5703125" style="435" customWidth="1"/>
    <col min="26" max="26" width="10.85546875" style="442"/>
    <col min="27" max="27" width="4.85546875" style="441" bestFit="1" customWidth="1"/>
    <col min="28" max="28" width="6.5703125" style="435" customWidth="1"/>
    <col min="29" max="31" width="3.28515625" style="435" customWidth="1"/>
    <col min="32" max="32" width="12" style="435" customWidth="1"/>
    <col min="33" max="33" width="12" style="435" hidden="1" customWidth="1"/>
    <col min="34" max="34" width="36.7109375" style="435" customWidth="1"/>
    <col min="35" max="36" width="36.85546875" style="435" customWidth="1"/>
    <col min="37" max="42" width="10.85546875" style="435"/>
    <col min="43" max="43" width="1.7109375" style="435" bestFit="1" customWidth="1"/>
    <col min="44" max="46" width="10.85546875" style="435"/>
    <col min="47" max="47" width="1.7109375" style="435" bestFit="1" customWidth="1"/>
    <col min="48" max="50" width="10.85546875" style="435"/>
    <col min="51" max="51" width="1.7109375" style="435" bestFit="1" customWidth="1"/>
    <col min="52" max="16384" width="10.85546875" style="435"/>
  </cols>
  <sheetData>
    <row r="1" spans="1:51" ht="55.5" customHeight="1" x14ac:dyDescent="0.2">
      <c r="B1" s="436"/>
      <c r="C1" s="436"/>
      <c r="D1" s="436"/>
      <c r="I1" s="437"/>
      <c r="J1" s="437"/>
      <c r="K1" s="988" t="str">
        <f>Championnat</f>
        <v>Championnat de France de Tir à l'ARC</v>
      </c>
      <c r="L1" s="988"/>
      <c r="M1" s="988"/>
      <c r="N1" s="988"/>
      <c r="O1" s="988"/>
      <c r="P1" s="988"/>
      <c r="Q1" s="988"/>
      <c r="R1" s="988"/>
      <c r="S1" s="988"/>
      <c r="T1" s="988"/>
      <c r="U1" s="988"/>
      <c r="V1" s="988"/>
      <c r="W1" s="988"/>
      <c r="X1" s="988"/>
      <c r="Y1" s="988"/>
      <c r="Z1" s="988"/>
      <c r="AA1" s="988"/>
      <c r="AB1" s="439"/>
      <c r="AC1" s="439"/>
      <c r="AD1" s="439"/>
      <c r="AE1" s="439"/>
      <c r="AF1" s="988" t="str">
        <f>Championnat</f>
        <v>Championnat de France de Tir à l'ARC</v>
      </c>
      <c r="AG1" s="988"/>
      <c r="AH1" s="988"/>
      <c r="AI1" s="988"/>
      <c r="AJ1" s="988"/>
      <c r="AK1" s="491"/>
      <c r="AL1" s="491"/>
      <c r="AM1" s="491"/>
      <c r="AN1" s="491"/>
      <c r="AO1" s="491"/>
      <c r="AP1" s="491"/>
      <c r="AQ1" s="491"/>
      <c r="AR1" s="491"/>
      <c r="AS1" s="491"/>
      <c r="AT1" s="491"/>
      <c r="AU1" s="491"/>
      <c r="AV1" s="491"/>
      <c r="AW1" s="491"/>
      <c r="AY1" s="491"/>
    </row>
    <row r="2" spans="1:51" ht="61.5" customHeight="1" x14ac:dyDescent="0.2">
      <c r="A2" s="437"/>
      <c r="I2" s="437"/>
      <c r="J2" s="437"/>
      <c r="K2" s="989" t="str">
        <f>CATEG_IMPORTEE</f>
        <v>Collèges Mixtes Etablissement</v>
      </c>
      <c r="L2" s="989"/>
      <c r="M2" s="989"/>
      <c r="N2" s="989"/>
      <c r="O2" s="989"/>
      <c r="P2" s="989"/>
      <c r="Q2" s="989"/>
      <c r="R2" s="989"/>
      <c r="S2" s="989"/>
      <c r="T2" s="989"/>
      <c r="U2" s="989"/>
      <c r="V2" s="989"/>
      <c r="W2" s="989"/>
      <c r="X2" s="989"/>
      <c r="Y2" s="989"/>
      <c r="Z2" s="989"/>
      <c r="AA2" s="438"/>
      <c r="AB2" s="439"/>
      <c r="AC2" s="439"/>
      <c r="AD2" s="439"/>
      <c r="AE2" s="439"/>
      <c r="AF2" s="990" t="str">
        <f>CATEG_IMPORTEE</f>
        <v>Collèges Mixtes Etablissement</v>
      </c>
      <c r="AG2" s="990"/>
      <c r="AH2" s="990"/>
      <c r="AI2" s="990"/>
      <c r="AJ2" s="990"/>
      <c r="AK2" s="492"/>
      <c r="AL2" s="492"/>
      <c r="AM2" s="492"/>
      <c r="AN2" s="492"/>
      <c r="AO2" s="492"/>
      <c r="AP2" s="492"/>
      <c r="AQ2" s="492"/>
      <c r="AR2" s="492"/>
      <c r="AS2" s="492"/>
      <c r="AT2" s="492"/>
      <c r="AU2" s="492"/>
      <c r="AV2" s="492"/>
      <c r="AW2" s="492"/>
      <c r="AY2" s="492"/>
    </row>
    <row r="3" spans="1:51" ht="42" customHeight="1" x14ac:dyDescent="0.2">
      <c r="B3" s="440" t="s">
        <v>774</v>
      </c>
      <c r="I3" s="437"/>
      <c r="J3" s="437"/>
      <c r="N3" s="991" t="str">
        <f>LIEU&amp;" du "&amp;DATE</f>
        <v>L’Isle sur la Sorgue du 27 au 31 mars 2023</v>
      </c>
      <c r="O3" s="991"/>
      <c r="P3" s="991"/>
      <c r="Q3" s="991"/>
      <c r="R3" s="991"/>
      <c r="S3" s="991"/>
      <c r="T3" s="991"/>
      <c r="U3" s="991"/>
      <c r="V3" s="991"/>
      <c r="W3" s="991"/>
      <c r="X3" s="991"/>
      <c r="AF3" s="991" t="str">
        <f>LIEU&amp;" du "&amp;DATE</f>
        <v>L’Isle sur la Sorgue du 27 au 31 mars 2023</v>
      </c>
      <c r="AG3" s="991"/>
      <c r="AH3" s="991"/>
      <c r="AI3" s="991"/>
      <c r="AJ3" s="991"/>
      <c r="AK3" s="493"/>
      <c r="AL3" s="493"/>
      <c r="AM3" s="493"/>
      <c r="AN3" s="493"/>
      <c r="AO3" s="493"/>
      <c r="AP3" s="493"/>
      <c r="AQ3" s="493"/>
      <c r="AR3" s="493"/>
      <c r="AS3" s="493"/>
      <c r="AT3" s="493"/>
      <c r="AU3" s="493"/>
      <c r="AW3" s="442"/>
      <c r="AY3" s="493"/>
    </row>
    <row r="4" spans="1:51" ht="21" customHeight="1" x14ac:dyDescent="0.2">
      <c r="B4" s="440" t="s">
        <v>775</v>
      </c>
      <c r="C4" s="462" t="s">
        <v>375</v>
      </c>
      <c r="D4" s="462" t="s">
        <v>374</v>
      </c>
      <c r="E4" s="440" t="s">
        <v>776</v>
      </c>
      <c r="F4" s="487" t="s">
        <v>838</v>
      </c>
      <c r="G4" s="488" t="s">
        <v>837</v>
      </c>
      <c r="H4" s="898"/>
      <c r="I4" s="437"/>
      <c r="J4" s="437"/>
      <c r="K4" s="979" t="s">
        <v>1080</v>
      </c>
      <c r="L4" s="979"/>
      <c r="M4" s="979"/>
      <c r="N4" s="979"/>
      <c r="O4" s="443"/>
      <c r="P4" s="443"/>
      <c r="Q4" s="979" t="s">
        <v>1081</v>
      </c>
      <c r="R4" s="979"/>
      <c r="S4" s="979"/>
      <c r="T4" s="979"/>
      <c r="U4" s="443"/>
      <c r="V4" s="443"/>
      <c r="W4" s="979" t="s">
        <v>817</v>
      </c>
      <c r="X4" s="979"/>
      <c r="Y4" s="979"/>
      <c r="Z4" s="979"/>
      <c r="AA4" s="443"/>
      <c r="AH4" s="980" t="s">
        <v>778</v>
      </c>
      <c r="AI4" s="980"/>
      <c r="AJ4" s="980"/>
      <c r="AN4" s="497" t="s">
        <v>848</v>
      </c>
    </row>
    <row r="5" spans="1:51" ht="15.95" customHeight="1" thickBot="1" x14ac:dyDescent="0.25">
      <c r="A5" s="435">
        <v>1</v>
      </c>
      <c r="B5" s="444" t="str">
        <f ca="1">INDIRECT("'Imp. Qualif.'!L"&amp;INDIRECT("f"&amp;ROW()))</f>
        <v/>
      </c>
      <c r="C5" s="444" t="str">
        <f ca="1">INDIRECT("'Imp. Qualif.'!M"&amp;INDIRECT("f"&amp;ROW()))</f>
        <v/>
      </c>
      <c r="D5" s="444" t="str">
        <f ca="1">INDIRECT("'Imp. Qualif.'!N"&amp;INDIRECT("f"&amp;ROW()))</f>
        <v/>
      </c>
      <c r="E5" s="486">
        <f ca="1">INDIRECT("'Imp. Qualif.'!O"&amp;INDIRECT("f"&amp;ROW()))</f>
        <v>0</v>
      </c>
      <c r="F5" s="489">
        <v>11</v>
      </c>
      <c r="G5" s="488" t="str">
        <f ca="1">B5&amp;C5</f>
        <v/>
      </c>
      <c r="H5" s="898" t="str">
        <f ca="1">IF(B5&lt;&gt;"",B5,"")</f>
        <v/>
      </c>
      <c r="I5" s="898" t="str">
        <f t="shared" ref="I5:J20" ca="1" si="0">IF(C5&lt;&gt;"",C5,"")</f>
        <v/>
      </c>
      <c r="J5" s="898" t="str">
        <f t="shared" ca="1" si="0"/>
        <v/>
      </c>
      <c r="L5" s="979"/>
      <c r="M5" s="1247"/>
      <c r="N5" s="1247"/>
      <c r="O5" s="443"/>
      <c r="P5" s="443"/>
      <c r="R5" s="979"/>
      <c r="S5" s="1247"/>
      <c r="T5" s="1247"/>
      <c r="U5" s="443"/>
      <c r="V5" s="443"/>
      <c r="W5" s="445"/>
      <c r="X5" s="979" t="s">
        <v>777</v>
      </c>
      <c r="Y5" s="1247"/>
      <c r="Z5" s="1247"/>
      <c r="AA5" s="443"/>
      <c r="AH5" s="981"/>
      <c r="AI5" s="981"/>
      <c r="AJ5" s="981"/>
      <c r="AN5" s="494" t="s">
        <v>839</v>
      </c>
      <c r="AO5" s="494" t="s">
        <v>840</v>
      </c>
      <c r="AP5" s="494" t="s">
        <v>841</v>
      </c>
      <c r="AQ5" s="496" t="s">
        <v>793</v>
      </c>
      <c r="AR5" s="494" t="s">
        <v>842</v>
      </c>
      <c r="AS5" s="494" t="s">
        <v>843</v>
      </c>
      <c r="AT5" s="494" t="s">
        <v>844</v>
      </c>
      <c r="AU5" s="496" t="s">
        <v>793</v>
      </c>
      <c r="AV5" s="494" t="s">
        <v>845</v>
      </c>
      <c r="AW5" s="494" t="s">
        <v>846</v>
      </c>
      <c r="AX5" s="494" t="s">
        <v>847</v>
      </c>
      <c r="AY5" s="496" t="s">
        <v>793</v>
      </c>
    </row>
    <row r="6" spans="1:51" ht="15.95" customHeight="1" thickBot="1" x14ac:dyDescent="0.25">
      <c r="A6" s="435">
        <v>2</v>
      </c>
      <c r="B6" s="444" t="str">
        <f ca="1">INDIRECT("'Imp. Qualif.'!L"&amp;INDIRECT("f"&amp;ROW()))</f>
        <v/>
      </c>
      <c r="C6" s="444" t="str">
        <f ca="1">INDIRECT("'Imp. Qualif.'!M"&amp;INDIRECT("f"&amp;ROW()))</f>
        <v/>
      </c>
      <c r="D6" s="444" t="str">
        <f ca="1">INDIRECT("'Imp. Qualif.'!N"&amp;INDIRECT("f"&amp;ROW()))</f>
        <v/>
      </c>
      <c r="E6" s="486">
        <f ca="1">INDIRECT("'Imp. Qualif.'!O"&amp;INDIRECT("f"&amp;ROW()))</f>
        <v>0</v>
      </c>
      <c r="F6" s="489">
        <v>12</v>
      </c>
      <c r="G6" s="488" t="str">
        <f t="shared" ref="G6:G28" ca="1" si="1">B6&amp;C6</f>
        <v/>
      </c>
      <c r="H6" s="898" t="str">
        <f t="shared" ref="H6:J28" ca="1" si="2">IF(B6&lt;&gt;"",B6,"")</f>
        <v/>
      </c>
      <c r="I6" s="898" t="str">
        <f t="shared" ca="1" si="0"/>
        <v/>
      </c>
      <c r="J6" s="898" t="str">
        <f t="shared" ca="1" si="0"/>
        <v/>
      </c>
      <c r="K6" s="445" t="s">
        <v>779</v>
      </c>
      <c r="L6" s="463"/>
      <c r="M6" s="456" t="s">
        <v>481</v>
      </c>
      <c r="N6" s="464" t="s">
        <v>780</v>
      </c>
      <c r="O6" s="446"/>
      <c r="P6" s="445"/>
      <c r="Q6" s="445" t="s">
        <v>779</v>
      </c>
      <c r="R6" s="463"/>
      <c r="S6" s="456" t="s">
        <v>481</v>
      </c>
      <c r="T6" s="832" t="s">
        <v>1244</v>
      </c>
      <c r="U6" s="446" t="s">
        <v>781</v>
      </c>
      <c r="V6" s="445"/>
      <c r="W6" s="445" t="s">
        <v>779</v>
      </c>
      <c r="X6" s="779" t="s">
        <v>1083</v>
      </c>
      <c r="Y6" s="456" t="s">
        <v>481</v>
      </c>
      <c r="Z6" s="464" t="s">
        <v>780</v>
      </c>
      <c r="AA6" s="446" t="s">
        <v>781</v>
      </c>
      <c r="AH6" s="483" t="s">
        <v>782</v>
      </c>
      <c r="AI6" s="484" t="s">
        <v>375</v>
      </c>
      <c r="AJ6" s="485" t="s">
        <v>783</v>
      </c>
      <c r="AN6" s="494">
        <f>K7</f>
        <v>1</v>
      </c>
      <c r="AO6" s="495" t="str">
        <f ca="1">L8</f>
        <v/>
      </c>
      <c r="AP6" s="784" t="s">
        <v>1326</v>
      </c>
      <c r="AQ6" s="496" t="s">
        <v>793</v>
      </c>
      <c r="AR6" s="494">
        <f>Q7</f>
        <v>1</v>
      </c>
      <c r="AS6" s="495" t="str">
        <f ca="1">R8</f>
        <v/>
      </c>
      <c r="AT6" s="784" t="s">
        <v>1326</v>
      </c>
      <c r="AU6" s="496" t="s">
        <v>793</v>
      </c>
      <c r="AV6" s="494">
        <f>W7</f>
        <v>1</v>
      </c>
      <c r="AW6" s="495" t="str">
        <f ca="1">X8</f>
        <v/>
      </c>
      <c r="AX6" s="495" t="str">
        <f>AW7</f>
        <v/>
      </c>
      <c r="AY6" s="496" t="s">
        <v>793</v>
      </c>
    </row>
    <row r="7" spans="1:51" ht="15.95" customHeight="1" thickBot="1" x14ac:dyDescent="0.25">
      <c r="A7" s="435">
        <v>3</v>
      </c>
      <c r="B7" s="444" t="str">
        <f ca="1">INDIRECT("'Imp. Qualif.'!L"&amp;INDIRECT("f"&amp;ROW()))</f>
        <v/>
      </c>
      <c r="C7" s="444" t="str">
        <f ca="1">INDIRECT("'Imp. Qualif.'!M"&amp;INDIRECT("f"&amp;ROW()))</f>
        <v/>
      </c>
      <c r="D7" s="444" t="str">
        <f ca="1">INDIRECT("'Imp. Qualif.'!N"&amp;INDIRECT("f"&amp;ROW()))</f>
        <v/>
      </c>
      <c r="E7" s="486">
        <f ca="1">INDIRECT("'Imp. Qualif.'!O"&amp;INDIRECT("f"&amp;ROW()))</f>
        <v>0</v>
      </c>
      <c r="F7" s="489">
        <v>13</v>
      </c>
      <c r="G7" s="488" t="str">
        <f t="shared" ca="1" si="1"/>
        <v/>
      </c>
      <c r="H7" s="898" t="str">
        <f t="shared" ca="1" si="2"/>
        <v/>
      </c>
      <c r="I7" s="898" t="str">
        <f t="shared" ca="1" si="0"/>
        <v/>
      </c>
      <c r="J7" s="898" t="str">
        <f t="shared" ca="1" si="0"/>
        <v/>
      </c>
      <c r="K7" s="447">
        <f>Num_Cible</f>
        <v>1</v>
      </c>
      <c r="L7" s="472">
        <v>1</v>
      </c>
      <c r="M7" s="465" t="str">
        <f ca="1">IFERROR(VLOOKUP(L8,$G$5:$J$28,2,FALSE),"")</f>
        <v/>
      </c>
      <c r="N7" s="966"/>
      <c r="O7" s="518"/>
      <c r="Q7" s="447">
        <f>K7</f>
        <v>1</v>
      </c>
      <c r="R7" s="472">
        <v>1</v>
      </c>
      <c r="S7" s="465" t="str">
        <f ca="1">IFERROR(VLOOKUP(R8,$G$5:$J$28,2,FALSE),"")</f>
        <v/>
      </c>
      <c r="T7" s="966"/>
      <c r="U7" s="780"/>
      <c r="W7" s="447">
        <f>Q7</f>
        <v>1</v>
      </c>
      <c r="X7" s="472">
        <v>1</v>
      </c>
      <c r="Y7" s="465" t="str">
        <f ca="1">IFERROR(VLOOKUP(X8,$G$5:$J$28,2,FALSE),"")</f>
        <v/>
      </c>
      <c r="Z7" s="966"/>
      <c r="AA7" s="780"/>
      <c r="AF7" s="448" t="s">
        <v>784</v>
      </c>
      <c r="AG7" s="435" t="str">
        <f>IF(ISBLANK(Z7),"",IF(Z7+AA7&gt;Z9+AA9,X8,X10))</f>
        <v/>
      </c>
      <c r="AH7" s="475" t="str">
        <f ca="1">IFERROR(VLOOKUP(AG7,$G$5:$J$28,2,FALSE),"")</f>
        <v/>
      </c>
      <c r="AI7" s="475" t="str">
        <f ca="1">IFERROR(VLOOKUP(AG7,$G$5:$J$28,3,FALSE),"")</f>
        <v/>
      </c>
      <c r="AJ7" s="475" t="str">
        <f ca="1">IFERROR(VLOOKUP(AG7,$G$5:$J$28,4,FALSE),"")</f>
        <v/>
      </c>
      <c r="AN7" s="494">
        <f>K14</f>
        <v>2</v>
      </c>
      <c r="AO7" s="495" t="str">
        <f ca="1">L15</f>
        <v/>
      </c>
      <c r="AP7" s="784" t="s">
        <v>1326</v>
      </c>
      <c r="AQ7" s="496" t="s">
        <v>793</v>
      </c>
      <c r="AR7" s="494">
        <f>Q16</f>
        <v>2</v>
      </c>
      <c r="AS7" s="495" t="str">
        <f ca="1">R17</f>
        <v/>
      </c>
      <c r="AT7" s="784" t="str">
        <f ca="1">AS8</f>
        <v/>
      </c>
      <c r="AU7" s="496" t="s">
        <v>793</v>
      </c>
      <c r="AV7" s="494">
        <f>W9</f>
        <v>2</v>
      </c>
      <c r="AW7" s="495" t="str">
        <f>X10</f>
        <v/>
      </c>
      <c r="AX7" s="495" t="str">
        <f ca="1">AW6</f>
        <v/>
      </c>
      <c r="AY7" s="496" t="s">
        <v>793</v>
      </c>
    </row>
    <row r="8" spans="1:51" ht="15.95" customHeight="1" thickBot="1" x14ac:dyDescent="0.25">
      <c r="G8" s="488" t="str">
        <f t="shared" si="1"/>
        <v/>
      </c>
      <c r="H8" s="898" t="str">
        <f t="shared" si="2"/>
        <v/>
      </c>
      <c r="I8" s="898" t="str">
        <f t="shared" si="0"/>
        <v/>
      </c>
      <c r="J8" s="898" t="str">
        <f t="shared" si="0"/>
        <v/>
      </c>
      <c r="K8" s="447"/>
      <c r="L8" s="473" t="str">
        <f ca="1">VLOOKUP(L7,$A$5:$G$24,7,FALSE)</f>
        <v/>
      </c>
      <c r="M8" s="466" t="str">
        <f ca="1">IFERROR(VLOOKUP(L8,$G$5:$J$28,3,FALSE),"")</f>
        <v/>
      </c>
      <c r="N8" s="967"/>
      <c r="Q8" s="447"/>
      <c r="R8" s="473" t="str">
        <f ca="1">L8</f>
        <v/>
      </c>
      <c r="S8" s="466" t="str">
        <f ca="1">IFERROR(VLOOKUP(R8,$G$5:$J$28,3,FALSE),"")</f>
        <v/>
      </c>
      <c r="T8" s="967"/>
      <c r="U8" s="781" t="str">
        <f>IF(T7="","",O30)</f>
        <v/>
      </c>
      <c r="W8" s="447"/>
      <c r="X8" s="473" t="str">
        <f ca="1">R8</f>
        <v/>
      </c>
      <c r="Y8" s="466" t="str">
        <f ca="1">IFERROR(VLOOKUP(X8,$G$5:$J$28,3,FALSE),"")</f>
        <v/>
      </c>
      <c r="Z8" s="967"/>
      <c r="AF8" s="449" t="s">
        <v>785</v>
      </c>
      <c r="AG8" s="435" t="str">
        <f>IF(ISBLANK(Z7),"",IF(Z7+AA7&lt;Z9+AA9,X8,X10))</f>
        <v/>
      </c>
      <c r="AH8" s="478" t="str">
        <f t="shared" ref="AH8:AH9" ca="1" si="3">IFERROR(VLOOKUP(AG8,$G$5:$J$28,2,FALSE),"")</f>
        <v/>
      </c>
      <c r="AI8" s="474" t="str">
        <f t="shared" ref="AI8:AI9" ca="1" si="4">IFERROR(VLOOKUP(AG8,$G$5:$J$28,3,FALSE),"")</f>
        <v/>
      </c>
      <c r="AJ8" s="915" t="str">
        <f t="shared" ref="AJ8:AJ9" ca="1" si="5">IFERROR(VLOOKUP(AG8,$G$5:$J$28,4,FALSE),"")</f>
        <v/>
      </c>
      <c r="AN8" s="494">
        <f>K21</f>
        <v>3</v>
      </c>
      <c r="AO8" s="495" t="str">
        <f ca="1">L22</f>
        <v/>
      </c>
      <c r="AP8" s="784" t="s">
        <v>1326</v>
      </c>
      <c r="AQ8" s="496" t="s">
        <v>793</v>
      </c>
      <c r="AR8" s="494">
        <f>Q18</f>
        <v>3</v>
      </c>
      <c r="AS8" s="495" t="str">
        <f ca="1">R19</f>
        <v/>
      </c>
      <c r="AT8" s="784" t="str">
        <f ca="1">AS7</f>
        <v/>
      </c>
      <c r="AU8" s="496" t="s">
        <v>793</v>
      </c>
      <c r="AV8" s="494">
        <f>W14</f>
        <v>3</v>
      </c>
      <c r="AW8" s="495" t="str">
        <f>X15</f>
        <v/>
      </c>
      <c r="AX8" s="784" t="s">
        <v>1326</v>
      </c>
      <c r="AY8" s="496" t="s">
        <v>793</v>
      </c>
    </row>
    <row r="9" spans="1:51" ht="15.95" customHeight="1" thickBot="1" x14ac:dyDescent="0.25">
      <c r="G9" s="488" t="str">
        <f t="shared" si="1"/>
        <v/>
      </c>
      <c r="H9" s="898" t="str">
        <f t="shared" si="2"/>
        <v/>
      </c>
      <c r="I9" s="898" t="str">
        <f t="shared" si="0"/>
        <v/>
      </c>
      <c r="J9" s="898" t="str">
        <f t="shared" si="0"/>
        <v/>
      </c>
      <c r="K9" s="447"/>
      <c r="L9" s="441"/>
      <c r="M9" s="441"/>
      <c r="S9" s="1248"/>
      <c r="T9" s="1248"/>
      <c r="U9" s="447"/>
      <c r="W9" s="447">
        <f>W7+1</f>
        <v>2</v>
      </c>
      <c r="X9" s="472">
        <v>2</v>
      </c>
      <c r="Y9" s="465" t="str">
        <f ca="1">IFERROR(VLOOKUP(X10,$G$5:$J$28,2,FALSE),"")</f>
        <v/>
      </c>
      <c r="Z9" s="966"/>
      <c r="AA9" s="780"/>
      <c r="AF9" s="452" t="s">
        <v>786</v>
      </c>
      <c r="AG9" s="435" t="str">
        <f>IF(ISBLANK(Z14),"",IF(Z14+AA14&gt;Z16+AA16,X15,X17))</f>
        <v/>
      </c>
      <c r="AH9" s="478" t="str">
        <f t="shared" ca="1" si="3"/>
        <v/>
      </c>
      <c r="AI9" s="474" t="str">
        <f t="shared" ca="1" si="4"/>
        <v/>
      </c>
      <c r="AJ9" s="915" t="str">
        <f t="shared" ca="1" si="5"/>
        <v/>
      </c>
      <c r="AN9" s="494"/>
      <c r="AO9" s="495"/>
      <c r="AP9" s="495"/>
      <c r="AQ9" s="496" t="s">
        <v>793</v>
      </c>
      <c r="AR9" s="494"/>
      <c r="AS9" s="495"/>
      <c r="AT9" s="495"/>
      <c r="AU9" s="496" t="s">
        <v>793</v>
      </c>
      <c r="AV9" s="494"/>
      <c r="AW9" s="495"/>
      <c r="AX9" s="495"/>
      <c r="AY9" s="496" t="s">
        <v>793</v>
      </c>
    </row>
    <row r="10" spans="1:51" ht="15.95" customHeight="1" thickBot="1" x14ac:dyDescent="0.25">
      <c r="G10" s="488" t="str">
        <f t="shared" si="1"/>
        <v/>
      </c>
      <c r="H10" s="898" t="str">
        <f t="shared" si="2"/>
        <v/>
      </c>
      <c r="I10" s="898" t="str">
        <f t="shared" si="0"/>
        <v/>
      </c>
      <c r="J10" s="898" t="str">
        <f t="shared" si="0"/>
        <v/>
      </c>
      <c r="K10" s="447"/>
      <c r="L10" s="450"/>
      <c r="M10" s="450"/>
      <c r="N10" s="451"/>
      <c r="Q10" s="447"/>
      <c r="R10" s="450"/>
      <c r="S10" s="1249"/>
      <c r="T10" s="1249"/>
      <c r="W10" s="447"/>
      <c r="X10" s="473" t="str">
        <f>IF(ISBLANK(T16),"",IF(U16+T16&gt;T18+U18,R17,R19))</f>
        <v/>
      </c>
      <c r="Y10" s="466" t="str">
        <f ca="1">IFERROR(VLOOKUP(X10,$G$5:$J$28,3,FALSE),"")</f>
        <v/>
      </c>
      <c r="Z10" s="967"/>
      <c r="AF10" s="453"/>
      <c r="AG10" s="453"/>
      <c r="AH10" s="453"/>
      <c r="AI10" s="453"/>
      <c r="AJ10" s="453"/>
      <c r="AN10" s="494"/>
      <c r="AO10" s="495"/>
      <c r="AP10" s="495"/>
      <c r="AQ10" s="496" t="s">
        <v>793</v>
      </c>
      <c r="AR10" s="494"/>
      <c r="AS10" s="495"/>
      <c r="AT10" s="495"/>
      <c r="AU10" s="496"/>
      <c r="AV10" s="494"/>
      <c r="AW10" s="495"/>
      <c r="AX10" s="495"/>
      <c r="AY10" s="496" t="s">
        <v>793</v>
      </c>
    </row>
    <row r="11" spans="1:51" ht="15.95" customHeight="1" x14ac:dyDescent="0.2">
      <c r="G11" s="488" t="str">
        <f t="shared" si="1"/>
        <v/>
      </c>
      <c r="H11" s="898" t="str">
        <f t="shared" si="2"/>
        <v/>
      </c>
      <c r="I11" s="898" t="str">
        <f t="shared" si="0"/>
        <v/>
      </c>
      <c r="J11" s="898" t="str">
        <f t="shared" si="0"/>
        <v/>
      </c>
      <c r="K11" s="450"/>
      <c r="L11" s="450"/>
      <c r="M11" s="450"/>
      <c r="N11" s="451"/>
      <c r="O11" s="450"/>
      <c r="P11" s="450"/>
      <c r="Q11" s="450"/>
      <c r="R11" s="437"/>
      <c r="S11" s="437"/>
      <c r="T11" s="451"/>
      <c r="U11" s="450"/>
      <c r="V11" s="450"/>
      <c r="W11" s="450"/>
      <c r="X11" s="450"/>
      <c r="Y11" s="450"/>
      <c r="Z11" s="451"/>
      <c r="AA11" s="450"/>
      <c r="AF11" s="453"/>
      <c r="AG11" s="453"/>
      <c r="AH11" s="453"/>
      <c r="AI11" s="453"/>
      <c r="AJ11" s="453"/>
      <c r="AN11" s="494"/>
      <c r="AO11" s="495"/>
      <c r="AP11" s="495"/>
      <c r="AQ11" s="496" t="s">
        <v>793</v>
      </c>
      <c r="AR11" s="494"/>
      <c r="AS11" s="495"/>
      <c r="AT11" s="495"/>
      <c r="AU11" s="496"/>
      <c r="AV11" s="494"/>
      <c r="AW11" s="495"/>
      <c r="AX11" s="495"/>
      <c r="AY11" s="496" t="s">
        <v>793</v>
      </c>
    </row>
    <row r="12" spans="1:51" ht="15.95" customHeight="1" thickBot="1" x14ac:dyDescent="0.25">
      <c r="G12" s="488" t="str">
        <f t="shared" si="1"/>
        <v/>
      </c>
      <c r="H12" s="898" t="str">
        <f t="shared" si="2"/>
        <v/>
      </c>
      <c r="I12" s="898" t="str">
        <f t="shared" si="0"/>
        <v/>
      </c>
      <c r="J12" s="898" t="str">
        <f t="shared" si="0"/>
        <v/>
      </c>
      <c r="K12" s="450"/>
      <c r="L12" s="450"/>
      <c r="M12" s="450"/>
      <c r="N12" s="451"/>
      <c r="O12" s="450"/>
      <c r="P12" s="450"/>
      <c r="Q12" s="450"/>
      <c r="R12" s="437"/>
      <c r="S12" s="437"/>
      <c r="T12" s="451"/>
      <c r="U12" s="450"/>
      <c r="V12" s="450"/>
      <c r="W12" s="450"/>
      <c r="X12" s="1250" t="s">
        <v>853</v>
      </c>
      <c r="Y12" s="1250"/>
      <c r="Z12" s="457"/>
      <c r="AA12" s="450"/>
      <c r="AF12" s="453"/>
      <c r="AG12" s="453"/>
      <c r="AH12" s="453"/>
      <c r="AI12" s="453"/>
      <c r="AJ12" s="453"/>
      <c r="AN12" s="494"/>
      <c r="AO12" s="495"/>
      <c r="AP12" s="495"/>
      <c r="AQ12" s="496" t="s">
        <v>793</v>
      </c>
      <c r="AR12" s="494"/>
      <c r="AS12" s="495"/>
      <c r="AT12" s="495"/>
      <c r="AU12" s="496"/>
      <c r="AV12" s="494"/>
      <c r="AW12" s="495"/>
      <c r="AX12" s="495"/>
      <c r="AY12" s="496" t="s">
        <v>793</v>
      </c>
    </row>
    <row r="13" spans="1:51" ht="15.95" customHeight="1" thickBot="1" x14ac:dyDescent="0.25">
      <c r="G13" s="488" t="str">
        <f t="shared" si="1"/>
        <v/>
      </c>
      <c r="H13" s="898" t="str">
        <f t="shared" si="2"/>
        <v/>
      </c>
      <c r="I13" s="898" t="str">
        <f t="shared" si="0"/>
        <v/>
      </c>
      <c r="J13" s="898" t="str">
        <f t="shared" si="0"/>
        <v/>
      </c>
      <c r="K13" s="445" t="s">
        <v>779</v>
      </c>
      <c r="L13" s="463"/>
      <c r="M13" s="456" t="s">
        <v>481</v>
      </c>
      <c r="N13" s="464" t="s">
        <v>780</v>
      </c>
      <c r="O13" s="446"/>
      <c r="P13" s="445"/>
      <c r="V13" s="445"/>
      <c r="W13" s="445" t="s">
        <v>779</v>
      </c>
      <c r="X13" s="779" t="s">
        <v>1083</v>
      </c>
      <c r="Y13" s="515" t="s">
        <v>481</v>
      </c>
      <c r="Z13" s="457"/>
      <c r="AA13" s="450"/>
      <c r="AF13" s="453"/>
      <c r="AG13" s="453"/>
      <c r="AH13" s="453"/>
      <c r="AI13" s="453"/>
      <c r="AJ13" s="453"/>
      <c r="AN13" s="494"/>
      <c r="AO13" s="495"/>
      <c r="AP13" s="495"/>
      <c r="AQ13" s="496" t="s">
        <v>793</v>
      </c>
      <c r="AR13" s="494"/>
      <c r="AS13" s="495"/>
      <c r="AT13" s="495"/>
      <c r="AU13" s="496"/>
      <c r="AV13" s="494"/>
      <c r="AW13" s="495"/>
      <c r="AX13" s="495"/>
      <c r="AY13" s="496" t="s">
        <v>793</v>
      </c>
    </row>
    <row r="14" spans="1:51" ht="15.95" customHeight="1" thickBot="1" x14ac:dyDescent="0.25">
      <c r="G14" s="488" t="str">
        <f t="shared" si="1"/>
        <v/>
      </c>
      <c r="H14" s="898" t="str">
        <f t="shared" si="2"/>
        <v/>
      </c>
      <c r="I14" s="898" t="str">
        <f t="shared" si="0"/>
        <v/>
      </c>
      <c r="J14" s="898" t="str">
        <f t="shared" si="0"/>
        <v/>
      </c>
      <c r="K14" s="447">
        <f>K7+1</f>
        <v>2</v>
      </c>
      <c r="L14" s="472">
        <v>2</v>
      </c>
      <c r="M14" s="465" t="str">
        <f ca="1">IFERROR(VLOOKUP(L15,$G$5:$J$28,2,FALSE),"")</f>
        <v/>
      </c>
      <c r="N14" s="966"/>
      <c r="O14" s="518"/>
      <c r="W14" s="447">
        <f>W9+1</f>
        <v>3</v>
      </c>
      <c r="X14" s="472">
        <v>3</v>
      </c>
      <c r="Y14" s="467" t="str">
        <f ca="1">IFERROR(VLOOKUP(X15,$G$5:$J$28,2,FALSE),"")</f>
        <v/>
      </c>
      <c r="Z14" s="525">
        <v>1</v>
      </c>
      <c r="AA14" s="450"/>
      <c r="AF14" s="453"/>
      <c r="AG14" s="453"/>
      <c r="AH14" s="453"/>
      <c r="AI14" s="453"/>
      <c r="AJ14" s="453"/>
      <c r="AN14" s="494"/>
      <c r="AO14" s="495"/>
      <c r="AP14" s="495"/>
      <c r="AQ14" s="496"/>
      <c r="AR14" s="494"/>
      <c r="AS14" s="495"/>
      <c r="AT14" s="495"/>
      <c r="AU14" s="496"/>
      <c r="AV14" s="494"/>
      <c r="AW14" s="495"/>
      <c r="AX14" s="495"/>
      <c r="AY14" s="496" t="s">
        <v>793</v>
      </c>
    </row>
    <row r="15" spans="1:51" ht="15.95" customHeight="1" thickBot="1" x14ac:dyDescent="0.25">
      <c r="G15" s="488" t="str">
        <f t="shared" si="1"/>
        <v/>
      </c>
      <c r="H15" s="898" t="str">
        <f t="shared" si="2"/>
        <v/>
      </c>
      <c r="I15" s="898" t="str">
        <f t="shared" si="0"/>
        <v/>
      </c>
      <c r="J15" s="898" t="str">
        <f t="shared" si="0"/>
        <v/>
      </c>
      <c r="K15" s="447"/>
      <c r="L15" s="473" t="str">
        <f ca="1">VLOOKUP(L14,$A$5:$G$24,7,FALSE)</f>
        <v/>
      </c>
      <c r="M15" s="466" t="str">
        <f ca="1">IFERROR(VLOOKUP(L15,$G$5:$J$28,3,FALSE),"")</f>
        <v/>
      </c>
      <c r="N15" s="967"/>
      <c r="Q15" s="445" t="s">
        <v>779</v>
      </c>
      <c r="R15" s="463"/>
      <c r="S15" s="456" t="s">
        <v>481</v>
      </c>
      <c r="T15" s="832" t="s">
        <v>1244</v>
      </c>
      <c r="U15" s="446" t="s">
        <v>781</v>
      </c>
      <c r="W15" s="447"/>
      <c r="X15" s="473" t="str">
        <f>IF(ISBLANK(T16),"",IF(U16+T16&lt;T18+U18,R17,R19))</f>
        <v/>
      </c>
      <c r="Y15" s="468" t="str">
        <f ca="1">IFERROR(VLOOKUP(X15,$G$5:$J$28,3,FALSE),"")</f>
        <v/>
      </c>
      <c r="Z15" s="457"/>
      <c r="AA15" s="450"/>
      <c r="AF15" s="453"/>
      <c r="AG15" s="453"/>
      <c r="AH15" s="453"/>
      <c r="AI15" s="453"/>
      <c r="AJ15" s="453"/>
      <c r="AN15" s="494"/>
      <c r="AO15" s="495"/>
      <c r="AP15" s="495"/>
      <c r="AQ15" s="496"/>
      <c r="AR15" s="494"/>
      <c r="AS15" s="495"/>
      <c r="AT15" s="495"/>
      <c r="AU15" s="496"/>
      <c r="AV15" s="494"/>
      <c r="AW15" s="495"/>
      <c r="AX15" s="495"/>
      <c r="AY15" s="496" t="s">
        <v>793</v>
      </c>
    </row>
    <row r="16" spans="1:51" ht="15.95" customHeight="1" thickBot="1" x14ac:dyDescent="0.25">
      <c r="G16" s="488" t="str">
        <f t="shared" si="1"/>
        <v/>
      </c>
      <c r="H16" s="898" t="str">
        <f t="shared" si="2"/>
        <v/>
      </c>
      <c r="I16" s="898" t="str">
        <f t="shared" si="0"/>
        <v/>
      </c>
      <c r="J16" s="898" t="str">
        <f t="shared" si="0"/>
        <v/>
      </c>
      <c r="K16" s="447"/>
      <c r="L16" s="441"/>
      <c r="M16" s="441"/>
      <c r="Q16" s="447">
        <f>Q7+1</f>
        <v>2</v>
      </c>
      <c r="R16" s="472">
        <v>2</v>
      </c>
      <c r="S16" s="465" t="str">
        <f ca="1">IFERROR(VLOOKUP(R17,$G$5:$J$28,2,FALSE),"")</f>
        <v/>
      </c>
      <c r="T16" s="966"/>
      <c r="U16" s="780"/>
      <c r="W16" s="447"/>
      <c r="X16" s="441"/>
      <c r="Z16" s="457"/>
      <c r="AA16" s="450"/>
      <c r="AF16" s="453"/>
      <c r="AG16" s="453"/>
      <c r="AH16" s="453"/>
      <c r="AI16" s="453"/>
      <c r="AJ16" s="453"/>
      <c r="AN16" s="494"/>
      <c r="AO16" s="495"/>
      <c r="AP16" s="495"/>
      <c r="AQ16" s="496"/>
      <c r="AR16" s="494"/>
      <c r="AS16" s="495"/>
      <c r="AT16" s="495"/>
      <c r="AU16" s="496"/>
      <c r="AV16" s="494"/>
      <c r="AW16" s="495"/>
      <c r="AX16" s="495"/>
      <c r="AY16" s="496" t="s">
        <v>793</v>
      </c>
    </row>
    <row r="17" spans="7:51" ht="15.95" customHeight="1" thickBot="1" x14ac:dyDescent="0.25">
      <c r="G17" s="488" t="str">
        <f t="shared" si="1"/>
        <v/>
      </c>
      <c r="H17" s="898" t="str">
        <f t="shared" si="2"/>
        <v/>
      </c>
      <c r="I17" s="898" t="str">
        <f t="shared" si="0"/>
        <v/>
      </c>
      <c r="J17" s="898" t="str">
        <f t="shared" si="0"/>
        <v/>
      </c>
      <c r="K17" s="447"/>
      <c r="L17" s="450"/>
      <c r="M17" s="450"/>
      <c r="N17" s="451"/>
      <c r="Q17" s="447"/>
      <c r="R17" s="473" t="str">
        <f ca="1">L15</f>
        <v/>
      </c>
      <c r="S17" s="466" t="str">
        <f ca="1">IFERROR(VLOOKUP(R17,$G$5:$J$28,3,FALSE),"")</f>
        <v/>
      </c>
      <c r="T17" s="967"/>
      <c r="W17" s="447"/>
      <c r="X17" s="524"/>
      <c r="Y17" s="441"/>
      <c r="Z17" s="457"/>
      <c r="AA17" s="450"/>
      <c r="AF17" s="453"/>
      <c r="AG17" s="453"/>
      <c r="AH17" s="453"/>
      <c r="AI17" s="453"/>
      <c r="AJ17" s="453"/>
      <c r="AN17" s="494"/>
      <c r="AO17" s="495"/>
      <c r="AP17" s="495"/>
      <c r="AQ17" s="496"/>
      <c r="AR17" s="494"/>
      <c r="AS17" s="495"/>
      <c r="AT17" s="495"/>
      <c r="AU17" s="496"/>
      <c r="AV17" s="494"/>
      <c r="AW17" s="495"/>
      <c r="AX17" s="495"/>
      <c r="AY17" s="496" t="s">
        <v>793</v>
      </c>
    </row>
    <row r="18" spans="7:51" ht="15.95" customHeight="1" thickBot="1" x14ac:dyDescent="0.25">
      <c r="G18" s="488" t="str">
        <f t="shared" si="1"/>
        <v/>
      </c>
      <c r="H18" s="898" t="str">
        <f t="shared" si="2"/>
        <v/>
      </c>
      <c r="I18" s="898" t="str">
        <f t="shared" si="0"/>
        <v/>
      </c>
      <c r="J18" s="898" t="str">
        <f t="shared" si="0"/>
        <v/>
      </c>
      <c r="K18" s="450"/>
      <c r="L18" s="450"/>
      <c r="M18" s="450"/>
      <c r="N18" s="451"/>
      <c r="Q18" s="447">
        <f>Q16+1</f>
        <v>3</v>
      </c>
      <c r="R18" s="472">
        <v>3</v>
      </c>
      <c r="S18" s="465" t="str">
        <f ca="1">IFERROR(VLOOKUP(R19,$G$5:$J$28,2,FALSE),"")</f>
        <v/>
      </c>
      <c r="T18" s="966"/>
      <c r="U18" s="780"/>
      <c r="X18" s="450"/>
      <c r="Y18" s="450"/>
      <c r="Z18" s="457"/>
      <c r="AA18" s="450"/>
      <c r="AF18" s="453"/>
      <c r="AG18" s="453"/>
      <c r="AH18" s="453"/>
      <c r="AI18" s="453"/>
      <c r="AJ18" s="453"/>
      <c r="AN18" s="494"/>
      <c r="AO18" s="495"/>
      <c r="AP18" s="495"/>
      <c r="AQ18" s="496"/>
      <c r="AR18" s="494"/>
      <c r="AS18" s="495"/>
      <c r="AT18" s="495"/>
      <c r="AU18" s="496"/>
      <c r="AV18" s="494"/>
      <c r="AW18" s="495"/>
      <c r="AX18" s="495"/>
      <c r="AY18" s="496" t="s">
        <v>793</v>
      </c>
    </row>
    <row r="19" spans="7:51" ht="15.95" customHeight="1" thickBot="1" x14ac:dyDescent="0.25">
      <c r="G19" s="488" t="str">
        <f t="shared" si="1"/>
        <v/>
      </c>
      <c r="H19" s="898" t="str">
        <f t="shared" si="2"/>
        <v/>
      </c>
      <c r="I19" s="898" t="str">
        <f t="shared" si="0"/>
        <v/>
      </c>
      <c r="J19" s="898" t="str">
        <f t="shared" si="0"/>
        <v/>
      </c>
      <c r="K19" s="450"/>
      <c r="L19" s="454"/>
      <c r="M19" s="454"/>
      <c r="N19" s="455"/>
      <c r="Q19" s="450"/>
      <c r="R19" s="473" t="str">
        <f ca="1">L22</f>
        <v/>
      </c>
      <c r="S19" s="466" t="str">
        <f ca="1">IFERROR(VLOOKUP(R19,$G$5:$J$28,3,FALSE),"")</f>
        <v/>
      </c>
      <c r="T19" s="967"/>
      <c r="X19" s="979"/>
      <c r="Y19" s="979"/>
      <c r="Z19" s="457"/>
      <c r="AA19" s="450"/>
      <c r="AF19" s="453"/>
      <c r="AG19" s="453"/>
      <c r="AH19" s="453"/>
      <c r="AI19" s="453"/>
      <c r="AJ19" s="453"/>
      <c r="AN19" s="494"/>
      <c r="AO19" s="495"/>
      <c r="AP19" s="495"/>
      <c r="AQ19" s="496"/>
      <c r="AR19" s="494"/>
      <c r="AS19" s="495"/>
      <c r="AT19" s="495"/>
      <c r="AU19" s="496"/>
      <c r="AV19" s="494"/>
      <c r="AW19" s="495"/>
      <c r="AX19" s="495"/>
      <c r="AY19" s="496" t="s">
        <v>793</v>
      </c>
    </row>
    <row r="20" spans="7:51" ht="15.95" customHeight="1" thickBot="1" x14ac:dyDescent="0.25">
      <c r="G20" s="488" t="str">
        <f t="shared" si="1"/>
        <v/>
      </c>
      <c r="H20" s="898" t="str">
        <f t="shared" si="2"/>
        <v/>
      </c>
      <c r="I20" s="898" t="str">
        <f t="shared" si="0"/>
        <v/>
      </c>
      <c r="J20" s="898" t="str">
        <f t="shared" si="0"/>
        <v/>
      </c>
      <c r="K20" s="445" t="s">
        <v>779</v>
      </c>
      <c r="L20" s="463"/>
      <c r="M20" s="456" t="s">
        <v>481</v>
      </c>
      <c r="N20" s="464" t="s">
        <v>780</v>
      </c>
      <c r="O20" s="446"/>
      <c r="P20" s="445"/>
      <c r="Q20" s="445"/>
      <c r="R20" s="445"/>
      <c r="S20" s="445"/>
      <c r="T20" s="445"/>
      <c r="U20" s="445"/>
      <c r="X20" s="979"/>
      <c r="Y20" s="979"/>
      <c r="Z20" s="457"/>
      <c r="AA20" s="450"/>
      <c r="AF20" s="453"/>
      <c r="AG20" s="453"/>
      <c r="AH20" s="453"/>
      <c r="AI20" s="453"/>
      <c r="AJ20" s="453"/>
      <c r="AN20" s="494"/>
      <c r="AO20" s="495"/>
      <c r="AP20" s="495"/>
      <c r="AQ20" s="496"/>
      <c r="AR20" s="494"/>
      <c r="AS20" s="495"/>
      <c r="AT20" s="495"/>
      <c r="AU20" s="496"/>
      <c r="AV20" s="494"/>
      <c r="AW20" s="495"/>
      <c r="AX20" s="495"/>
      <c r="AY20" s="496" t="s">
        <v>793</v>
      </c>
    </row>
    <row r="21" spans="7:51" ht="15.95" customHeight="1" x14ac:dyDescent="0.2">
      <c r="G21" s="488" t="str">
        <f t="shared" si="1"/>
        <v/>
      </c>
      <c r="H21" s="898" t="str">
        <f t="shared" si="2"/>
        <v/>
      </c>
      <c r="I21" s="898" t="str">
        <f t="shared" si="2"/>
        <v/>
      </c>
      <c r="J21" s="898" t="str">
        <f t="shared" si="2"/>
        <v/>
      </c>
      <c r="K21" s="447">
        <f>K14+1</f>
        <v>3</v>
      </c>
      <c r="L21" s="894">
        <v>3</v>
      </c>
      <c r="M21" s="465" t="str">
        <f ca="1">IFERROR(VLOOKUP(L22,$G$5:$J$28,2,FALSE),"")</f>
        <v/>
      </c>
      <c r="N21" s="966"/>
      <c r="O21" s="446"/>
      <c r="P21" s="778"/>
      <c r="Q21" s="778"/>
      <c r="R21" s="778"/>
      <c r="S21" s="778"/>
      <c r="T21" s="815"/>
      <c r="U21" s="778"/>
      <c r="V21" s="450"/>
      <c r="W21" s="450"/>
      <c r="X21" s="979"/>
      <c r="Y21" s="979"/>
      <c r="Z21" s="457"/>
      <c r="AA21" s="450"/>
      <c r="AF21" s="453"/>
      <c r="AG21" s="453"/>
      <c r="AH21" s="453"/>
      <c r="AI21" s="453"/>
      <c r="AJ21" s="453"/>
      <c r="AN21" s="494"/>
      <c r="AO21" s="495"/>
      <c r="AP21" s="495"/>
      <c r="AQ21" s="496"/>
      <c r="AR21" s="494"/>
      <c r="AS21" s="495"/>
      <c r="AT21" s="495"/>
      <c r="AU21" s="496"/>
      <c r="AV21" s="494"/>
      <c r="AW21" s="495"/>
      <c r="AX21" s="495"/>
      <c r="AY21" s="496" t="s">
        <v>793</v>
      </c>
    </row>
    <row r="22" spans="7:51" ht="15.95" customHeight="1" thickBot="1" x14ac:dyDescent="0.25">
      <c r="G22" s="488" t="str">
        <f t="shared" si="1"/>
        <v/>
      </c>
      <c r="H22" s="898" t="str">
        <f t="shared" si="2"/>
        <v/>
      </c>
      <c r="I22" s="898" t="str">
        <f t="shared" si="2"/>
        <v/>
      </c>
      <c r="J22" s="898" t="str">
        <f t="shared" si="2"/>
        <v/>
      </c>
      <c r="K22" s="447"/>
      <c r="L22" s="473" t="str">
        <f ca="1">VLOOKUP(L21,$A$5:$G$24,7,FALSE)</f>
        <v/>
      </c>
      <c r="M22" s="466" t="str">
        <f ca="1">IFERROR(VLOOKUP(L22,$G$5:$J$28,3,FALSE),"")</f>
        <v/>
      </c>
      <c r="N22" s="967"/>
      <c r="O22" s="778"/>
      <c r="P22" s="778"/>
      <c r="Q22" s="778"/>
      <c r="R22" s="778"/>
      <c r="S22" s="778"/>
      <c r="T22" s="815"/>
      <c r="U22" s="778"/>
      <c r="V22" s="450"/>
      <c r="W22" s="450"/>
      <c r="X22" s="979"/>
      <c r="Y22" s="979"/>
      <c r="Z22" s="457"/>
      <c r="AA22" s="450"/>
      <c r="AF22" s="453"/>
      <c r="AG22" s="453"/>
      <c r="AH22" s="453"/>
      <c r="AI22" s="453"/>
      <c r="AJ22" s="453"/>
      <c r="AN22" s="494"/>
      <c r="AO22" s="495"/>
      <c r="AP22" s="495"/>
      <c r="AQ22" s="496"/>
      <c r="AR22" s="494"/>
      <c r="AS22" s="495"/>
      <c r="AT22" s="495"/>
      <c r="AU22" s="496"/>
      <c r="AV22" s="494"/>
      <c r="AW22" s="495"/>
      <c r="AX22" s="495"/>
      <c r="AY22" s="496" t="s">
        <v>793</v>
      </c>
    </row>
    <row r="23" spans="7:51" ht="15.95" customHeight="1" x14ac:dyDescent="0.2">
      <c r="G23" s="488" t="str">
        <f t="shared" si="1"/>
        <v/>
      </c>
      <c r="H23" s="898" t="str">
        <f t="shared" si="2"/>
        <v/>
      </c>
      <c r="I23" s="898" t="str">
        <f t="shared" si="2"/>
        <v/>
      </c>
      <c r="J23" s="898" t="str">
        <f t="shared" si="2"/>
        <v/>
      </c>
      <c r="K23" s="447"/>
      <c r="L23" s="778"/>
      <c r="M23" s="778"/>
      <c r="N23" s="815"/>
      <c r="O23" s="778"/>
      <c r="P23" s="778"/>
      <c r="Q23" s="778"/>
      <c r="R23" s="778"/>
      <c r="S23" s="778"/>
      <c r="T23" s="815"/>
      <c r="U23" s="778"/>
      <c r="V23" s="450"/>
      <c r="W23" s="450"/>
      <c r="X23" s="979"/>
      <c r="Y23" s="979"/>
      <c r="Z23" s="457"/>
      <c r="AA23" s="450"/>
      <c r="AF23" s="453"/>
      <c r="AG23" s="453"/>
      <c r="AH23" s="453"/>
      <c r="AI23" s="453"/>
      <c r="AJ23" s="453"/>
      <c r="AN23" s="494"/>
      <c r="AO23" s="495"/>
      <c r="AP23" s="495"/>
      <c r="AQ23" s="496"/>
      <c r="AR23" s="494"/>
      <c r="AS23" s="495"/>
      <c r="AT23" s="495"/>
      <c r="AU23" s="496"/>
      <c r="AV23" s="494"/>
      <c r="AW23" s="495"/>
      <c r="AX23" s="495"/>
      <c r="AY23" s="496" t="s">
        <v>793</v>
      </c>
    </row>
    <row r="24" spans="7:51" ht="15.95" customHeight="1" x14ac:dyDescent="0.2">
      <c r="G24" s="488" t="str">
        <f t="shared" si="1"/>
        <v/>
      </c>
      <c r="H24" s="898" t="str">
        <f t="shared" si="2"/>
        <v/>
      </c>
      <c r="I24" s="898" t="str">
        <f t="shared" si="2"/>
        <v/>
      </c>
      <c r="J24" s="898" t="str">
        <f t="shared" si="2"/>
        <v/>
      </c>
      <c r="K24" s="447"/>
      <c r="L24" s="450"/>
      <c r="M24" s="450"/>
      <c r="N24" s="451"/>
      <c r="O24" s="778"/>
      <c r="P24" s="778"/>
      <c r="Q24" s="778"/>
      <c r="R24" s="778"/>
      <c r="S24" s="778"/>
      <c r="T24" s="815"/>
      <c r="U24" s="778"/>
      <c r="V24" s="809"/>
      <c r="W24" s="809"/>
      <c r="X24" s="809"/>
      <c r="Y24" s="809"/>
      <c r="Z24" s="457"/>
      <c r="AA24" s="450"/>
      <c r="AB24" s="447"/>
      <c r="AF24" s="453"/>
      <c r="AG24" s="453"/>
      <c r="AH24" s="453"/>
      <c r="AI24" s="453"/>
      <c r="AJ24" s="453"/>
      <c r="AN24" s="494"/>
      <c r="AO24" s="495"/>
      <c r="AP24" s="495"/>
      <c r="AQ24" s="496"/>
      <c r="AR24" s="494"/>
      <c r="AS24" s="495"/>
      <c r="AT24" s="495"/>
      <c r="AU24" s="496"/>
      <c r="AV24" s="494"/>
      <c r="AW24" s="495"/>
      <c r="AX24" s="495"/>
      <c r="AY24" s="496" t="s">
        <v>793</v>
      </c>
    </row>
    <row r="25" spans="7:51" ht="15.95" customHeight="1" x14ac:dyDescent="0.2">
      <c r="G25" s="488" t="str">
        <f t="shared" si="1"/>
        <v/>
      </c>
      <c r="H25" s="898" t="str">
        <f t="shared" si="2"/>
        <v/>
      </c>
      <c r="I25" s="898" t="str">
        <f t="shared" si="2"/>
        <v/>
      </c>
      <c r="J25" s="898" t="str">
        <f t="shared" si="2"/>
        <v/>
      </c>
      <c r="K25" s="447"/>
      <c r="L25" s="778"/>
      <c r="M25" s="778"/>
      <c r="N25" s="815"/>
      <c r="O25" s="778"/>
      <c r="P25" s="778"/>
      <c r="Q25" s="778"/>
      <c r="R25" s="778"/>
      <c r="S25" s="778"/>
      <c r="T25" s="815"/>
      <c r="U25" s="778"/>
      <c r="V25" s="809"/>
      <c r="W25" s="809"/>
      <c r="X25" s="809"/>
      <c r="Y25" s="809"/>
      <c r="Z25" s="457"/>
      <c r="AA25" s="450"/>
      <c r="AB25" s="447"/>
      <c r="AF25" s="453"/>
      <c r="AG25" s="453"/>
      <c r="AH25" s="453"/>
      <c r="AI25" s="453"/>
      <c r="AJ25" s="453"/>
      <c r="AN25" s="494"/>
      <c r="AO25" s="495"/>
      <c r="AP25" s="495"/>
      <c r="AQ25" s="496"/>
      <c r="AR25" s="494"/>
      <c r="AS25" s="495"/>
      <c r="AT25" s="495"/>
      <c r="AU25" s="496"/>
      <c r="AV25" s="494"/>
      <c r="AW25" s="495"/>
      <c r="AX25" s="495"/>
      <c r="AY25" s="496" t="s">
        <v>793</v>
      </c>
    </row>
    <row r="26" spans="7:51" ht="15.95" customHeight="1" x14ac:dyDescent="0.2">
      <c r="G26" s="488" t="str">
        <f t="shared" si="1"/>
        <v/>
      </c>
      <c r="H26" s="898" t="str">
        <f t="shared" si="2"/>
        <v/>
      </c>
      <c r="I26" s="898" t="str">
        <f t="shared" si="2"/>
        <v/>
      </c>
      <c r="J26" s="898" t="str">
        <f t="shared" si="2"/>
        <v/>
      </c>
      <c r="K26" s="450"/>
      <c r="L26" s="778"/>
      <c r="M26" s="778"/>
      <c r="N26" s="815"/>
      <c r="O26" s="778"/>
      <c r="P26" s="778"/>
      <c r="Q26" s="809"/>
      <c r="R26" s="809"/>
      <c r="S26" s="809"/>
      <c r="T26" s="809"/>
      <c r="U26" s="778"/>
      <c r="V26" s="450"/>
      <c r="W26" s="450"/>
      <c r="X26" s="516"/>
      <c r="Y26" s="516"/>
      <c r="Z26" s="815"/>
      <c r="AF26" s="453"/>
      <c r="AG26" s="453"/>
      <c r="AH26" s="453"/>
      <c r="AI26" s="453"/>
      <c r="AJ26" s="453"/>
      <c r="AN26" s="494"/>
      <c r="AO26" s="495"/>
      <c r="AP26" s="495"/>
      <c r="AQ26" s="496"/>
      <c r="AR26" s="494"/>
      <c r="AS26" s="495"/>
      <c r="AT26" s="495"/>
      <c r="AU26" s="496"/>
      <c r="AV26" s="494"/>
      <c r="AW26" s="495"/>
      <c r="AX26" s="495"/>
      <c r="AY26" s="496" t="s">
        <v>793</v>
      </c>
    </row>
    <row r="27" spans="7:51" ht="15.95" customHeight="1" x14ac:dyDescent="0.2">
      <c r="G27" s="488" t="str">
        <f t="shared" si="1"/>
        <v/>
      </c>
      <c r="H27" s="898" t="str">
        <f t="shared" si="2"/>
        <v/>
      </c>
      <c r="I27" s="898" t="str">
        <f t="shared" si="2"/>
        <v/>
      </c>
      <c r="J27" s="898" t="str">
        <f t="shared" si="2"/>
        <v/>
      </c>
      <c r="K27" s="450"/>
      <c r="L27" s="778"/>
      <c r="M27" s="778"/>
      <c r="N27" s="815"/>
      <c r="O27" s="778"/>
      <c r="P27" s="778"/>
      <c r="Q27" s="809"/>
      <c r="R27" s="809"/>
      <c r="S27" s="809"/>
      <c r="T27" s="809"/>
      <c r="U27" s="778"/>
      <c r="V27" s="450"/>
      <c r="W27" s="450"/>
      <c r="X27" s="516"/>
      <c r="Y27" s="516"/>
      <c r="Z27" s="815"/>
      <c r="AF27" s="453"/>
      <c r="AG27" s="453"/>
      <c r="AH27" s="453"/>
      <c r="AI27" s="453"/>
      <c r="AJ27" s="453"/>
      <c r="AN27" s="494"/>
      <c r="AO27" s="495"/>
      <c r="AP27" s="495"/>
      <c r="AQ27" s="496"/>
      <c r="AR27" s="494"/>
      <c r="AS27" s="495"/>
      <c r="AT27" s="495"/>
      <c r="AU27" s="496"/>
      <c r="AV27" s="494"/>
      <c r="AW27" s="495"/>
      <c r="AX27" s="495"/>
      <c r="AY27" s="496" t="s">
        <v>793</v>
      </c>
    </row>
    <row r="28" spans="7:51" ht="15.95" customHeight="1" x14ac:dyDescent="0.2">
      <c r="G28" s="488" t="str">
        <f t="shared" si="1"/>
        <v/>
      </c>
      <c r="H28" s="898" t="str">
        <f t="shared" si="2"/>
        <v/>
      </c>
      <c r="I28" s="898" t="str">
        <f t="shared" si="2"/>
        <v/>
      </c>
      <c r="J28" s="898" t="str">
        <f t="shared" si="2"/>
        <v/>
      </c>
      <c r="K28" s="450"/>
      <c r="L28" s="450"/>
      <c r="M28" s="816"/>
      <c r="N28" s="815"/>
      <c r="O28" s="778"/>
      <c r="P28" s="778"/>
      <c r="Q28" s="778"/>
      <c r="R28" s="778"/>
      <c r="S28" s="778"/>
      <c r="T28" s="815"/>
      <c r="U28" s="778"/>
      <c r="V28" s="450"/>
      <c r="W28" s="450"/>
      <c r="X28" s="516"/>
      <c r="Y28" s="516"/>
      <c r="Z28" s="815"/>
      <c r="AF28" s="453"/>
      <c r="AG28" s="453"/>
      <c r="AH28" s="453"/>
      <c r="AI28" s="453"/>
      <c r="AJ28" s="453"/>
      <c r="AN28" s="494"/>
      <c r="AO28" s="495"/>
      <c r="AP28" s="495"/>
      <c r="AQ28" s="496"/>
      <c r="AR28" s="494"/>
      <c r="AS28" s="495"/>
      <c r="AT28" s="495"/>
      <c r="AU28" s="496"/>
      <c r="AV28" s="494"/>
      <c r="AW28" s="495"/>
      <c r="AX28" s="495"/>
      <c r="AY28" s="496" t="s">
        <v>793</v>
      </c>
    </row>
    <row r="29" spans="7:51" ht="15.95" customHeight="1" x14ac:dyDescent="0.2">
      <c r="I29" s="437"/>
      <c r="J29" s="437"/>
      <c r="K29" s="450"/>
      <c r="L29" s="450"/>
      <c r="M29" s="816"/>
      <c r="N29" s="815"/>
      <c r="O29" s="778"/>
      <c r="P29" s="778"/>
      <c r="Q29" s="778"/>
      <c r="R29" s="778"/>
      <c r="S29" s="778"/>
      <c r="T29" s="815"/>
      <c r="U29" s="778"/>
      <c r="V29" s="450"/>
      <c r="W29" s="450"/>
      <c r="X29" s="516"/>
      <c r="Y29" s="516"/>
      <c r="Z29" s="815"/>
      <c r="AF29" s="453"/>
      <c r="AG29" s="453"/>
      <c r="AH29" s="453"/>
      <c r="AI29" s="453"/>
      <c r="AJ29" s="453"/>
      <c r="AN29" s="494"/>
      <c r="AO29" s="495"/>
      <c r="AP29" s="495"/>
      <c r="AQ29" s="496"/>
      <c r="AR29" s="494"/>
      <c r="AS29" s="495"/>
      <c r="AT29" s="495"/>
      <c r="AU29" s="496"/>
      <c r="AV29" s="494"/>
      <c r="AW29" s="495"/>
      <c r="AX29" s="495"/>
      <c r="AY29" s="496" t="s">
        <v>793</v>
      </c>
    </row>
    <row r="30" spans="7:51" ht="15.95" customHeight="1" x14ac:dyDescent="0.2">
      <c r="I30" s="437"/>
      <c r="J30" s="437"/>
      <c r="K30" s="450"/>
      <c r="L30" s="450"/>
      <c r="M30" s="450"/>
      <c r="N30" s="451"/>
      <c r="O30" s="778"/>
      <c r="P30" s="895"/>
      <c r="Q30" s="884"/>
      <c r="R30" s="437"/>
      <c r="S30" s="437"/>
      <c r="T30" s="451"/>
      <c r="U30" s="450"/>
      <c r="V30" s="450"/>
      <c r="W30" s="450"/>
      <c r="X30" s="516"/>
      <c r="Y30" s="516"/>
      <c r="Z30" s="815"/>
      <c r="AF30" s="453"/>
      <c r="AG30" s="453"/>
      <c r="AH30" s="453"/>
      <c r="AI30" s="453"/>
      <c r="AJ30" s="453"/>
    </row>
    <row r="31" spans="7:51" ht="15.95" customHeight="1" x14ac:dyDescent="0.2">
      <c r="I31" s="437"/>
      <c r="J31" s="437"/>
      <c r="K31" s="450"/>
      <c r="L31" s="450"/>
      <c r="M31" s="450"/>
      <c r="N31" s="451"/>
      <c r="O31" s="778"/>
      <c r="P31" s="895"/>
      <c r="Q31" s="884"/>
      <c r="R31" s="437"/>
      <c r="S31" s="437"/>
      <c r="T31" s="451"/>
      <c r="U31" s="450"/>
      <c r="V31" s="450"/>
      <c r="W31" s="450"/>
      <c r="X31" s="516"/>
      <c r="Y31" s="516"/>
      <c r="Z31" s="815"/>
      <c r="AF31" s="453"/>
      <c r="AG31" s="453"/>
    </row>
    <row r="32" spans="7:51" ht="15.95" customHeight="1" x14ac:dyDescent="0.2">
      <c r="I32" s="437"/>
      <c r="J32" s="437"/>
      <c r="K32" s="450"/>
      <c r="L32" s="450"/>
      <c r="M32" s="450"/>
      <c r="N32" s="451"/>
      <c r="O32" s="778"/>
      <c r="P32" s="895"/>
      <c r="Q32" s="884"/>
      <c r="R32" s="437"/>
      <c r="S32" s="437"/>
      <c r="T32" s="451"/>
      <c r="U32" s="450"/>
      <c r="V32" s="450"/>
      <c r="W32" s="450"/>
      <c r="X32" s="516"/>
      <c r="Y32" s="516"/>
      <c r="Z32" s="815"/>
      <c r="AF32" s="453"/>
      <c r="AG32" s="453"/>
    </row>
    <row r="33" spans="9:33" ht="15.95" customHeight="1" x14ac:dyDescent="0.2">
      <c r="I33" s="437"/>
      <c r="J33" s="437"/>
      <c r="K33" s="450"/>
      <c r="L33" s="450"/>
      <c r="M33" s="450"/>
      <c r="N33" s="451"/>
      <c r="O33" s="450"/>
      <c r="P33" s="450"/>
      <c r="Q33" s="450"/>
      <c r="R33" s="516"/>
      <c r="S33" s="516"/>
      <c r="T33" s="457"/>
      <c r="U33" s="778"/>
      <c r="V33" s="450"/>
      <c r="W33" s="450"/>
      <c r="X33" s="516"/>
      <c r="Y33" s="516"/>
      <c r="Z33" s="457"/>
      <c r="AF33" s="453"/>
      <c r="AG33" s="453"/>
    </row>
    <row r="34" spans="9:33" ht="15.95" customHeight="1" x14ac:dyDescent="0.2">
      <c r="I34" s="437"/>
      <c r="J34" s="437"/>
      <c r="K34" s="450"/>
      <c r="L34" s="516"/>
      <c r="M34" s="516"/>
      <c r="N34" s="457"/>
      <c r="O34" s="778"/>
      <c r="P34" s="778"/>
      <c r="Q34" s="450"/>
      <c r="R34" s="516"/>
      <c r="S34" s="516"/>
      <c r="T34" s="457"/>
      <c r="U34" s="778"/>
      <c r="V34" s="450"/>
      <c r="W34" s="450"/>
      <c r="X34" s="516"/>
      <c r="Y34" s="516"/>
      <c r="Z34" s="457"/>
      <c r="AF34" s="453"/>
      <c r="AG34" s="453"/>
    </row>
    <row r="35" spans="9:33" ht="15.95" customHeight="1" x14ac:dyDescent="0.2">
      <c r="I35" s="437"/>
      <c r="J35" s="437"/>
      <c r="K35" s="450"/>
      <c r="L35" s="516"/>
      <c r="M35" s="516"/>
      <c r="N35" s="457"/>
      <c r="O35" s="778"/>
      <c r="P35" s="778"/>
      <c r="Q35" s="450"/>
      <c r="R35" s="516"/>
      <c r="S35" s="516"/>
      <c r="T35" s="457"/>
      <c r="U35" s="778"/>
      <c r="V35" s="450"/>
      <c r="W35" s="450"/>
      <c r="X35" s="516"/>
      <c r="Y35" s="516"/>
      <c r="Z35" s="457"/>
      <c r="AF35" s="453"/>
      <c r="AG35" s="453"/>
    </row>
    <row r="36" spans="9:33" ht="15.95" customHeight="1" x14ac:dyDescent="0.2">
      <c r="I36" s="437"/>
      <c r="J36" s="437"/>
      <c r="K36" s="450"/>
      <c r="L36" s="516"/>
      <c r="M36" s="516"/>
      <c r="N36" s="457"/>
      <c r="O36" s="778"/>
      <c r="P36" s="778"/>
      <c r="Q36" s="450"/>
      <c r="R36" s="516"/>
      <c r="S36" s="516"/>
      <c r="T36" s="457"/>
      <c r="U36" s="778"/>
      <c r="V36" s="450"/>
      <c r="W36" s="450"/>
      <c r="X36" s="516"/>
      <c r="Y36" s="516"/>
      <c r="Z36" s="457"/>
      <c r="AF36" s="453"/>
      <c r="AG36" s="453"/>
    </row>
    <row r="37" spans="9:33" ht="15.95" customHeight="1" x14ac:dyDescent="0.2">
      <c r="I37" s="437"/>
      <c r="J37" s="437"/>
      <c r="K37" s="450"/>
      <c r="L37" s="516"/>
      <c r="M37" s="516"/>
      <c r="N37" s="457"/>
      <c r="O37" s="778"/>
      <c r="P37" s="778"/>
      <c r="Q37" s="450"/>
      <c r="R37" s="516"/>
      <c r="S37" s="516"/>
      <c r="T37" s="457"/>
      <c r="U37" s="778"/>
      <c r="V37" s="450"/>
      <c r="W37" s="450"/>
      <c r="X37" s="516"/>
      <c r="Y37" s="516"/>
      <c r="Z37" s="457"/>
      <c r="AF37" s="453"/>
      <c r="AG37" s="453"/>
    </row>
    <row r="38" spans="9:33" ht="15.95" customHeight="1" x14ac:dyDescent="0.2">
      <c r="I38" s="437"/>
      <c r="J38" s="437"/>
      <c r="K38" s="450"/>
      <c r="L38" s="516"/>
      <c r="M38" s="516"/>
      <c r="N38" s="457"/>
      <c r="O38" s="778"/>
      <c r="P38" s="778"/>
      <c r="Q38" s="450"/>
      <c r="R38" s="516"/>
      <c r="S38" s="516"/>
      <c r="T38" s="457"/>
      <c r="U38" s="778"/>
      <c r="V38" s="450"/>
      <c r="W38" s="450"/>
      <c r="X38" s="516"/>
      <c r="Y38" s="516"/>
      <c r="Z38" s="457"/>
      <c r="AF38" s="453"/>
      <c r="AG38" s="453"/>
    </row>
    <row r="39" spans="9:33" ht="15.95" customHeight="1" x14ac:dyDescent="0.2">
      <c r="I39" s="437"/>
      <c r="J39" s="437"/>
      <c r="K39" s="450"/>
      <c r="L39" s="450"/>
      <c r="M39" s="450"/>
      <c r="N39" s="815"/>
      <c r="O39" s="778"/>
      <c r="P39" s="450"/>
      <c r="Q39" s="450"/>
      <c r="R39" s="450"/>
      <c r="S39" s="450"/>
      <c r="T39" s="815"/>
      <c r="U39" s="778"/>
      <c r="V39" s="450"/>
      <c r="W39" s="450"/>
      <c r="X39" s="450"/>
      <c r="Y39" s="450"/>
      <c r="Z39" s="451"/>
      <c r="AA39" s="450"/>
      <c r="AF39" s="453"/>
      <c r="AG39" s="453"/>
    </row>
    <row r="40" spans="9:33" ht="15.95" customHeight="1" x14ac:dyDescent="0.2">
      <c r="I40" s="437"/>
      <c r="J40" s="437"/>
      <c r="K40" s="450"/>
      <c r="L40" s="450"/>
      <c r="M40" s="450"/>
      <c r="N40" s="815"/>
      <c r="O40" s="778"/>
      <c r="P40" s="450"/>
      <c r="Q40" s="450"/>
      <c r="R40" s="450"/>
      <c r="S40" s="450"/>
      <c r="T40" s="815"/>
      <c r="U40" s="778"/>
      <c r="V40" s="450"/>
      <c r="W40" s="450"/>
      <c r="X40" s="450"/>
      <c r="Y40" s="450"/>
      <c r="Z40" s="451"/>
      <c r="AA40" s="450"/>
      <c r="AF40" s="453"/>
      <c r="AG40" s="453"/>
    </row>
    <row r="41" spans="9:33" ht="15.95" customHeight="1" x14ac:dyDescent="0.2">
      <c r="I41" s="437"/>
      <c r="J41" s="437"/>
      <c r="K41" s="450"/>
      <c r="L41" s="450"/>
      <c r="M41" s="450"/>
      <c r="N41" s="815"/>
      <c r="O41" s="778"/>
      <c r="P41" s="450"/>
      <c r="Q41" s="450"/>
      <c r="R41" s="450"/>
      <c r="S41" s="450"/>
      <c r="T41" s="815"/>
      <c r="U41" s="778"/>
      <c r="V41" s="450"/>
      <c r="W41" s="450"/>
      <c r="X41" s="450"/>
      <c r="Y41" s="450"/>
      <c r="Z41" s="451"/>
      <c r="AA41" s="450"/>
      <c r="AF41" s="453"/>
      <c r="AG41" s="453"/>
    </row>
    <row r="42" spans="9:33" ht="15.95" customHeight="1" x14ac:dyDescent="0.2">
      <c r="I42" s="437"/>
      <c r="J42" s="437"/>
      <c r="K42" s="450"/>
      <c r="L42" s="450"/>
      <c r="M42" s="450"/>
      <c r="N42" s="815"/>
      <c r="O42" s="778"/>
      <c r="P42" s="450"/>
      <c r="Q42" s="450"/>
      <c r="R42" s="450"/>
      <c r="S42" s="450"/>
      <c r="T42" s="815"/>
      <c r="U42" s="778"/>
      <c r="V42" s="450"/>
      <c r="W42" s="450"/>
      <c r="X42" s="450"/>
      <c r="Y42" s="450"/>
      <c r="Z42" s="451"/>
      <c r="AA42" s="450"/>
      <c r="AF42" s="453"/>
      <c r="AG42" s="453"/>
    </row>
    <row r="43" spans="9:33" ht="15.95" customHeight="1" x14ac:dyDescent="0.2">
      <c r="I43" s="437"/>
      <c r="J43" s="437"/>
      <c r="K43" s="450"/>
      <c r="L43" s="450"/>
      <c r="M43" s="450"/>
      <c r="N43" s="815"/>
      <c r="O43" s="778"/>
      <c r="P43" s="450"/>
      <c r="Q43" s="450"/>
      <c r="R43" s="450"/>
      <c r="S43" s="450"/>
      <c r="T43" s="815"/>
      <c r="U43" s="778"/>
      <c r="V43" s="450"/>
      <c r="W43" s="450"/>
      <c r="X43" s="450"/>
      <c r="Y43" s="450"/>
      <c r="Z43" s="451"/>
      <c r="AA43" s="450"/>
      <c r="AF43" s="453"/>
      <c r="AG43" s="453"/>
    </row>
    <row r="44" spans="9:33" ht="15.95" customHeight="1" x14ac:dyDescent="0.2">
      <c r="I44" s="437"/>
      <c r="J44" s="437"/>
      <c r="K44" s="450"/>
      <c r="L44" s="450"/>
      <c r="M44" s="450"/>
      <c r="N44" s="815"/>
      <c r="O44" s="778"/>
      <c r="P44" s="450"/>
      <c r="Q44" s="450"/>
      <c r="R44" s="450"/>
      <c r="S44" s="450"/>
      <c r="T44" s="815"/>
      <c r="U44" s="778"/>
      <c r="V44" s="450"/>
      <c r="W44" s="450"/>
      <c r="X44" s="450"/>
      <c r="Y44" s="450"/>
      <c r="Z44" s="451"/>
      <c r="AA44" s="450"/>
      <c r="AF44" s="453"/>
      <c r="AG44" s="453"/>
    </row>
    <row r="45" spans="9:33" ht="15.95" customHeight="1" x14ac:dyDescent="0.2">
      <c r="I45" s="437"/>
      <c r="J45" s="437"/>
      <c r="K45" s="450"/>
      <c r="L45" s="450"/>
      <c r="M45" s="450"/>
      <c r="N45" s="815"/>
      <c r="O45" s="778"/>
      <c r="P45" s="450"/>
      <c r="Q45" s="450"/>
      <c r="R45" s="450"/>
      <c r="S45" s="450"/>
      <c r="T45" s="815"/>
      <c r="U45" s="778"/>
      <c r="V45" s="450"/>
      <c r="W45" s="450"/>
      <c r="X45" s="450"/>
      <c r="Y45" s="450"/>
      <c r="Z45" s="451"/>
      <c r="AA45" s="450"/>
      <c r="AF45" s="453"/>
      <c r="AG45" s="453"/>
    </row>
    <row r="46" spans="9:33" ht="15.95" customHeight="1" x14ac:dyDescent="0.2">
      <c r="I46" s="437"/>
      <c r="J46" s="437"/>
      <c r="K46" s="450"/>
      <c r="L46" s="450"/>
      <c r="M46" s="450"/>
      <c r="N46" s="815"/>
      <c r="O46" s="778"/>
      <c r="P46" s="450"/>
      <c r="Q46" s="450"/>
      <c r="R46" s="450"/>
      <c r="S46" s="450"/>
      <c r="T46" s="815"/>
      <c r="U46" s="778"/>
      <c r="V46" s="450"/>
      <c r="W46" s="450"/>
      <c r="X46" s="450"/>
      <c r="Y46" s="450"/>
      <c r="Z46" s="451"/>
      <c r="AA46" s="450"/>
      <c r="AF46" s="453"/>
      <c r="AG46" s="453"/>
    </row>
    <row r="47" spans="9:33" ht="15.95" customHeight="1" x14ac:dyDescent="0.2">
      <c r="I47" s="437"/>
      <c r="J47" s="437"/>
      <c r="K47" s="450"/>
      <c r="L47" s="450"/>
      <c r="M47" s="450"/>
      <c r="N47" s="815"/>
      <c r="O47" s="778"/>
      <c r="P47" s="450"/>
      <c r="Q47" s="450"/>
      <c r="R47" s="450"/>
      <c r="S47" s="450"/>
      <c r="T47" s="815"/>
      <c r="U47" s="778"/>
      <c r="V47" s="450"/>
      <c r="W47" s="450"/>
      <c r="X47" s="450"/>
      <c r="Y47" s="450"/>
      <c r="Z47" s="451"/>
      <c r="AA47" s="450"/>
      <c r="AF47" s="453"/>
      <c r="AG47" s="453"/>
    </row>
    <row r="48" spans="9:33" ht="15.95" customHeight="1" x14ac:dyDescent="0.2">
      <c r="I48" s="437"/>
      <c r="J48" s="437"/>
      <c r="K48" s="523"/>
      <c r="L48" s="523"/>
      <c r="M48" s="523"/>
      <c r="N48" s="523"/>
      <c r="Q48" s="447"/>
      <c r="R48" s="450"/>
      <c r="S48" s="450"/>
      <c r="T48" s="451"/>
      <c r="U48" s="450"/>
      <c r="V48" s="450"/>
      <c r="W48" s="447"/>
      <c r="X48" s="450"/>
      <c r="Y48" s="450"/>
      <c r="Z48" s="451"/>
      <c r="AA48" s="521"/>
      <c r="AF48" s="453"/>
      <c r="AG48" s="453"/>
    </row>
    <row r="49" spans="9:33" ht="15.95" customHeight="1" x14ac:dyDescent="0.2">
      <c r="I49" s="437"/>
      <c r="J49" s="437"/>
      <c r="K49" s="523"/>
      <c r="L49" s="523"/>
      <c r="M49" s="523"/>
      <c r="N49" s="523"/>
      <c r="Q49" s="447"/>
      <c r="R49" s="450"/>
      <c r="S49" s="450"/>
      <c r="T49" s="451"/>
      <c r="U49" s="450"/>
      <c r="V49" s="450"/>
      <c r="W49" s="447"/>
      <c r="X49" s="450"/>
      <c r="Y49" s="450"/>
      <c r="Z49" s="451"/>
      <c r="AA49" s="521"/>
      <c r="AF49" s="453"/>
      <c r="AG49" s="453"/>
    </row>
    <row r="50" spans="9:33" ht="15.95" customHeight="1" x14ac:dyDescent="0.2">
      <c r="I50" s="437"/>
      <c r="J50" s="437"/>
      <c r="K50" s="523"/>
      <c r="L50" s="523"/>
      <c r="M50" s="523"/>
      <c r="N50" s="523"/>
      <c r="Q50" s="447"/>
      <c r="R50" s="450"/>
      <c r="S50" s="450"/>
      <c r="T50" s="451"/>
      <c r="U50" s="450"/>
      <c r="V50" s="450"/>
      <c r="W50" s="447"/>
      <c r="X50" s="450"/>
      <c r="Y50" s="450"/>
      <c r="Z50" s="451"/>
      <c r="AA50" s="521"/>
    </row>
    <row r="51" spans="9:33" ht="15.95" customHeight="1" x14ac:dyDescent="0.2">
      <c r="I51" s="437"/>
      <c r="J51" s="437"/>
      <c r="K51" s="523"/>
      <c r="L51" s="523"/>
      <c r="M51" s="523"/>
      <c r="N51" s="523"/>
      <c r="Q51" s="447"/>
      <c r="R51" s="450"/>
      <c r="S51" s="450"/>
      <c r="T51" s="451"/>
      <c r="U51" s="450"/>
      <c r="V51" s="450"/>
      <c r="W51" s="447"/>
      <c r="X51" s="450"/>
      <c r="Y51" s="450"/>
      <c r="Z51" s="451"/>
      <c r="AA51" s="450"/>
    </row>
    <row r="52" spans="9:33" ht="15.95" customHeight="1" x14ac:dyDescent="0.2">
      <c r="I52" s="437"/>
      <c r="J52" s="437"/>
      <c r="K52" s="523"/>
      <c r="L52" s="523"/>
      <c r="M52" s="523"/>
      <c r="N52" s="523"/>
      <c r="Q52" s="447"/>
      <c r="R52" s="450"/>
      <c r="S52" s="450"/>
      <c r="T52" s="451"/>
      <c r="U52" s="450"/>
      <c r="V52" s="450"/>
      <c r="W52" s="447"/>
      <c r="X52" s="450"/>
      <c r="Y52" s="450"/>
      <c r="Z52" s="451"/>
      <c r="AA52" s="450"/>
    </row>
    <row r="53" spans="9:33" ht="15.95" customHeight="1" x14ac:dyDescent="0.2">
      <c r="I53" s="437"/>
      <c r="J53" s="437"/>
      <c r="K53" s="523"/>
      <c r="L53" s="523"/>
      <c r="M53" s="523"/>
      <c r="N53" s="523"/>
      <c r="Q53" s="447"/>
      <c r="R53" s="450"/>
      <c r="S53" s="450"/>
      <c r="T53" s="451"/>
      <c r="U53" s="450"/>
      <c r="V53" s="450"/>
      <c r="W53" s="447"/>
      <c r="X53" s="450"/>
      <c r="Y53" s="450"/>
      <c r="Z53" s="451"/>
      <c r="AA53" s="450"/>
    </row>
    <row r="54" spans="9:33" ht="15.95" customHeight="1" x14ac:dyDescent="0.2">
      <c r="I54" s="437"/>
      <c r="J54" s="437"/>
      <c r="K54" s="523"/>
      <c r="L54" s="523"/>
      <c r="M54" s="523"/>
      <c r="N54" s="523"/>
      <c r="P54" s="450"/>
      <c r="Q54" s="450"/>
      <c r="R54" s="437"/>
      <c r="S54" s="437"/>
      <c r="T54" s="451"/>
      <c r="U54" s="450"/>
      <c r="V54" s="450"/>
      <c r="W54" s="450"/>
      <c r="X54" s="516"/>
      <c r="Y54" s="457"/>
      <c r="Z54" s="457"/>
      <c r="AA54" s="450"/>
    </row>
    <row r="55" spans="9:33" ht="15.95" customHeight="1" x14ac:dyDescent="0.2">
      <c r="I55" s="437"/>
      <c r="J55" s="437"/>
      <c r="K55" s="523"/>
      <c r="L55" s="523"/>
      <c r="M55" s="523"/>
      <c r="N55" s="523"/>
      <c r="Q55" s="450"/>
      <c r="R55" s="437"/>
      <c r="S55" s="437"/>
      <c r="T55" s="451"/>
      <c r="U55" s="450"/>
      <c r="V55" s="450"/>
      <c r="W55" s="450"/>
      <c r="X55" s="516"/>
      <c r="Y55" s="457"/>
      <c r="Z55" s="457"/>
      <c r="AA55" s="450"/>
    </row>
    <row r="56" spans="9:33" ht="15.95" customHeight="1" x14ac:dyDescent="0.2">
      <c r="I56" s="437"/>
      <c r="J56" s="437"/>
      <c r="K56" s="523"/>
      <c r="L56" s="523"/>
      <c r="M56" s="523"/>
      <c r="N56" s="523"/>
      <c r="Q56" s="450"/>
      <c r="R56" s="437"/>
      <c r="S56" s="437"/>
      <c r="T56" s="451"/>
      <c r="U56" s="450"/>
      <c r="V56" s="450"/>
      <c r="W56" s="450"/>
      <c r="X56" s="516"/>
      <c r="Y56" s="457"/>
      <c r="Z56" s="457"/>
      <c r="AA56" s="450"/>
    </row>
    <row r="57" spans="9:33" ht="15.95" customHeight="1" x14ac:dyDescent="0.2">
      <c r="I57" s="437"/>
      <c r="J57" s="437"/>
      <c r="K57" s="523"/>
      <c r="L57" s="523"/>
      <c r="M57" s="523"/>
      <c r="N57" s="523"/>
      <c r="Q57" s="450"/>
      <c r="R57" s="437"/>
      <c r="S57" s="437"/>
      <c r="T57" s="451"/>
      <c r="U57" s="450"/>
      <c r="V57" s="450"/>
      <c r="W57" s="450"/>
      <c r="X57" s="516"/>
      <c r="Y57" s="457"/>
      <c r="Z57" s="457"/>
      <c r="AA57" s="450"/>
    </row>
    <row r="58" spans="9:33" ht="15.95" customHeight="1" x14ac:dyDescent="0.2">
      <c r="I58" s="437"/>
      <c r="J58" s="437"/>
      <c r="K58" s="523"/>
      <c r="L58" s="523"/>
      <c r="M58" s="523"/>
      <c r="N58" s="523"/>
      <c r="Q58" s="450"/>
      <c r="R58" s="437"/>
      <c r="S58" s="437"/>
      <c r="T58" s="451"/>
      <c r="U58" s="450"/>
      <c r="V58" s="450"/>
      <c r="W58" s="450"/>
      <c r="X58" s="516"/>
      <c r="Y58" s="457"/>
      <c r="Z58" s="457"/>
      <c r="AA58" s="450"/>
    </row>
    <row r="59" spans="9:33" ht="15.95" customHeight="1" x14ac:dyDescent="0.2">
      <c r="I59" s="437"/>
      <c r="J59" s="437"/>
      <c r="K59" s="523"/>
      <c r="L59" s="523"/>
      <c r="M59" s="523"/>
      <c r="N59" s="523"/>
      <c r="Q59" s="450"/>
      <c r="R59" s="437"/>
      <c r="S59" s="437"/>
      <c r="T59" s="451"/>
      <c r="U59" s="450"/>
      <c r="V59" s="450"/>
      <c r="W59" s="450"/>
      <c r="X59" s="516"/>
      <c r="Y59" s="457"/>
      <c r="Z59" s="457"/>
      <c r="AA59" s="450"/>
    </row>
    <row r="60" spans="9:33" ht="15.95" customHeight="1" x14ac:dyDescent="0.2">
      <c r="I60" s="437"/>
      <c r="J60" s="437"/>
      <c r="K60" s="523"/>
      <c r="L60" s="523"/>
      <c r="M60" s="523"/>
      <c r="N60" s="523"/>
      <c r="Q60" s="447"/>
      <c r="X60" s="441"/>
      <c r="Y60" s="441"/>
      <c r="Z60" s="441"/>
    </row>
    <row r="61" spans="9:33" ht="15.95" customHeight="1" x14ac:dyDescent="0.2">
      <c r="I61" s="437"/>
      <c r="J61" s="437"/>
      <c r="K61" s="437"/>
      <c r="L61" s="437"/>
      <c r="M61" s="437"/>
      <c r="N61" s="437"/>
      <c r="T61" s="441"/>
      <c r="X61" s="441"/>
      <c r="Y61" s="441"/>
      <c r="Z61" s="441"/>
    </row>
    <row r="62" spans="9:33" ht="15.95" customHeight="1" x14ac:dyDescent="0.2">
      <c r="I62" s="437"/>
      <c r="J62" s="437"/>
      <c r="K62" s="437"/>
      <c r="L62" s="437"/>
      <c r="M62" s="437"/>
      <c r="N62" s="437"/>
      <c r="O62" s="521"/>
      <c r="T62" s="441"/>
      <c r="X62" s="441"/>
      <c r="Y62" s="441"/>
      <c r="Z62" s="441"/>
    </row>
    <row r="63" spans="9:33" ht="15.95" customHeight="1" x14ac:dyDescent="0.2">
      <c r="I63" s="437"/>
      <c r="J63" s="437"/>
      <c r="K63" s="437"/>
      <c r="L63" s="437"/>
      <c r="M63" s="437"/>
      <c r="N63" s="437"/>
      <c r="O63" s="521"/>
      <c r="T63" s="441"/>
      <c r="X63" s="441"/>
      <c r="Y63" s="441"/>
      <c r="Z63" s="441"/>
    </row>
    <row r="64" spans="9:33" ht="15.95" customHeight="1" x14ac:dyDescent="0.2">
      <c r="I64" s="437"/>
      <c r="J64" s="437"/>
      <c r="K64" s="437"/>
      <c r="L64" s="437"/>
      <c r="M64" s="437"/>
      <c r="N64" s="437"/>
      <c r="O64" s="521"/>
      <c r="T64" s="441"/>
      <c r="X64" s="441"/>
      <c r="Y64" s="441"/>
      <c r="Z64" s="441"/>
    </row>
    <row r="65" spans="9:36" ht="15.95" customHeight="1" x14ac:dyDescent="0.2">
      <c r="I65" s="437"/>
      <c r="J65" s="437"/>
      <c r="K65" s="437"/>
      <c r="L65" s="437"/>
      <c r="M65" s="437"/>
      <c r="N65" s="437"/>
      <c r="O65" s="437"/>
      <c r="P65" s="437"/>
      <c r="Q65" s="437"/>
      <c r="R65" s="437"/>
      <c r="S65" s="437"/>
      <c r="T65" s="437"/>
      <c r="U65" s="437"/>
      <c r="V65" s="437"/>
      <c r="W65" s="437"/>
      <c r="X65" s="437"/>
      <c r="Y65" s="437"/>
      <c r="Z65" s="437"/>
      <c r="AA65" s="437"/>
      <c r="AH65" s="441"/>
      <c r="AI65" s="441"/>
      <c r="AJ65" s="447"/>
    </row>
    <row r="66" spans="9:36" ht="15.95" customHeight="1" x14ac:dyDescent="0.2">
      <c r="I66" s="437"/>
      <c r="J66" s="437"/>
      <c r="K66" s="437"/>
      <c r="L66" s="437"/>
      <c r="M66" s="437"/>
      <c r="N66" s="437"/>
      <c r="O66" s="437"/>
      <c r="P66" s="437"/>
      <c r="Q66" s="437"/>
      <c r="R66" s="437"/>
      <c r="S66" s="437"/>
      <c r="T66" s="437"/>
      <c r="U66" s="437"/>
      <c r="V66" s="437"/>
      <c r="W66" s="437"/>
      <c r="X66" s="437"/>
      <c r="Y66" s="437"/>
      <c r="Z66" s="437"/>
      <c r="AA66" s="437"/>
      <c r="AH66" s="441"/>
      <c r="AI66" s="441"/>
      <c r="AJ66" s="447"/>
    </row>
    <row r="67" spans="9:36" ht="15.95" customHeight="1" x14ac:dyDescent="0.2">
      <c r="I67" s="437"/>
      <c r="J67" s="437"/>
      <c r="K67" s="437"/>
      <c r="L67" s="437"/>
      <c r="M67" s="437"/>
      <c r="N67" s="437"/>
      <c r="O67" s="437"/>
      <c r="P67" s="437"/>
      <c r="Q67" s="437"/>
      <c r="R67" s="437"/>
      <c r="S67" s="437"/>
      <c r="T67" s="437"/>
      <c r="U67" s="437"/>
      <c r="V67" s="437"/>
      <c r="W67" s="437"/>
      <c r="X67" s="437"/>
      <c r="Y67" s="437"/>
      <c r="Z67" s="437"/>
      <c r="AA67" s="437"/>
      <c r="AH67" s="441"/>
      <c r="AI67" s="441"/>
      <c r="AJ67" s="441"/>
    </row>
    <row r="68" spans="9:36" ht="15.95" customHeight="1" x14ac:dyDescent="0.2">
      <c r="I68" s="437"/>
      <c r="J68" s="437"/>
      <c r="K68" s="450"/>
      <c r="L68" s="450"/>
      <c r="M68" s="450"/>
      <c r="N68" s="521"/>
      <c r="O68" s="521"/>
      <c r="P68" s="450"/>
      <c r="Q68" s="450"/>
      <c r="R68" s="437"/>
      <c r="S68" s="437"/>
      <c r="T68" s="451"/>
      <c r="U68" s="450"/>
      <c r="W68" s="450"/>
      <c r="X68" s="516"/>
      <c r="Y68" s="457"/>
      <c r="Z68" s="457"/>
      <c r="AA68" s="450"/>
      <c r="AH68" s="441"/>
      <c r="AI68" s="441"/>
      <c r="AJ68" s="441"/>
    </row>
    <row r="69" spans="9:36" ht="15.95" customHeight="1" x14ac:dyDescent="0.2">
      <c r="I69" s="437"/>
      <c r="J69" s="437"/>
      <c r="K69" s="450"/>
      <c r="L69" s="450"/>
      <c r="M69" s="450"/>
      <c r="N69" s="521"/>
      <c r="O69" s="521"/>
      <c r="P69" s="450"/>
      <c r="Q69" s="450"/>
      <c r="R69" s="437"/>
      <c r="S69" s="437"/>
      <c r="T69" s="451"/>
      <c r="U69" s="450"/>
      <c r="W69" s="450"/>
      <c r="X69" s="516"/>
      <c r="Y69" s="457"/>
      <c r="Z69" s="457"/>
      <c r="AA69" s="450"/>
      <c r="AH69" s="441"/>
      <c r="AI69" s="441"/>
      <c r="AJ69" s="450"/>
    </row>
    <row r="70" spans="9:36" ht="15.95" customHeight="1" x14ac:dyDescent="0.2">
      <c r="I70" s="437"/>
      <c r="J70" s="437"/>
      <c r="K70" s="450"/>
      <c r="L70" s="450"/>
      <c r="M70" s="450"/>
      <c r="N70" s="521"/>
      <c r="O70" s="521"/>
      <c r="P70" s="450"/>
      <c r="Q70" s="450"/>
      <c r="R70" s="437"/>
      <c r="S70" s="437"/>
      <c r="T70" s="451"/>
      <c r="U70" s="450"/>
      <c r="W70" s="450"/>
      <c r="X70" s="516"/>
      <c r="Y70" s="457"/>
      <c r="Z70" s="457"/>
      <c r="AA70" s="450"/>
      <c r="AH70" s="441"/>
      <c r="AI70" s="441"/>
      <c r="AJ70" s="450"/>
    </row>
    <row r="71" spans="9:36" ht="15.95" customHeight="1" x14ac:dyDescent="0.2">
      <c r="I71" s="437"/>
      <c r="J71" s="437"/>
      <c r="K71" s="450"/>
      <c r="L71" s="450"/>
      <c r="M71" s="450"/>
      <c r="N71" s="521"/>
      <c r="O71" s="521"/>
      <c r="P71" s="450"/>
      <c r="Q71" s="450"/>
      <c r="R71" s="437"/>
      <c r="S71" s="437"/>
      <c r="T71" s="451"/>
      <c r="U71" s="450"/>
      <c r="W71" s="450"/>
      <c r="X71" s="516"/>
      <c r="Y71" s="457"/>
      <c r="Z71" s="457"/>
      <c r="AA71" s="450"/>
      <c r="AH71" s="441"/>
      <c r="AI71" s="441"/>
      <c r="AJ71" s="445"/>
    </row>
    <row r="72" spans="9:36" ht="15.95" customHeight="1" x14ac:dyDescent="0.2">
      <c r="I72" s="437"/>
      <c r="J72" s="437"/>
      <c r="K72" s="450"/>
      <c r="L72" s="450"/>
      <c r="M72" s="450"/>
      <c r="N72" s="521"/>
      <c r="O72" s="521"/>
      <c r="P72" s="450"/>
      <c r="Q72" s="450"/>
      <c r="R72" s="437"/>
      <c r="S72" s="437"/>
      <c r="T72" s="451"/>
      <c r="U72" s="450"/>
      <c r="W72" s="450"/>
      <c r="X72" s="516"/>
      <c r="Y72" s="457"/>
      <c r="Z72" s="457"/>
      <c r="AA72" s="450"/>
      <c r="AH72" s="441"/>
      <c r="AI72" s="441"/>
      <c r="AJ72" s="447"/>
    </row>
    <row r="73" spans="9:36" ht="15.95" customHeight="1" x14ac:dyDescent="0.2">
      <c r="I73" s="437"/>
      <c r="J73" s="437"/>
      <c r="K73" s="450"/>
      <c r="L73" s="450"/>
      <c r="M73" s="450"/>
      <c r="N73" s="521"/>
      <c r="O73" s="521"/>
      <c r="P73" s="450"/>
      <c r="Q73" s="450"/>
      <c r="R73" s="437"/>
      <c r="S73" s="437"/>
      <c r="T73" s="451"/>
      <c r="U73" s="450"/>
      <c r="W73" s="450"/>
      <c r="X73" s="516"/>
      <c r="Y73" s="457"/>
      <c r="Z73" s="457"/>
      <c r="AA73" s="450"/>
      <c r="AH73" s="441"/>
      <c r="AI73" s="441"/>
      <c r="AJ73" s="447"/>
    </row>
    <row r="74" spans="9:36" ht="15.95" customHeight="1" x14ac:dyDescent="0.2">
      <c r="I74" s="437"/>
      <c r="J74" s="437"/>
      <c r="K74" s="450"/>
      <c r="L74" s="450"/>
      <c r="M74" s="450"/>
      <c r="N74" s="521"/>
      <c r="O74" s="521"/>
      <c r="P74" s="450"/>
      <c r="Q74" s="450"/>
      <c r="R74" s="437"/>
      <c r="S74" s="437"/>
      <c r="T74" s="451"/>
      <c r="U74" s="450"/>
      <c r="W74" s="450"/>
      <c r="X74" s="516"/>
      <c r="Y74" s="457"/>
      <c r="Z74" s="457"/>
      <c r="AA74" s="450"/>
      <c r="AH74" s="441"/>
      <c r="AI74" s="441"/>
      <c r="AJ74" s="450"/>
    </row>
    <row r="75" spans="9:36" ht="15.95" customHeight="1" x14ac:dyDescent="0.2">
      <c r="I75" s="437"/>
      <c r="J75" s="437"/>
      <c r="K75" s="450"/>
      <c r="L75" s="450"/>
      <c r="M75" s="450"/>
      <c r="N75" s="521"/>
      <c r="O75" s="521"/>
      <c r="P75" s="450"/>
      <c r="Q75" s="450"/>
      <c r="R75" s="437"/>
      <c r="S75" s="437"/>
      <c r="T75" s="451"/>
      <c r="U75" s="450"/>
      <c r="W75" s="450"/>
      <c r="X75" s="516"/>
      <c r="Y75" s="457"/>
      <c r="Z75" s="457"/>
      <c r="AA75" s="450"/>
      <c r="AH75" s="441"/>
      <c r="AI75" s="441"/>
      <c r="AJ75" s="450"/>
    </row>
    <row r="76" spans="9:36" ht="15.95" customHeight="1" x14ac:dyDescent="0.2">
      <c r="I76" s="437"/>
      <c r="J76" s="437"/>
      <c r="K76" s="450"/>
      <c r="L76" s="450"/>
      <c r="M76" s="450"/>
      <c r="N76" s="521"/>
      <c r="O76" s="521"/>
      <c r="P76" s="450"/>
      <c r="Q76" s="450"/>
      <c r="R76" s="437"/>
      <c r="S76" s="437"/>
      <c r="T76" s="451"/>
      <c r="U76" s="450"/>
      <c r="W76" s="450"/>
      <c r="X76" s="516"/>
      <c r="Y76" s="457"/>
      <c r="Z76" s="457"/>
      <c r="AA76" s="450"/>
      <c r="AH76" s="441"/>
      <c r="AI76" s="441"/>
      <c r="AJ76" s="450"/>
    </row>
    <row r="77" spans="9:36" ht="15.95" customHeight="1" x14ac:dyDescent="0.2">
      <c r="I77" s="437"/>
      <c r="J77" s="437"/>
      <c r="K77" s="447"/>
      <c r="L77" s="450"/>
      <c r="M77" s="450"/>
      <c r="N77" s="521"/>
      <c r="O77" s="521"/>
      <c r="P77" s="450"/>
      <c r="Q77" s="450"/>
      <c r="R77" s="450"/>
      <c r="S77" s="450"/>
      <c r="T77" s="451"/>
      <c r="U77" s="450"/>
      <c r="W77" s="450"/>
      <c r="X77" s="450"/>
      <c r="Y77" s="450"/>
      <c r="Z77" s="451"/>
      <c r="AA77" s="450"/>
      <c r="AH77" s="441"/>
      <c r="AI77" s="441"/>
      <c r="AJ77" s="450"/>
    </row>
    <row r="78" spans="9:36" ht="15.95" customHeight="1" x14ac:dyDescent="0.2">
      <c r="I78" s="437"/>
      <c r="J78" s="437"/>
      <c r="K78" s="447"/>
      <c r="L78" s="450"/>
      <c r="M78" s="450"/>
      <c r="N78" s="521"/>
      <c r="O78" s="521"/>
      <c r="P78" s="450"/>
      <c r="Q78" s="450"/>
      <c r="R78" s="450"/>
      <c r="S78" s="450"/>
      <c r="T78" s="451"/>
      <c r="U78" s="450"/>
      <c r="W78" s="450"/>
      <c r="X78" s="450"/>
      <c r="Y78" s="450"/>
      <c r="Z78" s="451"/>
      <c r="AA78" s="450"/>
      <c r="AH78" s="441"/>
      <c r="AI78" s="441"/>
      <c r="AJ78" s="445"/>
    </row>
    <row r="79" spans="9:36" ht="15.95" customHeight="1" x14ac:dyDescent="0.2">
      <c r="I79" s="437"/>
      <c r="J79" s="437"/>
      <c r="K79" s="447"/>
      <c r="L79" s="450"/>
      <c r="M79" s="450"/>
      <c r="N79" s="521"/>
      <c r="O79" s="521"/>
      <c r="P79" s="450"/>
      <c r="Q79" s="450"/>
      <c r="R79" s="450"/>
      <c r="S79" s="450"/>
      <c r="T79" s="451"/>
      <c r="U79" s="450"/>
      <c r="W79" s="450"/>
      <c r="X79" s="450"/>
      <c r="Y79" s="450"/>
      <c r="Z79" s="451"/>
      <c r="AA79" s="450"/>
      <c r="AH79" s="441"/>
      <c r="AI79" s="441"/>
      <c r="AJ79" s="447"/>
    </row>
    <row r="80" spans="9:36" ht="15.95" customHeight="1" x14ac:dyDescent="0.2">
      <c r="I80" s="437"/>
      <c r="J80" s="437"/>
      <c r="K80" s="447"/>
      <c r="L80" s="450"/>
      <c r="M80" s="450"/>
      <c r="N80" s="521"/>
      <c r="O80" s="521"/>
      <c r="P80" s="450"/>
      <c r="Q80" s="450"/>
      <c r="R80" s="450"/>
      <c r="S80" s="450"/>
      <c r="T80" s="451"/>
      <c r="U80" s="450"/>
      <c r="W80" s="450"/>
      <c r="X80" s="450"/>
      <c r="Y80" s="450"/>
      <c r="Z80" s="451"/>
      <c r="AA80" s="450"/>
      <c r="AH80" s="441"/>
      <c r="AI80" s="441"/>
      <c r="AJ80" s="447"/>
    </row>
    <row r="81" spans="9:36" ht="15.95" customHeight="1" x14ac:dyDescent="0.2">
      <c r="I81" s="437"/>
      <c r="J81" s="437"/>
      <c r="K81" s="447"/>
      <c r="L81" s="450"/>
      <c r="M81" s="450"/>
      <c r="N81" s="521"/>
      <c r="O81" s="521"/>
      <c r="P81" s="450"/>
      <c r="Q81" s="450"/>
      <c r="R81" s="450"/>
      <c r="S81" s="450"/>
      <c r="T81" s="451"/>
      <c r="U81" s="450"/>
      <c r="W81" s="450"/>
      <c r="X81" s="450"/>
      <c r="Y81" s="450"/>
      <c r="Z81" s="451"/>
      <c r="AA81" s="450"/>
      <c r="AH81" s="441"/>
      <c r="AI81" s="441"/>
      <c r="AJ81" s="447"/>
    </row>
    <row r="82" spans="9:36" ht="15.95" customHeight="1" x14ac:dyDescent="0.2">
      <c r="I82" s="437"/>
      <c r="J82" s="437"/>
      <c r="K82" s="450"/>
      <c r="L82" s="450"/>
      <c r="M82" s="450"/>
      <c r="N82" s="521"/>
      <c r="O82" s="521"/>
      <c r="P82" s="450"/>
      <c r="Q82" s="450"/>
      <c r="R82" s="450"/>
      <c r="S82" s="450"/>
      <c r="T82" s="451"/>
      <c r="U82" s="450"/>
      <c r="W82" s="450"/>
      <c r="X82" s="450"/>
      <c r="Y82" s="450"/>
      <c r="Z82" s="451"/>
      <c r="AA82" s="450"/>
      <c r="AH82" s="441"/>
      <c r="AI82" s="441"/>
      <c r="AJ82" s="450"/>
    </row>
    <row r="83" spans="9:36" ht="15.95" customHeight="1" x14ac:dyDescent="0.2">
      <c r="I83" s="437"/>
      <c r="J83" s="437"/>
      <c r="K83" s="445"/>
      <c r="L83" s="450"/>
      <c r="M83" s="450"/>
      <c r="N83" s="521"/>
      <c r="O83" s="521"/>
      <c r="P83" s="450"/>
      <c r="Q83" s="450"/>
      <c r="R83" s="450"/>
      <c r="S83" s="450"/>
      <c r="T83" s="451"/>
      <c r="U83" s="450"/>
      <c r="W83" s="450"/>
      <c r="X83" s="450"/>
      <c r="Y83" s="450"/>
      <c r="Z83" s="451"/>
      <c r="AA83" s="450"/>
      <c r="AH83" s="441"/>
      <c r="AI83" s="441"/>
      <c r="AJ83" s="445"/>
    </row>
    <row r="84" spans="9:36" ht="15.95" customHeight="1" x14ac:dyDescent="0.2">
      <c r="I84" s="437"/>
      <c r="J84" s="437"/>
      <c r="K84" s="447"/>
      <c r="L84" s="450"/>
      <c r="M84" s="450"/>
      <c r="N84" s="521"/>
      <c r="O84" s="521"/>
      <c r="P84" s="450"/>
      <c r="Q84" s="450"/>
      <c r="R84" s="450"/>
      <c r="S84" s="450"/>
      <c r="T84" s="451"/>
      <c r="U84" s="450"/>
      <c r="W84" s="450"/>
      <c r="X84" s="450"/>
      <c r="Y84" s="450"/>
      <c r="Z84" s="451"/>
      <c r="AA84" s="450"/>
      <c r="AH84" s="441"/>
      <c r="AI84" s="441"/>
      <c r="AJ84" s="447"/>
    </row>
    <row r="85" spans="9:36" ht="15.95" customHeight="1" x14ac:dyDescent="0.2">
      <c r="I85" s="437"/>
      <c r="J85" s="437"/>
      <c r="K85" s="447"/>
      <c r="L85" s="450"/>
      <c r="M85" s="450"/>
      <c r="N85" s="521"/>
      <c r="O85" s="521"/>
      <c r="P85" s="450"/>
      <c r="Q85" s="450"/>
      <c r="R85" s="450"/>
      <c r="S85" s="450"/>
      <c r="T85" s="451"/>
      <c r="U85" s="450"/>
      <c r="W85" s="450"/>
      <c r="X85" s="450"/>
      <c r="Y85" s="450"/>
      <c r="Z85" s="451"/>
      <c r="AA85" s="450"/>
      <c r="AH85" s="441"/>
      <c r="AI85" s="441"/>
      <c r="AJ85" s="447"/>
    </row>
    <row r="86" spans="9:36" ht="15.95" customHeight="1" x14ac:dyDescent="0.2">
      <c r="K86" s="447"/>
      <c r="L86" s="450"/>
      <c r="M86" s="450"/>
      <c r="N86" s="521"/>
      <c r="O86" s="521"/>
      <c r="P86" s="450"/>
      <c r="Q86" s="450"/>
      <c r="R86" s="450"/>
      <c r="S86" s="450"/>
      <c r="T86" s="451"/>
      <c r="U86" s="450"/>
      <c r="W86" s="450"/>
      <c r="X86" s="450"/>
      <c r="Y86" s="450"/>
      <c r="Z86" s="451"/>
      <c r="AA86" s="450"/>
      <c r="AH86" s="441"/>
      <c r="AI86" s="441"/>
      <c r="AJ86" s="441"/>
    </row>
    <row r="87" spans="9:36" ht="15.95" customHeight="1" x14ac:dyDescent="0.2">
      <c r="K87" s="447"/>
      <c r="L87" s="450"/>
      <c r="M87" s="450"/>
      <c r="N87" s="521"/>
      <c r="O87" s="521"/>
      <c r="P87" s="450"/>
      <c r="Q87" s="450"/>
      <c r="R87" s="450"/>
      <c r="S87" s="450"/>
      <c r="T87" s="451"/>
      <c r="U87" s="450"/>
      <c r="W87" s="450"/>
      <c r="X87" s="450"/>
      <c r="Y87" s="450"/>
      <c r="Z87" s="451"/>
      <c r="AA87" s="450"/>
      <c r="AH87" s="441"/>
      <c r="AI87" s="441"/>
      <c r="AJ87" s="441"/>
    </row>
    <row r="88" spans="9:36" ht="15.95" customHeight="1" x14ac:dyDescent="0.2">
      <c r="L88" s="450"/>
      <c r="M88" s="450"/>
      <c r="N88" s="521"/>
      <c r="O88" s="521"/>
      <c r="P88" s="450"/>
      <c r="Q88" s="450"/>
      <c r="R88" s="450"/>
      <c r="S88" s="450"/>
      <c r="T88" s="451"/>
      <c r="U88" s="450"/>
      <c r="W88" s="450"/>
      <c r="X88" s="450"/>
      <c r="Y88" s="450"/>
      <c r="Z88" s="451"/>
      <c r="AA88" s="450"/>
    </row>
    <row r="89" spans="9:36" ht="15.95" customHeight="1" x14ac:dyDescent="0.2">
      <c r="K89" s="435"/>
      <c r="L89" s="450"/>
      <c r="M89" s="450"/>
      <c r="N89" s="521"/>
      <c r="O89" s="521"/>
      <c r="P89" s="450"/>
      <c r="Q89" s="450"/>
      <c r="R89" s="450"/>
      <c r="S89" s="450"/>
      <c r="T89" s="451"/>
      <c r="U89" s="450"/>
      <c r="W89" s="450"/>
      <c r="X89" s="450"/>
      <c r="Y89" s="450"/>
      <c r="Z89" s="451"/>
      <c r="AA89" s="450"/>
    </row>
    <row r="90" spans="9:36" ht="15.95" customHeight="1" x14ac:dyDescent="0.2">
      <c r="K90" s="435"/>
      <c r="R90" s="450"/>
      <c r="S90" s="450"/>
      <c r="T90" s="451"/>
      <c r="U90" s="450"/>
      <c r="W90" s="450"/>
      <c r="X90" s="450"/>
      <c r="Y90" s="450"/>
      <c r="Z90" s="451"/>
    </row>
    <row r="91" spans="9:36" ht="15.95" customHeight="1" x14ac:dyDescent="0.2">
      <c r="K91" s="435"/>
    </row>
    <row r="92" spans="9:36" ht="15.95" customHeight="1" x14ac:dyDescent="0.2">
      <c r="K92" s="435"/>
    </row>
    <row r="93" spans="9:36" ht="15.95" customHeight="1" x14ac:dyDescent="0.2">
      <c r="K93" s="435"/>
    </row>
    <row r="94" spans="9:36" ht="15.95" customHeight="1" x14ac:dyDescent="0.2">
      <c r="K94" s="435"/>
    </row>
    <row r="95" spans="9:36" ht="15.95" customHeight="1" x14ac:dyDescent="0.2">
      <c r="K95" s="435"/>
      <c r="S95" s="450"/>
    </row>
    <row r="96" spans="9:36" ht="15.95" customHeight="1" x14ac:dyDescent="0.2">
      <c r="K96" s="435"/>
      <c r="S96" s="450"/>
    </row>
    <row r="97" ht="15.95" customHeight="1" x14ac:dyDescent="0.2"/>
    <row r="98" ht="15.95" customHeight="1" x14ac:dyDescent="0.2"/>
    <row r="99" ht="15.95" customHeight="1" x14ac:dyDescent="0.2"/>
    <row r="100" ht="15.95" customHeight="1" x14ac:dyDescent="0.2"/>
    <row r="101" ht="15.95" customHeight="1" x14ac:dyDescent="0.2"/>
    <row r="102" ht="15.95" customHeight="1" x14ac:dyDescent="0.2"/>
    <row r="103" ht="15.95" customHeight="1" x14ac:dyDescent="0.2"/>
    <row r="104" ht="15.95" customHeight="1" x14ac:dyDescent="0.2"/>
    <row r="105" ht="15.95" customHeight="1" x14ac:dyDescent="0.2"/>
    <row r="106" ht="15.95" customHeight="1" x14ac:dyDescent="0.2"/>
    <row r="107" ht="15.95" customHeight="1" x14ac:dyDescent="0.2"/>
    <row r="108" ht="15.95" customHeight="1" x14ac:dyDescent="0.2"/>
    <row r="109" ht="15.95" customHeight="1" x14ac:dyDescent="0.2"/>
    <row r="110" ht="15.95" customHeight="1" x14ac:dyDescent="0.2"/>
    <row r="111" ht="15.95" customHeight="1" x14ac:dyDescent="0.2"/>
    <row r="112" ht="15.95" customHeight="1" x14ac:dyDescent="0.2"/>
    <row r="113" ht="15.95" customHeight="1" x14ac:dyDescent="0.2"/>
    <row r="114" ht="15.95" customHeight="1" x14ac:dyDescent="0.2"/>
    <row r="115" ht="15.95" customHeight="1" x14ac:dyDescent="0.2"/>
    <row r="116" ht="15.95" customHeight="1" x14ac:dyDescent="0.2"/>
    <row r="117" ht="15.95" customHeight="1" x14ac:dyDescent="0.2"/>
    <row r="118" ht="15.95" customHeight="1" x14ac:dyDescent="0.2"/>
    <row r="119" ht="15.95" customHeight="1" x14ac:dyDescent="0.2"/>
    <row r="120" ht="15.95" customHeight="1" x14ac:dyDescent="0.2"/>
    <row r="121" ht="15.95" customHeight="1" x14ac:dyDescent="0.2"/>
    <row r="122" ht="15.95" customHeight="1" x14ac:dyDescent="0.2"/>
    <row r="123" ht="15.95" customHeight="1" x14ac:dyDescent="0.2"/>
    <row r="124" ht="15.95" customHeight="1" x14ac:dyDescent="0.2"/>
    <row r="125" ht="15.95" customHeight="1" x14ac:dyDescent="0.2"/>
    <row r="126" ht="15.95" customHeight="1" x14ac:dyDescent="0.2"/>
    <row r="127" ht="15.95" customHeight="1" x14ac:dyDescent="0.2"/>
    <row r="128" ht="15.95" customHeight="1" x14ac:dyDescent="0.2"/>
    <row r="129" ht="15.95" customHeight="1" x14ac:dyDescent="0.2"/>
    <row r="130" ht="15.95" customHeight="1" x14ac:dyDescent="0.2"/>
    <row r="131" ht="15.95" customHeight="1" x14ac:dyDescent="0.2"/>
    <row r="132" ht="15.95" customHeight="1" x14ac:dyDescent="0.2"/>
    <row r="133" ht="15.95" customHeight="1" x14ac:dyDescent="0.2"/>
    <row r="134" ht="15.95" customHeight="1" x14ac:dyDescent="0.2"/>
    <row r="135" ht="15.95" customHeight="1" x14ac:dyDescent="0.2"/>
    <row r="136" ht="15.95" customHeight="1" x14ac:dyDescent="0.2"/>
    <row r="137" ht="15.95" customHeight="1" x14ac:dyDescent="0.2"/>
    <row r="138" ht="15.95" customHeight="1" x14ac:dyDescent="0.2"/>
    <row r="139" ht="15.95" customHeight="1" x14ac:dyDescent="0.2"/>
    <row r="140" ht="15.95" customHeight="1" x14ac:dyDescent="0.2"/>
    <row r="141" ht="15.95" customHeight="1" x14ac:dyDescent="0.2"/>
    <row r="142" ht="15.95" customHeight="1" x14ac:dyDescent="0.2"/>
    <row r="143" ht="15.95" customHeight="1" x14ac:dyDescent="0.2"/>
    <row r="144" ht="15.95" customHeight="1" x14ac:dyDescent="0.2"/>
    <row r="145" ht="15.95" customHeight="1" x14ac:dyDescent="0.2"/>
    <row r="146" ht="15.95" customHeight="1" x14ac:dyDescent="0.2"/>
    <row r="147" ht="15.95" customHeight="1" x14ac:dyDescent="0.2"/>
    <row r="148" ht="15.95" customHeight="1" x14ac:dyDescent="0.2"/>
  </sheetData>
  <sheetProtection selectLockedCells="1"/>
  <mergeCells count="28">
    <mergeCell ref="N21:N22"/>
    <mergeCell ref="X21:Y21"/>
    <mergeCell ref="X22:Y22"/>
    <mergeCell ref="N14:N15"/>
    <mergeCell ref="T16:T17"/>
    <mergeCell ref="X23:Y23"/>
    <mergeCell ref="X12:Y12"/>
    <mergeCell ref="X19:Y19"/>
    <mergeCell ref="X20:Y20"/>
    <mergeCell ref="T18:T19"/>
    <mergeCell ref="N7:N8"/>
    <mergeCell ref="T7:T8"/>
    <mergeCell ref="Z7:Z8"/>
    <mergeCell ref="Z9:Z10"/>
    <mergeCell ref="K4:N4"/>
    <mergeCell ref="Q4:T4"/>
    <mergeCell ref="W4:Z4"/>
    <mergeCell ref="S9:T10"/>
    <mergeCell ref="AH4:AJ5"/>
    <mergeCell ref="L5:N5"/>
    <mergeCell ref="R5:T5"/>
    <mergeCell ref="X5:Z5"/>
    <mergeCell ref="K1:AA1"/>
    <mergeCell ref="AF1:AJ1"/>
    <mergeCell ref="K2:Z2"/>
    <mergeCell ref="AF2:AJ2"/>
    <mergeCell ref="N3:X3"/>
    <mergeCell ref="AF3:AJ3"/>
  </mergeCells>
  <conditionalFormatting sqref="O7:O8">
    <cfRule type="expression" priority="123" stopIfTrue="1">
      <formula>IF(N7="",1)</formula>
    </cfRule>
    <cfRule type="expression" dxfId="2171" priority="125">
      <formula>IF(N7=N9,1,0)</formula>
    </cfRule>
  </conditionalFormatting>
  <conditionalFormatting sqref="O14:O15">
    <cfRule type="expression" priority="117" stopIfTrue="1">
      <formula>IF(N14="",1)</formula>
    </cfRule>
    <cfRule type="expression" dxfId="2170" priority="119">
      <formula>IF(N14=N16,1,0)</formula>
    </cfRule>
  </conditionalFormatting>
  <conditionalFormatting sqref="O22">
    <cfRule type="expression" priority="111" stopIfTrue="1">
      <formula>IF(N22="",1)</formula>
    </cfRule>
    <cfRule type="expression" dxfId="2169" priority="113">
      <formula>IF(N22=N24,1,0)</formula>
    </cfRule>
  </conditionalFormatting>
  <conditionalFormatting sqref="Y16">
    <cfRule type="expression" dxfId="2168" priority="78">
      <formula>IF(Z14+AA14&lt;Z16+AA16,1,0)</formula>
    </cfRule>
  </conditionalFormatting>
  <conditionalFormatting sqref="U8">
    <cfRule type="expression" priority="69" stopIfTrue="1">
      <formula>IF(T10="",1)</formula>
    </cfRule>
    <cfRule type="expression" dxfId="2167" priority="70">
      <formula>IF(T10=#REF!,1,0)</formula>
    </cfRule>
  </conditionalFormatting>
  <conditionalFormatting sqref="U7">
    <cfRule type="expression" priority="915" stopIfTrue="1">
      <formula>IF(T7="",1)</formula>
    </cfRule>
    <cfRule type="expression" dxfId="2166" priority="916">
      <formula>AND(COUNTIF(T7:T18,T7)&gt;1)</formula>
    </cfRule>
  </conditionalFormatting>
  <conditionalFormatting sqref="AA7:AA8">
    <cfRule type="expression" priority="23" stopIfTrue="1">
      <formula>IF(Z7="",1)</formula>
    </cfRule>
    <cfRule type="expression" dxfId="2165" priority="25">
      <formula>IF(Z7=Z9,1,0)</formula>
    </cfRule>
  </conditionalFormatting>
  <conditionalFormatting sqref="AA9">
    <cfRule type="expression" priority="22" stopIfTrue="1">
      <formula>IF(Z9="",1,0)</formula>
    </cfRule>
    <cfRule type="expression" dxfId="2164" priority="24">
      <formula>IF(Z7=Z9,1,0)</formula>
    </cfRule>
  </conditionalFormatting>
  <conditionalFormatting sqref="U16:U17">
    <cfRule type="expression" priority="13" stopIfTrue="1">
      <formula>IF(T16="",1)</formula>
    </cfRule>
    <cfRule type="expression" dxfId="2163" priority="15">
      <formula>IF(T16=T18,1,0)</formula>
    </cfRule>
  </conditionalFormatting>
  <conditionalFormatting sqref="U18">
    <cfRule type="expression" priority="12" stopIfTrue="1">
      <formula>IF(T18="",1,0)</formula>
    </cfRule>
    <cfRule type="expression" dxfId="2162" priority="14">
      <formula>IF(T16=T18,1,0)</formula>
    </cfRule>
  </conditionalFormatting>
  <conditionalFormatting sqref="Y7">
    <cfRule type="expression" dxfId="2161" priority="9">
      <formula>IF(Z7+AA7&gt;Z9+AA9,1,0)</formula>
    </cfRule>
  </conditionalFormatting>
  <conditionalFormatting sqref="Y9">
    <cfRule type="expression" dxfId="2160" priority="8">
      <formula>IF(Z9+AA9&gt;Z11+AA11,1,0)</formula>
    </cfRule>
  </conditionalFormatting>
  <conditionalFormatting sqref="Y14">
    <cfRule type="expression" dxfId="2159" priority="7">
      <formula>IF(Z14+AA14&gt;Z16+AA16,1,0)</formula>
    </cfRule>
  </conditionalFormatting>
  <conditionalFormatting sqref="S7">
    <cfRule type="expression" dxfId="2158" priority="6">
      <formula>IF(T7+U7&gt;T9+U9,1,0)</formula>
    </cfRule>
  </conditionalFormatting>
  <conditionalFormatting sqref="M7">
    <cfRule type="expression" dxfId="2157" priority="5">
      <formula>IF(N7+O7&gt;N9+O9,1,0)</formula>
    </cfRule>
  </conditionalFormatting>
  <conditionalFormatting sqref="M14">
    <cfRule type="expression" dxfId="2156" priority="4">
      <formula>IF(N14+O14&gt;N16+O16,1,0)</formula>
    </cfRule>
  </conditionalFormatting>
  <conditionalFormatting sqref="M21">
    <cfRule type="expression" dxfId="2155" priority="3">
      <formula>IF(N21+O21&gt;N23+O23,1,0)</formula>
    </cfRule>
  </conditionalFormatting>
  <conditionalFormatting sqref="S16">
    <cfRule type="expression" dxfId="2154" priority="2">
      <formula>IF(T16+U16&gt;T18+U18,1,0)</formula>
    </cfRule>
  </conditionalFormatting>
  <conditionalFormatting sqref="S18">
    <cfRule type="expression" dxfId="2153" priority="1">
      <formula>IF(T16+U16&lt;T18+U18,1,0)</formula>
    </cfRule>
  </conditionalFormatting>
  <printOptions verticalCentered="1"/>
  <pageMargins left="0.23622047244094491" right="0.23622047244094491" top="0.74803149606299213" bottom="0.74803149606299213" header="0.31496062992125984" footer="0.31496062992125984"/>
  <pageSetup paperSize="9" scale="55" orientation="landscape" cellComments="atEnd"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74">
    <tabColor rgb="FFFFC000"/>
    <pageSetUpPr fitToPage="1"/>
  </sheetPr>
  <dimension ref="A1:AY148"/>
  <sheetViews>
    <sheetView topLeftCell="K1" zoomScale="102" zoomScaleNormal="80" workbookViewId="0">
      <selection activeCell="K33" sqref="K1:AA33"/>
    </sheetView>
  </sheetViews>
  <sheetFormatPr baseColWidth="10" defaultColWidth="10.85546875" defaultRowHeight="12.75" x14ac:dyDescent="0.2"/>
  <cols>
    <col min="1" max="1" width="3.7109375" style="435" hidden="1" customWidth="1"/>
    <col min="2" max="4" width="16.140625" style="435" hidden="1" customWidth="1"/>
    <col min="5" max="10" width="10.5703125" style="435" hidden="1" customWidth="1"/>
    <col min="11" max="11" width="7.7109375" style="441" customWidth="1"/>
    <col min="12" max="12" width="6.42578125" style="435" bestFit="1" customWidth="1"/>
    <col min="13" max="13" width="37.28515625" style="435" customWidth="1"/>
    <col min="14" max="14" width="10.85546875" style="442"/>
    <col min="15" max="15" width="4.7109375" style="441" bestFit="1" customWidth="1"/>
    <col min="16" max="16" width="15.7109375" style="441" customWidth="1"/>
    <col min="17" max="17" width="7.7109375" style="441" bestFit="1" customWidth="1"/>
    <col min="18" max="18" width="6.42578125" style="441" bestFit="1" customWidth="1"/>
    <col min="19" max="19" width="38" style="441" customWidth="1"/>
    <col min="20" max="20" width="10.85546875" style="442"/>
    <col min="21" max="21" width="4.85546875" style="441" bestFit="1" customWidth="1"/>
    <col min="22" max="22" width="15.85546875" style="441" customWidth="1"/>
    <col min="23" max="23" width="7.7109375" style="441" bestFit="1" customWidth="1"/>
    <col min="24" max="24" width="5.28515625" style="435" bestFit="1" customWidth="1"/>
    <col min="25" max="25" width="36.5703125" style="435" customWidth="1"/>
    <col min="26" max="26" width="10.85546875" style="442"/>
    <col min="27" max="27" width="4.85546875" style="441" bestFit="1" customWidth="1"/>
    <col min="28" max="28" width="6.5703125" style="435" customWidth="1"/>
    <col min="29" max="31" width="3.28515625" style="435" customWidth="1"/>
    <col min="32" max="32" width="12" style="435" customWidth="1"/>
    <col min="33" max="33" width="12" style="435" hidden="1" customWidth="1"/>
    <col min="34" max="34" width="36.7109375" style="435" customWidth="1"/>
    <col min="35" max="36" width="36.85546875" style="435" customWidth="1"/>
    <col min="37" max="42" width="10.85546875" style="435"/>
    <col min="43" max="43" width="1.7109375" style="435" bestFit="1" customWidth="1"/>
    <col min="44" max="46" width="10.85546875" style="435"/>
    <col min="47" max="47" width="1.7109375" style="435" bestFit="1" customWidth="1"/>
    <col min="48" max="50" width="10.85546875" style="435"/>
    <col min="51" max="51" width="1.7109375" style="435" bestFit="1" customWidth="1"/>
    <col min="52" max="16384" width="10.85546875" style="435"/>
  </cols>
  <sheetData>
    <row r="1" spans="1:51" ht="55.5" customHeight="1" x14ac:dyDescent="0.2">
      <c r="B1" s="436"/>
      <c r="C1" s="436"/>
      <c r="D1" s="436"/>
      <c r="F1" s="776"/>
      <c r="G1" s="776"/>
      <c r="H1" s="776"/>
      <c r="I1" s="777"/>
      <c r="J1" s="437"/>
      <c r="K1" s="988" t="str">
        <f>Championnat</f>
        <v>Championnat de France de Tir à l'ARC</v>
      </c>
      <c r="L1" s="988"/>
      <c r="M1" s="988"/>
      <c r="N1" s="988"/>
      <c r="O1" s="988"/>
      <c r="P1" s="988"/>
      <c r="Q1" s="988"/>
      <c r="R1" s="988"/>
      <c r="S1" s="988"/>
      <c r="T1" s="988"/>
      <c r="U1" s="988"/>
      <c r="V1" s="988"/>
      <c r="W1" s="988"/>
      <c r="X1" s="988"/>
      <c r="Y1" s="988"/>
      <c r="Z1" s="988"/>
      <c r="AA1" s="988"/>
      <c r="AB1" s="439"/>
      <c r="AC1" s="439"/>
      <c r="AD1" s="439"/>
      <c r="AE1" s="439"/>
      <c r="AF1" s="988" t="str">
        <f>Championnat</f>
        <v>Championnat de France de Tir à l'ARC</v>
      </c>
      <c r="AG1" s="988"/>
      <c r="AH1" s="988"/>
      <c r="AI1" s="988"/>
      <c r="AJ1" s="988"/>
      <c r="AK1" s="491"/>
      <c r="AL1" s="491"/>
      <c r="AM1" s="491"/>
      <c r="AN1" s="491"/>
      <c r="AO1" s="491"/>
      <c r="AP1" s="491"/>
      <c r="AQ1" s="491"/>
      <c r="AR1" s="491"/>
      <c r="AS1" s="491"/>
      <c r="AT1" s="491"/>
      <c r="AU1" s="491"/>
      <c r="AV1" s="491"/>
      <c r="AW1" s="491"/>
      <c r="AY1" s="491"/>
    </row>
    <row r="2" spans="1:51" ht="61.5" customHeight="1" x14ac:dyDescent="0.2">
      <c r="A2" s="437"/>
      <c r="F2" s="776"/>
      <c r="G2" s="776"/>
      <c r="H2" s="776"/>
      <c r="I2" s="777"/>
      <c r="J2" s="437"/>
      <c r="K2" s="989" t="str">
        <f>CATEG_IMPORTEE</f>
        <v>Collèges Mixtes Etablissement</v>
      </c>
      <c r="L2" s="989"/>
      <c r="M2" s="989"/>
      <c r="N2" s="989"/>
      <c r="O2" s="989"/>
      <c r="P2" s="989"/>
      <c r="Q2" s="989"/>
      <c r="R2" s="989"/>
      <c r="S2" s="989"/>
      <c r="T2" s="989"/>
      <c r="U2" s="989"/>
      <c r="V2" s="989"/>
      <c r="W2" s="989"/>
      <c r="X2" s="989"/>
      <c r="Y2" s="989"/>
      <c r="Z2" s="989"/>
      <c r="AA2" s="438"/>
      <c r="AB2" s="439"/>
      <c r="AC2" s="439"/>
      <c r="AD2" s="439"/>
      <c r="AE2" s="439"/>
      <c r="AF2" s="990" t="str">
        <f>CATEG_IMPORTEE</f>
        <v>Collèges Mixtes Etablissement</v>
      </c>
      <c r="AG2" s="990"/>
      <c r="AH2" s="990"/>
      <c r="AI2" s="990"/>
      <c r="AJ2" s="990"/>
      <c r="AK2" s="492"/>
      <c r="AL2" s="492"/>
      <c r="AM2" s="492"/>
      <c r="AN2" s="492"/>
      <c r="AO2" s="492"/>
      <c r="AP2" s="492"/>
      <c r="AQ2" s="492"/>
      <c r="AR2" s="492"/>
      <c r="AS2" s="492"/>
      <c r="AT2" s="492"/>
      <c r="AU2" s="492"/>
      <c r="AV2" s="492"/>
      <c r="AW2" s="492"/>
      <c r="AY2" s="492"/>
    </row>
    <row r="3" spans="1:51" ht="42" customHeight="1" x14ac:dyDescent="0.2">
      <c r="B3" s="440" t="s">
        <v>774</v>
      </c>
      <c r="I3" s="437"/>
      <c r="J3" s="437"/>
      <c r="N3" s="991" t="str">
        <f>LIEU&amp;" du "&amp;DATE</f>
        <v>L’Isle sur la Sorgue du 27 au 31 mars 2023</v>
      </c>
      <c r="O3" s="991"/>
      <c r="P3" s="991"/>
      <c r="Q3" s="991"/>
      <c r="R3" s="991"/>
      <c r="S3" s="991"/>
      <c r="T3" s="991"/>
      <c r="U3" s="991"/>
      <c r="V3" s="991"/>
      <c r="W3" s="991"/>
      <c r="X3" s="991"/>
      <c r="AF3" s="991" t="str">
        <f>LIEU&amp;" du "&amp;DATE</f>
        <v>L’Isle sur la Sorgue du 27 au 31 mars 2023</v>
      </c>
      <c r="AG3" s="991"/>
      <c r="AH3" s="991"/>
      <c r="AI3" s="991"/>
      <c r="AJ3" s="991"/>
      <c r="AK3" s="493"/>
      <c r="AL3" s="493"/>
      <c r="AM3" s="493"/>
      <c r="AN3" s="493"/>
      <c r="AO3" s="493"/>
      <c r="AP3" s="493"/>
      <c r="AQ3" s="493"/>
      <c r="AR3" s="493"/>
      <c r="AS3" s="493"/>
      <c r="AT3" s="493"/>
      <c r="AU3" s="493"/>
      <c r="AW3" s="442"/>
      <c r="AY3" s="493"/>
    </row>
    <row r="4" spans="1:51" ht="21" customHeight="1" x14ac:dyDescent="0.2">
      <c r="B4" s="440" t="s">
        <v>775</v>
      </c>
      <c r="C4" s="462" t="s">
        <v>375</v>
      </c>
      <c r="D4" s="462" t="s">
        <v>374</v>
      </c>
      <c r="E4" s="440" t="s">
        <v>776</v>
      </c>
      <c r="F4" s="487" t="s">
        <v>838</v>
      </c>
      <c r="G4" s="488" t="s">
        <v>837</v>
      </c>
      <c r="H4" s="898"/>
      <c r="I4" s="437"/>
      <c r="J4" s="437"/>
      <c r="K4" s="979" t="s">
        <v>852</v>
      </c>
      <c r="L4" s="979"/>
      <c r="M4" s="979"/>
      <c r="N4" s="979"/>
      <c r="O4" s="443"/>
      <c r="P4" s="443"/>
      <c r="Q4" s="979" t="s">
        <v>816</v>
      </c>
      <c r="R4" s="979"/>
      <c r="S4" s="979"/>
      <c r="T4" s="979"/>
      <c r="U4" s="443"/>
      <c r="V4" s="443"/>
      <c r="W4" s="979" t="s">
        <v>817</v>
      </c>
      <c r="X4" s="979"/>
      <c r="Y4" s="979"/>
      <c r="Z4" s="979"/>
      <c r="AA4" s="443"/>
      <c r="AH4" s="980" t="s">
        <v>778</v>
      </c>
      <c r="AI4" s="980"/>
      <c r="AJ4" s="980"/>
      <c r="AN4" s="497" t="s">
        <v>848</v>
      </c>
    </row>
    <row r="5" spans="1:51" ht="15.95" customHeight="1" thickBot="1" x14ac:dyDescent="0.25">
      <c r="A5" s="435">
        <v>1</v>
      </c>
      <c r="B5" s="444" t="str">
        <f ca="1">INDIRECT("'Imp. Qualif.'!L"&amp;INDIRECT("f"&amp;ROW()))</f>
        <v/>
      </c>
      <c r="C5" s="444" t="str">
        <f ca="1">INDIRECT("'Imp. Qualif.'!M"&amp;INDIRECT("f"&amp;ROW()))</f>
        <v/>
      </c>
      <c r="D5" s="444" t="str">
        <f ca="1">INDIRECT("'Imp. Qualif.'!N"&amp;INDIRECT("f"&amp;ROW()))</f>
        <v/>
      </c>
      <c r="E5" s="486">
        <f ca="1">INDIRECT("'Imp. Qualif.'!O"&amp;INDIRECT("f"&amp;ROW()))</f>
        <v>0</v>
      </c>
      <c r="F5" s="489">
        <v>11</v>
      </c>
      <c r="G5" s="488" t="str">
        <f ca="1">B5&amp;C5</f>
        <v/>
      </c>
      <c r="H5" s="898" t="str">
        <f ca="1">IF(B5&lt;&gt;"",B5,"")</f>
        <v/>
      </c>
      <c r="I5" s="898" t="str">
        <f t="shared" ref="I5:J20" ca="1" si="0">IF(C5&lt;&gt;"",C5,"")</f>
        <v/>
      </c>
      <c r="J5" s="898" t="str">
        <f t="shared" ca="1" si="0"/>
        <v/>
      </c>
      <c r="L5" s="979"/>
      <c r="M5" s="1247"/>
      <c r="N5" s="1247"/>
      <c r="O5" s="443"/>
      <c r="P5" s="443"/>
      <c r="R5" s="979" t="s">
        <v>818</v>
      </c>
      <c r="S5" s="1247"/>
      <c r="T5" s="1247"/>
      <c r="U5" s="443"/>
      <c r="V5" s="443"/>
      <c r="W5" s="445"/>
      <c r="X5" s="979" t="s">
        <v>777</v>
      </c>
      <c r="Y5" s="1247"/>
      <c r="Z5" s="1247"/>
      <c r="AA5" s="443"/>
      <c r="AH5" s="981"/>
      <c r="AI5" s="981"/>
      <c r="AJ5" s="981"/>
      <c r="AN5" s="494" t="s">
        <v>839</v>
      </c>
      <c r="AO5" s="494" t="s">
        <v>840</v>
      </c>
      <c r="AP5" s="494" t="s">
        <v>841</v>
      </c>
      <c r="AQ5" s="496" t="s">
        <v>793</v>
      </c>
      <c r="AR5" s="494" t="s">
        <v>842</v>
      </c>
      <c r="AS5" s="494" t="s">
        <v>843</v>
      </c>
      <c r="AT5" s="494" t="s">
        <v>844</v>
      </c>
      <c r="AU5" s="496" t="s">
        <v>793</v>
      </c>
      <c r="AV5" s="494" t="s">
        <v>845</v>
      </c>
      <c r="AW5" s="494" t="s">
        <v>846</v>
      </c>
      <c r="AX5" s="494" t="s">
        <v>847</v>
      </c>
      <c r="AY5" s="496" t="s">
        <v>793</v>
      </c>
    </row>
    <row r="6" spans="1:51" ht="15.95" customHeight="1" thickBot="1" x14ac:dyDescent="0.25">
      <c r="A6" s="435">
        <v>2</v>
      </c>
      <c r="B6" s="444" t="str">
        <f ca="1">INDIRECT("'Imp. Qualif.'!L"&amp;INDIRECT("f"&amp;ROW()))</f>
        <v/>
      </c>
      <c r="C6" s="444" t="str">
        <f ca="1">INDIRECT("'Imp. Qualif.'!M"&amp;INDIRECT("f"&amp;ROW()))</f>
        <v/>
      </c>
      <c r="D6" s="444" t="str">
        <f ca="1">INDIRECT("'Imp. Qualif.'!N"&amp;INDIRECT("f"&amp;ROW()))</f>
        <v/>
      </c>
      <c r="E6" s="486">
        <f ca="1">INDIRECT("'Imp. Qualif.'!O"&amp;INDIRECT("f"&amp;ROW()))</f>
        <v>0</v>
      </c>
      <c r="F6" s="489">
        <v>12</v>
      </c>
      <c r="G6" s="488" t="str">
        <f t="shared" ref="G6:G28" ca="1" si="1">B6&amp;C6</f>
        <v/>
      </c>
      <c r="H6" s="898" t="str">
        <f t="shared" ref="H6:J28" ca="1" si="2">IF(B6&lt;&gt;"",B6,"")</f>
        <v/>
      </c>
      <c r="I6" s="898" t="str">
        <f t="shared" ca="1" si="0"/>
        <v/>
      </c>
      <c r="J6" s="898" t="str">
        <f t="shared" ca="1" si="0"/>
        <v/>
      </c>
      <c r="K6" s="445" t="s">
        <v>779</v>
      </c>
      <c r="L6" s="463"/>
      <c r="M6" s="456" t="s">
        <v>481</v>
      </c>
      <c r="N6" s="464" t="s">
        <v>780</v>
      </c>
      <c r="O6" s="443"/>
      <c r="P6" s="445"/>
      <c r="Q6" s="445" t="s">
        <v>779</v>
      </c>
      <c r="R6" s="779" t="s">
        <v>1082</v>
      </c>
      <c r="S6" s="456" t="s">
        <v>481</v>
      </c>
      <c r="T6" s="464" t="s">
        <v>780</v>
      </c>
      <c r="U6" s="446" t="s">
        <v>781</v>
      </c>
      <c r="V6" s="445"/>
      <c r="W6" s="445" t="s">
        <v>779</v>
      </c>
      <c r="X6" s="779" t="s">
        <v>1082</v>
      </c>
      <c r="Y6" s="456" t="s">
        <v>481</v>
      </c>
      <c r="Z6" s="464" t="s">
        <v>780</v>
      </c>
      <c r="AA6" s="446" t="s">
        <v>781</v>
      </c>
      <c r="AH6" s="483" t="s">
        <v>782</v>
      </c>
      <c r="AI6" s="484" t="s">
        <v>375</v>
      </c>
      <c r="AJ6" s="485" t="s">
        <v>783</v>
      </c>
      <c r="AN6" s="494">
        <f>K7</f>
        <v>1</v>
      </c>
      <c r="AO6" s="495" t="str">
        <f ca="1">L8</f>
        <v/>
      </c>
      <c r="AP6" s="784" t="s">
        <v>1326</v>
      </c>
      <c r="AQ6" s="496" t="s">
        <v>793</v>
      </c>
      <c r="AR6" s="494">
        <f>Q7</f>
        <v>1</v>
      </c>
      <c r="AS6" s="495" t="str">
        <f ca="1">R8</f>
        <v/>
      </c>
      <c r="AT6" s="495" t="str">
        <f ca="1">R10</f>
        <v/>
      </c>
      <c r="AU6" s="496" t="s">
        <v>793</v>
      </c>
      <c r="AV6" s="494">
        <f>W7</f>
        <v>1</v>
      </c>
      <c r="AW6" s="495" t="str">
        <f>X8</f>
        <v/>
      </c>
      <c r="AX6" s="495" t="str">
        <f>X10</f>
        <v/>
      </c>
      <c r="AY6" s="496" t="s">
        <v>793</v>
      </c>
    </row>
    <row r="7" spans="1:51" ht="15.95" customHeight="1" thickBot="1" x14ac:dyDescent="0.25">
      <c r="A7" s="435">
        <v>3</v>
      </c>
      <c r="B7" s="444" t="str">
        <f ca="1">INDIRECT("'Imp. Qualif.'!L"&amp;INDIRECT("f"&amp;ROW()))</f>
        <v/>
      </c>
      <c r="C7" s="444" t="str">
        <f ca="1">INDIRECT("'Imp. Qualif.'!M"&amp;INDIRECT("f"&amp;ROW()))</f>
        <v/>
      </c>
      <c r="D7" s="444" t="str">
        <f ca="1">INDIRECT("'Imp. Qualif.'!N"&amp;INDIRECT("f"&amp;ROW()))</f>
        <v/>
      </c>
      <c r="E7" s="486">
        <f ca="1">INDIRECT("'Imp. Qualif.'!O"&amp;INDIRECT("f"&amp;ROW()))</f>
        <v>0</v>
      </c>
      <c r="F7" s="489">
        <v>13</v>
      </c>
      <c r="G7" s="488" t="str">
        <f t="shared" ca="1" si="1"/>
        <v/>
      </c>
      <c r="H7" s="898" t="str">
        <f t="shared" ca="1" si="2"/>
        <v/>
      </c>
      <c r="I7" s="898" t="str">
        <f t="shared" ca="1" si="0"/>
        <v/>
      </c>
      <c r="J7" s="898" t="str">
        <f t="shared" ca="1" si="0"/>
        <v/>
      </c>
      <c r="K7" s="447">
        <f>Num_Cible</f>
        <v>1</v>
      </c>
      <c r="L7" s="472">
        <v>1</v>
      </c>
      <c r="M7" s="465" t="str">
        <f ca="1">IFERROR(VLOOKUP(L8,$G$5:$J$28,2,FALSE),"")</f>
        <v/>
      </c>
      <c r="N7" s="966"/>
      <c r="O7" s="443"/>
      <c r="Q7" s="447">
        <f>K7</f>
        <v>1</v>
      </c>
      <c r="R7" s="472">
        <v>1</v>
      </c>
      <c r="S7" s="465" t="str">
        <f ca="1">IFERROR(VLOOKUP(R8,$G$5:$J$28,2,FALSE),"")</f>
        <v/>
      </c>
      <c r="T7" s="966"/>
      <c r="U7" s="780"/>
      <c r="W7" s="447">
        <f>Q7</f>
        <v>1</v>
      </c>
      <c r="X7" s="472">
        <v>1</v>
      </c>
      <c r="Y7" s="465" t="str">
        <f ca="1">IFERROR(VLOOKUP(X8,$G$5:$J$28,2,FALSE),"")</f>
        <v/>
      </c>
      <c r="Z7" s="966"/>
      <c r="AA7" s="780"/>
      <c r="AF7" s="448" t="s">
        <v>784</v>
      </c>
      <c r="AG7" s="435" t="str">
        <f>IF(ISBLANK(Z7),"",IF(Z7+AA7&gt;Z9+AA9,X8,X10))</f>
        <v/>
      </c>
      <c r="AH7" s="475" t="str">
        <f ca="1">IFERROR(VLOOKUP(AG7,$G$5:$J$28,2,FALSE),"")</f>
        <v/>
      </c>
      <c r="AI7" s="475" t="str">
        <f ca="1">IFERROR(VLOOKUP(AG7,$G$5:$J$28,3,FALSE),"")</f>
        <v/>
      </c>
      <c r="AJ7" s="475" t="str">
        <f ca="1">IFERROR(VLOOKUP(AG7,$G$5:$J$28,4,FALSE),"")</f>
        <v/>
      </c>
      <c r="AN7" s="494">
        <f>K14</f>
        <v>2</v>
      </c>
      <c r="AO7" s="495" t="str">
        <f ca="1">L15</f>
        <v/>
      </c>
      <c r="AP7" s="784" t="s">
        <v>1326</v>
      </c>
      <c r="AQ7" s="496" t="s">
        <v>793</v>
      </c>
      <c r="AR7" s="494">
        <f>Q9</f>
        <v>2</v>
      </c>
      <c r="AS7" s="495" t="str">
        <f ca="1">R10</f>
        <v/>
      </c>
      <c r="AT7" s="495" t="str">
        <f ca="1">R8</f>
        <v/>
      </c>
      <c r="AU7" s="496" t="s">
        <v>793</v>
      </c>
      <c r="AV7" s="494">
        <f>W9</f>
        <v>2</v>
      </c>
      <c r="AW7" s="495" t="str">
        <f>X10</f>
        <v/>
      </c>
      <c r="AX7" s="495" t="str">
        <f>X8</f>
        <v/>
      </c>
      <c r="AY7" s="496" t="s">
        <v>793</v>
      </c>
    </row>
    <row r="8" spans="1:51" ht="15.95" customHeight="1" thickBot="1" x14ac:dyDescent="0.25">
      <c r="A8" s="435">
        <v>4</v>
      </c>
      <c r="B8" s="444" t="str">
        <f ca="1">INDIRECT("'Imp. Qualif.'!L"&amp;INDIRECT("f"&amp;ROW()))</f>
        <v/>
      </c>
      <c r="C8" s="444" t="str">
        <f ca="1">INDIRECT("'Imp. Qualif.'!M"&amp;INDIRECT("f"&amp;ROW()))</f>
        <v/>
      </c>
      <c r="D8" s="444" t="str">
        <f ca="1">INDIRECT("'Imp. Qualif.'!N"&amp;INDIRECT("f"&amp;ROW()))</f>
        <v/>
      </c>
      <c r="E8" s="486">
        <f ca="1">INDIRECT("'Imp. Qualif.'!O"&amp;INDIRECT("f"&amp;ROW()))</f>
        <v>0</v>
      </c>
      <c r="F8" s="489">
        <v>14</v>
      </c>
      <c r="G8" s="488" t="str">
        <f t="shared" ca="1" si="1"/>
        <v/>
      </c>
      <c r="H8" s="898" t="str">
        <f t="shared" ca="1" si="2"/>
        <v/>
      </c>
      <c r="I8" s="898" t="str">
        <f t="shared" ca="1" si="0"/>
        <v/>
      </c>
      <c r="J8" s="898" t="str">
        <f t="shared" ca="1" si="0"/>
        <v/>
      </c>
      <c r="K8" s="447"/>
      <c r="L8" s="473" t="str">
        <f ca="1">VLOOKUP(L7,$A$5:$G$24,7,FALSE)</f>
        <v/>
      </c>
      <c r="M8" s="466" t="str">
        <f ca="1">IFERROR(VLOOKUP(L8,$G$5:$J$28,3,FALSE),"")</f>
        <v/>
      </c>
      <c r="N8" s="967"/>
      <c r="O8" s="443"/>
      <c r="Q8" s="447"/>
      <c r="R8" s="473" t="str">
        <f ca="1">L8</f>
        <v/>
      </c>
      <c r="S8" s="466" t="str">
        <f ca="1">IFERROR(VLOOKUP(R8,$G$5:$J$28,3,FALSE),"")</f>
        <v/>
      </c>
      <c r="T8" s="967"/>
      <c r="W8" s="447"/>
      <c r="X8" s="473" t="str">
        <f>IF(ISBLANK(T7),"",IF(U7+T7&gt;T9+U9,R8,R10))</f>
        <v/>
      </c>
      <c r="Y8" s="466" t="str">
        <f ca="1">IFERROR(VLOOKUP(X8,$G$5:$J$28,3,FALSE),"")</f>
        <v/>
      </c>
      <c r="Z8" s="967"/>
      <c r="AF8" s="449" t="s">
        <v>785</v>
      </c>
      <c r="AG8" s="435" t="str">
        <f>IF(ISBLANK(Z7),"",IF(Z7+AA7&lt;Z9+AA9,X8,X10))</f>
        <v/>
      </c>
      <c r="AH8" s="478" t="str">
        <f ca="1">IFERROR(VLOOKUP(AG8,$G$5:$J$28,2,FALSE),"")</f>
        <v/>
      </c>
      <c r="AI8" s="474" t="str">
        <f ca="1">IFERROR(VLOOKUP(AG8,$G$5:$J$28,3,FALSE),"")</f>
        <v/>
      </c>
      <c r="AJ8" s="915" t="str">
        <f ca="1">IFERROR(VLOOKUP(AG8,$G$5:$J$28,4,FALSE),"")</f>
        <v/>
      </c>
      <c r="AN8" s="494">
        <f>K21</f>
        <v>3</v>
      </c>
      <c r="AO8" s="495" t="str">
        <f ca="1">L22</f>
        <v/>
      </c>
      <c r="AP8" s="784" t="s">
        <v>1326</v>
      </c>
      <c r="AQ8" s="496" t="s">
        <v>793</v>
      </c>
      <c r="AR8" s="494">
        <f>Q14</f>
        <v>3</v>
      </c>
      <c r="AS8" s="495" t="str">
        <f ca="1">R15</f>
        <v/>
      </c>
      <c r="AT8" s="495" t="str">
        <f ca="1">R17</f>
        <v/>
      </c>
      <c r="AU8" s="496" t="s">
        <v>793</v>
      </c>
      <c r="AV8" s="494">
        <f>W14</f>
        <v>3</v>
      </c>
      <c r="AW8" s="495" t="str">
        <f>X15</f>
        <v/>
      </c>
      <c r="AX8" s="495" t="str">
        <f>X17</f>
        <v/>
      </c>
      <c r="AY8" s="496" t="s">
        <v>793</v>
      </c>
    </row>
    <row r="9" spans="1:51" ht="15.95" customHeight="1" thickBot="1" x14ac:dyDescent="0.25">
      <c r="A9" s="435">
        <v>5</v>
      </c>
      <c r="B9" s="444" t="str">
        <f t="shared" ref="B9:B28" ca="1" si="3">INDIRECT("'Imp. Qualif.'!L"&amp;INDIRECT("f"&amp;ROW()))</f>
        <v/>
      </c>
      <c r="C9" s="444" t="str">
        <f t="shared" ref="C9:C28" ca="1" si="4">INDIRECT("'Imp. Qualif.'!M"&amp;INDIRECT("f"&amp;ROW()))</f>
        <v/>
      </c>
      <c r="D9" s="444" t="str">
        <f t="shared" ref="D9:D28" ca="1" si="5">INDIRECT("'Imp. Qualif.'!N"&amp;INDIRECT("f"&amp;ROW()))</f>
        <v/>
      </c>
      <c r="E9" s="486">
        <f t="shared" ref="E9:E28" ca="1" si="6">INDIRECT("'Imp. Qualif.'!O"&amp;INDIRECT("f"&amp;ROW()))</f>
        <v>0</v>
      </c>
      <c r="F9" s="489">
        <v>15</v>
      </c>
      <c r="G9" s="488" t="str">
        <f t="shared" ca="1" si="1"/>
        <v/>
      </c>
      <c r="H9" s="898" t="str">
        <f t="shared" ca="1" si="2"/>
        <v/>
      </c>
      <c r="I9" s="898" t="str">
        <f t="shared" ca="1" si="0"/>
        <v/>
      </c>
      <c r="J9" s="898" t="str">
        <f t="shared" ca="1" si="0"/>
        <v/>
      </c>
      <c r="K9" s="447"/>
      <c r="L9" s="516"/>
      <c r="M9" s="516"/>
      <c r="N9" s="457"/>
      <c r="O9" s="443"/>
      <c r="Q9" s="447">
        <f>Q7+1</f>
        <v>2</v>
      </c>
      <c r="R9" s="472">
        <v>4</v>
      </c>
      <c r="S9" s="465" t="str">
        <f ca="1">IFERROR(VLOOKUP(R10,$G$5:$J$28,2,FALSE),"")</f>
        <v/>
      </c>
      <c r="T9" s="966"/>
      <c r="U9" s="780"/>
      <c r="W9" s="447">
        <f>W7+1</f>
        <v>2</v>
      </c>
      <c r="X9" s="472">
        <v>2</v>
      </c>
      <c r="Y9" s="465" t="str">
        <f ca="1">IFERROR(VLOOKUP(X10,$G$5:$J$28,2,FALSE),"")</f>
        <v/>
      </c>
      <c r="Z9" s="966"/>
      <c r="AA9" s="780"/>
      <c r="AF9" s="452" t="s">
        <v>786</v>
      </c>
      <c r="AG9" s="435" t="str">
        <f>IF(ISBLANK(Z14),"",IF(Z14+AA14&gt;Z16+AA16,X15,X17))</f>
        <v/>
      </c>
      <c r="AH9" s="478" t="str">
        <f ca="1">IFERROR(VLOOKUP(AG9,$G$5:$J$28,2,FALSE),"")</f>
        <v/>
      </c>
      <c r="AI9" s="474" t="str">
        <f ca="1">IFERROR(VLOOKUP(AG9,$G$5:$J$28,3,FALSE),"")</f>
        <v/>
      </c>
      <c r="AJ9" s="915" t="str">
        <f ca="1">IFERROR(VLOOKUP(AG9,$G$5:$J$28,4,FALSE),"")</f>
        <v/>
      </c>
      <c r="AN9" s="494">
        <f>K28</f>
        <v>4</v>
      </c>
      <c r="AO9" s="495" t="str">
        <f ca="1">L29</f>
        <v/>
      </c>
      <c r="AP9" s="784" t="s">
        <v>1326</v>
      </c>
      <c r="AQ9" s="496" t="s">
        <v>793</v>
      </c>
      <c r="AR9" s="494">
        <f>Q16</f>
        <v>4</v>
      </c>
      <c r="AS9" s="495" t="str">
        <f ca="1">R17</f>
        <v/>
      </c>
      <c r="AT9" s="495" t="str">
        <f ca="1">R15</f>
        <v/>
      </c>
      <c r="AU9" s="496" t="s">
        <v>793</v>
      </c>
      <c r="AV9" s="494">
        <f>W16</f>
        <v>4</v>
      </c>
      <c r="AW9" s="495" t="str">
        <f>X17</f>
        <v/>
      </c>
      <c r="AX9" s="495" t="str">
        <f>X15</f>
        <v/>
      </c>
      <c r="AY9" s="496" t="s">
        <v>793</v>
      </c>
    </row>
    <row r="10" spans="1:51" ht="15.95" customHeight="1" thickBot="1" x14ac:dyDescent="0.25">
      <c r="A10" s="435">
        <v>6</v>
      </c>
      <c r="B10" s="444" t="str">
        <f t="shared" ca="1" si="3"/>
        <v/>
      </c>
      <c r="C10" s="444" t="str">
        <f t="shared" ca="1" si="4"/>
        <v/>
      </c>
      <c r="D10" s="444" t="str">
        <f t="shared" ca="1" si="5"/>
        <v/>
      </c>
      <c r="E10" s="486">
        <f t="shared" ca="1" si="6"/>
        <v>0</v>
      </c>
      <c r="F10" s="489">
        <v>16</v>
      </c>
      <c r="G10" s="488" t="str">
        <f t="shared" ca="1" si="1"/>
        <v/>
      </c>
      <c r="H10" s="898" t="str">
        <f t="shared" ca="1" si="2"/>
        <v/>
      </c>
      <c r="I10" s="898" t="str">
        <f t="shared" ca="1" si="0"/>
        <v/>
      </c>
      <c r="J10" s="898" t="str">
        <f t="shared" ca="1" si="0"/>
        <v/>
      </c>
      <c r="K10" s="447"/>
      <c r="L10" s="516"/>
      <c r="M10" s="516"/>
      <c r="N10" s="457"/>
      <c r="O10" s="443"/>
      <c r="Q10" s="447"/>
      <c r="R10" s="473" t="str">
        <f ca="1">L15</f>
        <v/>
      </c>
      <c r="S10" s="466" t="str">
        <f ca="1">IFERROR(VLOOKUP(R10,$G$5:$J$28,3,FALSE),"")</f>
        <v/>
      </c>
      <c r="T10" s="967"/>
      <c r="W10" s="447"/>
      <c r="X10" s="473" t="str">
        <f>IF(ISBLANK(T14),"",IF(U14+T14&gt;T16+U16,R15,R17))</f>
        <v/>
      </c>
      <c r="Y10" s="466" t="str">
        <f ca="1">IFERROR(VLOOKUP(X10,$G$5:$J$28,3,FALSE),"")</f>
        <v/>
      </c>
      <c r="Z10" s="967"/>
      <c r="AF10" s="453" t="s">
        <v>788</v>
      </c>
      <c r="AG10" s="435" t="str">
        <f>IF(ISBLANK(Z14),"",IF(Z14+AA14&lt;Z16+AA16,X15,X17))</f>
        <v/>
      </c>
      <c r="AH10" s="480" t="str">
        <f ca="1">IFERROR(VLOOKUP(AG10,$G$5:$J$28,2,FALSE),"")</f>
        <v/>
      </c>
      <c r="AI10" s="481" t="str">
        <f ca="1">IFERROR(VLOOKUP(AG10,$G$5:$J$28,3,FALSE),"")</f>
        <v/>
      </c>
      <c r="AJ10" s="916" t="str">
        <f ca="1">IFERROR(VLOOKUP(AG10,$G$5:$J$28,4,FALSE),"")</f>
        <v/>
      </c>
      <c r="AN10" s="494"/>
      <c r="AO10" s="495"/>
      <c r="AP10" s="495"/>
      <c r="AQ10" s="496" t="s">
        <v>793</v>
      </c>
      <c r="AR10" s="494"/>
      <c r="AS10" s="495"/>
      <c r="AT10" s="495"/>
      <c r="AU10" s="496"/>
      <c r="AV10" s="494"/>
      <c r="AW10" s="495"/>
      <c r="AX10" s="495"/>
      <c r="AY10" s="496" t="s">
        <v>793</v>
      </c>
    </row>
    <row r="11" spans="1:51" ht="15.95" customHeight="1" x14ac:dyDescent="0.2">
      <c r="A11" s="435">
        <v>7</v>
      </c>
      <c r="B11" s="444" t="str">
        <f t="shared" ca="1" si="3"/>
        <v/>
      </c>
      <c r="C11" s="444" t="str">
        <f t="shared" ca="1" si="4"/>
        <v/>
      </c>
      <c r="D11" s="444" t="str">
        <f t="shared" ca="1" si="5"/>
        <v/>
      </c>
      <c r="E11" s="486">
        <f t="shared" ca="1" si="6"/>
        <v>0</v>
      </c>
      <c r="F11" s="489">
        <v>17</v>
      </c>
      <c r="G11" s="488" t="str">
        <f t="shared" ca="1" si="1"/>
        <v/>
      </c>
      <c r="H11" s="898" t="str">
        <f t="shared" ca="1" si="2"/>
        <v/>
      </c>
      <c r="I11" s="898" t="str">
        <f t="shared" ca="1" si="0"/>
        <v/>
      </c>
      <c r="J11" s="898" t="str">
        <f t="shared" ca="1" si="0"/>
        <v/>
      </c>
      <c r="K11" s="450"/>
      <c r="L11" s="450"/>
      <c r="M11" s="450"/>
      <c r="N11" s="451"/>
      <c r="O11" s="443"/>
      <c r="P11" s="450"/>
      <c r="Q11" s="450"/>
      <c r="R11" s="437"/>
      <c r="S11" s="437"/>
      <c r="T11" s="451"/>
      <c r="U11" s="450"/>
      <c r="V11" s="450"/>
      <c r="W11" s="450"/>
      <c r="X11" s="450"/>
      <c r="Y11" s="450"/>
      <c r="Z11" s="451"/>
      <c r="AA11" s="450"/>
      <c r="AF11" s="453"/>
      <c r="AG11" s="453"/>
      <c r="AH11" s="453"/>
      <c r="AI11" s="453"/>
      <c r="AJ11" s="453"/>
      <c r="AN11" s="494"/>
      <c r="AO11" s="495"/>
      <c r="AP11" s="495"/>
      <c r="AQ11" s="496" t="s">
        <v>793</v>
      </c>
      <c r="AR11" s="494"/>
      <c r="AS11" s="495"/>
      <c r="AT11" s="495"/>
      <c r="AU11" s="496"/>
      <c r="AV11" s="494"/>
      <c r="AW11" s="495"/>
      <c r="AX11" s="495"/>
      <c r="AY11" s="496" t="s">
        <v>793</v>
      </c>
    </row>
    <row r="12" spans="1:51" ht="15.95" customHeight="1" thickBot="1" x14ac:dyDescent="0.25">
      <c r="A12" s="435">
        <v>8</v>
      </c>
      <c r="B12" s="444" t="str">
        <f t="shared" ca="1" si="3"/>
        <v/>
      </c>
      <c r="C12" s="444" t="str">
        <f t="shared" ca="1" si="4"/>
        <v/>
      </c>
      <c r="D12" s="444" t="str">
        <f t="shared" ca="1" si="5"/>
        <v/>
      </c>
      <c r="E12" s="486">
        <f t="shared" ca="1" si="6"/>
        <v>0</v>
      </c>
      <c r="F12" s="489">
        <v>18</v>
      </c>
      <c r="G12" s="488" t="str">
        <f t="shared" ca="1" si="1"/>
        <v/>
      </c>
      <c r="H12" s="898" t="str">
        <f t="shared" ca="1" si="2"/>
        <v/>
      </c>
      <c r="I12" s="898" t="str">
        <f t="shared" ca="1" si="0"/>
        <v/>
      </c>
      <c r="J12" s="898" t="str">
        <f t="shared" ca="1" si="0"/>
        <v/>
      </c>
      <c r="K12" s="450"/>
      <c r="L12" s="450"/>
      <c r="M12" s="450"/>
      <c r="N12" s="451"/>
      <c r="O12" s="443"/>
      <c r="P12" s="450"/>
      <c r="Q12" s="450"/>
      <c r="R12" s="437"/>
      <c r="S12" s="437"/>
      <c r="T12" s="451"/>
      <c r="U12" s="450"/>
      <c r="V12" s="450"/>
      <c r="W12" s="450"/>
      <c r="X12" s="979" t="s">
        <v>787</v>
      </c>
      <c r="Y12" s="1247"/>
      <c r="Z12" s="1247"/>
      <c r="AA12" s="450"/>
      <c r="AF12" s="453"/>
      <c r="AG12" s="453"/>
      <c r="AH12" s="453"/>
      <c r="AI12" s="453"/>
      <c r="AJ12" s="453"/>
      <c r="AN12" s="494"/>
      <c r="AO12" s="495"/>
      <c r="AP12" s="495"/>
      <c r="AQ12" s="496" t="s">
        <v>793</v>
      </c>
      <c r="AR12" s="494"/>
      <c r="AS12" s="495"/>
      <c r="AT12" s="495"/>
      <c r="AU12" s="496"/>
      <c r="AV12" s="494"/>
      <c r="AW12" s="495"/>
      <c r="AX12" s="495"/>
      <c r="AY12" s="496" t="s">
        <v>793</v>
      </c>
    </row>
    <row r="13" spans="1:51" ht="15.95" customHeight="1" thickBot="1" x14ac:dyDescent="0.25">
      <c r="A13" s="435">
        <v>9</v>
      </c>
      <c r="B13" s="444" t="str">
        <f t="shared" ca="1" si="3"/>
        <v/>
      </c>
      <c r="C13" s="444" t="str">
        <f t="shared" ca="1" si="4"/>
        <v/>
      </c>
      <c r="D13" s="444" t="str">
        <f t="shared" ca="1" si="5"/>
        <v/>
      </c>
      <c r="E13" s="486">
        <f t="shared" ca="1" si="6"/>
        <v>0</v>
      </c>
      <c r="F13" s="489">
        <v>19</v>
      </c>
      <c r="G13" s="488" t="str">
        <f t="shared" ca="1" si="1"/>
        <v/>
      </c>
      <c r="H13" s="898" t="str">
        <f t="shared" ca="1" si="2"/>
        <v/>
      </c>
      <c r="I13" s="898" t="str">
        <f t="shared" ca="1" si="0"/>
        <v/>
      </c>
      <c r="J13" s="898" t="str">
        <f t="shared" ca="1" si="0"/>
        <v/>
      </c>
      <c r="K13" s="445" t="s">
        <v>779</v>
      </c>
      <c r="L13" s="463"/>
      <c r="M13" s="456" t="s">
        <v>481</v>
      </c>
      <c r="N13" s="464" t="s">
        <v>780</v>
      </c>
      <c r="O13" s="443"/>
      <c r="P13" s="445"/>
      <c r="Q13" s="445" t="s">
        <v>779</v>
      </c>
      <c r="R13" s="779" t="s">
        <v>1082</v>
      </c>
      <c r="S13" s="456" t="s">
        <v>481</v>
      </c>
      <c r="T13" s="464" t="s">
        <v>780</v>
      </c>
      <c r="U13" s="446" t="s">
        <v>781</v>
      </c>
      <c r="V13" s="445"/>
      <c r="W13" s="445" t="s">
        <v>779</v>
      </c>
      <c r="X13" s="779" t="s">
        <v>1082</v>
      </c>
      <c r="Y13" s="456" t="s">
        <v>481</v>
      </c>
      <c r="Z13" s="464" t="s">
        <v>780</v>
      </c>
      <c r="AA13" s="446" t="s">
        <v>781</v>
      </c>
      <c r="AF13" s="453"/>
      <c r="AG13" s="453"/>
      <c r="AH13" s="453"/>
      <c r="AI13" s="453"/>
      <c r="AJ13" s="453"/>
      <c r="AN13" s="494"/>
      <c r="AO13" s="495"/>
      <c r="AP13" s="495"/>
      <c r="AQ13" s="496" t="s">
        <v>793</v>
      </c>
      <c r="AR13" s="494"/>
      <c r="AS13" s="495"/>
      <c r="AT13" s="495"/>
      <c r="AU13" s="496"/>
      <c r="AV13" s="494"/>
      <c r="AW13" s="495"/>
      <c r="AX13" s="495"/>
      <c r="AY13" s="496" t="s">
        <v>793</v>
      </c>
    </row>
    <row r="14" spans="1:51" ht="15.95" customHeight="1" thickBot="1" x14ac:dyDescent="0.25">
      <c r="A14" s="435">
        <v>10</v>
      </c>
      <c r="B14" s="444" t="str">
        <f t="shared" ca="1" si="3"/>
        <v/>
      </c>
      <c r="C14" s="444" t="str">
        <f t="shared" ca="1" si="4"/>
        <v/>
      </c>
      <c r="D14" s="444" t="str">
        <f t="shared" ca="1" si="5"/>
        <v/>
      </c>
      <c r="E14" s="486">
        <f t="shared" ca="1" si="6"/>
        <v>0</v>
      </c>
      <c r="F14" s="489">
        <v>20</v>
      </c>
      <c r="G14" s="488" t="str">
        <f t="shared" ca="1" si="1"/>
        <v/>
      </c>
      <c r="H14" s="898" t="str">
        <f t="shared" ca="1" si="2"/>
        <v/>
      </c>
      <c r="I14" s="898" t="str">
        <f t="shared" ca="1" si="0"/>
        <v/>
      </c>
      <c r="J14" s="898" t="str">
        <f t="shared" ca="1" si="0"/>
        <v/>
      </c>
      <c r="K14" s="447">
        <f>K7+1</f>
        <v>2</v>
      </c>
      <c r="L14" s="472">
        <v>4</v>
      </c>
      <c r="M14" s="465" t="str">
        <f ca="1">IFERROR(VLOOKUP(L15,$G$5:$J$28,2,FALSE),"")</f>
        <v/>
      </c>
      <c r="N14" s="966"/>
      <c r="O14" s="443"/>
      <c r="Q14" s="447">
        <f>Q9+1</f>
        <v>3</v>
      </c>
      <c r="R14" s="472">
        <v>2</v>
      </c>
      <c r="S14" s="465" t="str">
        <f ca="1">IFERROR(VLOOKUP(R15,$G$5:$J$28,2,FALSE),"")</f>
        <v/>
      </c>
      <c r="T14" s="966"/>
      <c r="U14" s="780"/>
      <c r="W14" s="447">
        <f>W9+1</f>
        <v>3</v>
      </c>
      <c r="X14" s="472">
        <v>4</v>
      </c>
      <c r="Y14" s="465" t="str">
        <f ca="1">IFERROR(VLOOKUP(X15,$G$5:$J$28,2,FALSE),"")</f>
        <v/>
      </c>
      <c r="Z14" s="966"/>
      <c r="AA14" s="780"/>
      <c r="AF14" s="453"/>
      <c r="AG14" s="453"/>
      <c r="AH14" s="453"/>
      <c r="AI14" s="453"/>
      <c r="AJ14" s="453"/>
      <c r="AN14" s="494"/>
      <c r="AO14" s="495"/>
      <c r="AP14" s="495"/>
      <c r="AQ14" s="496"/>
      <c r="AR14" s="494"/>
      <c r="AS14" s="495"/>
      <c r="AT14" s="495"/>
      <c r="AU14" s="496"/>
      <c r="AV14" s="494"/>
      <c r="AW14" s="495"/>
      <c r="AX14" s="495"/>
      <c r="AY14" s="496" t="s">
        <v>793</v>
      </c>
    </row>
    <row r="15" spans="1:51" ht="15.95" customHeight="1" thickBot="1" x14ac:dyDescent="0.25">
      <c r="A15" s="435">
        <v>11</v>
      </c>
      <c r="B15" s="444" t="str">
        <f t="shared" ca="1" si="3"/>
        <v/>
      </c>
      <c r="C15" s="444" t="str">
        <f t="shared" ca="1" si="4"/>
        <v/>
      </c>
      <c r="D15" s="444" t="str">
        <f t="shared" ca="1" si="5"/>
        <v/>
      </c>
      <c r="E15" s="486">
        <f t="shared" ca="1" si="6"/>
        <v>0</v>
      </c>
      <c r="F15" s="489">
        <v>21</v>
      </c>
      <c r="G15" s="488" t="str">
        <f t="shared" ca="1" si="1"/>
        <v/>
      </c>
      <c r="H15" s="898" t="str">
        <f t="shared" ca="1" si="2"/>
        <v/>
      </c>
      <c r="I15" s="898" t="str">
        <f t="shared" ca="1" si="0"/>
        <v/>
      </c>
      <c r="J15" s="898" t="str">
        <f t="shared" ca="1" si="0"/>
        <v/>
      </c>
      <c r="K15" s="447"/>
      <c r="L15" s="473" t="str">
        <f ca="1">VLOOKUP(L14,$A$5:$G$24,7,FALSE)</f>
        <v/>
      </c>
      <c r="M15" s="466" t="str">
        <f ca="1">IFERROR(VLOOKUP(L15,$G$5:$J$28,3,FALSE),"")</f>
        <v/>
      </c>
      <c r="N15" s="967"/>
      <c r="O15" s="443"/>
      <c r="Q15" s="447"/>
      <c r="R15" s="473" t="str">
        <f ca="1">L22</f>
        <v/>
      </c>
      <c r="S15" s="466" t="str">
        <f ca="1">IFERROR(VLOOKUP(R15,$G$5:$J$28,3,FALSE),"")</f>
        <v/>
      </c>
      <c r="T15" s="967"/>
      <c r="W15" s="447"/>
      <c r="X15" s="473" t="str">
        <f>IF(ISBLANK(T7),"",IF(U7+T7&lt;T9+U9,R8,R10))</f>
        <v/>
      </c>
      <c r="Y15" s="466" t="str">
        <f ca="1">IFERROR(VLOOKUP(X15,$G$5:$J$28,3,FALSE),"")</f>
        <v/>
      </c>
      <c r="Z15" s="967"/>
      <c r="AF15" s="453"/>
      <c r="AG15" s="453"/>
      <c r="AH15" s="453"/>
      <c r="AI15" s="453"/>
      <c r="AJ15" s="453"/>
      <c r="AN15" s="494"/>
      <c r="AO15" s="495"/>
      <c r="AP15" s="495"/>
      <c r="AQ15" s="496"/>
      <c r="AR15" s="494"/>
      <c r="AS15" s="495"/>
      <c r="AT15" s="495"/>
      <c r="AU15" s="496"/>
      <c r="AV15" s="494"/>
      <c r="AW15" s="495"/>
      <c r="AX15" s="495"/>
      <c r="AY15" s="496" t="s">
        <v>793</v>
      </c>
    </row>
    <row r="16" spans="1:51" ht="15.95" customHeight="1" thickBot="1" x14ac:dyDescent="0.25">
      <c r="A16" s="435">
        <v>12</v>
      </c>
      <c r="B16" s="444" t="str">
        <f t="shared" ca="1" si="3"/>
        <v/>
      </c>
      <c r="C16" s="444" t="str">
        <f t="shared" ca="1" si="4"/>
        <v/>
      </c>
      <c r="D16" s="444" t="str">
        <f t="shared" ca="1" si="5"/>
        <v/>
      </c>
      <c r="E16" s="486">
        <f t="shared" ca="1" si="6"/>
        <v>0</v>
      </c>
      <c r="F16" s="489">
        <v>22</v>
      </c>
      <c r="G16" s="488" t="str">
        <f t="shared" ca="1" si="1"/>
        <v/>
      </c>
      <c r="H16" s="898" t="str">
        <f t="shared" ca="1" si="2"/>
        <v/>
      </c>
      <c r="I16" s="898" t="str">
        <f t="shared" ca="1" si="0"/>
        <v/>
      </c>
      <c r="J16" s="898" t="str">
        <f t="shared" ca="1" si="0"/>
        <v/>
      </c>
      <c r="K16" s="447"/>
      <c r="L16" s="516"/>
      <c r="M16" s="516"/>
      <c r="N16" s="457"/>
      <c r="O16" s="443"/>
      <c r="Q16" s="447">
        <f>Q14+1</f>
        <v>4</v>
      </c>
      <c r="R16" s="472">
        <v>3</v>
      </c>
      <c r="S16" s="465" t="str">
        <f ca="1">IFERROR(VLOOKUP(R17,$G$5:$J$28,2,FALSE),"")</f>
        <v/>
      </c>
      <c r="T16" s="966"/>
      <c r="U16" s="780"/>
      <c r="W16" s="447">
        <f>W14+1</f>
        <v>4</v>
      </c>
      <c r="X16" s="472">
        <v>3</v>
      </c>
      <c r="Y16" s="465" t="str">
        <f ca="1">IFERROR(VLOOKUP(X17,$G$5:$J$28,2,FALSE),"")</f>
        <v/>
      </c>
      <c r="Z16" s="966"/>
      <c r="AA16" s="780"/>
      <c r="AF16" s="453"/>
      <c r="AG16" s="453"/>
      <c r="AH16" s="453"/>
      <c r="AI16" s="453"/>
      <c r="AJ16" s="453"/>
      <c r="AN16" s="494"/>
      <c r="AO16" s="495"/>
      <c r="AP16" s="495"/>
      <c r="AQ16" s="496"/>
      <c r="AR16" s="494"/>
      <c r="AS16" s="495"/>
      <c r="AT16" s="495"/>
      <c r="AU16" s="496"/>
      <c r="AV16" s="494"/>
      <c r="AW16" s="495"/>
      <c r="AX16" s="495"/>
      <c r="AY16" s="496" t="s">
        <v>793</v>
      </c>
    </row>
    <row r="17" spans="1:51" ht="15.95" customHeight="1" thickBot="1" x14ac:dyDescent="0.25">
      <c r="A17" s="435">
        <v>13</v>
      </c>
      <c r="B17" s="444" t="str">
        <f t="shared" ca="1" si="3"/>
        <v/>
      </c>
      <c r="C17" s="444" t="str">
        <f t="shared" ca="1" si="4"/>
        <v/>
      </c>
      <c r="D17" s="444" t="str">
        <f t="shared" ca="1" si="5"/>
        <v/>
      </c>
      <c r="E17" s="486">
        <f t="shared" ca="1" si="6"/>
        <v>0</v>
      </c>
      <c r="F17" s="489">
        <v>23</v>
      </c>
      <c r="G17" s="488" t="str">
        <f t="shared" ca="1" si="1"/>
        <v/>
      </c>
      <c r="H17" s="898" t="str">
        <f t="shared" ca="1" si="2"/>
        <v/>
      </c>
      <c r="I17" s="898" t="str">
        <f t="shared" ca="1" si="0"/>
        <v/>
      </c>
      <c r="J17" s="898" t="str">
        <f t="shared" ca="1" si="0"/>
        <v/>
      </c>
      <c r="K17" s="447"/>
      <c r="L17" s="516"/>
      <c r="M17" s="516"/>
      <c r="N17" s="457"/>
      <c r="O17" s="443"/>
      <c r="Q17" s="447"/>
      <c r="R17" s="473" t="str">
        <f ca="1">L29</f>
        <v/>
      </c>
      <c r="S17" s="466" t="str">
        <f ca="1">IFERROR(VLOOKUP(R17,$G$5:$J$28,3,FALSE),"")</f>
        <v/>
      </c>
      <c r="T17" s="967"/>
      <c r="W17" s="447"/>
      <c r="X17" s="473" t="str">
        <f>IF(ISBLANK(T14),"",IF(U14+T14&lt;T16+U16,R15,R17))</f>
        <v/>
      </c>
      <c r="Y17" s="466" t="str">
        <f ca="1">IFERROR(VLOOKUP(X17,$G$5:$J$28,3,FALSE),"")</f>
        <v/>
      </c>
      <c r="Z17" s="967"/>
      <c r="AF17" s="453"/>
      <c r="AG17" s="453"/>
      <c r="AH17" s="453"/>
      <c r="AI17" s="453"/>
      <c r="AJ17" s="453"/>
      <c r="AN17" s="494"/>
      <c r="AO17" s="495"/>
      <c r="AP17" s="495"/>
      <c r="AQ17" s="496"/>
      <c r="AR17" s="494"/>
      <c r="AS17" s="495"/>
      <c r="AT17" s="495"/>
      <c r="AU17" s="496"/>
      <c r="AV17" s="494"/>
      <c r="AW17" s="495"/>
      <c r="AX17" s="495"/>
      <c r="AY17" s="496" t="s">
        <v>793</v>
      </c>
    </row>
    <row r="18" spans="1:51" ht="15.95" customHeight="1" x14ac:dyDescent="0.2">
      <c r="A18" s="435">
        <v>14</v>
      </c>
      <c r="B18" s="444" t="str">
        <f t="shared" ca="1" si="3"/>
        <v/>
      </c>
      <c r="C18" s="444" t="str">
        <f t="shared" ca="1" si="4"/>
        <v/>
      </c>
      <c r="D18" s="444" t="str">
        <f t="shared" ca="1" si="5"/>
        <v/>
      </c>
      <c r="E18" s="486">
        <f t="shared" ca="1" si="6"/>
        <v>0</v>
      </c>
      <c r="F18" s="489">
        <v>24</v>
      </c>
      <c r="G18" s="488" t="str">
        <f t="shared" ca="1" si="1"/>
        <v/>
      </c>
      <c r="H18" s="898" t="str">
        <f t="shared" ca="1" si="2"/>
        <v/>
      </c>
      <c r="I18" s="898" t="str">
        <f t="shared" ca="1" si="0"/>
        <v/>
      </c>
      <c r="J18" s="898" t="str">
        <f t="shared" ca="1" si="0"/>
        <v/>
      </c>
      <c r="K18" s="450"/>
      <c r="L18" s="450"/>
      <c r="M18" s="450"/>
      <c r="N18" s="451"/>
      <c r="O18" s="443"/>
      <c r="P18" s="450"/>
      <c r="Q18" s="450"/>
      <c r="R18" s="450"/>
      <c r="S18" s="450"/>
      <c r="T18" s="451"/>
      <c r="U18" s="450"/>
      <c r="V18" s="450"/>
      <c r="W18" s="450"/>
      <c r="X18" s="450"/>
      <c r="Y18" s="450"/>
      <c r="Z18" s="451"/>
      <c r="AA18" s="450"/>
      <c r="AF18" s="453"/>
      <c r="AG18" s="453"/>
      <c r="AH18" s="453"/>
      <c r="AI18" s="453"/>
      <c r="AJ18" s="453"/>
      <c r="AN18" s="494"/>
      <c r="AO18" s="495"/>
      <c r="AP18" s="495"/>
      <c r="AQ18" s="496"/>
      <c r="AR18" s="494"/>
      <c r="AS18" s="495"/>
      <c r="AT18" s="495"/>
      <c r="AU18" s="496"/>
      <c r="AV18" s="494"/>
      <c r="AW18" s="495"/>
      <c r="AX18" s="495"/>
      <c r="AY18" s="496" t="s">
        <v>793</v>
      </c>
    </row>
    <row r="19" spans="1:51" ht="15.95" customHeight="1" thickBot="1" x14ac:dyDescent="0.25">
      <c r="A19" s="435">
        <v>15</v>
      </c>
      <c r="B19" s="444" t="str">
        <f t="shared" ca="1" si="3"/>
        <v/>
      </c>
      <c r="C19" s="444" t="str">
        <f t="shared" ca="1" si="4"/>
        <v/>
      </c>
      <c r="D19" s="444" t="str">
        <f t="shared" ca="1" si="5"/>
        <v/>
      </c>
      <c r="E19" s="486">
        <f t="shared" ca="1" si="6"/>
        <v>0</v>
      </c>
      <c r="F19" s="489">
        <v>25</v>
      </c>
      <c r="G19" s="488" t="str">
        <f t="shared" ca="1" si="1"/>
        <v/>
      </c>
      <c r="H19" s="898" t="str">
        <f t="shared" ca="1" si="2"/>
        <v/>
      </c>
      <c r="I19" s="898" t="str">
        <f t="shared" ca="1" si="0"/>
        <v/>
      </c>
      <c r="J19" s="898" t="str">
        <f t="shared" ca="1" si="0"/>
        <v/>
      </c>
      <c r="K19" s="450"/>
      <c r="L19" s="454"/>
      <c r="M19" s="454"/>
      <c r="N19" s="455"/>
      <c r="O19" s="443"/>
      <c r="P19" s="450"/>
      <c r="V19" s="450"/>
      <c r="W19" s="450"/>
      <c r="X19" s="979"/>
      <c r="Y19" s="979"/>
      <c r="Z19" s="457"/>
      <c r="AA19" s="450"/>
      <c r="AF19" s="453"/>
      <c r="AG19" s="453"/>
      <c r="AH19" s="453"/>
      <c r="AI19" s="453"/>
      <c r="AJ19" s="453"/>
      <c r="AN19" s="494"/>
      <c r="AO19" s="495"/>
      <c r="AP19" s="495"/>
      <c r="AQ19" s="496"/>
      <c r="AR19" s="494"/>
      <c r="AS19" s="495"/>
      <c r="AT19" s="495"/>
      <c r="AU19" s="496"/>
      <c r="AV19" s="494"/>
      <c r="AW19" s="495"/>
      <c r="AX19" s="495"/>
      <c r="AY19" s="496" t="s">
        <v>793</v>
      </c>
    </row>
    <row r="20" spans="1:51" ht="15.95" customHeight="1" thickBot="1" x14ac:dyDescent="0.25">
      <c r="A20" s="435">
        <v>16</v>
      </c>
      <c r="B20" s="444" t="str">
        <f t="shared" ca="1" si="3"/>
        <v/>
      </c>
      <c r="C20" s="444" t="str">
        <f t="shared" ca="1" si="4"/>
        <v/>
      </c>
      <c r="D20" s="444" t="str">
        <f t="shared" ca="1" si="5"/>
        <v/>
      </c>
      <c r="E20" s="486">
        <f t="shared" ca="1" si="6"/>
        <v>0</v>
      </c>
      <c r="F20" s="489">
        <v>26</v>
      </c>
      <c r="G20" s="488" t="str">
        <f t="shared" ca="1" si="1"/>
        <v/>
      </c>
      <c r="H20" s="898" t="str">
        <f t="shared" ca="1" si="2"/>
        <v/>
      </c>
      <c r="I20" s="898" t="str">
        <f t="shared" ca="1" si="0"/>
        <v/>
      </c>
      <c r="J20" s="898" t="str">
        <f t="shared" ca="1" si="0"/>
        <v/>
      </c>
      <c r="K20" s="445" t="s">
        <v>779</v>
      </c>
      <c r="L20" s="463"/>
      <c r="M20" s="456" t="s">
        <v>481</v>
      </c>
      <c r="N20" s="464" t="s">
        <v>780</v>
      </c>
      <c r="O20" s="443"/>
      <c r="P20" s="445"/>
      <c r="V20" s="450"/>
      <c r="W20" s="450"/>
      <c r="X20" s="979"/>
      <c r="Y20" s="979"/>
      <c r="Z20" s="457"/>
      <c r="AA20" s="450"/>
      <c r="AF20" s="453"/>
      <c r="AG20" s="453"/>
      <c r="AH20" s="453"/>
      <c r="AI20" s="453"/>
      <c r="AJ20" s="453"/>
      <c r="AN20" s="494"/>
      <c r="AO20" s="495"/>
      <c r="AP20" s="495"/>
      <c r="AQ20" s="496"/>
      <c r="AR20" s="494"/>
      <c r="AS20" s="495"/>
      <c r="AT20" s="495"/>
      <c r="AU20" s="496"/>
      <c r="AV20" s="494"/>
      <c r="AW20" s="495"/>
      <c r="AX20" s="495"/>
      <c r="AY20" s="496" t="s">
        <v>793</v>
      </c>
    </row>
    <row r="21" spans="1:51" ht="15.95" customHeight="1" x14ac:dyDescent="0.2">
      <c r="A21" s="435">
        <v>17</v>
      </c>
      <c r="B21" s="444" t="str">
        <f t="shared" ca="1" si="3"/>
        <v/>
      </c>
      <c r="C21" s="444" t="str">
        <f t="shared" ca="1" si="4"/>
        <v/>
      </c>
      <c r="D21" s="444" t="str">
        <f t="shared" ca="1" si="5"/>
        <v/>
      </c>
      <c r="E21" s="486">
        <f t="shared" ca="1" si="6"/>
        <v>0</v>
      </c>
      <c r="F21" s="489">
        <v>27</v>
      </c>
      <c r="G21" s="488" t="str">
        <f t="shared" ca="1" si="1"/>
        <v/>
      </c>
      <c r="H21" s="898" t="str">
        <f t="shared" ca="1" si="2"/>
        <v/>
      </c>
      <c r="I21" s="898" t="str">
        <f t="shared" ca="1" si="2"/>
        <v/>
      </c>
      <c r="J21" s="898" t="str">
        <f t="shared" ca="1" si="2"/>
        <v/>
      </c>
      <c r="K21" s="447">
        <f>K14+1</f>
        <v>3</v>
      </c>
      <c r="L21" s="472">
        <v>2</v>
      </c>
      <c r="M21" s="465" t="str">
        <f ca="1">IFERROR(VLOOKUP(L22,$G$5:$J$28,2,FALSE),"")</f>
        <v/>
      </c>
      <c r="N21" s="966"/>
      <c r="O21" s="443"/>
      <c r="Q21" s="778"/>
      <c r="R21" s="778"/>
      <c r="S21" s="778"/>
      <c r="T21" s="815"/>
      <c r="U21" s="778"/>
      <c r="V21" s="450"/>
      <c r="W21" s="450"/>
      <c r="X21" s="979"/>
      <c r="Y21" s="979"/>
      <c r="Z21" s="457"/>
      <c r="AA21" s="450"/>
      <c r="AB21" s="816"/>
      <c r="AC21" s="816"/>
      <c r="AD21" s="816"/>
      <c r="AF21" s="453"/>
      <c r="AG21" s="453"/>
      <c r="AH21" s="453"/>
      <c r="AI21" s="453"/>
      <c r="AJ21" s="453"/>
      <c r="AN21" s="494"/>
      <c r="AO21" s="495"/>
      <c r="AP21" s="495"/>
      <c r="AQ21" s="496"/>
      <c r="AR21" s="494"/>
      <c r="AS21" s="495"/>
      <c r="AT21" s="495"/>
      <c r="AU21" s="496"/>
      <c r="AV21" s="494"/>
      <c r="AW21" s="495"/>
      <c r="AX21" s="495"/>
      <c r="AY21" s="496" t="s">
        <v>793</v>
      </c>
    </row>
    <row r="22" spans="1:51" ht="15.95" customHeight="1" thickBot="1" x14ac:dyDescent="0.25">
      <c r="A22" s="435">
        <v>18</v>
      </c>
      <c r="B22" s="444" t="str">
        <f t="shared" ca="1" si="3"/>
        <v/>
      </c>
      <c r="C22" s="444" t="str">
        <f t="shared" ca="1" si="4"/>
        <v/>
      </c>
      <c r="D22" s="444" t="str">
        <f t="shared" ca="1" si="5"/>
        <v/>
      </c>
      <c r="E22" s="486">
        <f t="shared" ca="1" si="6"/>
        <v>0</v>
      </c>
      <c r="F22" s="489">
        <v>28</v>
      </c>
      <c r="G22" s="488" t="str">
        <f t="shared" ca="1" si="1"/>
        <v/>
      </c>
      <c r="H22" s="898" t="str">
        <f t="shared" ca="1" si="2"/>
        <v/>
      </c>
      <c r="I22" s="898" t="str">
        <f t="shared" ca="1" si="2"/>
        <v/>
      </c>
      <c r="J22" s="898" t="str">
        <f t="shared" ca="1" si="2"/>
        <v/>
      </c>
      <c r="K22" s="447"/>
      <c r="L22" s="473" t="str">
        <f ca="1">VLOOKUP(L21,$A$5:$G$24,7,FALSE)</f>
        <v/>
      </c>
      <c r="M22" s="466" t="str">
        <f ca="1">IFERROR(VLOOKUP(L22,$G$5:$J$28,3,FALSE),"")</f>
        <v/>
      </c>
      <c r="N22" s="967"/>
      <c r="O22" s="443"/>
      <c r="Q22" s="778"/>
      <c r="R22" s="778"/>
      <c r="S22" s="778"/>
      <c r="T22" s="815"/>
      <c r="U22" s="778"/>
      <c r="V22" s="450"/>
      <c r="W22" s="450"/>
      <c r="X22" s="979"/>
      <c r="Y22" s="979"/>
      <c r="Z22" s="457"/>
      <c r="AA22" s="450"/>
      <c r="AB22" s="816"/>
      <c r="AC22" s="816"/>
      <c r="AD22" s="816"/>
      <c r="AF22" s="453"/>
      <c r="AG22" s="453"/>
      <c r="AH22" s="453"/>
      <c r="AI22" s="453"/>
      <c r="AJ22" s="453"/>
      <c r="AN22" s="494"/>
      <c r="AO22" s="495"/>
      <c r="AP22" s="495"/>
      <c r="AQ22" s="496"/>
      <c r="AR22" s="494"/>
      <c r="AS22" s="495"/>
      <c r="AT22" s="495"/>
      <c r="AU22" s="496"/>
      <c r="AV22" s="494"/>
      <c r="AW22" s="495"/>
      <c r="AX22" s="495"/>
      <c r="AY22" s="496" t="s">
        <v>793</v>
      </c>
    </row>
    <row r="23" spans="1:51" ht="15.95" customHeight="1" x14ac:dyDescent="0.2">
      <c r="A23" s="435">
        <v>19</v>
      </c>
      <c r="B23" s="444" t="str">
        <f t="shared" ca="1" si="3"/>
        <v/>
      </c>
      <c r="C23" s="444" t="str">
        <f t="shared" ca="1" si="4"/>
        <v/>
      </c>
      <c r="D23" s="444" t="str">
        <f t="shared" ca="1" si="5"/>
        <v/>
      </c>
      <c r="E23" s="486">
        <f t="shared" ca="1" si="6"/>
        <v>0</v>
      </c>
      <c r="F23" s="489">
        <v>29</v>
      </c>
      <c r="G23" s="488" t="str">
        <f t="shared" ca="1" si="1"/>
        <v/>
      </c>
      <c r="H23" s="898" t="str">
        <f t="shared" ca="1" si="2"/>
        <v/>
      </c>
      <c r="I23" s="898" t="str">
        <f t="shared" ca="1" si="2"/>
        <v/>
      </c>
      <c r="J23" s="898" t="str">
        <f t="shared" ca="1" si="2"/>
        <v/>
      </c>
      <c r="K23" s="447"/>
      <c r="L23" s="516"/>
      <c r="M23" s="516"/>
      <c r="N23" s="457"/>
      <c r="O23" s="443"/>
      <c r="Q23" s="450"/>
      <c r="R23" s="516"/>
      <c r="S23" s="516"/>
      <c r="T23" s="815"/>
      <c r="U23" s="778"/>
      <c r="V23" s="450"/>
      <c r="W23" s="450"/>
      <c r="X23" s="979"/>
      <c r="Y23" s="979"/>
      <c r="Z23" s="457"/>
      <c r="AA23" s="450"/>
      <c r="AB23" s="816"/>
      <c r="AC23" s="816"/>
      <c r="AD23" s="816"/>
      <c r="AF23" s="453"/>
      <c r="AG23" s="453"/>
      <c r="AH23" s="453"/>
      <c r="AI23" s="453"/>
      <c r="AJ23" s="453"/>
      <c r="AN23" s="494"/>
      <c r="AO23" s="495"/>
      <c r="AP23" s="495"/>
      <c r="AQ23" s="496"/>
      <c r="AR23" s="494"/>
      <c r="AS23" s="495"/>
      <c r="AT23" s="495"/>
      <c r="AU23" s="496"/>
      <c r="AV23" s="494"/>
      <c r="AW23" s="495"/>
      <c r="AX23" s="495"/>
      <c r="AY23" s="496" t="s">
        <v>793</v>
      </c>
    </row>
    <row r="24" spans="1:51" ht="15.95" customHeight="1" x14ac:dyDescent="0.2">
      <c r="A24" s="435">
        <v>20</v>
      </c>
      <c r="B24" s="444" t="str">
        <f t="shared" ca="1" si="3"/>
        <v/>
      </c>
      <c r="C24" s="444" t="str">
        <f t="shared" ca="1" si="4"/>
        <v/>
      </c>
      <c r="D24" s="444" t="str">
        <f t="shared" ca="1" si="5"/>
        <v/>
      </c>
      <c r="E24" s="486">
        <f t="shared" ca="1" si="6"/>
        <v>0</v>
      </c>
      <c r="F24" s="489">
        <v>30</v>
      </c>
      <c r="G24" s="488" t="str">
        <f t="shared" ca="1" si="1"/>
        <v/>
      </c>
      <c r="H24" s="898" t="str">
        <f t="shared" ca="1" si="2"/>
        <v/>
      </c>
      <c r="I24" s="898" t="str">
        <f t="shared" ca="1" si="2"/>
        <v/>
      </c>
      <c r="J24" s="898" t="str">
        <f t="shared" ca="1" si="2"/>
        <v/>
      </c>
      <c r="K24" s="447"/>
      <c r="L24" s="516"/>
      <c r="M24" s="516"/>
      <c r="N24" s="457"/>
      <c r="O24" s="443"/>
      <c r="Q24" s="809"/>
      <c r="R24" s="809"/>
      <c r="S24" s="809"/>
      <c r="T24" s="809"/>
      <c r="U24" s="809"/>
      <c r="V24" s="809"/>
      <c r="W24" s="809"/>
      <c r="X24" s="809"/>
      <c r="Y24" s="809"/>
      <c r="Z24" s="457"/>
      <c r="AA24" s="450"/>
      <c r="AB24" s="809"/>
      <c r="AC24" s="816"/>
      <c r="AD24" s="816"/>
      <c r="AF24" s="453"/>
      <c r="AG24" s="453"/>
      <c r="AH24" s="453"/>
      <c r="AI24" s="453"/>
      <c r="AJ24" s="453"/>
      <c r="AN24" s="494"/>
      <c r="AO24" s="495"/>
      <c r="AP24" s="495"/>
      <c r="AQ24" s="496"/>
      <c r="AR24" s="494"/>
      <c r="AS24" s="495"/>
      <c r="AT24" s="495"/>
      <c r="AU24" s="496"/>
      <c r="AV24" s="494"/>
      <c r="AW24" s="495"/>
      <c r="AX24" s="495"/>
      <c r="AY24" s="496" t="s">
        <v>793</v>
      </c>
    </row>
    <row r="25" spans="1:51" ht="15.95" customHeight="1" x14ac:dyDescent="0.2">
      <c r="A25" s="435">
        <v>21</v>
      </c>
      <c r="B25" s="444" t="str">
        <f t="shared" ca="1" si="3"/>
        <v/>
      </c>
      <c r="C25" s="444" t="str">
        <f t="shared" ca="1" si="4"/>
        <v/>
      </c>
      <c r="D25" s="444" t="str">
        <f t="shared" ca="1" si="5"/>
        <v/>
      </c>
      <c r="E25" s="486">
        <f t="shared" ca="1" si="6"/>
        <v>0</v>
      </c>
      <c r="F25" s="489">
        <v>31</v>
      </c>
      <c r="G25" s="488" t="str">
        <f t="shared" ca="1" si="1"/>
        <v/>
      </c>
      <c r="H25" s="898" t="str">
        <f t="shared" ca="1" si="2"/>
        <v/>
      </c>
      <c r="I25" s="898" t="str">
        <f t="shared" ca="1" si="2"/>
        <v/>
      </c>
      <c r="J25" s="898" t="str">
        <f t="shared" ca="1" si="2"/>
        <v/>
      </c>
      <c r="K25" s="447"/>
      <c r="L25" s="441"/>
      <c r="M25" s="441"/>
      <c r="O25" s="443"/>
      <c r="Q25" s="809"/>
      <c r="R25" s="809"/>
      <c r="S25" s="809"/>
      <c r="T25" s="809"/>
      <c r="U25" s="809"/>
      <c r="V25" s="809"/>
      <c r="W25" s="809"/>
      <c r="X25" s="809"/>
      <c r="Y25" s="809"/>
      <c r="Z25" s="457"/>
      <c r="AA25" s="450"/>
      <c r="AB25" s="809"/>
      <c r="AC25" s="816"/>
      <c r="AD25" s="816"/>
      <c r="AF25" s="453"/>
      <c r="AG25" s="453"/>
      <c r="AH25" s="453"/>
      <c r="AI25" s="453"/>
      <c r="AJ25" s="453"/>
      <c r="AN25" s="494"/>
      <c r="AO25" s="495"/>
      <c r="AP25" s="495"/>
      <c r="AQ25" s="496"/>
      <c r="AR25" s="494"/>
      <c r="AS25" s="495"/>
      <c r="AT25" s="495"/>
      <c r="AU25" s="496"/>
      <c r="AV25" s="494"/>
      <c r="AW25" s="495"/>
      <c r="AX25" s="495"/>
      <c r="AY25" s="496" t="s">
        <v>793</v>
      </c>
    </row>
    <row r="26" spans="1:51" ht="15.95" customHeight="1" thickBot="1" x14ac:dyDescent="0.25">
      <c r="A26" s="435">
        <v>22</v>
      </c>
      <c r="B26" s="444" t="str">
        <f t="shared" ca="1" si="3"/>
        <v/>
      </c>
      <c r="C26" s="444" t="str">
        <f t="shared" ca="1" si="4"/>
        <v/>
      </c>
      <c r="D26" s="444" t="str">
        <f t="shared" ca="1" si="5"/>
        <v/>
      </c>
      <c r="E26" s="486">
        <f t="shared" ca="1" si="6"/>
        <v>0</v>
      </c>
      <c r="F26" s="489">
        <v>32</v>
      </c>
      <c r="G26" s="488" t="str">
        <f t="shared" ca="1" si="1"/>
        <v/>
      </c>
      <c r="H26" s="898" t="str">
        <f t="shared" ca="1" si="2"/>
        <v/>
      </c>
      <c r="I26" s="898" t="str">
        <f t="shared" ca="1" si="2"/>
        <v/>
      </c>
      <c r="J26" s="898" t="str">
        <f t="shared" ca="1" si="2"/>
        <v/>
      </c>
      <c r="K26" s="450"/>
      <c r="L26" s="450"/>
      <c r="M26" s="450"/>
      <c r="N26" s="451"/>
      <c r="O26" s="443"/>
      <c r="P26" s="450"/>
      <c r="Q26" s="450"/>
      <c r="R26" s="437"/>
      <c r="S26" s="437"/>
      <c r="T26" s="451"/>
      <c r="U26" s="450"/>
      <c r="V26" s="450"/>
      <c r="W26" s="450"/>
      <c r="X26" s="516"/>
      <c r="Y26" s="516"/>
      <c r="Z26" s="815"/>
      <c r="AA26" s="778"/>
      <c r="AB26" s="816"/>
      <c r="AC26" s="816"/>
      <c r="AD26" s="816"/>
      <c r="AF26" s="453"/>
      <c r="AG26" s="453"/>
      <c r="AH26" s="453"/>
      <c r="AI26" s="453"/>
      <c r="AJ26" s="453"/>
      <c r="AN26" s="494"/>
      <c r="AO26" s="495"/>
      <c r="AP26" s="495"/>
      <c r="AQ26" s="496"/>
      <c r="AR26" s="494"/>
      <c r="AS26" s="495"/>
      <c r="AT26" s="495"/>
      <c r="AU26" s="496"/>
      <c r="AV26" s="494"/>
      <c r="AW26" s="495"/>
      <c r="AX26" s="495"/>
      <c r="AY26" s="496" t="s">
        <v>793</v>
      </c>
    </row>
    <row r="27" spans="1:51" ht="15.95" customHeight="1" thickBot="1" x14ac:dyDescent="0.25">
      <c r="A27" s="435">
        <v>23</v>
      </c>
      <c r="B27" s="444" t="str">
        <f t="shared" ca="1" si="3"/>
        <v/>
      </c>
      <c r="C27" s="444" t="str">
        <f t="shared" ca="1" si="4"/>
        <v/>
      </c>
      <c r="D27" s="444" t="str">
        <f t="shared" ca="1" si="5"/>
        <v/>
      </c>
      <c r="E27" s="486">
        <f t="shared" ca="1" si="6"/>
        <v>0</v>
      </c>
      <c r="F27" s="489">
        <v>33</v>
      </c>
      <c r="G27" s="488" t="str">
        <f t="shared" ca="1" si="1"/>
        <v/>
      </c>
      <c r="H27" s="898" t="str">
        <f t="shared" ca="1" si="2"/>
        <v/>
      </c>
      <c r="I27" s="898" t="str">
        <f t="shared" ca="1" si="2"/>
        <v/>
      </c>
      <c r="J27" s="898" t="str">
        <f t="shared" ca="1" si="2"/>
        <v/>
      </c>
      <c r="K27" s="445" t="s">
        <v>779</v>
      </c>
      <c r="L27" s="463"/>
      <c r="M27" s="456" t="s">
        <v>481</v>
      </c>
      <c r="N27" s="464" t="s">
        <v>780</v>
      </c>
      <c r="O27" s="443"/>
      <c r="P27" s="445"/>
      <c r="Q27" s="450"/>
      <c r="R27" s="437"/>
      <c r="S27" s="437"/>
      <c r="T27" s="451"/>
      <c r="U27" s="450"/>
      <c r="V27" s="450"/>
      <c r="W27" s="450"/>
      <c r="X27" s="516"/>
      <c r="Y27" s="516"/>
      <c r="Z27" s="815"/>
      <c r="AA27" s="778"/>
      <c r="AB27" s="816"/>
      <c r="AC27" s="816"/>
      <c r="AD27" s="816"/>
      <c r="AF27" s="453"/>
      <c r="AG27" s="453"/>
      <c r="AH27" s="453"/>
      <c r="AI27" s="453"/>
      <c r="AJ27" s="453"/>
      <c r="AN27" s="494"/>
      <c r="AO27" s="495"/>
      <c r="AP27" s="495"/>
      <c r="AQ27" s="496"/>
      <c r="AR27" s="494"/>
      <c r="AS27" s="495"/>
      <c r="AT27" s="495"/>
      <c r="AU27" s="496"/>
      <c r="AV27" s="494"/>
      <c r="AW27" s="495"/>
      <c r="AX27" s="495"/>
      <c r="AY27" s="496" t="s">
        <v>793</v>
      </c>
    </row>
    <row r="28" spans="1:51" ht="15.95" customHeight="1" x14ac:dyDescent="0.2">
      <c r="A28" s="435">
        <v>24</v>
      </c>
      <c r="B28" s="444" t="str">
        <f t="shared" ca="1" si="3"/>
        <v/>
      </c>
      <c r="C28" s="444" t="str">
        <f t="shared" ca="1" si="4"/>
        <v/>
      </c>
      <c r="D28" s="444" t="str">
        <f t="shared" ca="1" si="5"/>
        <v/>
      </c>
      <c r="E28" s="486">
        <f t="shared" ca="1" si="6"/>
        <v>0</v>
      </c>
      <c r="F28" s="489">
        <v>34</v>
      </c>
      <c r="G28" s="488" t="str">
        <f t="shared" ca="1" si="1"/>
        <v/>
      </c>
      <c r="H28" s="898" t="str">
        <f t="shared" ca="1" si="2"/>
        <v/>
      </c>
      <c r="I28" s="898" t="str">
        <f t="shared" ca="1" si="2"/>
        <v/>
      </c>
      <c r="J28" s="898" t="str">
        <f t="shared" ca="1" si="2"/>
        <v/>
      </c>
      <c r="K28" s="447">
        <f>K21+1</f>
        <v>4</v>
      </c>
      <c r="L28" s="472">
        <v>3</v>
      </c>
      <c r="M28" s="465" t="str">
        <f ca="1">IFERROR(VLOOKUP(L29,$G$5:$J$28,2,FALSE),"")</f>
        <v/>
      </c>
      <c r="N28" s="966"/>
      <c r="O28" s="443"/>
      <c r="P28" s="778"/>
      <c r="Q28" s="450"/>
      <c r="R28" s="437"/>
      <c r="S28" s="437"/>
      <c r="T28" s="451"/>
      <c r="U28" s="450"/>
      <c r="V28" s="450"/>
      <c r="W28" s="450"/>
      <c r="X28" s="516"/>
      <c r="Y28" s="516"/>
      <c r="Z28" s="815"/>
      <c r="AA28" s="778"/>
      <c r="AB28" s="816"/>
      <c r="AC28" s="816"/>
      <c r="AD28" s="816"/>
      <c r="AF28" s="453"/>
      <c r="AG28" s="453"/>
      <c r="AH28" s="453"/>
      <c r="AI28" s="453"/>
      <c r="AJ28" s="453"/>
      <c r="AN28" s="494"/>
      <c r="AO28" s="495"/>
      <c r="AP28" s="495"/>
      <c r="AQ28" s="496"/>
      <c r="AR28" s="494"/>
      <c r="AS28" s="495"/>
      <c r="AT28" s="495"/>
      <c r="AU28" s="496"/>
      <c r="AV28" s="494"/>
      <c r="AW28" s="495"/>
      <c r="AX28" s="495"/>
      <c r="AY28" s="496" t="s">
        <v>793</v>
      </c>
    </row>
    <row r="29" spans="1:51" ht="15.95" customHeight="1" thickBot="1" x14ac:dyDescent="0.25">
      <c r="I29" s="437"/>
      <c r="J29" s="437"/>
      <c r="K29" s="447"/>
      <c r="L29" s="473" t="str">
        <f ca="1">VLOOKUP(L28,$A$5:$G$24,7,FALSE)</f>
        <v/>
      </c>
      <c r="M29" s="466" t="str">
        <f ca="1">IFERROR(VLOOKUP(L29,$G$5:$J$28,3,FALSE),"")</f>
        <v/>
      </c>
      <c r="N29" s="967"/>
      <c r="O29" s="443"/>
      <c r="P29" s="778"/>
      <c r="Q29" s="450"/>
      <c r="R29" s="437"/>
      <c r="S29" s="437"/>
      <c r="T29" s="451"/>
      <c r="U29" s="450"/>
      <c r="V29" s="450"/>
      <c r="W29" s="450"/>
      <c r="X29" s="516"/>
      <c r="Y29" s="516"/>
      <c r="Z29" s="815"/>
      <c r="AA29" s="778"/>
      <c r="AB29" s="816"/>
      <c r="AC29" s="816"/>
      <c r="AD29" s="816"/>
      <c r="AF29" s="453"/>
      <c r="AG29" s="453"/>
      <c r="AH29" s="453"/>
      <c r="AI29" s="453"/>
      <c r="AJ29" s="453"/>
      <c r="AN29" s="494"/>
      <c r="AO29" s="495"/>
      <c r="AP29" s="495"/>
      <c r="AQ29" s="496"/>
      <c r="AR29" s="494"/>
      <c r="AS29" s="495"/>
      <c r="AT29" s="495"/>
      <c r="AU29" s="496"/>
      <c r="AV29" s="494"/>
      <c r="AW29" s="495"/>
      <c r="AX29" s="495"/>
      <c r="AY29" s="496" t="s">
        <v>793</v>
      </c>
    </row>
    <row r="30" spans="1:51" ht="15.95" customHeight="1" x14ac:dyDescent="0.2">
      <c r="I30" s="437"/>
      <c r="J30" s="437"/>
      <c r="K30" s="447"/>
      <c r="L30" s="516"/>
      <c r="M30" s="516"/>
      <c r="N30" s="457"/>
      <c r="O30" s="443"/>
      <c r="P30" s="778"/>
      <c r="Q30" s="450"/>
      <c r="R30" s="437"/>
      <c r="S30" s="437"/>
      <c r="T30" s="451"/>
      <c r="U30" s="450"/>
      <c r="V30" s="450"/>
      <c r="W30" s="450"/>
      <c r="X30" s="516"/>
      <c r="Y30" s="516"/>
      <c r="Z30" s="815"/>
      <c r="AA30" s="778"/>
      <c r="AB30" s="816"/>
      <c r="AC30" s="816"/>
      <c r="AD30" s="816"/>
      <c r="AF30" s="453"/>
      <c r="AG30" s="453"/>
      <c r="AH30" s="453"/>
      <c r="AI30" s="453"/>
      <c r="AJ30" s="453"/>
    </row>
    <row r="31" spans="1:51" ht="15.95" customHeight="1" x14ac:dyDescent="0.2">
      <c r="I31" s="437"/>
      <c r="J31" s="437"/>
      <c r="K31" s="447"/>
      <c r="L31" s="516"/>
      <c r="M31" s="516"/>
      <c r="N31" s="457"/>
      <c r="P31" s="778"/>
      <c r="Q31" s="450"/>
      <c r="R31" s="516"/>
      <c r="S31" s="883"/>
      <c r="T31" s="451"/>
      <c r="U31" s="450"/>
      <c r="V31" s="450"/>
      <c r="W31" s="450"/>
      <c r="X31" s="516"/>
      <c r="Y31" s="516"/>
      <c r="Z31" s="815"/>
      <c r="AA31" s="778"/>
      <c r="AB31" s="816"/>
      <c r="AC31" s="816"/>
      <c r="AD31" s="816"/>
      <c r="AF31" s="453"/>
      <c r="AG31" s="453"/>
    </row>
    <row r="32" spans="1:51" ht="15.95" customHeight="1" x14ac:dyDescent="0.2">
      <c r="I32" s="437"/>
      <c r="J32" s="437"/>
      <c r="K32" s="450"/>
      <c r="L32" s="437"/>
      <c r="M32" s="437"/>
      <c r="N32" s="451"/>
      <c r="O32" s="450"/>
      <c r="P32" s="450"/>
      <c r="Q32" s="450"/>
      <c r="R32" s="516"/>
      <c r="S32" s="883"/>
      <c r="T32" s="451"/>
      <c r="U32" s="450"/>
      <c r="V32" s="450"/>
      <c r="W32" s="450"/>
      <c r="X32" s="516"/>
      <c r="Y32" s="516"/>
      <c r="Z32" s="815"/>
      <c r="AA32" s="778"/>
      <c r="AB32" s="816"/>
      <c r="AC32" s="816"/>
      <c r="AD32" s="816"/>
      <c r="AF32" s="453"/>
      <c r="AG32" s="453"/>
    </row>
    <row r="33" spans="9:33" ht="15.95" customHeight="1" x14ac:dyDescent="0.2">
      <c r="I33" s="437"/>
      <c r="J33" s="437"/>
      <c r="K33" s="450"/>
      <c r="L33" s="516"/>
      <c r="M33" s="516"/>
      <c r="N33" s="457"/>
      <c r="P33" s="778"/>
      <c r="Q33" s="450"/>
      <c r="R33" s="516"/>
      <c r="S33" s="883"/>
      <c r="T33" s="457"/>
      <c r="U33" s="778"/>
      <c r="V33" s="450"/>
      <c r="W33" s="450"/>
      <c r="X33" s="516"/>
      <c r="Y33" s="516"/>
      <c r="Z33" s="457"/>
      <c r="AA33" s="778"/>
      <c r="AB33" s="816"/>
      <c r="AC33" s="816"/>
      <c r="AD33" s="816"/>
      <c r="AF33" s="453"/>
      <c r="AG33" s="453"/>
    </row>
    <row r="34" spans="9:33" ht="15.95" customHeight="1" x14ac:dyDescent="0.2">
      <c r="I34" s="437"/>
      <c r="J34" s="437"/>
      <c r="K34" s="450"/>
      <c r="L34" s="516"/>
      <c r="M34" s="516"/>
      <c r="N34" s="457"/>
      <c r="P34" s="778"/>
      <c r="Q34" s="450"/>
      <c r="R34" s="516"/>
      <c r="S34" s="883"/>
      <c r="T34" s="457"/>
      <c r="U34" s="778"/>
      <c r="V34" s="450"/>
      <c r="W34" s="450"/>
      <c r="X34" s="516"/>
      <c r="Y34" s="516"/>
      <c r="Z34" s="457"/>
      <c r="AA34" s="778"/>
      <c r="AB34" s="816"/>
      <c r="AC34" s="816"/>
      <c r="AD34" s="816"/>
      <c r="AF34" s="453"/>
      <c r="AG34" s="453"/>
    </row>
    <row r="35" spans="9:33" ht="15.95" customHeight="1" x14ac:dyDescent="0.2">
      <c r="I35" s="437"/>
      <c r="J35" s="437"/>
      <c r="K35" s="450"/>
      <c r="L35" s="516"/>
      <c r="M35" s="516"/>
      <c r="N35" s="457"/>
      <c r="P35" s="778"/>
      <c r="Q35" s="450"/>
      <c r="R35" s="516"/>
      <c r="S35" s="516"/>
      <c r="T35" s="457"/>
      <c r="U35" s="778"/>
      <c r="V35" s="450"/>
      <c r="W35" s="450"/>
      <c r="X35" s="516"/>
      <c r="Y35" s="516"/>
      <c r="Z35" s="457"/>
      <c r="AA35" s="778"/>
      <c r="AB35" s="816"/>
      <c r="AC35" s="816"/>
      <c r="AD35" s="816"/>
      <c r="AF35" s="453"/>
      <c r="AG35" s="453"/>
    </row>
    <row r="36" spans="9:33" ht="15.95" customHeight="1" x14ac:dyDescent="0.2">
      <c r="I36" s="437"/>
      <c r="J36" s="437"/>
      <c r="K36" s="450"/>
      <c r="L36" s="516"/>
      <c r="M36" s="516"/>
      <c r="N36" s="457"/>
      <c r="P36" s="778"/>
      <c r="Q36" s="450"/>
      <c r="R36" s="516"/>
      <c r="S36" s="516"/>
      <c r="T36" s="457"/>
      <c r="U36" s="778"/>
      <c r="V36" s="450"/>
      <c r="W36" s="450"/>
      <c r="X36" s="516"/>
      <c r="Y36" s="516"/>
      <c r="Z36" s="457"/>
      <c r="AA36" s="778"/>
      <c r="AB36" s="816"/>
      <c r="AC36" s="816"/>
      <c r="AD36" s="816"/>
      <c r="AF36" s="453"/>
      <c r="AG36" s="453"/>
    </row>
    <row r="37" spans="9:33" ht="15.95" customHeight="1" x14ac:dyDescent="0.2">
      <c r="I37" s="437"/>
      <c r="J37" s="437"/>
      <c r="K37" s="450"/>
      <c r="L37" s="516"/>
      <c r="M37" s="516"/>
      <c r="N37" s="457"/>
      <c r="Q37" s="450"/>
      <c r="R37" s="516"/>
      <c r="S37" s="516"/>
      <c r="T37" s="457"/>
      <c r="U37" s="778"/>
      <c r="V37" s="450"/>
      <c r="W37" s="450"/>
      <c r="X37" s="516"/>
      <c r="Y37" s="516"/>
      <c r="Z37" s="457"/>
      <c r="AA37" s="778"/>
      <c r="AB37" s="816"/>
      <c r="AC37" s="816"/>
      <c r="AD37" s="816"/>
      <c r="AF37" s="453"/>
      <c r="AG37" s="453"/>
    </row>
    <row r="38" spans="9:33" ht="15.95" customHeight="1" x14ac:dyDescent="0.2">
      <c r="I38" s="437"/>
      <c r="J38" s="437"/>
      <c r="K38" s="450"/>
      <c r="L38" s="516"/>
      <c r="M38" s="516"/>
      <c r="N38" s="457"/>
      <c r="Q38" s="450"/>
      <c r="R38" s="516"/>
      <c r="S38" s="516"/>
      <c r="T38" s="457"/>
      <c r="U38" s="778"/>
      <c r="V38" s="450"/>
      <c r="W38" s="450"/>
      <c r="X38" s="516"/>
      <c r="Y38" s="516"/>
      <c r="Z38" s="457"/>
      <c r="AA38" s="778"/>
      <c r="AB38" s="816"/>
      <c r="AC38" s="816"/>
      <c r="AD38" s="816"/>
      <c r="AF38" s="453"/>
      <c r="AG38" s="453"/>
    </row>
    <row r="39" spans="9:33" ht="15.95" customHeight="1" x14ac:dyDescent="0.2">
      <c r="I39" s="437"/>
      <c r="J39" s="437"/>
      <c r="K39" s="450"/>
      <c r="L39" s="450"/>
      <c r="M39" s="450"/>
      <c r="P39" s="450"/>
      <c r="Q39" s="450"/>
      <c r="R39" s="450"/>
      <c r="S39" s="450"/>
      <c r="T39" s="815"/>
      <c r="U39" s="778"/>
      <c r="V39" s="450"/>
      <c r="W39" s="450"/>
      <c r="X39" s="450"/>
      <c r="Y39" s="450"/>
      <c r="Z39" s="451"/>
      <c r="AA39" s="450"/>
      <c r="AB39" s="816"/>
      <c r="AC39" s="816"/>
      <c r="AD39" s="816"/>
      <c r="AF39" s="453"/>
      <c r="AG39" s="453"/>
    </row>
    <row r="40" spans="9:33" ht="15.95" customHeight="1" x14ac:dyDescent="0.2">
      <c r="I40" s="437"/>
      <c r="J40" s="437"/>
      <c r="K40" s="450"/>
      <c r="L40" s="450"/>
      <c r="M40" s="450"/>
      <c r="P40" s="450"/>
      <c r="Q40" s="450"/>
      <c r="R40" s="450"/>
      <c r="S40" s="450"/>
      <c r="T40" s="815"/>
      <c r="U40" s="778"/>
      <c r="V40" s="450"/>
      <c r="W40" s="450"/>
      <c r="X40" s="450"/>
      <c r="Y40" s="450"/>
      <c r="Z40" s="451"/>
      <c r="AA40" s="450"/>
      <c r="AB40" s="816"/>
      <c r="AC40" s="816"/>
      <c r="AD40" s="816"/>
      <c r="AF40" s="453"/>
      <c r="AG40" s="453"/>
    </row>
    <row r="41" spans="9:33" ht="15.95" customHeight="1" x14ac:dyDescent="0.2">
      <c r="I41" s="437"/>
      <c r="J41" s="437"/>
      <c r="K41" s="450"/>
      <c r="L41" s="450"/>
      <c r="M41" s="450"/>
      <c r="P41" s="450"/>
      <c r="Q41" s="450"/>
      <c r="R41" s="450"/>
      <c r="S41" s="450"/>
      <c r="T41" s="815"/>
      <c r="U41" s="778"/>
      <c r="V41" s="450"/>
      <c r="W41" s="450"/>
      <c r="X41" s="450"/>
      <c r="Y41" s="450"/>
      <c r="Z41" s="451"/>
      <c r="AA41" s="450"/>
      <c r="AB41" s="816"/>
      <c r="AC41" s="816"/>
      <c r="AD41" s="816"/>
      <c r="AF41" s="453"/>
      <c r="AG41" s="453"/>
    </row>
    <row r="42" spans="9:33" ht="15.95" customHeight="1" x14ac:dyDescent="0.2">
      <c r="I42" s="437"/>
      <c r="J42" s="437"/>
      <c r="K42" s="450"/>
      <c r="L42" s="450"/>
      <c r="M42" s="450"/>
      <c r="P42" s="450"/>
      <c r="Q42" s="450"/>
      <c r="R42" s="450"/>
      <c r="S42" s="450"/>
      <c r="T42" s="815"/>
      <c r="U42" s="778"/>
      <c r="V42" s="450"/>
      <c r="W42" s="450"/>
      <c r="X42" s="450"/>
      <c r="Y42" s="450"/>
      <c r="Z42" s="451"/>
      <c r="AA42" s="450"/>
      <c r="AB42" s="816"/>
      <c r="AC42" s="816"/>
      <c r="AD42" s="816"/>
      <c r="AF42" s="453"/>
      <c r="AG42" s="453"/>
    </row>
    <row r="43" spans="9:33" ht="15.95" customHeight="1" x14ac:dyDescent="0.2">
      <c r="I43" s="437"/>
      <c r="J43" s="437"/>
      <c r="K43" s="450"/>
      <c r="L43" s="450"/>
      <c r="M43" s="450"/>
      <c r="P43" s="450"/>
      <c r="Q43" s="450"/>
      <c r="R43" s="450"/>
      <c r="S43" s="450"/>
      <c r="T43" s="815"/>
      <c r="U43" s="778"/>
      <c r="V43" s="450"/>
      <c r="W43" s="450"/>
      <c r="X43" s="450"/>
      <c r="Y43" s="450"/>
      <c r="Z43" s="451"/>
      <c r="AA43" s="450"/>
      <c r="AB43" s="816"/>
      <c r="AC43" s="816"/>
      <c r="AD43" s="816"/>
      <c r="AF43" s="453"/>
      <c r="AG43" s="453"/>
    </row>
    <row r="44" spans="9:33" ht="15.95" customHeight="1" x14ac:dyDescent="0.2">
      <c r="I44" s="437"/>
      <c r="J44" s="437"/>
      <c r="K44" s="450"/>
      <c r="L44" s="450"/>
      <c r="M44" s="450"/>
      <c r="P44" s="450"/>
      <c r="Q44" s="450"/>
      <c r="R44" s="450"/>
      <c r="S44" s="450"/>
      <c r="T44" s="815"/>
      <c r="U44" s="778"/>
      <c r="V44" s="450"/>
      <c r="W44" s="450"/>
      <c r="X44" s="450"/>
      <c r="Y44" s="450"/>
      <c r="Z44" s="451"/>
      <c r="AA44" s="450"/>
      <c r="AB44" s="816"/>
      <c r="AC44" s="816"/>
      <c r="AD44" s="816"/>
      <c r="AF44" s="453"/>
      <c r="AG44" s="453"/>
    </row>
    <row r="45" spans="9:33" ht="15.95" customHeight="1" x14ac:dyDescent="0.2">
      <c r="I45" s="437"/>
      <c r="J45" s="437"/>
      <c r="K45" s="450"/>
      <c r="L45" s="450"/>
      <c r="M45" s="450"/>
      <c r="P45" s="450"/>
      <c r="Q45" s="450"/>
      <c r="R45" s="450"/>
      <c r="S45" s="450"/>
      <c r="T45" s="815"/>
      <c r="U45" s="778"/>
      <c r="V45" s="450"/>
      <c r="W45" s="450"/>
      <c r="X45" s="450"/>
      <c r="Y45" s="450"/>
      <c r="Z45" s="451"/>
      <c r="AA45" s="450"/>
      <c r="AB45" s="816"/>
      <c r="AC45" s="816"/>
      <c r="AD45" s="816"/>
      <c r="AF45" s="453"/>
      <c r="AG45" s="453"/>
    </row>
    <row r="46" spans="9:33" ht="15.95" customHeight="1" x14ac:dyDescent="0.2">
      <c r="I46" s="437"/>
      <c r="J46" s="437"/>
      <c r="K46" s="450"/>
      <c r="L46" s="450"/>
      <c r="M46" s="450"/>
      <c r="P46" s="450"/>
      <c r="Q46" s="450"/>
      <c r="R46" s="450"/>
      <c r="S46" s="450"/>
      <c r="T46" s="815"/>
      <c r="U46" s="778"/>
      <c r="V46" s="450"/>
      <c r="W46" s="450"/>
      <c r="X46" s="450"/>
      <c r="Y46" s="450"/>
      <c r="Z46" s="451"/>
      <c r="AA46" s="450"/>
      <c r="AB46" s="816"/>
      <c r="AC46" s="816"/>
      <c r="AD46" s="816"/>
      <c r="AF46" s="453"/>
      <c r="AG46" s="453"/>
    </row>
    <row r="47" spans="9:33" ht="15.95" customHeight="1" x14ac:dyDescent="0.2">
      <c r="I47" s="437"/>
      <c r="J47" s="437"/>
      <c r="K47" s="450"/>
      <c r="L47" s="450"/>
      <c r="M47" s="450"/>
      <c r="P47" s="450"/>
      <c r="Q47" s="450"/>
      <c r="R47" s="450"/>
      <c r="S47" s="450"/>
      <c r="T47" s="815"/>
      <c r="U47" s="778"/>
      <c r="V47" s="450"/>
      <c r="W47" s="450"/>
      <c r="X47" s="450"/>
      <c r="Y47" s="450"/>
      <c r="Z47" s="451"/>
      <c r="AA47" s="450"/>
      <c r="AB47" s="816"/>
      <c r="AC47" s="816"/>
      <c r="AD47" s="816"/>
      <c r="AF47" s="453"/>
      <c r="AG47" s="453"/>
    </row>
    <row r="48" spans="9:33" ht="15.95" customHeight="1" x14ac:dyDescent="0.2">
      <c r="I48" s="437"/>
      <c r="J48" s="437"/>
      <c r="K48" s="523"/>
      <c r="L48" s="523"/>
      <c r="M48" s="523"/>
      <c r="N48" s="523"/>
      <c r="Q48" s="809"/>
      <c r="R48" s="450"/>
      <c r="S48" s="450"/>
      <c r="T48" s="451"/>
      <c r="U48" s="450"/>
      <c r="V48" s="450"/>
      <c r="W48" s="809"/>
      <c r="X48" s="450"/>
      <c r="Y48" s="450"/>
      <c r="Z48" s="451"/>
      <c r="AA48" s="885"/>
      <c r="AB48" s="816"/>
      <c r="AC48" s="816"/>
      <c r="AD48" s="816"/>
      <c r="AF48" s="453"/>
      <c r="AG48" s="453"/>
    </row>
    <row r="49" spans="9:33" ht="15.95" customHeight="1" x14ac:dyDescent="0.2">
      <c r="I49" s="437"/>
      <c r="J49" s="437"/>
      <c r="K49" s="523"/>
      <c r="L49" s="523"/>
      <c r="M49" s="523"/>
      <c r="N49" s="523"/>
      <c r="Q49" s="809"/>
      <c r="R49" s="450"/>
      <c r="S49" s="450"/>
      <c r="T49" s="451"/>
      <c r="U49" s="450"/>
      <c r="V49" s="450"/>
      <c r="W49" s="809"/>
      <c r="X49" s="450"/>
      <c r="Y49" s="450"/>
      <c r="Z49" s="451"/>
      <c r="AA49" s="885"/>
      <c r="AB49" s="816"/>
      <c r="AC49" s="816"/>
      <c r="AD49" s="816"/>
      <c r="AF49" s="453"/>
      <c r="AG49" s="453"/>
    </row>
    <row r="50" spans="9:33" ht="15.95" customHeight="1" x14ac:dyDescent="0.2">
      <c r="I50" s="437"/>
      <c r="J50" s="437"/>
      <c r="K50" s="523"/>
      <c r="L50" s="523"/>
      <c r="M50" s="523"/>
      <c r="N50" s="523"/>
      <c r="Q50" s="809"/>
      <c r="R50" s="450"/>
      <c r="S50" s="450"/>
      <c r="T50" s="451"/>
      <c r="U50" s="450"/>
      <c r="V50" s="450"/>
      <c r="W50" s="809"/>
      <c r="X50" s="450"/>
      <c r="Y50" s="450"/>
      <c r="Z50" s="451"/>
      <c r="AA50" s="885"/>
      <c r="AB50" s="816"/>
      <c r="AC50" s="816"/>
      <c r="AD50" s="816"/>
    </row>
    <row r="51" spans="9:33" ht="15.95" customHeight="1" x14ac:dyDescent="0.2">
      <c r="I51" s="437"/>
      <c r="J51" s="437"/>
      <c r="K51" s="523"/>
      <c r="L51" s="523"/>
      <c r="M51" s="523"/>
      <c r="N51" s="523"/>
      <c r="Q51" s="809"/>
      <c r="R51" s="450"/>
      <c r="S51" s="450"/>
      <c r="T51" s="451"/>
      <c r="U51" s="450"/>
      <c r="V51" s="450"/>
      <c r="W51" s="809"/>
      <c r="X51" s="450"/>
      <c r="Y51" s="450"/>
      <c r="Z51" s="451"/>
      <c r="AA51" s="450"/>
      <c r="AB51" s="816"/>
      <c r="AC51" s="816"/>
      <c r="AD51" s="816"/>
    </row>
    <row r="52" spans="9:33" ht="15.95" customHeight="1" x14ac:dyDescent="0.2">
      <c r="I52" s="437"/>
      <c r="J52" s="437"/>
      <c r="K52" s="523"/>
      <c r="L52" s="523"/>
      <c r="M52" s="523"/>
      <c r="N52" s="523"/>
      <c r="Q52" s="809"/>
      <c r="R52" s="450"/>
      <c r="S52" s="450"/>
      <c r="T52" s="451"/>
      <c r="U52" s="450"/>
      <c r="V52" s="450"/>
      <c r="W52" s="809"/>
      <c r="X52" s="450"/>
      <c r="Y52" s="450"/>
      <c r="Z52" s="451"/>
      <c r="AA52" s="450"/>
      <c r="AB52" s="816"/>
      <c r="AC52" s="816"/>
      <c r="AD52" s="816"/>
    </row>
    <row r="53" spans="9:33" ht="15.95" customHeight="1" x14ac:dyDescent="0.2">
      <c r="I53" s="437"/>
      <c r="J53" s="437"/>
      <c r="K53" s="523"/>
      <c r="L53" s="523"/>
      <c r="M53" s="523"/>
      <c r="N53" s="523"/>
      <c r="Q53" s="809"/>
      <c r="R53" s="450"/>
      <c r="S53" s="450"/>
      <c r="T53" s="451"/>
      <c r="U53" s="450"/>
      <c r="V53" s="450"/>
      <c r="W53" s="809"/>
      <c r="X53" s="450"/>
      <c r="Y53" s="450"/>
      <c r="Z53" s="451"/>
      <c r="AA53" s="450"/>
      <c r="AB53" s="816"/>
      <c r="AC53" s="816"/>
      <c r="AD53" s="816"/>
    </row>
    <row r="54" spans="9:33" ht="15.95" customHeight="1" x14ac:dyDescent="0.2">
      <c r="I54" s="437"/>
      <c r="J54" s="437"/>
      <c r="K54" s="523"/>
      <c r="L54" s="523"/>
      <c r="M54" s="523"/>
      <c r="N54" s="523"/>
      <c r="P54" s="450"/>
      <c r="Q54" s="450"/>
      <c r="R54" s="437"/>
      <c r="S54" s="437"/>
      <c r="T54" s="451"/>
      <c r="U54" s="450"/>
      <c r="V54" s="450"/>
      <c r="W54" s="450"/>
      <c r="X54" s="516"/>
      <c r="Y54" s="457"/>
      <c r="Z54" s="457"/>
      <c r="AA54" s="450"/>
    </row>
    <row r="55" spans="9:33" ht="15.95" customHeight="1" x14ac:dyDescent="0.2">
      <c r="I55" s="437"/>
      <c r="J55" s="437"/>
      <c r="K55" s="523"/>
      <c r="L55" s="523"/>
      <c r="M55" s="523"/>
      <c r="N55" s="523"/>
      <c r="Q55" s="450"/>
      <c r="R55" s="437"/>
      <c r="S55" s="437"/>
      <c r="T55" s="451"/>
      <c r="U55" s="450"/>
      <c r="V55" s="450"/>
      <c r="W55" s="450"/>
      <c r="X55" s="516"/>
      <c r="Y55" s="457"/>
      <c r="Z55" s="457"/>
      <c r="AA55" s="450"/>
    </row>
    <row r="56" spans="9:33" ht="15.95" customHeight="1" x14ac:dyDescent="0.2">
      <c r="I56" s="437"/>
      <c r="J56" s="437"/>
      <c r="K56" s="523"/>
      <c r="L56" s="523"/>
      <c r="M56" s="523"/>
      <c r="N56" s="523"/>
      <c r="Q56" s="450"/>
      <c r="R56" s="437"/>
      <c r="S56" s="437"/>
      <c r="T56" s="451"/>
      <c r="U56" s="450"/>
      <c r="V56" s="450"/>
      <c r="W56" s="450"/>
      <c r="X56" s="516"/>
      <c r="Y56" s="457"/>
      <c r="Z56" s="457"/>
      <c r="AA56" s="450"/>
    </row>
    <row r="57" spans="9:33" ht="15.95" customHeight="1" x14ac:dyDescent="0.2">
      <c r="I57" s="437"/>
      <c r="J57" s="437"/>
      <c r="K57" s="523"/>
      <c r="L57" s="523"/>
      <c r="M57" s="523"/>
      <c r="N57" s="523"/>
      <c r="Q57" s="450"/>
      <c r="R57" s="437"/>
      <c r="S57" s="437"/>
      <c r="T57" s="451"/>
      <c r="U57" s="450"/>
      <c r="V57" s="450"/>
      <c r="W57" s="450"/>
      <c r="X57" s="516"/>
      <c r="Y57" s="457"/>
      <c r="Z57" s="457"/>
      <c r="AA57" s="450"/>
    </row>
    <row r="58" spans="9:33" ht="15.95" customHeight="1" x14ac:dyDescent="0.2">
      <c r="I58" s="437"/>
      <c r="J58" s="437"/>
      <c r="K58" s="523"/>
      <c r="L58" s="523"/>
      <c r="M58" s="523"/>
      <c r="N58" s="523"/>
      <c r="Q58" s="450"/>
      <c r="R58" s="437"/>
      <c r="S58" s="437"/>
      <c r="T58" s="451"/>
      <c r="U58" s="450"/>
      <c r="V58" s="450"/>
      <c r="W58" s="450"/>
      <c r="X58" s="516"/>
      <c r="Y58" s="457"/>
      <c r="Z58" s="457"/>
      <c r="AA58" s="450"/>
    </row>
    <row r="59" spans="9:33" ht="15.95" customHeight="1" x14ac:dyDescent="0.2">
      <c r="I59" s="437"/>
      <c r="J59" s="437"/>
      <c r="K59" s="523"/>
      <c r="L59" s="523"/>
      <c r="M59" s="523"/>
      <c r="N59" s="523"/>
      <c r="Q59" s="450"/>
      <c r="R59" s="437"/>
      <c r="S59" s="437"/>
      <c r="T59" s="451"/>
      <c r="U59" s="450"/>
      <c r="V59" s="450"/>
      <c r="W59" s="450"/>
      <c r="X59" s="516"/>
      <c r="Y59" s="457"/>
      <c r="Z59" s="457"/>
      <c r="AA59" s="450"/>
    </row>
    <row r="60" spans="9:33" ht="15.95" customHeight="1" x14ac:dyDescent="0.2">
      <c r="I60" s="437"/>
      <c r="J60" s="437"/>
      <c r="K60" s="523"/>
      <c r="L60" s="523"/>
      <c r="M60" s="523"/>
      <c r="N60" s="523"/>
      <c r="Q60" s="447"/>
      <c r="X60" s="441"/>
      <c r="Y60" s="441"/>
      <c r="Z60" s="441"/>
    </row>
    <row r="61" spans="9:33" ht="15.95" customHeight="1" x14ac:dyDescent="0.2">
      <c r="I61" s="437"/>
      <c r="J61" s="437"/>
      <c r="K61" s="437"/>
      <c r="L61" s="437"/>
      <c r="M61" s="437"/>
      <c r="N61" s="437"/>
      <c r="T61" s="441"/>
      <c r="X61" s="441"/>
      <c r="Y61" s="441"/>
      <c r="Z61" s="441"/>
    </row>
    <row r="62" spans="9:33" ht="15.95" customHeight="1" x14ac:dyDescent="0.2">
      <c r="I62" s="437"/>
      <c r="J62" s="437"/>
      <c r="K62" s="437"/>
      <c r="L62" s="437"/>
      <c r="M62" s="437"/>
      <c r="N62" s="437"/>
      <c r="O62" s="521"/>
      <c r="T62" s="441"/>
      <c r="X62" s="441"/>
      <c r="Y62" s="441"/>
      <c r="Z62" s="441"/>
    </row>
    <row r="63" spans="9:33" ht="15.95" customHeight="1" x14ac:dyDescent="0.2">
      <c r="I63" s="437"/>
      <c r="J63" s="437"/>
      <c r="K63" s="437"/>
      <c r="L63" s="437"/>
      <c r="M63" s="437"/>
      <c r="N63" s="437"/>
      <c r="O63" s="521"/>
      <c r="T63" s="441"/>
      <c r="X63" s="441"/>
      <c r="Y63" s="441"/>
      <c r="Z63" s="441"/>
    </row>
    <row r="64" spans="9:33" ht="15.95" customHeight="1" x14ac:dyDescent="0.2">
      <c r="I64" s="437"/>
      <c r="J64" s="437"/>
      <c r="K64" s="437"/>
      <c r="L64" s="437"/>
      <c r="M64" s="437"/>
      <c r="N64" s="437"/>
      <c r="O64" s="521"/>
      <c r="T64" s="441"/>
      <c r="X64" s="441"/>
      <c r="Y64" s="441"/>
      <c r="Z64" s="441"/>
    </row>
    <row r="65" spans="9:36" ht="15.95" customHeight="1" x14ac:dyDescent="0.2">
      <c r="I65" s="437"/>
      <c r="J65" s="437"/>
      <c r="K65" s="437"/>
      <c r="L65" s="437"/>
      <c r="M65" s="437"/>
      <c r="N65" s="437"/>
      <c r="O65" s="437"/>
      <c r="P65" s="437"/>
      <c r="Q65" s="437"/>
      <c r="R65" s="437"/>
      <c r="S65" s="437"/>
      <c r="T65" s="437"/>
      <c r="U65" s="437"/>
      <c r="V65" s="437"/>
      <c r="W65" s="437"/>
      <c r="X65" s="437"/>
      <c r="Y65" s="437"/>
      <c r="Z65" s="437"/>
      <c r="AA65" s="437"/>
      <c r="AH65" s="441"/>
      <c r="AI65" s="441"/>
      <c r="AJ65" s="447"/>
    </row>
    <row r="66" spans="9:36" ht="15.95" customHeight="1" x14ac:dyDescent="0.2">
      <c r="I66" s="437"/>
      <c r="J66" s="437"/>
      <c r="K66" s="437"/>
      <c r="L66" s="437"/>
      <c r="M66" s="437"/>
      <c r="N66" s="437"/>
      <c r="O66" s="437"/>
      <c r="P66" s="437"/>
      <c r="Q66" s="437"/>
      <c r="R66" s="437"/>
      <c r="S66" s="437"/>
      <c r="T66" s="437"/>
      <c r="U66" s="437"/>
      <c r="V66" s="437"/>
      <c r="W66" s="437"/>
      <c r="X66" s="437"/>
      <c r="Y66" s="437"/>
      <c r="Z66" s="437"/>
      <c r="AA66" s="437"/>
      <c r="AH66" s="441"/>
      <c r="AI66" s="441"/>
      <c r="AJ66" s="447"/>
    </row>
    <row r="67" spans="9:36" ht="15.95" customHeight="1" x14ac:dyDescent="0.2">
      <c r="I67" s="437"/>
      <c r="J67" s="437"/>
      <c r="K67" s="437"/>
      <c r="L67" s="437"/>
      <c r="M67" s="437"/>
      <c r="N67" s="437"/>
      <c r="O67" s="437"/>
      <c r="P67" s="437"/>
      <c r="Q67" s="437"/>
      <c r="R67" s="437"/>
      <c r="S67" s="437"/>
      <c r="T67" s="437"/>
      <c r="U67" s="437"/>
      <c r="V67" s="437"/>
      <c r="W67" s="437"/>
      <c r="X67" s="437"/>
      <c r="Y67" s="437"/>
      <c r="Z67" s="437"/>
      <c r="AA67" s="437"/>
      <c r="AH67" s="441"/>
      <c r="AI67" s="441"/>
      <c r="AJ67" s="441"/>
    </row>
    <row r="68" spans="9:36" ht="15.95" customHeight="1" x14ac:dyDescent="0.2">
      <c r="I68" s="437"/>
      <c r="J68" s="437"/>
      <c r="K68" s="450"/>
      <c r="L68" s="450"/>
      <c r="M68" s="450"/>
      <c r="N68" s="521"/>
      <c r="O68" s="521"/>
      <c r="P68" s="450"/>
      <c r="Q68" s="450"/>
      <c r="R68" s="437"/>
      <c r="S68" s="437"/>
      <c r="T68" s="451"/>
      <c r="U68" s="450"/>
      <c r="W68" s="450"/>
      <c r="X68" s="516"/>
      <c r="Y68" s="457"/>
      <c r="Z68" s="457"/>
      <c r="AA68" s="450"/>
      <c r="AH68" s="441"/>
      <c r="AI68" s="441"/>
      <c r="AJ68" s="441"/>
    </row>
    <row r="69" spans="9:36" ht="15.95" customHeight="1" x14ac:dyDescent="0.2">
      <c r="I69" s="437"/>
      <c r="J69" s="437"/>
      <c r="K69" s="450"/>
      <c r="L69" s="450"/>
      <c r="M69" s="450"/>
      <c r="N69" s="521"/>
      <c r="O69" s="521"/>
      <c r="P69" s="450"/>
      <c r="Q69" s="450"/>
      <c r="R69" s="437"/>
      <c r="S69" s="437"/>
      <c r="T69" s="451"/>
      <c r="U69" s="450"/>
      <c r="W69" s="450"/>
      <c r="X69" s="516"/>
      <c r="Y69" s="457"/>
      <c r="Z69" s="457"/>
      <c r="AA69" s="450"/>
      <c r="AH69" s="441"/>
      <c r="AI69" s="441"/>
      <c r="AJ69" s="450"/>
    </row>
    <row r="70" spans="9:36" ht="15.95" customHeight="1" x14ac:dyDescent="0.2">
      <c r="I70" s="437"/>
      <c r="J70" s="437"/>
      <c r="K70" s="450"/>
      <c r="L70" s="450"/>
      <c r="M70" s="450"/>
      <c r="N70" s="521"/>
      <c r="O70" s="521"/>
      <c r="P70" s="450"/>
      <c r="Q70" s="450"/>
      <c r="R70" s="437"/>
      <c r="S70" s="437"/>
      <c r="T70" s="451"/>
      <c r="U70" s="450"/>
      <c r="W70" s="450"/>
      <c r="X70" s="516"/>
      <c r="Y70" s="457"/>
      <c r="Z70" s="457"/>
      <c r="AA70" s="450"/>
      <c r="AH70" s="441"/>
      <c r="AI70" s="441"/>
      <c r="AJ70" s="450"/>
    </row>
    <row r="71" spans="9:36" ht="15.95" customHeight="1" x14ac:dyDescent="0.2">
      <c r="I71" s="437"/>
      <c r="J71" s="437"/>
      <c r="K71" s="450"/>
      <c r="L71" s="450"/>
      <c r="M71" s="450"/>
      <c r="N71" s="521"/>
      <c r="O71" s="521"/>
      <c r="P71" s="450"/>
      <c r="Q71" s="450"/>
      <c r="R71" s="437"/>
      <c r="S71" s="437"/>
      <c r="T71" s="451"/>
      <c r="U71" s="450"/>
      <c r="W71" s="450"/>
      <c r="X71" s="516"/>
      <c r="Y71" s="457"/>
      <c r="Z71" s="457"/>
      <c r="AA71" s="450"/>
      <c r="AH71" s="441"/>
      <c r="AI71" s="441"/>
      <c r="AJ71" s="445"/>
    </row>
    <row r="72" spans="9:36" ht="15.95" customHeight="1" x14ac:dyDescent="0.2">
      <c r="I72" s="437"/>
      <c r="J72" s="437"/>
      <c r="K72" s="450"/>
      <c r="L72" s="450"/>
      <c r="M72" s="450"/>
      <c r="N72" s="521"/>
      <c r="O72" s="521"/>
      <c r="P72" s="450"/>
      <c r="Q72" s="450"/>
      <c r="R72" s="437"/>
      <c r="S72" s="437"/>
      <c r="T72" s="451"/>
      <c r="U72" s="450"/>
      <c r="W72" s="450"/>
      <c r="X72" s="516"/>
      <c r="Y72" s="457"/>
      <c r="Z72" s="457"/>
      <c r="AA72" s="450"/>
      <c r="AH72" s="441"/>
      <c r="AI72" s="441"/>
      <c r="AJ72" s="447"/>
    </row>
    <row r="73" spans="9:36" ht="15.95" customHeight="1" x14ac:dyDescent="0.2">
      <c r="I73" s="437"/>
      <c r="J73" s="437"/>
      <c r="K73" s="450"/>
      <c r="L73" s="450"/>
      <c r="M73" s="450"/>
      <c r="N73" s="521"/>
      <c r="O73" s="521"/>
      <c r="P73" s="450"/>
      <c r="Q73" s="450"/>
      <c r="R73" s="437"/>
      <c r="S73" s="437"/>
      <c r="T73" s="451"/>
      <c r="U73" s="450"/>
      <c r="W73" s="450"/>
      <c r="X73" s="516"/>
      <c r="Y73" s="457"/>
      <c r="Z73" s="457"/>
      <c r="AA73" s="450"/>
      <c r="AH73" s="441"/>
      <c r="AI73" s="441"/>
      <c r="AJ73" s="447"/>
    </row>
    <row r="74" spans="9:36" ht="15.95" customHeight="1" x14ac:dyDescent="0.2">
      <c r="I74" s="437"/>
      <c r="J74" s="437"/>
      <c r="K74" s="450"/>
      <c r="L74" s="450"/>
      <c r="M74" s="450"/>
      <c r="N74" s="521"/>
      <c r="O74" s="521"/>
      <c r="P74" s="450"/>
      <c r="Q74" s="450"/>
      <c r="R74" s="437"/>
      <c r="S74" s="437"/>
      <c r="T74" s="451"/>
      <c r="U74" s="450"/>
      <c r="W74" s="450"/>
      <c r="X74" s="516"/>
      <c r="Y74" s="457"/>
      <c r="Z74" s="457"/>
      <c r="AA74" s="450"/>
      <c r="AH74" s="441"/>
      <c r="AI74" s="441"/>
      <c r="AJ74" s="450"/>
    </row>
    <row r="75" spans="9:36" ht="15.95" customHeight="1" x14ac:dyDescent="0.2">
      <c r="I75" s="437"/>
      <c r="J75" s="437"/>
      <c r="K75" s="450"/>
      <c r="L75" s="450"/>
      <c r="M75" s="450"/>
      <c r="N75" s="521"/>
      <c r="O75" s="521"/>
      <c r="P75" s="450"/>
      <c r="Q75" s="450"/>
      <c r="R75" s="437"/>
      <c r="S75" s="437"/>
      <c r="T75" s="451"/>
      <c r="U75" s="450"/>
      <c r="W75" s="450"/>
      <c r="X75" s="516"/>
      <c r="Y75" s="457"/>
      <c r="Z75" s="457"/>
      <c r="AA75" s="450"/>
      <c r="AH75" s="441"/>
      <c r="AI75" s="441"/>
      <c r="AJ75" s="450"/>
    </row>
    <row r="76" spans="9:36" ht="15.95" customHeight="1" x14ac:dyDescent="0.2">
      <c r="I76" s="437"/>
      <c r="J76" s="437"/>
      <c r="K76" s="450"/>
      <c r="L76" s="450"/>
      <c r="M76" s="450"/>
      <c r="N76" s="521"/>
      <c r="O76" s="521"/>
      <c r="P76" s="450"/>
      <c r="Q76" s="450"/>
      <c r="R76" s="437"/>
      <c r="S76" s="437"/>
      <c r="T76" s="451"/>
      <c r="U76" s="450"/>
      <c r="W76" s="450"/>
      <c r="X76" s="516"/>
      <c r="Y76" s="457"/>
      <c r="Z76" s="457"/>
      <c r="AA76" s="450"/>
      <c r="AH76" s="441"/>
      <c r="AI76" s="441"/>
      <c r="AJ76" s="450"/>
    </row>
    <row r="77" spans="9:36" ht="15.95" customHeight="1" x14ac:dyDescent="0.2">
      <c r="I77" s="437"/>
      <c r="J77" s="437"/>
      <c r="K77" s="447"/>
      <c r="L77" s="450"/>
      <c r="M77" s="450"/>
      <c r="N77" s="521"/>
      <c r="O77" s="521"/>
      <c r="P77" s="450"/>
      <c r="Q77" s="450"/>
      <c r="R77" s="450"/>
      <c r="S77" s="450"/>
      <c r="T77" s="451"/>
      <c r="U77" s="450"/>
      <c r="W77" s="450"/>
      <c r="X77" s="450"/>
      <c r="Y77" s="450"/>
      <c r="Z77" s="451"/>
      <c r="AA77" s="450"/>
      <c r="AH77" s="441"/>
      <c r="AI77" s="441"/>
      <c r="AJ77" s="450"/>
    </row>
    <row r="78" spans="9:36" ht="15.95" customHeight="1" x14ac:dyDescent="0.2">
      <c r="I78" s="437"/>
      <c r="J78" s="437"/>
      <c r="K78" s="447"/>
      <c r="L78" s="450"/>
      <c r="M78" s="450"/>
      <c r="N78" s="521"/>
      <c r="O78" s="521"/>
      <c r="P78" s="450"/>
      <c r="Q78" s="450"/>
      <c r="R78" s="450"/>
      <c r="S78" s="450"/>
      <c r="T78" s="451"/>
      <c r="U78" s="450"/>
      <c r="W78" s="450"/>
      <c r="X78" s="450"/>
      <c r="Y78" s="450"/>
      <c r="Z78" s="451"/>
      <c r="AA78" s="450"/>
      <c r="AH78" s="441"/>
      <c r="AI78" s="441"/>
      <c r="AJ78" s="445"/>
    </row>
    <row r="79" spans="9:36" ht="15.95" customHeight="1" x14ac:dyDescent="0.2">
      <c r="I79" s="437"/>
      <c r="J79" s="437"/>
      <c r="K79" s="447"/>
      <c r="L79" s="450"/>
      <c r="M79" s="450"/>
      <c r="N79" s="521"/>
      <c r="O79" s="521"/>
      <c r="P79" s="450"/>
      <c r="Q79" s="450"/>
      <c r="R79" s="450"/>
      <c r="S79" s="450"/>
      <c r="T79" s="451"/>
      <c r="U79" s="450"/>
      <c r="W79" s="450"/>
      <c r="X79" s="450"/>
      <c r="Y79" s="450"/>
      <c r="Z79" s="451"/>
      <c r="AA79" s="450"/>
      <c r="AH79" s="441"/>
      <c r="AI79" s="441"/>
      <c r="AJ79" s="447"/>
    </row>
    <row r="80" spans="9:36" ht="15.95" customHeight="1" x14ac:dyDescent="0.2">
      <c r="I80" s="437"/>
      <c r="J80" s="437"/>
      <c r="K80" s="447"/>
      <c r="L80" s="450"/>
      <c r="M80" s="450"/>
      <c r="N80" s="521"/>
      <c r="O80" s="521"/>
      <c r="P80" s="450"/>
      <c r="Q80" s="450"/>
      <c r="R80" s="450"/>
      <c r="S80" s="450"/>
      <c r="T80" s="451"/>
      <c r="U80" s="450"/>
      <c r="W80" s="450"/>
      <c r="X80" s="450"/>
      <c r="Y80" s="450"/>
      <c r="Z80" s="451"/>
      <c r="AA80" s="450"/>
      <c r="AH80" s="441"/>
      <c r="AI80" s="441"/>
      <c r="AJ80" s="447"/>
    </row>
    <row r="81" spans="9:36" ht="15.95" customHeight="1" x14ac:dyDescent="0.2">
      <c r="I81" s="437"/>
      <c r="J81" s="437"/>
      <c r="K81" s="447"/>
      <c r="L81" s="450"/>
      <c r="M81" s="450"/>
      <c r="N81" s="521"/>
      <c r="O81" s="521"/>
      <c r="P81" s="450"/>
      <c r="Q81" s="450"/>
      <c r="R81" s="450"/>
      <c r="S81" s="450"/>
      <c r="T81" s="451"/>
      <c r="U81" s="450"/>
      <c r="W81" s="450"/>
      <c r="X81" s="450"/>
      <c r="Y81" s="450"/>
      <c r="Z81" s="451"/>
      <c r="AA81" s="450"/>
      <c r="AH81" s="441"/>
      <c r="AI81" s="441"/>
      <c r="AJ81" s="447"/>
    </row>
    <row r="82" spans="9:36" ht="15.95" customHeight="1" x14ac:dyDescent="0.2">
      <c r="I82" s="437"/>
      <c r="J82" s="437"/>
      <c r="K82" s="450"/>
      <c r="L82" s="450"/>
      <c r="M82" s="450"/>
      <c r="N82" s="521"/>
      <c r="O82" s="521"/>
      <c r="P82" s="450"/>
      <c r="Q82" s="450"/>
      <c r="R82" s="450"/>
      <c r="S82" s="450"/>
      <c r="T82" s="451"/>
      <c r="U82" s="450"/>
      <c r="W82" s="450"/>
      <c r="X82" s="450"/>
      <c r="Y82" s="450"/>
      <c r="Z82" s="451"/>
      <c r="AA82" s="450"/>
      <c r="AH82" s="441"/>
      <c r="AI82" s="441"/>
      <c r="AJ82" s="450"/>
    </row>
    <row r="83" spans="9:36" ht="15.95" customHeight="1" x14ac:dyDescent="0.2">
      <c r="I83" s="437"/>
      <c r="J83" s="437"/>
      <c r="K83" s="445"/>
      <c r="L83" s="450"/>
      <c r="M83" s="450"/>
      <c r="N83" s="521"/>
      <c r="O83" s="521"/>
      <c r="P83" s="450"/>
      <c r="Q83" s="450"/>
      <c r="R83" s="450"/>
      <c r="S83" s="450"/>
      <c r="T83" s="451"/>
      <c r="U83" s="450"/>
      <c r="W83" s="450"/>
      <c r="X83" s="450"/>
      <c r="Y83" s="450"/>
      <c r="Z83" s="451"/>
      <c r="AA83" s="450"/>
      <c r="AH83" s="441"/>
      <c r="AI83" s="441"/>
      <c r="AJ83" s="445"/>
    </row>
    <row r="84" spans="9:36" ht="15.95" customHeight="1" x14ac:dyDescent="0.2">
      <c r="I84" s="437"/>
      <c r="J84" s="437"/>
      <c r="K84" s="447"/>
      <c r="L84" s="450"/>
      <c r="M84" s="450"/>
      <c r="N84" s="521"/>
      <c r="O84" s="521"/>
      <c r="P84" s="450"/>
      <c r="Q84" s="450"/>
      <c r="R84" s="450"/>
      <c r="S84" s="450"/>
      <c r="T84" s="451"/>
      <c r="U84" s="450"/>
      <c r="W84" s="450"/>
      <c r="X84" s="450"/>
      <c r="Y84" s="450"/>
      <c r="Z84" s="451"/>
      <c r="AA84" s="450"/>
      <c r="AH84" s="441"/>
      <c r="AI84" s="441"/>
      <c r="AJ84" s="447"/>
    </row>
    <row r="85" spans="9:36" ht="15.95" customHeight="1" x14ac:dyDescent="0.2">
      <c r="I85" s="437"/>
      <c r="J85" s="437"/>
      <c r="K85" s="447"/>
      <c r="L85" s="450"/>
      <c r="M85" s="450"/>
      <c r="N85" s="521"/>
      <c r="O85" s="521"/>
      <c r="P85" s="450"/>
      <c r="Q85" s="450"/>
      <c r="R85" s="450"/>
      <c r="S85" s="450"/>
      <c r="T85" s="451"/>
      <c r="U85" s="450"/>
      <c r="W85" s="450"/>
      <c r="X85" s="450"/>
      <c r="Y85" s="450"/>
      <c r="Z85" s="451"/>
      <c r="AA85" s="450"/>
      <c r="AH85" s="441"/>
      <c r="AI85" s="441"/>
      <c r="AJ85" s="447"/>
    </row>
    <row r="86" spans="9:36" ht="15.95" customHeight="1" x14ac:dyDescent="0.2">
      <c r="K86" s="447"/>
      <c r="L86" s="450"/>
      <c r="M86" s="450"/>
      <c r="N86" s="521"/>
      <c r="O86" s="521"/>
      <c r="P86" s="450"/>
      <c r="Q86" s="450"/>
      <c r="R86" s="450"/>
      <c r="S86" s="450"/>
      <c r="T86" s="451"/>
      <c r="U86" s="450"/>
      <c r="W86" s="450"/>
      <c r="X86" s="450"/>
      <c r="Y86" s="450"/>
      <c r="Z86" s="451"/>
      <c r="AA86" s="450"/>
      <c r="AH86" s="441"/>
      <c r="AI86" s="441"/>
      <c r="AJ86" s="441"/>
    </row>
    <row r="87" spans="9:36" ht="15.95" customHeight="1" x14ac:dyDescent="0.2">
      <c r="K87" s="447"/>
      <c r="L87" s="450"/>
      <c r="M87" s="450"/>
      <c r="N87" s="521"/>
      <c r="O87" s="521"/>
      <c r="P87" s="450"/>
      <c r="Q87" s="450"/>
      <c r="R87" s="450"/>
      <c r="S87" s="450"/>
      <c r="T87" s="451"/>
      <c r="U87" s="450"/>
      <c r="W87" s="450"/>
      <c r="X87" s="450"/>
      <c r="Y87" s="450"/>
      <c r="Z87" s="451"/>
      <c r="AA87" s="450"/>
      <c r="AH87" s="441"/>
      <c r="AI87" s="441"/>
      <c r="AJ87" s="441"/>
    </row>
    <row r="88" spans="9:36" ht="15.95" customHeight="1" x14ac:dyDescent="0.2">
      <c r="L88" s="450"/>
      <c r="M88" s="450"/>
      <c r="N88" s="521"/>
      <c r="O88" s="521"/>
      <c r="P88" s="450"/>
      <c r="Q88" s="450"/>
      <c r="R88" s="450"/>
      <c r="S88" s="450"/>
      <c r="T88" s="451"/>
      <c r="U88" s="450"/>
      <c r="W88" s="450"/>
      <c r="X88" s="450"/>
      <c r="Y88" s="450"/>
      <c r="Z88" s="451"/>
      <c r="AA88" s="450"/>
    </row>
    <row r="89" spans="9:36" ht="15.95" customHeight="1" x14ac:dyDescent="0.2">
      <c r="K89" s="435"/>
      <c r="L89" s="450"/>
      <c r="M89" s="450"/>
      <c r="N89" s="521"/>
      <c r="O89" s="521"/>
      <c r="P89" s="450"/>
      <c r="Q89" s="450"/>
      <c r="R89" s="450"/>
      <c r="S89" s="450"/>
      <c r="T89" s="451"/>
      <c r="U89" s="450"/>
      <c r="W89" s="450"/>
      <c r="X89" s="450"/>
      <c r="Y89" s="450"/>
      <c r="Z89" s="451"/>
      <c r="AA89" s="450"/>
    </row>
    <row r="90" spans="9:36" ht="15.95" customHeight="1" x14ac:dyDescent="0.2">
      <c r="K90" s="435"/>
      <c r="R90" s="450"/>
      <c r="S90" s="450"/>
      <c r="T90" s="451"/>
      <c r="U90" s="450"/>
      <c r="W90" s="450"/>
      <c r="X90" s="450"/>
      <c r="Y90" s="450"/>
      <c r="Z90" s="451"/>
    </row>
    <row r="91" spans="9:36" ht="15.95" customHeight="1" x14ac:dyDescent="0.2">
      <c r="K91" s="435"/>
    </row>
    <row r="92" spans="9:36" ht="15.95" customHeight="1" x14ac:dyDescent="0.2">
      <c r="K92" s="435"/>
    </row>
    <row r="93" spans="9:36" ht="15.95" customHeight="1" x14ac:dyDescent="0.2">
      <c r="K93" s="435"/>
    </row>
    <row r="94" spans="9:36" ht="15.95" customHeight="1" x14ac:dyDescent="0.2">
      <c r="K94" s="435"/>
    </row>
    <row r="95" spans="9:36" ht="15.95" customHeight="1" x14ac:dyDescent="0.2">
      <c r="K95" s="435"/>
      <c r="S95" s="450"/>
    </row>
    <row r="96" spans="9:36" ht="15.95" customHeight="1" x14ac:dyDescent="0.2">
      <c r="K96" s="435"/>
      <c r="S96" s="450"/>
    </row>
    <row r="97" ht="15.95" customHeight="1" x14ac:dyDescent="0.2"/>
    <row r="98" ht="15.95" customHeight="1" x14ac:dyDescent="0.2"/>
    <row r="99" ht="15.95" customHeight="1" x14ac:dyDescent="0.2"/>
    <row r="100" ht="15.95" customHeight="1" x14ac:dyDescent="0.2"/>
    <row r="101" ht="15.95" customHeight="1" x14ac:dyDescent="0.2"/>
    <row r="102" ht="15.95" customHeight="1" x14ac:dyDescent="0.2"/>
    <row r="103" ht="15.95" customHeight="1" x14ac:dyDescent="0.2"/>
    <row r="104" ht="15.95" customHeight="1" x14ac:dyDescent="0.2"/>
    <row r="105" ht="15.95" customHeight="1" x14ac:dyDescent="0.2"/>
    <row r="106" ht="15.95" customHeight="1" x14ac:dyDescent="0.2"/>
    <row r="107" ht="15.95" customHeight="1" x14ac:dyDescent="0.2"/>
    <row r="108" ht="15.95" customHeight="1" x14ac:dyDescent="0.2"/>
    <row r="109" ht="15.95" customHeight="1" x14ac:dyDescent="0.2"/>
    <row r="110" ht="15.95" customHeight="1" x14ac:dyDescent="0.2"/>
    <row r="111" ht="15.95" customHeight="1" x14ac:dyDescent="0.2"/>
    <row r="112" ht="15.95" customHeight="1" x14ac:dyDescent="0.2"/>
    <row r="113" ht="15.95" customHeight="1" x14ac:dyDescent="0.2"/>
    <row r="114" ht="15.95" customHeight="1" x14ac:dyDescent="0.2"/>
    <row r="115" ht="15.95" customHeight="1" x14ac:dyDescent="0.2"/>
    <row r="116" ht="15.95" customHeight="1" x14ac:dyDescent="0.2"/>
    <row r="117" ht="15.95" customHeight="1" x14ac:dyDescent="0.2"/>
    <row r="118" ht="15.95" customHeight="1" x14ac:dyDescent="0.2"/>
    <row r="119" ht="15.95" customHeight="1" x14ac:dyDescent="0.2"/>
    <row r="120" ht="15.95" customHeight="1" x14ac:dyDescent="0.2"/>
    <row r="121" ht="15.95" customHeight="1" x14ac:dyDescent="0.2"/>
    <row r="122" ht="15.95" customHeight="1" x14ac:dyDescent="0.2"/>
    <row r="123" ht="15.95" customHeight="1" x14ac:dyDescent="0.2"/>
    <row r="124" ht="15.95" customHeight="1" x14ac:dyDescent="0.2"/>
    <row r="125" ht="15.95" customHeight="1" x14ac:dyDescent="0.2"/>
    <row r="126" ht="15.95" customHeight="1" x14ac:dyDescent="0.2"/>
    <row r="127" ht="15.95" customHeight="1" x14ac:dyDescent="0.2"/>
    <row r="128" ht="15.95" customHeight="1" x14ac:dyDescent="0.2"/>
    <row r="129" ht="15.95" customHeight="1" x14ac:dyDescent="0.2"/>
    <row r="130" ht="15.95" customHeight="1" x14ac:dyDescent="0.2"/>
    <row r="131" ht="15.95" customHeight="1" x14ac:dyDescent="0.2"/>
    <row r="132" ht="15.95" customHeight="1" x14ac:dyDescent="0.2"/>
    <row r="133" ht="15.95" customHeight="1" x14ac:dyDescent="0.2"/>
    <row r="134" ht="15.95" customHeight="1" x14ac:dyDescent="0.2"/>
    <row r="135" ht="15.95" customHeight="1" x14ac:dyDescent="0.2"/>
    <row r="136" ht="15.95" customHeight="1" x14ac:dyDescent="0.2"/>
    <row r="137" ht="15.95" customHeight="1" x14ac:dyDescent="0.2"/>
    <row r="138" ht="15.95" customHeight="1" x14ac:dyDescent="0.2"/>
    <row r="139" ht="15.95" customHeight="1" x14ac:dyDescent="0.2"/>
    <row r="140" ht="15.95" customHeight="1" x14ac:dyDescent="0.2"/>
    <row r="141" ht="15.95" customHeight="1" x14ac:dyDescent="0.2"/>
    <row r="142" ht="15.95" customHeight="1" x14ac:dyDescent="0.2"/>
    <row r="143" ht="15.95" customHeight="1" x14ac:dyDescent="0.2"/>
    <row r="144" ht="15.95" customHeight="1" x14ac:dyDescent="0.2"/>
    <row r="145" ht="15.95" customHeight="1" x14ac:dyDescent="0.2"/>
    <row r="146" ht="15.95" customHeight="1" x14ac:dyDescent="0.2"/>
    <row r="147" ht="15.95" customHeight="1" x14ac:dyDescent="0.2"/>
    <row r="148" ht="15.95" customHeight="1" x14ac:dyDescent="0.2"/>
  </sheetData>
  <sheetProtection selectLockedCells="1"/>
  <mergeCells count="31">
    <mergeCell ref="N21:N22"/>
    <mergeCell ref="N28:N29"/>
    <mergeCell ref="X22:Y22"/>
    <mergeCell ref="X23:Y23"/>
    <mergeCell ref="X19:Y19"/>
    <mergeCell ref="X20:Y20"/>
    <mergeCell ref="X21:Y21"/>
    <mergeCell ref="X12:Z12"/>
    <mergeCell ref="N14:N15"/>
    <mergeCell ref="T14:T15"/>
    <mergeCell ref="Z14:Z15"/>
    <mergeCell ref="T16:T17"/>
    <mergeCell ref="Z16:Z17"/>
    <mergeCell ref="N7:N8"/>
    <mergeCell ref="T7:T8"/>
    <mergeCell ref="Z7:Z8"/>
    <mergeCell ref="T9:T10"/>
    <mergeCell ref="Z9:Z10"/>
    <mergeCell ref="K4:N4"/>
    <mergeCell ref="Q4:T4"/>
    <mergeCell ref="W4:Z4"/>
    <mergeCell ref="AH4:AJ5"/>
    <mergeCell ref="L5:N5"/>
    <mergeCell ref="R5:T5"/>
    <mergeCell ref="X5:Z5"/>
    <mergeCell ref="K1:AA1"/>
    <mergeCell ref="AF1:AJ1"/>
    <mergeCell ref="K2:Z2"/>
    <mergeCell ref="AF2:AJ2"/>
    <mergeCell ref="N3:X3"/>
    <mergeCell ref="AF3:AJ3"/>
  </mergeCells>
  <conditionalFormatting sqref="U14:U15">
    <cfRule type="expression" priority="56" stopIfTrue="1">
      <formula>IF(T14="",1)</formula>
    </cfRule>
    <cfRule type="expression" dxfId="2152" priority="58">
      <formula>IF(T14=T16,1,0)</formula>
    </cfRule>
  </conditionalFormatting>
  <conditionalFormatting sqref="U16">
    <cfRule type="expression" priority="55" stopIfTrue="1">
      <formula>IF(T16="",1,0)</formula>
    </cfRule>
    <cfRule type="expression" dxfId="2151" priority="57">
      <formula>IF(T14=T16,1,0)</formula>
    </cfRule>
  </conditionalFormatting>
  <conditionalFormatting sqref="AA7:AA8">
    <cfRule type="expression" priority="50" stopIfTrue="1">
      <formula>IF(Z7="",1)</formula>
    </cfRule>
    <cfRule type="expression" dxfId="2150" priority="52">
      <formula>IF(Z7=Z9,1,0)</formula>
    </cfRule>
  </conditionalFormatting>
  <conditionalFormatting sqref="AA9">
    <cfRule type="expression" priority="49" stopIfTrue="1">
      <formula>IF(Z9="",1,0)</formula>
    </cfRule>
    <cfRule type="expression" dxfId="2149" priority="51">
      <formula>IF(Z7=Z9,1,0)</formula>
    </cfRule>
  </conditionalFormatting>
  <conditionalFormatting sqref="AA14:AA15">
    <cfRule type="expression" priority="38" stopIfTrue="1">
      <formula>IF(Z14="",1)</formula>
    </cfRule>
    <cfRule type="expression" dxfId="2148" priority="40">
      <formula>IF(Z14=Z16,1,0)</formula>
    </cfRule>
  </conditionalFormatting>
  <conditionalFormatting sqref="AA16">
    <cfRule type="expression" priority="37" stopIfTrue="1">
      <formula>IF(Z16="",1,0)</formula>
    </cfRule>
    <cfRule type="expression" dxfId="2147" priority="39">
      <formula>IF(Z14=Z16,1,0)</formula>
    </cfRule>
  </conditionalFormatting>
  <conditionalFormatting sqref="M7">
    <cfRule type="expression" dxfId="2146" priority="26">
      <formula>IF(N7+O7&gt;N9+O9,1,0)</formula>
    </cfRule>
  </conditionalFormatting>
  <conditionalFormatting sqref="M14">
    <cfRule type="expression" dxfId="2145" priority="25">
      <formula>IF(N14+O14&gt;N16+O16,1,0)</formula>
    </cfRule>
  </conditionalFormatting>
  <conditionalFormatting sqref="M21">
    <cfRule type="expression" dxfId="2144" priority="24">
      <formula>IF(N21+O21&gt;N23+O23,1,0)</formula>
    </cfRule>
  </conditionalFormatting>
  <conditionalFormatting sqref="M28">
    <cfRule type="expression" dxfId="2143" priority="23">
      <formula>IF(N28+O28&gt;N30+O30,1,0)</formula>
    </cfRule>
  </conditionalFormatting>
  <conditionalFormatting sqref="U7:U8">
    <cfRule type="expression" priority="12" stopIfTrue="1">
      <formula>IF(T7="",1)</formula>
    </cfRule>
    <cfRule type="expression" dxfId="2142" priority="14">
      <formula>IF(T7=T9,1,0)</formula>
    </cfRule>
  </conditionalFormatting>
  <conditionalFormatting sqref="U9">
    <cfRule type="expression" priority="11" stopIfTrue="1">
      <formula>IF(T9="",1,0)</formula>
    </cfRule>
    <cfRule type="expression" dxfId="2141" priority="13">
      <formula>IF(T7=T9,1,0)</formula>
    </cfRule>
  </conditionalFormatting>
  <conditionalFormatting sqref="S7">
    <cfRule type="expression" dxfId="2140" priority="10">
      <formula>IF(T7+U7&gt;T9+U9,1,0)</formula>
    </cfRule>
  </conditionalFormatting>
  <conditionalFormatting sqref="S9">
    <cfRule type="expression" dxfId="2139" priority="9">
      <formula>IF(T7+U7&lt;T9+U9,1,0)</formula>
    </cfRule>
  </conditionalFormatting>
  <conditionalFormatting sqref="S14">
    <cfRule type="expression" dxfId="2138" priority="6">
      <formula>IF(T14+U14&gt;T16+U16,1,0)</formula>
    </cfRule>
  </conditionalFormatting>
  <conditionalFormatting sqref="S16">
    <cfRule type="expression" dxfId="2137" priority="5">
      <formula>IF(T14+U14&lt;T16+U16,1,0)</formula>
    </cfRule>
  </conditionalFormatting>
  <conditionalFormatting sqref="Y7">
    <cfRule type="expression" dxfId="2136" priority="4">
      <formula>IF(Z7+AA7&gt;Z9+AA9,1,0)</formula>
    </cfRule>
  </conditionalFormatting>
  <conditionalFormatting sqref="Y9">
    <cfRule type="expression" dxfId="2135" priority="3">
      <formula>IF(Z7+AA7&lt;Z9+AA9,1,0)</formula>
    </cfRule>
  </conditionalFormatting>
  <conditionalFormatting sqref="Y14">
    <cfRule type="expression" dxfId="2134" priority="2">
      <formula>IF(Z14+AA14&gt;Z16+AA16,1,0)</formula>
    </cfRule>
  </conditionalFormatting>
  <conditionalFormatting sqref="Y16">
    <cfRule type="expression" dxfId="2133" priority="1">
      <formula>IF(Z14+AA14&lt;Z16+AA16,1,0)</formula>
    </cfRule>
  </conditionalFormatting>
  <pageMargins left="0.25" right="0.25" top="0.75" bottom="0.75" header="0.3" footer="0.3"/>
  <pageSetup paperSize="9" scale="62" fitToHeight="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euil73">
    <tabColor rgb="FFFFC000"/>
    <pageSetUpPr fitToPage="1"/>
  </sheetPr>
  <dimension ref="A1:AY148"/>
  <sheetViews>
    <sheetView topLeftCell="K1" zoomScale="78" zoomScaleNormal="100" workbookViewId="0">
      <selection activeCell="K25" sqref="K1:AA25"/>
    </sheetView>
  </sheetViews>
  <sheetFormatPr baseColWidth="10" defaultColWidth="10.85546875" defaultRowHeight="12.75" x14ac:dyDescent="0.2"/>
  <cols>
    <col min="1" max="1" width="3.7109375" style="435" hidden="1" customWidth="1"/>
    <col min="2" max="4" width="16.140625" style="435" hidden="1" customWidth="1"/>
    <col min="5" max="10" width="11.5703125" style="435" hidden="1" customWidth="1"/>
    <col min="11" max="11" width="7.7109375" style="441" bestFit="1" customWidth="1"/>
    <col min="12" max="12" width="6.42578125" style="435" bestFit="1" customWidth="1"/>
    <col min="13" max="13" width="37.28515625" style="435" customWidth="1"/>
    <col min="14" max="14" width="10.85546875" style="442"/>
    <col min="15" max="15" width="4.7109375" style="441" bestFit="1" customWidth="1"/>
    <col min="16" max="16" width="15.7109375" style="441" customWidth="1"/>
    <col min="17" max="17" width="8.42578125" style="441" bestFit="1" customWidth="1"/>
    <col min="18" max="18" width="6.42578125" style="441" bestFit="1" customWidth="1"/>
    <col min="19" max="19" width="38" style="441" customWidth="1"/>
    <col min="20" max="20" width="10.85546875" style="442"/>
    <col min="21" max="21" width="4.85546875" style="441" bestFit="1" customWidth="1"/>
    <col min="22" max="22" width="15.85546875" style="441" customWidth="1"/>
    <col min="23" max="23" width="7.7109375" style="441" bestFit="1" customWidth="1"/>
    <col min="24" max="24" width="5.28515625" style="435" bestFit="1" customWidth="1"/>
    <col min="25" max="25" width="36.5703125" style="435" customWidth="1"/>
    <col min="26" max="26" width="10.85546875" style="442"/>
    <col min="27" max="27" width="4.85546875" style="441" bestFit="1" customWidth="1"/>
    <col min="28" max="28" width="6.5703125" style="435" customWidth="1"/>
    <col min="29" max="31" width="3.28515625" style="435" customWidth="1"/>
    <col min="32" max="32" width="12" style="435" customWidth="1"/>
    <col min="33" max="33" width="12" style="435" hidden="1" customWidth="1"/>
    <col min="34" max="34" width="36.7109375" style="435" customWidth="1"/>
    <col min="35" max="36" width="36.85546875" style="435" customWidth="1"/>
    <col min="37" max="42" width="10.85546875" style="435"/>
    <col min="43" max="43" width="1.7109375" style="435" bestFit="1" customWidth="1"/>
    <col min="44" max="46" width="10.85546875" style="435"/>
    <col min="47" max="47" width="1.7109375" style="435" bestFit="1" customWidth="1"/>
    <col min="48" max="50" width="10.85546875" style="435"/>
    <col min="51" max="51" width="1.7109375" style="435" bestFit="1" customWidth="1"/>
    <col min="52" max="16384" width="10.85546875" style="435"/>
  </cols>
  <sheetData>
    <row r="1" spans="1:51" ht="55.5" customHeight="1" x14ac:dyDescent="0.2">
      <c r="B1" s="436"/>
      <c r="C1" s="436"/>
      <c r="D1" s="436"/>
      <c r="F1" s="776"/>
      <c r="G1" s="776"/>
      <c r="H1" s="776"/>
      <c r="I1" s="777"/>
      <c r="J1" s="437"/>
      <c r="K1" s="988" t="str">
        <f>Championnat</f>
        <v>Championnat de France de Tir à l'ARC</v>
      </c>
      <c r="L1" s="988"/>
      <c r="M1" s="988"/>
      <c r="N1" s="988"/>
      <c r="O1" s="988"/>
      <c r="P1" s="988"/>
      <c r="Q1" s="988"/>
      <c r="R1" s="988"/>
      <c r="S1" s="988"/>
      <c r="T1" s="988"/>
      <c r="U1" s="988"/>
      <c r="V1" s="988"/>
      <c r="W1" s="988"/>
      <c r="X1" s="988"/>
      <c r="Y1" s="988"/>
      <c r="Z1" s="988"/>
      <c r="AA1" s="988"/>
      <c r="AB1" s="439"/>
      <c r="AC1" s="439"/>
      <c r="AD1" s="439"/>
      <c r="AE1" s="439"/>
      <c r="AF1" s="988" t="str">
        <f>Championnat</f>
        <v>Championnat de France de Tir à l'ARC</v>
      </c>
      <c r="AG1" s="988"/>
      <c r="AH1" s="988"/>
      <c r="AI1" s="988"/>
      <c r="AJ1" s="988"/>
      <c r="AK1" s="491"/>
      <c r="AL1" s="491"/>
      <c r="AM1" s="491"/>
      <c r="AN1" s="491"/>
      <c r="AO1" s="491"/>
      <c r="AP1" s="491"/>
      <c r="AQ1" s="491"/>
      <c r="AR1" s="491"/>
      <c r="AS1" s="491"/>
      <c r="AT1" s="491"/>
      <c r="AU1" s="491"/>
      <c r="AV1" s="491"/>
      <c r="AW1" s="491"/>
      <c r="AY1" s="491"/>
    </row>
    <row r="2" spans="1:51" ht="61.5" customHeight="1" x14ac:dyDescent="0.2">
      <c r="A2" s="437"/>
      <c r="I2" s="437"/>
      <c r="J2" s="437"/>
      <c r="K2" s="989" t="str">
        <f>CATEG_IMPORTEE</f>
        <v>Collèges Mixtes Etablissement</v>
      </c>
      <c r="L2" s="989"/>
      <c r="M2" s="989"/>
      <c r="N2" s="989"/>
      <c r="O2" s="989"/>
      <c r="P2" s="989"/>
      <c r="Q2" s="989"/>
      <c r="R2" s="989"/>
      <c r="S2" s="989"/>
      <c r="T2" s="989"/>
      <c r="U2" s="989"/>
      <c r="V2" s="989"/>
      <c r="W2" s="989"/>
      <c r="X2" s="989"/>
      <c r="Y2" s="989"/>
      <c r="Z2" s="989"/>
      <c r="AA2" s="438"/>
      <c r="AB2" s="439"/>
      <c r="AC2" s="439"/>
      <c r="AD2" s="439"/>
      <c r="AE2" s="439"/>
      <c r="AF2" s="990" t="str">
        <f>CATEG_IMPORTEE</f>
        <v>Collèges Mixtes Etablissement</v>
      </c>
      <c r="AG2" s="990"/>
      <c r="AH2" s="990"/>
      <c r="AI2" s="990"/>
      <c r="AJ2" s="990"/>
      <c r="AK2" s="492"/>
      <c r="AL2" s="492"/>
      <c r="AM2" s="492"/>
      <c r="AN2" s="492"/>
      <c r="AO2" s="492"/>
      <c r="AP2" s="492"/>
      <c r="AQ2" s="492"/>
      <c r="AR2" s="492"/>
      <c r="AS2" s="492"/>
      <c r="AT2" s="492"/>
      <c r="AU2" s="492"/>
      <c r="AV2" s="492"/>
      <c r="AW2" s="492"/>
      <c r="AY2" s="492"/>
    </row>
    <row r="3" spans="1:51" ht="42" customHeight="1" x14ac:dyDescent="0.2">
      <c r="B3" s="440" t="s">
        <v>774</v>
      </c>
      <c r="I3" s="437"/>
      <c r="J3" s="437"/>
      <c r="N3" s="991" t="str">
        <f>LIEU&amp;" du "&amp;DATE</f>
        <v>L’Isle sur la Sorgue du 27 au 31 mars 2023</v>
      </c>
      <c r="O3" s="991"/>
      <c r="P3" s="991"/>
      <c r="Q3" s="991"/>
      <c r="R3" s="991"/>
      <c r="S3" s="991"/>
      <c r="T3" s="991"/>
      <c r="U3" s="991"/>
      <c r="V3" s="991"/>
      <c r="W3" s="991"/>
      <c r="X3" s="991"/>
      <c r="AF3" s="991" t="str">
        <f>LIEU&amp;" du "&amp;DATE</f>
        <v>L’Isle sur la Sorgue du 27 au 31 mars 2023</v>
      </c>
      <c r="AG3" s="991"/>
      <c r="AH3" s="991"/>
      <c r="AI3" s="991"/>
      <c r="AJ3" s="991"/>
      <c r="AK3" s="493"/>
      <c r="AL3" s="493"/>
      <c r="AM3" s="493"/>
      <c r="AN3" s="493"/>
      <c r="AO3" s="493"/>
      <c r="AP3" s="493"/>
      <c r="AQ3" s="493"/>
      <c r="AR3" s="493"/>
      <c r="AS3" s="493"/>
      <c r="AT3" s="493"/>
      <c r="AU3" s="493"/>
      <c r="AW3" s="442"/>
      <c r="AY3" s="493"/>
    </row>
    <row r="4" spans="1:51" ht="21" customHeight="1" x14ac:dyDescent="0.2">
      <c r="B4" s="440" t="s">
        <v>775</v>
      </c>
      <c r="C4" s="462" t="s">
        <v>375</v>
      </c>
      <c r="D4" s="462" t="s">
        <v>374</v>
      </c>
      <c r="E4" s="440" t="s">
        <v>776</v>
      </c>
      <c r="F4" s="487" t="s">
        <v>838</v>
      </c>
      <c r="G4" s="488" t="s">
        <v>837</v>
      </c>
      <c r="H4" s="898"/>
      <c r="I4" s="437"/>
      <c r="J4" s="437" t="s">
        <v>793</v>
      </c>
      <c r="K4" s="979" t="s">
        <v>815</v>
      </c>
      <c r="L4" s="979"/>
      <c r="M4" s="979"/>
      <c r="N4" s="979"/>
      <c r="O4" s="443"/>
      <c r="P4" s="443"/>
      <c r="Q4" s="979" t="s">
        <v>816</v>
      </c>
      <c r="R4" s="979"/>
      <c r="S4" s="979"/>
      <c r="T4" s="979"/>
      <c r="U4" s="443"/>
      <c r="V4" s="443"/>
      <c r="W4" s="979" t="s">
        <v>817</v>
      </c>
      <c r="X4" s="979"/>
      <c r="Y4" s="979"/>
      <c r="Z4" s="979"/>
      <c r="AA4" s="443"/>
      <c r="AH4" s="980" t="s">
        <v>778</v>
      </c>
      <c r="AI4" s="980"/>
      <c r="AJ4" s="980"/>
      <c r="AN4" s="497" t="s">
        <v>848</v>
      </c>
    </row>
    <row r="5" spans="1:51" ht="15.95" customHeight="1" thickBot="1" x14ac:dyDescent="0.25">
      <c r="A5" s="435">
        <v>1</v>
      </c>
      <c r="B5" s="444" t="str">
        <f ca="1">INDIRECT("'Imp. Qualif.'!L"&amp;INDIRECT("f"&amp;ROW()))</f>
        <v/>
      </c>
      <c r="C5" s="444" t="str">
        <f ca="1">INDIRECT("'Imp. Qualif.'!M"&amp;INDIRECT("f"&amp;ROW()))</f>
        <v/>
      </c>
      <c r="D5" s="444" t="str">
        <f ca="1">INDIRECT("'Imp. Qualif.'!N"&amp;INDIRECT("f"&amp;ROW()))</f>
        <v/>
      </c>
      <c r="E5" s="486">
        <f ca="1">INDIRECT("'Imp. Qualif.'!O"&amp;INDIRECT("f"&amp;ROW()))</f>
        <v>0</v>
      </c>
      <c r="F5" s="489">
        <v>11</v>
      </c>
      <c r="G5" s="488" t="str">
        <f ca="1">B5&amp;C5</f>
        <v/>
      </c>
      <c r="H5" s="898" t="str">
        <f ca="1">IF(B5&lt;&gt;"",B5,"")</f>
        <v/>
      </c>
      <c r="I5" s="898" t="str">
        <f t="shared" ref="I5:J20" ca="1" si="0">IF(C5&lt;&gt;"",C5,"")</f>
        <v/>
      </c>
      <c r="J5" s="898" t="str">
        <f t="shared" ca="1" si="0"/>
        <v/>
      </c>
      <c r="L5" s="979" t="s">
        <v>836</v>
      </c>
      <c r="M5" s="1247"/>
      <c r="N5" s="1247"/>
      <c r="O5" s="443"/>
      <c r="P5" s="443"/>
      <c r="R5" s="979"/>
      <c r="S5" s="1247"/>
      <c r="T5" s="1247"/>
      <c r="U5" s="443"/>
      <c r="V5" s="443"/>
      <c r="W5" s="445"/>
      <c r="X5" s="979" t="s">
        <v>777</v>
      </c>
      <c r="Y5" s="1247"/>
      <c r="Z5" s="1247"/>
      <c r="AA5" s="443"/>
      <c r="AH5" s="981"/>
      <c r="AI5" s="981"/>
      <c r="AJ5" s="981"/>
      <c r="AN5" s="494" t="s">
        <v>839</v>
      </c>
      <c r="AO5" s="494" t="s">
        <v>840</v>
      </c>
      <c r="AP5" s="494" t="s">
        <v>841</v>
      </c>
      <c r="AQ5" s="496" t="s">
        <v>793</v>
      </c>
      <c r="AR5" s="494" t="s">
        <v>842</v>
      </c>
      <c r="AS5" s="494" t="s">
        <v>843</v>
      </c>
      <c r="AT5" s="494" t="s">
        <v>844</v>
      </c>
      <c r="AU5" s="496" t="s">
        <v>793</v>
      </c>
      <c r="AV5" s="494" t="s">
        <v>845</v>
      </c>
      <c r="AW5" s="494" t="s">
        <v>846</v>
      </c>
      <c r="AX5" s="494" t="s">
        <v>847</v>
      </c>
      <c r="AY5" s="496" t="s">
        <v>793</v>
      </c>
    </row>
    <row r="6" spans="1:51" ht="15.95" customHeight="1" thickBot="1" x14ac:dyDescent="0.25">
      <c r="A6" s="435">
        <v>2</v>
      </c>
      <c r="B6" s="444" t="str">
        <f ca="1">INDIRECT("'Imp. Qualif.'!L"&amp;INDIRECT("f"&amp;ROW()))</f>
        <v/>
      </c>
      <c r="C6" s="444" t="str">
        <f ca="1">INDIRECT("'Imp. Qualif.'!M"&amp;INDIRECT("f"&amp;ROW()))</f>
        <v/>
      </c>
      <c r="D6" s="444" t="str">
        <f ca="1">INDIRECT("'Imp. Qualif.'!N"&amp;INDIRECT("f"&amp;ROW()))</f>
        <v/>
      </c>
      <c r="E6" s="486">
        <f ca="1">INDIRECT("'Imp. Qualif.'!O"&amp;INDIRECT("f"&amp;ROW()))</f>
        <v>0</v>
      </c>
      <c r="F6" s="489">
        <v>12</v>
      </c>
      <c r="G6" s="488" t="str">
        <f t="shared" ref="G6:G28" ca="1" si="1">B6&amp;C6</f>
        <v/>
      </c>
      <c r="H6" s="898" t="str">
        <f t="shared" ref="H6:J28" ca="1" si="2">IF(B6&lt;&gt;"",B6,"")</f>
        <v/>
      </c>
      <c r="I6" s="898" t="str">
        <f t="shared" ca="1" si="0"/>
        <v/>
      </c>
      <c r="J6" s="898" t="str">
        <f t="shared" ca="1" si="0"/>
        <v/>
      </c>
      <c r="K6" s="445" t="s">
        <v>779</v>
      </c>
      <c r="L6" s="779" t="s">
        <v>1083</v>
      </c>
      <c r="M6" s="456" t="s">
        <v>481</v>
      </c>
      <c r="N6" s="464" t="s">
        <v>780</v>
      </c>
      <c r="O6" s="817" t="s">
        <v>781</v>
      </c>
      <c r="P6" s="445"/>
      <c r="Q6" s="445" t="s">
        <v>779</v>
      </c>
      <c r="R6" s="779" t="s">
        <v>1083</v>
      </c>
      <c r="S6" s="456" t="s">
        <v>481</v>
      </c>
      <c r="T6" s="464" t="s">
        <v>780</v>
      </c>
      <c r="U6" s="817" t="s">
        <v>781</v>
      </c>
      <c r="V6" s="445"/>
      <c r="W6" s="445" t="s">
        <v>779</v>
      </c>
      <c r="X6" s="779" t="s">
        <v>1083</v>
      </c>
      <c r="Y6" s="456" t="s">
        <v>481</v>
      </c>
      <c r="Z6" s="464" t="s">
        <v>780</v>
      </c>
      <c r="AA6" s="817" t="s">
        <v>781</v>
      </c>
      <c r="AH6" s="483" t="s">
        <v>782</v>
      </c>
      <c r="AI6" s="484" t="s">
        <v>375</v>
      </c>
      <c r="AJ6" s="485" t="s">
        <v>783</v>
      </c>
      <c r="AN6" s="494">
        <f>K7</f>
        <v>1</v>
      </c>
      <c r="AO6" s="495" t="str">
        <f ca="1">L8</f>
        <v/>
      </c>
      <c r="AP6" s="784" t="s">
        <v>1326</v>
      </c>
      <c r="AQ6" s="496" t="s">
        <v>793</v>
      </c>
      <c r="AR6" s="494">
        <f>Q7</f>
        <v>1</v>
      </c>
      <c r="AS6" s="495" t="str">
        <f ca="1">R8</f>
        <v/>
      </c>
      <c r="AT6" s="784" t="str">
        <f>AS7</f>
        <v/>
      </c>
      <c r="AU6" s="496" t="s">
        <v>793</v>
      </c>
      <c r="AV6" s="494">
        <f>W7</f>
        <v>1</v>
      </c>
      <c r="AW6" s="495" t="str">
        <f>X8</f>
        <v/>
      </c>
      <c r="AX6" s="495" t="str">
        <f>X10</f>
        <v/>
      </c>
      <c r="AY6" s="496" t="s">
        <v>793</v>
      </c>
    </row>
    <row r="7" spans="1:51" ht="15.95" customHeight="1" thickBot="1" x14ac:dyDescent="0.25">
      <c r="A7" s="435">
        <v>3</v>
      </c>
      <c r="B7" s="444" t="str">
        <f ca="1">INDIRECT("'Imp. Qualif.'!L"&amp;INDIRECT("f"&amp;ROW()))</f>
        <v/>
      </c>
      <c r="C7" s="444" t="str">
        <f ca="1">INDIRECT("'Imp. Qualif.'!M"&amp;INDIRECT("f"&amp;ROW()))</f>
        <v/>
      </c>
      <c r="D7" s="444" t="str">
        <f ca="1">INDIRECT("'Imp. Qualif.'!N"&amp;INDIRECT("f"&amp;ROW()))</f>
        <v/>
      </c>
      <c r="E7" s="486">
        <f ca="1">INDIRECT("'Imp. Qualif.'!O"&amp;INDIRECT("f"&amp;ROW()))</f>
        <v>0</v>
      </c>
      <c r="F7" s="489">
        <v>13</v>
      </c>
      <c r="G7" s="488" t="str">
        <f t="shared" ca="1" si="1"/>
        <v/>
      </c>
      <c r="H7" s="898" t="str">
        <f t="shared" ca="1" si="2"/>
        <v/>
      </c>
      <c r="I7" s="898" t="str">
        <f t="shared" ca="1" si="0"/>
        <v/>
      </c>
      <c r="J7" s="898" t="str">
        <f t="shared" ca="1" si="0"/>
        <v/>
      </c>
      <c r="K7" s="447">
        <f>Num_Cible</f>
        <v>1</v>
      </c>
      <c r="L7" s="472">
        <v>1</v>
      </c>
      <c r="M7" s="465" t="str">
        <f ca="1">IFERROR(VLOOKUP(L8,$G$5:$J$28,2,FALSE),"")</f>
        <v/>
      </c>
      <c r="N7" s="966"/>
      <c r="O7" s="780"/>
      <c r="Q7" s="447">
        <f>K7</f>
        <v>1</v>
      </c>
      <c r="R7" s="472">
        <v>1</v>
      </c>
      <c r="S7" s="465" t="str">
        <f ca="1">IFERROR(VLOOKUP(R8,$G$5:$J$28,2,FALSE),"")</f>
        <v/>
      </c>
      <c r="T7" s="966"/>
      <c r="U7" s="780"/>
      <c r="W7" s="447">
        <f>Q7</f>
        <v>1</v>
      </c>
      <c r="X7" s="472">
        <v>1</v>
      </c>
      <c r="Y7" s="465" t="str">
        <f ca="1">IFERROR(VLOOKUP(X8,$G$5:$J$28,2,FALSE),"")</f>
        <v/>
      </c>
      <c r="Z7" s="966"/>
      <c r="AA7" s="780"/>
      <c r="AF7" s="448" t="s">
        <v>784</v>
      </c>
      <c r="AG7" s="435" t="str">
        <f>IF(ISBLANK(Z7),"",IF(Z7+AA7&gt;Z9+AA9,X8,X10))</f>
        <v/>
      </c>
      <c r="AH7" s="475" t="str">
        <f ca="1">IFERROR(VLOOKUP(AG7,$G$5:$J$28,2,FALSE),"")</f>
        <v/>
      </c>
      <c r="AI7" s="475" t="str">
        <f ca="1">IFERROR(VLOOKUP(AG7,$G$5:$J$28,3,FALSE),"")</f>
        <v/>
      </c>
      <c r="AJ7" s="475" t="str">
        <f ca="1">IFERROR(VLOOKUP(AG7,$G$5:$J$28,4,FALSE),"")</f>
        <v/>
      </c>
      <c r="AN7" s="494">
        <f>K13</f>
        <v>2</v>
      </c>
      <c r="AO7" s="495" t="str">
        <f ca="1">L14</f>
        <v/>
      </c>
      <c r="AP7" s="784" t="str">
        <f ca="1">AO8</f>
        <v/>
      </c>
      <c r="AQ7" s="496" t="s">
        <v>793</v>
      </c>
      <c r="AR7" s="494">
        <f>Q9</f>
        <v>2</v>
      </c>
      <c r="AS7" s="495" t="str">
        <f>R10</f>
        <v/>
      </c>
      <c r="AT7" s="784" t="str">
        <f ca="1">AS6</f>
        <v/>
      </c>
      <c r="AU7" s="496" t="s">
        <v>793</v>
      </c>
      <c r="AV7" s="494">
        <f>W9</f>
        <v>2</v>
      </c>
      <c r="AW7" s="495" t="str">
        <f>X10</f>
        <v/>
      </c>
      <c r="AX7" s="495" t="str">
        <f>X8</f>
        <v/>
      </c>
      <c r="AY7" s="496" t="s">
        <v>793</v>
      </c>
    </row>
    <row r="8" spans="1:51" ht="15.95" customHeight="1" thickBot="1" x14ac:dyDescent="0.25">
      <c r="A8" s="435">
        <v>4</v>
      </c>
      <c r="B8" s="444" t="str">
        <f ca="1">INDIRECT("'Imp. Qualif.'!L"&amp;INDIRECT("f"&amp;ROW()))</f>
        <v/>
      </c>
      <c r="C8" s="444" t="str">
        <f ca="1">INDIRECT("'Imp. Qualif.'!M"&amp;INDIRECT("f"&amp;ROW()))</f>
        <v/>
      </c>
      <c r="D8" s="444" t="str">
        <f ca="1">INDIRECT("'Imp. Qualif.'!N"&amp;INDIRECT("f"&amp;ROW()))</f>
        <v/>
      </c>
      <c r="E8" s="486">
        <f ca="1">INDIRECT("'Imp. Qualif.'!O"&amp;INDIRECT("f"&amp;ROW()))</f>
        <v>0</v>
      </c>
      <c r="F8" s="489">
        <v>14</v>
      </c>
      <c r="G8" s="488" t="str">
        <f t="shared" ca="1" si="1"/>
        <v/>
      </c>
      <c r="H8" s="898" t="str">
        <f t="shared" ca="1" si="2"/>
        <v/>
      </c>
      <c r="I8" s="898" t="str">
        <f t="shared" ca="1" si="0"/>
        <v/>
      </c>
      <c r="J8" s="898" t="str">
        <f t="shared" ca="1" si="0"/>
        <v/>
      </c>
      <c r="K8" s="447"/>
      <c r="L8" s="473" t="str">
        <f ca="1">VLOOKUP(L7,$A$5:$G$24,7,FALSE)</f>
        <v/>
      </c>
      <c r="M8" s="466" t="str">
        <f ca="1">IFERROR(VLOOKUP(L8,$G$5:$J$28,3,FALSE),"")</f>
        <v/>
      </c>
      <c r="N8" s="967"/>
      <c r="O8" s="783"/>
      <c r="Q8" s="447"/>
      <c r="R8" s="473" t="str">
        <f ca="1">L8</f>
        <v/>
      </c>
      <c r="S8" s="466" t="str">
        <f ca="1">IFERROR(VLOOKUP(R8,$G$5:$J$28,3,FALSE),"")</f>
        <v/>
      </c>
      <c r="T8" s="967"/>
      <c r="U8" s="441" t="str">
        <f>IF(W34=1,1,IF(W34=2,4,IF(W34=3,5,"")))</f>
        <v/>
      </c>
      <c r="W8" s="447"/>
      <c r="X8" s="473" t="str">
        <f>IF(ISBLANK(T7),"",IF(U7+T7&gt;T9+U9,R8,R10))</f>
        <v/>
      </c>
      <c r="Y8" s="466" t="str">
        <f ca="1">IFERROR(VLOOKUP(X8,$G$5:$J$28,3,FALSE),"")</f>
        <v/>
      </c>
      <c r="Z8" s="967"/>
      <c r="AF8" s="449" t="s">
        <v>785</v>
      </c>
      <c r="AG8" s="435" t="str">
        <f>IF(ISBLANK(Z7),"",IF(Z7+AA7&lt;Z9+AA9,X8,X10))</f>
        <v/>
      </c>
      <c r="AH8" s="478" t="str">
        <f t="shared" ref="AH8:AH11" ca="1" si="3">IFERROR(VLOOKUP(AG8,$G$5:$J$28,2,FALSE),"")</f>
        <v/>
      </c>
      <c r="AI8" s="897" t="str">
        <f t="shared" ref="AI8:AI11" ca="1" si="4">IFERROR(VLOOKUP(AG8,$G$5:$J$28,3,FALSE),"")</f>
        <v/>
      </c>
      <c r="AJ8" s="915" t="str">
        <f t="shared" ref="AJ8:AJ11" ca="1" si="5">IFERROR(VLOOKUP(AG8,$G$5:$J$28,4,FALSE),"")</f>
        <v/>
      </c>
      <c r="AN8" s="494">
        <f>K15</f>
        <v>3</v>
      </c>
      <c r="AO8" s="495" t="str">
        <f ca="1">L16</f>
        <v/>
      </c>
      <c r="AP8" s="784" t="str">
        <f ca="1">AO7</f>
        <v/>
      </c>
      <c r="AQ8" s="496" t="s">
        <v>793</v>
      </c>
      <c r="AR8" s="494">
        <f>Q14</f>
        <v>3</v>
      </c>
      <c r="AS8" s="495" t="str">
        <f ca="1">R15</f>
        <v/>
      </c>
      <c r="AT8" s="784" t="str">
        <f ca="1">AS9</f>
        <v/>
      </c>
      <c r="AU8" s="496" t="s">
        <v>793</v>
      </c>
      <c r="AV8" s="494">
        <f>W16</f>
        <v>3</v>
      </c>
      <c r="AW8" s="495" t="str">
        <f>X17</f>
        <v/>
      </c>
      <c r="AX8" s="784" t="str">
        <f>AW9</f>
        <v/>
      </c>
      <c r="AY8" s="496" t="s">
        <v>793</v>
      </c>
    </row>
    <row r="9" spans="1:51" ht="15.95" customHeight="1" thickBot="1" x14ac:dyDescent="0.25">
      <c r="A9" s="435">
        <v>5</v>
      </c>
      <c r="B9" s="444" t="str">
        <f ca="1">INDIRECT("'Imp. Qualif.'!L"&amp;INDIRECT("f"&amp;ROW()))</f>
        <v/>
      </c>
      <c r="C9" s="444" t="str">
        <f ca="1">INDIRECT("'Imp. Qualif.'!M"&amp;INDIRECT("f"&amp;ROW()))</f>
        <v/>
      </c>
      <c r="D9" s="444" t="str">
        <f ca="1">INDIRECT("'Imp. Qualif.'!N"&amp;INDIRECT("f"&amp;ROW()))</f>
        <v/>
      </c>
      <c r="E9" s="486">
        <f ca="1">INDIRECT("'Imp. Qualif.'!O"&amp;INDIRECT("f"&amp;ROW()))</f>
        <v>0</v>
      </c>
      <c r="F9" s="489">
        <v>15</v>
      </c>
      <c r="G9" s="488" t="str">
        <f t="shared" ca="1" si="1"/>
        <v/>
      </c>
      <c r="H9" s="898" t="str">
        <f t="shared" ca="1" si="2"/>
        <v/>
      </c>
      <c r="I9" s="898" t="str">
        <f t="shared" ca="1" si="0"/>
        <v/>
      </c>
      <c r="J9" s="898" t="str">
        <f t="shared" ca="1" si="0"/>
        <v/>
      </c>
      <c r="K9" s="447"/>
      <c r="L9" s="516"/>
      <c r="M9" s="516"/>
      <c r="N9" s="457"/>
      <c r="Q9" s="447">
        <f>Q7+1</f>
        <v>2</v>
      </c>
      <c r="R9" s="472">
        <v>4</v>
      </c>
      <c r="S9" s="465" t="str">
        <f ca="1">IFERROR(VLOOKUP(R10,$G$5:$J$28,2,FALSE),"")</f>
        <v/>
      </c>
      <c r="T9" s="966"/>
      <c r="U9" s="780"/>
      <c r="W9" s="447">
        <f>W7+1</f>
        <v>2</v>
      </c>
      <c r="X9" s="472">
        <v>2</v>
      </c>
      <c r="Y9" s="465" t="str">
        <f ca="1">IFERROR(VLOOKUP(X10,$G$5:$J$28,2,FALSE),"")</f>
        <v/>
      </c>
      <c r="Z9" s="966"/>
      <c r="AA9" s="780"/>
      <c r="AF9" s="452" t="s">
        <v>786</v>
      </c>
      <c r="AG9" s="435" t="str">
        <f>IF(ISBLANK(Z16),"",IF(Z16+AA16&gt;Z18+AA18,X17,X19))</f>
        <v/>
      </c>
      <c r="AH9" s="478" t="str">
        <f t="shared" ca="1" si="3"/>
        <v/>
      </c>
      <c r="AI9" s="897" t="str">
        <f t="shared" ca="1" si="4"/>
        <v/>
      </c>
      <c r="AJ9" s="915" t="str">
        <f t="shared" ca="1" si="5"/>
        <v/>
      </c>
      <c r="AN9" s="494">
        <f>K20</f>
        <v>4</v>
      </c>
      <c r="AO9" s="495" t="str">
        <f ca="1">L21</f>
        <v/>
      </c>
      <c r="AP9" s="784" t="s">
        <v>1326</v>
      </c>
      <c r="AQ9" s="496" t="s">
        <v>793</v>
      </c>
      <c r="AR9" s="494">
        <f>Q16</f>
        <v>4</v>
      </c>
      <c r="AS9" s="495" t="str">
        <f ca="1">R17</f>
        <v/>
      </c>
      <c r="AT9" s="784" t="str">
        <f ca="1">AS8</f>
        <v/>
      </c>
      <c r="AU9" s="496" t="s">
        <v>793</v>
      </c>
      <c r="AV9" s="494">
        <f>W16</f>
        <v>3</v>
      </c>
      <c r="AW9" s="495" t="str">
        <f>X19</f>
        <v/>
      </c>
      <c r="AX9" s="784" t="str">
        <f>AW8</f>
        <v/>
      </c>
      <c r="AY9" s="496" t="s">
        <v>793</v>
      </c>
    </row>
    <row r="10" spans="1:51" ht="15.95" customHeight="1" thickBot="1" x14ac:dyDescent="0.25">
      <c r="G10" s="488" t="str">
        <f t="shared" si="1"/>
        <v/>
      </c>
      <c r="H10" s="898" t="str">
        <f t="shared" si="2"/>
        <v/>
      </c>
      <c r="I10" s="898" t="str">
        <f t="shared" si="0"/>
        <v/>
      </c>
      <c r="J10" s="898" t="str">
        <f t="shared" si="0"/>
        <v/>
      </c>
      <c r="K10" s="447"/>
      <c r="L10" s="516"/>
      <c r="M10" s="516"/>
      <c r="N10" s="457"/>
      <c r="Q10" s="447"/>
      <c r="R10" s="473" t="str">
        <f>IF(ISBLANK(N13),"",IF(O13+N13&gt;N15+O15,L14,L16))</f>
        <v/>
      </c>
      <c r="S10" s="466" t="str">
        <f ca="1">IFERROR(VLOOKUP(R10,$G$5:$J$28,3,FALSE),"")</f>
        <v/>
      </c>
      <c r="T10" s="967"/>
      <c r="U10" s="441" t="str">
        <f>IF(W35=1,1,IF(W35=2,4,IF(W35=3,5,"")))</f>
        <v/>
      </c>
      <c r="W10" s="447"/>
      <c r="X10" s="473" t="str">
        <f>IF(ISBLANK(T14),"",IF(U14+T14&gt;T16+U16,R15,R17))</f>
        <v/>
      </c>
      <c r="Y10" s="466" t="str">
        <f ca="1">IFERROR(VLOOKUP(X10,$G$5:$J$28,3,FALSE),"")</f>
        <v/>
      </c>
      <c r="Z10" s="967"/>
      <c r="AF10" s="453" t="s">
        <v>788</v>
      </c>
      <c r="AG10" s="435" t="str">
        <f>IF(ISBLANK(Z16),"",IF(Z16+AA16&lt;Z18+AA18,X17,X19))</f>
        <v/>
      </c>
      <c r="AH10" s="478" t="str">
        <f t="shared" ca="1" si="3"/>
        <v/>
      </c>
      <c r="AI10" s="897" t="str">
        <f t="shared" ca="1" si="4"/>
        <v/>
      </c>
      <c r="AJ10" s="915" t="str">
        <f t="shared" ca="1" si="5"/>
        <v/>
      </c>
      <c r="AN10" s="494">
        <f>K22</f>
        <v>5</v>
      </c>
      <c r="AO10" s="495" t="str">
        <f ca="1">L23</f>
        <v/>
      </c>
      <c r="AP10" s="784" t="s">
        <v>1326</v>
      </c>
      <c r="AQ10" s="496" t="s">
        <v>793</v>
      </c>
      <c r="AR10" s="494">
        <f>Q22</f>
        <v>5</v>
      </c>
      <c r="AS10" s="495" t="str">
        <f>R23</f>
        <v/>
      </c>
      <c r="AT10" s="784" t="s">
        <v>1326</v>
      </c>
      <c r="AU10" s="496" t="s">
        <v>793</v>
      </c>
      <c r="AV10" s="494">
        <f>W18</f>
        <v>4</v>
      </c>
      <c r="AW10" s="784" t="s">
        <v>1326</v>
      </c>
      <c r="AX10" s="784" t="s">
        <v>1326</v>
      </c>
      <c r="AY10" s="496" t="s">
        <v>793</v>
      </c>
    </row>
    <row r="11" spans="1:51" ht="15.95" customHeight="1" thickBot="1" x14ac:dyDescent="0.25">
      <c r="G11" s="488" t="str">
        <f t="shared" si="1"/>
        <v/>
      </c>
      <c r="H11" s="898" t="str">
        <f t="shared" si="2"/>
        <v/>
      </c>
      <c r="I11" s="898" t="str">
        <f t="shared" si="0"/>
        <v/>
      </c>
      <c r="J11" s="898" t="str">
        <f t="shared" si="0"/>
        <v/>
      </c>
      <c r="P11" s="450"/>
      <c r="V11" s="450"/>
      <c r="W11" s="450"/>
      <c r="X11" s="450"/>
      <c r="Y11" s="450"/>
      <c r="Z11" s="451"/>
      <c r="AA11" s="450"/>
      <c r="AF11" s="453" t="s">
        <v>789</v>
      </c>
      <c r="AG11" s="896" t="str">
        <f>R23</f>
        <v/>
      </c>
      <c r="AH11" s="480" t="str">
        <f t="shared" ca="1" si="3"/>
        <v/>
      </c>
      <c r="AI11" s="481" t="str">
        <f t="shared" ca="1" si="4"/>
        <v/>
      </c>
      <c r="AJ11" s="916" t="str">
        <f t="shared" ca="1" si="5"/>
        <v/>
      </c>
      <c r="AN11" s="494"/>
      <c r="AO11" s="495"/>
      <c r="AP11" s="495"/>
      <c r="AQ11" s="496" t="s">
        <v>793</v>
      </c>
      <c r="AR11" s="494"/>
      <c r="AS11" s="495"/>
      <c r="AT11" s="495"/>
      <c r="AU11" s="496" t="s">
        <v>793</v>
      </c>
      <c r="AV11" s="494"/>
      <c r="AW11" s="495"/>
      <c r="AX11" s="495"/>
      <c r="AY11" s="496" t="s">
        <v>793</v>
      </c>
    </row>
    <row r="12" spans="1:51" ht="15.95" customHeight="1" thickBot="1" x14ac:dyDescent="0.25">
      <c r="G12" s="488" t="str">
        <f t="shared" si="1"/>
        <v/>
      </c>
      <c r="H12" s="898" t="str">
        <f t="shared" si="2"/>
        <v/>
      </c>
      <c r="I12" s="898" t="str">
        <f t="shared" si="0"/>
        <v/>
      </c>
      <c r="J12" s="898" t="str">
        <f t="shared" si="0"/>
        <v/>
      </c>
      <c r="K12" s="445" t="s">
        <v>779</v>
      </c>
      <c r="L12" s="779" t="s">
        <v>1083</v>
      </c>
      <c r="M12" s="456" t="s">
        <v>481</v>
      </c>
      <c r="N12" s="464" t="s">
        <v>780</v>
      </c>
      <c r="O12" s="817" t="s">
        <v>781</v>
      </c>
      <c r="P12" s="450"/>
      <c r="V12" s="450"/>
      <c r="AF12" s="453"/>
      <c r="AG12" s="453"/>
      <c r="AH12" s="453"/>
      <c r="AI12" s="453"/>
      <c r="AJ12" s="453"/>
      <c r="AN12" s="494"/>
      <c r="AO12" s="495"/>
      <c r="AP12" s="495"/>
      <c r="AQ12" s="496" t="s">
        <v>793</v>
      </c>
      <c r="AR12" s="494"/>
      <c r="AS12" s="495"/>
      <c r="AT12" s="495"/>
      <c r="AU12" s="496"/>
      <c r="AV12" s="494"/>
      <c r="AW12" s="495"/>
      <c r="AX12" s="495"/>
      <c r="AY12" s="496" t="s">
        <v>793</v>
      </c>
    </row>
    <row r="13" spans="1:51" ht="15.95" customHeight="1" thickBot="1" x14ac:dyDescent="0.25">
      <c r="G13" s="488" t="str">
        <f t="shared" si="1"/>
        <v/>
      </c>
      <c r="H13" s="898" t="str">
        <f t="shared" si="2"/>
        <v/>
      </c>
      <c r="I13" s="898" t="str">
        <f t="shared" si="0"/>
        <v/>
      </c>
      <c r="J13" s="898" t="str">
        <f t="shared" si="0"/>
        <v/>
      </c>
      <c r="K13" s="447">
        <f>K7+1</f>
        <v>2</v>
      </c>
      <c r="L13" s="472">
        <v>4</v>
      </c>
      <c r="M13" s="465" t="str">
        <f ca="1">IFERROR(VLOOKUP(L14,$G$5:$J$28,2,FALSE),"")</f>
        <v/>
      </c>
      <c r="N13" s="966"/>
      <c r="O13" s="780"/>
      <c r="P13" s="445"/>
      <c r="R13" s="779" t="s">
        <v>1083</v>
      </c>
      <c r="S13" s="456" t="s">
        <v>481</v>
      </c>
      <c r="T13" s="464" t="s">
        <v>780</v>
      </c>
      <c r="V13" s="445"/>
      <c r="AF13" s="453"/>
      <c r="AG13" s="453"/>
      <c r="AH13" s="453"/>
      <c r="AI13" s="453"/>
      <c r="AJ13" s="453"/>
      <c r="AN13" s="494"/>
      <c r="AO13" s="495"/>
      <c r="AP13" s="495"/>
      <c r="AQ13" s="496" t="s">
        <v>793</v>
      </c>
      <c r="AR13" s="494"/>
      <c r="AS13" s="495"/>
      <c r="AT13" s="495"/>
      <c r="AU13" s="496"/>
      <c r="AV13" s="494"/>
      <c r="AW13" s="495"/>
      <c r="AX13" s="495"/>
      <c r="AY13" s="496" t="s">
        <v>793</v>
      </c>
    </row>
    <row r="14" spans="1:51" ht="15.95" customHeight="1" thickBot="1" x14ac:dyDescent="0.25">
      <c r="G14" s="488" t="str">
        <f t="shared" si="1"/>
        <v/>
      </c>
      <c r="H14" s="898" t="str">
        <f t="shared" si="2"/>
        <v/>
      </c>
      <c r="I14" s="898" t="str">
        <f t="shared" si="0"/>
        <v/>
      </c>
      <c r="J14" s="898" t="str">
        <f t="shared" si="0"/>
        <v/>
      </c>
      <c r="K14" s="447"/>
      <c r="L14" s="473" t="str">
        <f ca="1">VLOOKUP(L13,$A$5:$G$24,7,FALSE)</f>
        <v/>
      </c>
      <c r="M14" s="466" t="str">
        <f ca="1">IFERROR(VLOOKUP(L14,$G$5:$J$28,3,FALSE),"")</f>
        <v/>
      </c>
      <c r="N14" s="967"/>
      <c r="Q14" s="447">
        <f>Q9+1</f>
        <v>3</v>
      </c>
      <c r="R14" s="472">
        <v>2</v>
      </c>
      <c r="S14" s="465" t="str">
        <f ca="1">IFERROR(VLOOKUP(R15,$G$5:$J$28,2,FALSE),"")</f>
        <v/>
      </c>
      <c r="T14" s="966"/>
      <c r="U14" s="780"/>
      <c r="W14" s="450"/>
      <c r="X14" s="979" t="s">
        <v>787</v>
      </c>
      <c r="Y14" s="1247"/>
      <c r="Z14" s="1247"/>
      <c r="AA14" s="450"/>
      <c r="AF14" s="453"/>
      <c r="AG14" s="453"/>
      <c r="AH14" s="453"/>
      <c r="AI14" s="453"/>
      <c r="AJ14" s="453"/>
      <c r="AN14" s="494"/>
      <c r="AO14" s="495"/>
      <c r="AP14" s="495"/>
      <c r="AQ14" s="496"/>
      <c r="AR14" s="494"/>
      <c r="AS14" s="495"/>
      <c r="AT14" s="495"/>
      <c r="AU14" s="496"/>
      <c r="AV14" s="494"/>
      <c r="AW14" s="495"/>
      <c r="AX14" s="495"/>
      <c r="AY14" s="496" t="s">
        <v>793</v>
      </c>
    </row>
    <row r="15" spans="1:51" ht="15.95" customHeight="1" thickBot="1" x14ac:dyDescent="0.25">
      <c r="G15" s="488" t="str">
        <f t="shared" si="1"/>
        <v/>
      </c>
      <c r="H15" s="898" t="str">
        <f t="shared" si="2"/>
        <v/>
      </c>
      <c r="I15" s="898" t="str">
        <f t="shared" si="0"/>
        <v/>
      </c>
      <c r="J15" s="898" t="str">
        <f t="shared" si="0"/>
        <v/>
      </c>
      <c r="K15" s="447">
        <f>K13+1</f>
        <v>3</v>
      </c>
      <c r="L15" s="472">
        <v>5</v>
      </c>
      <c r="M15" s="465" t="str">
        <f ca="1">IFERROR(VLOOKUP(L16,$G$5:$J$28,2,FALSE),"")</f>
        <v/>
      </c>
      <c r="N15" s="966"/>
      <c r="O15" s="780"/>
      <c r="Q15" s="447"/>
      <c r="R15" s="473" t="str">
        <f ca="1">L21</f>
        <v/>
      </c>
      <c r="S15" s="466" t="str">
        <f ca="1">IFERROR(VLOOKUP(R15,$G$5:$J$28,3,FALSE),"")</f>
        <v/>
      </c>
      <c r="T15" s="967"/>
      <c r="U15" s="441" t="str">
        <f>IF(W36=1,1,IF(W36=2,4,IF(W36=3,5,"")))</f>
        <v/>
      </c>
      <c r="W15" s="445" t="s">
        <v>779</v>
      </c>
      <c r="X15" s="779" t="s">
        <v>1083</v>
      </c>
      <c r="Y15" s="456" t="s">
        <v>481</v>
      </c>
      <c r="Z15" s="464" t="s">
        <v>780</v>
      </c>
      <c r="AA15" s="817" t="s">
        <v>781</v>
      </c>
      <c r="AF15" s="453"/>
      <c r="AG15" s="453"/>
      <c r="AH15" s="453"/>
      <c r="AI15" s="453"/>
      <c r="AJ15" s="453"/>
      <c r="AN15" s="494"/>
      <c r="AO15" s="495"/>
      <c r="AP15" s="495"/>
      <c r="AQ15" s="496"/>
      <c r="AR15" s="494"/>
      <c r="AS15" s="495"/>
      <c r="AT15" s="495"/>
      <c r="AU15" s="496"/>
      <c r="AV15" s="494"/>
      <c r="AW15" s="495"/>
      <c r="AX15" s="495"/>
      <c r="AY15" s="496" t="s">
        <v>793</v>
      </c>
    </row>
    <row r="16" spans="1:51" ht="15.95" customHeight="1" thickBot="1" x14ac:dyDescent="0.25">
      <c r="G16" s="488" t="str">
        <f t="shared" si="1"/>
        <v/>
      </c>
      <c r="H16" s="898" t="str">
        <f t="shared" si="2"/>
        <v/>
      </c>
      <c r="I16" s="898" t="str">
        <f t="shared" si="0"/>
        <v/>
      </c>
      <c r="J16" s="898" t="str">
        <f t="shared" si="0"/>
        <v/>
      </c>
      <c r="K16" s="447"/>
      <c r="L16" s="473" t="str">
        <f ca="1">VLOOKUP(L15,$A$5:$G$24,7,FALSE)</f>
        <v/>
      </c>
      <c r="M16" s="466" t="str">
        <f ca="1">IFERROR(VLOOKUP(L16,$G$5:$J$28,3,FALSE),"")</f>
        <v/>
      </c>
      <c r="N16" s="967"/>
      <c r="Q16" s="447">
        <f>Q14+1</f>
        <v>4</v>
      </c>
      <c r="R16" s="472">
        <v>3</v>
      </c>
      <c r="S16" s="465" t="str">
        <f ca="1">IFERROR(VLOOKUP(R17,$G$5:$J$28,2,FALSE),"")</f>
        <v/>
      </c>
      <c r="T16" s="966"/>
      <c r="U16" s="780"/>
      <c r="W16" s="447">
        <f>W9+1</f>
        <v>3</v>
      </c>
      <c r="X16" s="472">
        <v>4</v>
      </c>
      <c r="Y16" s="465" t="str">
        <f ca="1">IFERROR(VLOOKUP(X17,$G$5:$J$28,2,FALSE),"")</f>
        <v/>
      </c>
      <c r="Z16" s="966"/>
      <c r="AA16" s="780"/>
      <c r="AF16" s="453"/>
      <c r="AG16" s="453"/>
      <c r="AH16" s="453"/>
      <c r="AI16" s="453"/>
      <c r="AJ16" s="453"/>
      <c r="AN16" s="494"/>
      <c r="AO16" s="495"/>
      <c r="AP16" s="495"/>
      <c r="AQ16" s="496"/>
      <c r="AR16" s="494"/>
      <c r="AS16" s="495"/>
      <c r="AT16" s="495"/>
      <c r="AU16" s="496"/>
      <c r="AV16" s="494"/>
      <c r="AW16" s="495"/>
      <c r="AX16" s="495"/>
      <c r="AY16" s="496" t="s">
        <v>793</v>
      </c>
    </row>
    <row r="17" spans="7:51" ht="15.95" customHeight="1" thickBot="1" x14ac:dyDescent="0.25">
      <c r="G17" s="488" t="str">
        <f t="shared" si="1"/>
        <v/>
      </c>
      <c r="H17" s="898" t="str">
        <f t="shared" si="2"/>
        <v/>
      </c>
      <c r="I17" s="898" t="str">
        <f t="shared" si="0"/>
        <v/>
      </c>
      <c r="J17" s="898" t="str">
        <f t="shared" si="0"/>
        <v/>
      </c>
      <c r="Q17" s="447"/>
      <c r="R17" s="473" t="str">
        <f ca="1">L23</f>
        <v/>
      </c>
      <c r="S17" s="466" t="str">
        <f ca="1">IFERROR(VLOOKUP(R17,$G$5:$J$28,3,FALSE),"")</f>
        <v/>
      </c>
      <c r="T17" s="967"/>
      <c r="W17" s="447"/>
      <c r="X17" s="473" t="str">
        <f>IF(ISBLANK(T7),"",IF(U7+T7&lt;T9+U9,R8,R10))</f>
        <v/>
      </c>
      <c r="Y17" s="466" t="str">
        <f ca="1">IFERROR(VLOOKUP(X17,$G$5:$J$28,3,FALSE),"")</f>
        <v/>
      </c>
      <c r="Z17" s="967"/>
      <c r="AA17" s="781"/>
      <c r="AF17" s="453"/>
      <c r="AG17" s="453"/>
      <c r="AH17" s="453"/>
      <c r="AI17" s="453"/>
      <c r="AJ17" s="453"/>
      <c r="AN17" s="494"/>
      <c r="AO17" s="495"/>
      <c r="AP17" s="495"/>
      <c r="AQ17" s="496"/>
      <c r="AR17" s="494"/>
      <c r="AS17" s="495"/>
      <c r="AT17" s="495"/>
      <c r="AU17" s="496"/>
      <c r="AV17" s="494"/>
      <c r="AW17" s="495"/>
      <c r="AX17" s="495"/>
      <c r="AY17" s="496" t="s">
        <v>793</v>
      </c>
    </row>
    <row r="18" spans="7:51" ht="15.95" customHeight="1" thickBot="1" x14ac:dyDescent="0.25">
      <c r="G18" s="488" t="str">
        <f t="shared" si="1"/>
        <v/>
      </c>
      <c r="H18" s="898" t="str">
        <f t="shared" si="2"/>
        <v/>
      </c>
      <c r="I18" s="898" t="str">
        <f t="shared" si="0"/>
        <v/>
      </c>
      <c r="J18" s="898" t="str">
        <f t="shared" si="0"/>
        <v/>
      </c>
      <c r="P18" s="450"/>
      <c r="T18" s="441"/>
      <c r="V18" s="450"/>
      <c r="W18" s="447">
        <f>W16+1</f>
        <v>4</v>
      </c>
      <c r="X18" s="472">
        <v>3</v>
      </c>
      <c r="Y18" s="465" t="str">
        <f ca="1">IFERROR(VLOOKUP(X19,$G$5:$J$28,2,FALSE),"")</f>
        <v/>
      </c>
      <c r="Z18" s="966"/>
      <c r="AA18" s="780"/>
      <c r="AF18" s="453"/>
      <c r="AG18" s="453"/>
      <c r="AH18" s="453"/>
      <c r="AI18" s="453"/>
      <c r="AJ18" s="453"/>
      <c r="AN18" s="494"/>
      <c r="AO18" s="495"/>
      <c r="AP18" s="495"/>
      <c r="AQ18" s="496"/>
      <c r="AR18" s="494"/>
      <c r="AS18" s="495"/>
      <c r="AT18" s="495"/>
      <c r="AU18" s="496"/>
      <c r="AV18" s="494"/>
      <c r="AW18" s="495"/>
      <c r="AX18" s="495"/>
      <c r="AY18" s="496" t="s">
        <v>793</v>
      </c>
    </row>
    <row r="19" spans="7:51" ht="15.95" customHeight="1" thickBot="1" x14ac:dyDescent="0.25">
      <c r="G19" s="488" t="str">
        <f t="shared" si="1"/>
        <v/>
      </c>
      <c r="H19" s="898" t="str">
        <f t="shared" si="2"/>
        <v/>
      </c>
      <c r="I19" s="898" t="str">
        <f t="shared" si="0"/>
        <v/>
      </c>
      <c r="J19" s="898" t="str">
        <f t="shared" si="0"/>
        <v/>
      </c>
      <c r="K19" s="445" t="s">
        <v>779</v>
      </c>
      <c r="L19" s="779" t="s">
        <v>1083</v>
      </c>
      <c r="M19" s="456" t="s">
        <v>481</v>
      </c>
      <c r="N19" s="464" t="s">
        <v>780</v>
      </c>
      <c r="P19" s="450"/>
      <c r="V19" s="450"/>
      <c r="W19" s="447"/>
      <c r="X19" s="473" t="str">
        <f>IF(ISBLANK(T14),"",IF(U14+T14&lt;T16+U16,R15,R17))</f>
        <v/>
      </c>
      <c r="Y19" s="466" t="str">
        <f ca="1">IFERROR(VLOOKUP(X19,$G$5:$J$28,3,FALSE),"")</f>
        <v/>
      </c>
      <c r="Z19" s="967"/>
      <c r="AA19" s="781"/>
      <c r="AB19" s="435" t="s">
        <v>793</v>
      </c>
      <c r="AF19" s="453"/>
      <c r="AG19" s="453"/>
      <c r="AH19" s="453"/>
      <c r="AI19" s="453"/>
      <c r="AJ19" s="453"/>
      <c r="AN19" s="494"/>
      <c r="AO19" s="495"/>
      <c r="AP19" s="495"/>
      <c r="AQ19" s="496"/>
      <c r="AR19" s="494"/>
      <c r="AS19" s="495"/>
      <c r="AT19" s="495"/>
      <c r="AU19" s="496"/>
      <c r="AV19" s="494"/>
      <c r="AW19" s="495"/>
      <c r="AX19" s="495"/>
      <c r="AY19" s="496" t="s">
        <v>793</v>
      </c>
    </row>
    <row r="20" spans="7:51" ht="15.95" customHeight="1" thickBot="1" x14ac:dyDescent="0.25">
      <c r="G20" s="488" t="str">
        <f t="shared" si="1"/>
        <v/>
      </c>
      <c r="H20" s="898" t="str">
        <f t="shared" si="2"/>
        <v/>
      </c>
      <c r="I20" s="898" t="str">
        <f t="shared" si="0"/>
        <v/>
      </c>
      <c r="J20" s="898" t="str">
        <f t="shared" si="0"/>
        <v/>
      </c>
      <c r="K20" s="447">
        <f>K15+1</f>
        <v>4</v>
      </c>
      <c r="L20" s="472">
        <v>2</v>
      </c>
      <c r="M20" s="465" t="str">
        <f ca="1">IFERROR(VLOOKUP(L21,$G$5:$J$28,2,FALSE),"")</f>
        <v/>
      </c>
      <c r="N20" s="966"/>
      <c r="P20" s="445"/>
      <c r="R20" s="979" t="s">
        <v>1308</v>
      </c>
      <c r="S20" s="1247" t="s">
        <v>1307</v>
      </c>
      <c r="T20" s="1247"/>
      <c r="V20" s="445"/>
      <c r="AF20" s="453"/>
      <c r="AG20" s="453"/>
      <c r="AH20" s="453"/>
      <c r="AI20" s="453"/>
      <c r="AJ20" s="453"/>
      <c r="AN20" s="494"/>
      <c r="AO20" s="495"/>
      <c r="AP20" s="495"/>
      <c r="AQ20" s="496"/>
      <c r="AR20" s="494"/>
      <c r="AS20" s="495"/>
      <c r="AT20" s="495"/>
      <c r="AU20" s="496"/>
      <c r="AV20" s="494"/>
      <c r="AW20" s="495"/>
      <c r="AX20" s="495"/>
      <c r="AY20" s="496" t="s">
        <v>793</v>
      </c>
    </row>
    <row r="21" spans="7:51" ht="15.95" customHeight="1" thickBot="1" x14ac:dyDescent="0.25">
      <c r="G21" s="488" t="str">
        <f t="shared" si="1"/>
        <v/>
      </c>
      <c r="H21" s="898" t="str">
        <f t="shared" si="2"/>
        <v/>
      </c>
      <c r="I21" s="898" t="str">
        <f t="shared" si="2"/>
        <v/>
      </c>
      <c r="J21" s="898" t="str">
        <f t="shared" si="2"/>
        <v/>
      </c>
      <c r="K21" s="447"/>
      <c r="L21" s="473" t="str">
        <f ca="1">VLOOKUP(L20,$A$5:$G$24,7,FALSE)</f>
        <v/>
      </c>
      <c r="M21" s="466" t="str">
        <f ca="1">IFERROR(VLOOKUP(L21,$G$5:$J$28,3,FALSE),"")</f>
        <v/>
      </c>
      <c r="N21" s="967"/>
      <c r="Q21" s="445" t="s">
        <v>779</v>
      </c>
      <c r="R21" s="779" t="s">
        <v>1083</v>
      </c>
      <c r="S21" s="456" t="s">
        <v>481</v>
      </c>
      <c r="T21" s="464" t="s">
        <v>780</v>
      </c>
      <c r="U21" s="817" t="s">
        <v>781</v>
      </c>
      <c r="AF21" s="453"/>
      <c r="AG21" s="453"/>
      <c r="AH21" s="453"/>
      <c r="AI21" s="453"/>
      <c r="AJ21" s="453"/>
      <c r="AN21" s="494"/>
      <c r="AO21" s="495"/>
      <c r="AP21" s="495"/>
      <c r="AQ21" s="496"/>
      <c r="AR21" s="494"/>
      <c r="AS21" s="495"/>
      <c r="AT21" s="495"/>
      <c r="AU21" s="496"/>
      <c r="AV21" s="494"/>
      <c r="AW21" s="495"/>
      <c r="AX21" s="495"/>
      <c r="AY21" s="496" t="s">
        <v>793</v>
      </c>
    </row>
    <row r="22" spans="7:51" ht="15.95" customHeight="1" thickBot="1" x14ac:dyDescent="0.25">
      <c r="G22" s="488" t="str">
        <f t="shared" si="1"/>
        <v/>
      </c>
      <c r="H22" s="898" t="str">
        <f t="shared" si="2"/>
        <v/>
      </c>
      <c r="I22" s="898" t="str">
        <f t="shared" si="2"/>
        <v/>
      </c>
      <c r="J22" s="898" t="str">
        <f t="shared" si="2"/>
        <v/>
      </c>
      <c r="K22" s="447">
        <f>K20+1</f>
        <v>5</v>
      </c>
      <c r="L22" s="472">
        <v>3</v>
      </c>
      <c r="M22" s="465" t="str">
        <f ca="1">IFERROR(VLOOKUP(L23,$G$5:$J$28,2,FALSE),"")</f>
        <v/>
      </c>
      <c r="N22" s="966"/>
      <c r="Q22" s="447">
        <f>Q16+1</f>
        <v>5</v>
      </c>
      <c r="R22" s="472">
        <v>5</v>
      </c>
      <c r="S22" s="465" t="str">
        <f ca="1">IFERROR(VLOOKUP(R23,$G$5:$J$28,2,FALSE),"")</f>
        <v/>
      </c>
      <c r="T22" s="966"/>
      <c r="U22" s="780"/>
      <c r="AF22" s="453"/>
      <c r="AG22" s="453"/>
      <c r="AH22" s="453"/>
      <c r="AI22" s="453"/>
      <c r="AJ22" s="453"/>
      <c r="AN22" s="494"/>
      <c r="AO22" s="495"/>
      <c r="AP22" s="495"/>
      <c r="AQ22" s="496"/>
      <c r="AR22" s="494"/>
      <c r="AS22" s="495"/>
      <c r="AT22" s="495"/>
      <c r="AU22" s="496"/>
      <c r="AV22" s="494"/>
      <c r="AW22" s="495"/>
      <c r="AX22" s="495"/>
      <c r="AY22" s="496" t="s">
        <v>793</v>
      </c>
    </row>
    <row r="23" spans="7:51" ht="15.95" customHeight="1" thickBot="1" x14ac:dyDescent="0.25">
      <c r="G23" s="488" t="str">
        <f t="shared" si="1"/>
        <v/>
      </c>
      <c r="H23" s="898" t="str">
        <f t="shared" si="2"/>
        <v/>
      </c>
      <c r="I23" s="898" t="str">
        <f t="shared" si="2"/>
        <v/>
      </c>
      <c r="J23" s="898" t="str">
        <f t="shared" si="2"/>
        <v/>
      </c>
      <c r="K23" s="447"/>
      <c r="L23" s="473" t="str">
        <f ca="1">VLOOKUP(L22,$A$5:$G$24,7,FALSE)</f>
        <v/>
      </c>
      <c r="M23" s="466" t="str">
        <f ca="1">IFERROR(VLOOKUP(L23,$G$5:$J$28,3,FALSE),"")</f>
        <v/>
      </c>
      <c r="N23" s="967"/>
      <c r="Q23" s="447"/>
      <c r="R23" s="473" t="str">
        <f>IF(ISBLANK(N13),"",IF(O13+N13&lt;N15+O15,L14,L16))</f>
        <v/>
      </c>
      <c r="S23" s="466" t="str">
        <f ca="1">IFERROR(VLOOKUP(R23,$G$5:$J$28,3,FALSE),"")</f>
        <v/>
      </c>
      <c r="T23" s="967"/>
      <c r="V23" s="447"/>
      <c r="AF23" s="453"/>
      <c r="AG23" s="453"/>
      <c r="AH23" s="453"/>
      <c r="AI23" s="453"/>
      <c r="AJ23" s="453"/>
      <c r="AN23" s="494"/>
      <c r="AO23" s="495"/>
      <c r="AP23" s="495"/>
      <c r="AQ23" s="496"/>
      <c r="AR23" s="494"/>
      <c r="AS23" s="495"/>
      <c r="AT23" s="495"/>
      <c r="AU23" s="496"/>
      <c r="AV23" s="494"/>
      <c r="AW23" s="495"/>
      <c r="AX23" s="495"/>
      <c r="AY23" s="496" t="s">
        <v>793</v>
      </c>
    </row>
    <row r="24" spans="7:51" ht="15.95" customHeight="1" x14ac:dyDescent="0.2">
      <c r="G24" s="488" t="str">
        <f t="shared" si="1"/>
        <v/>
      </c>
      <c r="H24" s="898" t="str">
        <f t="shared" si="2"/>
        <v/>
      </c>
      <c r="I24" s="898" t="str">
        <f t="shared" si="2"/>
        <v/>
      </c>
      <c r="J24" s="898" t="str">
        <f t="shared" si="2"/>
        <v/>
      </c>
      <c r="V24" s="447"/>
      <c r="AF24" s="453"/>
      <c r="AG24" s="453"/>
      <c r="AH24" s="453"/>
      <c r="AI24" s="453"/>
      <c r="AJ24" s="453"/>
      <c r="AN24" s="494"/>
      <c r="AO24" s="495"/>
      <c r="AP24" s="495"/>
      <c r="AQ24" s="496"/>
      <c r="AR24" s="494"/>
      <c r="AS24" s="495"/>
      <c r="AT24" s="495"/>
      <c r="AU24" s="496"/>
      <c r="AV24" s="494"/>
      <c r="AW24" s="495"/>
      <c r="AX24" s="495"/>
      <c r="AY24" s="496" t="s">
        <v>793</v>
      </c>
    </row>
    <row r="25" spans="7:51" ht="15.95" customHeight="1" x14ac:dyDescent="0.2">
      <c r="G25" s="488" t="str">
        <f t="shared" si="1"/>
        <v/>
      </c>
      <c r="H25" s="898" t="str">
        <f t="shared" si="2"/>
        <v/>
      </c>
      <c r="I25" s="898" t="str">
        <f t="shared" si="2"/>
        <v/>
      </c>
      <c r="J25" s="898" t="str">
        <f t="shared" si="2"/>
        <v/>
      </c>
      <c r="V25" s="447"/>
      <c r="AF25" s="453"/>
      <c r="AG25" s="453"/>
      <c r="AH25" s="453"/>
      <c r="AI25" s="453"/>
      <c r="AJ25" s="453"/>
      <c r="AN25" s="494"/>
      <c r="AO25" s="495"/>
      <c r="AP25" s="495"/>
      <c r="AQ25" s="496"/>
      <c r="AR25" s="494"/>
      <c r="AS25" s="495"/>
      <c r="AT25" s="495"/>
      <c r="AU25" s="496"/>
      <c r="AV25" s="494"/>
      <c r="AW25" s="495"/>
      <c r="AX25" s="495"/>
      <c r="AY25" s="496" t="s">
        <v>793</v>
      </c>
    </row>
    <row r="26" spans="7:51" ht="15.95" customHeight="1" x14ac:dyDescent="0.2">
      <c r="G26" s="488" t="str">
        <f t="shared" si="1"/>
        <v/>
      </c>
      <c r="H26" s="898" t="str">
        <f t="shared" si="2"/>
        <v/>
      </c>
      <c r="I26" s="898" t="str">
        <f t="shared" si="2"/>
        <v/>
      </c>
      <c r="J26" s="898" t="str">
        <f t="shared" si="2"/>
        <v/>
      </c>
      <c r="K26" s="445"/>
      <c r="L26" s="445"/>
      <c r="M26" s="445"/>
      <c r="N26" s="445"/>
      <c r="O26" s="445"/>
      <c r="P26" s="450"/>
      <c r="V26" s="450"/>
      <c r="AF26" s="453"/>
      <c r="AG26" s="453"/>
      <c r="AH26" s="453"/>
      <c r="AI26" s="453"/>
      <c r="AJ26" s="453"/>
      <c r="AN26" s="494"/>
      <c r="AO26" s="495"/>
      <c r="AP26" s="495"/>
      <c r="AQ26" s="496"/>
      <c r="AR26" s="494"/>
      <c r="AS26" s="495"/>
      <c r="AT26" s="495"/>
      <c r="AU26" s="496"/>
      <c r="AV26" s="494"/>
      <c r="AW26" s="495"/>
      <c r="AX26" s="495"/>
      <c r="AY26" s="496" t="s">
        <v>793</v>
      </c>
    </row>
    <row r="27" spans="7:51" ht="15.95" customHeight="1" x14ac:dyDescent="0.2">
      <c r="G27" s="488" t="str">
        <f t="shared" si="1"/>
        <v/>
      </c>
      <c r="H27" s="898" t="str">
        <f t="shared" si="2"/>
        <v/>
      </c>
      <c r="I27" s="898" t="str">
        <f t="shared" si="2"/>
        <v/>
      </c>
      <c r="J27" s="898" t="str">
        <f t="shared" si="2"/>
        <v/>
      </c>
      <c r="L27" s="816"/>
      <c r="M27" s="816"/>
      <c r="N27" s="815"/>
      <c r="O27" s="778"/>
      <c r="P27" s="445"/>
      <c r="Q27" s="778"/>
      <c r="R27" s="778"/>
      <c r="S27" s="778"/>
      <c r="T27" s="815"/>
      <c r="U27" s="778"/>
      <c r="V27" s="450"/>
      <c r="W27" s="778"/>
      <c r="X27" s="816"/>
      <c r="Y27" s="816"/>
      <c r="Z27" s="815"/>
      <c r="AA27" s="778"/>
      <c r="AB27" s="816"/>
      <c r="AC27" s="816"/>
      <c r="AD27" s="816"/>
      <c r="AE27" s="816"/>
      <c r="AF27" s="814"/>
      <c r="AG27" s="453"/>
      <c r="AH27" s="453"/>
      <c r="AI27" s="453"/>
      <c r="AJ27" s="453"/>
      <c r="AN27" s="494"/>
      <c r="AO27" s="495"/>
      <c r="AP27" s="495"/>
      <c r="AQ27" s="496"/>
      <c r="AR27" s="494"/>
      <c r="AS27" s="495"/>
      <c r="AT27" s="495"/>
      <c r="AU27" s="496"/>
      <c r="AV27" s="494"/>
      <c r="AW27" s="495"/>
      <c r="AX27" s="495"/>
      <c r="AY27" s="496" t="s">
        <v>793</v>
      </c>
    </row>
    <row r="28" spans="7:51" ht="15.95" customHeight="1" x14ac:dyDescent="0.2">
      <c r="G28" s="488" t="str">
        <f t="shared" si="1"/>
        <v/>
      </c>
      <c r="H28" s="898" t="str">
        <f t="shared" si="2"/>
        <v/>
      </c>
      <c r="I28" s="898" t="str">
        <f t="shared" si="2"/>
        <v/>
      </c>
      <c r="J28" s="898" t="str">
        <f t="shared" si="2"/>
        <v/>
      </c>
      <c r="L28" s="816"/>
      <c r="M28" s="816"/>
      <c r="N28" s="815"/>
      <c r="O28" s="778"/>
      <c r="P28" s="778"/>
      <c r="Q28" s="778"/>
      <c r="R28" s="778"/>
      <c r="S28" s="778"/>
      <c r="T28" s="815"/>
      <c r="U28" s="778"/>
      <c r="V28" s="450"/>
      <c r="W28" s="778"/>
      <c r="X28" s="816"/>
      <c r="Y28" s="816"/>
      <c r="Z28" s="815"/>
      <c r="AA28" s="778"/>
      <c r="AB28" s="816"/>
      <c r="AC28" s="816"/>
      <c r="AD28" s="816"/>
      <c r="AE28" s="816"/>
      <c r="AF28" s="814"/>
      <c r="AG28" s="453"/>
      <c r="AH28" s="453"/>
      <c r="AI28" s="453"/>
      <c r="AJ28" s="453"/>
      <c r="AN28" s="494"/>
      <c r="AO28" s="495"/>
      <c r="AP28" s="495"/>
      <c r="AQ28" s="496"/>
      <c r="AR28" s="494"/>
      <c r="AS28" s="495"/>
      <c r="AT28" s="495"/>
      <c r="AU28" s="496"/>
      <c r="AV28" s="494"/>
      <c r="AW28" s="495"/>
      <c r="AX28" s="495"/>
      <c r="AY28" s="496" t="s">
        <v>793</v>
      </c>
    </row>
    <row r="29" spans="7:51" ht="15.95" customHeight="1" x14ac:dyDescent="0.2">
      <c r="I29" s="437"/>
      <c r="J29" s="437"/>
      <c r="L29" s="816"/>
      <c r="M29" s="816"/>
      <c r="N29" s="815"/>
      <c r="O29" s="778"/>
      <c r="P29" s="778"/>
      <c r="Q29" s="778"/>
      <c r="R29" s="778"/>
      <c r="S29" s="778"/>
      <c r="T29" s="815"/>
      <c r="U29" s="778"/>
      <c r="V29" s="450"/>
      <c r="W29" s="778"/>
      <c r="X29" s="816"/>
      <c r="Y29" s="816"/>
      <c r="Z29" s="815"/>
      <c r="AA29" s="778"/>
      <c r="AB29" s="816"/>
      <c r="AC29" s="816"/>
      <c r="AD29" s="816"/>
      <c r="AE29" s="816"/>
      <c r="AF29" s="814"/>
      <c r="AG29" s="453"/>
      <c r="AH29" s="453"/>
      <c r="AI29" s="453"/>
      <c r="AJ29" s="453"/>
      <c r="AN29" s="494"/>
      <c r="AO29" s="495"/>
      <c r="AP29" s="495"/>
      <c r="AQ29" s="496"/>
      <c r="AR29" s="494"/>
      <c r="AS29" s="495"/>
      <c r="AT29" s="495"/>
      <c r="AU29" s="496"/>
      <c r="AV29" s="494"/>
      <c r="AW29" s="495"/>
      <c r="AX29" s="495"/>
      <c r="AY29" s="496" t="s">
        <v>793</v>
      </c>
    </row>
    <row r="30" spans="7:51" ht="15.95" customHeight="1" x14ac:dyDescent="0.2">
      <c r="I30" s="437"/>
      <c r="J30" s="437"/>
      <c r="K30" s="447"/>
      <c r="L30" s="516"/>
      <c r="M30" s="516"/>
      <c r="N30" s="457"/>
      <c r="O30" s="778"/>
      <c r="P30" s="778"/>
      <c r="Q30" s="778"/>
      <c r="R30" s="778"/>
      <c r="S30" s="778"/>
      <c r="T30" s="815"/>
      <c r="U30" s="778"/>
      <c r="V30" s="450"/>
      <c r="W30" s="450"/>
      <c r="X30" s="450"/>
      <c r="Y30" s="450"/>
      <c r="Z30" s="451"/>
      <c r="AA30" s="450"/>
      <c r="AB30" s="816"/>
      <c r="AC30" s="816"/>
      <c r="AD30" s="816"/>
      <c r="AE30" s="816"/>
      <c r="AF30" s="814"/>
      <c r="AG30" s="453"/>
      <c r="AH30" s="453"/>
      <c r="AI30" s="453"/>
      <c r="AJ30" s="453"/>
    </row>
    <row r="31" spans="7:51" ht="15.95" customHeight="1" x14ac:dyDescent="0.2">
      <c r="I31" s="437"/>
      <c r="J31" s="437"/>
      <c r="K31" s="447"/>
      <c r="L31" s="516"/>
      <c r="M31" s="516"/>
      <c r="N31" s="457"/>
      <c r="O31" s="778"/>
      <c r="P31" s="778"/>
      <c r="Q31" s="450"/>
      <c r="R31" s="437"/>
      <c r="S31" s="437"/>
      <c r="T31" s="451"/>
      <c r="U31" s="450"/>
      <c r="V31" s="450"/>
      <c r="W31" s="450"/>
      <c r="X31" s="516"/>
      <c r="Y31" s="516"/>
      <c r="Z31" s="815"/>
      <c r="AA31" s="778"/>
      <c r="AB31" s="816"/>
      <c r="AC31" s="816"/>
      <c r="AD31" s="816"/>
      <c r="AE31" s="816"/>
      <c r="AF31" s="814"/>
      <c r="AG31" s="453"/>
    </row>
    <row r="32" spans="7:51" ht="15.95" customHeight="1" x14ac:dyDescent="0.2">
      <c r="I32" s="437"/>
      <c r="J32" s="437"/>
      <c r="K32" s="450"/>
      <c r="L32" s="437"/>
      <c r="M32" s="437"/>
      <c r="N32" s="451"/>
      <c r="O32" s="450"/>
      <c r="P32" s="450"/>
      <c r="Q32" s="450"/>
      <c r="R32" s="437"/>
      <c r="S32" s="437"/>
      <c r="T32" s="451"/>
      <c r="U32" s="450"/>
      <c r="V32" s="450"/>
      <c r="W32" s="450"/>
      <c r="X32" s="516"/>
      <c r="Y32" s="516"/>
      <c r="Z32" s="815"/>
      <c r="AA32" s="778"/>
      <c r="AB32" s="816"/>
      <c r="AC32" s="816"/>
      <c r="AD32" s="816"/>
      <c r="AE32" s="816"/>
      <c r="AF32" s="814"/>
      <c r="AG32" s="453"/>
    </row>
    <row r="33" spans="9:33" ht="15.95" customHeight="1" x14ac:dyDescent="0.2">
      <c r="I33" s="437"/>
      <c r="J33" s="437"/>
      <c r="K33" s="450"/>
      <c r="L33" s="516"/>
      <c r="M33" s="516"/>
      <c r="N33" s="457"/>
      <c r="O33" s="778"/>
      <c r="P33" s="778"/>
      <c r="Q33" s="450"/>
      <c r="R33" s="516"/>
      <c r="S33" s="516"/>
      <c r="T33" s="457"/>
      <c r="U33" s="778"/>
      <c r="V33" s="450"/>
      <c r="W33" s="450"/>
      <c r="X33" s="516"/>
      <c r="Y33" s="516"/>
      <c r="Z33" s="457"/>
      <c r="AA33" s="778"/>
      <c r="AB33" s="816"/>
      <c r="AC33" s="816"/>
      <c r="AD33" s="816"/>
      <c r="AE33" s="816"/>
      <c r="AF33" s="814"/>
      <c r="AG33" s="453"/>
    </row>
    <row r="34" spans="9:33" ht="15.95" customHeight="1" x14ac:dyDescent="0.2">
      <c r="I34" s="437"/>
      <c r="J34" s="437"/>
      <c r="K34" s="450"/>
      <c r="L34" s="516"/>
      <c r="M34" s="516"/>
      <c r="N34" s="457"/>
      <c r="O34" s="778"/>
      <c r="P34" s="778"/>
      <c r="Q34" s="450"/>
      <c r="R34" s="516"/>
      <c r="S34" s="883"/>
      <c r="T34" s="457"/>
      <c r="U34" s="778"/>
      <c r="V34" s="450"/>
      <c r="W34" s="450"/>
      <c r="X34" s="451"/>
      <c r="Y34" s="884"/>
      <c r="Z34" s="450"/>
      <c r="AA34" s="451"/>
      <c r="AB34" s="451"/>
      <c r="AC34" s="816"/>
      <c r="AD34" s="816"/>
      <c r="AE34" s="816"/>
      <c r="AF34" s="814"/>
      <c r="AG34" s="453"/>
    </row>
    <row r="35" spans="9:33" ht="15.95" customHeight="1" x14ac:dyDescent="0.2">
      <c r="I35" s="437"/>
      <c r="J35" s="437"/>
      <c r="K35" s="450"/>
      <c r="L35" s="516"/>
      <c r="M35" s="516"/>
      <c r="N35" s="457"/>
      <c r="O35" s="778"/>
      <c r="P35" s="778"/>
      <c r="Q35" s="450"/>
      <c r="R35" s="516"/>
      <c r="S35" s="883"/>
      <c r="T35" s="457"/>
      <c r="U35" s="778"/>
      <c r="V35" s="450"/>
      <c r="W35" s="450"/>
      <c r="X35" s="451"/>
      <c r="Y35" s="884"/>
      <c r="Z35" s="450"/>
      <c r="AA35" s="451"/>
      <c r="AB35" s="451"/>
      <c r="AC35" s="816"/>
      <c r="AD35" s="816"/>
      <c r="AE35" s="816"/>
      <c r="AF35" s="814"/>
      <c r="AG35" s="453"/>
    </row>
    <row r="36" spans="9:33" ht="15.95" customHeight="1" x14ac:dyDescent="0.2">
      <c r="I36" s="437"/>
      <c r="J36" s="437"/>
      <c r="K36" s="450"/>
      <c r="L36" s="516"/>
      <c r="M36" s="516"/>
      <c r="N36" s="457"/>
      <c r="O36" s="778"/>
      <c r="P36" s="778"/>
      <c r="Q36" s="450"/>
      <c r="R36" s="516"/>
      <c r="S36" s="883"/>
      <c r="T36" s="457"/>
      <c r="U36" s="778"/>
      <c r="V36" s="450"/>
      <c r="W36" s="450"/>
      <c r="X36" s="451"/>
      <c r="Y36" s="884"/>
      <c r="Z36" s="450"/>
      <c r="AA36" s="451"/>
      <c r="AB36" s="451"/>
      <c r="AC36" s="816"/>
      <c r="AD36" s="816"/>
      <c r="AE36" s="816"/>
      <c r="AF36" s="814"/>
      <c r="AG36" s="453"/>
    </row>
    <row r="37" spans="9:33" ht="15.95" customHeight="1" x14ac:dyDescent="0.2">
      <c r="I37" s="437"/>
      <c r="J37" s="437"/>
      <c r="K37" s="450"/>
      <c r="L37" s="516"/>
      <c r="M37" s="516"/>
      <c r="N37" s="457"/>
      <c r="O37" s="778"/>
      <c r="P37" s="778"/>
      <c r="Q37" s="450"/>
      <c r="R37" s="516"/>
      <c r="S37" s="883"/>
      <c r="T37" s="457"/>
      <c r="U37" s="778"/>
      <c r="V37" s="450"/>
      <c r="W37" s="450"/>
      <c r="X37" s="516"/>
      <c r="Y37" s="516"/>
      <c r="Z37" s="457"/>
      <c r="AA37" s="778"/>
      <c r="AB37" s="816"/>
      <c r="AC37" s="816"/>
      <c r="AD37" s="816"/>
      <c r="AE37" s="816"/>
      <c r="AF37" s="814"/>
      <c r="AG37" s="453"/>
    </row>
    <row r="38" spans="9:33" ht="15.95" customHeight="1" x14ac:dyDescent="0.2">
      <c r="I38" s="437"/>
      <c r="J38" s="437"/>
      <c r="K38" s="450"/>
      <c r="L38" s="516"/>
      <c r="M38" s="516"/>
      <c r="N38" s="457"/>
      <c r="O38" s="778"/>
      <c r="P38" s="778"/>
      <c r="Q38" s="450"/>
      <c r="R38" s="516"/>
      <c r="S38" s="883"/>
      <c r="T38" s="457"/>
      <c r="U38" s="778"/>
      <c r="V38" s="450"/>
      <c r="W38" s="450"/>
      <c r="X38" s="516"/>
      <c r="Y38" s="516"/>
      <c r="Z38" s="457"/>
      <c r="AA38" s="778"/>
      <c r="AB38" s="816"/>
      <c r="AC38" s="816"/>
      <c r="AD38" s="816"/>
      <c r="AE38" s="816"/>
      <c r="AF38" s="814"/>
      <c r="AG38" s="453"/>
    </row>
    <row r="39" spans="9:33" ht="15.95" customHeight="1" x14ac:dyDescent="0.2">
      <c r="I39" s="437"/>
      <c r="J39" s="437"/>
      <c r="K39" s="450"/>
      <c r="L39" s="450"/>
      <c r="M39" s="450"/>
      <c r="N39" s="815"/>
      <c r="O39" s="778"/>
      <c r="P39" s="450"/>
      <c r="Q39" s="450"/>
      <c r="R39" s="450"/>
      <c r="S39" s="450"/>
      <c r="T39" s="815"/>
      <c r="U39" s="778"/>
      <c r="V39" s="450"/>
      <c r="W39" s="450"/>
      <c r="X39" s="450"/>
      <c r="Y39" s="450"/>
      <c r="Z39" s="451"/>
      <c r="AA39" s="450"/>
      <c r="AB39" s="816"/>
      <c r="AC39" s="816"/>
      <c r="AD39" s="816"/>
      <c r="AE39" s="816"/>
      <c r="AF39" s="814"/>
      <c r="AG39" s="453"/>
    </row>
    <row r="40" spans="9:33" ht="15.95" customHeight="1" x14ac:dyDescent="0.2">
      <c r="I40" s="437"/>
      <c r="J40" s="437"/>
      <c r="K40" s="450"/>
      <c r="L40" s="450"/>
      <c r="M40" s="450"/>
      <c r="N40" s="815"/>
      <c r="O40" s="778"/>
      <c r="P40" s="450"/>
      <c r="Q40" s="450"/>
      <c r="R40" s="450"/>
      <c r="S40" s="450"/>
      <c r="T40" s="815"/>
      <c r="U40" s="778"/>
      <c r="V40" s="450"/>
      <c r="W40" s="450"/>
      <c r="X40" s="450"/>
      <c r="Y40" s="450"/>
      <c r="Z40" s="451"/>
      <c r="AA40" s="450"/>
      <c r="AB40" s="816"/>
      <c r="AC40" s="816"/>
      <c r="AD40" s="816"/>
      <c r="AE40" s="816"/>
      <c r="AF40" s="814"/>
      <c r="AG40" s="453"/>
    </row>
    <row r="41" spans="9:33" ht="15.95" customHeight="1" x14ac:dyDescent="0.2">
      <c r="I41" s="437"/>
      <c r="J41" s="437"/>
      <c r="K41" s="450"/>
      <c r="L41" s="450"/>
      <c r="M41" s="450"/>
      <c r="N41" s="815"/>
      <c r="O41" s="778"/>
      <c r="P41" s="450"/>
      <c r="Q41" s="450"/>
      <c r="R41" s="450"/>
      <c r="S41" s="450"/>
      <c r="T41" s="815"/>
      <c r="U41" s="778"/>
      <c r="V41" s="450"/>
      <c r="W41" s="450"/>
      <c r="X41" s="450"/>
      <c r="Y41" s="450"/>
      <c r="Z41" s="451"/>
      <c r="AA41" s="450"/>
      <c r="AB41" s="816"/>
      <c r="AC41" s="816"/>
      <c r="AD41" s="816"/>
      <c r="AE41" s="816"/>
      <c r="AF41" s="814"/>
      <c r="AG41" s="453"/>
    </row>
    <row r="42" spans="9:33" ht="15.95" customHeight="1" x14ac:dyDescent="0.2">
      <c r="I42" s="437"/>
      <c r="J42" s="437"/>
      <c r="K42" s="450"/>
      <c r="L42" s="450"/>
      <c r="M42" s="450"/>
      <c r="N42" s="815"/>
      <c r="O42" s="778"/>
      <c r="P42" s="450"/>
      <c r="Q42" s="450"/>
      <c r="R42" s="450"/>
      <c r="S42" s="450"/>
      <c r="T42" s="815"/>
      <c r="U42" s="778"/>
      <c r="V42" s="450"/>
      <c r="W42" s="450"/>
      <c r="X42" s="450"/>
      <c r="Y42" s="450"/>
      <c r="Z42" s="451"/>
      <c r="AA42" s="450"/>
      <c r="AB42" s="816"/>
      <c r="AC42" s="816"/>
      <c r="AD42" s="816"/>
      <c r="AE42" s="816"/>
      <c r="AF42" s="814"/>
      <c r="AG42" s="453"/>
    </row>
    <row r="43" spans="9:33" ht="15.95" customHeight="1" x14ac:dyDescent="0.2">
      <c r="I43" s="437"/>
      <c r="J43" s="437"/>
      <c r="K43" s="450"/>
      <c r="L43" s="450"/>
      <c r="M43" s="450"/>
      <c r="N43" s="815"/>
      <c r="O43" s="778"/>
      <c r="P43" s="450"/>
      <c r="Q43" s="450"/>
      <c r="R43" s="450"/>
      <c r="S43" s="450"/>
      <c r="T43" s="815"/>
      <c r="U43" s="778"/>
      <c r="V43" s="450"/>
      <c r="W43" s="450"/>
      <c r="X43" s="450"/>
      <c r="Y43" s="450"/>
      <c r="Z43" s="451"/>
      <c r="AA43" s="450"/>
      <c r="AB43" s="816"/>
      <c r="AC43" s="816"/>
      <c r="AD43" s="816"/>
      <c r="AE43" s="816"/>
      <c r="AF43" s="814"/>
      <c r="AG43" s="453"/>
    </row>
    <row r="44" spans="9:33" ht="15.95" customHeight="1" x14ac:dyDescent="0.2">
      <c r="I44" s="437"/>
      <c r="J44" s="437"/>
      <c r="K44" s="450"/>
      <c r="L44" s="450"/>
      <c r="M44" s="450"/>
      <c r="N44" s="815"/>
      <c r="O44" s="778"/>
      <c r="P44" s="450"/>
      <c r="Q44" s="450"/>
      <c r="R44" s="450"/>
      <c r="S44" s="450"/>
      <c r="T44" s="815"/>
      <c r="U44" s="778"/>
      <c r="V44" s="450"/>
      <c r="W44" s="450"/>
      <c r="X44" s="450"/>
      <c r="Y44" s="450"/>
      <c r="Z44" s="451"/>
      <c r="AA44" s="450"/>
      <c r="AB44" s="816"/>
      <c r="AC44" s="816"/>
      <c r="AD44" s="816"/>
      <c r="AE44" s="816"/>
      <c r="AF44" s="814"/>
      <c r="AG44" s="453"/>
    </row>
    <row r="45" spans="9:33" ht="15.95" customHeight="1" x14ac:dyDescent="0.2">
      <c r="I45" s="437"/>
      <c r="J45" s="437"/>
      <c r="K45" s="450"/>
      <c r="L45" s="450"/>
      <c r="M45" s="450"/>
      <c r="N45" s="815"/>
      <c r="O45" s="778"/>
      <c r="P45" s="450"/>
      <c r="Q45" s="450"/>
      <c r="R45" s="450"/>
      <c r="S45" s="450"/>
      <c r="T45" s="815"/>
      <c r="U45" s="778"/>
      <c r="V45" s="450"/>
      <c r="W45" s="450"/>
      <c r="X45" s="450"/>
      <c r="Y45" s="450"/>
      <c r="Z45" s="451"/>
      <c r="AA45" s="450"/>
      <c r="AB45" s="816"/>
      <c r="AC45" s="816"/>
      <c r="AD45" s="816"/>
      <c r="AE45" s="816"/>
      <c r="AF45" s="814"/>
      <c r="AG45" s="453"/>
    </row>
    <row r="46" spans="9:33" ht="15.95" customHeight="1" x14ac:dyDescent="0.2">
      <c r="I46" s="437"/>
      <c r="J46" s="437"/>
      <c r="K46" s="450"/>
      <c r="L46" s="450"/>
      <c r="M46" s="450"/>
      <c r="N46" s="815"/>
      <c r="O46" s="778"/>
      <c r="P46" s="450"/>
      <c r="Q46" s="450"/>
      <c r="R46" s="450"/>
      <c r="S46" s="450"/>
      <c r="T46" s="815"/>
      <c r="U46" s="778"/>
      <c r="V46" s="450"/>
      <c r="W46" s="450"/>
      <c r="X46" s="450"/>
      <c r="Y46" s="450"/>
      <c r="Z46" s="451"/>
      <c r="AA46" s="450"/>
      <c r="AB46" s="816"/>
      <c r="AC46" s="816"/>
      <c r="AD46" s="816"/>
      <c r="AE46" s="816"/>
      <c r="AF46" s="814"/>
      <c r="AG46" s="453"/>
    </row>
    <row r="47" spans="9:33" ht="15.95" customHeight="1" x14ac:dyDescent="0.2">
      <c r="I47" s="437"/>
      <c r="J47" s="437"/>
      <c r="K47" s="450"/>
      <c r="L47" s="450"/>
      <c r="M47" s="450"/>
      <c r="N47" s="815"/>
      <c r="O47" s="778"/>
      <c r="P47" s="450"/>
      <c r="Q47" s="450"/>
      <c r="R47" s="450"/>
      <c r="S47" s="450"/>
      <c r="T47" s="815"/>
      <c r="U47" s="778"/>
      <c r="V47" s="450"/>
      <c r="W47" s="450"/>
      <c r="X47" s="450"/>
      <c r="Y47" s="450"/>
      <c r="Z47" s="451"/>
      <c r="AA47" s="450"/>
      <c r="AB47" s="816"/>
      <c r="AC47" s="816"/>
      <c r="AD47" s="816"/>
      <c r="AE47" s="816"/>
      <c r="AF47" s="814"/>
      <c r="AG47" s="453"/>
    </row>
    <row r="48" spans="9:33" ht="15.95" customHeight="1" x14ac:dyDescent="0.2">
      <c r="I48" s="437"/>
      <c r="J48" s="437"/>
      <c r="K48" s="523"/>
      <c r="L48" s="523"/>
      <c r="M48" s="523"/>
      <c r="N48" s="523"/>
      <c r="O48" s="778"/>
      <c r="P48" s="778"/>
      <c r="Q48" s="809"/>
      <c r="R48" s="450"/>
      <c r="S48" s="450"/>
      <c r="T48" s="451"/>
      <c r="U48" s="450"/>
      <c r="V48" s="450"/>
      <c r="W48" s="809"/>
      <c r="X48" s="450"/>
      <c r="Y48" s="450"/>
      <c r="Z48" s="451"/>
      <c r="AA48" s="885"/>
      <c r="AB48" s="816"/>
      <c r="AC48" s="816"/>
      <c r="AD48" s="816"/>
      <c r="AE48" s="816"/>
      <c r="AF48" s="814"/>
      <c r="AG48" s="453"/>
    </row>
    <row r="49" spans="9:33" ht="15.95" customHeight="1" x14ac:dyDescent="0.2">
      <c r="I49" s="437"/>
      <c r="J49" s="437"/>
      <c r="K49" s="523"/>
      <c r="L49" s="523"/>
      <c r="M49" s="523"/>
      <c r="N49" s="523"/>
      <c r="Q49" s="447"/>
      <c r="R49" s="450"/>
      <c r="S49" s="450"/>
      <c r="T49" s="451"/>
      <c r="U49" s="450"/>
      <c r="V49" s="450"/>
      <c r="W49" s="447"/>
      <c r="X49" s="450"/>
      <c r="Y49" s="450"/>
      <c r="Z49" s="451"/>
      <c r="AA49" s="521"/>
      <c r="AF49" s="453"/>
      <c r="AG49" s="453"/>
    </row>
    <row r="50" spans="9:33" ht="15.95" customHeight="1" x14ac:dyDescent="0.2">
      <c r="I50" s="437"/>
      <c r="J50" s="437"/>
      <c r="K50" s="523"/>
      <c r="L50" s="523"/>
      <c r="M50" s="523"/>
      <c r="N50" s="523"/>
      <c r="Q50" s="447"/>
      <c r="R50" s="450"/>
      <c r="S50" s="450"/>
      <c r="T50" s="451"/>
      <c r="U50" s="450"/>
      <c r="V50" s="450"/>
      <c r="W50" s="447"/>
      <c r="X50" s="450"/>
      <c r="Y50" s="450"/>
      <c r="Z50" s="451"/>
      <c r="AA50" s="521"/>
    </row>
    <row r="51" spans="9:33" ht="15.95" customHeight="1" x14ac:dyDescent="0.2">
      <c r="I51" s="437"/>
      <c r="J51" s="437"/>
      <c r="K51" s="523"/>
      <c r="L51" s="523"/>
      <c r="M51" s="523"/>
      <c r="N51" s="523"/>
      <c r="Q51" s="447"/>
      <c r="R51" s="450"/>
      <c r="S51" s="450"/>
      <c r="T51" s="451"/>
      <c r="U51" s="450"/>
      <c r="V51" s="450"/>
      <c r="W51" s="447"/>
      <c r="X51" s="450"/>
      <c r="Y51" s="450"/>
      <c r="Z51" s="451"/>
      <c r="AA51" s="450"/>
    </row>
    <row r="52" spans="9:33" ht="15.95" customHeight="1" x14ac:dyDescent="0.2">
      <c r="I52" s="437"/>
      <c r="J52" s="437"/>
      <c r="K52" s="523"/>
      <c r="L52" s="523"/>
      <c r="M52" s="523"/>
      <c r="N52" s="523"/>
      <c r="Q52" s="447"/>
      <c r="R52" s="450"/>
      <c r="S52" s="450"/>
      <c r="T52" s="451"/>
      <c r="U52" s="450"/>
      <c r="V52" s="450"/>
      <c r="W52" s="447"/>
      <c r="X52" s="450"/>
      <c r="Y52" s="450"/>
      <c r="Z52" s="451"/>
      <c r="AA52" s="450"/>
    </row>
    <row r="53" spans="9:33" ht="15.95" customHeight="1" x14ac:dyDescent="0.2">
      <c r="I53" s="437"/>
      <c r="J53" s="437"/>
      <c r="K53" s="523"/>
      <c r="L53" s="523"/>
      <c r="M53" s="523"/>
      <c r="N53" s="523"/>
      <c r="Q53" s="447"/>
      <c r="R53" s="450"/>
      <c r="S53" s="450"/>
      <c r="T53" s="451"/>
      <c r="U53" s="450"/>
      <c r="V53" s="450"/>
      <c r="W53" s="447"/>
      <c r="X53" s="450"/>
      <c r="Y53" s="450"/>
      <c r="Z53" s="451"/>
      <c r="AA53" s="450"/>
    </row>
    <row r="54" spans="9:33" ht="15.95" customHeight="1" x14ac:dyDescent="0.2">
      <c r="I54" s="437"/>
      <c r="J54" s="437"/>
      <c r="K54" s="523"/>
      <c r="L54" s="523"/>
      <c r="M54" s="523"/>
      <c r="N54" s="523"/>
      <c r="P54" s="450"/>
      <c r="Q54" s="450"/>
      <c r="R54" s="437"/>
      <c r="S54" s="437"/>
      <c r="T54" s="451"/>
      <c r="U54" s="450"/>
      <c r="V54" s="450"/>
      <c r="W54" s="450"/>
      <c r="X54" s="516"/>
      <c r="Y54" s="457"/>
      <c r="Z54" s="457"/>
      <c r="AA54" s="450"/>
    </row>
    <row r="55" spans="9:33" ht="15.95" customHeight="1" x14ac:dyDescent="0.2">
      <c r="I55" s="437"/>
      <c r="J55" s="437"/>
      <c r="K55" s="523"/>
      <c r="L55" s="523"/>
      <c r="M55" s="523"/>
      <c r="N55" s="523"/>
      <c r="Q55" s="450"/>
      <c r="R55" s="437"/>
      <c r="S55" s="437"/>
      <c r="T55" s="451"/>
      <c r="U55" s="450"/>
      <c r="V55" s="450"/>
      <c r="W55" s="450"/>
      <c r="X55" s="516"/>
      <c r="Y55" s="457"/>
      <c r="Z55" s="457"/>
      <c r="AA55" s="450"/>
    </row>
    <row r="56" spans="9:33" ht="15.95" customHeight="1" x14ac:dyDescent="0.2">
      <c r="I56" s="437"/>
      <c r="J56" s="437"/>
      <c r="K56" s="523"/>
      <c r="L56" s="523"/>
      <c r="M56" s="523"/>
      <c r="N56" s="523"/>
      <c r="Q56" s="450"/>
      <c r="R56" s="437"/>
      <c r="S56" s="437"/>
      <c r="T56" s="451"/>
      <c r="U56" s="450"/>
      <c r="V56" s="450"/>
      <c r="W56" s="450"/>
      <c r="X56" s="516"/>
      <c r="Y56" s="457"/>
      <c r="Z56" s="457"/>
      <c r="AA56" s="450"/>
    </row>
    <row r="57" spans="9:33" ht="15.95" customHeight="1" x14ac:dyDescent="0.2">
      <c r="I57" s="437"/>
      <c r="J57" s="437"/>
      <c r="K57" s="523"/>
      <c r="L57" s="523"/>
      <c r="M57" s="523"/>
      <c r="N57" s="523"/>
      <c r="Q57" s="450"/>
      <c r="R57" s="437"/>
      <c r="S57" s="437"/>
      <c r="T57" s="451"/>
      <c r="U57" s="450"/>
      <c r="V57" s="450"/>
      <c r="W57" s="450"/>
      <c r="X57" s="516"/>
      <c r="Y57" s="457"/>
      <c r="Z57" s="457"/>
      <c r="AA57" s="450"/>
    </row>
    <row r="58" spans="9:33" ht="15.95" customHeight="1" x14ac:dyDescent="0.2">
      <c r="I58" s="437"/>
      <c r="J58" s="437"/>
      <c r="K58" s="523"/>
      <c r="L58" s="523"/>
      <c r="M58" s="523"/>
      <c r="N58" s="523"/>
      <c r="Q58" s="450"/>
      <c r="R58" s="437"/>
      <c r="S58" s="437"/>
      <c r="T58" s="451"/>
      <c r="U58" s="450"/>
      <c r="V58" s="450"/>
      <c r="W58" s="450"/>
      <c r="X58" s="516"/>
      <c r="Y58" s="457"/>
      <c r="Z58" s="457"/>
      <c r="AA58" s="450"/>
    </row>
    <row r="59" spans="9:33" ht="15.95" customHeight="1" x14ac:dyDescent="0.2">
      <c r="I59" s="437"/>
      <c r="J59" s="437"/>
      <c r="K59" s="523"/>
      <c r="L59" s="523"/>
      <c r="M59" s="523"/>
      <c r="N59" s="523"/>
      <c r="Q59" s="450"/>
      <c r="R59" s="437"/>
      <c r="S59" s="437"/>
      <c r="T59" s="451"/>
      <c r="U59" s="450"/>
      <c r="V59" s="450"/>
      <c r="W59" s="450"/>
      <c r="X59" s="516"/>
      <c r="Y59" s="457"/>
      <c r="Z59" s="457"/>
      <c r="AA59" s="450"/>
    </row>
    <row r="60" spans="9:33" ht="15.95" customHeight="1" x14ac:dyDescent="0.2">
      <c r="I60" s="437"/>
      <c r="J60" s="437"/>
      <c r="K60" s="523"/>
      <c r="L60" s="523"/>
      <c r="M60" s="523"/>
      <c r="N60" s="523"/>
      <c r="Q60" s="447"/>
      <c r="X60" s="441"/>
      <c r="Y60" s="441"/>
      <c r="Z60" s="441"/>
    </row>
    <row r="61" spans="9:33" ht="15.95" customHeight="1" x14ac:dyDescent="0.2">
      <c r="I61" s="437"/>
      <c r="J61" s="437"/>
      <c r="K61" s="437"/>
      <c r="L61" s="437"/>
      <c r="M61" s="437"/>
      <c r="N61" s="437"/>
      <c r="T61" s="441"/>
      <c r="X61" s="441"/>
      <c r="Y61" s="441"/>
      <c r="Z61" s="441"/>
    </row>
    <row r="62" spans="9:33" ht="15.95" customHeight="1" x14ac:dyDescent="0.2">
      <c r="I62" s="437"/>
      <c r="J62" s="437"/>
      <c r="K62" s="437"/>
      <c r="L62" s="437"/>
      <c r="M62" s="437"/>
      <c r="N62" s="437"/>
      <c r="O62" s="521"/>
      <c r="T62" s="441"/>
      <c r="X62" s="441"/>
      <c r="Y62" s="441"/>
      <c r="Z62" s="441"/>
    </row>
    <row r="63" spans="9:33" ht="15.95" customHeight="1" x14ac:dyDescent="0.2">
      <c r="I63" s="437"/>
      <c r="J63" s="437"/>
      <c r="K63" s="437"/>
      <c r="L63" s="437"/>
      <c r="M63" s="437"/>
      <c r="N63" s="437"/>
      <c r="O63" s="521"/>
      <c r="T63" s="441"/>
      <c r="X63" s="441"/>
      <c r="Y63" s="441"/>
      <c r="Z63" s="441"/>
    </row>
    <row r="64" spans="9:33" ht="15.95" customHeight="1" x14ac:dyDescent="0.2">
      <c r="I64" s="437"/>
      <c r="J64" s="437"/>
      <c r="K64" s="437"/>
      <c r="L64" s="437"/>
      <c r="M64" s="437"/>
      <c r="N64" s="437"/>
      <c r="O64" s="521"/>
      <c r="T64" s="441"/>
      <c r="X64" s="441"/>
      <c r="Y64" s="441"/>
      <c r="Z64" s="441"/>
    </row>
    <row r="65" spans="9:36" ht="15.95" customHeight="1" x14ac:dyDescent="0.2">
      <c r="I65" s="437"/>
      <c r="J65" s="437"/>
      <c r="K65" s="437"/>
      <c r="L65" s="437"/>
      <c r="M65" s="437"/>
      <c r="N65" s="437"/>
      <c r="O65" s="437"/>
      <c r="P65" s="437"/>
      <c r="Q65" s="437"/>
      <c r="R65" s="437"/>
      <c r="S65" s="437"/>
      <c r="T65" s="437"/>
      <c r="U65" s="437"/>
      <c r="V65" s="437"/>
      <c r="W65" s="437"/>
      <c r="X65" s="437"/>
      <c r="Y65" s="437"/>
      <c r="Z65" s="437"/>
      <c r="AA65" s="437"/>
      <c r="AH65" s="441"/>
      <c r="AI65" s="441"/>
      <c r="AJ65" s="447"/>
    </row>
    <row r="66" spans="9:36" ht="15.95" customHeight="1" x14ac:dyDescent="0.2">
      <c r="I66" s="437"/>
      <c r="J66" s="437"/>
      <c r="K66" s="437"/>
      <c r="L66" s="437"/>
      <c r="M66" s="437"/>
      <c r="N66" s="437"/>
      <c r="O66" s="437"/>
      <c r="P66" s="437"/>
      <c r="Q66" s="437"/>
      <c r="R66" s="437"/>
      <c r="S66" s="437"/>
      <c r="T66" s="437"/>
      <c r="U66" s="437"/>
      <c r="V66" s="437"/>
      <c r="W66" s="437"/>
      <c r="X66" s="437"/>
      <c r="Y66" s="437"/>
      <c r="Z66" s="437"/>
      <c r="AA66" s="437"/>
      <c r="AH66" s="441"/>
      <c r="AI66" s="441"/>
      <c r="AJ66" s="447"/>
    </row>
    <row r="67" spans="9:36" ht="15.95" customHeight="1" x14ac:dyDescent="0.2">
      <c r="I67" s="437"/>
      <c r="J67" s="437"/>
      <c r="K67" s="437"/>
      <c r="L67" s="437"/>
      <c r="M67" s="437"/>
      <c r="N67" s="437"/>
      <c r="O67" s="437"/>
      <c r="P67" s="437"/>
      <c r="Q67" s="437"/>
      <c r="R67" s="437"/>
      <c r="S67" s="437"/>
      <c r="T67" s="437"/>
      <c r="U67" s="437"/>
      <c r="V67" s="437"/>
      <c r="W67" s="437"/>
      <c r="X67" s="437"/>
      <c r="Y67" s="437"/>
      <c r="Z67" s="437"/>
      <c r="AA67" s="437"/>
      <c r="AH67" s="441"/>
      <c r="AI67" s="441"/>
      <c r="AJ67" s="441"/>
    </row>
    <row r="68" spans="9:36" ht="15.95" customHeight="1" x14ac:dyDescent="0.2">
      <c r="I68" s="437"/>
      <c r="J68" s="437"/>
      <c r="K68" s="450"/>
      <c r="L68" s="450"/>
      <c r="M68" s="450"/>
      <c r="N68" s="521"/>
      <c r="O68" s="521"/>
      <c r="P68" s="450"/>
      <c r="Q68" s="450"/>
      <c r="R68" s="437"/>
      <c r="S68" s="437"/>
      <c r="T68" s="451"/>
      <c r="U68" s="450"/>
      <c r="W68" s="450"/>
      <c r="X68" s="516"/>
      <c r="Y68" s="457"/>
      <c r="Z68" s="457"/>
      <c r="AA68" s="450"/>
      <c r="AH68" s="441"/>
      <c r="AI68" s="441"/>
      <c r="AJ68" s="441"/>
    </row>
    <row r="69" spans="9:36" ht="15.95" customHeight="1" x14ac:dyDescent="0.2">
      <c r="I69" s="437"/>
      <c r="J69" s="437"/>
      <c r="K69" s="450"/>
      <c r="L69" s="450"/>
      <c r="M69" s="450"/>
      <c r="N69" s="521"/>
      <c r="O69" s="521"/>
      <c r="P69" s="450"/>
      <c r="Q69" s="450"/>
      <c r="R69" s="437"/>
      <c r="S69" s="437"/>
      <c r="T69" s="451"/>
      <c r="U69" s="450"/>
      <c r="W69" s="450"/>
      <c r="X69" s="516"/>
      <c r="Y69" s="457"/>
      <c r="Z69" s="457"/>
      <c r="AA69" s="450"/>
      <c r="AH69" s="441"/>
      <c r="AI69" s="441"/>
      <c r="AJ69" s="450"/>
    </row>
    <row r="70" spans="9:36" ht="15.95" customHeight="1" x14ac:dyDescent="0.2">
      <c r="I70" s="437"/>
      <c r="J70" s="437"/>
      <c r="K70" s="450"/>
      <c r="L70" s="450"/>
      <c r="M70" s="450"/>
      <c r="N70" s="521"/>
      <c r="O70" s="521"/>
      <c r="P70" s="450"/>
      <c r="Q70" s="450"/>
      <c r="R70" s="437"/>
      <c r="S70" s="437"/>
      <c r="T70" s="451"/>
      <c r="U70" s="450"/>
      <c r="W70" s="450"/>
      <c r="X70" s="516"/>
      <c r="Y70" s="457"/>
      <c r="Z70" s="457"/>
      <c r="AA70" s="450"/>
      <c r="AH70" s="441"/>
      <c r="AI70" s="441"/>
      <c r="AJ70" s="450"/>
    </row>
    <row r="71" spans="9:36" ht="15.95" customHeight="1" x14ac:dyDescent="0.2">
      <c r="I71" s="437"/>
      <c r="J71" s="437"/>
      <c r="K71" s="450"/>
      <c r="L71" s="450"/>
      <c r="M71" s="450"/>
      <c r="N71" s="521"/>
      <c r="O71" s="521"/>
      <c r="P71" s="450"/>
      <c r="Q71" s="450"/>
      <c r="R71" s="437"/>
      <c r="S71" s="437"/>
      <c r="T71" s="451"/>
      <c r="U71" s="450"/>
      <c r="W71" s="450"/>
      <c r="X71" s="516"/>
      <c r="Y71" s="457"/>
      <c r="Z71" s="457"/>
      <c r="AA71" s="450"/>
      <c r="AH71" s="441"/>
      <c r="AI71" s="441"/>
      <c r="AJ71" s="445"/>
    </row>
    <row r="72" spans="9:36" ht="15.95" customHeight="1" x14ac:dyDescent="0.2">
      <c r="I72" s="437"/>
      <c r="J72" s="437"/>
      <c r="K72" s="450"/>
      <c r="L72" s="450"/>
      <c r="M72" s="450"/>
      <c r="N72" s="521"/>
      <c r="O72" s="521"/>
      <c r="P72" s="450"/>
      <c r="Q72" s="450"/>
      <c r="R72" s="437"/>
      <c r="S72" s="437"/>
      <c r="T72" s="451"/>
      <c r="U72" s="450"/>
      <c r="W72" s="450"/>
      <c r="X72" s="516"/>
      <c r="Y72" s="457"/>
      <c r="Z72" s="457"/>
      <c r="AA72" s="450"/>
      <c r="AH72" s="441"/>
      <c r="AI72" s="441"/>
      <c r="AJ72" s="447"/>
    </row>
    <row r="73" spans="9:36" ht="15.95" customHeight="1" x14ac:dyDescent="0.2">
      <c r="I73" s="437"/>
      <c r="J73" s="437"/>
      <c r="K73" s="450"/>
      <c r="L73" s="450"/>
      <c r="M73" s="450"/>
      <c r="N73" s="521"/>
      <c r="O73" s="521"/>
      <c r="P73" s="450"/>
      <c r="Q73" s="450"/>
      <c r="R73" s="437"/>
      <c r="S73" s="437"/>
      <c r="T73" s="451"/>
      <c r="U73" s="450"/>
      <c r="W73" s="450"/>
      <c r="X73" s="516"/>
      <c r="Y73" s="457"/>
      <c r="Z73" s="457"/>
      <c r="AA73" s="450"/>
      <c r="AH73" s="441"/>
      <c r="AI73" s="441"/>
      <c r="AJ73" s="447"/>
    </row>
    <row r="74" spans="9:36" ht="15.95" customHeight="1" x14ac:dyDescent="0.2">
      <c r="I74" s="437"/>
      <c r="J74" s="437"/>
      <c r="K74" s="450"/>
      <c r="L74" s="450"/>
      <c r="M74" s="450"/>
      <c r="N74" s="521"/>
      <c r="O74" s="521"/>
      <c r="P74" s="450"/>
      <c r="Q74" s="450"/>
      <c r="R74" s="437"/>
      <c r="S74" s="437"/>
      <c r="T74" s="451"/>
      <c r="U74" s="450"/>
      <c r="W74" s="450"/>
      <c r="X74" s="516"/>
      <c r="Y74" s="457"/>
      <c r="Z74" s="457"/>
      <c r="AA74" s="450"/>
      <c r="AH74" s="441"/>
      <c r="AI74" s="441"/>
      <c r="AJ74" s="450"/>
    </row>
    <row r="75" spans="9:36" ht="15.95" customHeight="1" x14ac:dyDescent="0.2">
      <c r="I75" s="437"/>
      <c r="J75" s="437"/>
      <c r="K75" s="450"/>
      <c r="L75" s="450"/>
      <c r="M75" s="450"/>
      <c r="N75" s="521"/>
      <c r="O75" s="521"/>
      <c r="P75" s="450"/>
      <c r="Q75" s="450"/>
      <c r="R75" s="437"/>
      <c r="S75" s="437"/>
      <c r="T75" s="451"/>
      <c r="U75" s="450"/>
      <c r="W75" s="450"/>
      <c r="X75" s="516"/>
      <c r="Y75" s="457"/>
      <c r="Z75" s="457"/>
      <c r="AA75" s="450"/>
      <c r="AH75" s="441"/>
      <c r="AI75" s="441"/>
      <c r="AJ75" s="450"/>
    </row>
    <row r="76" spans="9:36" ht="15.95" customHeight="1" x14ac:dyDescent="0.2">
      <c r="I76" s="437"/>
      <c r="J76" s="437"/>
      <c r="K76" s="450"/>
      <c r="L76" s="450"/>
      <c r="M76" s="450"/>
      <c r="N76" s="521"/>
      <c r="O76" s="521"/>
      <c r="P76" s="450"/>
      <c r="Q76" s="450"/>
      <c r="R76" s="437"/>
      <c r="S76" s="437"/>
      <c r="T76" s="451"/>
      <c r="U76" s="450"/>
      <c r="W76" s="450"/>
      <c r="X76" s="516"/>
      <c r="Y76" s="457"/>
      <c r="Z76" s="457"/>
      <c r="AA76" s="450"/>
      <c r="AH76" s="441"/>
      <c r="AI76" s="441"/>
      <c r="AJ76" s="450"/>
    </row>
    <row r="77" spans="9:36" ht="15.95" customHeight="1" x14ac:dyDescent="0.2">
      <c r="I77" s="437"/>
      <c r="J77" s="437"/>
      <c r="K77" s="447"/>
      <c r="L77" s="450"/>
      <c r="M77" s="450"/>
      <c r="N77" s="521"/>
      <c r="O77" s="521"/>
      <c r="P77" s="450"/>
      <c r="Q77" s="450"/>
      <c r="R77" s="450"/>
      <c r="S77" s="450"/>
      <c r="T77" s="451"/>
      <c r="U77" s="450"/>
      <c r="W77" s="450"/>
      <c r="X77" s="450"/>
      <c r="Y77" s="450"/>
      <c r="Z77" s="451"/>
      <c r="AA77" s="450"/>
      <c r="AH77" s="441"/>
      <c r="AI77" s="441"/>
      <c r="AJ77" s="450"/>
    </row>
    <row r="78" spans="9:36" ht="15.95" customHeight="1" x14ac:dyDescent="0.2">
      <c r="I78" s="437"/>
      <c r="J78" s="437"/>
      <c r="K78" s="447"/>
      <c r="L78" s="450"/>
      <c r="M78" s="450"/>
      <c r="N78" s="521"/>
      <c r="O78" s="521"/>
      <c r="P78" s="450"/>
      <c r="Q78" s="450"/>
      <c r="R78" s="450"/>
      <c r="S78" s="450"/>
      <c r="T78" s="451"/>
      <c r="U78" s="450"/>
      <c r="W78" s="450"/>
      <c r="X78" s="450"/>
      <c r="Y78" s="450"/>
      <c r="Z78" s="451"/>
      <c r="AA78" s="450"/>
      <c r="AH78" s="441"/>
      <c r="AI78" s="441"/>
      <c r="AJ78" s="445"/>
    </row>
    <row r="79" spans="9:36" ht="15.95" customHeight="1" x14ac:dyDescent="0.2">
      <c r="I79" s="437"/>
      <c r="J79" s="437"/>
      <c r="K79" s="447"/>
      <c r="L79" s="450"/>
      <c r="M79" s="450"/>
      <c r="N79" s="521"/>
      <c r="O79" s="521"/>
      <c r="P79" s="450"/>
      <c r="Q79" s="450"/>
      <c r="R79" s="450"/>
      <c r="S79" s="450"/>
      <c r="T79" s="451"/>
      <c r="U79" s="450"/>
      <c r="W79" s="450"/>
      <c r="X79" s="450"/>
      <c r="Y79" s="450"/>
      <c r="Z79" s="451"/>
      <c r="AA79" s="450"/>
      <c r="AH79" s="441"/>
      <c r="AI79" s="441"/>
      <c r="AJ79" s="447"/>
    </row>
    <row r="80" spans="9:36" ht="15.95" customHeight="1" x14ac:dyDescent="0.2">
      <c r="I80" s="437"/>
      <c r="J80" s="437"/>
      <c r="K80" s="447"/>
      <c r="L80" s="450"/>
      <c r="M80" s="450"/>
      <c r="N80" s="521"/>
      <c r="O80" s="521"/>
      <c r="P80" s="450"/>
      <c r="Q80" s="450"/>
      <c r="R80" s="450"/>
      <c r="S80" s="450"/>
      <c r="T80" s="451"/>
      <c r="U80" s="450"/>
      <c r="W80" s="450"/>
      <c r="X80" s="450"/>
      <c r="Y80" s="450"/>
      <c r="Z80" s="451"/>
      <c r="AA80" s="450"/>
      <c r="AH80" s="441"/>
      <c r="AI80" s="441"/>
      <c r="AJ80" s="447"/>
    </row>
    <row r="81" spans="9:36" ht="15.95" customHeight="1" x14ac:dyDescent="0.2">
      <c r="I81" s="437"/>
      <c r="J81" s="437"/>
      <c r="K81" s="447"/>
      <c r="L81" s="450"/>
      <c r="M81" s="450"/>
      <c r="N81" s="521"/>
      <c r="O81" s="521"/>
      <c r="P81" s="450"/>
      <c r="Q81" s="450"/>
      <c r="R81" s="450"/>
      <c r="S81" s="450"/>
      <c r="T81" s="451"/>
      <c r="U81" s="450"/>
      <c r="W81" s="450"/>
      <c r="X81" s="450"/>
      <c r="Y81" s="450"/>
      <c r="Z81" s="451"/>
      <c r="AA81" s="450"/>
      <c r="AH81" s="441"/>
      <c r="AI81" s="441"/>
      <c r="AJ81" s="447"/>
    </row>
    <row r="82" spans="9:36" ht="15.95" customHeight="1" x14ac:dyDescent="0.2">
      <c r="I82" s="437"/>
      <c r="J82" s="437"/>
      <c r="K82" s="450"/>
      <c r="L82" s="450"/>
      <c r="M82" s="450"/>
      <c r="N82" s="521"/>
      <c r="O82" s="521"/>
      <c r="P82" s="450"/>
      <c r="Q82" s="450"/>
      <c r="R82" s="450"/>
      <c r="S82" s="450"/>
      <c r="T82" s="451"/>
      <c r="U82" s="450"/>
      <c r="W82" s="450"/>
      <c r="X82" s="450"/>
      <c r="Y82" s="450"/>
      <c r="Z82" s="451"/>
      <c r="AA82" s="450"/>
      <c r="AH82" s="441"/>
      <c r="AI82" s="441"/>
      <c r="AJ82" s="450"/>
    </row>
    <row r="83" spans="9:36" ht="15.95" customHeight="1" x14ac:dyDescent="0.2">
      <c r="I83" s="437"/>
      <c r="J83" s="437"/>
      <c r="K83" s="445"/>
      <c r="L83" s="450"/>
      <c r="M83" s="450"/>
      <c r="N83" s="521"/>
      <c r="O83" s="521"/>
      <c r="P83" s="450"/>
      <c r="Q83" s="450"/>
      <c r="R83" s="450"/>
      <c r="S83" s="450"/>
      <c r="T83" s="451"/>
      <c r="U83" s="450"/>
      <c r="W83" s="450"/>
      <c r="X83" s="450"/>
      <c r="Y83" s="450"/>
      <c r="Z83" s="451"/>
      <c r="AA83" s="450"/>
      <c r="AH83" s="441"/>
      <c r="AI83" s="441"/>
      <c r="AJ83" s="445"/>
    </row>
    <row r="84" spans="9:36" ht="15.95" customHeight="1" x14ac:dyDescent="0.2">
      <c r="I84" s="437"/>
      <c r="J84" s="437"/>
      <c r="K84" s="447"/>
      <c r="L84" s="450"/>
      <c r="M84" s="450"/>
      <c r="N84" s="521"/>
      <c r="O84" s="521"/>
      <c r="P84" s="450"/>
      <c r="Q84" s="450"/>
      <c r="R84" s="450"/>
      <c r="S84" s="450"/>
      <c r="T84" s="451"/>
      <c r="U84" s="450"/>
      <c r="W84" s="450"/>
      <c r="X84" s="450"/>
      <c r="Y84" s="450"/>
      <c r="Z84" s="451"/>
      <c r="AA84" s="450"/>
      <c r="AH84" s="441"/>
      <c r="AI84" s="441"/>
      <c r="AJ84" s="447"/>
    </row>
    <row r="85" spans="9:36" ht="15.95" customHeight="1" x14ac:dyDescent="0.2">
      <c r="I85" s="437"/>
      <c r="J85" s="437"/>
      <c r="K85" s="447"/>
      <c r="L85" s="450"/>
      <c r="M85" s="450"/>
      <c r="N85" s="521"/>
      <c r="O85" s="521"/>
      <c r="P85" s="450"/>
      <c r="Q85" s="450"/>
      <c r="R85" s="450"/>
      <c r="S85" s="450"/>
      <c r="T85" s="451"/>
      <c r="U85" s="450"/>
      <c r="W85" s="450"/>
      <c r="X85" s="450"/>
      <c r="Y85" s="450"/>
      <c r="Z85" s="451"/>
      <c r="AA85" s="450"/>
      <c r="AH85" s="441"/>
      <c r="AI85" s="441"/>
      <c r="AJ85" s="447"/>
    </row>
    <row r="86" spans="9:36" ht="15.95" customHeight="1" x14ac:dyDescent="0.2">
      <c r="K86" s="447"/>
      <c r="L86" s="450"/>
      <c r="M86" s="450"/>
      <c r="N86" s="521"/>
      <c r="O86" s="521"/>
      <c r="P86" s="450"/>
      <c r="Q86" s="450"/>
      <c r="R86" s="450"/>
      <c r="S86" s="450"/>
      <c r="T86" s="451"/>
      <c r="U86" s="450"/>
      <c r="W86" s="450"/>
      <c r="X86" s="450"/>
      <c r="Y86" s="450"/>
      <c r="Z86" s="451"/>
      <c r="AA86" s="450"/>
      <c r="AH86" s="441"/>
      <c r="AI86" s="441"/>
      <c r="AJ86" s="441"/>
    </row>
    <row r="87" spans="9:36" ht="15.95" customHeight="1" x14ac:dyDescent="0.2">
      <c r="K87" s="447"/>
      <c r="L87" s="450"/>
      <c r="M87" s="450"/>
      <c r="N87" s="521"/>
      <c r="O87" s="521"/>
      <c r="P87" s="450"/>
      <c r="Q87" s="450"/>
      <c r="R87" s="450"/>
      <c r="S87" s="450"/>
      <c r="T87" s="451"/>
      <c r="U87" s="450"/>
      <c r="W87" s="450"/>
      <c r="X87" s="450"/>
      <c r="Y87" s="450"/>
      <c r="Z87" s="451"/>
      <c r="AA87" s="450"/>
      <c r="AH87" s="441"/>
      <c r="AI87" s="441"/>
      <c r="AJ87" s="441"/>
    </row>
    <row r="88" spans="9:36" ht="15.95" customHeight="1" x14ac:dyDescent="0.2">
      <c r="L88" s="450"/>
      <c r="M88" s="450"/>
      <c r="N88" s="521"/>
      <c r="O88" s="521"/>
      <c r="P88" s="450"/>
      <c r="Q88" s="450"/>
      <c r="R88" s="450"/>
      <c r="S88" s="450"/>
      <c r="T88" s="451"/>
      <c r="U88" s="450"/>
      <c r="W88" s="450"/>
      <c r="X88" s="450"/>
      <c r="Y88" s="450"/>
      <c r="Z88" s="451"/>
      <c r="AA88" s="450"/>
    </row>
    <row r="89" spans="9:36" ht="15.95" customHeight="1" x14ac:dyDescent="0.2">
      <c r="K89" s="435"/>
      <c r="L89" s="450"/>
      <c r="M89" s="450"/>
      <c r="N89" s="521"/>
      <c r="O89" s="521"/>
      <c r="P89" s="450"/>
      <c r="Q89" s="450"/>
      <c r="R89" s="450"/>
      <c r="S89" s="450"/>
      <c r="T89" s="451"/>
      <c r="U89" s="450"/>
      <c r="W89" s="450"/>
      <c r="X89" s="450"/>
      <c r="Y89" s="450"/>
      <c r="Z89" s="451"/>
      <c r="AA89" s="450"/>
    </row>
    <row r="90" spans="9:36" ht="15.95" customHeight="1" x14ac:dyDescent="0.2">
      <c r="K90" s="435"/>
      <c r="R90" s="450"/>
      <c r="S90" s="450"/>
      <c r="T90" s="451"/>
      <c r="U90" s="450"/>
      <c r="W90" s="450"/>
      <c r="X90" s="450"/>
      <c r="Y90" s="450"/>
      <c r="Z90" s="451"/>
    </row>
    <row r="91" spans="9:36" ht="15.95" customHeight="1" x14ac:dyDescent="0.2">
      <c r="K91" s="435"/>
    </row>
    <row r="92" spans="9:36" ht="15.95" customHeight="1" x14ac:dyDescent="0.2">
      <c r="K92" s="435"/>
    </row>
    <row r="93" spans="9:36" ht="15.95" customHeight="1" x14ac:dyDescent="0.2">
      <c r="K93" s="435"/>
    </row>
    <row r="94" spans="9:36" ht="15.95" customHeight="1" x14ac:dyDescent="0.2">
      <c r="K94" s="435"/>
    </row>
    <row r="95" spans="9:36" ht="15.95" customHeight="1" x14ac:dyDescent="0.2">
      <c r="K95" s="435"/>
      <c r="S95" s="450"/>
    </row>
    <row r="96" spans="9:36" ht="15.95" customHeight="1" x14ac:dyDescent="0.2">
      <c r="K96" s="435"/>
      <c r="S96" s="450"/>
    </row>
    <row r="97" ht="15.95" customHeight="1" x14ac:dyDescent="0.2"/>
    <row r="98" ht="15.95" customHeight="1" x14ac:dyDescent="0.2"/>
    <row r="99" ht="15.95" customHeight="1" x14ac:dyDescent="0.2"/>
    <row r="100" ht="15.95" customHeight="1" x14ac:dyDescent="0.2"/>
    <row r="101" ht="15.95" customHeight="1" x14ac:dyDescent="0.2"/>
    <row r="102" ht="15.95" customHeight="1" x14ac:dyDescent="0.2"/>
    <row r="103" ht="15.95" customHeight="1" x14ac:dyDescent="0.2"/>
    <row r="104" ht="15.95" customHeight="1" x14ac:dyDescent="0.2"/>
    <row r="105" ht="15.95" customHeight="1" x14ac:dyDescent="0.2"/>
    <row r="106" ht="15.95" customHeight="1" x14ac:dyDescent="0.2"/>
    <row r="107" ht="15.95" customHeight="1" x14ac:dyDescent="0.2"/>
    <row r="108" ht="15.95" customHeight="1" x14ac:dyDescent="0.2"/>
    <row r="109" ht="15.95" customHeight="1" x14ac:dyDescent="0.2"/>
    <row r="110" ht="15.95" customHeight="1" x14ac:dyDescent="0.2"/>
    <row r="111" ht="15.95" customHeight="1" x14ac:dyDescent="0.2"/>
    <row r="112" ht="15.95" customHeight="1" x14ac:dyDescent="0.2"/>
    <row r="113" ht="15.95" customHeight="1" x14ac:dyDescent="0.2"/>
    <row r="114" ht="15.95" customHeight="1" x14ac:dyDescent="0.2"/>
    <row r="115" ht="15.95" customHeight="1" x14ac:dyDescent="0.2"/>
    <row r="116" ht="15.95" customHeight="1" x14ac:dyDescent="0.2"/>
    <row r="117" ht="15.95" customHeight="1" x14ac:dyDescent="0.2"/>
    <row r="118" ht="15.95" customHeight="1" x14ac:dyDescent="0.2"/>
    <row r="119" ht="15.95" customHeight="1" x14ac:dyDescent="0.2"/>
    <row r="120" ht="15.95" customHeight="1" x14ac:dyDescent="0.2"/>
    <row r="121" ht="15.95" customHeight="1" x14ac:dyDescent="0.2"/>
    <row r="122" ht="15.95" customHeight="1" x14ac:dyDescent="0.2"/>
    <row r="123" ht="15.95" customHeight="1" x14ac:dyDescent="0.2"/>
    <row r="124" ht="15.95" customHeight="1" x14ac:dyDescent="0.2"/>
    <row r="125" ht="15.95" customHeight="1" x14ac:dyDescent="0.2"/>
    <row r="126" ht="15.95" customHeight="1" x14ac:dyDescent="0.2"/>
    <row r="127" ht="15.95" customHeight="1" x14ac:dyDescent="0.2"/>
    <row r="128" ht="15.95" customHeight="1" x14ac:dyDescent="0.2"/>
    <row r="129" ht="15.95" customHeight="1" x14ac:dyDescent="0.2"/>
    <row r="130" ht="15.95" customHeight="1" x14ac:dyDescent="0.2"/>
    <row r="131" ht="15.95" customHeight="1" x14ac:dyDescent="0.2"/>
    <row r="132" ht="15.95" customHeight="1" x14ac:dyDescent="0.2"/>
    <row r="133" ht="15.95" customHeight="1" x14ac:dyDescent="0.2"/>
    <row r="134" ht="15.95" customHeight="1" x14ac:dyDescent="0.2"/>
    <row r="135" ht="15.95" customHeight="1" x14ac:dyDescent="0.2"/>
    <row r="136" ht="15.95" customHeight="1" x14ac:dyDescent="0.2"/>
    <row r="137" ht="15.95" customHeight="1" x14ac:dyDescent="0.2"/>
    <row r="138" ht="15.95" customHeight="1" x14ac:dyDescent="0.2"/>
    <row r="139" ht="15.95" customHeight="1" x14ac:dyDescent="0.2"/>
    <row r="140" ht="15.95" customHeight="1" x14ac:dyDescent="0.2"/>
    <row r="141" ht="15.95" customHeight="1" x14ac:dyDescent="0.2"/>
    <row r="142" ht="15.95" customHeight="1" x14ac:dyDescent="0.2"/>
    <row r="143" ht="15.95" customHeight="1" x14ac:dyDescent="0.2"/>
    <row r="144" ht="15.95" customHeight="1" x14ac:dyDescent="0.2"/>
    <row r="145" ht="15.95" customHeight="1" x14ac:dyDescent="0.2"/>
    <row r="146" ht="15.95" customHeight="1" x14ac:dyDescent="0.2"/>
    <row r="147" ht="15.95" customHeight="1" x14ac:dyDescent="0.2"/>
    <row r="148" ht="15.95" customHeight="1" x14ac:dyDescent="0.2"/>
  </sheetData>
  <sheetProtection selectLockedCells="1"/>
  <mergeCells count="29">
    <mergeCell ref="N22:N23"/>
    <mergeCell ref="X14:Z14"/>
    <mergeCell ref="N15:N16"/>
    <mergeCell ref="Z16:Z17"/>
    <mergeCell ref="T22:T23"/>
    <mergeCell ref="N20:N21"/>
    <mergeCell ref="R20:T20"/>
    <mergeCell ref="N7:N8"/>
    <mergeCell ref="T7:T8"/>
    <mergeCell ref="Z7:Z8"/>
    <mergeCell ref="Z9:Z10"/>
    <mergeCell ref="Z18:Z19"/>
    <mergeCell ref="N13:N14"/>
    <mergeCell ref="T14:T15"/>
    <mergeCell ref="T16:T17"/>
    <mergeCell ref="T9:T10"/>
    <mergeCell ref="K1:AA1"/>
    <mergeCell ref="AF1:AJ1"/>
    <mergeCell ref="K2:Z2"/>
    <mergeCell ref="AF2:AJ2"/>
    <mergeCell ref="N3:X3"/>
    <mergeCell ref="AF3:AJ3"/>
    <mergeCell ref="K4:N4"/>
    <mergeCell ref="Q4:T4"/>
    <mergeCell ref="W4:Z4"/>
    <mergeCell ref="AH4:AJ5"/>
    <mergeCell ref="L5:N5"/>
    <mergeCell ref="R5:T5"/>
    <mergeCell ref="X5:Z5"/>
  </mergeCells>
  <conditionalFormatting sqref="O7">
    <cfRule type="expression" priority="147" stopIfTrue="1">
      <formula>IF(N7="",1)</formula>
    </cfRule>
    <cfRule type="expression" dxfId="2132" priority="149">
      <formula>IF(N7=N9,1,0)</formula>
    </cfRule>
  </conditionalFormatting>
  <conditionalFormatting sqref="M7">
    <cfRule type="expression" dxfId="2131" priority="68">
      <formula>IF(N7&lt;&gt;0,1,0)</formula>
    </cfRule>
  </conditionalFormatting>
  <conditionalFormatting sqref="AA17">
    <cfRule type="expression" priority="58" stopIfTrue="1">
      <formula>IF(Z17="",1)</formula>
    </cfRule>
    <cfRule type="expression" dxfId="2130" priority="59">
      <formula>IF(Z17=Z19,1,0)</formula>
    </cfRule>
  </conditionalFormatting>
  <conditionalFormatting sqref="AA19">
    <cfRule type="expression" priority="852" stopIfTrue="1">
      <formula>IF(Z19="",1)</formula>
    </cfRule>
    <cfRule type="expression" dxfId="2129" priority="853">
      <formula>IF(Z19=Z34,1,0)</formula>
    </cfRule>
  </conditionalFormatting>
  <conditionalFormatting sqref="AA18">
    <cfRule type="expression" priority="862" stopIfTrue="1">
      <formula>IF(Z18="",1,0)</formula>
    </cfRule>
    <cfRule type="expression" dxfId="2128" priority="863">
      <formula>OR(Z16=Z18,Z24=Z18)</formula>
    </cfRule>
  </conditionalFormatting>
  <conditionalFormatting sqref="AA16">
    <cfRule type="expression" priority="864" stopIfTrue="1">
      <formula>IF(Z16="",1,0)</formula>
    </cfRule>
    <cfRule type="expression" dxfId="2127" priority="865">
      <formula>OR(Z24=Z16,Z18=Z16)</formula>
    </cfRule>
  </conditionalFormatting>
  <conditionalFormatting sqref="U22">
    <cfRule type="expression" priority="883" stopIfTrue="1">
      <formula>IF(T22="",1,0)</formula>
    </cfRule>
    <cfRule type="expression" dxfId="2126" priority="884">
      <formula>IF(T16=T22,1,0)</formula>
    </cfRule>
  </conditionalFormatting>
  <conditionalFormatting sqref="O13:O14">
    <cfRule type="expression" priority="41" stopIfTrue="1">
      <formula>IF(N13="",1)</formula>
    </cfRule>
    <cfRule type="expression" dxfId="2125" priority="43">
      <formula>IF(N13=N15,1,0)</formula>
    </cfRule>
  </conditionalFormatting>
  <conditionalFormatting sqref="O15">
    <cfRule type="expression" priority="40" stopIfTrue="1">
      <formula>IF(N15="",1,0)</formula>
    </cfRule>
    <cfRule type="expression" dxfId="2124" priority="42">
      <formula>IF(N13=N15,1,0)</formula>
    </cfRule>
  </conditionalFormatting>
  <conditionalFormatting sqref="U14:U15">
    <cfRule type="expression" priority="31" stopIfTrue="1">
      <formula>IF(T14="",1)</formula>
    </cfRule>
    <cfRule type="expression" dxfId="2123" priority="33">
      <formula>IF(T14=T16,1,0)</formula>
    </cfRule>
  </conditionalFormatting>
  <conditionalFormatting sqref="U16">
    <cfRule type="expression" priority="30" stopIfTrue="1">
      <formula>IF(T16="",1,0)</formula>
    </cfRule>
    <cfRule type="expression" dxfId="2122" priority="32">
      <formula>IF(T14=T16,1,0)</formula>
    </cfRule>
  </conditionalFormatting>
  <conditionalFormatting sqref="U7:U8">
    <cfRule type="expression" priority="25" stopIfTrue="1">
      <formula>IF(T7="",1)</formula>
    </cfRule>
    <cfRule type="expression" dxfId="2121" priority="27">
      <formula>IF(T7=T9,1,0)</formula>
    </cfRule>
  </conditionalFormatting>
  <conditionalFormatting sqref="U9">
    <cfRule type="expression" priority="24" stopIfTrue="1">
      <formula>IF(T9="",1,0)</formula>
    </cfRule>
    <cfRule type="expression" dxfId="2120" priority="26">
      <formula>IF(T7=T9,1,0)</formula>
    </cfRule>
  </conditionalFormatting>
  <conditionalFormatting sqref="AA7:AA8">
    <cfRule type="expression" priority="19" stopIfTrue="1">
      <formula>IF(Z7="",1)</formula>
    </cfRule>
    <cfRule type="expression" dxfId="2119" priority="21">
      <formula>IF(Z7=Z9,1,0)</formula>
    </cfRule>
  </conditionalFormatting>
  <conditionalFormatting sqref="AA9">
    <cfRule type="expression" priority="18" stopIfTrue="1">
      <formula>IF(Z9="",1,0)</formula>
    </cfRule>
    <cfRule type="expression" dxfId="2118" priority="20">
      <formula>IF(Z7=Z9,1,0)</formula>
    </cfRule>
  </conditionalFormatting>
  <conditionalFormatting sqref="S7">
    <cfRule type="expression" dxfId="2117" priority="15">
      <formula>IF(T7+U7&gt;T9+U9,1,0)</formula>
    </cfRule>
  </conditionalFormatting>
  <conditionalFormatting sqref="S9">
    <cfRule type="expression" dxfId="2116" priority="14">
      <formula>IF(T9+U9&gt;T11+U11,1,0)</formula>
    </cfRule>
  </conditionalFormatting>
  <conditionalFormatting sqref="S14">
    <cfRule type="expression" dxfId="2115" priority="13">
      <formula>IF(T14+U14&gt;T16+U16,1,0)</formula>
    </cfRule>
  </conditionalFormatting>
  <conditionalFormatting sqref="S16">
    <cfRule type="expression" dxfId="2114" priority="12">
      <formula>IF(T16+U16&gt;T18+U18,1,0)</formula>
    </cfRule>
  </conditionalFormatting>
  <conditionalFormatting sqref="Y16">
    <cfRule type="expression" dxfId="2113" priority="9">
      <formula>IF(Z16+AA16&gt;Z18+AA18,1,0)</formula>
    </cfRule>
  </conditionalFormatting>
  <conditionalFormatting sqref="Y18">
    <cfRule type="expression" dxfId="2112" priority="8">
      <formula>IF(Z18+AA18&gt;Z20+AA20,1,0)</formula>
    </cfRule>
  </conditionalFormatting>
  <conditionalFormatting sqref="S22">
    <cfRule type="expression" dxfId="2111" priority="7">
      <formula>IF(T22+U22&gt;T24+U24,1,0)</formula>
    </cfRule>
  </conditionalFormatting>
  <conditionalFormatting sqref="Y7">
    <cfRule type="expression" dxfId="2110" priority="6">
      <formula>IF(Z7+AA7&gt;Z9+AA9,1,0)</formula>
    </cfRule>
  </conditionalFormatting>
  <conditionalFormatting sqref="Y9">
    <cfRule type="expression" dxfId="2109" priority="5">
      <formula>IF(Z7+AA7&lt;Z9+AA9,1,0)</formula>
    </cfRule>
  </conditionalFormatting>
  <conditionalFormatting sqref="M13">
    <cfRule type="expression" dxfId="2108" priority="4">
      <formula>IF(N13+O13&gt;N15+O15,1,0)</formula>
    </cfRule>
  </conditionalFormatting>
  <conditionalFormatting sqref="M15">
    <cfRule type="expression" dxfId="2107" priority="3">
      <formula>IF(N15+O15&gt;N17+O17,1,0)</formula>
    </cfRule>
  </conditionalFormatting>
  <conditionalFormatting sqref="M20">
    <cfRule type="expression" dxfId="2106" priority="2">
      <formula>IF(N20+O20&gt;N22+O22,1,0)</formula>
    </cfRule>
  </conditionalFormatting>
  <conditionalFormatting sqref="M22">
    <cfRule type="expression" dxfId="2105" priority="1">
      <formula>IF(N22+O22&gt;N24+O24,1,0)</formula>
    </cfRule>
  </conditionalFormatting>
  <pageMargins left="0.25" right="0.25" top="0.75" bottom="0.75" header="0.3" footer="0.3"/>
  <pageSetup paperSize="9" scale="62" fitToHeight="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euil71">
    <tabColor rgb="FFFFC000"/>
    <pageSetUpPr fitToPage="1"/>
  </sheetPr>
  <dimension ref="A1:AY148"/>
  <sheetViews>
    <sheetView topLeftCell="K1" zoomScale="90" zoomScaleNormal="90" workbookViewId="0">
      <selection activeCell="K29" sqref="K1:AA29"/>
    </sheetView>
  </sheetViews>
  <sheetFormatPr baseColWidth="10" defaultColWidth="10.85546875" defaultRowHeight="12.75" x14ac:dyDescent="0.2"/>
  <cols>
    <col min="1" max="1" width="3.7109375" style="435" hidden="1" customWidth="1"/>
    <col min="2" max="4" width="16.140625" style="435" hidden="1" customWidth="1"/>
    <col min="5" max="10" width="12.28515625" style="435" hidden="1" customWidth="1"/>
    <col min="11" max="11" width="7.7109375" style="441" bestFit="1" customWidth="1"/>
    <col min="12" max="12" width="6.42578125" style="435" bestFit="1" customWidth="1"/>
    <col min="13" max="13" width="37.28515625" style="435" customWidth="1"/>
    <col min="14" max="14" width="10.85546875" style="442"/>
    <col min="15" max="15" width="4.7109375" style="441" bestFit="1" customWidth="1"/>
    <col min="16" max="16" width="15.7109375" style="441" customWidth="1"/>
    <col min="17" max="17" width="7.7109375" style="441" bestFit="1" customWidth="1"/>
    <col min="18" max="18" width="8.85546875" style="441" bestFit="1" customWidth="1"/>
    <col min="19" max="19" width="38" style="441" customWidth="1"/>
    <col min="20" max="20" width="10.85546875" style="442"/>
    <col min="21" max="21" width="4.85546875" style="441" bestFit="1" customWidth="1"/>
    <col min="22" max="22" width="15.85546875" style="441" customWidth="1"/>
    <col min="23" max="23" width="7.7109375" style="441" bestFit="1" customWidth="1"/>
    <col min="24" max="24" width="5.28515625" style="435" bestFit="1" customWidth="1"/>
    <col min="25" max="25" width="36.5703125" style="435" customWidth="1"/>
    <col min="26" max="26" width="10.85546875" style="442"/>
    <col min="27" max="27" width="4.85546875" style="441" bestFit="1" customWidth="1"/>
    <col min="28" max="28" width="6.5703125" style="435" customWidth="1"/>
    <col min="29" max="31" width="3.28515625" style="435" customWidth="1"/>
    <col min="32" max="32" width="12" style="435" customWidth="1"/>
    <col min="33" max="33" width="12" style="435" hidden="1" customWidth="1"/>
    <col min="34" max="34" width="36.7109375" style="435" customWidth="1"/>
    <col min="35" max="36" width="36.85546875" style="435" customWidth="1"/>
    <col min="37" max="42" width="10.85546875" style="435"/>
    <col min="43" max="43" width="1.7109375" style="435" bestFit="1" customWidth="1"/>
    <col min="44" max="46" width="10.85546875" style="435"/>
    <col min="47" max="47" width="1.7109375" style="435" bestFit="1" customWidth="1"/>
    <col min="48" max="50" width="10.85546875" style="435"/>
    <col min="51" max="51" width="1.7109375" style="435" bestFit="1" customWidth="1"/>
    <col min="52" max="16384" width="10.85546875" style="435"/>
  </cols>
  <sheetData>
    <row r="1" spans="1:51" ht="55.5" customHeight="1" x14ac:dyDescent="0.2">
      <c r="B1" s="436"/>
      <c r="C1" s="436"/>
      <c r="D1" s="436"/>
      <c r="I1" s="437"/>
      <c r="J1" s="437"/>
      <c r="K1" s="988" t="str">
        <f>Championnat</f>
        <v>Championnat de France de Tir à l'ARC</v>
      </c>
      <c r="L1" s="988"/>
      <c r="M1" s="988"/>
      <c r="N1" s="988"/>
      <c r="O1" s="988"/>
      <c r="P1" s="988"/>
      <c r="Q1" s="988"/>
      <c r="R1" s="988"/>
      <c r="S1" s="988"/>
      <c r="T1" s="988"/>
      <c r="U1" s="988"/>
      <c r="V1" s="988"/>
      <c r="W1" s="988"/>
      <c r="X1" s="988"/>
      <c r="Y1" s="988"/>
      <c r="Z1" s="988"/>
      <c r="AA1" s="988"/>
      <c r="AB1" s="439"/>
      <c r="AC1" s="439"/>
      <c r="AD1" s="439"/>
      <c r="AE1" s="439"/>
      <c r="AF1" s="988" t="str">
        <f>Championnat</f>
        <v>Championnat de France de Tir à l'ARC</v>
      </c>
      <c r="AG1" s="988"/>
      <c r="AH1" s="988"/>
      <c r="AI1" s="988"/>
      <c r="AJ1" s="988"/>
      <c r="AK1" s="491"/>
      <c r="AL1" s="491"/>
      <c r="AM1" s="491"/>
      <c r="AN1" s="491"/>
      <c r="AO1" s="491"/>
      <c r="AP1" s="491"/>
      <c r="AQ1" s="491"/>
      <c r="AR1" s="491"/>
      <c r="AS1" s="491"/>
      <c r="AT1" s="491"/>
      <c r="AU1" s="491"/>
      <c r="AV1" s="491"/>
      <c r="AW1" s="491"/>
      <c r="AY1" s="491"/>
    </row>
    <row r="2" spans="1:51" ht="61.5" customHeight="1" x14ac:dyDescent="0.2">
      <c r="A2" s="437"/>
      <c r="I2" s="437"/>
      <c r="J2" s="437"/>
      <c r="K2" s="989" t="str">
        <f>CATEG_IMPORTEE</f>
        <v>Collèges Mixtes Etablissement</v>
      </c>
      <c r="L2" s="989"/>
      <c r="M2" s="989"/>
      <c r="N2" s="989"/>
      <c r="O2" s="989"/>
      <c r="P2" s="989"/>
      <c r="Q2" s="989"/>
      <c r="R2" s="989"/>
      <c r="S2" s="989"/>
      <c r="T2" s="989"/>
      <c r="U2" s="989"/>
      <c r="V2" s="989"/>
      <c r="W2" s="989"/>
      <c r="X2" s="989"/>
      <c r="Y2" s="989"/>
      <c r="Z2" s="989"/>
      <c r="AA2" s="438"/>
      <c r="AB2" s="439"/>
      <c r="AC2" s="439"/>
      <c r="AD2" s="439"/>
      <c r="AE2" s="439"/>
      <c r="AF2" s="990" t="str">
        <f>CATEG_IMPORTEE</f>
        <v>Collèges Mixtes Etablissement</v>
      </c>
      <c r="AG2" s="990"/>
      <c r="AH2" s="990"/>
      <c r="AI2" s="990"/>
      <c r="AJ2" s="990"/>
      <c r="AK2" s="492"/>
      <c r="AL2" s="492"/>
      <c r="AM2" s="492"/>
      <c r="AN2" s="492"/>
      <c r="AO2" s="492"/>
      <c r="AP2" s="492"/>
      <c r="AQ2" s="492"/>
      <c r="AR2" s="492"/>
      <c r="AS2" s="492"/>
      <c r="AT2" s="492"/>
      <c r="AU2" s="492"/>
      <c r="AV2" s="492"/>
      <c r="AW2" s="492"/>
      <c r="AY2" s="492"/>
    </row>
    <row r="3" spans="1:51" ht="42" customHeight="1" x14ac:dyDescent="0.2">
      <c r="B3" s="440" t="s">
        <v>774</v>
      </c>
      <c r="I3" s="437"/>
      <c r="J3" s="437"/>
      <c r="N3" s="991" t="str">
        <f>LIEU&amp;" du "&amp;DATE</f>
        <v>L’Isle sur la Sorgue du 27 au 31 mars 2023</v>
      </c>
      <c r="O3" s="991"/>
      <c r="P3" s="991"/>
      <c r="Q3" s="991"/>
      <c r="R3" s="991"/>
      <c r="S3" s="991"/>
      <c r="T3" s="991"/>
      <c r="U3" s="991"/>
      <c r="V3" s="991"/>
      <c r="W3" s="991"/>
      <c r="X3" s="991"/>
      <c r="AF3" s="991" t="str">
        <f>LIEU&amp;" du "&amp;DATE</f>
        <v>L’Isle sur la Sorgue du 27 au 31 mars 2023</v>
      </c>
      <c r="AG3" s="991"/>
      <c r="AH3" s="991"/>
      <c r="AI3" s="991"/>
      <c r="AJ3" s="991"/>
      <c r="AK3" s="493"/>
      <c r="AL3" s="493"/>
      <c r="AM3" s="493"/>
      <c r="AN3" s="493"/>
      <c r="AO3" s="493"/>
      <c r="AP3" s="493"/>
      <c r="AQ3" s="493"/>
      <c r="AR3" s="493"/>
      <c r="AS3" s="493"/>
      <c r="AT3" s="493"/>
      <c r="AU3" s="493"/>
      <c r="AW3" s="442"/>
      <c r="AY3" s="493"/>
    </row>
    <row r="4" spans="1:51" ht="21" customHeight="1" x14ac:dyDescent="0.2">
      <c r="B4" s="440" t="s">
        <v>775</v>
      </c>
      <c r="C4" s="462" t="s">
        <v>375</v>
      </c>
      <c r="D4" s="462" t="s">
        <v>374</v>
      </c>
      <c r="E4" s="440" t="s">
        <v>776</v>
      </c>
      <c r="F4" s="487" t="s">
        <v>838</v>
      </c>
      <c r="G4" s="488" t="s">
        <v>837</v>
      </c>
      <c r="H4" s="898"/>
      <c r="I4" s="437"/>
      <c r="J4" s="437"/>
      <c r="K4" s="979" t="s">
        <v>1084</v>
      </c>
      <c r="L4" s="979"/>
      <c r="M4" s="979"/>
      <c r="N4" s="979"/>
      <c r="O4" s="443"/>
      <c r="P4" s="443"/>
      <c r="Q4" s="979" t="s">
        <v>1085</v>
      </c>
      <c r="R4" s="979"/>
      <c r="S4" s="979"/>
      <c r="T4" s="979"/>
      <c r="U4" s="443"/>
      <c r="V4" s="443"/>
      <c r="W4" s="979" t="s">
        <v>817</v>
      </c>
      <c r="X4" s="979"/>
      <c r="Y4" s="979"/>
      <c r="Z4" s="979"/>
      <c r="AA4" s="443"/>
      <c r="AH4" s="980" t="s">
        <v>778</v>
      </c>
      <c r="AI4" s="980"/>
      <c r="AJ4" s="980"/>
      <c r="AN4" s="497" t="s">
        <v>848</v>
      </c>
    </row>
    <row r="5" spans="1:51" ht="15.95" customHeight="1" thickBot="1" x14ac:dyDescent="0.25">
      <c r="A5" s="435">
        <v>1</v>
      </c>
      <c r="B5" s="444" t="str">
        <f t="shared" ref="B5:B10" ca="1" si="0">INDIRECT("'Imp. Qualif.'!L"&amp;INDIRECT("f"&amp;ROW()))</f>
        <v/>
      </c>
      <c r="C5" s="444" t="str">
        <f t="shared" ref="C5:C10" ca="1" si="1">INDIRECT("'Imp. Qualif.'!M"&amp;INDIRECT("f"&amp;ROW()))</f>
        <v/>
      </c>
      <c r="D5" s="444" t="str">
        <f t="shared" ref="D5:D10" ca="1" si="2">INDIRECT("'Imp. Qualif.'!N"&amp;INDIRECT("f"&amp;ROW()))</f>
        <v/>
      </c>
      <c r="E5" s="486">
        <f t="shared" ref="E5:E10" ca="1" si="3">INDIRECT("'Imp. Qualif.'!O"&amp;INDIRECT("f"&amp;ROW()))</f>
        <v>0</v>
      </c>
      <c r="F5" s="489">
        <v>11</v>
      </c>
      <c r="G5" s="488" t="str">
        <f ca="1">B5&amp;C5</f>
        <v/>
      </c>
      <c r="H5" s="898" t="str">
        <f ca="1">IF(B5&lt;&gt;"",B5,"")</f>
        <v/>
      </c>
      <c r="I5" s="898" t="str">
        <f t="shared" ref="I5:J20" ca="1" si="4">IF(C5&lt;&gt;"",C5,"")</f>
        <v/>
      </c>
      <c r="J5" s="898" t="str">
        <f t="shared" ca="1" si="4"/>
        <v/>
      </c>
      <c r="L5" s="979"/>
      <c r="M5" s="1247"/>
      <c r="N5" s="1247"/>
      <c r="O5" s="443"/>
      <c r="P5" s="443"/>
      <c r="R5" s="979"/>
      <c r="S5" s="1247"/>
      <c r="T5" s="1247"/>
      <c r="U5" s="443"/>
      <c r="V5" s="443"/>
      <c r="W5" s="445"/>
      <c r="X5" s="979" t="s">
        <v>777</v>
      </c>
      <c r="Y5" s="1247"/>
      <c r="Z5" s="1247"/>
      <c r="AA5" s="443"/>
      <c r="AH5" s="981"/>
      <c r="AI5" s="981"/>
      <c r="AJ5" s="981"/>
      <c r="AN5" s="494" t="s">
        <v>839</v>
      </c>
      <c r="AO5" s="494" t="s">
        <v>840</v>
      </c>
      <c r="AP5" s="494" t="s">
        <v>841</v>
      </c>
      <c r="AQ5" s="496" t="s">
        <v>793</v>
      </c>
      <c r="AR5" s="494" t="s">
        <v>842</v>
      </c>
      <c r="AS5" s="494" t="s">
        <v>843</v>
      </c>
      <c r="AT5" s="494" t="s">
        <v>844</v>
      </c>
      <c r="AU5" s="496" t="s">
        <v>793</v>
      </c>
      <c r="AV5" s="494" t="s">
        <v>845</v>
      </c>
      <c r="AW5" s="494" t="s">
        <v>846</v>
      </c>
      <c r="AX5" s="494" t="s">
        <v>847</v>
      </c>
      <c r="AY5" s="496" t="s">
        <v>793</v>
      </c>
    </row>
    <row r="6" spans="1:51" ht="15.95" customHeight="1" thickBot="1" x14ac:dyDescent="0.25">
      <c r="A6" s="435">
        <v>2</v>
      </c>
      <c r="B6" s="444" t="str">
        <f t="shared" ca="1" si="0"/>
        <v/>
      </c>
      <c r="C6" s="444" t="str">
        <f t="shared" ca="1" si="1"/>
        <v/>
      </c>
      <c r="D6" s="444" t="str">
        <f t="shared" ca="1" si="2"/>
        <v/>
      </c>
      <c r="E6" s="486">
        <f t="shared" ca="1" si="3"/>
        <v>0</v>
      </c>
      <c r="F6" s="489">
        <v>12</v>
      </c>
      <c r="G6" s="488" t="str">
        <f t="shared" ref="G6:G28" ca="1" si="5">B6&amp;C6</f>
        <v/>
      </c>
      <c r="H6" s="898" t="str">
        <f t="shared" ref="H6:J28" ca="1" si="6">IF(B6&lt;&gt;"",B6,"")</f>
        <v/>
      </c>
      <c r="I6" s="898" t="str">
        <f t="shared" ca="1" si="4"/>
        <v/>
      </c>
      <c r="J6" s="898" t="str">
        <f t="shared" ca="1" si="4"/>
        <v/>
      </c>
      <c r="K6" s="445" t="s">
        <v>779</v>
      </c>
      <c r="L6" s="779" t="s">
        <v>1083</v>
      </c>
      <c r="M6" s="456" t="s">
        <v>481</v>
      </c>
      <c r="N6" s="464" t="s">
        <v>780</v>
      </c>
      <c r="O6" s="446" t="s">
        <v>781</v>
      </c>
      <c r="P6" s="445"/>
      <c r="Q6" s="445" t="s">
        <v>779</v>
      </c>
      <c r="R6" s="779" t="s">
        <v>1083</v>
      </c>
      <c r="S6" s="456" t="s">
        <v>481</v>
      </c>
      <c r="T6" s="464" t="s">
        <v>780</v>
      </c>
      <c r="U6" s="446" t="s">
        <v>781</v>
      </c>
      <c r="V6" s="445"/>
      <c r="W6" s="445" t="s">
        <v>779</v>
      </c>
      <c r="X6" s="779" t="s">
        <v>1083</v>
      </c>
      <c r="Y6" s="456" t="s">
        <v>481</v>
      </c>
      <c r="Z6" s="464" t="s">
        <v>780</v>
      </c>
      <c r="AA6" s="446" t="s">
        <v>781</v>
      </c>
      <c r="AH6" s="483" t="s">
        <v>782</v>
      </c>
      <c r="AI6" s="484" t="s">
        <v>375</v>
      </c>
      <c r="AJ6" s="485" t="s">
        <v>783</v>
      </c>
      <c r="AN6" s="494">
        <f>K7</f>
        <v>1</v>
      </c>
      <c r="AO6" s="495" t="str">
        <f ca="1">L8</f>
        <v/>
      </c>
      <c r="AP6" s="784" t="s">
        <v>1326</v>
      </c>
      <c r="AQ6" s="496" t="s">
        <v>793</v>
      </c>
      <c r="AR6" s="494">
        <f>Q7</f>
        <v>1</v>
      </c>
      <c r="AS6" s="495" t="str">
        <f ca="1">R8</f>
        <v/>
      </c>
      <c r="AT6" s="784" t="str">
        <f>AS7</f>
        <v/>
      </c>
      <c r="AU6" s="496" t="s">
        <v>793</v>
      </c>
      <c r="AV6" s="494">
        <f>W7</f>
        <v>1</v>
      </c>
      <c r="AW6" s="495" t="str">
        <f>X8</f>
        <v/>
      </c>
      <c r="AX6" s="495" t="str">
        <f>X10</f>
        <v/>
      </c>
      <c r="AY6" s="496" t="s">
        <v>793</v>
      </c>
    </row>
    <row r="7" spans="1:51" ht="15.95" customHeight="1" thickBot="1" x14ac:dyDescent="0.25">
      <c r="A7" s="435">
        <v>3</v>
      </c>
      <c r="B7" s="444" t="str">
        <f t="shared" ca="1" si="0"/>
        <v/>
      </c>
      <c r="C7" s="444" t="str">
        <f t="shared" ca="1" si="1"/>
        <v/>
      </c>
      <c r="D7" s="444" t="str">
        <f t="shared" ca="1" si="2"/>
        <v/>
      </c>
      <c r="E7" s="486">
        <f t="shared" ca="1" si="3"/>
        <v>0</v>
      </c>
      <c r="F7" s="489">
        <v>13</v>
      </c>
      <c r="G7" s="488" t="str">
        <f t="shared" ca="1" si="5"/>
        <v/>
      </c>
      <c r="H7" s="898" t="str">
        <f t="shared" ca="1" si="6"/>
        <v/>
      </c>
      <c r="I7" s="898" t="str">
        <f t="shared" ca="1" si="4"/>
        <v/>
      </c>
      <c r="J7" s="898" t="str">
        <f t="shared" ca="1" si="4"/>
        <v/>
      </c>
      <c r="K7" s="447">
        <f>Num_Cible</f>
        <v>1</v>
      </c>
      <c r="L7" s="472">
        <v>1</v>
      </c>
      <c r="M7" s="465" t="str">
        <f ca="1">IFERROR(VLOOKUP(L8,$G$5:$J$28,2,FALSE),"")</f>
        <v/>
      </c>
      <c r="N7" s="966"/>
      <c r="O7" s="780"/>
      <c r="Q7" s="447">
        <f>K7</f>
        <v>1</v>
      </c>
      <c r="R7" s="472">
        <v>1</v>
      </c>
      <c r="S7" s="465" t="str">
        <f ca="1">IFERROR(VLOOKUP(R8,$G$5:$J$28,2,FALSE),"")</f>
        <v/>
      </c>
      <c r="T7" s="966"/>
      <c r="U7" s="780"/>
      <c r="W7" s="447">
        <f>Q7</f>
        <v>1</v>
      </c>
      <c r="X7" s="472">
        <v>1</v>
      </c>
      <c r="Y7" s="465" t="str">
        <f ca="1">IFERROR(VLOOKUP(X8,$G$5:$J$28,2,FALSE),"")</f>
        <v/>
      </c>
      <c r="Z7" s="966"/>
      <c r="AA7" s="780"/>
      <c r="AF7" s="448" t="s">
        <v>784</v>
      </c>
      <c r="AG7" s="435" t="str">
        <f>IF(ISBLANK(Z7),"",IF(Z7+AA7&gt;Z9+AA9,X8,X10))</f>
        <v/>
      </c>
      <c r="AH7" s="475" t="str">
        <f ca="1">IFERROR(VLOOKUP(AG7,$G$5:$J$28,2,FALSE),"")</f>
        <v/>
      </c>
      <c r="AI7" s="475" t="str">
        <f ca="1">IFERROR(VLOOKUP(AG7,$G$5:$J$28,3,FALSE),"")</f>
        <v/>
      </c>
      <c r="AJ7" s="475" t="str">
        <f ca="1">IFERROR(VLOOKUP(AG7,$G$5:$J$28,4,FALSE),"")</f>
        <v/>
      </c>
      <c r="AN7" s="494">
        <f>K12</f>
        <v>2</v>
      </c>
      <c r="AO7" s="495" t="str">
        <f ca="1">L13</f>
        <v/>
      </c>
      <c r="AP7" s="784" t="str">
        <f ca="1">AO8</f>
        <v/>
      </c>
      <c r="AQ7" s="496" t="s">
        <v>793</v>
      </c>
      <c r="AR7" s="494">
        <f>Q9</f>
        <v>2</v>
      </c>
      <c r="AS7" s="495" t="str">
        <f>R10</f>
        <v/>
      </c>
      <c r="AT7" s="784" t="str">
        <f ca="1">AS6</f>
        <v/>
      </c>
      <c r="AU7" s="496" t="s">
        <v>793</v>
      </c>
      <c r="AV7" s="494">
        <f>W9</f>
        <v>2</v>
      </c>
      <c r="AW7" s="495" t="str">
        <f>X10</f>
        <v/>
      </c>
      <c r="AX7" s="495" t="str">
        <f>X8</f>
        <v/>
      </c>
      <c r="AY7" s="496" t="s">
        <v>793</v>
      </c>
    </row>
    <row r="8" spans="1:51" ht="15.95" customHeight="1" thickBot="1" x14ac:dyDescent="0.25">
      <c r="A8" s="435">
        <v>4</v>
      </c>
      <c r="B8" s="444" t="str">
        <f t="shared" ca="1" si="0"/>
        <v/>
      </c>
      <c r="C8" s="444" t="str">
        <f t="shared" ca="1" si="1"/>
        <v/>
      </c>
      <c r="D8" s="444" t="str">
        <f t="shared" ca="1" si="2"/>
        <v/>
      </c>
      <c r="E8" s="486">
        <f t="shared" ca="1" si="3"/>
        <v>0</v>
      </c>
      <c r="F8" s="489">
        <v>14</v>
      </c>
      <c r="G8" s="488" t="str">
        <f t="shared" ca="1" si="5"/>
        <v/>
      </c>
      <c r="H8" s="898" t="str">
        <f t="shared" ca="1" si="6"/>
        <v/>
      </c>
      <c r="I8" s="898" t="str">
        <f t="shared" ca="1" si="4"/>
        <v/>
      </c>
      <c r="J8" s="898" t="str">
        <f t="shared" ca="1" si="4"/>
        <v/>
      </c>
      <c r="K8" s="447"/>
      <c r="L8" s="473" t="str">
        <f ca="1">VLOOKUP(L7,$A$5:$G$24,7,FALSE)</f>
        <v/>
      </c>
      <c r="M8" s="466" t="str">
        <f ca="1">IFERROR(VLOOKUP(L8,$G$5:$J$28,3,FALSE),"")</f>
        <v/>
      </c>
      <c r="N8" s="967"/>
      <c r="O8" s="781"/>
      <c r="Q8" s="447"/>
      <c r="R8" s="473" t="str">
        <f ca="1">L8</f>
        <v/>
      </c>
      <c r="S8" s="466" t="str">
        <f ca="1">IFERROR(VLOOKUP(R8,$G$5:$J$28,3,FALSE),"")</f>
        <v/>
      </c>
      <c r="T8" s="967"/>
      <c r="W8" s="447"/>
      <c r="X8" s="473" t="str">
        <f>IF(ISBLANK(T7),"",IF(U7+T7&gt;T9+U9,R8,R10))</f>
        <v/>
      </c>
      <c r="Y8" s="466" t="str">
        <f ca="1">IFERROR(VLOOKUP(X8,$G$5:$J$28,3,FALSE),"")</f>
        <v/>
      </c>
      <c r="Z8" s="967"/>
      <c r="AF8" s="449" t="s">
        <v>785</v>
      </c>
      <c r="AG8" s="435" t="str">
        <f>IF(ISBLANK(Z7),"",IF(Z7+AA7&lt;Z9+AA9,X8,X10))</f>
        <v/>
      </c>
      <c r="AH8" s="478" t="str">
        <f t="shared" ref="AH8:AH12" ca="1" si="7">IFERROR(VLOOKUP(AG8,$G$5:$J$28,2,FALSE),"")</f>
        <v/>
      </c>
      <c r="AI8" s="474" t="str">
        <f t="shared" ref="AI8:AI12" ca="1" si="8">IFERROR(VLOOKUP(AG8,$G$5:$J$28,3,FALSE),"")</f>
        <v/>
      </c>
      <c r="AJ8" s="915" t="str">
        <f t="shared" ref="AJ8:AJ12" ca="1" si="9">IFERROR(VLOOKUP(AG8,$G$5:$J$28,4,FALSE),"")</f>
        <v/>
      </c>
      <c r="AN8" s="494">
        <f>K14</f>
        <v>3</v>
      </c>
      <c r="AO8" s="495" t="str">
        <f ca="1">L15</f>
        <v/>
      </c>
      <c r="AP8" s="784" t="str">
        <f ca="1">AO7</f>
        <v/>
      </c>
      <c r="AQ8" s="496" t="s">
        <v>793</v>
      </c>
      <c r="AR8" s="494">
        <f>Q14</f>
        <v>3</v>
      </c>
      <c r="AS8" s="495" t="str">
        <f ca="1">R15</f>
        <v/>
      </c>
      <c r="AT8" s="784" t="str">
        <f>AS9</f>
        <v/>
      </c>
      <c r="AU8" s="496" t="s">
        <v>793</v>
      </c>
      <c r="AV8" s="494">
        <f>W14</f>
        <v>3</v>
      </c>
      <c r="AW8" s="495" t="str">
        <f>X15</f>
        <v/>
      </c>
      <c r="AX8" s="495" t="str">
        <f>X17</f>
        <v/>
      </c>
      <c r="AY8" s="496" t="s">
        <v>793</v>
      </c>
    </row>
    <row r="9" spans="1:51" ht="15.95" customHeight="1" thickBot="1" x14ac:dyDescent="0.25">
      <c r="A9" s="435">
        <v>5</v>
      </c>
      <c r="B9" s="444" t="str">
        <f t="shared" ca="1" si="0"/>
        <v/>
      </c>
      <c r="C9" s="444" t="str">
        <f t="shared" ca="1" si="1"/>
        <v/>
      </c>
      <c r="D9" s="444" t="str">
        <f t="shared" ca="1" si="2"/>
        <v/>
      </c>
      <c r="E9" s="486">
        <f t="shared" ca="1" si="3"/>
        <v>0</v>
      </c>
      <c r="F9" s="489">
        <v>15</v>
      </c>
      <c r="G9" s="488" t="str">
        <f t="shared" ca="1" si="5"/>
        <v/>
      </c>
      <c r="H9" s="898" t="str">
        <f t="shared" ca="1" si="6"/>
        <v/>
      </c>
      <c r="I9" s="898" t="str">
        <f t="shared" ca="1" si="4"/>
        <v/>
      </c>
      <c r="J9" s="898" t="str">
        <f t="shared" ca="1" si="4"/>
        <v/>
      </c>
      <c r="K9" s="447"/>
      <c r="L9" s="516"/>
      <c r="M9" s="516"/>
      <c r="N9" s="457"/>
      <c r="Q9" s="447">
        <f>Q7+1</f>
        <v>2</v>
      </c>
      <c r="R9" s="472">
        <v>4</v>
      </c>
      <c r="S9" s="465" t="str">
        <f ca="1">IFERROR(VLOOKUP(R10,$G$5:$J$28,2,FALSE),"")</f>
        <v/>
      </c>
      <c r="T9" s="966"/>
      <c r="U9" s="780"/>
      <c r="W9" s="447">
        <f>W7+1</f>
        <v>2</v>
      </c>
      <c r="X9" s="472">
        <v>2</v>
      </c>
      <c r="Y9" s="465" t="str">
        <f ca="1">IFERROR(VLOOKUP(X10,$G$5:$J$28,2,FALSE),"")</f>
        <v/>
      </c>
      <c r="Z9" s="966"/>
      <c r="AA9" s="780"/>
      <c r="AF9" s="452" t="s">
        <v>786</v>
      </c>
      <c r="AG9" s="435" t="str">
        <f>IF(ISBLANK(Z14),"",IF(Z14+AA14&gt;Z16+AA16,X15,X17))</f>
        <v/>
      </c>
      <c r="AH9" s="478" t="str">
        <f t="shared" ca="1" si="7"/>
        <v/>
      </c>
      <c r="AI9" s="474" t="str">
        <f t="shared" ca="1" si="8"/>
        <v/>
      </c>
      <c r="AJ9" s="915" t="str">
        <f t="shared" ca="1" si="9"/>
        <v/>
      </c>
      <c r="AN9" s="494">
        <f>K20</f>
        <v>4</v>
      </c>
      <c r="AO9" s="495" t="str">
        <f ca="1">L21</f>
        <v/>
      </c>
      <c r="AP9" s="784" t="s">
        <v>1326</v>
      </c>
      <c r="AQ9" s="496" t="s">
        <v>793</v>
      </c>
      <c r="AR9" s="494">
        <f>Q16</f>
        <v>4</v>
      </c>
      <c r="AS9" s="495" t="str">
        <f>R17</f>
        <v/>
      </c>
      <c r="AT9" s="784" t="str">
        <f ca="1">AS8</f>
        <v/>
      </c>
      <c r="AU9" s="496" t="s">
        <v>793</v>
      </c>
      <c r="AV9" s="494">
        <f>W16</f>
        <v>4</v>
      </c>
      <c r="AW9" s="495" t="str">
        <f>X17</f>
        <v/>
      </c>
      <c r="AX9" s="495" t="str">
        <f>X15</f>
        <v/>
      </c>
      <c r="AY9" s="496" t="s">
        <v>793</v>
      </c>
    </row>
    <row r="10" spans="1:51" ht="15.95" customHeight="1" thickBot="1" x14ac:dyDescent="0.25">
      <c r="A10" s="435">
        <v>6</v>
      </c>
      <c r="B10" s="444" t="str">
        <f t="shared" ca="1" si="0"/>
        <v/>
      </c>
      <c r="C10" s="444" t="str">
        <f t="shared" ca="1" si="1"/>
        <v/>
      </c>
      <c r="D10" s="444" t="str">
        <f t="shared" ca="1" si="2"/>
        <v/>
      </c>
      <c r="E10" s="486">
        <f t="shared" ca="1" si="3"/>
        <v>0</v>
      </c>
      <c r="F10" s="489">
        <v>16</v>
      </c>
      <c r="G10" s="488" t="str">
        <f t="shared" ca="1" si="5"/>
        <v/>
      </c>
      <c r="H10" s="898" t="str">
        <f t="shared" ca="1" si="6"/>
        <v/>
      </c>
      <c r="I10" s="898" t="str">
        <f t="shared" ca="1" si="4"/>
        <v/>
      </c>
      <c r="J10" s="898" t="str">
        <f t="shared" ca="1" si="4"/>
        <v/>
      </c>
      <c r="K10" s="447"/>
      <c r="L10" s="516"/>
      <c r="M10" s="516"/>
      <c r="N10" s="457"/>
      <c r="Q10" s="447"/>
      <c r="R10" s="473" t="str">
        <f>IF(ISBLANK(N12),"",IF(O12+N12&gt;N14+O14,L13,L15))</f>
        <v/>
      </c>
      <c r="S10" s="466" t="str">
        <f ca="1">IFERROR(VLOOKUP(R10,$G$5:$J$28,3,FALSE),"")</f>
        <v/>
      </c>
      <c r="T10" s="967"/>
      <c r="W10" s="447"/>
      <c r="X10" s="473" t="str">
        <f>IF(ISBLANK(T14),"",IF(U14+T14&gt;T16+U16,R15,R17))</f>
        <v/>
      </c>
      <c r="Y10" s="466" t="str">
        <f ca="1">IFERROR(VLOOKUP(X10,$G$5:$J$28,3,FALSE),"")</f>
        <v/>
      </c>
      <c r="Z10" s="967"/>
      <c r="AF10" s="453" t="s">
        <v>788</v>
      </c>
      <c r="AG10" s="435" t="str">
        <f>IF(ISBLANK(Z14),"",IF(Z14+AA14&lt;Z16+AA16,X15,X17))</f>
        <v/>
      </c>
      <c r="AH10" s="478" t="str">
        <f t="shared" ca="1" si="7"/>
        <v/>
      </c>
      <c r="AI10" s="474" t="str">
        <f t="shared" ca="1" si="8"/>
        <v/>
      </c>
      <c r="AJ10" s="915" t="str">
        <f t="shared" ca="1" si="9"/>
        <v/>
      </c>
      <c r="AN10" s="494">
        <f>K25</f>
        <v>5</v>
      </c>
      <c r="AO10" s="495" t="str">
        <f ca="1">L26</f>
        <v/>
      </c>
      <c r="AP10" s="784" t="str">
        <f ca="1">AO11</f>
        <v/>
      </c>
      <c r="AQ10" s="496" t="s">
        <v>793</v>
      </c>
      <c r="AR10" s="494">
        <f>Q21</f>
        <v>5</v>
      </c>
      <c r="AS10" s="495" t="str">
        <f>R22</f>
        <v/>
      </c>
      <c r="AT10" s="784" t="str">
        <f>AS11</f>
        <v/>
      </c>
      <c r="AU10" s="496" t="s">
        <v>793</v>
      </c>
      <c r="AV10" s="494">
        <f>W21</f>
        <v>5</v>
      </c>
      <c r="AW10" s="495" t="str">
        <f>X22</f>
        <v/>
      </c>
      <c r="AX10" s="495" t="str">
        <f>X24</f>
        <v/>
      </c>
      <c r="AY10" s="496" t="s">
        <v>793</v>
      </c>
    </row>
    <row r="11" spans="1:51" ht="15.95" customHeight="1" thickBot="1" x14ac:dyDescent="0.25">
      <c r="G11" s="488" t="str">
        <f t="shared" si="5"/>
        <v/>
      </c>
      <c r="H11" s="898" t="str">
        <f t="shared" si="6"/>
        <v/>
      </c>
      <c r="I11" s="898" t="str">
        <f t="shared" si="4"/>
        <v/>
      </c>
      <c r="J11" s="898" t="str">
        <f t="shared" si="4"/>
        <v/>
      </c>
      <c r="K11" s="445" t="s">
        <v>779</v>
      </c>
      <c r="L11" s="779" t="s">
        <v>1083</v>
      </c>
      <c r="M11" s="456" t="s">
        <v>481</v>
      </c>
      <c r="N11" s="464" t="s">
        <v>780</v>
      </c>
      <c r="O11" s="446" t="s">
        <v>781</v>
      </c>
      <c r="P11" s="450"/>
      <c r="V11" s="450"/>
      <c r="W11" s="450"/>
      <c r="X11" s="450"/>
      <c r="Y11" s="450"/>
      <c r="Z11" s="451"/>
      <c r="AA11" s="450"/>
      <c r="AF11" s="453" t="s">
        <v>789</v>
      </c>
      <c r="AG11" s="435" t="str">
        <f>IF(ISBLANK(Z21),"",IF(Z21+AA21&gt;Z23+AA23,X22,X24))</f>
        <v/>
      </c>
      <c r="AH11" s="478" t="str">
        <f t="shared" ca="1" si="7"/>
        <v/>
      </c>
      <c r="AI11" s="474" t="str">
        <f t="shared" ca="1" si="8"/>
        <v/>
      </c>
      <c r="AJ11" s="915" t="str">
        <f t="shared" ca="1" si="9"/>
        <v/>
      </c>
      <c r="AN11" s="494">
        <f>K27</f>
        <v>6</v>
      </c>
      <c r="AO11" s="495" t="str">
        <f ca="1">L28</f>
        <v/>
      </c>
      <c r="AP11" s="784" t="str">
        <f ca="1">AO10</f>
        <v/>
      </c>
      <c r="AQ11" s="496" t="s">
        <v>793</v>
      </c>
      <c r="AR11" s="494">
        <f>Q23</f>
        <v>6</v>
      </c>
      <c r="AS11" s="495" t="str">
        <f>R24</f>
        <v/>
      </c>
      <c r="AT11" s="784" t="str">
        <f>AS10</f>
        <v/>
      </c>
      <c r="AU11" s="496" t="s">
        <v>793</v>
      </c>
      <c r="AV11" s="494">
        <f>W23</f>
        <v>6</v>
      </c>
      <c r="AW11" s="495" t="str">
        <f>X24</f>
        <v/>
      </c>
      <c r="AX11" s="495" t="str">
        <f>X22</f>
        <v/>
      </c>
      <c r="AY11" s="496" t="s">
        <v>793</v>
      </c>
    </row>
    <row r="12" spans="1:51" ht="15.95" customHeight="1" thickBot="1" x14ac:dyDescent="0.25">
      <c r="G12" s="488" t="str">
        <f t="shared" si="5"/>
        <v/>
      </c>
      <c r="H12" s="898" t="str">
        <f t="shared" si="6"/>
        <v/>
      </c>
      <c r="I12" s="898" t="str">
        <f t="shared" si="4"/>
        <v/>
      </c>
      <c r="J12" s="898" t="str">
        <f t="shared" si="4"/>
        <v/>
      </c>
      <c r="K12" s="447">
        <f>K7+1</f>
        <v>2</v>
      </c>
      <c r="L12" s="472">
        <v>4</v>
      </c>
      <c r="M12" s="465" t="str">
        <f ca="1">IFERROR(VLOOKUP(L13,$G$5:$J$28,2,FALSE),"")</f>
        <v/>
      </c>
      <c r="N12" s="966"/>
      <c r="O12" s="780"/>
      <c r="P12" s="450"/>
      <c r="V12" s="450"/>
      <c r="W12" s="450"/>
      <c r="X12" s="979" t="s">
        <v>787</v>
      </c>
      <c r="Y12" s="1247"/>
      <c r="Z12" s="1247"/>
      <c r="AA12" s="450"/>
      <c r="AF12" s="453" t="s">
        <v>790</v>
      </c>
      <c r="AG12" s="435" t="str">
        <f>IF(ISBLANK(Z21),"",IF(Z21+AA21&lt;Z23+AA23,X22,X24))</f>
        <v/>
      </c>
      <c r="AH12" s="478" t="str">
        <f t="shared" ca="1" si="7"/>
        <v/>
      </c>
      <c r="AI12" s="474" t="str">
        <f t="shared" ca="1" si="8"/>
        <v/>
      </c>
      <c r="AJ12" s="915" t="str">
        <f t="shared" ca="1" si="9"/>
        <v/>
      </c>
      <c r="AN12" s="494"/>
      <c r="AO12" s="495"/>
      <c r="AP12" s="784"/>
      <c r="AQ12" s="496" t="s">
        <v>793</v>
      </c>
      <c r="AR12" s="494"/>
      <c r="AS12" s="495"/>
      <c r="AT12" s="495"/>
      <c r="AU12" s="496"/>
      <c r="AV12" s="494"/>
      <c r="AW12" s="495"/>
      <c r="AX12" s="495"/>
      <c r="AY12" s="496" t="s">
        <v>793</v>
      </c>
    </row>
    <row r="13" spans="1:51" ht="15.95" customHeight="1" thickBot="1" x14ac:dyDescent="0.25">
      <c r="G13" s="488" t="str">
        <f t="shared" si="5"/>
        <v/>
      </c>
      <c r="H13" s="898" t="str">
        <f t="shared" si="6"/>
        <v/>
      </c>
      <c r="I13" s="898" t="str">
        <f t="shared" si="4"/>
        <v/>
      </c>
      <c r="J13" s="898" t="str">
        <f t="shared" si="4"/>
        <v/>
      </c>
      <c r="K13" s="447"/>
      <c r="L13" s="473" t="str">
        <f ca="1">VLOOKUP(L12,$A$5:$G$24,7,FALSE)</f>
        <v/>
      </c>
      <c r="M13" s="466" t="str">
        <f ca="1">IFERROR(VLOOKUP(L13,$G$5:$J$28,3,FALSE),"")</f>
        <v/>
      </c>
      <c r="N13" s="967"/>
      <c r="P13" s="445"/>
      <c r="Q13" s="445" t="s">
        <v>779</v>
      </c>
      <c r="R13" s="779" t="s">
        <v>1083</v>
      </c>
      <c r="S13" s="456" t="s">
        <v>481</v>
      </c>
      <c r="T13" s="464" t="s">
        <v>780</v>
      </c>
      <c r="U13" s="446" t="s">
        <v>781</v>
      </c>
      <c r="V13" s="445"/>
      <c r="W13" s="445" t="s">
        <v>779</v>
      </c>
      <c r="X13" s="779" t="s">
        <v>1083</v>
      </c>
      <c r="Y13" s="456" t="s">
        <v>481</v>
      </c>
      <c r="Z13" s="464" t="s">
        <v>780</v>
      </c>
      <c r="AA13" s="446" t="s">
        <v>781</v>
      </c>
      <c r="AF13" s="453"/>
      <c r="AG13" s="453"/>
      <c r="AH13" s="453"/>
      <c r="AI13" s="453"/>
      <c r="AJ13" s="453"/>
      <c r="AN13" s="494"/>
      <c r="AO13" s="495"/>
      <c r="AP13" s="495"/>
      <c r="AQ13" s="496" t="s">
        <v>793</v>
      </c>
      <c r="AR13" s="494"/>
      <c r="AS13" s="495"/>
      <c r="AT13" s="495"/>
      <c r="AU13" s="496"/>
      <c r="AV13" s="494"/>
      <c r="AW13" s="495"/>
      <c r="AX13" s="495"/>
      <c r="AY13" s="496" t="s">
        <v>793</v>
      </c>
    </row>
    <row r="14" spans="1:51" ht="15.95" customHeight="1" thickBot="1" x14ac:dyDescent="0.25">
      <c r="G14" s="488" t="str">
        <f t="shared" si="5"/>
        <v/>
      </c>
      <c r="H14" s="898" t="str">
        <f t="shared" si="6"/>
        <v/>
      </c>
      <c r="I14" s="898" t="str">
        <f t="shared" si="4"/>
        <v/>
      </c>
      <c r="J14" s="898" t="str">
        <f t="shared" si="4"/>
        <v/>
      </c>
      <c r="K14" s="447">
        <f>K12+1</f>
        <v>3</v>
      </c>
      <c r="L14" s="472">
        <v>5</v>
      </c>
      <c r="M14" s="465" t="str">
        <f ca="1">IFERROR(VLOOKUP(L15,$G$5:$J$28,2,FALSE),"")</f>
        <v/>
      </c>
      <c r="N14" s="966"/>
      <c r="O14" s="780"/>
      <c r="Q14" s="447">
        <f>Q9+1</f>
        <v>3</v>
      </c>
      <c r="R14" s="472">
        <v>2</v>
      </c>
      <c r="S14" s="465" t="str">
        <f ca="1">IFERROR(VLOOKUP(R15,$G$5:$J$28,2,FALSE),"")</f>
        <v/>
      </c>
      <c r="T14" s="966"/>
      <c r="U14" s="780"/>
      <c r="W14" s="447">
        <f>W9+1</f>
        <v>3</v>
      </c>
      <c r="X14" s="472">
        <v>3</v>
      </c>
      <c r="Y14" s="465" t="str">
        <f ca="1">IFERROR(VLOOKUP(X15,$G$5:$J$28,2,FALSE),"")</f>
        <v/>
      </c>
      <c r="Z14" s="966"/>
      <c r="AA14" s="780"/>
      <c r="AF14" s="453"/>
      <c r="AG14" s="453"/>
      <c r="AH14" s="453"/>
      <c r="AI14" s="453"/>
      <c r="AJ14" s="453"/>
      <c r="AN14" s="494"/>
      <c r="AO14" s="495"/>
      <c r="AP14" s="495"/>
      <c r="AQ14" s="496"/>
      <c r="AR14" s="494"/>
      <c r="AS14" s="495"/>
      <c r="AT14" s="495"/>
      <c r="AU14" s="496"/>
      <c r="AV14" s="494"/>
      <c r="AW14" s="495"/>
      <c r="AX14" s="495"/>
      <c r="AY14" s="496" t="s">
        <v>793</v>
      </c>
    </row>
    <row r="15" spans="1:51" ht="15.95" customHeight="1" thickBot="1" x14ac:dyDescent="0.25">
      <c r="G15" s="488" t="str">
        <f t="shared" si="5"/>
        <v/>
      </c>
      <c r="H15" s="898" t="str">
        <f t="shared" si="6"/>
        <v/>
      </c>
      <c r="I15" s="898" t="str">
        <f t="shared" si="4"/>
        <v/>
      </c>
      <c r="J15" s="898" t="str">
        <f t="shared" si="4"/>
        <v/>
      </c>
      <c r="K15" s="447"/>
      <c r="L15" s="473" t="str">
        <f ca="1">VLOOKUP(L14,$A$5:$G$24,7,FALSE)</f>
        <v/>
      </c>
      <c r="M15" s="466" t="str">
        <f ca="1">IFERROR(VLOOKUP(L15,$G$5:$J$28,3,FALSE),"")</f>
        <v/>
      </c>
      <c r="N15" s="967"/>
      <c r="Q15" s="450"/>
      <c r="R15" s="473" t="str">
        <f ca="1">L21</f>
        <v/>
      </c>
      <c r="S15" s="466" t="str">
        <f ca="1">IFERROR(VLOOKUP(R15,$G$5:$J$28,3,FALSE),"")</f>
        <v/>
      </c>
      <c r="T15" s="967"/>
      <c r="W15" s="447"/>
      <c r="X15" s="473" t="str">
        <f>IF(ISBLANK(T14),"",IF(U14+T14&lt;T16+U16,R15,R17))</f>
        <v/>
      </c>
      <c r="Y15" s="466" t="str">
        <f ca="1">IFERROR(VLOOKUP(X15,$G$5:$J$28,3,FALSE),"")</f>
        <v/>
      </c>
      <c r="Z15" s="967"/>
      <c r="AF15" s="453"/>
      <c r="AG15" s="453"/>
      <c r="AH15" s="453"/>
      <c r="AI15" s="453"/>
      <c r="AJ15" s="453"/>
      <c r="AN15" s="494"/>
      <c r="AO15" s="495"/>
      <c r="AP15" s="495"/>
      <c r="AQ15" s="496"/>
      <c r="AR15" s="494"/>
      <c r="AS15" s="495"/>
      <c r="AT15" s="495"/>
      <c r="AU15" s="496"/>
      <c r="AV15" s="494"/>
      <c r="AW15" s="495"/>
      <c r="AX15" s="495"/>
      <c r="AY15" s="496" t="s">
        <v>793</v>
      </c>
    </row>
    <row r="16" spans="1:51" ht="15.95" customHeight="1" thickBot="1" x14ac:dyDescent="0.25">
      <c r="G16" s="488" t="str">
        <f t="shared" si="5"/>
        <v/>
      </c>
      <c r="H16" s="898" t="str">
        <f t="shared" si="6"/>
        <v/>
      </c>
      <c r="I16" s="898" t="str">
        <f t="shared" si="4"/>
        <v/>
      </c>
      <c r="J16" s="898" t="str">
        <f t="shared" si="4"/>
        <v/>
      </c>
      <c r="K16" s="435"/>
      <c r="N16" s="435"/>
      <c r="O16" s="435"/>
      <c r="Q16" s="447">
        <f>Q14+1</f>
        <v>4</v>
      </c>
      <c r="R16" s="472">
        <v>3</v>
      </c>
      <c r="S16" s="465" t="str">
        <f ca="1">IFERROR(VLOOKUP(R17,$G$5:$J$28,2,FALSE),"")</f>
        <v/>
      </c>
      <c r="T16" s="966"/>
      <c r="U16" s="780"/>
      <c r="W16" s="447">
        <f>W14+1</f>
        <v>4</v>
      </c>
      <c r="X16" s="472">
        <v>4</v>
      </c>
      <c r="Y16" s="465" t="str">
        <f ca="1">IFERROR(VLOOKUP(X17,$G$5:$J$28,2,FALSE),"")</f>
        <v/>
      </c>
      <c r="Z16" s="966"/>
      <c r="AA16" s="780"/>
      <c r="AF16" s="453"/>
      <c r="AG16" s="453"/>
      <c r="AH16" s="453"/>
      <c r="AI16" s="453"/>
      <c r="AJ16" s="453"/>
      <c r="AN16" s="494"/>
      <c r="AO16" s="495"/>
      <c r="AP16" s="495"/>
      <c r="AQ16" s="496"/>
      <c r="AR16" s="494"/>
      <c r="AS16" s="495"/>
      <c r="AT16" s="495"/>
      <c r="AU16" s="496"/>
      <c r="AV16" s="494"/>
      <c r="AW16" s="495"/>
      <c r="AX16" s="495"/>
      <c r="AY16" s="496" t="s">
        <v>793</v>
      </c>
    </row>
    <row r="17" spans="7:51" ht="15.95" customHeight="1" thickBot="1" x14ac:dyDescent="0.25">
      <c r="G17" s="488" t="str">
        <f t="shared" si="5"/>
        <v/>
      </c>
      <c r="H17" s="898" t="str">
        <f t="shared" si="6"/>
        <v/>
      </c>
      <c r="I17" s="898" t="str">
        <f t="shared" si="4"/>
        <v/>
      </c>
      <c r="J17" s="898" t="str">
        <f t="shared" si="4"/>
        <v/>
      </c>
      <c r="Q17" s="447"/>
      <c r="R17" s="473" t="str">
        <f>IF(ISBLANK(N25),"",IF(O25+N25&gt;N27+O27,L26,L28))</f>
        <v/>
      </c>
      <c r="S17" s="466" t="str">
        <f ca="1">IFERROR(VLOOKUP(R17,$G$5:$J$28,3,FALSE),"")</f>
        <v/>
      </c>
      <c r="T17" s="967"/>
      <c r="W17" s="447"/>
      <c r="X17" s="473" t="str">
        <f>IF(ISBLANK(T7),"",IF(U7+T7&lt;T9+U9,R8,R10))</f>
        <v/>
      </c>
      <c r="Y17" s="466" t="str">
        <f ca="1">IFERROR(VLOOKUP(X17,$G$5:$J$28,3,FALSE),"")</f>
        <v/>
      </c>
      <c r="Z17" s="967"/>
      <c r="AF17" s="453"/>
      <c r="AG17" s="453"/>
      <c r="AH17" s="453"/>
      <c r="AI17" s="453"/>
      <c r="AJ17" s="453"/>
      <c r="AN17" s="494"/>
      <c r="AO17" s="495"/>
      <c r="AP17" s="495"/>
      <c r="AQ17" s="496"/>
      <c r="AR17" s="494"/>
      <c r="AS17" s="495"/>
      <c r="AT17" s="495"/>
      <c r="AU17" s="496"/>
      <c r="AV17" s="494"/>
      <c r="AW17" s="495"/>
      <c r="AX17" s="495"/>
      <c r="AY17" s="496" t="s">
        <v>793</v>
      </c>
    </row>
    <row r="18" spans="7:51" ht="15.95" customHeight="1" thickBot="1" x14ac:dyDescent="0.25">
      <c r="G18" s="488" t="str">
        <f t="shared" si="5"/>
        <v/>
      </c>
      <c r="H18" s="898" t="str">
        <f t="shared" si="6"/>
        <v/>
      </c>
      <c r="I18" s="898" t="str">
        <f t="shared" si="4"/>
        <v/>
      </c>
      <c r="J18" s="898" t="str">
        <f t="shared" si="4"/>
        <v/>
      </c>
      <c r="P18" s="450"/>
      <c r="V18" s="450"/>
      <c r="W18" s="450"/>
      <c r="X18" s="450"/>
      <c r="Y18" s="450"/>
      <c r="Z18" s="451"/>
      <c r="AA18" s="450"/>
      <c r="AF18" s="453"/>
      <c r="AG18" s="453"/>
      <c r="AH18" s="453"/>
      <c r="AI18" s="453"/>
      <c r="AJ18" s="453"/>
      <c r="AN18" s="494"/>
      <c r="AO18" s="495"/>
      <c r="AP18" s="495"/>
      <c r="AQ18" s="496"/>
      <c r="AR18" s="494"/>
      <c r="AS18" s="495"/>
      <c r="AT18" s="495"/>
      <c r="AU18" s="496"/>
      <c r="AV18" s="494"/>
      <c r="AW18" s="495"/>
      <c r="AX18" s="495"/>
      <c r="AY18" s="496" t="s">
        <v>793</v>
      </c>
    </row>
    <row r="19" spans="7:51" ht="15.95" customHeight="1" thickBot="1" x14ac:dyDescent="0.25">
      <c r="G19" s="488" t="str">
        <f t="shared" si="5"/>
        <v/>
      </c>
      <c r="H19" s="898" t="str">
        <f t="shared" si="6"/>
        <v/>
      </c>
      <c r="I19" s="898" t="str">
        <f t="shared" si="4"/>
        <v/>
      </c>
      <c r="J19" s="898" t="str">
        <f t="shared" si="4"/>
        <v/>
      </c>
      <c r="K19" s="445" t="s">
        <v>779</v>
      </c>
      <c r="L19" s="779" t="s">
        <v>1083</v>
      </c>
      <c r="M19" s="456" t="s">
        <v>481</v>
      </c>
      <c r="N19" s="464" t="s">
        <v>780</v>
      </c>
      <c r="O19" s="446" t="s">
        <v>781</v>
      </c>
      <c r="P19" s="450"/>
      <c r="V19" s="450"/>
      <c r="W19" s="450"/>
      <c r="X19" s="979" t="s">
        <v>820</v>
      </c>
      <c r="Y19" s="1247"/>
      <c r="Z19" s="1247"/>
      <c r="AA19" s="450"/>
      <c r="AB19" s="435" t="s">
        <v>793</v>
      </c>
      <c r="AF19" s="453"/>
      <c r="AG19" s="453"/>
      <c r="AH19" s="453"/>
      <c r="AI19" s="453"/>
      <c r="AJ19" s="453"/>
      <c r="AN19" s="494"/>
      <c r="AO19" s="495"/>
      <c r="AP19" s="495"/>
      <c r="AQ19" s="496"/>
      <c r="AR19" s="494"/>
      <c r="AS19" s="495"/>
      <c r="AT19" s="495"/>
      <c r="AU19" s="496"/>
      <c r="AV19" s="494"/>
      <c r="AW19" s="495"/>
      <c r="AX19" s="495"/>
      <c r="AY19" s="496" t="s">
        <v>793</v>
      </c>
    </row>
    <row r="20" spans="7:51" ht="15.95" customHeight="1" thickBot="1" x14ac:dyDescent="0.25">
      <c r="G20" s="488" t="str">
        <f t="shared" si="5"/>
        <v/>
      </c>
      <c r="H20" s="898" t="str">
        <f t="shared" si="6"/>
        <v/>
      </c>
      <c r="I20" s="898" t="str">
        <f t="shared" si="4"/>
        <v/>
      </c>
      <c r="J20" s="898" t="str">
        <f t="shared" si="4"/>
        <v/>
      </c>
      <c r="K20" s="447">
        <f>K14+1</f>
        <v>4</v>
      </c>
      <c r="L20" s="472">
        <v>2</v>
      </c>
      <c r="M20" s="465" t="str">
        <f ca="1">IFERROR(VLOOKUP(L21,$G$5:$J$28,2,FALSE),"")</f>
        <v/>
      </c>
      <c r="N20" s="966"/>
      <c r="O20" s="780"/>
      <c r="P20" s="445"/>
      <c r="Q20" s="445" t="s">
        <v>779</v>
      </c>
      <c r="R20" s="779" t="s">
        <v>1083</v>
      </c>
      <c r="S20" s="456" t="s">
        <v>481</v>
      </c>
      <c r="T20" s="464" t="s">
        <v>780</v>
      </c>
      <c r="V20" s="445"/>
      <c r="W20" s="445" t="s">
        <v>779</v>
      </c>
      <c r="X20" s="779" t="s">
        <v>1083</v>
      </c>
      <c r="Y20" s="456" t="s">
        <v>481</v>
      </c>
      <c r="Z20" s="464" t="s">
        <v>780</v>
      </c>
      <c r="AA20" s="446" t="s">
        <v>781</v>
      </c>
      <c r="AF20" s="453"/>
      <c r="AG20" s="453"/>
      <c r="AH20" s="453"/>
      <c r="AI20" s="453"/>
      <c r="AJ20" s="453"/>
      <c r="AN20" s="494"/>
      <c r="AO20" s="495"/>
      <c r="AP20" s="495"/>
      <c r="AQ20" s="496"/>
      <c r="AR20" s="494"/>
      <c r="AS20" s="495"/>
      <c r="AT20" s="495"/>
      <c r="AU20" s="496"/>
      <c r="AV20" s="494"/>
      <c r="AW20" s="495"/>
      <c r="AX20" s="495"/>
      <c r="AY20" s="496" t="s">
        <v>793</v>
      </c>
    </row>
    <row r="21" spans="7:51" ht="15.95" customHeight="1" thickBot="1" x14ac:dyDescent="0.25">
      <c r="G21" s="488" t="str">
        <f t="shared" si="5"/>
        <v/>
      </c>
      <c r="H21" s="898" t="str">
        <f t="shared" si="6"/>
        <v/>
      </c>
      <c r="I21" s="898" t="str">
        <f t="shared" si="6"/>
        <v/>
      </c>
      <c r="J21" s="898" t="str">
        <f t="shared" si="6"/>
        <v/>
      </c>
      <c r="K21" s="447"/>
      <c r="L21" s="473" t="str">
        <f ca="1">VLOOKUP(L20,$A$5:$G$24,7,FALSE)</f>
        <v/>
      </c>
      <c r="M21" s="466" t="str">
        <f ca="1">IFERROR(VLOOKUP(L21,$G$5:$J$28,3,FALSE),"")</f>
        <v/>
      </c>
      <c r="N21" s="967"/>
      <c r="O21" s="781"/>
      <c r="Q21" s="447">
        <f>Q16+1</f>
        <v>5</v>
      </c>
      <c r="R21" s="472">
        <v>5</v>
      </c>
      <c r="S21" s="465" t="str">
        <f ca="1">IFERROR(VLOOKUP(R22,$G$5:$J$28,2,FALSE),"")</f>
        <v/>
      </c>
      <c r="T21" s="966"/>
      <c r="W21" s="447">
        <f>W16+1</f>
        <v>5</v>
      </c>
      <c r="X21" s="472">
        <v>5</v>
      </c>
      <c r="Y21" s="465" t="str">
        <f ca="1">IFERROR(VLOOKUP(X22,$G$5:$J$28,2,FALSE),"")</f>
        <v/>
      </c>
      <c r="Z21" s="966"/>
      <c r="AA21" s="780"/>
      <c r="AF21" s="453"/>
      <c r="AG21" s="453"/>
      <c r="AH21" s="453"/>
      <c r="AI21" s="453"/>
      <c r="AJ21" s="453"/>
      <c r="AN21" s="494"/>
      <c r="AO21" s="495"/>
      <c r="AP21" s="495"/>
      <c r="AQ21" s="496"/>
      <c r="AR21" s="494"/>
      <c r="AS21" s="495"/>
      <c r="AT21" s="495"/>
      <c r="AU21" s="496"/>
      <c r="AV21" s="494"/>
      <c r="AW21" s="495"/>
      <c r="AX21" s="495"/>
      <c r="AY21" s="496" t="s">
        <v>793</v>
      </c>
    </row>
    <row r="22" spans="7:51" ht="15.95" customHeight="1" thickBot="1" x14ac:dyDescent="0.25">
      <c r="G22" s="488" t="str">
        <f t="shared" si="5"/>
        <v/>
      </c>
      <c r="H22" s="898" t="str">
        <f t="shared" si="6"/>
        <v/>
      </c>
      <c r="I22" s="898" t="str">
        <f t="shared" si="6"/>
        <v/>
      </c>
      <c r="J22" s="898" t="str">
        <f t="shared" si="6"/>
        <v/>
      </c>
      <c r="Q22" s="447"/>
      <c r="R22" s="473" t="str">
        <f>IF(ISBLANK(N12),"",IF(O12+N12&lt;N14+O14,L13,L15))</f>
        <v/>
      </c>
      <c r="S22" s="466" t="str">
        <f ca="1">IFERROR(VLOOKUP(R22,$G$5:$J$28,3,FALSE),"")</f>
        <v/>
      </c>
      <c r="T22" s="967"/>
      <c r="W22" s="447"/>
      <c r="X22" s="473" t="str">
        <f>R22</f>
        <v/>
      </c>
      <c r="Y22" s="466" t="str">
        <f ca="1">IFERROR(VLOOKUP(X22,$G$5:$J$28,3,FALSE),"")</f>
        <v/>
      </c>
      <c r="Z22" s="967"/>
      <c r="AF22" s="453"/>
      <c r="AG22" s="453"/>
      <c r="AH22" s="453"/>
      <c r="AI22" s="453"/>
      <c r="AJ22" s="453"/>
      <c r="AN22" s="494"/>
      <c r="AO22" s="495"/>
      <c r="AP22" s="495"/>
      <c r="AQ22" s="496"/>
      <c r="AR22" s="494"/>
      <c r="AS22" s="495"/>
      <c r="AT22" s="495"/>
      <c r="AU22" s="496"/>
      <c r="AV22" s="494"/>
      <c r="AW22" s="495"/>
      <c r="AX22" s="495"/>
      <c r="AY22" s="496" t="s">
        <v>793</v>
      </c>
    </row>
    <row r="23" spans="7:51" ht="15.95" customHeight="1" thickBot="1" x14ac:dyDescent="0.25">
      <c r="G23" s="488" t="str">
        <f t="shared" si="5"/>
        <v/>
      </c>
      <c r="H23" s="898" t="str">
        <f t="shared" si="6"/>
        <v/>
      </c>
      <c r="I23" s="898" t="str">
        <f t="shared" si="6"/>
        <v/>
      </c>
      <c r="J23" s="898" t="str">
        <f t="shared" si="6"/>
        <v/>
      </c>
      <c r="Q23" s="447">
        <f>Q21+1</f>
        <v>6</v>
      </c>
      <c r="R23" s="472">
        <v>6</v>
      </c>
      <c r="S23" s="465" t="str">
        <f ca="1">IFERROR(VLOOKUP(R24,$G$5:$J$28,2,FALSE),"")</f>
        <v/>
      </c>
      <c r="T23" s="966"/>
      <c r="W23" s="447">
        <f>W21+1</f>
        <v>6</v>
      </c>
      <c r="X23" s="472">
        <v>6</v>
      </c>
      <c r="Y23" s="465" t="str">
        <f ca="1">IFERROR(VLOOKUP(X24,$G$5:$J$28,2,FALSE),"")</f>
        <v/>
      </c>
      <c r="Z23" s="966"/>
      <c r="AA23" s="780"/>
      <c r="AF23" s="453"/>
      <c r="AG23" s="453"/>
      <c r="AH23" s="453"/>
      <c r="AI23" s="453"/>
      <c r="AJ23" s="453"/>
      <c r="AN23" s="494"/>
      <c r="AO23" s="495"/>
      <c r="AP23" s="495"/>
      <c r="AQ23" s="496"/>
      <c r="AR23" s="494"/>
      <c r="AS23" s="495"/>
      <c r="AT23" s="495"/>
      <c r="AU23" s="496"/>
      <c r="AV23" s="494"/>
      <c r="AW23" s="495"/>
      <c r="AX23" s="495"/>
      <c r="AY23" s="496" t="s">
        <v>793</v>
      </c>
    </row>
    <row r="24" spans="7:51" ht="15.95" customHeight="1" thickBot="1" x14ac:dyDescent="0.25">
      <c r="G24" s="488" t="str">
        <f t="shared" si="5"/>
        <v/>
      </c>
      <c r="H24" s="898" t="str">
        <f t="shared" si="6"/>
        <v/>
      </c>
      <c r="I24" s="898" t="str">
        <f t="shared" si="6"/>
        <v/>
      </c>
      <c r="J24" s="898" t="str">
        <f t="shared" si="6"/>
        <v/>
      </c>
      <c r="K24" s="445" t="s">
        <v>779</v>
      </c>
      <c r="L24" s="779" t="s">
        <v>1083</v>
      </c>
      <c r="M24" s="456" t="s">
        <v>481</v>
      </c>
      <c r="N24" s="464" t="s">
        <v>780</v>
      </c>
      <c r="O24" s="446" t="s">
        <v>781</v>
      </c>
      <c r="R24" s="473" t="str">
        <f>IF(ISBLANK(N25),"",IF(O25+N25&lt;N27+O27,L26,L28))</f>
        <v/>
      </c>
      <c r="S24" s="466" t="str">
        <f ca="1">IFERROR(VLOOKUP(R24,$G$5:$J$28,3,FALSE),"")</f>
        <v/>
      </c>
      <c r="T24" s="967"/>
      <c r="W24" s="447"/>
      <c r="X24" s="473" t="str">
        <f>R24</f>
        <v/>
      </c>
      <c r="Y24" s="466" t="str">
        <f ca="1">IFERROR(VLOOKUP(X24,$G$5:$J$28,3,FALSE),"")</f>
        <v/>
      </c>
      <c r="Z24" s="967"/>
      <c r="AF24" s="453"/>
      <c r="AG24" s="453"/>
      <c r="AH24" s="453"/>
      <c r="AI24" s="453"/>
      <c r="AJ24" s="453"/>
      <c r="AN24" s="494"/>
      <c r="AO24" s="495"/>
      <c r="AP24" s="495"/>
      <c r="AQ24" s="496"/>
      <c r="AR24" s="494"/>
      <c r="AS24" s="495"/>
      <c r="AT24" s="495"/>
      <c r="AU24" s="496"/>
      <c r="AV24" s="494"/>
      <c r="AW24" s="495"/>
      <c r="AX24" s="495"/>
      <c r="AY24" s="496" t="s">
        <v>793</v>
      </c>
    </row>
    <row r="25" spans="7:51" ht="15.95" customHeight="1" thickBot="1" x14ac:dyDescent="0.25">
      <c r="G25" s="488" t="str">
        <f t="shared" si="5"/>
        <v/>
      </c>
      <c r="H25" s="898" t="str">
        <f t="shared" si="6"/>
        <v/>
      </c>
      <c r="I25" s="898" t="str">
        <f t="shared" si="6"/>
        <v/>
      </c>
      <c r="J25" s="898" t="str">
        <f t="shared" si="6"/>
        <v/>
      </c>
      <c r="K25" s="447">
        <f>K20+1</f>
        <v>5</v>
      </c>
      <c r="L25" s="472">
        <v>3</v>
      </c>
      <c r="M25" s="465" t="str">
        <f ca="1">IFERROR(VLOOKUP(L26,$G$5:$J$28,2,FALSE),"")</f>
        <v/>
      </c>
      <c r="N25" s="966"/>
      <c r="O25" s="780"/>
      <c r="Q25" s="447"/>
      <c r="R25" s="437"/>
      <c r="S25" s="437"/>
      <c r="T25" s="451"/>
      <c r="W25" s="447"/>
      <c r="X25" s="441"/>
      <c r="Y25" s="441"/>
      <c r="AF25" s="453"/>
      <c r="AG25" s="453"/>
      <c r="AH25" s="453"/>
      <c r="AI25" s="453"/>
      <c r="AJ25" s="453"/>
      <c r="AN25" s="494"/>
      <c r="AO25" s="495"/>
      <c r="AP25" s="495"/>
      <c r="AQ25" s="496"/>
      <c r="AR25" s="494"/>
      <c r="AS25" s="495"/>
      <c r="AT25" s="495"/>
      <c r="AU25" s="496"/>
      <c r="AV25" s="494"/>
      <c r="AW25" s="495"/>
      <c r="AX25" s="495"/>
      <c r="AY25" s="496" t="s">
        <v>793</v>
      </c>
    </row>
    <row r="26" spans="7:51" ht="15.95" customHeight="1" thickBot="1" x14ac:dyDescent="0.25">
      <c r="G26" s="488" t="str">
        <f t="shared" si="5"/>
        <v/>
      </c>
      <c r="H26" s="898" t="str">
        <f t="shared" si="6"/>
        <v/>
      </c>
      <c r="I26" s="898" t="str">
        <f t="shared" si="6"/>
        <v/>
      </c>
      <c r="J26" s="898" t="str">
        <f t="shared" si="6"/>
        <v/>
      </c>
      <c r="K26" s="447"/>
      <c r="L26" s="473" t="str">
        <f ca="1">VLOOKUP(L25,$A$5:$G$24,7,FALSE)</f>
        <v/>
      </c>
      <c r="M26" s="466" t="str">
        <f ca="1">IFERROR(VLOOKUP(L26,$G$5:$J$28,3,FALSE),"")</f>
        <v/>
      </c>
      <c r="N26" s="967"/>
      <c r="P26" s="450"/>
      <c r="T26" s="451"/>
      <c r="U26" s="450"/>
      <c r="AF26" s="453"/>
      <c r="AG26" s="453"/>
      <c r="AH26" s="453"/>
      <c r="AI26" s="453"/>
      <c r="AJ26" s="453"/>
      <c r="AN26" s="494"/>
      <c r="AO26" s="495"/>
      <c r="AP26" s="495"/>
      <c r="AQ26" s="496"/>
      <c r="AR26" s="494"/>
      <c r="AS26" s="495"/>
      <c r="AT26" s="495"/>
      <c r="AU26" s="496"/>
      <c r="AV26" s="494"/>
      <c r="AW26" s="495"/>
      <c r="AX26" s="495"/>
      <c r="AY26" s="496" t="s">
        <v>793</v>
      </c>
    </row>
    <row r="27" spans="7:51" ht="15.95" customHeight="1" thickBot="1" x14ac:dyDescent="0.25">
      <c r="G27" s="488" t="str">
        <f t="shared" si="5"/>
        <v/>
      </c>
      <c r="H27" s="898" t="str">
        <f t="shared" si="6"/>
        <v/>
      </c>
      <c r="I27" s="898" t="str">
        <f t="shared" si="6"/>
        <v/>
      </c>
      <c r="J27" s="898" t="str">
        <f t="shared" si="6"/>
        <v/>
      </c>
      <c r="K27" s="447">
        <f>K25+1</f>
        <v>6</v>
      </c>
      <c r="L27" s="472">
        <v>6</v>
      </c>
      <c r="M27" s="465" t="str">
        <f ca="1">IFERROR(VLOOKUP(L28,$G$5:$J$28,2,FALSE),"")</f>
        <v/>
      </c>
      <c r="N27" s="966"/>
      <c r="O27" s="780"/>
      <c r="P27" s="445"/>
      <c r="T27" s="451"/>
      <c r="U27" s="450"/>
      <c r="V27" s="450"/>
      <c r="AF27" s="453"/>
      <c r="AG27" s="453"/>
      <c r="AH27" s="453"/>
      <c r="AI27" s="453"/>
      <c r="AJ27" s="453"/>
      <c r="AN27" s="494"/>
      <c r="AO27" s="495"/>
      <c r="AP27" s="495"/>
      <c r="AQ27" s="496"/>
      <c r="AR27" s="494"/>
      <c r="AS27" s="495"/>
      <c r="AT27" s="495"/>
      <c r="AU27" s="496"/>
      <c r="AV27" s="494"/>
      <c r="AW27" s="495"/>
      <c r="AX27" s="495"/>
      <c r="AY27" s="496" t="s">
        <v>793</v>
      </c>
    </row>
    <row r="28" spans="7:51" ht="15.95" customHeight="1" thickBot="1" x14ac:dyDescent="0.25">
      <c r="G28" s="488" t="str">
        <f t="shared" si="5"/>
        <v/>
      </c>
      <c r="H28" s="898" t="str">
        <f t="shared" si="6"/>
        <v/>
      </c>
      <c r="I28" s="898" t="str">
        <f t="shared" si="6"/>
        <v/>
      </c>
      <c r="J28" s="898" t="str">
        <f t="shared" si="6"/>
        <v/>
      </c>
      <c r="K28" s="447"/>
      <c r="L28" s="473" t="str">
        <f ca="1">VLOOKUP(L27,$A$5:$G$24,7,FALSE)</f>
        <v/>
      </c>
      <c r="M28" s="466" t="str">
        <f ca="1">IFERROR(VLOOKUP(L28,$G$5:$J$28,3,FALSE),"")</f>
        <v/>
      </c>
      <c r="N28" s="967"/>
      <c r="T28" s="451"/>
      <c r="U28" s="450"/>
      <c r="V28" s="450"/>
      <c r="AF28" s="453"/>
      <c r="AG28" s="453"/>
      <c r="AH28" s="453"/>
      <c r="AI28" s="453"/>
      <c r="AJ28" s="453"/>
      <c r="AN28" s="494"/>
      <c r="AO28" s="495"/>
      <c r="AP28" s="495"/>
      <c r="AQ28" s="496"/>
      <c r="AR28" s="494"/>
      <c r="AS28" s="495"/>
      <c r="AT28" s="495"/>
      <c r="AU28" s="496"/>
      <c r="AV28" s="494"/>
      <c r="AW28" s="495"/>
      <c r="AX28" s="495"/>
      <c r="AY28" s="496" t="s">
        <v>793</v>
      </c>
    </row>
    <row r="29" spans="7:51" ht="15.95" customHeight="1" x14ac:dyDescent="0.2">
      <c r="I29" s="437"/>
      <c r="J29" s="437"/>
      <c r="T29" s="451"/>
      <c r="U29" s="450"/>
      <c r="V29" s="450"/>
      <c r="AF29" s="453"/>
      <c r="AG29" s="453"/>
      <c r="AH29" s="453"/>
      <c r="AI29" s="453"/>
      <c r="AJ29" s="453"/>
      <c r="AN29" s="494"/>
      <c r="AO29" s="495"/>
      <c r="AP29" s="495"/>
      <c r="AQ29" s="496"/>
      <c r="AR29" s="494"/>
      <c r="AS29" s="495"/>
      <c r="AT29" s="495"/>
      <c r="AU29" s="496"/>
      <c r="AV29" s="494"/>
      <c r="AW29" s="495"/>
      <c r="AX29" s="495"/>
      <c r="AY29" s="496" t="s">
        <v>793</v>
      </c>
    </row>
    <row r="30" spans="7:51" ht="15.95" customHeight="1" x14ac:dyDescent="0.2">
      <c r="I30" s="437"/>
      <c r="J30" s="437"/>
      <c r="T30" s="451"/>
      <c r="U30" s="450"/>
      <c r="V30" s="450"/>
      <c r="AF30" s="453"/>
      <c r="AG30" s="453"/>
      <c r="AH30" s="453"/>
      <c r="AI30" s="453"/>
      <c r="AJ30" s="453"/>
    </row>
    <row r="31" spans="7:51" ht="15.95" customHeight="1" x14ac:dyDescent="0.2">
      <c r="K31" s="435"/>
      <c r="N31" s="435"/>
      <c r="O31" s="435"/>
      <c r="T31" s="451"/>
      <c r="U31" s="450"/>
      <c r="V31" s="450"/>
      <c r="AF31" s="453"/>
      <c r="AG31" s="453"/>
    </row>
    <row r="32" spans="7:51" ht="15.95" customHeight="1" x14ac:dyDescent="0.2">
      <c r="I32" s="437"/>
      <c r="J32" s="437"/>
      <c r="P32" s="450"/>
      <c r="Q32" s="450"/>
      <c r="R32" s="437"/>
      <c r="S32" s="437"/>
      <c r="T32" s="451"/>
      <c r="U32" s="450"/>
      <c r="V32" s="450"/>
      <c r="W32" s="450"/>
      <c r="X32" s="516"/>
      <c r="Y32" s="516"/>
      <c r="AF32" s="453"/>
      <c r="AG32" s="453"/>
    </row>
    <row r="33" spans="9:33" ht="15.95" customHeight="1" x14ac:dyDescent="0.2">
      <c r="I33" s="437"/>
      <c r="J33" s="437"/>
      <c r="Q33" s="450"/>
      <c r="R33" s="516"/>
      <c r="S33" s="516"/>
      <c r="T33" s="457"/>
      <c r="V33" s="450"/>
      <c r="W33" s="450"/>
      <c r="X33" s="516"/>
      <c r="Y33" s="516"/>
      <c r="Z33" s="457"/>
      <c r="AF33" s="453"/>
      <c r="AG33" s="453"/>
    </row>
    <row r="34" spans="9:33" ht="15.95" customHeight="1" x14ac:dyDescent="0.2">
      <c r="I34" s="437"/>
      <c r="J34" s="437"/>
      <c r="K34" s="450"/>
      <c r="L34" s="516"/>
      <c r="M34" s="516"/>
      <c r="N34" s="457"/>
      <c r="Q34" s="450"/>
      <c r="R34" s="516"/>
      <c r="S34" s="516"/>
      <c r="T34" s="457"/>
      <c r="V34" s="450"/>
      <c r="W34" s="450"/>
      <c r="X34" s="516"/>
      <c r="Y34" s="516"/>
      <c r="Z34" s="457"/>
      <c r="AF34" s="453"/>
      <c r="AG34" s="453"/>
    </row>
    <row r="35" spans="9:33" ht="15.95" customHeight="1" x14ac:dyDescent="0.2">
      <c r="I35" s="437"/>
      <c r="J35" s="437"/>
      <c r="K35" s="450"/>
      <c r="L35" s="516"/>
      <c r="M35" s="516"/>
      <c r="N35" s="457"/>
      <c r="Q35" s="450"/>
      <c r="R35" s="516"/>
      <c r="S35" s="516"/>
      <c r="T35" s="457"/>
      <c r="U35" s="778"/>
      <c r="V35" s="450"/>
      <c r="W35" s="450"/>
      <c r="X35" s="516"/>
      <c r="Y35" s="516"/>
      <c r="Z35" s="457"/>
      <c r="AA35" s="778"/>
      <c r="AB35" s="816"/>
      <c r="AF35" s="453"/>
      <c r="AG35" s="453"/>
    </row>
    <row r="36" spans="9:33" ht="15.95" customHeight="1" x14ac:dyDescent="0.2">
      <c r="I36" s="437"/>
      <c r="J36" s="437"/>
      <c r="K36" s="450"/>
      <c r="L36" s="516"/>
      <c r="M36" s="516"/>
      <c r="N36" s="457"/>
      <c r="Q36" s="789" t="str">
        <f t="shared" ref="Q36:Q41" si="10">IF(SUM($R$36:$R$41)=0,"",RANK(R36,$R$36:$R$41,0))</f>
        <v/>
      </c>
      <c r="R36" s="790">
        <f>N7+O7/100</f>
        <v>0</v>
      </c>
      <c r="S36" s="791" t="str">
        <f ca="1">L8</f>
        <v/>
      </c>
      <c r="T36" s="525"/>
      <c r="U36" s="787"/>
      <c r="V36" s="789"/>
      <c r="W36" s="789">
        <f>U8</f>
        <v>0</v>
      </c>
      <c r="X36" s="789" t="str">
        <f>IF(SUM($Y$36:$Y$38)=0,"",RANK(Y36,$Y$36:$Y$38,0))</f>
        <v/>
      </c>
      <c r="Y36" s="790">
        <f>T7+U7/100</f>
        <v>0</v>
      </c>
      <c r="Z36" s="791" t="str">
        <f ca="1">R8</f>
        <v/>
      </c>
      <c r="AA36" s="787"/>
      <c r="AB36" s="816"/>
      <c r="AF36" s="453"/>
      <c r="AG36" s="453"/>
    </row>
    <row r="37" spans="9:33" ht="15.95" customHeight="1" x14ac:dyDescent="0.2">
      <c r="I37" s="437"/>
      <c r="J37" s="437"/>
      <c r="K37" s="450"/>
      <c r="L37" s="516"/>
      <c r="M37" s="516"/>
      <c r="N37" s="457"/>
      <c r="Q37" s="789" t="str">
        <f t="shared" si="10"/>
        <v/>
      </c>
      <c r="R37" s="790">
        <f>N12+O12/100</f>
        <v>0</v>
      </c>
      <c r="S37" s="791" t="str">
        <f ca="1">L13</f>
        <v/>
      </c>
      <c r="T37" s="525"/>
      <c r="U37" s="787"/>
      <c r="V37" s="789"/>
      <c r="W37" s="789">
        <f>U10</f>
        <v>0</v>
      </c>
      <c r="X37" s="789" t="str">
        <f>IF(SUM($Y$36:$Y$38)=0,"",RANK(Y37,$Y$36:$Y$38,0))</f>
        <v/>
      </c>
      <c r="Y37" s="790">
        <f>T9+U9/100</f>
        <v>0</v>
      </c>
      <c r="Z37" s="791" t="str">
        <f>R10</f>
        <v/>
      </c>
      <c r="AA37" s="787"/>
      <c r="AB37" s="816"/>
      <c r="AF37" s="453"/>
      <c r="AG37" s="453"/>
    </row>
    <row r="38" spans="9:33" ht="15.95" customHeight="1" x14ac:dyDescent="0.2">
      <c r="I38" s="437"/>
      <c r="J38" s="437"/>
      <c r="K38" s="450"/>
      <c r="L38" s="516"/>
      <c r="M38" s="516"/>
      <c r="N38" s="457"/>
      <c r="Q38" s="789" t="str">
        <f t="shared" si="10"/>
        <v/>
      </c>
      <c r="R38" s="790">
        <f>N14+O14/100</f>
        <v>0</v>
      </c>
      <c r="S38" s="791" t="str">
        <f ca="1">L15</f>
        <v/>
      </c>
      <c r="T38" s="525"/>
      <c r="U38" s="787"/>
      <c r="V38" s="789"/>
      <c r="W38" s="789">
        <f>U15</f>
        <v>0</v>
      </c>
      <c r="X38" s="789" t="str">
        <f>IF(SUM($Y$36:$Y$38)=0,"",RANK(Y38,$Y$36:$Y$38,0))</f>
        <v/>
      </c>
      <c r="Y38" s="790">
        <f>T14+U14/100</f>
        <v>0</v>
      </c>
      <c r="Z38" s="791" t="str">
        <f ca="1">R15</f>
        <v/>
      </c>
      <c r="AA38" s="787"/>
      <c r="AB38" s="816"/>
      <c r="AF38" s="453"/>
      <c r="AG38" s="453"/>
    </row>
    <row r="39" spans="9:33" ht="15.95" customHeight="1" x14ac:dyDescent="0.2">
      <c r="I39" s="437"/>
      <c r="J39" s="437"/>
      <c r="K39" s="450"/>
      <c r="L39" s="450"/>
      <c r="M39" s="450"/>
      <c r="P39" s="450"/>
      <c r="Q39" s="789" t="str">
        <f t="shared" si="10"/>
        <v/>
      </c>
      <c r="R39" s="790">
        <f>N20+O20/100</f>
        <v>0</v>
      </c>
      <c r="S39" s="791" t="str">
        <f ca="1">L21</f>
        <v/>
      </c>
      <c r="T39" s="517"/>
      <c r="U39" s="787"/>
      <c r="V39" s="789"/>
      <c r="W39" s="789">
        <f>U17</f>
        <v>0</v>
      </c>
      <c r="X39" s="789" t="str">
        <f>IF(SUM($Y$39:$Y$41)=0,"",RANK(Y39,$Y$39:$Y$41,0))</f>
        <v/>
      </c>
      <c r="Y39" s="790">
        <f>T16+U16/100</f>
        <v>0</v>
      </c>
      <c r="Z39" s="791" t="str">
        <f>R17</f>
        <v/>
      </c>
      <c r="AA39" s="789"/>
      <c r="AB39" s="816"/>
      <c r="AF39" s="453"/>
      <c r="AG39" s="453"/>
    </row>
    <row r="40" spans="9:33" ht="15.95" customHeight="1" x14ac:dyDescent="0.2">
      <c r="I40" s="437"/>
      <c r="J40" s="437"/>
      <c r="K40" s="450"/>
      <c r="L40" s="450"/>
      <c r="M40" s="450"/>
      <c r="P40" s="450"/>
      <c r="Q40" s="789" t="str">
        <f t="shared" si="10"/>
        <v/>
      </c>
      <c r="R40" s="790">
        <f>N25+O25/100</f>
        <v>0</v>
      </c>
      <c r="S40" s="791" t="str">
        <f ca="1">L26</f>
        <v/>
      </c>
      <c r="T40" s="517"/>
      <c r="U40" s="787"/>
      <c r="V40" s="789"/>
      <c r="W40" s="789">
        <f>U22</f>
        <v>0</v>
      </c>
      <c r="X40" s="789" t="str">
        <f>IF(SUM($Y$39:$Y$41)=0,"",RANK(Y40,$Y$39:$Y$41,0))</f>
        <v/>
      </c>
      <c r="Y40" s="790">
        <f>T21+U21/100</f>
        <v>0</v>
      </c>
      <c r="Z40" s="791" t="str">
        <f>R22</f>
        <v/>
      </c>
      <c r="AA40" s="789"/>
      <c r="AB40" s="816"/>
      <c r="AF40" s="453"/>
      <c r="AG40" s="453"/>
    </row>
    <row r="41" spans="9:33" ht="15.95" customHeight="1" x14ac:dyDescent="0.2">
      <c r="I41" s="437"/>
      <c r="J41" s="437"/>
      <c r="K41" s="450"/>
      <c r="L41" s="450"/>
      <c r="M41" s="450"/>
      <c r="P41" s="450"/>
      <c r="Q41" s="789" t="str">
        <f t="shared" si="10"/>
        <v/>
      </c>
      <c r="R41" s="790">
        <f>N27+O27/100</f>
        <v>0</v>
      </c>
      <c r="S41" s="791" t="str">
        <f ca="1">L28</f>
        <v/>
      </c>
      <c r="T41" s="517"/>
      <c r="U41" s="787"/>
      <c r="V41" s="789"/>
      <c r="W41" s="789">
        <f>U24</f>
        <v>0</v>
      </c>
      <c r="X41" s="789" t="str">
        <f>IF(SUM($Y$39:$Y$41)=0,"",RANK(Y41,$Y$39:$Y$41,0))</f>
        <v/>
      </c>
      <c r="Y41" s="790">
        <f>T23+U23/100</f>
        <v>0</v>
      </c>
      <c r="Z41" s="791" t="str">
        <f>R24</f>
        <v/>
      </c>
      <c r="AA41" s="789"/>
      <c r="AB41" s="816"/>
      <c r="AF41" s="453"/>
      <c r="AG41" s="453"/>
    </row>
    <row r="42" spans="9:33" ht="15.95" customHeight="1" x14ac:dyDescent="0.2">
      <c r="I42" s="437"/>
      <c r="J42" s="437"/>
      <c r="K42" s="450"/>
      <c r="L42" s="450"/>
      <c r="M42" s="450"/>
      <c r="P42" s="450"/>
      <c r="Q42" s="450"/>
      <c r="R42" s="450"/>
      <c r="S42" s="450"/>
      <c r="T42" s="815"/>
      <c r="U42" s="778"/>
      <c r="V42" s="450"/>
      <c r="W42" s="450"/>
      <c r="X42" s="450"/>
      <c r="Y42" s="450"/>
      <c r="Z42" s="451"/>
      <c r="AA42" s="450"/>
      <c r="AB42" s="816"/>
      <c r="AF42" s="453"/>
      <c r="AG42" s="453"/>
    </row>
    <row r="43" spans="9:33" ht="15.95" customHeight="1" x14ac:dyDescent="0.2">
      <c r="I43" s="437"/>
      <c r="J43" s="437"/>
      <c r="K43" s="450"/>
      <c r="L43" s="450"/>
      <c r="M43" s="450"/>
      <c r="P43" s="450"/>
      <c r="Q43" s="450"/>
      <c r="R43" s="450"/>
      <c r="S43" s="450"/>
      <c r="V43" s="450"/>
      <c r="W43" s="450"/>
      <c r="X43" s="450"/>
      <c r="Y43" s="450"/>
      <c r="Z43" s="451"/>
      <c r="AA43" s="450"/>
      <c r="AF43" s="453"/>
      <c r="AG43" s="453"/>
    </row>
    <row r="44" spans="9:33" ht="15.95" customHeight="1" x14ac:dyDescent="0.2">
      <c r="I44" s="437"/>
      <c r="J44" s="437"/>
      <c r="K44" s="450"/>
      <c r="L44" s="450"/>
      <c r="M44" s="450"/>
      <c r="P44" s="450"/>
      <c r="Q44" s="450"/>
      <c r="R44" s="450"/>
      <c r="S44" s="450"/>
      <c r="V44" s="450"/>
      <c r="W44" s="450"/>
      <c r="X44" s="450"/>
      <c r="Y44" s="450"/>
      <c r="Z44" s="451"/>
      <c r="AA44" s="450"/>
      <c r="AF44" s="453"/>
      <c r="AG44" s="453"/>
    </row>
    <row r="45" spans="9:33" ht="15.95" customHeight="1" x14ac:dyDescent="0.2">
      <c r="I45" s="437"/>
      <c r="J45" s="437"/>
      <c r="K45" s="450"/>
      <c r="L45" s="450"/>
      <c r="M45" s="450"/>
      <c r="P45" s="450"/>
      <c r="Q45" s="450"/>
      <c r="R45" s="450"/>
      <c r="S45" s="450"/>
      <c r="V45" s="450"/>
      <c r="W45" s="450"/>
      <c r="X45" s="450"/>
      <c r="Y45" s="450"/>
      <c r="Z45" s="451"/>
      <c r="AA45" s="450"/>
      <c r="AF45" s="453"/>
      <c r="AG45" s="453"/>
    </row>
    <row r="46" spans="9:33" ht="15.95" customHeight="1" x14ac:dyDescent="0.2">
      <c r="I46" s="437"/>
      <c r="J46" s="437"/>
      <c r="K46" s="450"/>
      <c r="L46" s="450"/>
      <c r="M46" s="450"/>
      <c r="P46" s="450"/>
      <c r="Q46" s="450"/>
      <c r="R46" s="450"/>
      <c r="S46" s="450"/>
      <c r="V46" s="450"/>
      <c r="W46" s="450"/>
      <c r="X46" s="450"/>
      <c r="Y46" s="450"/>
      <c r="Z46" s="451"/>
      <c r="AA46" s="450"/>
      <c r="AF46" s="453"/>
      <c r="AG46" s="453"/>
    </row>
    <row r="47" spans="9:33" ht="15.95" customHeight="1" x14ac:dyDescent="0.2">
      <c r="I47" s="437"/>
      <c r="J47" s="437"/>
      <c r="K47" s="450"/>
      <c r="L47" s="450"/>
      <c r="M47" s="450"/>
      <c r="P47" s="450"/>
      <c r="Q47" s="450"/>
      <c r="R47" s="450"/>
      <c r="S47" s="450"/>
      <c r="V47" s="450"/>
      <c r="W47" s="450"/>
      <c r="X47" s="450"/>
      <c r="Y47" s="450"/>
      <c r="Z47" s="451"/>
      <c r="AA47" s="450"/>
      <c r="AF47" s="453"/>
      <c r="AG47" s="453"/>
    </row>
    <row r="48" spans="9:33" ht="15.95" customHeight="1" x14ac:dyDescent="0.2">
      <c r="I48" s="437"/>
      <c r="J48" s="437"/>
      <c r="K48" s="523"/>
      <c r="L48" s="523"/>
      <c r="M48" s="523"/>
      <c r="N48" s="523"/>
      <c r="Q48" s="447"/>
      <c r="R48" s="450"/>
      <c r="S48" s="450"/>
      <c r="T48" s="451"/>
      <c r="U48" s="450"/>
      <c r="V48" s="450"/>
      <c r="W48" s="447"/>
      <c r="X48" s="450"/>
      <c r="Y48" s="450"/>
      <c r="Z48" s="451"/>
      <c r="AA48" s="521"/>
      <c r="AF48" s="453"/>
      <c r="AG48" s="453"/>
    </row>
    <row r="49" spans="9:33" ht="15.95" customHeight="1" x14ac:dyDescent="0.2">
      <c r="I49" s="437"/>
      <c r="J49" s="437"/>
      <c r="K49" s="523"/>
      <c r="L49" s="523"/>
      <c r="M49" s="523"/>
      <c r="N49" s="523"/>
      <c r="Q49" s="447"/>
      <c r="R49" s="450"/>
      <c r="S49" s="450"/>
      <c r="T49" s="451"/>
      <c r="U49" s="450"/>
      <c r="V49" s="450"/>
      <c r="W49" s="447"/>
      <c r="X49" s="450"/>
      <c r="Y49" s="450"/>
      <c r="Z49" s="451"/>
      <c r="AA49" s="521"/>
      <c r="AF49" s="453"/>
      <c r="AG49" s="453"/>
    </row>
    <row r="50" spans="9:33" ht="15.95" customHeight="1" x14ac:dyDescent="0.2">
      <c r="I50" s="437"/>
      <c r="J50" s="437"/>
      <c r="K50" s="523"/>
      <c r="L50" s="523"/>
      <c r="M50" s="523"/>
      <c r="N50" s="523"/>
      <c r="Q50" s="447"/>
      <c r="R50" s="450"/>
      <c r="S50" s="450"/>
      <c r="T50" s="451"/>
      <c r="U50" s="450"/>
      <c r="V50" s="450"/>
      <c r="W50" s="447"/>
      <c r="X50" s="450"/>
      <c r="Y50" s="450"/>
      <c r="Z50" s="451"/>
      <c r="AA50" s="521"/>
    </row>
    <row r="51" spans="9:33" ht="15.95" customHeight="1" x14ac:dyDescent="0.2">
      <c r="I51" s="437"/>
      <c r="J51" s="437"/>
      <c r="K51" s="523"/>
      <c r="L51" s="523"/>
      <c r="M51" s="523"/>
      <c r="N51" s="523"/>
      <c r="Q51" s="447"/>
      <c r="R51" s="450"/>
      <c r="S51" s="450"/>
      <c r="T51" s="451"/>
      <c r="U51" s="450"/>
      <c r="V51" s="450"/>
      <c r="W51" s="447"/>
      <c r="X51" s="450"/>
      <c r="Y51" s="450"/>
      <c r="Z51" s="451"/>
      <c r="AA51" s="450"/>
    </row>
    <row r="52" spans="9:33" ht="15.95" customHeight="1" x14ac:dyDescent="0.2">
      <c r="I52" s="437"/>
      <c r="J52" s="437"/>
      <c r="K52" s="523"/>
      <c r="L52" s="523"/>
      <c r="M52" s="523"/>
      <c r="N52" s="523"/>
      <c r="Q52" s="447"/>
      <c r="R52" s="450"/>
      <c r="S52" s="450"/>
      <c r="T52" s="451"/>
      <c r="U52" s="450"/>
      <c r="V52" s="450"/>
      <c r="W52" s="447"/>
      <c r="X52" s="450"/>
      <c r="Y52" s="450"/>
      <c r="Z52" s="451"/>
      <c r="AA52" s="450"/>
    </row>
    <row r="53" spans="9:33" ht="15.95" customHeight="1" x14ac:dyDescent="0.2">
      <c r="I53" s="437"/>
      <c r="J53" s="437"/>
      <c r="K53" s="523"/>
      <c r="L53" s="523"/>
      <c r="M53" s="523"/>
      <c r="N53" s="523"/>
      <c r="Q53" s="447"/>
      <c r="R53" s="450"/>
      <c r="S53" s="450"/>
      <c r="T53" s="451"/>
      <c r="U53" s="450"/>
      <c r="V53" s="450"/>
      <c r="W53" s="447"/>
      <c r="X53" s="450"/>
      <c r="Y53" s="450"/>
      <c r="Z53" s="451"/>
      <c r="AA53" s="450"/>
    </row>
    <row r="54" spans="9:33" ht="15.95" customHeight="1" x14ac:dyDescent="0.2">
      <c r="I54" s="437"/>
      <c r="J54" s="437"/>
      <c r="K54" s="523"/>
      <c r="L54" s="523"/>
      <c r="M54" s="523"/>
      <c r="N54" s="523"/>
      <c r="P54" s="450"/>
      <c r="Q54" s="450"/>
      <c r="R54" s="437"/>
      <c r="S54" s="437"/>
      <c r="T54" s="451"/>
      <c r="U54" s="450"/>
      <c r="V54" s="450"/>
      <c r="W54" s="450"/>
      <c r="X54" s="516"/>
      <c r="Y54" s="457"/>
      <c r="Z54" s="457"/>
      <c r="AA54" s="450"/>
    </row>
    <row r="55" spans="9:33" ht="15.95" customHeight="1" x14ac:dyDescent="0.2">
      <c r="I55" s="437"/>
      <c r="J55" s="437"/>
      <c r="K55" s="523"/>
      <c r="L55" s="523"/>
      <c r="M55" s="523"/>
      <c r="N55" s="523"/>
      <c r="Q55" s="450"/>
      <c r="R55" s="437"/>
      <c r="S55" s="437"/>
      <c r="T55" s="451"/>
      <c r="U55" s="450"/>
      <c r="V55" s="450"/>
      <c r="W55" s="450"/>
      <c r="X55" s="516"/>
      <c r="Y55" s="457"/>
      <c r="Z55" s="457"/>
      <c r="AA55" s="450"/>
    </row>
    <row r="56" spans="9:33" ht="15.95" customHeight="1" x14ac:dyDescent="0.2">
      <c r="I56" s="437"/>
      <c r="J56" s="437"/>
      <c r="K56" s="523"/>
      <c r="L56" s="523"/>
      <c r="M56" s="523"/>
      <c r="N56" s="523"/>
      <c r="Q56" s="450"/>
      <c r="R56" s="437"/>
      <c r="S56" s="437"/>
      <c r="T56" s="451"/>
      <c r="U56" s="450"/>
      <c r="V56" s="450"/>
      <c r="W56" s="450"/>
      <c r="X56" s="516"/>
      <c r="Y56" s="457"/>
      <c r="Z56" s="457"/>
      <c r="AA56" s="450"/>
    </row>
    <row r="57" spans="9:33" ht="15.95" customHeight="1" x14ac:dyDescent="0.2">
      <c r="I57" s="437"/>
      <c r="J57" s="437"/>
      <c r="K57" s="523"/>
      <c r="L57" s="523"/>
      <c r="M57" s="523"/>
      <c r="N57" s="523"/>
      <c r="Q57" s="450"/>
      <c r="R57" s="437"/>
      <c r="S57" s="437"/>
      <c r="T57" s="451"/>
      <c r="U57" s="450"/>
      <c r="V57" s="450"/>
      <c r="W57" s="450"/>
      <c r="X57" s="516"/>
      <c r="Y57" s="457"/>
      <c r="Z57" s="457"/>
      <c r="AA57" s="450"/>
    </row>
    <row r="58" spans="9:33" ht="15.95" customHeight="1" x14ac:dyDescent="0.2">
      <c r="I58" s="437"/>
      <c r="J58" s="437"/>
      <c r="K58" s="523"/>
      <c r="L58" s="523"/>
      <c r="M58" s="523"/>
      <c r="N58" s="523"/>
      <c r="Q58" s="450"/>
      <c r="R58" s="437"/>
      <c r="S58" s="437"/>
      <c r="T58" s="451"/>
      <c r="U58" s="450"/>
      <c r="V58" s="450"/>
      <c r="W58" s="450"/>
      <c r="X58" s="516"/>
      <c r="Y58" s="457"/>
      <c r="Z58" s="457"/>
      <c r="AA58" s="450"/>
    </row>
    <row r="59" spans="9:33" ht="15.95" customHeight="1" x14ac:dyDescent="0.2">
      <c r="I59" s="437"/>
      <c r="J59" s="437"/>
      <c r="K59" s="523"/>
      <c r="L59" s="523"/>
      <c r="M59" s="523"/>
      <c r="N59" s="523"/>
      <c r="Q59" s="450"/>
      <c r="R59" s="437"/>
      <c r="S59" s="437"/>
      <c r="T59" s="451"/>
      <c r="U59" s="450"/>
      <c r="V59" s="450"/>
      <c r="W59" s="450"/>
      <c r="X59" s="516"/>
      <c r="Y59" s="457"/>
      <c r="Z59" s="457"/>
      <c r="AA59" s="450"/>
    </row>
    <row r="60" spans="9:33" ht="15.95" customHeight="1" x14ac:dyDescent="0.2">
      <c r="I60" s="437"/>
      <c r="J60" s="437"/>
      <c r="K60" s="523"/>
      <c r="L60" s="523"/>
      <c r="M60" s="523"/>
      <c r="N60" s="523"/>
      <c r="Q60" s="447"/>
      <c r="X60" s="441"/>
      <c r="Y60" s="441"/>
      <c r="Z60" s="441"/>
    </row>
    <row r="61" spans="9:33" ht="15.95" customHeight="1" x14ac:dyDescent="0.2">
      <c r="I61" s="437"/>
      <c r="J61" s="437"/>
      <c r="K61" s="437"/>
      <c r="L61" s="437"/>
      <c r="M61" s="437"/>
      <c r="N61" s="437"/>
      <c r="T61" s="441"/>
      <c r="X61" s="441"/>
      <c r="Y61" s="441"/>
      <c r="Z61" s="441"/>
    </row>
    <row r="62" spans="9:33" ht="15.95" customHeight="1" x14ac:dyDescent="0.2">
      <c r="I62" s="437"/>
      <c r="J62" s="437"/>
      <c r="K62" s="437"/>
      <c r="L62" s="437"/>
      <c r="M62" s="437"/>
      <c r="N62" s="437"/>
      <c r="O62" s="521"/>
      <c r="T62" s="441"/>
      <c r="X62" s="441"/>
      <c r="Y62" s="441"/>
      <c r="Z62" s="441"/>
    </row>
    <row r="63" spans="9:33" ht="15.95" customHeight="1" x14ac:dyDescent="0.2">
      <c r="I63" s="437"/>
      <c r="J63" s="437"/>
      <c r="K63" s="437"/>
      <c r="L63" s="437"/>
      <c r="M63" s="437"/>
      <c r="N63" s="437"/>
      <c r="O63" s="521"/>
      <c r="T63" s="441"/>
      <c r="X63" s="441"/>
      <c r="Y63" s="441"/>
      <c r="Z63" s="441"/>
    </row>
    <row r="64" spans="9:33" ht="15.95" customHeight="1" x14ac:dyDescent="0.2">
      <c r="I64" s="437"/>
      <c r="J64" s="437"/>
      <c r="K64" s="437"/>
      <c r="L64" s="437"/>
      <c r="M64" s="437"/>
      <c r="N64" s="437"/>
      <c r="O64" s="521"/>
      <c r="T64" s="441"/>
      <c r="X64" s="441"/>
      <c r="Y64" s="441"/>
      <c r="Z64" s="441"/>
    </row>
    <row r="65" spans="9:36" ht="15.95" customHeight="1" x14ac:dyDescent="0.2">
      <c r="I65" s="437"/>
      <c r="J65" s="437"/>
      <c r="K65" s="437"/>
      <c r="L65" s="437"/>
      <c r="M65" s="437"/>
      <c r="N65" s="437"/>
      <c r="O65" s="437"/>
      <c r="P65" s="437"/>
      <c r="Q65" s="437"/>
      <c r="R65" s="437"/>
      <c r="S65" s="437"/>
      <c r="T65" s="437"/>
      <c r="U65" s="437"/>
      <c r="V65" s="437"/>
      <c r="W65" s="437"/>
      <c r="X65" s="437"/>
      <c r="Y65" s="437"/>
      <c r="Z65" s="437"/>
      <c r="AA65" s="437"/>
      <c r="AH65" s="441"/>
      <c r="AI65" s="441"/>
      <c r="AJ65" s="447"/>
    </row>
    <row r="66" spans="9:36" ht="15.95" customHeight="1" x14ac:dyDescent="0.2">
      <c r="I66" s="437"/>
      <c r="J66" s="437"/>
      <c r="K66" s="437"/>
      <c r="L66" s="437"/>
      <c r="M66" s="437"/>
      <c r="N66" s="437"/>
      <c r="O66" s="437"/>
      <c r="P66" s="437"/>
      <c r="Q66" s="437"/>
      <c r="R66" s="437"/>
      <c r="S66" s="437"/>
      <c r="T66" s="437"/>
      <c r="U66" s="437"/>
      <c r="V66" s="437"/>
      <c r="W66" s="437"/>
      <c r="X66" s="437"/>
      <c r="Y66" s="437"/>
      <c r="Z66" s="437"/>
      <c r="AA66" s="437"/>
      <c r="AH66" s="441"/>
      <c r="AI66" s="441"/>
      <c r="AJ66" s="447"/>
    </row>
    <row r="67" spans="9:36" ht="15.95" customHeight="1" x14ac:dyDescent="0.2">
      <c r="I67" s="437"/>
      <c r="J67" s="437"/>
      <c r="K67" s="437"/>
      <c r="L67" s="437"/>
      <c r="M67" s="437"/>
      <c r="N67" s="437"/>
      <c r="O67" s="437"/>
      <c r="P67" s="437"/>
      <c r="Q67" s="437"/>
      <c r="R67" s="437"/>
      <c r="S67" s="437"/>
      <c r="T67" s="437"/>
      <c r="U67" s="437"/>
      <c r="V67" s="437"/>
      <c r="W67" s="437"/>
      <c r="X67" s="437"/>
      <c r="Y67" s="437"/>
      <c r="Z67" s="437"/>
      <c r="AA67" s="437"/>
      <c r="AH67" s="441"/>
      <c r="AI67" s="441"/>
      <c r="AJ67" s="441"/>
    </row>
    <row r="68" spans="9:36" ht="15.95" customHeight="1" x14ac:dyDescent="0.2">
      <c r="I68" s="437"/>
      <c r="J68" s="437"/>
      <c r="K68" s="450"/>
      <c r="L68" s="450"/>
      <c r="M68" s="450"/>
      <c r="N68" s="521"/>
      <c r="O68" s="521"/>
      <c r="P68" s="450"/>
      <c r="Q68" s="450"/>
      <c r="R68" s="437"/>
      <c r="S68" s="437"/>
      <c r="T68" s="451"/>
      <c r="U68" s="450"/>
      <c r="W68" s="450"/>
      <c r="X68" s="516"/>
      <c r="Y68" s="457"/>
      <c r="Z68" s="457"/>
      <c r="AA68" s="450"/>
      <c r="AH68" s="441"/>
      <c r="AI68" s="441"/>
      <c r="AJ68" s="441"/>
    </row>
    <row r="69" spans="9:36" ht="15.95" customHeight="1" x14ac:dyDescent="0.2">
      <c r="I69" s="437"/>
      <c r="J69" s="437"/>
      <c r="K69" s="450"/>
      <c r="L69" s="450"/>
      <c r="M69" s="450"/>
      <c r="N69" s="521"/>
      <c r="O69" s="521"/>
      <c r="P69" s="450"/>
      <c r="Q69" s="450"/>
      <c r="R69" s="437"/>
      <c r="S69" s="437"/>
      <c r="T69" s="451"/>
      <c r="U69" s="450"/>
      <c r="W69" s="450"/>
      <c r="X69" s="516"/>
      <c r="Y69" s="457"/>
      <c r="Z69" s="457"/>
      <c r="AA69" s="450"/>
      <c r="AH69" s="441"/>
      <c r="AI69" s="441"/>
      <c r="AJ69" s="450"/>
    </row>
    <row r="70" spans="9:36" ht="15.95" customHeight="1" x14ac:dyDescent="0.2">
      <c r="I70" s="437"/>
      <c r="J70" s="437"/>
      <c r="K70" s="450"/>
      <c r="L70" s="450"/>
      <c r="M70" s="450"/>
      <c r="N70" s="521"/>
      <c r="O70" s="521"/>
      <c r="P70" s="450"/>
      <c r="Q70" s="450"/>
      <c r="R70" s="437"/>
      <c r="S70" s="437"/>
      <c r="T70" s="451"/>
      <c r="U70" s="450"/>
      <c r="W70" s="450"/>
      <c r="X70" s="516"/>
      <c r="Y70" s="457"/>
      <c r="Z70" s="457"/>
      <c r="AA70" s="450"/>
      <c r="AH70" s="441"/>
      <c r="AI70" s="441"/>
      <c r="AJ70" s="450"/>
    </row>
    <row r="71" spans="9:36" ht="15.95" customHeight="1" x14ac:dyDescent="0.2">
      <c r="I71" s="437"/>
      <c r="J71" s="437"/>
      <c r="K71" s="450"/>
      <c r="L71" s="450"/>
      <c r="M71" s="450"/>
      <c r="N71" s="521"/>
      <c r="O71" s="521"/>
      <c r="P71" s="450"/>
      <c r="Q71" s="450"/>
      <c r="R71" s="437"/>
      <c r="S71" s="437"/>
      <c r="T71" s="451"/>
      <c r="U71" s="450"/>
      <c r="W71" s="450"/>
      <c r="X71" s="516"/>
      <c r="Y71" s="457"/>
      <c r="Z71" s="457"/>
      <c r="AA71" s="450"/>
      <c r="AH71" s="441"/>
      <c r="AI71" s="441"/>
      <c r="AJ71" s="445"/>
    </row>
    <row r="72" spans="9:36" ht="15.95" customHeight="1" x14ac:dyDescent="0.2">
      <c r="I72" s="437"/>
      <c r="J72" s="437"/>
      <c r="K72" s="450"/>
      <c r="L72" s="450"/>
      <c r="M72" s="450"/>
      <c r="N72" s="521"/>
      <c r="O72" s="521"/>
      <c r="P72" s="450"/>
      <c r="Q72" s="450"/>
      <c r="R72" s="437"/>
      <c r="S72" s="437"/>
      <c r="T72" s="451"/>
      <c r="U72" s="450"/>
      <c r="W72" s="450"/>
      <c r="X72" s="516"/>
      <c r="Y72" s="457"/>
      <c r="Z72" s="457"/>
      <c r="AA72" s="450"/>
      <c r="AH72" s="441"/>
      <c r="AI72" s="441"/>
      <c r="AJ72" s="447"/>
    </row>
    <row r="73" spans="9:36" ht="15.95" customHeight="1" x14ac:dyDescent="0.2">
      <c r="I73" s="437"/>
      <c r="J73" s="437"/>
      <c r="K73" s="450"/>
      <c r="L73" s="450"/>
      <c r="M73" s="450"/>
      <c r="N73" s="521"/>
      <c r="O73" s="521"/>
      <c r="P73" s="450"/>
      <c r="Q73" s="450"/>
      <c r="R73" s="437"/>
      <c r="S73" s="437"/>
      <c r="T73" s="451"/>
      <c r="U73" s="450"/>
      <c r="W73" s="450"/>
      <c r="X73" s="516"/>
      <c r="Y73" s="457"/>
      <c r="Z73" s="457"/>
      <c r="AA73" s="450"/>
      <c r="AH73" s="441"/>
      <c r="AI73" s="441"/>
      <c r="AJ73" s="447"/>
    </row>
    <row r="74" spans="9:36" ht="15.95" customHeight="1" x14ac:dyDescent="0.2">
      <c r="I74" s="437"/>
      <c r="J74" s="437"/>
      <c r="K74" s="450"/>
      <c r="L74" s="450"/>
      <c r="M74" s="450"/>
      <c r="N74" s="521"/>
      <c r="O74" s="521"/>
      <c r="P74" s="450"/>
      <c r="Q74" s="450"/>
      <c r="R74" s="437"/>
      <c r="S74" s="437"/>
      <c r="T74" s="451"/>
      <c r="U74" s="450"/>
      <c r="W74" s="450"/>
      <c r="X74" s="516"/>
      <c r="Y74" s="457"/>
      <c r="Z74" s="457"/>
      <c r="AA74" s="450"/>
      <c r="AH74" s="441"/>
      <c r="AI74" s="441"/>
      <c r="AJ74" s="450"/>
    </row>
    <row r="75" spans="9:36" ht="15.95" customHeight="1" x14ac:dyDescent="0.2">
      <c r="I75" s="437"/>
      <c r="J75" s="437"/>
      <c r="K75" s="450"/>
      <c r="L75" s="450"/>
      <c r="M75" s="450"/>
      <c r="N75" s="521"/>
      <c r="O75" s="521"/>
      <c r="P75" s="450"/>
      <c r="Q75" s="450"/>
      <c r="R75" s="437"/>
      <c r="S75" s="437"/>
      <c r="T75" s="451"/>
      <c r="U75" s="450"/>
      <c r="W75" s="450"/>
      <c r="X75" s="516"/>
      <c r="Y75" s="457"/>
      <c r="Z75" s="457"/>
      <c r="AA75" s="450"/>
      <c r="AH75" s="441"/>
      <c r="AI75" s="441"/>
      <c r="AJ75" s="450"/>
    </row>
    <row r="76" spans="9:36" ht="15.95" customHeight="1" x14ac:dyDescent="0.2">
      <c r="I76" s="437"/>
      <c r="J76" s="437"/>
      <c r="K76" s="450"/>
      <c r="L76" s="450"/>
      <c r="M76" s="450"/>
      <c r="N76" s="521"/>
      <c r="O76" s="521"/>
      <c r="P76" s="450"/>
      <c r="Q76" s="450"/>
      <c r="R76" s="437"/>
      <c r="S76" s="437"/>
      <c r="T76" s="451"/>
      <c r="U76" s="450"/>
      <c r="W76" s="450"/>
      <c r="X76" s="516"/>
      <c r="Y76" s="457"/>
      <c r="Z76" s="457"/>
      <c r="AA76" s="450"/>
      <c r="AH76" s="441"/>
      <c r="AI76" s="441"/>
      <c r="AJ76" s="450"/>
    </row>
    <row r="77" spans="9:36" ht="15.95" customHeight="1" x14ac:dyDescent="0.2">
      <c r="I77" s="437"/>
      <c r="J77" s="437"/>
      <c r="K77" s="447"/>
      <c r="L77" s="450"/>
      <c r="M77" s="450"/>
      <c r="N77" s="521"/>
      <c r="O77" s="521"/>
      <c r="P77" s="450"/>
      <c r="Q77" s="450"/>
      <c r="R77" s="450"/>
      <c r="S77" s="450"/>
      <c r="T77" s="451"/>
      <c r="U77" s="450"/>
      <c r="W77" s="450"/>
      <c r="X77" s="450"/>
      <c r="Y77" s="450"/>
      <c r="Z77" s="451"/>
      <c r="AA77" s="450"/>
      <c r="AH77" s="441"/>
      <c r="AI77" s="441"/>
      <c r="AJ77" s="450"/>
    </row>
    <row r="78" spans="9:36" ht="15.95" customHeight="1" x14ac:dyDescent="0.2">
      <c r="I78" s="437"/>
      <c r="J78" s="437"/>
      <c r="K78" s="447"/>
      <c r="L78" s="450"/>
      <c r="M78" s="450"/>
      <c r="N78" s="521"/>
      <c r="O78" s="521"/>
      <c r="P78" s="450"/>
      <c r="Q78" s="450"/>
      <c r="R78" s="450"/>
      <c r="S78" s="450"/>
      <c r="T78" s="451"/>
      <c r="U78" s="450"/>
      <c r="W78" s="450"/>
      <c r="X78" s="450"/>
      <c r="Y78" s="450"/>
      <c r="Z78" s="451"/>
      <c r="AA78" s="450"/>
      <c r="AH78" s="441"/>
      <c r="AI78" s="441"/>
      <c r="AJ78" s="445"/>
    </row>
    <row r="79" spans="9:36" ht="15.95" customHeight="1" x14ac:dyDescent="0.2">
      <c r="I79" s="437"/>
      <c r="J79" s="437"/>
      <c r="K79" s="447"/>
      <c r="L79" s="450"/>
      <c r="M79" s="450"/>
      <c r="N79" s="521"/>
      <c r="O79" s="521"/>
      <c r="P79" s="450"/>
      <c r="Q79" s="450"/>
      <c r="R79" s="450"/>
      <c r="S79" s="450"/>
      <c r="T79" s="451"/>
      <c r="U79" s="450"/>
      <c r="W79" s="450"/>
      <c r="X79" s="450"/>
      <c r="Y79" s="450"/>
      <c r="Z79" s="451"/>
      <c r="AA79" s="450"/>
      <c r="AH79" s="441"/>
      <c r="AI79" s="441"/>
      <c r="AJ79" s="447"/>
    </row>
    <row r="80" spans="9:36" ht="15.95" customHeight="1" x14ac:dyDescent="0.2">
      <c r="I80" s="437"/>
      <c r="J80" s="437"/>
      <c r="K80" s="447"/>
      <c r="L80" s="450"/>
      <c r="M80" s="450"/>
      <c r="N80" s="521"/>
      <c r="O80" s="521"/>
      <c r="P80" s="450"/>
      <c r="Q80" s="450"/>
      <c r="R80" s="450"/>
      <c r="S80" s="450"/>
      <c r="T80" s="451"/>
      <c r="U80" s="450"/>
      <c r="W80" s="450"/>
      <c r="X80" s="450"/>
      <c r="Y80" s="450"/>
      <c r="Z80" s="451"/>
      <c r="AA80" s="450"/>
      <c r="AH80" s="441"/>
      <c r="AI80" s="441"/>
      <c r="AJ80" s="447"/>
    </row>
    <row r="81" spans="9:36" ht="15.95" customHeight="1" x14ac:dyDescent="0.2">
      <c r="I81" s="437"/>
      <c r="J81" s="437"/>
      <c r="K81" s="447"/>
      <c r="L81" s="450"/>
      <c r="M81" s="450"/>
      <c r="N81" s="521"/>
      <c r="O81" s="521"/>
      <c r="P81" s="450"/>
      <c r="Q81" s="450"/>
      <c r="R81" s="450"/>
      <c r="S81" s="450"/>
      <c r="T81" s="451"/>
      <c r="U81" s="450"/>
      <c r="W81" s="450"/>
      <c r="X81" s="450"/>
      <c r="Y81" s="450"/>
      <c r="Z81" s="451"/>
      <c r="AA81" s="450"/>
      <c r="AH81" s="441"/>
      <c r="AI81" s="441"/>
      <c r="AJ81" s="447"/>
    </row>
    <row r="82" spans="9:36" ht="15.95" customHeight="1" x14ac:dyDescent="0.2">
      <c r="I82" s="437"/>
      <c r="J82" s="437"/>
      <c r="K82" s="450"/>
      <c r="L82" s="450"/>
      <c r="M82" s="450"/>
      <c r="N82" s="521"/>
      <c r="O82" s="521"/>
      <c r="P82" s="450"/>
      <c r="Q82" s="450"/>
      <c r="R82" s="450"/>
      <c r="S82" s="450"/>
      <c r="T82" s="451"/>
      <c r="U82" s="450"/>
      <c r="W82" s="450"/>
      <c r="X82" s="450"/>
      <c r="Y82" s="450"/>
      <c r="Z82" s="451"/>
      <c r="AA82" s="450"/>
      <c r="AH82" s="441"/>
      <c r="AI82" s="441"/>
      <c r="AJ82" s="450"/>
    </row>
    <row r="83" spans="9:36" ht="15.95" customHeight="1" x14ac:dyDescent="0.2">
      <c r="I83" s="437"/>
      <c r="J83" s="437"/>
      <c r="K83" s="445"/>
      <c r="L83" s="450"/>
      <c r="M83" s="450"/>
      <c r="N83" s="521"/>
      <c r="O83" s="521"/>
      <c r="P83" s="450"/>
      <c r="Q83" s="450"/>
      <c r="R83" s="450"/>
      <c r="S83" s="450"/>
      <c r="T83" s="451"/>
      <c r="U83" s="450"/>
      <c r="W83" s="450"/>
      <c r="X83" s="450"/>
      <c r="Y83" s="450"/>
      <c r="Z83" s="451"/>
      <c r="AA83" s="450"/>
      <c r="AH83" s="441"/>
      <c r="AI83" s="441"/>
      <c r="AJ83" s="445"/>
    </row>
    <row r="84" spans="9:36" ht="15.95" customHeight="1" x14ac:dyDescent="0.2">
      <c r="I84" s="437"/>
      <c r="J84" s="437"/>
      <c r="K84" s="447"/>
      <c r="L84" s="450"/>
      <c r="M84" s="450"/>
      <c r="N84" s="521"/>
      <c r="O84" s="521"/>
      <c r="P84" s="450"/>
      <c r="Q84" s="450"/>
      <c r="R84" s="450"/>
      <c r="S84" s="450"/>
      <c r="T84" s="451"/>
      <c r="U84" s="450"/>
      <c r="W84" s="450"/>
      <c r="X84" s="450"/>
      <c r="Y84" s="450"/>
      <c r="Z84" s="451"/>
      <c r="AA84" s="450"/>
      <c r="AH84" s="441"/>
      <c r="AI84" s="441"/>
      <c r="AJ84" s="447"/>
    </row>
    <row r="85" spans="9:36" ht="15.95" customHeight="1" x14ac:dyDescent="0.2">
      <c r="I85" s="437"/>
      <c r="J85" s="437"/>
      <c r="K85" s="447"/>
      <c r="L85" s="450"/>
      <c r="M85" s="450"/>
      <c r="N85" s="521"/>
      <c r="O85" s="521"/>
      <c r="P85" s="450"/>
      <c r="Q85" s="450"/>
      <c r="R85" s="450"/>
      <c r="S85" s="450"/>
      <c r="T85" s="451"/>
      <c r="U85" s="450"/>
      <c r="W85" s="450"/>
      <c r="X85" s="450"/>
      <c r="Y85" s="450"/>
      <c r="Z85" s="451"/>
      <c r="AA85" s="450"/>
      <c r="AH85" s="441"/>
      <c r="AI85" s="441"/>
      <c r="AJ85" s="447"/>
    </row>
    <row r="86" spans="9:36" ht="15.95" customHeight="1" x14ac:dyDescent="0.2">
      <c r="K86" s="447"/>
      <c r="L86" s="450"/>
      <c r="M86" s="450"/>
      <c r="N86" s="521"/>
      <c r="O86" s="521"/>
      <c r="P86" s="450"/>
      <c r="Q86" s="450"/>
      <c r="R86" s="450"/>
      <c r="S86" s="450"/>
      <c r="T86" s="451"/>
      <c r="U86" s="450"/>
      <c r="W86" s="450"/>
      <c r="X86" s="450"/>
      <c r="Y86" s="450"/>
      <c r="Z86" s="451"/>
      <c r="AA86" s="450"/>
      <c r="AH86" s="441"/>
      <c r="AI86" s="441"/>
      <c r="AJ86" s="441"/>
    </row>
    <row r="87" spans="9:36" ht="15.95" customHeight="1" x14ac:dyDescent="0.2">
      <c r="K87" s="447"/>
      <c r="L87" s="450"/>
      <c r="M87" s="450"/>
      <c r="N87" s="521"/>
      <c r="O87" s="521"/>
      <c r="P87" s="450"/>
      <c r="Q87" s="450"/>
      <c r="R87" s="450"/>
      <c r="S87" s="450"/>
      <c r="T87" s="451"/>
      <c r="U87" s="450"/>
      <c r="W87" s="450"/>
      <c r="X87" s="450"/>
      <c r="Y87" s="450"/>
      <c r="Z87" s="451"/>
      <c r="AA87" s="450"/>
      <c r="AH87" s="441"/>
      <c r="AI87" s="441"/>
      <c r="AJ87" s="441"/>
    </row>
    <row r="88" spans="9:36" ht="15.95" customHeight="1" x14ac:dyDescent="0.2">
      <c r="L88" s="450"/>
      <c r="M88" s="450"/>
      <c r="N88" s="521"/>
      <c r="O88" s="521"/>
      <c r="P88" s="450"/>
      <c r="Q88" s="450"/>
      <c r="R88" s="450"/>
      <c r="S88" s="450"/>
      <c r="T88" s="451"/>
      <c r="U88" s="450"/>
      <c r="W88" s="450"/>
      <c r="X88" s="450"/>
      <c r="Y88" s="450"/>
      <c r="Z88" s="451"/>
      <c r="AA88" s="450"/>
    </row>
    <row r="89" spans="9:36" ht="15.95" customHeight="1" x14ac:dyDescent="0.2">
      <c r="K89" s="435"/>
      <c r="L89" s="450"/>
      <c r="M89" s="450"/>
      <c r="N89" s="521"/>
      <c r="O89" s="521"/>
      <c r="P89" s="450"/>
      <c r="Q89" s="450"/>
      <c r="R89" s="450"/>
      <c r="S89" s="450"/>
      <c r="T89" s="451"/>
      <c r="U89" s="450"/>
      <c r="W89" s="450"/>
      <c r="X89" s="450"/>
      <c r="Y89" s="450"/>
      <c r="Z89" s="451"/>
      <c r="AA89" s="450"/>
    </row>
    <row r="90" spans="9:36" ht="15.95" customHeight="1" x14ac:dyDescent="0.2">
      <c r="K90" s="435"/>
      <c r="R90" s="450"/>
      <c r="S90" s="450"/>
      <c r="T90" s="451"/>
      <c r="U90" s="450"/>
      <c r="W90" s="450"/>
      <c r="X90" s="450"/>
      <c r="Y90" s="450"/>
      <c r="Z90" s="451"/>
    </row>
    <row r="91" spans="9:36" ht="15.95" customHeight="1" x14ac:dyDescent="0.2">
      <c r="K91" s="435"/>
    </row>
    <row r="92" spans="9:36" ht="15.95" customHeight="1" x14ac:dyDescent="0.2">
      <c r="K92" s="435"/>
    </row>
    <row r="93" spans="9:36" ht="15.95" customHeight="1" x14ac:dyDescent="0.2">
      <c r="K93" s="435"/>
    </row>
    <row r="94" spans="9:36" ht="15.95" customHeight="1" x14ac:dyDescent="0.2">
      <c r="K94" s="435"/>
    </row>
    <row r="95" spans="9:36" ht="15.95" customHeight="1" x14ac:dyDescent="0.2">
      <c r="K95" s="435"/>
      <c r="S95" s="450"/>
    </row>
    <row r="96" spans="9:36" ht="15.95" customHeight="1" x14ac:dyDescent="0.2">
      <c r="K96" s="435"/>
      <c r="S96" s="450"/>
    </row>
    <row r="97" ht="15.95" customHeight="1" x14ac:dyDescent="0.2"/>
    <row r="98" ht="15.95" customHeight="1" x14ac:dyDescent="0.2"/>
    <row r="99" ht="15.95" customHeight="1" x14ac:dyDescent="0.2"/>
    <row r="100" ht="15.95" customHeight="1" x14ac:dyDescent="0.2"/>
    <row r="101" ht="15.95" customHeight="1" x14ac:dyDescent="0.2"/>
    <row r="102" ht="15.95" customHeight="1" x14ac:dyDescent="0.2"/>
    <row r="103" ht="15.95" customHeight="1" x14ac:dyDescent="0.2"/>
    <row r="104" ht="15.95" customHeight="1" x14ac:dyDescent="0.2"/>
    <row r="105" ht="15.95" customHeight="1" x14ac:dyDescent="0.2"/>
    <row r="106" ht="15.95" customHeight="1" x14ac:dyDescent="0.2"/>
    <row r="107" ht="15.95" customHeight="1" x14ac:dyDescent="0.2"/>
    <row r="108" ht="15.95" customHeight="1" x14ac:dyDescent="0.2"/>
    <row r="109" ht="15.95" customHeight="1" x14ac:dyDescent="0.2"/>
    <row r="110" ht="15.95" customHeight="1" x14ac:dyDescent="0.2"/>
    <row r="111" ht="15.95" customHeight="1" x14ac:dyDescent="0.2"/>
    <row r="112" ht="15.95" customHeight="1" x14ac:dyDescent="0.2"/>
    <row r="113" ht="15.95" customHeight="1" x14ac:dyDescent="0.2"/>
    <row r="114" ht="15.95" customHeight="1" x14ac:dyDescent="0.2"/>
    <row r="115" ht="15.95" customHeight="1" x14ac:dyDescent="0.2"/>
    <row r="116" ht="15.95" customHeight="1" x14ac:dyDescent="0.2"/>
    <row r="117" ht="15.95" customHeight="1" x14ac:dyDescent="0.2"/>
    <row r="118" ht="15.95" customHeight="1" x14ac:dyDescent="0.2"/>
    <row r="119" ht="15.95" customHeight="1" x14ac:dyDescent="0.2"/>
    <row r="120" ht="15.95" customHeight="1" x14ac:dyDescent="0.2"/>
    <row r="121" ht="15.95" customHeight="1" x14ac:dyDescent="0.2"/>
    <row r="122" ht="15.95" customHeight="1" x14ac:dyDescent="0.2"/>
    <row r="123" ht="15.95" customHeight="1" x14ac:dyDescent="0.2"/>
    <row r="124" ht="15.95" customHeight="1" x14ac:dyDescent="0.2"/>
    <row r="125" ht="15.95" customHeight="1" x14ac:dyDescent="0.2"/>
    <row r="126" ht="15.95" customHeight="1" x14ac:dyDescent="0.2"/>
    <row r="127" ht="15.95" customHeight="1" x14ac:dyDescent="0.2"/>
    <row r="128" ht="15.95" customHeight="1" x14ac:dyDescent="0.2"/>
    <row r="129" ht="15.95" customHeight="1" x14ac:dyDescent="0.2"/>
    <row r="130" ht="15.95" customHeight="1" x14ac:dyDescent="0.2"/>
    <row r="131" ht="15.95" customHeight="1" x14ac:dyDescent="0.2"/>
    <row r="132" ht="15.95" customHeight="1" x14ac:dyDescent="0.2"/>
    <row r="133" ht="15.95" customHeight="1" x14ac:dyDescent="0.2"/>
    <row r="134" ht="15.95" customHeight="1" x14ac:dyDescent="0.2"/>
    <row r="135" ht="15.95" customHeight="1" x14ac:dyDescent="0.2"/>
    <row r="136" ht="15.95" customHeight="1" x14ac:dyDescent="0.2"/>
    <row r="137" ht="15.95" customHeight="1" x14ac:dyDescent="0.2"/>
    <row r="138" ht="15.95" customHeight="1" x14ac:dyDescent="0.2"/>
    <row r="139" ht="15.95" customHeight="1" x14ac:dyDescent="0.2"/>
    <row r="140" ht="15.95" customHeight="1" x14ac:dyDescent="0.2"/>
    <row r="141" ht="15.95" customHeight="1" x14ac:dyDescent="0.2"/>
    <row r="142" ht="15.95" customHeight="1" x14ac:dyDescent="0.2"/>
    <row r="143" ht="15.95" customHeight="1" x14ac:dyDescent="0.2"/>
    <row r="144" ht="15.95" customHeight="1" x14ac:dyDescent="0.2"/>
    <row r="145" ht="15.95" customHeight="1" x14ac:dyDescent="0.2"/>
    <row r="146" ht="15.95" customHeight="1" x14ac:dyDescent="0.2"/>
    <row r="147" ht="15.95" customHeight="1" x14ac:dyDescent="0.2"/>
    <row r="148" ht="15.95" customHeight="1" x14ac:dyDescent="0.2"/>
  </sheetData>
  <sheetProtection selectLockedCells="1"/>
  <mergeCells count="33">
    <mergeCell ref="N27:N28"/>
    <mergeCell ref="N20:N21"/>
    <mergeCell ref="X19:Z19"/>
    <mergeCell ref="Z21:Z22"/>
    <mergeCell ref="Z23:Z24"/>
    <mergeCell ref="T21:T22"/>
    <mergeCell ref="T23:T24"/>
    <mergeCell ref="AH4:AJ5"/>
    <mergeCell ref="L5:N5"/>
    <mergeCell ref="R5:T5"/>
    <mergeCell ref="X5:Z5"/>
    <mergeCell ref="N7:N8"/>
    <mergeCell ref="T7:T8"/>
    <mergeCell ref="Z7:Z8"/>
    <mergeCell ref="AF1:AJ1"/>
    <mergeCell ref="K2:Z2"/>
    <mergeCell ref="AF2:AJ2"/>
    <mergeCell ref="N3:X3"/>
    <mergeCell ref="AF3:AJ3"/>
    <mergeCell ref="N14:N15"/>
    <mergeCell ref="N25:N26"/>
    <mergeCell ref="K1:AA1"/>
    <mergeCell ref="K4:N4"/>
    <mergeCell ref="Q4:T4"/>
    <mergeCell ref="W4:Z4"/>
    <mergeCell ref="T9:T10"/>
    <mergeCell ref="Z9:Z10"/>
    <mergeCell ref="X12:Z12"/>
    <mergeCell ref="N12:N13"/>
    <mergeCell ref="T16:T17"/>
    <mergeCell ref="Z14:Z15"/>
    <mergeCell ref="Z16:Z17"/>
    <mergeCell ref="T14:T15"/>
  </mergeCells>
  <conditionalFormatting sqref="O7">
    <cfRule type="expression" priority="213" stopIfTrue="1">
      <formula>IF(N7="",1)</formula>
    </cfRule>
    <cfRule type="expression" dxfId="2104" priority="215">
      <formula>IF(N7=N9,1,0)</formula>
    </cfRule>
  </conditionalFormatting>
  <conditionalFormatting sqref="M7">
    <cfRule type="expression" dxfId="2103" priority="122">
      <formula>IF(O8=1,1,0)</formula>
    </cfRule>
  </conditionalFormatting>
  <conditionalFormatting sqref="M20">
    <cfRule type="expression" dxfId="2102" priority="119">
      <formula>IF(O21=1,1,0)</formula>
    </cfRule>
  </conditionalFormatting>
  <conditionalFormatting sqref="AA22">
    <cfRule type="expression" priority="71" stopIfTrue="1">
      <formula>IF(Z22="",1)</formula>
    </cfRule>
    <cfRule type="expression" dxfId="2101" priority="72">
      <formula>IF(Z22=Z24,1,0)</formula>
    </cfRule>
  </conditionalFormatting>
  <conditionalFormatting sqref="AA14">
    <cfRule type="expression" priority="75" stopIfTrue="1">
      <formula>IF(Z14="",1)</formula>
    </cfRule>
    <cfRule type="expression" dxfId="2100" priority="76">
      <formula>IF(Z14=Z16,1,0)</formula>
    </cfRule>
  </conditionalFormatting>
  <conditionalFormatting sqref="AA15">
    <cfRule type="expression" priority="77" stopIfTrue="1">
      <formula>IF(Z15="",1)</formula>
    </cfRule>
    <cfRule type="expression" dxfId="2099" priority="78">
      <formula>IF(Z15=Z17,1,0)</formula>
    </cfRule>
  </conditionalFormatting>
  <conditionalFormatting sqref="AA16">
    <cfRule type="expression" priority="73" stopIfTrue="1">
      <formula>IF(Z16="",1)</formula>
    </cfRule>
    <cfRule type="expression" dxfId="2098" priority="74">
      <formula>IF(Z16=Z14,1,0)</formula>
    </cfRule>
  </conditionalFormatting>
  <conditionalFormatting sqref="AA21">
    <cfRule type="expression" priority="69" stopIfTrue="1">
      <formula>IF(Z21="",1)</formula>
    </cfRule>
    <cfRule type="expression" dxfId="2097" priority="70">
      <formula>IF(Z21=Z23,1,0)</formula>
    </cfRule>
  </conditionalFormatting>
  <conditionalFormatting sqref="AA23">
    <cfRule type="expression" priority="67" stopIfTrue="1">
      <formula>IF(Z23="",1)</formula>
    </cfRule>
    <cfRule type="expression" dxfId="2096" priority="68">
      <formula>IF(Z23=Z21,1,0)</formula>
    </cfRule>
  </conditionalFormatting>
  <conditionalFormatting sqref="AA7">
    <cfRule type="expression" priority="61" stopIfTrue="1">
      <formula>IF(Z7="",1)</formula>
    </cfRule>
    <cfRule type="expression" dxfId="2095" priority="62">
      <formula>IF(Z7=Z9,1,0)</formula>
    </cfRule>
  </conditionalFormatting>
  <conditionalFormatting sqref="AA8">
    <cfRule type="expression" priority="63" stopIfTrue="1">
      <formula>IF(Z8="",1)</formula>
    </cfRule>
    <cfRule type="expression" dxfId="2094" priority="64">
      <formula>IF(Z8=Z10,1,0)</formula>
    </cfRule>
  </conditionalFormatting>
  <conditionalFormatting sqref="AA9">
    <cfRule type="expression" priority="59" stopIfTrue="1">
      <formula>IF(Z9="",1)</formula>
    </cfRule>
    <cfRule type="expression" dxfId="2093" priority="60">
      <formula>IF(Z9=Z7,1,0)</formula>
    </cfRule>
  </conditionalFormatting>
  <conditionalFormatting sqref="M12">
    <cfRule type="expression" dxfId="2092" priority="58">
      <formula>IF(N12+O12&gt;N14+O14,1,0)</formula>
    </cfRule>
  </conditionalFormatting>
  <conditionalFormatting sqref="M14">
    <cfRule type="expression" dxfId="2091" priority="57">
      <formula>IF(N12+O12&lt;N14+O14,1,0)</formula>
    </cfRule>
  </conditionalFormatting>
  <conditionalFormatting sqref="O12">
    <cfRule type="expression" priority="53" stopIfTrue="1">
      <formula>IF(N12="",1)</formula>
    </cfRule>
    <cfRule type="expression" dxfId="2090" priority="54">
      <formula>IF(N12=N14,1,0)</formula>
    </cfRule>
  </conditionalFormatting>
  <conditionalFormatting sqref="O13">
    <cfRule type="expression" priority="55" stopIfTrue="1">
      <formula>IF(N13="",1)</formula>
    </cfRule>
    <cfRule type="expression" dxfId="2089" priority="56">
      <formula>IF(N13=N15,1,0)</formula>
    </cfRule>
  </conditionalFormatting>
  <conditionalFormatting sqref="O14">
    <cfRule type="expression" priority="51" stopIfTrue="1">
      <formula>IF(N14="",1)</formula>
    </cfRule>
    <cfRule type="expression" dxfId="2088" priority="52">
      <formula>IF(N14=N12,1,0)</formula>
    </cfRule>
  </conditionalFormatting>
  <conditionalFormatting sqref="M25">
    <cfRule type="expression" dxfId="2087" priority="50">
      <formula>IF(N25+O25&gt;N27+O27,1,0)</formula>
    </cfRule>
  </conditionalFormatting>
  <conditionalFormatting sqref="M27">
    <cfRule type="expression" dxfId="2086" priority="49">
      <formula>IF(N25+O25&lt;N27+O27,1,0)</formula>
    </cfRule>
  </conditionalFormatting>
  <conditionalFormatting sqref="O25">
    <cfRule type="expression" priority="45" stopIfTrue="1">
      <formula>IF(N25="",1)</formula>
    </cfRule>
    <cfRule type="expression" dxfId="2085" priority="46">
      <formula>IF(N25=N27,1,0)</formula>
    </cfRule>
  </conditionalFormatting>
  <conditionalFormatting sqref="O26">
    <cfRule type="expression" priority="47" stopIfTrue="1">
      <formula>IF(N26="",1)</formula>
    </cfRule>
    <cfRule type="expression" dxfId="2084" priority="48">
      <formula>IF(N26=N28,1,0)</formula>
    </cfRule>
  </conditionalFormatting>
  <conditionalFormatting sqref="O27">
    <cfRule type="expression" priority="43" stopIfTrue="1">
      <formula>IF(N27="",1)</formula>
    </cfRule>
    <cfRule type="expression" dxfId="2083" priority="44">
      <formula>IF(N27=N25,1,0)</formula>
    </cfRule>
  </conditionalFormatting>
  <conditionalFormatting sqref="O20">
    <cfRule type="expression" priority="916" stopIfTrue="1">
      <formula>IF(N20="",1)</formula>
    </cfRule>
    <cfRule type="expression" dxfId="2082" priority="917">
      <formula>IF(N20=#REF!,1,0)</formula>
    </cfRule>
  </conditionalFormatting>
  <conditionalFormatting sqref="U7">
    <cfRule type="expression" priority="37" stopIfTrue="1">
      <formula>IF(T7="",1)</formula>
    </cfRule>
    <cfRule type="expression" dxfId="2081" priority="38">
      <formula>IF(T7=T9,1,0)</formula>
    </cfRule>
  </conditionalFormatting>
  <conditionalFormatting sqref="U8">
    <cfRule type="expression" priority="39" stopIfTrue="1">
      <formula>IF(T8="",1)</formula>
    </cfRule>
    <cfRule type="expression" dxfId="2080" priority="40">
      <formula>IF(T8=T10,1,0)</formula>
    </cfRule>
  </conditionalFormatting>
  <conditionalFormatting sqref="U9">
    <cfRule type="expression" priority="35" stopIfTrue="1">
      <formula>IF(T9="",1)</formula>
    </cfRule>
    <cfRule type="expression" dxfId="2079" priority="36">
      <formula>IF(T9=T7,1,0)</formula>
    </cfRule>
  </conditionalFormatting>
  <conditionalFormatting sqref="U14">
    <cfRule type="expression" priority="29" stopIfTrue="1">
      <formula>IF(T14="",1)</formula>
    </cfRule>
    <cfRule type="expression" dxfId="2078" priority="30">
      <formula>IF(T14=T16,1,0)</formula>
    </cfRule>
  </conditionalFormatting>
  <conditionalFormatting sqref="U15">
    <cfRule type="expression" priority="31" stopIfTrue="1">
      <formula>IF(T15="",1)</formula>
    </cfRule>
    <cfRule type="expression" dxfId="2077" priority="32">
      <formula>IF(T15=T17,1,0)</formula>
    </cfRule>
  </conditionalFormatting>
  <conditionalFormatting sqref="U16">
    <cfRule type="expression" priority="27" stopIfTrue="1">
      <formula>IF(T16="",1)</formula>
    </cfRule>
    <cfRule type="expression" dxfId="2076" priority="28">
      <formula>IF(T16=T14,1,0)</formula>
    </cfRule>
  </conditionalFormatting>
  <conditionalFormatting sqref="S14">
    <cfRule type="expression" dxfId="2075" priority="16">
      <formula>IF(T14+U14&gt;T16+U16,1,0)</formula>
    </cfRule>
  </conditionalFormatting>
  <conditionalFormatting sqref="S16">
    <cfRule type="expression" dxfId="2074" priority="15">
      <formula>IF(T16+U16&gt;T18+U18,1,0)</formula>
    </cfRule>
  </conditionalFormatting>
  <conditionalFormatting sqref="S21">
    <cfRule type="expression" dxfId="2073" priority="14">
      <formula>IF(T21+U21&gt;T23+U23,1,0)</formula>
    </cfRule>
  </conditionalFormatting>
  <conditionalFormatting sqref="S23">
    <cfRule type="expression" dxfId="2072" priority="13">
      <formula>IF(T23+U23&gt;T25+U25,1,0)</formula>
    </cfRule>
  </conditionalFormatting>
  <conditionalFormatting sqref="Y7">
    <cfRule type="expression" dxfId="2071" priority="12">
      <formula>IF(Z7+AA7&gt;Z9+AA9,1,0)</formula>
    </cfRule>
  </conditionalFormatting>
  <conditionalFormatting sqref="Y9">
    <cfRule type="expression" dxfId="2070" priority="11">
      <formula>IF(Z9+AA9&gt;Z11+AA11,1,0)</formula>
    </cfRule>
  </conditionalFormatting>
  <conditionalFormatting sqref="S7">
    <cfRule type="expression" dxfId="2069" priority="6">
      <formula>IF(T7+U7&gt;T9+U9,1,0)</formula>
    </cfRule>
  </conditionalFormatting>
  <conditionalFormatting sqref="S9">
    <cfRule type="expression" dxfId="2068" priority="5">
      <formula>IF(T7+U7&lt;T9+U9,1,0)</formula>
    </cfRule>
  </conditionalFormatting>
  <conditionalFormatting sqref="Y14">
    <cfRule type="expression" dxfId="2067" priority="4">
      <formula>IF(Z14+AA14&gt;Z16+AA16,1,0)</formula>
    </cfRule>
  </conditionalFormatting>
  <conditionalFormatting sqref="Y16">
    <cfRule type="expression" dxfId="2066" priority="3">
      <formula>IF(Z14+AA14&lt;Z16+AA16,1,0)</formula>
    </cfRule>
  </conditionalFormatting>
  <conditionalFormatting sqref="Y21">
    <cfRule type="expression" dxfId="2065" priority="2">
      <formula>IF(Z21+AA21&gt;Z23+AA23,1,0)</formula>
    </cfRule>
  </conditionalFormatting>
  <conditionalFormatting sqref="Y23">
    <cfRule type="expression" dxfId="2064" priority="1">
      <formula>IF(Z21+AA21&lt;Z23+AA23,1,0)</formula>
    </cfRule>
  </conditionalFormatting>
  <pageMargins left="0.25" right="0.25" top="0.75" bottom="0.75" header="0.3" footer="0.3"/>
  <pageSetup paperSize="9" scale="28" fitToHeight="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euil39">
    <tabColor rgb="FFFFC000"/>
    <pageSetUpPr fitToPage="1"/>
  </sheetPr>
  <dimension ref="A1:AY148"/>
  <sheetViews>
    <sheetView topLeftCell="K1" zoomScale="98" zoomScaleNormal="118" workbookViewId="0">
      <selection activeCell="K30" sqref="K1:AB30"/>
    </sheetView>
  </sheetViews>
  <sheetFormatPr baseColWidth="10" defaultColWidth="10.85546875" defaultRowHeight="12.75" x14ac:dyDescent="0.2"/>
  <cols>
    <col min="1" max="1" width="3.7109375" style="435" hidden="1" customWidth="1"/>
    <col min="2" max="4" width="16.140625" style="435" hidden="1" customWidth="1"/>
    <col min="5" max="10" width="11.28515625" style="435" hidden="1" customWidth="1"/>
    <col min="11" max="11" width="7.7109375" style="441" bestFit="1" customWidth="1"/>
    <col min="12" max="12" width="6.42578125" style="435" bestFit="1" customWidth="1"/>
    <col min="13" max="13" width="37.28515625" style="435" customWidth="1"/>
    <col min="14" max="14" width="10.85546875" style="442"/>
    <col min="15" max="15" width="4.7109375" style="441" bestFit="1" customWidth="1"/>
    <col min="16" max="16" width="15.7109375" style="441" customWidth="1"/>
    <col min="17" max="17" width="7.7109375" style="441" bestFit="1" customWidth="1"/>
    <col min="18" max="18" width="6.42578125" style="441" bestFit="1" customWidth="1"/>
    <col min="19" max="19" width="38" style="441" customWidth="1"/>
    <col min="20" max="20" width="10.85546875" style="442"/>
    <col min="21" max="21" width="4.85546875" style="441" bestFit="1" customWidth="1"/>
    <col min="22" max="22" width="15.85546875" style="441" customWidth="1"/>
    <col min="23" max="23" width="8.42578125" style="441" bestFit="1" customWidth="1"/>
    <col min="24" max="24" width="6.28515625" style="435" customWidth="1"/>
    <col min="25" max="25" width="36.5703125" style="435" customWidth="1"/>
    <col min="26" max="26" width="10.85546875" style="442"/>
    <col min="27" max="27" width="4.85546875" style="441" bestFit="1" customWidth="1"/>
    <col min="28" max="28" width="4.42578125" style="435" customWidth="1"/>
    <col min="29" max="29" width="5.140625" style="435" customWidth="1"/>
    <col min="30" max="30" width="3" style="435" customWidth="1"/>
    <col min="31" max="31" width="3.28515625" style="435" customWidth="1"/>
    <col min="32" max="32" width="12" style="435" customWidth="1"/>
    <col min="33" max="33" width="13" style="435" hidden="1" customWidth="1"/>
    <col min="34" max="34" width="48" style="435" bestFit="1" customWidth="1"/>
    <col min="35" max="36" width="36.85546875" style="435" customWidth="1"/>
    <col min="37" max="42" width="10.85546875" style="435"/>
    <col min="43" max="43" width="1.7109375" style="435" bestFit="1" customWidth="1"/>
    <col min="44" max="46" width="10.85546875" style="435"/>
    <col min="47" max="47" width="1.7109375" style="435" bestFit="1" customWidth="1"/>
    <col min="48" max="50" width="10.85546875" style="435"/>
    <col min="51" max="51" width="1.7109375" style="435" bestFit="1" customWidth="1"/>
    <col min="52" max="16384" width="10.85546875" style="435"/>
  </cols>
  <sheetData>
    <row r="1" spans="1:51" ht="55.5" customHeight="1" x14ac:dyDescent="0.2">
      <c r="B1" s="436"/>
      <c r="C1" s="436"/>
      <c r="D1" s="436"/>
      <c r="F1" s="776"/>
      <c r="G1" s="776"/>
      <c r="H1" s="776"/>
      <c r="I1" s="777"/>
      <c r="J1" s="437"/>
      <c r="K1" s="988" t="str">
        <f>Championnat</f>
        <v>Championnat de France de Tir à l'ARC</v>
      </c>
      <c r="L1" s="988"/>
      <c r="M1" s="988"/>
      <c r="N1" s="988"/>
      <c r="O1" s="988"/>
      <c r="P1" s="988"/>
      <c r="Q1" s="988"/>
      <c r="R1" s="988"/>
      <c r="S1" s="988"/>
      <c r="T1" s="988"/>
      <c r="U1" s="988"/>
      <c r="V1" s="988"/>
      <c r="W1" s="988"/>
      <c r="X1" s="988"/>
      <c r="Y1" s="988"/>
      <c r="Z1" s="988"/>
      <c r="AA1" s="988"/>
      <c r="AB1" s="439"/>
      <c r="AC1" s="439"/>
      <c r="AD1" s="439"/>
      <c r="AE1" s="439"/>
      <c r="AF1" s="988" t="str">
        <f>Championnat</f>
        <v>Championnat de France de Tir à l'ARC</v>
      </c>
      <c r="AG1" s="988"/>
      <c r="AH1" s="988"/>
      <c r="AI1" s="988"/>
      <c r="AJ1" s="988"/>
      <c r="AK1" s="491"/>
      <c r="AL1" s="491"/>
      <c r="AM1" s="491"/>
      <c r="AN1" s="491"/>
      <c r="AO1" s="491"/>
      <c r="AP1" s="491"/>
      <c r="AQ1" s="491"/>
      <c r="AR1" s="491"/>
      <c r="AS1" s="491"/>
      <c r="AT1" s="491"/>
      <c r="AU1" s="491"/>
      <c r="AV1" s="491"/>
      <c r="AW1" s="491"/>
      <c r="AY1" s="491"/>
    </row>
    <row r="2" spans="1:51" ht="61.5" customHeight="1" x14ac:dyDescent="0.2">
      <c r="A2" s="437"/>
      <c r="I2" s="437"/>
      <c r="J2" s="437"/>
      <c r="K2" s="989" t="str">
        <f>CATEG_IMPORTEE</f>
        <v>Collèges Mixtes Etablissement</v>
      </c>
      <c r="L2" s="989"/>
      <c r="M2" s="989"/>
      <c r="N2" s="989"/>
      <c r="O2" s="989"/>
      <c r="P2" s="989"/>
      <c r="Q2" s="989"/>
      <c r="R2" s="989"/>
      <c r="S2" s="989"/>
      <c r="T2" s="989"/>
      <c r="U2" s="989"/>
      <c r="V2" s="989"/>
      <c r="W2" s="989"/>
      <c r="X2" s="989"/>
      <c r="Y2" s="989"/>
      <c r="Z2" s="989"/>
      <c r="AA2" s="799"/>
      <c r="AB2" s="439"/>
      <c r="AC2" s="439"/>
      <c r="AD2" s="439"/>
      <c r="AE2" s="439"/>
      <c r="AF2" s="990" t="str">
        <f>CATEG_IMPORTEE</f>
        <v>Collèges Mixtes Etablissement</v>
      </c>
      <c r="AG2" s="990"/>
      <c r="AH2" s="990"/>
      <c r="AI2" s="990"/>
      <c r="AJ2" s="990"/>
      <c r="AK2" s="492"/>
      <c r="AL2" s="492"/>
      <c r="AM2" s="492"/>
      <c r="AN2" s="492"/>
      <c r="AO2" s="492"/>
      <c r="AP2" s="492"/>
      <c r="AQ2" s="492"/>
      <c r="AR2" s="492"/>
      <c r="AS2" s="492"/>
      <c r="AT2" s="492"/>
      <c r="AU2" s="492"/>
      <c r="AV2" s="492"/>
      <c r="AW2" s="492"/>
      <c r="AY2" s="492"/>
    </row>
    <row r="3" spans="1:51" ht="42" customHeight="1" x14ac:dyDescent="0.2">
      <c r="B3" s="462" t="s">
        <v>774</v>
      </c>
      <c r="I3" s="437"/>
      <c r="J3" s="437"/>
      <c r="N3" s="991" t="str">
        <f>LIEU&amp;" du "&amp;DATE</f>
        <v>L’Isle sur la Sorgue du 27 au 31 mars 2023</v>
      </c>
      <c r="O3" s="991"/>
      <c r="P3" s="991"/>
      <c r="Q3" s="991"/>
      <c r="R3" s="991"/>
      <c r="S3" s="991"/>
      <c r="T3" s="991"/>
      <c r="U3" s="991"/>
      <c r="V3" s="991"/>
      <c r="W3" s="991"/>
      <c r="X3" s="991"/>
      <c r="AF3" s="991" t="str">
        <f>LIEU&amp;" du "&amp;DATE</f>
        <v>L’Isle sur la Sorgue du 27 au 31 mars 2023</v>
      </c>
      <c r="AG3" s="991"/>
      <c r="AH3" s="991"/>
      <c r="AI3" s="991"/>
      <c r="AJ3" s="991"/>
      <c r="AK3" s="493"/>
      <c r="AL3" s="493"/>
      <c r="AM3" s="493"/>
      <c r="AN3" s="493"/>
      <c r="AO3" s="493"/>
      <c r="AP3" s="493"/>
      <c r="AQ3" s="493"/>
      <c r="AR3" s="493"/>
      <c r="AS3" s="493"/>
      <c r="AT3" s="493"/>
      <c r="AU3" s="493"/>
      <c r="AW3" s="442"/>
      <c r="AY3" s="493"/>
    </row>
    <row r="4" spans="1:51" ht="21" customHeight="1" x14ac:dyDescent="0.2">
      <c r="B4" s="462" t="s">
        <v>775</v>
      </c>
      <c r="C4" s="462" t="s">
        <v>375</v>
      </c>
      <c r="D4" s="462" t="s">
        <v>374</v>
      </c>
      <c r="E4" s="462" t="s">
        <v>776</v>
      </c>
      <c r="F4" s="800" t="s">
        <v>838</v>
      </c>
      <c r="G4" s="801" t="s">
        <v>837</v>
      </c>
      <c r="H4" s="898"/>
      <c r="I4" s="437"/>
      <c r="J4" s="437"/>
      <c r="K4" s="979" t="s">
        <v>815</v>
      </c>
      <c r="L4" s="979"/>
      <c r="M4" s="979"/>
      <c r="N4" s="979"/>
      <c r="O4" s="443"/>
      <c r="P4" s="443"/>
      <c r="Q4" s="979" t="s">
        <v>816</v>
      </c>
      <c r="R4" s="979"/>
      <c r="S4" s="979"/>
      <c r="T4" s="979"/>
      <c r="U4" s="443"/>
      <c r="V4" s="443"/>
      <c r="W4" s="979" t="s">
        <v>817</v>
      </c>
      <c r="X4" s="979"/>
      <c r="Y4" s="979"/>
      <c r="Z4" s="979"/>
      <c r="AA4" s="443"/>
      <c r="AH4" s="980" t="s">
        <v>778</v>
      </c>
      <c r="AI4" s="980"/>
      <c r="AJ4" s="980"/>
      <c r="AN4" s="497" t="s">
        <v>848</v>
      </c>
    </row>
    <row r="5" spans="1:51" ht="15.95" customHeight="1" thickBot="1" x14ac:dyDescent="0.25">
      <c r="A5" s="435">
        <v>1</v>
      </c>
      <c r="B5" s="444" t="str">
        <f ca="1">INDIRECT("'Imp. Qualif.'!L"&amp;INDIRECT("f"&amp;ROW()))</f>
        <v/>
      </c>
      <c r="C5" s="444" t="str">
        <f ca="1">INDIRECT("'Imp. Qualif.'!M"&amp;INDIRECT("f"&amp;ROW()))</f>
        <v/>
      </c>
      <c r="D5" s="444" t="str">
        <f ca="1">INDIRECT("'Imp. Qualif.'!N"&amp;INDIRECT("f"&amp;ROW()))</f>
        <v/>
      </c>
      <c r="E5" s="486">
        <f ca="1">INDIRECT("'Imp. Qualif.'!O"&amp;INDIRECT("f"&amp;ROW()))</f>
        <v>0</v>
      </c>
      <c r="F5" s="802">
        <v>11</v>
      </c>
      <c r="G5" s="488" t="str">
        <f ca="1">B5&amp;C5</f>
        <v/>
      </c>
      <c r="H5" s="898" t="str">
        <f ca="1">IF(B5&lt;&gt;"",B5,"")</f>
        <v/>
      </c>
      <c r="I5" s="898" t="str">
        <f t="shared" ref="I5:J20" ca="1" si="0">IF(C5&lt;&gt;"",C5,"")</f>
        <v/>
      </c>
      <c r="J5" s="898" t="str">
        <f t="shared" ca="1" si="0"/>
        <v/>
      </c>
      <c r="L5" s="979" t="s">
        <v>1088</v>
      </c>
      <c r="M5" s="1247"/>
      <c r="N5" s="1247"/>
      <c r="O5" s="443"/>
      <c r="P5" s="443"/>
      <c r="R5" s="979" t="s">
        <v>818</v>
      </c>
      <c r="S5" s="1247"/>
      <c r="T5" s="1247"/>
      <c r="U5" s="443"/>
      <c r="V5" s="443"/>
      <c r="W5" s="445"/>
      <c r="X5" s="979" t="s">
        <v>777</v>
      </c>
      <c r="Y5" s="1247"/>
      <c r="Z5" s="1247"/>
      <c r="AA5" s="443"/>
      <c r="AH5" s="981"/>
      <c r="AI5" s="981"/>
      <c r="AJ5" s="981"/>
      <c r="AN5" s="803" t="s">
        <v>839</v>
      </c>
      <c r="AO5" s="803" t="s">
        <v>840</v>
      </c>
      <c r="AP5" s="803" t="s">
        <v>841</v>
      </c>
      <c r="AQ5" s="804" t="s">
        <v>793</v>
      </c>
      <c r="AR5" s="803" t="s">
        <v>842</v>
      </c>
      <c r="AS5" s="803" t="s">
        <v>843</v>
      </c>
      <c r="AT5" s="803" t="s">
        <v>844</v>
      </c>
      <c r="AU5" s="804" t="s">
        <v>793</v>
      </c>
      <c r="AV5" s="803" t="s">
        <v>845</v>
      </c>
      <c r="AW5" s="803" t="s">
        <v>846</v>
      </c>
      <c r="AX5" s="803" t="s">
        <v>847</v>
      </c>
      <c r="AY5" s="804" t="s">
        <v>793</v>
      </c>
    </row>
    <row r="6" spans="1:51" ht="15.95" customHeight="1" thickBot="1" x14ac:dyDescent="0.25">
      <c r="A6" s="435">
        <v>2</v>
      </c>
      <c r="B6" s="444" t="str">
        <f t="shared" ref="B6:B11" ca="1" si="1">INDIRECT("'Imp. Qualif.'!L"&amp;INDIRECT("f"&amp;ROW()))</f>
        <v/>
      </c>
      <c r="C6" s="444" t="str">
        <f t="shared" ref="C6:C11" ca="1" si="2">INDIRECT("'Imp. Qualif.'!M"&amp;INDIRECT("f"&amp;ROW()))</f>
        <v/>
      </c>
      <c r="D6" s="444" t="str">
        <f t="shared" ref="D6:D11" ca="1" si="3">INDIRECT("'Imp. Qualif.'!N"&amp;INDIRECT("f"&amp;ROW()))</f>
        <v/>
      </c>
      <c r="E6" s="486">
        <f t="shared" ref="E6:E11" ca="1" si="4">INDIRECT("'Imp. Qualif.'!O"&amp;INDIRECT("f"&amp;ROW()))</f>
        <v>0</v>
      </c>
      <c r="F6" s="802">
        <v>12</v>
      </c>
      <c r="G6" s="488" t="str">
        <f t="shared" ref="G6:G28" ca="1" si="5">B6&amp;C6</f>
        <v/>
      </c>
      <c r="H6" s="898" t="str">
        <f t="shared" ref="H6:J28" ca="1" si="6">IF(B6&lt;&gt;"",B6,"")</f>
        <v/>
      </c>
      <c r="I6" s="898" t="str">
        <f t="shared" ca="1" si="0"/>
        <v/>
      </c>
      <c r="J6" s="898" t="str">
        <f t="shared" ca="1" si="0"/>
        <v/>
      </c>
      <c r="K6" s="445" t="s">
        <v>779</v>
      </c>
      <c r="L6" s="779" t="s">
        <v>1083</v>
      </c>
      <c r="M6" s="456" t="s">
        <v>481</v>
      </c>
      <c r="N6" s="464" t="s">
        <v>780</v>
      </c>
      <c r="O6" s="446" t="s">
        <v>781</v>
      </c>
      <c r="P6" s="445"/>
      <c r="Q6" s="445" t="s">
        <v>779</v>
      </c>
      <c r="R6" s="779" t="s">
        <v>1083</v>
      </c>
      <c r="S6" s="456" t="s">
        <v>481</v>
      </c>
      <c r="T6" s="464" t="s">
        <v>780</v>
      </c>
      <c r="U6" s="446" t="s">
        <v>781</v>
      </c>
      <c r="V6" s="445"/>
      <c r="W6" s="445" t="s">
        <v>779</v>
      </c>
      <c r="X6" s="779" t="s">
        <v>1083</v>
      </c>
      <c r="Y6" s="456" t="s">
        <v>481</v>
      </c>
      <c r="Z6" s="464" t="s">
        <v>780</v>
      </c>
      <c r="AA6" s="446" t="s">
        <v>781</v>
      </c>
      <c r="AH6" s="805" t="s">
        <v>782</v>
      </c>
      <c r="AI6" s="484" t="s">
        <v>375</v>
      </c>
      <c r="AJ6" s="806" t="s">
        <v>783</v>
      </c>
      <c r="AN6" s="803">
        <f>K7</f>
        <v>1</v>
      </c>
      <c r="AO6" s="807" t="str">
        <f ca="1">L8</f>
        <v/>
      </c>
      <c r="AP6" s="808" t="s">
        <v>1326</v>
      </c>
      <c r="AQ6" s="804" t="s">
        <v>793</v>
      </c>
      <c r="AR6" s="803">
        <f>Q7</f>
        <v>1</v>
      </c>
      <c r="AS6" s="807" t="str">
        <f ca="1">R8</f>
        <v/>
      </c>
      <c r="AT6" s="808" t="str">
        <f>AS7</f>
        <v/>
      </c>
      <c r="AU6" s="804" t="s">
        <v>793</v>
      </c>
      <c r="AV6" s="803">
        <f>W7</f>
        <v>1</v>
      </c>
      <c r="AW6" s="807" t="str">
        <f>X8</f>
        <v/>
      </c>
      <c r="AX6" s="807" t="str">
        <f>AW7</f>
        <v/>
      </c>
      <c r="AY6" s="804" t="s">
        <v>793</v>
      </c>
    </row>
    <row r="7" spans="1:51" ht="15.95" customHeight="1" thickBot="1" x14ac:dyDescent="0.25">
      <c r="A7" s="435">
        <v>3</v>
      </c>
      <c r="B7" s="444" t="str">
        <f t="shared" ca="1" si="1"/>
        <v/>
      </c>
      <c r="C7" s="444" t="str">
        <f t="shared" ca="1" si="2"/>
        <v/>
      </c>
      <c r="D7" s="444" t="str">
        <f t="shared" ca="1" si="3"/>
        <v/>
      </c>
      <c r="E7" s="486">
        <f t="shared" ca="1" si="4"/>
        <v>0</v>
      </c>
      <c r="F7" s="802">
        <v>13</v>
      </c>
      <c r="G7" s="488" t="str">
        <f t="shared" ca="1" si="5"/>
        <v/>
      </c>
      <c r="H7" s="898" t="str">
        <f t="shared" ca="1" si="6"/>
        <v/>
      </c>
      <c r="I7" s="898" t="str">
        <f t="shared" ca="1" si="0"/>
        <v/>
      </c>
      <c r="J7" s="898" t="str">
        <f t="shared" ca="1" si="0"/>
        <v/>
      </c>
      <c r="K7" s="809">
        <f>Num_Cible</f>
        <v>1</v>
      </c>
      <c r="L7" s="472">
        <v>1</v>
      </c>
      <c r="M7" s="465" t="str">
        <f ca="1">IFERROR(VLOOKUP(L8,$G$5:$J$28,2,FALSE),"")</f>
        <v/>
      </c>
      <c r="N7" s="966"/>
      <c r="O7" s="780"/>
      <c r="Q7" s="809">
        <f>K7</f>
        <v>1</v>
      </c>
      <c r="R7" s="472">
        <v>1</v>
      </c>
      <c r="S7" s="465" t="str">
        <f ca="1">IFERROR(VLOOKUP(R8,$G$5:$J$28,2,FALSE),"")</f>
        <v/>
      </c>
      <c r="T7" s="966"/>
      <c r="U7" s="780"/>
      <c r="W7" s="809">
        <f>Num_Cible</f>
        <v>1</v>
      </c>
      <c r="X7" s="472">
        <v>1</v>
      </c>
      <c r="Y7" s="465" t="str">
        <f ca="1">IFERROR(VLOOKUP(X8,$G$5:$J$28,2,FALSE),"")</f>
        <v/>
      </c>
      <c r="Z7" s="966"/>
      <c r="AA7" s="780"/>
      <c r="AF7" s="810" t="s">
        <v>784</v>
      </c>
      <c r="AG7" s="435" t="str">
        <f>IF(ISBLANK(Z7),"",IF(Z7+AA7&gt;Z9+AA9,X8,X10))</f>
        <v/>
      </c>
      <c r="AH7" s="475" t="str">
        <f ca="1">IFERROR(VLOOKUP(AG7,$G$5:$J$28,2,FALSE),"")</f>
        <v/>
      </c>
      <c r="AI7" s="475" t="str">
        <f ca="1">IFERROR(VLOOKUP(AG7,$G$5:$J$28,3,FALSE),"")</f>
        <v/>
      </c>
      <c r="AJ7" s="475" t="str">
        <f ca="1">IFERROR(VLOOKUP(AG7,$G$5:$J$28,4,FALSE),"")</f>
        <v/>
      </c>
      <c r="AN7" s="803">
        <f>K12</f>
        <v>2</v>
      </c>
      <c r="AO7" s="807" t="str">
        <f ca="1">L13</f>
        <v/>
      </c>
      <c r="AP7" s="808" t="str">
        <f ca="1">AO8</f>
        <v/>
      </c>
      <c r="AQ7" s="804" t="s">
        <v>793</v>
      </c>
      <c r="AR7" s="803">
        <f>Q9</f>
        <v>2</v>
      </c>
      <c r="AS7" s="807" t="str">
        <f>R10</f>
        <v/>
      </c>
      <c r="AT7" s="808" t="str">
        <f ca="1">AS6</f>
        <v/>
      </c>
      <c r="AU7" s="804" t="s">
        <v>793</v>
      </c>
      <c r="AV7" s="803">
        <f>W9</f>
        <v>2</v>
      </c>
      <c r="AW7" s="807" t="str">
        <f>X10</f>
        <v/>
      </c>
      <c r="AX7" s="807" t="str">
        <f>AW6</f>
        <v/>
      </c>
      <c r="AY7" s="804" t="s">
        <v>793</v>
      </c>
    </row>
    <row r="8" spans="1:51" ht="15.95" customHeight="1" thickBot="1" x14ac:dyDescent="0.25">
      <c r="A8" s="435">
        <v>4</v>
      </c>
      <c r="B8" s="444" t="str">
        <f t="shared" ca="1" si="1"/>
        <v/>
      </c>
      <c r="C8" s="444" t="str">
        <f t="shared" ca="1" si="2"/>
        <v/>
      </c>
      <c r="D8" s="444" t="str">
        <f t="shared" ca="1" si="3"/>
        <v/>
      </c>
      <c r="E8" s="486">
        <f t="shared" ca="1" si="4"/>
        <v>0</v>
      </c>
      <c r="F8" s="802">
        <v>14</v>
      </c>
      <c r="G8" s="488" t="str">
        <f t="shared" ca="1" si="5"/>
        <v/>
      </c>
      <c r="H8" s="898" t="str">
        <f t="shared" ca="1" si="6"/>
        <v/>
      </c>
      <c r="I8" s="898" t="str">
        <f t="shared" ca="1" si="0"/>
        <v/>
      </c>
      <c r="J8" s="898" t="str">
        <f t="shared" ca="1" si="0"/>
        <v/>
      </c>
      <c r="K8" s="809"/>
      <c r="L8" s="473" t="str">
        <f ca="1">VLOOKUP(L7,$A$5:$G$24,7,FALSE)</f>
        <v/>
      </c>
      <c r="M8" s="466" t="str">
        <f ca="1">IFERROR(VLOOKUP(L8,$G$5:$J$28,3,FALSE),"")</f>
        <v/>
      </c>
      <c r="N8" s="967"/>
      <c r="O8" s="781"/>
      <c r="Q8" s="809"/>
      <c r="R8" s="473" t="str">
        <f ca="1">L8</f>
        <v/>
      </c>
      <c r="S8" s="466" t="str">
        <f ca="1">IFERROR(VLOOKUP(R8,$G$5:$J$28,3,FALSE),"")</f>
        <v/>
      </c>
      <c r="T8" s="967"/>
      <c r="U8" s="781"/>
      <c r="W8" s="809"/>
      <c r="X8" s="473" t="str">
        <f>IF(ISBLANK(T7),"",IF(U7+T7&gt;T9+U9,R8,R10))</f>
        <v/>
      </c>
      <c r="Y8" s="466" t="str">
        <f ca="1">IFERROR(VLOOKUP(X8,$G$5:$J$28,3,FALSE),"")</f>
        <v/>
      </c>
      <c r="Z8" s="967"/>
      <c r="AF8" s="811" t="s">
        <v>785</v>
      </c>
      <c r="AG8" s="435" t="str">
        <f>IF(ISBLANK(Z7),"",IF(Z7+AA7&lt;Z9+AA9,X8,X10))</f>
        <v/>
      </c>
      <c r="AH8" s="478" t="str">
        <f t="shared" ref="AH8:AH13" ca="1" si="7">IFERROR(VLOOKUP(AG8,$G$5:$J$28,2,FALSE),"")</f>
        <v/>
      </c>
      <c r="AI8" s="812" t="str">
        <f t="shared" ref="AI8:AI13" ca="1" si="8">IFERROR(VLOOKUP(AG8,$G$5:$J$28,3,FALSE),"")</f>
        <v/>
      </c>
      <c r="AJ8" s="917" t="str">
        <f t="shared" ref="AJ8:AJ13" ca="1" si="9">IFERROR(VLOOKUP(AG8,$G$5:$J$28,4,FALSE),"")</f>
        <v/>
      </c>
      <c r="AN8" s="803">
        <f>K14</f>
        <v>3</v>
      </c>
      <c r="AO8" s="807" t="str">
        <f ca="1">L15</f>
        <v/>
      </c>
      <c r="AP8" s="808" t="str">
        <f ca="1">AO7</f>
        <v/>
      </c>
      <c r="AQ8" s="804" t="s">
        <v>793</v>
      </c>
      <c r="AR8" s="803">
        <f>Q13</f>
        <v>3</v>
      </c>
      <c r="AS8" s="807" t="str">
        <f>R14</f>
        <v/>
      </c>
      <c r="AT8" s="808" t="str">
        <f>AS9</f>
        <v/>
      </c>
      <c r="AU8" s="804" t="s">
        <v>793</v>
      </c>
      <c r="AV8" s="803">
        <f>W14</f>
        <v>3</v>
      </c>
      <c r="AW8" s="807" t="str">
        <f>X15</f>
        <v/>
      </c>
      <c r="AX8" s="807" t="str">
        <f>AW9</f>
        <v/>
      </c>
      <c r="AY8" s="804" t="s">
        <v>793</v>
      </c>
    </row>
    <row r="9" spans="1:51" ht="15.95" customHeight="1" thickBot="1" x14ac:dyDescent="0.25">
      <c r="A9" s="435">
        <v>5</v>
      </c>
      <c r="B9" s="444" t="str">
        <f t="shared" ca="1" si="1"/>
        <v/>
      </c>
      <c r="C9" s="444" t="str">
        <f t="shared" ca="1" si="2"/>
        <v/>
      </c>
      <c r="D9" s="444" t="str">
        <f t="shared" ca="1" si="3"/>
        <v/>
      </c>
      <c r="E9" s="486">
        <f t="shared" ca="1" si="4"/>
        <v>0</v>
      </c>
      <c r="F9" s="802">
        <v>15</v>
      </c>
      <c r="G9" s="488" t="str">
        <f t="shared" ca="1" si="5"/>
        <v/>
      </c>
      <c r="H9" s="898" t="str">
        <f t="shared" ca="1" si="6"/>
        <v/>
      </c>
      <c r="I9" s="898" t="str">
        <f t="shared" ca="1" si="0"/>
        <v/>
      </c>
      <c r="J9" s="898" t="str">
        <f t="shared" ca="1" si="0"/>
        <v/>
      </c>
      <c r="K9" s="450"/>
      <c r="L9" s="516"/>
      <c r="M9" s="516"/>
      <c r="N9" s="457"/>
      <c r="Q9" s="809">
        <f>Q7+1</f>
        <v>2</v>
      </c>
      <c r="R9" s="472">
        <v>4</v>
      </c>
      <c r="S9" s="465" t="str">
        <f ca="1">IFERROR(VLOOKUP(R10,$G$5:$J$28,2,FALSE),"")</f>
        <v/>
      </c>
      <c r="T9" s="966"/>
      <c r="U9" s="780"/>
      <c r="W9" s="809">
        <f>W7+1</f>
        <v>2</v>
      </c>
      <c r="X9" s="472">
        <v>2</v>
      </c>
      <c r="Y9" s="465" t="str">
        <f ca="1">IFERROR(VLOOKUP(X10,$G$5:$J$28,2,FALSE),"")</f>
        <v/>
      </c>
      <c r="Z9" s="966"/>
      <c r="AA9" s="780"/>
      <c r="AF9" s="813" t="s">
        <v>786</v>
      </c>
      <c r="AG9" s="435" t="str">
        <f>IF(ISBLANK(Z14),"",IF(Z14+AA14&lt;Z16+AA16,X17,X15))</f>
        <v/>
      </c>
      <c r="AH9" s="478" t="str">
        <f t="shared" ca="1" si="7"/>
        <v/>
      </c>
      <c r="AI9" s="812" t="str">
        <f t="shared" ca="1" si="8"/>
        <v/>
      </c>
      <c r="AJ9" s="917" t="str">
        <f t="shared" ca="1" si="9"/>
        <v/>
      </c>
      <c r="AN9" s="803">
        <f>K19</f>
        <v>4</v>
      </c>
      <c r="AO9" s="807" t="str">
        <f ca="1">L20</f>
        <v/>
      </c>
      <c r="AP9" s="808" t="str">
        <f ca="1">AO10</f>
        <v/>
      </c>
      <c r="AQ9" s="804" t="s">
        <v>793</v>
      </c>
      <c r="AR9" s="803">
        <f>Q15</f>
        <v>4</v>
      </c>
      <c r="AS9" s="807" t="str">
        <f>R16</f>
        <v/>
      </c>
      <c r="AT9" s="808" t="str">
        <f>AS8</f>
        <v/>
      </c>
      <c r="AU9" s="804" t="s">
        <v>793</v>
      </c>
      <c r="AV9" s="803">
        <f>W16</f>
        <v>4</v>
      </c>
      <c r="AW9" s="807" t="str">
        <f>X17</f>
        <v/>
      </c>
      <c r="AX9" s="807" t="str">
        <f>AW8</f>
        <v/>
      </c>
      <c r="AY9" s="804" t="s">
        <v>793</v>
      </c>
    </row>
    <row r="10" spans="1:51" ht="15.95" customHeight="1" thickBot="1" x14ac:dyDescent="0.25">
      <c r="A10" s="435">
        <v>6</v>
      </c>
      <c r="B10" s="444" t="str">
        <f t="shared" ca="1" si="1"/>
        <v/>
      </c>
      <c r="C10" s="444" t="str">
        <f t="shared" ca="1" si="2"/>
        <v/>
      </c>
      <c r="D10" s="444" t="str">
        <f t="shared" ca="1" si="3"/>
        <v/>
      </c>
      <c r="E10" s="486">
        <f t="shared" ca="1" si="4"/>
        <v>0</v>
      </c>
      <c r="F10" s="802">
        <v>16</v>
      </c>
      <c r="G10" s="488" t="str">
        <f t="shared" ca="1" si="5"/>
        <v/>
      </c>
      <c r="H10" s="898" t="str">
        <f t="shared" ca="1" si="6"/>
        <v/>
      </c>
      <c r="I10" s="898" t="str">
        <f t="shared" ca="1" si="0"/>
        <v/>
      </c>
      <c r="J10" s="898" t="str">
        <f t="shared" ca="1" si="0"/>
        <v/>
      </c>
      <c r="Q10" s="809"/>
      <c r="R10" s="473" t="str">
        <f>IF(ISBLANK(N12),"",IF(O12+N12&gt;N14+O14,L13,L15))</f>
        <v/>
      </c>
      <c r="S10" s="466" t="str">
        <f ca="1">IFERROR(VLOOKUP(R10,$G$5:$J$28,3,FALSE),"")</f>
        <v/>
      </c>
      <c r="T10" s="967"/>
      <c r="U10" s="781"/>
      <c r="W10" s="809"/>
      <c r="X10" s="473" t="str">
        <f>IF(ISBLANK(T13),"",IF(U13+T13&gt;T15+U15,R14,R16))</f>
        <v/>
      </c>
      <c r="Y10" s="466" t="str">
        <f ca="1">IFERROR(VLOOKUP(X10,$G$5:$J$28,3,FALSE),"")</f>
        <v/>
      </c>
      <c r="Z10" s="967"/>
      <c r="AF10" s="814" t="s">
        <v>1104</v>
      </c>
      <c r="AG10" s="435" t="str">
        <f>IF(ISBLANK(Z14),"",IF(Z14+AA14&gt;Z16+AA16,X17,X15))</f>
        <v/>
      </c>
      <c r="AH10" s="478" t="str">
        <f t="shared" ca="1" si="7"/>
        <v/>
      </c>
      <c r="AI10" s="812" t="str">
        <f t="shared" ca="1" si="8"/>
        <v/>
      </c>
      <c r="AJ10" s="917" t="str">
        <f t="shared" ca="1" si="9"/>
        <v/>
      </c>
      <c r="AN10" s="803">
        <f>K21</f>
        <v>5</v>
      </c>
      <c r="AO10" s="807" t="str">
        <f ca="1">L22</f>
        <v/>
      </c>
      <c r="AP10" s="808" t="str">
        <f ca="1">AO9</f>
        <v/>
      </c>
      <c r="AQ10" s="804" t="s">
        <v>793</v>
      </c>
      <c r="AR10" s="803">
        <f>Q20</f>
        <v>5</v>
      </c>
      <c r="AS10" s="807" t="str">
        <f>R21</f>
        <v/>
      </c>
      <c r="AT10" s="808" t="s">
        <v>1326</v>
      </c>
      <c r="AU10" s="804" t="s">
        <v>793</v>
      </c>
      <c r="AV10" s="803">
        <f>W21</f>
        <v>5</v>
      </c>
      <c r="AW10" s="807" t="str">
        <f>X22</f>
        <v/>
      </c>
      <c r="AX10" s="807" t="str">
        <f>AW11</f>
        <v/>
      </c>
      <c r="AY10" s="804" t="s">
        <v>793</v>
      </c>
    </row>
    <row r="11" spans="1:51" ht="15.95" customHeight="1" thickBot="1" x14ac:dyDescent="0.25">
      <c r="A11" s="435">
        <v>7</v>
      </c>
      <c r="B11" s="444" t="str">
        <f t="shared" ca="1" si="1"/>
        <v/>
      </c>
      <c r="C11" s="444" t="str">
        <f t="shared" ca="1" si="2"/>
        <v/>
      </c>
      <c r="D11" s="444" t="str">
        <f t="shared" ca="1" si="3"/>
        <v/>
      </c>
      <c r="E11" s="486">
        <f t="shared" ca="1" si="4"/>
        <v>0</v>
      </c>
      <c r="F11" s="802">
        <v>17</v>
      </c>
      <c r="G11" s="488" t="str">
        <f t="shared" ca="1" si="5"/>
        <v/>
      </c>
      <c r="H11" s="898" t="str">
        <f t="shared" ca="1" si="6"/>
        <v/>
      </c>
      <c r="I11" s="898" t="str">
        <f t="shared" ca="1" si="0"/>
        <v/>
      </c>
      <c r="J11" s="898" t="str">
        <f t="shared" ca="1" si="0"/>
        <v/>
      </c>
      <c r="K11" s="445" t="s">
        <v>779</v>
      </c>
      <c r="L11" s="779" t="s">
        <v>1083</v>
      </c>
      <c r="M11" s="456" t="s">
        <v>481</v>
      </c>
      <c r="N11" s="464" t="s">
        <v>780</v>
      </c>
      <c r="O11" s="446" t="s">
        <v>781</v>
      </c>
      <c r="P11" s="450"/>
      <c r="Q11" s="809"/>
      <c r="R11" s="442"/>
      <c r="S11" s="442"/>
      <c r="U11" s="442"/>
      <c r="V11" s="450"/>
      <c r="W11" s="450"/>
      <c r="X11" s="450"/>
      <c r="Y11" s="450"/>
      <c r="Z11" s="451"/>
      <c r="AA11" s="450"/>
      <c r="AF11" s="814" t="s">
        <v>789</v>
      </c>
      <c r="AG11" s="435" t="str">
        <f>IF(ISBLANK(Z21),"",IF(Z21+AA21&lt;Z23+AA23,X24,X22))</f>
        <v/>
      </c>
      <c r="AH11" s="478" t="str">
        <f t="shared" ca="1" si="7"/>
        <v/>
      </c>
      <c r="AI11" s="812" t="str">
        <f t="shared" ca="1" si="8"/>
        <v/>
      </c>
      <c r="AJ11" s="917" t="str">
        <f t="shared" ca="1" si="9"/>
        <v/>
      </c>
      <c r="AN11" s="803">
        <f>K26</f>
        <v>6</v>
      </c>
      <c r="AO11" s="807" t="str">
        <f ca="1">L27</f>
        <v/>
      </c>
      <c r="AP11" s="808" t="str">
        <f ca="1">AO12</f>
        <v/>
      </c>
      <c r="AQ11" s="804" t="s">
        <v>793</v>
      </c>
      <c r="AR11" s="803">
        <f>Q25</f>
        <v>6</v>
      </c>
      <c r="AS11" s="807" t="str">
        <f>R26</f>
        <v/>
      </c>
      <c r="AT11" s="808" t="str">
        <f>AS12</f>
        <v/>
      </c>
      <c r="AU11" s="804" t="s">
        <v>793</v>
      </c>
      <c r="AV11" s="803">
        <f>W23</f>
        <v>6</v>
      </c>
      <c r="AW11" s="807" t="str">
        <f>X24</f>
        <v/>
      </c>
      <c r="AX11" s="807" t="str">
        <f>AW10</f>
        <v/>
      </c>
      <c r="AY11" s="804" t="s">
        <v>793</v>
      </c>
    </row>
    <row r="12" spans="1:51" ht="15.95" customHeight="1" thickBot="1" x14ac:dyDescent="0.25">
      <c r="G12" s="488" t="str">
        <f t="shared" si="5"/>
        <v/>
      </c>
      <c r="H12" s="898" t="str">
        <f t="shared" si="6"/>
        <v/>
      </c>
      <c r="I12" s="898" t="str">
        <f t="shared" si="0"/>
        <v/>
      </c>
      <c r="J12" s="898" t="str">
        <f t="shared" si="0"/>
        <v/>
      </c>
      <c r="K12" s="809">
        <f>K7+1</f>
        <v>2</v>
      </c>
      <c r="L12" s="472">
        <v>4</v>
      </c>
      <c r="M12" s="465" t="str">
        <f ca="1">IFERROR(VLOOKUP(L13,$G$5:$J$28,2,FALSE),"")</f>
        <v/>
      </c>
      <c r="N12" s="966"/>
      <c r="O12" s="780"/>
      <c r="P12" s="450"/>
      <c r="Q12" s="445" t="s">
        <v>779</v>
      </c>
      <c r="R12" s="779" t="s">
        <v>1083</v>
      </c>
      <c r="S12" s="456" t="s">
        <v>481</v>
      </c>
      <c r="T12" s="464" t="s">
        <v>780</v>
      </c>
      <c r="U12" s="446" t="s">
        <v>781</v>
      </c>
      <c r="V12" s="450"/>
      <c r="W12" s="450"/>
      <c r="X12" s="979" t="s">
        <v>787</v>
      </c>
      <c r="Y12" s="1247"/>
      <c r="Z12" s="1247"/>
      <c r="AA12" s="450"/>
      <c r="AF12" s="814" t="s">
        <v>790</v>
      </c>
      <c r="AG12" s="435" t="str">
        <f>IF(ISBLANK(Z21),"",IF(Z21+AA21&gt;Z23+AA23,X24,X22))</f>
        <v/>
      </c>
      <c r="AH12" s="478" t="str">
        <f t="shared" ca="1" si="7"/>
        <v/>
      </c>
      <c r="AI12" s="812" t="str">
        <f t="shared" ca="1" si="8"/>
        <v/>
      </c>
      <c r="AJ12" s="917" t="str">
        <f t="shared" ca="1" si="9"/>
        <v/>
      </c>
      <c r="AN12" s="803">
        <f>K28</f>
        <v>7</v>
      </c>
      <c r="AO12" s="807" t="str">
        <f ca="1">L29</f>
        <v/>
      </c>
      <c r="AP12" s="808" t="str">
        <f ca="1">AO11</f>
        <v/>
      </c>
      <c r="AQ12" s="804" t="s">
        <v>793</v>
      </c>
      <c r="AR12" s="803">
        <f>Q27</f>
        <v>7</v>
      </c>
      <c r="AS12" s="807" t="str">
        <f>R28</f>
        <v/>
      </c>
      <c r="AT12" s="808" t="str">
        <f>AS11</f>
        <v/>
      </c>
      <c r="AU12" s="804" t="s">
        <v>793</v>
      </c>
      <c r="AV12" s="803">
        <f>W27</f>
        <v>7</v>
      </c>
      <c r="AW12" s="807" t="str">
        <f>X28</f>
        <v/>
      </c>
      <c r="AX12" s="808" t="s">
        <v>1326</v>
      </c>
      <c r="AY12" s="804" t="s">
        <v>793</v>
      </c>
    </row>
    <row r="13" spans="1:51" ht="15.95" customHeight="1" thickBot="1" x14ac:dyDescent="0.25">
      <c r="G13" s="488" t="str">
        <f t="shared" si="5"/>
        <v/>
      </c>
      <c r="H13" s="898" t="str">
        <f t="shared" si="6"/>
        <v/>
      </c>
      <c r="I13" s="898" t="str">
        <f t="shared" si="0"/>
        <v/>
      </c>
      <c r="J13" s="898" t="str">
        <f t="shared" si="0"/>
        <v/>
      </c>
      <c r="K13" s="809"/>
      <c r="L13" s="473" t="str">
        <f ca="1">VLOOKUP(L12,$A$5:$G$24,7,FALSE)</f>
        <v/>
      </c>
      <c r="M13" s="466" t="str">
        <f ca="1">IFERROR(VLOOKUP(L13,$G$5:$J$28,3,FALSE),"")</f>
        <v/>
      </c>
      <c r="N13" s="967"/>
      <c r="P13" s="445"/>
      <c r="Q13" s="809">
        <f>Q9+1</f>
        <v>3</v>
      </c>
      <c r="R13" s="472">
        <v>2</v>
      </c>
      <c r="S13" s="465" t="str">
        <f ca="1">IFERROR(VLOOKUP(R14,$G$5:$J$28,2,FALSE),"")</f>
        <v/>
      </c>
      <c r="T13" s="966"/>
      <c r="U13" s="780"/>
      <c r="V13" s="445"/>
      <c r="W13" s="445" t="s">
        <v>779</v>
      </c>
      <c r="X13" s="779" t="s">
        <v>1083</v>
      </c>
      <c r="Y13" s="456" t="s">
        <v>481</v>
      </c>
      <c r="Z13" s="464" t="s">
        <v>780</v>
      </c>
      <c r="AA13" s="446" t="s">
        <v>781</v>
      </c>
      <c r="AF13" s="814" t="s">
        <v>791</v>
      </c>
      <c r="AG13" s="896" t="str">
        <f>X28</f>
        <v/>
      </c>
      <c r="AH13" s="480" t="str">
        <f t="shared" ca="1" si="7"/>
        <v/>
      </c>
      <c r="AI13" s="481" t="str">
        <f t="shared" ca="1" si="8"/>
        <v/>
      </c>
      <c r="AJ13" s="918" t="str">
        <f t="shared" ca="1" si="9"/>
        <v/>
      </c>
      <c r="AN13" s="803"/>
      <c r="AO13" s="807"/>
      <c r="AP13" s="808"/>
      <c r="AQ13" s="804" t="s">
        <v>793</v>
      </c>
      <c r="AR13" s="803"/>
      <c r="AS13" s="807"/>
      <c r="AT13" s="807"/>
      <c r="AU13" s="804" t="s">
        <v>793</v>
      </c>
      <c r="AV13" s="803"/>
      <c r="AW13" s="807"/>
      <c r="AX13" s="807"/>
      <c r="AY13" s="804" t="s">
        <v>793</v>
      </c>
    </row>
    <row r="14" spans="1:51" ht="15.95" customHeight="1" thickBot="1" x14ac:dyDescent="0.25">
      <c r="G14" s="488" t="str">
        <f t="shared" si="5"/>
        <v/>
      </c>
      <c r="H14" s="898" t="str">
        <f t="shared" si="6"/>
        <v/>
      </c>
      <c r="I14" s="898" t="str">
        <f t="shared" si="0"/>
        <v/>
      </c>
      <c r="J14" s="898" t="str">
        <f t="shared" si="0"/>
        <v/>
      </c>
      <c r="K14" s="809">
        <f>K12+1</f>
        <v>3</v>
      </c>
      <c r="L14" s="472">
        <v>5</v>
      </c>
      <c r="M14" s="465" t="str">
        <f ca="1">IFERROR(VLOOKUP(L15,$G$5:$J$28,2,FALSE),"")</f>
        <v/>
      </c>
      <c r="N14" s="966"/>
      <c r="O14" s="780"/>
      <c r="Q14" s="809"/>
      <c r="R14" s="473" t="str">
        <f>IF(ISBLANK(N26),"",IF(O26+N26&gt;N28+O28,L27,L29))</f>
        <v/>
      </c>
      <c r="S14" s="466" t="str">
        <f ca="1">IFERROR(VLOOKUP(R14,$G$5:$J$28,3,FALSE),"")</f>
        <v/>
      </c>
      <c r="T14" s="967"/>
      <c r="U14" s="781"/>
      <c r="W14" s="809">
        <f>W9+1</f>
        <v>3</v>
      </c>
      <c r="X14" s="472">
        <v>3</v>
      </c>
      <c r="Y14" s="465" t="str">
        <f ca="1">IFERROR(VLOOKUP(X15,$G$5:$J$28,2,FALSE),"")</f>
        <v/>
      </c>
      <c r="Z14" s="966"/>
      <c r="AA14" s="780"/>
      <c r="AF14" s="814"/>
      <c r="AG14" s="814"/>
      <c r="AH14" s="814"/>
      <c r="AI14" s="814"/>
      <c r="AJ14" s="814"/>
      <c r="AN14" s="803"/>
      <c r="AO14" s="807"/>
      <c r="AP14" s="807"/>
      <c r="AQ14" s="804"/>
      <c r="AR14" s="803"/>
      <c r="AS14" s="807"/>
      <c r="AT14" s="807"/>
      <c r="AU14" s="804"/>
      <c r="AV14" s="803"/>
      <c r="AW14" s="807"/>
      <c r="AX14" s="807"/>
      <c r="AY14" s="804" t="s">
        <v>793</v>
      </c>
    </row>
    <row r="15" spans="1:51" ht="15.95" customHeight="1" thickBot="1" x14ac:dyDescent="0.25">
      <c r="G15" s="488" t="str">
        <f t="shared" si="5"/>
        <v/>
      </c>
      <c r="H15" s="898" t="str">
        <f t="shared" si="6"/>
        <v/>
      </c>
      <c r="I15" s="898" t="str">
        <f t="shared" si="0"/>
        <v/>
      </c>
      <c r="J15" s="898" t="str">
        <f t="shared" si="0"/>
        <v/>
      </c>
      <c r="K15" s="809"/>
      <c r="L15" s="473" t="str">
        <f ca="1">VLOOKUP(L14,$A$5:$G$24,7,FALSE)</f>
        <v/>
      </c>
      <c r="M15" s="466" t="str">
        <f ca="1">IFERROR(VLOOKUP(L15,$G$5:$J$28,3,FALSE),"")</f>
        <v/>
      </c>
      <c r="N15" s="967"/>
      <c r="Q15" s="809">
        <f>Q13+1</f>
        <v>4</v>
      </c>
      <c r="R15" s="472">
        <v>3</v>
      </c>
      <c r="S15" s="465" t="str">
        <f ca="1">IFERROR(VLOOKUP(R16,$G$5:$J$28,2,FALSE),"")</f>
        <v/>
      </c>
      <c r="T15" s="966"/>
      <c r="U15" s="780"/>
      <c r="W15" s="809"/>
      <c r="X15" s="473" t="str">
        <f>IF(ISBLANK(T13),"",IF(U13+T13&lt;T15+U15,R14,R16))</f>
        <v/>
      </c>
      <c r="Y15" s="466" t="str">
        <f ca="1">IFERROR(VLOOKUP(X15,$G$5:$J$28,3,FALSE),"")</f>
        <v/>
      </c>
      <c r="Z15" s="967"/>
      <c r="AF15" s="814"/>
      <c r="AG15" s="814"/>
      <c r="AH15" s="814"/>
      <c r="AI15" s="814"/>
      <c r="AJ15" s="814"/>
      <c r="AN15" s="803"/>
      <c r="AO15" s="807"/>
      <c r="AP15" s="807"/>
      <c r="AQ15" s="804"/>
      <c r="AR15" s="803"/>
      <c r="AS15" s="807"/>
      <c r="AT15" s="807"/>
      <c r="AU15" s="804"/>
      <c r="AV15" s="803"/>
      <c r="AW15" s="807"/>
      <c r="AX15" s="807"/>
      <c r="AY15" s="804" t="s">
        <v>793</v>
      </c>
    </row>
    <row r="16" spans="1:51" ht="15.95" customHeight="1" thickBot="1" x14ac:dyDescent="0.25">
      <c r="G16" s="488" t="str">
        <f t="shared" si="5"/>
        <v/>
      </c>
      <c r="H16" s="898" t="str">
        <f t="shared" si="6"/>
        <v/>
      </c>
      <c r="I16" s="898" t="str">
        <f t="shared" si="0"/>
        <v/>
      </c>
      <c r="J16" s="898" t="str">
        <f t="shared" si="0"/>
        <v/>
      </c>
      <c r="Q16" s="809"/>
      <c r="R16" s="473" t="str">
        <f>IF(ISBLANK(N19),"",IF(O19+N19&gt;N21+O21,L20,L22))</f>
        <v/>
      </c>
      <c r="S16" s="466" t="str">
        <f ca="1">IFERROR(VLOOKUP(R16,$G$5:$J$28,3,FALSE),"")</f>
        <v/>
      </c>
      <c r="T16" s="967"/>
      <c r="U16" s="781"/>
      <c r="W16" s="809">
        <f>W14+1</f>
        <v>4</v>
      </c>
      <c r="X16" s="472">
        <v>4</v>
      </c>
      <c r="Y16" s="465" t="str">
        <f ca="1">IFERROR(VLOOKUP(X17,$G$5:$J$28,2,FALSE),"")</f>
        <v/>
      </c>
      <c r="Z16" s="966"/>
      <c r="AA16" s="780"/>
      <c r="AF16" s="814"/>
      <c r="AG16" s="814"/>
      <c r="AH16" s="814"/>
      <c r="AI16" s="814"/>
      <c r="AJ16" s="814"/>
      <c r="AN16" s="803"/>
      <c r="AO16" s="807"/>
      <c r="AP16" s="807"/>
      <c r="AQ16" s="804"/>
      <c r="AR16" s="803"/>
      <c r="AS16" s="807"/>
      <c r="AT16" s="807"/>
      <c r="AU16" s="804"/>
      <c r="AV16" s="803"/>
      <c r="AW16" s="807"/>
      <c r="AX16" s="807"/>
      <c r="AY16" s="804" t="s">
        <v>793</v>
      </c>
    </row>
    <row r="17" spans="7:51" ht="15.95" customHeight="1" thickBot="1" x14ac:dyDescent="0.25">
      <c r="G17" s="488" t="str">
        <f t="shared" si="5"/>
        <v/>
      </c>
      <c r="H17" s="898" t="str">
        <f t="shared" si="6"/>
        <v/>
      </c>
      <c r="I17" s="898" t="str">
        <f t="shared" si="0"/>
        <v/>
      </c>
      <c r="J17" s="898" t="str">
        <f t="shared" si="0"/>
        <v/>
      </c>
      <c r="K17" s="450"/>
      <c r="L17" s="516"/>
      <c r="M17" s="516"/>
      <c r="N17" s="457"/>
      <c r="W17" s="809"/>
      <c r="X17" s="473" t="str">
        <f>IF(ISBLANK(T7),"",IF(U7+T7&lt;T9+U9,R8,R10))</f>
        <v/>
      </c>
      <c r="Y17" s="466" t="str">
        <f ca="1">IFERROR(VLOOKUP(X17,$G$5:$J$28,3,FALSE),"")</f>
        <v/>
      </c>
      <c r="Z17" s="967"/>
      <c r="AF17" s="814"/>
      <c r="AG17" s="814"/>
      <c r="AH17" s="814"/>
      <c r="AI17" s="814"/>
      <c r="AJ17" s="814"/>
      <c r="AN17" s="803"/>
      <c r="AO17" s="807"/>
      <c r="AP17" s="807"/>
      <c r="AQ17" s="804"/>
      <c r="AR17" s="803"/>
      <c r="AS17" s="807"/>
      <c r="AT17" s="807"/>
      <c r="AU17" s="804"/>
      <c r="AV17" s="803"/>
      <c r="AW17" s="807"/>
      <c r="AX17" s="807"/>
      <c r="AY17" s="804" t="s">
        <v>793</v>
      </c>
    </row>
    <row r="18" spans="7:51" ht="15.95" customHeight="1" thickBot="1" x14ac:dyDescent="0.25">
      <c r="G18" s="488" t="str">
        <f t="shared" si="5"/>
        <v/>
      </c>
      <c r="H18" s="898" t="str">
        <f t="shared" si="6"/>
        <v/>
      </c>
      <c r="I18" s="898" t="str">
        <f t="shared" si="0"/>
        <v/>
      </c>
      <c r="J18" s="898" t="str">
        <f t="shared" si="0"/>
        <v/>
      </c>
      <c r="K18" s="445" t="s">
        <v>779</v>
      </c>
      <c r="L18" s="779" t="s">
        <v>1083</v>
      </c>
      <c r="M18" s="456" t="s">
        <v>481</v>
      </c>
      <c r="N18" s="464" t="s">
        <v>780</v>
      </c>
      <c r="O18" s="446" t="s">
        <v>781</v>
      </c>
      <c r="P18" s="450"/>
      <c r="R18" s="1250" t="s">
        <v>1105</v>
      </c>
      <c r="S18" s="1250"/>
      <c r="T18" s="1250"/>
      <c r="V18" s="450"/>
      <c r="W18" s="450"/>
      <c r="X18" s="450"/>
      <c r="Y18" s="450"/>
      <c r="Z18" s="451"/>
      <c r="AA18" s="450"/>
      <c r="AF18" s="814"/>
      <c r="AG18" s="814"/>
      <c r="AH18" s="814"/>
      <c r="AI18" s="814"/>
      <c r="AJ18" s="814"/>
      <c r="AN18" s="803"/>
      <c r="AO18" s="807"/>
      <c r="AP18" s="807"/>
      <c r="AQ18" s="804"/>
      <c r="AR18" s="803"/>
      <c r="AS18" s="807"/>
      <c r="AT18" s="807"/>
      <c r="AU18" s="804"/>
      <c r="AV18" s="803"/>
      <c r="AW18" s="807"/>
      <c r="AX18" s="807"/>
      <c r="AY18" s="804" t="s">
        <v>793</v>
      </c>
    </row>
    <row r="19" spans="7:51" ht="15.95" customHeight="1" thickBot="1" x14ac:dyDescent="0.25">
      <c r="G19" s="488" t="str">
        <f t="shared" si="5"/>
        <v/>
      </c>
      <c r="H19" s="898" t="str">
        <f t="shared" si="6"/>
        <v/>
      </c>
      <c r="I19" s="898" t="str">
        <f t="shared" si="0"/>
        <v/>
      </c>
      <c r="J19" s="898" t="str">
        <f t="shared" si="0"/>
        <v/>
      </c>
      <c r="K19" s="809">
        <f>K14+1</f>
        <v>4</v>
      </c>
      <c r="L19" s="472">
        <v>3</v>
      </c>
      <c r="M19" s="465" t="str">
        <f ca="1">IFERROR(VLOOKUP(L20,$G$5:$J$28,2,FALSE),"")</f>
        <v/>
      </c>
      <c r="N19" s="966"/>
      <c r="O19" s="780"/>
      <c r="P19" s="450"/>
      <c r="Q19" s="445" t="s">
        <v>779</v>
      </c>
      <c r="R19" s="779" t="s">
        <v>1083</v>
      </c>
      <c r="S19" s="456" t="s">
        <v>481</v>
      </c>
      <c r="T19" s="464" t="s">
        <v>780</v>
      </c>
      <c r="U19" s="446" t="s">
        <v>781</v>
      </c>
      <c r="V19" s="450"/>
      <c r="W19" s="450"/>
      <c r="X19" s="979"/>
      <c r="Y19" s="1247"/>
      <c r="Z19" s="1247"/>
      <c r="AA19" s="450"/>
      <c r="AB19" s="435" t="s">
        <v>793</v>
      </c>
      <c r="AC19" s="435" t="s">
        <v>793</v>
      </c>
      <c r="AF19" s="814"/>
      <c r="AG19" s="814"/>
      <c r="AH19" s="814"/>
      <c r="AI19" s="814"/>
      <c r="AJ19" s="814"/>
      <c r="AN19" s="803"/>
      <c r="AO19" s="807"/>
      <c r="AP19" s="807"/>
      <c r="AQ19" s="804"/>
      <c r="AR19" s="803"/>
      <c r="AS19" s="807"/>
      <c r="AT19" s="807"/>
      <c r="AU19" s="804"/>
      <c r="AV19" s="803"/>
      <c r="AW19" s="807"/>
      <c r="AX19" s="807"/>
      <c r="AY19" s="804" t="s">
        <v>793</v>
      </c>
    </row>
    <row r="20" spans="7:51" ht="15.95" customHeight="1" thickBot="1" x14ac:dyDescent="0.25">
      <c r="G20" s="488" t="str">
        <f t="shared" si="5"/>
        <v/>
      </c>
      <c r="H20" s="898" t="str">
        <f t="shared" si="6"/>
        <v/>
      </c>
      <c r="I20" s="898" t="str">
        <f t="shared" si="0"/>
        <v/>
      </c>
      <c r="J20" s="898" t="str">
        <f t="shared" si="0"/>
        <v/>
      </c>
      <c r="K20" s="809"/>
      <c r="L20" s="473" t="str">
        <f ca="1">VLOOKUP(L19,$A$5:$G$24,7,FALSE)</f>
        <v/>
      </c>
      <c r="M20" s="466" t="str">
        <f ca="1">IFERROR(VLOOKUP(L20,$G$5:$J$28,3,FALSE),"")</f>
        <v/>
      </c>
      <c r="N20" s="967"/>
      <c r="P20" s="445"/>
      <c r="Q20" s="809">
        <f>Q15+1</f>
        <v>5</v>
      </c>
      <c r="R20" s="472">
        <v>5</v>
      </c>
      <c r="S20" s="465" t="str">
        <f ca="1">IFERROR(VLOOKUP(R21,$G$5:$J$28,2,FALSE),"")</f>
        <v/>
      </c>
      <c r="T20" s="966"/>
      <c r="U20" s="780"/>
      <c r="V20" s="445"/>
      <c r="W20" s="445" t="s">
        <v>779</v>
      </c>
      <c r="X20" s="779" t="s">
        <v>1083</v>
      </c>
      <c r="Y20" s="456" t="s">
        <v>481</v>
      </c>
      <c r="Z20" s="464" t="s">
        <v>780</v>
      </c>
      <c r="AA20" s="446" t="s">
        <v>781</v>
      </c>
      <c r="AB20" s="435" t="s">
        <v>793</v>
      </c>
      <c r="AC20" s="435" t="s">
        <v>793</v>
      </c>
      <c r="AG20" s="814"/>
      <c r="AH20" s="814"/>
      <c r="AI20" s="814"/>
      <c r="AJ20" s="814"/>
      <c r="AN20" s="803"/>
      <c r="AO20" s="807"/>
      <c r="AP20" s="807"/>
      <c r="AQ20" s="804"/>
      <c r="AR20" s="803"/>
      <c r="AS20" s="807"/>
      <c r="AT20" s="807"/>
      <c r="AU20" s="804"/>
      <c r="AV20" s="803"/>
      <c r="AW20" s="807"/>
      <c r="AX20" s="807"/>
      <c r="AY20" s="804" t="s">
        <v>793</v>
      </c>
    </row>
    <row r="21" spans="7:51" ht="15.95" customHeight="1" thickBot="1" x14ac:dyDescent="0.25">
      <c r="G21" s="488" t="str">
        <f t="shared" si="5"/>
        <v/>
      </c>
      <c r="H21" s="898" t="str">
        <f t="shared" si="6"/>
        <v/>
      </c>
      <c r="I21" s="898" t="str">
        <f t="shared" si="6"/>
        <v/>
      </c>
      <c r="J21" s="898" t="str">
        <f t="shared" si="6"/>
        <v/>
      </c>
      <c r="K21" s="809">
        <f>K19+1</f>
        <v>5</v>
      </c>
      <c r="L21" s="472">
        <v>6</v>
      </c>
      <c r="M21" s="465" t="str">
        <f ca="1">IFERROR(VLOOKUP(L22,$G$5:$J$28,2,FALSE),"")</f>
        <v/>
      </c>
      <c r="N21" s="966"/>
      <c r="O21" s="780"/>
      <c r="Q21" s="809"/>
      <c r="R21" s="473" t="str">
        <f>IF(ISBLANK(N12),"",IF(O12+N12&lt;N14+O14,L13,L15))</f>
        <v/>
      </c>
      <c r="S21" s="466" t="str">
        <f ca="1">IFERROR(VLOOKUP(R21,$G$5:$J$28,3,FALSE),"")</f>
        <v/>
      </c>
      <c r="T21" s="967"/>
      <c r="W21" s="809">
        <f>W16+1</f>
        <v>5</v>
      </c>
      <c r="X21" s="472">
        <v>5</v>
      </c>
      <c r="Y21" s="465" t="str">
        <f ca="1">IFERROR(VLOOKUP(X22,$G$5:$J$28,2,FALSE),"")</f>
        <v/>
      </c>
      <c r="Z21" s="966"/>
      <c r="AA21" s="780"/>
      <c r="AB21" s="435" t="s">
        <v>793</v>
      </c>
      <c r="AC21" s="435" t="s">
        <v>793</v>
      </c>
      <c r="AG21" s="814"/>
      <c r="AH21" s="814"/>
      <c r="AI21" s="814"/>
      <c r="AJ21" s="814"/>
      <c r="AN21" s="803"/>
      <c r="AO21" s="807"/>
      <c r="AP21" s="807"/>
      <c r="AQ21" s="804"/>
      <c r="AR21" s="803"/>
      <c r="AS21" s="807"/>
      <c r="AT21" s="807"/>
      <c r="AU21" s="804"/>
      <c r="AV21" s="803"/>
      <c r="AW21" s="807"/>
      <c r="AX21" s="807"/>
      <c r="AY21" s="804" t="s">
        <v>793</v>
      </c>
    </row>
    <row r="22" spans="7:51" ht="15.95" customHeight="1" thickBot="1" x14ac:dyDescent="0.25">
      <c r="G22" s="488" t="str">
        <f t="shared" si="5"/>
        <v/>
      </c>
      <c r="H22" s="898" t="str">
        <f t="shared" si="6"/>
        <v/>
      </c>
      <c r="I22" s="898" t="str">
        <f t="shared" si="6"/>
        <v/>
      </c>
      <c r="J22" s="898" t="str">
        <f t="shared" si="6"/>
        <v/>
      </c>
      <c r="K22" s="809"/>
      <c r="L22" s="473" t="str">
        <f ca="1">VLOOKUP(L21,$A$5:$G$24,7,FALSE)</f>
        <v/>
      </c>
      <c r="M22" s="466" t="str">
        <f ca="1">IFERROR(VLOOKUP(L22,$G$5:$J$28,3,FALSE),"")</f>
        <v/>
      </c>
      <c r="N22" s="967"/>
      <c r="S22" s="465" t="str">
        <f ca="1">IFERROR(VLOOKUP(R23,$G$5:$J$28,2,FALSE),"")</f>
        <v/>
      </c>
      <c r="W22" s="809"/>
      <c r="X22" s="473" t="str">
        <f>R21</f>
        <v/>
      </c>
      <c r="Y22" s="466" t="str">
        <f ca="1">IFERROR(VLOOKUP(X22,$G$5:$J$28,3,FALSE),"")</f>
        <v/>
      </c>
      <c r="Z22" s="967"/>
      <c r="AB22" s="435" t="s">
        <v>793</v>
      </c>
      <c r="AC22" s="435" t="s">
        <v>793</v>
      </c>
      <c r="AG22" s="814"/>
      <c r="AH22" s="814"/>
      <c r="AI22" s="814"/>
      <c r="AJ22" s="814"/>
      <c r="AN22" s="803"/>
      <c r="AO22" s="807"/>
      <c r="AP22" s="807"/>
      <c r="AQ22" s="804"/>
      <c r="AR22" s="803"/>
      <c r="AS22" s="807"/>
      <c r="AT22" s="807"/>
      <c r="AU22" s="804"/>
      <c r="AV22" s="803"/>
      <c r="AW22" s="807"/>
      <c r="AX22" s="807"/>
      <c r="AY22" s="804" t="s">
        <v>793</v>
      </c>
    </row>
    <row r="23" spans="7:51" ht="15.95" customHeight="1" thickBot="1" x14ac:dyDescent="0.25">
      <c r="G23" s="488" t="str">
        <f t="shared" si="5"/>
        <v/>
      </c>
      <c r="H23" s="898" t="str">
        <f t="shared" si="6"/>
        <v/>
      </c>
      <c r="I23" s="898" t="str">
        <f t="shared" si="6"/>
        <v/>
      </c>
      <c r="J23" s="898" t="str">
        <f t="shared" si="6"/>
        <v/>
      </c>
      <c r="S23" s="466" t="str">
        <f ca="1">IFERROR(VLOOKUP(R23,$G$5:$J$28,3,FALSE),"")</f>
        <v/>
      </c>
      <c r="W23" s="809">
        <f>W21+1</f>
        <v>6</v>
      </c>
      <c r="X23" s="472">
        <v>6</v>
      </c>
      <c r="Y23" s="465" t="str">
        <f ca="1">IFERROR(VLOOKUP(X24,$G$5:$J$28,2,FALSE),"")</f>
        <v/>
      </c>
      <c r="Z23" s="966"/>
      <c r="AA23" s="780"/>
      <c r="AB23" s="435" t="s">
        <v>793</v>
      </c>
      <c r="AC23" s="435" t="s">
        <v>793</v>
      </c>
      <c r="AG23" s="814"/>
      <c r="AH23" s="814"/>
      <c r="AI23" s="814"/>
      <c r="AJ23" s="814"/>
      <c r="AN23" s="803"/>
      <c r="AO23" s="807"/>
      <c r="AP23" s="807"/>
      <c r="AQ23" s="804"/>
      <c r="AR23" s="803"/>
      <c r="AS23" s="807"/>
      <c r="AT23" s="807"/>
      <c r="AU23" s="804"/>
      <c r="AV23" s="803"/>
      <c r="AW23" s="807"/>
      <c r="AX23" s="807"/>
      <c r="AY23" s="804" t="s">
        <v>793</v>
      </c>
    </row>
    <row r="24" spans="7:51" ht="15.95" customHeight="1" thickBot="1" x14ac:dyDescent="0.25">
      <c r="G24" s="488" t="str">
        <f t="shared" si="5"/>
        <v/>
      </c>
      <c r="H24" s="898" t="str">
        <f t="shared" si="6"/>
        <v/>
      </c>
      <c r="I24" s="898" t="str">
        <f t="shared" si="6"/>
        <v/>
      </c>
      <c r="J24" s="898" t="str">
        <f t="shared" si="6"/>
        <v/>
      </c>
      <c r="Q24" s="445" t="s">
        <v>779</v>
      </c>
      <c r="R24" s="779" t="s">
        <v>1083</v>
      </c>
      <c r="S24" s="456" t="s">
        <v>481</v>
      </c>
      <c r="T24" s="464" t="s">
        <v>780</v>
      </c>
      <c r="U24" s="446" t="s">
        <v>781</v>
      </c>
      <c r="W24" s="809"/>
      <c r="X24" s="473" t="str">
        <f>IF(ISBLANK(T25),"",IF(U25+T25&gt;T27+U27,R26,R28))</f>
        <v/>
      </c>
      <c r="Y24" s="466" t="str">
        <f ca="1">IFERROR(VLOOKUP(X24,$G$5:$J$28,3,FALSE),"")</f>
        <v/>
      </c>
      <c r="Z24" s="967"/>
      <c r="AB24" s="435" t="s">
        <v>793</v>
      </c>
      <c r="AC24" s="435" t="s">
        <v>793</v>
      </c>
      <c r="AG24" s="814"/>
      <c r="AH24" s="814"/>
      <c r="AI24" s="814"/>
      <c r="AJ24" s="814"/>
      <c r="AN24" s="803"/>
      <c r="AO24" s="807"/>
      <c r="AP24" s="807"/>
      <c r="AQ24" s="804"/>
      <c r="AR24" s="803"/>
      <c r="AS24" s="807"/>
      <c r="AT24" s="807"/>
      <c r="AU24" s="804"/>
      <c r="AV24" s="803"/>
      <c r="AW24" s="807"/>
      <c r="AX24" s="807"/>
      <c r="AY24" s="804" t="s">
        <v>793</v>
      </c>
    </row>
    <row r="25" spans="7:51" ht="15.95" customHeight="1" thickBot="1" x14ac:dyDescent="0.25">
      <c r="G25" s="488" t="str">
        <f t="shared" si="5"/>
        <v/>
      </c>
      <c r="H25" s="898" t="str">
        <f t="shared" si="6"/>
        <v/>
      </c>
      <c r="I25" s="898" t="str">
        <f t="shared" si="6"/>
        <v/>
      </c>
      <c r="J25" s="898" t="str">
        <f t="shared" si="6"/>
        <v/>
      </c>
      <c r="K25" s="445" t="s">
        <v>779</v>
      </c>
      <c r="L25" s="779" t="s">
        <v>1083</v>
      </c>
      <c r="M25" s="456" t="s">
        <v>481</v>
      </c>
      <c r="N25" s="464" t="s">
        <v>780</v>
      </c>
      <c r="O25" s="446" t="s">
        <v>781</v>
      </c>
      <c r="Q25" s="809">
        <f>Q20+1</f>
        <v>6</v>
      </c>
      <c r="R25" s="472">
        <v>6</v>
      </c>
      <c r="S25" s="465" t="str">
        <f ca="1">IFERROR(VLOOKUP(R26,$G$5:$J$28,2,FALSE),"")</f>
        <v/>
      </c>
      <c r="T25" s="966"/>
      <c r="U25" s="780"/>
      <c r="AB25" s="435" t="s">
        <v>793</v>
      </c>
      <c r="AC25" s="435" t="s">
        <v>793</v>
      </c>
      <c r="AG25" s="814"/>
      <c r="AH25" s="814"/>
      <c r="AI25" s="814"/>
      <c r="AJ25" s="814"/>
      <c r="AN25" s="803"/>
      <c r="AO25" s="807"/>
      <c r="AP25" s="807"/>
      <c r="AQ25" s="804"/>
      <c r="AR25" s="803"/>
      <c r="AS25" s="807"/>
      <c r="AT25" s="807"/>
      <c r="AU25" s="804"/>
      <c r="AV25" s="803"/>
      <c r="AW25" s="807"/>
      <c r="AX25" s="807"/>
      <c r="AY25" s="804" t="s">
        <v>793</v>
      </c>
    </row>
    <row r="26" spans="7:51" ht="15.95" customHeight="1" thickBot="1" x14ac:dyDescent="0.25">
      <c r="G26" s="488" t="str">
        <f t="shared" si="5"/>
        <v/>
      </c>
      <c r="H26" s="898" t="str">
        <f t="shared" si="6"/>
        <v/>
      </c>
      <c r="I26" s="898" t="str">
        <f t="shared" si="6"/>
        <v/>
      </c>
      <c r="J26" s="898" t="str">
        <f t="shared" si="6"/>
        <v/>
      </c>
      <c r="K26" s="809">
        <f>K21+1</f>
        <v>6</v>
      </c>
      <c r="L26" s="472">
        <v>2</v>
      </c>
      <c r="M26" s="465" t="str">
        <f ca="1">IFERROR(VLOOKUP(L27,$G$5:$J$28,2,FALSE),"")</f>
        <v/>
      </c>
      <c r="N26" s="966"/>
      <c r="O26" s="780"/>
      <c r="P26" s="450"/>
      <c r="Q26" s="809"/>
      <c r="R26" s="473" t="str">
        <f>IF(ISBLANK(N19),"",IF(O19+N19&lt;N21+O21,L20,L22))</f>
        <v/>
      </c>
      <c r="S26" s="466" t="str">
        <f ca="1">IFERROR(VLOOKUP(R26,$G$5:$J$28,3,FALSE),"")</f>
        <v/>
      </c>
      <c r="T26" s="967"/>
      <c r="V26" s="450"/>
      <c r="AB26" s="435" t="s">
        <v>793</v>
      </c>
      <c r="AC26" s="435" t="s">
        <v>793</v>
      </c>
      <c r="AG26" s="814"/>
      <c r="AH26" s="814"/>
      <c r="AI26" s="814"/>
      <c r="AJ26" s="814"/>
      <c r="AN26" s="803"/>
      <c r="AO26" s="807"/>
      <c r="AP26" s="807"/>
      <c r="AQ26" s="804"/>
      <c r="AR26" s="803"/>
      <c r="AS26" s="807"/>
      <c r="AT26" s="807"/>
      <c r="AU26" s="804"/>
      <c r="AV26" s="803"/>
      <c r="AW26" s="807"/>
      <c r="AX26" s="807"/>
      <c r="AY26" s="804" t="s">
        <v>793</v>
      </c>
    </row>
    <row r="27" spans="7:51" ht="15.95" customHeight="1" thickBot="1" x14ac:dyDescent="0.25">
      <c r="G27" s="488" t="str">
        <f t="shared" si="5"/>
        <v/>
      </c>
      <c r="H27" s="898" t="str">
        <f t="shared" si="6"/>
        <v/>
      </c>
      <c r="I27" s="898" t="str">
        <f t="shared" si="6"/>
        <v/>
      </c>
      <c r="J27" s="898" t="str">
        <f t="shared" si="6"/>
        <v/>
      </c>
      <c r="K27" s="809"/>
      <c r="L27" s="473" t="str">
        <f ca="1">VLOOKUP(L26,$A$5:$G$24,7,FALSE)</f>
        <v/>
      </c>
      <c r="M27" s="466" t="str">
        <f ca="1">IFERROR(VLOOKUP(L27,$G$5:$J$28,3,FALSE),"")</f>
        <v/>
      </c>
      <c r="N27" s="967"/>
      <c r="P27" s="445"/>
      <c r="Q27" s="809">
        <f>Q25+1</f>
        <v>7</v>
      </c>
      <c r="R27" s="472">
        <v>7</v>
      </c>
      <c r="S27" s="465" t="str">
        <f ca="1">IFERROR(VLOOKUP(R28,$G$5:$J$28,2,FALSE),"")</f>
        <v/>
      </c>
      <c r="T27" s="966"/>
      <c r="U27" s="780"/>
      <c r="V27" s="445"/>
      <c r="W27" s="809">
        <f>W23+1</f>
        <v>7</v>
      </c>
      <c r="X27" s="472">
        <v>7</v>
      </c>
      <c r="Y27" s="465" t="str">
        <f ca="1">IFERROR(VLOOKUP(X28,$G$5:$J$28,2,FALSE),"")</f>
        <v/>
      </c>
      <c r="Z27" s="886" t="str">
        <f>IF(AA27="","",AA27-T27)</f>
        <v/>
      </c>
      <c r="AB27" s="435" t="s">
        <v>793</v>
      </c>
      <c r="AC27" s="435" t="s">
        <v>793</v>
      </c>
      <c r="AF27" s="814"/>
      <c r="AG27" s="814"/>
      <c r="AH27" s="814"/>
      <c r="AI27" s="814"/>
      <c r="AJ27" s="814"/>
      <c r="AN27" s="803"/>
      <c r="AO27" s="807"/>
      <c r="AP27" s="807"/>
      <c r="AQ27" s="804"/>
      <c r="AR27" s="803"/>
      <c r="AS27" s="807"/>
      <c r="AT27" s="807"/>
      <c r="AU27" s="804"/>
      <c r="AV27" s="803"/>
      <c r="AW27" s="807"/>
      <c r="AX27" s="807"/>
      <c r="AY27" s="804" t="s">
        <v>793</v>
      </c>
    </row>
    <row r="28" spans="7:51" ht="15.95" customHeight="1" thickBot="1" x14ac:dyDescent="0.25">
      <c r="G28" s="488" t="str">
        <f t="shared" si="5"/>
        <v/>
      </c>
      <c r="H28" s="898" t="str">
        <f t="shared" si="6"/>
        <v/>
      </c>
      <c r="I28" s="898" t="str">
        <f t="shared" si="6"/>
        <v/>
      </c>
      <c r="J28" s="898" t="str">
        <f t="shared" si="6"/>
        <v/>
      </c>
      <c r="K28" s="809">
        <f>K26+1</f>
        <v>7</v>
      </c>
      <c r="L28" s="472">
        <v>7</v>
      </c>
      <c r="M28" s="465" t="str">
        <f ca="1">IFERROR(VLOOKUP(L29,$G$5:$J$28,2,FALSE),"")</f>
        <v/>
      </c>
      <c r="N28" s="966"/>
      <c r="O28" s="780"/>
      <c r="R28" s="473" t="str">
        <f>IF(ISBLANK(N26),"",IF(O26+N26&lt;N28+O28,L27,L29))</f>
        <v/>
      </c>
      <c r="S28" s="466" t="str">
        <f ca="1">IFERROR(VLOOKUP(R28,$G$5:$J$28,3,FALSE),"")</f>
        <v/>
      </c>
      <c r="T28" s="967"/>
      <c r="W28" s="450"/>
      <c r="X28" s="473" t="str">
        <f>IF(ISBLANK(T25),"",IF(U25+T25&lt;T27+U27,R26,R28))</f>
        <v/>
      </c>
      <c r="Y28" s="466" t="str">
        <f ca="1">IFERROR(VLOOKUP(X28,$G$5:$J$28,3,FALSE),"")</f>
        <v/>
      </c>
      <c r="Z28" s="887"/>
      <c r="AB28" s="435" t="s">
        <v>793</v>
      </c>
      <c r="AC28" s="435" t="s">
        <v>793</v>
      </c>
      <c r="AF28" s="814"/>
      <c r="AG28" s="814"/>
      <c r="AH28" s="814"/>
      <c r="AI28" s="814"/>
      <c r="AJ28" s="814"/>
      <c r="AN28" s="803"/>
      <c r="AO28" s="807"/>
      <c r="AP28" s="807"/>
      <c r="AQ28" s="804"/>
      <c r="AR28" s="803"/>
      <c r="AS28" s="807"/>
      <c r="AT28" s="807"/>
      <c r="AU28" s="804"/>
      <c r="AV28" s="803"/>
      <c r="AW28" s="807"/>
      <c r="AX28" s="807"/>
      <c r="AY28" s="804" t="s">
        <v>793</v>
      </c>
    </row>
    <row r="29" spans="7:51" ht="15.95" customHeight="1" thickBot="1" x14ac:dyDescent="0.25">
      <c r="I29" s="437"/>
      <c r="J29" s="437"/>
      <c r="K29" s="809"/>
      <c r="L29" s="473" t="str">
        <f ca="1">VLOOKUP(L28,$A$5:$G$24,7,FALSE)</f>
        <v/>
      </c>
      <c r="M29" s="466" t="str">
        <f ca="1">IFERROR(VLOOKUP(L29,$G$5:$J$28,3,FALSE),"")</f>
        <v/>
      </c>
      <c r="N29" s="967"/>
      <c r="AF29" s="814"/>
      <c r="AG29" s="814"/>
      <c r="AH29" s="814"/>
      <c r="AI29" s="814"/>
      <c r="AJ29" s="814"/>
      <c r="AN29" s="803"/>
      <c r="AO29" s="807"/>
      <c r="AP29" s="807"/>
      <c r="AQ29" s="804"/>
      <c r="AR29" s="803"/>
      <c r="AS29" s="807"/>
      <c r="AT29" s="807"/>
      <c r="AU29" s="804"/>
      <c r="AV29" s="803"/>
      <c r="AW29" s="807"/>
      <c r="AX29" s="807"/>
      <c r="AY29" s="804" t="s">
        <v>793</v>
      </c>
    </row>
    <row r="30" spans="7:51" ht="15.95" customHeight="1" x14ac:dyDescent="0.2">
      <c r="I30" s="437"/>
      <c r="J30" s="437"/>
      <c r="AA30" s="450"/>
      <c r="AB30" s="809"/>
      <c r="AF30" s="814"/>
      <c r="AG30" s="814"/>
      <c r="AH30" s="814"/>
      <c r="AI30" s="814"/>
      <c r="AJ30" s="814"/>
    </row>
    <row r="31" spans="7:51" ht="15.95" customHeight="1" x14ac:dyDescent="0.2">
      <c r="I31" s="437"/>
      <c r="J31" s="437"/>
      <c r="S31" s="778"/>
      <c r="T31" s="815"/>
      <c r="U31" s="778"/>
      <c r="V31" s="778"/>
      <c r="W31" s="778"/>
      <c r="X31" s="816"/>
      <c r="Y31" s="816"/>
      <c r="AB31" s="809"/>
      <c r="AF31" s="814"/>
      <c r="AG31" s="814"/>
    </row>
    <row r="32" spans="7:51" ht="15.95" customHeight="1" x14ac:dyDescent="0.2">
      <c r="I32" s="437"/>
      <c r="J32" s="437"/>
      <c r="P32" s="450"/>
      <c r="Q32" s="778"/>
      <c r="R32" s="778"/>
      <c r="S32" s="778"/>
      <c r="T32" s="815"/>
      <c r="U32" s="778"/>
      <c r="V32" s="778"/>
      <c r="W32" s="778"/>
      <c r="X32" s="816"/>
      <c r="Y32" s="816"/>
      <c r="Z32" s="815"/>
      <c r="AA32" s="450"/>
      <c r="AB32" s="450"/>
      <c r="AC32" s="816"/>
      <c r="AD32" s="816"/>
      <c r="AE32" s="816"/>
      <c r="AF32" s="814"/>
      <c r="AG32" s="814"/>
    </row>
    <row r="33" spans="9:33" ht="15.95" customHeight="1" x14ac:dyDescent="0.2">
      <c r="I33" s="437"/>
      <c r="J33" s="437"/>
      <c r="P33" s="778"/>
      <c r="Q33" s="778"/>
      <c r="R33" s="778"/>
      <c r="S33" s="778"/>
      <c r="T33" s="815"/>
      <c r="U33" s="778"/>
      <c r="V33" s="778"/>
      <c r="W33" s="778"/>
      <c r="X33" s="816"/>
      <c r="Y33" s="816"/>
      <c r="Z33" s="815"/>
      <c r="AA33" s="778"/>
      <c r="AB33" s="816"/>
      <c r="AC33" s="816"/>
      <c r="AD33" s="816"/>
      <c r="AE33" s="816"/>
      <c r="AF33" s="814"/>
      <c r="AG33" s="814"/>
    </row>
    <row r="34" spans="9:33" ht="15.95" customHeight="1" x14ac:dyDescent="0.2">
      <c r="I34" s="437"/>
      <c r="J34" s="437"/>
      <c r="K34" s="450"/>
      <c r="L34" s="516"/>
      <c r="M34" s="516"/>
      <c r="N34" s="457"/>
      <c r="P34" s="778"/>
      <c r="Q34" s="778"/>
      <c r="R34" s="778"/>
      <c r="S34" s="778"/>
      <c r="T34" s="815"/>
      <c r="U34" s="778"/>
      <c r="V34" s="778"/>
      <c r="W34" s="778"/>
      <c r="X34" s="816"/>
      <c r="Y34" s="816"/>
      <c r="Z34" s="815"/>
      <c r="AA34" s="778"/>
      <c r="AB34" s="816"/>
      <c r="AC34" s="816"/>
      <c r="AD34" s="816"/>
      <c r="AE34" s="816"/>
      <c r="AF34" s="814"/>
      <c r="AG34" s="814"/>
    </row>
    <row r="35" spans="9:33" ht="15.95" customHeight="1" x14ac:dyDescent="0.2">
      <c r="I35" s="437"/>
      <c r="J35" s="437"/>
      <c r="K35" s="450"/>
      <c r="L35" s="516"/>
      <c r="M35" s="516"/>
      <c r="N35" s="457"/>
      <c r="P35" s="778"/>
      <c r="Q35" s="450"/>
      <c r="R35" s="516"/>
      <c r="S35" s="883"/>
      <c r="T35" s="815"/>
      <c r="U35" s="778"/>
      <c r="V35" s="888"/>
      <c r="W35" s="889"/>
      <c r="X35" s="890"/>
      <c r="Y35" s="883"/>
      <c r="Z35" s="815"/>
      <c r="AA35" s="778"/>
      <c r="AB35" s="816"/>
      <c r="AC35" s="816"/>
      <c r="AD35" s="816"/>
      <c r="AE35" s="816"/>
      <c r="AF35" s="814"/>
      <c r="AG35" s="814"/>
    </row>
    <row r="36" spans="9:33" ht="15.95" customHeight="1" x14ac:dyDescent="0.2">
      <c r="I36" s="437"/>
      <c r="J36" s="437"/>
      <c r="P36" s="778"/>
      <c r="Q36" s="450"/>
      <c r="R36" s="516"/>
      <c r="S36" s="883"/>
      <c r="T36" s="815"/>
      <c r="U36" s="778"/>
      <c r="V36" s="888"/>
      <c r="W36" s="889"/>
      <c r="X36" s="890"/>
      <c r="Y36" s="883"/>
      <c r="Z36" s="815"/>
      <c r="AA36" s="778"/>
      <c r="AB36" s="816"/>
      <c r="AC36" s="816"/>
      <c r="AD36" s="816"/>
      <c r="AE36" s="816"/>
      <c r="AF36" s="814"/>
      <c r="AG36" s="814"/>
    </row>
    <row r="37" spans="9:33" ht="15.95" customHeight="1" x14ac:dyDescent="0.2">
      <c r="I37" s="437"/>
      <c r="J37" s="437"/>
      <c r="P37" s="778"/>
      <c r="Q37" s="450"/>
      <c r="R37" s="516"/>
      <c r="S37" s="883"/>
      <c r="T37" s="815"/>
      <c r="U37" s="778"/>
      <c r="V37" s="888"/>
      <c r="W37" s="889"/>
      <c r="X37" s="890"/>
      <c r="Y37" s="883"/>
      <c r="Z37" s="815"/>
      <c r="AA37" s="778"/>
      <c r="AB37" s="816"/>
      <c r="AC37" s="816"/>
      <c r="AD37" s="816"/>
      <c r="AE37" s="816"/>
      <c r="AF37" s="814"/>
      <c r="AG37" s="814"/>
    </row>
    <row r="38" spans="9:33" ht="15.95" customHeight="1" x14ac:dyDescent="0.2">
      <c r="I38" s="437"/>
      <c r="J38" s="437"/>
      <c r="P38" s="778"/>
      <c r="Q38" s="450"/>
      <c r="R38" s="516"/>
      <c r="S38" s="883"/>
      <c r="T38" s="815"/>
      <c r="U38" s="778"/>
      <c r="V38" s="888"/>
      <c r="W38" s="889"/>
      <c r="X38" s="891"/>
      <c r="Y38" s="883"/>
      <c r="Z38" s="815"/>
      <c r="AA38" s="778"/>
      <c r="AB38" s="816"/>
      <c r="AC38" s="816"/>
      <c r="AD38" s="816"/>
      <c r="AE38" s="816"/>
      <c r="AF38" s="814"/>
      <c r="AG38" s="814"/>
    </row>
    <row r="39" spans="9:33" ht="15.95" customHeight="1" x14ac:dyDescent="0.2">
      <c r="I39" s="437"/>
      <c r="J39" s="437"/>
      <c r="K39" s="450"/>
      <c r="L39" s="450"/>
      <c r="M39" s="450"/>
      <c r="P39" s="450"/>
      <c r="Q39" s="450"/>
      <c r="R39" s="516"/>
      <c r="S39" s="883"/>
      <c r="T39" s="815"/>
      <c r="U39" s="450"/>
      <c r="V39" s="888"/>
      <c r="W39" s="889"/>
      <c r="X39" s="891"/>
      <c r="Y39" s="883"/>
      <c r="Z39" s="450"/>
      <c r="AA39" s="450"/>
      <c r="AB39" s="816"/>
      <c r="AC39" s="816"/>
      <c r="AD39" s="816"/>
      <c r="AE39" s="816"/>
      <c r="AF39" s="814"/>
      <c r="AG39" s="814"/>
    </row>
    <row r="40" spans="9:33" ht="15.95" customHeight="1" x14ac:dyDescent="0.2">
      <c r="I40" s="437"/>
      <c r="J40" s="437"/>
      <c r="P40" s="450"/>
      <c r="Q40" s="450"/>
      <c r="R40" s="516"/>
      <c r="S40" s="883"/>
      <c r="T40" s="451"/>
      <c r="U40" s="450"/>
      <c r="V40" s="888"/>
      <c r="W40" s="889"/>
      <c r="X40" s="891"/>
      <c r="Y40" s="883"/>
      <c r="Z40" s="457"/>
      <c r="AA40" s="450"/>
      <c r="AB40" s="816"/>
      <c r="AC40" s="816"/>
      <c r="AD40" s="816"/>
      <c r="AE40" s="816"/>
      <c r="AF40" s="814"/>
      <c r="AG40" s="814"/>
    </row>
    <row r="41" spans="9:33" ht="15.95" customHeight="1" x14ac:dyDescent="0.2">
      <c r="I41" s="437"/>
      <c r="J41" s="437"/>
      <c r="P41" s="450"/>
      <c r="Q41" s="450"/>
      <c r="R41" s="516"/>
      <c r="S41" s="883"/>
      <c r="T41" s="451"/>
      <c r="U41" s="450"/>
      <c r="V41" s="450"/>
      <c r="W41" s="450"/>
      <c r="X41" s="516"/>
      <c r="Y41" s="516"/>
      <c r="Z41" s="457"/>
      <c r="AA41" s="450"/>
      <c r="AB41" s="816"/>
      <c r="AC41" s="816"/>
      <c r="AD41" s="816"/>
      <c r="AE41" s="816"/>
      <c r="AF41" s="814"/>
      <c r="AG41" s="814"/>
    </row>
    <row r="42" spans="9:33" ht="15.95" customHeight="1" x14ac:dyDescent="0.2">
      <c r="I42" s="437"/>
      <c r="J42" s="437"/>
      <c r="P42" s="450"/>
      <c r="Q42" s="450"/>
      <c r="R42" s="450"/>
      <c r="S42" s="450"/>
      <c r="T42" s="815"/>
      <c r="U42" s="778"/>
      <c r="V42" s="450"/>
      <c r="W42" s="450"/>
      <c r="X42" s="450"/>
      <c r="Y42" s="450"/>
      <c r="Z42" s="451"/>
      <c r="AA42" s="450"/>
      <c r="AB42" s="816"/>
      <c r="AC42" s="816"/>
      <c r="AD42" s="816"/>
      <c r="AE42" s="816"/>
      <c r="AF42" s="814"/>
      <c r="AG42" s="814"/>
    </row>
    <row r="43" spans="9:33" ht="15.95" customHeight="1" x14ac:dyDescent="0.2">
      <c r="I43" s="437"/>
      <c r="J43" s="437"/>
      <c r="K43" s="450"/>
      <c r="L43" s="450"/>
      <c r="M43" s="450"/>
      <c r="P43" s="450"/>
      <c r="Q43" s="450"/>
      <c r="R43" s="450"/>
      <c r="S43" s="450"/>
      <c r="T43" s="815"/>
      <c r="U43" s="778"/>
      <c r="V43" s="450"/>
      <c r="W43" s="450"/>
      <c r="X43" s="450"/>
      <c r="Y43" s="450"/>
      <c r="Z43" s="451"/>
      <c r="AA43" s="450"/>
      <c r="AB43" s="816"/>
      <c r="AC43" s="816"/>
      <c r="AD43" s="816"/>
      <c r="AE43" s="816"/>
      <c r="AF43" s="814"/>
      <c r="AG43" s="814"/>
    </row>
    <row r="44" spans="9:33" ht="15.95" customHeight="1" x14ac:dyDescent="0.2">
      <c r="I44" s="437"/>
      <c r="J44" s="437"/>
      <c r="K44" s="450"/>
      <c r="L44" s="450"/>
      <c r="M44" s="450"/>
      <c r="P44" s="450"/>
      <c r="Q44" s="450"/>
      <c r="R44" s="450"/>
      <c r="S44" s="450"/>
      <c r="T44" s="815"/>
      <c r="U44" s="778"/>
      <c r="V44" s="450"/>
      <c r="W44" s="450"/>
      <c r="X44" s="450"/>
      <c r="Y44" s="450"/>
      <c r="Z44" s="451"/>
      <c r="AA44" s="450"/>
      <c r="AB44" s="816"/>
      <c r="AC44" s="816"/>
      <c r="AD44" s="816"/>
      <c r="AE44" s="816"/>
      <c r="AF44" s="814"/>
      <c r="AG44" s="814"/>
    </row>
    <row r="45" spans="9:33" ht="15.95" customHeight="1" x14ac:dyDescent="0.2">
      <c r="I45" s="437"/>
      <c r="J45" s="437"/>
      <c r="K45" s="450"/>
      <c r="L45" s="450"/>
      <c r="M45" s="450"/>
      <c r="P45" s="450"/>
      <c r="Q45" s="450"/>
      <c r="R45" s="450"/>
      <c r="S45" s="450"/>
      <c r="T45" s="815"/>
      <c r="U45" s="778"/>
      <c r="V45" s="450"/>
      <c r="W45" s="450"/>
      <c r="X45" s="450"/>
      <c r="Y45" s="450"/>
      <c r="Z45" s="451"/>
      <c r="AA45" s="450"/>
      <c r="AB45" s="816"/>
      <c r="AC45" s="816"/>
      <c r="AD45" s="816"/>
      <c r="AE45" s="816"/>
      <c r="AF45" s="814"/>
      <c r="AG45" s="814"/>
    </row>
    <row r="46" spans="9:33" ht="15.95" customHeight="1" x14ac:dyDescent="0.2">
      <c r="I46" s="437"/>
      <c r="J46" s="437"/>
      <c r="K46" s="450"/>
      <c r="L46" s="450"/>
      <c r="M46" s="450"/>
      <c r="P46" s="450"/>
      <c r="Q46" s="450"/>
      <c r="R46" s="450"/>
      <c r="S46" s="450"/>
      <c r="T46" s="815"/>
      <c r="U46" s="778"/>
      <c r="V46" s="450"/>
      <c r="W46" s="450"/>
      <c r="X46" s="450"/>
      <c r="Y46" s="450"/>
      <c r="Z46" s="451"/>
      <c r="AA46" s="450"/>
      <c r="AB46" s="816"/>
      <c r="AC46" s="816"/>
      <c r="AD46" s="816"/>
      <c r="AE46" s="816"/>
      <c r="AF46" s="814"/>
      <c r="AG46" s="814"/>
    </row>
    <row r="47" spans="9:33" ht="15.95" customHeight="1" x14ac:dyDescent="0.2">
      <c r="I47" s="437"/>
      <c r="J47" s="437"/>
      <c r="K47" s="450"/>
      <c r="L47" s="450"/>
      <c r="M47" s="450"/>
      <c r="P47" s="450"/>
      <c r="Q47" s="450"/>
      <c r="R47" s="450"/>
      <c r="S47" s="450"/>
      <c r="V47" s="450"/>
      <c r="W47" s="450"/>
      <c r="X47" s="450"/>
      <c r="Y47" s="450"/>
      <c r="Z47" s="451"/>
      <c r="AA47" s="450"/>
      <c r="AF47" s="814"/>
      <c r="AG47" s="814"/>
    </row>
    <row r="48" spans="9:33" ht="15.95" customHeight="1" x14ac:dyDescent="0.2">
      <c r="I48" s="437"/>
      <c r="J48" s="437"/>
      <c r="K48" s="523"/>
      <c r="L48" s="523"/>
      <c r="M48" s="523"/>
      <c r="N48" s="523"/>
      <c r="Q48" s="809"/>
      <c r="R48" s="450"/>
      <c r="S48" s="450"/>
      <c r="T48" s="451"/>
      <c r="U48" s="450"/>
      <c r="V48" s="450"/>
      <c r="W48" s="809"/>
      <c r="X48" s="450"/>
      <c r="Y48" s="450"/>
      <c r="Z48" s="451"/>
      <c r="AA48" s="521"/>
      <c r="AF48" s="814"/>
      <c r="AG48" s="814"/>
    </row>
    <row r="49" spans="9:33" ht="15.95" customHeight="1" x14ac:dyDescent="0.2">
      <c r="I49" s="437"/>
      <c r="J49" s="437"/>
      <c r="K49" s="523"/>
      <c r="L49" s="523"/>
      <c r="M49" s="523"/>
      <c r="N49" s="523"/>
      <c r="Q49" s="809"/>
      <c r="R49" s="450"/>
      <c r="S49" s="450"/>
      <c r="T49" s="451"/>
      <c r="U49" s="450"/>
      <c r="V49" s="450"/>
      <c r="W49" s="809"/>
      <c r="X49" s="450"/>
      <c r="Y49" s="450"/>
      <c r="Z49" s="451"/>
      <c r="AA49" s="521"/>
      <c r="AF49" s="814"/>
      <c r="AG49" s="814"/>
    </row>
    <row r="50" spans="9:33" ht="15.95" customHeight="1" x14ac:dyDescent="0.2">
      <c r="I50" s="437"/>
      <c r="J50" s="437"/>
      <c r="K50" s="523"/>
      <c r="L50" s="523"/>
      <c r="M50" s="523"/>
      <c r="N50" s="523"/>
      <c r="Q50" s="809"/>
      <c r="R50" s="450"/>
      <c r="S50" s="450"/>
      <c r="T50" s="451"/>
      <c r="U50" s="450"/>
      <c r="V50" s="450"/>
      <c r="W50" s="809"/>
      <c r="X50" s="450"/>
      <c r="Y50" s="450"/>
      <c r="Z50" s="451"/>
      <c r="AA50" s="521"/>
    </row>
    <row r="51" spans="9:33" ht="15.95" customHeight="1" x14ac:dyDescent="0.2">
      <c r="I51" s="437"/>
      <c r="J51" s="437"/>
      <c r="K51" s="523"/>
      <c r="L51" s="523"/>
      <c r="M51" s="523"/>
      <c r="N51" s="523"/>
      <c r="Q51" s="809"/>
      <c r="R51" s="450"/>
      <c r="S51" s="450"/>
      <c r="T51" s="451"/>
      <c r="U51" s="450"/>
      <c r="V51" s="450"/>
      <c r="W51" s="809"/>
      <c r="X51" s="450"/>
      <c r="Y51" s="450"/>
      <c r="Z51" s="451"/>
      <c r="AA51" s="450"/>
    </row>
    <row r="52" spans="9:33" ht="15.95" customHeight="1" x14ac:dyDescent="0.2">
      <c r="I52" s="437"/>
      <c r="J52" s="437"/>
      <c r="K52" s="523"/>
      <c r="L52" s="523"/>
      <c r="M52" s="523"/>
      <c r="N52" s="523"/>
      <c r="Q52" s="809"/>
      <c r="R52" s="450"/>
      <c r="S52" s="450"/>
      <c r="T52" s="451"/>
      <c r="U52" s="450"/>
      <c r="V52" s="450"/>
      <c r="W52" s="809"/>
      <c r="X52" s="450"/>
      <c r="Y52" s="450"/>
      <c r="Z52" s="451"/>
      <c r="AA52" s="450"/>
    </row>
    <row r="53" spans="9:33" ht="15.95" customHeight="1" x14ac:dyDescent="0.2">
      <c r="I53" s="437"/>
      <c r="J53" s="437"/>
      <c r="K53" s="523"/>
      <c r="L53" s="523"/>
      <c r="M53" s="523"/>
      <c r="N53" s="523"/>
      <c r="Q53" s="809"/>
      <c r="R53" s="450"/>
      <c r="S53" s="450"/>
      <c r="T53" s="451"/>
      <c r="U53" s="450"/>
      <c r="V53" s="450"/>
      <c r="W53" s="809"/>
      <c r="X53" s="450"/>
      <c r="Y53" s="450"/>
      <c r="Z53" s="451"/>
      <c r="AA53" s="450"/>
    </row>
    <row r="54" spans="9:33" ht="15.95" customHeight="1" x14ac:dyDescent="0.2">
      <c r="I54" s="437"/>
      <c r="J54" s="437"/>
      <c r="K54" s="523"/>
      <c r="L54" s="523"/>
      <c r="M54" s="523"/>
      <c r="N54" s="523"/>
      <c r="P54" s="450"/>
      <c r="Q54" s="450"/>
      <c r="R54" s="437"/>
      <c r="S54" s="437"/>
      <c r="T54" s="451"/>
      <c r="U54" s="450"/>
      <c r="V54" s="450"/>
      <c r="W54" s="450"/>
      <c r="X54" s="516"/>
      <c r="Y54" s="457"/>
      <c r="Z54" s="457"/>
      <c r="AA54" s="450"/>
    </row>
    <row r="55" spans="9:33" ht="15.95" customHeight="1" x14ac:dyDescent="0.2">
      <c r="I55" s="437"/>
      <c r="J55" s="437"/>
      <c r="K55" s="523"/>
      <c r="L55" s="523"/>
      <c r="M55" s="523"/>
      <c r="N55" s="523"/>
      <c r="Q55" s="450"/>
      <c r="R55" s="437"/>
      <c r="S55" s="437"/>
      <c r="T55" s="451"/>
      <c r="U55" s="450"/>
      <c r="V55" s="450"/>
      <c r="W55" s="450"/>
      <c r="X55" s="516"/>
      <c r="Y55" s="457"/>
      <c r="Z55" s="457"/>
      <c r="AA55" s="450"/>
    </row>
    <row r="56" spans="9:33" ht="15.95" customHeight="1" x14ac:dyDescent="0.2">
      <c r="I56" s="437"/>
      <c r="J56" s="437"/>
      <c r="K56" s="523"/>
      <c r="L56" s="523"/>
      <c r="M56" s="523"/>
      <c r="N56" s="523"/>
      <c r="Q56" s="450"/>
      <c r="R56" s="437"/>
      <c r="S56" s="437"/>
      <c r="T56" s="451"/>
      <c r="U56" s="450"/>
      <c r="V56" s="450"/>
      <c r="W56" s="450"/>
      <c r="X56" s="516"/>
      <c r="Y56" s="457"/>
      <c r="Z56" s="457"/>
      <c r="AA56" s="450"/>
    </row>
    <row r="57" spans="9:33" ht="15.95" customHeight="1" x14ac:dyDescent="0.2">
      <c r="I57" s="437"/>
      <c r="J57" s="437"/>
      <c r="K57" s="523"/>
      <c r="L57" s="523"/>
      <c r="M57" s="523"/>
      <c r="N57" s="523"/>
      <c r="Q57" s="450"/>
      <c r="R57" s="437"/>
      <c r="S57" s="437"/>
      <c r="T57" s="451"/>
      <c r="U57" s="450"/>
      <c r="V57" s="450"/>
      <c r="W57" s="450"/>
      <c r="X57" s="516"/>
      <c r="Y57" s="457"/>
      <c r="Z57" s="457"/>
      <c r="AA57" s="450"/>
    </row>
    <row r="58" spans="9:33" ht="15.95" customHeight="1" x14ac:dyDescent="0.2">
      <c r="I58" s="437"/>
      <c r="J58" s="437"/>
      <c r="K58" s="523"/>
      <c r="L58" s="523"/>
      <c r="M58" s="523"/>
      <c r="N58" s="523"/>
      <c r="Q58" s="450"/>
      <c r="R58" s="437"/>
      <c r="S58" s="437"/>
      <c r="T58" s="451"/>
      <c r="U58" s="450"/>
      <c r="V58" s="450"/>
      <c r="W58" s="450"/>
      <c r="X58" s="516"/>
      <c r="Y58" s="457"/>
      <c r="Z58" s="457"/>
      <c r="AA58" s="450"/>
    </row>
    <row r="59" spans="9:33" ht="15.95" customHeight="1" x14ac:dyDescent="0.2">
      <c r="I59" s="437"/>
      <c r="J59" s="437"/>
      <c r="K59" s="523"/>
      <c r="L59" s="523"/>
      <c r="M59" s="523"/>
      <c r="N59" s="523"/>
      <c r="Q59" s="450"/>
      <c r="R59" s="437"/>
      <c r="S59" s="437"/>
      <c r="T59" s="451"/>
      <c r="U59" s="450"/>
      <c r="V59" s="450"/>
      <c r="W59" s="450"/>
      <c r="X59" s="516"/>
      <c r="Y59" s="457"/>
      <c r="Z59" s="457"/>
      <c r="AA59" s="450"/>
    </row>
    <row r="60" spans="9:33" ht="15.95" customHeight="1" x14ac:dyDescent="0.2">
      <c r="I60" s="437"/>
      <c r="J60" s="437"/>
      <c r="K60" s="523"/>
      <c r="L60" s="523"/>
      <c r="M60" s="523"/>
      <c r="N60" s="523"/>
      <c r="Q60" s="809"/>
      <c r="X60" s="441"/>
      <c r="Y60" s="441"/>
      <c r="Z60" s="441"/>
    </row>
    <row r="61" spans="9:33" ht="15.95" customHeight="1" x14ac:dyDescent="0.2">
      <c r="I61" s="437"/>
      <c r="J61" s="437"/>
      <c r="K61" s="437"/>
      <c r="L61" s="437"/>
      <c r="M61" s="437"/>
      <c r="N61" s="437"/>
      <c r="T61" s="441"/>
      <c r="X61" s="441"/>
      <c r="Y61" s="441"/>
      <c r="Z61" s="441"/>
    </row>
    <row r="62" spans="9:33" ht="15.95" customHeight="1" x14ac:dyDescent="0.2">
      <c r="I62" s="437"/>
      <c r="J62" s="437"/>
      <c r="K62" s="437"/>
      <c r="L62" s="437"/>
      <c r="M62" s="437"/>
      <c r="N62" s="437"/>
      <c r="O62" s="521"/>
      <c r="T62" s="441"/>
      <c r="X62" s="441"/>
      <c r="Y62" s="441"/>
      <c r="Z62" s="441"/>
    </row>
    <row r="63" spans="9:33" ht="15.95" customHeight="1" x14ac:dyDescent="0.2">
      <c r="I63" s="437"/>
      <c r="J63" s="437"/>
      <c r="K63" s="437"/>
      <c r="L63" s="437"/>
      <c r="M63" s="437"/>
      <c r="N63" s="437"/>
      <c r="O63" s="521"/>
      <c r="T63" s="441"/>
      <c r="X63" s="441"/>
      <c r="Y63" s="441"/>
      <c r="Z63" s="441"/>
    </row>
    <row r="64" spans="9:33" ht="15.95" customHeight="1" x14ac:dyDescent="0.2">
      <c r="I64" s="437"/>
      <c r="J64" s="437"/>
      <c r="K64" s="437"/>
      <c r="L64" s="437"/>
      <c r="M64" s="437"/>
      <c r="N64" s="437"/>
      <c r="O64" s="521"/>
      <c r="Z64" s="441"/>
    </row>
    <row r="65" spans="9:36" ht="15.95" customHeight="1" x14ac:dyDescent="0.2">
      <c r="I65" s="437"/>
      <c r="J65" s="437"/>
      <c r="K65" s="437"/>
      <c r="L65" s="437"/>
      <c r="M65" s="437"/>
      <c r="N65" s="437"/>
      <c r="O65" s="437"/>
      <c r="P65" s="437"/>
      <c r="Z65" s="437"/>
      <c r="AA65" s="437"/>
      <c r="AH65" s="441"/>
      <c r="AI65" s="441"/>
      <c r="AJ65" s="809"/>
    </row>
    <row r="66" spans="9:36" ht="15.95" customHeight="1" x14ac:dyDescent="0.2">
      <c r="I66" s="437"/>
      <c r="J66" s="437"/>
      <c r="K66" s="437"/>
      <c r="L66" s="437"/>
      <c r="M66" s="437"/>
      <c r="N66" s="437"/>
      <c r="O66" s="437"/>
      <c r="P66" s="437"/>
      <c r="Z66" s="437"/>
      <c r="AA66" s="437"/>
      <c r="AH66" s="441"/>
      <c r="AI66" s="441"/>
      <c r="AJ66" s="809"/>
    </row>
    <row r="67" spans="9:36" ht="15.95" customHeight="1" x14ac:dyDescent="0.2">
      <c r="I67" s="437"/>
      <c r="J67" s="437"/>
      <c r="K67" s="437"/>
      <c r="L67" s="437"/>
      <c r="M67" s="437"/>
      <c r="N67" s="437"/>
      <c r="O67" s="437"/>
      <c r="P67" s="437"/>
      <c r="Z67" s="437"/>
      <c r="AA67" s="437"/>
      <c r="AH67" s="441"/>
      <c r="AI67" s="441"/>
      <c r="AJ67" s="441"/>
    </row>
    <row r="68" spans="9:36" ht="15.95" customHeight="1" x14ac:dyDescent="0.2">
      <c r="I68" s="437"/>
      <c r="J68" s="437"/>
      <c r="K68" s="450"/>
      <c r="L68" s="450"/>
      <c r="M68" s="450"/>
      <c r="N68" s="521"/>
      <c r="O68" s="521"/>
      <c r="P68" s="450"/>
      <c r="Z68" s="457"/>
      <c r="AA68" s="450"/>
      <c r="AH68" s="441"/>
      <c r="AI68" s="441"/>
      <c r="AJ68" s="441"/>
    </row>
    <row r="69" spans="9:36" ht="15.95" customHeight="1" x14ac:dyDescent="0.2">
      <c r="I69" s="437"/>
      <c r="J69" s="437"/>
      <c r="K69" s="450"/>
      <c r="L69" s="450"/>
      <c r="M69" s="450"/>
      <c r="N69" s="521"/>
      <c r="O69" s="521"/>
      <c r="P69" s="450"/>
      <c r="Z69" s="457"/>
      <c r="AA69" s="450"/>
      <c r="AH69" s="441"/>
      <c r="AI69" s="441"/>
      <c r="AJ69" s="450"/>
    </row>
    <row r="70" spans="9:36" ht="15.95" customHeight="1" x14ac:dyDescent="0.2">
      <c r="I70" s="437"/>
      <c r="J70" s="437"/>
      <c r="K70" s="450"/>
      <c r="L70" s="450"/>
      <c r="M70" s="450"/>
      <c r="N70" s="521"/>
      <c r="O70" s="521"/>
      <c r="P70" s="450"/>
      <c r="Z70" s="457"/>
      <c r="AA70" s="450"/>
      <c r="AH70" s="441"/>
      <c r="AI70" s="441"/>
      <c r="AJ70" s="450"/>
    </row>
    <row r="71" spans="9:36" ht="15.95" customHeight="1" x14ac:dyDescent="0.2">
      <c r="I71" s="437"/>
      <c r="J71" s="437"/>
      <c r="K71" s="450"/>
      <c r="L71" s="450"/>
      <c r="M71" s="450"/>
      <c r="N71" s="521"/>
      <c r="O71" s="521"/>
      <c r="P71" s="450"/>
      <c r="Z71" s="457"/>
      <c r="AA71" s="450"/>
      <c r="AH71" s="441"/>
      <c r="AI71" s="441"/>
      <c r="AJ71" s="445"/>
    </row>
    <row r="72" spans="9:36" ht="15.95" customHeight="1" x14ac:dyDescent="0.2">
      <c r="I72" s="437"/>
      <c r="J72" s="437"/>
      <c r="K72" s="450"/>
      <c r="L72" s="450"/>
      <c r="M72" s="450"/>
      <c r="N72" s="521"/>
      <c r="O72" s="521"/>
      <c r="P72" s="450"/>
      <c r="Q72" s="450"/>
      <c r="R72" s="437"/>
      <c r="S72" s="437"/>
      <c r="T72" s="451"/>
      <c r="U72" s="450"/>
      <c r="W72" s="450"/>
      <c r="X72" s="516"/>
      <c r="Y72" s="457"/>
      <c r="Z72" s="457"/>
      <c r="AA72" s="450"/>
      <c r="AH72" s="441"/>
      <c r="AI72" s="441"/>
      <c r="AJ72" s="809"/>
    </row>
    <row r="73" spans="9:36" ht="15.95" customHeight="1" x14ac:dyDescent="0.2">
      <c r="I73" s="437"/>
      <c r="J73" s="437"/>
      <c r="K73" s="450"/>
      <c r="L73" s="450"/>
      <c r="M73" s="450"/>
      <c r="N73" s="521"/>
      <c r="O73" s="521"/>
      <c r="P73" s="450"/>
      <c r="Q73" s="450"/>
      <c r="R73" s="437"/>
      <c r="S73" s="437"/>
      <c r="T73" s="451"/>
      <c r="U73" s="450"/>
      <c r="W73" s="450"/>
      <c r="X73" s="516"/>
      <c r="Y73" s="457"/>
      <c r="Z73" s="457"/>
      <c r="AA73" s="450"/>
      <c r="AH73" s="441"/>
      <c r="AI73" s="441"/>
      <c r="AJ73" s="809"/>
    </row>
    <row r="74" spans="9:36" ht="15.95" customHeight="1" x14ac:dyDescent="0.2">
      <c r="I74" s="437"/>
      <c r="J74" s="437"/>
      <c r="K74" s="450"/>
      <c r="L74" s="450"/>
      <c r="M74" s="450"/>
      <c r="N74" s="521"/>
      <c r="O74" s="521"/>
      <c r="P74" s="450"/>
      <c r="Q74" s="450"/>
      <c r="R74" s="437"/>
      <c r="S74" s="437"/>
      <c r="T74" s="451"/>
      <c r="U74" s="450"/>
      <c r="W74" s="450"/>
      <c r="X74" s="516"/>
      <c r="Y74" s="457"/>
      <c r="Z74" s="457"/>
      <c r="AA74" s="450"/>
      <c r="AH74" s="441"/>
      <c r="AI74" s="441"/>
      <c r="AJ74" s="450"/>
    </row>
    <row r="75" spans="9:36" ht="15.95" customHeight="1" x14ac:dyDescent="0.2">
      <c r="I75" s="437"/>
      <c r="J75" s="437"/>
      <c r="K75" s="450"/>
      <c r="L75" s="450"/>
      <c r="M75" s="450"/>
      <c r="N75" s="521"/>
      <c r="O75" s="521"/>
      <c r="P75" s="450"/>
      <c r="Q75" s="450"/>
      <c r="R75" s="437"/>
      <c r="S75" s="437"/>
      <c r="T75" s="451"/>
      <c r="U75" s="450"/>
      <c r="W75" s="450"/>
      <c r="X75" s="516"/>
      <c r="Y75" s="457"/>
      <c r="Z75" s="457"/>
      <c r="AA75" s="450"/>
      <c r="AH75" s="441"/>
      <c r="AI75" s="441"/>
      <c r="AJ75" s="450"/>
    </row>
    <row r="76" spans="9:36" ht="15.95" customHeight="1" x14ac:dyDescent="0.2">
      <c r="I76" s="437"/>
      <c r="J76" s="437"/>
      <c r="K76" s="450"/>
      <c r="L76" s="450"/>
      <c r="M76" s="450"/>
      <c r="N76" s="521"/>
      <c r="O76" s="521"/>
      <c r="P76" s="450"/>
      <c r="Q76" s="450"/>
      <c r="R76" s="437"/>
      <c r="S76" s="437"/>
      <c r="T76" s="451"/>
      <c r="U76" s="450"/>
      <c r="W76" s="450"/>
      <c r="X76" s="516"/>
      <c r="Y76" s="457"/>
      <c r="Z76" s="457"/>
      <c r="AA76" s="450"/>
      <c r="AH76" s="441"/>
      <c r="AI76" s="441"/>
      <c r="AJ76" s="450"/>
    </row>
    <row r="77" spans="9:36" ht="15.95" customHeight="1" x14ac:dyDescent="0.2">
      <c r="I77" s="437"/>
      <c r="J77" s="437"/>
      <c r="K77" s="809"/>
      <c r="L77" s="450"/>
      <c r="M77" s="450"/>
      <c r="N77" s="521"/>
      <c r="O77" s="521"/>
      <c r="P77" s="450"/>
      <c r="Q77" s="450"/>
      <c r="R77" s="450"/>
      <c r="S77" s="450"/>
      <c r="T77" s="451"/>
      <c r="U77" s="450"/>
      <c r="W77" s="450"/>
      <c r="X77" s="450"/>
      <c r="Y77" s="450"/>
      <c r="Z77" s="451"/>
      <c r="AA77" s="450"/>
      <c r="AH77" s="441"/>
      <c r="AI77" s="441"/>
      <c r="AJ77" s="450"/>
    </row>
    <row r="78" spans="9:36" ht="15.95" customHeight="1" x14ac:dyDescent="0.2">
      <c r="I78" s="437"/>
      <c r="J78" s="437"/>
      <c r="K78" s="809"/>
      <c r="L78" s="450"/>
      <c r="M78" s="450"/>
      <c r="N78" s="521"/>
      <c r="O78" s="521"/>
      <c r="P78" s="450"/>
      <c r="Q78" s="450"/>
      <c r="R78" s="450"/>
      <c r="S78" s="450"/>
      <c r="T78" s="451"/>
      <c r="U78" s="450"/>
      <c r="W78" s="450"/>
      <c r="X78" s="450"/>
      <c r="Y78" s="450"/>
      <c r="Z78" s="451"/>
      <c r="AA78" s="450"/>
      <c r="AH78" s="441"/>
      <c r="AI78" s="441"/>
      <c r="AJ78" s="445"/>
    </row>
    <row r="79" spans="9:36" ht="15.95" customHeight="1" x14ac:dyDescent="0.2">
      <c r="I79" s="437"/>
      <c r="J79" s="437"/>
      <c r="K79" s="809"/>
      <c r="L79" s="450"/>
      <c r="M79" s="450"/>
      <c r="N79" s="521"/>
      <c r="O79" s="521"/>
      <c r="P79" s="450"/>
      <c r="Q79" s="450"/>
      <c r="R79" s="450"/>
      <c r="S79" s="450"/>
      <c r="T79" s="451"/>
      <c r="U79" s="450"/>
      <c r="W79" s="450"/>
      <c r="X79" s="450"/>
      <c r="Y79" s="450"/>
      <c r="Z79" s="451"/>
      <c r="AA79" s="450"/>
      <c r="AH79" s="441"/>
      <c r="AI79" s="441"/>
      <c r="AJ79" s="809"/>
    </row>
    <row r="80" spans="9:36" ht="15.95" customHeight="1" x14ac:dyDescent="0.2">
      <c r="I80" s="437"/>
      <c r="J80" s="437"/>
      <c r="K80" s="809"/>
      <c r="L80" s="450"/>
      <c r="M80" s="450"/>
      <c r="N80" s="521"/>
      <c r="O80" s="521"/>
      <c r="P80" s="450"/>
      <c r="Q80" s="450"/>
      <c r="R80" s="450"/>
      <c r="S80" s="450"/>
      <c r="T80" s="451"/>
      <c r="U80" s="450"/>
      <c r="W80" s="450"/>
      <c r="X80" s="450"/>
      <c r="Y80" s="450"/>
      <c r="Z80" s="451"/>
      <c r="AA80" s="450"/>
      <c r="AH80" s="441"/>
      <c r="AI80" s="441"/>
      <c r="AJ80" s="809"/>
    </row>
    <row r="81" spans="9:36" ht="15.95" customHeight="1" x14ac:dyDescent="0.2">
      <c r="I81" s="437"/>
      <c r="J81" s="437"/>
      <c r="K81" s="809"/>
      <c r="L81" s="450"/>
      <c r="M81" s="450"/>
      <c r="N81" s="521"/>
      <c r="O81" s="521"/>
      <c r="P81" s="450"/>
      <c r="Q81" s="450"/>
      <c r="R81" s="450"/>
      <c r="S81" s="450"/>
      <c r="T81" s="451"/>
      <c r="U81" s="450"/>
      <c r="W81" s="450"/>
      <c r="X81" s="450"/>
      <c r="Y81" s="450"/>
      <c r="Z81" s="451"/>
      <c r="AA81" s="450"/>
      <c r="AH81" s="441"/>
      <c r="AI81" s="441"/>
      <c r="AJ81" s="809"/>
    </row>
    <row r="82" spans="9:36" ht="15.95" customHeight="1" x14ac:dyDescent="0.2">
      <c r="I82" s="437"/>
      <c r="J82" s="437"/>
      <c r="K82" s="450"/>
      <c r="L82" s="450"/>
      <c r="M82" s="450"/>
      <c r="N82" s="521"/>
      <c r="O82" s="521"/>
      <c r="P82" s="450"/>
      <c r="Q82" s="450"/>
      <c r="R82" s="450"/>
      <c r="S82" s="450"/>
      <c r="T82" s="451"/>
      <c r="U82" s="450"/>
      <c r="W82" s="450"/>
      <c r="X82" s="450"/>
      <c r="Y82" s="450"/>
      <c r="Z82" s="451"/>
      <c r="AA82" s="450"/>
      <c r="AH82" s="441"/>
      <c r="AI82" s="441"/>
      <c r="AJ82" s="450"/>
    </row>
    <row r="83" spans="9:36" ht="15.95" customHeight="1" x14ac:dyDescent="0.2">
      <c r="I83" s="437"/>
      <c r="J83" s="437"/>
      <c r="K83" s="445"/>
      <c r="L83" s="450"/>
      <c r="M83" s="450"/>
      <c r="N83" s="521"/>
      <c r="O83" s="521"/>
      <c r="P83" s="450"/>
      <c r="Q83" s="450"/>
      <c r="R83" s="450"/>
      <c r="S83" s="450"/>
      <c r="T83" s="451"/>
      <c r="U83" s="450"/>
      <c r="W83" s="450"/>
      <c r="X83" s="450"/>
      <c r="Y83" s="450"/>
      <c r="Z83" s="451"/>
      <c r="AA83" s="450"/>
      <c r="AH83" s="441"/>
      <c r="AI83" s="441"/>
      <c r="AJ83" s="445"/>
    </row>
    <row r="84" spans="9:36" ht="15.95" customHeight="1" x14ac:dyDescent="0.2">
      <c r="I84" s="437"/>
      <c r="J84" s="437"/>
      <c r="K84" s="809"/>
      <c r="L84" s="450"/>
      <c r="M84" s="450"/>
      <c r="N84" s="521"/>
      <c r="O84" s="521"/>
      <c r="P84" s="450"/>
      <c r="Q84" s="450"/>
      <c r="R84" s="450"/>
      <c r="S84" s="450"/>
      <c r="T84" s="451"/>
      <c r="U84" s="450"/>
      <c r="W84" s="450"/>
      <c r="X84" s="450"/>
      <c r="Y84" s="450"/>
      <c r="Z84" s="451"/>
      <c r="AA84" s="450"/>
      <c r="AH84" s="441"/>
      <c r="AI84" s="441"/>
      <c r="AJ84" s="809"/>
    </row>
    <row r="85" spans="9:36" ht="15.95" customHeight="1" x14ac:dyDescent="0.2">
      <c r="I85" s="437"/>
      <c r="J85" s="437"/>
      <c r="K85" s="809"/>
      <c r="L85" s="450"/>
      <c r="M85" s="450"/>
      <c r="N85" s="521"/>
      <c r="O85" s="521"/>
      <c r="P85" s="450"/>
      <c r="Q85" s="450"/>
      <c r="R85" s="450"/>
      <c r="S85" s="450"/>
      <c r="T85" s="451"/>
      <c r="U85" s="450"/>
      <c r="W85" s="450"/>
      <c r="X85" s="450"/>
      <c r="Y85" s="450"/>
      <c r="Z85" s="451"/>
      <c r="AA85" s="450"/>
      <c r="AH85" s="441"/>
      <c r="AI85" s="441"/>
      <c r="AJ85" s="809"/>
    </row>
    <row r="86" spans="9:36" ht="15.95" customHeight="1" x14ac:dyDescent="0.2">
      <c r="K86" s="809"/>
      <c r="L86" s="450"/>
      <c r="M86" s="450"/>
      <c r="N86" s="521"/>
      <c r="O86" s="521"/>
      <c r="P86" s="450"/>
      <c r="Q86" s="450"/>
      <c r="R86" s="450"/>
      <c r="S86" s="450"/>
      <c r="T86" s="451"/>
      <c r="U86" s="450"/>
      <c r="W86" s="450"/>
      <c r="X86" s="450"/>
      <c r="Y86" s="450"/>
      <c r="Z86" s="451"/>
      <c r="AA86" s="450"/>
      <c r="AH86" s="441"/>
      <c r="AI86" s="441"/>
      <c r="AJ86" s="441"/>
    </row>
    <row r="87" spans="9:36" ht="15.95" customHeight="1" x14ac:dyDescent="0.2">
      <c r="K87" s="809"/>
      <c r="L87" s="450"/>
      <c r="M87" s="450"/>
      <c r="N87" s="521"/>
      <c r="O87" s="521"/>
      <c r="P87" s="450"/>
      <c r="Q87" s="450"/>
      <c r="R87" s="450"/>
      <c r="S87" s="450"/>
      <c r="T87" s="451"/>
      <c r="U87" s="450"/>
      <c r="W87" s="450"/>
      <c r="X87" s="450"/>
      <c r="Y87" s="450"/>
      <c r="Z87" s="451"/>
      <c r="AA87" s="450"/>
      <c r="AH87" s="441"/>
      <c r="AI87" s="441"/>
      <c r="AJ87" s="441"/>
    </row>
    <row r="88" spans="9:36" ht="15.95" customHeight="1" x14ac:dyDescent="0.2">
      <c r="L88" s="450"/>
      <c r="M88" s="450"/>
      <c r="N88" s="521"/>
      <c r="O88" s="521"/>
      <c r="P88" s="450"/>
      <c r="Q88" s="450"/>
      <c r="R88" s="450"/>
      <c r="S88" s="450"/>
      <c r="T88" s="451"/>
      <c r="U88" s="450"/>
      <c r="W88" s="450"/>
      <c r="X88" s="450"/>
      <c r="Y88" s="450"/>
      <c r="Z88" s="451"/>
      <c r="AA88" s="450"/>
    </row>
    <row r="89" spans="9:36" ht="15.95" customHeight="1" x14ac:dyDescent="0.2">
      <c r="K89" s="435"/>
      <c r="L89" s="450"/>
      <c r="M89" s="450"/>
      <c r="N89" s="521"/>
      <c r="O89" s="521"/>
      <c r="P89" s="450"/>
      <c r="Q89" s="450"/>
      <c r="R89" s="450"/>
      <c r="S89" s="450"/>
      <c r="T89" s="451"/>
      <c r="U89" s="450"/>
      <c r="W89" s="450"/>
      <c r="X89" s="450"/>
      <c r="Y89" s="450"/>
      <c r="Z89" s="451"/>
      <c r="AA89" s="450"/>
    </row>
    <row r="90" spans="9:36" ht="15.95" customHeight="1" x14ac:dyDescent="0.2">
      <c r="K90" s="435"/>
      <c r="R90" s="450"/>
      <c r="S90" s="450"/>
      <c r="T90" s="451"/>
      <c r="U90" s="450"/>
      <c r="W90" s="450"/>
      <c r="X90" s="450"/>
      <c r="Y90" s="450"/>
      <c r="Z90" s="451"/>
    </row>
    <row r="91" spans="9:36" ht="15.95" customHeight="1" x14ac:dyDescent="0.2">
      <c r="K91" s="435"/>
    </row>
    <row r="92" spans="9:36" ht="15.95" customHeight="1" x14ac:dyDescent="0.2">
      <c r="K92" s="435"/>
    </row>
    <row r="93" spans="9:36" ht="15.95" customHeight="1" x14ac:dyDescent="0.2">
      <c r="K93" s="435"/>
    </row>
    <row r="94" spans="9:36" ht="15.95" customHeight="1" x14ac:dyDescent="0.2">
      <c r="K94" s="435"/>
    </row>
    <row r="95" spans="9:36" ht="15.95" customHeight="1" x14ac:dyDescent="0.2">
      <c r="K95" s="435"/>
      <c r="S95" s="450"/>
    </row>
    <row r="96" spans="9:36" ht="15.95" customHeight="1" x14ac:dyDescent="0.2">
      <c r="K96" s="435"/>
      <c r="S96" s="450"/>
    </row>
    <row r="97" s="435" customFormat="1" ht="15.95" customHeight="1" x14ac:dyDescent="0.2"/>
    <row r="98" s="435" customFormat="1" ht="15.95" customHeight="1" x14ac:dyDescent="0.2"/>
    <row r="99" s="435" customFormat="1" ht="15.95" customHeight="1" x14ac:dyDescent="0.2"/>
    <row r="100" s="435" customFormat="1" ht="15.95" customHeight="1" x14ac:dyDescent="0.2"/>
    <row r="101" s="435" customFormat="1" ht="15.95" customHeight="1" x14ac:dyDescent="0.2"/>
    <row r="102" s="435" customFormat="1" ht="15.95" customHeight="1" x14ac:dyDescent="0.2"/>
    <row r="103" s="435" customFormat="1" ht="15.95" customHeight="1" x14ac:dyDescent="0.2"/>
    <row r="104" s="435" customFormat="1" ht="15.95" customHeight="1" x14ac:dyDescent="0.2"/>
    <row r="105" s="435" customFormat="1" ht="15.95" customHeight="1" x14ac:dyDescent="0.2"/>
    <row r="106" s="435" customFormat="1" ht="15.95" customHeight="1" x14ac:dyDescent="0.2"/>
    <row r="107" s="435" customFormat="1" ht="15.95" customHeight="1" x14ac:dyDescent="0.2"/>
    <row r="108" s="435" customFormat="1" ht="15.95" customHeight="1" x14ac:dyDescent="0.2"/>
    <row r="109" s="435" customFormat="1" ht="15.95" customHeight="1" x14ac:dyDescent="0.2"/>
    <row r="110" s="435" customFormat="1" ht="15.95" customHeight="1" x14ac:dyDescent="0.2"/>
    <row r="111" s="435" customFormat="1" ht="15.95" customHeight="1" x14ac:dyDescent="0.2"/>
    <row r="112" s="435" customFormat="1" ht="15.95" customHeight="1" x14ac:dyDescent="0.2"/>
    <row r="113" s="435" customFormat="1" ht="15.95" customHeight="1" x14ac:dyDescent="0.2"/>
    <row r="114" s="435" customFormat="1" ht="15.95" customHeight="1" x14ac:dyDescent="0.2"/>
    <row r="115" s="435" customFormat="1" ht="15.95" customHeight="1" x14ac:dyDescent="0.2"/>
    <row r="116" s="435" customFormat="1" ht="15.95" customHeight="1" x14ac:dyDescent="0.2"/>
    <row r="117" s="435" customFormat="1" ht="15.95" customHeight="1" x14ac:dyDescent="0.2"/>
    <row r="118" s="435" customFormat="1" ht="15.95" customHeight="1" x14ac:dyDescent="0.2"/>
    <row r="119" s="435" customFormat="1" ht="15.95" customHeight="1" x14ac:dyDescent="0.2"/>
    <row r="120" s="435" customFormat="1" ht="15.95" customHeight="1" x14ac:dyDescent="0.2"/>
    <row r="121" s="435" customFormat="1" ht="15.95" customHeight="1" x14ac:dyDescent="0.2"/>
    <row r="122" s="435" customFormat="1" ht="15.95" customHeight="1" x14ac:dyDescent="0.2"/>
    <row r="123" s="435" customFormat="1" ht="15.95" customHeight="1" x14ac:dyDescent="0.2"/>
    <row r="124" s="435" customFormat="1" ht="15.95" customHeight="1" x14ac:dyDescent="0.2"/>
    <row r="125" s="435" customFormat="1" ht="15.95" customHeight="1" x14ac:dyDescent="0.2"/>
    <row r="126" s="435" customFormat="1" ht="15.95" customHeight="1" x14ac:dyDescent="0.2"/>
    <row r="127" s="435" customFormat="1" ht="15.95" customHeight="1" x14ac:dyDescent="0.2"/>
    <row r="128" s="435" customFormat="1" ht="15.95" customHeight="1" x14ac:dyDescent="0.2"/>
    <row r="129" s="435" customFormat="1" ht="15.95" customHeight="1" x14ac:dyDescent="0.2"/>
    <row r="130" s="435" customFormat="1" ht="15.95" customHeight="1" x14ac:dyDescent="0.2"/>
    <row r="131" s="435" customFormat="1" ht="15.95" customHeight="1" x14ac:dyDescent="0.2"/>
    <row r="132" s="435" customFormat="1" ht="15.95" customHeight="1" x14ac:dyDescent="0.2"/>
    <row r="133" s="435" customFormat="1" ht="15.95" customHeight="1" x14ac:dyDescent="0.2"/>
    <row r="134" s="435" customFormat="1" ht="15.95" customHeight="1" x14ac:dyDescent="0.2"/>
    <row r="135" s="435" customFormat="1" ht="15.95" customHeight="1" x14ac:dyDescent="0.2"/>
    <row r="136" s="435" customFormat="1" ht="15.95" customHeight="1" x14ac:dyDescent="0.2"/>
    <row r="137" s="435" customFormat="1" ht="15.95" customHeight="1" x14ac:dyDescent="0.2"/>
    <row r="138" s="435" customFormat="1" ht="15.95" customHeight="1" x14ac:dyDescent="0.2"/>
    <row r="139" s="435" customFormat="1" ht="15.95" customHeight="1" x14ac:dyDescent="0.2"/>
    <row r="140" s="435" customFormat="1" ht="15.95" customHeight="1" x14ac:dyDescent="0.2"/>
    <row r="141" s="435" customFormat="1" ht="15.95" customHeight="1" x14ac:dyDescent="0.2"/>
    <row r="142" s="435" customFormat="1" ht="15.95" customHeight="1" x14ac:dyDescent="0.2"/>
    <row r="143" s="435" customFormat="1" ht="15.95" customHeight="1" x14ac:dyDescent="0.2"/>
    <row r="144" s="435" customFormat="1" ht="15.95" customHeight="1" x14ac:dyDescent="0.2"/>
    <row r="145" s="435" customFormat="1" ht="15.95" customHeight="1" x14ac:dyDescent="0.2"/>
    <row r="146" s="435" customFormat="1" ht="15.95" customHeight="1" x14ac:dyDescent="0.2"/>
    <row r="147" s="435" customFormat="1" ht="15.95" customHeight="1" x14ac:dyDescent="0.2"/>
    <row r="148" s="435" customFormat="1" ht="15.95" customHeight="1" x14ac:dyDescent="0.2"/>
  </sheetData>
  <sheetProtection selectLockedCells="1"/>
  <mergeCells count="36">
    <mergeCell ref="Z16:Z17"/>
    <mergeCell ref="X19:Z19"/>
    <mergeCell ref="T20:T21"/>
    <mergeCell ref="T25:T26"/>
    <mergeCell ref="T27:T28"/>
    <mergeCell ref="Z21:Z22"/>
    <mergeCell ref="Z23:Z24"/>
    <mergeCell ref="R18:T18"/>
    <mergeCell ref="K1:AA1"/>
    <mergeCell ref="AF1:AJ1"/>
    <mergeCell ref="K2:Z2"/>
    <mergeCell ref="AF2:AJ2"/>
    <mergeCell ref="N3:X3"/>
    <mergeCell ref="AF3:AJ3"/>
    <mergeCell ref="N28:N29"/>
    <mergeCell ref="AH4:AJ5"/>
    <mergeCell ref="L5:N5"/>
    <mergeCell ref="R5:T5"/>
    <mergeCell ref="X5:Z5"/>
    <mergeCell ref="X12:Z12"/>
    <mergeCell ref="K4:N4"/>
    <mergeCell ref="Q4:T4"/>
    <mergeCell ref="W4:Z4"/>
    <mergeCell ref="N7:N8"/>
    <mergeCell ref="T7:T8"/>
    <mergeCell ref="Z7:Z8"/>
    <mergeCell ref="T9:T10"/>
    <mergeCell ref="Z9:Z10"/>
    <mergeCell ref="N12:N13"/>
    <mergeCell ref="Z14:Z15"/>
    <mergeCell ref="N14:N15"/>
    <mergeCell ref="N19:N20"/>
    <mergeCell ref="N21:N22"/>
    <mergeCell ref="N26:N27"/>
    <mergeCell ref="T13:T14"/>
    <mergeCell ref="T15:T16"/>
  </mergeCells>
  <conditionalFormatting sqref="U7">
    <cfRule type="expression" priority="144" stopIfTrue="1">
      <formula>IF(T7="",1)</formula>
    </cfRule>
    <cfRule type="expression" dxfId="2063" priority="145">
      <formula>OR(T7=T9,T7=T11)</formula>
    </cfRule>
  </conditionalFormatting>
  <conditionalFormatting sqref="AA7:AA8">
    <cfRule type="expression" priority="137" stopIfTrue="1">
      <formula>IF(Z7="",1)</formula>
    </cfRule>
    <cfRule type="expression" dxfId="2062" priority="139">
      <formula>IF(Z7=Z9,1,0)</formula>
    </cfRule>
  </conditionalFormatting>
  <conditionalFormatting sqref="AA9">
    <cfRule type="expression" priority="136" stopIfTrue="1">
      <formula>IF(Z9="",1,0)</formula>
    </cfRule>
    <cfRule type="expression" dxfId="2061" priority="138">
      <formula>IF(Z7=Z9,1,0)</formula>
    </cfRule>
  </conditionalFormatting>
  <conditionalFormatting sqref="U10">
    <cfRule type="expression" priority="121" stopIfTrue="1">
      <formula>IF(T10="",1)</formula>
    </cfRule>
    <cfRule type="expression" dxfId="2060" priority="122">
      <formula>IF(T10=#REF!,1,0)</formula>
    </cfRule>
  </conditionalFormatting>
  <conditionalFormatting sqref="O8">
    <cfRule type="expression" priority="120" stopIfTrue="1">
      <formula>IF(N8="",1)</formula>
    </cfRule>
  </conditionalFormatting>
  <conditionalFormatting sqref="U9">
    <cfRule type="expression" priority="106" stopIfTrue="1">
      <formula>IF(T9="",1)</formula>
    </cfRule>
    <cfRule type="expression" dxfId="2059" priority="107">
      <formula>OR(T9=T11,T9=T7)</formula>
    </cfRule>
  </conditionalFormatting>
  <conditionalFormatting sqref="AA14:AA15">
    <cfRule type="expression" priority="103" stopIfTrue="1">
      <formula>IF(Z14="",1)</formula>
    </cfRule>
    <cfRule type="expression" dxfId="2058" priority="105">
      <formula>IF(Z14=Z16,1,0)</formula>
    </cfRule>
  </conditionalFormatting>
  <conditionalFormatting sqref="AA16">
    <cfRule type="expression" priority="102" stopIfTrue="1">
      <formula>IF(Z16="",1,0)</formula>
    </cfRule>
    <cfRule type="expression" dxfId="2057" priority="104">
      <formula>IF(Z14=Z16,1,0)</formula>
    </cfRule>
  </conditionalFormatting>
  <conditionalFormatting sqref="U8">
    <cfRule type="expression" priority="100" stopIfTrue="1">
      <formula>IF(T8="",1)</formula>
    </cfRule>
    <cfRule type="expression" dxfId="2056" priority="101">
      <formula>IF(T8=#REF!,1,0)</formula>
    </cfRule>
  </conditionalFormatting>
  <conditionalFormatting sqref="U27">
    <cfRule type="expression" priority="84" stopIfTrue="1">
      <formula>IF(T27="",1,0)</formula>
    </cfRule>
    <cfRule type="expression" dxfId="2055" priority="85">
      <formula>IF(T25=T27,1,0)</formula>
    </cfRule>
  </conditionalFormatting>
  <conditionalFormatting sqref="O7">
    <cfRule type="expression" priority="1012" stopIfTrue="1">
      <formula>IF(N7="",1)</formula>
    </cfRule>
    <cfRule type="expression" dxfId="2054" priority="1013">
      <formula>OR(N7=N12,N7=N14,N7=N19,N7=N21,N7=N26,N7=N28)</formula>
    </cfRule>
  </conditionalFormatting>
  <conditionalFormatting sqref="U20">
    <cfRule type="expression" priority="1026" stopIfTrue="1">
      <formula>IF(T20="",1)</formula>
    </cfRule>
    <cfRule type="expression" dxfId="2053" priority="1027">
      <formula>IF(T20=T25,1,0)</formula>
    </cfRule>
  </conditionalFormatting>
  <conditionalFormatting sqref="U25">
    <cfRule type="expression" priority="1028" stopIfTrue="1">
      <formula>IF(T25="",1,0)</formula>
    </cfRule>
    <cfRule type="expression" dxfId="2052" priority="1029">
      <formula>IF(T20=T25,1,0)</formula>
    </cfRule>
  </conditionalFormatting>
  <conditionalFormatting sqref="S20">
    <cfRule type="expression" dxfId="2051" priority="62">
      <formula>IF(T20+U20&gt;T22+U22,1,0)</formula>
    </cfRule>
  </conditionalFormatting>
  <conditionalFormatting sqref="S22">
    <cfRule type="expression" dxfId="2050" priority="61">
      <formula>IF(T22+U22&gt;T24+U24,1,0)</formula>
    </cfRule>
  </conditionalFormatting>
  <conditionalFormatting sqref="AA21:AA22">
    <cfRule type="expression" priority="50" stopIfTrue="1">
      <formula>IF(Z21="",1)</formula>
    </cfRule>
    <cfRule type="expression" dxfId="2049" priority="52">
      <formula>IF(Z21=Z23,1,0)</formula>
    </cfRule>
  </conditionalFormatting>
  <conditionalFormatting sqref="AA23">
    <cfRule type="expression" priority="49" stopIfTrue="1">
      <formula>IF(Z23="",1,0)</formula>
    </cfRule>
    <cfRule type="expression" dxfId="2048" priority="51">
      <formula>IF(Z21=Z23,1,0)</formula>
    </cfRule>
  </conditionalFormatting>
  <conditionalFormatting sqref="O12">
    <cfRule type="expression" priority="43" stopIfTrue="1">
      <formula>IF(N12="",1)</formula>
    </cfRule>
    <cfRule type="expression" dxfId="2047" priority="44">
      <formula>IF(N12=N14,1,0)</formula>
    </cfRule>
  </conditionalFormatting>
  <conditionalFormatting sqref="O13">
    <cfRule type="expression" priority="45" stopIfTrue="1">
      <formula>IF(N13="",1)</formula>
    </cfRule>
    <cfRule type="expression" dxfId="2046" priority="46">
      <formula>IF(N13=N15,1,0)</formula>
    </cfRule>
  </conditionalFormatting>
  <conditionalFormatting sqref="O14">
    <cfRule type="expression" priority="41" stopIfTrue="1">
      <formula>IF(N14="",1)</formula>
    </cfRule>
    <cfRule type="expression" dxfId="2045" priority="42">
      <formula>IF(N14=N12,1,0)</formula>
    </cfRule>
  </conditionalFormatting>
  <conditionalFormatting sqref="O19">
    <cfRule type="expression" priority="37" stopIfTrue="1">
      <formula>IF(N19="",1)</formula>
    </cfRule>
    <cfRule type="expression" dxfId="2044" priority="38">
      <formula>IF(N19=N21,1,0)</formula>
    </cfRule>
  </conditionalFormatting>
  <conditionalFormatting sqref="O20">
    <cfRule type="expression" priority="39" stopIfTrue="1">
      <formula>IF(N20="",1)</formula>
    </cfRule>
    <cfRule type="expression" dxfId="2043" priority="40">
      <formula>IF(N20=N22,1,0)</formula>
    </cfRule>
  </conditionalFormatting>
  <conditionalFormatting sqref="O21">
    <cfRule type="expression" priority="35" stopIfTrue="1">
      <formula>IF(N21="",1)</formula>
    </cfRule>
    <cfRule type="expression" dxfId="2042" priority="36">
      <formula>IF(N21=N19,1,0)</formula>
    </cfRule>
  </conditionalFormatting>
  <conditionalFormatting sqref="O26">
    <cfRule type="expression" priority="31" stopIfTrue="1">
      <formula>IF(N26="",1)</formula>
    </cfRule>
    <cfRule type="expression" dxfId="2041" priority="32">
      <formula>IF(N26=N28,1,0)</formula>
    </cfRule>
  </conditionalFormatting>
  <conditionalFormatting sqref="O27">
    <cfRule type="expression" priority="33" stopIfTrue="1">
      <formula>IF(N27="",1)</formula>
    </cfRule>
    <cfRule type="expression" dxfId="2040" priority="34">
      <formula>IF(N27=N29,1,0)</formula>
    </cfRule>
  </conditionalFormatting>
  <conditionalFormatting sqref="O28">
    <cfRule type="expression" priority="29" stopIfTrue="1">
      <formula>IF(N28="",1)</formula>
    </cfRule>
    <cfRule type="expression" dxfId="2039" priority="30">
      <formula>IF(N28=N26,1,0)</formula>
    </cfRule>
  </conditionalFormatting>
  <conditionalFormatting sqref="U13">
    <cfRule type="expression" priority="27" stopIfTrue="1">
      <formula>IF(T13="",1)</formula>
    </cfRule>
    <cfRule type="expression" dxfId="2038" priority="28">
      <formula>OR(T13=T15,T13=T17)</formula>
    </cfRule>
  </conditionalFormatting>
  <conditionalFormatting sqref="U16">
    <cfRule type="expression" priority="25" stopIfTrue="1">
      <formula>IF(T16="",1)</formula>
    </cfRule>
    <cfRule type="expression" dxfId="2037" priority="26">
      <formula>IF(T16=#REF!,1,0)</formula>
    </cfRule>
  </conditionalFormatting>
  <conditionalFormatting sqref="U15">
    <cfRule type="expression" priority="23" stopIfTrue="1">
      <formula>IF(T15="",1)</formula>
    </cfRule>
    <cfRule type="expression" dxfId="2036" priority="24">
      <formula>OR(T15=T17,T15=T13)</formula>
    </cfRule>
  </conditionalFormatting>
  <conditionalFormatting sqref="U14">
    <cfRule type="expression" priority="21" stopIfTrue="1">
      <formula>IF(T14="",1)</formula>
    </cfRule>
    <cfRule type="expression" dxfId="2035" priority="22">
      <formula>IF(T14=#REF!,1,0)</formula>
    </cfRule>
  </conditionalFormatting>
  <conditionalFormatting sqref="M7">
    <cfRule type="expression" dxfId="2034" priority="20">
      <formula>IF(N7+O7&gt;N9+O9,1,0)</formula>
    </cfRule>
  </conditionalFormatting>
  <conditionalFormatting sqref="S7">
    <cfRule type="expression" dxfId="2033" priority="19">
      <formula>IF(T7+U7&gt;T9+U9,1,0)</formula>
    </cfRule>
  </conditionalFormatting>
  <conditionalFormatting sqref="S9">
    <cfRule type="expression" dxfId="2032" priority="18">
      <formula>IF(T7+U7&lt;T9+U9,1,0)</formula>
    </cfRule>
  </conditionalFormatting>
  <conditionalFormatting sqref="S13">
    <cfRule type="expression" dxfId="2031" priority="17">
      <formula>IF(T13+U13&gt;T15+U15,1,0)</formula>
    </cfRule>
  </conditionalFormatting>
  <conditionalFormatting sqref="S15">
    <cfRule type="expression" dxfId="2030" priority="16">
      <formula>IF(T13+U13&lt;T15+U15,1,0)</formula>
    </cfRule>
  </conditionalFormatting>
  <conditionalFormatting sqref="S25">
    <cfRule type="expression" dxfId="2029" priority="15">
      <formula>IF(T25+U25&gt;T27+U27,1,0)</formula>
    </cfRule>
  </conditionalFormatting>
  <conditionalFormatting sqref="S27">
    <cfRule type="expression" dxfId="2028" priority="14">
      <formula>IF(T25+U25&lt;T27+U27,1,0)</formula>
    </cfRule>
  </conditionalFormatting>
  <conditionalFormatting sqref="Y7">
    <cfRule type="expression" dxfId="2027" priority="13">
      <formula>IF(Z7+AA7&gt;Z9+AA9,1,0)</formula>
    </cfRule>
  </conditionalFormatting>
  <conditionalFormatting sqref="Y9">
    <cfRule type="expression" dxfId="2026" priority="12">
      <formula>IF(Z7+AA7&lt;Z9+AA9,1,0)</formula>
    </cfRule>
  </conditionalFormatting>
  <conditionalFormatting sqref="Y14">
    <cfRule type="expression" dxfId="2025" priority="11">
      <formula>IF(Z14+AA14&gt;Z16+AA16,1,0)</formula>
    </cfRule>
  </conditionalFormatting>
  <conditionalFormatting sqref="Y16">
    <cfRule type="expression" dxfId="2024" priority="10">
      <formula>IF(Z14+AA14&lt;Z16+AA16,1,0)</formula>
    </cfRule>
  </conditionalFormatting>
  <conditionalFormatting sqref="Y21">
    <cfRule type="expression" dxfId="2023" priority="9">
      <formula>IF(Z21+AA21&gt;Z23+AA23,1,0)</formula>
    </cfRule>
  </conditionalFormatting>
  <conditionalFormatting sqref="Y23">
    <cfRule type="expression" dxfId="2022" priority="8">
      <formula>IF(Z21+AA21&lt;Z23+AA23,1,0)</formula>
    </cfRule>
  </conditionalFormatting>
  <conditionalFormatting sqref="M12">
    <cfRule type="expression" dxfId="2021" priority="7">
      <formula>IF(N12+O12&gt;N14+O14,1,0)</formula>
    </cfRule>
  </conditionalFormatting>
  <conditionalFormatting sqref="M14">
    <cfRule type="expression" dxfId="2020" priority="6">
      <formula>IF(N14+O14&gt;N16+O16,1,0)</formula>
    </cfRule>
  </conditionalFormatting>
  <conditionalFormatting sqref="M19">
    <cfRule type="expression" dxfId="2019" priority="5">
      <formula>IF(N19+O19&gt;N21+O21,1,0)</formula>
    </cfRule>
  </conditionalFormatting>
  <conditionalFormatting sqref="M21">
    <cfRule type="expression" dxfId="2018" priority="4">
      <formula>IF(N21+O21&gt;N23+O23,1,0)</formula>
    </cfRule>
  </conditionalFormatting>
  <conditionalFormatting sqref="M26">
    <cfRule type="expression" dxfId="2017" priority="3">
      <formula>IF(N26+O26&gt;N28+O28,1,0)</formula>
    </cfRule>
  </conditionalFormatting>
  <conditionalFormatting sqref="M28">
    <cfRule type="expression" dxfId="2016" priority="2">
      <formula>IF(N28+O28&gt;N30+O30,1,0)</formula>
    </cfRule>
  </conditionalFormatting>
  <conditionalFormatting sqref="Y27">
    <cfRule type="expression" dxfId="2015" priority="1">
      <formula>IF(Z27+AA27&gt;Z29+AA29,1,0)</formula>
    </cfRule>
  </conditionalFormatting>
  <printOptions verticalCentered="1"/>
  <pageMargins left="0.23622047244094502" right="0.23622047244094502" top="0.74803149606299202" bottom="0.74803149606299202" header="0.31496062992126" footer="0.31496062992126"/>
  <pageSetup paperSize="9" scale="33" orientation="landscape" cellComments="atEnd"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euil69">
    <tabColor rgb="FFFFC000"/>
    <pageSetUpPr fitToPage="1"/>
  </sheetPr>
  <dimension ref="A1:AY148"/>
  <sheetViews>
    <sheetView topLeftCell="K1" zoomScale="70" zoomScaleNormal="142" workbookViewId="0">
      <selection activeCell="K32" sqref="K1:AA32"/>
    </sheetView>
  </sheetViews>
  <sheetFormatPr baseColWidth="10" defaultColWidth="10.85546875" defaultRowHeight="12.75" x14ac:dyDescent="0.2"/>
  <cols>
    <col min="1" max="1" width="3.7109375" style="435" hidden="1" customWidth="1"/>
    <col min="2" max="4" width="16.140625" style="435" hidden="1" customWidth="1"/>
    <col min="5" max="10" width="11.28515625" style="435" hidden="1" customWidth="1"/>
    <col min="11" max="11" width="7.7109375" style="441" bestFit="1" customWidth="1"/>
    <col min="12" max="12" width="6.42578125" style="435" bestFit="1" customWidth="1"/>
    <col min="13" max="13" width="37.28515625" style="435" customWidth="1"/>
    <col min="14" max="14" width="10.85546875" style="442"/>
    <col min="15" max="15" width="4.7109375" style="441" bestFit="1" customWidth="1"/>
    <col min="16" max="16" width="15.7109375" style="441" customWidth="1"/>
    <col min="17" max="17" width="7.7109375" style="441" bestFit="1" customWidth="1"/>
    <col min="18" max="18" width="6.42578125" style="441" bestFit="1" customWidth="1"/>
    <col min="19" max="19" width="38" style="441" customWidth="1"/>
    <col min="20" max="20" width="10.85546875" style="442"/>
    <col min="21" max="21" width="4.85546875" style="441" bestFit="1" customWidth="1"/>
    <col min="22" max="22" width="15.85546875" style="441" customWidth="1"/>
    <col min="23" max="23" width="7.7109375" style="441" bestFit="1" customWidth="1"/>
    <col min="24" max="24" width="5.28515625" style="435" bestFit="1" customWidth="1"/>
    <col min="25" max="25" width="36.5703125" style="435" customWidth="1"/>
    <col min="26" max="26" width="10.85546875" style="442"/>
    <col min="27" max="27" width="4.85546875" style="441" bestFit="1" customWidth="1"/>
    <col min="28" max="28" width="6.5703125" style="435" customWidth="1"/>
    <col min="29" max="31" width="3.28515625" style="435" customWidth="1"/>
    <col min="32" max="32" width="12" style="435" customWidth="1"/>
    <col min="33" max="33" width="12" style="435" hidden="1" customWidth="1"/>
    <col min="34" max="34" width="36.7109375" style="435" customWidth="1"/>
    <col min="35" max="36" width="36.85546875" style="435" customWidth="1"/>
    <col min="37" max="42" width="10.85546875" style="435"/>
    <col min="43" max="43" width="1.7109375" style="435" bestFit="1" customWidth="1"/>
    <col min="44" max="46" width="10.85546875" style="435"/>
    <col min="47" max="47" width="1.7109375" style="435" bestFit="1" customWidth="1"/>
    <col min="48" max="50" width="10.85546875" style="435"/>
    <col min="51" max="51" width="1.7109375" style="435" bestFit="1" customWidth="1"/>
    <col min="52" max="16384" width="10.85546875" style="435"/>
  </cols>
  <sheetData>
    <row r="1" spans="1:51" ht="55.5" customHeight="1" x14ac:dyDescent="0.2">
      <c r="B1" s="436"/>
      <c r="C1" s="436"/>
      <c r="D1" s="436"/>
      <c r="I1" s="437"/>
      <c r="J1" s="437"/>
      <c r="K1" s="988" t="str">
        <f>Championnat</f>
        <v>Championnat de France de Tir à l'ARC</v>
      </c>
      <c r="L1" s="988"/>
      <c r="M1" s="988"/>
      <c r="N1" s="988"/>
      <c r="O1" s="988"/>
      <c r="P1" s="988"/>
      <c r="Q1" s="988"/>
      <c r="R1" s="988"/>
      <c r="S1" s="988"/>
      <c r="T1" s="988"/>
      <c r="U1" s="988"/>
      <c r="V1" s="988"/>
      <c r="W1" s="988"/>
      <c r="X1" s="988"/>
      <c r="Y1" s="988"/>
      <c r="Z1" s="988"/>
      <c r="AA1" s="988"/>
      <c r="AB1" s="439"/>
      <c r="AC1" s="439"/>
      <c r="AD1" s="439"/>
      <c r="AE1" s="439"/>
      <c r="AF1" s="988" t="str">
        <f>Championnat</f>
        <v>Championnat de France de Tir à l'ARC</v>
      </c>
      <c r="AG1" s="988"/>
      <c r="AH1" s="988"/>
      <c r="AI1" s="988"/>
      <c r="AJ1" s="988"/>
      <c r="AK1" s="491"/>
      <c r="AL1" s="491"/>
      <c r="AM1" s="491"/>
      <c r="AN1" s="491"/>
      <c r="AO1" s="491"/>
      <c r="AP1" s="491"/>
      <c r="AQ1" s="491"/>
      <c r="AR1" s="491"/>
      <c r="AS1" s="491"/>
      <c r="AT1" s="491"/>
      <c r="AU1" s="491"/>
      <c r="AV1" s="491"/>
      <c r="AW1" s="491"/>
      <c r="AY1" s="491"/>
    </row>
    <row r="2" spans="1:51" ht="61.5" customHeight="1" x14ac:dyDescent="0.2">
      <c r="A2" s="437"/>
      <c r="I2" s="437"/>
      <c r="J2" s="437"/>
      <c r="K2" s="989" t="str">
        <f>CATEG_IMPORTEE</f>
        <v>Collèges Mixtes Etablissement</v>
      </c>
      <c r="L2" s="989"/>
      <c r="M2" s="989"/>
      <c r="N2" s="989"/>
      <c r="O2" s="989"/>
      <c r="P2" s="989"/>
      <c r="Q2" s="989"/>
      <c r="R2" s="989"/>
      <c r="S2" s="989"/>
      <c r="T2" s="989"/>
      <c r="U2" s="989"/>
      <c r="V2" s="989"/>
      <c r="W2" s="989"/>
      <c r="X2" s="989"/>
      <c r="Y2" s="989"/>
      <c r="Z2" s="989"/>
      <c r="AA2" s="438"/>
      <c r="AB2" s="439"/>
      <c r="AC2" s="439"/>
      <c r="AD2" s="439"/>
      <c r="AE2" s="439"/>
      <c r="AF2" s="990" t="str">
        <f>CATEG_IMPORTEE</f>
        <v>Collèges Mixtes Etablissement</v>
      </c>
      <c r="AG2" s="990"/>
      <c r="AH2" s="990"/>
      <c r="AI2" s="990"/>
      <c r="AJ2" s="990"/>
      <c r="AK2" s="492"/>
      <c r="AL2" s="492"/>
      <c r="AM2" s="492"/>
      <c r="AN2" s="492"/>
      <c r="AO2" s="492"/>
      <c r="AP2" s="492"/>
      <c r="AQ2" s="492"/>
      <c r="AR2" s="492"/>
      <c r="AS2" s="492"/>
      <c r="AT2" s="492"/>
      <c r="AU2" s="492"/>
      <c r="AV2" s="492"/>
      <c r="AW2" s="492"/>
      <c r="AY2" s="492"/>
    </row>
    <row r="3" spans="1:51" ht="42" customHeight="1" x14ac:dyDescent="0.2">
      <c r="B3" s="440" t="s">
        <v>774</v>
      </c>
      <c r="I3" s="437"/>
      <c r="J3" s="437"/>
      <c r="N3" s="991" t="str">
        <f>LIEU&amp;" du "&amp;DATE</f>
        <v>L’Isle sur la Sorgue du 27 au 31 mars 2023</v>
      </c>
      <c r="O3" s="991"/>
      <c r="P3" s="991"/>
      <c r="Q3" s="991"/>
      <c r="R3" s="991"/>
      <c r="S3" s="991"/>
      <c r="T3" s="991"/>
      <c r="U3" s="991"/>
      <c r="V3" s="991"/>
      <c r="W3" s="991"/>
      <c r="X3" s="991"/>
      <c r="AF3" s="991" t="str">
        <f>LIEU&amp;" du "&amp;DATE</f>
        <v>L’Isle sur la Sorgue du 27 au 31 mars 2023</v>
      </c>
      <c r="AG3" s="991"/>
      <c r="AH3" s="991"/>
      <c r="AI3" s="991"/>
      <c r="AJ3" s="991"/>
      <c r="AK3" s="493"/>
      <c r="AL3" s="493"/>
      <c r="AM3" s="493"/>
      <c r="AN3" s="493"/>
      <c r="AO3" s="493"/>
      <c r="AP3" s="493"/>
      <c r="AQ3" s="493"/>
      <c r="AR3" s="493"/>
      <c r="AS3" s="493"/>
      <c r="AT3" s="493"/>
      <c r="AU3" s="493"/>
      <c r="AW3" s="442"/>
      <c r="AY3" s="493"/>
    </row>
    <row r="4" spans="1:51" ht="21" customHeight="1" x14ac:dyDescent="0.2">
      <c r="B4" s="440" t="s">
        <v>775</v>
      </c>
      <c r="C4" s="462" t="s">
        <v>375</v>
      </c>
      <c r="D4" s="462" t="s">
        <v>374</v>
      </c>
      <c r="E4" s="440" t="s">
        <v>776</v>
      </c>
      <c r="F4" s="487" t="s">
        <v>838</v>
      </c>
      <c r="G4" s="488" t="s">
        <v>837</v>
      </c>
      <c r="H4" s="898"/>
      <c r="I4" s="437"/>
      <c r="J4" s="437"/>
      <c r="K4" s="979" t="s">
        <v>815</v>
      </c>
      <c r="L4" s="979"/>
      <c r="M4" s="979"/>
      <c r="N4" s="979"/>
      <c r="O4" s="443"/>
      <c r="P4" s="443"/>
      <c r="Q4" s="979" t="s">
        <v>816</v>
      </c>
      <c r="R4" s="979"/>
      <c r="S4" s="979"/>
      <c r="T4" s="979"/>
      <c r="U4" s="443"/>
      <c r="V4" s="443"/>
      <c r="W4" s="979" t="s">
        <v>817</v>
      </c>
      <c r="X4" s="979"/>
      <c r="Y4" s="979"/>
      <c r="Z4" s="979"/>
      <c r="AA4" s="443"/>
      <c r="AH4" s="980" t="s">
        <v>778</v>
      </c>
      <c r="AI4" s="980"/>
      <c r="AJ4" s="980"/>
      <c r="AN4" s="497" t="s">
        <v>848</v>
      </c>
    </row>
    <row r="5" spans="1:51" ht="15.95" customHeight="1" thickBot="1" x14ac:dyDescent="0.25">
      <c r="A5" s="435">
        <v>1</v>
      </c>
      <c r="B5" s="444" t="str">
        <f ca="1">INDIRECT("'Imp. Qualif.'!L"&amp;INDIRECT("f"&amp;ROW()))</f>
        <v/>
      </c>
      <c r="C5" s="444" t="str">
        <f ca="1">INDIRECT("'Imp. Qualif.'!M"&amp;INDIRECT("f"&amp;ROW()))</f>
        <v/>
      </c>
      <c r="D5" s="444" t="str">
        <f ca="1">INDIRECT("'Imp. Qualif.'!N"&amp;INDIRECT("f"&amp;ROW()))</f>
        <v/>
      </c>
      <c r="E5" s="486">
        <f ca="1">INDIRECT("'Imp. Qualif.'!O"&amp;INDIRECT("f"&amp;ROW()))</f>
        <v>0</v>
      </c>
      <c r="F5" s="489">
        <v>11</v>
      </c>
      <c r="G5" s="488" t="str">
        <f ca="1">B5&amp;C5</f>
        <v/>
      </c>
      <c r="H5" s="898" t="str">
        <f ca="1">IF(B5&lt;&gt;"",B5,"")</f>
        <v/>
      </c>
      <c r="I5" s="898" t="str">
        <f t="shared" ref="I5:J5" ca="1" si="0">IF(C5&lt;&gt;"",C5,"")</f>
        <v/>
      </c>
      <c r="J5" s="898" t="str">
        <f t="shared" ca="1" si="0"/>
        <v/>
      </c>
      <c r="L5" s="979" t="s">
        <v>836</v>
      </c>
      <c r="M5" s="1247"/>
      <c r="N5" s="1247"/>
      <c r="O5" s="443"/>
      <c r="P5" s="443"/>
      <c r="R5" s="979" t="s">
        <v>818</v>
      </c>
      <c r="S5" s="1247"/>
      <c r="T5" s="1247"/>
      <c r="U5" s="443"/>
      <c r="V5" s="443"/>
      <c r="W5" s="445"/>
      <c r="X5" s="979" t="s">
        <v>777</v>
      </c>
      <c r="Y5" s="1247"/>
      <c r="Z5" s="1247"/>
      <c r="AA5" s="443"/>
      <c r="AH5" s="981"/>
      <c r="AI5" s="981"/>
      <c r="AJ5" s="981"/>
      <c r="AN5" s="494" t="s">
        <v>839</v>
      </c>
      <c r="AO5" s="494" t="s">
        <v>840</v>
      </c>
      <c r="AP5" s="494" t="s">
        <v>841</v>
      </c>
      <c r="AQ5" s="496" t="s">
        <v>793</v>
      </c>
      <c r="AR5" s="494" t="s">
        <v>842</v>
      </c>
      <c r="AS5" s="494" t="s">
        <v>843</v>
      </c>
      <c r="AT5" s="494" t="s">
        <v>844</v>
      </c>
      <c r="AU5" s="496" t="s">
        <v>793</v>
      </c>
      <c r="AV5" s="494" t="s">
        <v>845</v>
      </c>
      <c r="AW5" s="494" t="s">
        <v>846</v>
      </c>
      <c r="AX5" s="494" t="s">
        <v>847</v>
      </c>
      <c r="AY5" s="496" t="s">
        <v>793</v>
      </c>
    </row>
    <row r="6" spans="1:51" ht="15.95" customHeight="1" thickBot="1" x14ac:dyDescent="0.25">
      <c r="A6" s="435">
        <v>2</v>
      </c>
      <c r="B6" s="444" t="str">
        <f t="shared" ref="B6:B12" ca="1" si="1">INDIRECT("'Imp. Qualif.'!L"&amp;INDIRECT("f"&amp;ROW()))</f>
        <v/>
      </c>
      <c r="C6" s="444" t="str">
        <f t="shared" ref="C6:C12" ca="1" si="2">INDIRECT("'Imp. Qualif.'!M"&amp;INDIRECT("f"&amp;ROW()))</f>
        <v/>
      </c>
      <c r="D6" s="444" t="str">
        <f t="shared" ref="D6:D12" ca="1" si="3">INDIRECT("'Imp. Qualif.'!N"&amp;INDIRECT("f"&amp;ROW()))</f>
        <v/>
      </c>
      <c r="E6" s="486">
        <f t="shared" ref="E6:E12" ca="1" si="4">INDIRECT("'Imp. Qualif.'!O"&amp;INDIRECT("f"&amp;ROW()))</f>
        <v>0</v>
      </c>
      <c r="F6" s="489">
        <v>12</v>
      </c>
      <c r="G6" s="488" t="str">
        <f t="shared" ref="G6:G28" ca="1" si="5">B6&amp;C6</f>
        <v/>
      </c>
      <c r="H6" s="898" t="str">
        <f t="shared" ref="H6:H28" ca="1" si="6">IF(B6&lt;&gt;"",B6,"")</f>
        <v/>
      </c>
      <c r="I6" s="898" t="str">
        <f t="shared" ref="I6:I28" ca="1" si="7">IF(C6&lt;&gt;"",C6,"")</f>
        <v/>
      </c>
      <c r="J6" s="898" t="str">
        <f t="shared" ref="J6:J28" ca="1" si="8">IF(D6&lt;&gt;"",D6,"")</f>
        <v/>
      </c>
      <c r="K6" s="445" t="s">
        <v>779</v>
      </c>
      <c r="L6" s="463"/>
      <c r="M6" s="456" t="s">
        <v>481</v>
      </c>
      <c r="N6" s="464" t="s">
        <v>780</v>
      </c>
      <c r="O6" s="446" t="s">
        <v>781</v>
      </c>
      <c r="P6" s="445"/>
      <c r="Q6" s="445" t="s">
        <v>779</v>
      </c>
      <c r="R6" s="463"/>
      <c r="S6" s="456" t="s">
        <v>481</v>
      </c>
      <c r="T6" s="464" t="s">
        <v>780</v>
      </c>
      <c r="U6" s="446" t="s">
        <v>781</v>
      </c>
      <c r="V6" s="445"/>
      <c r="W6" s="445" t="s">
        <v>779</v>
      </c>
      <c r="X6" s="463">
        <v>1</v>
      </c>
      <c r="Y6" s="456" t="s">
        <v>481</v>
      </c>
      <c r="Z6" s="464" t="s">
        <v>780</v>
      </c>
      <c r="AA6" s="446" t="s">
        <v>781</v>
      </c>
      <c r="AH6" s="483" t="s">
        <v>782</v>
      </c>
      <c r="AI6" s="484" t="s">
        <v>375</v>
      </c>
      <c r="AJ6" s="485" t="s">
        <v>783</v>
      </c>
      <c r="AN6" s="494">
        <f>K7</f>
        <v>1</v>
      </c>
      <c r="AO6" s="495" t="str">
        <f ca="1">L8</f>
        <v/>
      </c>
      <c r="AP6" s="495" t="str">
        <f ca="1">AO7</f>
        <v/>
      </c>
      <c r="AQ6" s="496" t="s">
        <v>793</v>
      </c>
      <c r="AR6" s="494">
        <f>Q7</f>
        <v>1</v>
      </c>
      <c r="AS6" s="495" t="str">
        <f>R8</f>
        <v/>
      </c>
      <c r="AT6" s="495" t="str">
        <f>AS7</f>
        <v/>
      </c>
      <c r="AU6" s="496" t="s">
        <v>793</v>
      </c>
      <c r="AV6" s="494">
        <f>W7</f>
        <v>1</v>
      </c>
      <c r="AW6" s="495" t="str">
        <f>X8</f>
        <v/>
      </c>
      <c r="AX6" s="495" t="str">
        <f>AW7</f>
        <v/>
      </c>
      <c r="AY6" s="496" t="s">
        <v>793</v>
      </c>
    </row>
    <row r="7" spans="1:51" ht="15.95" customHeight="1" thickBot="1" x14ac:dyDescent="0.25">
      <c r="A7" s="435">
        <v>3</v>
      </c>
      <c r="B7" s="444" t="str">
        <f t="shared" ca="1" si="1"/>
        <v/>
      </c>
      <c r="C7" s="444" t="str">
        <f t="shared" ca="1" si="2"/>
        <v/>
      </c>
      <c r="D7" s="444" t="str">
        <f t="shared" ca="1" si="3"/>
        <v/>
      </c>
      <c r="E7" s="486">
        <f t="shared" ca="1" si="4"/>
        <v>0</v>
      </c>
      <c r="F7" s="489">
        <v>13</v>
      </c>
      <c r="G7" s="488" t="str">
        <f t="shared" ca="1" si="5"/>
        <v/>
      </c>
      <c r="H7" s="898" t="str">
        <f t="shared" ca="1" si="6"/>
        <v/>
      </c>
      <c r="I7" s="898" t="str">
        <f t="shared" ca="1" si="7"/>
        <v/>
      </c>
      <c r="J7" s="898" t="str">
        <f t="shared" ca="1" si="8"/>
        <v/>
      </c>
      <c r="K7" s="447">
        <f>Num_Cible</f>
        <v>1</v>
      </c>
      <c r="L7" s="472">
        <v>1</v>
      </c>
      <c r="M7" s="465" t="str">
        <f ca="1">IFERROR(VLOOKUP(L8,$G$5:$J$28,2,FALSE),"")</f>
        <v/>
      </c>
      <c r="N7" s="966"/>
      <c r="O7" s="780"/>
      <c r="Q7" s="447">
        <f>K7</f>
        <v>1</v>
      </c>
      <c r="R7" s="472">
        <v>1</v>
      </c>
      <c r="S7" s="465" t="str">
        <f ca="1">IFERROR(VLOOKUP(R8,$G$5:$J$28,2,FALSE),"")</f>
        <v/>
      </c>
      <c r="T7" s="966"/>
      <c r="U7" s="780"/>
      <c r="W7" s="447">
        <f>Q7</f>
        <v>1</v>
      </c>
      <c r="X7" s="472">
        <v>1</v>
      </c>
      <c r="Y7" s="465" t="str">
        <f ca="1">IFERROR(VLOOKUP(X8,$G$5:$J$28,2,FALSE),"")</f>
        <v/>
      </c>
      <c r="Z7" s="966"/>
      <c r="AA7" s="780"/>
      <c r="AF7" s="448" t="s">
        <v>784</v>
      </c>
      <c r="AG7" s="435" t="str">
        <f>IF(ISBLANK(Z7),"",IF(Z7+AA7&gt;Z9+AA9,X8,X10))</f>
        <v/>
      </c>
      <c r="AH7" s="475" t="str">
        <f ca="1">IFERROR(VLOOKUP(AG7,$G$5:$J$28,2,FALSE),"")</f>
        <v/>
      </c>
      <c r="AI7" s="475" t="str">
        <f ca="1">IFERROR(VLOOKUP(AG7,$G$5:$J$28,3,FALSE),"")</f>
        <v/>
      </c>
      <c r="AJ7" s="475" t="str">
        <f ca="1">IFERROR(VLOOKUP(AG7,$G$5:$J$28,4,FALSE),"")</f>
        <v/>
      </c>
      <c r="AN7" s="494">
        <f>K9</f>
        <v>2</v>
      </c>
      <c r="AO7" s="495" t="str">
        <f ca="1">L10</f>
        <v/>
      </c>
      <c r="AP7" s="495" t="str">
        <f ca="1">AO6</f>
        <v/>
      </c>
      <c r="AQ7" s="496" t="s">
        <v>793</v>
      </c>
      <c r="AR7" s="494">
        <f>Q9</f>
        <v>2</v>
      </c>
      <c r="AS7" s="495" t="str">
        <f>R10</f>
        <v/>
      </c>
      <c r="AT7" s="495" t="str">
        <f>AS6</f>
        <v/>
      </c>
      <c r="AU7" s="496" t="s">
        <v>793</v>
      </c>
      <c r="AV7" s="494">
        <f>W9</f>
        <v>2</v>
      </c>
      <c r="AW7" s="495" t="str">
        <f>X10</f>
        <v/>
      </c>
      <c r="AX7" s="495" t="str">
        <f>AW6</f>
        <v/>
      </c>
      <c r="AY7" s="496" t="s">
        <v>793</v>
      </c>
    </row>
    <row r="8" spans="1:51" ht="15.95" customHeight="1" thickBot="1" x14ac:dyDescent="0.25">
      <c r="A8" s="435">
        <v>4</v>
      </c>
      <c r="B8" s="444" t="str">
        <f t="shared" ca="1" si="1"/>
        <v/>
      </c>
      <c r="C8" s="444" t="str">
        <f t="shared" ca="1" si="2"/>
        <v/>
      </c>
      <c r="D8" s="444" t="str">
        <f t="shared" ca="1" si="3"/>
        <v/>
      </c>
      <c r="E8" s="486">
        <f t="shared" ca="1" si="4"/>
        <v>0</v>
      </c>
      <c r="F8" s="489">
        <v>14</v>
      </c>
      <c r="G8" s="488" t="str">
        <f t="shared" ca="1" si="5"/>
        <v/>
      </c>
      <c r="H8" s="898" t="str">
        <f t="shared" ca="1" si="6"/>
        <v/>
      </c>
      <c r="I8" s="898" t="str">
        <f t="shared" ca="1" si="7"/>
        <v/>
      </c>
      <c r="J8" s="898" t="str">
        <f t="shared" ca="1" si="8"/>
        <v/>
      </c>
      <c r="K8" s="447"/>
      <c r="L8" s="473" t="str">
        <f ca="1">VLOOKUP(L7,$A$5:$G$24,7,FALSE)</f>
        <v/>
      </c>
      <c r="M8" s="466" t="str">
        <f ca="1">IFERROR(VLOOKUP(L8,$G$5:$J$28,3,FALSE),"")</f>
        <v/>
      </c>
      <c r="N8" s="967"/>
      <c r="Q8" s="447"/>
      <c r="R8" s="473" t="str">
        <f>IF(ISBLANK(N7),"",IF(O7+N7&gt;N9+O9,L8,L10))</f>
        <v/>
      </c>
      <c r="S8" s="466" t="str">
        <f ca="1">IFERROR(VLOOKUP(R8,$G$5:$J$28,3,FALSE),"")</f>
        <v/>
      </c>
      <c r="T8" s="967"/>
      <c r="W8" s="447"/>
      <c r="X8" s="473" t="str">
        <f>IF(ISBLANK(T7),"",IF(U7+T7&gt;T9+U9,R8,R10))</f>
        <v/>
      </c>
      <c r="Y8" s="466" t="str">
        <f ca="1">IFERROR(VLOOKUP(X8,$G$5:$J$28,3,FALSE),"")</f>
        <v/>
      </c>
      <c r="Z8" s="967"/>
      <c r="AF8" s="449" t="s">
        <v>785</v>
      </c>
      <c r="AG8" s="435" t="str">
        <f>IF(ISBLANK(Z7),"",IF(Z7+AA7&lt;Z9+AA9,X8,X10))</f>
        <v/>
      </c>
      <c r="AH8" s="478" t="str">
        <f t="shared" ref="AH8:AH14" ca="1" si="9">IFERROR(VLOOKUP(AG8,$G$5:$J$28,2,FALSE),"")</f>
        <v/>
      </c>
      <c r="AI8" s="474" t="str">
        <f t="shared" ref="AI8:AI14" ca="1" si="10">IFERROR(VLOOKUP(AG8,$G$5:$J$28,3,FALSE),"")</f>
        <v/>
      </c>
      <c r="AJ8" s="915" t="str">
        <f t="shared" ref="AJ8:AJ14" ca="1" si="11">IFERROR(VLOOKUP(AG8,$G$5:$J$28,4,FALSE),"")</f>
        <v/>
      </c>
      <c r="AN8" s="494">
        <f>K14</f>
        <v>3</v>
      </c>
      <c r="AO8" s="495" t="str">
        <f ca="1">L15</f>
        <v/>
      </c>
      <c r="AP8" s="495" t="str">
        <f t="shared" ref="AP8" ca="1" si="12">AO9</f>
        <v/>
      </c>
      <c r="AQ8" s="496" t="s">
        <v>793</v>
      </c>
      <c r="AR8" s="494">
        <f>Q14</f>
        <v>3</v>
      </c>
      <c r="AS8" s="495" t="str">
        <f>R15</f>
        <v/>
      </c>
      <c r="AT8" s="495" t="str">
        <f t="shared" ref="AT8" si="13">AS9</f>
        <v/>
      </c>
      <c r="AU8" s="496" t="s">
        <v>793</v>
      </c>
      <c r="AV8" s="494">
        <f>W14</f>
        <v>3</v>
      </c>
      <c r="AW8" s="495" t="str">
        <f>X15</f>
        <v/>
      </c>
      <c r="AX8" s="495" t="str">
        <f t="shared" ref="AX8" si="14">AW9</f>
        <v/>
      </c>
      <c r="AY8" s="496" t="s">
        <v>793</v>
      </c>
    </row>
    <row r="9" spans="1:51" ht="15.95" customHeight="1" thickBot="1" x14ac:dyDescent="0.25">
      <c r="A9" s="435">
        <v>5</v>
      </c>
      <c r="B9" s="444" t="str">
        <f t="shared" ca="1" si="1"/>
        <v/>
      </c>
      <c r="C9" s="444" t="str">
        <f t="shared" ca="1" si="2"/>
        <v/>
      </c>
      <c r="D9" s="444" t="str">
        <f t="shared" ca="1" si="3"/>
        <v/>
      </c>
      <c r="E9" s="486">
        <f t="shared" ca="1" si="4"/>
        <v>0</v>
      </c>
      <c r="F9" s="489">
        <v>15</v>
      </c>
      <c r="G9" s="488" t="str">
        <f t="shared" ca="1" si="5"/>
        <v/>
      </c>
      <c r="H9" s="898" t="str">
        <f t="shared" ca="1" si="6"/>
        <v/>
      </c>
      <c r="I9" s="898" t="str">
        <f t="shared" ca="1" si="7"/>
        <v/>
      </c>
      <c r="J9" s="898" t="str">
        <f t="shared" ca="1" si="8"/>
        <v/>
      </c>
      <c r="K9" s="447">
        <f>K7+1</f>
        <v>2</v>
      </c>
      <c r="L9" s="472">
        <v>8</v>
      </c>
      <c r="M9" s="465" t="str">
        <f ca="1">IFERROR(VLOOKUP(L10,$G$5:$J$28,2,FALSE),"")</f>
        <v/>
      </c>
      <c r="N9" s="966"/>
      <c r="O9" s="780"/>
      <c r="Q9" s="447">
        <f>Q7+1</f>
        <v>2</v>
      </c>
      <c r="R9" s="472">
        <v>4</v>
      </c>
      <c r="S9" s="465" t="str">
        <f ca="1">IFERROR(VLOOKUP(R10,$G$5:$J$28,2,FALSE),"")</f>
        <v/>
      </c>
      <c r="T9" s="966"/>
      <c r="U9" s="780"/>
      <c r="W9" s="447">
        <f>W7+1</f>
        <v>2</v>
      </c>
      <c r="X9" s="472">
        <v>2</v>
      </c>
      <c r="Y9" s="465" t="str">
        <f ca="1">IFERROR(VLOOKUP(X10,$G$5:$J$28,2,FALSE),"")</f>
        <v/>
      </c>
      <c r="Z9" s="966"/>
      <c r="AA9" s="780"/>
      <c r="AF9" s="452" t="s">
        <v>786</v>
      </c>
      <c r="AG9" s="435" t="str">
        <f>IF(ISBLANK(Z14),"",IF(Z14+AA14&gt;Z16+AA16,X15,X17))</f>
        <v/>
      </c>
      <c r="AH9" s="478" t="str">
        <f t="shared" ca="1" si="9"/>
        <v/>
      </c>
      <c r="AI9" s="474" t="str">
        <f t="shared" ca="1" si="10"/>
        <v/>
      </c>
      <c r="AJ9" s="915" t="str">
        <f t="shared" ca="1" si="11"/>
        <v/>
      </c>
      <c r="AN9" s="494">
        <f>K16</f>
        <v>4</v>
      </c>
      <c r="AO9" s="495" t="str">
        <f ca="1">L17</f>
        <v/>
      </c>
      <c r="AP9" s="495" t="str">
        <f t="shared" ref="AP9" ca="1" si="15">AO8</f>
        <v/>
      </c>
      <c r="AQ9" s="496" t="s">
        <v>793</v>
      </c>
      <c r="AR9" s="494">
        <f>Q16</f>
        <v>4</v>
      </c>
      <c r="AS9" s="495" t="str">
        <f>R17</f>
        <v/>
      </c>
      <c r="AT9" s="495" t="str">
        <f t="shared" ref="AT9" si="16">AS8</f>
        <v/>
      </c>
      <c r="AU9" s="496" t="s">
        <v>793</v>
      </c>
      <c r="AV9" s="494">
        <f>W16</f>
        <v>4</v>
      </c>
      <c r="AW9" s="495" t="str">
        <f>X17</f>
        <v/>
      </c>
      <c r="AX9" s="495" t="str">
        <f t="shared" ref="AX9" si="17">AW8</f>
        <v/>
      </c>
      <c r="AY9" s="496" t="s">
        <v>793</v>
      </c>
    </row>
    <row r="10" spans="1:51" ht="15.95" customHeight="1" thickBot="1" x14ac:dyDescent="0.25">
      <c r="A10" s="435">
        <v>6</v>
      </c>
      <c r="B10" s="444" t="str">
        <f t="shared" ca="1" si="1"/>
        <v/>
      </c>
      <c r="C10" s="444" t="str">
        <f t="shared" ca="1" si="2"/>
        <v/>
      </c>
      <c r="D10" s="444" t="str">
        <f t="shared" ca="1" si="3"/>
        <v/>
      </c>
      <c r="E10" s="486">
        <f t="shared" ca="1" si="4"/>
        <v>0</v>
      </c>
      <c r="F10" s="489">
        <v>16</v>
      </c>
      <c r="G10" s="488" t="str">
        <f t="shared" ca="1" si="5"/>
        <v/>
      </c>
      <c r="H10" s="898" t="str">
        <f t="shared" ca="1" si="6"/>
        <v/>
      </c>
      <c r="I10" s="898" t="str">
        <f t="shared" ca="1" si="7"/>
        <v/>
      </c>
      <c r="J10" s="898" t="str">
        <f t="shared" ca="1" si="8"/>
        <v/>
      </c>
      <c r="K10" s="447"/>
      <c r="L10" s="473" t="str">
        <f ca="1">VLOOKUP(L9,$A$5:$G$24,7,FALSE)</f>
        <v/>
      </c>
      <c r="M10" s="466" t="str">
        <f ca="1">IFERROR(VLOOKUP(L10,$G$5:$J$28,3,FALSE),"")</f>
        <v/>
      </c>
      <c r="N10" s="967"/>
      <c r="Q10" s="447"/>
      <c r="R10" s="473" t="str">
        <f>IF(ISBLANK(N14),"",IF(O14+N14&gt;N16+O16,L15,L17))</f>
        <v/>
      </c>
      <c r="S10" s="466" t="str">
        <f ca="1">IFERROR(VLOOKUP(R10,$G$5:$J$28,3,FALSE),"")</f>
        <v/>
      </c>
      <c r="T10" s="967"/>
      <c r="W10" s="447"/>
      <c r="X10" s="473" t="str">
        <f>IF(ISBLANK(T14),"",IF(U14+T14&gt;T16+U16,R15,R17))</f>
        <v/>
      </c>
      <c r="Y10" s="466" t="str">
        <f ca="1">IFERROR(VLOOKUP(X10,$G$5:$J$28,3,FALSE),"")</f>
        <v/>
      </c>
      <c r="Z10" s="967"/>
      <c r="AF10" s="453" t="s">
        <v>788</v>
      </c>
      <c r="AG10" s="435" t="str">
        <f>IF(ISBLANK(Z14),"",IF(Z14+AA14&lt;Z16+AA16,X15,X17))</f>
        <v/>
      </c>
      <c r="AH10" s="478" t="str">
        <f t="shared" ca="1" si="9"/>
        <v/>
      </c>
      <c r="AI10" s="474" t="str">
        <f t="shared" ca="1" si="10"/>
        <v/>
      </c>
      <c r="AJ10" s="915" t="str">
        <f t="shared" ca="1" si="11"/>
        <v/>
      </c>
      <c r="AN10" s="494">
        <f>K21</f>
        <v>5</v>
      </c>
      <c r="AO10" s="495" t="str">
        <f ca="1">L22</f>
        <v/>
      </c>
      <c r="AP10" s="495" t="str">
        <f t="shared" ref="AP10" ca="1" si="18">AO11</f>
        <v/>
      </c>
      <c r="AQ10" s="496" t="s">
        <v>793</v>
      </c>
      <c r="AR10" s="494">
        <f>Q21</f>
        <v>5</v>
      </c>
      <c r="AS10" s="495" t="str">
        <f>R22</f>
        <v/>
      </c>
      <c r="AT10" s="495" t="str">
        <f t="shared" ref="AT10" si="19">AS11</f>
        <v/>
      </c>
      <c r="AU10" s="496" t="s">
        <v>793</v>
      </c>
      <c r="AV10" s="494">
        <f>W21</f>
        <v>5</v>
      </c>
      <c r="AW10" s="495" t="str">
        <f>X22</f>
        <v/>
      </c>
      <c r="AX10" s="495" t="str">
        <f t="shared" ref="AX10" si="20">AW11</f>
        <v/>
      </c>
      <c r="AY10" s="496" t="s">
        <v>793</v>
      </c>
    </row>
    <row r="11" spans="1:51" ht="15.95" customHeight="1" x14ac:dyDescent="0.2">
      <c r="A11" s="435">
        <v>7</v>
      </c>
      <c r="B11" s="444" t="str">
        <f t="shared" ca="1" si="1"/>
        <v/>
      </c>
      <c r="C11" s="444" t="str">
        <f t="shared" ca="1" si="2"/>
        <v/>
      </c>
      <c r="D11" s="444" t="str">
        <f t="shared" ca="1" si="3"/>
        <v/>
      </c>
      <c r="E11" s="486">
        <f t="shared" ca="1" si="4"/>
        <v>0</v>
      </c>
      <c r="F11" s="489">
        <v>17</v>
      </c>
      <c r="G11" s="488" t="str">
        <f t="shared" ca="1" si="5"/>
        <v/>
      </c>
      <c r="H11" s="898" t="str">
        <f t="shared" ca="1" si="6"/>
        <v/>
      </c>
      <c r="I11" s="898" t="str">
        <f t="shared" ca="1" si="7"/>
        <v/>
      </c>
      <c r="J11" s="898" t="str">
        <f t="shared" ca="1" si="8"/>
        <v/>
      </c>
      <c r="K11" s="450"/>
      <c r="L11" s="450"/>
      <c r="M11" s="450"/>
      <c r="N11" s="451"/>
      <c r="O11" s="450"/>
      <c r="P11" s="450"/>
      <c r="Q11" s="450"/>
      <c r="R11" s="437"/>
      <c r="S11" s="437"/>
      <c r="T11" s="451"/>
      <c r="U11" s="450"/>
      <c r="V11" s="450"/>
      <c r="W11" s="450"/>
      <c r="X11" s="450"/>
      <c r="Y11" s="450"/>
      <c r="Z11" s="451"/>
      <c r="AA11" s="450"/>
      <c r="AF11" s="453" t="s">
        <v>789</v>
      </c>
      <c r="AG11" s="435" t="str">
        <f>IF(ISBLANK(Z21),"",IF(Z21+AA21&gt;Z23+AA23,X22,X24))</f>
        <v/>
      </c>
      <c r="AH11" s="478" t="str">
        <f t="shared" ca="1" si="9"/>
        <v/>
      </c>
      <c r="AI11" s="474" t="str">
        <f t="shared" ca="1" si="10"/>
        <v/>
      </c>
      <c r="AJ11" s="915" t="str">
        <f t="shared" ca="1" si="11"/>
        <v/>
      </c>
      <c r="AN11" s="494">
        <f>K23</f>
        <v>6</v>
      </c>
      <c r="AO11" s="495" t="str">
        <f ca="1">L24</f>
        <v/>
      </c>
      <c r="AP11" s="495" t="str">
        <f t="shared" ref="AP11" ca="1" si="21">AO10</f>
        <v/>
      </c>
      <c r="AQ11" s="496" t="s">
        <v>793</v>
      </c>
      <c r="AR11" s="494">
        <f>Q23</f>
        <v>6</v>
      </c>
      <c r="AS11" s="495" t="str">
        <f>R24</f>
        <v/>
      </c>
      <c r="AT11" s="495" t="str">
        <f t="shared" ref="AT11" si="22">AS10</f>
        <v/>
      </c>
      <c r="AU11" s="496" t="s">
        <v>793</v>
      </c>
      <c r="AV11" s="494">
        <f>W23</f>
        <v>6</v>
      </c>
      <c r="AW11" s="495" t="str">
        <f>X24</f>
        <v/>
      </c>
      <c r="AX11" s="495" t="str">
        <f t="shared" ref="AX11" si="23">AW10</f>
        <v/>
      </c>
      <c r="AY11" s="496" t="s">
        <v>793</v>
      </c>
    </row>
    <row r="12" spans="1:51" ht="15.95" customHeight="1" thickBot="1" x14ac:dyDescent="0.25">
      <c r="A12" s="435">
        <v>8</v>
      </c>
      <c r="B12" s="444" t="str">
        <f t="shared" ca="1" si="1"/>
        <v/>
      </c>
      <c r="C12" s="444" t="str">
        <f t="shared" ca="1" si="2"/>
        <v/>
      </c>
      <c r="D12" s="444" t="str">
        <f t="shared" ca="1" si="3"/>
        <v/>
      </c>
      <c r="E12" s="486">
        <f t="shared" ca="1" si="4"/>
        <v>0</v>
      </c>
      <c r="F12" s="489">
        <v>18</v>
      </c>
      <c r="G12" s="488" t="str">
        <f t="shared" ca="1" si="5"/>
        <v/>
      </c>
      <c r="H12" s="898" t="str">
        <f t="shared" ca="1" si="6"/>
        <v/>
      </c>
      <c r="I12" s="898" t="str">
        <f t="shared" ca="1" si="7"/>
        <v/>
      </c>
      <c r="J12" s="898" t="str">
        <f t="shared" ca="1" si="8"/>
        <v/>
      </c>
      <c r="K12" s="450"/>
      <c r="L12" s="450"/>
      <c r="M12" s="450"/>
      <c r="N12" s="451"/>
      <c r="O12" s="450"/>
      <c r="P12" s="450"/>
      <c r="Q12" s="450"/>
      <c r="R12" s="437"/>
      <c r="S12" s="437"/>
      <c r="T12" s="451"/>
      <c r="U12" s="450"/>
      <c r="V12" s="450"/>
      <c r="W12" s="450"/>
      <c r="X12" s="979" t="s">
        <v>787</v>
      </c>
      <c r="Y12" s="1247"/>
      <c r="Z12" s="1247"/>
      <c r="AA12" s="450"/>
      <c r="AF12" s="453" t="s">
        <v>790</v>
      </c>
      <c r="AG12" s="435" t="str">
        <f>IF(ISBLANK(Z21),"",IF(Z21+AA21&lt;Z23+AA23,X22,X24))</f>
        <v/>
      </c>
      <c r="AH12" s="478" t="str">
        <f t="shared" ca="1" si="9"/>
        <v/>
      </c>
      <c r="AI12" s="474" t="str">
        <f t="shared" ca="1" si="10"/>
        <v/>
      </c>
      <c r="AJ12" s="915" t="str">
        <f t="shared" ca="1" si="11"/>
        <v/>
      </c>
      <c r="AN12" s="494">
        <f>K28</f>
        <v>7</v>
      </c>
      <c r="AO12" s="495" t="str">
        <f ca="1">L29</f>
        <v/>
      </c>
      <c r="AP12" s="495" t="str">
        <f t="shared" ref="AP12" ca="1" si="24">AO13</f>
        <v/>
      </c>
      <c r="AQ12" s="496" t="s">
        <v>793</v>
      </c>
      <c r="AR12" s="494">
        <f>Q28</f>
        <v>7</v>
      </c>
      <c r="AS12" s="495" t="str">
        <f>R29</f>
        <v/>
      </c>
      <c r="AT12" s="495" t="str">
        <f t="shared" ref="AT12" si="25">AS13</f>
        <v/>
      </c>
      <c r="AU12" s="496" t="s">
        <v>793</v>
      </c>
      <c r="AV12" s="494">
        <f>W28</f>
        <v>7</v>
      </c>
      <c r="AW12" s="495" t="str">
        <f>X29</f>
        <v/>
      </c>
      <c r="AX12" s="495" t="str">
        <f t="shared" ref="AX12" si="26">AW13</f>
        <v/>
      </c>
      <c r="AY12" s="496" t="s">
        <v>793</v>
      </c>
    </row>
    <row r="13" spans="1:51" ht="15.95" customHeight="1" thickBot="1" x14ac:dyDescent="0.25">
      <c r="F13" s="489">
        <v>19</v>
      </c>
      <c r="G13" s="488" t="str">
        <f t="shared" si="5"/>
        <v/>
      </c>
      <c r="H13" s="898" t="str">
        <f t="shared" si="6"/>
        <v/>
      </c>
      <c r="I13" s="898" t="str">
        <f t="shared" si="7"/>
        <v/>
      </c>
      <c r="J13" s="898" t="str">
        <f t="shared" si="8"/>
        <v/>
      </c>
      <c r="K13" s="445" t="s">
        <v>779</v>
      </c>
      <c r="L13" s="463"/>
      <c r="M13" s="456" t="s">
        <v>481</v>
      </c>
      <c r="N13" s="464" t="s">
        <v>780</v>
      </c>
      <c r="O13" s="446" t="s">
        <v>781</v>
      </c>
      <c r="P13" s="445"/>
      <c r="Q13" s="445" t="s">
        <v>779</v>
      </c>
      <c r="R13" s="463"/>
      <c r="S13" s="456" t="s">
        <v>481</v>
      </c>
      <c r="T13" s="464" t="s">
        <v>780</v>
      </c>
      <c r="U13" s="446" t="s">
        <v>781</v>
      </c>
      <c r="V13" s="445"/>
      <c r="W13" s="445" t="s">
        <v>779</v>
      </c>
      <c r="X13" s="463">
        <v>3</v>
      </c>
      <c r="Y13" s="456" t="s">
        <v>481</v>
      </c>
      <c r="Z13" s="464" t="s">
        <v>780</v>
      </c>
      <c r="AA13" s="446" t="s">
        <v>781</v>
      </c>
      <c r="AF13" s="453" t="s">
        <v>791</v>
      </c>
      <c r="AG13" s="435" t="str">
        <f>IF(ISBLANK(Z28),"",IF(Z28+AA28&gt;Z30+AA30,X29,X31))</f>
        <v/>
      </c>
      <c r="AH13" s="478" t="str">
        <f t="shared" ca="1" si="9"/>
        <v/>
      </c>
      <c r="AI13" s="474" t="str">
        <f t="shared" ca="1" si="10"/>
        <v/>
      </c>
      <c r="AJ13" s="915" t="str">
        <f t="shared" ca="1" si="11"/>
        <v/>
      </c>
      <c r="AN13" s="494">
        <f>K30</f>
        <v>8</v>
      </c>
      <c r="AO13" s="495" t="str">
        <f ca="1">L31</f>
        <v/>
      </c>
      <c r="AP13" s="495" t="str">
        <f t="shared" ref="AP13" ca="1" si="27">AO12</f>
        <v/>
      </c>
      <c r="AQ13" s="496" t="s">
        <v>793</v>
      </c>
      <c r="AR13" s="494">
        <f>Q30</f>
        <v>8</v>
      </c>
      <c r="AS13" s="495" t="str">
        <f>R31</f>
        <v/>
      </c>
      <c r="AT13" s="495" t="str">
        <f t="shared" ref="AT13" si="28">AS12</f>
        <v/>
      </c>
      <c r="AU13" s="496" t="s">
        <v>793</v>
      </c>
      <c r="AV13" s="494">
        <f>W30</f>
        <v>8</v>
      </c>
      <c r="AW13" s="495" t="str">
        <f>X31</f>
        <v/>
      </c>
      <c r="AX13" s="495" t="str">
        <f t="shared" ref="AX13" si="29">AW12</f>
        <v/>
      </c>
      <c r="AY13" s="496" t="s">
        <v>793</v>
      </c>
    </row>
    <row r="14" spans="1:51" ht="15.95" customHeight="1" thickBot="1" x14ac:dyDescent="0.25">
      <c r="F14" s="489">
        <v>20</v>
      </c>
      <c r="G14" s="488" t="str">
        <f t="shared" si="5"/>
        <v/>
      </c>
      <c r="H14" s="898" t="str">
        <f t="shared" si="6"/>
        <v/>
      </c>
      <c r="I14" s="898" t="str">
        <f t="shared" si="7"/>
        <v/>
      </c>
      <c r="J14" s="898" t="str">
        <f t="shared" si="8"/>
        <v/>
      </c>
      <c r="K14" s="447">
        <f>K9+1</f>
        <v>3</v>
      </c>
      <c r="L14" s="472">
        <v>4</v>
      </c>
      <c r="M14" s="465" t="str">
        <f ca="1">IFERROR(VLOOKUP(L15,$G$5:$J$28,2,FALSE),"")</f>
        <v/>
      </c>
      <c r="N14" s="966"/>
      <c r="O14" s="780"/>
      <c r="Q14" s="447">
        <f>Q9+1</f>
        <v>3</v>
      </c>
      <c r="R14" s="472">
        <v>3</v>
      </c>
      <c r="S14" s="465" t="str">
        <f ca="1">IFERROR(VLOOKUP(R15,$G$5:$J$28,2,FALSE),"")</f>
        <v/>
      </c>
      <c r="T14" s="966"/>
      <c r="U14" s="780"/>
      <c r="W14" s="447">
        <f>W9+1</f>
        <v>3</v>
      </c>
      <c r="X14" s="472">
        <v>4</v>
      </c>
      <c r="Y14" s="465" t="str">
        <f ca="1">IFERROR(VLOOKUP(X15,$G$5:$J$28,2,FALSE),"")</f>
        <v/>
      </c>
      <c r="Z14" s="966"/>
      <c r="AA14" s="780"/>
      <c r="AF14" s="453" t="s">
        <v>792</v>
      </c>
      <c r="AG14" s="435" t="str">
        <f>IF(ISBLANK(Z28),"",IF(Z28+AA28&lt;Z30+AA30,X29,X31))</f>
        <v/>
      </c>
      <c r="AH14" s="480" t="str">
        <f t="shared" ca="1" si="9"/>
        <v/>
      </c>
      <c r="AI14" s="481" t="str">
        <f t="shared" ca="1" si="10"/>
        <v/>
      </c>
      <c r="AJ14" s="916" t="str">
        <f t="shared" ca="1" si="11"/>
        <v/>
      </c>
      <c r="AN14" s="494"/>
      <c r="AO14" s="495"/>
      <c r="AP14" s="495"/>
      <c r="AQ14" s="496"/>
      <c r="AR14" s="494"/>
      <c r="AS14" s="495"/>
      <c r="AT14" s="495"/>
      <c r="AU14" s="496"/>
      <c r="AV14" s="494"/>
      <c r="AW14" s="495"/>
      <c r="AX14" s="495"/>
      <c r="AY14" s="496"/>
    </row>
    <row r="15" spans="1:51" ht="15.95" customHeight="1" thickBot="1" x14ac:dyDescent="0.25">
      <c r="F15" s="489">
        <v>21</v>
      </c>
      <c r="G15" s="488" t="str">
        <f t="shared" si="5"/>
        <v/>
      </c>
      <c r="H15" s="898" t="str">
        <f t="shared" si="6"/>
        <v/>
      </c>
      <c r="I15" s="898" t="str">
        <f t="shared" si="7"/>
        <v/>
      </c>
      <c r="J15" s="898" t="str">
        <f t="shared" si="8"/>
        <v/>
      </c>
      <c r="K15" s="447"/>
      <c r="L15" s="473" t="str">
        <f ca="1">VLOOKUP(L14,$A$5:$G$24,7,FALSE)</f>
        <v/>
      </c>
      <c r="M15" s="466" t="str">
        <f ca="1">IFERROR(VLOOKUP(L15,$G$5:$J$28,3,FALSE),"")</f>
        <v/>
      </c>
      <c r="N15" s="967"/>
      <c r="Q15" s="447"/>
      <c r="R15" s="473" t="str">
        <f>IF(ISBLANK(N21),"",IF(N21+O21&gt;N23+O23,L22,L24))</f>
        <v/>
      </c>
      <c r="S15" s="466" t="str">
        <f ca="1">IFERROR(VLOOKUP(R15,$G$5:$J$28,3,FALSE),"")</f>
        <v/>
      </c>
      <c r="T15" s="967"/>
      <c r="W15" s="447"/>
      <c r="X15" s="473" t="str">
        <f>IF(ISBLANK(T7),"",IF(U7+T7&lt;T9+U9,R8,R10))</f>
        <v/>
      </c>
      <c r="Y15" s="466" t="str">
        <f ca="1">IFERROR(VLOOKUP(X15,$G$5:$J$28,3,FALSE),"")</f>
        <v/>
      </c>
      <c r="Z15" s="967"/>
      <c r="AF15" s="453"/>
      <c r="AG15" s="453"/>
      <c r="AH15" s="453"/>
      <c r="AI15" s="453"/>
      <c r="AJ15" s="453"/>
      <c r="AN15" s="494"/>
      <c r="AO15" s="495"/>
      <c r="AP15" s="495"/>
      <c r="AQ15" s="496"/>
      <c r="AR15" s="494"/>
      <c r="AS15" s="495"/>
      <c r="AT15" s="495"/>
      <c r="AU15" s="496"/>
      <c r="AV15" s="494"/>
      <c r="AW15" s="495"/>
      <c r="AX15" s="495"/>
      <c r="AY15" s="496"/>
    </row>
    <row r="16" spans="1:51" ht="15.95" customHeight="1" thickBot="1" x14ac:dyDescent="0.25">
      <c r="F16" s="489">
        <v>22</v>
      </c>
      <c r="G16" s="488" t="str">
        <f t="shared" si="5"/>
        <v/>
      </c>
      <c r="H16" s="898" t="str">
        <f t="shared" si="6"/>
        <v/>
      </c>
      <c r="I16" s="898" t="str">
        <f t="shared" si="7"/>
        <v/>
      </c>
      <c r="J16" s="898" t="str">
        <f t="shared" si="8"/>
        <v/>
      </c>
      <c r="K16" s="447">
        <f>K14+1</f>
        <v>4</v>
      </c>
      <c r="L16" s="472">
        <v>5</v>
      </c>
      <c r="M16" s="465" t="str">
        <f ca="1">IFERROR(VLOOKUP(L17,$G$5:$J$28,2,FALSE),"")</f>
        <v/>
      </c>
      <c r="N16" s="966"/>
      <c r="O16" s="780"/>
      <c r="Q16" s="447">
        <f>Q14+1</f>
        <v>4</v>
      </c>
      <c r="R16" s="472">
        <v>2</v>
      </c>
      <c r="S16" s="465" t="str">
        <f ca="1">IFERROR(VLOOKUP(R17,$G$5:$J$28,2,FALSE),"")</f>
        <v/>
      </c>
      <c r="T16" s="966"/>
      <c r="U16" s="780"/>
      <c r="W16" s="447">
        <f>W14+1</f>
        <v>4</v>
      </c>
      <c r="X16" s="472">
        <v>3</v>
      </c>
      <c r="Y16" s="465" t="str">
        <f ca="1">IFERROR(VLOOKUP(X17,$G$5:$J$28,2,FALSE),"")</f>
        <v/>
      </c>
      <c r="Z16" s="966"/>
      <c r="AA16" s="780"/>
      <c r="AF16" s="453"/>
      <c r="AG16" s="453"/>
      <c r="AH16" s="453"/>
      <c r="AI16" s="453"/>
      <c r="AJ16" s="453"/>
      <c r="AN16" s="494"/>
      <c r="AO16" s="495"/>
      <c r="AP16" s="495"/>
      <c r="AQ16" s="496"/>
      <c r="AR16" s="494"/>
      <c r="AS16" s="495"/>
      <c r="AT16" s="495"/>
      <c r="AU16" s="496"/>
      <c r="AV16" s="494"/>
      <c r="AW16" s="495"/>
      <c r="AX16" s="495"/>
      <c r="AY16" s="496"/>
    </row>
    <row r="17" spans="6:51" ht="15.95" customHeight="1" thickBot="1" x14ac:dyDescent="0.25">
      <c r="F17" s="489">
        <v>23</v>
      </c>
      <c r="G17" s="488" t="str">
        <f t="shared" si="5"/>
        <v/>
      </c>
      <c r="H17" s="898" t="str">
        <f t="shared" si="6"/>
        <v/>
      </c>
      <c r="I17" s="898" t="str">
        <f t="shared" si="7"/>
        <v/>
      </c>
      <c r="J17" s="898" t="str">
        <f t="shared" si="8"/>
        <v/>
      </c>
      <c r="K17" s="447"/>
      <c r="L17" s="473" t="str">
        <f ca="1">VLOOKUP(L16,$A$5:$G$24,7,FALSE)</f>
        <v/>
      </c>
      <c r="M17" s="466" t="str">
        <f ca="1">IFERROR(VLOOKUP(L17,$G$5:$J$28,3,FALSE),"")</f>
        <v/>
      </c>
      <c r="N17" s="967"/>
      <c r="Q17" s="447"/>
      <c r="R17" s="473" t="str">
        <f>IF(ISBLANK(N28),"",IF(N28+O28&gt;N30+O30,L29,L31))</f>
        <v/>
      </c>
      <c r="S17" s="466" t="str">
        <f ca="1">IFERROR(VLOOKUP(R17,$G$5:$J$28,3,FALSE),"")</f>
        <v/>
      </c>
      <c r="T17" s="967"/>
      <c r="W17" s="447"/>
      <c r="X17" s="473" t="str">
        <f>IF(ISBLANK(T14),"",IF(U14+T14&lt;T16+U16,R15,R17))</f>
        <v/>
      </c>
      <c r="Y17" s="466" t="str">
        <f ca="1">IFERROR(VLOOKUP(X17,$G$5:$J$28,3,FALSE),"")</f>
        <v/>
      </c>
      <c r="Z17" s="967"/>
      <c r="AF17" s="453"/>
      <c r="AG17" s="453"/>
      <c r="AH17" s="453"/>
      <c r="AI17" s="453"/>
      <c r="AJ17" s="453"/>
      <c r="AN17" s="494"/>
      <c r="AO17" s="495"/>
      <c r="AP17" s="495"/>
      <c r="AQ17" s="496"/>
      <c r="AR17" s="494"/>
      <c r="AS17" s="495"/>
      <c r="AT17" s="495"/>
      <c r="AU17" s="496"/>
      <c r="AV17" s="494"/>
      <c r="AW17" s="495"/>
      <c r="AX17" s="495"/>
      <c r="AY17" s="496"/>
    </row>
    <row r="18" spans="6:51" ht="15.95" customHeight="1" x14ac:dyDescent="0.2">
      <c r="F18" s="489">
        <v>24</v>
      </c>
      <c r="G18" s="488" t="str">
        <f t="shared" si="5"/>
        <v/>
      </c>
      <c r="H18" s="898" t="str">
        <f t="shared" si="6"/>
        <v/>
      </c>
      <c r="I18" s="898" t="str">
        <f t="shared" si="7"/>
        <v/>
      </c>
      <c r="J18" s="898" t="str">
        <f t="shared" si="8"/>
        <v/>
      </c>
      <c r="K18" s="450"/>
      <c r="L18" s="450"/>
      <c r="M18" s="450"/>
      <c r="N18" s="451"/>
      <c r="O18" s="450"/>
      <c r="P18" s="450"/>
      <c r="Q18" s="450"/>
      <c r="R18" s="450"/>
      <c r="S18" s="450"/>
      <c r="T18" s="451"/>
      <c r="U18" s="450"/>
      <c r="V18" s="450"/>
      <c r="W18" s="450"/>
      <c r="X18" s="450"/>
      <c r="Y18" s="450"/>
      <c r="Z18" s="451"/>
      <c r="AA18" s="450"/>
      <c r="AF18" s="453"/>
      <c r="AG18" s="453"/>
      <c r="AH18" s="453"/>
      <c r="AI18" s="453"/>
      <c r="AJ18" s="453"/>
      <c r="AN18" s="494"/>
      <c r="AO18" s="495"/>
      <c r="AP18" s="495"/>
      <c r="AQ18" s="496"/>
      <c r="AR18" s="494"/>
      <c r="AS18" s="495"/>
      <c r="AT18" s="495"/>
      <c r="AU18" s="496"/>
      <c r="AV18" s="494"/>
      <c r="AW18" s="495"/>
      <c r="AX18" s="495"/>
      <c r="AY18" s="496"/>
    </row>
    <row r="19" spans="6:51" ht="15.95" customHeight="1" thickBot="1" x14ac:dyDescent="0.25">
      <c r="F19" s="489">
        <v>25</v>
      </c>
      <c r="G19" s="488" t="str">
        <f t="shared" si="5"/>
        <v/>
      </c>
      <c r="H19" s="898" t="str">
        <f t="shared" si="6"/>
        <v/>
      </c>
      <c r="I19" s="898" t="str">
        <f t="shared" si="7"/>
        <v/>
      </c>
      <c r="J19" s="898" t="str">
        <f t="shared" si="8"/>
        <v/>
      </c>
      <c r="K19" s="450"/>
      <c r="L19" s="454"/>
      <c r="M19" s="454"/>
      <c r="N19" s="455"/>
      <c r="O19" s="450"/>
      <c r="P19" s="450"/>
      <c r="Q19" s="450"/>
      <c r="R19" s="979" t="s">
        <v>819</v>
      </c>
      <c r="S19" s="1247"/>
      <c r="T19" s="1247"/>
      <c r="U19" s="450"/>
      <c r="V19" s="450"/>
      <c r="W19" s="450"/>
      <c r="X19" s="979" t="s">
        <v>820</v>
      </c>
      <c r="Y19" s="1247"/>
      <c r="Z19" s="1247"/>
      <c r="AA19" s="450"/>
      <c r="AB19" s="435" t="s">
        <v>793</v>
      </c>
      <c r="AF19" s="453"/>
      <c r="AG19" s="453"/>
      <c r="AH19" s="453"/>
      <c r="AI19" s="453"/>
      <c r="AJ19" s="453"/>
      <c r="AN19" s="494"/>
      <c r="AO19" s="495"/>
      <c r="AP19" s="495"/>
      <c r="AQ19" s="496"/>
      <c r="AR19" s="494"/>
      <c r="AS19" s="495"/>
      <c r="AT19" s="495"/>
      <c r="AU19" s="496"/>
      <c r="AV19" s="494"/>
      <c r="AW19" s="495"/>
      <c r="AX19" s="495"/>
      <c r="AY19" s="496"/>
    </row>
    <row r="20" spans="6:51" ht="15.95" customHeight="1" thickBot="1" x14ac:dyDescent="0.25">
      <c r="F20" s="489">
        <v>26</v>
      </c>
      <c r="G20" s="488" t="str">
        <f t="shared" si="5"/>
        <v/>
      </c>
      <c r="H20" s="898" t="str">
        <f t="shared" si="6"/>
        <v/>
      </c>
      <c r="I20" s="898" t="str">
        <f t="shared" si="7"/>
        <v/>
      </c>
      <c r="J20" s="898" t="str">
        <f t="shared" si="8"/>
        <v/>
      </c>
      <c r="K20" s="445" t="s">
        <v>779</v>
      </c>
      <c r="L20" s="463"/>
      <c r="M20" s="456" t="s">
        <v>481</v>
      </c>
      <c r="N20" s="464" t="s">
        <v>780</v>
      </c>
      <c r="O20" s="446" t="s">
        <v>781</v>
      </c>
      <c r="P20" s="445"/>
      <c r="Q20" s="445" t="s">
        <v>779</v>
      </c>
      <c r="R20" s="463"/>
      <c r="S20" s="456" t="s">
        <v>481</v>
      </c>
      <c r="T20" s="464" t="s">
        <v>780</v>
      </c>
      <c r="U20" s="446" t="s">
        <v>781</v>
      </c>
      <c r="V20" s="445"/>
      <c r="W20" s="445" t="s">
        <v>779</v>
      </c>
      <c r="X20" s="463">
        <v>5</v>
      </c>
      <c r="Y20" s="456" t="s">
        <v>481</v>
      </c>
      <c r="Z20" s="464" t="s">
        <v>780</v>
      </c>
      <c r="AA20" s="446" t="s">
        <v>781</v>
      </c>
      <c r="AF20" s="453"/>
      <c r="AG20" s="453"/>
      <c r="AH20" s="453"/>
      <c r="AI20" s="453"/>
      <c r="AJ20" s="453"/>
      <c r="AN20" s="494"/>
      <c r="AO20" s="495"/>
      <c r="AP20" s="495"/>
      <c r="AQ20" s="496"/>
      <c r="AR20" s="494"/>
      <c r="AS20" s="495"/>
      <c r="AT20" s="495"/>
      <c r="AU20" s="496"/>
      <c r="AV20" s="494"/>
      <c r="AW20" s="495"/>
      <c r="AX20" s="495"/>
      <c r="AY20" s="496"/>
    </row>
    <row r="21" spans="6:51" ht="15.95" customHeight="1" thickBot="1" x14ac:dyDescent="0.25">
      <c r="F21" s="489">
        <v>27</v>
      </c>
      <c r="G21" s="488" t="str">
        <f t="shared" si="5"/>
        <v/>
      </c>
      <c r="H21" s="898" t="str">
        <f t="shared" si="6"/>
        <v/>
      </c>
      <c r="I21" s="898" t="str">
        <f t="shared" si="7"/>
        <v/>
      </c>
      <c r="J21" s="898" t="str">
        <f t="shared" si="8"/>
        <v/>
      </c>
      <c r="K21" s="447">
        <f>K16+1</f>
        <v>5</v>
      </c>
      <c r="L21" s="472">
        <v>3</v>
      </c>
      <c r="M21" s="465" t="str">
        <f ca="1">IFERROR(VLOOKUP(L22,$G$5:$J$28,2,FALSE),"")</f>
        <v/>
      </c>
      <c r="N21" s="966"/>
      <c r="O21" s="780"/>
      <c r="Q21" s="447">
        <f>Q16+1</f>
        <v>5</v>
      </c>
      <c r="R21" s="472">
        <v>8</v>
      </c>
      <c r="S21" s="465" t="str">
        <f ca="1">IFERROR(VLOOKUP(R22,$G$5:$J$28,2,FALSE),"")</f>
        <v/>
      </c>
      <c r="T21" s="966"/>
      <c r="U21" s="780"/>
      <c r="W21" s="447">
        <f>W16+1</f>
        <v>5</v>
      </c>
      <c r="X21" s="472">
        <v>5</v>
      </c>
      <c r="Y21" s="465" t="str">
        <f ca="1">IFERROR(VLOOKUP(X22,$G$5:$J$28,2,FALSE),"")</f>
        <v/>
      </c>
      <c r="Z21" s="966"/>
      <c r="AA21" s="780"/>
      <c r="AF21" s="453"/>
      <c r="AG21" s="453"/>
      <c r="AH21" s="453"/>
      <c r="AI21" s="453"/>
      <c r="AJ21" s="453"/>
      <c r="AN21" s="494"/>
      <c r="AO21" s="495"/>
      <c r="AP21" s="495"/>
      <c r="AQ21" s="496"/>
      <c r="AR21" s="494"/>
      <c r="AS21" s="495"/>
      <c r="AT21" s="495"/>
      <c r="AU21" s="496"/>
      <c r="AV21" s="494"/>
      <c r="AW21" s="495"/>
      <c r="AX21" s="495"/>
      <c r="AY21" s="496"/>
    </row>
    <row r="22" spans="6:51" ht="15.95" customHeight="1" thickBot="1" x14ac:dyDescent="0.25">
      <c r="F22" s="489">
        <v>28</v>
      </c>
      <c r="G22" s="488" t="str">
        <f t="shared" si="5"/>
        <v/>
      </c>
      <c r="H22" s="898" t="str">
        <f t="shared" si="6"/>
        <v/>
      </c>
      <c r="I22" s="898" t="str">
        <f t="shared" si="7"/>
        <v/>
      </c>
      <c r="J22" s="898" t="str">
        <f t="shared" si="8"/>
        <v/>
      </c>
      <c r="K22" s="447"/>
      <c r="L22" s="473" t="str">
        <f ca="1">VLOOKUP(L21,$A$5:$G$24,7,FALSE)</f>
        <v/>
      </c>
      <c r="M22" s="466" t="str">
        <f ca="1">IFERROR(VLOOKUP(L22,$G$5:$J$28,3,FALSE),"")</f>
        <v/>
      </c>
      <c r="N22" s="967"/>
      <c r="Q22" s="447"/>
      <c r="R22" s="473" t="str">
        <f>IF(ISBLANK(N7),"",IF(O7+N7&lt;N9+O9,L8,L10))</f>
        <v/>
      </c>
      <c r="S22" s="466" t="str">
        <f ca="1">IFERROR(VLOOKUP(R22,$G$5:$J$28,3,FALSE),"")</f>
        <v/>
      </c>
      <c r="T22" s="967"/>
      <c r="W22" s="447"/>
      <c r="X22" s="473" t="str">
        <f>IF(ISBLANK(T21),"",IF(U21+T21&gt;T23+U23,R22,R24))</f>
        <v/>
      </c>
      <c r="Y22" s="466" t="str">
        <f ca="1">IFERROR(VLOOKUP(X22,$G$5:$J$28,3,FALSE),"")</f>
        <v/>
      </c>
      <c r="Z22" s="967"/>
      <c r="AF22" s="453"/>
      <c r="AG22" s="453"/>
      <c r="AH22" s="453"/>
      <c r="AI22" s="453"/>
      <c r="AJ22" s="453"/>
      <c r="AN22" s="494"/>
      <c r="AO22" s="495"/>
      <c r="AP22" s="495"/>
      <c r="AQ22" s="496"/>
      <c r="AR22" s="494"/>
      <c r="AS22" s="495"/>
      <c r="AT22" s="495"/>
      <c r="AU22" s="496"/>
      <c r="AV22" s="494"/>
      <c r="AW22" s="495"/>
      <c r="AX22" s="495"/>
      <c r="AY22" s="496" t="s">
        <v>793</v>
      </c>
    </row>
    <row r="23" spans="6:51" ht="15.95" customHeight="1" thickBot="1" x14ac:dyDescent="0.25">
      <c r="F23" s="489">
        <v>29</v>
      </c>
      <c r="G23" s="488" t="str">
        <f t="shared" si="5"/>
        <v/>
      </c>
      <c r="H23" s="898" t="str">
        <f t="shared" si="6"/>
        <v/>
      </c>
      <c r="I23" s="898" t="str">
        <f t="shared" si="7"/>
        <v/>
      </c>
      <c r="J23" s="898" t="str">
        <f t="shared" si="8"/>
        <v/>
      </c>
      <c r="K23" s="447">
        <f>K21+1</f>
        <v>6</v>
      </c>
      <c r="L23" s="472">
        <v>6</v>
      </c>
      <c r="M23" s="465" t="str">
        <f ca="1">IFERROR(VLOOKUP(L24,$G$5:$J$28,2,FALSE),"")</f>
        <v/>
      </c>
      <c r="N23" s="966"/>
      <c r="O23" s="780"/>
      <c r="Q23" s="447">
        <f>Q21+1</f>
        <v>6</v>
      </c>
      <c r="R23" s="472">
        <v>5</v>
      </c>
      <c r="S23" s="465" t="str">
        <f ca="1">IFERROR(VLOOKUP(R24,$G$5:$J$28,2,FALSE),"")</f>
        <v/>
      </c>
      <c r="T23" s="966"/>
      <c r="U23" s="780"/>
      <c r="W23" s="447">
        <f>W21+1</f>
        <v>6</v>
      </c>
      <c r="X23" s="472">
        <v>6</v>
      </c>
      <c r="Y23" s="465" t="str">
        <f ca="1">IFERROR(VLOOKUP(X24,$G$5:$J$28,2,FALSE),"")</f>
        <v/>
      </c>
      <c r="Z23" s="966"/>
      <c r="AA23" s="780"/>
      <c r="AF23" s="453"/>
      <c r="AG23" s="453"/>
      <c r="AH23" s="453"/>
      <c r="AI23" s="453"/>
      <c r="AJ23" s="453"/>
      <c r="AN23" s="494"/>
      <c r="AO23" s="495"/>
      <c r="AP23" s="495"/>
      <c r="AQ23" s="496"/>
      <c r="AR23" s="494"/>
      <c r="AS23" s="495"/>
      <c r="AT23" s="495"/>
      <c r="AU23" s="496"/>
      <c r="AV23" s="494"/>
      <c r="AW23" s="495"/>
      <c r="AX23" s="495"/>
      <c r="AY23" s="496" t="s">
        <v>793</v>
      </c>
    </row>
    <row r="24" spans="6:51" ht="15.95" customHeight="1" thickBot="1" x14ac:dyDescent="0.25">
      <c r="F24" s="489">
        <v>30</v>
      </c>
      <c r="G24" s="488" t="str">
        <f t="shared" si="5"/>
        <v/>
      </c>
      <c r="H24" s="898" t="str">
        <f t="shared" si="6"/>
        <v/>
      </c>
      <c r="I24" s="898" t="str">
        <f t="shared" si="7"/>
        <v/>
      </c>
      <c r="J24" s="898" t="str">
        <f t="shared" si="8"/>
        <v/>
      </c>
      <c r="K24" s="447"/>
      <c r="L24" s="473" t="str">
        <f ca="1">VLOOKUP(L23,$A$5:$G$24,7,FALSE)</f>
        <v/>
      </c>
      <c r="M24" s="466" t="str">
        <f ca="1">IFERROR(VLOOKUP(L24,$G$5:$J$28,3,FALSE),"")</f>
        <v/>
      </c>
      <c r="N24" s="967"/>
      <c r="Q24" s="447"/>
      <c r="R24" s="473" t="str">
        <f>IF(ISBLANK(N14),"",IF(O14+N14&lt;N16+O16,L15,L17))</f>
        <v/>
      </c>
      <c r="S24" s="466" t="str">
        <f ca="1">IFERROR(VLOOKUP(R24,$G$5:$J$28,3,FALSE),"")</f>
        <v/>
      </c>
      <c r="T24" s="967"/>
      <c r="W24" s="447"/>
      <c r="X24" s="473" t="str">
        <f>IF(ISBLANK(T28),"",IF(U28+T28&gt;T30+U30,R29,R31))</f>
        <v/>
      </c>
      <c r="Y24" s="466" t="str">
        <f ca="1">IFERROR(VLOOKUP(X24,$G$5:$J$28,3,FALSE),"")</f>
        <v/>
      </c>
      <c r="Z24" s="967"/>
      <c r="AF24" s="453"/>
      <c r="AG24" s="453"/>
      <c r="AH24" s="453"/>
      <c r="AI24" s="453"/>
      <c r="AJ24" s="453"/>
      <c r="AN24" s="494"/>
      <c r="AO24" s="495"/>
      <c r="AP24" s="495"/>
      <c r="AQ24" s="496"/>
      <c r="AR24" s="494"/>
      <c r="AS24" s="495"/>
      <c r="AT24" s="495"/>
      <c r="AU24" s="496"/>
      <c r="AV24" s="494"/>
      <c r="AW24" s="495"/>
      <c r="AX24" s="495"/>
      <c r="AY24" s="496" t="s">
        <v>793</v>
      </c>
    </row>
    <row r="25" spans="6:51" ht="15.95" customHeight="1" x14ac:dyDescent="0.2">
      <c r="F25" s="489">
        <v>31</v>
      </c>
      <c r="G25" s="488" t="str">
        <f t="shared" si="5"/>
        <v/>
      </c>
      <c r="H25" s="898" t="str">
        <f t="shared" si="6"/>
        <v/>
      </c>
      <c r="I25" s="898" t="str">
        <f t="shared" si="7"/>
        <v/>
      </c>
      <c r="J25" s="898" t="str">
        <f t="shared" si="8"/>
        <v/>
      </c>
      <c r="K25" s="447"/>
      <c r="L25" s="441"/>
      <c r="M25" s="441"/>
      <c r="Q25" s="447"/>
      <c r="R25" s="437"/>
      <c r="S25" s="437"/>
      <c r="T25" s="451"/>
      <c r="W25" s="447"/>
      <c r="X25" s="441"/>
      <c r="Y25" s="441"/>
      <c r="AF25" s="453"/>
      <c r="AG25" s="453"/>
      <c r="AH25" s="453"/>
      <c r="AI25" s="453"/>
      <c r="AJ25" s="453"/>
      <c r="AN25" s="494"/>
      <c r="AO25" s="495"/>
      <c r="AP25" s="495"/>
      <c r="AQ25" s="496"/>
      <c r="AR25" s="494"/>
      <c r="AS25" s="495"/>
      <c r="AT25" s="495"/>
      <c r="AU25" s="496"/>
      <c r="AV25" s="494"/>
      <c r="AW25" s="495"/>
      <c r="AX25" s="495"/>
      <c r="AY25" s="496" t="s">
        <v>793</v>
      </c>
    </row>
    <row r="26" spans="6:51" ht="15.95" customHeight="1" thickBot="1" x14ac:dyDescent="0.25">
      <c r="F26" s="489">
        <v>32</v>
      </c>
      <c r="G26" s="488" t="str">
        <f t="shared" si="5"/>
        <v/>
      </c>
      <c r="H26" s="898" t="str">
        <f t="shared" si="6"/>
        <v/>
      </c>
      <c r="I26" s="898" t="str">
        <f t="shared" si="7"/>
        <v/>
      </c>
      <c r="J26" s="898" t="str">
        <f t="shared" si="8"/>
        <v/>
      </c>
      <c r="K26" s="450"/>
      <c r="L26" s="450"/>
      <c r="M26" s="450"/>
      <c r="N26" s="451"/>
      <c r="O26" s="450"/>
      <c r="P26" s="450"/>
      <c r="Q26" s="450"/>
      <c r="R26" s="437"/>
      <c r="S26" s="437"/>
      <c r="T26" s="451"/>
      <c r="U26" s="450"/>
      <c r="V26" s="450"/>
      <c r="W26" s="450"/>
      <c r="X26" s="979" t="s">
        <v>821</v>
      </c>
      <c r="Y26" s="1247"/>
      <c r="Z26" s="1247"/>
      <c r="AA26" s="450"/>
      <c r="AF26" s="453"/>
      <c r="AG26" s="453"/>
      <c r="AH26" s="453"/>
      <c r="AI26" s="453"/>
      <c r="AJ26" s="453"/>
      <c r="AN26" s="494"/>
      <c r="AO26" s="495"/>
      <c r="AP26" s="495"/>
      <c r="AQ26" s="496"/>
      <c r="AR26" s="494"/>
      <c r="AS26" s="495"/>
      <c r="AT26" s="495"/>
      <c r="AU26" s="496"/>
      <c r="AV26" s="494"/>
      <c r="AW26" s="495"/>
      <c r="AX26" s="495"/>
      <c r="AY26" s="496" t="s">
        <v>793</v>
      </c>
    </row>
    <row r="27" spans="6:51" ht="15.95" customHeight="1" thickBot="1" x14ac:dyDescent="0.25">
      <c r="F27" s="489">
        <v>33</v>
      </c>
      <c r="G27" s="488" t="str">
        <f t="shared" si="5"/>
        <v/>
      </c>
      <c r="H27" s="898" t="str">
        <f t="shared" si="6"/>
        <v/>
      </c>
      <c r="I27" s="898" t="str">
        <f t="shared" si="7"/>
        <v/>
      </c>
      <c r="J27" s="898" t="str">
        <f t="shared" si="8"/>
        <v/>
      </c>
      <c r="K27" s="445" t="s">
        <v>779</v>
      </c>
      <c r="L27" s="463"/>
      <c r="M27" s="456" t="s">
        <v>481</v>
      </c>
      <c r="N27" s="464" t="s">
        <v>780</v>
      </c>
      <c r="O27" s="446" t="s">
        <v>781</v>
      </c>
      <c r="P27" s="445"/>
      <c r="Q27" s="445" t="s">
        <v>779</v>
      </c>
      <c r="R27" s="463"/>
      <c r="S27" s="456" t="s">
        <v>481</v>
      </c>
      <c r="T27" s="464" t="s">
        <v>780</v>
      </c>
      <c r="U27" s="446" t="s">
        <v>781</v>
      </c>
      <c r="V27" s="445"/>
      <c r="W27" s="445" t="s">
        <v>779</v>
      </c>
      <c r="X27" s="463">
        <v>7</v>
      </c>
      <c r="Y27" s="456" t="s">
        <v>481</v>
      </c>
      <c r="Z27" s="464" t="s">
        <v>780</v>
      </c>
      <c r="AA27" s="446" t="s">
        <v>781</v>
      </c>
      <c r="AF27" s="453"/>
      <c r="AG27" s="453"/>
      <c r="AH27" s="453"/>
      <c r="AI27" s="453"/>
      <c r="AJ27" s="453"/>
      <c r="AN27" s="494"/>
      <c r="AO27" s="495"/>
      <c r="AP27" s="495"/>
      <c r="AQ27" s="496"/>
      <c r="AR27" s="494"/>
      <c r="AS27" s="495"/>
      <c r="AT27" s="495"/>
      <c r="AU27" s="496"/>
      <c r="AV27" s="494"/>
      <c r="AW27" s="495"/>
      <c r="AX27" s="495"/>
      <c r="AY27" s="496" t="s">
        <v>793</v>
      </c>
    </row>
    <row r="28" spans="6:51" ht="15.95" customHeight="1" thickBot="1" x14ac:dyDescent="0.25">
      <c r="F28" s="489">
        <v>34</v>
      </c>
      <c r="G28" s="488" t="str">
        <f t="shared" si="5"/>
        <v/>
      </c>
      <c r="H28" s="898" t="str">
        <f t="shared" si="6"/>
        <v/>
      </c>
      <c r="I28" s="898" t="str">
        <f t="shared" si="7"/>
        <v/>
      </c>
      <c r="J28" s="898" t="str">
        <f t="shared" si="8"/>
        <v/>
      </c>
      <c r="K28" s="447">
        <f>K23+1</f>
        <v>7</v>
      </c>
      <c r="L28" s="472">
        <v>2</v>
      </c>
      <c r="M28" s="465" t="str">
        <f ca="1">IFERROR(VLOOKUP(L29,$G$5:$J$28,2,FALSE),"")</f>
        <v/>
      </c>
      <c r="N28" s="966"/>
      <c r="O28" s="780"/>
      <c r="Q28" s="447">
        <f>Q23+1</f>
        <v>7</v>
      </c>
      <c r="R28" s="472">
        <v>6</v>
      </c>
      <c r="S28" s="465" t="str">
        <f ca="1">IFERROR(VLOOKUP(R29,$G$5:$J$28,2,FALSE),"")</f>
        <v/>
      </c>
      <c r="T28" s="966"/>
      <c r="U28" s="780"/>
      <c r="W28" s="447">
        <f>W23+1</f>
        <v>7</v>
      </c>
      <c r="X28" s="472">
        <v>8</v>
      </c>
      <c r="Y28" s="465" t="str">
        <f ca="1">IFERROR(VLOOKUP(X29,$G$5:$J$28,2,FALSE),"")</f>
        <v/>
      </c>
      <c r="Z28" s="966"/>
      <c r="AA28" s="780"/>
      <c r="AF28" s="453"/>
      <c r="AG28" s="453"/>
      <c r="AH28" s="453"/>
      <c r="AI28" s="453"/>
      <c r="AJ28" s="453"/>
      <c r="AN28" s="494"/>
      <c r="AO28" s="495"/>
      <c r="AP28" s="495"/>
      <c r="AQ28" s="496"/>
      <c r="AR28" s="494"/>
      <c r="AS28" s="495"/>
      <c r="AT28" s="495"/>
      <c r="AU28" s="496"/>
      <c r="AV28" s="494"/>
      <c r="AW28" s="495"/>
      <c r="AX28" s="495"/>
      <c r="AY28" s="496" t="s">
        <v>793</v>
      </c>
    </row>
    <row r="29" spans="6:51" ht="15.95" customHeight="1" thickBot="1" x14ac:dyDescent="0.25">
      <c r="I29" s="437"/>
      <c r="J29" s="437"/>
      <c r="K29" s="447"/>
      <c r="L29" s="473" t="str">
        <f ca="1">VLOOKUP(L28,$A$5:$G$24,7,FALSE)</f>
        <v/>
      </c>
      <c r="M29" s="466" t="str">
        <f ca="1">IFERROR(VLOOKUP(L29,$G$5:$J$28,3,FALSE),"")</f>
        <v/>
      </c>
      <c r="N29" s="967"/>
      <c r="Q29" s="447"/>
      <c r="R29" s="473" t="str">
        <f>IF(ISBLANK(N21),"",IF(N21+O21&lt;N23+O23,L22,L24))</f>
        <v/>
      </c>
      <c r="S29" s="466" t="str">
        <f ca="1">IFERROR(VLOOKUP(R29,$G$5:$J$28,3,FALSE),"")</f>
        <v/>
      </c>
      <c r="T29" s="967"/>
      <c r="W29" s="447"/>
      <c r="X29" s="473" t="str">
        <f>IF(ISBLANK(T21),"",IF(U21+T21&lt;T23+U23,R22,R24))</f>
        <v/>
      </c>
      <c r="Y29" s="466" t="str">
        <f ca="1">IFERROR(VLOOKUP(X29,$G$5:$J$28,3,FALSE),"")</f>
        <v/>
      </c>
      <c r="Z29" s="967"/>
      <c r="AF29" s="453"/>
      <c r="AG29" s="453"/>
      <c r="AH29" s="453"/>
      <c r="AI29" s="453"/>
      <c r="AJ29" s="453"/>
      <c r="AN29" s="494"/>
      <c r="AO29" s="495"/>
      <c r="AP29" s="495"/>
      <c r="AQ29" s="496"/>
      <c r="AR29" s="494"/>
      <c r="AS29" s="495"/>
      <c r="AT29" s="495"/>
      <c r="AU29" s="496"/>
      <c r="AV29" s="494"/>
      <c r="AW29" s="495"/>
      <c r="AX29" s="495"/>
      <c r="AY29" s="496" t="s">
        <v>793</v>
      </c>
    </row>
    <row r="30" spans="6:51" ht="15.95" customHeight="1" thickBot="1" x14ac:dyDescent="0.25">
      <c r="I30" s="437"/>
      <c r="J30" s="437"/>
      <c r="K30" s="447">
        <f>K28+1</f>
        <v>8</v>
      </c>
      <c r="L30" s="472">
        <v>7</v>
      </c>
      <c r="M30" s="465" t="str">
        <f ca="1">IFERROR(VLOOKUP(L31,$G$5:$J$28,2,FALSE),"")</f>
        <v/>
      </c>
      <c r="N30" s="966"/>
      <c r="O30" s="780"/>
      <c r="Q30" s="447">
        <f>Q28+1</f>
        <v>8</v>
      </c>
      <c r="R30" s="472">
        <v>7</v>
      </c>
      <c r="S30" s="465" t="str">
        <f ca="1">IFERROR(VLOOKUP(R31,$G$5:$J$28,2,FALSE),"")</f>
        <v/>
      </c>
      <c r="T30" s="966"/>
      <c r="U30" s="780"/>
      <c r="W30" s="447">
        <f>W28+1</f>
        <v>8</v>
      </c>
      <c r="X30" s="472">
        <v>7</v>
      </c>
      <c r="Y30" s="465" t="str">
        <f ca="1">IFERROR(VLOOKUP(X31,$G$5:$J$28,2,FALSE),"")</f>
        <v/>
      </c>
      <c r="Z30" s="966"/>
      <c r="AA30" s="780"/>
      <c r="AF30" s="453"/>
      <c r="AG30" s="453"/>
      <c r="AH30" s="453"/>
      <c r="AI30" s="453"/>
      <c r="AJ30" s="453"/>
    </row>
    <row r="31" spans="6:51" ht="15.95" customHeight="1" thickBot="1" x14ac:dyDescent="0.25">
      <c r="I31" s="437"/>
      <c r="J31" s="437"/>
      <c r="K31" s="447"/>
      <c r="L31" s="473" t="str">
        <f ca="1">VLOOKUP(L30,$A$5:$G$24,7,FALSE)</f>
        <v/>
      </c>
      <c r="M31" s="466" t="str">
        <f ca="1">IFERROR(VLOOKUP(L31,$G$5:$J$28,3,FALSE),"")</f>
        <v/>
      </c>
      <c r="N31" s="967"/>
      <c r="Q31" s="447"/>
      <c r="R31" s="473" t="str">
        <f>IF(ISBLANK(N28),"",IF(N28+O28&lt;N30+O30,L29,L31))</f>
        <v/>
      </c>
      <c r="S31" s="466" t="str">
        <f ca="1">IFERROR(VLOOKUP(R31,$G$5:$J$28,3,FALSE),"")</f>
        <v/>
      </c>
      <c r="T31" s="967"/>
      <c r="W31" s="447"/>
      <c r="X31" s="473" t="str">
        <f>IF(ISBLANK(T28),"",IF(U28+T28&lt;T30+U30,R29,R31))</f>
        <v/>
      </c>
      <c r="Y31" s="466" t="str">
        <f ca="1">IFERROR(VLOOKUP(X31,$G$5:$J$28,3,FALSE),"")</f>
        <v/>
      </c>
      <c r="Z31" s="967"/>
      <c r="AF31" s="453"/>
      <c r="AG31" s="453"/>
    </row>
    <row r="32" spans="6:51" ht="15.95" customHeight="1" x14ac:dyDescent="0.2">
      <c r="I32" s="437"/>
      <c r="J32" s="437"/>
      <c r="K32" s="450"/>
      <c r="L32" s="437"/>
      <c r="M32" s="437"/>
      <c r="N32" s="451"/>
      <c r="O32" s="450"/>
      <c r="P32" s="450"/>
      <c r="Q32" s="450"/>
      <c r="R32" s="437"/>
      <c r="S32" s="437"/>
      <c r="T32" s="451"/>
      <c r="U32" s="450"/>
      <c r="V32" s="450"/>
      <c r="W32" s="450"/>
      <c r="X32" s="437"/>
      <c r="Y32" s="437"/>
      <c r="Z32" s="451"/>
      <c r="AA32" s="450"/>
      <c r="AF32" s="453"/>
      <c r="AG32" s="453"/>
    </row>
    <row r="33" spans="9:33" ht="15.95" customHeight="1" x14ac:dyDescent="0.2">
      <c r="I33" s="437"/>
      <c r="J33" s="437"/>
      <c r="K33" s="450"/>
      <c r="L33" s="516"/>
      <c r="M33" s="516"/>
      <c r="N33" s="457"/>
      <c r="Q33" s="450"/>
      <c r="R33" s="516"/>
      <c r="S33" s="516"/>
      <c r="T33" s="457"/>
      <c r="V33" s="450"/>
      <c r="W33" s="450"/>
      <c r="X33" s="516"/>
      <c r="Y33" s="516"/>
      <c r="Z33" s="457"/>
      <c r="AF33" s="453"/>
      <c r="AG33" s="453"/>
    </row>
    <row r="34" spans="9:33" ht="15.95" customHeight="1" x14ac:dyDescent="0.2">
      <c r="I34" s="437"/>
      <c r="J34" s="437"/>
      <c r="K34" s="450"/>
      <c r="L34" s="516"/>
      <c r="M34" s="516"/>
      <c r="N34" s="457"/>
      <c r="Q34" s="450"/>
      <c r="R34" s="516"/>
      <c r="S34" s="516"/>
      <c r="T34" s="457"/>
      <c r="V34" s="450"/>
      <c r="W34" s="450"/>
      <c r="X34" s="516"/>
      <c r="Y34" s="516"/>
      <c r="Z34" s="457"/>
      <c r="AF34" s="453"/>
      <c r="AG34" s="453"/>
    </row>
    <row r="35" spans="9:33" ht="15.95" customHeight="1" x14ac:dyDescent="0.2">
      <c r="I35" s="437"/>
      <c r="J35" s="437"/>
      <c r="K35" s="450"/>
      <c r="L35" s="516"/>
      <c r="M35" s="516"/>
      <c r="N35" s="457"/>
      <c r="Q35" s="450"/>
      <c r="R35" s="516"/>
      <c r="S35" s="516"/>
      <c r="T35" s="457"/>
      <c r="V35" s="450"/>
      <c r="W35" s="450"/>
      <c r="X35" s="516"/>
      <c r="Y35" s="516"/>
      <c r="Z35" s="457"/>
      <c r="AF35" s="453"/>
      <c r="AG35" s="453"/>
    </row>
    <row r="36" spans="9:33" ht="15.95" customHeight="1" x14ac:dyDescent="0.2">
      <c r="I36" s="437"/>
      <c r="J36" s="437"/>
      <c r="K36" s="450"/>
      <c r="L36" s="516"/>
      <c r="M36" s="516"/>
      <c r="N36" s="457"/>
      <c r="Q36" s="450"/>
      <c r="R36" s="516"/>
      <c r="S36" s="516"/>
      <c r="T36" s="457"/>
      <c r="V36" s="450"/>
      <c r="W36" s="450"/>
      <c r="X36" s="516"/>
      <c r="Y36" s="516"/>
      <c r="Z36" s="457"/>
      <c r="AF36" s="453"/>
      <c r="AG36" s="453"/>
    </row>
    <row r="37" spans="9:33" ht="15.95" customHeight="1" x14ac:dyDescent="0.2">
      <c r="I37" s="437"/>
      <c r="J37" s="437"/>
      <c r="K37" s="450"/>
      <c r="L37" s="516"/>
      <c r="M37" s="516"/>
      <c r="N37" s="457"/>
      <c r="Q37" s="450"/>
      <c r="R37" s="516"/>
      <c r="S37" s="516"/>
      <c r="T37" s="457"/>
      <c r="V37" s="450"/>
      <c r="W37" s="450"/>
      <c r="X37" s="516"/>
      <c r="Y37" s="516"/>
      <c r="Z37" s="457"/>
      <c r="AF37" s="453"/>
      <c r="AG37" s="453"/>
    </row>
    <row r="38" spans="9:33" ht="15.95" customHeight="1" x14ac:dyDescent="0.2">
      <c r="I38" s="437"/>
      <c r="J38" s="437"/>
      <c r="K38" s="450"/>
      <c r="L38" s="516"/>
      <c r="M38" s="516"/>
      <c r="N38" s="457"/>
      <c r="Q38" s="450"/>
      <c r="R38" s="516"/>
      <c r="S38" s="516"/>
      <c r="T38" s="457"/>
      <c r="V38" s="450"/>
      <c r="W38" s="450"/>
      <c r="X38" s="516"/>
      <c r="Y38" s="516"/>
      <c r="Z38" s="457"/>
      <c r="AF38" s="453"/>
      <c r="AG38" s="453"/>
    </row>
    <row r="39" spans="9:33" ht="15.95" customHeight="1" x14ac:dyDescent="0.2">
      <c r="I39" s="437"/>
      <c r="J39" s="437"/>
      <c r="K39" s="450"/>
      <c r="L39" s="450"/>
      <c r="M39" s="450"/>
      <c r="P39" s="450"/>
      <c r="Q39" s="450"/>
      <c r="R39" s="450"/>
      <c r="S39" s="450"/>
      <c r="V39" s="450"/>
      <c r="W39" s="450"/>
      <c r="X39" s="450"/>
      <c r="Y39" s="450"/>
      <c r="Z39" s="451"/>
      <c r="AA39" s="450"/>
      <c r="AF39" s="453"/>
      <c r="AG39" s="453"/>
    </row>
    <row r="40" spans="9:33" ht="15.95" customHeight="1" x14ac:dyDescent="0.2">
      <c r="I40" s="437"/>
      <c r="J40" s="437"/>
      <c r="K40" s="450"/>
      <c r="L40" s="450"/>
      <c r="M40" s="450"/>
      <c r="P40" s="450"/>
      <c r="Q40" s="450"/>
      <c r="R40" s="450"/>
      <c r="S40" s="450"/>
      <c r="V40" s="450"/>
      <c r="W40" s="450"/>
      <c r="X40" s="450"/>
      <c r="Y40" s="450"/>
      <c r="Z40" s="451"/>
      <c r="AA40" s="450"/>
      <c r="AF40" s="453"/>
      <c r="AG40" s="453"/>
    </row>
    <row r="41" spans="9:33" ht="15.95" customHeight="1" x14ac:dyDescent="0.2">
      <c r="I41" s="437"/>
      <c r="J41" s="437"/>
      <c r="K41" s="450"/>
      <c r="L41" s="450"/>
      <c r="M41" s="450"/>
      <c r="P41" s="450"/>
      <c r="Q41" s="450"/>
      <c r="R41" s="450"/>
      <c r="S41" s="450"/>
      <c r="V41" s="450"/>
      <c r="W41" s="450"/>
      <c r="X41" s="450"/>
      <c r="Y41" s="450"/>
      <c r="Z41" s="451"/>
      <c r="AA41" s="450"/>
      <c r="AF41" s="453"/>
      <c r="AG41" s="453"/>
    </row>
    <row r="42" spans="9:33" ht="15.95" customHeight="1" x14ac:dyDescent="0.2">
      <c r="I42" s="437"/>
      <c r="J42" s="437"/>
      <c r="K42" s="450"/>
      <c r="L42" s="450"/>
      <c r="M42" s="450"/>
      <c r="P42" s="450"/>
      <c r="Q42" s="450"/>
      <c r="R42" s="450"/>
      <c r="S42" s="450"/>
      <c r="V42" s="450"/>
      <c r="W42" s="450"/>
      <c r="X42" s="450"/>
      <c r="Y42" s="450"/>
      <c r="Z42" s="451"/>
      <c r="AA42" s="450"/>
      <c r="AF42" s="453"/>
      <c r="AG42" s="453"/>
    </row>
    <row r="43" spans="9:33" ht="15.95" customHeight="1" x14ac:dyDescent="0.2">
      <c r="I43" s="437"/>
      <c r="J43" s="437"/>
      <c r="K43" s="450"/>
      <c r="L43" s="450"/>
      <c r="M43" s="450"/>
      <c r="P43" s="450"/>
      <c r="Q43" s="450"/>
      <c r="R43" s="450"/>
      <c r="S43" s="450"/>
      <c r="V43" s="450"/>
      <c r="W43" s="450"/>
      <c r="X43" s="450"/>
      <c r="Y43" s="450"/>
      <c r="Z43" s="451"/>
      <c r="AA43" s="450"/>
      <c r="AF43" s="453"/>
      <c r="AG43" s="453"/>
    </row>
    <row r="44" spans="9:33" ht="15.95" customHeight="1" x14ac:dyDescent="0.2">
      <c r="I44" s="437"/>
      <c r="J44" s="437"/>
      <c r="K44" s="450"/>
      <c r="L44" s="450"/>
      <c r="M44" s="450"/>
      <c r="P44" s="450"/>
      <c r="Q44" s="450"/>
      <c r="R44" s="450"/>
      <c r="S44" s="450"/>
      <c r="V44" s="450"/>
      <c r="W44" s="450"/>
      <c r="X44" s="450"/>
      <c r="Y44" s="450"/>
      <c r="Z44" s="451"/>
      <c r="AA44" s="450"/>
      <c r="AF44" s="453"/>
      <c r="AG44" s="453"/>
    </row>
    <row r="45" spans="9:33" ht="15.95" customHeight="1" x14ac:dyDescent="0.2">
      <c r="I45" s="437"/>
      <c r="J45" s="437"/>
      <c r="K45" s="450"/>
      <c r="L45" s="450"/>
      <c r="M45" s="450"/>
      <c r="P45" s="450"/>
      <c r="Q45" s="450"/>
      <c r="R45" s="450"/>
      <c r="S45" s="450"/>
      <c r="V45" s="450"/>
      <c r="W45" s="450"/>
      <c r="X45" s="450"/>
      <c r="Y45" s="450"/>
      <c r="Z45" s="451"/>
      <c r="AA45" s="450"/>
      <c r="AF45" s="453"/>
      <c r="AG45" s="453"/>
    </row>
    <row r="46" spans="9:33" ht="15.95" customHeight="1" x14ac:dyDescent="0.2">
      <c r="I46" s="437"/>
      <c r="J46" s="437"/>
      <c r="K46" s="450"/>
      <c r="L46" s="450"/>
      <c r="M46" s="450"/>
      <c r="P46" s="450"/>
      <c r="Q46" s="450"/>
      <c r="R46" s="450"/>
      <c r="S46" s="450"/>
      <c r="V46" s="450"/>
      <c r="W46" s="450"/>
      <c r="X46" s="450"/>
      <c r="Y46" s="450"/>
      <c r="Z46" s="451"/>
      <c r="AA46" s="450"/>
      <c r="AF46" s="453"/>
      <c r="AG46" s="453"/>
    </row>
    <row r="47" spans="9:33" ht="15.95" customHeight="1" x14ac:dyDescent="0.2">
      <c r="I47" s="437"/>
      <c r="J47" s="437"/>
      <c r="K47" s="450"/>
      <c r="L47" s="450"/>
      <c r="M47" s="450"/>
      <c r="P47" s="450"/>
      <c r="Q47" s="450"/>
      <c r="R47" s="450"/>
      <c r="S47" s="450"/>
      <c r="V47" s="450"/>
      <c r="W47" s="450"/>
      <c r="X47" s="450"/>
      <c r="Y47" s="450"/>
      <c r="Z47" s="451"/>
      <c r="AA47" s="450"/>
      <c r="AF47" s="453"/>
      <c r="AG47" s="453"/>
    </row>
    <row r="48" spans="9:33" ht="15.95" customHeight="1" x14ac:dyDescent="0.2">
      <c r="I48" s="437"/>
      <c r="J48" s="437"/>
      <c r="K48" s="523"/>
      <c r="L48" s="523"/>
      <c r="M48" s="523"/>
      <c r="N48" s="523"/>
      <c r="Q48" s="447"/>
      <c r="R48" s="450"/>
      <c r="S48" s="450"/>
      <c r="T48" s="451"/>
      <c r="U48" s="450"/>
      <c r="V48" s="450"/>
      <c r="W48" s="447"/>
      <c r="X48" s="450"/>
      <c r="Y48" s="450"/>
      <c r="Z48" s="451"/>
      <c r="AA48" s="521"/>
      <c r="AF48" s="453"/>
      <c r="AG48" s="453"/>
    </row>
    <row r="49" spans="9:33" ht="15.95" customHeight="1" x14ac:dyDescent="0.2">
      <c r="I49" s="437"/>
      <c r="J49" s="437"/>
      <c r="K49" s="523"/>
      <c r="L49" s="523"/>
      <c r="M49" s="523"/>
      <c r="N49" s="523"/>
      <c r="Q49" s="447"/>
      <c r="R49" s="450"/>
      <c r="S49" s="450"/>
      <c r="T49" s="451"/>
      <c r="U49" s="450"/>
      <c r="V49" s="450"/>
      <c r="W49" s="447"/>
      <c r="X49" s="450"/>
      <c r="Y49" s="450"/>
      <c r="Z49" s="451"/>
      <c r="AA49" s="521"/>
      <c r="AF49" s="453"/>
      <c r="AG49" s="453"/>
    </row>
    <row r="50" spans="9:33" ht="15.95" customHeight="1" x14ac:dyDescent="0.2">
      <c r="I50" s="437"/>
      <c r="J50" s="437"/>
      <c r="K50" s="523"/>
      <c r="L50" s="523"/>
      <c r="M50" s="523"/>
      <c r="N50" s="523"/>
      <c r="Q50" s="447"/>
      <c r="R50" s="450"/>
      <c r="S50" s="450"/>
      <c r="T50" s="451"/>
      <c r="U50" s="450"/>
      <c r="V50" s="450"/>
      <c r="W50" s="447"/>
      <c r="X50" s="450"/>
      <c r="Y50" s="450"/>
      <c r="Z50" s="451"/>
      <c r="AA50" s="521"/>
    </row>
    <row r="51" spans="9:33" ht="15.95" customHeight="1" x14ac:dyDescent="0.2">
      <c r="I51" s="437"/>
      <c r="J51" s="437"/>
      <c r="K51" s="523"/>
      <c r="L51" s="523"/>
      <c r="M51" s="523"/>
      <c r="N51" s="523"/>
      <c r="Q51" s="447"/>
      <c r="R51" s="450"/>
      <c r="S51" s="450"/>
      <c r="T51" s="451"/>
      <c r="U51" s="450"/>
      <c r="V51" s="450"/>
      <c r="W51" s="447"/>
      <c r="X51" s="450"/>
      <c r="Y51" s="450"/>
      <c r="Z51" s="451"/>
      <c r="AA51" s="450"/>
    </row>
    <row r="52" spans="9:33" ht="15.95" customHeight="1" x14ac:dyDescent="0.2">
      <c r="I52" s="437"/>
      <c r="J52" s="437"/>
      <c r="K52" s="523"/>
      <c r="L52" s="523"/>
      <c r="M52" s="523"/>
      <c r="N52" s="523"/>
      <c r="Q52" s="447"/>
      <c r="R52" s="450"/>
      <c r="S52" s="450"/>
      <c r="T52" s="451"/>
      <c r="U52" s="450"/>
      <c r="V52" s="450"/>
      <c r="W52" s="447"/>
      <c r="X52" s="450"/>
      <c r="Y52" s="450"/>
      <c r="Z52" s="451"/>
      <c r="AA52" s="450"/>
    </row>
    <row r="53" spans="9:33" ht="15.95" customHeight="1" x14ac:dyDescent="0.2">
      <c r="I53" s="437"/>
      <c r="J53" s="437"/>
      <c r="K53" s="523"/>
      <c r="L53" s="523"/>
      <c r="M53" s="523"/>
      <c r="N53" s="523"/>
      <c r="Q53" s="447"/>
      <c r="R53" s="450"/>
      <c r="S53" s="450"/>
      <c r="T53" s="451"/>
      <c r="U53" s="450"/>
      <c r="V53" s="450"/>
      <c r="W53" s="447"/>
      <c r="X53" s="450"/>
      <c r="Y53" s="450"/>
      <c r="Z53" s="451"/>
      <c r="AA53" s="450"/>
    </row>
    <row r="54" spans="9:33" ht="15.95" customHeight="1" x14ac:dyDescent="0.2">
      <c r="I54" s="437"/>
      <c r="J54" s="437"/>
      <c r="K54" s="523"/>
      <c r="L54" s="523"/>
      <c r="M54" s="523"/>
      <c r="N54" s="523"/>
      <c r="P54" s="450"/>
      <c r="Q54" s="450"/>
      <c r="R54" s="437"/>
      <c r="S54" s="437"/>
      <c r="T54" s="451"/>
      <c r="U54" s="450"/>
      <c r="V54" s="450"/>
      <c r="W54" s="450"/>
      <c r="X54" s="516"/>
      <c r="Y54" s="457"/>
      <c r="Z54" s="457"/>
      <c r="AA54" s="450"/>
    </row>
    <row r="55" spans="9:33" ht="15.95" customHeight="1" x14ac:dyDescent="0.2">
      <c r="I55" s="437"/>
      <c r="J55" s="437"/>
      <c r="K55" s="523"/>
      <c r="L55" s="523"/>
      <c r="M55" s="523"/>
      <c r="N55" s="523"/>
      <c r="Q55" s="450"/>
      <c r="R55" s="437"/>
      <c r="S55" s="437"/>
      <c r="T55" s="451"/>
      <c r="U55" s="450"/>
      <c r="V55" s="450"/>
      <c r="W55" s="450"/>
      <c r="X55" s="516"/>
      <c r="Y55" s="457"/>
      <c r="Z55" s="457"/>
      <c r="AA55" s="450"/>
    </row>
    <row r="56" spans="9:33" ht="15.95" customHeight="1" x14ac:dyDescent="0.2">
      <c r="I56" s="437"/>
      <c r="J56" s="437"/>
      <c r="K56" s="523"/>
      <c r="L56" s="523"/>
      <c r="M56" s="523"/>
      <c r="N56" s="523"/>
      <c r="Q56" s="450"/>
      <c r="R56" s="437"/>
      <c r="S56" s="437"/>
      <c r="T56" s="451"/>
      <c r="U56" s="450"/>
      <c r="V56" s="450"/>
      <c r="W56" s="450"/>
      <c r="X56" s="516"/>
      <c r="Y56" s="457"/>
      <c r="Z56" s="457"/>
      <c r="AA56" s="450"/>
    </row>
    <row r="57" spans="9:33" ht="15.95" customHeight="1" x14ac:dyDescent="0.2">
      <c r="I57" s="437"/>
      <c r="J57" s="437"/>
      <c r="K57" s="523"/>
      <c r="L57" s="523"/>
      <c r="M57" s="523"/>
      <c r="N57" s="523"/>
      <c r="Q57" s="450"/>
      <c r="R57" s="437"/>
      <c r="S57" s="437"/>
      <c r="T57" s="451"/>
      <c r="U57" s="450"/>
      <c r="V57" s="450"/>
      <c r="W57" s="450"/>
      <c r="X57" s="516"/>
      <c r="Y57" s="457"/>
      <c r="Z57" s="457"/>
      <c r="AA57" s="450"/>
    </row>
    <row r="58" spans="9:33" ht="15.95" customHeight="1" x14ac:dyDescent="0.2">
      <c r="I58" s="437"/>
      <c r="J58" s="437"/>
      <c r="K58" s="523"/>
      <c r="L58" s="523"/>
      <c r="M58" s="523"/>
      <c r="N58" s="523"/>
      <c r="Q58" s="450"/>
      <c r="R58" s="437"/>
      <c r="S58" s="437"/>
      <c r="T58" s="451"/>
      <c r="U58" s="450"/>
      <c r="V58" s="450"/>
      <c r="W58" s="450"/>
      <c r="X58" s="516"/>
      <c r="Y58" s="457"/>
      <c r="Z58" s="457"/>
      <c r="AA58" s="450"/>
    </row>
    <row r="59" spans="9:33" ht="15.95" customHeight="1" x14ac:dyDescent="0.2">
      <c r="I59" s="437"/>
      <c r="J59" s="437"/>
      <c r="K59" s="523"/>
      <c r="L59" s="523"/>
      <c r="M59" s="523"/>
      <c r="N59" s="523"/>
      <c r="Q59" s="450"/>
      <c r="R59" s="437"/>
      <c r="S59" s="437"/>
      <c r="T59" s="451"/>
      <c r="U59" s="450"/>
      <c r="V59" s="450"/>
      <c r="W59" s="450"/>
      <c r="X59" s="516"/>
      <c r="Y59" s="457"/>
      <c r="Z59" s="457"/>
      <c r="AA59" s="450"/>
    </row>
    <row r="60" spans="9:33" ht="15.95" customHeight="1" x14ac:dyDescent="0.2">
      <c r="I60" s="437"/>
      <c r="J60" s="437"/>
      <c r="K60" s="523"/>
      <c r="L60" s="523"/>
      <c r="M60" s="523"/>
      <c r="N60" s="523"/>
      <c r="Q60" s="447"/>
      <c r="X60" s="441"/>
      <c r="Y60" s="441"/>
      <c r="Z60" s="441"/>
    </row>
    <row r="61" spans="9:33" ht="15.95" customHeight="1" x14ac:dyDescent="0.2">
      <c r="I61" s="437"/>
      <c r="J61" s="437"/>
      <c r="K61" s="437"/>
      <c r="L61" s="437"/>
      <c r="M61" s="437"/>
      <c r="N61" s="437"/>
      <c r="T61" s="441"/>
      <c r="X61" s="441"/>
      <c r="Y61" s="441"/>
      <c r="Z61" s="441"/>
    </row>
    <row r="62" spans="9:33" ht="15.95" customHeight="1" x14ac:dyDescent="0.2">
      <c r="I62" s="437"/>
      <c r="J62" s="437"/>
      <c r="K62" s="437"/>
      <c r="L62" s="437"/>
      <c r="M62" s="437"/>
      <c r="N62" s="437"/>
      <c r="O62" s="521"/>
      <c r="T62" s="441"/>
      <c r="X62" s="441"/>
      <c r="Y62" s="441"/>
      <c r="Z62" s="441"/>
    </row>
    <row r="63" spans="9:33" ht="15.95" customHeight="1" x14ac:dyDescent="0.2">
      <c r="I63" s="437"/>
      <c r="J63" s="437"/>
      <c r="K63" s="437"/>
      <c r="L63" s="437"/>
      <c r="M63" s="437"/>
      <c r="N63" s="437"/>
      <c r="O63" s="521"/>
      <c r="T63" s="441"/>
      <c r="X63" s="441"/>
      <c r="Y63" s="441"/>
      <c r="Z63" s="441"/>
    </row>
    <row r="64" spans="9:33" ht="15.95" customHeight="1" x14ac:dyDescent="0.2">
      <c r="I64" s="437"/>
      <c r="J64" s="437"/>
      <c r="K64" s="437"/>
      <c r="L64" s="437"/>
      <c r="M64" s="437"/>
      <c r="N64" s="437"/>
      <c r="O64" s="521"/>
      <c r="T64" s="441"/>
      <c r="X64" s="441"/>
      <c r="Y64" s="441"/>
      <c r="Z64" s="441"/>
    </row>
    <row r="65" spans="9:36" ht="15.95" customHeight="1" x14ac:dyDescent="0.2">
      <c r="I65" s="437"/>
      <c r="J65" s="437"/>
      <c r="K65" s="437"/>
      <c r="L65" s="437"/>
      <c r="M65" s="437"/>
      <c r="N65" s="437"/>
      <c r="O65" s="437"/>
      <c r="P65" s="437"/>
      <c r="Q65" s="437"/>
      <c r="R65" s="437"/>
      <c r="S65" s="437"/>
      <c r="T65" s="437"/>
      <c r="U65" s="437"/>
      <c r="V65" s="437"/>
      <c r="W65" s="437"/>
      <c r="X65" s="437"/>
      <c r="Y65" s="437"/>
      <c r="Z65" s="437"/>
      <c r="AA65" s="437"/>
      <c r="AH65" s="441"/>
      <c r="AI65" s="441"/>
      <c r="AJ65" s="447"/>
    </row>
    <row r="66" spans="9:36" ht="15.95" customHeight="1" x14ac:dyDescent="0.2">
      <c r="I66" s="437"/>
      <c r="J66" s="437"/>
      <c r="K66" s="437"/>
      <c r="L66" s="437"/>
      <c r="M66" s="437"/>
      <c r="N66" s="437"/>
      <c r="O66" s="437"/>
      <c r="P66" s="437"/>
      <c r="Q66" s="437"/>
      <c r="R66" s="437"/>
      <c r="S66" s="437"/>
      <c r="T66" s="437"/>
      <c r="U66" s="437"/>
      <c r="V66" s="437"/>
      <c r="W66" s="437"/>
      <c r="X66" s="437"/>
      <c r="Y66" s="437"/>
      <c r="Z66" s="437"/>
      <c r="AA66" s="437"/>
      <c r="AH66" s="441"/>
      <c r="AI66" s="441"/>
      <c r="AJ66" s="447"/>
    </row>
    <row r="67" spans="9:36" ht="15.95" customHeight="1" x14ac:dyDescent="0.2">
      <c r="I67" s="437"/>
      <c r="J67" s="437"/>
      <c r="K67" s="437"/>
      <c r="L67" s="437"/>
      <c r="M67" s="437"/>
      <c r="N67" s="437"/>
      <c r="O67" s="437"/>
      <c r="P67" s="437"/>
      <c r="Q67" s="437"/>
      <c r="R67" s="437"/>
      <c r="S67" s="437"/>
      <c r="T67" s="437"/>
      <c r="U67" s="437"/>
      <c r="V67" s="437"/>
      <c r="W67" s="437"/>
      <c r="X67" s="437"/>
      <c r="Y67" s="437"/>
      <c r="Z67" s="437"/>
      <c r="AA67" s="437"/>
      <c r="AH67" s="441"/>
      <c r="AI67" s="441"/>
      <c r="AJ67" s="441"/>
    </row>
    <row r="68" spans="9:36" ht="15.95" customHeight="1" x14ac:dyDescent="0.2">
      <c r="I68" s="437"/>
      <c r="J68" s="437"/>
      <c r="K68" s="450"/>
      <c r="L68" s="450"/>
      <c r="M68" s="450"/>
      <c r="N68" s="521"/>
      <c r="O68" s="521"/>
      <c r="P68" s="450"/>
      <c r="Q68" s="450"/>
      <c r="R68" s="437"/>
      <c r="S68" s="437"/>
      <c r="T68" s="451"/>
      <c r="U68" s="450"/>
      <c r="W68" s="450"/>
      <c r="X68" s="516"/>
      <c r="Y68" s="457"/>
      <c r="Z68" s="457"/>
      <c r="AA68" s="450"/>
      <c r="AH68" s="441"/>
      <c r="AI68" s="441"/>
      <c r="AJ68" s="441"/>
    </row>
    <row r="69" spans="9:36" ht="15.95" customHeight="1" x14ac:dyDescent="0.2">
      <c r="I69" s="437"/>
      <c r="J69" s="437"/>
      <c r="K69" s="450"/>
      <c r="L69" s="450"/>
      <c r="M69" s="450"/>
      <c r="N69" s="521"/>
      <c r="O69" s="521"/>
      <c r="P69" s="450"/>
      <c r="Q69" s="450"/>
      <c r="R69" s="437"/>
      <c r="S69" s="437"/>
      <c r="T69" s="451"/>
      <c r="U69" s="450"/>
      <c r="W69" s="450"/>
      <c r="X69" s="516"/>
      <c r="Y69" s="457"/>
      <c r="Z69" s="457"/>
      <c r="AA69" s="450"/>
      <c r="AH69" s="441"/>
      <c r="AI69" s="441"/>
      <c r="AJ69" s="450"/>
    </row>
    <row r="70" spans="9:36" ht="15.95" customHeight="1" x14ac:dyDescent="0.2">
      <c r="I70" s="437"/>
      <c r="J70" s="437"/>
      <c r="K70" s="450"/>
      <c r="L70" s="450"/>
      <c r="M70" s="450"/>
      <c r="N70" s="521"/>
      <c r="O70" s="521"/>
      <c r="P70" s="450"/>
      <c r="Q70" s="450"/>
      <c r="R70" s="437"/>
      <c r="S70" s="437"/>
      <c r="T70" s="451"/>
      <c r="U70" s="450"/>
      <c r="W70" s="450"/>
      <c r="X70" s="516"/>
      <c r="Y70" s="457"/>
      <c r="Z70" s="457"/>
      <c r="AA70" s="450"/>
      <c r="AH70" s="441"/>
      <c r="AI70" s="441"/>
      <c r="AJ70" s="450"/>
    </row>
    <row r="71" spans="9:36" ht="15.95" customHeight="1" x14ac:dyDescent="0.2">
      <c r="I71" s="437"/>
      <c r="J71" s="437"/>
      <c r="K71" s="450"/>
      <c r="L71" s="450"/>
      <c r="M71" s="450"/>
      <c r="N71" s="521"/>
      <c r="O71" s="521"/>
      <c r="P71" s="450"/>
      <c r="Q71" s="450"/>
      <c r="R71" s="437"/>
      <c r="S71" s="437"/>
      <c r="T71" s="451"/>
      <c r="U71" s="450"/>
      <c r="W71" s="450"/>
      <c r="X71" s="516"/>
      <c r="Y71" s="457"/>
      <c r="Z71" s="457"/>
      <c r="AA71" s="450"/>
      <c r="AH71" s="441"/>
      <c r="AI71" s="441"/>
      <c r="AJ71" s="445"/>
    </row>
    <row r="72" spans="9:36" ht="15.95" customHeight="1" x14ac:dyDescent="0.2">
      <c r="I72" s="437"/>
      <c r="J72" s="437"/>
      <c r="K72" s="450"/>
      <c r="L72" s="450"/>
      <c r="M72" s="450"/>
      <c r="N72" s="521"/>
      <c r="O72" s="521"/>
      <c r="P72" s="450"/>
      <c r="Q72" s="450"/>
      <c r="R72" s="437"/>
      <c r="S72" s="437"/>
      <c r="T72" s="451"/>
      <c r="U72" s="450"/>
      <c r="W72" s="450"/>
      <c r="X72" s="516"/>
      <c r="Y72" s="457"/>
      <c r="Z72" s="457"/>
      <c r="AA72" s="450"/>
      <c r="AH72" s="441"/>
      <c r="AI72" s="441"/>
      <c r="AJ72" s="447"/>
    </row>
    <row r="73" spans="9:36" ht="15.95" customHeight="1" x14ac:dyDescent="0.2">
      <c r="I73" s="437"/>
      <c r="J73" s="437"/>
      <c r="K73" s="450"/>
      <c r="L73" s="450"/>
      <c r="M73" s="450"/>
      <c r="N73" s="521"/>
      <c r="O73" s="521"/>
      <c r="P73" s="450"/>
      <c r="Q73" s="450"/>
      <c r="R73" s="437"/>
      <c r="S73" s="437"/>
      <c r="T73" s="451"/>
      <c r="U73" s="450"/>
      <c r="W73" s="450"/>
      <c r="X73" s="516"/>
      <c r="Y73" s="457"/>
      <c r="Z73" s="457"/>
      <c r="AA73" s="450"/>
      <c r="AH73" s="441"/>
      <c r="AI73" s="441"/>
      <c r="AJ73" s="447"/>
    </row>
    <row r="74" spans="9:36" ht="15.95" customHeight="1" x14ac:dyDescent="0.2">
      <c r="I74" s="437"/>
      <c r="J74" s="437"/>
      <c r="K74" s="450"/>
      <c r="L74" s="450"/>
      <c r="M74" s="450"/>
      <c r="N74" s="521"/>
      <c r="O74" s="521"/>
      <c r="P74" s="450"/>
      <c r="Q74" s="450"/>
      <c r="R74" s="437"/>
      <c r="S74" s="437"/>
      <c r="T74" s="451"/>
      <c r="U74" s="450"/>
      <c r="W74" s="450"/>
      <c r="X74" s="516"/>
      <c r="Y74" s="457"/>
      <c r="Z74" s="457"/>
      <c r="AA74" s="450"/>
      <c r="AH74" s="441"/>
      <c r="AI74" s="441"/>
      <c r="AJ74" s="450"/>
    </row>
    <row r="75" spans="9:36" ht="15.95" customHeight="1" x14ac:dyDescent="0.2">
      <c r="I75" s="437"/>
      <c r="J75" s="437"/>
      <c r="K75" s="450"/>
      <c r="L75" s="450"/>
      <c r="M75" s="450"/>
      <c r="N75" s="521"/>
      <c r="O75" s="521"/>
      <c r="P75" s="450"/>
      <c r="Q75" s="450"/>
      <c r="R75" s="437"/>
      <c r="S75" s="437"/>
      <c r="T75" s="451"/>
      <c r="U75" s="450"/>
      <c r="W75" s="450"/>
      <c r="X75" s="516"/>
      <c r="Y75" s="457"/>
      <c r="Z75" s="457"/>
      <c r="AA75" s="450"/>
      <c r="AH75" s="441"/>
      <c r="AI75" s="441"/>
      <c r="AJ75" s="450"/>
    </row>
    <row r="76" spans="9:36" ht="15.95" customHeight="1" x14ac:dyDescent="0.2">
      <c r="I76" s="437"/>
      <c r="J76" s="437"/>
      <c r="K76" s="450"/>
      <c r="L76" s="450"/>
      <c r="M76" s="450"/>
      <c r="N76" s="521"/>
      <c r="O76" s="521"/>
      <c r="P76" s="450"/>
      <c r="Q76" s="450"/>
      <c r="R76" s="437"/>
      <c r="S76" s="437"/>
      <c r="T76" s="451"/>
      <c r="U76" s="450"/>
      <c r="W76" s="450"/>
      <c r="X76" s="516"/>
      <c r="Y76" s="457"/>
      <c r="Z76" s="457"/>
      <c r="AA76" s="450"/>
      <c r="AH76" s="441"/>
      <c r="AI76" s="441"/>
      <c r="AJ76" s="450"/>
    </row>
    <row r="77" spans="9:36" ht="15.95" customHeight="1" x14ac:dyDescent="0.2">
      <c r="I77" s="437"/>
      <c r="J77" s="437"/>
      <c r="K77" s="447"/>
      <c r="L77" s="450"/>
      <c r="M77" s="450"/>
      <c r="N77" s="521"/>
      <c r="O77" s="521"/>
      <c r="P77" s="450"/>
      <c r="Q77" s="450"/>
      <c r="R77" s="450"/>
      <c r="S77" s="450"/>
      <c r="T77" s="451"/>
      <c r="U77" s="450"/>
      <c r="W77" s="450"/>
      <c r="X77" s="450"/>
      <c r="Y77" s="450"/>
      <c r="Z77" s="451"/>
      <c r="AA77" s="450"/>
      <c r="AH77" s="441"/>
      <c r="AI77" s="441"/>
      <c r="AJ77" s="450"/>
    </row>
    <row r="78" spans="9:36" ht="15.95" customHeight="1" x14ac:dyDescent="0.2">
      <c r="I78" s="437"/>
      <c r="J78" s="437"/>
      <c r="K78" s="447"/>
      <c r="L78" s="450"/>
      <c r="M78" s="450"/>
      <c r="N78" s="521"/>
      <c r="O78" s="521"/>
      <c r="P78" s="450"/>
      <c r="Q78" s="450"/>
      <c r="R78" s="450"/>
      <c r="S78" s="450"/>
      <c r="T78" s="451"/>
      <c r="U78" s="450"/>
      <c r="W78" s="450"/>
      <c r="X78" s="450"/>
      <c r="Y78" s="450"/>
      <c r="Z78" s="451"/>
      <c r="AA78" s="450"/>
      <c r="AH78" s="441"/>
      <c r="AI78" s="441"/>
      <c r="AJ78" s="445"/>
    </row>
    <row r="79" spans="9:36" ht="15.95" customHeight="1" x14ac:dyDescent="0.2">
      <c r="I79" s="437"/>
      <c r="J79" s="437"/>
      <c r="K79" s="447"/>
      <c r="L79" s="450"/>
      <c r="M79" s="450"/>
      <c r="N79" s="521"/>
      <c r="O79" s="521"/>
      <c r="P79" s="450"/>
      <c r="Q79" s="450"/>
      <c r="R79" s="450"/>
      <c r="S79" s="450"/>
      <c r="T79" s="451"/>
      <c r="U79" s="450"/>
      <c r="W79" s="450"/>
      <c r="X79" s="450"/>
      <c r="Y79" s="450"/>
      <c r="Z79" s="451"/>
      <c r="AA79" s="450"/>
      <c r="AH79" s="441"/>
      <c r="AI79" s="441"/>
      <c r="AJ79" s="447"/>
    </row>
    <row r="80" spans="9:36" ht="15.95" customHeight="1" x14ac:dyDescent="0.2">
      <c r="I80" s="437"/>
      <c r="J80" s="437"/>
      <c r="K80" s="447"/>
      <c r="L80" s="450"/>
      <c r="M80" s="450"/>
      <c r="N80" s="521"/>
      <c r="O80" s="521"/>
      <c r="P80" s="450"/>
      <c r="Q80" s="450"/>
      <c r="R80" s="450"/>
      <c r="S80" s="450"/>
      <c r="T80" s="451"/>
      <c r="U80" s="450"/>
      <c r="W80" s="450"/>
      <c r="X80" s="450"/>
      <c r="Y80" s="450"/>
      <c r="Z80" s="451"/>
      <c r="AA80" s="450"/>
      <c r="AH80" s="441"/>
      <c r="AI80" s="441"/>
      <c r="AJ80" s="447"/>
    </row>
    <row r="81" spans="9:36" ht="15.95" customHeight="1" x14ac:dyDescent="0.2">
      <c r="I81" s="437"/>
      <c r="J81" s="437"/>
      <c r="K81" s="447"/>
      <c r="L81" s="450"/>
      <c r="M81" s="450"/>
      <c r="N81" s="521"/>
      <c r="O81" s="521"/>
      <c r="P81" s="450"/>
      <c r="Q81" s="450"/>
      <c r="R81" s="450"/>
      <c r="S81" s="450"/>
      <c r="T81" s="451"/>
      <c r="U81" s="450"/>
      <c r="W81" s="450"/>
      <c r="X81" s="450"/>
      <c r="Y81" s="450"/>
      <c r="Z81" s="451"/>
      <c r="AA81" s="450"/>
      <c r="AH81" s="441"/>
      <c r="AI81" s="441"/>
      <c r="AJ81" s="447"/>
    </row>
    <row r="82" spans="9:36" ht="15.95" customHeight="1" x14ac:dyDescent="0.2">
      <c r="I82" s="437"/>
      <c r="J82" s="437"/>
      <c r="K82" s="450"/>
      <c r="L82" s="450"/>
      <c r="M82" s="450"/>
      <c r="N82" s="521"/>
      <c r="O82" s="521"/>
      <c r="P82" s="450"/>
      <c r="Q82" s="450"/>
      <c r="R82" s="450"/>
      <c r="S82" s="450"/>
      <c r="T82" s="451"/>
      <c r="U82" s="450"/>
      <c r="W82" s="450"/>
      <c r="X82" s="450"/>
      <c r="Y82" s="450"/>
      <c r="Z82" s="451"/>
      <c r="AA82" s="450"/>
      <c r="AH82" s="441"/>
      <c r="AI82" s="441"/>
      <c r="AJ82" s="450"/>
    </row>
    <row r="83" spans="9:36" ht="15.95" customHeight="1" x14ac:dyDescent="0.2">
      <c r="I83" s="437"/>
      <c r="J83" s="437"/>
      <c r="K83" s="445"/>
      <c r="L83" s="450"/>
      <c r="M83" s="450"/>
      <c r="N83" s="521"/>
      <c r="O83" s="521"/>
      <c r="P83" s="450"/>
      <c r="Q83" s="450"/>
      <c r="R83" s="450"/>
      <c r="S83" s="450"/>
      <c r="T83" s="451"/>
      <c r="U83" s="450"/>
      <c r="W83" s="450"/>
      <c r="X83" s="450"/>
      <c r="Y83" s="450"/>
      <c r="Z83" s="451"/>
      <c r="AA83" s="450"/>
      <c r="AH83" s="441"/>
      <c r="AI83" s="441"/>
      <c r="AJ83" s="445"/>
    </row>
    <row r="84" spans="9:36" ht="15.95" customHeight="1" x14ac:dyDescent="0.2">
      <c r="I84" s="437"/>
      <c r="J84" s="437"/>
      <c r="K84" s="447"/>
      <c r="L84" s="450"/>
      <c r="M84" s="450"/>
      <c r="N84" s="521"/>
      <c r="O84" s="521"/>
      <c r="P84" s="450"/>
      <c r="Q84" s="450"/>
      <c r="R84" s="450"/>
      <c r="S84" s="450"/>
      <c r="T84" s="451"/>
      <c r="U84" s="450"/>
      <c r="W84" s="450"/>
      <c r="X84" s="450"/>
      <c r="Y84" s="450"/>
      <c r="Z84" s="451"/>
      <c r="AA84" s="450"/>
      <c r="AH84" s="441"/>
      <c r="AI84" s="441"/>
      <c r="AJ84" s="447"/>
    </row>
    <row r="85" spans="9:36" ht="15.95" customHeight="1" x14ac:dyDescent="0.2">
      <c r="I85" s="437"/>
      <c r="J85" s="437"/>
      <c r="K85" s="447"/>
      <c r="L85" s="450"/>
      <c r="M85" s="450"/>
      <c r="N85" s="521"/>
      <c r="O85" s="521"/>
      <c r="P85" s="450"/>
      <c r="Q85" s="450"/>
      <c r="R85" s="450"/>
      <c r="S85" s="450"/>
      <c r="T85" s="451"/>
      <c r="U85" s="450"/>
      <c r="W85" s="450"/>
      <c r="X85" s="450"/>
      <c r="Y85" s="450"/>
      <c r="Z85" s="451"/>
      <c r="AA85" s="450"/>
      <c r="AH85" s="441"/>
      <c r="AI85" s="441"/>
      <c r="AJ85" s="447"/>
    </row>
    <row r="86" spans="9:36" ht="15.95" customHeight="1" x14ac:dyDescent="0.2">
      <c r="K86" s="447"/>
      <c r="L86" s="450"/>
      <c r="M86" s="450"/>
      <c r="N86" s="521"/>
      <c r="O86" s="521"/>
      <c r="P86" s="450"/>
      <c r="Q86" s="450"/>
      <c r="R86" s="450"/>
      <c r="S86" s="450"/>
      <c r="T86" s="451"/>
      <c r="U86" s="450"/>
      <c r="W86" s="450"/>
      <c r="X86" s="450"/>
      <c r="Y86" s="450"/>
      <c r="Z86" s="451"/>
      <c r="AA86" s="450"/>
      <c r="AH86" s="441"/>
      <c r="AI86" s="441"/>
      <c r="AJ86" s="441"/>
    </row>
    <row r="87" spans="9:36" ht="15.95" customHeight="1" x14ac:dyDescent="0.2">
      <c r="K87" s="447"/>
      <c r="L87" s="450"/>
      <c r="M87" s="450"/>
      <c r="N87" s="521"/>
      <c r="O87" s="521"/>
      <c r="P87" s="450"/>
      <c r="Q87" s="450"/>
      <c r="R87" s="450"/>
      <c r="S87" s="450"/>
      <c r="T87" s="451"/>
      <c r="U87" s="450"/>
      <c r="W87" s="450"/>
      <c r="X87" s="450"/>
      <c r="Y87" s="450"/>
      <c r="Z87" s="451"/>
      <c r="AA87" s="450"/>
      <c r="AH87" s="441"/>
      <c r="AI87" s="441"/>
      <c r="AJ87" s="441"/>
    </row>
    <row r="88" spans="9:36" ht="15.95" customHeight="1" x14ac:dyDescent="0.2">
      <c r="L88" s="450"/>
      <c r="M88" s="450"/>
      <c r="N88" s="521"/>
      <c r="O88" s="521"/>
      <c r="P88" s="450"/>
      <c r="Q88" s="450"/>
      <c r="R88" s="450"/>
      <c r="S88" s="450"/>
      <c r="T88" s="451"/>
      <c r="U88" s="450"/>
      <c r="W88" s="450"/>
      <c r="X88" s="450"/>
      <c r="Y88" s="450"/>
      <c r="Z88" s="451"/>
      <c r="AA88" s="450"/>
    </row>
    <row r="89" spans="9:36" ht="15.95" customHeight="1" x14ac:dyDescent="0.2">
      <c r="K89" s="435"/>
      <c r="L89" s="450"/>
      <c r="M89" s="450"/>
      <c r="N89" s="521"/>
      <c r="O89" s="521"/>
      <c r="P89" s="450"/>
      <c r="Q89" s="450"/>
      <c r="R89" s="450"/>
      <c r="S89" s="450"/>
      <c r="T89" s="451"/>
      <c r="U89" s="450"/>
      <c r="W89" s="450"/>
      <c r="X89" s="450"/>
      <c r="Y89" s="450"/>
      <c r="Z89" s="451"/>
      <c r="AA89" s="450"/>
    </row>
    <row r="90" spans="9:36" ht="15.95" customHeight="1" x14ac:dyDescent="0.2">
      <c r="K90" s="435"/>
      <c r="R90" s="450"/>
      <c r="S90" s="450"/>
      <c r="T90" s="451"/>
      <c r="U90" s="450"/>
      <c r="W90" s="450"/>
      <c r="X90" s="450"/>
      <c r="Y90" s="450"/>
      <c r="Z90" s="451"/>
    </row>
    <row r="91" spans="9:36" ht="15.95" customHeight="1" x14ac:dyDescent="0.2">
      <c r="K91" s="435"/>
    </row>
    <row r="92" spans="9:36" ht="15.95" customHeight="1" x14ac:dyDescent="0.2">
      <c r="K92" s="435"/>
    </row>
    <row r="93" spans="9:36" ht="15.95" customHeight="1" x14ac:dyDescent="0.2">
      <c r="K93" s="435"/>
    </row>
    <row r="94" spans="9:36" ht="15.95" customHeight="1" x14ac:dyDescent="0.2">
      <c r="K94" s="435"/>
    </row>
    <row r="95" spans="9:36" ht="15.95" customHeight="1" x14ac:dyDescent="0.2">
      <c r="K95" s="435"/>
      <c r="S95" s="450"/>
    </row>
    <row r="96" spans="9:36" ht="15.95" customHeight="1" x14ac:dyDescent="0.2">
      <c r="K96" s="435"/>
      <c r="S96" s="450"/>
    </row>
    <row r="97" ht="15.95" customHeight="1" x14ac:dyDescent="0.2"/>
    <row r="98" ht="15.95" customHeight="1" x14ac:dyDescent="0.2"/>
    <row r="99" ht="15.95" customHeight="1" x14ac:dyDescent="0.2"/>
    <row r="100" ht="15.95" customHeight="1" x14ac:dyDescent="0.2"/>
    <row r="101" ht="15.95" customHeight="1" x14ac:dyDescent="0.2"/>
    <row r="102" ht="15.95" customHeight="1" x14ac:dyDescent="0.2"/>
    <row r="103" ht="15.95" customHeight="1" x14ac:dyDescent="0.2"/>
    <row r="104" ht="15.95" customHeight="1" x14ac:dyDescent="0.2"/>
    <row r="105" ht="15.95" customHeight="1" x14ac:dyDescent="0.2"/>
    <row r="106" ht="15.95" customHeight="1" x14ac:dyDescent="0.2"/>
    <row r="107" ht="15.95" customHeight="1" x14ac:dyDescent="0.2"/>
    <row r="108" ht="15.95" customHeight="1" x14ac:dyDescent="0.2"/>
    <row r="109" ht="15.95" customHeight="1" x14ac:dyDescent="0.2"/>
    <row r="110" ht="15.95" customHeight="1" x14ac:dyDescent="0.2"/>
    <row r="111" ht="15.95" customHeight="1" x14ac:dyDescent="0.2"/>
    <row r="112" ht="15.95" customHeight="1" x14ac:dyDescent="0.2"/>
    <row r="113" ht="15.95" customHeight="1" x14ac:dyDescent="0.2"/>
    <row r="114" ht="15.95" customHeight="1" x14ac:dyDescent="0.2"/>
    <row r="115" ht="15.95" customHeight="1" x14ac:dyDescent="0.2"/>
    <row r="116" ht="15.95" customHeight="1" x14ac:dyDescent="0.2"/>
    <row r="117" ht="15.95" customHeight="1" x14ac:dyDescent="0.2"/>
    <row r="118" ht="15.95" customHeight="1" x14ac:dyDescent="0.2"/>
    <row r="119" ht="15.95" customHeight="1" x14ac:dyDescent="0.2"/>
    <row r="120" ht="15.95" customHeight="1" x14ac:dyDescent="0.2"/>
    <row r="121" ht="15.95" customHeight="1" x14ac:dyDescent="0.2"/>
    <row r="122" ht="15.95" customHeight="1" x14ac:dyDescent="0.2"/>
    <row r="123" ht="15.95" customHeight="1" x14ac:dyDescent="0.2"/>
    <row r="124" ht="15.95" customHeight="1" x14ac:dyDescent="0.2"/>
    <row r="125" ht="15.95" customHeight="1" x14ac:dyDescent="0.2"/>
    <row r="126" ht="15.95" customHeight="1" x14ac:dyDescent="0.2"/>
    <row r="127" ht="15.95" customHeight="1" x14ac:dyDescent="0.2"/>
    <row r="128" ht="15.95" customHeight="1" x14ac:dyDescent="0.2"/>
    <row r="129" ht="15.95" customHeight="1" x14ac:dyDescent="0.2"/>
    <row r="130" ht="15.95" customHeight="1" x14ac:dyDescent="0.2"/>
    <row r="131" ht="15.95" customHeight="1" x14ac:dyDescent="0.2"/>
    <row r="132" ht="15.95" customHeight="1" x14ac:dyDescent="0.2"/>
    <row r="133" ht="15.95" customHeight="1" x14ac:dyDescent="0.2"/>
    <row r="134" ht="15.95" customHeight="1" x14ac:dyDescent="0.2"/>
    <row r="135" ht="15.95" customHeight="1" x14ac:dyDescent="0.2"/>
    <row r="136" ht="15.95" customHeight="1" x14ac:dyDescent="0.2"/>
    <row r="137" ht="15.95" customHeight="1" x14ac:dyDescent="0.2"/>
    <row r="138" ht="15.95" customHeight="1" x14ac:dyDescent="0.2"/>
    <row r="139" ht="15.95" customHeight="1" x14ac:dyDescent="0.2"/>
    <row r="140" ht="15.95" customHeight="1" x14ac:dyDescent="0.2"/>
    <row r="141" ht="15.95" customHeight="1" x14ac:dyDescent="0.2"/>
    <row r="142" ht="15.95" customHeight="1" x14ac:dyDescent="0.2"/>
    <row r="143" ht="15.95" customHeight="1" x14ac:dyDescent="0.2"/>
    <row r="144" ht="15.95" customHeight="1" x14ac:dyDescent="0.2"/>
    <row r="145" ht="15.95" customHeight="1" x14ac:dyDescent="0.2"/>
    <row r="146" ht="15.95" customHeight="1" x14ac:dyDescent="0.2"/>
    <row r="147" ht="15.95" customHeight="1" x14ac:dyDescent="0.2"/>
    <row r="148" ht="15.95" customHeight="1" x14ac:dyDescent="0.2"/>
  </sheetData>
  <sheetProtection selectLockedCells="1"/>
  <mergeCells count="41">
    <mergeCell ref="X26:Z26"/>
    <mergeCell ref="N28:N29"/>
    <mergeCell ref="T28:T29"/>
    <mergeCell ref="Z28:Z29"/>
    <mergeCell ref="N30:N31"/>
    <mergeCell ref="T30:T31"/>
    <mergeCell ref="Z30:Z31"/>
    <mergeCell ref="N23:N24"/>
    <mergeCell ref="T23:T24"/>
    <mergeCell ref="Z23:Z24"/>
    <mergeCell ref="X12:Z12"/>
    <mergeCell ref="N14:N15"/>
    <mergeCell ref="T14:T15"/>
    <mergeCell ref="Z14:Z15"/>
    <mergeCell ref="N16:N17"/>
    <mergeCell ref="T16:T17"/>
    <mergeCell ref="Z16:Z17"/>
    <mergeCell ref="R19:T19"/>
    <mergeCell ref="X19:Z19"/>
    <mergeCell ref="N21:N22"/>
    <mergeCell ref="T21:T22"/>
    <mergeCell ref="Z21:Z22"/>
    <mergeCell ref="N7:N8"/>
    <mergeCell ref="T7:T8"/>
    <mergeCell ref="Z7:Z8"/>
    <mergeCell ref="N9:N10"/>
    <mergeCell ref="T9:T10"/>
    <mergeCell ref="Z9:Z10"/>
    <mergeCell ref="K4:N4"/>
    <mergeCell ref="Q4:T4"/>
    <mergeCell ref="W4:Z4"/>
    <mergeCell ref="AH4:AJ5"/>
    <mergeCell ref="L5:N5"/>
    <mergeCell ref="R5:T5"/>
    <mergeCell ref="X5:Z5"/>
    <mergeCell ref="K1:AA1"/>
    <mergeCell ref="AF1:AJ1"/>
    <mergeCell ref="K2:Z2"/>
    <mergeCell ref="AF2:AJ2"/>
    <mergeCell ref="N3:X3"/>
    <mergeCell ref="AF3:AJ3"/>
  </mergeCells>
  <conditionalFormatting sqref="O7:O8">
    <cfRule type="expression" priority="160" stopIfTrue="1">
      <formula>IF(N7="",1)</formula>
    </cfRule>
    <cfRule type="expression" dxfId="2014" priority="162">
      <formula>IF(N7=N9,1,0)</formula>
    </cfRule>
  </conditionalFormatting>
  <conditionalFormatting sqref="O9">
    <cfRule type="expression" priority="159" stopIfTrue="1">
      <formula>IF(N9="",1,0)</formula>
    </cfRule>
    <cfRule type="expression" dxfId="2013" priority="161">
      <formula>IF(N7=N9,1,0)</formula>
    </cfRule>
  </conditionalFormatting>
  <conditionalFormatting sqref="S7">
    <cfRule type="expression" dxfId="2012" priority="84">
      <formula>IF(T7+U7&gt;T9+U9,1,0)</formula>
    </cfRule>
  </conditionalFormatting>
  <conditionalFormatting sqref="S9">
    <cfRule type="expression" dxfId="2011" priority="83">
      <formula>IF(T9+U9&gt;T11+U11,1,0)</formula>
    </cfRule>
  </conditionalFormatting>
  <conditionalFormatting sqref="S14">
    <cfRule type="expression" dxfId="2010" priority="76">
      <formula>IF(T14+U14&gt;T16+U16,1,0)</formula>
    </cfRule>
  </conditionalFormatting>
  <conditionalFormatting sqref="S16">
    <cfRule type="expression" dxfId="2009" priority="75">
      <formula>IF(T16+U16&gt;T18+U18,1,0)</formula>
    </cfRule>
  </conditionalFormatting>
  <conditionalFormatting sqref="S21">
    <cfRule type="expression" dxfId="2008" priority="74">
      <formula>IF(T21+U21&gt;T23+U23,1,0)</formula>
    </cfRule>
  </conditionalFormatting>
  <conditionalFormatting sqref="S23">
    <cfRule type="expression" dxfId="2007" priority="73">
      <formula>IF(T23+U23&gt;T25+U25,1,0)</formula>
    </cfRule>
  </conditionalFormatting>
  <conditionalFormatting sqref="S28">
    <cfRule type="expression" dxfId="2006" priority="72">
      <formula>IF(T28+U28&gt;T30+U30,1,0)</formula>
    </cfRule>
  </conditionalFormatting>
  <conditionalFormatting sqref="S30">
    <cfRule type="expression" dxfId="2005" priority="71">
      <formula>IF(T30+U30&gt;T32+U32,1,0)</formula>
    </cfRule>
  </conditionalFormatting>
  <conditionalFormatting sqref="Y7">
    <cfRule type="expression" dxfId="2004" priority="70">
      <formula>IF(Z7+AA7&gt;Z9+AA9,1,0)</formula>
    </cfRule>
  </conditionalFormatting>
  <conditionalFormatting sqref="Y9">
    <cfRule type="expression" dxfId="2003" priority="69">
      <formula>IF(Z9+AA9&gt;Z11+AA11,1,0)</formula>
    </cfRule>
  </conditionalFormatting>
  <conditionalFormatting sqref="Y14">
    <cfRule type="expression" dxfId="2002" priority="68">
      <formula>IF(Z14+AA14&gt;Z16+AA16,1,0)</formula>
    </cfRule>
  </conditionalFormatting>
  <conditionalFormatting sqref="Y16">
    <cfRule type="expression" dxfId="2001" priority="67">
      <formula>IF(Z16+AA16&gt;Z18+AA18,1,0)</formula>
    </cfRule>
  </conditionalFormatting>
  <conditionalFormatting sqref="Y21">
    <cfRule type="expression" dxfId="2000" priority="66">
      <formula>IF(Z21+AA21&gt;Z23+AA23,1,0)</formula>
    </cfRule>
  </conditionalFormatting>
  <conditionalFormatting sqref="Y23">
    <cfRule type="expression" dxfId="1999" priority="65">
      <formula>IF(Z23+AA23&gt;Z25+AA25,1,0)</formula>
    </cfRule>
  </conditionalFormatting>
  <conditionalFormatting sqref="Y28">
    <cfRule type="expression" dxfId="1998" priority="64">
      <formula>IF(Z28+AA28&gt;Z30+AA30,1,0)</formula>
    </cfRule>
  </conditionalFormatting>
  <conditionalFormatting sqref="Y30">
    <cfRule type="expression" dxfId="1997" priority="63">
      <formula>IF(Z30+AA30&gt;Z32+AA32,1,0)</formula>
    </cfRule>
  </conditionalFormatting>
  <conditionalFormatting sqref="O14:O15">
    <cfRule type="expression" priority="60" stopIfTrue="1">
      <formula>IF(N14="",1)</formula>
    </cfRule>
    <cfRule type="expression" dxfId="1996" priority="62">
      <formula>IF(N14=N16,1,0)</formula>
    </cfRule>
  </conditionalFormatting>
  <conditionalFormatting sqref="O16">
    <cfRule type="expression" priority="59" stopIfTrue="1">
      <formula>IF(N16="",1,0)</formula>
    </cfRule>
    <cfRule type="expression" dxfId="1995" priority="61">
      <formula>IF(N14=N16,1,0)</formula>
    </cfRule>
  </conditionalFormatting>
  <conditionalFormatting sqref="O21:O22">
    <cfRule type="expression" priority="56" stopIfTrue="1">
      <formula>IF(N21="",1)</formula>
    </cfRule>
    <cfRule type="expression" dxfId="1994" priority="58">
      <formula>IF(N21=N23,1,0)</formula>
    </cfRule>
  </conditionalFormatting>
  <conditionalFormatting sqref="O23">
    <cfRule type="expression" priority="55" stopIfTrue="1">
      <formula>IF(N23="",1,0)</formula>
    </cfRule>
    <cfRule type="expression" dxfId="1993" priority="57">
      <formula>IF(N21=N23,1,0)</formula>
    </cfRule>
  </conditionalFormatting>
  <conditionalFormatting sqref="O28:O29">
    <cfRule type="expression" priority="52" stopIfTrue="1">
      <formula>IF(N28="",1)</formula>
    </cfRule>
    <cfRule type="expression" dxfId="1992" priority="54">
      <formula>IF(N28=N30,1,0)</formula>
    </cfRule>
  </conditionalFormatting>
  <conditionalFormatting sqref="O30">
    <cfRule type="expression" priority="51" stopIfTrue="1">
      <formula>IF(N30="",1,0)</formula>
    </cfRule>
    <cfRule type="expression" dxfId="1991" priority="53">
      <formula>IF(N28=N30,1,0)</formula>
    </cfRule>
  </conditionalFormatting>
  <conditionalFormatting sqref="U7:U8">
    <cfRule type="expression" priority="48" stopIfTrue="1">
      <formula>IF(T7="",1)</formula>
    </cfRule>
    <cfRule type="expression" dxfId="1990" priority="50">
      <formula>IF(T7=T9,1,0)</formula>
    </cfRule>
  </conditionalFormatting>
  <conditionalFormatting sqref="U9">
    <cfRule type="expression" priority="47" stopIfTrue="1">
      <formula>IF(T9="",1,0)</formula>
    </cfRule>
    <cfRule type="expression" dxfId="1989" priority="49">
      <formula>IF(T7=T9,1,0)</formula>
    </cfRule>
  </conditionalFormatting>
  <conditionalFormatting sqref="U14:U15">
    <cfRule type="expression" priority="44" stopIfTrue="1">
      <formula>IF(T14="",1)</formula>
    </cfRule>
    <cfRule type="expression" dxfId="1988" priority="46">
      <formula>IF(T14=T16,1,0)</formula>
    </cfRule>
  </conditionalFormatting>
  <conditionalFormatting sqref="U16">
    <cfRule type="expression" priority="43" stopIfTrue="1">
      <formula>IF(T16="",1,0)</formula>
    </cfRule>
    <cfRule type="expression" dxfId="1987" priority="45">
      <formula>IF(T14=T16,1,0)</formula>
    </cfRule>
  </conditionalFormatting>
  <conditionalFormatting sqref="U21:U22">
    <cfRule type="expression" priority="40" stopIfTrue="1">
      <formula>IF(T21="",1)</formula>
    </cfRule>
    <cfRule type="expression" dxfId="1986" priority="42">
      <formula>IF(T21=T23,1,0)</formula>
    </cfRule>
  </conditionalFormatting>
  <conditionalFormatting sqref="U23">
    <cfRule type="expression" priority="39" stopIfTrue="1">
      <formula>IF(T23="",1,0)</formula>
    </cfRule>
    <cfRule type="expression" dxfId="1985" priority="41">
      <formula>IF(T21=T23,1,0)</formula>
    </cfRule>
  </conditionalFormatting>
  <conditionalFormatting sqref="U28:U29">
    <cfRule type="expression" priority="36" stopIfTrue="1">
      <formula>IF(T28="",1)</formula>
    </cfRule>
    <cfRule type="expression" dxfId="1984" priority="38">
      <formula>IF(T28=T30,1,0)</formula>
    </cfRule>
  </conditionalFormatting>
  <conditionalFormatting sqref="U30">
    <cfRule type="expression" priority="35" stopIfTrue="1">
      <formula>IF(T30="",1,0)</formula>
    </cfRule>
    <cfRule type="expression" dxfId="1983" priority="37">
      <formula>IF(T28=T30,1,0)</formula>
    </cfRule>
  </conditionalFormatting>
  <conditionalFormatting sqref="AA7:AA8">
    <cfRule type="expression" priority="32" stopIfTrue="1">
      <formula>IF(Z7="",1)</formula>
    </cfRule>
    <cfRule type="expression" dxfId="1982" priority="34">
      <formula>IF(Z7=Z9,1,0)</formula>
    </cfRule>
  </conditionalFormatting>
  <conditionalFormatting sqref="AA9">
    <cfRule type="expression" priority="31" stopIfTrue="1">
      <formula>IF(Z9="",1,0)</formula>
    </cfRule>
    <cfRule type="expression" dxfId="1981" priority="33">
      <formula>IF(Z7=Z9,1,0)</formula>
    </cfRule>
  </conditionalFormatting>
  <conditionalFormatting sqref="AA14:AA15">
    <cfRule type="expression" priority="28" stopIfTrue="1">
      <formula>IF(Z14="",1)</formula>
    </cfRule>
    <cfRule type="expression" dxfId="1980" priority="30">
      <formula>IF(Z14=Z16,1,0)</formula>
    </cfRule>
  </conditionalFormatting>
  <conditionalFormatting sqref="AA16">
    <cfRule type="expression" priority="27" stopIfTrue="1">
      <formula>IF(Z16="",1,0)</formula>
    </cfRule>
    <cfRule type="expression" dxfId="1979" priority="29">
      <formula>IF(Z14=Z16,1,0)</formula>
    </cfRule>
  </conditionalFormatting>
  <conditionalFormatting sqref="AA21:AA22">
    <cfRule type="expression" priority="24" stopIfTrue="1">
      <formula>IF(Z21="",1)</formula>
    </cfRule>
    <cfRule type="expression" dxfId="1978" priority="26">
      <formula>IF(Z21=Z23,1,0)</formula>
    </cfRule>
  </conditionalFormatting>
  <conditionalFormatting sqref="AA23">
    <cfRule type="expression" priority="23" stopIfTrue="1">
      <formula>IF(Z23="",1,0)</formula>
    </cfRule>
    <cfRule type="expression" dxfId="1977" priority="25">
      <formula>IF(Z21=Z23,1,0)</formula>
    </cfRule>
  </conditionalFormatting>
  <conditionalFormatting sqref="AA28:AA29">
    <cfRule type="expression" priority="20" stopIfTrue="1">
      <formula>IF(Z28="",1)</formula>
    </cfRule>
    <cfRule type="expression" dxfId="1976" priority="22">
      <formula>IF(Z28=Z30,1,0)</formula>
    </cfRule>
  </conditionalFormatting>
  <conditionalFormatting sqref="AA30">
    <cfRule type="expression" priority="19" stopIfTrue="1">
      <formula>IF(Z30="",1,0)</formula>
    </cfRule>
    <cfRule type="expression" dxfId="1975" priority="21">
      <formula>IF(Z28=Z30,1,0)</formula>
    </cfRule>
  </conditionalFormatting>
  <conditionalFormatting sqref="M7">
    <cfRule type="expression" dxfId="1974" priority="8">
      <formula>IF(N7+O7&gt;N9+O9,1,0)</formula>
    </cfRule>
  </conditionalFormatting>
  <conditionalFormatting sqref="M9">
    <cfRule type="expression" dxfId="1973" priority="7">
      <formula>IF(N7+O7&lt;N9+O9,1,0)</formula>
    </cfRule>
  </conditionalFormatting>
  <conditionalFormatting sqref="M14">
    <cfRule type="expression" dxfId="1972" priority="6">
      <formula>IF(N14+O14&gt;N16+O16,1,0)</formula>
    </cfRule>
  </conditionalFormatting>
  <conditionalFormatting sqref="M16">
    <cfRule type="expression" dxfId="1971" priority="5">
      <formula>IF(N14+O14&lt;N16+O16,1,0)</formula>
    </cfRule>
  </conditionalFormatting>
  <conditionalFormatting sqref="M21">
    <cfRule type="expression" dxfId="1970" priority="4">
      <formula>IF(N21+O21&gt;N23+O23,1,0)</formula>
    </cfRule>
  </conditionalFormatting>
  <conditionalFormatting sqref="M23">
    <cfRule type="expression" dxfId="1969" priority="3">
      <formula>IF(N21+O21&lt;N23+O23,1,0)</formula>
    </cfRule>
  </conditionalFormatting>
  <conditionalFormatting sqref="M28">
    <cfRule type="expression" dxfId="1968" priority="2">
      <formula>IF(N28+O28&gt;N30+O30,1,0)</formula>
    </cfRule>
  </conditionalFormatting>
  <conditionalFormatting sqref="M30">
    <cfRule type="expression" dxfId="1967" priority="1">
      <formula>IF(N28+O28&lt;N30+O30,1,0)</formula>
    </cfRule>
  </conditionalFormatting>
  <pageMargins left="0.25" right="0.25" top="0.75" bottom="0.75" header="0.3" footer="0.3"/>
  <pageSetup paperSize="9" scale="28" fitToHeight="0"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euil68">
    <tabColor rgb="FFFFC000"/>
    <pageSetUpPr fitToPage="1"/>
  </sheetPr>
  <dimension ref="A1:AY148"/>
  <sheetViews>
    <sheetView topLeftCell="K1" zoomScale="70" zoomScaleNormal="70" workbookViewId="0">
      <selection activeCell="K37" sqref="K1:AA37"/>
    </sheetView>
  </sheetViews>
  <sheetFormatPr baseColWidth="10" defaultColWidth="10.85546875" defaultRowHeight="12.75" x14ac:dyDescent="0.2"/>
  <cols>
    <col min="1" max="1" width="3.7109375" style="435" hidden="1" customWidth="1"/>
    <col min="2" max="4" width="16.140625" style="435" hidden="1" customWidth="1"/>
    <col min="5" max="10" width="11.28515625" style="435" hidden="1" customWidth="1"/>
    <col min="11" max="11" width="7.7109375" style="441" bestFit="1" customWidth="1"/>
    <col min="12" max="12" width="6.42578125" style="435" bestFit="1" customWidth="1"/>
    <col min="13" max="13" width="37.28515625" style="435" customWidth="1"/>
    <col min="14" max="14" width="10.85546875" style="442"/>
    <col min="15" max="15" width="4.7109375" style="441" bestFit="1" customWidth="1"/>
    <col min="16" max="16" width="15.7109375" style="441" customWidth="1"/>
    <col min="17" max="17" width="7.7109375" style="441" bestFit="1" customWidth="1"/>
    <col min="18" max="18" width="7" style="441" bestFit="1" customWidth="1"/>
    <col min="19" max="19" width="38" style="441" customWidth="1"/>
    <col min="20" max="20" width="10.85546875" style="442"/>
    <col min="21" max="21" width="4.85546875" style="441" bestFit="1" customWidth="1"/>
    <col min="22" max="22" width="15.85546875" style="441" customWidth="1"/>
    <col min="23" max="23" width="7.7109375" style="441" bestFit="1" customWidth="1"/>
    <col min="24" max="24" width="5.7109375" style="435" bestFit="1" customWidth="1"/>
    <col min="25" max="25" width="36.5703125" style="435" customWidth="1"/>
    <col min="26" max="26" width="10.85546875" style="442"/>
    <col min="27" max="27" width="4.85546875" style="441" bestFit="1" customWidth="1"/>
    <col min="28" max="28" width="6.5703125" style="435" customWidth="1"/>
    <col min="29" max="31" width="3.28515625" style="435" customWidth="1"/>
    <col min="32" max="32" width="12" style="435" customWidth="1"/>
    <col min="33" max="33" width="12" style="435" hidden="1" customWidth="1"/>
    <col min="34" max="34" width="36.7109375" style="435" customWidth="1"/>
    <col min="35" max="36" width="36.85546875" style="435" customWidth="1"/>
    <col min="37" max="42" width="10.85546875" style="435"/>
    <col min="43" max="43" width="1.7109375" style="435" bestFit="1" customWidth="1"/>
    <col min="44" max="46" width="10.85546875" style="435"/>
    <col min="47" max="47" width="1.7109375" style="435" bestFit="1" customWidth="1"/>
    <col min="48" max="50" width="10.85546875" style="435"/>
    <col min="51" max="51" width="1.7109375" style="435" bestFit="1" customWidth="1"/>
    <col min="52" max="16384" width="10.85546875" style="435"/>
  </cols>
  <sheetData>
    <row r="1" spans="1:51" ht="55.5" customHeight="1" x14ac:dyDescent="0.2">
      <c r="B1" s="436"/>
      <c r="C1" s="436"/>
      <c r="D1" s="436"/>
      <c r="I1" s="437"/>
      <c r="J1" s="437"/>
      <c r="K1" s="988" t="str">
        <f>Championnat</f>
        <v>Championnat de France de Tir à l'ARC</v>
      </c>
      <c r="L1" s="988"/>
      <c r="M1" s="988"/>
      <c r="N1" s="988"/>
      <c r="O1" s="988"/>
      <c r="P1" s="988"/>
      <c r="Q1" s="988"/>
      <c r="R1" s="988"/>
      <c r="S1" s="988"/>
      <c r="T1" s="988"/>
      <c r="U1" s="988"/>
      <c r="V1" s="988"/>
      <c r="W1" s="988"/>
      <c r="X1" s="988"/>
      <c r="Y1" s="988"/>
      <c r="Z1" s="988"/>
      <c r="AA1" s="988"/>
      <c r="AB1" s="439"/>
      <c r="AC1" s="439"/>
      <c r="AD1" s="439"/>
      <c r="AE1" s="439"/>
      <c r="AF1" s="988" t="str">
        <f>Championnat</f>
        <v>Championnat de France de Tir à l'ARC</v>
      </c>
      <c r="AG1" s="988"/>
      <c r="AH1" s="988"/>
      <c r="AI1" s="988"/>
      <c r="AJ1" s="988"/>
      <c r="AK1" s="491"/>
      <c r="AL1" s="491"/>
      <c r="AM1" s="491"/>
      <c r="AN1" s="491"/>
      <c r="AO1" s="491"/>
      <c r="AP1" s="491"/>
      <c r="AQ1" s="491"/>
      <c r="AR1" s="491"/>
      <c r="AS1" s="491"/>
      <c r="AT1" s="491"/>
      <c r="AU1" s="491"/>
      <c r="AV1" s="491"/>
      <c r="AW1" s="491"/>
      <c r="AY1" s="491"/>
    </row>
    <row r="2" spans="1:51" ht="61.5" customHeight="1" x14ac:dyDescent="0.2">
      <c r="A2" s="437"/>
      <c r="I2" s="437"/>
      <c r="J2" s="437"/>
      <c r="K2" s="989" t="str">
        <f>CATEG_IMPORTEE</f>
        <v>Collèges Mixtes Etablissement</v>
      </c>
      <c r="L2" s="989"/>
      <c r="M2" s="989"/>
      <c r="N2" s="989"/>
      <c r="O2" s="989"/>
      <c r="P2" s="989"/>
      <c r="Q2" s="989"/>
      <c r="R2" s="989"/>
      <c r="S2" s="989"/>
      <c r="T2" s="989"/>
      <c r="U2" s="989"/>
      <c r="V2" s="989"/>
      <c r="W2" s="989"/>
      <c r="X2" s="989"/>
      <c r="Y2" s="989"/>
      <c r="Z2" s="989"/>
      <c r="AA2" s="438"/>
      <c r="AB2" s="439"/>
      <c r="AC2" s="439"/>
      <c r="AD2" s="439"/>
      <c r="AE2" s="439"/>
      <c r="AF2" s="990" t="str">
        <f>CATEG_IMPORTEE</f>
        <v>Collèges Mixtes Etablissement</v>
      </c>
      <c r="AG2" s="990"/>
      <c r="AH2" s="990"/>
      <c r="AI2" s="990"/>
      <c r="AJ2" s="990"/>
      <c r="AK2" s="492"/>
      <c r="AL2" s="492"/>
      <c r="AM2" s="492"/>
      <c r="AN2" s="492"/>
      <c r="AO2" s="492"/>
      <c r="AP2" s="492"/>
      <c r="AQ2" s="492"/>
      <c r="AR2" s="492"/>
      <c r="AS2" s="492"/>
      <c r="AT2" s="492"/>
      <c r="AU2" s="492"/>
      <c r="AV2" s="492"/>
      <c r="AW2" s="492"/>
      <c r="AY2" s="492"/>
    </row>
    <row r="3" spans="1:51" ht="42" customHeight="1" x14ac:dyDescent="0.2">
      <c r="B3" s="440" t="s">
        <v>774</v>
      </c>
      <c r="I3" s="437"/>
      <c r="J3" s="437"/>
      <c r="N3" s="991" t="str">
        <f>LIEU&amp;" du "&amp;DATE</f>
        <v>L’Isle sur la Sorgue du 27 au 31 mars 2023</v>
      </c>
      <c r="O3" s="991"/>
      <c r="P3" s="991"/>
      <c r="Q3" s="991"/>
      <c r="R3" s="991"/>
      <c r="S3" s="991"/>
      <c r="T3" s="991"/>
      <c r="U3" s="991"/>
      <c r="V3" s="991"/>
      <c r="W3" s="991"/>
      <c r="X3" s="991"/>
      <c r="AF3" s="991" t="str">
        <f>LIEU&amp;" du "&amp;DATE</f>
        <v>L’Isle sur la Sorgue du 27 au 31 mars 2023</v>
      </c>
      <c r="AG3" s="991"/>
      <c r="AH3" s="991"/>
      <c r="AI3" s="991"/>
      <c r="AJ3" s="991"/>
      <c r="AK3" s="493"/>
      <c r="AL3" s="493"/>
      <c r="AM3" s="493"/>
      <c r="AN3" s="493"/>
      <c r="AO3" s="493"/>
      <c r="AP3" s="493"/>
      <c r="AQ3" s="493"/>
      <c r="AR3" s="493"/>
      <c r="AS3" s="493"/>
      <c r="AT3" s="493"/>
      <c r="AU3" s="493"/>
      <c r="AW3" s="442"/>
      <c r="AY3" s="493"/>
    </row>
    <row r="4" spans="1:51" ht="21" customHeight="1" x14ac:dyDescent="0.2">
      <c r="B4" s="440" t="s">
        <v>775</v>
      </c>
      <c r="C4" s="462" t="s">
        <v>375</v>
      </c>
      <c r="D4" s="462" t="s">
        <v>374</v>
      </c>
      <c r="E4" s="440" t="s">
        <v>776</v>
      </c>
      <c r="F4" s="487" t="s">
        <v>838</v>
      </c>
      <c r="G4" s="488" t="s">
        <v>837</v>
      </c>
      <c r="H4" s="898"/>
      <c r="I4" s="437"/>
      <c r="J4" s="437"/>
      <c r="K4" s="979" t="s">
        <v>815</v>
      </c>
      <c r="L4" s="979"/>
      <c r="M4" s="979"/>
      <c r="N4" s="979"/>
      <c r="O4" s="443"/>
      <c r="P4" s="443"/>
      <c r="Q4" s="979" t="s">
        <v>816</v>
      </c>
      <c r="R4" s="979"/>
      <c r="S4" s="979"/>
      <c r="T4" s="979"/>
      <c r="U4" s="443"/>
      <c r="V4" s="443"/>
      <c r="W4" s="979" t="s">
        <v>817</v>
      </c>
      <c r="X4" s="979"/>
      <c r="Y4" s="979"/>
      <c r="Z4" s="979"/>
      <c r="AA4" s="443"/>
      <c r="AH4" s="980" t="s">
        <v>778</v>
      </c>
      <c r="AI4" s="980"/>
      <c r="AJ4" s="980"/>
      <c r="AN4" s="497" t="s">
        <v>848</v>
      </c>
    </row>
    <row r="5" spans="1:51" ht="15.95" customHeight="1" thickBot="1" x14ac:dyDescent="0.25">
      <c r="A5" s="435">
        <v>1</v>
      </c>
      <c r="B5" s="444" t="str">
        <f ca="1">INDIRECT("'Imp. Qualif.'!L"&amp;INDIRECT("f"&amp;ROW()))</f>
        <v/>
      </c>
      <c r="C5" s="444" t="str">
        <f ca="1">INDIRECT("'Imp. Qualif.'!M"&amp;INDIRECT("f"&amp;ROW()))</f>
        <v/>
      </c>
      <c r="D5" s="444" t="str">
        <f ca="1">INDIRECT("'Imp. Qualif.'!N"&amp;INDIRECT("f"&amp;ROW()))</f>
        <v/>
      </c>
      <c r="E5" s="486">
        <f ca="1">INDIRECT("'Imp. Qualif.'!O"&amp;INDIRECT("f"&amp;ROW()))</f>
        <v>0</v>
      </c>
      <c r="F5" s="489">
        <v>11</v>
      </c>
      <c r="G5" s="488" t="str">
        <f ca="1">B5&amp;C5</f>
        <v/>
      </c>
      <c r="H5" s="898" t="str">
        <f ca="1">IF(B5&lt;&gt;"",B5,"")</f>
        <v/>
      </c>
      <c r="I5" s="898" t="str">
        <f t="shared" ref="I5:J20" ca="1" si="0">IF(C5&lt;&gt;"",C5,"")</f>
        <v/>
      </c>
      <c r="J5" s="898" t="str">
        <f t="shared" ca="1" si="0"/>
        <v/>
      </c>
      <c r="L5" s="979" t="s">
        <v>1245</v>
      </c>
      <c r="M5" s="1247"/>
      <c r="N5" s="1247"/>
      <c r="O5" s="443"/>
      <c r="P5" s="443"/>
      <c r="R5" s="979" t="s">
        <v>818</v>
      </c>
      <c r="S5" s="1247"/>
      <c r="T5" s="1247"/>
      <c r="U5" s="443"/>
      <c r="V5" s="443"/>
      <c r="W5" s="445"/>
      <c r="X5" s="979" t="s">
        <v>777</v>
      </c>
      <c r="Y5" s="1247"/>
      <c r="Z5" s="1247"/>
      <c r="AA5" s="443"/>
      <c r="AH5" s="981"/>
      <c r="AI5" s="981"/>
      <c r="AJ5" s="981"/>
      <c r="AN5" s="494" t="s">
        <v>839</v>
      </c>
      <c r="AO5" s="494" t="s">
        <v>840</v>
      </c>
      <c r="AP5" s="494" t="s">
        <v>841</v>
      </c>
      <c r="AQ5" s="496" t="s">
        <v>793</v>
      </c>
      <c r="AR5" s="494" t="s">
        <v>842</v>
      </c>
      <c r="AS5" s="494" t="s">
        <v>843</v>
      </c>
      <c r="AT5" s="494" t="s">
        <v>844</v>
      </c>
      <c r="AU5" s="496" t="s">
        <v>793</v>
      </c>
      <c r="AV5" s="494" t="s">
        <v>845</v>
      </c>
      <c r="AW5" s="494" t="s">
        <v>846</v>
      </c>
      <c r="AX5" s="494" t="s">
        <v>847</v>
      </c>
      <c r="AY5" s="496" t="s">
        <v>793</v>
      </c>
    </row>
    <row r="6" spans="1:51" ht="15.95" customHeight="1" thickBot="1" x14ac:dyDescent="0.25">
      <c r="A6" s="435">
        <v>2</v>
      </c>
      <c r="B6" s="444" t="str">
        <f t="shared" ref="B6:B13" ca="1" si="1">INDIRECT("'Imp. Qualif.'!L"&amp;INDIRECT("f"&amp;ROW()))</f>
        <v/>
      </c>
      <c r="C6" s="444" t="str">
        <f t="shared" ref="C6:C13" ca="1" si="2">INDIRECT("'Imp. Qualif.'!M"&amp;INDIRECT("f"&amp;ROW()))</f>
        <v/>
      </c>
      <c r="D6" s="444" t="str">
        <f t="shared" ref="D6:D13" ca="1" si="3">INDIRECT("'Imp. Qualif.'!N"&amp;INDIRECT("f"&amp;ROW()))</f>
        <v/>
      </c>
      <c r="E6" s="486">
        <f t="shared" ref="E6:E13" ca="1" si="4">INDIRECT("'Imp. Qualif.'!O"&amp;INDIRECT("f"&amp;ROW()))</f>
        <v>0</v>
      </c>
      <c r="F6" s="489">
        <v>12</v>
      </c>
      <c r="G6" s="488" t="str">
        <f t="shared" ref="G6:G28" ca="1" si="5">B6&amp;C6</f>
        <v/>
      </c>
      <c r="H6" s="898" t="str">
        <f t="shared" ref="H6:J28" ca="1" si="6">IF(B6&lt;&gt;"",B6,"")</f>
        <v/>
      </c>
      <c r="I6" s="898" t="str">
        <f t="shared" ca="1" si="0"/>
        <v/>
      </c>
      <c r="J6" s="898" t="str">
        <f t="shared" ca="1" si="0"/>
        <v/>
      </c>
      <c r="K6" s="445" t="s">
        <v>779</v>
      </c>
      <c r="L6" s="463" t="s">
        <v>1083</v>
      </c>
      <c r="M6" s="456" t="s">
        <v>481</v>
      </c>
      <c r="N6" s="464" t="s">
        <v>3</v>
      </c>
      <c r="O6" s="446" t="s">
        <v>781</v>
      </c>
      <c r="P6" s="445"/>
      <c r="Q6" s="445" t="s">
        <v>779</v>
      </c>
      <c r="R6" s="463" t="s">
        <v>1083</v>
      </c>
      <c r="S6" s="456" t="s">
        <v>481</v>
      </c>
      <c r="T6" s="464" t="s">
        <v>3</v>
      </c>
      <c r="U6" s="446" t="s">
        <v>781</v>
      </c>
      <c r="V6" s="445"/>
      <c r="W6" s="445" t="s">
        <v>779</v>
      </c>
      <c r="X6" s="463" t="s">
        <v>1083</v>
      </c>
      <c r="Y6" s="456" t="s">
        <v>481</v>
      </c>
      <c r="Z6" s="464" t="s">
        <v>3</v>
      </c>
      <c r="AA6" s="446" t="s">
        <v>781</v>
      </c>
      <c r="AH6" s="483" t="s">
        <v>782</v>
      </c>
      <c r="AI6" s="484" t="s">
        <v>375</v>
      </c>
      <c r="AJ6" s="485" t="s">
        <v>783</v>
      </c>
      <c r="AN6" s="494">
        <f>K7</f>
        <v>1</v>
      </c>
      <c r="AO6" s="495" t="str">
        <f ca="1">L8</f>
        <v/>
      </c>
      <c r="AP6" s="784" t="str">
        <f ca="1">AO7</f>
        <v/>
      </c>
      <c r="AQ6" s="496" t="s">
        <v>793</v>
      </c>
      <c r="AR6" s="494">
        <f>Q7</f>
        <v>1</v>
      </c>
      <c r="AS6" s="495" t="str">
        <f>R8</f>
        <v/>
      </c>
      <c r="AT6" s="784" t="str">
        <f>AS7</f>
        <v/>
      </c>
      <c r="AU6" s="496" t="s">
        <v>793</v>
      </c>
      <c r="AV6" s="494">
        <f>W7</f>
        <v>1</v>
      </c>
      <c r="AW6" s="495" t="str">
        <f>X8</f>
        <v/>
      </c>
      <c r="AX6" s="784" t="str">
        <f>AW7</f>
        <v/>
      </c>
      <c r="AY6" s="496" t="s">
        <v>793</v>
      </c>
    </row>
    <row r="7" spans="1:51" ht="15.95" customHeight="1" thickBot="1" x14ac:dyDescent="0.25">
      <c r="A7" s="435">
        <v>3</v>
      </c>
      <c r="B7" s="444" t="str">
        <f t="shared" ca="1" si="1"/>
        <v/>
      </c>
      <c r="C7" s="444" t="str">
        <f t="shared" ca="1" si="2"/>
        <v/>
      </c>
      <c r="D7" s="444" t="str">
        <f t="shared" ca="1" si="3"/>
        <v/>
      </c>
      <c r="E7" s="486">
        <f t="shared" ca="1" si="4"/>
        <v>0</v>
      </c>
      <c r="F7" s="489">
        <v>13</v>
      </c>
      <c r="G7" s="488" t="str">
        <f t="shared" ca="1" si="5"/>
        <v/>
      </c>
      <c r="H7" s="898" t="str">
        <f t="shared" ca="1" si="6"/>
        <v/>
      </c>
      <c r="I7" s="898" t="str">
        <f t="shared" ca="1" si="0"/>
        <v/>
      </c>
      <c r="J7" s="898" t="str">
        <f t="shared" ca="1" si="0"/>
        <v/>
      </c>
      <c r="K7" s="447">
        <f>Num_Cible</f>
        <v>1</v>
      </c>
      <c r="L7" s="472">
        <v>1</v>
      </c>
      <c r="M7" s="465" t="str">
        <f ca="1">IFERROR(VLOOKUP(L8,$G$5:$J$28,2,FALSE),"")</f>
        <v/>
      </c>
      <c r="N7" s="966"/>
      <c r="O7" s="780"/>
      <c r="Q7" s="447">
        <f>K7</f>
        <v>1</v>
      </c>
      <c r="R7" s="472">
        <v>1</v>
      </c>
      <c r="S7" s="465" t="str">
        <f ca="1">IFERROR(VLOOKUP(R8,$G$5:$J$28,2,FALSE),"")</f>
        <v/>
      </c>
      <c r="T7" s="966"/>
      <c r="U7" s="780"/>
      <c r="W7" s="447">
        <f>Q7</f>
        <v>1</v>
      </c>
      <c r="X7" s="472">
        <v>1</v>
      </c>
      <c r="Y7" s="465" t="str">
        <f ca="1">IFERROR(VLOOKUP(X8,$G$5:$J$28,2,FALSE),"")</f>
        <v/>
      </c>
      <c r="Z7" s="966"/>
      <c r="AA7" s="780"/>
      <c r="AF7" s="448" t="s">
        <v>784</v>
      </c>
      <c r="AG7" s="435" t="str">
        <f>IF(ISBLANK(Z7),"",IF(Z7+AA7&gt;Z9+AA9,X8,X10))</f>
        <v/>
      </c>
      <c r="AH7" s="475" t="str">
        <f ca="1">IFERROR(VLOOKUP(AG7,$G$5:$J$28,2,FALSE),"")</f>
        <v/>
      </c>
      <c r="AI7" s="475" t="str">
        <f ca="1">IFERROR(VLOOKUP(AG7,$G$5:$J$28,3,FALSE),"")</f>
        <v/>
      </c>
      <c r="AJ7" s="475" t="str">
        <f ca="1">IFERROR(VLOOKUP(AG7,$G$5:$J$28,4,FALSE),"")</f>
        <v/>
      </c>
      <c r="AN7" s="494">
        <f>K9</f>
        <v>2</v>
      </c>
      <c r="AO7" s="495" t="str">
        <f ca="1">L10</f>
        <v/>
      </c>
      <c r="AP7" s="784" t="str">
        <f ca="1">AO6</f>
        <v/>
      </c>
      <c r="AQ7" s="496" t="s">
        <v>793</v>
      </c>
      <c r="AR7" s="494">
        <f>Q9</f>
        <v>2</v>
      </c>
      <c r="AS7" s="495" t="str">
        <f>R10</f>
        <v/>
      </c>
      <c r="AT7" s="784" t="str">
        <f>AS6</f>
        <v/>
      </c>
      <c r="AU7" s="496" t="s">
        <v>793</v>
      </c>
      <c r="AV7" s="494">
        <f>W9</f>
        <v>2</v>
      </c>
      <c r="AW7" s="495" t="str">
        <f>X10</f>
        <v/>
      </c>
      <c r="AX7" s="784" t="str">
        <f>AW6</f>
        <v/>
      </c>
      <c r="AY7" s="496" t="s">
        <v>793</v>
      </c>
    </row>
    <row r="8" spans="1:51" ht="15.95" customHeight="1" thickBot="1" x14ac:dyDescent="0.25">
      <c r="A8" s="435">
        <v>4</v>
      </c>
      <c r="B8" s="444" t="str">
        <f t="shared" ca="1" si="1"/>
        <v/>
      </c>
      <c r="C8" s="444" t="str">
        <f t="shared" ca="1" si="2"/>
        <v/>
      </c>
      <c r="D8" s="444" t="str">
        <f t="shared" ca="1" si="3"/>
        <v/>
      </c>
      <c r="E8" s="486">
        <f t="shared" ca="1" si="4"/>
        <v>0</v>
      </c>
      <c r="F8" s="489">
        <v>14</v>
      </c>
      <c r="G8" s="488" t="str">
        <f t="shared" ca="1" si="5"/>
        <v/>
      </c>
      <c r="H8" s="898" t="str">
        <f t="shared" ca="1" si="6"/>
        <v/>
      </c>
      <c r="I8" s="898" t="str">
        <f t="shared" ca="1" si="0"/>
        <v/>
      </c>
      <c r="J8" s="898" t="str">
        <f t="shared" ca="1" si="0"/>
        <v/>
      </c>
      <c r="K8" s="447"/>
      <c r="L8" s="473" t="str">
        <f ca="1">VLOOKUP(L7,$A$5:$G$24,7,FALSE)</f>
        <v/>
      </c>
      <c r="M8" s="466" t="str">
        <f ca="1">IFERROR(VLOOKUP(L8,$G$5:$J$28,3,FALSE),"")</f>
        <v/>
      </c>
      <c r="N8" s="967"/>
      <c r="Q8" s="447"/>
      <c r="R8" s="473" t="str">
        <f>IF(ISBLANK(N7),"",IF(O7+N7&gt;N9+O9,L8,L10))</f>
        <v/>
      </c>
      <c r="S8" s="466" t="str">
        <f ca="1">IFERROR(VLOOKUP(R8,$G$5:$J$28,3,FALSE),"")</f>
        <v/>
      </c>
      <c r="T8" s="967"/>
      <c r="W8" s="447"/>
      <c r="X8" s="473" t="str">
        <f>IF(ISBLANK(T7),"",IF(U7+T7&gt;T9+U9,R8,R10))</f>
        <v/>
      </c>
      <c r="Y8" s="466" t="str">
        <f ca="1">IFERROR(VLOOKUP(X8,$G$5:$J$28,3,FALSE),"")</f>
        <v/>
      </c>
      <c r="Z8" s="967"/>
      <c r="AF8" s="449" t="s">
        <v>785</v>
      </c>
      <c r="AG8" s="435" t="str">
        <f>IF(ISBLANK(Z7),"",IF(Z7+AA7&lt;Z9+AA9,X8,X10))</f>
        <v/>
      </c>
      <c r="AH8" s="478" t="str">
        <f t="shared" ref="AH8:AH15" ca="1" si="7">IFERROR(VLOOKUP(AG8,$G$5:$J$28,2,FALSE),"")</f>
        <v/>
      </c>
      <c r="AI8" s="474" t="str">
        <f t="shared" ref="AI8:AI15" ca="1" si="8">IFERROR(VLOOKUP(AG8,$G$5:$J$28,3,FALSE),"")</f>
        <v/>
      </c>
      <c r="AJ8" s="915" t="str">
        <f t="shared" ref="AJ8:AJ15" ca="1" si="9">IFERROR(VLOOKUP(AG8,$G$5:$J$28,4,FALSE),"")</f>
        <v/>
      </c>
      <c r="AN8" s="494">
        <f>K14</f>
        <v>3</v>
      </c>
      <c r="AO8" s="495" t="str">
        <f ca="1">L15</f>
        <v/>
      </c>
      <c r="AP8" s="784" t="str">
        <f t="shared" ref="AP8" ca="1" si="10">AO9</f>
        <v/>
      </c>
      <c r="AQ8" s="496" t="s">
        <v>793</v>
      </c>
      <c r="AR8" s="494">
        <f>Q14</f>
        <v>3</v>
      </c>
      <c r="AS8" s="495" t="str">
        <f>R15</f>
        <v/>
      </c>
      <c r="AT8" s="784" t="str">
        <f t="shared" ref="AT8" si="11">AS9</f>
        <v/>
      </c>
      <c r="AU8" s="496" t="s">
        <v>793</v>
      </c>
      <c r="AV8" s="494">
        <f>W14</f>
        <v>3</v>
      </c>
      <c r="AW8" s="495" t="str">
        <f>X15</f>
        <v/>
      </c>
      <c r="AX8" s="784" t="str">
        <f>AW9</f>
        <v/>
      </c>
      <c r="AY8" s="496" t="s">
        <v>793</v>
      </c>
    </row>
    <row r="9" spans="1:51" ht="15.95" customHeight="1" thickBot="1" x14ac:dyDescent="0.25">
      <c r="A9" s="435">
        <v>5</v>
      </c>
      <c r="B9" s="444" t="str">
        <f t="shared" ca="1" si="1"/>
        <v/>
      </c>
      <c r="C9" s="444" t="str">
        <f t="shared" ca="1" si="2"/>
        <v/>
      </c>
      <c r="D9" s="444" t="str">
        <f t="shared" ca="1" si="3"/>
        <v/>
      </c>
      <c r="E9" s="486">
        <f t="shared" ca="1" si="4"/>
        <v>0</v>
      </c>
      <c r="F9" s="489">
        <v>15</v>
      </c>
      <c r="G9" s="488" t="str">
        <f t="shared" ca="1" si="5"/>
        <v/>
      </c>
      <c r="H9" s="898" t="str">
        <f t="shared" ca="1" si="6"/>
        <v/>
      </c>
      <c r="I9" s="898" t="str">
        <f t="shared" ca="1" si="0"/>
        <v/>
      </c>
      <c r="J9" s="898" t="str">
        <f t="shared" ca="1" si="0"/>
        <v/>
      </c>
      <c r="K9" s="447">
        <f>K7+1</f>
        <v>2</v>
      </c>
      <c r="L9" s="472">
        <v>8</v>
      </c>
      <c r="M9" s="465" t="str">
        <f ca="1">IFERROR(VLOOKUP(L10,$G$5:$J$28,2,FALSE),"")</f>
        <v/>
      </c>
      <c r="N9" s="966"/>
      <c r="O9" s="780"/>
      <c r="Q9" s="447">
        <f>Q7+1</f>
        <v>2</v>
      </c>
      <c r="R9" s="472">
        <v>4</v>
      </c>
      <c r="S9" s="465" t="str">
        <f ca="1">IFERROR(VLOOKUP(R10,$G$5:$J$28,2,FALSE),"")</f>
        <v/>
      </c>
      <c r="T9" s="966"/>
      <c r="U9" s="780"/>
      <c r="W9" s="447">
        <f>W7+1</f>
        <v>2</v>
      </c>
      <c r="X9" s="472">
        <v>2</v>
      </c>
      <c r="Y9" s="465" t="str">
        <f ca="1">IFERROR(VLOOKUP(X10,$G$5:$J$28,2,FALSE),"")</f>
        <v/>
      </c>
      <c r="Z9" s="966"/>
      <c r="AA9" s="780"/>
      <c r="AF9" s="452" t="s">
        <v>786</v>
      </c>
      <c r="AG9" s="435" t="str">
        <f>IF(ISBLANK(Z14),"",IF(Z14+AA14&gt;Z16+AA16,X15,X17))</f>
        <v/>
      </c>
      <c r="AH9" s="478" t="str">
        <f t="shared" ca="1" si="7"/>
        <v/>
      </c>
      <c r="AI9" s="474" t="str">
        <f t="shared" ca="1" si="8"/>
        <v/>
      </c>
      <c r="AJ9" s="915" t="str">
        <f t="shared" ca="1" si="9"/>
        <v/>
      </c>
      <c r="AN9" s="494">
        <f>K16</f>
        <v>4</v>
      </c>
      <c r="AO9" s="495" t="str">
        <f ca="1">L17</f>
        <v/>
      </c>
      <c r="AP9" s="784" t="str">
        <f t="shared" ref="AP9" ca="1" si="12">AO8</f>
        <v/>
      </c>
      <c r="AQ9" s="496" t="s">
        <v>793</v>
      </c>
      <c r="AR9" s="494">
        <f>Q16</f>
        <v>4</v>
      </c>
      <c r="AS9" s="495" t="str">
        <f>R17</f>
        <v/>
      </c>
      <c r="AT9" s="784" t="str">
        <f t="shared" ref="AT9" si="13">AS8</f>
        <v/>
      </c>
      <c r="AU9" s="496" t="s">
        <v>793</v>
      </c>
      <c r="AV9" s="494">
        <f>W16</f>
        <v>4</v>
      </c>
      <c r="AW9" s="495" t="str">
        <f>X17</f>
        <v/>
      </c>
      <c r="AX9" s="784" t="str">
        <f>AW8</f>
        <v/>
      </c>
      <c r="AY9" s="496" t="s">
        <v>793</v>
      </c>
    </row>
    <row r="10" spans="1:51" ht="15.95" customHeight="1" thickBot="1" x14ac:dyDescent="0.25">
      <c r="A10" s="435">
        <v>6</v>
      </c>
      <c r="B10" s="444" t="str">
        <f t="shared" ca="1" si="1"/>
        <v/>
      </c>
      <c r="C10" s="444" t="str">
        <f t="shared" ca="1" si="2"/>
        <v/>
      </c>
      <c r="D10" s="444" t="str">
        <f t="shared" ca="1" si="3"/>
        <v/>
      </c>
      <c r="E10" s="486">
        <f t="shared" ca="1" si="4"/>
        <v>0</v>
      </c>
      <c r="F10" s="489">
        <v>16</v>
      </c>
      <c r="G10" s="488" t="str">
        <f t="shared" ca="1" si="5"/>
        <v/>
      </c>
      <c r="H10" s="898" t="str">
        <f t="shared" ca="1" si="6"/>
        <v/>
      </c>
      <c r="I10" s="898" t="str">
        <f t="shared" ca="1" si="0"/>
        <v/>
      </c>
      <c r="J10" s="898" t="str">
        <f t="shared" ca="1" si="0"/>
        <v/>
      </c>
      <c r="K10" s="447"/>
      <c r="L10" s="473" t="str">
        <f ca="1">VLOOKUP(L9,$A$5:$G$24,7,FALSE)</f>
        <v/>
      </c>
      <c r="M10" s="466" t="str">
        <f ca="1">IFERROR(VLOOKUP(L10,$G$5:$J$28,3,FALSE),"")</f>
        <v/>
      </c>
      <c r="N10" s="967"/>
      <c r="Q10" s="447"/>
      <c r="R10" s="473" t="str">
        <f>IF(ISBLANK(N14),"",IF(O14+N14&gt;N16+O16,L15,L17))</f>
        <v/>
      </c>
      <c r="S10" s="466" t="str">
        <f ca="1">IFERROR(VLOOKUP(R10,$G$5:$J$28,3,FALSE),"")</f>
        <v/>
      </c>
      <c r="T10" s="967"/>
      <c r="W10" s="447"/>
      <c r="X10" s="473" t="str">
        <f>IF(ISBLANK(T14),"",IF(U14+T14&gt;T16+U16,R15,R17))</f>
        <v/>
      </c>
      <c r="Y10" s="466" t="str">
        <f ca="1">IFERROR(VLOOKUP(X10,$G$5:$J$28,3,FALSE),"")</f>
        <v/>
      </c>
      <c r="Z10" s="967"/>
      <c r="AF10" s="453" t="s">
        <v>788</v>
      </c>
      <c r="AG10" s="435" t="str">
        <f>IF(ISBLANK(Z14),"",IF(Z14+AA14&lt;Z16+AA16,X15,X17))</f>
        <v/>
      </c>
      <c r="AH10" s="478" t="str">
        <f t="shared" ca="1" si="7"/>
        <v/>
      </c>
      <c r="AI10" s="474" t="str">
        <f t="shared" ca="1" si="8"/>
        <v/>
      </c>
      <c r="AJ10" s="915" t="str">
        <f t="shared" ca="1" si="9"/>
        <v/>
      </c>
      <c r="AN10" s="494">
        <f>K21</f>
        <v>5</v>
      </c>
      <c r="AO10" s="495" t="str">
        <f ca="1">L22</f>
        <v/>
      </c>
      <c r="AP10" s="784" t="str">
        <f t="shared" ref="AP10" ca="1" si="14">AO11</f>
        <v/>
      </c>
      <c r="AQ10" s="496" t="s">
        <v>793</v>
      </c>
      <c r="AR10" s="494">
        <f>Q21</f>
        <v>5</v>
      </c>
      <c r="AS10" s="495" t="str">
        <f>R22</f>
        <v/>
      </c>
      <c r="AT10" s="784" t="str">
        <f t="shared" ref="AT10" si="15">AS11</f>
        <v/>
      </c>
      <c r="AU10" s="496" t="s">
        <v>793</v>
      </c>
      <c r="AV10" s="494">
        <f>W21</f>
        <v>5</v>
      </c>
      <c r="AW10" s="495" t="str">
        <f>X22</f>
        <v/>
      </c>
      <c r="AX10" s="784" t="str">
        <f>AW11</f>
        <v/>
      </c>
      <c r="AY10" s="496" t="s">
        <v>793</v>
      </c>
    </row>
    <row r="11" spans="1:51" ht="15.95" customHeight="1" x14ac:dyDescent="0.2">
      <c r="A11" s="435">
        <v>7</v>
      </c>
      <c r="B11" s="444" t="str">
        <f t="shared" ca="1" si="1"/>
        <v/>
      </c>
      <c r="C11" s="444" t="str">
        <f t="shared" ca="1" si="2"/>
        <v/>
      </c>
      <c r="D11" s="444" t="str">
        <f t="shared" ca="1" si="3"/>
        <v/>
      </c>
      <c r="E11" s="486">
        <f t="shared" ca="1" si="4"/>
        <v>0</v>
      </c>
      <c r="F11" s="489">
        <v>17</v>
      </c>
      <c r="G11" s="488" t="str">
        <f t="shared" ca="1" si="5"/>
        <v/>
      </c>
      <c r="H11" s="898" t="str">
        <f t="shared" ca="1" si="6"/>
        <v/>
      </c>
      <c r="I11" s="898" t="str">
        <f t="shared" ca="1" si="0"/>
        <v/>
      </c>
      <c r="J11" s="898" t="str">
        <f t="shared" ca="1" si="0"/>
        <v/>
      </c>
      <c r="K11" s="450"/>
      <c r="L11" s="450"/>
      <c r="M11" s="450"/>
      <c r="N11" s="451"/>
      <c r="O11" s="450"/>
      <c r="P11" s="450"/>
      <c r="Q11" s="450"/>
      <c r="R11" s="437"/>
      <c r="S11" s="437"/>
      <c r="T11" s="451"/>
      <c r="U11" s="450"/>
      <c r="V11" s="450"/>
      <c r="W11" s="450"/>
      <c r="X11" s="450"/>
      <c r="Y11" s="450"/>
      <c r="Z11" s="451"/>
      <c r="AA11" s="450"/>
      <c r="AF11" s="453" t="s">
        <v>789</v>
      </c>
      <c r="AG11" s="435" t="str">
        <f>IF(ISBLANK(Z21),"",IF(Z21+AA21&gt;Z23+AA23,X22,X24))</f>
        <v/>
      </c>
      <c r="AH11" s="478" t="str">
        <f t="shared" ca="1" si="7"/>
        <v/>
      </c>
      <c r="AI11" s="474" t="str">
        <f t="shared" ca="1" si="8"/>
        <v/>
      </c>
      <c r="AJ11" s="915" t="str">
        <f t="shared" ca="1" si="9"/>
        <v/>
      </c>
      <c r="AN11" s="494">
        <f>K23</f>
        <v>6</v>
      </c>
      <c r="AO11" s="495" t="str">
        <f ca="1">L24</f>
        <v/>
      </c>
      <c r="AP11" s="784" t="str">
        <f t="shared" ref="AP11" ca="1" si="16">AO10</f>
        <v/>
      </c>
      <c r="AQ11" s="496" t="s">
        <v>793</v>
      </c>
      <c r="AR11" s="494">
        <f>Q23</f>
        <v>6</v>
      </c>
      <c r="AS11" s="495" t="str">
        <f>R24</f>
        <v/>
      </c>
      <c r="AT11" s="784" t="str">
        <f t="shared" ref="AT11" si="17">AS10</f>
        <v/>
      </c>
      <c r="AU11" s="496" t="s">
        <v>793</v>
      </c>
      <c r="AV11" s="494">
        <f>W23</f>
        <v>6</v>
      </c>
      <c r="AW11" s="495" t="str">
        <f>X24</f>
        <v/>
      </c>
      <c r="AX11" s="784" t="str">
        <f>AW10</f>
        <v/>
      </c>
      <c r="AY11" s="496" t="s">
        <v>793</v>
      </c>
    </row>
    <row r="12" spans="1:51" ht="15.95" customHeight="1" thickBot="1" x14ac:dyDescent="0.25">
      <c r="A12" s="435">
        <v>8</v>
      </c>
      <c r="B12" s="444" t="str">
        <f t="shared" ca="1" si="1"/>
        <v/>
      </c>
      <c r="C12" s="444" t="str">
        <f t="shared" ca="1" si="2"/>
        <v/>
      </c>
      <c r="D12" s="444" t="str">
        <f t="shared" ca="1" si="3"/>
        <v/>
      </c>
      <c r="E12" s="486">
        <f t="shared" ca="1" si="4"/>
        <v>0</v>
      </c>
      <c r="F12" s="489">
        <v>18</v>
      </c>
      <c r="G12" s="488" t="str">
        <f t="shared" ca="1" si="5"/>
        <v/>
      </c>
      <c r="H12" s="898" t="str">
        <f t="shared" ca="1" si="6"/>
        <v/>
      </c>
      <c r="I12" s="898" t="str">
        <f t="shared" ca="1" si="0"/>
        <v/>
      </c>
      <c r="J12" s="898" t="str">
        <f t="shared" ca="1" si="0"/>
        <v/>
      </c>
      <c r="K12" s="450"/>
      <c r="L12" s="450"/>
      <c r="M12" s="450"/>
      <c r="N12" s="451"/>
      <c r="O12" s="450"/>
      <c r="P12" s="450"/>
      <c r="Q12" s="450"/>
      <c r="R12" s="437"/>
      <c r="S12" s="437"/>
      <c r="T12" s="451"/>
      <c r="U12" s="450"/>
      <c r="V12" s="450"/>
      <c r="W12" s="450"/>
      <c r="X12" s="979" t="s">
        <v>787</v>
      </c>
      <c r="Y12" s="1247"/>
      <c r="Z12" s="1247"/>
      <c r="AA12" s="450"/>
      <c r="AF12" s="453" t="s">
        <v>790</v>
      </c>
      <c r="AG12" s="435" t="str">
        <f>IF(ISBLANK(Z21),"",IF(Z21+AA21&lt;Z23+AA23,X22,X24))</f>
        <v/>
      </c>
      <c r="AH12" s="478" t="str">
        <f t="shared" ca="1" si="7"/>
        <v/>
      </c>
      <c r="AI12" s="474" t="str">
        <f t="shared" ca="1" si="8"/>
        <v/>
      </c>
      <c r="AJ12" s="915" t="str">
        <f t="shared" ca="1" si="9"/>
        <v/>
      </c>
      <c r="AN12" s="494">
        <f>K28</f>
        <v>7</v>
      </c>
      <c r="AO12" s="495" t="str">
        <f ca="1">L29</f>
        <v/>
      </c>
      <c r="AP12" s="784" t="str">
        <f t="shared" ref="AP12" ca="1" si="18">AO13</f>
        <v/>
      </c>
      <c r="AQ12" s="496" t="s">
        <v>793</v>
      </c>
      <c r="AR12" s="494">
        <f>Q28</f>
        <v>7</v>
      </c>
      <c r="AS12" s="495" t="str">
        <f>R29</f>
        <v/>
      </c>
      <c r="AT12" s="784" t="str">
        <f t="shared" ref="AT12" si="19">AS13</f>
        <v/>
      </c>
      <c r="AU12" s="496" t="s">
        <v>793</v>
      </c>
      <c r="AV12" s="494">
        <f>W28</f>
        <v>7</v>
      </c>
      <c r="AW12" s="495" t="str">
        <f>X29</f>
        <v/>
      </c>
      <c r="AX12" s="784" t="str">
        <f>AW13</f>
        <v/>
      </c>
      <c r="AY12" s="496" t="s">
        <v>793</v>
      </c>
    </row>
    <row r="13" spans="1:51" ht="15.95" customHeight="1" thickBot="1" x14ac:dyDescent="0.25">
      <c r="A13" s="435">
        <v>9</v>
      </c>
      <c r="B13" s="444" t="str">
        <f t="shared" ca="1" si="1"/>
        <v/>
      </c>
      <c r="C13" s="444" t="str">
        <f t="shared" ca="1" si="2"/>
        <v/>
      </c>
      <c r="D13" s="444" t="str">
        <f t="shared" ca="1" si="3"/>
        <v/>
      </c>
      <c r="E13" s="486">
        <f t="shared" ca="1" si="4"/>
        <v>0</v>
      </c>
      <c r="F13" s="489">
        <v>19</v>
      </c>
      <c r="G13" s="488" t="str">
        <f t="shared" ca="1" si="5"/>
        <v/>
      </c>
      <c r="H13" s="898" t="str">
        <f t="shared" ca="1" si="6"/>
        <v/>
      </c>
      <c r="I13" s="898" t="str">
        <f t="shared" ca="1" si="0"/>
        <v/>
      </c>
      <c r="J13" s="898" t="str">
        <f t="shared" ca="1" si="0"/>
        <v/>
      </c>
      <c r="K13" s="445" t="s">
        <v>779</v>
      </c>
      <c r="L13" s="463" t="s">
        <v>1083</v>
      </c>
      <c r="M13" s="456" t="s">
        <v>481</v>
      </c>
      <c r="N13" s="464" t="s">
        <v>3</v>
      </c>
      <c r="O13" s="446" t="s">
        <v>781</v>
      </c>
      <c r="P13" s="445"/>
      <c r="Q13" s="445" t="s">
        <v>779</v>
      </c>
      <c r="R13" s="463" t="s">
        <v>1083</v>
      </c>
      <c r="S13" s="456" t="s">
        <v>481</v>
      </c>
      <c r="T13" s="464" t="s">
        <v>3</v>
      </c>
      <c r="U13" s="446" t="s">
        <v>781</v>
      </c>
      <c r="V13" s="445"/>
      <c r="W13" s="445" t="s">
        <v>779</v>
      </c>
      <c r="X13" s="463" t="s">
        <v>1083</v>
      </c>
      <c r="Y13" s="456" t="s">
        <v>481</v>
      </c>
      <c r="Z13" s="464" t="s">
        <v>3</v>
      </c>
      <c r="AA13" s="446" t="s">
        <v>781</v>
      </c>
      <c r="AF13" s="453" t="s">
        <v>791</v>
      </c>
      <c r="AG13" s="435" t="str">
        <f>IF(ISBLANK(Z28),"",IF(Z28+AA28&gt;Z30+AA30,X29,X31))</f>
        <v/>
      </c>
      <c r="AH13" s="478" t="str">
        <f t="shared" ca="1" si="7"/>
        <v/>
      </c>
      <c r="AI13" s="474" t="str">
        <f t="shared" ca="1" si="8"/>
        <v/>
      </c>
      <c r="AJ13" s="915" t="str">
        <f t="shared" ca="1" si="9"/>
        <v/>
      </c>
      <c r="AN13" s="494">
        <f>K30</f>
        <v>8</v>
      </c>
      <c r="AO13" s="495" t="str">
        <f ca="1">L31</f>
        <v/>
      </c>
      <c r="AP13" s="784" t="str">
        <f t="shared" ref="AP13" ca="1" si="20">AO12</f>
        <v/>
      </c>
      <c r="AQ13" s="496" t="s">
        <v>793</v>
      </c>
      <c r="AR13" s="494">
        <f>Q30</f>
        <v>8</v>
      </c>
      <c r="AS13" s="495" t="str">
        <f>R31</f>
        <v/>
      </c>
      <c r="AT13" s="784" t="str">
        <f t="shared" ref="AT13" si="21">AS12</f>
        <v/>
      </c>
      <c r="AU13" s="496" t="s">
        <v>793</v>
      </c>
      <c r="AV13" s="494">
        <f>W30</f>
        <v>8</v>
      </c>
      <c r="AW13" s="495" t="str">
        <f>X31</f>
        <v/>
      </c>
      <c r="AX13" s="784" t="str">
        <f>AW12</f>
        <v/>
      </c>
      <c r="AY13" s="496" t="s">
        <v>793</v>
      </c>
    </row>
    <row r="14" spans="1:51" ht="15.95" customHeight="1" thickBot="1" x14ac:dyDescent="0.25">
      <c r="F14" s="489">
        <v>20</v>
      </c>
      <c r="G14" s="488" t="str">
        <f t="shared" si="5"/>
        <v/>
      </c>
      <c r="H14" s="898" t="str">
        <f t="shared" si="6"/>
        <v/>
      </c>
      <c r="I14" s="898" t="str">
        <f t="shared" si="0"/>
        <v/>
      </c>
      <c r="J14" s="898" t="str">
        <f t="shared" si="0"/>
        <v/>
      </c>
      <c r="K14" s="447">
        <f>K9+1</f>
        <v>3</v>
      </c>
      <c r="L14" s="472">
        <v>4</v>
      </c>
      <c r="M14" s="465" t="str">
        <f ca="1">IFERROR(VLOOKUP(L15,$G$5:$J$28,2,FALSE),"")</f>
        <v/>
      </c>
      <c r="N14" s="966"/>
      <c r="O14" s="780"/>
      <c r="Q14" s="447">
        <f>Q9+1</f>
        <v>3</v>
      </c>
      <c r="R14" s="472">
        <v>3</v>
      </c>
      <c r="S14" s="465" t="str">
        <f ca="1">IFERROR(VLOOKUP(R15,$G$5:$J$28,2,FALSE),"")</f>
        <v/>
      </c>
      <c r="T14" s="966"/>
      <c r="U14" s="780"/>
      <c r="W14" s="447">
        <f>W9+1</f>
        <v>3</v>
      </c>
      <c r="X14" s="472">
        <v>4</v>
      </c>
      <c r="Y14" s="465" t="str">
        <f ca="1">IFERROR(VLOOKUP(X15,$G$5:$J$28,2,FALSE),"")</f>
        <v/>
      </c>
      <c r="Z14" s="966"/>
      <c r="AA14" s="780"/>
      <c r="AF14" s="453" t="s">
        <v>792</v>
      </c>
      <c r="AG14" s="435" t="str">
        <f>IF(ISBLANK(Z28),"",IF(Z28+AA28&lt;Z30+AA30,X29,X31))</f>
        <v/>
      </c>
      <c r="AH14" s="478" t="str">
        <f t="shared" ca="1" si="7"/>
        <v/>
      </c>
      <c r="AI14" s="474" t="str">
        <f t="shared" ca="1" si="8"/>
        <v/>
      </c>
      <c r="AJ14" s="915" t="str">
        <f t="shared" ca="1" si="9"/>
        <v/>
      </c>
      <c r="AN14" s="494">
        <f>K35</f>
        <v>9</v>
      </c>
      <c r="AO14" s="495" t="str">
        <f ca="1">L36</f>
        <v/>
      </c>
      <c r="AP14" s="784" t="s">
        <v>1326</v>
      </c>
      <c r="AQ14" s="496" t="s">
        <v>793</v>
      </c>
      <c r="AR14" s="494">
        <f>Q35</f>
        <v>9</v>
      </c>
      <c r="AS14" s="495" t="str">
        <f ca="1">R36</f>
        <v/>
      </c>
      <c r="AT14" s="784" t="s">
        <v>1326</v>
      </c>
      <c r="AU14" s="496" t="s">
        <v>793</v>
      </c>
      <c r="AV14" s="494">
        <f>W35</f>
        <v>9</v>
      </c>
      <c r="AW14" s="495" t="str">
        <f ca="1">X36</f>
        <v/>
      </c>
      <c r="AX14" s="784" t="s">
        <v>1326</v>
      </c>
      <c r="AY14" s="496" t="s">
        <v>793</v>
      </c>
    </row>
    <row r="15" spans="1:51" ht="15.95" customHeight="1" thickBot="1" x14ac:dyDescent="0.25">
      <c r="F15" s="489">
        <v>21</v>
      </c>
      <c r="G15" s="488" t="str">
        <f t="shared" si="5"/>
        <v/>
      </c>
      <c r="H15" s="898" t="str">
        <f t="shared" si="6"/>
        <v/>
      </c>
      <c r="I15" s="898" t="str">
        <f t="shared" si="0"/>
        <v/>
      </c>
      <c r="J15" s="898" t="str">
        <f t="shared" si="0"/>
        <v/>
      </c>
      <c r="K15" s="447"/>
      <c r="L15" s="473" t="str">
        <f ca="1">VLOOKUP(L14,$A$5:$G$24,7,FALSE)</f>
        <v/>
      </c>
      <c r="M15" s="466" t="str">
        <f ca="1">IFERROR(VLOOKUP(L15,$G$5:$J$28,3,FALSE),"")</f>
        <v/>
      </c>
      <c r="N15" s="967"/>
      <c r="Q15" s="447"/>
      <c r="R15" s="473" t="str">
        <f>IF(ISBLANK(N21),"",IF(N21+O21&gt;N23+O23,L22,L24))</f>
        <v/>
      </c>
      <c r="S15" s="466" t="str">
        <f ca="1">IFERROR(VLOOKUP(R15,$G$5:$J$28,3,FALSE),"")</f>
        <v/>
      </c>
      <c r="T15" s="967"/>
      <c r="W15" s="447"/>
      <c r="X15" s="473" t="str">
        <f>IF(ISBLANK(T7),"",IF(U7+T7&lt;T9+U9,R8,R10))</f>
        <v/>
      </c>
      <c r="Y15" s="466" t="str">
        <f ca="1">IFERROR(VLOOKUP(X15,$G$5:$J$28,3,FALSE),"")</f>
        <v/>
      </c>
      <c r="Z15" s="967"/>
      <c r="AF15" s="453" t="s">
        <v>794</v>
      </c>
      <c r="AG15" s="896" t="str">
        <f ca="1">X36</f>
        <v/>
      </c>
      <c r="AH15" s="480" t="str">
        <f t="shared" ca="1" si="7"/>
        <v/>
      </c>
      <c r="AI15" s="481" t="str">
        <f t="shared" ca="1" si="8"/>
        <v/>
      </c>
      <c r="AJ15" s="916" t="str">
        <f t="shared" ca="1" si="9"/>
        <v/>
      </c>
      <c r="AN15" s="494"/>
      <c r="AO15" s="495"/>
      <c r="AP15" s="495"/>
      <c r="AQ15" s="496" t="s">
        <v>793</v>
      </c>
      <c r="AR15" s="494"/>
      <c r="AS15" s="495"/>
      <c r="AT15" s="495"/>
      <c r="AU15" s="496" t="s">
        <v>793</v>
      </c>
      <c r="AV15" s="494"/>
      <c r="AW15" s="495"/>
      <c r="AX15" s="495"/>
      <c r="AY15" s="496" t="s">
        <v>793</v>
      </c>
    </row>
    <row r="16" spans="1:51" ht="15.95" customHeight="1" thickBot="1" x14ac:dyDescent="0.25">
      <c r="F16" s="489">
        <v>22</v>
      </c>
      <c r="G16" s="488" t="str">
        <f t="shared" si="5"/>
        <v/>
      </c>
      <c r="H16" s="898" t="str">
        <f t="shared" si="6"/>
        <v/>
      </c>
      <c r="I16" s="898" t="str">
        <f t="shared" si="0"/>
        <v/>
      </c>
      <c r="J16" s="898" t="str">
        <f t="shared" si="0"/>
        <v/>
      </c>
      <c r="K16" s="447">
        <f>K14+1</f>
        <v>4</v>
      </c>
      <c r="L16" s="472">
        <v>5</v>
      </c>
      <c r="M16" s="465" t="str">
        <f ca="1">IFERROR(VLOOKUP(L17,$G$5:$J$28,2,FALSE),"")</f>
        <v/>
      </c>
      <c r="N16" s="966"/>
      <c r="O16" s="780"/>
      <c r="Q16" s="447">
        <f>Q14+1</f>
        <v>4</v>
      </c>
      <c r="R16" s="472">
        <v>2</v>
      </c>
      <c r="S16" s="465" t="str">
        <f ca="1">IFERROR(VLOOKUP(R17,$G$5:$J$28,2,FALSE),"")</f>
        <v/>
      </c>
      <c r="T16" s="966"/>
      <c r="U16" s="780"/>
      <c r="W16" s="447">
        <f>W14+1</f>
        <v>4</v>
      </c>
      <c r="X16" s="472">
        <v>3</v>
      </c>
      <c r="Y16" s="465" t="str">
        <f ca="1">IFERROR(VLOOKUP(X17,$G$5:$J$28,2,FALSE),"")</f>
        <v/>
      </c>
      <c r="Z16" s="966"/>
      <c r="AA16" s="780"/>
      <c r="AF16" s="453"/>
      <c r="AG16" s="453"/>
      <c r="AH16" s="453"/>
      <c r="AI16" s="453"/>
      <c r="AJ16" s="453"/>
      <c r="AN16" s="494"/>
      <c r="AO16" s="495"/>
      <c r="AP16" s="495"/>
      <c r="AQ16" s="496"/>
      <c r="AR16" s="494"/>
      <c r="AS16" s="495"/>
      <c r="AT16" s="495"/>
      <c r="AU16" s="496"/>
      <c r="AV16" s="494"/>
      <c r="AW16" s="495"/>
      <c r="AX16" s="495"/>
      <c r="AY16" s="496"/>
    </row>
    <row r="17" spans="6:51" ht="15.95" customHeight="1" thickBot="1" x14ac:dyDescent="0.25">
      <c r="F17" s="489">
        <v>23</v>
      </c>
      <c r="G17" s="488" t="str">
        <f t="shared" si="5"/>
        <v/>
      </c>
      <c r="H17" s="898" t="str">
        <f t="shared" si="6"/>
        <v/>
      </c>
      <c r="I17" s="898" t="str">
        <f t="shared" si="0"/>
        <v/>
      </c>
      <c r="J17" s="898" t="str">
        <f t="shared" si="0"/>
        <v/>
      </c>
      <c r="K17" s="447"/>
      <c r="L17" s="473" t="str">
        <f ca="1">VLOOKUP(L16,$A$5:$G$24,7,FALSE)</f>
        <v/>
      </c>
      <c r="M17" s="466" t="str">
        <f ca="1">IFERROR(VLOOKUP(L17,$G$5:$J$28,3,FALSE),"")</f>
        <v/>
      </c>
      <c r="N17" s="967"/>
      <c r="Q17" s="447"/>
      <c r="R17" s="473" t="str">
        <f>IF(ISBLANK(N28),"",IF(N28+O28&gt;N30+O30,L29,L31))</f>
        <v/>
      </c>
      <c r="S17" s="466" t="str">
        <f ca="1">IFERROR(VLOOKUP(R17,$G$5:$J$28,3,FALSE),"")</f>
        <v/>
      </c>
      <c r="T17" s="967"/>
      <c r="W17" s="447"/>
      <c r="X17" s="473" t="str">
        <f>IF(ISBLANK(T14),"",IF(U14+T14&lt;T16+U16,R15,R17))</f>
        <v/>
      </c>
      <c r="Y17" s="466" t="str">
        <f ca="1">IFERROR(VLOOKUP(X17,$G$5:$J$28,3,FALSE),"")</f>
        <v/>
      </c>
      <c r="Z17" s="967"/>
      <c r="AF17" s="453"/>
      <c r="AG17" s="453"/>
      <c r="AH17" s="453"/>
      <c r="AI17" s="453"/>
      <c r="AJ17" s="453"/>
      <c r="AN17" s="494"/>
      <c r="AO17" s="495"/>
      <c r="AP17" s="495"/>
      <c r="AQ17" s="496"/>
      <c r="AR17" s="494"/>
      <c r="AS17" s="495"/>
      <c r="AT17" s="495"/>
      <c r="AU17" s="496"/>
      <c r="AV17" s="494"/>
      <c r="AW17" s="495"/>
      <c r="AX17" s="495"/>
      <c r="AY17" s="496"/>
    </row>
    <row r="18" spans="6:51" ht="15.95" customHeight="1" x14ac:dyDescent="0.2">
      <c r="F18" s="489">
        <v>24</v>
      </c>
      <c r="G18" s="488" t="str">
        <f t="shared" si="5"/>
        <v/>
      </c>
      <c r="H18" s="898" t="str">
        <f t="shared" si="6"/>
        <v/>
      </c>
      <c r="I18" s="898" t="str">
        <f t="shared" si="0"/>
        <v/>
      </c>
      <c r="J18" s="898" t="str">
        <f t="shared" si="0"/>
        <v/>
      </c>
      <c r="K18" s="450"/>
      <c r="L18" s="450"/>
      <c r="M18" s="450"/>
      <c r="N18" s="451"/>
      <c r="O18" s="450"/>
      <c r="P18" s="450"/>
      <c r="Q18" s="450"/>
      <c r="R18" s="450"/>
      <c r="S18" s="450"/>
      <c r="T18" s="451"/>
      <c r="U18" s="450"/>
      <c r="V18" s="450"/>
      <c r="W18" s="450"/>
      <c r="X18" s="450"/>
      <c r="Y18" s="450"/>
      <c r="Z18" s="451"/>
      <c r="AA18" s="450"/>
      <c r="AF18" s="453"/>
      <c r="AG18" s="453"/>
      <c r="AH18" s="453"/>
      <c r="AI18" s="453"/>
      <c r="AJ18" s="453"/>
      <c r="AN18" s="494"/>
      <c r="AO18" s="495"/>
      <c r="AP18" s="495"/>
      <c r="AQ18" s="496"/>
      <c r="AR18" s="494"/>
      <c r="AS18" s="495"/>
      <c r="AT18" s="495"/>
      <c r="AU18" s="496"/>
      <c r="AV18" s="494"/>
      <c r="AW18" s="495"/>
      <c r="AX18" s="495"/>
      <c r="AY18" s="496"/>
    </row>
    <row r="19" spans="6:51" ht="15.95" customHeight="1" thickBot="1" x14ac:dyDescent="0.25">
      <c r="F19" s="489">
        <v>25</v>
      </c>
      <c r="G19" s="488" t="str">
        <f t="shared" si="5"/>
        <v/>
      </c>
      <c r="H19" s="898" t="str">
        <f t="shared" si="6"/>
        <v/>
      </c>
      <c r="I19" s="898" t="str">
        <f t="shared" si="0"/>
        <v/>
      </c>
      <c r="J19" s="898" t="str">
        <f t="shared" si="0"/>
        <v/>
      </c>
      <c r="K19" s="450"/>
      <c r="L19" s="454"/>
      <c r="M19" s="454"/>
      <c r="N19" s="455"/>
      <c r="O19" s="450"/>
      <c r="P19" s="450"/>
      <c r="Q19" s="450"/>
      <c r="R19" s="979" t="s">
        <v>819</v>
      </c>
      <c r="S19" s="1247"/>
      <c r="T19" s="1247"/>
      <c r="U19" s="450"/>
      <c r="V19" s="450"/>
      <c r="W19" s="450"/>
      <c r="X19" s="979" t="s">
        <v>820</v>
      </c>
      <c r="Y19" s="1247"/>
      <c r="Z19" s="1247"/>
      <c r="AA19" s="450"/>
      <c r="AB19" s="435" t="s">
        <v>793</v>
      </c>
      <c r="AF19" s="453"/>
      <c r="AG19" s="453"/>
      <c r="AH19" s="453"/>
      <c r="AI19" s="453"/>
      <c r="AJ19" s="453"/>
      <c r="AN19" s="494"/>
      <c r="AO19" s="495"/>
      <c r="AP19" s="495"/>
      <c r="AQ19" s="496"/>
      <c r="AR19" s="494"/>
      <c r="AS19" s="495"/>
      <c r="AT19" s="495"/>
      <c r="AU19" s="496"/>
      <c r="AV19" s="494"/>
      <c r="AW19" s="495"/>
      <c r="AX19" s="495"/>
      <c r="AY19" s="496"/>
    </row>
    <row r="20" spans="6:51" ht="15.95" customHeight="1" thickBot="1" x14ac:dyDescent="0.25">
      <c r="F20" s="489">
        <v>26</v>
      </c>
      <c r="G20" s="488" t="str">
        <f t="shared" si="5"/>
        <v/>
      </c>
      <c r="H20" s="898" t="str">
        <f t="shared" si="6"/>
        <v/>
      </c>
      <c r="I20" s="898" t="str">
        <f t="shared" si="0"/>
        <v/>
      </c>
      <c r="J20" s="898" t="str">
        <f t="shared" si="0"/>
        <v/>
      </c>
      <c r="K20" s="445" t="s">
        <v>779</v>
      </c>
      <c r="L20" s="463" t="s">
        <v>1083</v>
      </c>
      <c r="M20" s="456" t="s">
        <v>481</v>
      </c>
      <c r="N20" s="464" t="s">
        <v>3</v>
      </c>
      <c r="O20" s="446" t="s">
        <v>781</v>
      </c>
      <c r="P20" s="445"/>
      <c r="Q20" s="445" t="s">
        <v>779</v>
      </c>
      <c r="R20" s="463" t="s">
        <v>1083</v>
      </c>
      <c r="S20" s="456" t="s">
        <v>481</v>
      </c>
      <c r="T20" s="464" t="s">
        <v>3</v>
      </c>
      <c r="U20" s="446" t="s">
        <v>781</v>
      </c>
      <c r="V20" s="445"/>
      <c r="W20" s="445" t="s">
        <v>779</v>
      </c>
      <c r="X20" s="463" t="s">
        <v>1083</v>
      </c>
      <c r="Y20" s="456" t="s">
        <v>481</v>
      </c>
      <c r="Z20" s="464" t="s">
        <v>3</v>
      </c>
      <c r="AA20" s="446" t="s">
        <v>781</v>
      </c>
      <c r="AF20" s="453"/>
      <c r="AG20" s="453"/>
      <c r="AH20" s="453"/>
      <c r="AI20" s="453"/>
      <c r="AJ20" s="453"/>
      <c r="AN20" s="494"/>
      <c r="AO20" s="495"/>
      <c r="AP20" s="495"/>
      <c r="AQ20" s="496"/>
      <c r="AR20" s="494"/>
      <c r="AS20" s="495"/>
      <c r="AT20" s="495"/>
      <c r="AU20" s="496"/>
      <c r="AV20" s="494"/>
      <c r="AW20" s="495"/>
      <c r="AX20" s="495"/>
      <c r="AY20" s="496" t="s">
        <v>793</v>
      </c>
    </row>
    <row r="21" spans="6:51" ht="15.95" customHeight="1" thickBot="1" x14ac:dyDescent="0.25">
      <c r="F21" s="489">
        <v>27</v>
      </c>
      <c r="G21" s="488" t="str">
        <f t="shared" si="5"/>
        <v/>
      </c>
      <c r="H21" s="898" t="str">
        <f t="shared" si="6"/>
        <v/>
      </c>
      <c r="I21" s="898" t="str">
        <f t="shared" si="6"/>
        <v/>
      </c>
      <c r="J21" s="898" t="str">
        <f t="shared" si="6"/>
        <v/>
      </c>
      <c r="K21" s="447">
        <f>K16+1</f>
        <v>5</v>
      </c>
      <c r="L21" s="472">
        <v>3</v>
      </c>
      <c r="M21" s="465" t="str">
        <f ca="1">IFERROR(VLOOKUP(L22,$G$5:$J$28,2,FALSE),"")</f>
        <v/>
      </c>
      <c r="N21" s="966"/>
      <c r="O21" s="780"/>
      <c r="Q21" s="447">
        <f>Q16+1</f>
        <v>5</v>
      </c>
      <c r="R21" s="472">
        <v>8</v>
      </c>
      <c r="S21" s="465" t="str">
        <f ca="1">IFERROR(VLOOKUP(R22,$G$5:$J$28,2,FALSE),"")</f>
        <v/>
      </c>
      <c r="T21" s="966"/>
      <c r="U21" s="780"/>
      <c r="W21" s="447">
        <f>W16+1</f>
        <v>5</v>
      </c>
      <c r="X21" s="472">
        <v>5</v>
      </c>
      <c r="Y21" s="465" t="str">
        <f ca="1">IFERROR(VLOOKUP(X22,$G$5:$J$28,2,FALSE),"")</f>
        <v/>
      </c>
      <c r="Z21" s="966"/>
      <c r="AA21" s="780"/>
      <c r="AF21" s="453"/>
      <c r="AG21" s="453"/>
      <c r="AH21" s="453"/>
      <c r="AI21" s="453"/>
      <c r="AJ21" s="453"/>
      <c r="AN21" s="494"/>
      <c r="AO21" s="495"/>
      <c r="AP21" s="495"/>
      <c r="AQ21" s="496"/>
      <c r="AR21" s="494"/>
      <c r="AS21" s="495"/>
      <c r="AT21" s="495"/>
      <c r="AU21" s="496"/>
      <c r="AV21" s="494"/>
      <c r="AW21" s="495"/>
      <c r="AX21" s="495"/>
      <c r="AY21" s="496" t="s">
        <v>793</v>
      </c>
    </row>
    <row r="22" spans="6:51" ht="15.95" customHeight="1" thickBot="1" x14ac:dyDescent="0.25">
      <c r="F22" s="489">
        <v>28</v>
      </c>
      <c r="G22" s="488" t="str">
        <f t="shared" si="5"/>
        <v/>
      </c>
      <c r="H22" s="898" t="str">
        <f t="shared" si="6"/>
        <v/>
      </c>
      <c r="I22" s="898" t="str">
        <f t="shared" si="6"/>
        <v/>
      </c>
      <c r="J22" s="898" t="str">
        <f t="shared" si="6"/>
        <v/>
      </c>
      <c r="K22" s="447"/>
      <c r="L22" s="473" t="str">
        <f ca="1">VLOOKUP(L21,$A$5:$G$24,7,FALSE)</f>
        <v/>
      </c>
      <c r="M22" s="466" t="str">
        <f ca="1">IFERROR(VLOOKUP(L22,$G$5:$J$28,3,FALSE),"")</f>
        <v/>
      </c>
      <c r="N22" s="967"/>
      <c r="Q22" s="447"/>
      <c r="R22" s="473" t="str">
        <f>IF(ISBLANK(N7),"",IF(O7+N7&lt;N9+O9,L8,L10))</f>
        <v/>
      </c>
      <c r="S22" s="466" t="str">
        <f ca="1">IFERROR(VLOOKUP(R22,$G$5:$J$28,3,FALSE),"")</f>
        <v/>
      </c>
      <c r="T22" s="967"/>
      <c r="W22" s="447"/>
      <c r="X22" s="473" t="str">
        <f>IF(ISBLANK(T21),"",IF(U21+T21&gt;T23+U23,R22,R24))</f>
        <v/>
      </c>
      <c r="Y22" s="466" t="str">
        <f ca="1">IFERROR(VLOOKUP(X22,$G$5:$J$28,3,FALSE),"")</f>
        <v/>
      </c>
      <c r="Z22" s="967"/>
      <c r="AF22" s="453"/>
      <c r="AG22" s="453"/>
      <c r="AH22" s="453"/>
      <c r="AI22" s="453"/>
      <c r="AJ22" s="453"/>
      <c r="AN22" s="494"/>
      <c r="AO22" s="495"/>
      <c r="AP22" s="495"/>
      <c r="AQ22" s="496"/>
      <c r="AR22" s="494"/>
      <c r="AS22" s="495"/>
      <c r="AT22" s="495"/>
      <c r="AU22" s="496"/>
      <c r="AV22" s="494"/>
      <c r="AW22" s="495"/>
      <c r="AX22" s="495"/>
      <c r="AY22" s="496" t="s">
        <v>793</v>
      </c>
    </row>
    <row r="23" spans="6:51" ht="15.95" customHeight="1" thickBot="1" x14ac:dyDescent="0.25">
      <c r="F23" s="489">
        <v>29</v>
      </c>
      <c r="G23" s="488" t="str">
        <f t="shared" si="5"/>
        <v/>
      </c>
      <c r="H23" s="898" t="str">
        <f t="shared" si="6"/>
        <v/>
      </c>
      <c r="I23" s="898" t="str">
        <f t="shared" si="6"/>
        <v/>
      </c>
      <c r="J23" s="898" t="str">
        <f t="shared" si="6"/>
        <v/>
      </c>
      <c r="K23" s="447">
        <f>K21+1</f>
        <v>6</v>
      </c>
      <c r="L23" s="472">
        <v>6</v>
      </c>
      <c r="M23" s="465" t="str">
        <f ca="1">IFERROR(VLOOKUP(L24,$G$5:$J$28,2,FALSE),"")</f>
        <v/>
      </c>
      <c r="N23" s="966"/>
      <c r="O23" s="780"/>
      <c r="Q23" s="447">
        <f>Q21+1</f>
        <v>6</v>
      </c>
      <c r="R23" s="472">
        <v>5</v>
      </c>
      <c r="S23" s="465" t="str">
        <f ca="1">IFERROR(VLOOKUP(R24,$G$5:$J$28,2,FALSE),"")</f>
        <v/>
      </c>
      <c r="T23" s="966"/>
      <c r="U23" s="780"/>
      <c r="W23" s="447">
        <f>W21+1</f>
        <v>6</v>
      </c>
      <c r="X23" s="472">
        <v>6</v>
      </c>
      <c r="Y23" s="465" t="str">
        <f ca="1">IFERROR(VLOOKUP(X24,$G$5:$J$28,2,FALSE),"")</f>
        <v/>
      </c>
      <c r="Z23" s="966"/>
      <c r="AA23" s="780"/>
      <c r="AF23" s="453"/>
      <c r="AG23" s="453"/>
      <c r="AH23" s="453"/>
      <c r="AI23" s="453"/>
      <c r="AJ23" s="453"/>
      <c r="AN23" s="494"/>
      <c r="AO23" s="495"/>
      <c r="AP23" s="495"/>
      <c r="AQ23" s="496"/>
      <c r="AR23" s="494"/>
      <c r="AS23" s="495"/>
      <c r="AT23" s="495"/>
      <c r="AU23" s="496"/>
      <c r="AV23" s="494"/>
      <c r="AW23" s="495"/>
      <c r="AX23" s="495"/>
      <c r="AY23" s="496" t="s">
        <v>793</v>
      </c>
    </row>
    <row r="24" spans="6:51" ht="15.95" customHeight="1" thickBot="1" x14ac:dyDescent="0.25">
      <c r="F24" s="489">
        <v>30</v>
      </c>
      <c r="G24" s="488" t="str">
        <f t="shared" si="5"/>
        <v/>
      </c>
      <c r="H24" s="898" t="str">
        <f t="shared" si="6"/>
        <v/>
      </c>
      <c r="I24" s="898" t="str">
        <f t="shared" si="6"/>
        <v/>
      </c>
      <c r="J24" s="898" t="str">
        <f t="shared" si="6"/>
        <v/>
      </c>
      <c r="K24" s="447"/>
      <c r="L24" s="473" t="str">
        <f ca="1">VLOOKUP(L23,$A$5:$G$24,7,FALSE)</f>
        <v/>
      </c>
      <c r="M24" s="466" t="str">
        <f ca="1">IFERROR(VLOOKUP(L24,$G$5:$J$28,3,FALSE),"")</f>
        <v/>
      </c>
      <c r="N24" s="967"/>
      <c r="Q24" s="447"/>
      <c r="R24" s="473" t="str">
        <f>IF(ISBLANK(N14),"",IF(O14+N14&lt;N16+O16,L15,L17))</f>
        <v/>
      </c>
      <c r="S24" s="466" t="str">
        <f ca="1">IFERROR(VLOOKUP(R24,$G$5:$J$28,3,FALSE),"")</f>
        <v/>
      </c>
      <c r="T24" s="967"/>
      <c r="W24" s="447"/>
      <c r="X24" s="473" t="str">
        <f>IF(ISBLANK(T28),"",IF(U28+T28&gt;T30+U30,R29,R31))</f>
        <v/>
      </c>
      <c r="Y24" s="466" t="str">
        <f ca="1">IFERROR(VLOOKUP(X24,$G$5:$J$28,3,FALSE),"")</f>
        <v/>
      </c>
      <c r="Z24" s="967"/>
      <c r="AF24" s="453"/>
      <c r="AG24" s="453"/>
      <c r="AH24" s="453"/>
      <c r="AI24" s="453"/>
      <c r="AJ24" s="453"/>
      <c r="AN24" s="494"/>
      <c r="AO24" s="495"/>
      <c r="AP24" s="495"/>
      <c r="AQ24" s="496"/>
      <c r="AR24" s="494"/>
      <c r="AS24" s="495"/>
      <c r="AT24" s="495"/>
      <c r="AU24" s="496"/>
      <c r="AV24" s="494"/>
      <c r="AW24" s="495"/>
      <c r="AX24" s="495"/>
      <c r="AY24" s="496" t="s">
        <v>793</v>
      </c>
    </row>
    <row r="25" spans="6:51" ht="15.95" customHeight="1" x14ac:dyDescent="0.2">
      <c r="F25" s="489">
        <v>31</v>
      </c>
      <c r="G25" s="488" t="str">
        <f t="shared" si="5"/>
        <v/>
      </c>
      <c r="H25" s="898" t="str">
        <f t="shared" si="6"/>
        <v/>
      </c>
      <c r="I25" s="898" t="str">
        <f t="shared" si="6"/>
        <v/>
      </c>
      <c r="J25" s="898" t="str">
        <f t="shared" si="6"/>
        <v/>
      </c>
      <c r="K25" s="447"/>
      <c r="L25" s="441"/>
      <c r="M25" s="441"/>
      <c r="Q25" s="447"/>
      <c r="R25" s="437"/>
      <c r="S25" s="437"/>
      <c r="T25" s="451"/>
      <c r="W25" s="447"/>
      <c r="X25" s="441"/>
      <c r="Y25" s="441"/>
      <c r="AF25" s="453"/>
      <c r="AG25" s="453"/>
      <c r="AH25" s="453"/>
      <c r="AI25" s="453"/>
      <c r="AJ25" s="453"/>
      <c r="AN25" s="494"/>
      <c r="AO25" s="495"/>
      <c r="AP25" s="495"/>
      <c r="AQ25" s="496"/>
      <c r="AR25" s="494"/>
      <c r="AS25" s="495"/>
      <c r="AT25" s="495"/>
      <c r="AU25" s="496"/>
      <c r="AV25" s="494"/>
      <c r="AW25" s="495"/>
      <c r="AX25" s="495"/>
      <c r="AY25" s="496" t="s">
        <v>793</v>
      </c>
    </row>
    <row r="26" spans="6:51" ht="15.95" customHeight="1" thickBot="1" x14ac:dyDescent="0.25">
      <c r="F26" s="489">
        <v>32</v>
      </c>
      <c r="G26" s="488" t="str">
        <f t="shared" si="5"/>
        <v/>
      </c>
      <c r="H26" s="898" t="str">
        <f t="shared" si="6"/>
        <v/>
      </c>
      <c r="I26" s="898" t="str">
        <f t="shared" si="6"/>
        <v/>
      </c>
      <c r="J26" s="898" t="str">
        <f t="shared" si="6"/>
        <v/>
      </c>
      <c r="K26" s="450"/>
      <c r="L26" s="450"/>
      <c r="M26" s="450"/>
      <c r="N26" s="451"/>
      <c r="O26" s="450"/>
      <c r="P26" s="450"/>
      <c r="Q26" s="450"/>
      <c r="R26" s="437"/>
      <c r="S26" s="437"/>
      <c r="T26" s="451"/>
      <c r="U26" s="450"/>
      <c r="V26" s="450"/>
      <c r="W26" s="450"/>
      <c r="X26" s="979" t="s">
        <v>821</v>
      </c>
      <c r="Y26" s="1247"/>
      <c r="Z26" s="1247"/>
      <c r="AA26" s="450"/>
      <c r="AF26" s="453"/>
      <c r="AG26" s="453"/>
      <c r="AH26" s="453"/>
      <c r="AI26" s="453"/>
      <c r="AJ26" s="453"/>
      <c r="AN26" s="494"/>
      <c r="AO26" s="495"/>
      <c r="AP26" s="495"/>
      <c r="AQ26" s="496"/>
      <c r="AR26" s="494"/>
      <c r="AS26" s="495"/>
      <c r="AT26" s="495"/>
      <c r="AU26" s="496"/>
      <c r="AV26" s="494"/>
      <c r="AW26" s="495"/>
      <c r="AX26" s="495"/>
      <c r="AY26" s="496" t="s">
        <v>793</v>
      </c>
    </row>
    <row r="27" spans="6:51" ht="15.95" customHeight="1" thickBot="1" x14ac:dyDescent="0.25">
      <c r="F27" s="489">
        <v>33</v>
      </c>
      <c r="G27" s="488" t="str">
        <f t="shared" si="5"/>
        <v/>
      </c>
      <c r="H27" s="898" t="str">
        <f t="shared" si="6"/>
        <v/>
      </c>
      <c r="I27" s="898" t="str">
        <f t="shared" si="6"/>
        <v/>
      </c>
      <c r="J27" s="898" t="str">
        <f t="shared" si="6"/>
        <v/>
      </c>
      <c r="K27" s="445" t="s">
        <v>779</v>
      </c>
      <c r="L27" s="463" t="s">
        <v>1083</v>
      </c>
      <c r="M27" s="456" t="s">
        <v>481</v>
      </c>
      <c r="N27" s="464" t="s">
        <v>3</v>
      </c>
      <c r="O27" s="446" t="s">
        <v>781</v>
      </c>
      <c r="P27" s="445"/>
      <c r="Q27" s="445" t="s">
        <v>779</v>
      </c>
      <c r="R27" s="463" t="s">
        <v>1083</v>
      </c>
      <c r="S27" s="456" t="s">
        <v>481</v>
      </c>
      <c r="T27" s="464" t="s">
        <v>3</v>
      </c>
      <c r="U27" s="446" t="s">
        <v>781</v>
      </c>
      <c r="V27" s="445"/>
      <c r="W27" s="445" t="s">
        <v>779</v>
      </c>
      <c r="X27" s="463" t="s">
        <v>1083</v>
      </c>
      <c r="Y27" s="456" t="s">
        <v>481</v>
      </c>
      <c r="Z27" s="464" t="s">
        <v>3</v>
      </c>
      <c r="AA27" s="446" t="s">
        <v>781</v>
      </c>
      <c r="AF27" s="453"/>
      <c r="AG27" s="453"/>
      <c r="AH27" s="453"/>
      <c r="AI27" s="453"/>
      <c r="AJ27" s="453"/>
      <c r="AN27" s="494"/>
      <c r="AO27" s="495"/>
      <c r="AP27" s="495"/>
      <c r="AQ27" s="496"/>
      <c r="AR27" s="494"/>
      <c r="AS27" s="495"/>
      <c r="AT27" s="495"/>
      <c r="AU27" s="496"/>
      <c r="AV27" s="494"/>
      <c r="AW27" s="495"/>
      <c r="AX27" s="495"/>
      <c r="AY27" s="496" t="s">
        <v>793</v>
      </c>
    </row>
    <row r="28" spans="6:51" ht="15.95" customHeight="1" thickBot="1" x14ac:dyDescent="0.25">
      <c r="F28" s="489">
        <v>34</v>
      </c>
      <c r="G28" s="488" t="str">
        <f t="shared" si="5"/>
        <v/>
      </c>
      <c r="H28" s="898" t="str">
        <f t="shared" si="6"/>
        <v/>
      </c>
      <c r="I28" s="898" t="str">
        <f t="shared" si="6"/>
        <v/>
      </c>
      <c r="J28" s="898" t="str">
        <f t="shared" si="6"/>
        <v/>
      </c>
      <c r="K28" s="447">
        <f>K23+1</f>
        <v>7</v>
      </c>
      <c r="L28" s="472">
        <v>2</v>
      </c>
      <c r="M28" s="465" t="str">
        <f ca="1">IFERROR(VLOOKUP(L29,$G$5:$J$28,2,FALSE),"")</f>
        <v/>
      </c>
      <c r="N28" s="966"/>
      <c r="O28" s="780"/>
      <c r="Q28" s="447">
        <f>Q23+1</f>
        <v>7</v>
      </c>
      <c r="R28" s="472">
        <v>6</v>
      </c>
      <c r="S28" s="465" t="str">
        <f ca="1">IFERROR(VLOOKUP(R29,$G$5:$J$28,2,FALSE),"")</f>
        <v/>
      </c>
      <c r="T28" s="966"/>
      <c r="U28" s="780"/>
      <c r="W28" s="447">
        <f>W23+1</f>
        <v>7</v>
      </c>
      <c r="X28" s="472">
        <v>8</v>
      </c>
      <c r="Y28" s="465" t="str">
        <f ca="1">IFERROR(VLOOKUP(X29,$G$5:$J$28,2,FALSE),"")</f>
        <v/>
      </c>
      <c r="Z28" s="966"/>
      <c r="AA28" s="780"/>
      <c r="AF28" s="453"/>
      <c r="AG28" s="453"/>
      <c r="AH28" s="453"/>
      <c r="AI28" s="453"/>
      <c r="AJ28" s="453"/>
      <c r="AN28" s="494"/>
      <c r="AO28" s="495"/>
      <c r="AP28" s="495"/>
      <c r="AQ28" s="496"/>
      <c r="AR28" s="494"/>
      <c r="AS28" s="495"/>
      <c r="AT28" s="495"/>
      <c r="AU28" s="496"/>
      <c r="AV28" s="494"/>
      <c r="AW28" s="495"/>
      <c r="AX28" s="495"/>
      <c r="AY28" s="496" t="s">
        <v>793</v>
      </c>
    </row>
    <row r="29" spans="6:51" ht="15.95" customHeight="1" thickBot="1" x14ac:dyDescent="0.25">
      <c r="I29" s="437"/>
      <c r="J29" s="437"/>
      <c r="K29" s="447"/>
      <c r="L29" s="473" t="str">
        <f ca="1">VLOOKUP(L28,$A$5:$G$24,7,FALSE)</f>
        <v/>
      </c>
      <c r="M29" s="466" t="str">
        <f ca="1">IFERROR(VLOOKUP(L29,$G$5:$J$28,3,FALSE),"")</f>
        <v/>
      </c>
      <c r="N29" s="967"/>
      <c r="Q29" s="447"/>
      <c r="R29" s="473" t="str">
        <f>IF(ISBLANK(N21),"",IF(N21+O21&lt;N23+O23,L22,L24))</f>
        <v/>
      </c>
      <c r="S29" s="466" t="str">
        <f ca="1">IFERROR(VLOOKUP(R29,$G$5:$J$28,3,FALSE),"")</f>
        <v/>
      </c>
      <c r="T29" s="967"/>
      <c r="W29" s="447"/>
      <c r="X29" s="473" t="str">
        <f>IF(ISBLANK(T21),"",IF(U21+T21&lt;T23+U23,R22,R24))</f>
        <v/>
      </c>
      <c r="Y29" s="466" t="str">
        <f ca="1">IFERROR(VLOOKUP(X29,$G$5:$J$28,3,FALSE),"")</f>
        <v/>
      </c>
      <c r="Z29" s="967"/>
      <c r="AF29" s="453"/>
      <c r="AG29" s="453"/>
      <c r="AH29" s="453"/>
      <c r="AI29" s="453"/>
      <c r="AJ29" s="453"/>
      <c r="AN29" s="494"/>
      <c r="AO29" s="495"/>
      <c r="AP29" s="495"/>
      <c r="AQ29" s="496"/>
      <c r="AR29" s="494"/>
      <c r="AS29" s="495"/>
      <c r="AT29" s="495"/>
      <c r="AU29" s="496"/>
      <c r="AV29" s="494"/>
      <c r="AW29" s="495"/>
      <c r="AX29" s="495"/>
      <c r="AY29" s="496" t="s">
        <v>793</v>
      </c>
    </row>
    <row r="30" spans="6:51" ht="15.95" customHeight="1" thickBot="1" x14ac:dyDescent="0.25">
      <c r="I30" s="437"/>
      <c r="J30" s="437"/>
      <c r="K30" s="447">
        <f>K28+1</f>
        <v>8</v>
      </c>
      <c r="L30" s="472">
        <v>7</v>
      </c>
      <c r="M30" s="465" t="str">
        <f ca="1">IFERROR(VLOOKUP(L31,$G$5:$J$28,2,FALSE),"")</f>
        <v/>
      </c>
      <c r="N30" s="966"/>
      <c r="O30" s="780"/>
      <c r="Q30" s="447">
        <f>Q28+1</f>
        <v>8</v>
      </c>
      <c r="R30" s="472">
        <v>7</v>
      </c>
      <c r="S30" s="465" t="str">
        <f ca="1">IFERROR(VLOOKUP(R31,$G$5:$J$28,2,FALSE),"")</f>
        <v/>
      </c>
      <c r="T30" s="966"/>
      <c r="U30" s="780"/>
      <c r="W30" s="447">
        <f>W28+1</f>
        <v>8</v>
      </c>
      <c r="X30" s="472">
        <v>7</v>
      </c>
      <c r="Y30" s="465" t="str">
        <f ca="1">IFERROR(VLOOKUP(X31,$G$5:$J$28,2,FALSE),"")</f>
        <v/>
      </c>
      <c r="Z30" s="966"/>
      <c r="AA30" s="780"/>
      <c r="AF30" s="453"/>
      <c r="AG30" s="453"/>
      <c r="AH30" s="453"/>
      <c r="AI30" s="453"/>
      <c r="AJ30" s="453"/>
    </row>
    <row r="31" spans="6:51" ht="15.95" customHeight="1" thickBot="1" x14ac:dyDescent="0.25">
      <c r="I31" s="437"/>
      <c r="J31" s="437"/>
      <c r="K31" s="447"/>
      <c r="L31" s="473" t="str">
        <f ca="1">VLOOKUP(L30,$A$5:$G$24,7,FALSE)</f>
        <v/>
      </c>
      <c r="M31" s="466" t="str">
        <f ca="1">IFERROR(VLOOKUP(L31,$G$5:$J$28,3,FALSE),"")</f>
        <v/>
      </c>
      <c r="N31" s="967"/>
      <c r="Q31" s="447"/>
      <c r="R31" s="473" t="str">
        <f>IF(ISBLANK(N28),"",IF(N28+O28&lt;N30+O30,L29,L31))</f>
        <v/>
      </c>
      <c r="S31" s="466" t="str">
        <f ca="1">IFERROR(VLOOKUP(R31,$G$5:$J$28,3,FALSE),"")</f>
        <v/>
      </c>
      <c r="T31" s="967"/>
      <c r="W31" s="447"/>
      <c r="X31" s="473" t="str">
        <f>IF(ISBLANK(T28),"",IF(U28+T28&lt;T30+U30,R29,R31))</f>
        <v/>
      </c>
      <c r="Y31" s="466" t="str">
        <f ca="1">IFERROR(VLOOKUP(X31,$G$5:$J$28,3,FALSE),"")</f>
        <v/>
      </c>
      <c r="Z31" s="967"/>
      <c r="AF31" s="453"/>
      <c r="AG31" s="453"/>
    </row>
    <row r="32" spans="6:51" ht="15.95" customHeight="1" x14ac:dyDescent="0.2">
      <c r="I32" s="437"/>
      <c r="J32" s="437"/>
      <c r="K32" s="450"/>
      <c r="L32" s="437"/>
      <c r="M32" s="437"/>
      <c r="N32" s="451"/>
      <c r="O32" s="450"/>
      <c r="P32" s="450"/>
      <c r="Q32" s="450"/>
      <c r="R32" s="437"/>
      <c r="S32" s="437"/>
      <c r="T32" s="451"/>
      <c r="U32" s="450"/>
      <c r="V32" s="450"/>
      <c r="W32" s="450"/>
      <c r="X32" s="437"/>
      <c r="Y32" s="437"/>
      <c r="Z32" s="451"/>
      <c r="AA32" s="450"/>
      <c r="AF32" s="453"/>
      <c r="AG32" s="453"/>
    </row>
    <row r="33" spans="9:33" ht="15.95" customHeight="1" thickBot="1" x14ac:dyDescent="0.25">
      <c r="I33" s="437"/>
      <c r="J33" s="437"/>
      <c r="X33" s="979" t="s">
        <v>1309</v>
      </c>
      <c r="Y33" s="1247"/>
      <c r="Z33" s="1247"/>
      <c r="AF33" s="453"/>
      <c r="AG33" s="453"/>
    </row>
    <row r="34" spans="9:33" ht="15.95" customHeight="1" thickBot="1" x14ac:dyDescent="0.25">
      <c r="I34" s="437"/>
      <c r="J34" s="437"/>
      <c r="K34" s="445" t="s">
        <v>779</v>
      </c>
      <c r="L34" s="463" t="s">
        <v>1083</v>
      </c>
      <c r="M34" s="456" t="s">
        <v>481</v>
      </c>
      <c r="N34" s="464" t="s">
        <v>3</v>
      </c>
      <c r="O34" s="446" t="s">
        <v>781</v>
      </c>
      <c r="P34" s="445"/>
      <c r="Q34" s="445" t="s">
        <v>779</v>
      </c>
      <c r="R34" s="463" t="s">
        <v>1083</v>
      </c>
      <c r="S34" s="456" t="s">
        <v>481</v>
      </c>
      <c r="T34" s="464" t="s">
        <v>3</v>
      </c>
      <c r="U34" s="446" t="s">
        <v>781</v>
      </c>
      <c r="V34" s="445"/>
      <c r="W34" s="445" t="s">
        <v>779</v>
      </c>
      <c r="X34" s="463" t="s">
        <v>1083</v>
      </c>
      <c r="Y34" s="456" t="s">
        <v>481</v>
      </c>
      <c r="Z34" s="464" t="s">
        <v>3</v>
      </c>
      <c r="AA34" s="446" t="s">
        <v>781</v>
      </c>
      <c r="AF34" s="453"/>
      <c r="AG34" s="453"/>
    </row>
    <row r="35" spans="9:33" ht="15.95" customHeight="1" x14ac:dyDescent="0.2">
      <c r="I35" s="437"/>
      <c r="J35" s="437"/>
      <c r="K35" s="447">
        <f>K30+1</f>
        <v>9</v>
      </c>
      <c r="L35" s="472">
        <v>9</v>
      </c>
      <c r="M35" s="465" t="str">
        <f ca="1">IFERROR(VLOOKUP(L36,$G$5:$J$28,2,FALSE),"")</f>
        <v/>
      </c>
      <c r="N35" s="966"/>
      <c r="O35" s="518"/>
      <c r="Q35" s="447">
        <f>Q30+1</f>
        <v>9</v>
      </c>
      <c r="R35" s="472">
        <v>9</v>
      </c>
      <c r="S35" s="465" t="str">
        <f ca="1">IFERROR(VLOOKUP(R36,$G$5:$J$28,2,FALSE),"")</f>
        <v/>
      </c>
      <c r="T35" s="966"/>
      <c r="U35" s="518"/>
      <c r="W35" s="447">
        <f>W30+1</f>
        <v>9</v>
      </c>
      <c r="X35" s="472">
        <v>9</v>
      </c>
      <c r="Y35" s="465" t="str">
        <f ca="1">IFERROR(VLOOKUP(X36,$G$5:$J$28,2,FALSE),"")</f>
        <v/>
      </c>
      <c r="Z35" s="966"/>
      <c r="AA35" s="518"/>
      <c r="AF35" s="453"/>
      <c r="AG35" s="453"/>
    </row>
    <row r="36" spans="9:33" ht="15.95" customHeight="1" thickBot="1" x14ac:dyDescent="0.25">
      <c r="I36" s="437"/>
      <c r="J36" s="437"/>
      <c r="K36" s="447"/>
      <c r="L36" s="473" t="str">
        <f ca="1">VLOOKUP(L35,$A$5:$G$24,7,FALSE)</f>
        <v/>
      </c>
      <c r="M36" s="466" t="str">
        <f ca="1">IFERROR(VLOOKUP(L36,$G$5:$J$28,3,FALSE),"")</f>
        <v/>
      </c>
      <c r="N36" s="967"/>
      <c r="Q36" s="447"/>
      <c r="R36" s="473" t="str">
        <f ca="1">L36</f>
        <v/>
      </c>
      <c r="S36" s="466" t="str">
        <f ca="1">IFERROR(VLOOKUP(R36,$G$5:$J$28,3,FALSE),"")</f>
        <v/>
      </c>
      <c r="T36" s="967"/>
      <c r="W36" s="447"/>
      <c r="X36" s="473" t="str">
        <f ca="1">R36</f>
        <v/>
      </c>
      <c r="Y36" s="466" t="str">
        <f ca="1">IFERROR(VLOOKUP(X36,$G$5:$J$28,3,FALSE),"")</f>
        <v/>
      </c>
      <c r="Z36" s="967"/>
      <c r="AF36" s="453"/>
      <c r="AG36" s="453"/>
    </row>
    <row r="37" spans="9:33" ht="15.95" customHeight="1" x14ac:dyDescent="0.2">
      <c r="I37" s="437"/>
      <c r="J37" s="437"/>
      <c r="K37" s="450"/>
      <c r="L37" s="516"/>
      <c r="M37" s="516"/>
      <c r="N37" s="457"/>
      <c r="Q37" s="450"/>
      <c r="R37" s="516"/>
      <c r="S37" s="516"/>
      <c r="T37" s="457"/>
      <c r="V37" s="450"/>
      <c r="W37" s="450"/>
      <c r="X37" s="516"/>
      <c r="Y37" s="516"/>
      <c r="Z37" s="457"/>
      <c r="AF37" s="453"/>
      <c r="AG37" s="453"/>
    </row>
    <row r="38" spans="9:33" ht="15.95" customHeight="1" x14ac:dyDescent="0.2">
      <c r="I38" s="437"/>
      <c r="J38" s="437"/>
      <c r="K38" s="450"/>
      <c r="L38" s="516"/>
      <c r="M38" s="516"/>
      <c r="N38" s="457"/>
      <c r="Q38" s="450"/>
      <c r="R38" s="516"/>
      <c r="S38" s="516"/>
      <c r="T38" s="457"/>
      <c r="V38" s="450"/>
      <c r="W38" s="450"/>
      <c r="X38" s="516"/>
      <c r="Y38" s="516"/>
      <c r="Z38" s="457"/>
      <c r="AF38" s="453"/>
      <c r="AG38" s="453"/>
    </row>
    <row r="39" spans="9:33" ht="15.95" customHeight="1" x14ac:dyDescent="0.2">
      <c r="I39" s="437"/>
      <c r="J39" s="437"/>
      <c r="K39" s="450"/>
      <c r="L39" s="437"/>
      <c r="M39" s="437"/>
      <c r="N39" s="451"/>
      <c r="P39" s="792">
        <f>IF(Q39=1,5,IF(Q39=2,8,IF(Q39=3,9,"")))</f>
        <v>5</v>
      </c>
      <c r="Q39" s="789">
        <f>RANK(R39,$R$39:$R$41,0)</f>
        <v>1</v>
      </c>
      <c r="R39" s="795">
        <f>T21+U21/100</f>
        <v>0</v>
      </c>
      <c r="S39" s="791" t="str">
        <f ca="1">L15</f>
        <v/>
      </c>
      <c r="T39" s="517"/>
      <c r="U39" s="787"/>
      <c r="V39" s="789"/>
      <c r="W39" s="789"/>
      <c r="X39" s="789"/>
      <c r="Y39" s="789"/>
      <c r="Z39" s="451"/>
      <c r="AA39" s="450"/>
      <c r="AF39" s="453"/>
      <c r="AG39" s="453"/>
    </row>
    <row r="40" spans="9:33" ht="15.95" customHeight="1" x14ac:dyDescent="0.2">
      <c r="I40" s="437"/>
      <c r="J40" s="437"/>
      <c r="K40" s="450"/>
      <c r="L40" s="437"/>
      <c r="M40" s="437"/>
      <c r="N40" s="451"/>
      <c r="P40" s="792">
        <f t="shared" ref="P40:P41" si="22">IF(Q40=1,5,IF(Q40=2,8,IF(Q40=3,9,"")))</f>
        <v>5</v>
      </c>
      <c r="Q40" s="789">
        <f>RANK(R40,$R$39:$R$41,0)</f>
        <v>1</v>
      </c>
      <c r="R40" s="795">
        <f>T23+U23/100</f>
        <v>0</v>
      </c>
      <c r="S40" s="791" t="str">
        <f>R24</f>
        <v/>
      </c>
      <c r="T40" s="517"/>
      <c r="U40" s="787"/>
      <c r="V40" s="789"/>
      <c r="W40" s="789"/>
      <c r="X40" s="789"/>
      <c r="Y40" s="789"/>
      <c r="Z40" s="451"/>
      <c r="AA40" s="450"/>
      <c r="AF40" s="453"/>
      <c r="AG40" s="453"/>
    </row>
    <row r="41" spans="9:33" ht="15.95" customHeight="1" x14ac:dyDescent="0.2">
      <c r="I41" s="437"/>
      <c r="J41" s="437"/>
      <c r="K41" s="450"/>
      <c r="L41" s="437"/>
      <c r="M41" s="437"/>
      <c r="N41" s="451"/>
      <c r="P41" s="792">
        <f t="shared" si="22"/>
        <v>5</v>
      </c>
      <c r="Q41" s="789">
        <f>RANK(R41,$R$39:$R$41,0)</f>
        <v>1</v>
      </c>
      <c r="R41" s="795">
        <f>T25+U25/100</f>
        <v>0</v>
      </c>
      <c r="S41" s="791">
        <f>R26</f>
        <v>0</v>
      </c>
      <c r="T41" s="517"/>
      <c r="U41" s="787"/>
      <c r="V41" s="789"/>
      <c r="W41" s="789"/>
      <c r="X41" s="789"/>
      <c r="Y41" s="789"/>
      <c r="Z41" s="451"/>
      <c r="AA41" s="450"/>
      <c r="AF41" s="453"/>
      <c r="AG41" s="453"/>
    </row>
    <row r="42" spans="9:33" ht="15.95" customHeight="1" x14ac:dyDescent="0.2">
      <c r="I42" s="437"/>
      <c r="J42" s="437"/>
      <c r="K42" s="450"/>
      <c r="L42" s="437"/>
      <c r="M42" s="437"/>
      <c r="N42" s="451"/>
      <c r="P42" s="450"/>
      <c r="V42" s="450"/>
      <c r="W42" s="450"/>
      <c r="X42" s="450"/>
      <c r="Y42" s="450"/>
      <c r="Z42" s="451"/>
      <c r="AA42" s="450"/>
      <c r="AF42" s="453"/>
      <c r="AG42" s="453"/>
    </row>
    <row r="43" spans="9:33" ht="15.95" customHeight="1" x14ac:dyDescent="0.2">
      <c r="I43" s="437"/>
      <c r="J43" s="437"/>
      <c r="K43" s="447"/>
      <c r="L43" s="441"/>
      <c r="P43" s="450"/>
      <c r="V43" s="450"/>
      <c r="W43" s="450"/>
      <c r="X43" s="450"/>
      <c r="Y43" s="450"/>
      <c r="Z43" s="451"/>
      <c r="AA43" s="450"/>
      <c r="AF43" s="453"/>
      <c r="AG43" s="453"/>
    </row>
    <row r="44" spans="9:33" ht="15.95" customHeight="1" x14ac:dyDescent="0.2">
      <c r="I44" s="437"/>
      <c r="J44" s="437"/>
      <c r="K44" s="450"/>
      <c r="L44" s="450"/>
      <c r="M44" s="450"/>
      <c r="P44" s="450"/>
      <c r="Q44" s="450"/>
      <c r="R44" s="450"/>
      <c r="S44" s="450"/>
      <c r="V44" s="450"/>
      <c r="W44" s="450"/>
      <c r="X44" s="450"/>
      <c r="Y44" s="450"/>
      <c r="Z44" s="451"/>
      <c r="AA44" s="450"/>
      <c r="AF44" s="453"/>
      <c r="AG44" s="453"/>
    </row>
    <row r="45" spans="9:33" ht="15.95" customHeight="1" x14ac:dyDescent="0.2">
      <c r="I45" s="437"/>
      <c r="J45" s="437"/>
      <c r="K45" s="450"/>
      <c r="L45" s="450"/>
      <c r="M45" s="450"/>
      <c r="P45" s="450"/>
      <c r="Q45" s="450"/>
      <c r="R45" s="450"/>
      <c r="S45" s="450"/>
      <c r="V45" s="450"/>
      <c r="W45" s="450"/>
      <c r="X45" s="450"/>
      <c r="Y45" s="450"/>
      <c r="Z45" s="451"/>
      <c r="AA45" s="450"/>
      <c r="AF45" s="453"/>
      <c r="AG45" s="453"/>
    </row>
    <row r="46" spans="9:33" ht="15.95" customHeight="1" x14ac:dyDescent="0.2">
      <c r="I46" s="437"/>
      <c r="J46" s="437"/>
      <c r="K46" s="450"/>
      <c r="L46" s="450"/>
      <c r="M46" s="450"/>
      <c r="P46" s="450"/>
      <c r="Q46" s="450"/>
      <c r="R46" s="450"/>
      <c r="S46" s="450"/>
      <c r="V46" s="450"/>
      <c r="W46" s="450"/>
      <c r="X46" s="450"/>
      <c r="Y46" s="450"/>
      <c r="Z46" s="451"/>
      <c r="AA46" s="450"/>
      <c r="AF46" s="453"/>
      <c r="AG46" s="453"/>
    </row>
    <row r="47" spans="9:33" ht="15.95" customHeight="1" x14ac:dyDescent="0.2">
      <c r="I47" s="437"/>
      <c r="J47" s="437"/>
      <c r="K47" s="523"/>
      <c r="L47" s="523"/>
      <c r="M47" s="523"/>
      <c r="N47" s="523"/>
      <c r="P47" s="450"/>
      <c r="Q47" s="450"/>
      <c r="R47" s="450"/>
      <c r="S47" s="450"/>
      <c r="V47" s="450"/>
      <c r="W47" s="450"/>
      <c r="X47" s="450"/>
      <c r="Y47" s="450"/>
      <c r="Z47" s="451"/>
      <c r="AA47" s="450"/>
      <c r="AF47" s="453"/>
      <c r="AG47" s="453"/>
    </row>
    <row r="48" spans="9:33" ht="15.95" customHeight="1" x14ac:dyDescent="0.2">
      <c r="I48" s="437"/>
      <c r="J48" s="437"/>
      <c r="K48" s="523"/>
      <c r="L48" s="523"/>
      <c r="M48" s="523"/>
      <c r="N48" s="523"/>
      <c r="Q48" s="447"/>
      <c r="R48" s="450"/>
      <c r="S48" s="450"/>
      <c r="T48" s="451"/>
      <c r="U48" s="450"/>
      <c r="V48" s="450"/>
      <c r="W48" s="447"/>
      <c r="X48" s="450"/>
      <c r="Y48" s="450"/>
      <c r="Z48" s="451"/>
      <c r="AA48" s="521"/>
      <c r="AF48" s="453"/>
      <c r="AG48" s="453"/>
    </row>
    <row r="49" spans="9:33" ht="15.95" customHeight="1" x14ac:dyDescent="0.2">
      <c r="I49" s="437"/>
      <c r="J49" s="437"/>
      <c r="K49" s="523"/>
      <c r="L49" s="523"/>
      <c r="M49" s="523"/>
      <c r="N49" s="523"/>
      <c r="Q49" s="447"/>
      <c r="R49" s="450"/>
      <c r="S49" s="450"/>
      <c r="T49" s="451"/>
      <c r="U49" s="450"/>
      <c r="V49" s="450"/>
      <c r="W49" s="447"/>
      <c r="X49" s="450"/>
      <c r="Y49" s="450"/>
      <c r="Z49" s="451"/>
      <c r="AA49" s="521"/>
      <c r="AF49" s="453"/>
      <c r="AG49" s="453"/>
    </row>
    <row r="50" spans="9:33" ht="15.95" customHeight="1" x14ac:dyDescent="0.2">
      <c r="I50" s="437"/>
      <c r="J50" s="437"/>
      <c r="K50" s="523"/>
      <c r="L50" s="523"/>
      <c r="M50" s="523"/>
      <c r="N50" s="523"/>
      <c r="Q50" s="447"/>
      <c r="R50" s="450"/>
      <c r="S50" s="450"/>
      <c r="T50" s="451"/>
      <c r="U50" s="450"/>
      <c r="V50" s="450"/>
      <c r="W50" s="447"/>
      <c r="X50" s="450"/>
      <c r="Y50" s="450"/>
      <c r="Z50" s="451"/>
      <c r="AA50" s="521"/>
    </row>
    <row r="51" spans="9:33" ht="15.95" customHeight="1" x14ac:dyDescent="0.2">
      <c r="I51" s="437"/>
      <c r="J51" s="437"/>
      <c r="K51" s="523"/>
      <c r="L51" s="523"/>
      <c r="M51" s="523"/>
      <c r="N51" s="523"/>
      <c r="Q51" s="447"/>
      <c r="R51" s="450"/>
      <c r="S51" s="450"/>
      <c r="T51" s="451"/>
      <c r="U51" s="450"/>
      <c r="V51" s="450"/>
      <c r="W51" s="447"/>
      <c r="X51" s="450"/>
      <c r="Y51" s="450"/>
      <c r="Z51" s="451"/>
      <c r="AA51" s="450"/>
    </row>
    <row r="52" spans="9:33" ht="15.95" customHeight="1" x14ac:dyDescent="0.2">
      <c r="I52" s="437"/>
      <c r="J52" s="437"/>
      <c r="K52" s="523"/>
      <c r="L52" s="523"/>
      <c r="M52" s="523"/>
      <c r="N52" s="523"/>
      <c r="Q52" s="447"/>
      <c r="R52" s="450"/>
      <c r="S52" s="450"/>
      <c r="T52" s="451"/>
      <c r="U52" s="450"/>
      <c r="V52" s="450"/>
      <c r="W52" s="447"/>
      <c r="X52" s="450"/>
      <c r="Y52" s="450"/>
      <c r="Z52" s="451"/>
      <c r="AA52" s="450"/>
    </row>
    <row r="53" spans="9:33" ht="15.95" customHeight="1" x14ac:dyDescent="0.2">
      <c r="I53" s="437"/>
      <c r="J53" s="437"/>
      <c r="K53" s="523"/>
      <c r="L53" s="523"/>
      <c r="M53" s="523"/>
      <c r="N53" s="523"/>
      <c r="Q53" s="447"/>
      <c r="R53" s="450"/>
      <c r="S53" s="450"/>
      <c r="T53" s="451"/>
      <c r="U53" s="450"/>
      <c r="V53" s="450"/>
      <c r="W53" s="447"/>
      <c r="X53" s="450"/>
      <c r="Y53" s="450"/>
      <c r="Z53" s="451"/>
      <c r="AA53" s="450"/>
    </row>
    <row r="54" spans="9:33" ht="15.95" customHeight="1" x14ac:dyDescent="0.2">
      <c r="I54" s="437"/>
      <c r="J54" s="437"/>
      <c r="K54" s="523"/>
      <c r="L54" s="523"/>
      <c r="M54" s="523"/>
      <c r="N54" s="523"/>
      <c r="P54" s="450"/>
      <c r="Q54" s="450"/>
      <c r="R54" s="437"/>
      <c r="S54" s="437"/>
      <c r="T54" s="451"/>
      <c r="U54" s="450"/>
      <c r="V54" s="450"/>
      <c r="W54" s="450"/>
      <c r="X54" s="516"/>
      <c r="Y54" s="457"/>
      <c r="Z54" s="457"/>
      <c r="AA54" s="450"/>
    </row>
    <row r="55" spans="9:33" ht="15.95" customHeight="1" x14ac:dyDescent="0.2">
      <c r="I55" s="437"/>
      <c r="J55" s="437"/>
      <c r="K55" s="523"/>
      <c r="L55" s="523"/>
      <c r="M55" s="523"/>
      <c r="N55" s="523"/>
      <c r="Q55" s="450"/>
      <c r="R55" s="437"/>
      <c r="S55" s="437"/>
      <c r="T55" s="451"/>
      <c r="U55" s="450"/>
      <c r="V55" s="450"/>
      <c r="W55" s="450"/>
      <c r="X55" s="516"/>
      <c r="Y55" s="457"/>
      <c r="Z55" s="457"/>
      <c r="AA55" s="450"/>
    </row>
    <row r="56" spans="9:33" ht="15.95" customHeight="1" x14ac:dyDescent="0.2">
      <c r="I56" s="437"/>
      <c r="J56" s="437"/>
      <c r="K56" s="523"/>
      <c r="L56" s="523"/>
      <c r="M56" s="523"/>
      <c r="N56" s="523"/>
      <c r="Q56" s="450"/>
      <c r="R56" s="437"/>
      <c r="S56" s="437"/>
      <c r="T56" s="451"/>
      <c r="U56" s="450"/>
      <c r="V56" s="450"/>
      <c r="W56" s="450"/>
      <c r="X56" s="516"/>
      <c r="Y56" s="457"/>
      <c r="Z56" s="457"/>
      <c r="AA56" s="450"/>
    </row>
    <row r="57" spans="9:33" ht="15.95" customHeight="1" x14ac:dyDescent="0.2">
      <c r="I57" s="437"/>
      <c r="J57" s="437"/>
      <c r="K57" s="523"/>
      <c r="L57" s="523"/>
      <c r="M57" s="523"/>
      <c r="N57" s="523"/>
      <c r="Q57" s="450"/>
      <c r="R57" s="437"/>
      <c r="S57" s="437"/>
      <c r="T57" s="451"/>
      <c r="U57" s="450"/>
      <c r="V57" s="450"/>
      <c r="W57" s="450"/>
      <c r="X57" s="516"/>
      <c r="Y57" s="457"/>
      <c r="Z57" s="457"/>
      <c r="AA57" s="450"/>
    </row>
    <row r="58" spans="9:33" ht="15.95" customHeight="1" x14ac:dyDescent="0.2">
      <c r="I58" s="437"/>
      <c r="J58" s="437"/>
      <c r="K58" s="523"/>
      <c r="L58" s="523"/>
      <c r="M58" s="523"/>
      <c r="N58" s="523"/>
      <c r="Q58" s="450"/>
      <c r="R58" s="437"/>
      <c r="S58" s="437"/>
      <c r="T58" s="451"/>
      <c r="U58" s="450"/>
      <c r="V58" s="450"/>
      <c r="W58" s="450"/>
      <c r="X58" s="516"/>
      <c r="Y58" s="457"/>
      <c r="Z58" s="457"/>
      <c r="AA58" s="450"/>
    </row>
    <row r="59" spans="9:33" ht="15.95" customHeight="1" x14ac:dyDescent="0.2">
      <c r="I59" s="437"/>
      <c r="J59" s="437"/>
      <c r="K59" s="523"/>
      <c r="L59" s="523"/>
      <c r="M59" s="523"/>
      <c r="N59" s="523"/>
      <c r="Q59" s="450"/>
      <c r="R59" s="437"/>
      <c r="S59" s="437"/>
      <c r="T59" s="451"/>
      <c r="U59" s="450"/>
      <c r="V59" s="450"/>
      <c r="W59" s="450"/>
      <c r="X59" s="516"/>
      <c r="Y59" s="457"/>
      <c r="Z59" s="457"/>
      <c r="AA59" s="450"/>
    </row>
    <row r="60" spans="9:33" ht="15.95" customHeight="1" x14ac:dyDescent="0.2">
      <c r="I60" s="437"/>
      <c r="J60" s="437"/>
      <c r="K60" s="437"/>
      <c r="L60" s="437"/>
      <c r="M60" s="437"/>
      <c r="N60" s="437"/>
      <c r="Q60" s="447"/>
      <c r="X60" s="441"/>
      <c r="Y60" s="441"/>
      <c r="Z60" s="441"/>
    </row>
    <row r="61" spans="9:33" ht="15.95" customHeight="1" x14ac:dyDescent="0.2">
      <c r="I61" s="437"/>
      <c r="J61" s="437"/>
      <c r="K61" s="437"/>
      <c r="L61" s="437"/>
      <c r="M61" s="437"/>
      <c r="N61" s="437"/>
      <c r="O61" s="521"/>
      <c r="T61" s="441"/>
      <c r="X61" s="441"/>
      <c r="Y61" s="441"/>
      <c r="Z61" s="441"/>
    </row>
    <row r="62" spans="9:33" ht="15.95" customHeight="1" x14ac:dyDescent="0.2">
      <c r="I62" s="437"/>
      <c r="J62" s="437"/>
      <c r="K62" s="437"/>
      <c r="L62" s="437"/>
      <c r="M62" s="437"/>
      <c r="N62" s="437"/>
      <c r="O62" s="521"/>
      <c r="T62" s="441"/>
      <c r="X62" s="441"/>
      <c r="Y62" s="441"/>
      <c r="Z62" s="441"/>
    </row>
    <row r="63" spans="9:33" ht="15.95" customHeight="1" x14ac:dyDescent="0.2">
      <c r="I63" s="437"/>
      <c r="J63" s="437"/>
      <c r="K63" s="437"/>
      <c r="L63" s="437"/>
      <c r="M63" s="437"/>
      <c r="N63" s="437"/>
      <c r="O63" s="521"/>
      <c r="T63" s="441"/>
      <c r="X63" s="441"/>
      <c r="Y63" s="441"/>
      <c r="Z63" s="441"/>
    </row>
    <row r="64" spans="9:33" ht="15.95" customHeight="1" x14ac:dyDescent="0.2">
      <c r="I64" s="437"/>
      <c r="J64" s="437"/>
      <c r="K64" s="437"/>
      <c r="L64" s="437"/>
      <c r="M64" s="437"/>
      <c r="N64" s="437"/>
      <c r="O64" s="437"/>
      <c r="T64" s="441"/>
      <c r="X64" s="441"/>
      <c r="Y64" s="441"/>
      <c r="Z64" s="441"/>
    </row>
    <row r="65" spans="9:36" ht="15.95" customHeight="1" x14ac:dyDescent="0.2">
      <c r="I65" s="437"/>
      <c r="J65" s="437"/>
      <c r="K65" s="437"/>
      <c r="L65" s="437"/>
      <c r="M65" s="437"/>
      <c r="N65" s="437"/>
      <c r="O65" s="437"/>
      <c r="P65" s="437"/>
      <c r="Q65" s="437"/>
      <c r="R65" s="437"/>
      <c r="S65" s="437"/>
      <c r="T65" s="437"/>
      <c r="U65" s="437"/>
      <c r="V65" s="437"/>
      <c r="W65" s="437"/>
      <c r="X65" s="437"/>
      <c r="Y65" s="437"/>
      <c r="Z65" s="437"/>
      <c r="AA65" s="437"/>
      <c r="AH65" s="441"/>
      <c r="AI65" s="441"/>
      <c r="AJ65" s="447"/>
    </row>
    <row r="66" spans="9:36" ht="15.95" customHeight="1" x14ac:dyDescent="0.2">
      <c r="I66" s="437"/>
      <c r="J66" s="437"/>
      <c r="K66" s="437"/>
      <c r="L66" s="437"/>
      <c r="M66" s="437"/>
      <c r="N66" s="437"/>
      <c r="O66" s="437"/>
      <c r="P66" s="437"/>
      <c r="Q66" s="437"/>
      <c r="R66" s="437"/>
      <c r="S66" s="437"/>
      <c r="T66" s="437"/>
      <c r="U66" s="437"/>
      <c r="V66" s="437"/>
      <c r="W66" s="437"/>
      <c r="X66" s="437"/>
      <c r="Y66" s="437"/>
      <c r="Z66" s="437"/>
      <c r="AA66" s="437"/>
      <c r="AH66" s="441"/>
      <c r="AI66" s="441"/>
      <c r="AJ66" s="447"/>
    </row>
    <row r="67" spans="9:36" ht="15.95" customHeight="1" x14ac:dyDescent="0.2">
      <c r="I67" s="437"/>
      <c r="J67" s="437"/>
      <c r="K67" s="450"/>
      <c r="L67" s="450"/>
      <c r="M67" s="450"/>
      <c r="N67" s="521"/>
      <c r="O67" s="521"/>
      <c r="P67" s="437"/>
      <c r="Q67" s="437"/>
      <c r="R67" s="437"/>
      <c r="S67" s="437"/>
      <c r="T67" s="437"/>
      <c r="U67" s="437"/>
      <c r="V67" s="437"/>
      <c r="W67" s="437"/>
      <c r="X67" s="437"/>
      <c r="Y67" s="437"/>
      <c r="Z67" s="437"/>
      <c r="AA67" s="437"/>
      <c r="AH67" s="441"/>
      <c r="AI67" s="441"/>
      <c r="AJ67" s="441"/>
    </row>
    <row r="68" spans="9:36" ht="15.95" customHeight="1" x14ac:dyDescent="0.2">
      <c r="I68" s="437"/>
      <c r="J68" s="437"/>
      <c r="K68" s="450"/>
      <c r="L68" s="450"/>
      <c r="M68" s="450"/>
      <c r="N68" s="521"/>
      <c r="O68" s="521"/>
      <c r="P68" s="450"/>
      <c r="Q68" s="450"/>
      <c r="R68" s="437"/>
      <c r="S68" s="437"/>
      <c r="T68" s="451"/>
      <c r="U68" s="450"/>
      <c r="W68" s="450"/>
      <c r="X68" s="516"/>
      <c r="Y68" s="457"/>
      <c r="Z68" s="457"/>
      <c r="AA68" s="450"/>
      <c r="AH68" s="441"/>
      <c r="AI68" s="441"/>
      <c r="AJ68" s="441"/>
    </row>
    <row r="69" spans="9:36" ht="15.95" customHeight="1" x14ac:dyDescent="0.2">
      <c r="I69" s="437"/>
      <c r="J69" s="437"/>
      <c r="K69" s="450"/>
      <c r="L69" s="450"/>
      <c r="M69" s="450"/>
      <c r="N69" s="521"/>
      <c r="O69" s="521"/>
      <c r="P69" s="450"/>
      <c r="Q69" s="450"/>
      <c r="R69" s="437"/>
      <c r="S69" s="437"/>
      <c r="T69" s="451"/>
      <c r="U69" s="450"/>
      <c r="W69" s="450"/>
      <c r="X69" s="516"/>
      <c r="Y69" s="457"/>
      <c r="Z69" s="457"/>
      <c r="AA69" s="450"/>
      <c r="AH69" s="441"/>
      <c r="AI69" s="441"/>
      <c r="AJ69" s="450"/>
    </row>
    <row r="70" spans="9:36" ht="15.95" customHeight="1" x14ac:dyDescent="0.2">
      <c r="I70" s="437"/>
      <c r="J70" s="437"/>
      <c r="K70" s="450"/>
      <c r="L70" s="450"/>
      <c r="M70" s="450"/>
      <c r="N70" s="521"/>
      <c r="O70" s="521"/>
      <c r="P70" s="450"/>
      <c r="Q70" s="450"/>
      <c r="R70" s="437"/>
      <c r="S70" s="437"/>
      <c r="T70" s="451"/>
      <c r="U70" s="450"/>
      <c r="W70" s="450"/>
      <c r="X70" s="516"/>
      <c r="Y70" s="457"/>
      <c r="Z70" s="457"/>
      <c r="AA70" s="450"/>
      <c r="AH70" s="441"/>
      <c r="AI70" s="441"/>
      <c r="AJ70" s="450"/>
    </row>
    <row r="71" spans="9:36" ht="15.95" customHeight="1" x14ac:dyDescent="0.2">
      <c r="I71" s="437"/>
      <c r="J71" s="437"/>
      <c r="K71" s="450"/>
      <c r="L71" s="450"/>
      <c r="M71" s="450"/>
      <c r="N71" s="521"/>
      <c r="O71" s="521"/>
      <c r="P71" s="450"/>
      <c r="Q71" s="450"/>
      <c r="R71" s="437"/>
      <c r="S71" s="437"/>
      <c r="T71" s="451"/>
      <c r="U71" s="450"/>
      <c r="W71" s="450"/>
      <c r="X71" s="516"/>
      <c r="Y71" s="457"/>
      <c r="Z71" s="457"/>
      <c r="AA71" s="450"/>
      <c r="AH71" s="441"/>
      <c r="AI71" s="441"/>
      <c r="AJ71" s="445"/>
    </row>
    <row r="72" spans="9:36" ht="15.95" customHeight="1" x14ac:dyDescent="0.2">
      <c r="I72" s="437"/>
      <c r="J72" s="437"/>
      <c r="K72" s="450"/>
      <c r="L72" s="450"/>
      <c r="M72" s="450"/>
      <c r="N72" s="521"/>
      <c r="O72" s="521"/>
      <c r="P72" s="450"/>
      <c r="Q72" s="450"/>
      <c r="R72" s="437"/>
      <c r="S72" s="437"/>
      <c r="T72" s="451"/>
      <c r="U72" s="450"/>
      <c r="W72" s="450"/>
      <c r="X72" s="516"/>
      <c r="Y72" s="457"/>
      <c r="Z72" s="457"/>
      <c r="AA72" s="450"/>
      <c r="AH72" s="441"/>
      <c r="AI72" s="441"/>
      <c r="AJ72" s="447"/>
    </row>
    <row r="73" spans="9:36" ht="15.95" customHeight="1" x14ac:dyDescent="0.2">
      <c r="I73" s="437"/>
      <c r="J73" s="437"/>
      <c r="K73" s="450"/>
      <c r="L73" s="450"/>
      <c r="M73" s="450"/>
      <c r="N73" s="521"/>
      <c r="O73" s="521"/>
      <c r="P73" s="450"/>
      <c r="Q73" s="450"/>
      <c r="R73" s="437"/>
      <c r="S73" s="437"/>
      <c r="T73" s="451"/>
      <c r="U73" s="450"/>
      <c r="W73" s="450"/>
      <c r="X73" s="516"/>
      <c r="Y73" s="457"/>
      <c r="Z73" s="457"/>
      <c r="AA73" s="450"/>
      <c r="AH73" s="441"/>
      <c r="AI73" s="441"/>
      <c r="AJ73" s="447"/>
    </row>
    <row r="74" spans="9:36" ht="15.95" customHeight="1" x14ac:dyDescent="0.2">
      <c r="I74" s="437"/>
      <c r="J74" s="437"/>
      <c r="K74" s="450"/>
      <c r="L74" s="450"/>
      <c r="M74" s="450"/>
      <c r="N74" s="521"/>
      <c r="O74" s="521"/>
      <c r="P74" s="450"/>
      <c r="Q74" s="450"/>
      <c r="R74" s="437"/>
      <c r="S74" s="437"/>
      <c r="T74" s="451"/>
      <c r="U74" s="450"/>
      <c r="W74" s="450"/>
      <c r="X74" s="516"/>
      <c r="Y74" s="457"/>
      <c r="Z74" s="457"/>
      <c r="AA74" s="450"/>
      <c r="AH74" s="441"/>
      <c r="AI74" s="441"/>
      <c r="AJ74" s="450"/>
    </row>
    <row r="75" spans="9:36" ht="15.95" customHeight="1" x14ac:dyDescent="0.2">
      <c r="I75" s="437"/>
      <c r="J75" s="437"/>
      <c r="K75" s="450"/>
      <c r="L75" s="450"/>
      <c r="M75" s="450"/>
      <c r="N75" s="521"/>
      <c r="O75" s="521"/>
      <c r="P75" s="450"/>
      <c r="Q75" s="450"/>
      <c r="R75" s="437"/>
      <c r="S75" s="437"/>
      <c r="T75" s="451"/>
      <c r="U75" s="450"/>
      <c r="W75" s="450"/>
      <c r="X75" s="516"/>
      <c r="Y75" s="457"/>
      <c r="Z75" s="457"/>
      <c r="AA75" s="450"/>
      <c r="AH75" s="441"/>
      <c r="AI75" s="441"/>
      <c r="AJ75" s="450"/>
    </row>
    <row r="76" spans="9:36" ht="15.95" customHeight="1" x14ac:dyDescent="0.2">
      <c r="I76" s="437"/>
      <c r="J76" s="437"/>
      <c r="K76" s="447"/>
      <c r="L76" s="450"/>
      <c r="M76" s="450"/>
      <c r="N76" s="521"/>
      <c r="O76" s="521"/>
      <c r="P76" s="450"/>
      <c r="Q76" s="450"/>
      <c r="R76" s="437"/>
      <c r="S76" s="437"/>
      <c r="T76" s="451"/>
      <c r="U76" s="450"/>
      <c r="W76" s="450"/>
      <c r="X76" s="516"/>
      <c r="Y76" s="457"/>
      <c r="Z76" s="457"/>
      <c r="AA76" s="450"/>
      <c r="AH76" s="441"/>
      <c r="AI76" s="441"/>
      <c r="AJ76" s="450"/>
    </row>
    <row r="77" spans="9:36" ht="15.95" customHeight="1" x14ac:dyDescent="0.2">
      <c r="I77" s="437"/>
      <c r="J77" s="437"/>
      <c r="K77" s="447"/>
      <c r="L77" s="450"/>
      <c r="M77" s="450"/>
      <c r="N77" s="521"/>
      <c r="O77" s="521"/>
      <c r="P77" s="450"/>
      <c r="Q77" s="450"/>
      <c r="R77" s="450"/>
      <c r="S77" s="450"/>
      <c r="T77" s="451"/>
      <c r="U77" s="450"/>
      <c r="W77" s="450"/>
      <c r="X77" s="450"/>
      <c r="Y77" s="450"/>
      <c r="Z77" s="451"/>
      <c r="AA77" s="450"/>
      <c r="AH77" s="441"/>
      <c r="AI77" s="441"/>
      <c r="AJ77" s="450"/>
    </row>
    <row r="78" spans="9:36" ht="15.95" customHeight="1" x14ac:dyDescent="0.2">
      <c r="I78" s="437"/>
      <c r="J78" s="437"/>
      <c r="K78" s="447"/>
      <c r="L78" s="450"/>
      <c r="M78" s="450"/>
      <c r="N78" s="521"/>
      <c r="O78" s="521"/>
      <c r="P78" s="450"/>
      <c r="Q78" s="450"/>
      <c r="R78" s="450"/>
      <c r="S78" s="450"/>
      <c r="T78" s="451"/>
      <c r="U78" s="450"/>
      <c r="W78" s="450"/>
      <c r="X78" s="450"/>
      <c r="Y78" s="450"/>
      <c r="Z78" s="451"/>
      <c r="AA78" s="450"/>
      <c r="AH78" s="441"/>
      <c r="AI78" s="441"/>
      <c r="AJ78" s="445"/>
    </row>
    <row r="79" spans="9:36" ht="15.95" customHeight="1" x14ac:dyDescent="0.2">
      <c r="I79" s="437"/>
      <c r="J79" s="437"/>
      <c r="K79" s="447"/>
      <c r="L79" s="450"/>
      <c r="M79" s="450"/>
      <c r="N79" s="521"/>
      <c r="O79" s="521"/>
      <c r="P79" s="450"/>
      <c r="Q79" s="450"/>
      <c r="R79" s="450"/>
      <c r="S79" s="450"/>
      <c r="T79" s="451"/>
      <c r="U79" s="450"/>
      <c r="W79" s="450"/>
      <c r="X79" s="450"/>
      <c r="Y79" s="450"/>
      <c r="Z79" s="451"/>
      <c r="AA79" s="450"/>
      <c r="AH79" s="441"/>
      <c r="AI79" s="441"/>
      <c r="AJ79" s="447"/>
    </row>
    <row r="80" spans="9:36" ht="15.95" customHeight="1" x14ac:dyDescent="0.2">
      <c r="I80" s="437"/>
      <c r="J80" s="437"/>
      <c r="K80" s="447"/>
      <c r="L80" s="450"/>
      <c r="M80" s="450"/>
      <c r="N80" s="521"/>
      <c r="O80" s="521"/>
      <c r="P80" s="450"/>
      <c r="Q80" s="450"/>
      <c r="R80" s="450"/>
      <c r="S80" s="450"/>
      <c r="T80" s="451"/>
      <c r="U80" s="450"/>
      <c r="W80" s="450"/>
      <c r="X80" s="450"/>
      <c r="Y80" s="450"/>
      <c r="Z80" s="451"/>
      <c r="AA80" s="450"/>
      <c r="AH80" s="441"/>
      <c r="AI80" s="441"/>
      <c r="AJ80" s="447"/>
    </row>
    <row r="81" spans="9:36" ht="15.95" customHeight="1" x14ac:dyDescent="0.2">
      <c r="I81" s="437"/>
      <c r="J81" s="437"/>
      <c r="K81" s="450"/>
      <c r="L81" s="450"/>
      <c r="M81" s="450"/>
      <c r="N81" s="521"/>
      <c r="O81" s="521"/>
      <c r="P81" s="450"/>
      <c r="Q81" s="450"/>
      <c r="R81" s="450"/>
      <c r="S81" s="450"/>
      <c r="T81" s="451"/>
      <c r="U81" s="450"/>
      <c r="W81" s="450"/>
      <c r="X81" s="450"/>
      <c r="Y81" s="450"/>
      <c r="Z81" s="451"/>
      <c r="AA81" s="450"/>
      <c r="AH81" s="441"/>
      <c r="AI81" s="441"/>
      <c r="AJ81" s="447"/>
    </row>
    <row r="82" spans="9:36" ht="15.95" customHeight="1" x14ac:dyDescent="0.2">
      <c r="I82" s="437"/>
      <c r="J82" s="437"/>
      <c r="K82" s="445"/>
      <c r="L82" s="450"/>
      <c r="M82" s="450"/>
      <c r="N82" s="521"/>
      <c r="O82" s="521"/>
      <c r="P82" s="450"/>
      <c r="Q82" s="450"/>
      <c r="R82" s="450"/>
      <c r="S82" s="450"/>
      <c r="T82" s="451"/>
      <c r="U82" s="450"/>
      <c r="W82" s="450"/>
      <c r="X82" s="450"/>
      <c r="Y82" s="450"/>
      <c r="Z82" s="451"/>
      <c r="AA82" s="450"/>
      <c r="AH82" s="441"/>
      <c r="AI82" s="441"/>
      <c r="AJ82" s="450"/>
    </row>
    <row r="83" spans="9:36" ht="15.95" customHeight="1" x14ac:dyDescent="0.2">
      <c r="I83" s="437"/>
      <c r="J83" s="437"/>
      <c r="K83" s="447"/>
      <c r="L83" s="450"/>
      <c r="M83" s="450"/>
      <c r="N83" s="521"/>
      <c r="O83" s="521"/>
      <c r="P83" s="450"/>
      <c r="Q83" s="450"/>
      <c r="R83" s="450"/>
      <c r="S83" s="450"/>
      <c r="T83" s="451"/>
      <c r="U83" s="450"/>
      <c r="W83" s="450"/>
      <c r="X83" s="450"/>
      <c r="Y83" s="450"/>
      <c r="Z83" s="451"/>
      <c r="AA83" s="450"/>
      <c r="AH83" s="441"/>
      <c r="AI83" s="441"/>
      <c r="AJ83" s="445"/>
    </row>
    <row r="84" spans="9:36" ht="15.95" customHeight="1" x14ac:dyDescent="0.2">
      <c r="I84" s="437"/>
      <c r="J84" s="437"/>
      <c r="K84" s="447"/>
      <c r="L84" s="450"/>
      <c r="M84" s="450"/>
      <c r="N84" s="521"/>
      <c r="O84" s="521"/>
      <c r="P84" s="450"/>
      <c r="Q84" s="450"/>
      <c r="R84" s="450"/>
      <c r="S84" s="450"/>
      <c r="T84" s="451"/>
      <c r="U84" s="450"/>
      <c r="W84" s="450"/>
      <c r="X84" s="450"/>
      <c r="Y84" s="450"/>
      <c r="Z84" s="451"/>
      <c r="AA84" s="450"/>
      <c r="AH84" s="441"/>
      <c r="AI84" s="441"/>
      <c r="AJ84" s="447"/>
    </row>
    <row r="85" spans="9:36" ht="15.95" customHeight="1" x14ac:dyDescent="0.2">
      <c r="I85" s="437"/>
      <c r="J85" s="437"/>
      <c r="K85" s="447"/>
      <c r="L85" s="450"/>
      <c r="M85" s="450"/>
      <c r="N85" s="521"/>
      <c r="O85" s="521"/>
      <c r="P85" s="450"/>
      <c r="Q85" s="450"/>
      <c r="R85" s="450"/>
      <c r="S85" s="450"/>
      <c r="T85" s="451"/>
      <c r="U85" s="450"/>
      <c r="W85" s="450"/>
      <c r="X85" s="450"/>
      <c r="Y85" s="450"/>
      <c r="Z85" s="451"/>
      <c r="AA85" s="450"/>
      <c r="AH85" s="441"/>
      <c r="AI85" s="441"/>
      <c r="AJ85" s="447"/>
    </row>
    <row r="86" spans="9:36" ht="15.95" customHeight="1" x14ac:dyDescent="0.2">
      <c r="K86" s="447"/>
      <c r="L86" s="450"/>
      <c r="M86" s="450"/>
      <c r="N86" s="521"/>
      <c r="O86" s="521"/>
      <c r="P86" s="450"/>
      <c r="Q86" s="450"/>
      <c r="R86" s="450"/>
      <c r="S86" s="450"/>
      <c r="T86" s="451"/>
      <c r="U86" s="450"/>
      <c r="W86" s="450"/>
      <c r="X86" s="450"/>
      <c r="Y86" s="450"/>
      <c r="Z86" s="451"/>
      <c r="AA86" s="450"/>
      <c r="AH86" s="441"/>
      <c r="AI86" s="441"/>
      <c r="AJ86" s="441"/>
    </row>
    <row r="87" spans="9:36" ht="15.95" customHeight="1" x14ac:dyDescent="0.2">
      <c r="L87" s="450"/>
      <c r="M87" s="450"/>
      <c r="N87" s="521"/>
      <c r="O87" s="521"/>
      <c r="P87" s="450"/>
      <c r="Q87" s="450"/>
      <c r="R87" s="450"/>
      <c r="S87" s="450"/>
      <c r="T87" s="451"/>
      <c r="U87" s="450"/>
      <c r="W87" s="450"/>
      <c r="X87" s="450"/>
      <c r="Y87" s="450"/>
      <c r="Z87" s="451"/>
      <c r="AA87" s="450"/>
      <c r="AH87" s="441"/>
      <c r="AI87" s="441"/>
      <c r="AJ87" s="441"/>
    </row>
    <row r="88" spans="9:36" ht="15.95" customHeight="1" x14ac:dyDescent="0.2">
      <c r="K88" s="435"/>
      <c r="L88" s="450"/>
      <c r="M88" s="450"/>
      <c r="N88" s="521"/>
      <c r="O88" s="521"/>
      <c r="P88" s="450"/>
      <c r="Q88" s="450"/>
      <c r="R88" s="450"/>
      <c r="S88" s="450"/>
      <c r="T88" s="451"/>
      <c r="U88" s="450"/>
      <c r="W88" s="450"/>
      <c r="X88" s="450"/>
      <c r="Y88" s="450"/>
      <c r="Z88" s="451"/>
      <c r="AA88" s="450"/>
    </row>
    <row r="89" spans="9:36" ht="15.95" customHeight="1" x14ac:dyDescent="0.2">
      <c r="K89" s="435"/>
      <c r="P89" s="450"/>
      <c r="Q89" s="450"/>
      <c r="R89" s="450"/>
      <c r="S89" s="450"/>
      <c r="T89" s="451"/>
      <c r="U89" s="450"/>
      <c r="W89" s="450"/>
      <c r="X89" s="450"/>
      <c r="Y89" s="450"/>
      <c r="Z89" s="451"/>
      <c r="AA89" s="450"/>
    </row>
    <row r="90" spans="9:36" ht="15.95" customHeight="1" x14ac:dyDescent="0.2">
      <c r="K90" s="435"/>
      <c r="R90" s="450"/>
      <c r="S90" s="450"/>
      <c r="T90" s="451"/>
      <c r="U90" s="450"/>
      <c r="W90" s="450"/>
      <c r="X90" s="450"/>
      <c r="Y90" s="450"/>
      <c r="Z90" s="451"/>
    </row>
    <row r="91" spans="9:36" ht="15.95" customHeight="1" x14ac:dyDescent="0.2">
      <c r="K91" s="435"/>
    </row>
    <row r="92" spans="9:36" ht="15.95" customHeight="1" x14ac:dyDescent="0.2">
      <c r="K92" s="435"/>
    </row>
    <row r="93" spans="9:36" ht="15.95" customHeight="1" x14ac:dyDescent="0.2">
      <c r="K93" s="435"/>
    </row>
    <row r="94" spans="9:36" ht="15.95" customHeight="1" x14ac:dyDescent="0.2">
      <c r="K94" s="435"/>
    </row>
    <row r="95" spans="9:36" ht="15.95" customHeight="1" x14ac:dyDescent="0.2">
      <c r="K95" s="435"/>
      <c r="S95" s="450"/>
    </row>
    <row r="96" spans="9:36" ht="15.95" customHeight="1" x14ac:dyDescent="0.2">
      <c r="S96" s="450"/>
    </row>
    <row r="97" ht="15.95" customHeight="1" x14ac:dyDescent="0.2"/>
    <row r="98" ht="15.95" customHeight="1" x14ac:dyDescent="0.2"/>
    <row r="99" ht="15.95" customHeight="1" x14ac:dyDescent="0.2"/>
    <row r="100" ht="15.95" customHeight="1" x14ac:dyDescent="0.2"/>
    <row r="101" ht="15.95" customHeight="1" x14ac:dyDescent="0.2"/>
    <row r="102" ht="15.95" customHeight="1" x14ac:dyDescent="0.2"/>
    <row r="103" ht="15.95" customHeight="1" x14ac:dyDescent="0.2"/>
    <row r="104" ht="15.95" customHeight="1" x14ac:dyDescent="0.2"/>
    <row r="105" ht="15.95" customHeight="1" x14ac:dyDescent="0.2"/>
    <row r="106" ht="15.95" customHeight="1" x14ac:dyDescent="0.2"/>
    <row r="107" ht="15.95" customHeight="1" x14ac:dyDescent="0.2"/>
    <row r="108" ht="15.95" customHeight="1" x14ac:dyDescent="0.2"/>
    <row r="109" ht="15.95" customHeight="1" x14ac:dyDescent="0.2"/>
    <row r="110" ht="15.95" customHeight="1" x14ac:dyDescent="0.2"/>
    <row r="111" ht="15.95" customHeight="1" x14ac:dyDescent="0.2"/>
    <row r="112" ht="15.95" customHeight="1" x14ac:dyDescent="0.2"/>
    <row r="113" ht="15.95" customHeight="1" x14ac:dyDescent="0.2"/>
    <row r="114" ht="15.95" customHeight="1" x14ac:dyDescent="0.2"/>
    <row r="115" ht="15.95" customHeight="1" x14ac:dyDescent="0.2"/>
    <row r="116" ht="15.95" customHeight="1" x14ac:dyDescent="0.2"/>
    <row r="117" ht="15.95" customHeight="1" x14ac:dyDescent="0.2"/>
    <row r="118" ht="15.95" customHeight="1" x14ac:dyDescent="0.2"/>
    <row r="119" ht="15.95" customHeight="1" x14ac:dyDescent="0.2"/>
    <row r="120" ht="15.95" customHeight="1" x14ac:dyDescent="0.2"/>
    <row r="121" ht="15.95" customHeight="1" x14ac:dyDescent="0.2"/>
    <row r="122" ht="15.95" customHeight="1" x14ac:dyDescent="0.2"/>
    <row r="123" ht="15.95" customHeight="1" x14ac:dyDescent="0.2"/>
    <row r="124" ht="15.95" customHeight="1" x14ac:dyDescent="0.2"/>
    <row r="125" ht="15.95" customHeight="1" x14ac:dyDescent="0.2"/>
    <row r="126" ht="15.95" customHeight="1" x14ac:dyDescent="0.2"/>
    <row r="127" ht="15.95" customHeight="1" x14ac:dyDescent="0.2"/>
    <row r="128" ht="15.95" customHeight="1" x14ac:dyDescent="0.2"/>
    <row r="129" ht="15.95" customHeight="1" x14ac:dyDescent="0.2"/>
    <row r="130" ht="15.95" customHeight="1" x14ac:dyDescent="0.2"/>
    <row r="131" ht="15.95" customHeight="1" x14ac:dyDescent="0.2"/>
    <row r="132" ht="15.95" customHeight="1" x14ac:dyDescent="0.2"/>
    <row r="133" ht="15.95" customHeight="1" x14ac:dyDescent="0.2"/>
    <row r="134" ht="15.95" customHeight="1" x14ac:dyDescent="0.2"/>
    <row r="135" ht="15.95" customHeight="1" x14ac:dyDescent="0.2"/>
    <row r="136" ht="15.95" customHeight="1" x14ac:dyDescent="0.2"/>
    <row r="137" ht="15.95" customHeight="1" x14ac:dyDescent="0.2"/>
    <row r="138" ht="15.95" customHeight="1" x14ac:dyDescent="0.2"/>
    <row r="139" ht="15.95" customHeight="1" x14ac:dyDescent="0.2"/>
    <row r="140" ht="15.95" customHeight="1" x14ac:dyDescent="0.2"/>
    <row r="141" ht="15.95" customHeight="1" x14ac:dyDescent="0.2"/>
    <row r="142" ht="15.95" customHeight="1" x14ac:dyDescent="0.2"/>
    <row r="143" ht="15.95" customHeight="1" x14ac:dyDescent="0.2"/>
    <row r="144" ht="15.95" customHeight="1" x14ac:dyDescent="0.2"/>
    <row r="145" ht="15.95" customHeight="1" x14ac:dyDescent="0.2"/>
    <row r="146" ht="15.95" customHeight="1" x14ac:dyDescent="0.2"/>
    <row r="147" ht="15.95" customHeight="1" x14ac:dyDescent="0.2"/>
    <row r="148" ht="15.95" customHeight="1" x14ac:dyDescent="0.2"/>
  </sheetData>
  <sheetProtection selectLockedCells="1"/>
  <mergeCells count="45">
    <mergeCell ref="T35:T36"/>
    <mergeCell ref="N35:N36"/>
    <mergeCell ref="Z7:Z8"/>
    <mergeCell ref="N9:N10"/>
    <mergeCell ref="T9:T10"/>
    <mergeCell ref="Z9:Z10"/>
    <mergeCell ref="T30:T31"/>
    <mergeCell ref="T28:T29"/>
    <mergeCell ref="X12:Z12"/>
    <mergeCell ref="T14:T15"/>
    <mergeCell ref="Z14:Z15"/>
    <mergeCell ref="T16:T17"/>
    <mergeCell ref="Z16:Z17"/>
    <mergeCell ref="X26:Z26"/>
    <mergeCell ref="N7:N8"/>
    <mergeCell ref="T7:T8"/>
    <mergeCell ref="K1:AA1"/>
    <mergeCell ref="AF1:AJ1"/>
    <mergeCell ref="K2:Z2"/>
    <mergeCell ref="AF2:AJ2"/>
    <mergeCell ref="N3:X3"/>
    <mergeCell ref="AF3:AJ3"/>
    <mergeCell ref="K4:N4"/>
    <mergeCell ref="Q4:T4"/>
    <mergeCell ref="W4:Z4"/>
    <mergeCell ref="AH4:AJ5"/>
    <mergeCell ref="L5:N5"/>
    <mergeCell ref="R5:T5"/>
    <mergeCell ref="X5:Z5"/>
    <mergeCell ref="Z35:Z36"/>
    <mergeCell ref="N30:N31"/>
    <mergeCell ref="X33:Z33"/>
    <mergeCell ref="N14:N15"/>
    <mergeCell ref="N16:N17"/>
    <mergeCell ref="N21:N22"/>
    <mergeCell ref="N23:N24"/>
    <mergeCell ref="N28:N29"/>
    <mergeCell ref="Z23:Z24"/>
    <mergeCell ref="R19:T19"/>
    <mergeCell ref="X19:Z19"/>
    <mergeCell ref="T21:T22"/>
    <mergeCell ref="Z21:Z22"/>
    <mergeCell ref="T23:T24"/>
    <mergeCell ref="Z28:Z29"/>
    <mergeCell ref="Z30:Z31"/>
  </mergeCells>
  <conditionalFormatting sqref="M43">
    <cfRule type="expression" dxfId="1966" priority="287">
      <formula>IF(N41+O41&lt;N43+O43,1,0)</formula>
    </cfRule>
  </conditionalFormatting>
  <conditionalFormatting sqref="O35:O36 U35:U36 AA35:AA36">
    <cfRule type="expression" priority="1048" stopIfTrue="1">
      <formula>IF(N35="",1)</formula>
    </cfRule>
    <cfRule type="expression" dxfId="1965" priority="1049">
      <formula>IF(N35=#REF!,1,0)</formula>
    </cfRule>
  </conditionalFormatting>
  <conditionalFormatting sqref="S7">
    <cfRule type="expression" dxfId="1964" priority="76">
      <formula>IF(T7+U7&gt;T9+U9,1,0)</formula>
    </cfRule>
  </conditionalFormatting>
  <conditionalFormatting sqref="S9">
    <cfRule type="expression" dxfId="1963" priority="75">
      <formula>IF(T9+U9&gt;T11+U11,1,0)</formula>
    </cfRule>
  </conditionalFormatting>
  <conditionalFormatting sqref="S14">
    <cfRule type="expression" dxfId="1962" priority="74">
      <formula>IF(T14+U14&gt;T16+U16,1,0)</formula>
    </cfRule>
  </conditionalFormatting>
  <conditionalFormatting sqref="S16">
    <cfRule type="expression" dxfId="1961" priority="73">
      <formula>IF(T16+U16&gt;T18+U18,1,0)</formula>
    </cfRule>
  </conditionalFormatting>
  <conditionalFormatting sqref="S21">
    <cfRule type="expression" dxfId="1960" priority="72">
      <formula>IF(T21+U21&gt;T23+U23,1,0)</formula>
    </cfRule>
  </conditionalFormatting>
  <conditionalFormatting sqref="S23">
    <cfRule type="expression" dxfId="1959" priority="71">
      <formula>IF(T23+U23&gt;T25+U25,1,0)</formula>
    </cfRule>
  </conditionalFormatting>
  <conditionalFormatting sqref="S28">
    <cfRule type="expression" dxfId="1958" priority="70">
      <formula>IF(T28+U28&gt;T30+U30,1,0)</formula>
    </cfRule>
  </conditionalFormatting>
  <conditionalFormatting sqref="S30">
    <cfRule type="expression" dxfId="1957" priority="69">
      <formula>IF(T30+U30&gt;T32+U32,1,0)</formula>
    </cfRule>
  </conditionalFormatting>
  <conditionalFormatting sqref="Y7">
    <cfRule type="expression" dxfId="1956" priority="68">
      <formula>IF(Z7+AA7&gt;Z9+AA9,1,0)</formula>
    </cfRule>
  </conditionalFormatting>
  <conditionalFormatting sqref="Y9">
    <cfRule type="expression" dxfId="1955" priority="67">
      <formula>IF(Z9+AA9&gt;Z11+AA11,1,0)</formula>
    </cfRule>
  </conditionalFormatting>
  <conditionalFormatting sqref="Y14">
    <cfRule type="expression" dxfId="1954" priority="66">
      <formula>IF(Z14+AA14&gt;Z16+AA16,1,0)</formula>
    </cfRule>
  </conditionalFormatting>
  <conditionalFormatting sqref="Y16">
    <cfRule type="expression" dxfId="1953" priority="65">
      <formula>IF(Z16+AA16&gt;Z18+AA18,1,0)</formula>
    </cfRule>
  </conditionalFormatting>
  <conditionalFormatting sqref="Y21">
    <cfRule type="expression" dxfId="1952" priority="64">
      <formula>IF(Z21+AA21&gt;Z23+AA23,1,0)</formula>
    </cfRule>
  </conditionalFormatting>
  <conditionalFormatting sqref="Y23">
    <cfRule type="expression" dxfId="1951" priority="63">
      <formula>IF(Z23+AA23&gt;Z25+AA25,1,0)</formula>
    </cfRule>
  </conditionalFormatting>
  <conditionalFormatting sqref="Y28">
    <cfRule type="expression" dxfId="1950" priority="62">
      <formula>IF(Z28+AA28&gt;Z30+AA30,1,0)</formula>
    </cfRule>
  </conditionalFormatting>
  <conditionalFormatting sqref="Y30">
    <cfRule type="expression" dxfId="1949" priority="61">
      <formula>IF(Z30+AA30&gt;Z32+AA32,1,0)</formula>
    </cfRule>
  </conditionalFormatting>
  <conditionalFormatting sqref="S35">
    <cfRule type="expression" dxfId="1948" priority="59">
      <formula>IF(T35+U35&gt;T37+U37,1,0)</formula>
    </cfRule>
  </conditionalFormatting>
  <conditionalFormatting sqref="Y35">
    <cfRule type="expression" dxfId="1947" priority="58">
      <formula>IF(Z35+AA35&gt;Z37+AA37,1,0)</formula>
    </cfRule>
  </conditionalFormatting>
  <conditionalFormatting sqref="O7:O8">
    <cfRule type="expression" priority="55" stopIfTrue="1">
      <formula>IF(N7="",1)</formula>
    </cfRule>
    <cfRule type="expression" dxfId="1946" priority="57">
      <formula>IF(N7=N9,1,0)</formula>
    </cfRule>
  </conditionalFormatting>
  <conditionalFormatting sqref="O9">
    <cfRule type="expression" priority="54" stopIfTrue="1">
      <formula>IF(N9="",1,0)</formula>
    </cfRule>
    <cfRule type="expression" dxfId="1945" priority="56">
      <formula>IF(N7=N9,1,0)</formula>
    </cfRule>
  </conditionalFormatting>
  <conditionalFormatting sqref="O14:O15">
    <cfRule type="expression" priority="51" stopIfTrue="1">
      <formula>IF(N14="",1)</formula>
    </cfRule>
    <cfRule type="expression" dxfId="1944" priority="53">
      <formula>IF(N14=N16,1,0)</formula>
    </cfRule>
  </conditionalFormatting>
  <conditionalFormatting sqref="O16">
    <cfRule type="expression" priority="50" stopIfTrue="1">
      <formula>IF(N16="",1,0)</formula>
    </cfRule>
    <cfRule type="expression" dxfId="1943" priority="52">
      <formula>IF(N14=N16,1,0)</formula>
    </cfRule>
  </conditionalFormatting>
  <conditionalFormatting sqref="O21:O22">
    <cfRule type="expression" priority="47" stopIfTrue="1">
      <formula>IF(N21="",1)</formula>
    </cfRule>
    <cfRule type="expression" dxfId="1942" priority="49">
      <formula>IF(N21=N23,1,0)</formula>
    </cfRule>
  </conditionalFormatting>
  <conditionalFormatting sqref="O23">
    <cfRule type="expression" priority="46" stopIfTrue="1">
      <formula>IF(N23="",1,0)</formula>
    </cfRule>
    <cfRule type="expression" dxfId="1941" priority="48">
      <formula>IF(N21=N23,1,0)</formula>
    </cfRule>
  </conditionalFormatting>
  <conditionalFormatting sqref="O28:O29">
    <cfRule type="expression" priority="43" stopIfTrue="1">
      <formula>IF(N28="",1)</formula>
    </cfRule>
    <cfRule type="expression" dxfId="1940" priority="45">
      <formula>IF(N28=N30,1,0)</formula>
    </cfRule>
  </conditionalFormatting>
  <conditionalFormatting sqref="O30">
    <cfRule type="expression" priority="42" stopIfTrue="1">
      <formula>IF(N30="",1,0)</formula>
    </cfRule>
    <cfRule type="expression" dxfId="1939" priority="44">
      <formula>IF(N28=N30,1,0)</formula>
    </cfRule>
  </conditionalFormatting>
  <conditionalFormatting sqref="U7:U8">
    <cfRule type="expression" priority="39" stopIfTrue="1">
      <formula>IF(T7="",1)</formula>
    </cfRule>
    <cfRule type="expression" dxfId="1938" priority="41">
      <formula>IF(T7=T9,1,0)</formula>
    </cfRule>
  </conditionalFormatting>
  <conditionalFormatting sqref="U9">
    <cfRule type="expression" priority="38" stopIfTrue="1">
      <formula>IF(T9="",1,0)</formula>
    </cfRule>
    <cfRule type="expression" dxfId="1937" priority="40">
      <formula>IF(T7=T9,1,0)</formula>
    </cfRule>
  </conditionalFormatting>
  <conditionalFormatting sqref="U14:U15">
    <cfRule type="expression" priority="35" stopIfTrue="1">
      <formula>IF(T14="",1)</formula>
    </cfRule>
    <cfRule type="expression" dxfId="1936" priority="37">
      <formula>IF(T14=T16,1,0)</formula>
    </cfRule>
  </conditionalFormatting>
  <conditionalFormatting sqref="U16">
    <cfRule type="expression" priority="34" stopIfTrue="1">
      <formula>IF(T16="",1,0)</formula>
    </cfRule>
    <cfRule type="expression" dxfId="1935" priority="36">
      <formula>IF(T14=T16,1,0)</formula>
    </cfRule>
  </conditionalFormatting>
  <conditionalFormatting sqref="U21:U22">
    <cfRule type="expression" priority="31" stopIfTrue="1">
      <formula>IF(T21="",1)</formula>
    </cfRule>
    <cfRule type="expression" dxfId="1934" priority="33">
      <formula>IF(T21=T23,1,0)</formula>
    </cfRule>
  </conditionalFormatting>
  <conditionalFormatting sqref="U23">
    <cfRule type="expression" priority="30" stopIfTrue="1">
      <formula>IF(T23="",1,0)</formula>
    </cfRule>
    <cfRule type="expression" dxfId="1933" priority="32">
      <formula>IF(T21=T23,1,0)</formula>
    </cfRule>
  </conditionalFormatting>
  <conditionalFormatting sqref="U28:U29">
    <cfRule type="expression" priority="27" stopIfTrue="1">
      <formula>IF(T28="",1)</formula>
    </cfRule>
    <cfRule type="expression" dxfId="1932" priority="29">
      <formula>IF(T28=T30,1,0)</formula>
    </cfRule>
  </conditionalFormatting>
  <conditionalFormatting sqref="U30">
    <cfRule type="expression" priority="26" stopIfTrue="1">
      <formula>IF(T30="",1,0)</formula>
    </cfRule>
    <cfRule type="expression" dxfId="1931" priority="28">
      <formula>IF(T28=T30,1,0)</formula>
    </cfRule>
  </conditionalFormatting>
  <conditionalFormatting sqref="AA28:AA29">
    <cfRule type="expression" priority="23" stopIfTrue="1">
      <formula>IF(Z28="",1)</formula>
    </cfRule>
    <cfRule type="expression" dxfId="1930" priority="25">
      <formula>IF(Z28=Z30,1,0)</formula>
    </cfRule>
  </conditionalFormatting>
  <conditionalFormatting sqref="AA30">
    <cfRule type="expression" priority="22" stopIfTrue="1">
      <formula>IF(Z30="",1,0)</formula>
    </cfRule>
    <cfRule type="expression" dxfId="1929" priority="24">
      <formula>IF(Z28=Z30,1,0)</formula>
    </cfRule>
  </conditionalFormatting>
  <conditionalFormatting sqref="AA21:AA22">
    <cfRule type="expression" priority="19" stopIfTrue="1">
      <formula>IF(Z21="",1)</formula>
    </cfRule>
    <cfRule type="expression" dxfId="1928" priority="21">
      <formula>IF(Z21=Z23,1,0)</formula>
    </cfRule>
  </conditionalFormatting>
  <conditionalFormatting sqref="AA23">
    <cfRule type="expression" priority="18" stopIfTrue="1">
      <formula>IF(Z23="",1,0)</formula>
    </cfRule>
    <cfRule type="expression" dxfId="1927" priority="20">
      <formula>IF(Z21=Z23,1,0)</formula>
    </cfRule>
  </conditionalFormatting>
  <conditionalFormatting sqref="AA14:AA15">
    <cfRule type="expression" priority="15" stopIfTrue="1">
      <formula>IF(Z14="",1)</formula>
    </cfRule>
    <cfRule type="expression" dxfId="1926" priority="17">
      <formula>IF(Z14=Z16,1,0)</formula>
    </cfRule>
  </conditionalFormatting>
  <conditionalFormatting sqref="AA16">
    <cfRule type="expression" priority="14" stopIfTrue="1">
      <formula>IF(Z16="",1,0)</formula>
    </cfRule>
    <cfRule type="expression" dxfId="1925" priority="16">
      <formula>IF(Z14=Z16,1,0)</formula>
    </cfRule>
  </conditionalFormatting>
  <conditionalFormatting sqref="AA7:AA8">
    <cfRule type="expression" priority="11" stopIfTrue="1">
      <formula>IF(Z7="",1)</formula>
    </cfRule>
    <cfRule type="expression" dxfId="1924" priority="13">
      <formula>IF(Z7=Z9,1,0)</formula>
    </cfRule>
  </conditionalFormatting>
  <conditionalFormatting sqref="AA9">
    <cfRule type="expression" priority="10" stopIfTrue="1">
      <formula>IF(Z9="",1,0)</formula>
    </cfRule>
    <cfRule type="expression" dxfId="1923" priority="12">
      <formula>IF(Z7=Z9,1,0)</formula>
    </cfRule>
  </conditionalFormatting>
  <conditionalFormatting sqref="M7">
    <cfRule type="expression" dxfId="1922" priority="9">
      <formula>IF(N7+O7&gt;N9+O9,1,0)</formula>
    </cfRule>
  </conditionalFormatting>
  <conditionalFormatting sqref="M9">
    <cfRule type="expression" dxfId="1921" priority="8">
      <formula>IF(N9+O9&gt;N11+O11,1,0)</formula>
    </cfRule>
  </conditionalFormatting>
  <conditionalFormatting sqref="M14">
    <cfRule type="expression" dxfId="1920" priority="7">
      <formula>IF(N14+O14&gt;N16+O16,1,0)</formula>
    </cfRule>
  </conditionalFormatting>
  <conditionalFormatting sqref="M16">
    <cfRule type="expression" dxfId="1919" priority="6">
      <formula>IF(N16+O16&gt;N18+O18,1,0)</formula>
    </cfRule>
  </conditionalFormatting>
  <conditionalFormatting sqref="M21">
    <cfRule type="expression" dxfId="1918" priority="5">
      <formula>IF(N21+O21&gt;N23+O23,1,0)</formula>
    </cfRule>
  </conditionalFormatting>
  <conditionalFormatting sqref="M23">
    <cfRule type="expression" dxfId="1917" priority="4">
      <formula>IF(N23+O23&gt;N25+O25,1,0)</formula>
    </cfRule>
  </conditionalFormatting>
  <conditionalFormatting sqref="M28">
    <cfRule type="expression" dxfId="1916" priority="3">
      <formula>IF(N28+O28&gt;N30+O30,1,0)</formula>
    </cfRule>
  </conditionalFormatting>
  <conditionalFormatting sqref="M30">
    <cfRule type="expression" dxfId="1915" priority="2">
      <formula>IF(N30+O30&gt;N32+O32,1,0)</formula>
    </cfRule>
  </conditionalFormatting>
  <conditionalFormatting sqref="M35">
    <cfRule type="expression" dxfId="1914" priority="1">
      <formula>IF(N35+O35&gt;N37+O37,1,0)</formula>
    </cfRule>
  </conditionalFormatting>
  <pageMargins left="0.25" right="0.25" top="0.75" bottom="0.75" header="0.3" footer="0.3"/>
  <pageSetup paperSize="9" scale="28" fitToHeight="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euil67">
    <tabColor rgb="FFFFC000"/>
    <pageSetUpPr fitToPage="1"/>
  </sheetPr>
  <dimension ref="A1:AY148"/>
  <sheetViews>
    <sheetView topLeftCell="K1" zoomScale="70" zoomScaleNormal="70" workbookViewId="0">
      <selection activeCell="M3" sqref="M3"/>
    </sheetView>
  </sheetViews>
  <sheetFormatPr baseColWidth="10" defaultColWidth="10.85546875" defaultRowHeight="12.75" x14ac:dyDescent="0.2"/>
  <cols>
    <col min="1" max="1" width="3.7109375" style="435" hidden="1" customWidth="1"/>
    <col min="2" max="4" width="16.140625" style="435" hidden="1" customWidth="1"/>
    <col min="5" max="10" width="11.28515625" style="435" hidden="1" customWidth="1"/>
    <col min="11" max="11" width="10.140625" style="441" bestFit="1" customWidth="1"/>
    <col min="12" max="12" width="10.140625" style="435" bestFit="1" customWidth="1"/>
    <col min="13" max="13" width="37.28515625" style="435" customWidth="1"/>
    <col min="14" max="14" width="11" style="442" bestFit="1" customWidth="1"/>
    <col min="15" max="15" width="6.140625" style="441" bestFit="1" customWidth="1"/>
    <col min="16" max="16" width="15.7109375" style="441" customWidth="1"/>
    <col min="17" max="18" width="10.140625" style="441" bestFit="1" customWidth="1"/>
    <col min="19" max="19" width="38" style="441" customWidth="1"/>
    <col min="20" max="20" width="11" style="442" bestFit="1" customWidth="1"/>
    <col min="21" max="21" width="4.85546875" style="441" bestFit="1" customWidth="1"/>
    <col min="22" max="22" width="15.85546875" style="441" customWidth="1"/>
    <col min="23" max="23" width="7.7109375" style="441" bestFit="1" customWidth="1"/>
    <col min="24" max="24" width="5.28515625" style="435" bestFit="1" customWidth="1"/>
    <col min="25" max="25" width="36.5703125" style="435" customWidth="1"/>
    <col min="26" max="26" width="10.85546875" style="442"/>
    <col min="27" max="27" width="4.85546875" style="441" bestFit="1" customWidth="1"/>
    <col min="28" max="28" width="6.5703125" style="435" customWidth="1"/>
    <col min="29" max="31" width="3.28515625" style="435" customWidth="1"/>
    <col min="32" max="32" width="12" style="435" customWidth="1"/>
    <col min="33" max="33" width="12" style="435" hidden="1" customWidth="1"/>
    <col min="34" max="34" width="36.7109375" style="435" customWidth="1"/>
    <col min="35" max="36" width="36.85546875" style="435" customWidth="1"/>
    <col min="37" max="42" width="10.85546875" style="435"/>
    <col min="43" max="43" width="1.7109375" style="435" bestFit="1" customWidth="1"/>
    <col min="44" max="46" width="10.85546875" style="435"/>
    <col min="47" max="47" width="1.7109375" style="435" bestFit="1" customWidth="1"/>
    <col min="48" max="50" width="10.85546875" style="435"/>
    <col min="51" max="51" width="1.7109375" style="435" bestFit="1" customWidth="1"/>
    <col min="52" max="16384" width="10.85546875" style="435"/>
  </cols>
  <sheetData>
    <row r="1" spans="1:51" ht="55.5" customHeight="1" x14ac:dyDescent="0.2">
      <c r="B1" s="436"/>
      <c r="C1" s="436"/>
      <c r="D1" s="436"/>
      <c r="I1" s="437"/>
      <c r="J1" s="437"/>
      <c r="K1" s="988" t="str">
        <f>Championnat</f>
        <v>Championnat de France de Tir à l'ARC</v>
      </c>
      <c r="L1" s="988"/>
      <c r="M1" s="988"/>
      <c r="N1" s="988"/>
      <c r="O1" s="988"/>
      <c r="P1" s="988"/>
      <c r="Q1" s="988"/>
      <c r="R1" s="988"/>
      <c r="S1" s="988"/>
      <c r="T1" s="988"/>
      <c r="U1" s="988"/>
      <c r="V1" s="988"/>
      <c r="W1" s="988"/>
      <c r="X1" s="988"/>
      <c r="Y1" s="988"/>
      <c r="Z1" s="988"/>
      <c r="AA1" s="988"/>
      <c r="AB1" s="439"/>
      <c r="AC1" s="439"/>
      <c r="AD1" s="439"/>
      <c r="AE1" s="439"/>
      <c r="AF1" s="988" t="str">
        <f>Championnat</f>
        <v>Championnat de France de Tir à l'ARC</v>
      </c>
      <c r="AG1" s="988"/>
      <c r="AH1" s="988"/>
      <c r="AI1" s="988"/>
      <c r="AJ1" s="988"/>
      <c r="AK1" s="491"/>
      <c r="AL1" s="491"/>
      <c r="AM1" s="491"/>
      <c r="AN1" s="491"/>
      <c r="AO1" s="491"/>
      <c r="AP1" s="491"/>
      <c r="AQ1" s="491"/>
      <c r="AR1" s="491"/>
      <c r="AS1" s="491"/>
      <c r="AT1" s="491"/>
      <c r="AU1" s="491"/>
      <c r="AV1" s="491"/>
      <c r="AW1" s="491"/>
      <c r="AY1" s="491"/>
    </row>
    <row r="2" spans="1:51" ht="61.5" customHeight="1" x14ac:dyDescent="0.2">
      <c r="A2" s="437"/>
      <c r="I2" s="437"/>
      <c r="J2" s="437"/>
      <c r="K2" s="989" t="str">
        <f>CATEG_IMPORTEE</f>
        <v>Collèges Mixtes Etablissement</v>
      </c>
      <c r="L2" s="989"/>
      <c r="M2" s="989"/>
      <c r="N2" s="989"/>
      <c r="O2" s="989"/>
      <c r="P2" s="989"/>
      <c r="Q2" s="989"/>
      <c r="R2" s="989"/>
      <c r="S2" s="989"/>
      <c r="T2" s="989"/>
      <c r="U2" s="989"/>
      <c r="V2" s="989"/>
      <c r="W2" s="989"/>
      <c r="X2" s="989"/>
      <c r="Y2" s="989"/>
      <c r="Z2" s="989"/>
      <c r="AA2" s="438"/>
      <c r="AB2" s="439"/>
      <c r="AC2" s="439"/>
      <c r="AD2" s="439"/>
      <c r="AE2" s="439"/>
      <c r="AF2" s="990" t="str">
        <f>CATEG_IMPORTEE</f>
        <v>Collèges Mixtes Etablissement</v>
      </c>
      <c r="AG2" s="990"/>
      <c r="AH2" s="990"/>
      <c r="AI2" s="990"/>
      <c r="AJ2" s="990"/>
      <c r="AK2" s="492"/>
      <c r="AL2" s="492"/>
      <c r="AM2" s="492"/>
      <c r="AN2" s="492"/>
      <c r="AO2" s="492"/>
      <c r="AP2" s="492"/>
      <c r="AQ2" s="492"/>
      <c r="AR2" s="492"/>
      <c r="AS2" s="492"/>
      <c r="AT2" s="492"/>
      <c r="AU2" s="492"/>
      <c r="AV2" s="492"/>
      <c r="AW2" s="492"/>
      <c r="AY2" s="492"/>
    </row>
    <row r="3" spans="1:51" ht="42" customHeight="1" x14ac:dyDescent="0.2">
      <c r="B3" s="440" t="s">
        <v>774</v>
      </c>
      <c r="I3" s="437"/>
      <c r="J3" s="437"/>
      <c r="N3" s="991" t="str">
        <f>LIEU&amp;" du "&amp;DATE</f>
        <v>L’Isle sur la Sorgue du 27 au 31 mars 2023</v>
      </c>
      <c r="O3" s="991"/>
      <c r="P3" s="991"/>
      <c r="Q3" s="991"/>
      <c r="R3" s="991"/>
      <c r="S3" s="991"/>
      <c r="T3" s="991"/>
      <c r="U3" s="991"/>
      <c r="V3" s="991"/>
      <c r="W3" s="991"/>
      <c r="X3" s="991"/>
      <c r="AF3" s="991" t="str">
        <f>LIEU&amp;" du "&amp;DATE</f>
        <v>L’Isle sur la Sorgue du 27 au 31 mars 2023</v>
      </c>
      <c r="AG3" s="991"/>
      <c r="AH3" s="991"/>
      <c r="AI3" s="991"/>
      <c r="AJ3" s="991"/>
      <c r="AK3" s="493"/>
      <c r="AL3" s="493"/>
      <c r="AM3" s="493"/>
      <c r="AN3" s="493"/>
      <c r="AO3" s="493"/>
      <c r="AP3" s="493"/>
      <c r="AQ3" s="493"/>
      <c r="AR3" s="493"/>
      <c r="AS3" s="493"/>
      <c r="AT3" s="493"/>
      <c r="AU3" s="493"/>
      <c r="AW3" s="442"/>
      <c r="AY3" s="493"/>
    </row>
    <row r="4" spans="1:51" ht="21" customHeight="1" x14ac:dyDescent="0.2">
      <c r="B4" s="440" t="s">
        <v>775</v>
      </c>
      <c r="C4" s="462" t="s">
        <v>375</v>
      </c>
      <c r="D4" s="462" t="s">
        <v>374</v>
      </c>
      <c r="E4" s="440" t="s">
        <v>776</v>
      </c>
      <c r="F4" s="487" t="s">
        <v>838</v>
      </c>
      <c r="G4" s="488" t="s">
        <v>837</v>
      </c>
      <c r="H4" s="898"/>
      <c r="I4" s="437"/>
      <c r="J4" s="437"/>
      <c r="K4" s="979" t="s">
        <v>815</v>
      </c>
      <c r="L4" s="979"/>
      <c r="M4" s="979"/>
      <c r="N4" s="979"/>
      <c r="O4" s="443"/>
      <c r="P4" s="443"/>
      <c r="Q4" s="979" t="s">
        <v>816</v>
      </c>
      <c r="R4" s="979"/>
      <c r="S4" s="979"/>
      <c r="T4" s="979"/>
      <c r="U4" s="443"/>
      <c r="V4" s="443"/>
      <c r="W4" s="979" t="s">
        <v>817</v>
      </c>
      <c r="X4" s="979"/>
      <c r="Y4" s="979"/>
      <c r="Z4" s="979"/>
      <c r="AA4" s="443"/>
      <c r="AH4" s="980" t="s">
        <v>778</v>
      </c>
      <c r="AI4" s="980"/>
      <c r="AJ4" s="980"/>
      <c r="AN4" s="497" t="s">
        <v>848</v>
      </c>
    </row>
    <row r="5" spans="1:51" ht="15.95" customHeight="1" thickBot="1" x14ac:dyDescent="0.25">
      <c r="A5" s="435">
        <v>1</v>
      </c>
      <c r="B5" s="444" t="str">
        <f ca="1">INDIRECT("'Imp. Qualif.'!L"&amp;INDIRECT("f"&amp;ROW()))</f>
        <v/>
      </c>
      <c r="C5" s="444" t="str">
        <f ca="1">INDIRECT("'Imp. Qualif.'!M"&amp;INDIRECT("f"&amp;ROW()))</f>
        <v/>
      </c>
      <c r="D5" s="444" t="str">
        <f ca="1">INDIRECT("'Imp. Qualif.'!N"&amp;INDIRECT("f"&amp;ROW()))</f>
        <v/>
      </c>
      <c r="E5" s="486">
        <f ca="1">INDIRECT("'Imp. Qualif.'!O"&amp;INDIRECT("f"&amp;ROW()))</f>
        <v>0</v>
      </c>
      <c r="F5" s="489">
        <v>11</v>
      </c>
      <c r="G5" s="488" t="str">
        <f ca="1">B5&amp;C5</f>
        <v/>
      </c>
      <c r="H5" s="898" t="str">
        <f ca="1">IF(B5&lt;&gt;"",B5,"")</f>
        <v/>
      </c>
      <c r="I5" s="898" t="str">
        <f t="shared" ref="I5:J20" ca="1" si="0">IF(C5&lt;&gt;"",C5,"")</f>
        <v/>
      </c>
      <c r="J5" s="898" t="str">
        <f t="shared" ca="1" si="0"/>
        <v/>
      </c>
      <c r="L5" s="979" t="s">
        <v>1246</v>
      </c>
      <c r="M5" s="1247"/>
      <c r="N5" s="1247"/>
      <c r="O5" s="443"/>
      <c r="P5" s="443"/>
      <c r="R5" s="979" t="s">
        <v>818</v>
      </c>
      <c r="S5" s="1247"/>
      <c r="T5" s="1247"/>
      <c r="U5" s="443"/>
      <c r="V5" s="443"/>
      <c r="W5" s="445"/>
      <c r="X5" s="979" t="s">
        <v>777</v>
      </c>
      <c r="Y5" s="1247"/>
      <c r="Z5" s="1247"/>
      <c r="AA5" s="443"/>
      <c r="AH5" s="981"/>
      <c r="AI5" s="981"/>
      <c r="AJ5" s="981"/>
      <c r="AN5" s="494" t="s">
        <v>839</v>
      </c>
      <c r="AO5" s="494" t="s">
        <v>840</v>
      </c>
      <c r="AP5" s="494" t="s">
        <v>841</v>
      </c>
      <c r="AQ5" s="496" t="s">
        <v>793</v>
      </c>
      <c r="AR5" s="494" t="s">
        <v>842</v>
      </c>
      <c r="AS5" s="494" t="s">
        <v>843</v>
      </c>
      <c r="AT5" s="494" t="s">
        <v>844</v>
      </c>
      <c r="AU5" s="496" t="s">
        <v>793</v>
      </c>
      <c r="AV5" s="494" t="s">
        <v>845</v>
      </c>
      <c r="AW5" s="494" t="s">
        <v>846</v>
      </c>
      <c r="AX5" s="494" t="s">
        <v>847</v>
      </c>
      <c r="AY5" s="496" t="s">
        <v>793</v>
      </c>
    </row>
    <row r="6" spans="1:51" ht="15.95" customHeight="1" thickBot="1" x14ac:dyDescent="0.25">
      <c r="A6" s="435">
        <v>2</v>
      </c>
      <c r="B6" s="444" t="str">
        <f t="shared" ref="B6:B14" ca="1" si="1">INDIRECT("'Imp. Qualif.'!L"&amp;INDIRECT("f"&amp;ROW()))</f>
        <v/>
      </c>
      <c r="C6" s="444" t="str">
        <f t="shared" ref="C6:C14" ca="1" si="2">INDIRECT("'Imp. Qualif.'!M"&amp;INDIRECT("f"&amp;ROW()))</f>
        <v/>
      </c>
      <c r="D6" s="444" t="str">
        <f t="shared" ref="D6:D14" ca="1" si="3">INDIRECT("'Imp. Qualif.'!N"&amp;INDIRECT("f"&amp;ROW()))</f>
        <v/>
      </c>
      <c r="E6" s="486">
        <f t="shared" ref="E6:E14" ca="1" si="4">INDIRECT("'Imp. Qualif.'!O"&amp;INDIRECT("f"&amp;ROW()))</f>
        <v>0</v>
      </c>
      <c r="F6" s="489">
        <v>12</v>
      </c>
      <c r="G6" s="488" t="str">
        <f t="shared" ref="G6:G28" ca="1" si="5">B6&amp;C6</f>
        <v/>
      </c>
      <c r="H6" s="898" t="str">
        <f t="shared" ref="H6:J28" ca="1" si="6">IF(B6&lt;&gt;"",B6,"")</f>
        <v/>
      </c>
      <c r="I6" s="898" t="str">
        <f t="shared" ca="1" si="0"/>
        <v/>
      </c>
      <c r="J6" s="898" t="str">
        <f t="shared" ca="1" si="0"/>
        <v/>
      </c>
      <c r="K6" s="445" t="s">
        <v>779</v>
      </c>
      <c r="L6" s="463" t="s">
        <v>1083</v>
      </c>
      <c r="M6" s="456" t="s">
        <v>481</v>
      </c>
      <c r="N6" s="464" t="s">
        <v>3</v>
      </c>
      <c r="O6" s="446" t="s">
        <v>781</v>
      </c>
      <c r="P6" s="445"/>
      <c r="Q6" s="445" t="s">
        <v>779</v>
      </c>
      <c r="R6" s="463" t="s">
        <v>1083</v>
      </c>
      <c r="S6" s="456" t="s">
        <v>481</v>
      </c>
      <c r="T6" s="464" t="s">
        <v>3</v>
      </c>
      <c r="U6" s="446" t="s">
        <v>781</v>
      </c>
      <c r="V6" s="445"/>
      <c r="W6" s="445" t="s">
        <v>779</v>
      </c>
      <c r="X6" s="463" t="s">
        <v>1083</v>
      </c>
      <c r="Y6" s="456" t="s">
        <v>481</v>
      </c>
      <c r="Z6" s="464" t="s">
        <v>3</v>
      </c>
      <c r="AA6" s="446" t="s">
        <v>781</v>
      </c>
      <c r="AH6" s="483" t="s">
        <v>782</v>
      </c>
      <c r="AI6" s="484" t="s">
        <v>375</v>
      </c>
      <c r="AJ6" s="485" t="s">
        <v>783</v>
      </c>
      <c r="AN6" s="494">
        <f>K7</f>
        <v>1</v>
      </c>
      <c r="AO6" s="495" t="str">
        <f ca="1">L8</f>
        <v/>
      </c>
      <c r="AP6" s="784" t="str">
        <f ca="1">AO7</f>
        <v/>
      </c>
      <c r="AQ6" s="496" t="s">
        <v>793</v>
      </c>
      <c r="AR6" s="494">
        <f>Q7</f>
        <v>1</v>
      </c>
      <c r="AS6" s="495" t="str">
        <f>R8</f>
        <v/>
      </c>
      <c r="AT6" s="495" t="str">
        <f>AS7</f>
        <v/>
      </c>
      <c r="AU6" s="496" t="s">
        <v>793</v>
      </c>
      <c r="AV6" s="494">
        <f>W7</f>
        <v>1</v>
      </c>
      <c r="AW6" s="495" t="str">
        <f>X8</f>
        <v/>
      </c>
      <c r="AX6" s="495" t="str">
        <f>AW7</f>
        <v/>
      </c>
      <c r="AY6" s="496" t="s">
        <v>793</v>
      </c>
    </row>
    <row r="7" spans="1:51" ht="15.95" customHeight="1" x14ac:dyDescent="0.2">
      <c r="A7" s="435">
        <v>3</v>
      </c>
      <c r="B7" s="444" t="str">
        <f t="shared" ca="1" si="1"/>
        <v/>
      </c>
      <c r="C7" s="444" t="str">
        <f t="shared" ca="1" si="2"/>
        <v/>
      </c>
      <c r="D7" s="444" t="str">
        <f t="shared" ca="1" si="3"/>
        <v/>
      </c>
      <c r="E7" s="486">
        <f t="shared" ca="1" si="4"/>
        <v>0</v>
      </c>
      <c r="F7" s="489">
        <v>13</v>
      </c>
      <c r="G7" s="488" t="str">
        <f t="shared" ca="1" si="5"/>
        <v/>
      </c>
      <c r="H7" s="898" t="str">
        <f t="shared" ca="1" si="6"/>
        <v/>
      </c>
      <c r="I7" s="898" t="str">
        <f t="shared" ca="1" si="0"/>
        <v/>
      </c>
      <c r="J7" s="898" t="str">
        <f t="shared" ca="1" si="0"/>
        <v/>
      </c>
      <c r="K7" s="447">
        <f>Num_Cible</f>
        <v>1</v>
      </c>
      <c r="L7" s="472">
        <v>1</v>
      </c>
      <c r="M7" s="465" t="str">
        <f ca="1">IFERROR(VLOOKUP(L8,$G$5:$J$28,2,FALSE),"")</f>
        <v/>
      </c>
      <c r="N7" s="966"/>
      <c r="O7" s="518"/>
      <c r="Q7" s="447">
        <f>K7</f>
        <v>1</v>
      </c>
      <c r="R7" s="472">
        <v>1</v>
      </c>
      <c r="S7" s="465" t="str">
        <f ca="1">IFERROR(VLOOKUP(R8,$G$5:$J$28,2,FALSE),"")</f>
        <v/>
      </c>
      <c r="T7" s="966"/>
      <c r="U7" s="518"/>
      <c r="W7" s="447">
        <f>Q7</f>
        <v>1</v>
      </c>
      <c r="X7" s="472">
        <v>1</v>
      </c>
      <c r="Y7" s="465" t="str">
        <f ca="1">IFERROR(VLOOKUP(X8,$G$5:$J$28,2,FALSE),"")</f>
        <v/>
      </c>
      <c r="Z7" s="966"/>
      <c r="AA7" s="518"/>
      <c r="AF7" s="448" t="s">
        <v>784</v>
      </c>
      <c r="AG7" s="435" t="str">
        <f>IF(ISBLANK(Z7),"",IF(Z7+AA7&gt;Z9+AA9,X8,X10))</f>
        <v/>
      </c>
      <c r="AH7" s="475" t="str">
        <f ca="1">IFERROR(VLOOKUP(AG7,$G$5:$J$28,2,FALSE),"")</f>
        <v/>
      </c>
      <c r="AI7" s="475" t="str">
        <f ca="1">IFERROR(VLOOKUP(AG7,$G$5:$J$28,3,FALSE),"")</f>
        <v/>
      </c>
      <c r="AJ7" s="475" t="str">
        <f ca="1">IFERROR(VLOOKUP(AG7,$G$5:$J$28,4,FALSE),"")</f>
        <v/>
      </c>
      <c r="AN7" s="494">
        <f>K9</f>
        <v>2</v>
      </c>
      <c r="AO7" s="495" t="str">
        <f ca="1">L10</f>
        <v/>
      </c>
      <c r="AP7" s="784" t="str">
        <f ca="1">AO6</f>
        <v/>
      </c>
      <c r="AQ7" s="496" t="s">
        <v>793</v>
      </c>
      <c r="AR7" s="494">
        <f>Q9</f>
        <v>2</v>
      </c>
      <c r="AS7" s="495" t="str">
        <f>R10</f>
        <v/>
      </c>
      <c r="AT7" s="495" t="str">
        <f>AS6</f>
        <v/>
      </c>
      <c r="AU7" s="496" t="s">
        <v>793</v>
      </c>
      <c r="AV7" s="494">
        <f>W9</f>
        <v>2</v>
      </c>
      <c r="AW7" s="495" t="str">
        <f>X10</f>
        <v/>
      </c>
      <c r="AX7" s="495" t="str">
        <f>AW6</f>
        <v/>
      </c>
      <c r="AY7" s="496" t="s">
        <v>793</v>
      </c>
    </row>
    <row r="8" spans="1:51" ht="15.95" customHeight="1" thickBot="1" x14ac:dyDescent="0.25">
      <c r="A8" s="435">
        <v>4</v>
      </c>
      <c r="B8" s="444" t="str">
        <f t="shared" ca="1" si="1"/>
        <v/>
      </c>
      <c r="C8" s="444" t="str">
        <f t="shared" ca="1" si="2"/>
        <v/>
      </c>
      <c r="D8" s="444" t="str">
        <f t="shared" ca="1" si="3"/>
        <v/>
      </c>
      <c r="E8" s="486">
        <f t="shared" ca="1" si="4"/>
        <v>0</v>
      </c>
      <c r="F8" s="489">
        <v>14</v>
      </c>
      <c r="G8" s="488" t="str">
        <f t="shared" ca="1" si="5"/>
        <v/>
      </c>
      <c r="H8" s="898" t="str">
        <f t="shared" ca="1" si="6"/>
        <v/>
      </c>
      <c r="I8" s="898" t="str">
        <f t="shared" ca="1" si="0"/>
        <v/>
      </c>
      <c r="J8" s="898" t="str">
        <f t="shared" ca="1" si="0"/>
        <v/>
      </c>
      <c r="K8" s="447"/>
      <c r="L8" s="473" t="str">
        <f ca="1">VLOOKUP(L7,$A$5:$G$24,7,FALSE)</f>
        <v/>
      </c>
      <c r="M8" s="466" t="str">
        <f ca="1">IFERROR(VLOOKUP(L8,$G$5:$J$28,3,FALSE),"")</f>
        <v/>
      </c>
      <c r="N8" s="967"/>
      <c r="Q8" s="447"/>
      <c r="R8" s="473" t="str">
        <f>IF(ISBLANK(N7),"",IF(O7+N7&gt;N9+O9,L8,L10))</f>
        <v/>
      </c>
      <c r="S8" s="466" t="str">
        <f ca="1">IFERROR(VLOOKUP(R8,$G$5:$J$28,3,FALSE),"")</f>
        <v/>
      </c>
      <c r="T8" s="967"/>
      <c r="W8" s="447"/>
      <c r="X8" s="473" t="str">
        <f>IF(ISBLANK(T7),"",IF(U7+T7&gt;T9+U9,R8,R10))</f>
        <v/>
      </c>
      <c r="Y8" s="466" t="str">
        <f ca="1">IFERROR(VLOOKUP(X8,$G$5:$J$28,3,FALSE),"")</f>
        <v/>
      </c>
      <c r="Z8" s="967"/>
      <c r="AF8" s="449" t="s">
        <v>785</v>
      </c>
      <c r="AG8" s="435" t="str">
        <f>IF(ISBLANK(Z7),"",IF(Z7+AA7&lt;Z9+AA9,X8,X10))</f>
        <v/>
      </c>
      <c r="AH8" s="478" t="str">
        <f t="shared" ref="AH8:AH16" ca="1" si="7">IFERROR(VLOOKUP(AG8,$G$5:$J$28,2,FALSE),"")</f>
        <v/>
      </c>
      <c r="AI8" s="474" t="str">
        <f t="shared" ref="AI8:AI16" ca="1" si="8">IFERROR(VLOOKUP(AG8,$G$5:$J$28,3,FALSE),"")</f>
        <v/>
      </c>
      <c r="AJ8" s="915" t="str">
        <f t="shared" ref="AJ8:AJ16" ca="1" si="9">IFERROR(VLOOKUP(AG8,$G$5:$J$28,4,FALSE),"")</f>
        <v/>
      </c>
      <c r="AN8" s="494">
        <f>K14</f>
        <v>3</v>
      </c>
      <c r="AO8" s="495" t="str">
        <f ca="1">L15</f>
        <v/>
      </c>
      <c r="AP8" s="784" t="str">
        <f t="shared" ref="AP8" ca="1" si="10">AO9</f>
        <v/>
      </c>
      <c r="AQ8" s="496" t="s">
        <v>793</v>
      </c>
      <c r="AR8" s="494">
        <f>Q14</f>
        <v>3</v>
      </c>
      <c r="AS8" s="495" t="str">
        <f>R15</f>
        <v/>
      </c>
      <c r="AT8" s="495" t="str">
        <f t="shared" ref="AT8" si="11">AS9</f>
        <v/>
      </c>
      <c r="AU8" s="496" t="s">
        <v>793</v>
      </c>
      <c r="AV8" s="494">
        <f>W14</f>
        <v>3</v>
      </c>
      <c r="AW8" s="495" t="str">
        <f>X15</f>
        <v/>
      </c>
      <c r="AX8" s="495" t="str">
        <f t="shared" ref="AX8" si="12">AW9</f>
        <v/>
      </c>
      <c r="AY8" s="496" t="s">
        <v>793</v>
      </c>
    </row>
    <row r="9" spans="1:51" ht="15.95" customHeight="1" x14ac:dyDescent="0.2">
      <c r="A9" s="435">
        <v>5</v>
      </c>
      <c r="B9" s="444" t="str">
        <f t="shared" ca="1" si="1"/>
        <v/>
      </c>
      <c r="C9" s="444" t="str">
        <f t="shared" ca="1" si="2"/>
        <v/>
      </c>
      <c r="D9" s="444" t="str">
        <f t="shared" ca="1" si="3"/>
        <v/>
      </c>
      <c r="E9" s="486">
        <f t="shared" ca="1" si="4"/>
        <v>0</v>
      </c>
      <c r="F9" s="489">
        <v>15</v>
      </c>
      <c r="G9" s="488" t="str">
        <f t="shared" ca="1" si="5"/>
        <v/>
      </c>
      <c r="H9" s="898" t="str">
        <f t="shared" ca="1" si="6"/>
        <v/>
      </c>
      <c r="I9" s="898" t="str">
        <f t="shared" ca="1" si="0"/>
        <v/>
      </c>
      <c r="J9" s="898" t="str">
        <f t="shared" ca="1" si="0"/>
        <v/>
      </c>
      <c r="K9" s="447">
        <f>K7+1</f>
        <v>2</v>
      </c>
      <c r="L9" s="472">
        <v>8</v>
      </c>
      <c r="M9" s="465" t="str">
        <f ca="1">IFERROR(VLOOKUP(L10,$G$5:$J$28,2,FALSE),"")</f>
        <v/>
      </c>
      <c r="N9" s="966"/>
      <c r="O9" s="519"/>
      <c r="Q9" s="447">
        <f>Q7+1</f>
        <v>2</v>
      </c>
      <c r="R9" s="472">
        <v>4</v>
      </c>
      <c r="S9" s="465" t="str">
        <f ca="1">IFERROR(VLOOKUP(R10,$G$5:$J$28,2,FALSE),"")</f>
        <v/>
      </c>
      <c r="T9" s="966"/>
      <c r="U9" s="519"/>
      <c r="W9" s="447">
        <f>W7+1</f>
        <v>2</v>
      </c>
      <c r="X9" s="472">
        <v>2</v>
      </c>
      <c r="Y9" s="465" t="str">
        <f ca="1">IFERROR(VLOOKUP(X10,$G$5:$J$28,2,FALSE),"")</f>
        <v/>
      </c>
      <c r="Z9" s="966"/>
      <c r="AA9" s="519"/>
      <c r="AF9" s="452" t="s">
        <v>786</v>
      </c>
      <c r="AG9" s="435" t="str">
        <f>IF(ISBLANK(Z14),"",IF(Z14+AA14&gt;Z16+AA16,X15,X17))</f>
        <v/>
      </c>
      <c r="AH9" s="478" t="str">
        <f t="shared" ca="1" si="7"/>
        <v/>
      </c>
      <c r="AI9" s="474" t="str">
        <f t="shared" ca="1" si="8"/>
        <v/>
      </c>
      <c r="AJ9" s="915" t="str">
        <f t="shared" ca="1" si="9"/>
        <v/>
      </c>
      <c r="AN9" s="494">
        <f>K16</f>
        <v>4</v>
      </c>
      <c r="AO9" s="495" t="str">
        <f ca="1">L17</f>
        <v/>
      </c>
      <c r="AP9" s="784" t="str">
        <f t="shared" ref="AP9" ca="1" si="13">AO8</f>
        <v/>
      </c>
      <c r="AQ9" s="496" t="s">
        <v>793</v>
      </c>
      <c r="AR9" s="494">
        <f>Q16</f>
        <v>4</v>
      </c>
      <c r="AS9" s="495" t="str">
        <f>R17</f>
        <v/>
      </c>
      <c r="AT9" s="495" t="str">
        <f t="shared" ref="AT9" si="14">AS8</f>
        <v/>
      </c>
      <c r="AU9" s="496" t="s">
        <v>793</v>
      </c>
      <c r="AV9" s="494">
        <f>W16</f>
        <v>4</v>
      </c>
      <c r="AW9" s="495" t="str">
        <f>X17</f>
        <v/>
      </c>
      <c r="AX9" s="495" t="str">
        <f t="shared" ref="AX9" si="15">AW8</f>
        <v/>
      </c>
      <c r="AY9" s="496" t="s">
        <v>793</v>
      </c>
    </row>
    <row r="10" spans="1:51" ht="15.95" customHeight="1" thickBot="1" x14ac:dyDescent="0.25">
      <c r="A10" s="435">
        <v>6</v>
      </c>
      <c r="B10" s="444" t="str">
        <f t="shared" ca="1" si="1"/>
        <v/>
      </c>
      <c r="C10" s="444" t="str">
        <f t="shared" ca="1" si="2"/>
        <v/>
      </c>
      <c r="D10" s="444" t="str">
        <f t="shared" ca="1" si="3"/>
        <v/>
      </c>
      <c r="E10" s="486">
        <f t="shared" ca="1" si="4"/>
        <v>0</v>
      </c>
      <c r="F10" s="489">
        <v>16</v>
      </c>
      <c r="G10" s="488" t="str">
        <f t="shared" ca="1" si="5"/>
        <v/>
      </c>
      <c r="H10" s="898" t="str">
        <f t="shared" ca="1" si="6"/>
        <v/>
      </c>
      <c r="I10" s="898" t="str">
        <f t="shared" ca="1" si="0"/>
        <v/>
      </c>
      <c r="J10" s="898" t="str">
        <f t="shared" ca="1" si="0"/>
        <v/>
      </c>
      <c r="K10" s="447"/>
      <c r="L10" s="473" t="str">
        <f ca="1">VLOOKUP(L9,$A$5:$G$24,7,FALSE)</f>
        <v/>
      </c>
      <c r="M10" s="466" t="str">
        <f ca="1">IFERROR(VLOOKUP(L10,$G$5:$J$28,3,FALSE),"")</f>
        <v/>
      </c>
      <c r="N10" s="967"/>
      <c r="Q10" s="447"/>
      <c r="R10" s="473" t="str">
        <f>IF(ISBLANK(N14),"",IF(O14+N14&gt;N16+O16,L15,L17))</f>
        <v/>
      </c>
      <c r="S10" s="466" t="str">
        <f ca="1">IFERROR(VLOOKUP(R10,$G$5:$J$28,3,FALSE),"")</f>
        <v/>
      </c>
      <c r="T10" s="967"/>
      <c r="W10" s="447"/>
      <c r="X10" s="473" t="str">
        <f>IF(ISBLANK(T14),"",IF(U14+T14&gt;T16+U16,R15,R17))</f>
        <v/>
      </c>
      <c r="Y10" s="466" t="str">
        <f ca="1">IFERROR(VLOOKUP(X10,$G$5:$J$28,3,FALSE),"")</f>
        <v/>
      </c>
      <c r="Z10" s="967"/>
      <c r="AF10" s="453" t="s">
        <v>788</v>
      </c>
      <c r="AG10" s="435" t="str">
        <f>IF(ISBLANK(Z14),"",IF(Z14+AA14&lt;Z16+AA16,X15,X17))</f>
        <v/>
      </c>
      <c r="AH10" s="478" t="str">
        <f t="shared" ca="1" si="7"/>
        <v/>
      </c>
      <c r="AI10" s="474" t="str">
        <f t="shared" ca="1" si="8"/>
        <v/>
      </c>
      <c r="AJ10" s="915" t="str">
        <f t="shared" ca="1" si="9"/>
        <v/>
      </c>
      <c r="AN10" s="494">
        <f>K21</f>
        <v>5</v>
      </c>
      <c r="AO10" s="495" t="str">
        <f ca="1">L22</f>
        <v/>
      </c>
      <c r="AP10" s="784" t="str">
        <f t="shared" ref="AP10" ca="1" si="16">AO11</f>
        <v/>
      </c>
      <c r="AQ10" s="496" t="s">
        <v>793</v>
      </c>
      <c r="AR10" s="494">
        <f>Q21</f>
        <v>5</v>
      </c>
      <c r="AS10" s="495" t="str">
        <f>R22</f>
        <v/>
      </c>
      <c r="AT10" s="495" t="str">
        <f t="shared" ref="AT10" si="17">AS11</f>
        <v/>
      </c>
      <c r="AU10" s="496" t="s">
        <v>793</v>
      </c>
      <c r="AV10" s="494">
        <f>W21</f>
        <v>5</v>
      </c>
      <c r="AW10" s="495" t="str">
        <f>X22</f>
        <v/>
      </c>
      <c r="AX10" s="495" t="str">
        <f t="shared" ref="AX10" si="18">AW11</f>
        <v/>
      </c>
      <c r="AY10" s="496" t="s">
        <v>793</v>
      </c>
    </row>
    <row r="11" spans="1:51" ht="15.95" customHeight="1" x14ac:dyDescent="0.2">
      <c r="A11" s="435">
        <v>7</v>
      </c>
      <c r="B11" s="444" t="str">
        <f t="shared" ca="1" si="1"/>
        <v/>
      </c>
      <c r="C11" s="444" t="str">
        <f t="shared" ca="1" si="2"/>
        <v/>
      </c>
      <c r="D11" s="444" t="str">
        <f t="shared" ca="1" si="3"/>
        <v/>
      </c>
      <c r="E11" s="486">
        <f t="shared" ca="1" si="4"/>
        <v>0</v>
      </c>
      <c r="F11" s="489">
        <v>17</v>
      </c>
      <c r="G11" s="488" t="str">
        <f t="shared" ca="1" si="5"/>
        <v/>
      </c>
      <c r="H11" s="898" t="str">
        <f t="shared" ca="1" si="6"/>
        <v/>
      </c>
      <c r="I11" s="898" t="str">
        <f t="shared" ca="1" si="0"/>
        <v/>
      </c>
      <c r="J11" s="898" t="str">
        <f t="shared" ca="1" si="0"/>
        <v/>
      </c>
      <c r="K11" s="450"/>
      <c r="L11" s="450"/>
      <c r="M11" s="450"/>
      <c r="N11" s="451"/>
      <c r="O11" s="450"/>
      <c r="P11" s="450"/>
      <c r="Q11" s="450"/>
      <c r="R11" s="437"/>
      <c r="S11" s="437"/>
      <c r="T11" s="451"/>
      <c r="U11" s="450"/>
      <c r="V11" s="450"/>
      <c r="W11" s="450"/>
      <c r="X11" s="450"/>
      <c r="Y11" s="450"/>
      <c r="Z11" s="451"/>
      <c r="AA11" s="450"/>
      <c r="AF11" s="453" t="s">
        <v>789</v>
      </c>
      <c r="AG11" s="435" t="str">
        <f>IF(ISBLANK(Z21),"",IF(Z21+AA21&gt;Z23+AA23,X22,X24))</f>
        <v/>
      </c>
      <c r="AH11" s="478" t="str">
        <f t="shared" ca="1" si="7"/>
        <v/>
      </c>
      <c r="AI11" s="474" t="str">
        <f t="shared" ca="1" si="8"/>
        <v/>
      </c>
      <c r="AJ11" s="915" t="str">
        <f t="shared" ca="1" si="9"/>
        <v/>
      </c>
      <c r="AN11" s="494">
        <f>K23</f>
        <v>6</v>
      </c>
      <c r="AO11" s="495" t="str">
        <f ca="1">L24</f>
        <v/>
      </c>
      <c r="AP11" s="784" t="str">
        <f t="shared" ref="AP11" ca="1" si="19">AO10</f>
        <v/>
      </c>
      <c r="AQ11" s="496" t="s">
        <v>793</v>
      </c>
      <c r="AR11" s="494">
        <f>Q23</f>
        <v>6</v>
      </c>
      <c r="AS11" s="495" t="str">
        <f>R24</f>
        <v/>
      </c>
      <c r="AT11" s="495" t="str">
        <f t="shared" ref="AT11" si="20">AS10</f>
        <v/>
      </c>
      <c r="AU11" s="496" t="s">
        <v>793</v>
      </c>
      <c r="AV11" s="494">
        <f>W23</f>
        <v>6</v>
      </c>
      <c r="AW11" s="495" t="str">
        <f>X24</f>
        <v/>
      </c>
      <c r="AX11" s="495" t="str">
        <f t="shared" ref="AX11" si="21">AW10</f>
        <v/>
      </c>
      <c r="AY11" s="496" t="s">
        <v>793</v>
      </c>
    </row>
    <row r="12" spans="1:51" ht="15.95" customHeight="1" thickBot="1" x14ac:dyDescent="0.25">
      <c r="A12" s="435">
        <v>8</v>
      </c>
      <c r="B12" s="444" t="str">
        <f t="shared" ca="1" si="1"/>
        <v/>
      </c>
      <c r="C12" s="444" t="str">
        <f t="shared" ca="1" si="2"/>
        <v/>
      </c>
      <c r="D12" s="444" t="str">
        <f t="shared" ca="1" si="3"/>
        <v/>
      </c>
      <c r="E12" s="486">
        <f t="shared" ca="1" si="4"/>
        <v>0</v>
      </c>
      <c r="F12" s="489">
        <v>18</v>
      </c>
      <c r="G12" s="488" t="str">
        <f t="shared" ca="1" si="5"/>
        <v/>
      </c>
      <c r="H12" s="898" t="str">
        <f t="shared" ca="1" si="6"/>
        <v/>
      </c>
      <c r="I12" s="898" t="str">
        <f t="shared" ca="1" si="0"/>
        <v/>
      </c>
      <c r="J12" s="898" t="str">
        <f t="shared" ca="1" si="0"/>
        <v/>
      </c>
      <c r="K12" s="450"/>
      <c r="L12" s="450"/>
      <c r="M12" s="450"/>
      <c r="N12" s="451"/>
      <c r="O12" s="450"/>
      <c r="P12" s="450"/>
      <c r="Q12" s="450"/>
      <c r="R12" s="437"/>
      <c r="S12" s="437"/>
      <c r="T12" s="451"/>
      <c r="U12" s="450"/>
      <c r="V12" s="450"/>
      <c r="W12" s="450"/>
      <c r="X12" s="979" t="s">
        <v>787</v>
      </c>
      <c r="Y12" s="1247"/>
      <c r="Z12" s="1247"/>
      <c r="AA12" s="450"/>
      <c r="AF12" s="453" t="s">
        <v>790</v>
      </c>
      <c r="AG12" s="435" t="str">
        <f>IF(ISBLANK(Z21),"",IF(Z21+AA21&lt;Z23+AA23,X22,X24))</f>
        <v/>
      </c>
      <c r="AH12" s="478" t="str">
        <f t="shared" ca="1" si="7"/>
        <v/>
      </c>
      <c r="AI12" s="474" t="str">
        <f t="shared" ca="1" si="8"/>
        <v/>
      </c>
      <c r="AJ12" s="915" t="str">
        <f t="shared" ca="1" si="9"/>
        <v/>
      </c>
      <c r="AN12" s="494">
        <f>K28</f>
        <v>7</v>
      </c>
      <c r="AO12" s="495" t="str">
        <f ca="1">L29</f>
        <v/>
      </c>
      <c r="AP12" s="784" t="str">
        <f t="shared" ref="AP12" ca="1" si="22">AO13</f>
        <v/>
      </c>
      <c r="AQ12" s="496" t="s">
        <v>793</v>
      </c>
      <c r="AR12" s="494">
        <f>Q28</f>
        <v>7</v>
      </c>
      <c r="AS12" s="495" t="str">
        <f>R29</f>
        <v/>
      </c>
      <c r="AT12" s="495" t="str">
        <f t="shared" ref="AT12" si="23">AS13</f>
        <v/>
      </c>
      <c r="AU12" s="496" t="s">
        <v>793</v>
      </c>
      <c r="AV12" s="494">
        <f>W28</f>
        <v>7</v>
      </c>
      <c r="AW12" s="495" t="str">
        <f>X29</f>
        <v/>
      </c>
      <c r="AX12" s="495" t="str">
        <f t="shared" ref="AX12" si="24">AW13</f>
        <v/>
      </c>
      <c r="AY12" s="496" t="s">
        <v>793</v>
      </c>
    </row>
    <row r="13" spans="1:51" ht="15.95" customHeight="1" thickBot="1" x14ac:dyDescent="0.25">
      <c r="A13" s="435">
        <v>9</v>
      </c>
      <c r="B13" s="444" t="str">
        <f t="shared" ca="1" si="1"/>
        <v/>
      </c>
      <c r="C13" s="444" t="str">
        <f t="shared" ca="1" si="2"/>
        <v/>
      </c>
      <c r="D13" s="444" t="str">
        <f t="shared" ca="1" si="3"/>
        <v/>
      </c>
      <c r="E13" s="486">
        <f t="shared" ca="1" si="4"/>
        <v>0</v>
      </c>
      <c r="F13" s="489">
        <v>19</v>
      </c>
      <c r="G13" s="488" t="str">
        <f t="shared" ca="1" si="5"/>
        <v/>
      </c>
      <c r="H13" s="898" t="str">
        <f t="shared" ca="1" si="6"/>
        <v/>
      </c>
      <c r="I13" s="898" t="str">
        <f t="shared" ca="1" si="0"/>
        <v/>
      </c>
      <c r="J13" s="898" t="str">
        <f t="shared" ca="1" si="0"/>
        <v/>
      </c>
      <c r="K13" s="445" t="s">
        <v>779</v>
      </c>
      <c r="L13" s="463" t="s">
        <v>1083</v>
      </c>
      <c r="M13" s="456" t="s">
        <v>481</v>
      </c>
      <c r="N13" s="464" t="s">
        <v>3</v>
      </c>
      <c r="O13" s="446" t="s">
        <v>781</v>
      </c>
      <c r="P13" s="445"/>
      <c r="Q13" s="445" t="s">
        <v>779</v>
      </c>
      <c r="R13" s="463" t="s">
        <v>1083</v>
      </c>
      <c r="S13" s="456" t="s">
        <v>481</v>
      </c>
      <c r="T13" s="464" t="s">
        <v>3</v>
      </c>
      <c r="U13" s="446" t="s">
        <v>781</v>
      </c>
      <c r="V13" s="445"/>
      <c r="W13" s="445" t="s">
        <v>779</v>
      </c>
      <c r="X13" s="463" t="s">
        <v>1083</v>
      </c>
      <c r="Y13" s="456" t="s">
        <v>481</v>
      </c>
      <c r="Z13" s="464" t="s">
        <v>3</v>
      </c>
      <c r="AA13" s="446" t="s">
        <v>781</v>
      </c>
      <c r="AF13" s="453" t="s">
        <v>791</v>
      </c>
      <c r="AG13" s="435" t="str">
        <f>IF(ISBLANK(Z28),"",IF(Z28+AA28&gt;Z30+AA30,X29,X31))</f>
        <v/>
      </c>
      <c r="AH13" s="478" t="str">
        <f t="shared" ca="1" si="7"/>
        <v/>
      </c>
      <c r="AI13" s="474" t="str">
        <f t="shared" ca="1" si="8"/>
        <v/>
      </c>
      <c r="AJ13" s="915" t="str">
        <f t="shared" ca="1" si="9"/>
        <v/>
      </c>
      <c r="AN13" s="494">
        <f>K30</f>
        <v>8</v>
      </c>
      <c r="AO13" s="495" t="str">
        <f ca="1">L31</f>
        <v/>
      </c>
      <c r="AP13" s="784" t="str">
        <f t="shared" ref="AP13" ca="1" si="25">AO12</f>
        <v/>
      </c>
      <c r="AQ13" s="496" t="s">
        <v>793</v>
      </c>
      <c r="AR13" s="494">
        <f>Q30</f>
        <v>8</v>
      </c>
      <c r="AS13" s="495" t="str">
        <f>R31</f>
        <v/>
      </c>
      <c r="AT13" s="495" t="str">
        <f t="shared" ref="AT13" si="26">AS12</f>
        <v/>
      </c>
      <c r="AU13" s="496" t="s">
        <v>793</v>
      </c>
      <c r="AV13" s="494">
        <f>W30</f>
        <v>8</v>
      </c>
      <c r="AW13" s="495" t="str">
        <f>X31</f>
        <v/>
      </c>
      <c r="AX13" s="495" t="str">
        <f t="shared" ref="AX13" si="27">AW12</f>
        <v/>
      </c>
      <c r="AY13" s="496" t="s">
        <v>793</v>
      </c>
    </row>
    <row r="14" spans="1:51" ht="15.95" customHeight="1" x14ac:dyDescent="0.2">
      <c r="A14" s="435">
        <v>10</v>
      </c>
      <c r="B14" s="444" t="str">
        <f t="shared" ca="1" si="1"/>
        <v/>
      </c>
      <c r="C14" s="444" t="str">
        <f t="shared" ca="1" si="2"/>
        <v/>
      </c>
      <c r="D14" s="444" t="str">
        <f t="shared" ca="1" si="3"/>
        <v/>
      </c>
      <c r="E14" s="486">
        <f t="shared" ca="1" si="4"/>
        <v>0</v>
      </c>
      <c r="F14" s="489">
        <v>20</v>
      </c>
      <c r="G14" s="488" t="str">
        <f t="shared" ca="1" si="5"/>
        <v/>
      </c>
      <c r="H14" s="898" t="str">
        <f t="shared" ca="1" si="6"/>
        <v/>
      </c>
      <c r="I14" s="898" t="str">
        <f t="shared" ca="1" si="0"/>
        <v/>
      </c>
      <c r="J14" s="898" t="str">
        <f t="shared" ca="1" si="0"/>
        <v/>
      </c>
      <c r="K14" s="447">
        <f>K9+1</f>
        <v>3</v>
      </c>
      <c r="L14" s="472">
        <v>4</v>
      </c>
      <c r="M14" s="465" t="str">
        <f ca="1">IFERROR(VLOOKUP(L15,$G$5:$J$28,2,FALSE),"")</f>
        <v/>
      </c>
      <c r="N14" s="966"/>
      <c r="O14" s="518"/>
      <c r="Q14" s="447">
        <f>Q9+1</f>
        <v>3</v>
      </c>
      <c r="R14" s="472">
        <v>3</v>
      </c>
      <c r="S14" s="465" t="str">
        <f ca="1">IFERROR(VLOOKUP(R15,$G$5:$J$28,2,FALSE),"")</f>
        <v/>
      </c>
      <c r="T14" s="966"/>
      <c r="U14" s="518"/>
      <c r="W14" s="447">
        <f>W9+1</f>
        <v>3</v>
      </c>
      <c r="X14" s="472">
        <v>4</v>
      </c>
      <c r="Y14" s="465" t="str">
        <f ca="1">IFERROR(VLOOKUP(X15,$G$5:$J$28,2,FALSE),"")</f>
        <v/>
      </c>
      <c r="Z14" s="966"/>
      <c r="AA14" s="518"/>
      <c r="AF14" s="453" t="s">
        <v>792</v>
      </c>
      <c r="AG14" s="435" t="str">
        <f>IF(ISBLANK(Z28),"",IF(Z28+AA28&lt;Z30+AA30,X29,X31))</f>
        <v/>
      </c>
      <c r="AH14" s="478" t="str">
        <f t="shared" ca="1" si="7"/>
        <v/>
      </c>
      <c r="AI14" s="474" t="str">
        <f t="shared" ca="1" si="8"/>
        <v/>
      </c>
      <c r="AJ14" s="915" t="str">
        <f t="shared" ca="1" si="9"/>
        <v/>
      </c>
      <c r="AN14" s="494">
        <f>K38</f>
        <v>9</v>
      </c>
      <c r="AO14" s="495" t="str">
        <f ca="1">L39</f>
        <v/>
      </c>
      <c r="AP14" s="784" t="str">
        <f t="shared" ref="AP14" ca="1" si="28">AO15</f>
        <v/>
      </c>
      <c r="AQ14" s="496" t="s">
        <v>793</v>
      </c>
      <c r="AR14" s="494">
        <f>Q38</f>
        <v>9</v>
      </c>
      <c r="AS14" s="495" t="str">
        <f ca="1">R39</f>
        <v/>
      </c>
      <c r="AT14" s="495" t="str">
        <f t="shared" ref="AT14" ca="1" si="29">AS15</f>
        <v/>
      </c>
      <c r="AU14" s="496" t="s">
        <v>793</v>
      </c>
      <c r="AV14" s="494">
        <f>W38</f>
        <v>9</v>
      </c>
      <c r="AW14" s="495" t="str">
        <f ca="1">X39</f>
        <v/>
      </c>
      <c r="AX14" s="495" t="str">
        <f t="shared" ref="AX14" ca="1" si="30">AW15</f>
        <v/>
      </c>
      <c r="AY14" s="496" t="s">
        <v>793</v>
      </c>
    </row>
    <row r="15" spans="1:51" ht="15.95" customHeight="1" thickBot="1" x14ac:dyDescent="0.25">
      <c r="F15" s="489">
        <v>21</v>
      </c>
      <c r="G15" s="488" t="str">
        <f t="shared" si="5"/>
        <v/>
      </c>
      <c r="H15" s="898" t="str">
        <f t="shared" si="6"/>
        <v/>
      </c>
      <c r="I15" s="898" t="str">
        <f t="shared" si="0"/>
        <v/>
      </c>
      <c r="J15" s="898" t="str">
        <f t="shared" si="0"/>
        <v/>
      </c>
      <c r="K15" s="447"/>
      <c r="L15" s="473" t="str">
        <f ca="1">VLOOKUP(L14,$A$5:$G$24,7,FALSE)</f>
        <v/>
      </c>
      <c r="M15" s="466" t="str">
        <f ca="1">IFERROR(VLOOKUP(L15,$G$5:$J$28,3,FALSE),"")</f>
        <v/>
      </c>
      <c r="N15" s="967"/>
      <c r="Q15" s="447"/>
      <c r="R15" s="473" t="str">
        <f>IF(ISBLANK(N21),"",IF(N21+O21&gt;N23+O23,L22,L24))</f>
        <v/>
      </c>
      <c r="S15" s="466" t="str">
        <f ca="1">IFERROR(VLOOKUP(R15,$G$5:$J$28,3,FALSE),"")</f>
        <v/>
      </c>
      <c r="T15" s="967"/>
      <c r="W15" s="447"/>
      <c r="X15" s="473" t="str">
        <f>IF(ISBLANK(T7),"",IF(U7+T7&lt;T9+U9,R8,R10))</f>
        <v/>
      </c>
      <c r="Y15" s="466" t="str">
        <f ca="1">IFERROR(VLOOKUP(X15,$G$5:$J$28,3,FALSE),"")</f>
        <v/>
      </c>
      <c r="Z15" s="967"/>
      <c r="AF15" s="453" t="s">
        <v>794</v>
      </c>
      <c r="AG15" s="435" t="str">
        <f ca="1">IF(ISBLANK(T44),"",IF(T44+U44&gt;Z44+AA44,R45,X45))</f>
        <v/>
      </c>
      <c r="AH15" s="478" t="str">
        <f t="shared" ca="1" si="7"/>
        <v/>
      </c>
      <c r="AI15" s="474" t="str">
        <f t="shared" ca="1" si="8"/>
        <v/>
      </c>
      <c r="AJ15" s="915" t="str">
        <f t="shared" ca="1" si="9"/>
        <v/>
      </c>
      <c r="AN15" s="494">
        <f>K40</f>
        <v>10</v>
      </c>
      <c r="AO15" s="495" t="str">
        <f ca="1">L41</f>
        <v/>
      </c>
      <c r="AP15" s="784" t="str">
        <f t="shared" ref="AP15" ca="1" si="31">AO14</f>
        <v/>
      </c>
      <c r="AQ15" s="496" t="s">
        <v>793</v>
      </c>
      <c r="AR15" s="494">
        <f>Q40</f>
        <v>10</v>
      </c>
      <c r="AS15" s="495" t="str">
        <f ca="1">R41</f>
        <v/>
      </c>
      <c r="AT15" s="495" t="str">
        <f t="shared" ref="AT15" ca="1" si="32">AS14</f>
        <v/>
      </c>
      <c r="AU15" s="496" t="s">
        <v>793</v>
      </c>
      <c r="AV15" s="494">
        <f>W40</f>
        <v>10</v>
      </c>
      <c r="AW15" s="495" t="str">
        <f ca="1">X41</f>
        <v/>
      </c>
      <c r="AX15" s="495" t="str">
        <f t="shared" ref="AX15" ca="1" si="33">AW14</f>
        <v/>
      </c>
      <c r="AY15" s="496" t="s">
        <v>793</v>
      </c>
    </row>
    <row r="16" spans="1:51" ht="15.95" customHeight="1" thickBot="1" x14ac:dyDescent="0.25">
      <c r="F16" s="489">
        <v>22</v>
      </c>
      <c r="G16" s="488" t="str">
        <f t="shared" si="5"/>
        <v/>
      </c>
      <c r="H16" s="898" t="str">
        <f t="shared" si="6"/>
        <v/>
      </c>
      <c r="I16" s="898" t="str">
        <f t="shared" si="0"/>
        <v/>
      </c>
      <c r="J16" s="898" t="str">
        <f t="shared" si="0"/>
        <v/>
      </c>
      <c r="K16" s="447">
        <f>K14+1</f>
        <v>4</v>
      </c>
      <c r="L16" s="472">
        <v>5</v>
      </c>
      <c r="M16" s="465" t="str">
        <f ca="1">IFERROR(VLOOKUP(L17,$G$5:$J$28,2,FALSE),"")</f>
        <v/>
      </c>
      <c r="N16" s="966"/>
      <c r="O16" s="519"/>
      <c r="Q16" s="447">
        <f>Q14+1</f>
        <v>4</v>
      </c>
      <c r="R16" s="472">
        <v>2</v>
      </c>
      <c r="S16" s="465" t="str">
        <f ca="1">IFERROR(VLOOKUP(R17,$G$5:$J$28,2,FALSE),"")</f>
        <v/>
      </c>
      <c r="T16" s="966"/>
      <c r="U16" s="519"/>
      <c r="W16" s="447">
        <f>W14+1</f>
        <v>4</v>
      </c>
      <c r="X16" s="472">
        <v>3</v>
      </c>
      <c r="Y16" s="465" t="str">
        <f ca="1">IFERROR(VLOOKUP(X17,$G$5:$J$28,2,FALSE),"")</f>
        <v/>
      </c>
      <c r="Z16" s="966"/>
      <c r="AA16" s="519"/>
      <c r="AF16" s="453" t="s">
        <v>795</v>
      </c>
      <c r="AG16" s="435" t="str">
        <f ca="1">IF(ISBLANK(T44),"",IF(T44+U44&lt;Z44+AA44,R45,X45))</f>
        <v/>
      </c>
      <c r="AH16" s="480" t="str">
        <f t="shared" ca="1" si="7"/>
        <v/>
      </c>
      <c r="AI16" s="481" t="str">
        <f t="shared" ca="1" si="8"/>
        <v/>
      </c>
      <c r="AJ16" s="916" t="str">
        <f t="shared" ca="1" si="9"/>
        <v/>
      </c>
      <c r="AN16" s="494"/>
      <c r="AO16" s="495"/>
      <c r="AP16" s="495"/>
      <c r="AQ16" s="496"/>
      <c r="AR16" s="494"/>
      <c r="AS16" s="495"/>
      <c r="AT16" s="495"/>
      <c r="AU16" s="496"/>
      <c r="AV16" s="494"/>
      <c r="AW16" s="495"/>
      <c r="AX16" s="495"/>
      <c r="AY16" s="496"/>
    </row>
    <row r="17" spans="6:51" ht="15.95" customHeight="1" thickBot="1" x14ac:dyDescent="0.25">
      <c r="F17" s="489">
        <v>23</v>
      </c>
      <c r="G17" s="488" t="str">
        <f t="shared" si="5"/>
        <v/>
      </c>
      <c r="H17" s="898" t="str">
        <f t="shared" si="6"/>
        <v/>
      </c>
      <c r="I17" s="898" t="str">
        <f t="shared" si="0"/>
        <v/>
      </c>
      <c r="J17" s="898" t="str">
        <f t="shared" si="0"/>
        <v/>
      </c>
      <c r="K17" s="447"/>
      <c r="L17" s="473" t="str">
        <f ca="1">VLOOKUP(L16,$A$5:$G$24,7,FALSE)</f>
        <v/>
      </c>
      <c r="M17" s="466" t="str">
        <f ca="1">IFERROR(VLOOKUP(L17,$G$5:$J$28,3,FALSE),"")</f>
        <v/>
      </c>
      <c r="N17" s="967"/>
      <c r="Q17" s="447"/>
      <c r="R17" s="473" t="str">
        <f>IF(ISBLANK(N28),"",IF(N28+O28&gt;N30+O30,L29,L31))</f>
        <v/>
      </c>
      <c r="S17" s="466" t="str">
        <f ca="1">IFERROR(VLOOKUP(R17,$G$5:$J$28,3,FALSE),"")</f>
        <v/>
      </c>
      <c r="T17" s="967"/>
      <c r="W17" s="447"/>
      <c r="X17" s="473" t="str">
        <f>IF(ISBLANK(T14),"",IF(U14+T14&lt;T16+U16,R15,R17))</f>
        <v/>
      </c>
      <c r="Y17" s="466" t="str">
        <f ca="1">IFERROR(VLOOKUP(X17,$G$5:$J$28,3,FALSE),"")</f>
        <v/>
      </c>
      <c r="Z17" s="967"/>
      <c r="AF17" s="453"/>
      <c r="AG17" s="453"/>
      <c r="AH17" s="453"/>
      <c r="AI17" s="453"/>
      <c r="AJ17" s="453"/>
      <c r="AN17" s="494"/>
      <c r="AO17" s="495"/>
      <c r="AP17" s="495"/>
      <c r="AQ17" s="496"/>
      <c r="AR17" s="494"/>
      <c r="AS17" s="495"/>
      <c r="AT17" s="495"/>
      <c r="AU17" s="496"/>
      <c r="AV17" s="494"/>
      <c r="AW17" s="495"/>
      <c r="AX17" s="495"/>
      <c r="AY17" s="496"/>
    </row>
    <row r="18" spans="6:51" ht="15.95" customHeight="1" x14ac:dyDescent="0.2">
      <c r="F18" s="489">
        <v>24</v>
      </c>
      <c r="G18" s="488" t="str">
        <f t="shared" si="5"/>
        <v/>
      </c>
      <c r="H18" s="898" t="str">
        <f t="shared" si="6"/>
        <v/>
      </c>
      <c r="I18" s="898" t="str">
        <f t="shared" si="0"/>
        <v/>
      </c>
      <c r="J18" s="898" t="str">
        <f t="shared" si="0"/>
        <v/>
      </c>
      <c r="K18" s="450"/>
      <c r="L18" s="450"/>
      <c r="M18" s="450"/>
      <c r="N18" s="451"/>
      <c r="O18" s="450"/>
      <c r="P18" s="450"/>
      <c r="Q18" s="450"/>
      <c r="R18" s="450"/>
      <c r="S18" s="450"/>
      <c r="T18" s="451"/>
      <c r="U18" s="450"/>
      <c r="V18" s="450"/>
      <c r="W18" s="450"/>
      <c r="X18" s="450"/>
      <c r="Y18" s="450"/>
      <c r="Z18" s="451"/>
      <c r="AA18" s="450"/>
      <c r="AF18" s="453"/>
      <c r="AG18" s="453"/>
      <c r="AH18" s="453"/>
      <c r="AI18" s="453"/>
      <c r="AJ18" s="453"/>
      <c r="AN18" s="494"/>
      <c r="AO18" s="495"/>
      <c r="AP18" s="495"/>
      <c r="AQ18" s="496"/>
      <c r="AR18" s="494"/>
      <c r="AS18" s="495"/>
      <c r="AT18" s="495"/>
      <c r="AU18" s="496"/>
      <c r="AV18" s="494"/>
      <c r="AW18" s="495"/>
      <c r="AX18" s="495"/>
      <c r="AY18" s="496"/>
    </row>
    <row r="19" spans="6:51" ht="15.95" customHeight="1" thickBot="1" x14ac:dyDescent="0.25">
      <c r="F19" s="489">
        <v>25</v>
      </c>
      <c r="G19" s="488" t="str">
        <f t="shared" si="5"/>
        <v/>
      </c>
      <c r="H19" s="898" t="str">
        <f t="shared" si="6"/>
        <v/>
      </c>
      <c r="I19" s="898" t="str">
        <f t="shared" si="0"/>
        <v/>
      </c>
      <c r="J19" s="898" t="str">
        <f t="shared" si="0"/>
        <v/>
      </c>
      <c r="K19" s="450"/>
      <c r="L19" s="454"/>
      <c r="M19" s="454"/>
      <c r="N19" s="455"/>
      <c r="O19" s="450"/>
      <c r="P19" s="450"/>
      <c r="Q19" s="450"/>
      <c r="R19" s="979" t="s">
        <v>819</v>
      </c>
      <c r="S19" s="1247"/>
      <c r="T19" s="1247"/>
      <c r="U19" s="450"/>
      <c r="V19" s="450"/>
      <c r="W19" s="450"/>
      <c r="X19" s="979" t="s">
        <v>820</v>
      </c>
      <c r="Y19" s="1247"/>
      <c r="Z19" s="1247"/>
      <c r="AA19" s="450"/>
      <c r="AB19" s="435" t="s">
        <v>793</v>
      </c>
      <c r="AF19" s="453"/>
      <c r="AG19" s="453"/>
      <c r="AH19" s="453"/>
      <c r="AI19" s="453"/>
      <c r="AJ19" s="453"/>
      <c r="AN19" s="494"/>
      <c r="AO19" s="495"/>
      <c r="AP19" s="495"/>
      <c r="AQ19" s="496"/>
      <c r="AR19" s="494"/>
      <c r="AS19" s="495"/>
      <c r="AT19" s="495"/>
      <c r="AU19" s="496"/>
      <c r="AV19" s="494"/>
      <c r="AW19" s="495"/>
      <c r="AX19" s="495"/>
      <c r="AY19" s="496"/>
    </row>
    <row r="20" spans="6:51" ht="15.95" customHeight="1" thickBot="1" x14ac:dyDescent="0.25">
      <c r="F20" s="489">
        <v>26</v>
      </c>
      <c r="G20" s="488" t="str">
        <f t="shared" si="5"/>
        <v/>
      </c>
      <c r="H20" s="898" t="str">
        <f t="shared" si="6"/>
        <v/>
      </c>
      <c r="I20" s="898" t="str">
        <f t="shared" si="0"/>
        <v/>
      </c>
      <c r="J20" s="898" t="str">
        <f t="shared" si="0"/>
        <v/>
      </c>
      <c r="K20" s="445" t="s">
        <v>779</v>
      </c>
      <c r="L20" s="463" t="s">
        <v>1083</v>
      </c>
      <c r="M20" s="456" t="s">
        <v>481</v>
      </c>
      <c r="N20" s="464" t="s">
        <v>3</v>
      </c>
      <c r="O20" s="446" t="s">
        <v>781</v>
      </c>
      <c r="P20" s="445"/>
      <c r="Q20" s="445" t="s">
        <v>779</v>
      </c>
      <c r="R20" s="463" t="s">
        <v>1083</v>
      </c>
      <c r="S20" s="456" t="s">
        <v>481</v>
      </c>
      <c r="T20" s="464" t="s">
        <v>3</v>
      </c>
      <c r="U20" s="446" t="s">
        <v>781</v>
      </c>
      <c r="V20" s="445"/>
      <c r="W20" s="445" t="s">
        <v>779</v>
      </c>
      <c r="X20" s="463" t="s">
        <v>1083</v>
      </c>
      <c r="Y20" s="456" t="s">
        <v>481</v>
      </c>
      <c r="Z20" s="464" t="s">
        <v>3</v>
      </c>
      <c r="AA20" s="446" t="s">
        <v>781</v>
      </c>
      <c r="AF20" s="453"/>
      <c r="AG20" s="453"/>
      <c r="AH20" s="453"/>
      <c r="AI20" s="453"/>
      <c r="AJ20" s="453"/>
      <c r="AN20" s="494"/>
      <c r="AO20" s="495"/>
      <c r="AP20" s="495"/>
      <c r="AQ20" s="496"/>
      <c r="AR20" s="494"/>
      <c r="AS20" s="495"/>
      <c r="AT20" s="495"/>
      <c r="AU20" s="496"/>
      <c r="AV20" s="494"/>
      <c r="AW20" s="495"/>
      <c r="AX20" s="495"/>
      <c r="AY20" s="496" t="s">
        <v>793</v>
      </c>
    </row>
    <row r="21" spans="6:51" ht="15.95" customHeight="1" x14ac:dyDescent="0.2">
      <c r="F21" s="489">
        <v>27</v>
      </c>
      <c r="G21" s="488" t="str">
        <f t="shared" si="5"/>
        <v/>
      </c>
      <c r="H21" s="898" t="str">
        <f t="shared" si="6"/>
        <v/>
      </c>
      <c r="I21" s="898" t="str">
        <f t="shared" si="6"/>
        <v/>
      </c>
      <c r="J21" s="898" t="str">
        <f t="shared" si="6"/>
        <v/>
      </c>
      <c r="K21" s="447">
        <f>K16+1</f>
        <v>5</v>
      </c>
      <c r="L21" s="472">
        <v>3</v>
      </c>
      <c r="M21" s="465" t="str">
        <f ca="1">IFERROR(VLOOKUP(L22,$G$5:$J$28,2,FALSE),"")</f>
        <v/>
      </c>
      <c r="N21" s="966"/>
      <c r="O21" s="518"/>
      <c r="Q21" s="447">
        <f>Q16+1</f>
        <v>5</v>
      </c>
      <c r="R21" s="472">
        <v>8</v>
      </c>
      <c r="S21" s="465" t="str">
        <f ca="1">IFERROR(VLOOKUP(R22,$G$5:$J$28,2,FALSE),"")</f>
        <v/>
      </c>
      <c r="T21" s="966"/>
      <c r="U21" s="518"/>
      <c r="W21" s="447">
        <f>W16+1</f>
        <v>5</v>
      </c>
      <c r="X21" s="472">
        <v>5</v>
      </c>
      <c r="Y21" s="465" t="str">
        <f ca="1">IFERROR(VLOOKUP(X22,$G$5:$J$28,2,FALSE),"")</f>
        <v/>
      </c>
      <c r="Z21" s="966"/>
      <c r="AA21" s="518"/>
      <c r="AF21" s="453"/>
      <c r="AG21" s="453"/>
      <c r="AH21" s="453"/>
      <c r="AI21" s="453"/>
      <c r="AJ21" s="453"/>
      <c r="AN21" s="494"/>
      <c r="AO21" s="495"/>
      <c r="AP21" s="495"/>
      <c r="AQ21" s="496"/>
      <c r="AR21" s="494"/>
      <c r="AS21" s="495"/>
      <c r="AT21" s="495"/>
      <c r="AU21" s="496"/>
      <c r="AV21" s="494"/>
      <c r="AW21" s="495"/>
      <c r="AX21" s="495"/>
      <c r="AY21" s="496" t="s">
        <v>793</v>
      </c>
    </row>
    <row r="22" spans="6:51" ht="15.95" customHeight="1" thickBot="1" x14ac:dyDescent="0.25">
      <c r="F22" s="489">
        <v>28</v>
      </c>
      <c r="G22" s="488" t="str">
        <f t="shared" si="5"/>
        <v/>
      </c>
      <c r="H22" s="898" t="str">
        <f t="shared" si="6"/>
        <v/>
      </c>
      <c r="I22" s="898" t="str">
        <f t="shared" si="6"/>
        <v/>
      </c>
      <c r="J22" s="898" t="str">
        <f t="shared" si="6"/>
        <v/>
      </c>
      <c r="K22" s="447"/>
      <c r="L22" s="473" t="str">
        <f ca="1">VLOOKUP(L21,$A$5:$G$24,7,FALSE)</f>
        <v/>
      </c>
      <c r="M22" s="466" t="str">
        <f ca="1">IFERROR(VLOOKUP(L22,$G$5:$J$28,3,FALSE),"")</f>
        <v/>
      </c>
      <c r="N22" s="967"/>
      <c r="Q22" s="447"/>
      <c r="R22" s="473" t="str">
        <f>IF(ISBLANK(N7),"",IF(O7+N7&lt;N9+O9,L8,L10))</f>
        <v/>
      </c>
      <c r="S22" s="466" t="str">
        <f ca="1">IFERROR(VLOOKUP(R22,$G$5:$J$28,3,FALSE),"")</f>
        <v/>
      </c>
      <c r="T22" s="967"/>
      <c r="W22" s="447"/>
      <c r="X22" s="473" t="str">
        <f>IF(ISBLANK(T21),"",IF(U21+T21&gt;T23+U23,R22,R24))</f>
        <v/>
      </c>
      <c r="Y22" s="466" t="str">
        <f ca="1">IFERROR(VLOOKUP(X22,$G$5:$J$28,3,FALSE),"")</f>
        <v/>
      </c>
      <c r="Z22" s="967"/>
      <c r="AF22" s="453"/>
      <c r="AG22" s="453"/>
      <c r="AH22" s="453"/>
      <c r="AI22" s="453"/>
      <c r="AJ22" s="453"/>
      <c r="AN22" s="494"/>
      <c r="AO22" s="495"/>
      <c r="AP22" s="495"/>
      <c r="AQ22" s="496"/>
      <c r="AR22" s="494"/>
      <c r="AS22" s="495"/>
      <c r="AT22" s="495"/>
      <c r="AU22" s="496"/>
      <c r="AV22" s="494"/>
      <c r="AW22" s="495"/>
      <c r="AX22" s="495"/>
      <c r="AY22" s="496" t="s">
        <v>793</v>
      </c>
    </row>
    <row r="23" spans="6:51" ht="15.95" customHeight="1" x14ac:dyDescent="0.2">
      <c r="F23" s="489">
        <v>29</v>
      </c>
      <c r="G23" s="488" t="str">
        <f t="shared" si="5"/>
        <v/>
      </c>
      <c r="H23" s="898" t="str">
        <f t="shared" si="6"/>
        <v/>
      </c>
      <c r="I23" s="898" t="str">
        <f t="shared" si="6"/>
        <v/>
      </c>
      <c r="J23" s="898" t="str">
        <f t="shared" si="6"/>
        <v/>
      </c>
      <c r="K23" s="447">
        <f>K21+1</f>
        <v>6</v>
      </c>
      <c r="L23" s="472">
        <v>6</v>
      </c>
      <c r="M23" s="465" t="str">
        <f ca="1">IFERROR(VLOOKUP(L24,$G$5:$J$28,2,FALSE),"")</f>
        <v/>
      </c>
      <c r="N23" s="966"/>
      <c r="O23" s="519"/>
      <c r="Q23" s="447">
        <f>Q21+1</f>
        <v>6</v>
      </c>
      <c r="R23" s="472">
        <v>5</v>
      </c>
      <c r="S23" s="465" t="str">
        <f ca="1">IFERROR(VLOOKUP(R24,$G$5:$J$28,2,FALSE),"")</f>
        <v/>
      </c>
      <c r="T23" s="966"/>
      <c r="U23" s="519"/>
      <c r="W23" s="447">
        <f>W21+1</f>
        <v>6</v>
      </c>
      <c r="X23" s="472">
        <v>6</v>
      </c>
      <c r="Y23" s="465" t="str">
        <f ca="1">IFERROR(VLOOKUP(X24,$G$5:$J$28,2,FALSE),"")</f>
        <v/>
      </c>
      <c r="Z23" s="966"/>
      <c r="AA23" s="519"/>
      <c r="AF23" s="453"/>
      <c r="AG23" s="453"/>
      <c r="AH23" s="453"/>
      <c r="AI23" s="453"/>
      <c r="AJ23" s="453"/>
      <c r="AN23" s="494"/>
      <c r="AO23" s="495"/>
      <c r="AP23" s="495"/>
      <c r="AQ23" s="496"/>
      <c r="AR23" s="494"/>
      <c r="AS23" s="495"/>
      <c r="AT23" s="495"/>
      <c r="AU23" s="496"/>
      <c r="AV23" s="494"/>
      <c r="AW23" s="495"/>
      <c r="AX23" s="495"/>
      <c r="AY23" s="496" t="s">
        <v>793</v>
      </c>
    </row>
    <row r="24" spans="6:51" ht="15.95" customHeight="1" thickBot="1" x14ac:dyDescent="0.25">
      <c r="F24" s="489">
        <v>30</v>
      </c>
      <c r="G24" s="488" t="str">
        <f t="shared" si="5"/>
        <v/>
      </c>
      <c r="H24" s="898" t="str">
        <f t="shared" si="6"/>
        <v/>
      </c>
      <c r="I24" s="898" t="str">
        <f t="shared" si="6"/>
        <v/>
      </c>
      <c r="J24" s="898" t="str">
        <f t="shared" si="6"/>
        <v/>
      </c>
      <c r="K24" s="447"/>
      <c r="L24" s="473" t="str">
        <f ca="1">VLOOKUP(L23,$A$5:$G$24,7,FALSE)</f>
        <v/>
      </c>
      <c r="M24" s="466" t="str">
        <f ca="1">IFERROR(VLOOKUP(L24,$G$5:$J$28,3,FALSE),"")</f>
        <v/>
      </c>
      <c r="N24" s="967"/>
      <c r="Q24" s="447"/>
      <c r="R24" s="473" t="str">
        <f>IF(ISBLANK(N14),"",IF(O14+N14&lt;N16+O16,L15,L17))</f>
        <v/>
      </c>
      <c r="S24" s="466" t="str">
        <f ca="1">IFERROR(VLOOKUP(R24,$G$5:$J$28,3,FALSE),"")</f>
        <v/>
      </c>
      <c r="T24" s="967"/>
      <c r="W24" s="447"/>
      <c r="X24" s="473" t="str">
        <f>IF(ISBLANK(T28),"",IF(U28+T28&gt;T30+U30,R29,R31))</f>
        <v/>
      </c>
      <c r="Y24" s="466" t="str">
        <f ca="1">IFERROR(VLOOKUP(X24,$G$5:$J$28,3,FALSE),"")</f>
        <v/>
      </c>
      <c r="Z24" s="967"/>
      <c r="AF24" s="453"/>
      <c r="AG24" s="453"/>
      <c r="AH24" s="453"/>
      <c r="AI24" s="453"/>
      <c r="AJ24" s="453"/>
      <c r="AN24" s="494"/>
      <c r="AO24" s="495"/>
      <c r="AP24" s="495"/>
      <c r="AQ24" s="496"/>
      <c r="AR24" s="494"/>
      <c r="AS24" s="495"/>
      <c r="AT24" s="495"/>
      <c r="AU24" s="496"/>
      <c r="AV24" s="494"/>
      <c r="AW24" s="495"/>
      <c r="AX24" s="495"/>
      <c r="AY24" s="496" t="s">
        <v>793</v>
      </c>
    </row>
    <row r="25" spans="6:51" ht="15.95" customHeight="1" x14ac:dyDescent="0.2">
      <c r="F25" s="489">
        <v>31</v>
      </c>
      <c r="G25" s="488" t="str">
        <f t="shared" si="5"/>
        <v/>
      </c>
      <c r="H25" s="898" t="str">
        <f t="shared" si="6"/>
        <v/>
      </c>
      <c r="I25" s="898" t="str">
        <f t="shared" si="6"/>
        <v/>
      </c>
      <c r="J25" s="898" t="str">
        <f t="shared" si="6"/>
        <v/>
      </c>
      <c r="K25" s="447"/>
      <c r="L25" s="441"/>
      <c r="M25" s="441"/>
      <c r="Q25" s="447"/>
      <c r="R25" s="437"/>
      <c r="S25" s="437"/>
      <c r="T25" s="451"/>
      <c r="W25" s="447"/>
      <c r="X25" s="441"/>
      <c r="Y25" s="441"/>
      <c r="AF25" s="453"/>
      <c r="AG25" s="453"/>
      <c r="AH25" s="453"/>
      <c r="AI25" s="453"/>
      <c r="AJ25" s="453"/>
      <c r="AN25" s="494"/>
      <c r="AO25" s="495"/>
      <c r="AP25" s="495"/>
      <c r="AQ25" s="496"/>
      <c r="AR25" s="494"/>
      <c r="AS25" s="495"/>
      <c r="AT25" s="495"/>
      <c r="AU25" s="496"/>
      <c r="AV25" s="494"/>
      <c r="AW25" s="495"/>
      <c r="AX25" s="495"/>
      <c r="AY25" s="496" t="s">
        <v>793</v>
      </c>
    </row>
    <row r="26" spans="6:51" ht="15.95" customHeight="1" thickBot="1" x14ac:dyDescent="0.25">
      <c r="F26" s="489">
        <v>32</v>
      </c>
      <c r="G26" s="488" t="str">
        <f t="shared" si="5"/>
        <v/>
      </c>
      <c r="H26" s="898" t="str">
        <f t="shared" si="6"/>
        <v/>
      </c>
      <c r="I26" s="898" t="str">
        <f t="shared" si="6"/>
        <v/>
      </c>
      <c r="J26" s="898" t="str">
        <f t="shared" si="6"/>
        <v/>
      </c>
      <c r="K26" s="450"/>
      <c r="L26" s="450"/>
      <c r="M26" s="450"/>
      <c r="N26" s="451"/>
      <c r="O26" s="450"/>
      <c r="P26" s="450"/>
      <c r="Q26" s="450"/>
      <c r="R26" s="437"/>
      <c r="S26" s="437"/>
      <c r="T26" s="451"/>
      <c r="U26" s="450"/>
      <c r="V26" s="450"/>
      <c r="W26" s="450"/>
      <c r="X26" s="979" t="s">
        <v>821</v>
      </c>
      <c r="Y26" s="1247"/>
      <c r="Z26" s="1247"/>
      <c r="AA26" s="450"/>
      <c r="AF26" s="453"/>
      <c r="AG26" s="453"/>
      <c r="AH26" s="453"/>
      <c r="AI26" s="453"/>
      <c r="AJ26" s="453"/>
      <c r="AN26" s="494"/>
      <c r="AO26" s="495"/>
      <c r="AP26" s="495"/>
      <c r="AQ26" s="496"/>
      <c r="AR26" s="494"/>
      <c r="AS26" s="495"/>
      <c r="AT26" s="495"/>
      <c r="AU26" s="496"/>
      <c r="AV26" s="494"/>
      <c r="AW26" s="495"/>
      <c r="AX26" s="495"/>
      <c r="AY26" s="496" t="s">
        <v>793</v>
      </c>
    </row>
    <row r="27" spans="6:51" ht="15.95" customHeight="1" thickBot="1" x14ac:dyDescent="0.25">
      <c r="F27" s="489">
        <v>33</v>
      </c>
      <c r="G27" s="488" t="str">
        <f t="shared" si="5"/>
        <v/>
      </c>
      <c r="H27" s="898" t="str">
        <f t="shared" si="6"/>
        <v/>
      </c>
      <c r="I27" s="898" t="str">
        <f t="shared" si="6"/>
        <v/>
      </c>
      <c r="J27" s="898" t="str">
        <f t="shared" si="6"/>
        <v/>
      </c>
      <c r="K27" s="445" t="s">
        <v>779</v>
      </c>
      <c r="L27" s="463" t="s">
        <v>1083</v>
      </c>
      <c r="M27" s="456" t="s">
        <v>481</v>
      </c>
      <c r="N27" s="464" t="s">
        <v>3</v>
      </c>
      <c r="O27" s="446" t="s">
        <v>781</v>
      </c>
      <c r="P27" s="445"/>
      <c r="Q27" s="445" t="s">
        <v>779</v>
      </c>
      <c r="R27" s="463" t="s">
        <v>1083</v>
      </c>
      <c r="S27" s="456" t="s">
        <v>481</v>
      </c>
      <c r="T27" s="464" t="s">
        <v>3</v>
      </c>
      <c r="U27" s="446" t="s">
        <v>781</v>
      </c>
      <c r="V27" s="445"/>
      <c r="W27" s="445" t="s">
        <v>779</v>
      </c>
      <c r="X27" s="463" t="s">
        <v>1083</v>
      </c>
      <c r="Y27" s="456" t="s">
        <v>481</v>
      </c>
      <c r="Z27" s="464" t="s">
        <v>3</v>
      </c>
      <c r="AA27" s="446" t="s">
        <v>781</v>
      </c>
      <c r="AF27" s="453"/>
      <c r="AG27" s="453"/>
      <c r="AH27" s="453"/>
      <c r="AI27" s="453"/>
      <c r="AJ27" s="453"/>
      <c r="AN27" s="494"/>
      <c r="AO27" s="495"/>
      <c r="AP27" s="495"/>
      <c r="AQ27" s="496"/>
      <c r="AR27" s="494"/>
      <c r="AS27" s="495"/>
      <c r="AT27" s="495"/>
      <c r="AU27" s="496"/>
      <c r="AV27" s="494"/>
      <c r="AW27" s="495"/>
      <c r="AX27" s="495"/>
      <c r="AY27" s="496" t="s">
        <v>793</v>
      </c>
    </row>
    <row r="28" spans="6:51" ht="15.95" customHeight="1" x14ac:dyDescent="0.2">
      <c r="F28" s="489">
        <v>34</v>
      </c>
      <c r="G28" s="488" t="str">
        <f t="shared" si="5"/>
        <v/>
      </c>
      <c r="H28" s="898" t="str">
        <f t="shared" si="6"/>
        <v/>
      </c>
      <c r="I28" s="898" t="str">
        <f t="shared" si="6"/>
        <v/>
      </c>
      <c r="J28" s="898" t="str">
        <f t="shared" si="6"/>
        <v/>
      </c>
      <c r="K28" s="447">
        <f>K23+1</f>
        <v>7</v>
      </c>
      <c r="L28" s="472">
        <v>2</v>
      </c>
      <c r="M28" s="465" t="str">
        <f ca="1">IFERROR(VLOOKUP(L29,$G$5:$J$28,2,FALSE),"")</f>
        <v/>
      </c>
      <c r="N28" s="966"/>
      <c r="O28" s="518"/>
      <c r="Q28" s="447">
        <f>Q23+1</f>
        <v>7</v>
      </c>
      <c r="R28" s="472">
        <v>6</v>
      </c>
      <c r="S28" s="465" t="str">
        <f ca="1">IFERROR(VLOOKUP(R29,$G$5:$J$28,2,FALSE),"")</f>
        <v/>
      </c>
      <c r="T28" s="966"/>
      <c r="U28" s="518"/>
      <c r="W28" s="447">
        <f>W23+1</f>
        <v>7</v>
      </c>
      <c r="X28" s="472">
        <v>8</v>
      </c>
      <c r="Y28" s="465" t="str">
        <f ca="1">IFERROR(VLOOKUP(X29,$G$5:$J$28,2,FALSE),"")</f>
        <v/>
      </c>
      <c r="Z28" s="966"/>
      <c r="AA28" s="518"/>
      <c r="AF28" s="453"/>
      <c r="AG28" s="453"/>
      <c r="AH28" s="453"/>
      <c r="AI28" s="453"/>
      <c r="AJ28" s="453"/>
      <c r="AN28" s="494"/>
      <c r="AO28" s="495"/>
      <c r="AP28" s="495"/>
      <c r="AQ28" s="496"/>
      <c r="AR28" s="494"/>
      <c r="AS28" s="495"/>
      <c r="AT28" s="495"/>
      <c r="AU28" s="496"/>
      <c r="AV28" s="494"/>
      <c r="AW28" s="495"/>
      <c r="AX28" s="495"/>
      <c r="AY28" s="496" t="s">
        <v>793</v>
      </c>
    </row>
    <row r="29" spans="6:51" ht="15.95" customHeight="1" thickBot="1" x14ac:dyDescent="0.25">
      <c r="I29" s="437"/>
      <c r="J29" s="437"/>
      <c r="K29" s="447"/>
      <c r="L29" s="473" t="str">
        <f ca="1">VLOOKUP(L28,$A$5:$G$24,7,FALSE)</f>
        <v/>
      </c>
      <c r="M29" s="466" t="str">
        <f ca="1">IFERROR(VLOOKUP(L29,$G$5:$J$28,3,FALSE),"")</f>
        <v/>
      </c>
      <c r="N29" s="967"/>
      <c r="Q29" s="447"/>
      <c r="R29" s="473" t="str">
        <f>IF(ISBLANK(N21),"",IF(N21+O21&lt;N23+O23,L22,L24))</f>
        <v/>
      </c>
      <c r="S29" s="466" t="str">
        <f ca="1">IFERROR(VLOOKUP(R29,$G$5:$J$28,3,FALSE),"")</f>
        <v/>
      </c>
      <c r="T29" s="967"/>
      <c r="W29" s="447"/>
      <c r="X29" s="473" t="str">
        <f>IF(ISBLANK(T21),"",IF(U21+T21&lt;T23+U23,R22,R24))</f>
        <v/>
      </c>
      <c r="Y29" s="466" t="str">
        <f ca="1">IFERROR(VLOOKUP(X29,$G$5:$J$28,3,FALSE),"")</f>
        <v/>
      </c>
      <c r="Z29" s="967"/>
      <c r="AF29" s="453"/>
      <c r="AG29" s="453"/>
      <c r="AH29" s="453"/>
      <c r="AI29" s="453"/>
      <c r="AJ29" s="453"/>
      <c r="AN29" s="494"/>
      <c r="AO29" s="495"/>
      <c r="AP29" s="495"/>
      <c r="AQ29" s="496"/>
      <c r="AR29" s="494"/>
      <c r="AS29" s="495"/>
      <c r="AT29" s="495"/>
      <c r="AU29" s="496"/>
      <c r="AV29" s="494"/>
      <c r="AW29" s="495"/>
      <c r="AX29" s="495"/>
      <c r="AY29" s="496" t="s">
        <v>793</v>
      </c>
    </row>
    <row r="30" spans="6:51" ht="15.95" customHeight="1" x14ac:dyDescent="0.2">
      <c r="I30" s="437"/>
      <c r="J30" s="437"/>
      <c r="K30" s="447">
        <f>K28+1</f>
        <v>8</v>
      </c>
      <c r="L30" s="472">
        <v>7</v>
      </c>
      <c r="M30" s="465" t="str">
        <f ca="1">IFERROR(VLOOKUP(L31,$G$5:$J$28,2,FALSE),"")</f>
        <v/>
      </c>
      <c r="N30" s="966"/>
      <c r="O30" s="519"/>
      <c r="Q30" s="447">
        <f>Q28+1</f>
        <v>8</v>
      </c>
      <c r="R30" s="472">
        <v>7</v>
      </c>
      <c r="S30" s="465" t="str">
        <f ca="1">IFERROR(VLOOKUP(R31,$G$5:$J$28,2,FALSE),"")</f>
        <v/>
      </c>
      <c r="T30" s="966"/>
      <c r="U30" s="519"/>
      <c r="W30" s="447">
        <f>W28+1</f>
        <v>8</v>
      </c>
      <c r="X30" s="472">
        <v>7</v>
      </c>
      <c r="Y30" s="465" t="str">
        <f ca="1">IFERROR(VLOOKUP(X31,$G$5:$J$28,2,FALSE),"")</f>
        <v/>
      </c>
      <c r="Z30" s="966"/>
      <c r="AA30" s="519"/>
      <c r="AF30" s="453"/>
      <c r="AG30" s="453"/>
      <c r="AH30" s="453"/>
      <c r="AI30" s="453"/>
      <c r="AJ30" s="453"/>
    </row>
    <row r="31" spans="6:51" ht="15.95" customHeight="1" thickBot="1" x14ac:dyDescent="0.25">
      <c r="I31" s="437"/>
      <c r="J31" s="437"/>
      <c r="K31" s="447"/>
      <c r="L31" s="473" t="str">
        <f ca="1">VLOOKUP(L30,$A$5:$G$24,7,FALSE)</f>
        <v/>
      </c>
      <c r="M31" s="466" t="str">
        <f ca="1">IFERROR(VLOOKUP(L31,$G$5:$J$28,3,FALSE),"")</f>
        <v/>
      </c>
      <c r="N31" s="967"/>
      <c r="Q31" s="447"/>
      <c r="R31" s="473" t="str">
        <f>IF(ISBLANK(N28),"",IF(N28+O28&lt;N30+O30,L29,L31))</f>
        <v/>
      </c>
      <c r="S31" s="466" t="str">
        <f ca="1">IFERROR(VLOOKUP(R31,$G$5:$J$28,3,FALSE),"")</f>
        <v/>
      </c>
      <c r="T31" s="967"/>
      <c r="W31" s="447"/>
      <c r="X31" s="473" t="str">
        <f>IF(ISBLANK(T28),"",IF(U28+T28&lt;T30+U30,R29,R31))</f>
        <v/>
      </c>
      <c r="Y31" s="466" t="str">
        <f ca="1">IFERROR(VLOOKUP(X31,$G$5:$J$28,3,FALSE),"")</f>
        <v/>
      </c>
      <c r="Z31" s="967"/>
      <c r="AF31" s="453"/>
      <c r="AG31" s="453"/>
    </row>
    <row r="32" spans="6:51" ht="15.95" customHeight="1" x14ac:dyDescent="0.2">
      <c r="I32" s="437"/>
      <c r="J32" s="437"/>
      <c r="K32" s="450"/>
      <c r="L32" s="437"/>
      <c r="M32" s="437"/>
      <c r="N32" s="451"/>
      <c r="O32" s="450"/>
      <c r="P32" s="450"/>
      <c r="Q32" s="450"/>
      <c r="R32" s="437"/>
      <c r="S32" s="437"/>
      <c r="T32" s="451"/>
      <c r="U32" s="450"/>
      <c r="V32" s="450"/>
      <c r="W32" s="450"/>
      <c r="X32" s="437"/>
      <c r="Y32" s="437"/>
      <c r="Z32" s="451"/>
      <c r="AA32" s="450"/>
      <c r="AF32" s="453"/>
      <c r="AG32" s="453"/>
    </row>
    <row r="33" spans="4:33" ht="15.95" customHeight="1" thickBot="1" x14ac:dyDescent="0.25">
      <c r="I33" s="437"/>
      <c r="J33" s="437"/>
      <c r="X33" s="979"/>
      <c r="Y33" s="1247"/>
      <c r="Z33" s="1247"/>
      <c r="AF33" s="453"/>
      <c r="AG33" s="453"/>
    </row>
    <row r="34" spans="4:33" ht="15.95" customHeight="1" x14ac:dyDescent="0.2">
      <c r="I34" s="437"/>
      <c r="J34" s="437"/>
      <c r="K34" s="450"/>
      <c r="M34" s="982" t="s">
        <v>1310</v>
      </c>
      <c r="N34" s="983"/>
      <c r="O34" s="983"/>
      <c r="P34" s="983"/>
      <c r="Q34" s="983"/>
      <c r="R34" s="983"/>
      <c r="S34" s="983"/>
      <c r="T34" s="983"/>
      <c r="U34" s="983"/>
      <c r="V34" s="983"/>
      <c r="W34" s="983"/>
      <c r="X34" s="983"/>
      <c r="Y34" s="983"/>
      <c r="Z34" s="984"/>
      <c r="AF34" s="453"/>
      <c r="AG34" s="453"/>
    </row>
    <row r="35" spans="4:33" ht="15.95" customHeight="1" thickBot="1" x14ac:dyDescent="0.25">
      <c r="I35" s="437"/>
      <c r="J35" s="437"/>
      <c r="M35" s="985"/>
      <c r="N35" s="986"/>
      <c r="O35" s="986"/>
      <c r="P35" s="986"/>
      <c r="Q35" s="986"/>
      <c r="R35" s="986"/>
      <c r="S35" s="986"/>
      <c r="T35" s="986"/>
      <c r="U35" s="986"/>
      <c r="V35" s="986"/>
      <c r="W35" s="986"/>
      <c r="X35" s="986"/>
      <c r="Y35" s="986"/>
      <c r="Z35" s="987"/>
      <c r="AF35" s="453"/>
      <c r="AG35" s="453"/>
    </row>
    <row r="36" spans="4:33" ht="15.95" customHeight="1" thickBot="1" x14ac:dyDescent="0.25">
      <c r="I36" s="437"/>
      <c r="J36" s="437"/>
      <c r="AF36" s="453"/>
      <c r="AG36" s="453"/>
    </row>
    <row r="37" spans="4:33" ht="15.95" customHeight="1" thickBot="1" x14ac:dyDescent="0.25">
      <c r="I37" s="437"/>
      <c r="K37" s="445" t="s">
        <v>779</v>
      </c>
      <c r="L37" s="463" t="s">
        <v>1083</v>
      </c>
      <c r="M37" s="456" t="s">
        <v>481</v>
      </c>
      <c r="N37" s="464" t="s">
        <v>3</v>
      </c>
      <c r="O37" s="446" t="s">
        <v>781</v>
      </c>
      <c r="P37" s="445"/>
      <c r="Q37" s="445" t="s">
        <v>779</v>
      </c>
      <c r="R37" s="463" t="s">
        <v>1083</v>
      </c>
      <c r="S37" s="456" t="s">
        <v>481</v>
      </c>
      <c r="T37" s="464" t="s">
        <v>3</v>
      </c>
      <c r="U37" s="446" t="s">
        <v>781</v>
      </c>
      <c r="V37" s="445"/>
      <c r="W37" s="445" t="s">
        <v>779</v>
      </c>
      <c r="X37" s="463" t="s">
        <v>1083</v>
      </c>
      <c r="Y37" s="456" t="s">
        <v>481</v>
      </c>
      <c r="Z37" s="464" t="s">
        <v>3</v>
      </c>
      <c r="AA37" s="446" t="s">
        <v>781</v>
      </c>
      <c r="AF37" s="453"/>
      <c r="AG37" s="453"/>
    </row>
    <row r="38" spans="4:33" ht="15.95" customHeight="1" thickBot="1" x14ac:dyDescent="0.25">
      <c r="I38" s="437"/>
      <c r="K38" s="447">
        <f>K30+1</f>
        <v>9</v>
      </c>
      <c r="L38" s="472">
        <v>9</v>
      </c>
      <c r="M38" s="465" t="str">
        <f ca="1">IFERROR(VLOOKUP(L39,$G$5:$J$28,2,FALSE),"")</f>
        <v/>
      </c>
      <c r="N38" s="966"/>
      <c r="O38" s="780"/>
      <c r="Q38" s="447">
        <f>Q30+1</f>
        <v>9</v>
      </c>
      <c r="R38" s="472">
        <v>9</v>
      </c>
      <c r="S38" s="465" t="str">
        <f ca="1">IFERROR(VLOOKUP(R39,$G$5:$J$28,2,FALSE),"")</f>
        <v/>
      </c>
      <c r="T38" s="966"/>
      <c r="U38" s="780"/>
      <c r="W38" s="447">
        <f>W30+1</f>
        <v>9</v>
      </c>
      <c r="X38" s="472">
        <v>9</v>
      </c>
      <c r="Y38" s="465" t="str">
        <f ca="1">IFERROR(VLOOKUP(X39,$G$5:$J$28,2,FALSE),"")</f>
        <v/>
      </c>
      <c r="Z38" s="966"/>
      <c r="AA38" s="780"/>
      <c r="AF38" s="453"/>
      <c r="AG38" s="453"/>
    </row>
    <row r="39" spans="4:33" ht="15.95" customHeight="1" thickBot="1" x14ac:dyDescent="0.25">
      <c r="I39" s="437"/>
      <c r="K39" s="447"/>
      <c r="L39" s="473" t="str">
        <f ca="1">VLOOKUP(L38,$A$5:$G$24,7,FALSE)</f>
        <v/>
      </c>
      <c r="M39" s="466" t="str">
        <f ca="1">IFERROR(VLOOKUP(L39,$G$5:$J$28,3,FALSE),"")</f>
        <v/>
      </c>
      <c r="N39" s="967"/>
      <c r="Q39" s="447"/>
      <c r="R39" s="473" t="str">
        <f ca="1">L39</f>
        <v/>
      </c>
      <c r="S39" s="466" t="str">
        <f ca="1">IFERROR(VLOOKUP(R39,$G$5:$J$28,3,FALSE),"")</f>
        <v/>
      </c>
      <c r="T39" s="967"/>
      <c r="W39" s="447"/>
      <c r="X39" s="473" t="str">
        <f ca="1">R39</f>
        <v/>
      </c>
      <c r="Y39" s="466" t="str">
        <f ca="1">IFERROR(VLOOKUP(X39,$G$5:$J$28,3,FALSE),"")</f>
        <v/>
      </c>
      <c r="Z39" s="967"/>
      <c r="AF39" s="453"/>
      <c r="AG39" s="453"/>
    </row>
    <row r="40" spans="4:33" ht="15.95" customHeight="1" thickBot="1" x14ac:dyDescent="0.25">
      <c r="I40" s="437"/>
      <c r="K40" s="447">
        <v>10</v>
      </c>
      <c r="L40" s="472">
        <v>10</v>
      </c>
      <c r="M40" s="465" t="str">
        <f ca="1">IFERROR(VLOOKUP(L41,$G$5:$J$28,2,FALSE),"")</f>
        <v/>
      </c>
      <c r="N40" s="966"/>
      <c r="O40" s="780"/>
      <c r="Q40" s="447">
        <f>Q38+1</f>
        <v>10</v>
      </c>
      <c r="R40" s="472">
        <v>10</v>
      </c>
      <c r="S40" s="465" t="str">
        <f ca="1">IFERROR(VLOOKUP(R41,$G$5:$J$28,2,FALSE),"")</f>
        <v/>
      </c>
      <c r="T40" s="966"/>
      <c r="U40" s="780"/>
      <c r="W40" s="447">
        <f>W38+1</f>
        <v>10</v>
      </c>
      <c r="X40" s="472">
        <v>10</v>
      </c>
      <c r="Y40" s="465" t="str">
        <f ca="1">IFERROR(VLOOKUP(X41,$G$5:$J$28,2,FALSE),"")</f>
        <v/>
      </c>
      <c r="Z40" s="966"/>
      <c r="AA40" s="780"/>
      <c r="AF40" s="453"/>
      <c r="AG40" s="453"/>
    </row>
    <row r="41" spans="4:33" ht="15.95" customHeight="1" thickBot="1" x14ac:dyDescent="0.25">
      <c r="I41" s="437"/>
      <c r="K41" s="447"/>
      <c r="L41" s="473" t="str">
        <f ca="1">VLOOKUP(L40,$A$5:$G$24,7,FALSE)</f>
        <v/>
      </c>
      <c r="M41" s="466" t="str">
        <f ca="1">IFERROR(VLOOKUP(L41,$G$5:$J$28,3,FALSE),"")</f>
        <v/>
      </c>
      <c r="N41" s="967"/>
      <c r="Q41" s="447"/>
      <c r="R41" s="473" t="str">
        <f ca="1">L41</f>
        <v/>
      </c>
      <c r="S41" s="466" t="str">
        <f ca="1">IFERROR(VLOOKUP(R41,$G$5:$J$28,3,FALSE),"")</f>
        <v/>
      </c>
      <c r="T41" s="967"/>
      <c r="W41" s="447"/>
      <c r="X41" s="473" t="str">
        <f ca="1">R41</f>
        <v/>
      </c>
      <c r="Y41" s="466" t="str">
        <f ca="1">IFERROR(VLOOKUP(X41,$G$5:$J$28,3,FALSE),"")</f>
        <v/>
      </c>
      <c r="Z41" s="967"/>
      <c r="AF41" s="453"/>
      <c r="AG41" s="453"/>
    </row>
    <row r="42" spans="4:33" ht="15.95" customHeight="1" thickBot="1" x14ac:dyDescent="0.25">
      <c r="I42" s="437"/>
      <c r="AF42" s="453"/>
      <c r="AG42" s="453"/>
    </row>
    <row r="43" spans="4:33" ht="15.95" customHeight="1" thickBot="1" x14ac:dyDescent="0.25">
      <c r="I43" s="437"/>
      <c r="K43" s="450"/>
      <c r="L43" s="437"/>
      <c r="M43" s="968" t="s">
        <v>1314</v>
      </c>
      <c r="N43" s="969"/>
      <c r="O43" s="970"/>
      <c r="P43" s="792">
        <f ca="1">IF(Q43=1,5,IF(Q43=2,8,IF(Q43=3,9,"")))</f>
        <v>8</v>
      </c>
      <c r="Q43" s="900">
        <f ca="1">RANK(R43,$R$43:$R$45,0)</f>
        <v>2</v>
      </c>
      <c r="R43" s="901">
        <f>T21+U21/100</f>
        <v>0</v>
      </c>
      <c r="S43" s="902" t="str">
        <f ca="1">L15</f>
        <v/>
      </c>
      <c r="T43" s="903"/>
      <c r="U43" s="904"/>
      <c r="V43" s="905"/>
      <c r="W43" s="905"/>
      <c r="X43" s="905"/>
      <c r="Y43" s="905"/>
      <c r="Z43" s="906"/>
      <c r="AA43" s="907"/>
      <c r="AF43" s="453"/>
      <c r="AG43" s="453"/>
    </row>
    <row r="44" spans="4:33" ht="15.95" customHeight="1" x14ac:dyDescent="0.2">
      <c r="I44" s="437"/>
      <c r="L44" s="437"/>
      <c r="M44" s="971"/>
      <c r="N44" s="972"/>
      <c r="O44" s="973"/>
      <c r="P44" s="892"/>
      <c r="Q44" s="908"/>
      <c r="R44" s="472">
        <v>9</v>
      </c>
      <c r="S44" s="465" t="str">
        <f ca="1">IFERROR(VLOOKUP(R45,$G$5:$J$28,2,FALSE),"")</f>
        <v/>
      </c>
      <c r="T44" s="977">
        <f>L83</f>
        <v>0</v>
      </c>
      <c r="U44" s="892"/>
      <c r="V44" s="892"/>
      <c r="W44" s="892"/>
      <c r="X44" s="472">
        <v>10</v>
      </c>
      <c r="Y44" s="465" t="str">
        <f ca="1">IFERROR(VLOOKUP(X45,$G$5:$J$28,2,FALSE),"")</f>
        <v/>
      </c>
      <c r="Z44" s="977">
        <f>L85</f>
        <v>0</v>
      </c>
      <c r="AA44" s="909"/>
      <c r="AF44" s="453"/>
      <c r="AG44" s="453"/>
    </row>
    <row r="45" spans="4:33" ht="15.95" customHeight="1" thickBot="1" x14ac:dyDescent="0.25">
      <c r="I45" s="437"/>
      <c r="K45" s="450"/>
      <c r="L45" s="437"/>
      <c r="M45" s="971"/>
      <c r="N45" s="972"/>
      <c r="O45" s="973"/>
      <c r="P45" s="892"/>
      <c r="Q45" s="908"/>
      <c r="R45" s="473" t="str">
        <f ca="1">L39</f>
        <v/>
      </c>
      <c r="S45" s="466" t="str">
        <f ca="1">IFERROR(VLOOKUP(R45,$G$5:$J$28,3,FALSE),"")</f>
        <v/>
      </c>
      <c r="T45" s="978"/>
      <c r="U45" s="892"/>
      <c r="V45" s="892"/>
      <c r="W45" s="892"/>
      <c r="X45" s="473" t="str">
        <f ca="1">L41</f>
        <v/>
      </c>
      <c r="Y45" s="466" t="str">
        <f ca="1">IFERROR(VLOOKUP(X45,$G$5:$J$28,3,FALSE),"")</f>
        <v/>
      </c>
      <c r="Z45" s="978"/>
      <c r="AA45" s="909"/>
      <c r="AF45" s="453"/>
      <c r="AG45" s="453"/>
    </row>
    <row r="46" spans="4:33" ht="15.95" customHeight="1" thickBot="1" x14ac:dyDescent="0.25">
      <c r="I46" s="437"/>
      <c r="K46" s="450"/>
      <c r="L46" s="450"/>
      <c r="M46" s="974"/>
      <c r="N46" s="975"/>
      <c r="O46" s="976"/>
      <c r="P46" s="450"/>
      <c r="Q46" s="910"/>
      <c r="R46" s="911"/>
      <c r="S46" s="911"/>
      <c r="T46" s="912"/>
      <c r="U46" s="466"/>
      <c r="V46" s="911"/>
      <c r="W46" s="911"/>
      <c r="X46" s="911"/>
      <c r="Y46" s="911"/>
      <c r="Z46" s="455"/>
      <c r="AA46" s="913"/>
      <c r="AF46" s="453"/>
      <c r="AG46" s="453"/>
    </row>
    <row r="47" spans="4:33" ht="15.95" customHeight="1" x14ac:dyDescent="0.2">
      <c r="D47" s="816"/>
      <c r="E47" s="816"/>
      <c r="F47" s="816"/>
      <c r="G47" s="816"/>
      <c r="H47" s="816"/>
      <c r="I47" s="437"/>
      <c r="J47" s="816"/>
      <c r="K47" s="523"/>
      <c r="L47" s="523"/>
      <c r="M47" s="523"/>
      <c r="N47" s="523"/>
      <c r="O47" s="778"/>
      <c r="P47" s="450"/>
      <c r="Q47" s="450"/>
      <c r="R47" s="450"/>
      <c r="S47" s="450"/>
      <c r="T47" s="815"/>
      <c r="U47" s="778"/>
      <c r="V47" s="450"/>
      <c r="W47" s="450"/>
      <c r="X47" s="450"/>
      <c r="Y47" s="450"/>
      <c r="Z47" s="451"/>
      <c r="AA47" s="450"/>
      <c r="AF47" s="453"/>
      <c r="AG47" s="453"/>
    </row>
    <row r="48" spans="4:33" ht="15.95" customHeight="1" x14ac:dyDescent="0.2">
      <c r="D48" s="816"/>
      <c r="E48" s="816"/>
      <c r="F48" s="816"/>
      <c r="G48" s="816"/>
      <c r="H48" s="816"/>
      <c r="I48" s="437"/>
      <c r="J48" s="816"/>
      <c r="K48" s="523"/>
      <c r="P48" s="778"/>
      <c r="Q48" s="809"/>
      <c r="R48" s="450"/>
      <c r="S48" s="450"/>
      <c r="T48" s="451"/>
      <c r="U48" s="450"/>
      <c r="V48" s="450"/>
      <c r="W48" s="809"/>
      <c r="X48" s="450"/>
      <c r="Y48" s="450"/>
      <c r="Z48" s="451"/>
      <c r="AA48" s="885"/>
      <c r="AF48" s="453"/>
      <c r="AG48" s="453"/>
    </row>
    <row r="49" spans="4:33" ht="15.95" customHeight="1" x14ac:dyDescent="0.2">
      <c r="D49" s="816"/>
      <c r="E49" s="816"/>
      <c r="F49" s="816"/>
      <c r="G49" s="816"/>
      <c r="H49" s="816"/>
      <c r="I49" s="437"/>
      <c r="J49" s="437"/>
      <c r="K49" s="786"/>
      <c r="P49" s="778"/>
      <c r="Q49" s="786"/>
      <c r="R49" s="450"/>
      <c r="S49" s="893"/>
      <c r="T49" s="883"/>
      <c r="U49" s="815"/>
      <c r="V49" s="450"/>
      <c r="W49" s="809"/>
      <c r="X49" s="450"/>
      <c r="Y49" s="450"/>
      <c r="Z49" s="451"/>
      <c r="AA49" s="885"/>
      <c r="AF49" s="453"/>
      <c r="AG49" s="453"/>
    </row>
    <row r="50" spans="4:33" ht="15.95" customHeight="1" x14ac:dyDescent="0.2">
      <c r="D50" s="816"/>
      <c r="E50" s="816"/>
      <c r="F50" s="816"/>
      <c r="G50" s="816"/>
      <c r="H50" s="816"/>
      <c r="I50" s="437"/>
      <c r="J50" s="437"/>
      <c r="K50" s="786"/>
      <c r="P50" s="778"/>
      <c r="Q50" s="786"/>
      <c r="R50" s="450"/>
      <c r="S50" s="893"/>
      <c r="T50" s="883"/>
      <c r="U50" s="815"/>
      <c r="V50" s="450"/>
      <c r="W50" s="809"/>
      <c r="X50" s="450"/>
      <c r="Y50" s="450"/>
      <c r="Z50" s="451"/>
      <c r="AA50" s="885"/>
    </row>
    <row r="51" spans="4:33" ht="15.95" customHeight="1" x14ac:dyDescent="0.2">
      <c r="D51" s="816"/>
      <c r="E51" s="816"/>
      <c r="F51" s="816"/>
      <c r="G51" s="816"/>
      <c r="H51" s="816"/>
      <c r="I51" s="437"/>
      <c r="J51" s="437"/>
      <c r="K51" s="786"/>
      <c r="L51" s="450"/>
      <c r="M51" s="893"/>
      <c r="N51" s="883"/>
      <c r="O51" s="815"/>
      <c r="P51" s="778"/>
      <c r="Q51" s="786"/>
      <c r="R51" s="450"/>
      <c r="S51" s="893"/>
      <c r="T51" s="883"/>
      <c r="U51" s="451"/>
      <c r="V51" s="450"/>
      <c r="W51" s="809"/>
      <c r="X51" s="450"/>
      <c r="Y51" s="450"/>
      <c r="Z51" s="451"/>
      <c r="AA51" s="450"/>
    </row>
    <row r="52" spans="4:33" ht="15.95" customHeight="1" x14ac:dyDescent="0.2">
      <c r="D52" s="816"/>
      <c r="E52" s="816"/>
      <c r="F52" s="816"/>
      <c r="G52" s="816"/>
      <c r="H52" s="816"/>
      <c r="I52" s="437"/>
      <c r="J52" s="437"/>
      <c r="K52" s="523"/>
      <c r="L52" s="523"/>
      <c r="M52" s="523"/>
      <c r="N52" s="523"/>
      <c r="O52" s="778"/>
      <c r="P52" s="778"/>
      <c r="Q52" s="809"/>
      <c r="R52" s="450"/>
      <c r="S52" s="450"/>
      <c r="T52" s="451"/>
      <c r="U52" s="450"/>
      <c r="V52" s="450"/>
      <c r="W52" s="809"/>
      <c r="X52" s="450"/>
      <c r="Y52" s="450"/>
      <c r="Z52" s="451"/>
      <c r="AA52" s="450"/>
    </row>
    <row r="53" spans="4:33" ht="15.95" customHeight="1" x14ac:dyDescent="0.2">
      <c r="D53" s="816"/>
      <c r="E53" s="816"/>
      <c r="F53" s="816"/>
      <c r="G53" s="816"/>
      <c r="H53" s="816"/>
      <c r="I53" s="437"/>
      <c r="J53" s="437"/>
      <c r="K53" s="523"/>
      <c r="L53" s="523"/>
      <c r="M53" s="523"/>
      <c r="N53" s="523"/>
      <c r="O53" s="778"/>
      <c r="P53" s="778"/>
      <c r="Q53" s="809"/>
      <c r="R53" s="450"/>
      <c r="S53" s="450"/>
      <c r="T53" s="451"/>
      <c r="U53" s="450"/>
      <c r="V53" s="450"/>
      <c r="W53" s="809"/>
      <c r="X53" s="450"/>
      <c r="Y53" s="450"/>
      <c r="Z53" s="451"/>
      <c r="AA53" s="450"/>
    </row>
    <row r="54" spans="4:33" ht="15.95" customHeight="1" x14ac:dyDescent="0.2">
      <c r="D54" s="816"/>
      <c r="E54" s="816"/>
      <c r="F54" s="816"/>
      <c r="G54" s="816"/>
      <c r="H54" s="816"/>
      <c r="I54" s="437"/>
      <c r="J54" s="437"/>
      <c r="K54" s="523"/>
      <c r="L54" s="523"/>
      <c r="M54" s="523"/>
      <c r="N54" s="523"/>
      <c r="O54" s="778"/>
      <c r="P54" s="450"/>
      <c r="Q54" s="450"/>
      <c r="R54" s="437"/>
      <c r="S54" s="437"/>
      <c r="T54" s="451"/>
      <c r="U54" s="450"/>
      <c r="V54" s="450"/>
      <c r="W54" s="450"/>
      <c r="X54" s="516"/>
      <c r="Y54" s="457"/>
      <c r="Z54" s="457"/>
      <c r="AA54" s="450"/>
    </row>
    <row r="55" spans="4:33" ht="15.95" customHeight="1" x14ac:dyDescent="0.2">
      <c r="D55" s="816"/>
      <c r="E55" s="816"/>
      <c r="F55" s="816"/>
      <c r="G55" s="816"/>
      <c r="H55" s="816"/>
      <c r="I55" s="437"/>
      <c r="J55" s="437"/>
      <c r="K55" s="523"/>
      <c r="L55" s="523"/>
      <c r="M55" s="523"/>
      <c r="N55" s="523"/>
      <c r="O55" s="778"/>
      <c r="P55" s="778"/>
      <c r="Q55" s="450"/>
      <c r="R55" s="437"/>
      <c r="S55" s="437"/>
      <c r="T55" s="451"/>
      <c r="U55" s="450"/>
      <c r="V55" s="450"/>
      <c r="W55" s="450"/>
      <c r="X55" s="516"/>
      <c r="Y55" s="457"/>
      <c r="Z55" s="457"/>
      <c r="AA55" s="450"/>
    </row>
    <row r="56" spans="4:33" ht="15.95" customHeight="1" x14ac:dyDescent="0.2">
      <c r="D56" s="816"/>
      <c r="E56" s="816"/>
      <c r="F56" s="816"/>
      <c r="G56" s="816"/>
      <c r="H56" s="816"/>
      <c r="I56" s="437"/>
      <c r="J56" s="437"/>
      <c r="K56" s="523"/>
      <c r="L56" s="523"/>
      <c r="M56" s="523"/>
      <c r="N56" s="523"/>
      <c r="O56" s="778"/>
      <c r="P56" s="778"/>
      <c r="Q56" s="450"/>
      <c r="R56" s="437"/>
      <c r="S56" s="437"/>
      <c r="T56" s="451"/>
      <c r="U56" s="450"/>
      <c r="V56" s="450"/>
      <c r="W56" s="450"/>
      <c r="X56" s="516"/>
      <c r="Y56" s="457"/>
      <c r="Z56" s="457"/>
      <c r="AA56" s="450"/>
    </row>
    <row r="57" spans="4:33" ht="15.95" customHeight="1" x14ac:dyDescent="0.2">
      <c r="D57" s="816"/>
      <c r="E57" s="816"/>
      <c r="F57" s="816"/>
      <c r="G57" s="816"/>
      <c r="H57" s="816"/>
      <c r="I57" s="437"/>
      <c r="J57" s="437"/>
      <c r="K57" s="523"/>
      <c r="L57" s="523"/>
      <c r="M57" s="523"/>
      <c r="N57" s="523"/>
      <c r="O57" s="778"/>
      <c r="P57" s="778"/>
      <c r="Q57" s="450"/>
      <c r="R57" s="437"/>
      <c r="S57" s="437"/>
      <c r="T57" s="451"/>
      <c r="U57" s="450"/>
      <c r="V57" s="450"/>
      <c r="W57" s="450"/>
      <c r="X57" s="516"/>
      <c r="Y57" s="457"/>
      <c r="Z57" s="457"/>
      <c r="AA57" s="450"/>
    </row>
    <row r="58" spans="4:33" ht="15.95" customHeight="1" x14ac:dyDescent="0.2">
      <c r="I58" s="437"/>
      <c r="J58" s="437"/>
      <c r="K58" s="523"/>
      <c r="L58" s="523"/>
      <c r="M58" s="523"/>
      <c r="N58" s="523"/>
      <c r="Q58" s="450"/>
      <c r="R58" s="437"/>
      <c r="S58" s="437"/>
      <c r="T58" s="451"/>
      <c r="U58" s="450"/>
      <c r="V58" s="450"/>
      <c r="W58" s="450"/>
      <c r="X58" s="516"/>
      <c r="Y58" s="457"/>
      <c r="Z58" s="457"/>
      <c r="AA58" s="450"/>
    </row>
    <row r="59" spans="4:33" ht="15.95" customHeight="1" x14ac:dyDescent="0.2">
      <c r="I59" s="437"/>
      <c r="J59" s="437"/>
      <c r="K59" s="523"/>
      <c r="L59" s="523"/>
      <c r="M59" s="523"/>
      <c r="N59" s="523"/>
      <c r="Q59" s="450"/>
      <c r="R59" s="437"/>
      <c r="S59" s="437"/>
      <c r="T59" s="451"/>
      <c r="U59" s="450"/>
      <c r="V59" s="450"/>
      <c r="W59" s="450"/>
      <c r="X59" s="516"/>
      <c r="Y59" s="457"/>
      <c r="Z59" s="457"/>
      <c r="AA59" s="450"/>
    </row>
    <row r="60" spans="4:33" ht="15.95" customHeight="1" x14ac:dyDescent="0.2">
      <c r="I60" s="437"/>
      <c r="J60" s="437"/>
      <c r="K60" s="523"/>
      <c r="L60" s="523"/>
      <c r="M60" s="523"/>
      <c r="N60" s="523"/>
      <c r="Q60" s="447"/>
      <c r="X60" s="441"/>
      <c r="Y60" s="441"/>
      <c r="Z60" s="441"/>
    </row>
    <row r="61" spans="4:33" ht="15.95" customHeight="1" x14ac:dyDescent="0.2">
      <c r="I61" s="437"/>
      <c r="J61" s="437"/>
      <c r="K61" s="437"/>
      <c r="L61" s="437"/>
      <c r="M61" s="437"/>
      <c r="N61" s="437"/>
      <c r="T61" s="441"/>
      <c r="X61" s="441"/>
      <c r="Y61" s="441"/>
      <c r="Z61" s="441"/>
    </row>
    <row r="62" spans="4:33" ht="15.95" customHeight="1" x14ac:dyDescent="0.2">
      <c r="I62" s="437"/>
      <c r="J62" s="437"/>
      <c r="K62" s="437"/>
      <c r="L62" s="437"/>
      <c r="M62" s="437"/>
      <c r="N62" s="437"/>
      <c r="O62" s="521"/>
      <c r="T62" s="441"/>
      <c r="X62" s="441"/>
      <c r="Y62" s="441"/>
      <c r="Z62" s="441"/>
    </row>
    <row r="63" spans="4:33" ht="15.95" customHeight="1" x14ac:dyDescent="0.2">
      <c r="I63" s="437"/>
      <c r="J63" s="437"/>
      <c r="K63" s="437"/>
      <c r="L63" s="437"/>
      <c r="M63" s="437"/>
      <c r="N63" s="437"/>
      <c r="O63" s="521"/>
      <c r="T63" s="441"/>
      <c r="X63" s="441"/>
      <c r="Y63" s="441"/>
      <c r="Z63" s="441"/>
    </row>
    <row r="64" spans="4:33" ht="15.95" customHeight="1" x14ac:dyDescent="0.2">
      <c r="I64" s="437"/>
      <c r="J64" s="437"/>
      <c r="K64" s="437"/>
      <c r="L64" s="437"/>
      <c r="M64" s="437"/>
      <c r="N64" s="437"/>
      <c r="O64" s="521"/>
      <c r="T64" s="441"/>
      <c r="X64" s="441"/>
      <c r="Y64" s="441"/>
      <c r="Z64" s="441"/>
    </row>
    <row r="65" spans="9:36" ht="15.95" customHeight="1" x14ac:dyDescent="0.2">
      <c r="I65" s="437"/>
      <c r="J65" s="437"/>
      <c r="K65" s="437"/>
      <c r="L65" s="437"/>
      <c r="M65" s="437"/>
      <c r="N65" s="437"/>
      <c r="O65" s="437"/>
      <c r="P65" s="437"/>
      <c r="Q65" s="437"/>
      <c r="R65" s="437"/>
      <c r="S65" s="437"/>
      <c r="T65" s="437"/>
      <c r="U65" s="437"/>
      <c r="V65" s="437"/>
      <c r="W65" s="437"/>
      <c r="X65" s="437"/>
      <c r="Y65" s="437"/>
      <c r="Z65" s="437"/>
      <c r="AA65" s="437"/>
      <c r="AH65" s="441"/>
      <c r="AI65" s="441"/>
      <c r="AJ65" s="447"/>
    </row>
    <row r="66" spans="9:36" ht="15.95" customHeight="1" x14ac:dyDescent="0.2">
      <c r="I66" s="437"/>
      <c r="J66" s="437"/>
      <c r="K66" s="437"/>
      <c r="L66" s="437"/>
      <c r="M66" s="437"/>
      <c r="N66" s="437"/>
      <c r="O66" s="437"/>
      <c r="P66" s="437"/>
      <c r="Q66" s="437"/>
      <c r="R66" s="437"/>
      <c r="S66" s="437"/>
      <c r="T66" s="437"/>
      <c r="U66" s="437"/>
      <c r="V66" s="437"/>
      <c r="W66" s="437"/>
      <c r="X66" s="437"/>
      <c r="Y66" s="437"/>
      <c r="Z66" s="437"/>
      <c r="AA66" s="437"/>
      <c r="AH66" s="441"/>
      <c r="AI66" s="441"/>
      <c r="AJ66" s="447"/>
    </row>
    <row r="67" spans="9:36" ht="15.95" customHeight="1" x14ac:dyDescent="0.2">
      <c r="I67" s="437"/>
      <c r="J67" s="437"/>
      <c r="K67" s="437"/>
      <c r="L67" s="437"/>
      <c r="M67" s="437"/>
      <c r="N67" s="437"/>
      <c r="O67" s="437"/>
      <c r="P67" s="437"/>
      <c r="Q67" s="437"/>
      <c r="R67" s="437"/>
      <c r="S67" s="437"/>
      <c r="T67" s="437"/>
      <c r="U67" s="437"/>
      <c r="V67" s="437"/>
      <c r="W67" s="437"/>
      <c r="X67" s="437"/>
      <c r="Y67" s="437"/>
      <c r="Z67" s="437"/>
      <c r="AA67" s="437"/>
      <c r="AH67" s="441"/>
      <c r="AI67" s="441"/>
      <c r="AJ67" s="441"/>
    </row>
    <row r="68" spans="9:36" ht="15.95" customHeight="1" x14ac:dyDescent="0.2">
      <c r="I68" s="437"/>
      <c r="J68" s="437"/>
      <c r="K68" s="450"/>
      <c r="L68" s="450"/>
      <c r="M68" s="450"/>
      <c r="N68" s="521"/>
      <c r="O68" s="521"/>
      <c r="P68" s="450"/>
      <c r="Q68" s="450"/>
      <c r="R68" s="437"/>
      <c r="S68" s="437"/>
      <c r="T68" s="451"/>
      <c r="U68" s="450"/>
      <c r="W68" s="450"/>
      <c r="X68" s="516"/>
      <c r="Y68" s="457"/>
      <c r="Z68" s="457"/>
      <c r="AA68" s="450"/>
      <c r="AH68" s="441"/>
      <c r="AI68" s="441"/>
      <c r="AJ68" s="441"/>
    </row>
    <row r="69" spans="9:36" ht="15.95" customHeight="1" x14ac:dyDescent="0.2">
      <c r="I69" s="437"/>
      <c r="J69" s="437"/>
      <c r="K69" s="450"/>
      <c r="L69" s="450"/>
      <c r="M69" s="450"/>
      <c r="N69" s="521"/>
      <c r="O69" s="521"/>
      <c r="P69" s="450"/>
      <c r="Q69" s="450"/>
      <c r="R69" s="437"/>
      <c r="S69" s="437"/>
      <c r="T69" s="451"/>
      <c r="U69" s="450"/>
      <c r="W69" s="450"/>
      <c r="X69" s="516"/>
      <c r="Y69" s="457"/>
      <c r="Z69" s="457"/>
      <c r="AA69" s="450"/>
      <c r="AH69" s="441"/>
      <c r="AI69" s="441"/>
      <c r="AJ69" s="450"/>
    </row>
    <row r="70" spans="9:36" ht="15.95" customHeight="1" x14ac:dyDescent="0.2">
      <c r="I70" s="437"/>
      <c r="J70" s="437"/>
      <c r="K70" s="450"/>
      <c r="L70" s="450"/>
      <c r="M70" s="450"/>
      <c r="N70" s="521"/>
      <c r="O70" s="521"/>
      <c r="P70" s="450"/>
      <c r="Q70" s="450"/>
      <c r="R70" s="437"/>
      <c r="S70" s="437"/>
      <c r="T70" s="451"/>
      <c r="U70" s="450"/>
      <c r="W70" s="450"/>
      <c r="X70" s="516"/>
      <c r="Y70" s="457"/>
      <c r="Z70" s="457"/>
      <c r="AA70" s="450"/>
      <c r="AH70" s="441"/>
      <c r="AI70" s="441"/>
      <c r="AJ70" s="450"/>
    </row>
    <row r="71" spans="9:36" ht="15.95" customHeight="1" x14ac:dyDescent="0.2">
      <c r="I71" s="437"/>
      <c r="J71" s="437"/>
      <c r="K71" s="450"/>
      <c r="L71" s="450"/>
      <c r="M71" s="450"/>
      <c r="N71" s="521"/>
      <c r="O71" s="521"/>
      <c r="P71" s="450"/>
      <c r="Q71" s="450"/>
      <c r="R71" s="437"/>
      <c r="S71" s="437"/>
      <c r="T71" s="451"/>
      <c r="U71" s="450"/>
      <c r="W71" s="450"/>
      <c r="X71" s="516"/>
      <c r="Y71" s="457"/>
      <c r="Z71" s="457"/>
      <c r="AA71" s="450"/>
      <c r="AH71" s="441"/>
      <c r="AI71" s="441"/>
      <c r="AJ71" s="445"/>
    </row>
    <row r="72" spans="9:36" ht="15.95" customHeight="1" x14ac:dyDescent="0.2">
      <c r="I72" s="437"/>
      <c r="J72" s="437"/>
      <c r="K72" s="450"/>
      <c r="L72" s="450"/>
      <c r="M72" s="450"/>
      <c r="N72" s="521"/>
      <c r="O72" s="521"/>
      <c r="P72" s="450"/>
      <c r="Q72" s="450"/>
      <c r="R72" s="437"/>
      <c r="S72" s="437"/>
      <c r="T72" s="451"/>
      <c r="U72" s="450"/>
      <c r="W72" s="450"/>
      <c r="X72" s="516"/>
      <c r="Y72" s="457"/>
      <c r="Z72" s="457"/>
      <c r="AA72" s="450"/>
      <c r="AH72" s="441"/>
      <c r="AI72" s="441"/>
      <c r="AJ72" s="447"/>
    </row>
    <row r="73" spans="9:36" ht="15.95" customHeight="1" x14ac:dyDescent="0.2">
      <c r="I73" s="437"/>
      <c r="J73" s="437"/>
      <c r="K73" s="450"/>
      <c r="L73" s="450"/>
      <c r="M73" s="450"/>
      <c r="N73" s="521"/>
      <c r="O73" s="521"/>
      <c r="P73" s="450"/>
      <c r="Q73" s="450"/>
      <c r="R73" s="437"/>
      <c r="S73" s="437"/>
      <c r="T73" s="451"/>
      <c r="U73" s="450"/>
      <c r="W73" s="450"/>
      <c r="X73" s="516"/>
      <c r="Y73" s="457"/>
      <c r="Z73" s="457"/>
      <c r="AA73" s="450"/>
      <c r="AH73" s="441"/>
      <c r="AI73" s="441"/>
      <c r="AJ73" s="447"/>
    </row>
    <row r="74" spans="9:36" ht="15.95" customHeight="1" x14ac:dyDescent="0.2">
      <c r="I74" s="437"/>
      <c r="J74" s="437"/>
      <c r="K74" s="450"/>
      <c r="L74" s="450"/>
      <c r="M74" s="450"/>
      <c r="N74" s="521"/>
      <c r="O74" s="521"/>
      <c r="P74" s="450"/>
      <c r="Q74" s="450"/>
      <c r="R74" s="437"/>
      <c r="S74" s="437"/>
      <c r="T74" s="451"/>
      <c r="U74" s="450"/>
      <c r="W74" s="450"/>
      <c r="X74" s="516"/>
      <c r="Y74" s="457"/>
      <c r="Z74" s="457"/>
      <c r="AA74" s="450"/>
      <c r="AH74" s="441"/>
      <c r="AI74" s="441"/>
      <c r="AJ74" s="450"/>
    </row>
    <row r="75" spans="9:36" ht="15.95" customHeight="1" x14ac:dyDescent="0.2">
      <c r="I75" s="437"/>
      <c r="J75" s="437"/>
      <c r="K75" s="450"/>
      <c r="L75" s="450"/>
      <c r="M75" s="450"/>
      <c r="N75" s="521"/>
      <c r="O75" s="521"/>
      <c r="P75" s="450"/>
      <c r="Q75" s="450"/>
      <c r="R75" s="437"/>
      <c r="S75" s="437"/>
      <c r="T75" s="451"/>
      <c r="U75" s="450"/>
      <c r="W75" s="450"/>
      <c r="X75" s="516"/>
      <c r="Y75" s="457"/>
      <c r="Z75" s="457"/>
      <c r="AA75" s="450"/>
      <c r="AH75" s="441"/>
      <c r="AI75" s="441"/>
      <c r="AJ75" s="450"/>
    </row>
    <row r="76" spans="9:36" ht="15.95" customHeight="1" x14ac:dyDescent="0.2">
      <c r="I76" s="437"/>
      <c r="J76" s="437"/>
      <c r="K76" s="450"/>
      <c r="L76" s="450"/>
      <c r="M76" s="450"/>
      <c r="N76" s="521"/>
      <c r="O76" s="521"/>
      <c r="P76" s="450"/>
      <c r="Q76" s="450"/>
      <c r="R76" s="437"/>
      <c r="S76" s="437"/>
      <c r="T76" s="451"/>
      <c r="U76" s="450"/>
      <c r="W76" s="450"/>
      <c r="X76" s="516"/>
      <c r="Y76" s="457"/>
      <c r="Z76" s="457"/>
      <c r="AA76" s="450"/>
      <c r="AH76" s="441"/>
      <c r="AI76" s="441"/>
      <c r="AJ76" s="450"/>
    </row>
    <row r="77" spans="9:36" ht="15.95" customHeight="1" x14ac:dyDescent="0.2">
      <c r="I77" s="437"/>
      <c r="J77" s="437"/>
      <c r="K77" s="447"/>
      <c r="L77" s="450"/>
      <c r="M77" s="450"/>
      <c r="N77" s="521"/>
      <c r="O77" s="521"/>
      <c r="P77" s="450"/>
      <c r="Q77" s="450"/>
      <c r="R77" s="450"/>
      <c r="S77" s="450"/>
      <c r="T77" s="451"/>
      <c r="U77" s="450"/>
      <c r="W77" s="450"/>
      <c r="X77" s="450"/>
      <c r="Y77" s="450"/>
      <c r="Z77" s="451"/>
      <c r="AA77" s="450"/>
      <c r="AH77" s="441"/>
      <c r="AI77" s="441"/>
      <c r="AJ77" s="450"/>
    </row>
    <row r="78" spans="9:36" ht="15.95" customHeight="1" x14ac:dyDescent="0.2">
      <c r="I78" s="437"/>
      <c r="J78" s="437"/>
      <c r="K78" s="447"/>
      <c r="L78" s="450"/>
      <c r="M78" s="450"/>
      <c r="N78" s="521"/>
      <c r="O78" s="521"/>
      <c r="P78" s="450"/>
      <c r="Q78" s="450"/>
      <c r="R78" s="450"/>
      <c r="S78" s="450"/>
      <c r="T78" s="451"/>
      <c r="U78" s="450"/>
      <c r="W78" s="450"/>
      <c r="X78" s="450"/>
      <c r="Y78" s="450"/>
      <c r="Z78" s="451"/>
      <c r="AA78" s="450"/>
      <c r="AH78" s="441"/>
      <c r="AI78" s="441"/>
      <c r="AJ78" s="445"/>
    </row>
    <row r="79" spans="9:36" ht="15.95" customHeight="1" x14ac:dyDescent="0.2">
      <c r="I79" s="437"/>
      <c r="J79" s="437"/>
      <c r="K79" s="447"/>
      <c r="L79" s="450"/>
      <c r="M79" s="450"/>
      <c r="N79" s="521"/>
      <c r="O79" s="521"/>
      <c r="P79" s="450"/>
      <c r="Q79" s="450"/>
      <c r="R79" s="450"/>
      <c r="S79" s="450"/>
      <c r="T79" s="451"/>
      <c r="U79" s="450"/>
      <c r="W79" s="450"/>
      <c r="X79" s="450"/>
      <c r="Y79" s="450"/>
      <c r="Z79" s="451"/>
      <c r="AA79" s="450"/>
      <c r="AH79" s="441"/>
      <c r="AI79" s="441"/>
      <c r="AJ79" s="447"/>
    </row>
    <row r="80" spans="9:36" ht="15.95" customHeight="1" x14ac:dyDescent="0.2">
      <c r="I80" s="437"/>
      <c r="J80" s="437"/>
      <c r="K80" s="447"/>
      <c r="L80" s="450"/>
      <c r="M80" s="450"/>
      <c r="N80" s="521"/>
      <c r="O80" s="521"/>
      <c r="P80" s="450"/>
      <c r="Q80" s="450"/>
      <c r="R80" s="450"/>
      <c r="S80" s="450"/>
      <c r="T80" s="451"/>
      <c r="U80" s="450"/>
      <c r="W80" s="450"/>
      <c r="X80" s="450"/>
      <c r="Y80" s="450"/>
      <c r="Z80" s="451"/>
      <c r="AA80" s="450"/>
      <c r="AH80" s="441"/>
      <c r="AI80" s="441"/>
      <c r="AJ80" s="447"/>
    </row>
    <row r="81" spans="9:36" ht="15.95" customHeight="1" x14ac:dyDescent="0.2">
      <c r="I81" s="437"/>
      <c r="J81" s="437"/>
      <c r="K81" s="447"/>
      <c r="L81" s="450"/>
      <c r="M81" s="450"/>
      <c r="N81" s="521"/>
      <c r="O81" s="521"/>
      <c r="P81" s="450"/>
      <c r="Q81" s="450"/>
      <c r="R81" s="450"/>
      <c r="S81" s="450"/>
      <c r="T81" s="451"/>
      <c r="U81" s="450"/>
      <c r="W81" s="450"/>
      <c r="X81" s="450"/>
      <c r="Y81" s="450"/>
      <c r="Z81" s="451"/>
      <c r="AA81" s="450"/>
      <c r="AH81" s="441"/>
      <c r="AI81" s="441"/>
      <c r="AJ81" s="447"/>
    </row>
    <row r="82" spans="9:36" ht="15.95" customHeight="1" x14ac:dyDescent="0.2">
      <c r="I82" s="437"/>
      <c r="J82" s="437"/>
      <c r="K82" s="450"/>
      <c r="L82" s="450" t="s">
        <v>1315</v>
      </c>
      <c r="M82" s="450"/>
      <c r="N82" s="521"/>
      <c r="O82" s="521"/>
      <c r="P82" s="450"/>
      <c r="Q82" s="450"/>
      <c r="R82" s="450"/>
      <c r="S82" s="450"/>
      <c r="T82" s="451"/>
      <c r="U82" s="450"/>
      <c r="W82" s="450"/>
      <c r="X82" s="450"/>
      <c r="Y82" s="450"/>
      <c r="Z82" s="451"/>
      <c r="AA82" s="450"/>
      <c r="AH82" s="441"/>
      <c r="AI82" s="441"/>
      <c r="AJ82" s="450"/>
    </row>
    <row r="83" spans="9:36" ht="15.95" customHeight="1" thickBot="1" x14ac:dyDescent="0.25">
      <c r="I83" s="437"/>
      <c r="J83" s="437"/>
      <c r="K83" s="445"/>
      <c r="L83" s="889">
        <f>SUM(M83:O83)</f>
        <v>0</v>
      </c>
      <c r="M83" s="899" t="str">
        <f>IF(ISBLANK(N38),"",IF(O38+N38&gt;N40+O40,1,0))</f>
        <v/>
      </c>
      <c r="N83" s="899" t="str">
        <f>IF(ISBLANK(T38),"",IF(U38+T38&gt;T40+U40,1,0))</f>
        <v/>
      </c>
      <c r="O83" s="899" t="str">
        <f>IF(ISBLANK(Z38),"",IF(AA38+Z38&gt;AA40+Z40,1,0))</f>
        <v/>
      </c>
      <c r="P83" s="450"/>
      <c r="Q83" s="450"/>
      <c r="R83" s="450"/>
      <c r="S83" s="450"/>
      <c r="T83" s="451"/>
      <c r="U83" s="450"/>
      <c r="W83" s="450"/>
      <c r="X83" s="450"/>
      <c r="Y83" s="450"/>
      <c r="Z83" s="451"/>
      <c r="AA83" s="450"/>
      <c r="AH83" s="441"/>
      <c r="AI83" s="441"/>
      <c r="AJ83" s="445"/>
    </row>
    <row r="84" spans="9:36" ht="15.95" customHeight="1" x14ac:dyDescent="0.2">
      <c r="I84" s="437"/>
      <c r="J84" s="437"/>
      <c r="K84" s="447"/>
      <c r="L84" s="441"/>
      <c r="N84" s="435"/>
      <c r="O84" s="435"/>
      <c r="P84" s="450"/>
      <c r="Q84" s="450"/>
      <c r="R84" s="450"/>
      <c r="S84" s="450"/>
      <c r="T84" s="451"/>
      <c r="U84" s="450"/>
      <c r="W84" s="450"/>
      <c r="X84" s="450"/>
      <c r="Y84" s="450"/>
      <c r="Z84" s="451"/>
      <c r="AA84" s="450"/>
      <c r="AH84" s="441"/>
      <c r="AI84" s="441"/>
      <c r="AJ84" s="447"/>
    </row>
    <row r="85" spans="9:36" ht="15.95" customHeight="1" thickBot="1" x14ac:dyDescent="0.25">
      <c r="I85" s="437"/>
      <c r="J85" s="437"/>
      <c r="K85" s="447"/>
      <c r="L85" s="889">
        <f>SUM(M85:O85)</f>
        <v>0</v>
      </c>
      <c r="M85" s="899" t="str">
        <f>IF(ISBLANK(N38),"",IF(O38+N38&lt;N40+O40,1,0))</f>
        <v/>
      </c>
      <c r="N85" s="899" t="str">
        <f>IF(ISBLANK(T38),"",IF(U38+T38&lt;T40+U40,1,0))</f>
        <v/>
      </c>
      <c r="O85" s="899" t="str">
        <f>IF(ISBLANK(Z38),"",IF(AA38+Z38&lt;Z40+AA40,1,0))</f>
        <v/>
      </c>
      <c r="P85" s="450"/>
      <c r="Q85" s="450"/>
      <c r="R85" s="450"/>
      <c r="S85" s="450"/>
      <c r="T85" s="451"/>
      <c r="U85" s="450"/>
      <c r="W85" s="450"/>
      <c r="X85" s="450"/>
      <c r="Y85" s="450"/>
      <c r="Z85" s="451"/>
      <c r="AA85" s="450"/>
      <c r="AH85" s="441"/>
      <c r="AI85" s="441"/>
      <c r="AJ85" s="447"/>
    </row>
    <row r="86" spans="9:36" ht="15.95" customHeight="1" x14ac:dyDescent="0.2">
      <c r="K86" s="447"/>
      <c r="L86" s="450"/>
      <c r="M86" s="450"/>
      <c r="N86" s="521"/>
      <c r="O86" s="521"/>
      <c r="P86" s="450"/>
      <c r="Q86" s="450"/>
      <c r="R86" s="450"/>
      <c r="S86" s="450"/>
      <c r="T86" s="451"/>
      <c r="U86" s="450"/>
      <c r="W86" s="450"/>
      <c r="X86" s="450"/>
      <c r="Y86" s="450"/>
      <c r="Z86" s="451"/>
      <c r="AA86" s="450"/>
      <c r="AH86" s="441"/>
      <c r="AI86" s="441"/>
      <c r="AJ86" s="441"/>
    </row>
    <row r="87" spans="9:36" ht="15.95" customHeight="1" x14ac:dyDescent="0.2">
      <c r="K87" s="447"/>
      <c r="L87" s="450"/>
      <c r="M87" s="450"/>
      <c r="N87" s="521"/>
      <c r="O87" s="521"/>
      <c r="P87" s="450"/>
      <c r="Q87" s="450"/>
      <c r="R87" s="450"/>
      <c r="S87" s="450"/>
      <c r="T87" s="451"/>
      <c r="U87" s="450"/>
      <c r="W87" s="450"/>
      <c r="X87" s="450"/>
      <c r="Y87" s="450"/>
      <c r="Z87" s="451"/>
      <c r="AA87" s="450"/>
      <c r="AH87" s="441"/>
      <c r="AI87" s="441"/>
      <c r="AJ87" s="441"/>
    </row>
    <row r="88" spans="9:36" ht="15.95" customHeight="1" x14ac:dyDescent="0.2">
      <c r="L88" s="450"/>
      <c r="M88" s="450"/>
      <c r="N88" s="521"/>
      <c r="O88" s="521"/>
      <c r="P88" s="450"/>
      <c r="Q88" s="450"/>
      <c r="R88" s="450"/>
      <c r="S88" s="450"/>
      <c r="T88" s="451"/>
      <c r="U88" s="450"/>
      <c r="W88" s="450"/>
      <c r="X88" s="450"/>
      <c r="Y88" s="450"/>
      <c r="Z88" s="451"/>
      <c r="AA88" s="450"/>
    </row>
    <row r="89" spans="9:36" ht="15.95" customHeight="1" x14ac:dyDescent="0.2">
      <c r="K89" s="435"/>
      <c r="L89" s="450"/>
      <c r="M89" s="450"/>
      <c r="N89" s="521"/>
      <c r="O89" s="521"/>
      <c r="P89" s="450"/>
      <c r="Q89" s="450"/>
      <c r="R89" s="450"/>
      <c r="S89" s="450"/>
      <c r="T89" s="451"/>
      <c r="U89" s="450"/>
      <c r="W89" s="450"/>
      <c r="X89" s="450"/>
      <c r="Y89" s="450"/>
      <c r="Z89" s="451"/>
      <c r="AA89" s="450"/>
    </row>
    <row r="90" spans="9:36" ht="15.95" customHeight="1" x14ac:dyDescent="0.2">
      <c r="K90" s="435"/>
      <c r="R90" s="450"/>
      <c r="S90" s="450"/>
      <c r="T90" s="451"/>
      <c r="U90" s="450"/>
      <c r="W90" s="450"/>
      <c r="X90" s="450"/>
      <c r="Y90" s="450"/>
      <c r="Z90" s="451"/>
    </row>
    <row r="91" spans="9:36" ht="15.95" customHeight="1" x14ac:dyDescent="0.2">
      <c r="K91" s="435"/>
    </row>
    <row r="92" spans="9:36" ht="15.95" customHeight="1" x14ac:dyDescent="0.2">
      <c r="K92" s="435"/>
    </row>
    <row r="93" spans="9:36" ht="15.95" customHeight="1" x14ac:dyDescent="0.2">
      <c r="K93" s="435"/>
    </row>
    <row r="94" spans="9:36" ht="15.95" customHeight="1" x14ac:dyDescent="0.2">
      <c r="K94" s="435"/>
    </row>
    <row r="95" spans="9:36" ht="15.95" customHeight="1" x14ac:dyDescent="0.2">
      <c r="K95" s="435"/>
      <c r="S95" s="450"/>
    </row>
    <row r="96" spans="9:36" ht="15.95" customHeight="1" x14ac:dyDescent="0.2">
      <c r="K96" s="435"/>
      <c r="S96" s="450"/>
    </row>
    <row r="97" ht="15.95" customHeight="1" x14ac:dyDescent="0.2"/>
    <row r="98" ht="15.95" customHeight="1" x14ac:dyDescent="0.2"/>
    <row r="99" ht="15.95" customHeight="1" x14ac:dyDescent="0.2"/>
    <row r="100" ht="15.95" customHeight="1" x14ac:dyDescent="0.2"/>
    <row r="101" ht="15.95" customHeight="1" x14ac:dyDescent="0.2"/>
    <row r="102" ht="15.95" customHeight="1" x14ac:dyDescent="0.2"/>
    <row r="103" ht="15.95" customHeight="1" x14ac:dyDescent="0.2"/>
    <row r="104" ht="15.95" customHeight="1" x14ac:dyDescent="0.2"/>
    <row r="105" ht="15.95" customHeight="1" x14ac:dyDescent="0.2"/>
    <row r="106" ht="15.95" customHeight="1" x14ac:dyDescent="0.2"/>
    <row r="107" ht="15.95" customHeight="1" x14ac:dyDescent="0.2"/>
    <row r="108" ht="15.95" customHeight="1" x14ac:dyDescent="0.2"/>
    <row r="109" ht="15.95" customHeight="1" x14ac:dyDescent="0.2"/>
    <row r="110" ht="15.95" customHeight="1" x14ac:dyDescent="0.2"/>
    <row r="111" ht="15.95" customHeight="1" x14ac:dyDescent="0.2"/>
    <row r="112" ht="15.95" customHeight="1" x14ac:dyDescent="0.2"/>
    <row r="113" ht="15.95" customHeight="1" x14ac:dyDescent="0.2"/>
    <row r="114" ht="15.95" customHeight="1" x14ac:dyDescent="0.2"/>
    <row r="115" ht="15.95" customHeight="1" x14ac:dyDescent="0.2"/>
    <row r="116" ht="15.95" customHeight="1" x14ac:dyDescent="0.2"/>
    <row r="117" ht="15.95" customHeight="1" x14ac:dyDescent="0.2"/>
    <row r="118" ht="15.95" customHeight="1" x14ac:dyDescent="0.2"/>
    <row r="119" ht="15.95" customHeight="1" x14ac:dyDescent="0.2"/>
    <row r="120" ht="15.95" customHeight="1" x14ac:dyDescent="0.2"/>
    <row r="121" ht="15.95" customHeight="1" x14ac:dyDescent="0.2"/>
    <row r="122" ht="15.95" customHeight="1" x14ac:dyDescent="0.2"/>
    <row r="123" ht="15.95" customHeight="1" x14ac:dyDescent="0.2"/>
    <row r="124" ht="15.95" customHeight="1" x14ac:dyDescent="0.2"/>
    <row r="125" ht="15.95" customHeight="1" x14ac:dyDescent="0.2"/>
    <row r="126" ht="15.95" customHeight="1" x14ac:dyDescent="0.2"/>
    <row r="127" ht="15.95" customHeight="1" x14ac:dyDescent="0.2"/>
    <row r="128" ht="15.95" customHeight="1" x14ac:dyDescent="0.2"/>
    <row r="129" ht="15.95" customHeight="1" x14ac:dyDescent="0.2"/>
    <row r="130" ht="15.95" customHeight="1" x14ac:dyDescent="0.2"/>
    <row r="131" ht="15.95" customHeight="1" x14ac:dyDescent="0.2"/>
    <row r="132" ht="15.95" customHeight="1" x14ac:dyDescent="0.2"/>
    <row r="133" ht="15.95" customHeight="1" x14ac:dyDescent="0.2"/>
    <row r="134" ht="15.95" customHeight="1" x14ac:dyDescent="0.2"/>
    <row r="135" ht="15.95" customHeight="1" x14ac:dyDescent="0.2"/>
    <row r="136" ht="15.95" customHeight="1" x14ac:dyDescent="0.2"/>
    <row r="137" ht="15.95" customHeight="1" x14ac:dyDescent="0.2"/>
    <row r="138" ht="15.95" customHeight="1" x14ac:dyDescent="0.2"/>
    <row r="139" ht="15.95" customHeight="1" x14ac:dyDescent="0.2"/>
    <row r="140" ht="15.95" customHeight="1" x14ac:dyDescent="0.2"/>
    <row r="141" ht="15.95" customHeight="1" x14ac:dyDescent="0.2"/>
    <row r="142" ht="15.95" customHeight="1" x14ac:dyDescent="0.2"/>
    <row r="143" ht="15.95" customHeight="1" x14ac:dyDescent="0.2"/>
    <row r="144" ht="15.95" customHeight="1" x14ac:dyDescent="0.2"/>
    <row r="145" ht="15.95" customHeight="1" x14ac:dyDescent="0.2"/>
    <row r="146" ht="15.95" customHeight="1" x14ac:dyDescent="0.2"/>
    <row r="147" ht="15.95" customHeight="1" x14ac:dyDescent="0.2"/>
    <row r="148" ht="15.95" customHeight="1" x14ac:dyDescent="0.2"/>
  </sheetData>
  <sheetProtection selectLockedCells="1"/>
  <mergeCells count="52">
    <mergeCell ref="N30:N31"/>
    <mergeCell ref="N16:N17"/>
    <mergeCell ref="N23:N24"/>
    <mergeCell ref="X12:Z12"/>
    <mergeCell ref="T14:T15"/>
    <mergeCell ref="Z14:Z15"/>
    <mergeCell ref="T16:T17"/>
    <mergeCell ref="Z16:Z17"/>
    <mergeCell ref="N7:N8"/>
    <mergeCell ref="T7:T8"/>
    <mergeCell ref="Z7:Z8"/>
    <mergeCell ref="N9:N10"/>
    <mergeCell ref="T9:T10"/>
    <mergeCell ref="Z9:Z10"/>
    <mergeCell ref="K4:N4"/>
    <mergeCell ref="Q4:T4"/>
    <mergeCell ref="W4:Z4"/>
    <mergeCell ref="AH4:AJ5"/>
    <mergeCell ref="L5:N5"/>
    <mergeCell ref="R5:T5"/>
    <mergeCell ref="X5:Z5"/>
    <mergeCell ref="K1:AA1"/>
    <mergeCell ref="AF1:AJ1"/>
    <mergeCell ref="K2:Z2"/>
    <mergeCell ref="AF2:AJ2"/>
    <mergeCell ref="N3:X3"/>
    <mergeCell ref="AF3:AJ3"/>
    <mergeCell ref="M34:Z35"/>
    <mergeCell ref="N14:N15"/>
    <mergeCell ref="N21:N22"/>
    <mergeCell ref="N28:N29"/>
    <mergeCell ref="T28:T29"/>
    <mergeCell ref="T23:T24"/>
    <mergeCell ref="Z23:Z24"/>
    <mergeCell ref="R19:T19"/>
    <mergeCell ref="X19:Z19"/>
    <mergeCell ref="T21:T22"/>
    <mergeCell ref="Z21:Z22"/>
    <mergeCell ref="X26:Z26"/>
    <mergeCell ref="Z28:Z29"/>
    <mergeCell ref="T30:T31"/>
    <mergeCell ref="Z30:Z31"/>
    <mergeCell ref="X33:Z33"/>
    <mergeCell ref="T44:T45"/>
    <mergeCell ref="Z44:Z45"/>
    <mergeCell ref="M43:O46"/>
    <mergeCell ref="N38:N39"/>
    <mergeCell ref="N40:N41"/>
    <mergeCell ref="T38:T39"/>
    <mergeCell ref="T40:T41"/>
    <mergeCell ref="Z38:Z39"/>
    <mergeCell ref="Z40:Z41"/>
  </mergeCells>
  <conditionalFormatting sqref="O7:O8">
    <cfRule type="expression" priority="136" stopIfTrue="1">
      <formula>IF(N7="",1)</formula>
    </cfRule>
    <cfRule type="expression" dxfId="1913" priority="138">
      <formula>IF(N7=N9,1,0)</formula>
    </cfRule>
  </conditionalFormatting>
  <conditionalFormatting sqref="O9">
    <cfRule type="expression" priority="135" stopIfTrue="1">
      <formula>IF(N9="",1,0)</formula>
    </cfRule>
    <cfRule type="expression" dxfId="1912" priority="137">
      <formula>IF(N7=N9,1,0)</formula>
    </cfRule>
  </conditionalFormatting>
  <conditionalFormatting sqref="O14:O15">
    <cfRule type="expression" priority="130" stopIfTrue="1">
      <formula>IF(N14="",1)</formula>
    </cfRule>
    <cfRule type="expression" dxfId="1911" priority="132">
      <formula>IF(N14=N16,1,0)</formula>
    </cfRule>
  </conditionalFormatting>
  <conditionalFormatting sqref="O16">
    <cfRule type="expression" priority="129" stopIfTrue="1">
      <formula>IF(N16="",1,0)</formula>
    </cfRule>
    <cfRule type="expression" dxfId="1910" priority="131">
      <formula>IF(N14=N16,1,0)</formula>
    </cfRule>
  </conditionalFormatting>
  <conditionalFormatting sqref="O21:O22">
    <cfRule type="expression" priority="124" stopIfTrue="1">
      <formula>IF(N21="",1)</formula>
    </cfRule>
    <cfRule type="expression" dxfId="1909" priority="126">
      <formula>IF(N21=N23,1,0)</formula>
    </cfRule>
  </conditionalFormatting>
  <conditionalFormatting sqref="O23">
    <cfRule type="expression" priority="123" stopIfTrue="1">
      <formula>IF(N23="",1,0)</formula>
    </cfRule>
    <cfRule type="expression" dxfId="1908" priority="125">
      <formula>IF(N21=N23,1,0)</formula>
    </cfRule>
  </conditionalFormatting>
  <conditionalFormatting sqref="O28:O29">
    <cfRule type="expression" priority="118" stopIfTrue="1">
      <formula>IF(N28="",1)</formula>
    </cfRule>
    <cfRule type="expression" dxfId="1907" priority="120">
      <formula>IF(N28=N30,1,0)</formula>
    </cfRule>
  </conditionalFormatting>
  <conditionalFormatting sqref="O30">
    <cfRule type="expression" priority="117" stopIfTrue="1">
      <formula>IF(N30="",1,0)</formula>
    </cfRule>
    <cfRule type="expression" dxfId="1906" priority="119">
      <formula>IF(N28=N30,1,0)</formula>
    </cfRule>
  </conditionalFormatting>
  <conditionalFormatting sqref="U7:U8">
    <cfRule type="expression" priority="112" stopIfTrue="1">
      <formula>IF(T7="",1)</formula>
    </cfRule>
    <cfRule type="expression" dxfId="1905" priority="114">
      <formula>IF(T7=T9,1,0)</formula>
    </cfRule>
  </conditionalFormatting>
  <conditionalFormatting sqref="U9">
    <cfRule type="expression" priority="111" stopIfTrue="1">
      <formula>IF(T9="",1,0)</formula>
    </cfRule>
    <cfRule type="expression" dxfId="1904" priority="113">
      <formula>IF(T7=T9,1,0)</formula>
    </cfRule>
  </conditionalFormatting>
  <conditionalFormatting sqref="U14:U15">
    <cfRule type="expression" priority="106" stopIfTrue="1">
      <formula>IF(T14="",1)</formula>
    </cfRule>
    <cfRule type="expression" dxfId="1903" priority="108">
      <formula>IF(T14=T16,1,0)</formula>
    </cfRule>
  </conditionalFormatting>
  <conditionalFormatting sqref="U16">
    <cfRule type="expression" priority="105" stopIfTrue="1">
      <formula>IF(T16="",1,0)</formula>
    </cfRule>
    <cfRule type="expression" dxfId="1902" priority="107">
      <formula>IF(T14=T16,1,0)</formula>
    </cfRule>
  </conditionalFormatting>
  <conditionalFormatting sqref="U21:U22">
    <cfRule type="expression" priority="100" stopIfTrue="1">
      <formula>IF(T21="",1)</formula>
    </cfRule>
    <cfRule type="expression" dxfId="1901" priority="102">
      <formula>IF(T21=T23,1,0)</formula>
    </cfRule>
  </conditionalFormatting>
  <conditionalFormatting sqref="U23">
    <cfRule type="expression" priority="99" stopIfTrue="1">
      <formula>IF(T23="",1,0)</formula>
    </cfRule>
    <cfRule type="expression" dxfId="1900" priority="101">
      <formula>IF(T21=T23,1,0)</formula>
    </cfRule>
  </conditionalFormatting>
  <conditionalFormatting sqref="U28:U29">
    <cfRule type="expression" priority="94" stopIfTrue="1">
      <formula>IF(T28="",1)</formula>
    </cfRule>
    <cfRule type="expression" dxfId="1899" priority="96">
      <formula>IF(T28=T30,1,0)</formula>
    </cfRule>
  </conditionalFormatting>
  <conditionalFormatting sqref="U30">
    <cfRule type="expression" priority="93" stopIfTrue="1">
      <formula>IF(T30="",1,0)</formula>
    </cfRule>
    <cfRule type="expression" dxfId="1898" priority="95">
      <formula>IF(T28=T30,1,0)</formula>
    </cfRule>
  </conditionalFormatting>
  <conditionalFormatting sqref="AA7:AA8">
    <cfRule type="expression" priority="88" stopIfTrue="1">
      <formula>IF(Z7="",1)</formula>
    </cfRule>
    <cfRule type="expression" dxfId="1897" priority="90">
      <formula>IF(Z7=Z9,1,0)</formula>
    </cfRule>
  </conditionalFormatting>
  <conditionalFormatting sqref="AA9">
    <cfRule type="expression" priority="87" stopIfTrue="1">
      <formula>IF(Z9="",1,0)</formula>
    </cfRule>
    <cfRule type="expression" dxfId="1896" priority="89">
      <formula>IF(Z7=Z9,1,0)</formula>
    </cfRule>
  </conditionalFormatting>
  <conditionalFormatting sqref="AA14:AA15">
    <cfRule type="expression" priority="82" stopIfTrue="1">
      <formula>IF(Z14="",1)</formula>
    </cfRule>
    <cfRule type="expression" dxfId="1895" priority="84">
      <formula>IF(Z14=Z16,1,0)</formula>
    </cfRule>
  </conditionalFormatting>
  <conditionalFormatting sqref="AA16">
    <cfRule type="expression" priority="81" stopIfTrue="1">
      <formula>IF(Z16="",1,0)</formula>
    </cfRule>
    <cfRule type="expression" dxfId="1894" priority="83">
      <formula>IF(Z14=Z16,1,0)</formula>
    </cfRule>
  </conditionalFormatting>
  <conditionalFormatting sqref="AA21:AA22">
    <cfRule type="expression" priority="76" stopIfTrue="1">
      <formula>IF(Z21="",1)</formula>
    </cfRule>
    <cfRule type="expression" dxfId="1893" priority="78">
      <formula>IF(Z21=Z23,1,0)</formula>
    </cfRule>
  </conditionalFormatting>
  <conditionalFormatting sqref="AA23">
    <cfRule type="expression" priority="75" stopIfTrue="1">
      <formula>IF(Z23="",1,0)</formula>
    </cfRule>
    <cfRule type="expression" dxfId="1892" priority="77">
      <formula>IF(Z21=Z23,1,0)</formula>
    </cfRule>
  </conditionalFormatting>
  <conditionalFormatting sqref="AA28:AA29">
    <cfRule type="expression" priority="70" stopIfTrue="1">
      <formula>IF(Z28="",1)</formula>
    </cfRule>
    <cfRule type="expression" dxfId="1891" priority="72">
      <formula>IF(Z28=Z30,1,0)</formula>
    </cfRule>
  </conditionalFormatting>
  <conditionalFormatting sqref="AA30">
    <cfRule type="expression" priority="69" stopIfTrue="1">
      <formula>IF(Z30="",1,0)</formula>
    </cfRule>
    <cfRule type="expression" dxfId="1890" priority="71">
      <formula>IF(Z28=Z30,1,0)</formula>
    </cfRule>
  </conditionalFormatting>
  <conditionalFormatting sqref="S7">
    <cfRule type="expression" dxfId="1889" priority="65">
      <formula>IF(T7+U7&gt;T9+U9,1,0)</formula>
    </cfRule>
  </conditionalFormatting>
  <conditionalFormatting sqref="S9">
    <cfRule type="expression" dxfId="1888" priority="64">
      <formula>IF(T9+U9&gt;T11+U11,1,0)</formula>
    </cfRule>
  </conditionalFormatting>
  <conditionalFormatting sqref="S14">
    <cfRule type="expression" dxfId="1887" priority="63">
      <formula>IF(T14+U14&gt;T16+U16,1,0)</formula>
    </cfRule>
  </conditionalFormatting>
  <conditionalFormatting sqref="S16">
    <cfRule type="expression" dxfId="1886" priority="62">
      <formula>IF(T16+U16&gt;T18+U18,1,0)</formula>
    </cfRule>
  </conditionalFormatting>
  <conditionalFormatting sqref="S21">
    <cfRule type="expression" dxfId="1885" priority="61">
      <formula>IF(T21+U21&gt;T23+U23,1,0)</formula>
    </cfRule>
  </conditionalFormatting>
  <conditionalFormatting sqref="S23">
    <cfRule type="expression" dxfId="1884" priority="60">
      <formula>IF(T23+U23&gt;T25+U25,1,0)</formula>
    </cfRule>
  </conditionalFormatting>
  <conditionalFormatting sqref="S28">
    <cfRule type="expression" dxfId="1883" priority="59">
      <formula>IF(T28+U28&gt;T30+U30,1,0)</formula>
    </cfRule>
  </conditionalFormatting>
  <conditionalFormatting sqref="S30">
    <cfRule type="expression" dxfId="1882" priority="58">
      <formula>IF(T30+U30&gt;T32+U32,1,0)</formula>
    </cfRule>
  </conditionalFormatting>
  <conditionalFormatting sqref="Y7">
    <cfRule type="expression" dxfId="1881" priority="55">
      <formula>IF(Z7+AA7&gt;Z9+AA9,1,0)</formula>
    </cfRule>
  </conditionalFormatting>
  <conditionalFormatting sqref="Y9">
    <cfRule type="expression" dxfId="1880" priority="54">
      <formula>IF(Z9+AA9&gt;Z11+AA11,1,0)</formula>
    </cfRule>
  </conditionalFormatting>
  <conditionalFormatting sqref="Y14">
    <cfRule type="expression" dxfId="1879" priority="53">
      <formula>IF(Z14+AA14&gt;Z16+AA16,1,0)</formula>
    </cfRule>
  </conditionalFormatting>
  <conditionalFormatting sqref="Y16">
    <cfRule type="expression" dxfId="1878" priority="52">
      <formula>IF(Z16+AA16&gt;Z18+AA18,1,0)</formula>
    </cfRule>
  </conditionalFormatting>
  <conditionalFormatting sqref="Y21">
    <cfRule type="expression" dxfId="1877" priority="51">
      <formula>IF(Z21+AA21&gt;Z23+AA23,1,0)</formula>
    </cfRule>
  </conditionalFormatting>
  <conditionalFormatting sqref="Y23">
    <cfRule type="expression" dxfId="1876" priority="50">
      <formula>IF(Z23+AA23&gt;Z25+AA25,1,0)</formula>
    </cfRule>
  </conditionalFormatting>
  <conditionalFormatting sqref="Y28">
    <cfRule type="expression" dxfId="1875" priority="49">
      <formula>IF(Z28+AA28&gt;Z30+AA30,1,0)</formula>
    </cfRule>
  </conditionalFormatting>
  <conditionalFormatting sqref="Y30">
    <cfRule type="expression" dxfId="1874" priority="48">
      <formula>IF(Z30+AA30&gt;Z32+AA32,1,0)</formula>
    </cfRule>
  </conditionalFormatting>
  <conditionalFormatting sqref="O38:O39">
    <cfRule type="expression" priority="43" stopIfTrue="1">
      <formula>IF(N38="",1)</formula>
    </cfRule>
    <cfRule type="expression" dxfId="1873" priority="45">
      <formula>IF(N38=N40,1,0)</formula>
    </cfRule>
  </conditionalFormatting>
  <conditionalFormatting sqref="O40">
    <cfRule type="expression" priority="42" stopIfTrue="1">
      <formula>IF(N40="",1,0)</formula>
    </cfRule>
    <cfRule type="expression" dxfId="1872" priority="44">
      <formula>IF(N38=N40,1,0)</formula>
    </cfRule>
  </conditionalFormatting>
  <conditionalFormatting sqref="U38:U39">
    <cfRule type="expression" priority="39" stopIfTrue="1">
      <formula>IF(T38="",1)</formula>
    </cfRule>
    <cfRule type="expression" dxfId="1871" priority="41">
      <formula>IF(T38=T40,1,0)</formula>
    </cfRule>
  </conditionalFormatting>
  <conditionalFormatting sqref="U40">
    <cfRule type="expression" priority="38" stopIfTrue="1">
      <formula>IF(T40="",1,0)</formula>
    </cfRule>
    <cfRule type="expression" dxfId="1870" priority="40">
      <formula>IF(T38=T40,1,0)</formula>
    </cfRule>
  </conditionalFormatting>
  <conditionalFormatting sqref="AA38:AA39">
    <cfRule type="expression" priority="33" stopIfTrue="1">
      <formula>IF(Z38="",1)</formula>
    </cfRule>
    <cfRule type="expression" dxfId="1869" priority="35">
      <formula>IF(Z38=Z40,1,0)</formula>
    </cfRule>
  </conditionalFormatting>
  <conditionalFormatting sqref="AA40">
    <cfRule type="expression" priority="32" stopIfTrue="1">
      <formula>IF(Z40="",1,0)</formula>
    </cfRule>
    <cfRule type="expression" dxfId="1868" priority="34">
      <formula>IF(Z38=Z40,1,0)</formula>
    </cfRule>
  </conditionalFormatting>
  <conditionalFormatting sqref="M43">
    <cfRule type="expression" dxfId="1867" priority="31">
      <formula>IF(N44+O44&gt;#REF!+#REF!,1,0)</formula>
    </cfRule>
  </conditionalFormatting>
  <conditionalFormatting sqref="S44">
    <cfRule type="expression" dxfId="1866" priority="28">
      <formula>IF(T44&gt;Z44,1,0)</formula>
    </cfRule>
  </conditionalFormatting>
  <conditionalFormatting sqref="Y44">
    <cfRule type="expression" dxfId="1865" priority="27">
      <formula>IF(T44&lt;Z44,1,0)</formula>
    </cfRule>
  </conditionalFormatting>
  <conditionalFormatting sqref="M7">
    <cfRule type="expression" dxfId="1864" priority="14">
      <formula>IF(N7+O7&gt;N9+O9,1,0)</formula>
    </cfRule>
  </conditionalFormatting>
  <conditionalFormatting sqref="M9">
    <cfRule type="expression" dxfId="1863" priority="13">
      <formula>IF(N9+O9&gt;N11+O11,1,0)</formula>
    </cfRule>
  </conditionalFormatting>
  <conditionalFormatting sqref="M14">
    <cfRule type="expression" dxfId="1862" priority="12">
      <formula>IF(N14+O14&gt;N16+O16,1,0)</formula>
    </cfRule>
  </conditionalFormatting>
  <conditionalFormatting sqref="M16">
    <cfRule type="expression" dxfId="1861" priority="11">
      <formula>IF(N16+O16&gt;N18+O18,1,0)</formula>
    </cfRule>
  </conditionalFormatting>
  <conditionalFormatting sqref="M21">
    <cfRule type="expression" dxfId="1860" priority="10">
      <formula>IF(N21+O21&gt;N23+O23,1,0)</formula>
    </cfRule>
  </conditionalFormatting>
  <conditionalFormatting sqref="M23">
    <cfRule type="expression" dxfId="1859" priority="9">
      <formula>IF(N23+O23&gt;N25+O25,1,0)</formula>
    </cfRule>
  </conditionalFormatting>
  <conditionalFormatting sqref="M28">
    <cfRule type="expression" dxfId="1858" priority="8">
      <formula>IF(N28+O28&gt;N30+O30,1,0)</formula>
    </cfRule>
  </conditionalFormatting>
  <conditionalFormatting sqref="M30">
    <cfRule type="expression" dxfId="1857" priority="7">
      <formula>IF(N30+O30&gt;N32+O32,1,0)</formula>
    </cfRule>
  </conditionalFormatting>
  <conditionalFormatting sqref="M38">
    <cfRule type="expression" dxfId="1856" priority="6">
      <formula>IF(N38+O38&gt;N40+O40,1,0)</formula>
    </cfRule>
  </conditionalFormatting>
  <conditionalFormatting sqref="M40">
    <cfRule type="expression" dxfId="1855" priority="5">
      <formula>IF(N40+O40&gt;N42+O42,1,0)</formula>
    </cfRule>
  </conditionalFormatting>
  <conditionalFormatting sqref="S38">
    <cfRule type="expression" dxfId="1854" priority="4">
      <formula>IF(T38+U38&gt;T40+U40,1,0)</formula>
    </cfRule>
  </conditionalFormatting>
  <conditionalFormatting sqref="S40">
    <cfRule type="expression" dxfId="1853" priority="3">
      <formula>IF(T40+U40&gt;T42+U42,1,0)</formula>
    </cfRule>
  </conditionalFormatting>
  <conditionalFormatting sqref="Y38">
    <cfRule type="expression" dxfId="1852" priority="2">
      <formula>IF(Z38+AA38&gt;Z40+AA40,1,0)</formula>
    </cfRule>
  </conditionalFormatting>
  <conditionalFormatting sqref="Y40">
    <cfRule type="expression" dxfId="1851" priority="1">
      <formula>IF(Z40+AA40&gt;Z42+AA42,1,0)</formula>
    </cfRule>
  </conditionalFormatting>
  <pageMargins left="0.25" right="0.25" top="0.75" bottom="0.75" header="0.3" footer="0.3"/>
  <pageSetup paperSize="9" scale="28" fitToHeight="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euil66">
    <tabColor rgb="FFFFC000"/>
    <pageSetUpPr fitToPage="1"/>
  </sheetPr>
  <dimension ref="A1:AY148"/>
  <sheetViews>
    <sheetView topLeftCell="K1" zoomScale="70" zoomScaleNormal="70" workbookViewId="0">
      <selection activeCell="K53" sqref="K1:AA53"/>
    </sheetView>
  </sheetViews>
  <sheetFormatPr baseColWidth="10" defaultColWidth="10.85546875" defaultRowHeight="12.75" x14ac:dyDescent="0.2"/>
  <cols>
    <col min="1" max="1" width="3.7109375" style="435" hidden="1" customWidth="1"/>
    <col min="2" max="4" width="16.140625" style="435" hidden="1" customWidth="1"/>
    <col min="5" max="10" width="11.28515625" style="435" hidden="1" customWidth="1"/>
    <col min="11" max="11" width="7.7109375" style="441" bestFit="1" customWidth="1"/>
    <col min="12" max="12" width="6.42578125" style="435" bestFit="1" customWidth="1"/>
    <col min="13" max="13" width="37.28515625" style="435" customWidth="1"/>
    <col min="14" max="14" width="10.85546875" style="442"/>
    <col min="15" max="15" width="5.7109375" style="441" bestFit="1" customWidth="1"/>
    <col min="16" max="16" width="15.7109375" style="441" customWidth="1"/>
    <col min="17" max="17" width="7.7109375" style="441" bestFit="1" customWidth="1"/>
    <col min="18" max="18" width="6.42578125" style="441" bestFit="1" customWidth="1"/>
    <col min="19" max="19" width="36.5703125" style="441" customWidth="1"/>
    <col min="20" max="20" width="10.85546875" style="442"/>
    <col min="21" max="21" width="4.85546875" style="441" bestFit="1" customWidth="1"/>
    <col min="22" max="22" width="15.85546875" style="441" customWidth="1"/>
    <col min="23" max="23" width="7.7109375" style="441" bestFit="1" customWidth="1"/>
    <col min="24" max="24" width="5.28515625" style="435" bestFit="1" customWidth="1"/>
    <col min="25" max="25" width="36.5703125" style="435" customWidth="1"/>
    <col min="26" max="26" width="10.85546875" style="442"/>
    <col min="27" max="27" width="4.85546875" style="441" bestFit="1" customWidth="1"/>
    <col min="28" max="28" width="6.5703125" style="435" customWidth="1"/>
    <col min="29" max="31" width="3.28515625" style="435" customWidth="1"/>
    <col min="32" max="32" width="12" style="435" customWidth="1"/>
    <col min="33" max="33" width="12" style="435" hidden="1" customWidth="1"/>
    <col min="34" max="34" width="36.7109375" style="435" customWidth="1"/>
    <col min="35" max="36" width="36.85546875" style="435" customWidth="1"/>
    <col min="37" max="42" width="10.85546875" style="435"/>
    <col min="43" max="43" width="1.7109375" style="435" bestFit="1" customWidth="1"/>
    <col min="44" max="46" width="10.85546875" style="435"/>
    <col min="47" max="47" width="1.7109375" style="435" bestFit="1" customWidth="1"/>
    <col min="48" max="50" width="10.85546875" style="435"/>
    <col min="51" max="51" width="1.7109375" style="435" bestFit="1" customWidth="1"/>
    <col min="52" max="16384" width="10.85546875" style="435"/>
  </cols>
  <sheetData>
    <row r="1" spans="1:51" ht="55.5" customHeight="1" x14ac:dyDescent="0.2">
      <c r="B1" s="436"/>
      <c r="C1" s="436"/>
      <c r="D1" s="436"/>
      <c r="I1" s="437"/>
      <c r="J1" s="437"/>
      <c r="K1" s="988" t="str">
        <f>Championnat</f>
        <v>Championnat de France de Tir à l'ARC</v>
      </c>
      <c r="L1" s="988"/>
      <c r="M1" s="988"/>
      <c r="N1" s="988"/>
      <c r="O1" s="988"/>
      <c r="P1" s="988"/>
      <c r="Q1" s="988"/>
      <c r="R1" s="988"/>
      <c r="S1" s="988"/>
      <c r="T1" s="988"/>
      <c r="U1" s="988"/>
      <c r="V1" s="988"/>
      <c r="W1" s="988"/>
      <c r="X1" s="988"/>
      <c r="Y1" s="988"/>
      <c r="Z1" s="988"/>
      <c r="AA1" s="988"/>
      <c r="AB1" s="439"/>
      <c r="AC1" s="439"/>
      <c r="AD1" s="439"/>
      <c r="AE1" s="439"/>
      <c r="AF1" s="988" t="str">
        <f>Championnat</f>
        <v>Championnat de France de Tir à l'ARC</v>
      </c>
      <c r="AG1" s="988"/>
      <c r="AH1" s="988"/>
      <c r="AI1" s="988"/>
      <c r="AJ1" s="988"/>
      <c r="AK1" s="491"/>
      <c r="AL1" s="491"/>
      <c r="AM1" s="491"/>
      <c r="AN1" s="491"/>
      <c r="AO1" s="491"/>
      <c r="AP1" s="491"/>
      <c r="AQ1" s="491"/>
      <c r="AR1" s="491"/>
      <c r="AS1" s="491"/>
      <c r="AT1" s="491"/>
      <c r="AU1" s="491"/>
      <c r="AV1" s="491"/>
      <c r="AW1" s="491"/>
      <c r="AY1" s="491"/>
    </row>
    <row r="2" spans="1:51" ht="61.5" customHeight="1" x14ac:dyDescent="0.2">
      <c r="A2" s="437"/>
      <c r="I2" s="437"/>
      <c r="J2" s="437"/>
      <c r="K2" s="989" t="str">
        <f>CATEG_IMPORTEE</f>
        <v>Collèges Mixtes Etablissement</v>
      </c>
      <c r="L2" s="989"/>
      <c r="M2" s="989"/>
      <c r="N2" s="989"/>
      <c r="O2" s="989"/>
      <c r="P2" s="989"/>
      <c r="Q2" s="989"/>
      <c r="R2" s="989"/>
      <c r="S2" s="989"/>
      <c r="T2" s="989"/>
      <c r="U2" s="989"/>
      <c r="V2" s="989"/>
      <c r="W2" s="989"/>
      <c r="X2" s="989"/>
      <c r="Y2" s="989"/>
      <c r="Z2" s="989"/>
      <c r="AA2" s="438"/>
      <c r="AB2" s="439"/>
      <c r="AC2" s="439"/>
      <c r="AD2" s="439"/>
      <c r="AE2" s="439"/>
      <c r="AF2" s="990" t="str">
        <f>CATEG_IMPORTEE</f>
        <v>Collèges Mixtes Etablissement</v>
      </c>
      <c r="AG2" s="990"/>
      <c r="AH2" s="990"/>
      <c r="AI2" s="990"/>
      <c r="AJ2" s="990"/>
      <c r="AK2" s="492"/>
      <c r="AL2" s="492"/>
      <c r="AM2" s="492"/>
      <c r="AN2" s="492"/>
      <c r="AO2" s="492"/>
      <c r="AP2" s="492"/>
      <c r="AQ2" s="492"/>
      <c r="AR2" s="492"/>
      <c r="AS2" s="492"/>
      <c r="AT2" s="492"/>
      <c r="AU2" s="492"/>
      <c r="AV2" s="492"/>
      <c r="AW2" s="492"/>
      <c r="AY2" s="492"/>
    </row>
    <row r="3" spans="1:51" ht="42" customHeight="1" x14ac:dyDescent="0.2">
      <c r="B3" s="440" t="s">
        <v>774</v>
      </c>
      <c r="I3" s="437"/>
      <c r="J3" s="437"/>
      <c r="N3" s="991" t="str">
        <f>LIEU&amp;" du "&amp;DATE</f>
        <v>L’Isle sur la Sorgue du 27 au 31 mars 2023</v>
      </c>
      <c r="O3" s="991"/>
      <c r="P3" s="991"/>
      <c r="Q3" s="991"/>
      <c r="R3" s="991"/>
      <c r="S3" s="991"/>
      <c r="T3" s="991"/>
      <c r="U3" s="991"/>
      <c r="V3" s="991"/>
      <c r="W3" s="991"/>
      <c r="X3" s="991"/>
      <c r="AF3" s="991" t="str">
        <f>LIEU&amp;" du "&amp;DATE</f>
        <v>L’Isle sur la Sorgue du 27 au 31 mars 2023</v>
      </c>
      <c r="AG3" s="991"/>
      <c r="AH3" s="991"/>
      <c r="AI3" s="991"/>
      <c r="AJ3" s="991"/>
      <c r="AK3" s="493"/>
      <c r="AL3" s="493"/>
      <c r="AM3" s="493"/>
      <c r="AN3" s="493"/>
      <c r="AO3" s="493"/>
      <c r="AP3" s="493"/>
      <c r="AQ3" s="493"/>
      <c r="AR3" s="493"/>
      <c r="AS3" s="493"/>
      <c r="AT3" s="493"/>
      <c r="AU3" s="493"/>
      <c r="AW3" s="442"/>
      <c r="AY3" s="493"/>
    </row>
    <row r="4" spans="1:51" ht="21" customHeight="1" x14ac:dyDescent="0.2">
      <c r="B4" s="440" t="s">
        <v>775</v>
      </c>
      <c r="C4" s="462" t="s">
        <v>375</v>
      </c>
      <c r="D4" s="462" t="s">
        <v>374</v>
      </c>
      <c r="E4" s="440" t="s">
        <v>776</v>
      </c>
      <c r="F4" s="487" t="s">
        <v>838</v>
      </c>
      <c r="G4" s="488" t="s">
        <v>837</v>
      </c>
      <c r="H4" s="898"/>
      <c r="I4" s="437"/>
      <c r="J4" s="437"/>
      <c r="K4" s="979" t="s">
        <v>815</v>
      </c>
      <c r="L4" s="979"/>
      <c r="M4" s="979"/>
      <c r="N4" s="979"/>
      <c r="O4" s="443"/>
      <c r="P4" s="443"/>
      <c r="Q4" s="979" t="s">
        <v>816</v>
      </c>
      <c r="R4" s="979"/>
      <c r="S4" s="979"/>
      <c r="T4" s="979"/>
      <c r="U4" s="443"/>
      <c r="V4" s="443"/>
      <c r="W4" s="979" t="s">
        <v>817</v>
      </c>
      <c r="X4" s="979"/>
      <c r="Y4" s="979"/>
      <c r="Z4" s="979"/>
      <c r="AA4" s="443"/>
      <c r="AH4" s="980" t="s">
        <v>778</v>
      </c>
      <c r="AI4" s="980"/>
      <c r="AJ4" s="980"/>
      <c r="AN4" s="497" t="s">
        <v>848</v>
      </c>
    </row>
    <row r="5" spans="1:51" ht="15.95" customHeight="1" thickBot="1" x14ac:dyDescent="0.25">
      <c r="A5" s="435">
        <v>1</v>
      </c>
      <c r="B5" s="444" t="str">
        <f ca="1">INDIRECT("'Imp. Qualif.'!L"&amp;INDIRECT("f"&amp;ROW()))</f>
        <v/>
      </c>
      <c r="C5" s="444" t="str">
        <f ca="1">INDIRECT("'Imp. Qualif.'!M"&amp;INDIRECT("f"&amp;ROW()))</f>
        <v/>
      </c>
      <c r="D5" s="444" t="str">
        <f ca="1">INDIRECT("'Imp. Qualif.'!N"&amp;INDIRECT("f"&amp;ROW()))</f>
        <v/>
      </c>
      <c r="E5" s="486">
        <f ca="1">INDIRECT("'Imp. Qualif.'!O"&amp;INDIRECT("f"&amp;ROW()))</f>
        <v>0</v>
      </c>
      <c r="F5" s="489">
        <v>11</v>
      </c>
      <c r="G5" s="488" t="str">
        <f ca="1">B5&amp;C5</f>
        <v/>
      </c>
      <c r="H5" s="898" t="str">
        <f ca="1">IF(B5&lt;&gt;"",B5,"")</f>
        <v/>
      </c>
      <c r="I5" s="898" t="str">
        <f t="shared" ref="I5:J20" ca="1" si="0">IF(C5&lt;&gt;"",C5,"")</f>
        <v/>
      </c>
      <c r="J5" s="898" t="str">
        <f t="shared" ca="1" si="0"/>
        <v/>
      </c>
      <c r="L5" s="979" t="s">
        <v>1089</v>
      </c>
      <c r="M5" s="1247"/>
      <c r="N5" s="1247"/>
      <c r="O5" s="443"/>
      <c r="P5" s="443"/>
      <c r="R5" s="979" t="s">
        <v>1103</v>
      </c>
      <c r="S5" s="1247"/>
      <c r="T5" s="1247"/>
      <c r="U5" s="443"/>
      <c r="V5" s="443"/>
      <c r="W5" s="445"/>
      <c r="X5" s="979" t="s">
        <v>777</v>
      </c>
      <c r="Y5" s="1247"/>
      <c r="Z5" s="1247"/>
      <c r="AA5" s="443"/>
      <c r="AH5" s="981"/>
      <c r="AI5" s="981"/>
      <c r="AJ5" s="981"/>
      <c r="AN5" s="494" t="s">
        <v>839</v>
      </c>
      <c r="AO5" s="494" t="s">
        <v>840</v>
      </c>
      <c r="AP5" s="494" t="s">
        <v>841</v>
      </c>
      <c r="AQ5" s="496" t="s">
        <v>793</v>
      </c>
      <c r="AR5" s="494" t="s">
        <v>842</v>
      </c>
      <c r="AS5" s="494" t="s">
        <v>843</v>
      </c>
      <c r="AT5" s="494" t="s">
        <v>844</v>
      </c>
      <c r="AU5" s="496" t="s">
        <v>793</v>
      </c>
      <c r="AV5" s="494" t="s">
        <v>845</v>
      </c>
      <c r="AW5" s="494" t="s">
        <v>846</v>
      </c>
      <c r="AX5" s="494" t="s">
        <v>847</v>
      </c>
      <c r="AY5" s="496" t="s">
        <v>793</v>
      </c>
    </row>
    <row r="6" spans="1:51" ht="15.95" customHeight="1" thickBot="1" x14ac:dyDescent="0.25">
      <c r="A6" s="435">
        <v>2</v>
      </c>
      <c r="B6" s="444" t="str">
        <f t="shared" ref="B6:B15" ca="1" si="1">INDIRECT("'Imp. Qualif.'!L"&amp;INDIRECT("f"&amp;ROW()))</f>
        <v/>
      </c>
      <c r="C6" s="444" t="str">
        <f t="shared" ref="C6:C15" ca="1" si="2">INDIRECT("'Imp. Qualif.'!M"&amp;INDIRECT("f"&amp;ROW()))</f>
        <v/>
      </c>
      <c r="D6" s="444" t="str">
        <f t="shared" ref="D6:D15" ca="1" si="3">INDIRECT("'Imp. Qualif.'!N"&amp;INDIRECT("f"&amp;ROW()))</f>
        <v/>
      </c>
      <c r="E6" s="486">
        <f t="shared" ref="E6:E15" ca="1" si="4">INDIRECT("'Imp. Qualif.'!O"&amp;INDIRECT("f"&amp;ROW()))</f>
        <v>0</v>
      </c>
      <c r="F6" s="489">
        <v>12</v>
      </c>
      <c r="G6" s="488" t="str">
        <f t="shared" ref="G6:G28" ca="1" si="5">B6&amp;C6</f>
        <v/>
      </c>
      <c r="H6" s="898" t="str">
        <f t="shared" ref="H6:J28" ca="1" si="6">IF(B6&lt;&gt;"",B6,"")</f>
        <v/>
      </c>
      <c r="I6" s="898" t="str">
        <f t="shared" ca="1" si="0"/>
        <v/>
      </c>
      <c r="J6" s="898" t="str">
        <f t="shared" ca="1" si="0"/>
        <v/>
      </c>
      <c r="K6" s="445" t="s">
        <v>779</v>
      </c>
      <c r="L6" s="779" t="s">
        <v>1083</v>
      </c>
      <c r="M6" s="456" t="s">
        <v>481</v>
      </c>
      <c r="N6" s="464" t="s">
        <v>780</v>
      </c>
      <c r="O6" s="446" t="s">
        <v>781</v>
      </c>
      <c r="P6" s="445"/>
      <c r="Q6" s="445" t="s">
        <v>779</v>
      </c>
      <c r="R6" s="779" t="s">
        <v>1083</v>
      </c>
      <c r="S6" s="456" t="s">
        <v>481</v>
      </c>
      <c r="T6" s="464" t="s">
        <v>780</v>
      </c>
      <c r="U6" s="446" t="s">
        <v>781</v>
      </c>
      <c r="V6" s="445"/>
      <c r="W6" s="445" t="s">
        <v>779</v>
      </c>
      <c r="X6" s="779" t="s">
        <v>1083</v>
      </c>
      <c r="Y6" s="456" t="s">
        <v>481</v>
      </c>
      <c r="Z6" s="464" t="s">
        <v>780</v>
      </c>
      <c r="AA6" s="446" t="s">
        <v>781</v>
      </c>
      <c r="AB6" s="523"/>
      <c r="AH6" s="483" t="s">
        <v>782</v>
      </c>
      <c r="AI6" s="484" t="s">
        <v>375</v>
      </c>
      <c r="AJ6" s="485" t="s">
        <v>783</v>
      </c>
      <c r="AN6" s="494">
        <f>K7</f>
        <v>1</v>
      </c>
      <c r="AO6" s="495" t="str">
        <f ca="1">L8</f>
        <v/>
      </c>
      <c r="AP6" s="784" t="str">
        <f ca="1">AO7</f>
        <v/>
      </c>
      <c r="AQ6" s="496" t="s">
        <v>793</v>
      </c>
      <c r="AR6" s="494">
        <f>Q7</f>
        <v>1</v>
      </c>
      <c r="AS6" s="495" t="str">
        <f>R8</f>
        <v/>
      </c>
      <c r="AT6" s="784" t="str">
        <f>AS7</f>
        <v/>
      </c>
      <c r="AU6" s="496" t="s">
        <v>793</v>
      </c>
      <c r="AV6" s="494">
        <f>W7</f>
        <v>1</v>
      </c>
      <c r="AW6" s="495" t="str">
        <f>X8</f>
        <v/>
      </c>
      <c r="AX6" s="495" t="str">
        <f>AW7</f>
        <v/>
      </c>
      <c r="AY6" s="496" t="s">
        <v>793</v>
      </c>
    </row>
    <row r="7" spans="1:51" ht="15.95" customHeight="1" thickBot="1" x14ac:dyDescent="0.25">
      <c r="A7" s="435">
        <v>3</v>
      </c>
      <c r="B7" s="444" t="str">
        <f t="shared" ca="1" si="1"/>
        <v/>
      </c>
      <c r="C7" s="444" t="str">
        <f t="shared" ca="1" si="2"/>
        <v/>
      </c>
      <c r="D7" s="444" t="str">
        <f t="shared" ca="1" si="3"/>
        <v/>
      </c>
      <c r="E7" s="486">
        <f t="shared" ca="1" si="4"/>
        <v>0</v>
      </c>
      <c r="F7" s="489">
        <v>13</v>
      </c>
      <c r="G7" s="488" t="str">
        <f t="shared" ca="1" si="5"/>
        <v/>
      </c>
      <c r="H7" s="898" t="str">
        <f t="shared" ca="1" si="6"/>
        <v/>
      </c>
      <c r="I7" s="898" t="str">
        <f t="shared" ca="1" si="0"/>
        <v/>
      </c>
      <c r="J7" s="898" t="str">
        <f t="shared" ca="1" si="0"/>
        <v/>
      </c>
      <c r="K7" s="447">
        <f>Num_Cible</f>
        <v>1</v>
      </c>
      <c r="L7" s="472">
        <v>1</v>
      </c>
      <c r="M7" s="465" t="str">
        <f ca="1">IFERROR(VLOOKUP(L8,$G$5:$J$28,2,FALSE),"")</f>
        <v/>
      </c>
      <c r="N7" s="966"/>
      <c r="O7" s="780"/>
      <c r="Q7" s="447">
        <f>K7</f>
        <v>1</v>
      </c>
      <c r="R7" s="472">
        <v>1</v>
      </c>
      <c r="S7" s="465" t="str">
        <f ca="1">IFERROR(VLOOKUP(R8,$G$5:$J$28,2,FALSE),"")</f>
        <v/>
      </c>
      <c r="T7" s="966"/>
      <c r="U7" s="780"/>
      <c r="W7" s="447">
        <f>Q7</f>
        <v>1</v>
      </c>
      <c r="X7" s="472">
        <v>1</v>
      </c>
      <c r="Y7" s="465" t="str">
        <f ca="1">IFERROR(VLOOKUP(X8,$G$5:$J$28,2,FALSE),"")</f>
        <v/>
      </c>
      <c r="Z7" s="966"/>
      <c r="AA7" s="780"/>
      <c r="AB7" s="523"/>
      <c r="AF7" s="448" t="s">
        <v>784</v>
      </c>
      <c r="AG7" s="435" t="str">
        <f>IF(ISBLANK(Z7),"",IF(Z7+AA7&gt;Z9+AA9,X8,X10))</f>
        <v/>
      </c>
      <c r="AH7" s="475" t="str">
        <f ca="1">IFERROR(VLOOKUP(AG7,$G$5:$J$28,2,FALSE),"")</f>
        <v/>
      </c>
      <c r="AI7" s="475" t="str">
        <f ca="1">IFERROR(VLOOKUP(AG7,$G$5:$J$28,3,FALSE),"")</f>
        <v/>
      </c>
      <c r="AJ7" s="475" t="str">
        <f ca="1">IFERROR(VLOOKUP(AG7,$G$5:$J$28,4,FALSE),"")</f>
        <v/>
      </c>
      <c r="AN7" s="494">
        <f>K9</f>
        <v>2</v>
      </c>
      <c r="AO7" s="495" t="str">
        <f ca="1">L10</f>
        <v/>
      </c>
      <c r="AP7" s="784" t="str">
        <f ca="1">AO6</f>
        <v/>
      </c>
      <c r="AQ7" s="496" t="s">
        <v>793</v>
      </c>
      <c r="AR7" s="494">
        <f>Q9</f>
        <v>2</v>
      </c>
      <c r="AS7" s="495" t="str">
        <f>R10</f>
        <v/>
      </c>
      <c r="AT7" s="784" t="str">
        <f>AS6</f>
        <v/>
      </c>
      <c r="AU7" s="496" t="s">
        <v>793</v>
      </c>
      <c r="AV7" s="494">
        <f>W9</f>
        <v>2</v>
      </c>
      <c r="AW7" s="495" t="str">
        <f>X10</f>
        <v/>
      </c>
      <c r="AX7" s="495" t="str">
        <f>AW6</f>
        <v/>
      </c>
      <c r="AY7" s="496" t="s">
        <v>793</v>
      </c>
    </row>
    <row r="8" spans="1:51" ht="15.95" customHeight="1" thickBot="1" x14ac:dyDescent="0.25">
      <c r="A8" s="435">
        <v>4</v>
      </c>
      <c r="B8" s="444" t="str">
        <f t="shared" ca="1" si="1"/>
        <v/>
      </c>
      <c r="C8" s="444" t="str">
        <f t="shared" ca="1" si="2"/>
        <v/>
      </c>
      <c r="D8" s="444" t="str">
        <f t="shared" ca="1" si="3"/>
        <v/>
      </c>
      <c r="E8" s="486">
        <f t="shared" ca="1" si="4"/>
        <v>0</v>
      </c>
      <c r="F8" s="489">
        <v>14</v>
      </c>
      <c r="G8" s="488" t="str">
        <f t="shared" ca="1" si="5"/>
        <v/>
      </c>
      <c r="H8" s="898" t="str">
        <f t="shared" ca="1" si="6"/>
        <v/>
      </c>
      <c r="I8" s="898" t="str">
        <f t="shared" ca="1" si="0"/>
        <v/>
      </c>
      <c r="J8" s="898" t="str">
        <f t="shared" ca="1" si="0"/>
        <v/>
      </c>
      <c r="K8" s="447"/>
      <c r="L8" s="473" t="str">
        <f ca="1">VLOOKUP(L7,$A$5:$G$24,7,FALSE)</f>
        <v/>
      </c>
      <c r="M8" s="466" t="str">
        <f ca="1">IFERROR(VLOOKUP(L8,$G$5:$J$28,3,FALSE),"")</f>
        <v/>
      </c>
      <c r="N8" s="967"/>
      <c r="Q8" s="447"/>
      <c r="R8" s="473" t="str">
        <f>IF(ISBLANK(N7),"",IF(O7+N7&gt;N9+O9,L8,L10))</f>
        <v/>
      </c>
      <c r="S8" s="466" t="str">
        <f ca="1">IFERROR(VLOOKUP(R8,$G$5:$J$28,3,FALSE),"")</f>
        <v/>
      </c>
      <c r="T8" s="967"/>
      <c r="W8" s="447"/>
      <c r="X8" s="473" t="str">
        <f>IF(ISBLANK(T7),"",IF(U7+T7&gt;T9+U9,R8,R10))</f>
        <v/>
      </c>
      <c r="Y8" s="466" t="str">
        <f ca="1">IFERROR(VLOOKUP(X8,$G$5:$J$28,3,FALSE),"")</f>
        <v/>
      </c>
      <c r="Z8" s="967"/>
      <c r="AB8" s="523"/>
      <c r="AF8" s="449" t="s">
        <v>785</v>
      </c>
      <c r="AG8" s="435" t="str">
        <f>IF(ISBLANK(Z7),"",IF(Z7+AA7&lt;Z9+AA9,X8,X10))</f>
        <v/>
      </c>
      <c r="AH8" s="478" t="str">
        <f t="shared" ref="AH8:AH17" ca="1" si="7">IFERROR(VLOOKUP(AG8,$G$5:$J$28,2,FALSE),"")</f>
        <v/>
      </c>
      <c r="AI8" s="474" t="str">
        <f t="shared" ref="AI8:AI17" ca="1" si="8">IFERROR(VLOOKUP(AG8,$G$5:$J$28,3,FALSE),"")</f>
        <v/>
      </c>
      <c r="AJ8" s="915" t="str">
        <f t="shared" ref="AJ8:AJ17" ca="1" si="9">IFERROR(VLOOKUP(AG8,$G$5:$J$28,4,FALSE),"")</f>
        <v/>
      </c>
      <c r="AN8" s="494">
        <f>K14</f>
        <v>3</v>
      </c>
      <c r="AO8" s="495" t="str">
        <f ca="1">L15</f>
        <v/>
      </c>
      <c r="AP8" s="784" t="str">
        <f ca="1">AO9</f>
        <v/>
      </c>
      <c r="AQ8" s="496" t="s">
        <v>793</v>
      </c>
      <c r="AR8" s="494">
        <f>Q14</f>
        <v>3</v>
      </c>
      <c r="AS8" s="495" t="str">
        <f>R15</f>
        <v/>
      </c>
      <c r="AT8" s="784" t="str">
        <f>AS9</f>
        <v/>
      </c>
      <c r="AU8" s="496" t="s">
        <v>793</v>
      </c>
      <c r="AV8" s="494">
        <f>W14</f>
        <v>3</v>
      </c>
      <c r="AW8" s="495" t="str">
        <f>X15</f>
        <v/>
      </c>
      <c r="AX8" s="495" t="str">
        <f t="shared" ref="AX8" si="10">AW9</f>
        <v/>
      </c>
      <c r="AY8" s="496" t="s">
        <v>793</v>
      </c>
    </row>
    <row r="9" spans="1:51" ht="15.95" customHeight="1" thickBot="1" x14ac:dyDescent="0.25">
      <c r="A9" s="435">
        <v>5</v>
      </c>
      <c r="B9" s="444" t="str">
        <f t="shared" ca="1" si="1"/>
        <v/>
      </c>
      <c r="C9" s="444" t="str">
        <f t="shared" ca="1" si="2"/>
        <v/>
      </c>
      <c r="D9" s="444" t="str">
        <f t="shared" ca="1" si="3"/>
        <v/>
      </c>
      <c r="E9" s="486">
        <f t="shared" ca="1" si="4"/>
        <v>0</v>
      </c>
      <c r="F9" s="489">
        <v>15</v>
      </c>
      <c r="G9" s="488" t="str">
        <f t="shared" ca="1" si="5"/>
        <v/>
      </c>
      <c r="H9" s="898" t="str">
        <f t="shared" ca="1" si="6"/>
        <v/>
      </c>
      <c r="I9" s="898" t="str">
        <f t="shared" ca="1" si="0"/>
        <v/>
      </c>
      <c r="J9" s="898" t="str">
        <f t="shared" ca="1" si="0"/>
        <v/>
      </c>
      <c r="K9" s="447">
        <f>K7+1</f>
        <v>2</v>
      </c>
      <c r="L9" s="472">
        <v>8</v>
      </c>
      <c r="M9" s="465" t="str">
        <f ca="1">IFERROR(VLOOKUP(L10,$G$5:$J$28,2,FALSE),"")</f>
        <v/>
      </c>
      <c r="N9" s="966"/>
      <c r="O9" s="780"/>
      <c r="Q9" s="447">
        <f>Q7+1</f>
        <v>2</v>
      </c>
      <c r="R9" s="472">
        <v>4</v>
      </c>
      <c r="S9" s="465" t="str">
        <f ca="1">IFERROR(VLOOKUP(R10,$G$5:$J$28,2,FALSE),"")</f>
        <v/>
      </c>
      <c r="T9" s="966"/>
      <c r="U9" s="780"/>
      <c r="W9" s="447">
        <f>W7+1</f>
        <v>2</v>
      </c>
      <c r="X9" s="472">
        <v>2</v>
      </c>
      <c r="Y9" s="465" t="str">
        <f ca="1">IFERROR(VLOOKUP(X10,$G$5:$J$28,2,FALSE),"")</f>
        <v/>
      </c>
      <c r="Z9" s="966"/>
      <c r="AA9" s="780"/>
      <c r="AB9" s="523"/>
      <c r="AF9" s="452" t="s">
        <v>786</v>
      </c>
      <c r="AG9" s="435" t="str">
        <f>IF(ISBLANK(Z14),"",IF(Z14+AA14&gt;Z16+AA16,X15,X17))</f>
        <v/>
      </c>
      <c r="AH9" s="478" t="str">
        <f t="shared" ca="1" si="7"/>
        <v/>
      </c>
      <c r="AI9" s="474" t="str">
        <f t="shared" ca="1" si="8"/>
        <v/>
      </c>
      <c r="AJ9" s="915" t="str">
        <f t="shared" ca="1" si="9"/>
        <v/>
      </c>
      <c r="AN9" s="494">
        <f>K16</f>
        <v>4</v>
      </c>
      <c r="AO9" s="495" t="str">
        <f ca="1">L17</f>
        <v/>
      </c>
      <c r="AP9" s="784" t="str">
        <f ca="1">AO8</f>
        <v/>
      </c>
      <c r="AQ9" s="496" t="s">
        <v>793</v>
      </c>
      <c r="AR9" s="494">
        <f>Q16</f>
        <v>4</v>
      </c>
      <c r="AS9" s="495" t="str">
        <f>R17</f>
        <v/>
      </c>
      <c r="AT9" s="784" t="str">
        <f>AS8</f>
        <v/>
      </c>
      <c r="AU9" s="496" t="s">
        <v>793</v>
      </c>
      <c r="AV9" s="494">
        <f>W16</f>
        <v>4</v>
      </c>
      <c r="AW9" s="495" t="str">
        <f>X17</f>
        <v/>
      </c>
      <c r="AX9" s="495" t="str">
        <f t="shared" ref="AX9" si="11">AW8</f>
        <v/>
      </c>
      <c r="AY9" s="496" t="s">
        <v>793</v>
      </c>
    </row>
    <row r="10" spans="1:51" ht="15.95" customHeight="1" thickBot="1" x14ac:dyDescent="0.25">
      <c r="A10" s="435">
        <v>6</v>
      </c>
      <c r="B10" s="444" t="str">
        <f t="shared" ca="1" si="1"/>
        <v/>
      </c>
      <c r="C10" s="444" t="str">
        <f t="shared" ca="1" si="2"/>
        <v/>
      </c>
      <c r="D10" s="444" t="str">
        <f t="shared" ca="1" si="3"/>
        <v/>
      </c>
      <c r="E10" s="486">
        <f t="shared" ca="1" si="4"/>
        <v>0</v>
      </c>
      <c r="F10" s="489">
        <v>16</v>
      </c>
      <c r="G10" s="488" t="str">
        <f t="shared" ca="1" si="5"/>
        <v/>
      </c>
      <c r="H10" s="898" t="str">
        <f t="shared" ca="1" si="6"/>
        <v/>
      </c>
      <c r="I10" s="898" t="str">
        <f t="shared" ca="1" si="0"/>
        <v/>
      </c>
      <c r="J10" s="898" t="str">
        <f t="shared" ca="1" si="0"/>
        <v/>
      </c>
      <c r="K10" s="447"/>
      <c r="L10" s="473" t="str">
        <f ca="1">VLOOKUP(L9,$A$5:$G$24,7,FALSE)</f>
        <v/>
      </c>
      <c r="M10" s="466" t="str">
        <f ca="1">IFERROR(VLOOKUP(L10,$G$5:$J$28,3,FALSE),"")</f>
        <v/>
      </c>
      <c r="N10" s="967"/>
      <c r="Q10" s="447"/>
      <c r="R10" s="473" t="str">
        <f>IF(ISBLANK(N14),"",IF(O14+N14&gt;N16+O16,L15,L17))</f>
        <v/>
      </c>
      <c r="S10" s="466" t="str">
        <f ca="1">IFERROR(VLOOKUP(R10,$G$5:$J$28,3,FALSE),"")</f>
        <v/>
      </c>
      <c r="T10" s="967"/>
      <c r="W10" s="447"/>
      <c r="X10" s="473" t="str">
        <f>IF(ISBLANK(T14),"",IF(U14+T14&gt;T16+U16,R15,R17))</f>
        <v/>
      </c>
      <c r="Y10" s="466" t="str">
        <f ca="1">IFERROR(VLOOKUP(X10,$G$5:$J$28,3,FALSE),"")</f>
        <v/>
      </c>
      <c r="Z10" s="967"/>
      <c r="AB10" s="523"/>
      <c r="AF10" s="453" t="s">
        <v>788</v>
      </c>
      <c r="AG10" s="435" t="str">
        <f>IF(ISBLANK(Z14),"",IF(Z14+AA14&lt;Z16+AA16,X15,X17))</f>
        <v/>
      </c>
      <c r="AH10" s="478" t="str">
        <f t="shared" ca="1" si="7"/>
        <v/>
      </c>
      <c r="AI10" s="474" t="str">
        <f t="shared" ca="1" si="8"/>
        <v/>
      </c>
      <c r="AJ10" s="915" t="str">
        <f t="shared" ca="1" si="9"/>
        <v/>
      </c>
      <c r="AN10" s="494">
        <f>K21</f>
        <v>5</v>
      </c>
      <c r="AO10" s="495" t="str">
        <f ca="1">L22</f>
        <v/>
      </c>
      <c r="AP10" s="784" t="str">
        <f ca="1">AO11</f>
        <v/>
      </c>
      <c r="AQ10" s="496" t="s">
        <v>793</v>
      </c>
      <c r="AR10" s="494">
        <f>Q21</f>
        <v>5</v>
      </c>
      <c r="AS10" s="495" t="str">
        <f>R22</f>
        <v/>
      </c>
      <c r="AT10" s="784" t="str">
        <f>AS11</f>
        <v/>
      </c>
      <c r="AU10" s="496" t="s">
        <v>793</v>
      </c>
      <c r="AV10" s="494">
        <f>W21</f>
        <v>5</v>
      </c>
      <c r="AW10" s="495" t="str">
        <f>X22</f>
        <v/>
      </c>
      <c r="AX10" s="495" t="str">
        <f t="shared" ref="AX10" si="12">AW11</f>
        <v/>
      </c>
      <c r="AY10" s="496" t="s">
        <v>793</v>
      </c>
    </row>
    <row r="11" spans="1:51" ht="15.95" customHeight="1" x14ac:dyDescent="0.2">
      <c r="A11" s="435">
        <v>7</v>
      </c>
      <c r="B11" s="444" t="str">
        <f t="shared" ca="1" si="1"/>
        <v/>
      </c>
      <c r="C11" s="444" t="str">
        <f t="shared" ca="1" si="2"/>
        <v/>
      </c>
      <c r="D11" s="444" t="str">
        <f t="shared" ca="1" si="3"/>
        <v/>
      </c>
      <c r="E11" s="486">
        <f t="shared" ca="1" si="4"/>
        <v>0</v>
      </c>
      <c r="F11" s="489">
        <v>17</v>
      </c>
      <c r="G11" s="488" t="str">
        <f t="shared" ca="1" si="5"/>
        <v/>
      </c>
      <c r="H11" s="898" t="str">
        <f t="shared" ca="1" si="6"/>
        <v/>
      </c>
      <c r="I11" s="898" t="str">
        <f t="shared" ca="1" si="0"/>
        <v/>
      </c>
      <c r="J11" s="898" t="str">
        <f t="shared" ca="1" si="0"/>
        <v/>
      </c>
      <c r="K11" s="450"/>
      <c r="L11" s="450"/>
      <c r="M11" s="450"/>
      <c r="N11" s="451"/>
      <c r="O11" s="450"/>
      <c r="P11" s="450"/>
      <c r="Q11" s="450"/>
      <c r="R11" s="437"/>
      <c r="S11" s="437"/>
      <c r="T11" s="451"/>
      <c r="U11" s="450"/>
      <c r="V11" s="450"/>
      <c r="W11" s="450"/>
      <c r="X11" s="450"/>
      <c r="Y11" s="450"/>
      <c r="Z11" s="451"/>
      <c r="AA11" s="450"/>
      <c r="AB11" s="523"/>
      <c r="AF11" s="453" t="s">
        <v>789</v>
      </c>
      <c r="AG11" s="435" t="str">
        <f>IF(ISBLANK(Z21),"",IF(Z21+AA21&gt;Z23+AA23,X22,X24))</f>
        <v/>
      </c>
      <c r="AH11" s="478" t="str">
        <f t="shared" ca="1" si="7"/>
        <v/>
      </c>
      <c r="AI11" s="474" t="str">
        <f t="shared" ca="1" si="8"/>
        <v/>
      </c>
      <c r="AJ11" s="915" t="str">
        <f t="shared" ca="1" si="9"/>
        <v/>
      </c>
      <c r="AN11" s="494">
        <f>K23</f>
        <v>6</v>
      </c>
      <c r="AO11" s="495" t="str">
        <f ca="1">L24</f>
        <v/>
      </c>
      <c r="AP11" s="784" t="str">
        <f ca="1">AO10</f>
        <v/>
      </c>
      <c r="AQ11" s="496" t="s">
        <v>793</v>
      </c>
      <c r="AR11" s="494">
        <f>Q23</f>
        <v>6</v>
      </c>
      <c r="AS11" s="495" t="str">
        <f>R24</f>
        <v/>
      </c>
      <c r="AT11" s="784" t="str">
        <f>AS10</f>
        <v/>
      </c>
      <c r="AU11" s="496" t="s">
        <v>793</v>
      </c>
      <c r="AV11" s="494">
        <f>W23</f>
        <v>6</v>
      </c>
      <c r="AW11" s="495" t="str">
        <f>X24</f>
        <v/>
      </c>
      <c r="AX11" s="495" t="str">
        <f t="shared" ref="AX11" si="13">AW10</f>
        <v/>
      </c>
      <c r="AY11" s="496" t="s">
        <v>793</v>
      </c>
    </row>
    <row r="12" spans="1:51" ht="15.95" customHeight="1" thickBot="1" x14ac:dyDescent="0.25">
      <c r="A12" s="435">
        <v>8</v>
      </c>
      <c r="B12" s="444" t="str">
        <f t="shared" ca="1" si="1"/>
        <v/>
      </c>
      <c r="C12" s="444" t="str">
        <f t="shared" ca="1" si="2"/>
        <v/>
      </c>
      <c r="D12" s="444" t="str">
        <f t="shared" ca="1" si="3"/>
        <v/>
      </c>
      <c r="E12" s="486">
        <f t="shared" ca="1" si="4"/>
        <v>0</v>
      </c>
      <c r="F12" s="489">
        <v>18</v>
      </c>
      <c r="G12" s="488" t="str">
        <f t="shared" ca="1" si="5"/>
        <v/>
      </c>
      <c r="H12" s="898" t="str">
        <f t="shared" ca="1" si="6"/>
        <v/>
      </c>
      <c r="I12" s="898" t="str">
        <f t="shared" ca="1" si="0"/>
        <v/>
      </c>
      <c r="J12" s="898" t="str">
        <f t="shared" ca="1" si="0"/>
        <v/>
      </c>
      <c r="K12" s="450"/>
      <c r="L12" s="450"/>
      <c r="M12" s="450"/>
      <c r="N12" s="451"/>
      <c r="O12" s="450"/>
      <c r="P12" s="450"/>
      <c r="Q12" s="450"/>
      <c r="R12" s="437"/>
      <c r="S12" s="437"/>
      <c r="T12" s="451"/>
      <c r="U12" s="450"/>
      <c r="V12" s="450"/>
      <c r="W12" s="450"/>
      <c r="X12" s="979" t="s">
        <v>787</v>
      </c>
      <c r="Y12" s="1247"/>
      <c r="Z12" s="1247"/>
      <c r="AA12" s="450"/>
      <c r="AB12" s="523"/>
      <c r="AF12" s="453" t="s">
        <v>790</v>
      </c>
      <c r="AG12" s="435" t="str">
        <f>IF(ISBLANK(Z21),"",IF(Z21+AA21&lt;Z23+AA23,X22,X24))</f>
        <v/>
      </c>
      <c r="AH12" s="478" t="str">
        <f t="shared" ca="1" si="7"/>
        <v/>
      </c>
      <c r="AI12" s="474" t="str">
        <f t="shared" ca="1" si="8"/>
        <v/>
      </c>
      <c r="AJ12" s="915" t="str">
        <f t="shared" ca="1" si="9"/>
        <v/>
      </c>
      <c r="AN12" s="494">
        <f>K28</f>
        <v>7</v>
      </c>
      <c r="AO12" s="495" t="str">
        <f ca="1">L29</f>
        <v/>
      </c>
      <c r="AP12" s="784" t="str">
        <f ca="1">AO13</f>
        <v/>
      </c>
      <c r="AQ12" s="496" t="s">
        <v>793</v>
      </c>
      <c r="AR12" s="494">
        <f>Q28</f>
        <v>7</v>
      </c>
      <c r="AS12" s="495" t="str">
        <f>R29</f>
        <v/>
      </c>
      <c r="AT12" s="784" t="str">
        <f>AS13</f>
        <v/>
      </c>
      <c r="AU12" s="496" t="s">
        <v>793</v>
      </c>
      <c r="AV12" s="494">
        <f>W28</f>
        <v>7</v>
      </c>
      <c r="AW12" s="495" t="str">
        <f>X29</f>
        <v/>
      </c>
      <c r="AX12" s="495" t="str">
        <f t="shared" ref="AX12" si="14">AW13</f>
        <v/>
      </c>
      <c r="AY12" s="496" t="s">
        <v>793</v>
      </c>
    </row>
    <row r="13" spans="1:51" ht="15.95" customHeight="1" thickBot="1" x14ac:dyDescent="0.25">
      <c r="A13" s="435">
        <v>9</v>
      </c>
      <c r="B13" s="444" t="str">
        <f t="shared" ca="1" si="1"/>
        <v/>
      </c>
      <c r="C13" s="444" t="str">
        <f t="shared" ca="1" si="2"/>
        <v/>
      </c>
      <c r="D13" s="444" t="str">
        <f t="shared" ca="1" si="3"/>
        <v/>
      </c>
      <c r="E13" s="486">
        <f t="shared" ca="1" si="4"/>
        <v>0</v>
      </c>
      <c r="F13" s="489">
        <v>19</v>
      </c>
      <c r="G13" s="488" t="str">
        <f t="shared" ca="1" si="5"/>
        <v/>
      </c>
      <c r="H13" s="898" t="str">
        <f t="shared" ca="1" si="6"/>
        <v/>
      </c>
      <c r="I13" s="898" t="str">
        <f t="shared" ca="1" si="0"/>
        <v/>
      </c>
      <c r="J13" s="898" t="str">
        <f t="shared" ca="1" si="0"/>
        <v/>
      </c>
      <c r="K13" s="445" t="s">
        <v>779</v>
      </c>
      <c r="L13" s="779" t="s">
        <v>1083</v>
      </c>
      <c r="M13" s="456" t="s">
        <v>481</v>
      </c>
      <c r="N13" s="464" t="s">
        <v>780</v>
      </c>
      <c r="O13" s="446" t="s">
        <v>781</v>
      </c>
      <c r="P13" s="445"/>
      <c r="Q13" s="445" t="s">
        <v>779</v>
      </c>
      <c r="R13" s="779" t="s">
        <v>1083</v>
      </c>
      <c r="S13" s="456" t="s">
        <v>481</v>
      </c>
      <c r="T13" s="464" t="s">
        <v>780</v>
      </c>
      <c r="U13" s="446" t="s">
        <v>781</v>
      </c>
      <c r="V13" s="445"/>
      <c r="W13" s="445" t="s">
        <v>779</v>
      </c>
      <c r="X13" s="463">
        <v>3</v>
      </c>
      <c r="Y13" s="456" t="s">
        <v>481</v>
      </c>
      <c r="Z13" s="464" t="s">
        <v>780</v>
      </c>
      <c r="AA13" s="446" t="s">
        <v>781</v>
      </c>
      <c r="AB13" s="523"/>
      <c r="AF13" s="453" t="s">
        <v>791</v>
      </c>
      <c r="AG13" s="435" t="str">
        <f>IF(ISBLANK(Z28),"",IF(Z28+AA28&gt;Z30+AA30,X29,X31))</f>
        <v/>
      </c>
      <c r="AH13" s="478" t="str">
        <f t="shared" ca="1" si="7"/>
        <v/>
      </c>
      <c r="AI13" s="474" t="str">
        <f t="shared" ca="1" si="8"/>
        <v/>
      </c>
      <c r="AJ13" s="915" t="str">
        <f t="shared" ca="1" si="9"/>
        <v/>
      </c>
      <c r="AN13" s="494">
        <f>K30</f>
        <v>8</v>
      </c>
      <c r="AO13" s="495" t="str">
        <f ca="1">L31</f>
        <v/>
      </c>
      <c r="AP13" s="784" t="str">
        <f ca="1">AO12</f>
        <v/>
      </c>
      <c r="AQ13" s="496" t="s">
        <v>793</v>
      </c>
      <c r="AR13" s="494">
        <f>Q30</f>
        <v>8</v>
      </c>
      <c r="AS13" s="495" t="str">
        <f>R31</f>
        <v/>
      </c>
      <c r="AT13" s="784" t="str">
        <f>AS12</f>
        <v/>
      </c>
      <c r="AU13" s="496" t="s">
        <v>793</v>
      </c>
      <c r="AV13" s="494">
        <f>W30</f>
        <v>8</v>
      </c>
      <c r="AW13" s="495" t="str">
        <f>X31</f>
        <v/>
      </c>
      <c r="AX13" s="495" t="str">
        <f t="shared" ref="AX13" si="15">AW12</f>
        <v/>
      </c>
      <c r="AY13" s="496" t="s">
        <v>793</v>
      </c>
    </row>
    <row r="14" spans="1:51" ht="15.95" customHeight="1" thickBot="1" x14ac:dyDescent="0.25">
      <c r="A14" s="435">
        <v>10</v>
      </c>
      <c r="B14" s="444" t="str">
        <f t="shared" ca="1" si="1"/>
        <v/>
      </c>
      <c r="C14" s="444" t="str">
        <f t="shared" ca="1" si="2"/>
        <v/>
      </c>
      <c r="D14" s="444" t="str">
        <f t="shared" ca="1" si="3"/>
        <v/>
      </c>
      <c r="E14" s="486">
        <f t="shared" ca="1" si="4"/>
        <v>0</v>
      </c>
      <c r="F14" s="489">
        <v>20</v>
      </c>
      <c r="G14" s="488" t="str">
        <f t="shared" ca="1" si="5"/>
        <v/>
      </c>
      <c r="H14" s="898" t="str">
        <f t="shared" ca="1" si="6"/>
        <v/>
      </c>
      <c r="I14" s="898" t="str">
        <f t="shared" ca="1" si="0"/>
        <v/>
      </c>
      <c r="J14" s="898" t="str">
        <f t="shared" ca="1" si="0"/>
        <v/>
      </c>
      <c r="K14" s="447">
        <f>K9+1</f>
        <v>3</v>
      </c>
      <c r="L14" s="472">
        <v>4</v>
      </c>
      <c r="M14" s="465" t="str">
        <f ca="1">IFERROR(VLOOKUP(L15,$G$5:$J$28,2,FALSE),"")</f>
        <v/>
      </c>
      <c r="N14" s="966"/>
      <c r="O14" s="780"/>
      <c r="Q14" s="447">
        <f>Q9+1</f>
        <v>3</v>
      </c>
      <c r="R14" s="472">
        <v>3</v>
      </c>
      <c r="S14" s="465" t="str">
        <f ca="1">IFERROR(VLOOKUP(R15,$G$5:$J$28,2,FALSE),"")</f>
        <v/>
      </c>
      <c r="T14" s="966"/>
      <c r="U14" s="780"/>
      <c r="W14" s="447">
        <f>W9+1</f>
        <v>3</v>
      </c>
      <c r="X14" s="472">
        <v>4</v>
      </c>
      <c r="Y14" s="465" t="str">
        <f ca="1">IFERROR(VLOOKUP(X15,$G$5:$J$28,2,FALSE),"")</f>
        <v/>
      </c>
      <c r="Z14" s="966"/>
      <c r="AA14" s="780"/>
      <c r="AB14" s="523"/>
      <c r="AF14" s="453" t="s">
        <v>792</v>
      </c>
      <c r="AG14" s="435" t="str">
        <f>IF(ISBLANK(Z28),"",IF(Z28+AA28&lt;Z30+AA30,X29,X31))</f>
        <v/>
      </c>
      <c r="AH14" s="478" t="str">
        <f t="shared" ca="1" si="7"/>
        <v/>
      </c>
      <c r="AI14" s="474" t="str">
        <f t="shared" ca="1" si="8"/>
        <v/>
      </c>
      <c r="AJ14" s="915" t="str">
        <f t="shared" ca="1" si="9"/>
        <v/>
      </c>
      <c r="AN14" s="494">
        <f>K36</f>
        <v>9</v>
      </c>
      <c r="AO14" s="495" t="str">
        <f ca="1">L37</f>
        <v/>
      </c>
      <c r="AP14" s="784" t="s">
        <v>1326</v>
      </c>
      <c r="AQ14" s="496" t="s">
        <v>793</v>
      </c>
      <c r="AR14" s="494">
        <f>Q36</f>
        <v>9</v>
      </c>
      <c r="AS14" s="495" t="str">
        <f ca="1">R37</f>
        <v/>
      </c>
      <c r="AT14" s="784" t="s">
        <v>1326</v>
      </c>
      <c r="AU14" s="496" t="s">
        <v>793</v>
      </c>
      <c r="AV14" s="494">
        <f>W36</f>
        <v>9</v>
      </c>
      <c r="AW14" s="495" t="str">
        <f ca="1">X37</f>
        <v/>
      </c>
      <c r="AX14" s="495" t="str">
        <f t="shared" ref="AX14" si="16">AW15</f>
        <v/>
      </c>
      <c r="AY14" s="496" t="s">
        <v>793</v>
      </c>
    </row>
    <row r="15" spans="1:51" ht="15.95" customHeight="1" thickBot="1" x14ac:dyDescent="0.25">
      <c r="A15" s="435">
        <v>11</v>
      </c>
      <c r="B15" s="444" t="str">
        <f t="shared" ca="1" si="1"/>
        <v/>
      </c>
      <c r="C15" s="444" t="str">
        <f t="shared" ca="1" si="2"/>
        <v/>
      </c>
      <c r="D15" s="444" t="str">
        <f t="shared" ca="1" si="3"/>
        <v/>
      </c>
      <c r="E15" s="486">
        <f t="shared" ca="1" si="4"/>
        <v>0</v>
      </c>
      <c r="F15" s="489">
        <v>21</v>
      </c>
      <c r="G15" s="488" t="str">
        <f t="shared" ca="1" si="5"/>
        <v/>
      </c>
      <c r="H15" s="898" t="str">
        <f t="shared" ca="1" si="6"/>
        <v/>
      </c>
      <c r="I15" s="898" t="str">
        <f t="shared" ca="1" si="0"/>
        <v/>
      </c>
      <c r="J15" s="898" t="str">
        <f t="shared" ca="1" si="0"/>
        <v/>
      </c>
      <c r="K15" s="447"/>
      <c r="L15" s="473" t="str">
        <f ca="1">VLOOKUP(L14,$A$5:$G$24,7,FALSE)</f>
        <v/>
      </c>
      <c r="M15" s="466" t="str">
        <f ca="1">IFERROR(VLOOKUP(L15,$G$5:$J$28,3,FALSE),"")</f>
        <v/>
      </c>
      <c r="N15" s="967"/>
      <c r="Q15" s="447"/>
      <c r="R15" s="473" t="str">
        <f>IF(ISBLANK(N21),"",IF(N21+O21&gt;N23+O23,L22,L24))</f>
        <v/>
      </c>
      <c r="S15" s="466" t="str">
        <f ca="1">IFERROR(VLOOKUP(R15,$G$5:$J$28,3,FALSE),"")</f>
        <v/>
      </c>
      <c r="T15" s="967"/>
      <c r="W15" s="447"/>
      <c r="X15" s="473" t="str">
        <f>IF(ISBLANK(T7),"",IF(U7+T7&lt;T9+U9,R8,R10))</f>
        <v/>
      </c>
      <c r="Y15" s="466" t="str">
        <f ca="1">IFERROR(VLOOKUP(X15,$G$5:$J$28,3,FALSE),"")</f>
        <v/>
      </c>
      <c r="Z15" s="967"/>
      <c r="AB15" s="523"/>
      <c r="AF15" s="453" t="s">
        <v>794</v>
      </c>
      <c r="AG15" s="435" t="str">
        <f>IF(ISBLANK(Z36),"",IF(Z36+AA36&gt;Z38+AA38,X37,X39))</f>
        <v/>
      </c>
      <c r="AH15" s="478" t="str">
        <f t="shared" ca="1" si="7"/>
        <v/>
      </c>
      <c r="AI15" s="474" t="str">
        <f t="shared" ca="1" si="8"/>
        <v/>
      </c>
      <c r="AJ15" s="915" t="str">
        <f t="shared" ca="1" si="9"/>
        <v/>
      </c>
      <c r="AN15" s="494">
        <f>K43</f>
        <v>10</v>
      </c>
      <c r="AO15" s="495" t="str">
        <f ca="1">L44</f>
        <v/>
      </c>
      <c r="AP15" s="784" t="s">
        <v>1326</v>
      </c>
      <c r="AQ15" s="496" t="s">
        <v>793</v>
      </c>
      <c r="AR15" s="494">
        <f>Q45</f>
        <v>10</v>
      </c>
      <c r="AS15" s="495" t="str">
        <f ca="1">R46</f>
        <v/>
      </c>
      <c r="AT15" s="784" t="str">
        <f ca="1">AS16</f>
        <v/>
      </c>
      <c r="AU15" s="496" t="s">
        <v>793</v>
      </c>
      <c r="AV15" s="494">
        <f>W38</f>
        <v>10</v>
      </c>
      <c r="AW15" s="495" t="str">
        <f>X39</f>
        <v/>
      </c>
      <c r="AX15" s="495" t="str">
        <f t="shared" ref="AX15" ca="1" si="17">AW14</f>
        <v/>
      </c>
      <c r="AY15" s="496" t="s">
        <v>793</v>
      </c>
    </row>
    <row r="16" spans="1:51" ht="15.95" customHeight="1" thickBot="1" x14ac:dyDescent="0.25">
      <c r="F16" s="489">
        <v>22</v>
      </c>
      <c r="G16" s="488" t="str">
        <f t="shared" si="5"/>
        <v/>
      </c>
      <c r="H16" s="898" t="str">
        <f t="shared" si="6"/>
        <v/>
      </c>
      <c r="I16" s="898" t="str">
        <f t="shared" si="0"/>
        <v/>
      </c>
      <c r="J16" s="898" t="str">
        <f t="shared" si="0"/>
        <v/>
      </c>
      <c r="K16" s="447">
        <f>K14+1</f>
        <v>4</v>
      </c>
      <c r="L16" s="472">
        <v>5</v>
      </c>
      <c r="M16" s="465" t="str">
        <f ca="1">IFERROR(VLOOKUP(L17,$G$5:$J$28,2,FALSE),"")</f>
        <v/>
      </c>
      <c r="N16" s="966"/>
      <c r="O16" s="780"/>
      <c r="Q16" s="447">
        <f>Q14+1</f>
        <v>4</v>
      </c>
      <c r="R16" s="472">
        <v>2</v>
      </c>
      <c r="S16" s="465" t="str">
        <f ca="1">IFERROR(VLOOKUP(R17,$G$5:$J$28,2,FALSE),"")</f>
        <v/>
      </c>
      <c r="T16" s="966"/>
      <c r="U16" s="780"/>
      <c r="W16" s="447">
        <f>W14+1</f>
        <v>4</v>
      </c>
      <c r="X16" s="472">
        <v>3</v>
      </c>
      <c r="Y16" s="465" t="str">
        <f ca="1">IFERROR(VLOOKUP(X17,$G$5:$J$28,2,FALSE),"")</f>
        <v/>
      </c>
      <c r="Z16" s="966"/>
      <c r="AA16" s="780"/>
      <c r="AB16" s="523"/>
      <c r="AF16" s="453" t="s">
        <v>795</v>
      </c>
      <c r="AG16" s="435" t="str">
        <f>IF(ISBLANK(Z36),"",IF(Z36+AA36&lt;Z38+AA38,X37,X39))</f>
        <v/>
      </c>
      <c r="AH16" s="478" t="str">
        <f t="shared" ca="1" si="7"/>
        <v/>
      </c>
      <c r="AI16" s="474" t="str">
        <f t="shared" ca="1" si="8"/>
        <v/>
      </c>
      <c r="AJ16" s="915" t="str">
        <f t="shared" ca="1" si="9"/>
        <v/>
      </c>
      <c r="AN16" s="494">
        <f>K50</f>
        <v>11</v>
      </c>
      <c r="AO16" s="495" t="str">
        <f ca="1">L51</f>
        <v/>
      </c>
      <c r="AP16" s="784" t="s">
        <v>1326</v>
      </c>
      <c r="AQ16" s="496" t="s">
        <v>793</v>
      </c>
      <c r="AR16" s="494">
        <f>Q47</f>
        <v>11</v>
      </c>
      <c r="AS16" s="495" t="str">
        <f ca="1">R48</f>
        <v/>
      </c>
      <c r="AT16" s="784" t="str">
        <f ca="1">AS15</f>
        <v/>
      </c>
      <c r="AU16" s="496" t="s">
        <v>793</v>
      </c>
      <c r="AV16" s="494">
        <f>W43</f>
        <v>11</v>
      </c>
      <c r="AW16" s="495" t="str">
        <f>X44</f>
        <v/>
      </c>
      <c r="AX16" s="784" t="s">
        <v>1326</v>
      </c>
      <c r="AY16" s="496" t="s">
        <v>793</v>
      </c>
    </row>
    <row r="17" spans="6:51" ht="15.95" customHeight="1" thickBot="1" x14ac:dyDescent="0.25">
      <c r="F17" s="489">
        <v>23</v>
      </c>
      <c r="G17" s="488" t="str">
        <f t="shared" si="5"/>
        <v/>
      </c>
      <c r="H17" s="898" t="str">
        <f t="shared" si="6"/>
        <v/>
      </c>
      <c r="I17" s="898" t="str">
        <f t="shared" si="0"/>
        <v/>
      </c>
      <c r="J17" s="898" t="str">
        <f t="shared" si="0"/>
        <v/>
      </c>
      <c r="K17" s="447"/>
      <c r="L17" s="473" t="str">
        <f ca="1">VLOOKUP(L16,$A$5:$G$24,7,FALSE)</f>
        <v/>
      </c>
      <c r="M17" s="466" t="str">
        <f ca="1">IFERROR(VLOOKUP(L17,$G$5:$J$28,3,FALSE),"")</f>
        <v/>
      </c>
      <c r="N17" s="967"/>
      <c r="Q17" s="447"/>
      <c r="R17" s="473" t="str">
        <f>IF(ISBLANK(N28),"",IF(N28+O28&gt;N30+O30,L29,L31))</f>
        <v/>
      </c>
      <c r="S17" s="466" t="str">
        <f ca="1">IFERROR(VLOOKUP(R17,$G$5:$J$28,3,FALSE),"")</f>
        <v/>
      </c>
      <c r="T17" s="967"/>
      <c r="W17" s="447"/>
      <c r="X17" s="473" t="str">
        <f>IF(ISBLANK(T14),"",IF(U14+T14&lt;T16+U16,R15,R17))</f>
        <v/>
      </c>
      <c r="Y17" s="466" t="str">
        <f ca="1">IFERROR(VLOOKUP(X17,$G$5:$J$28,3,FALSE),"")</f>
        <v/>
      </c>
      <c r="Z17" s="967"/>
      <c r="AB17" s="523"/>
      <c r="AF17" s="453" t="s">
        <v>796</v>
      </c>
      <c r="AG17" s="896" t="str">
        <f>X44</f>
        <v/>
      </c>
      <c r="AH17" s="480" t="str">
        <f t="shared" ca="1" si="7"/>
        <v/>
      </c>
      <c r="AI17" s="481" t="str">
        <f t="shared" ca="1" si="8"/>
        <v/>
      </c>
      <c r="AJ17" s="916" t="str">
        <f t="shared" ca="1" si="9"/>
        <v/>
      </c>
      <c r="AN17" s="494"/>
      <c r="AO17" s="495"/>
      <c r="AP17" s="495"/>
      <c r="AQ17" s="496" t="s">
        <v>793</v>
      </c>
      <c r="AR17" s="494"/>
      <c r="AS17" s="495"/>
      <c r="AT17" s="495"/>
      <c r="AU17" s="496" t="s">
        <v>793</v>
      </c>
      <c r="AV17" s="494"/>
      <c r="AW17" s="495"/>
      <c r="AX17" s="495"/>
      <c r="AY17" s="496" t="s">
        <v>793</v>
      </c>
    </row>
    <row r="18" spans="6:51" ht="15.95" customHeight="1" x14ac:dyDescent="0.2">
      <c r="F18" s="489">
        <v>24</v>
      </c>
      <c r="G18" s="488" t="str">
        <f t="shared" si="5"/>
        <v/>
      </c>
      <c r="H18" s="898" t="str">
        <f t="shared" si="6"/>
        <v/>
      </c>
      <c r="I18" s="898" t="str">
        <f t="shared" si="0"/>
        <v/>
      </c>
      <c r="J18" s="898" t="str">
        <f t="shared" si="0"/>
        <v/>
      </c>
      <c r="K18" s="450"/>
      <c r="L18" s="450"/>
      <c r="M18" s="450"/>
      <c r="N18" s="451"/>
      <c r="O18" s="450"/>
      <c r="P18" s="450"/>
      <c r="Q18" s="450"/>
      <c r="R18" s="450"/>
      <c r="S18" s="450"/>
      <c r="T18" s="451"/>
      <c r="U18" s="450"/>
      <c r="V18" s="450"/>
      <c r="W18" s="450"/>
      <c r="X18" s="450"/>
      <c r="Y18" s="450"/>
      <c r="Z18" s="451"/>
      <c r="AA18" s="450"/>
      <c r="AB18" s="523"/>
      <c r="AF18" s="453"/>
      <c r="AG18" s="453"/>
      <c r="AH18" s="453"/>
      <c r="AI18" s="453"/>
      <c r="AJ18" s="453"/>
      <c r="AN18" s="494"/>
      <c r="AO18" s="784"/>
      <c r="AP18" s="495"/>
      <c r="AQ18" s="496"/>
      <c r="AR18" s="494"/>
      <c r="AS18" s="495"/>
      <c r="AT18" s="495"/>
      <c r="AU18" s="496"/>
      <c r="AV18" s="494"/>
      <c r="AW18" s="495"/>
      <c r="AX18" s="495"/>
      <c r="AY18" s="496" t="s">
        <v>793</v>
      </c>
    </row>
    <row r="19" spans="6:51" ht="15.95" customHeight="1" thickBot="1" x14ac:dyDescent="0.25">
      <c r="F19" s="489">
        <v>25</v>
      </c>
      <c r="G19" s="488" t="str">
        <f t="shared" si="5"/>
        <v/>
      </c>
      <c r="H19" s="898" t="str">
        <f t="shared" si="6"/>
        <v/>
      </c>
      <c r="I19" s="898" t="str">
        <f t="shared" si="0"/>
        <v/>
      </c>
      <c r="J19" s="898" t="str">
        <f t="shared" si="0"/>
        <v/>
      </c>
      <c r="K19" s="450"/>
      <c r="L19" s="454"/>
      <c r="M19" s="454"/>
      <c r="N19" s="455"/>
      <c r="O19" s="450"/>
      <c r="P19" s="450"/>
      <c r="Q19" s="450"/>
      <c r="R19" s="979" t="s">
        <v>819</v>
      </c>
      <c r="S19" s="1247"/>
      <c r="T19" s="1247"/>
      <c r="U19" s="450"/>
      <c r="V19" s="450"/>
      <c r="W19" s="450"/>
      <c r="X19" s="979" t="s">
        <v>820</v>
      </c>
      <c r="Y19" s="1247"/>
      <c r="Z19" s="1247"/>
      <c r="AA19" s="450"/>
      <c r="AB19" s="523"/>
      <c r="AF19" s="453"/>
      <c r="AG19" s="453"/>
      <c r="AH19" s="453"/>
      <c r="AI19" s="453"/>
      <c r="AJ19" s="453"/>
      <c r="AN19" s="494"/>
      <c r="AO19" s="495"/>
      <c r="AP19" s="495"/>
      <c r="AQ19" s="496"/>
      <c r="AR19" s="494"/>
      <c r="AS19" s="495"/>
      <c r="AT19" s="495"/>
      <c r="AU19" s="496"/>
      <c r="AV19" s="494"/>
      <c r="AW19" s="495"/>
      <c r="AX19" s="495"/>
      <c r="AY19" s="496" t="s">
        <v>793</v>
      </c>
    </row>
    <row r="20" spans="6:51" ht="15.95" customHeight="1" thickBot="1" x14ac:dyDescent="0.25">
      <c r="F20" s="489">
        <v>26</v>
      </c>
      <c r="G20" s="488" t="str">
        <f t="shared" si="5"/>
        <v/>
      </c>
      <c r="H20" s="898" t="str">
        <f t="shared" si="6"/>
        <v/>
      </c>
      <c r="I20" s="898" t="str">
        <f t="shared" si="0"/>
        <v/>
      </c>
      <c r="J20" s="898" t="str">
        <f t="shared" si="0"/>
        <v/>
      </c>
      <c r="K20" s="445" t="s">
        <v>779</v>
      </c>
      <c r="L20" s="779" t="s">
        <v>1083</v>
      </c>
      <c r="M20" s="456" t="s">
        <v>481</v>
      </c>
      <c r="N20" s="464" t="s">
        <v>780</v>
      </c>
      <c r="O20" s="446" t="s">
        <v>781</v>
      </c>
      <c r="P20" s="445"/>
      <c r="Q20" s="445" t="s">
        <v>779</v>
      </c>
      <c r="R20" s="779" t="s">
        <v>1083</v>
      </c>
      <c r="S20" s="456" t="s">
        <v>481</v>
      </c>
      <c r="T20" s="464" t="s">
        <v>780</v>
      </c>
      <c r="U20" s="446" t="s">
        <v>781</v>
      </c>
      <c r="V20" s="445"/>
      <c r="W20" s="445" t="s">
        <v>779</v>
      </c>
      <c r="X20" s="463">
        <v>5</v>
      </c>
      <c r="Y20" s="456" t="s">
        <v>481</v>
      </c>
      <c r="Z20" s="464" t="s">
        <v>780</v>
      </c>
      <c r="AA20" s="446" t="s">
        <v>781</v>
      </c>
      <c r="AB20" s="523"/>
      <c r="AF20" s="453"/>
      <c r="AG20" s="453"/>
      <c r="AH20" s="453"/>
      <c r="AI20" s="453"/>
      <c r="AJ20" s="453"/>
      <c r="AN20" s="494"/>
      <c r="AO20" s="495"/>
      <c r="AP20" s="495"/>
      <c r="AQ20" s="496"/>
      <c r="AR20" s="494"/>
      <c r="AS20" s="495"/>
      <c r="AT20" s="495"/>
      <c r="AU20" s="496"/>
      <c r="AV20" s="494"/>
      <c r="AW20" s="495"/>
      <c r="AX20" s="495"/>
      <c r="AY20" s="496" t="s">
        <v>793</v>
      </c>
    </row>
    <row r="21" spans="6:51" ht="15.95" customHeight="1" thickBot="1" x14ac:dyDescent="0.25">
      <c r="F21" s="489">
        <v>27</v>
      </c>
      <c r="G21" s="488" t="str">
        <f t="shared" si="5"/>
        <v/>
      </c>
      <c r="H21" s="898" t="str">
        <f t="shared" si="6"/>
        <v/>
      </c>
      <c r="I21" s="898" t="str">
        <f t="shared" si="6"/>
        <v/>
      </c>
      <c r="J21" s="898" t="str">
        <f t="shared" si="6"/>
        <v/>
      </c>
      <c r="K21" s="447">
        <f>K16+1</f>
        <v>5</v>
      </c>
      <c r="L21" s="472">
        <v>3</v>
      </c>
      <c r="M21" s="465" t="str">
        <f ca="1">IFERROR(VLOOKUP(L22,$G$5:$J$28,2,FALSE),"")</f>
        <v/>
      </c>
      <c r="N21" s="966"/>
      <c r="O21" s="780"/>
      <c r="Q21" s="447">
        <f>Q16+1</f>
        <v>5</v>
      </c>
      <c r="R21" s="472">
        <v>8</v>
      </c>
      <c r="S21" s="465" t="str">
        <f ca="1">IFERROR(VLOOKUP(R22,$G$5:$J$28,2,FALSE),"")</f>
        <v/>
      </c>
      <c r="T21" s="966"/>
      <c r="U21" s="780"/>
      <c r="W21" s="447">
        <f>W16+1</f>
        <v>5</v>
      </c>
      <c r="X21" s="472">
        <v>5</v>
      </c>
      <c r="Y21" s="465" t="str">
        <f ca="1">IFERROR(VLOOKUP(X22,$G$5:$J$28,2,FALSE),"")</f>
        <v/>
      </c>
      <c r="Z21" s="966"/>
      <c r="AA21" s="780"/>
      <c r="AB21" s="523"/>
      <c r="AF21" s="453"/>
      <c r="AG21" s="453"/>
      <c r="AH21" s="453"/>
      <c r="AI21" s="453"/>
      <c r="AJ21" s="453"/>
      <c r="AN21" s="494"/>
      <c r="AO21" s="495"/>
      <c r="AP21" s="495"/>
      <c r="AQ21" s="496"/>
      <c r="AR21" s="494"/>
      <c r="AS21" s="495"/>
      <c r="AT21" s="495"/>
      <c r="AU21" s="496"/>
      <c r="AV21" s="494"/>
      <c r="AW21" s="495"/>
      <c r="AX21" s="495"/>
      <c r="AY21" s="496" t="s">
        <v>793</v>
      </c>
    </row>
    <row r="22" spans="6:51" ht="15.95" customHeight="1" thickBot="1" x14ac:dyDescent="0.25">
      <c r="F22" s="489">
        <v>28</v>
      </c>
      <c r="G22" s="488" t="str">
        <f t="shared" si="5"/>
        <v/>
      </c>
      <c r="H22" s="898" t="str">
        <f t="shared" si="6"/>
        <v/>
      </c>
      <c r="I22" s="898" t="str">
        <f t="shared" si="6"/>
        <v/>
      </c>
      <c r="J22" s="898" t="str">
        <f t="shared" si="6"/>
        <v/>
      </c>
      <c r="K22" s="447"/>
      <c r="L22" s="473" t="str">
        <f ca="1">VLOOKUP(L21,$A$5:$G$24,7,FALSE)</f>
        <v/>
      </c>
      <c r="M22" s="466" t="str">
        <f ca="1">IFERROR(VLOOKUP(L22,$G$5:$J$28,3,FALSE),"")</f>
        <v/>
      </c>
      <c r="N22" s="967"/>
      <c r="Q22" s="447"/>
      <c r="R22" s="473" t="str">
        <f>IF(ISBLANK(N7),"",IF(O7+N7&lt;N9+O9,L8,L10))</f>
        <v/>
      </c>
      <c r="S22" s="466" t="str">
        <f ca="1">IFERROR(VLOOKUP(R22,$G$5:$J$28,3,FALSE),"")</f>
        <v/>
      </c>
      <c r="T22" s="967"/>
      <c r="W22" s="447"/>
      <c r="X22" s="473" t="str">
        <f>IF(ISBLANK(T21),"",IF(U21+T21&gt;T23+U23,R22,R24))</f>
        <v/>
      </c>
      <c r="Y22" s="466" t="str">
        <f ca="1">IFERROR(VLOOKUP(X22,$G$5:$J$28,3,FALSE),"")</f>
        <v/>
      </c>
      <c r="Z22" s="967"/>
      <c r="AB22" s="523"/>
      <c r="AF22" s="453"/>
      <c r="AG22" s="453"/>
      <c r="AH22" s="453"/>
      <c r="AI22" s="453"/>
      <c r="AJ22" s="453"/>
      <c r="AN22" s="494"/>
      <c r="AO22" s="495"/>
      <c r="AP22" s="495"/>
      <c r="AQ22" s="496"/>
      <c r="AR22" s="494"/>
      <c r="AS22" s="495"/>
      <c r="AT22" s="495"/>
      <c r="AU22" s="496"/>
      <c r="AV22" s="494"/>
      <c r="AW22" s="495"/>
      <c r="AX22" s="495"/>
      <c r="AY22" s="496" t="s">
        <v>793</v>
      </c>
    </row>
    <row r="23" spans="6:51" ht="15.95" customHeight="1" thickBot="1" x14ac:dyDescent="0.25">
      <c r="F23" s="489">
        <v>29</v>
      </c>
      <c r="G23" s="488" t="str">
        <f t="shared" si="5"/>
        <v/>
      </c>
      <c r="H23" s="898" t="str">
        <f t="shared" si="6"/>
        <v/>
      </c>
      <c r="I23" s="898" t="str">
        <f t="shared" si="6"/>
        <v/>
      </c>
      <c r="J23" s="898" t="str">
        <f t="shared" si="6"/>
        <v/>
      </c>
      <c r="K23" s="447">
        <f>K21+1</f>
        <v>6</v>
      </c>
      <c r="L23" s="472">
        <v>6</v>
      </c>
      <c r="M23" s="465" t="str">
        <f ca="1">IFERROR(VLOOKUP(L24,$G$5:$J$28,2,FALSE),"")</f>
        <v/>
      </c>
      <c r="N23" s="966"/>
      <c r="O23" s="780"/>
      <c r="Q23" s="447">
        <f>Q21+1</f>
        <v>6</v>
      </c>
      <c r="R23" s="472">
        <v>5</v>
      </c>
      <c r="S23" s="465" t="str">
        <f ca="1">IFERROR(VLOOKUP(R24,$G$5:$J$28,2,FALSE),"")</f>
        <v/>
      </c>
      <c r="T23" s="966"/>
      <c r="U23" s="780"/>
      <c r="W23" s="447">
        <f>W21+1</f>
        <v>6</v>
      </c>
      <c r="X23" s="472">
        <v>6</v>
      </c>
      <c r="Y23" s="465" t="str">
        <f ca="1">IFERROR(VLOOKUP(X24,$G$5:$J$28,2,FALSE),"")</f>
        <v/>
      </c>
      <c r="Z23" s="966"/>
      <c r="AA23" s="780"/>
      <c r="AB23" s="523"/>
      <c r="AF23" s="453"/>
      <c r="AG23" s="453"/>
      <c r="AH23" s="453"/>
      <c r="AI23" s="453"/>
      <c r="AJ23" s="453"/>
      <c r="AN23" s="494"/>
      <c r="AO23" s="495"/>
      <c r="AP23" s="495"/>
      <c r="AQ23" s="496"/>
      <c r="AR23" s="494"/>
      <c r="AS23" s="495"/>
      <c r="AT23" s="495"/>
      <c r="AU23" s="496"/>
      <c r="AV23" s="494"/>
      <c r="AW23" s="495"/>
      <c r="AX23" s="495"/>
      <c r="AY23" s="496" t="s">
        <v>793</v>
      </c>
    </row>
    <row r="24" spans="6:51" ht="15.95" customHeight="1" thickBot="1" x14ac:dyDescent="0.25">
      <c r="F24" s="489">
        <v>30</v>
      </c>
      <c r="G24" s="488" t="str">
        <f t="shared" si="5"/>
        <v/>
      </c>
      <c r="H24" s="898" t="str">
        <f t="shared" si="6"/>
        <v/>
      </c>
      <c r="I24" s="898" t="str">
        <f t="shared" si="6"/>
        <v/>
      </c>
      <c r="J24" s="898" t="str">
        <f t="shared" si="6"/>
        <v/>
      </c>
      <c r="K24" s="447"/>
      <c r="L24" s="473" t="str">
        <f ca="1">VLOOKUP(L23,$A$5:$G$24,7,FALSE)</f>
        <v/>
      </c>
      <c r="M24" s="466" t="str">
        <f ca="1">IFERROR(VLOOKUP(L24,$G$5:$J$28,3,FALSE),"")</f>
        <v/>
      </c>
      <c r="N24" s="967"/>
      <c r="Q24" s="447"/>
      <c r="R24" s="473" t="str">
        <f>IF(ISBLANK(N14),"",IF(O14+N14&lt;N16+O16,L15,L17))</f>
        <v/>
      </c>
      <c r="S24" s="466" t="str">
        <f ca="1">IFERROR(VLOOKUP(R24,$G$5:$J$28,3,FALSE),"")</f>
        <v/>
      </c>
      <c r="T24" s="967"/>
      <c r="W24" s="447"/>
      <c r="X24" s="473" t="str">
        <f>IF(ISBLANK(T28),"",IF(U28+T28&gt;T30+U30,R29,R31))</f>
        <v/>
      </c>
      <c r="Y24" s="466" t="str">
        <f ca="1">IFERROR(VLOOKUP(X24,$G$5:$J$28,3,FALSE),"")</f>
        <v/>
      </c>
      <c r="Z24" s="967"/>
      <c r="AB24" s="523"/>
      <c r="AF24" s="453"/>
      <c r="AG24" s="453"/>
      <c r="AH24" s="453"/>
      <c r="AI24" s="453"/>
      <c r="AJ24" s="453"/>
      <c r="AN24" s="494"/>
      <c r="AO24" s="495"/>
      <c r="AP24" s="495"/>
      <c r="AQ24" s="496"/>
      <c r="AR24" s="494"/>
      <c r="AS24" s="495"/>
      <c r="AT24" s="495"/>
      <c r="AU24" s="496"/>
      <c r="AV24" s="494"/>
      <c r="AW24" s="495"/>
      <c r="AX24" s="495"/>
      <c r="AY24" s="496" t="s">
        <v>793</v>
      </c>
    </row>
    <row r="25" spans="6:51" ht="15.95" customHeight="1" x14ac:dyDescent="0.2">
      <c r="F25" s="489">
        <v>31</v>
      </c>
      <c r="G25" s="488" t="str">
        <f t="shared" si="5"/>
        <v/>
      </c>
      <c r="H25" s="898" t="str">
        <f t="shared" si="6"/>
        <v/>
      </c>
      <c r="I25" s="898" t="str">
        <f t="shared" si="6"/>
        <v/>
      </c>
      <c r="J25" s="898" t="str">
        <f t="shared" si="6"/>
        <v/>
      </c>
      <c r="K25" s="447"/>
      <c r="L25" s="441"/>
      <c r="M25" s="441"/>
      <c r="Q25" s="447"/>
      <c r="R25" s="437"/>
      <c r="S25" s="437"/>
      <c r="T25" s="451"/>
      <c r="W25" s="447"/>
      <c r="X25" s="441"/>
      <c r="Y25" s="441"/>
      <c r="AB25" s="523"/>
      <c r="AF25" s="453"/>
      <c r="AG25" s="453"/>
      <c r="AH25" s="453"/>
      <c r="AI25" s="453"/>
      <c r="AJ25" s="453"/>
      <c r="AN25" s="494"/>
      <c r="AO25" s="495"/>
      <c r="AP25" s="495"/>
      <c r="AQ25" s="496"/>
      <c r="AR25" s="494"/>
      <c r="AS25" s="495"/>
      <c r="AT25" s="495"/>
      <c r="AU25" s="496"/>
      <c r="AV25" s="494"/>
      <c r="AW25" s="495"/>
      <c r="AX25" s="495"/>
      <c r="AY25" s="496" t="s">
        <v>793</v>
      </c>
    </row>
    <row r="26" spans="6:51" ht="15.95" customHeight="1" thickBot="1" x14ac:dyDescent="0.25">
      <c r="F26" s="489">
        <v>32</v>
      </c>
      <c r="G26" s="488" t="str">
        <f t="shared" si="5"/>
        <v/>
      </c>
      <c r="H26" s="898" t="str">
        <f t="shared" si="6"/>
        <v/>
      </c>
      <c r="I26" s="898" t="str">
        <f t="shared" si="6"/>
        <v/>
      </c>
      <c r="J26" s="898" t="str">
        <f t="shared" si="6"/>
        <v/>
      </c>
      <c r="K26" s="450"/>
      <c r="L26" s="450"/>
      <c r="M26" s="450"/>
      <c r="N26" s="451"/>
      <c r="O26" s="450"/>
      <c r="P26" s="450"/>
      <c r="Q26" s="450"/>
      <c r="R26" s="437"/>
      <c r="S26" s="437"/>
      <c r="T26" s="451"/>
      <c r="U26" s="450"/>
      <c r="V26" s="450"/>
      <c r="W26" s="450"/>
      <c r="X26" s="979" t="s">
        <v>821</v>
      </c>
      <c r="Y26" s="1247"/>
      <c r="Z26" s="1247"/>
      <c r="AA26" s="450"/>
      <c r="AB26" s="523"/>
      <c r="AF26" s="453"/>
      <c r="AG26" s="453"/>
      <c r="AH26" s="453"/>
      <c r="AI26" s="453"/>
      <c r="AJ26" s="453"/>
      <c r="AN26" s="494"/>
      <c r="AO26" s="495"/>
      <c r="AP26" s="495"/>
      <c r="AQ26" s="496"/>
      <c r="AR26" s="494"/>
      <c r="AS26" s="495"/>
      <c r="AT26" s="495"/>
      <c r="AU26" s="496"/>
      <c r="AV26" s="494"/>
      <c r="AW26" s="495"/>
      <c r="AX26" s="495"/>
      <c r="AY26" s="496" t="s">
        <v>793</v>
      </c>
    </row>
    <row r="27" spans="6:51" ht="15.95" customHeight="1" thickBot="1" x14ac:dyDescent="0.25">
      <c r="F27" s="489">
        <v>33</v>
      </c>
      <c r="G27" s="488" t="str">
        <f t="shared" si="5"/>
        <v/>
      </c>
      <c r="H27" s="898" t="str">
        <f t="shared" si="6"/>
        <v/>
      </c>
      <c r="I27" s="898" t="str">
        <f t="shared" si="6"/>
        <v/>
      </c>
      <c r="J27" s="898" t="str">
        <f t="shared" si="6"/>
        <v/>
      </c>
      <c r="K27" s="445" t="s">
        <v>779</v>
      </c>
      <c r="L27" s="779" t="s">
        <v>1083</v>
      </c>
      <c r="M27" s="456" t="s">
        <v>481</v>
      </c>
      <c r="N27" s="464" t="s">
        <v>780</v>
      </c>
      <c r="O27" s="446" t="s">
        <v>781</v>
      </c>
      <c r="P27" s="445"/>
      <c r="Q27" s="445" t="s">
        <v>779</v>
      </c>
      <c r="R27" s="779" t="s">
        <v>1083</v>
      </c>
      <c r="S27" s="456" t="s">
        <v>481</v>
      </c>
      <c r="T27" s="464" t="s">
        <v>780</v>
      </c>
      <c r="U27" s="446" t="s">
        <v>781</v>
      </c>
      <c r="V27" s="445"/>
      <c r="W27" s="445" t="s">
        <v>779</v>
      </c>
      <c r="X27" s="463">
        <v>7</v>
      </c>
      <c r="Y27" s="456" t="s">
        <v>481</v>
      </c>
      <c r="Z27" s="464" t="s">
        <v>780</v>
      </c>
      <c r="AA27" s="446" t="s">
        <v>781</v>
      </c>
      <c r="AB27" s="523"/>
      <c r="AF27" s="453"/>
      <c r="AG27" s="453"/>
      <c r="AH27" s="453"/>
      <c r="AI27" s="453"/>
      <c r="AJ27" s="453"/>
      <c r="AN27" s="494"/>
      <c r="AO27" s="495"/>
      <c r="AP27" s="495"/>
      <c r="AQ27" s="496"/>
      <c r="AR27" s="494"/>
      <c r="AS27" s="495"/>
      <c r="AT27" s="495"/>
      <c r="AU27" s="496"/>
      <c r="AV27" s="494"/>
      <c r="AW27" s="495"/>
      <c r="AX27" s="495"/>
      <c r="AY27" s="496" t="s">
        <v>793</v>
      </c>
    </row>
    <row r="28" spans="6:51" ht="15.95" customHeight="1" thickBot="1" x14ac:dyDescent="0.25">
      <c r="F28" s="489">
        <v>34</v>
      </c>
      <c r="G28" s="488" t="str">
        <f t="shared" si="5"/>
        <v/>
      </c>
      <c r="H28" s="898" t="str">
        <f t="shared" si="6"/>
        <v/>
      </c>
      <c r="I28" s="898" t="str">
        <f t="shared" si="6"/>
        <v/>
      </c>
      <c r="J28" s="898" t="str">
        <f t="shared" si="6"/>
        <v/>
      </c>
      <c r="K28" s="447">
        <f>K23+1</f>
        <v>7</v>
      </c>
      <c r="L28" s="472">
        <v>2</v>
      </c>
      <c r="M28" s="465" t="str">
        <f ca="1">IFERROR(VLOOKUP(L29,$G$5:$J$28,2,FALSE),"")</f>
        <v/>
      </c>
      <c r="N28" s="966"/>
      <c r="O28" s="780"/>
      <c r="Q28" s="447">
        <f>Q23+1</f>
        <v>7</v>
      </c>
      <c r="R28" s="472">
        <v>6</v>
      </c>
      <c r="S28" s="465" t="str">
        <f ca="1">IFERROR(VLOOKUP(R29,$G$5:$J$28,2,FALSE),"")</f>
        <v/>
      </c>
      <c r="T28" s="966"/>
      <c r="U28" s="780"/>
      <c r="W28" s="447">
        <f>W23+1</f>
        <v>7</v>
      </c>
      <c r="X28" s="472">
        <v>8</v>
      </c>
      <c r="Y28" s="465" t="str">
        <f ca="1">IFERROR(VLOOKUP(X29,$G$5:$J$28,2,FALSE),"")</f>
        <v/>
      </c>
      <c r="Z28" s="966"/>
      <c r="AA28" s="780"/>
      <c r="AB28" s="523"/>
      <c r="AF28" s="453"/>
      <c r="AG28" s="453"/>
      <c r="AH28" s="453"/>
      <c r="AI28" s="453"/>
      <c r="AJ28" s="453"/>
      <c r="AN28" s="494"/>
      <c r="AO28" s="495"/>
      <c r="AP28" s="495"/>
      <c r="AQ28" s="496"/>
      <c r="AR28" s="494"/>
      <c r="AS28" s="495"/>
      <c r="AT28" s="495"/>
      <c r="AU28" s="496"/>
      <c r="AV28" s="494"/>
      <c r="AW28" s="495"/>
      <c r="AX28" s="495"/>
      <c r="AY28" s="496" t="s">
        <v>793</v>
      </c>
    </row>
    <row r="29" spans="6:51" ht="15.95" customHeight="1" thickBot="1" x14ac:dyDescent="0.25">
      <c r="I29" s="437"/>
      <c r="J29" s="437"/>
      <c r="K29" s="447"/>
      <c r="L29" s="473" t="str">
        <f ca="1">VLOOKUP(L28,$A$5:$G$24,7,FALSE)</f>
        <v/>
      </c>
      <c r="M29" s="466" t="str">
        <f ca="1">IFERROR(VLOOKUP(L29,$G$5:$J$28,3,FALSE),"")</f>
        <v/>
      </c>
      <c r="N29" s="967"/>
      <c r="Q29" s="447"/>
      <c r="R29" s="473" t="str">
        <f>IF(ISBLANK(N21),"",IF(N21+O21&lt;N23+O23,L22,L24))</f>
        <v/>
      </c>
      <c r="S29" s="466" t="str">
        <f ca="1">IFERROR(VLOOKUP(R29,$G$5:$J$28,3,FALSE),"")</f>
        <v/>
      </c>
      <c r="T29" s="967"/>
      <c r="W29" s="447"/>
      <c r="X29" s="473" t="str">
        <f>IF(ISBLANK(T21),"",IF(U21+T21&lt;T23+U23,R22,R24))</f>
        <v/>
      </c>
      <c r="Y29" s="466" t="str">
        <f ca="1">IFERROR(VLOOKUP(X29,$G$5:$J$28,3,FALSE),"")</f>
        <v/>
      </c>
      <c r="Z29" s="967"/>
      <c r="AB29" s="523"/>
      <c r="AF29" s="453"/>
      <c r="AG29" s="453"/>
      <c r="AH29" s="453"/>
      <c r="AI29" s="453"/>
      <c r="AJ29" s="453"/>
      <c r="AN29" s="494"/>
      <c r="AO29" s="495"/>
      <c r="AP29" s="495"/>
      <c r="AQ29" s="496"/>
      <c r="AR29" s="494"/>
      <c r="AS29" s="495"/>
      <c r="AT29" s="495"/>
      <c r="AU29" s="496"/>
      <c r="AV29" s="494"/>
      <c r="AW29" s="495"/>
      <c r="AX29" s="495"/>
      <c r="AY29" s="496" t="s">
        <v>793</v>
      </c>
    </row>
    <row r="30" spans="6:51" ht="15.95" customHeight="1" thickBot="1" x14ac:dyDescent="0.25">
      <c r="I30" s="437"/>
      <c r="J30" s="437"/>
      <c r="K30" s="447">
        <f>K28+1</f>
        <v>8</v>
      </c>
      <c r="L30" s="472">
        <v>7</v>
      </c>
      <c r="M30" s="465" t="str">
        <f ca="1">IFERROR(VLOOKUP(L31,$G$5:$J$28,2,FALSE),"")</f>
        <v/>
      </c>
      <c r="N30" s="966"/>
      <c r="O30" s="780"/>
      <c r="Q30" s="447">
        <f>Q28+1</f>
        <v>8</v>
      </c>
      <c r="R30" s="472">
        <v>7</v>
      </c>
      <c r="S30" s="465" t="str">
        <f ca="1">IFERROR(VLOOKUP(R31,$G$5:$J$28,2,FALSE),"")</f>
        <v/>
      </c>
      <c r="T30" s="966"/>
      <c r="U30" s="780"/>
      <c r="W30" s="447">
        <f>W28+1</f>
        <v>8</v>
      </c>
      <c r="X30" s="472">
        <v>7</v>
      </c>
      <c r="Y30" s="465" t="str">
        <f ca="1">IFERROR(VLOOKUP(X31,$G$5:$J$28,2,FALSE),"")</f>
        <v/>
      </c>
      <c r="Z30" s="966"/>
      <c r="AA30" s="780"/>
      <c r="AB30" s="523"/>
      <c r="AF30" s="453"/>
      <c r="AG30" s="453"/>
      <c r="AH30" s="453"/>
      <c r="AI30" s="453"/>
      <c r="AJ30" s="453"/>
    </row>
    <row r="31" spans="6:51" ht="15.95" customHeight="1" thickBot="1" x14ac:dyDescent="0.25">
      <c r="I31" s="437"/>
      <c r="J31" s="437"/>
      <c r="K31" s="447"/>
      <c r="L31" s="473" t="str">
        <f ca="1">VLOOKUP(L30,$A$5:$G$24,7,FALSE)</f>
        <v/>
      </c>
      <c r="M31" s="466" t="str">
        <f ca="1">IFERROR(VLOOKUP(L31,$G$5:$J$28,3,FALSE),"")</f>
        <v/>
      </c>
      <c r="N31" s="967"/>
      <c r="Q31" s="447"/>
      <c r="R31" s="473" t="str">
        <f>IF(ISBLANK(N28),"",IF(N28+O28&lt;N30+O30,L29,L31))</f>
        <v/>
      </c>
      <c r="S31" s="466" t="str">
        <f ca="1">IFERROR(VLOOKUP(R31,$G$5:$J$28,3,FALSE),"")</f>
        <v/>
      </c>
      <c r="T31" s="967"/>
      <c r="W31" s="447"/>
      <c r="X31" s="473" t="str">
        <f>IF(ISBLANK(T28),"",IF(U28+T28&lt;T30+U30,R29,R31))</f>
        <v/>
      </c>
      <c r="Y31" s="466" t="str">
        <f ca="1">IFERROR(VLOOKUP(X31,$G$5:$J$28,3,FALSE),"")</f>
        <v/>
      </c>
      <c r="Z31" s="967"/>
      <c r="AB31" s="523"/>
      <c r="AF31" s="453"/>
      <c r="AG31" s="453"/>
    </row>
    <row r="32" spans="6:51" ht="15.95" customHeight="1" x14ac:dyDescent="0.2">
      <c r="I32" s="437"/>
      <c r="J32" s="437"/>
      <c r="K32" s="450"/>
      <c r="L32" s="437"/>
      <c r="M32" s="437"/>
      <c r="N32" s="451"/>
      <c r="O32" s="450"/>
      <c r="P32" s="450"/>
      <c r="Q32" s="450"/>
      <c r="R32" s="437"/>
      <c r="S32" s="437"/>
      <c r="T32" s="451"/>
      <c r="U32" s="450"/>
      <c r="V32" s="450"/>
      <c r="W32" s="450"/>
      <c r="X32" s="437"/>
      <c r="Y32" s="437"/>
      <c r="Z32" s="451"/>
      <c r="AA32" s="450"/>
      <c r="AB32" s="523"/>
      <c r="AF32" s="453"/>
      <c r="AG32" s="453"/>
    </row>
    <row r="33" spans="9:33" ht="15.95" customHeight="1" x14ac:dyDescent="0.2">
      <c r="I33" s="437"/>
      <c r="J33" s="437"/>
      <c r="K33" s="450"/>
      <c r="L33" s="516"/>
      <c r="M33" s="516"/>
      <c r="N33" s="457"/>
      <c r="Q33" s="450"/>
      <c r="R33" s="516"/>
      <c r="S33" s="516"/>
      <c r="T33" s="457"/>
      <c r="V33" s="450"/>
      <c r="W33" s="450"/>
      <c r="X33" s="516"/>
      <c r="Y33" s="516"/>
      <c r="Z33" s="457"/>
      <c r="AB33" s="523"/>
      <c r="AF33" s="453"/>
      <c r="AG33" s="453"/>
    </row>
    <row r="34" spans="9:33" ht="15.95" customHeight="1" thickBot="1" x14ac:dyDescent="0.25">
      <c r="I34" s="437"/>
      <c r="J34" s="437"/>
      <c r="K34" s="450"/>
      <c r="L34" s="516"/>
      <c r="M34" s="516"/>
      <c r="N34" s="457"/>
      <c r="Q34" s="450"/>
      <c r="R34" s="516"/>
      <c r="S34" s="516"/>
      <c r="T34" s="457"/>
      <c r="V34" s="450"/>
      <c r="W34" s="450"/>
      <c r="X34" s="516"/>
      <c r="Y34" s="516"/>
      <c r="Z34" s="457"/>
      <c r="AB34" s="523"/>
      <c r="AF34" s="453"/>
      <c r="AG34" s="453"/>
    </row>
    <row r="35" spans="9:33" ht="15.95" customHeight="1" thickBot="1" x14ac:dyDescent="0.25">
      <c r="I35" s="437"/>
      <c r="J35" s="437"/>
      <c r="K35" s="445" t="s">
        <v>779</v>
      </c>
      <c r="L35" s="779" t="s">
        <v>1083</v>
      </c>
      <c r="M35" s="456" t="s">
        <v>481</v>
      </c>
      <c r="N35" s="464" t="s">
        <v>780</v>
      </c>
      <c r="O35" s="446" t="s">
        <v>781</v>
      </c>
      <c r="P35" s="445"/>
      <c r="Q35" s="445" t="s">
        <v>779</v>
      </c>
      <c r="R35" s="779" t="s">
        <v>1083</v>
      </c>
      <c r="S35" s="456" t="s">
        <v>481</v>
      </c>
      <c r="T35" s="464" t="s">
        <v>780</v>
      </c>
      <c r="U35" s="446" t="s">
        <v>781</v>
      </c>
      <c r="V35" s="445"/>
      <c r="W35" s="445" t="s">
        <v>779</v>
      </c>
      <c r="X35" s="779" t="s">
        <v>1083</v>
      </c>
      <c r="Y35" s="456" t="s">
        <v>481</v>
      </c>
      <c r="Z35" s="464" t="s">
        <v>780</v>
      </c>
      <c r="AA35" s="446" t="s">
        <v>781</v>
      </c>
      <c r="AB35" s="523"/>
      <c r="AF35" s="453"/>
      <c r="AG35" s="453"/>
    </row>
    <row r="36" spans="9:33" ht="15.95" customHeight="1" thickBot="1" x14ac:dyDescent="0.25">
      <c r="I36" s="437"/>
      <c r="J36" s="437"/>
      <c r="K36" s="447">
        <f>K30+1</f>
        <v>9</v>
      </c>
      <c r="L36" s="472">
        <v>9</v>
      </c>
      <c r="M36" s="465" t="str">
        <f ca="1">IFERROR(VLOOKUP(L37,$G$5:$J$28,2,FALSE),"")</f>
        <v/>
      </c>
      <c r="N36" s="966"/>
      <c r="O36" s="518"/>
      <c r="Q36" s="447">
        <f>K36</f>
        <v>9</v>
      </c>
      <c r="R36" s="472">
        <v>9</v>
      </c>
      <c r="S36" s="465" t="str">
        <f ca="1">IFERROR(VLOOKUP(R37,$G$5:$J$28,2,FALSE),"")</f>
        <v/>
      </c>
      <c r="T36" s="966"/>
      <c r="U36" s="780"/>
      <c r="W36" s="447">
        <f>Q36</f>
        <v>9</v>
      </c>
      <c r="X36" s="472">
        <v>9</v>
      </c>
      <c r="Y36" s="465" t="str">
        <f ca="1">IFERROR(VLOOKUP(X37,$G$5:$J$28,2,FALSE),"")</f>
        <v/>
      </c>
      <c r="Z36" s="966"/>
      <c r="AA36" s="780"/>
      <c r="AB36" s="523"/>
      <c r="AF36" s="453"/>
      <c r="AG36" s="453"/>
    </row>
    <row r="37" spans="9:33" ht="15.95" customHeight="1" thickBot="1" x14ac:dyDescent="0.25">
      <c r="I37" s="437"/>
      <c r="J37" s="437"/>
      <c r="K37" s="447"/>
      <c r="L37" s="473" t="str">
        <f ca="1">VLOOKUP(L36,$A$5:$G$24,7,FALSE)</f>
        <v/>
      </c>
      <c r="M37" s="466" t="str">
        <f ca="1">IFERROR(VLOOKUP(L37,$G$5:$J$28,3,FALSE),"")</f>
        <v/>
      </c>
      <c r="N37" s="967"/>
      <c r="Q37" s="447"/>
      <c r="R37" s="473" t="str">
        <f ca="1">L37</f>
        <v/>
      </c>
      <c r="S37" s="466" t="str">
        <f ca="1">IFERROR(VLOOKUP(R37,$G$5:$J$28,3,FALSE),"")</f>
        <v/>
      </c>
      <c r="T37" s="967"/>
      <c r="U37" s="781" t="str">
        <f>IF(T36="","",O59)</f>
        <v/>
      </c>
      <c r="W37" s="447"/>
      <c r="X37" s="473" t="str">
        <f ca="1">R37</f>
        <v/>
      </c>
      <c r="Y37" s="466" t="str">
        <f ca="1">IFERROR(VLOOKUP(X37,$G$5:$J$28,3,FALSE),"")</f>
        <v/>
      </c>
      <c r="Z37" s="967"/>
      <c r="AB37" s="523"/>
      <c r="AF37" s="453"/>
      <c r="AG37" s="453"/>
    </row>
    <row r="38" spans="9:33" ht="15.95" customHeight="1" thickBot="1" x14ac:dyDescent="0.25">
      <c r="I38" s="437"/>
      <c r="J38" s="437"/>
      <c r="K38" s="447"/>
      <c r="L38" s="441"/>
      <c r="M38" s="441"/>
      <c r="S38" s="1248"/>
      <c r="T38" s="1248"/>
      <c r="U38" s="447"/>
      <c r="W38" s="447">
        <f>W36+1</f>
        <v>10</v>
      </c>
      <c r="X38" s="472">
        <v>10</v>
      </c>
      <c r="Y38" s="465" t="str">
        <f ca="1">IFERROR(VLOOKUP(X39,$G$5:$J$28,2,FALSE),"")</f>
        <v/>
      </c>
      <c r="Z38" s="966"/>
      <c r="AA38" s="780"/>
      <c r="AB38" s="523"/>
      <c r="AF38" s="453"/>
      <c r="AG38" s="453"/>
    </row>
    <row r="39" spans="9:33" ht="15.95" customHeight="1" thickBot="1" x14ac:dyDescent="0.25">
      <c r="I39" s="437"/>
      <c r="J39" s="437"/>
      <c r="K39" s="447"/>
      <c r="L39" s="450"/>
      <c r="M39" s="450"/>
      <c r="N39" s="451"/>
      <c r="Q39" s="447"/>
      <c r="R39" s="450"/>
      <c r="S39" s="1249"/>
      <c r="T39" s="1249"/>
      <c r="W39" s="447"/>
      <c r="X39" s="473" t="str">
        <f>IF(ISBLANK(T45),"",IF(U45+T45&gt;T47+U47,R46,R48))</f>
        <v/>
      </c>
      <c r="Y39" s="466" t="str">
        <f ca="1">IFERROR(VLOOKUP(X39,$G$5:$J$28,3,FALSE),"")</f>
        <v/>
      </c>
      <c r="Z39" s="967"/>
      <c r="AB39" s="523"/>
      <c r="AF39" s="453"/>
      <c r="AG39" s="453"/>
    </row>
    <row r="40" spans="9:33" ht="15.95" customHeight="1" x14ac:dyDescent="0.2">
      <c r="I40" s="437"/>
      <c r="J40" s="437"/>
      <c r="K40" s="450"/>
      <c r="L40" s="450"/>
      <c r="M40" s="450"/>
      <c r="N40" s="451"/>
      <c r="O40" s="450"/>
      <c r="P40" s="450"/>
      <c r="Q40" s="450"/>
      <c r="R40" s="437"/>
      <c r="S40" s="437"/>
      <c r="T40" s="451"/>
      <c r="U40" s="450"/>
      <c r="V40" s="450"/>
      <c r="W40" s="450"/>
      <c r="X40" s="450"/>
      <c r="Y40" s="450"/>
      <c r="Z40" s="451"/>
      <c r="AA40" s="450"/>
      <c r="AB40" s="523"/>
      <c r="AF40" s="453"/>
      <c r="AG40" s="453"/>
    </row>
    <row r="41" spans="9:33" ht="15.95" customHeight="1" thickBot="1" x14ac:dyDescent="0.25">
      <c r="I41" s="437"/>
      <c r="J41" s="437"/>
      <c r="K41" s="450"/>
      <c r="L41" s="450"/>
      <c r="M41" s="450"/>
      <c r="N41" s="451"/>
      <c r="O41" s="450"/>
      <c r="P41" s="450"/>
      <c r="Q41" s="450"/>
      <c r="R41" s="437"/>
      <c r="S41" s="437"/>
      <c r="T41" s="451"/>
      <c r="U41" s="450"/>
      <c r="V41" s="450"/>
      <c r="W41" s="450"/>
      <c r="X41" s="1250" t="s">
        <v>1313</v>
      </c>
      <c r="Y41" s="1250"/>
      <c r="Z41" s="457"/>
      <c r="AA41" s="450"/>
      <c r="AB41" s="523"/>
      <c r="AF41" s="453"/>
      <c r="AG41" s="453"/>
    </row>
    <row r="42" spans="9:33" ht="15.95" customHeight="1" thickBot="1" x14ac:dyDescent="0.25">
      <c r="I42" s="437"/>
      <c r="J42" s="437"/>
      <c r="K42" s="445" t="s">
        <v>779</v>
      </c>
      <c r="L42" s="779" t="s">
        <v>1083</v>
      </c>
      <c r="M42" s="456" t="s">
        <v>481</v>
      </c>
      <c r="N42" s="464" t="s">
        <v>780</v>
      </c>
      <c r="O42" s="446" t="s">
        <v>781</v>
      </c>
      <c r="P42" s="445"/>
      <c r="V42" s="445"/>
      <c r="W42" s="445" t="s">
        <v>779</v>
      </c>
      <c r="X42" s="779" t="s">
        <v>1083</v>
      </c>
      <c r="Y42" s="515" t="s">
        <v>481</v>
      </c>
      <c r="Z42" s="457"/>
      <c r="AA42" s="450"/>
      <c r="AB42" s="523"/>
      <c r="AF42" s="453"/>
      <c r="AG42" s="453"/>
    </row>
    <row r="43" spans="9:33" ht="15.95" customHeight="1" thickBot="1" x14ac:dyDescent="0.25">
      <c r="I43" s="437"/>
      <c r="J43" s="437"/>
      <c r="K43" s="447">
        <f>K36+1</f>
        <v>10</v>
      </c>
      <c r="L43" s="472">
        <v>10</v>
      </c>
      <c r="M43" s="465" t="str">
        <f ca="1">IFERROR(VLOOKUP(L44,$G$5:$J$28,2,FALSE),"")</f>
        <v/>
      </c>
      <c r="N43" s="966"/>
      <c r="O43" s="518"/>
      <c r="W43" s="447">
        <f>W38+1</f>
        <v>11</v>
      </c>
      <c r="X43" s="472">
        <v>11</v>
      </c>
      <c r="Y43" s="467" t="str">
        <f ca="1">IFERROR(VLOOKUP(X44,$G$5:$J$28,2,FALSE),"")</f>
        <v/>
      </c>
      <c r="Z43" s="525">
        <v>1</v>
      </c>
      <c r="AA43" s="450"/>
      <c r="AB43" s="523"/>
      <c r="AF43" s="453"/>
      <c r="AG43" s="453"/>
    </row>
    <row r="44" spans="9:33" ht="15.95" customHeight="1" thickBot="1" x14ac:dyDescent="0.25">
      <c r="I44" s="437"/>
      <c r="J44" s="437"/>
      <c r="K44" s="447"/>
      <c r="L44" s="473" t="str">
        <f ca="1">VLOOKUP(L43,$A$5:$G$24,7,FALSE)</f>
        <v/>
      </c>
      <c r="M44" s="466" t="str">
        <f ca="1">IFERROR(VLOOKUP(L44,$G$5:$J$28,3,FALSE),"")</f>
        <v/>
      </c>
      <c r="N44" s="967"/>
      <c r="Q44" s="445" t="s">
        <v>779</v>
      </c>
      <c r="R44" s="779" t="s">
        <v>1083</v>
      </c>
      <c r="S44" s="456" t="s">
        <v>481</v>
      </c>
      <c r="T44" s="464" t="s">
        <v>780</v>
      </c>
      <c r="U44" s="446" t="s">
        <v>781</v>
      </c>
      <c r="W44" s="447"/>
      <c r="X44" s="473" t="str">
        <f>IF(ISBLANK(T45),"",IF(U45+T45&lt;T47+U47,R46,R48))</f>
        <v/>
      </c>
      <c r="Y44" s="468" t="str">
        <f ca="1">IFERROR(VLOOKUP(X44,$G$5:$J$28,3,FALSE),"")</f>
        <v/>
      </c>
      <c r="Z44" s="457"/>
      <c r="AA44" s="450"/>
      <c r="AB44" s="523"/>
      <c r="AF44" s="453"/>
      <c r="AG44" s="453"/>
    </row>
    <row r="45" spans="9:33" ht="15.95" customHeight="1" thickBot="1" x14ac:dyDescent="0.25">
      <c r="I45" s="437"/>
      <c r="J45" s="437"/>
      <c r="K45" s="447"/>
      <c r="L45" s="441"/>
      <c r="M45" s="441"/>
      <c r="Q45" s="447">
        <f>Q36+1</f>
        <v>10</v>
      </c>
      <c r="R45" s="472">
        <v>10</v>
      </c>
      <c r="S45" s="465" t="str">
        <f ca="1">IFERROR(VLOOKUP(R46,$G$5:$J$28,2,FALSE),"")</f>
        <v/>
      </c>
      <c r="T45" s="966"/>
      <c r="U45" s="780"/>
      <c r="W45" s="447"/>
      <c r="X45" s="441"/>
      <c r="Z45" s="457"/>
      <c r="AA45" s="450"/>
      <c r="AB45" s="523"/>
      <c r="AF45" s="453"/>
      <c r="AG45" s="453"/>
    </row>
    <row r="46" spans="9:33" ht="15.95" customHeight="1" thickBot="1" x14ac:dyDescent="0.25">
      <c r="I46" s="437"/>
      <c r="J46" s="437"/>
      <c r="K46" s="447"/>
      <c r="L46" s="450"/>
      <c r="M46" s="450"/>
      <c r="N46" s="451"/>
      <c r="Q46" s="447"/>
      <c r="R46" s="473" t="str">
        <f ca="1">L44</f>
        <v/>
      </c>
      <c r="S46" s="466" t="str">
        <f ca="1">IFERROR(VLOOKUP(R46,$G$5:$J$28,3,FALSE),"")</f>
        <v/>
      </c>
      <c r="T46" s="967"/>
      <c r="W46" s="447"/>
      <c r="X46" s="524"/>
      <c r="Y46" s="441"/>
      <c r="Z46" s="457"/>
      <c r="AA46" s="450"/>
      <c r="AB46" s="523"/>
      <c r="AF46" s="453"/>
      <c r="AG46" s="453"/>
    </row>
    <row r="47" spans="9:33" ht="15.95" customHeight="1" thickBot="1" x14ac:dyDescent="0.25">
      <c r="I47" s="437"/>
      <c r="J47" s="437"/>
      <c r="K47" s="450"/>
      <c r="L47" s="450"/>
      <c r="M47" s="450"/>
      <c r="N47" s="451"/>
      <c r="Q47" s="447">
        <f>Q45+1</f>
        <v>11</v>
      </c>
      <c r="R47" s="472">
        <v>11</v>
      </c>
      <c r="S47" s="465" t="str">
        <f ca="1">IFERROR(VLOOKUP(R48,$G$5:$J$28,2,FALSE),"")</f>
        <v/>
      </c>
      <c r="T47" s="966"/>
      <c r="U47" s="780"/>
      <c r="X47" s="450"/>
      <c r="Y47" s="450"/>
      <c r="Z47" s="457"/>
      <c r="AA47" s="450"/>
      <c r="AB47" s="523"/>
      <c r="AF47" s="453"/>
      <c r="AG47" s="453"/>
    </row>
    <row r="48" spans="9:33" ht="15.95" customHeight="1" thickBot="1" x14ac:dyDescent="0.25">
      <c r="I48" s="437"/>
      <c r="J48" s="437"/>
      <c r="K48" s="450"/>
      <c r="L48" s="454"/>
      <c r="M48" s="454"/>
      <c r="N48" s="455"/>
      <c r="Q48" s="450"/>
      <c r="R48" s="473" t="str">
        <f ca="1">L51</f>
        <v/>
      </c>
      <c r="S48" s="466" t="str">
        <f ca="1">IFERROR(VLOOKUP(R48,$G$5:$J$28,3,FALSE),"")</f>
        <v/>
      </c>
      <c r="T48" s="967"/>
      <c r="X48" s="979"/>
      <c r="Y48" s="979"/>
      <c r="Z48" s="457"/>
      <c r="AA48" s="450"/>
      <c r="AF48" s="453"/>
      <c r="AG48" s="453"/>
    </row>
    <row r="49" spans="9:33" ht="15.95" customHeight="1" thickBot="1" x14ac:dyDescent="0.25">
      <c r="I49" s="437"/>
      <c r="J49" s="437"/>
      <c r="K49" s="445" t="s">
        <v>779</v>
      </c>
      <c r="L49" s="779" t="s">
        <v>1083</v>
      </c>
      <c r="M49" s="456" t="s">
        <v>481</v>
      </c>
      <c r="N49" s="464" t="s">
        <v>780</v>
      </c>
      <c r="O49" s="446" t="s">
        <v>781</v>
      </c>
      <c r="P49" s="445"/>
      <c r="Q49" s="445"/>
      <c r="R49" s="445"/>
      <c r="S49" s="445"/>
      <c r="T49" s="445"/>
      <c r="U49" s="445"/>
      <c r="X49" s="979"/>
      <c r="Y49" s="979"/>
      <c r="Z49" s="457"/>
      <c r="AA49" s="450"/>
      <c r="AF49" s="453"/>
      <c r="AG49" s="453"/>
    </row>
    <row r="50" spans="9:33" ht="15.95" customHeight="1" x14ac:dyDescent="0.2">
      <c r="I50" s="437"/>
      <c r="J50" s="437"/>
      <c r="K50" s="447">
        <f>K43+1</f>
        <v>11</v>
      </c>
      <c r="L50" s="472">
        <v>11</v>
      </c>
      <c r="M50" s="465" t="str">
        <f ca="1">IFERROR(VLOOKUP(L51,$G$5:$J$28,2,FALSE),"")</f>
        <v/>
      </c>
      <c r="N50" s="966"/>
      <c r="O50" s="518"/>
      <c r="V50" s="450"/>
      <c r="W50" s="450"/>
      <c r="X50" s="979"/>
      <c r="Y50" s="979"/>
      <c r="Z50" s="457"/>
      <c r="AA50" s="450"/>
    </row>
    <row r="51" spans="9:33" ht="15.95" customHeight="1" thickBot="1" x14ac:dyDescent="0.25">
      <c r="I51" s="437"/>
      <c r="J51" s="437"/>
      <c r="K51" s="447"/>
      <c r="L51" s="473" t="str">
        <f ca="1">VLOOKUP(L50,$A$5:$G$24,7,FALSE)</f>
        <v/>
      </c>
      <c r="M51" s="466" t="str">
        <f ca="1">IFERROR(VLOOKUP(L51,$G$5:$J$28,3,FALSE),"")</f>
        <v/>
      </c>
      <c r="N51" s="967"/>
      <c r="V51" s="450"/>
      <c r="W51" s="450"/>
      <c r="X51" s="979"/>
      <c r="Y51" s="979"/>
      <c r="Z51" s="457"/>
      <c r="AA51" s="450"/>
    </row>
    <row r="52" spans="9:33" ht="15.95" customHeight="1" x14ac:dyDescent="0.2">
      <c r="I52" s="437"/>
      <c r="J52" s="437"/>
      <c r="K52" s="447"/>
      <c r="L52" s="441"/>
      <c r="M52" s="441"/>
      <c r="V52" s="450"/>
      <c r="W52" s="450"/>
      <c r="X52" s="979"/>
      <c r="Y52" s="979"/>
      <c r="Z52" s="457"/>
      <c r="AA52" s="450"/>
    </row>
    <row r="53" spans="9:33" ht="15.95" customHeight="1" x14ac:dyDescent="0.2">
      <c r="I53" s="437"/>
      <c r="J53" s="437"/>
      <c r="K53" s="447"/>
      <c r="L53" s="450"/>
      <c r="M53" s="450"/>
      <c r="N53" s="451"/>
      <c r="V53" s="447"/>
      <c r="W53" s="447"/>
      <c r="X53" s="447"/>
      <c r="Y53" s="447"/>
      <c r="Z53" s="457"/>
      <c r="AA53" s="450"/>
    </row>
    <row r="54" spans="9:33" ht="15.95" customHeight="1" x14ac:dyDescent="0.2">
      <c r="I54" s="437"/>
      <c r="J54" s="437"/>
      <c r="K54" s="447"/>
      <c r="L54" s="441"/>
      <c r="M54" s="441"/>
      <c r="V54" s="447"/>
      <c r="W54" s="447"/>
      <c r="X54" s="447"/>
      <c r="Y54" s="447"/>
      <c r="Z54" s="457"/>
      <c r="AA54" s="450"/>
    </row>
    <row r="55" spans="9:33" ht="15.95" customHeight="1" x14ac:dyDescent="0.2">
      <c r="I55" s="437"/>
      <c r="J55" s="437"/>
      <c r="K55" s="450"/>
      <c r="L55" s="441"/>
      <c r="M55" s="441"/>
      <c r="Q55" s="447"/>
      <c r="R55" s="447"/>
      <c r="S55" s="447"/>
      <c r="T55" s="447"/>
      <c r="V55" s="450"/>
      <c r="W55" s="450"/>
      <c r="X55" s="516"/>
      <c r="Y55" s="516"/>
    </row>
    <row r="56" spans="9:33" ht="15.95" customHeight="1" x14ac:dyDescent="0.2">
      <c r="I56" s="437"/>
      <c r="J56" s="437"/>
      <c r="K56" s="450"/>
      <c r="L56" s="441"/>
      <c r="M56" s="441"/>
      <c r="Q56" s="447"/>
      <c r="R56" s="447"/>
      <c r="S56" s="447"/>
      <c r="T56" s="447"/>
      <c r="V56" s="450"/>
      <c r="W56" s="450"/>
      <c r="X56" s="516"/>
      <c r="Y56" s="516"/>
    </row>
    <row r="57" spans="9:33" ht="15.95" customHeight="1" x14ac:dyDescent="0.2">
      <c r="I57" s="437"/>
      <c r="J57" s="437"/>
      <c r="K57" s="450"/>
      <c r="L57" s="450"/>
      <c r="V57" s="450"/>
      <c r="W57" s="450"/>
      <c r="X57" s="516"/>
      <c r="Y57" s="516"/>
    </row>
    <row r="58" spans="9:33" ht="15.95" customHeight="1" x14ac:dyDescent="0.2">
      <c r="I58" s="437"/>
      <c r="J58" s="437"/>
      <c r="K58" s="450"/>
      <c r="L58" s="450"/>
      <c r="N58" s="517"/>
      <c r="O58" s="787"/>
      <c r="P58" s="787"/>
      <c r="Q58" s="787"/>
      <c r="R58" s="787"/>
      <c r="S58" s="787"/>
      <c r="V58" s="450"/>
      <c r="W58" s="450"/>
      <c r="X58" s="516"/>
      <c r="Y58" s="516"/>
    </row>
    <row r="59" spans="9:33" ht="15.95" customHeight="1" x14ac:dyDescent="0.2">
      <c r="I59" s="437"/>
      <c r="J59" s="437"/>
      <c r="K59" s="523"/>
      <c r="L59" s="523"/>
      <c r="M59" s="523"/>
      <c r="N59" s="523"/>
      <c r="Q59" s="789"/>
      <c r="R59" s="790"/>
      <c r="S59" s="791"/>
      <c r="T59" s="793"/>
      <c r="U59" s="789"/>
      <c r="V59" s="789"/>
      <c r="W59" s="789"/>
      <c r="X59" s="790"/>
      <c r="Y59" s="790"/>
      <c r="Z59" s="457"/>
      <c r="AA59" s="450"/>
    </row>
    <row r="60" spans="9:33" ht="15.95" customHeight="1" x14ac:dyDescent="0.2">
      <c r="I60" s="437"/>
      <c r="J60" s="437"/>
      <c r="K60" s="523"/>
      <c r="L60" s="523"/>
      <c r="M60" s="523"/>
      <c r="N60" s="523"/>
      <c r="Q60" s="789"/>
      <c r="R60" s="790"/>
      <c r="S60" s="791"/>
      <c r="T60" s="793"/>
      <c r="U60" s="789"/>
      <c r="V60" s="787"/>
      <c r="W60" s="789"/>
      <c r="X60" s="789"/>
      <c r="Y60" s="789"/>
      <c r="Z60" s="441"/>
    </row>
    <row r="61" spans="9:33" ht="15.95" customHeight="1" x14ac:dyDescent="0.2">
      <c r="I61" s="437"/>
      <c r="J61" s="437"/>
      <c r="K61" s="437"/>
      <c r="L61" s="437"/>
      <c r="M61" s="437"/>
      <c r="N61" s="437"/>
      <c r="Q61" s="789"/>
      <c r="R61" s="790"/>
      <c r="S61" s="791"/>
      <c r="T61" s="793"/>
      <c r="U61" s="789"/>
      <c r="V61" s="787"/>
      <c r="W61" s="789"/>
      <c r="X61" s="789"/>
      <c r="Y61" s="789"/>
      <c r="Z61" s="441"/>
    </row>
    <row r="62" spans="9:33" ht="15.95" customHeight="1" x14ac:dyDescent="0.2">
      <c r="I62" s="437"/>
      <c r="J62" s="437"/>
      <c r="K62" s="437"/>
      <c r="L62" s="437"/>
      <c r="M62" s="437"/>
      <c r="N62" s="437"/>
      <c r="O62" s="521"/>
      <c r="Q62" s="789"/>
      <c r="R62" s="790"/>
      <c r="S62" s="791"/>
      <c r="T62" s="793"/>
      <c r="U62" s="789"/>
      <c r="V62" s="787"/>
      <c r="W62" s="789"/>
      <c r="X62" s="789"/>
      <c r="Y62" s="789"/>
      <c r="Z62" s="441"/>
    </row>
    <row r="63" spans="9:33" ht="15.95" customHeight="1" x14ac:dyDescent="0.2">
      <c r="I63" s="437"/>
      <c r="J63" s="437"/>
      <c r="K63" s="437"/>
      <c r="L63" s="437"/>
      <c r="M63" s="437"/>
      <c r="N63" s="437"/>
      <c r="O63" s="521"/>
      <c r="Q63" s="789"/>
      <c r="R63" s="790"/>
      <c r="S63" s="791"/>
      <c r="T63" s="793"/>
      <c r="U63" s="789"/>
      <c r="V63" s="787"/>
      <c r="W63" s="789"/>
      <c r="X63" s="789"/>
      <c r="Y63" s="789"/>
      <c r="Z63" s="441"/>
    </row>
    <row r="64" spans="9:33" ht="15.95" customHeight="1" x14ac:dyDescent="0.2">
      <c r="I64" s="437"/>
      <c r="J64" s="437"/>
      <c r="K64" s="437"/>
      <c r="L64" s="437"/>
      <c r="M64" s="437"/>
      <c r="N64" s="437"/>
      <c r="O64" s="521"/>
      <c r="Q64" s="447"/>
      <c r="R64" s="447"/>
      <c r="S64" s="447"/>
      <c r="T64" s="447"/>
      <c r="U64" s="447"/>
      <c r="V64" s="447"/>
      <c r="W64" s="447"/>
      <c r="X64" s="447"/>
      <c r="Y64" s="447"/>
      <c r="Z64" s="441"/>
    </row>
    <row r="65" spans="9:36" ht="15.95" customHeight="1" x14ac:dyDescent="0.2">
      <c r="I65" s="437"/>
      <c r="J65" s="437"/>
      <c r="K65" s="437"/>
      <c r="L65" s="437"/>
      <c r="M65" s="437"/>
      <c r="N65" s="437"/>
      <c r="O65" s="437"/>
      <c r="P65" s="437"/>
      <c r="Q65" s="437"/>
      <c r="R65" s="437"/>
      <c r="S65" s="437"/>
      <c r="T65" s="437"/>
      <c r="U65" s="437"/>
      <c r="V65" s="437"/>
      <c r="W65" s="437"/>
      <c r="X65" s="437"/>
      <c r="Y65" s="437"/>
      <c r="Z65" s="437"/>
      <c r="AA65" s="437"/>
      <c r="AH65" s="441"/>
      <c r="AI65" s="441"/>
      <c r="AJ65" s="447"/>
    </row>
    <row r="66" spans="9:36" ht="15.95" customHeight="1" x14ac:dyDescent="0.2">
      <c r="I66" s="437"/>
      <c r="J66" s="437"/>
      <c r="K66" s="437"/>
      <c r="L66" s="437"/>
      <c r="M66" s="437"/>
      <c r="N66" s="437"/>
      <c r="O66" s="437"/>
      <c r="P66" s="437"/>
      <c r="Q66" s="437"/>
      <c r="R66" s="437"/>
      <c r="S66" s="437"/>
      <c r="T66" s="437"/>
      <c r="U66" s="437"/>
      <c r="V66" s="437"/>
      <c r="W66" s="437"/>
      <c r="X66" s="437"/>
      <c r="Y66" s="437"/>
      <c r="Z66" s="437"/>
      <c r="AA66" s="437"/>
      <c r="AH66" s="441"/>
      <c r="AI66" s="441"/>
      <c r="AJ66" s="447"/>
    </row>
    <row r="67" spans="9:36" ht="15.95" customHeight="1" x14ac:dyDescent="0.2">
      <c r="I67" s="437"/>
      <c r="J67" s="437"/>
      <c r="K67" s="437"/>
      <c r="L67" s="437"/>
      <c r="M67" s="437"/>
      <c r="N67" s="437"/>
      <c r="O67" s="437"/>
      <c r="P67" s="437"/>
      <c r="Q67" s="437"/>
      <c r="R67" s="437"/>
      <c r="S67" s="437"/>
      <c r="T67" s="437"/>
      <c r="U67" s="437"/>
      <c r="V67" s="437"/>
      <c r="W67" s="437"/>
      <c r="X67" s="437"/>
      <c r="Y67" s="437"/>
      <c r="Z67" s="437"/>
      <c r="AA67" s="437"/>
      <c r="AH67" s="441"/>
      <c r="AI67" s="441"/>
      <c r="AJ67" s="441"/>
    </row>
    <row r="68" spans="9:36" ht="15.95" customHeight="1" x14ac:dyDescent="0.2">
      <c r="I68" s="437"/>
      <c r="J68" s="437"/>
      <c r="K68" s="450"/>
      <c r="L68" s="450"/>
      <c r="M68" s="450"/>
      <c r="N68" s="521"/>
      <c r="O68" s="521"/>
      <c r="P68" s="450"/>
      <c r="Q68" s="450"/>
      <c r="R68" s="437"/>
      <c r="S68" s="437"/>
      <c r="T68" s="451"/>
      <c r="U68" s="450"/>
      <c r="W68" s="450"/>
      <c r="X68" s="516"/>
      <c r="Y68" s="457"/>
      <c r="Z68" s="457"/>
      <c r="AA68" s="450"/>
      <c r="AH68" s="441"/>
      <c r="AI68" s="441"/>
      <c r="AJ68" s="441"/>
    </row>
    <row r="69" spans="9:36" ht="15.95" customHeight="1" x14ac:dyDescent="0.2">
      <c r="I69" s="437"/>
      <c r="J69" s="437"/>
      <c r="K69" s="450"/>
      <c r="L69" s="450"/>
      <c r="M69" s="450"/>
      <c r="N69" s="521"/>
      <c r="O69" s="521"/>
      <c r="P69" s="450"/>
      <c r="Q69" s="450"/>
      <c r="R69" s="437"/>
      <c r="S69" s="437"/>
      <c r="T69" s="451"/>
      <c r="U69" s="450"/>
      <c r="W69" s="450"/>
      <c r="X69" s="516"/>
      <c r="Y69" s="457"/>
      <c r="Z69" s="457"/>
      <c r="AA69" s="450"/>
      <c r="AH69" s="441"/>
      <c r="AI69" s="441"/>
      <c r="AJ69" s="450"/>
    </row>
    <row r="70" spans="9:36" ht="15.95" customHeight="1" x14ac:dyDescent="0.2">
      <c r="I70" s="437"/>
      <c r="J70" s="437"/>
      <c r="K70" s="450"/>
      <c r="L70" s="450"/>
      <c r="M70" s="450"/>
      <c r="N70" s="521"/>
      <c r="O70" s="521"/>
      <c r="P70" s="450"/>
      <c r="Q70" s="450"/>
      <c r="R70" s="437"/>
      <c r="S70" s="437"/>
      <c r="T70" s="451"/>
      <c r="U70" s="450"/>
      <c r="W70" s="450"/>
      <c r="X70" s="516"/>
      <c r="Y70" s="457"/>
      <c r="Z70" s="457"/>
      <c r="AA70" s="450"/>
      <c r="AH70" s="441"/>
      <c r="AI70" s="441"/>
      <c r="AJ70" s="450"/>
    </row>
    <row r="71" spans="9:36" ht="15.95" customHeight="1" x14ac:dyDescent="0.2">
      <c r="I71" s="437"/>
      <c r="J71" s="437"/>
      <c r="K71" s="450"/>
      <c r="L71" s="450"/>
      <c r="M71" s="450"/>
      <c r="N71" s="521"/>
      <c r="O71" s="521"/>
      <c r="P71" s="450"/>
      <c r="Q71" s="450"/>
      <c r="R71" s="437"/>
      <c r="S71" s="437"/>
      <c r="T71" s="451"/>
      <c r="U71" s="450"/>
      <c r="W71" s="450"/>
      <c r="X71" s="516"/>
      <c r="Y71" s="457"/>
      <c r="Z71" s="457"/>
      <c r="AA71" s="450"/>
      <c r="AH71" s="441"/>
      <c r="AI71" s="441"/>
      <c r="AJ71" s="445"/>
    </row>
    <row r="72" spans="9:36" ht="15.95" customHeight="1" x14ac:dyDescent="0.2">
      <c r="I72" s="437"/>
      <c r="J72" s="437"/>
      <c r="K72" s="450"/>
      <c r="L72" s="450"/>
      <c r="M72" s="450"/>
      <c r="N72" s="521"/>
      <c r="O72" s="521"/>
      <c r="P72" s="450"/>
      <c r="Q72" s="450"/>
      <c r="R72" s="437"/>
      <c r="S72" s="437"/>
      <c r="T72" s="451"/>
      <c r="U72" s="450"/>
      <c r="W72" s="450"/>
      <c r="X72" s="516"/>
      <c r="Y72" s="457"/>
      <c r="Z72" s="457"/>
      <c r="AA72" s="450"/>
      <c r="AH72" s="441"/>
      <c r="AI72" s="441"/>
      <c r="AJ72" s="447"/>
    </row>
    <row r="73" spans="9:36" ht="15.95" customHeight="1" x14ac:dyDescent="0.2">
      <c r="I73" s="437"/>
      <c r="J73" s="437"/>
      <c r="K73" s="450"/>
      <c r="L73" s="450"/>
      <c r="M73" s="450"/>
      <c r="N73" s="521"/>
      <c r="O73" s="521"/>
      <c r="P73" s="450"/>
      <c r="Q73" s="450"/>
      <c r="R73" s="437"/>
      <c r="S73" s="437"/>
      <c r="T73" s="451"/>
      <c r="U73" s="450"/>
      <c r="W73" s="450"/>
      <c r="X73" s="516"/>
      <c r="Y73" s="457"/>
      <c r="Z73" s="457"/>
      <c r="AA73" s="450"/>
      <c r="AH73" s="441"/>
      <c r="AI73" s="441"/>
      <c r="AJ73" s="447"/>
    </row>
    <row r="74" spans="9:36" ht="15.95" customHeight="1" x14ac:dyDescent="0.2">
      <c r="I74" s="437"/>
      <c r="J74" s="437"/>
      <c r="K74" s="450"/>
      <c r="L74" s="450"/>
      <c r="M74" s="450"/>
      <c r="N74" s="521"/>
      <c r="O74" s="521"/>
      <c r="P74" s="450"/>
      <c r="Q74" s="450"/>
      <c r="R74" s="437"/>
      <c r="S74" s="437"/>
      <c r="T74" s="451"/>
      <c r="U74" s="450"/>
      <c r="W74" s="450"/>
      <c r="X74" s="516"/>
      <c r="Y74" s="457"/>
      <c r="Z74" s="457"/>
      <c r="AA74" s="450"/>
      <c r="AH74" s="441"/>
      <c r="AI74" s="441"/>
      <c r="AJ74" s="450"/>
    </row>
    <row r="75" spans="9:36" ht="15.95" customHeight="1" x14ac:dyDescent="0.2">
      <c r="I75" s="437"/>
      <c r="J75" s="437"/>
      <c r="K75" s="450"/>
      <c r="L75" s="450"/>
      <c r="M75" s="450"/>
      <c r="N75" s="521"/>
      <c r="O75" s="521"/>
      <c r="P75" s="450"/>
      <c r="Q75" s="450"/>
      <c r="R75" s="437"/>
      <c r="S75" s="437"/>
      <c r="T75" s="451"/>
      <c r="U75" s="450"/>
      <c r="W75" s="450"/>
      <c r="X75" s="516"/>
      <c r="Y75" s="457"/>
      <c r="Z75" s="457"/>
      <c r="AA75" s="450"/>
      <c r="AH75" s="441"/>
      <c r="AI75" s="441"/>
      <c r="AJ75" s="450"/>
    </row>
    <row r="76" spans="9:36" ht="15.95" customHeight="1" x14ac:dyDescent="0.2">
      <c r="I76" s="437"/>
      <c r="J76" s="437"/>
      <c r="K76" s="450"/>
      <c r="L76" s="450"/>
      <c r="M76" s="450"/>
      <c r="N76" s="521"/>
      <c r="O76" s="521"/>
      <c r="P76" s="450"/>
      <c r="Q76" s="450"/>
      <c r="R76" s="437"/>
      <c r="S76" s="437"/>
      <c r="T76" s="451"/>
      <c r="U76" s="450"/>
      <c r="W76" s="450"/>
      <c r="X76" s="516"/>
      <c r="Y76" s="457"/>
      <c r="Z76" s="457"/>
      <c r="AA76" s="450"/>
      <c r="AH76" s="441"/>
      <c r="AI76" s="441"/>
      <c r="AJ76" s="450"/>
    </row>
    <row r="77" spans="9:36" ht="15.95" customHeight="1" x14ac:dyDescent="0.2">
      <c r="I77" s="437"/>
      <c r="J77" s="437"/>
      <c r="K77" s="447"/>
      <c r="L77" s="450"/>
      <c r="M77" s="450"/>
      <c r="N77" s="521"/>
      <c r="O77" s="521"/>
      <c r="P77" s="450"/>
      <c r="AA77" s="450"/>
      <c r="AH77" s="441"/>
      <c r="AI77" s="441"/>
      <c r="AJ77" s="450"/>
    </row>
    <row r="78" spans="9:36" ht="15.95" customHeight="1" x14ac:dyDescent="0.2">
      <c r="I78" s="437"/>
      <c r="J78" s="437"/>
      <c r="K78" s="447"/>
      <c r="L78" s="450"/>
      <c r="M78" s="450"/>
      <c r="N78" s="521"/>
      <c r="O78" s="521"/>
      <c r="P78" s="450"/>
      <c r="AA78" s="450"/>
      <c r="AH78" s="441"/>
      <c r="AI78" s="441"/>
      <c r="AJ78" s="445"/>
    </row>
    <row r="79" spans="9:36" ht="15.95" customHeight="1" x14ac:dyDescent="0.2">
      <c r="I79" s="437"/>
      <c r="J79" s="437"/>
      <c r="K79" s="447"/>
      <c r="L79" s="450"/>
      <c r="M79" s="450"/>
      <c r="N79" s="521"/>
      <c r="O79" s="521"/>
      <c r="P79" s="450"/>
      <c r="AA79" s="450"/>
      <c r="AH79" s="441"/>
      <c r="AI79" s="441"/>
      <c r="AJ79" s="447"/>
    </row>
    <row r="80" spans="9:36" ht="15.95" customHeight="1" x14ac:dyDescent="0.2">
      <c r="I80" s="437"/>
      <c r="J80" s="437"/>
      <c r="K80" s="447"/>
      <c r="L80" s="450"/>
      <c r="M80" s="450"/>
      <c r="N80" s="521"/>
      <c r="O80" s="521"/>
      <c r="P80" s="450"/>
      <c r="AA80" s="450"/>
      <c r="AH80" s="441"/>
      <c r="AI80" s="441"/>
      <c r="AJ80" s="447"/>
    </row>
    <row r="81" spans="9:36" ht="15.95" customHeight="1" x14ac:dyDescent="0.2">
      <c r="I81" s="437"/>
      <c r="J81" s="437"/>
      <c r="K81" s="447"/>
      <c r="L81" s="450"/>
      <c r="M81" s="450"/>
      <c r="N81" s="521"/>
      <c r="O81" s="521"/>
      <c r="P81" s="450"/>
      <c r="AA81" s="450"/>
      <c r="AH81" s="441"/>
      <c r="AI81" s="441"/>
      <c r="AJ81" s="447"/>
    </row>
    <row r="82" spans="9:36" ht="15.95" customHeight="1" x14ac:dyDescent="0.2">
      <c r="I82" s="437"/>
      <c r="J82" s="437"/>
      <c r="K82" s="450"/>
      <c r="L82" s="450"/>
      <c r="M82" s="450"/>
      <c r="N82" s="521"/>
      <c r="O82" s="521"/>
      <c r="P82" s="450"/>
      <c r="AA82" s="450"/>
      <c r="AH82" s="441"/>
      <c r="AI82" s="441"/>
      <c r="AJ82" s="450"/>
    </row>
    <row r="83" spans="9:36" ht="15.95" customHeight="1" x14ac:dyDescent="0.2">
      <c r="I83" s="437"/>
      <c r="J83" s="437"/>
      <c r="K83" s="445"/>
      <c r="L83" s="450"/>
      <c r="M83" s="450"/>
      <c r="N83" s="521"/>
      <c r="O83" s="521"/>
      <c r="P83" s="450"/>
      <c r="AA83" s="450"/>
      <c r="AH83" s="441"/>
      <c r="AI83" s="441"/>
      <c r="AJ83" s="445"/>
    </row>
    <row r="84" spans="9:36" ht="15.95" customHeight="1" x14ac:dyDescent="0.2">
      <c r="I84" s="437"/>
      <c r="J84" s="437"/>
      <c r="K84" s="447"/>
      <c r="L84" s="450"/>
      <c r="M84" s="450"/>
      <c r="N84" s="521"/>
      <c r="O84" s="521"/>
      <c r="P84" s="450"/>
      <c r="AA84" s="450"/>
      <c r="AH84" s="441"/>
      <c r="AI84" s="441"/>
      <c r="AJ84" s="447"/>
    </row>
    <row r="85" spans="9:36" ht="15.95" customHeight="1" x14ac:dyDescent="0.2">
      <c r="I85" s="437"/>
      <c r="J85" s="437"/>
      <c r="K85" s="447"/>
      <c r="L85" s="450"/>
      <c r="M85" s="450"/>
      <c r="N85" s="521"/>
      <c r="O85" s="521"/>
      <c r="P85" s="450"/>
      <c r="AA85" s="450"/>
      <c r="AH85" s="441"/>
      <c r="AI85" s="441"/>
      <c r="AJ85" s="447"/>
    </row>
    <row r="86" spans="9:36" ht="15.95" customHeight="1" x14ac:dyDescent="0.2">
      <c r="K86" s="447"/>
      <c r="L86" s="450"/>
      <c r="M86" s="450"/>
      <c r="N86" s="521"/>
      <c r="O86" s="521"/>
      <c r="P86" s="450"/>
      <c r="AA86" s="450"/>
      <c r="AH86" s="441"/>
      <c r="AI86" s="441"/>
      <c r="AJ86" s="441"/>
    </row>
    <row r="87" spans="9:36" ht="15.95" customHeight="1" x14ac:dyDescent="0.2">
      <c r="K87" s="447"/>
      <c r="L87" s="450"/>
      <c r="M87" s="450"/>
      <c r="N87" s="521"/>
      <c r="O87" s="521"/>
      <c r="P87" s="450"/>
      <c r="AA87" s="450"/>
      <c r="AH87" s="441"/>
      <c r="AI87" s="441"/>
      <c r="AJ87" s="441"/>
    </row>
    <row r="88" spans="9:36" ht="15.95" customHeight="1" x14ac:dyDescent="0.2">
      <c r="L88" s="450"/>
      <c r="M88" s="450"/>
      <c r="N88" s="521"/>
      <c r="O88" s="521"/>
      <c r="P88" s="450"/>
      <c r="Q88" s="450"/>
      <c r="R88" s="450"/>
      <c r="S88" s="450"/>
      <c r="T88" s="451"/>
      <c r="U88" s="450"/>
      <c r="W88" s="450"/>
      <c r="X88" s="450"/>
      <c r="Y88" s="450"/>
      <c r="Z88" s="451"/>
      <c r="AA88" s="450"/>
    </row>
    <row r="89" spans="9:36" ht="15.95" customHeight="1" x14ac:dyDescent="0.2">
      <c r="K89" s="435"/>
      <c r="L89" s="450"/>
      <c r="M89" s="450"/>
      <c r="N89" s="521"/>
      <c r="O89" s="521"/>
      <c r="P89" s="450"/>
      <c r="Q89" s="450"/>
      <c r="R89" s="450"/>
      <c r="S89" s="450"/>
      <c r="T89" s="451"/>
      <c r="U89" s="450"/>
      <c r="W89" s="450"/>
      <c r="X89" s="450"/>
      <c r="Y89" s="450"/>
      <c r="Z89" s="451"/>
      <c r="AA89" s="450"/>
    </row>
    <row r="90" spans="9:36" ht="15.95" customHeight="1" x14ac:dyDescent="0.2">
      <c r="K90" s="435"/>
      <c r="R90" s="450"/>
      <c r="S90" s="450"/>
      <c r="T90" s="451"/>
      <c r="U90" s="450"/>
      <c r="W90" s="450"/>
      <c r="X90" s="450"/>
      <c r="Y90" s="450"/>
      <c r="Z90" s="451"/>
    </row>
    <row r="91" spans="9:36" ht="15.95" customHeight="1" x14ac:dyDescent="0.2">
      <c r="K91" s="435"/>
    </row>
    <row r="92" spans="9:36" ht="15.95" customHeight="1" x14ac:dyDescent="0.2">
      <c r="K92" s="435"/>
    </row>
    <row r="93" spans="9:36" ht="15.95" customHeight="1" x14ac:dyDescent="0.2">
      <c r="K93" s="435"/>
    </row>
    <row r="94" spans="9:36" ht="15.95" customHeight="1" x14ac:dyDescent="0.2">
      <c r="K94" s="435"/>
    </row>
    <row r="95" spans="9:36" ht="15.95" customHeight="1" x14ac:dyDescent="0.2">
      <c r="K95" s="435"/>
      <c r="S95" s="450"/>
    </row>
    <row r="96" spans="9:36" ht="15.95" customHeight="1" x14ac:dyDescent="0.2">
      <c r="K96" s="435"/>
      <c r="S96" s="450"/>
    </row>
    <row r="97" ht="15.95" customHeight="1" x14ac:dyDescent="0.2"/>
    <row r="98" ht="15.95" customHeight="1" x14ac:dyDescent="0.2"/>
    <row r="99" ht="15.95" customHeight="1" x14ac:dyDescent="0.2"/>
    <row r="100" ht="15.95" customHeight="1" x14ac:dyDescent="0.2"/>
    <row r="101" ht="15.95" customHeight="1" x14ac:dyDescent="0.2"/>
    <row r="102" ht="15.95" customHeight="1" x14ac:dyDescent="0.2"/>
    <row r="103" ht="15.95" customHeight="1" x14ac:dyDescent="0.2"/>
    <row r="104" ht="15.95" customHeight="1" x14ac:dyDescent="0.2"/>
    <row r="105" ht="15.95" customHeight="1" x14ac:dyDescent="0.2"/>
    <row r="106" ht="15.95" customHeight="1" x14ac:dyDescent="0.2"/>
    <row r="107" ht="15.95" customHeight="1" x14ac:dyDescent="0.2"/>
    <row r="108" ht="15.95" customHeight="1" x14ac:dyDescent="0.2"/>
    <row r="109" ht="15.95" customHeight="1" x14ac:dyDescent="0.2"/>
    <row r="110" ht="15.95" customHeight="1" x14ac:dyDescent="0.2"/>
    <row r="111" ht="15.95" customHeight="1" x14ac:dyDescent="0.2"/>
    <row r="112" ht="15.95" customHeight="1" x14ac:dyDescent="0.2"/>
    <row r="113" ht="15.95" customHeight="1" x14ac:dyDescent="0.2"/>
    <row r="114" ht="15.95" customHeight="1" x14ac:dyDescent="0.2"/>
    <row r="115" ht="15.95" customHeight="1" x14ac:dyDescent="0.2"/>
    <row r="116" ht="15.95" customHeight="1" x14ac:dyDescent="0.2"/>
    <row r="117" ht="15.95" customHeight="1" x14ac:dyDescent="0.2"/>
    <row r="118" ht="15.95" customHeight="1" x14ac:dyDescent="0.2"/>
    <row r="119" ht="15.95" customHeight="1" x14ac:dyDescent="0.2"/>
    <row r="120" ht="15.95" customHeight="1" x14ac:dyDescent="0.2"/>
    <row r="121" ht="15.95" customHeight="1" x14ac:dyDescent="0.2"/>
    <row r="122" ht="15.95" customHeight="1" x14ac:dyDescent="0.2"/>
    <row r="123" ht="15.95" customHeight="1" x14ac:dyDescent="0.2"/>
    <row r="124" ht="15.95" customHeight="1" x14ac:dyDescent="0.2"/>
    <row r="125" ht="15.95" customHeight="1" x14ac:dyDescent="0.2"/>
    <row r="126" ht="15.95" customHeight="1" x14ac:dyDescent="0.2"/>
    <row r="127" ht="15.95" customHeight="1" x14ac:dyDescent="0.2"/>
    <row r="128" ht="15.95" customHeight="1" x14ac:dyDescent="0.2"/>
    <row r="129" ht="15.95" customHeight="1" x14ac:dyDescent="0.2"/>
    <row r="130" ht="15.95" customHeight="1" x14ac:dyDescent="0.2"/>
    <row r="131" ht="15.95" customHeight="1" x14ac:dyDescent="0.2"/>
    <row r="132" ht="15.95" customHeight="1" x14ac:dyDescent="0.2"/>
    <row r="133" ht="15.95" customHeight="1" x14ac:dyDescent="0.2"/>
    <row r="134" ht="15.95" customHeight="1" x14ac:dyDescent="0.2"/>
    <row r="135" ht="15.95" customHeight="1" x14ac:dyDescent="0.2"/>
    <row r="136" ht="15.95" customHeight="1" x14ac:dyDescent="0.2"/>
    <row r="137" ht="15.95" customHeight="1" x14ac:dyDescent="0.2"/>
    <row r="138" ht="15.95" customHeight="1" x14ac:dyDescent="0.2"/>
    <row r="139" ht="15.95" customHeight="1" x14ac:dyDescent="0.2"/>
    <row r="140" ht="15.95" customHeight="1" x14ac:dyDescent="0.2"/>
    <row r="141" ht="15.95" customHeight="1" x14ac:dyDescent="0.2"/>
    <row r="142" ht="15.95" customHeight="1" x14ac:dyDescent="0.2"/>
    <row r="143" ht="15.95" customHeight="1" x14ac:dyDescent="0.2"/>
    <row r="144" ht="15.95" customHeight="1" x14ac:dyDescent="0.2"/>
    <row r="145" ht="15.95" customHeight="1" x14ac:dyDescent="0.2"/>
    <row r="146" ht="15.95" customHeight="1" x14ac:dyDescent="0.2"/>
    <row r="147" ht="15.95" customHeight="1" x14ac:dyDescent="0.2"/>
    <row r="148" ht="15.95" customHeight="1" x14ac:dyDescent="0.2"/>
  </sheetData>
  <sheetProtection selectLockedCells="1"/>
  <mergeCells count="56">
    <mergeCell ref="N36:N37"/>
    <mergeCell ref="T36:T37"/>
    <mergeCell ref="Z36:Z37"/>
    <mergeCell ref="S38:T39"/>
    <mergeCell ref="Z38:Z39"/>
    <mergeCell ref="N14:N15"/>
    <mergeCell ref="T14:T15"/>
    <mergeCell ref="T30:T31"/>
    <mergeCell ref="Z30:Z31"/>
    <mergeCell ref="N28:N29"/>
    <mergeCell ref="T28:T29"/>
    <mergeCell ref="Z28:Z29"/>
    <mergeCell ref="N30:N31"/>
    <mergeCell ref="N16:N17"/>
    <mergeCell ref="N21:N22"/>
    <mergeCell ref="T21:T22"/>
    <mergeCell ref="X26:Z26"/>
    <mergeCell ref="N23:N24"/>
    <mergeCell ref="T23:T24"/>
    <mergeCell ref="Z23:Z24"/>
    <mergeCell ref="Z21:Z22"/>
    <mergeCell ref="X12:Z12"/>
    <mergeCell ref="Z14:Z15"/>
    <mergeCell ref="T16:T17"/>
    <mergeCell ref="Z16:Z17"/>
    <mergeCell ref="X19:Z19"/>
    <mergeCell ref="R19:T19"/>
    <mergeCell ref="N7:N8"/>
    <mergeCell ref="T7:T8"/>
    <mergeCell ref="Z7:Z8"/>
    <mergeCell ref="T9:T10"/>
    <mergeCell ref="Z9:Z10"/>
    <mergeCell ref="N9:N10"/>
    <mergeCell ref="K4:N4"/>
    <mergeCell ref="Q4:T4"/>
    <mergeCell ref="W4:Z4"/>
    <mergeCell ref="AH4:AJ5"/>
    <mergeCell ref="L5:N5"/>
    <mergeCell ref="R5:T5"/>
    <mergeCell ref="X5:Z5"/>
    <mergeCell ref="K1:AA1"/>
    <mergeCell ref="AF1:AJ1"/>
    <mergeCell ref="K2:Z2"/>
    <mergeCell ref="AF2:AJ2"/>
    <mergeCell ref="N3:X3"/>
    <mergeCell ref="AF3:AJ3"/>
    <mergeCell ref="N50:N51"/>
    <mergeCell ref="X50:Y50"/>
    <mergeCell ref="X51:Y51"/>
    <mergeCell ref="X52:Y52"/>
    <mergeCell ref="X41:Y41"/>
    <mergeCell ref="T45:T46"/>
    <mergeCell ref="T47:T48"/>
    <mergeCell ref="X48:Y48"/>
    <mergeCell ref="X49:Y49"/>
    <mergeCell ref="N43:N44"/>
  </mergeCells>
  <conditionalFormatting sqref="O36:O37">
    <cfRule type="expression" priority="140" stopIfTrue="1">
      <formula>IF(N36="",1)</formula>
    </cfRule>
    <cfRule type="expression" dxfId="1850" priority="141">
      <formula>IF(N36=N38,1,0)</formula>
    </cfRule>
  </conditionalFormatting>
  <conditionalFormatting sqref="O43:O44">
    <cfRule type="expression" priority="137" stopIfTrue="1">
      <formula>IF(N43="",1)</formula>
    </cfRule>
    <cfRule type="expression" dxfId="1849" priority="138">
      <formula>IF(N43=N45,1,0)</formula>
    </cfRule>
  </conditionalFormatting>
  <conditionalFormatting sqref="O50:O51">
    <cfRule type="expression" priority="134" stopIfTrue="1">
      <formula>IF(N50="",1)</formula>
    </cfRule>
    <cfRule type="expression" dxfId="1848" priority="135">
      <formula>IF(N50=N52,1,0)</formula>
    </cfRule>
  </conditionalFormatting>
  <conditionalFormatting sqref="Y45">
    <cfRule type="expression" dxfId="1847" priority="128">
      <formula>IF(Z43+AA43&lt;Z45+AA45,1,0)</formula>
    </cfRule>
  </conditionalFormatting>
  <conditionalFormatting sqref="U37">
    <cfRule type="expression" priority="123" stopIfTrue="1">
      <formula>IF(T39="",1)</formula>
    </cfRule>
    <cfRule type="expression" dxfId="1846" priority="124">
      <formula>IF(T39=#REF!,1,0)</formula>
    </cfRule>
  </conditionalFormatting>
  <conditionalFormatting sqref="U36">
    <cfRule type="expression" priority="142" stopIfTrue="1">
      <formula>IF(T36="",1)</formula>
    </cfRule>
    <cfRule type="expression" dxfId="1845" priority="143">
      <formula>AND(COUNTIF(T36:T47,T36)&gt;1)</formula>
    </cfRule>
  </conditionalFormatting>
  <conditionalFormatting sqref="M7">
    <cfRule type="expression" dxfId="1844" priority="90">
      <formula>IF(N7+O7&gt;N9+O9,1,0)</formula>
    </cfRule>
  </conditionalFormatting>
  <conditionalFormatting sqref="M9">
    <cfRule type="expression" dxfId="1843" priority="89">
      <formula>IF(N7+O7&lt;N9+O9,1,0)</formula>
    </cfRule>
  </conditionalFormatting>
  <conditionalFormatting sqref="M14">
    <cfRule type="expression" dxfId="1842" priority="88">
      <formula>IF(N14+O14&gt;N16+O16,1,0)</formula>
    </cfRule>
  </conditionalFormatting>
  <conditionalFormatting sqref="M16">
    <cfRule type="expression" dxfId="1841" priority="87">
      <formula>IF(N14+O14&lt;N16+O16,1,0)</formula>
    </cfRule>
  </conditionalFormatting>
  <conditionalFormatting sqref="M21">
    <cfRule type="expression" dxfId="1840" priority="86">
      <formula>IF(N21+O21&gt;N23+O23,1,0)</formula>
    </cfRule>
  </conditionalFormatting>
  <conditionalFormatting sqref="M23">
    <cfRule type="expression" dxfId="1839" priority="85">
      <formula>IF(N21+O21&lt;N23+O23,1,0)</formula>
    </cfRule>
  </conditionalFormatting>
  <conditionalFormatting sqref="M28">
    <cfRule type="expression" dxfId="1838" priority="84">
      <formula>IF(N28+O28&gt;N30+O30,1,0)</formula>
    </cfRule>
  </conditionalFormatting>
  <conditionalFormatting sqref="M30">
    <cfRule type="expression" dxfId="1837" priority="83">
      <formula>IF(N28+O28&lt;N30+O30,1,0)</formula>
    </cfRule>
  </conditionalFormatting>
  <conditionalFormatting sqref="S7">
    <cfRule type="expression" dxfId="1836" priority="82">
      <formula>IF(T7+U7&gt;T9+U9,1,0)</formula>
    </cfRule>
  </conditionalFormatting>
  <conditionalFormatting sqref="S9">
    <cfRule type="expression" dxfId="1835" priority="81">
      <formula>IF(T7+U7&lt;T9+U9,1,0)</formula>
    </cfRule>
  </conditionalFormatting>
  <conditionalFormatting sqref="S14">
    <cfRule type="expression" dxfId="1834" priority="80">
      <formula>IF(T14+U14&gt;T16+U16,1,0)</formula>
    </cfRule>
  </conditionalFormatting>
  <conditionalFormatting sqref="S16">
    <cfRule type="expression" dxfId="1833" priority="79">
      <formula>IF(T14+U14&lt;T16+U16,1,0)</formula>
    </cfRule>
  </conditionalFormatting>
  <conditionalFormatting sqref="S21">
    <cfRule type="expression" dxfId="1832" priority="78">
      <formula>IF(T21+U21&gt;T23+U23,1,0)</formula>
    </cfRule>
  </conditionalFormatting>
  <conditionalFormatting sqref="S23">
    <cfRule type="expression" dxfId="1831" priority="77">
      <formula>IF(T21+U21&lt;T23+U23,1,0)</formula>
    </cfRule>
  </conditionalFormatting>
  <conditionalFormatting sqref="S28">
    <cfRule type="expression" dxfId="1830" priority="76">
      <formula>IF(T28+U28&gt;T30+U30,1,0)</formula>
    </cfRule>
  </conditionalFormatting>
  <conditionalFormatting sqref="S30">
    <cfRule type="expression" dxfId="1829" priority="75">
      <formula>IF(T28+U28&lt;T30+U30,1,0)</formula>
    </cfRule>
  </conditionalFormatting>
  <conditionalFormatting sqref="Y7">
    <cfRule type="expression" dxfId="1828" priority="74">
      <formula>IF(Z7+AA7&gt;Z9+AA9,1,0)</formula>
    </cfRule>
  </conditionalFormatting>
  <conditionalFormatting sqref="Y9">
    <cfRule type="expression" dxfId="1827" priority="73">
      <formula>IF(Z7+AA7&lt;Z9+AA9,1,0)</formula>
    </cfRule>
  </conditionalFormatting>
  <conditionalFormatting sqref="Y14">
    <cfRule type="expression" dxfId="1826" priority="72">
      <formula>IF(Z14+AA14&gt;Z16+AA16,1,0)</formula>
    </cfRule>
  </conditionalFormatting>
  <conditionalFormatting sqref="Y16">
    <cfRule type="expression" dxfId="1825" priority="71">
      <formula>IF(Z14+AA14&lt;Z16+AA16,1,0)</formula>
    </cfRule>
  </conditionalFormatting>
  <conditionalFormatting sqref="Y21">
    <cfRule type="expression" dxfId="1824" priority="70">
      <formula>IF(Z21+AA21&gt;Z23+AA23,1,0)</formula>
    </cfRule>
  </conditionalFormatting>
  <conditionalFormatting sqref="Y23">
    <cfRule type="expression" dxfId="1823" priority="69">
      <formula>IF(Z21+AA21&lt;Z23+AA23,1,0)</formula>
    </cfRule>
  </conditionalFormatting>
  <conditionalFormatting sqref="Y28">
    <cfRule type="expression" dxfId="1822" priority="68">
      <formula>IF(Z28+AA28&gt;Z30+AA30,1,0)</formula>
    </cfRule>
  </conditionalFormatting>
  <conditionalFormatting sqref="Y30">
    <cfRule type="expression" dxfId="1821" priority="67">
      <formula>IF(Z28+AA28&lt;Z30+AA30,1,0)</formula>
    </cfRule>
  </conditionalFormatting>
  <conditionalFormatting sqref="Y36">
    <cfRule type="expression" dxfId="1820" priority="66">
      <formula>IF(Z36+AA36&gt;Z38+AA38,1,0)</formula>
    </cfRule>
  </conditionalFormatting>
  <conditionalFormatting sqref="Y38">
    <cfRule type="expression" dxfId="1819" priority="65">
      <formula>IF(Z36+AA36&lt;Z38+AA38,1,0)</formula>
    </cfRule>
  </conditionalFormatting>
  <conditionalFormatting sqref="M36">
    <cfRule type="expression" dxfId="1818" priority="64">
      <formula>IF(N36+O36&gt;N38+O38,1,0)</formula>
    </cfRule>
  </conditionalFormatting>
  <conditionalFormatting sqref="M43">
    <cfRule type="expression" dxfId="1817" priority="63">
      <formula>IF(N43+O43&gt;N45+O45,1,0)</formula>
    </cfRule>
  </conditionalFormatting>
  <conditionalFormatting sqref="M50">
    <cfRule type="expression" dxfId="1816" priority="62">
      <formula>IF(N50+O50&gt;N52+O52,1,0)</formula>
    </cfRule>
  </conditionalFormatting>
  <conditionalFormatting sqref="S36">
    <cfRule type="expression" dxfId="1815" priority="61">
      <formula>IF(T36+U36&gt;T38+U38,1,0)</formula>
    </cfRule>
  </conditionalFormatting>
  <conditionalFormatting sqref="S45">
    <cfRule type="expression" dxfId="1814" priority="59">
      <formula>IF(T45+U45&gt;T47+U47,1,0)</formula>
    </cfRule>
  </conditionalFormatting>
  <conditionalFormatting sqref="S47">
    <cfRule type="expression" dxfId="1813" priority="58">
      <formula>IF(T45+U45&lt;T47+U47,1,0)</formula>
    </cfRule>
  </conditionalFormatting>
  <conditionalFormatting sqref="O7:O8">
    <cfRule type="expression" priority="55" stopIfTrue="1">
      <formula>IF(N7="",1)</formula>
    </cfRule>
    <cfRule type="expression" dxfId="1812" priority="57">
      <formula>IF(N7=N9,1,0)</formula>
    </cfRule>
  </conditionalFormatting>
  <conditionalFormatting sqref="O9">
    <cfRule type="expression" priority="54" stopIfTrue="1">
      <formula>IF(N9="",1,0)</formula>
    </cfRule>
    <cfRule type="expression" dxfId="1811" priority="56">
      <formula>IF(N7=N9,1,0)</formula>
    </cfRule>
  </conditionalFormatting>
  <conditionalFormatting sqref="O14:O15">
    <cfRule type="expression" priority="51" stopIfTrue="1">
      <formula>IF(N14="",1)</formula>
    </cfRule>
    <cfRule type="expression" dxfId="1810" priority="53">
      <formula>IF(N14=N16,1,0)</formula>
    </cfRule>
  </conditionalFormatting>
  <conditionalFormatting sqref="O16">
    <cfRule type="expression" priority="50" stopIfTrue="1">
      <formula>IF(N16="",1,0)</formula>
    </cfRule>
    <cfRule type="expression" dxfId="1809" priority="52">
      <formula>IF(N14=N16,1,0)</formula>
    </cfRule>
  </conditionalFormatting>
  <conditionalFormatting sqref="O21:O22">
    <cfRule type="expression" priority="47" stopIfTrue="1">
      <formula>IF(N21="",1)</formula>
    </cfRule>
    <cfRule type="expression" dxfId="1808" priority="49">
      <formula>IF(N21=N23,1,0)</formula>
    </cfRule>
  </conditionalFormatting>
  <conditionalFormatting sqref="O23">
    <cfRule type="expression" priority="46" stopIfTrue="1">
      <formula>IF(N23="",1,0)</formula>
    </cfRule>
    <cfRule type="expression" dxfId="1807" priority="48">
      <formula>IF(N21=N23,1,0)</formula>
    </cfRule>
  </conditionalFormatting>
  <conditionalFormatting sqref="O28:O29">
    <cfRule type="expression" priority="43" stopIfTrue="1">
      <formula>IF(N28="",1)</formula>
    </cfRule>
    <cfRule type="expression" dxfId="1806" priority="45">
      <formula>IF(N28=N30,1,0)</formula>
    </cfRule>
  </conditionalFormatting>
  <conditionalFormatting sqref="O30">
    <cfRule type="expression" priority="42" stopIfTrue="1">
      <formula>IF(N30="",1,0)</formula>
    </cfRule>
    <cfRule type="expression" dxfId="1805" priority="44">
      <formula>IF(N28=N30,1,0)</formula>
    </cfRule>
  </conditionalFormatting>
  <conditionalFormatting sqref="U7:U8">
    <cfRule type="expression" priority="39" stopIfTrue="1">
      <formula>IF(T7="",1)</formula>
    </cfRule>
    <cfRule type="expression" dxfId="1804" priority="41">
      <formula>IF(T7=T9,1,0)</formula>
    </cfRule>
  </conditionalFormatting>
  <conditionalFormatting sqref="U9">
    <cfRule type="expression" priority="38" stopIfTrue="1">
      <formula>IF(T9="",1,0)</formula>
    </cfRule>
    <cfRule type="expression" dxfId="1803" priority="40">
      <formula>IF(T7=T9,1,0)</formula>
    </cfRule>
  </conditionalFormatting>
  <conditionalFormatting sqref="U14:U15">
    <cfRule type="expression" priority="35" stopIfTrue="1">
      <formula>IF(T14="",1)</formula>
    </cfRule>
    <cfRule type="expression" dxfId="1802" priority="37">
      <formula>IF(T14=T16,1,0)</formula>
    </cfRule>
  </conditionalFormatting>
  <conditionalFormatting sqref="U16">
    <cfRule type="expression" priority="34" stopIfTrue="1">
      <formula>IF(T16="",1,0)</formula>
    </cfRule>
    <cfRule type="expression" dxfId="1801" priority="36">
      <formula>IF(T14=T16,1,0)</formula>
    </cfRule>
  </conditionalFormatting>
  <conditionalFormatting sqref="U21:U22">
    <cfRule type="expression" priority="31" stopIfTrue="1">
      <formula>IF(T21="",1)</formula>
    </cfRule>
    <cfRule type="expression" dxfId="1800" priority="33">
      <formula>IF(T21=T23,1,0)</formula>
    </cfRule>
  </conditionalFormatting>
  <conditionalFormatting sqref="U23">
    <cfRule type="expression" priority="30" stopIfTrue="1">
      <formula>IF(T23="",1,0)</formula>
    </cfRule>
    <cfRule type="expression" dxfId="1799" priority="32">
      <formula>IF(T21=T23,1,0)</formula>
    </cfRule>
  </conditionalFormatting>
  <conditionalFormatting sqref="U28:U29">
    <cfRule type="expression" priority="27" stopIfTrue="1">
      <formula>IF(T28="",1)</formula>
    </cfRule>
    <cfRule type="expression" dxfId="1798" priority="29">
      <formula>IF(T28=T30,1,0)</formula>
    </cfRule>
  </conditionalFormatting>
  <conditionalFormatting sqref="U30">
    <cfRule type="expression" priority="26" stopIfTrue="1">
      <formula>IF(T30="",1,0)</formula>
    </cfRule>
    <cfRule type="expression" dxfId="1797" priority="28">
      <formula>IF(T28=T30,1,0)</formula>
    </cfRule>
  </conditionalFormatting>
  <conditionalFormatting sqref="U45:U46">
    <cfRule type="expression" priority="23" stopIfTrue="1">
      <formula>IF(T45="",1)</formula>
    </cfRule>
    <cfRule type="expression" dxfId="1796" priority="25">
      <formula>IF(T45=T47,1,0)</formula>
    </cfRule>
  </conditionalFormatting>
  <conditionalFormatting sqref="U47">
    <cfRule type="expression" priority="22" stopIfTrue="1">
      <formula>IF(T47="",1,0)</formula>
    </cfRule>
    <cfRule type="expression" dxfId="1795" priority="24">
      <formula>IF(T45=T47,1,0)</formula>
    </cfRule>
  </conditionalFormatting>
  <conditionalFormatting sqref="AA7:AA8">
    <cfRule type="expression" priority="19" stopIfTrue="1">
      <formula>IF(Z7="",1)</formula>
    </cfRule>
    <cfRule type="expression" dxfId="1794" priority="21">
      <formula>IF(Z7=Z9,1,0)</formula>
    </cfRule>
  </conditionalFormatting>
  <conditionalFormatting sqref="AA9">
    <cfRule type="expression" priority="18" stopIfTrue="1">
      <formula>IF(Z9="",1,0)</formula>
    </cfRule>
    <cfRule type="expression" dxfId="1793" priority="20">
      <formula>IF(Z7=Z9,1,0)</formula>
    </cfRule>
  </conditionalFormatting>
  <conditionalFormatting sqref="AA14:AA15">
    <cfRule type="expression" priority="15" stopIfTrue="1">
      <formula>IF(Z14="",1)</formula>
    </cfRule>
    <cfRule type="expression" dxfId="1792" priority="17">
      <formula>IF(Z14=Z16,1,0)</formula>
    </cfRule>
  </conditionalFormatting>
  <conditionalFormatting sqref="AA16">
    <cfRule type="expression" priority="14" stopIfTrue="1">
      <formula>IF(Z16="",1,0)</formula>
    </cfRule>
    <cfRule type="expression" dxfId="1791" priority="16">
      <formula>IF(Z14=Z16,1,0)</formula>
    </cfRule>
  </conditionalFormatting>
  <conditionalFormatting sqref="AA21:AA22">
    <cfRule type="expression" priority="11" stopIfTrue="1">
      <formula>IF(Z21="",1)</formula>
    </cfRule>
    <cfRule type="expression" dxfId="1790" priority="13">
      <formula>IF(Z21=Z23,1,0)</formula>
    </cfRule>
  </conditionalFormatting>
  <conditionalFormatting sqref="AA23">
    <cfRule type="expression" priority="10" stopIfTrue="1">
      <formula>IF(Z23="",1,0)</formula>
    </cfRule>
    <cfRule type="expression" dxfId="1789" priority="12">
      <formula>IF(Z21=Z23,1,0)</formula>
    </cfRule>
  </conditionalFormatting>
  <conditionalFormatting sqref="AA28:AA29">
    <cfRule type="expression" priority="7" stopIfTrue="1">
      <formula>IF(Z28="",1)</formula>
    </cfRule>
    <cfRule type="expression" dxfId="1788" priority="9">
      <formula>IF(Z28=Z30,1,0)</formula>
    </cfRule>
  </conditionalFormatting>
  <conditionalFormatting sqref="AA30">
    <cfRule type="expression" priority="6" stopIfTrue="1">
      <formula>IF(Z30="",1,0)</formula>
    </cfRule>
    <cfRule type="expression" dxfId="1787" priority="8">
      <formula>IF(Z28=Z30,1,0)</formula>
    </cfRule>
  </conditionalFormatting>
  <conditionalFormatting sqref="AA36:AA37">
    <cfRule type="expression" priority="3" stopIfTrue="1">
      <formula>IF(Z36="",1)</formula>
    </cfRule>
    <cfRule type="expression" dxfId="1786" priority="5">
      <formula>IF(Z36=Z38,1,0)</formula>
    </cfRule>
  </conditionalFormatting>
  <conditionalFormatting sqref="AA38">
    <cfRule type="expression" priority="2" stopIfTrue="1">
      <formula>IF(Z38="",1,0)</formula>
    </cfRule>
    <cfRule type="expression" dxfId="1785" priority="4">
      <formula>IF(Z36=Z38,1,0)</formula>
    </cfRule>
  </conditionalFormatting>
  <conditionalFormatting sqref="Y43">
    <cfRule type="expression" dxfId="1784" priority="1">
      <formula>IF(Z43+AA43&gt;Z45+AA45,1,0)</formula>
    </cfRule>
  </conditionalFormatting>
  <pageMargins left="0.23622047244094491" right="0.23622047244094491" top="0.74803149606299213" bottom="0.74803149606299213" header="0.31496062992125984" footer="0.31496062992125984"/>
  <pageSetup paperSize="9" scale="28"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euil65">
    <tabColor rgb="FFFFC000"/>
    <pageSetUpPr fitToPage="1"/>
  </sheetPr>
  <dimension ref="A1:AY148"/>
  <sheetViews>
    <sheetView topLeftCell="K1" zoomScale="60" zoomScaleNormal="60" workbookViewId="0">
      <selection activeCell="K61" sqref="K1:AA61"/>
    </sheetView>
  </sheetViews>
  <sheetFormatPr baseColWidth="10" defaultColWidth="10.85546875" defaultRowHeight="12.75" x14ac:dyDescent="0.2"/>
  <cols>
    <col min="1" max="1" width="3.7109375" style="435" hidden="1" customWidth="1"/>
    <col min="2" max="4" width="16.140625" style="435" hidden="1" customWidth="1"/>
    <col min="5" max="10" width="11.28515625" style="435" hidden="1" customWidth="1"/>
    <col min="11" max="11" width="7.7109375" style="441" bestFit="1" customWidth="1"/>
    <col min="12" max="12" width="6.42578125" style="435" bestFit="1" customWidth="1"/>
    <col min="13" max="13" width="36.5703125" style="435" customWidth="1"/>
    <col min="14" max="14" width="10.85546875" style="442"/>
    <col min="15" max="15" width="4.7109375" style="441" bestFit="1" customWidth="1"/>
    <col min="16" max="16" width="15.7109375" style="441" customWidth="1"/>
    <col min="17" max="17" width="7.7109375" style="441" bestFit="1" customWidth="1"/>
    <col min="18" max="18" width="6.42578125" style="441" bestFit="1" customWidth="1"/>
    <col min="19" max="19" width="36.5703125" style="441" customWidth="1"/>
    <col min="20" max="20" width="10.85546875" style="442"/>
    <col min="21" max="21" width="4.85546875" style="441" bestFit="1" customWidth="1"/>
    <col min="22" max="22" width="15.85546875" style="441" customWidth="1"/>
    <col min="23" max="23" width="7.7109375" style="441" bestFit="1" customWidth="1"/>
    <col min="24" max="24" width="5.28515625" style="435" bestFit="1" customWidth="1"/>
    <col min="25" max="25" width="36.5703125" style="435" customWidth="1"/>
    <col min="26" max="26" width="10.85546875" style="442"/>
    <col min="27" max="27" width="4.85546875" style="441" bestFit="1" customWidth="1"/>
    <col min="28" max="28" width="6.5703125" style="435" customWidth="1"/>
    <col min="29" max="31" width="3.28515625" style="435" customWidth="1"/>
    <col min="32" max="32" width="12" style="435" customWidth="1"/>
    <col min="33" max="33" width="12" style="435" hidden="1" customWidth="1"/>
    <col min="34" max="34" width="36.7109375" style="435" customWidth="1"/>
    <col min="35" max="36" width="36.85546875" style="435" customWidth="1"/>
    <col min="37" max="42" width="10.85546875" style="435"/>
    <col min="43" max="43" width="1.7109375" style="435" bestFit="1" customWidth="1"/>
    <col min="44" max="44" width="10.85546875" style="435"/>
    <col min="45" max="45" width="13.28515625" style="435" customWidth="1"/>
    <col min="46" max="46" width="14.7109375" style="435" customWidth="1"/>
    <col min="47" max="47" width="1.7109375" style="435" bestFit="1" customWidth="1"/>
    <col min="48" max="50" width="10.85546875" style="435"/>
    <col min="51" max="51" width="1.7109375" style="435" bestFit="1" customWidth="1"/>
    <col min="52" max="16384" width="10.85546875" style="435"/>
  </cols>
  <sheetData>
    <row r="1" spans="1:51" ht="55.5" customHeight="1" x14ac:dyDescent="0.2">
      <c r="B1" s="436"/>
      <c r="C1" s="436"/>
      <c r="D1" s="436"/>
      <c r="F1" s="776"/>
      <c r="G1" s="776"/>
      <c r="H1" s="776"/>
      <c r="I1" s="777"/>
      <c r="J1" s="437"/>
      <c r="K1" s="988" t="str">
        <f>Championnat</f>
        <v>Championnat de France de Tir à l'ARC</v>
      </c>
      <c r="L1" s="988"/>
      <c r="M1" s="988"/>
      <c r="N1" s="988"/>
      <c r="O1" s="988"/>
      <c r="P1" s="988"/>
      <c r="Q1" s="988"/>
      <c r="R1" s="988"/>
      <c r="S1" s="988"/>
      <c r="T1" s="988"/>
      <c r="U1" s="988"/>
      <c r="V1" s="988"/>
      <c r="W1" s="988"/>
      <c r="X1" s="988"/>
      <c r="Y1" s="988"/>
      <c r="Z1" s="988"/>
      <c r="AA1" s="988"/>
      <c r="AB1" s="439"/>
      <c r="AC1" s="439"/>
      <c r="AD1" s="439"/>
      <c r="AE1" s="439"/>
      <c r="AF1" s="988" t="str">
        <f>Championnat</f>
        <v>Championnat de France de Tir à l'ARC</v>
      </c>
      <c r="AG1" s="988"/>
      <c r="AH1" s="988"/>
      <c r="AI1" s="988"/>
      <c r="AJ1" s="988"/>
      <c r="AK1" s="491"/>
      <c r="AL1" s="491"/>
      <c r="AM1" s="491"/>
      <c r="AN1" s="491"/>
      <c r="AO1" s="491"/>
      <c r="AP1" s="491"/>
      <c r="AQ1" s="491"/>
      <c r="AR1" s="491"/>
      <c r="AS1" s="491"/>
      <c r="AT1" s="491"/>
      <c r="AU1" s="491"/>
      <c r="AV1" s="491"/>
      <c r="AW1" s="491"/>
      <c r="AY1" s="491"/>
    </row>
    <row r="2" spans="1:51" ht="61.5" customHeight="1" x14ac:dyDescent="0.2">
      <c r="A2" s="437"/>
      <c r="I2" s="437"/>
      <c r="J2" s="437"/>
      <c r="K2" s="989" t="str">
        <f>CATEG_IMPORTEE</f>
        <v>Collèges Mixtes Etablissement</v>
      </c>
      <c r="L2" s="989"/>
      <c r="M2" s="989"/>
      <c r="N2" s="989"/>
      <c r="O2" s="989"/>
      <c r="P2" s="989"/>
      <c r="Q2" s="989"/>
      <c r="R2" s="989"/>
      <c r="S2" s="989"/>
      <c r="T2" s="989"/>
      <c r="U2" s="989"/>
      <c r="V2" s="989"/>
      <c r="W2" s="989"/>
      <c r="X2" s="989"/>
      <c r="Y2" s="989"/>
      <c r="Z2" s="989"/>
      <c r="AA2" s="438"/>
      <c r="AB2" s="439"/>
      <c r="AC2" s="439"/>
      <c r="AD2" s="439"/>
      <c r="AE2" s="439"/>
      <c r="AF2" s="990" t="str">
        <f>CATEG_IMPORTEE</f>
        <v>Collèges Mixtes Etablissement</v>
      </c>
      <c r="AG2" s="990"/>
      <c r="AH2" s="990"/>
      <c r="AI2" s="990"/>
      <c r="AJ2" s="990"/>
      <c r="AK2" s="492"/>
      <c r="AL2" s="492"/>
      <c r="AM2" s="492"/>
      <c r="AN2" s="492"/>
      <c r="AO2" s="492"/>
      <c r="AP2" s="492"/>
      <c r="AQ2" s="492"/>
      <c r="AR2" s="492"/>
      <c r="AS2" s="492"/>
      <c r="AT2" s="492"/>
      <c r="AU2" s="492"/>
      <c r="AV2" s="492"/>
      <c r="AW2" s="492"/>
      <c r="AY2" s="492"/>
    </row>
    <row r="3" spans="1:51" ht="42" customHeight="1" x14ac:dyDescent="0.2">
      <c r="B3" s="440" t="s">
        <v>774</v>
      </c>
      <c r="I3" s="437"/>
      <c r="J3" s="437"/>
      <c r="N3" s="991" t="str">
        <f>LIEU&amp;" du "&amp;DATE</f>
        <v>L’Isle sur la Sorgue du 27 au 31 mars 2023</v>
      </c>
      <c r="O3" s="991"/>
      <c r="P3" s="991"/>
      <c r="Q3" s="991"/>
      <c r="R3" s="991"/>
      <c r="S3" s="991"/>
      <c r="T3" s="991"/>
      <c r="U3" s="991"/>
      <c r="V3" s="991"/>
      <c r="W3" s="991"/>
      <c r="X3" s="991"/>
      <c r="AF3" s="991" t="str">
        <f>LIEU&amp;" du "&amp;DATE</f>
        <v>L’Isle sur la Sorgue du 27 au 31 mars 2023</v>
      </c>
      <c r="AG3" s="991"/>
      <c r="AH3" s="991"/>
      <c r="AI3" s="991"/>
      <c r="AJ3" s="991"/>
      <c r="AK3" s="493"/>
      <c r="AL3" s="493"/>
      <c r="AM3" s="493"/>
      <c r="AN3" s="493"/>
      <c r="AO3" s="493"/>
      <c r="AP3" s="493"/>
      <c r="AQ3" s="493"/>
      <c r="AR3" s="493"/>
      <c r="AS3" s="493"/>
      <c r="AT3" s="493"/>
      <c r="AU3" s="493"/>
      <c r="AW3" s="442"/>
      <c r="AY3" s="493"/>
    </row>
    <row r="4" spans="1:51" ht="21" customHeight="1" x14ac:dyDescent="0.2">
      <c r="B4" s="440" t="s">
        <v>775</v>
      </c>
      <c r="C4" s="462" t="s">
        <v>375</v>
      </c>
      <c r="D4" s="462" t="s">
        <v>374</v>
      </c>
      <c r="E4" s="440" t="s">
        <v>776</v>
      </c>
      <c r="F4" s="487" t="s">
        <v>838</v>
      </c>
      <c r="G4" s="488" t="s">
        <v>837</v>
      </c>
      <c r="H4" s="898"/>
      <c r="I4" s="437"/>
      <c r="J4" s="437"/>
      <c r="K4" s="979" t="s">
        <v>815</v>
      </c>
      <c r="L4" s="979"/>
      <c r="M4" s="979"/>
      <c r="N4" s="979"/>
      <c r="O4" s="443"/>
      <c r="P4" s="443"/>
      <c r="Q4" s="979" t="s">
        <v>816</v>
      </c>
      <c r="R4" s="979"/>
      <c r="S4" s="979"/>
      <c r="T4" s="979"/>
      <c r="U4" s="443"/>
      <c r="V4" s="443"/>
      <c r="W4" s="979" t="s">
        <v>817</v>
      </c>
      <c r="X4" s="979"/>
      <c r="Y4" s="979"/>
      <c r="Z4" s="979"/>
      <c r="AA4" s="443"/>
      <c r="AH4" s="980" t="s">
        <v>778</v>
      </c>
      <c r="AI4" s="980"/>
      <c r="AJ4" s="980"/>
      <c r="AN4" s="497" t="s">
        <v>848</v>
      </c>
    </row>
    <row r="5" spans="1:51" ht="15.95" customHeight="1" thickBot="1" x14ac:dyDescent="0.25">
      <c r="A5" s="435">
        <v>1</v>
      </c>
      <c r="B5" s="444" t="str">
        <f t="shared" ref="B5:B16" ca="1" si="0">INDIRECT("'Imp. Qualif.'!L"&amp;INDIRECT("f"&amp;ROW()))</f>
        <v/>
      </c>
      <c r="C5" s="444" t="str">
        <f t="shared" ref="C5:C16" ca="1" si="1">INDIRECT("'Imp. Qualif.'!M"&amp;INDIRECT("f"&amp;ROW()))</f>
        <v/>
      </c>
      <c r="D5" s="444" t="str">
        <f t="shared" ref="D5:D16" ca="1" si="2">INDIRECT("'Imp. Qualif.'!N"&amp;INDIRECT("f"&amp;ROW()))</f>
        <v/>
      </c>
      <c r="E5" s="486">
        <f t="shared" ref="E5:E16" ca="1" si="3">INDIRECT("'Imp. Qualif.'!O"&amp;INDIRECT("f"&amp;ROW()))</f>
        <v>0</v>
      </c>
      <c r="F5" s="489">
        <v>11</v>
      </c>
      <c r="G5" s="488" t="str">
        <f ca="1">B5&amp;C5</f>
        <v/>
      </c>
      <c r="H5" s="898" t="str">
        <f ca="1">IF(B5&lt;&gt;"",B5,"")</f>
        <v/>
      </c>
      <c r="I5" s="898" t="str">
        <f t="shared" ref="I5:J20" ca="1" si="4">IF(C5&lt;&gt;"",C5,"")</f>
        <v/>
      </c>
      <c r="J5" s="898" t="str">
        <f t="shared" ca="1" si="4"/>
        <v/>
      </c>
      <c r="L5" s="979" t="s">
        <v>836</v>
      </c>
      <c r="M5" s="1247"/>
      <c r="N5" s="1247"/>
      <c r="O5" s="443"/>
      <c r="P5" s="443"/>
      <c r="R5" s="979" t="s">
        <v>818</v>
      </c>
      <c r="S5" s="1247"/>
      <c r="T5" s="1247"/>
      <c r="U5" s="443"/>
      <c r="V5" s="443"/>
      <c r="W5" s="445"/>
      <c r="X5" s="979" t="s">
        <v>777</v>
      </c>
      <c r="Y5" s="1247"/>
      <c r="Z5" s="1247"/>
      <c r="AA5" s="443"/>
      <c r="AH5" s="981"/>
      <c r="AI5" s="981"/>
      <c r="AJ5" s="981"/>
      <c r="AN5" s="494" t="s">
        <v>839</v>
      </c>
      <c r="AO5" s="494" t="s">
        <v>840</v>
      </c>
      <c r="AP5" s="494" t="s">
        <v>841</v>
      </c>
      <c r="AQ5" s="496" t="s">
        <v>793</v>
      </c>
      <c r="AR5" s="494" t="s">
        <v>842</v>
      </c>
      <c r="AS5" s="494" t="s">
        <v>843</v>
      </c>
      <c r="AT5" s="494" t="s">
        <v>844</v>
      </c>
      <c r="AU5" s="496" t="s">
        <v>793</v>
      </c>
      <c r="AV5" s="494" t="s">
        <v>845</v>
      </c>
      <c r="AW5" s="494" t="s">
        <v>846</v>
      </c>
      <c r="AX5" s="494" t="s">
        <v>847</v>
      </c>
      <c r="AY5" s="496" t="s">
        <v>793</v>
      </c>
    </row>
    <row r="6" spans="1:51" ht="15.95" customHeight="1" thickBot="1" x14ac:dyDescent="0.25">
      <c r="A6" s="435">
        <v>2</v>
      </c>
      <c r="B6" s="444" t="str">
        <f t="shared" ca="1" si="0"/>
        <v/>
      </c>
      <c r="C6" s="444" t="str">
        <f t="shared" ca="1" si="1"/>
        <v/>
      </c>
      <c r="D6" s="444" t="str">
        <f t="shared" ca="1" si="2"/>
        <v/>
      </c>
      <c r="E6" s="486">
        <f t="shared" ca="1" si="3"/>
        <v>0</v>
      </c>
      <c r="F6" s="489">
        <v>12</v>
      </c>
      <c r="G6" s="488" t="str">
        <f t="shared" ref="G6:G28" ca="1" si="5">B6&amp;C6</f>
        <v/>
      </c>
      <c r="H6" s="898" t="str">
        <f t="shared" ref="H6:J28" ca="1" si="6">IF(B6&lt;&gt;"",B6,"")</f>
        <v/>
      </c>
      <c r="I6" s="898" t="str">
        <f t="shared" ca="1" si="4"/>
        <v/>
      </c>
      <c r="J6" s="898" t="str">
        <f t="shared" ca="1" si="4"/>
        <v/>
      </c>
      <c r="K6" s="445" t="s">
        <v>779</v>
      </c>
      <c r="L6" s="463" t="s">
        <v>1083</v>
      </c>
      <c r="M6" s="456" t="s">
        <v>481</v>
      </c>
      <c r="N6" s="464" t="s">
        <v>780</v>
      </c>
      <c r="O6" s="446" t="s">
        <v>781</v>
      </c>
      <c r="P6" s="445"/>
      <c r="Q6" s="445" t="s">
        <v>779</v>
      </c>
      <c r="R6" s="463" t="s">
        <v>1083</v>
      </c>
      <c r="S6" s="456" t="s">
        <v>481</v>
      </c>
      <c r="T6" s="464" t="s">
        <v>780</v>
      </c>
      <c r="U6" s="446" t="s">
        <v>781</v>
      </c>
      <c r="V6" s="445"/>
      <c r="W6" s="445" t="s">
        <v>779</v>
      </c>
      <c r="X6" s="463" t="s">
        <v>1083</v>
      </c>
      <c r="Y6" s="456" t="s">
        <v>481</v>
      </c>
      <c r="Z6" s="464" t="s">
        <v>780</v>
      </c>
      <c r="AA6" s="446" t="s">
        <v>781</v>
      </c>
      <c r="AH6" s="483" t="s">
        <v>782</v>
      </c>
      <c r="AI6" s="484" t="s">
        <v>375</v>
      </c>
      <c r="AJ6" s="485" t="s">
        <v>783</v>
      </c>
      <c r="AN6" s="494">
        <f>K7</f>
        <v>1</v>
      </c>
      <c r="AO6" s="495" t="str">
        <f ca="1">L8</f>
        <v/>
      </c>
      <c r="AP6" s="495" t="str">
        <f ca="1">AO7</f>
        <v/>
      </c>
      <c r="AQ6" s="496" t="s">
        <v>793</v>
      </c>
      <c r="AR6" s="494">
        <f>Q7</f>
        <v>1</v>
      </c>
      <c r="AS6" s="495" t="str">
        <f ca="1">R8</f>
        <v/>
      </c>
      <c r="AT6" s="495" t="str">
        <f ca="1">AS7</f>
        <v/>
      </c>
      <c r="AU6" s="496" t="s">
        <v>793</v>
      </c>
      <c r="AV6" s="494">
        <f>W7</f>
        <v>1</v>
      </c>
      <c r="AW6" s="495" t="str">
        <f ca="1">X8</f>
        <v/>
      </c>
      <c r="AX6" s="495" t="str">
        <f ca="1">AW7</f>
        <v/>
      </c>
      <c r="AY6" s="496" t="s">
        <v>793</v>
      </c>
    </row>
    <row r="7" spans="1:51" ht="15.95" customHeight="1" thickBot="1" x14ac:dyDescent="0.25">
      <c r="A7" s="435">
        <v>3</v>
      </c>
      <c r="B7" s="444" t="str">
        <f t="shared" ca="1" si="0"/>
        <v/>
      </c>
      <c r="C7" s="444" t="str">
        <f t="shared" ca="1" si="1"/>
        <v/>
      </c>
      <c r="D7" s="444" t="str">
        <f t="shared" ca="1" si="2"/>
        <v/>
      </c>
      <c r="E7" s="486">
        <f t="shared" ca="1" si="3"/>
        <v>0</v>
      </c>
      <c r="F7" s="489">
        <v>13</v>
      </c>
      <c r="G7" s="488" t="str">
        <f t="shared" ca="1" si="5"/>
        <v/>
      </c>
      <c r="H7" s="898" t="str">
        <f t="shared" ca="1" si="6"/>
        <v/>
      </c>
      <c r="I7" s="898" t="str">
        <f t="shared" ca="1" si="4"/>
        <v/>
      </c>
      <c r="J7" s="898" t="str">
        <f t="shared" ca="1" si="4"/>
        <v/>
      </c>
      <c r="K7" s="447">
        <f>Num_Cible</f>
        <v>1</v>
      </c>
      <c r="L7" s="472">
        <v>1</v>
      </c>
      <c r="M7" s="465" t="str">
        <f ca="1">IFERROR(VLOOKUP(L8,$G$5:$J$28,2,FALSE),"")</f>
        <v/>
      </c>
      <c r="N7" s="966">
        <v>1</v>
      </c>
      <c r="O7" s="780"/>
      <c r="Q7" s="447">
        <f>K7</f>
        <v>1</v>
      </c>
      <c r="R7" s="472">
        <v>1</v>
      </c>
      <c r="S7" s="465" t="str">
        <f ca="1">IFERROR(VLOOKUP(R8,$G$5:$J$28,2,FALSE),"")</f>
        <v/>
      </c>
      <c r="T7" s="966">
        <v>1</v>
      </c>
      <c r="U7" s="780"/>
      <c r="W7" s="447">
        <f>Q7</f>
        <v>1</v>
      </c>
      <c r="X7" s="472">
        <v>1</v>
      </c>
      <c r="Y7" s="465" t="str">
        <f ca="1">IFERROR(VLOOKUP(X8,$G$5:$J$28,2,FALSE),"")</f>
        <v/>
      </c>
      <c r="Z7" s="966">
        <v>1</v>
      </c>
      <c r="AA7" s="780"/>
      <c r="AF7" s="448" t="s">
        <v>784</v>
      </c>
      <c r="AG7" s="435" t="str">
        <f ca="1">IF(ISBLANK(Z7),"",IF(Z7+AA7&gt;Z9+AA9,X8,X10))</f>
        <v/>
      </c>
      <c r="AH7" s="475" t="str">
        <f ca="1">IFERROR(VLOOKUP(AG7,$G$5:$J$28,2,FALSE),"")</f>
        <v/>
      </c>
      <c r="AI7" s="475" t="str">
        <f ca="1">IFERROR(VLOOKUP(AG7,$G$5:$J$28,3,FALSE),"")</f>
        <v/>
      </c>
      <c r="AJ7" s="475" t="str">
        <f ca="1">IFERROR(VLOOKUP(AG7,$G$5:$J$28,4,FALSE),"")</f>
        <v/>
      </c>
      <c r="AN7" s="494">
        <f>K9</f>
        <v>2</v>
      </c>
      <c r="AO7" s="495" t="str">
        <f ca="1">L10</f>
        <v/>
      </c>
      <c r="AP7" s="495" t="str">
        <f ca="1">AO6</f>
        <v/>
      </c>
      <c r="AQ7" s="496" t="s">
        <v>793</v>
      </c>
      <c r="AR7" s="494">
        <f>Q9</f>
        <v>2</v>
      </c>
      <c r="AS7" s="495" t="str">
        <f ca="1">R10</f>
        <v/>
      </c>
      <c r="AT7" s="495" t="str">
        <f ca="1">AS6</f>
        <v/>
      </c>
      <c r="AU7" s="496" t="s">
        <v>793</v>
      </c>
      <c r="AV7" s="494">
        <f>W9</f>
        <v>2</v>
      </c>
      <c r="AW7" s="495" t="str">
        <f ca="1">X10</f>
        <v/>
      </c>
      <c r="AX7" s="495" t="str">
        <f ca="1">AW6</f>
        <v/>
      </c>
      <c r="AY7" s="496" t="s">
        <v>793</v>
      </c>
    </row>
    <row r="8" spans="1:51" ht="15.95" customHeight="1" thickBot="1" x14ac:dyDescent="0.25">
      <c r="A8" s="435">
        <v>4</v>
      </c>
      <c r="B8" s="444" t="str">
        <f t="shared" ca="1" si="0"/>
        <v/>
      </c>
      <c r="C8" s="444" t="str">
        <f t="shared" ca="1" si="1"/>
        <v/>
      </c>
      <c r="D8" s="444" t="str">
        <f t="shared" ca="1" si="2"/>
        <v/>
      </c>
      <c r="E8" s="486">
        <f t="shared" ca="1" si="3"/>
        <v>0</v>
      </c>
      <c r="F8" s="489">
        <v>14</v>
      </c>
      <c r="G8" s="488" t="str">
        <f t="shared" ca="1" si="5"/>
        <v/>
      </c>
      <c r="H8" s="898" t="str">
        <f t="shared" ca="1" si="6"/>
        <v/>
      </c>
      <c r="I8" s="898" t="str">
        <f t="shared" ca="1" si="4"/>
        <v/>
      </c>
      <c r="J8" s="898" t="str">
        <f t="shared" ca="1" si="4"/>
        <v/>
      </c>
      <c r="K8" s="447"/>
      <c r="L8" s="473" t="str">
        <f ca="1">VLOOKUP(L7,$A$5:$G$24,7,FALSE)</f>
        <v/>
      </c>
      <c r="M8" s="466" t="str">
        <f ca="1">IFERROR(VLOOKUP(L8,$G$5:$J$28,3,FALSE),"")</f>
        <v/>
      </c>
      <c r="N8" s="967"/>
      <c r="Q8" s="447"/>
      <c r="R8" s="473" t="str">
        <f ca="1">IF(ISBLANK(N7),"",IF(O7+N7&gt;N9+O9,'13 Equipes'!L8,L10))</f>
        <v/>
      </c>
      <c r="S8" s="466" t="str">
        <f ca="1">IFERROR(VLOOKUP(R8,$G$5:$J$28,3,FALSE),"")</f>
        <v/>
      </c>
      <c r="T8" s="967"/>
      <c r="W8" s="447"/>
      <c r="X8" s="473" t="str">
        <f ca="1">IF(ISBLANK(T7),"",IF(U7+T7&gt;T9+U9,R8,R10))</f>
        <v/>
      </c>
      <c r="Y8" s="466" t="str">
        <f ca="1">IFERROR(VLOOKUP(X8,$G$5:$J$28,3,FALSE),"")</f>
        <v/>
      </c>
      <c r="Z8" s="967"/>
      <c r="AF8" s="449" t="s">
        <v>785</v>
      </c>
      <c r="AG8" s="435" t="str">
        <f ca="1">IF(ISBLANK(Z7),"",IF(Z7+AA7&lt;Z9+AA9,X8,X10))</f>
        <v/>
      </c>
      <c r="AH8" s="478" t="str">
        <f t="shared" ref="AH8:AH18" ca="1" si="7">IFERROR(VLOOKUP(AG8,$G$5:$J$28,2,FALSE),"")</f>
        <v/>
      </c>
      <c r="AI8" s="474" t="str">
        <f t="shared" ref="AI8:AI18" ca="1" si="8">IFERROR(VLOOKUP(AG8,$G$5:$J$28,3,FALSE),"")</f>
        <v/>
      </c>
      <c r="AJ8" s="915" t="str">
        <f t="shared" ref="AJ8:AJ18" ca="1" si="9">IFERROR(VLOOKUP(AG8,$G$5:$J$28,4,FALSE),"")</f>
        <v/>
      </c>
      <c r="AN8" s="494">
        <f>K14</f>
        <v>3</v>
      </c>
      <c r="AO8" s="495" t="str">
        <f ca="1">L15</f>
        <v/>
      </c>
      <c r="AP8" s="495" t="str">
        <f t="shared" ref="AP8" ca="1" si="10">AO9</f>
        <v/>
      </c>
      <c r="AQ8" s="496" t="s">
        <v>793</v>
      </c>
      <c r="AR8" s="494">
        <f>Q14</f>
        <v>3</v>
      </c>
      <c r="AS8" s="495" t="str">
        <f ca="1">R15</f>
        <v/>
      </c>
      <c r="AT8" s="495" t="str">
        <f t="shared" ref="AT8" ca="1" si="11">AS9</f>
        <v/>
      </c>
      <c r="AU8" s="496" t="s">
        <v>793</v>
      </c>
      <c r="AV8" s="494">
        <f>W14</f>
        <v>3</v>
      </c>
      <c r="AW8" s="495" t="str">
        <f ca="1">X15</f>
        <v/>
      </c>
      <c r="AX8" s="495" t="str">
        <f t="shared" ref="AX8" ca="1" si="12">AW9</f>
        <v/>
      </c>
      <c r="AY8" s="496" t="s">
        <v>793</v>
      </c>
    </row>
    <row r="9" spans="1:51" ht="15.95" customHeight="1" thickBot="1" x14ac:dyDescent="0.25">
      <c r="A9" s="435">
        <v>5</v>
      </c>
      <c r="B9" s="444" t="str">
        <f t="shared" ca="1" si="0"/>
        <v/>
      </c>
      <c r="C9" s="444" t="str">
        <f t="shared" ca="1" si="1"/>
        <v/>
      </c>
      <c r="D9" s="444" t="str">
        <f t="shared" ca="1" si="2"/>
        <v/>
      </c>
      <c r="E9" s="486">
        <f t="shared" ca="1" si="3"/>
        <v>0</v>
      </c>
      <c r="F9" s="489">
        <v>15</v>
      </c>
      <c r="G9" s="488" t="str">
        <f t="shared" ca="1" si="5"/>
        <v/>
      </c>
      <c r="H9" s="898" t="str">
        <f t="shared" ca="1" si="6"/>
        <v/>
      </c>
      <c r="I9" s="898" t="str">
        <f t="shared" ca="1" si="4"/>
        <v/>
      </c>
      <c r="J9" s="898" t="str">
        <f t="shared" ca="1" si="4"/>
        <v/>
      </c>
      <c r="K9" s="447">
        <f>K7+1</f>
        <v>2</v>
      </c>
      <c r="L9" s="472">
        <v>8</v>
      </c>
      <c r="M9" s="465" t="str">
        <f ca="1">IFERROR(VLOOKUP(L10,$G$5:$J$28,2,FALSE),"")</f>
        <v/>
      </c>
      <c r="N9" s="966">
        <v>0</v>
      </c>
      <c r="O9" s="780"/>
      <c r="Q9" s="447">
        <f>Q7+1</f>
        <v>2</v>
      </c>
      <c r="R9" s="472">
        <v>4</v>
      </c>
      <c r="S9" s="465" t="str">
        <f ca="1">IFERROR(VLOOKUP(R10,$G$5:$J$28,2,FALSE),"")</f>
        <v/>
      </c>
      <c r="T9" s="966">
        <v>0</v>
      </c>
      <c r="U9" s="780"/>
      <c r="W9" s="447">
        <f>W7+1</f>
        <v>2</v>
      </c>
      <c r="X9" s="472">
        <v>2</v>
      </c>
      <c r="Y9" s="465" t="str">
        <f ca="1">IFERROR(VLOOKUP(X10,$G$5:$J$28,2,FALSE),"")</f>
        <v/>
      </c>
      <c r="Z9" s="966">
        <v>0</v>
      </c>
      <c r="AA9" s="780"/>
      <c r="AF9" s="452" t="s">
        <v>786</v>
      </c>
      <c r="AG9" s="435" t="str">
        <f ca="1">IF(ISBLANK(Z14),"",IF(Z14+AA14&gt;Z16+AA16,X15,X17))</f>
        <v/>
      </c>
      <c r="AH9" s="478" t="str">
        <f t="shared" ca="1" si="7"/>
        <v/>
      </c>
      <c r="AI9" s="474" t="str">
        <f t="shared" ca="1" si="8"/>
        <v/>
      </c>
      <c r="AJ9" s="915" t="str">
        <f t="shared" ca="1" si="9"/>
        <v/>
      </c>
      <c r="AN9" s="494">
        <f>K16</f>
        <v>4</v>
      </c>
      <c r="AO9" s="495" t="str">
        <f ca="1">L17</f>
        <v/>
      </c>
      <c r="AP9" s="495" t="str">
        <f t="shared" ref="AP9" ca="1" si="13">AO8</f>
        <v/>
      </c>
      <c r="AQ9" s="496" t="s">
        <v>793</v>
      </c>
      <c r="AR9" s="494">
        <f>Q16</f>
        <v>4</v>
      </c>
      <c r="AS9" s="495" t="str">
        <f ca="1">R17</f>
        <v/>
      </c>
      <c r="AT9" s="495" t="str">
        <f t="shared" ref="AT9" ca="1" si="14">AS8</f>
        <v/>
      </c>
      <c r="AU9" s="496" t="s">
        <v>793</v>
      </c>
      <c r="AV9" s="494">
        <f>W16</f>
        <v>4</v>
      </c>
      <c r="AW9" s="495" t="str">
        <f ca="1">X17</f>
        <v/>
      </c>
      <c r="AX9" s="495" t="str">
        <f t="shared" ref="AX9" ca="1" si="15">AW8</f>
        <v/>
      </c>
      <c r="AY9" s="496" t="s">
        <v>793</v>
      </c>
    </row>
    <row r="10" spans="1:51" ht="15.95" customHeight="1" thickBot="1" x14ac:dyDescent="0.25">
      <c r="A10" s="435">
        <v>6</v>
      </c>
      <c r="B10" s="444" t="str">
        <f t="shared" ca="1" si="0"/>
        <v/>
      </c>
      <c r="C10" s="444" t="str">
        <f t="shared" ca="1" si="1"/>
        <v/>
      </c>
      <c r="D10" s="444" t="str">
        <f t="shared" ca="1" si="2"/>
        <v/>
      </c>
      <c r="E10" s="486">
        <f t="shared" ca="1" si="3"/>
        <v>0</v>
      </c>
      <c r="F10" s="489">
        <v>16</v>
      </c>
      <c r="G10" s="488" t="str">
        <f t="shared" ca="1" si="5"/>
        <v/>
      </c>
      <c r="H10" s="898" t="str">
        <f t="shared" ca="1" si="6"/>
        <v/>
      </c>
      <c r="I10" s="898" t="str">
        <f t="shared" ca="1" si="4"/>
        <v/>
      </c>
      <c r="J10" s="898" t="str">
        <f t="shared" ca="1" si="4"/>
        <v/>
      </c>
      <c r="K10" s="447"/>
      <c r="L10" s="473" t="str">
        <f ca="1">VLOOKUP(L9,$A$5:$G$24,7,FALSE)</f>
        <v/>
      </c>
      <c r="M10" s="466" t="str">
        <f ca="1">IFERROR(VLOOKUP(L10,$G$5:$J$28,3,FALSE),"")</f>
        <v/>
      </c>
      <c r="N10" s="967"/>
      <c r="Q10" s="447"/>
      <c r="R10" s="473" t="str">
        <f ca="1">IF(ISBLANK(N14),"",IF(O14+N14&gt;N16+O16,L15,L17))</f>
        <v/>
      </c>
      <c r="S10" s="466" t="str">
        <f ca="1">IFERROR(VLOOKUP(R10,$G$5:$J$28,3,FALSE),"")</f>
        <v/>
      </c>
      <c r="T10" s="967"/>
      <c r="W10" s="447"/>
      <c r="X10" s="473" t="str">
        <f ca="1">IF(ISBLANK(T14),"",IF(U14+T14&gt;T16+U16,R15,R17))</f>
        <v/>
      </c>
      <c r="Y10" s="466" t="str">
        <f ca="1">IFERROR(VLOOKUP(X10,$G$5:$J$28,3,FALSE),"")</f>
        <v/>
      </c>
      <c r="Z10" s="967"/>
      <c r="AF10" s="453" t="s">
        <v>788</v>
      </c>
      <c r="AG10" s="435" t="str">
        <f ca="1">IF(ISBLANK(Z14),"",IF(Z14+AA14&lt;Z16+AA16,X15,X17))</f>
        <v/>
      </c>
      <c r="AH10" s="478" t="str">
        <f t="shared" ca="1" si="7"/>
        <v/>
      </c>
      <c r="AI10" s="474" t="str">
        <f t="shared" ca="1" si="8"/>
        <v/>
      </c>
      <c r="AJ10" s="915" t="str">
        <f t="shared" ca="1" si="9"/>
        <v/>
      </c>
      <c r="AN10" s="494">
        <f>K21</f>
        <v>5</v>
      </c>
      <c r="AO10" s="495" t="str">
        <f ca="1">L22</f>
        <v/>
      </c>
      <c r="AP10" s="495" t="str">
        <f t="shared" ref="AP10" ca="1" si="16">AO11</f>
        <v/>
      </c>
      <c r="AQ10" s="496" t="s">
        <v>793</v>
      </c>
      <c r="AR10" s="494">
        <f>Q21</f>
        <v>5</v>
      </c>
      <c r="AS10" s="495" t="str">
        <f ca="1">R22</f>
        <v/>
      </c>
      <c r="AT10" s="495" t="str">
        <f t="shared" ref="AT10" ca="1" si="17">AS11</f>
        <v/>
      </c>
      <c r="AU10" s="496" t="s">
        <v>793</v>
      </c>
      <c r="AV10" s="494">
        <f>W21</f>
        <v>5</v>
      </c>
      <c r="AW10" s="495" t="str">
        <f ca="1">X22</f>
        <v/>
      </c>
      <c r="AX10" s="495" t="str">
        <f t="shared" ref="AX10" ca="1" si="18">AW11</f>
        <v/>
      </c>
      <c r="AY10" s="496" t="s">
        <v>793</v>
      </c>
    </row>
    <row r="11" spans="1:51" ht="15.95" customHeight="1" x14ac:dyDescent="0.2">
      <c r="A11" s="435">
        <v>7</v>
      </c>
      <c r="B11" s="444" t="str">
        <f t="shared" ca="1" si="0"/>
        <v/>
      </c>
      <c r="C11" s="444" t="str">
        <f t="shared" ca="1" si="1"/>
        <v/>
      </c>
      <c r="D11" s="444" t="str">
        <f t="shared" ca="1" si="2"/>
        <v/>
      </c>
      <c r="E11" s="486">
        <f t="shared" ca="1" si="3"/>
        <v>0</v>
      </c>
      <c r="F11" s="489">
        <v>17</v>
      </c>
      <c r="G11" s="488" t="str">
        <f t="shared" ca="1" si="5"/>
        <v/>
      </c>
      <c r="H11" s="898" t="str">
        <f t="shared" ca="1" si="6"/>
        <v/>
      </c>
      <c r="I11" s="898" t="str">
        <f t="shared" ca="1" si="4"/>
        <v/>
      </c>
      <c r="J11" s="898" t="str">
        <f t="shared" ca="1" si="4"/>
        <v/>
      </c>
      <c r="K11" s="450"/>
      <c r="L11" s="450"/>
      <c r="M11" s="450"/>
      <c r="N11" s="451"/>
      <c r="O11" s="450"/>
      <c r="P11" s="450"/>
      <c r="Q11" s="450"/>
      <c r="R11" s="437"/>
      <c r="S11" s="437"/>
      <c r="T11" s="451"/>
      <c r="U11" s="450"/>
      <c r="V11" s="450"/>
      <c r="W11" s="450"/>
      <c r="X11" s="450"/>
      <c r="Y11" s="450"/>
      <c r="Z11" s="451"/>
      <c r="AA11" s="450"/>
      <c r="AF11" s="453" t="s">
        <v>789</v>
      </c>
      <c r="AG11" s="435" t="str">
        <f ca="1">IF(ISBLANK(Z21),"",IF(Z21+AA21&gt;Z23+AA23,X22,X24))</f>
        <v/>
      </c>
      <c r="AH11" s="478" t="str">
        <f t="shared" ca="1" si="7"/>
        <v/>
      </c>
      <c r="AI11" s="474" t="str">
        <f t="shared" ca="1" si="8"/>
        <v/>
      </c>
      <c r="AJ11" s="915" t="str">
        <f t="shared" ca="1" si="9"/>
        <v/>
      </c>
      <c r="AN11" s="494">
        <f>K23</f>
        <v>6</v>
      </c>
      <c r="AO11" s="495" t="str">
        <f ca="1">L24</f>
        <v/>
      </c>
      <c r="AP11" s="495" t="str">
        <f t="shared" ref="AP11" ca="1" si="19">AO10</f>
        <v/>
      </c>
      <c r="AQ11" s="496" t="s">
        <v>793</v>
      </c>
      <c r="AR11" s="494">
        <f>Q23</f>
        <v>6</v>
      </c>
      <c r="AS11" s="495" t="str">
        <f ca="1">R24</f>
        <v/>
      </c>
      <c r="AT11" s="495" t="str">
        <f t="shared" ref="AT11" ca="1" si="20">AS10</f>
        <v/>
      </c>
      <c r="AU11" s="496" t="s">
        <v>793</v>
      </c>
      <c r="AV11" s="494">
        <f>W23</f>
        <v>6</v>
      </c>
      <c r="AW11" s="495" t="str">
        <f ca="1">X24</f>
        <v/>
      </c>
      <c r="AX11" s="495" t="str">
        <f t="shared" ref="AX11" ca="1" si="21">AW10</f>
        <v/>
      </c>
      <c r="AY11" s="496" t="s">
        <v>793</v>
      </c>
    </row>
    <row r="12" spans="1:51" ht="15.95" customHeight="1" thickBot="1" x14ac:dyDescent="0.25">
      <c r="A12" s="435">
        <v>8</v>
      </c>
      <c r="B12" s="444" t="str">
        <f t="shared" ca="1" si="0"/>
        <v/>
      </c>
      <c r="C12" s="444" t="str">
        <f t="shared" ca="1" si="1"/>
        <v/>
      </c>
      <c r="D12" s="444" t="str">
        <f t="shared" ca="1" si="2"/>
        <v/>
      </c>
      <c r="E12" s="486">
        <f t="shared" ca="1" si="3"/>
        <v>0</v>
      </c>
      <c r="F12" s="489">
        <v>18</v>
      </c>
      <c r="G12" s="488" t="str">
        <f t="shared" ca="1" si="5"/>
        <v/>
      </c>
      <c r="H12" s="898" t="str">
        <f t="shared" ca="1" si="6"/>
        <v/>
      </c>
      <c r="I12" s="898" t="str">
        <f t="shared" ca="1" si="4"/>
        <v/>
      </c>
      <c r="J12" s="898" t="str">
        <f t="shared" ca="1" si="4"/>
        <v/>
      </c>
      <c r="K12" s="450"/>
      <c r="L12" s="450"/>
      <c r="M12" s="450"/>
      <c r="N12" s="451"/>
      <c r="O12" s="450"/>
      <c r="P12" s="450"/>
      <c r="Q12" s="450"/>
      <c r="R12" s="437"/>
      <c r="S12" s="437"/>
      <c r="T12" s="451"/>
      <c r="U12" s="450"/>
      <c r="V12" s="450"/>
      <c r="W12" s="450"/>
      <c r="X12" s="979" t="s">
        <v>787</v>
      </c>
      <c r="Y12" s="1247"/>
      <c r="Z12" s="1247"/>
      <c r="AA12" s="450"/>
      <c r="AF12" s="453" t="s">
        <v>790</v>
      </c>
      <c r="AG12" s="435" t="str">
        <f ca="1">IF(ISBLANK(Z21),"",IF(Z21+AA21&lt;Z23+AA23,X22,X24))</f>
        <v/>
      </c>
      <c r="AH12" s="478" t="str">
        <f t="shared" ca="1" si="7"/>
        <v/>
      </c>
      <c r="AI12" s="474" t="str">
        <f t="shared" ca="1" si="8"/>
        <v/>
      </c>
      <c r="AJ12" s="915" t="str">
        <f t="shared" ca="1" si="9"/>
        <v/>
      </c>
      <c r="AN12" s="494">
        <f>K28</f>
        <v>7</v>
      </c>
      <c r="AO12" s="495" t="str">
        <f ca="1">L29</f>
        <v/>
      </c>
      <c r="AP12" s="495" t="str">
        <f t="shared" ref="AP12" ca="1" si="22">AO13</f>
        <v/>
      </c>
      <c r="AQ12" s="496" t="s">
        <v>793</v>
      </c>
      <c r="AR12" s="494">
        <f>Q28</f>
        <v>7</v>
      </c>
      <c r="AS12" s="495" t="str">
        <f ca="1">R29</f>
        <v/>
      </c>
      <c r="AT12" s="495" t="str">
        <f t="shared" ref="AT12" ca="1" si="23">AS13</f>
        <v/>
      </c>
      <c r="AU12" s="496" t="s">
        <v>793</v>
      </c>
      <c r="AV12" s="494">
        <f>W28</f>
        <v>7</v>
      </c>
      <c r="AW12" s="495" t="str">
        <f ca="1">X29</f>
        <v/>
      </c>
      <c r="AX12" s="495" t="str">
        <f t="shared" ref="AX12" ca="1" si="24">AW13</f>
        <v/>
      </c>
      <c r="AY12" s="496" t="s">
        <v>793</v>
      </c>
    </row>
    <row r="13" spans="1:51" ht="15.95" customHeight="1" thickBot="1" x14ac:dyDescent="0.25">
      <c r="A13" s="435">
        <v>9</v>
      </c>
      <c r="B13" s="444" t="str">
        <f t="shared" ca="1" si="0"/>
        <v/>
      </c>
      <c r="C13" s="444" t="str">
        <f t="shared" ca="1" si="1"/>
        <v/>
      </c>
      <c r="D13" s="444" t="str">
        <f t="shared" ca="1" si="2"/>
        <v/>
      </c>
      <c r="E13" s="486">
        <f t="shared" ca="1" si="3"/>
        <v>0</v>
      </c>
      <c r="F13" s="489">
        <v>19</v>
      </c>
      <c r="G13" s="488" t="str">
        <f t="shared" ca="1" si="5"/>
        <v/>
      </c>
      <c r="H13" s="898" t="str">
        <f t="shared" ca="1" si="6"/>
        <v/>
      </c>
      <c r="I13" s="898" t="str">
        <f t="shared" ca="1" si="4"/>
        <v/>
      </c>
      <c r="J13" s="898" t="str">
        <f t="shared" ca="1" si="4"/>
        <v/>
      </c>
      <c r="K13" s="445" t="s">
        <v>779</v>
      </c>
      <c r="L13" s="463" t="s">
        <v>1083</v>
      </c>
      <c r="M13" s="456" t="s">
        <v>481</v>
      </c>
      <c r="N13" s="464" t="s">
        <v>780</v>
      </c>
      <c r="O13" s="446" t="s">
        <v>781</v>
      </c>
      <c r="P13" s="445"/>
      <c r="Q13" s="445" t="s">
        <v>779</v>
      </c>
      <c r="R13" s="463" t="s">
        <v>1083</v>
      </c>
      <c r="S13" s="456" t="s">
        <v>481</v>
      </c>
      <c r="T13" s="464" t="s">
        <v>780</v>
      </c>
      <c r="U13" s="446" t="s">
        <v>781</v>
      </c>
      <c r="V13" s="445"/>
      <c r="W13" s="445" t="s">
        <v>779</v>
      </c>
      <c r="X13" s="463" t="s">
        <v>1083</v>
      </c>
      <c r="Y13" s="456" t="s">
        <v>481</v>
      </c>
      <c r="Z13" s="464" t="s">
        <v>780</v>
      </c>
      <c r="AA13" s="446" t="s">
        <v>781</v>
      </c>
      <c r="AF13" s="453" t="s">
        <v>791</v>
      </c>
      <c r="AG13" s="435" t="str">
        <f ca="1">IF(ISBLANK(Z28),"",IF(Z28+AA28&gt;Z30+AA30,X29,X31))</f>
        <v/>
      </c>
      <c r="AH13" s="478" t="str">
        <f t="shared" ca="1" si="7"/>
        <v/>
      </c>
      <c r="AI13" s="474" t="str">
        <f t="shared" ca="1" si="8"/>
        <v/>
      </c>
      <c r="AJ13" s="915" t="str">
        <f t="shared" ca="1" si="9"/>
        <v/>
      </c>
      <c r="AN13" s="494">
        <f>K30</f>
        <v>8</v>
      </c>
      <c r="AO13" s="495" t="str">
        <f ca="1">L31</f>
        <v/>
      </c>
      <c r="AP13" s="495" t="str">
        <f t="shared" ref="AP13" ca="1" si="25">AO12</f>
        <v/>
      </c>
      <c r="AQ13" s="496" t="s">
        <v>793</v>
      </c>
      <c r="AR13" s="494">
        <f>Q30</f>
        <v>8</v>
      </c>
      <c r="AS13" s="495" t="str">
        <f ca="1">R31</f>
        <v/>
      </c>
      <c r="AT13" s="495" t="str">
        <f t="shared" ref="AT13" ca="1" si="26">AS12</f>
        <v/>
      </c>
      <c r="AU13" s="496" t="s">
        <v>793</v>
      </c>
      <c r="AV13" s="494">
        <f>W30</f>
        <v>8</v>
      </c>
      <c r="AW13" s="495" t="str">
        <f ca="1">X31</f>
        <v/>
      </c>
      <c r="AX13" s="495" t="str">
        <f t="shared" ref="AX13" ca="1" si="27">AW12</f>
        <v/>
      </c>
      <c r="AY13" s="496" t="s">
        <v>793</v>
      </c>
    </row>
    <row r="14" spans="1:51" ht="15.95" customHeight="1" thickBot="1" x14ac:dyDescent="0.25">
      <c r="A14" s="435">
        <v>10</v>
      </c>
      <c r="B14" s="444" t="str">
        <f t="shared" ca="1" si="0"/>
        <v/>
      </c>
      <c r="C14" s="444" t="str">
        <f t="shared" ca="1" si="1"/>
        <v/>
      </c>
      <c r="D14" s="444" t="str">
        <f t="shared" ca="1" si="2"/>
        <v/>
      </c>
      <c r="E14" s="486">
        <f t="shared" ca="1" si="3"/>
        <v>0</v>
      </c>
      <c r="F14" s="489">
        <v>20</v>
      </c>
      <c r="G14" s="488" t="str">
        <f t="shared" ca="1" si="5"/>
        <v/>
      </c>
      <c r="H14" s="898" t="str">
        <f t="shared" ca="1" si="6"/>
        <v/>
      </c>
      <c r="I14" s="898" t="str">
        <f t="shared" ca="1" si="4"/>
        <v/>
      </c>
      <c r="J14" s="898" t="str">
        <f t="shared" ca="1" si="4"/>
        <v/>
      </c>
      <c r="K14" s="447">
        <f>K9+1</f>
        <v>3</v>
      </c>
      <c r="L14" s="472">
        <v>4</v>
      </c>
      <c r="M14" s="465" t="str">
        <f ca="1">IFERROR(VLOOKUP(L15,$G$5:$J$28,2,FALSE),"")</f>
        <v/>
      </c>
      <c r="N14" s="966">
        <v>1</v>
      </c>
      <c r="O14" s="780"/>
      <c r="Q14" s="447">
        <f>Q9+1</f>
        <v>3</v>
      </c>
      <c r="R14" s="472">
        <v>3</v>
      </c>
      <c r="S14" s="465" t="str">
        <f ca="1">IFERROR(VLOOKUP(R15,$G$5:$J$28,2,FALSE),"")</f>
        <v/>
      </c>
      <c r="T14" s="966">
        <v>0</v>
      </c>
      <c r="U14" s="780"/>
      <c r="W14" s="447">
        <f>W9+1</f>
        <v>3</v>
      </c>
      <c r="X14" s="472">
        <v>4</v>
      </c>
      <c r="Y14" s="465" t="str">
        <f ca="1">IFERROR(VLOOKUP(X15,$G$5:$J$28,2,FALSE),"")</f>
        <v/>
      </c>
      <c r="Z14" s="966">
        <v>1</v>
      </c>
      <c r="AA14" s="780"/>
      <c r="AF14" s="453" t="s">
        <v>792</v>
      </c>
      <c r="AG14" s="435" t="str">
        <f ca="1">IF(ISBLANK(Z28),"",IF(Z28+AA28&lt;Z30+AA30,X29,X31))</f>
        <v/>
      </c>
      <c r="AH14" s="478" t="str">
        <f t="shared" ca="1" si="7"/>
        <v/>
      </c>
      <c r="AI14" s="474" t="str">
        <f t="shared" ca="1" si="8"/>
        <v/>
      </c>
      <c r="AJ14" s="915" t="str">
        <f t="shared" ca="1" si="9"/>
        <v/>
      </c>
      <c r="AN14" s="494">
        <f>K35</f>
        <v>9</v>
      </c>
      <c r="AO14" s="495" t="str">
        <f ca="1">L36</f>
        <v/>
      </c>
      <c r="AP14" s="784" t="s">
        <v>1326</v>
      </c>
      <c r="AQ14" s="496" t="s">
        <v>793</v>
      </c>
      <c r="AR14" s="494">
        <f>Q35</f>
        <v>9</v>
      </c>
      <c r="AS14" s="495" t="str">
        <f ca="1">R36</f>
        <v/>
      </c>
      <c r="AT14" s="495" t="str">
        <f t="shared" ref="AT14" ca="1" si="28">AS15</f>
        <v/>
      </c>
      <c r="AU14" s="496" t="s">
        <v>793</v>
      </c>
      <c r="AV14" s="494">
        <f>W35</f>
        <v>9</v>
      </c>
      <c r="AW14" s="495" t="str">
        <f ca="1">X36</f>
        <v/>
      </c>
      <c r="AX14" s="495" t="str">
        <f t="shared" ref="AX14" ca="1" si="29">AW15</f>
        <v/>
      </c>
      <c r="AY14" s="496" t="s">
        <v>793</v>
      </c>
    </row>
    <row r="15" spans="1:51" ht="15.95" customHeight="1" thickBot="1" x14ac:dyDescent="0.25">
      <c r="A15" s="435">
        <v>11</v>
      </c>
      <c r="B15" s="444" t="str">
        <f t="shared" ca="1" si="0"/>
        <v/>
      </c>
      <c r="C15" s="444" t="str">
        <f t="shared" ca="1" si="1"/>
        <v/>
      </c>
      <c r="D15" s="444" t="str">
        <f t="shared" ca="1" si="2"/>
        <v/>
      </c>
      <c r="E15" s="486">
        <f t="shared" ca="1" si="3"/>
        <v>0</v>
      </c>
      <c r="F15" s="489">
        <v>21</v>
      </c>
      <c r="G15" s="488" t="str">
        <f t="shared" ca="1" si="5"/>
        <v/>
      </c>
      <c r="H15" s="898" t="str">
        <f t="shared" ca="1" si="6"/>
        <v/>
      </c>
      <c r="I15" s="898" t="str">
        <f t="shared" ca="1" si="4"/>
        <v/>
      </c>
      <c r="J15" s="898" t="str">
        <f t="shared" ca="1" si="4"/>
        <v/>
      </c>
      <c r="K15" s="447"/>
      <c r="L15" s="473" t="str">
        <f ca="1">VLOOKUP(L14,$A$5:$G$24,7,FALSE)</f>
        <v/>
      </c>
      <c r="M15" s="466" t="str">
        <f ca="1">IFERROR(VLOOKUP(L15,$G$5:$J$28,3,FALSE),"")</f>
        <v/>
      </c>
      <c r="N15" s="967"/>
      <c r="Q15" s="447"/>
      <c r="R15" s="473" t="str">
        <f ca="1">IF(ISBLANK(N21),"",IF(N21+O21&gt;N23+O23,L22,L24))</f>
        <v/>
      </c>
      <c r="S15" s="466" t="str">
        <f ca="1">IFERROR(VLOOKUP(R15,$G$5:$J$28,3,FALSE),"")</f>
        <v/>
      </c>
      <c r="T15" s="967"/>
      <c r="W15" s="447"/>
      <c r="X15" s="473" t="str">
        <f ca="1">IF(ISBLANK(T7),"",IF(U7+T7&lt;T9+U9,R8,R10))</f>
        <v/>
      </c>
      <c r="Y15" s="466" t="str">
        <f ca="1">IFERROR(VLOOKUP(X15,$G$5:$J$28,3,FALSE),"")</f>
        <v/>
      </c>
      <c r="Z15" s="967"/>
      <c r="AF15" s="453" t="s">
        <v>794</v>
      </c>
      <c r="AG15" s="435" t="str">
        <f ca="1">IF(ISBLANK(Z35),"",IF(Z35+AA35&gt;Z37+AA37,X36,X38))</f>
        <v/>
      </c>
      <c r="AH15" s="478" t="str">
        <f t="shared" ca="1" si="7"/>
        <v/>
      </c>
      <c r="AI15" s="474" t="str">
        <f t="shared" ca="1" si="8"/>
        <v/>
      </c>
      <c r="AJ15" s="915" t="str">
        <f t="shared" ca="1" si="9"/>
        <v/>
      </c>
      <c r="AN15" s="494">
        <f>K42</f>
        <v>10</v>
      </c>
      <c r="AO15" s="495" t="str">
        <f ca="1">L43</f>
        <v/>
      </c>
      <c r="AP15" s="784" t="s">
        <v>1326</v>
      </c>
      <c r="AQ15" s="496" t="s">
        <v>793</v>
      </c>
      <c r="AR15" s="494">
        <f>Q37</f>
        <v>10</v>
      </c>
      <c r="AS15" s="495" t="str">
        <f ca="1">R38</f>
        <v/>
      </c>
      <c r="AT15" s="495" t="str">
        <f t="shared" ref="AT15" ca="1" si="30">AS14</f>
        <v/>
      </c>
      <c r="AU15" s="496" t="s">
        <v>793</v>
      </c>
      <c r="AV15" s="494">
        <f>W37</f>
        <v>10</v>
      </c>
      <c r="AW15" s="495" t="str">
        <f ca="1">X38</f>
        <v/>
      </c>
      <c r="AX15" s="495" t="str">
        <f t="shared" ref="AX15" ca="1" si="31">AW14</f>
        <v/>
      </c>
      <c r="AY15" s="496" t="s">
        <v>793</v>
      </c>
    </row>
    <row r="16" spans="1:51" ht="15.95" customHeight="1" thickBot="1" x14ac:dyDescent="0.25">
      <c r="A16" s="435">
        <v>12</v>
      </c>
      <c r="B16" s="444" t="str">
        <f t="shared" ca="1" si="0"/>
        <v/>
      </c>
      <c r="C16" s="444" t="str">
        <f t="shared" ca="1" si="1"/>
        <v/>
      </c>
      <c r="D16" s="444" t="str">
        <f t="shared" ca="1" si="2"/>
        <v/>
      </c>
      <c r="E16" s="486">
        <f t="shared" ca="1" si="3"/>
        <v>0</v>
      </c>
      <c r="F16" s="489">
        <v>22</v>
      </c>
      <c r="G16" s="488" t="str">
        <f t="shared" ca="1" si="5"/>
        <v/>
      </c>
      <c r="H16" s="898" t="str">
        <f t="shared" ca="1" si="6"/>
        <v/>
      </c>
      <c r="I16" s="898" t="str">
        <f t="shared" ca="1" si="4"/>
        <v/>
      </c>
      <c r="J16" s="898" t="str">
        <f t="shared" ca="1" si="4"/>
        <v/>
      </c>
      <c r="K16" s="447">
        <f>K14+1</f>
        <v>4</v>
      </c>
      <c r="L16" s="472">
        <v>5</v>
      </c>
      <c r="M16" s="465" t="str">
        <f ca="1">IFERROR(VLOOKUP(L17,$G$5:$J$28,2,FALSE),"")</f>
        <v/>
      </c>
      <c r="N16" s="966">
        <v>0</v>
      </c>
      <c r="O16" s="780"/>
      <c r="Q16" s="447">
        <f>Q14+1</f>
        <v>4</v>
      </c>
      <c r="R16" s="472">
        <v>2</v>
      </c>
      <c r="S16" s="465" t="str">
        <f ca="1">IFERROR(VLOOKUP(R17,$G$5:$J$28,2,FALSE),"")</f>
        <v/>
      </c>
      <c r="T16" s="966">
        <v>1</v>
      </c>
      <c r="U16" s="780"/>
      <c r="W16" s="447">
        <f>W14+1</f>
        <v>4</v>
      </c>
      <c r="X16" s="472">
        <v>3</v>
      </c>
      <c r="Y16" s="465" t="str">
        <f ca="1">IFERROR(VLOOKUP(X17,$G$5:$J$28,2,FALSE),"")</f>
        <v/>
      </c>
      <c r="Z16" s="966">
        <v>0</v>
      </c>
      <c r="AA16" s="780"/>
      <c r="AF16" s="453" t="s">
        <v>795</v>
      </c>
      <c r="AG16" s="435" t="str">
        <f ca="1">IF(ISBLANK(Z35),"",IF(Z35+AA35&lt;Z37+AA37,X36,X38))</f>
        <v/>
      </c>
      <c r="AH16" s="478" t="str">
        <f t="shared" ca="1" si="7"/>
        <v/>
      </c>
      <c r="AI16" s="474" t="str">
        <f t="shared" ca="1" si="8"/>
        <v/>
      </c>
      <c r="AJ16" s="915" t="str">
        <f t="shared" ca="1" si="9"/>
        <v/>
      </c>
      <c r="AN16" s="494">
        <f>K49</f>
        <v>11</v>
      </c>
      <c r="AO16" s="495" t="str">
        <f ca="1">L50</f>
        <v/>
      </c>
      <c r="AP16" s="784" t="s">
        <v>1326</v>
      </c>
      <c r="AQ16" s="496" t="s">
        <v>793</v>
      </c>
      <c r="AR16" s="494">
        <f>Q42</f>
        <v>11</v>
      </c>
      <c r="AS16" s="495" t="str">
        <f ca="1">R43</f>
        <v/>
      </c>
      <c r="AT16" s="495" t="str">
        <f t="shared" ref="AT16" ca="1" si="32">AS17</f>
        <v/>
      </c>
      <c r="AU16" s="496" t="s">
        <v>793</v>
      </c>
      <c r="AV16" s="494">
        <f>W42</f>
        <v>11</v>
      </c>
      <c r="AW16" s="495" t="str">
        <f ca="1">X43</f>
        <v/>
      </c>
      <c r="AX16" s="495" t="str">
        <f t="shared" ref="AX16" ca="1" si="33">AW17</f>
        <v/>
      </c>
      <c r="AY16" s="496" t="s">
        <v>793</v>
      </c>
    </row>
    <row r="17" spans="6:51" ht="15.95" customHeight="1" thickBot="1" x14ac:dyDescent="0.25">
      <c r="F17" s="489">
        <v>23</v>
      </c>
      <c r="G17" s="488" t="str">
        <f t="shared" si="5"/>
        <v/>
      </c>
      <c r="H17" s="898" t="str">
        <f t="shared" si="6"/>
        <v/>
      </c>
      <c r="I17" s="898" t="str">
        <f t="shared" si="4"/>
        <v/>
      </c>
      <c r="J17" s="898" t="str">
        <f t="shared" si="4"/>
        <v/>
      </c>
      <c r="K17" s="447"/>
      <c r="L17" s="473" t="str">
        <f ca="1">VLOOKUP(L16,$A$5:$G$24,7,FALSE)</f>
        <v/>
      </c>
      <c r="M17" s="466" t="str">
        <f ca="1">IFERROR(VLOOKUP(L17,$G$5:$J$28,3,FALSE),"")</f>
        <v/>
      </c>
      <c r="N17" s="967"/>
      <c r="Q17" s="447"/>
      <c r="R17" s="473" t="str">
        <f ca="1">IF(ISBLANK(N28),"",IF(N28+O28&gt;N30+O30,L29,L31))</f>
        <v/>
      </c>
      <c r="S17" s="466" t="str">
        <f ca="1">IFERROR(VLOOKUP(R17,$G$5:$J$28,3,FALSE),"")</f>
        <v/>
      </c>
      <c r="T17" s="967"/>
      <c r="W17" s="447"/>
      <c r="X17" s="473" t="str">
        <f ca="1">IF(ISBLANK(T14),"",IF(U14+T14&lt;T16+U16,R15,R17))</f>
        <v/>
      </c>
      <c r="Y17" s="466" t="str">
        <f ca="1">IFERROR(VLOOKUP(X17,$G$5:$J$28,3,FALSE),"")</f>
        <v/>
      </c>
      <c r="Z17" s="967"/>
      <c r="AF17" s="453" t="s">
        <v>796</v>
      </c>
      <c r="AG17" s="435" t="str">
        <f ca="1">IF(ISBLANK(Z42),"",IF(Z42+AA42&gt;Z44+AA44,X43,X45))</f>
        <v/>
      </c>
      <c r="AH17" s="478" t="str">
        <f t="shared" ca="1" si="7"/>
        <v/>
      </c>
      <c r="AI17" s="474" t="str">
        <f t="shared" ca="1" si="8"/>
        <v/>
      </c>
      <c r="AJ17" s="915" t="str">
        <f t="shared" ca="1" si="9"/>
        <v/>
      </c>
      <c r="AN17" s="494">
        <f>K56</f>
        <v>12</v>
      </c>
      <c r="AO17" s="495" t="str">
        <f ca="1">L57</f>
        <v/>
      </c>
      <c r="AP17" s="784" t="s">
        <v>1326</v>
      </c>
      <c r="AQ17" s="496" t="s">
        <v>793</v>
      </c>
      <c r="AR17" s="494">
        <f>Q44</f>
        <v>12</v>
      </c>
      <c r="AS17" s="495" t="str">
        <f ca="1">R45</f>
        <v/>
      </c>
      <c r="AT17" s="495" t="str">
        <f t="shared" ref="AT17" ca="1" si="34">AS16</f>
        <v/>
      </c>
      <c r="AU17" s="496" t="s">
        <v>793</v>
      </c>
      <c r="AV17" s="494">
        <f>W44</f>
        <v>12</v>
      </c>
      <c r="AW17" s="495" t="str">
        <f ca="1">X45</f>
        <v/>
      </c>
      <c r="AX17" s="495" t="str">
        <f t="shared" ref="AX17" ca="1" si="35">AW16</f>
        <v/>
      </c>
      <c r="AY17" s="496" t="s">
        <v>793</v>
      </c>
    </row>
    <row r="18" spans="6:51" ht="15.95" customHeight="1" thickBot="1" x14ac:dyDescent="0.25">
      <c r="F18" s="489">
        <v>24</v>
      </c>
      <c r="G18" s="488" t="str">
        <f t="shared" si="5"/>
        <v/>
      </c>
      <c r="H18" s="898" t="str">
        <f t="shared" si="6"/>
        <v/>
      </c>
      <c r="I18" s="898" t="str">
        <f t="shared" si="4"/>
        <v/>
      </c>
      <c r="J18" s="898" t="str">
        <f t="shared" si="4"/>
        <v/>
      </c>
      <c r="K18" s="450"/>
      <c r="L18" s="450"/>
      <c r="M18" s="450"/>
      <c r="N18" s="451"/>
      <c r="O18" s="450"/>
      <c r="P18" s="450"/>
      <c r="Q18" s="450"/>
      <c r="R18" s="450"/>
      <c r="S18" s="450"/>
      <c r="T18" s="451"/>
      <c r="U18" s="450"/>
      <c r="V18" s="450"/>
      <c r="W18" s="450"/>
      <c r="X18" s="450"/>
      <c r="Y18" s="450"/>
      <c r="Z18" s="451"/>
      <c r="AA18" s="450"/>
      <c r="AF18" s="453" t="s">
        <v>797</v>
      </c>
      <c r="AG18" s="435" t="str">
        <f ca="1">IF(ISBLANK(Z42),"",IF(Z42+AA42&lt;Z44+AA44,X43,X45))</f>
        <v/>
      </c>
      <c r="AH18" s="480" t="str">
        <f t="shared" ca="1" si="7"/>
        <v/>
      </c>
      <c r="AI18" s="481" t="str">
        <f t="shared" ca="1" si="8"/>
        <v/>
      </c>
      <c r="AJ18" s="916" t="str">
        <f t="shared" ca="1" si="9"/>
        <v/>
      </c>
      <c r="AN18" s="494"/>
      <c r="AO18" s="495"/>
      <c r="AP18" s="495"/>
      <c r="AQ18" s="496" t="s">
        <v>793</v>
      </c>
      <c r="AR18" s="494"/>
      <c r="AS18" s="495"/>
      <c r="AT18" s="495"/>
      <c r="AU18" s="496"/>
      <c r="AV18" s="494"/>
      <c r="AW18" s="495"/>
      <c r="AX18" s="495"/>
      <c r="AY18" s="496" t="s">
        <v>793</v>
      </c>
    </row>
    <row r="19" spans="6:51" ht="15.95" customHeight="1" thickBot="1" x14ac:dyDescent="0.25">
      <c r="F19" s="489">
        <v>25</v>
      </c>
      <c r="G19" s="488" t="str">
        <f t="shared" si="5"/>
        <v/>
      </c>
      <c r="H19" s="898" t="str">
        <f t="shared" si="6"/>
        <v/>
      </c>
      <c r="I19" s="898" t="str">
        <f t="shared" si="4"/>
        <v/>
      </c>
      <c r="J19" s="898" t="str">
        <f t="shared" si="4"/>
        <v/>
      </c>
      <c r="K19" s="450"/>
      <c r="L19" s="454"/>
      <c r="M19" s="454"/>
      <c r="N19" s="455"/>
      <c r="O19" s="450"/>
      <c r="P19" s="450"/>
      <c r="Q19" s="450"/>
      <c r="R19" s="979" t="s">
        <v>819</v>
      </c>
      <c r="S19" s="1247"/>
      <c r="T19" s="1247"/>
      <c r="U19" s="450"/>
      <c r="V19" s="450"/>
      <c r="W19" s="450"/>
      <c r="X19" s="979" t="s">
        <v>820</v>
      </c>
      <c r="Y19" s="1247"/>
      <c r="Z19" s="1247"/>
      <c r="AA19" s="450"/>
      <c r="AB19" s="435" t="s">
        <v>793</v>
      </c>
      <c r="AF19" s="453"/>
      <c r="AG19" s="453"/>
      <c r="AH19" s="453"/>
      <c r="AI19" s="453"/>
      <c r="AJ19" s="453"/>
      <c r="AN19" s="494"/>
      <c r="AO19" s="495"/>
      <c r="AP19" s="495"/>
      <c r="AQ19" s="496" t="s">
        <v>793</v>
      </c>
      <c r="AR19" s="494"/>
      <c r="AS19" s="495"/>
      <c r="AT19" s="495"/>
      <c r="AU19" s="496"/>
      <c r="AV19" s="494"/>
      <c r="AW19" s="495"/>
      <c r="AX19" s="495"/>
      <c r="AY19" s="496" t="s">
        <v>793</v>
      </c>
    </row>
    <row r="20" spans="6:51" ht="15.95" customHeight="1" thickBot="1" x14ac:dyDescent="0.25">
      <c r="F20" s="489">
        <v>26</v>
      </c>
      <c r="G20" s="488" t="str">
        <f t="shared" si="5"/>
        <v/>
      </c>
      <c r="H20" s="898" t="str">
        <f t="shared" si="6"/>
        <v/>
      </c>
      <c r="I20" s="898" t="str">
        <f t="shared" si="4"/>
        <v/>
      </c>
      <c r="J20" s="898" t="str">
        <f t="shared" si="4"/>
        <v/>
      </c>
      <c r="K20" s="445" t="s">
        <v>779</v>
      </c>
      <c r="L20" s="463" t="s">
        <v>1083</v>
      </c>
      <c r="M20" s="456" t="s">
        <v>481</v>
      </c>
      <c r="N20" s="464" t="s">
        <v>780</v>
      </c>
      <c r="O20" s="446" t="s">
        <v>781</v>
      </c>
      <c r="P20" s="445"/>
      <c r="Q20" s="445" t="s">
        <v>779</v>
      </c>
      <c r="R20" s="463" t="s">
        <v>1083</v>
      </c>
      <c r="S20" s="456" t="s">
        <v>481</v>
      </c>
      <c r="T20" s="464" t="s">
        <v>780</v>
      </c>
      <c r="U20" s="446" t="s">
        <v>781</v>
      </c>
      <c r="V20" s="445"/>
      <c r="W20" s="445" t="s">
        <v>779</v>
      </c>
      <c r="X20" s="463" t="s">
        <v>1083</v>
      </c>
      <c r="Y20" s="456" t="s">
        <v>481</v>
      </c>
      <c r="Z20" s="464" t="s">
        <v>780</v>
      </c>
      <c r="AA20" s="446" t="s">
        <v>781</v>
      </c>
      <c r="AF20" s="453"/>
      <c r="AG20" s="453"/>
      <c r="AH20" s="453"/>
      <c r="AI20" s="453"/>
      <c r="AJ20" s="453"/>
      <c r="AN20" s="494"/>
      <c r="AO20" s="495"/>
      <c r="AP20" s="495"/>
      <c r="AQ20" s="496" t="s">
        <v>793</v>
      </c>
      <c r="AR20" s="494"/>
      <c r="AS20" s="495"/>
      <c r="AT20" s="495"/>
      <c r="AU20" s="496"/>
      <c r="AV20" s="494"/>
      <c r="AW20" s="495"/>
      <c r="AX20" s="495"/>
      <c r="AY20" s="496" t="s">
        <v>793</v>
      </c>
    </row>
    <row r="21" spans="6:51" ht="15.95" customHeight="1" thickBot="1" x14ac:dyDescent="0.25">
      <c r="F21" s="489">
        <v>27</v>
      </c>
      <c r="G21" s="488" t="str">
        <f t="shared" si="5"/>
        <v/>
      </c>
      <c r="H21" s="898" t="str">
        <f t="shared" si="6"/>
        <v/>
      </c>
      <c r="I21" s="898" t="str">
        <f t="shared" si="6"/>
        <v/>
      </c>
      <c r="J21" s="898" t="str">
        <f t="shared" si="6"/>
        <v/>
      </c>
      <c r="K21" s="447">
        <f>K16+1</f>
        <v>5</v>
      </c>
      <c r="L21" s="472">
        <v>3</v>
      </c>
      <c r="M21" s="465" t="str">
        <f ca="1">IFERROR(VLOOKUP(L22,$G$5:$J$28,2,FALSE),"")</f>
        <v/>
      </c>
      <c r="N21" s="966">
        <v>1</v>
      </c>
      <c r="O21" s="780"/>
      <c r="Q21" s="447">
        <f>Q16+1</f>
        <v>5</v>
      </c>
      <c r="R21" s="472">
        <v>8</v>
      </c>
      <c r="S21" s="465" t="str">
        <f ca="1">IFERROR(VLOOKUP(R22,$G$5:$J$28,2,FALSE),"")</f>
        <v/>
      </c>
      <c r="T21" s="966">
        <v>0</v>
      </c>
      <c r="U21" s="780"/>
      <c r="W21" s="447">
        <f>W16+1</f>
        <v>5</v>
      </c>
      <c r="X21" s="472">
        <v>5</v>
      </c>
      <c r="Y21" s="465" t="str">
        <f ca="1">IFERROR(VLOOKUP(X22,$G$5:$J$28,2,FALSE),"")</f>
        <v/>
      </c>
      <c r="Z21" s="966">
        <v>1</v>
      </c>
      <c r="AA21" s="780"/>
      <c r="AF21" s="453"/>
      <c r="AG21" s="453"/>
      <c r="AH21" s="453"/>
      <c r="AI21" s="453"/>
      <c r="AJ21" s="453"/>
      <c r="AN21" s="494"/>
      <c r="AO21" s="495"/>
      <c r="AP21" s="495"/>
      <c r="AQ21" s="496" t="s">
        <v>793</v>
      </c>
      <c r="AR21" s="494"/>
      <c r="AS21" s="495"/>
      <c r="AT21" s="495"/>
      <c r="AU21" s="496"/>
      <c r="AV21" s="494"/>
      <c r="AW21" s="495"/>
      <c r="AX21" s="495"/>
      <c r="AY21" s="496" t="s">
        <v>793</v>
      </c>
    </row>
    <row r="22" spans="6:51" ht="15.95" customHeight="1" thickBot="1" x14ac:dyDescent="0.25">
      <c r="F22" s="489">
        <v>28</v>
      </c>
      <c r="G22" s="488" t="str">
        <f t="shared" si="5"/>
        <v/>
      </c>
      <c r="H22" s="898" t="str">
        <f t="shared" si="6"/>
        <v/>
      </c>
      <c r="I22" s="898" t="str">
        <f t="shared" si="6"/>
        <v/>
      </c>
      <c r="J22" s="898" t="str">
        <f t="shared" si="6"/>
        <v/>
      </c>
      <c r="K22" s="447"/>
      <c r="L22" s="473" t="str">
        <f ca="1">VLOOKUP(L21,$A$5:$G$24,7,FALSE)</f>
        <v/>
      </c>
      <c r="M22" s="466" t="str">
        <f ca="1">IFERROR(VLOOKUP(L22,$G$5:$J$28,3,FALSE),"")</f>
        <v/>
      </c>
      <c r="N22" s="967"/>
      <c r="Q22" s="447"/>
      <c r="R22" s="473" t="str">
        <f ca="1">IF(ISBLANK(N7),"",IF(O7+N7&lt;N9+O9,'13 Equipes'!L8,L10))</f>
        <v/>
      </c>
      <c r="S22" s="466" t="str">
        <f ca="1">IFERROR(VLOOKUP(R22,$G$5:$J$28,3,FALSE),"")</f>
        <v/>
      </c>
      <c r="T22" s="967"/>
      <c r="W22" s="447"/>
      <c r="X22" s="473" t="str">
        <f ca="1">IF(ISBLANK(T21),"",IF(U21+T21&gt;T23+U23,R22,R24))</f>
        <v/>
      </c>
      <c r="Y22" s="466" t="str">
        <f ca="1">IFERROR(VLOOKUP(X22,$G$5:$J$28,3,FALSE),"")</f>
        <v/>
      </c>
      <c r="Z22" s="967"/>
      <c r="AF22" s="453"/>
      <c r="AG22" s="453"/>
      <c r="AH22" s="453"/>
      <c r="AI22" s="453"/>
      <c r="AJ22" s="453"/>
      <c r="AN22" s="494"/>
      <c r="AO22" s="495"/>
      <c r="AP22" s="495"/>
      <c r="AQ22" s="496"/>
      <c r="AR22" s="494"/>
      <c r="AS22" s="495"/>
      <c r="AT22" s="495"/>
      <c r="AU22" s="496"/>
      <c r="AV22" s="494"/>
      <c r="AW22" s="495"/>
      <c r="AX22" s="495"/>
      <c r="AY22" s="496" t="s">
        <v>793</v>
      </c>
    </row>
    <row r="23" spans="6:51" ht="15.95" customHeight="1" thickBot="1" x14ac:dyDescent="0.25">
      <c r="F23" s="489">
        <v>29</v>
      </c>
      <c r="G23" s="488" t="str">
        <f t="shared" si="5"/>
        <v/>
      </c>
      <c r="H23" s="898" t="str">
        <f t="shared" si="6"/>
        <v/>
      </c>
      <c r="I23" s="898" t="str">
        <f t="shared" si="6"/>
        <v/>
      </c>
      <c r="J23" s="898" t="str">
        <f t="shared" si="6"/>
        <v/>
      </c>
      <c r="K23" s="447">
        <f>K21+1</f>
        <v>6</v>
      </c>
      <c r="L23" s="472">
        <v>6</v>
      </c>
      <c r="M23" s="465" t="str">
        <f ca="1">IFERROR(VLOOKUP(L24,$G$5:$J$28,2,FALSE),"")</f>
        <v/>
      </c>
      <c r="N23" s="966">
        <v>0</v>
      </c>
      <c r="O23" s="780"/>
      <c r="Q23" s="447">
        <f>Q21+1</f>
        <v>6</v>
      </c>
      <c r="R23" s="472">
        <v>5</v>
      </c>
      <c r="S23" s="465" t="str">
        <f ca="1">IFERROR(VLOOKUP(R24,$G$5:$J$28,2,FALSE),"")</f>
        <v/>
      </c>
      <c r="T23" s="966">
        <v>1</v>
      </c>
      <c r="U23" s="780"/>
      <c r="W23" s="447">
        <f>W21+1</f>
        <v>6</v>
      </c>
      <c r="X23" s="472">
        <v>6</v>
      </c>
      <c r="Y23" s="465" t="str">
        <f ca="1">IFERROR(VLOOKUP(X24,$G$5:$J$28,2,FALSE),"")</f>
        <v/>
      </c>
      <c r="Z23" s="966">
        <v>0</v>
      </c>
      <c r="AA23" s="780"/>
      <c r="AF23" s="453"/>
      <c r="AG23" s="453"/>
      <c r="AH23" s="453"/>
      <c r="AI23" s="453"/>
      <c r="AJ23" s="453"/>
      <c r="AN23" s="494"/>
      <c r="AO23" s="495"/>
      <c r="AP23" s="495"/>
      <c r="AQ23" s="496"/>
      <c r="AR23" s="494"/>
      <c r="AS23" s="495"/>
      <c r="AT23" s="495"/>
      <c r="AU23" s="496"/>
      <c r="AV23" s="494"/>
      <c r="AW23" s="495"/>
      <c r="AX23" s="495"/>
      <c r="AY23" s="496" t="s">
        <v>793</v>
      </c>
    </row>
    <row r="24" spans="6:51" ht="15.95" customHeight="1" thickBot="1" x14ac:dyDescent="0.25">
      <c r="F24" s="489">
        <v>30</v>
      </c>
      <c r="G24" s="488" t="str">
        <f t="shared" si="5"/>
        <v/>
      </c>
      <c r="H24" s="898" t="str">
        <f t="shared" si="6"/>
        <v/>
      </c>
      <c r="I24" s="898" t="str">
        <f t="shared" si="6"/>
        <v/>
      </c>
      <c r="J24" s="898" t="str">
        <f t="shared" si="6"/>
        <v/>
      </c>
      <c r="K24" s="447"/>
      <c r="L24" s="473" t="str">
        <f ca="1">VLOOKUP(L23,$A$5:$G$24,7,FALSE)</f>
        <v/>
      </c>
      <c r="M24" s="466" t="str">
        <f ca="1">IFERROR(VLOOKUP(L24,$G$5:$J$28,3,FALSE),"")</f>
        <v/>
      </c>
      <c r="N24" s="967"/>
      <c r="Q24" s="447"/>
      <c r="R24" s="473" t="str">
        <f ca="1">IF(ISBLANK(N14),"",IF(O14+N14&lt;N16+O16,L15,L17))</f>
        <v/>
      </c>
      <c r="S24" s="466" t="str">
        <f ca="1">IFERROR(VLOOKUP(R24,$G$5:$J$28,3,FALSE),"")</f>
        <v/>
      </c>
      <c r="T24" s="967"/>
      <c r="W24" s="447"/>
      <c r="X24" s="473" t="str">
        <f ca="1">IF(ISBLANK(T28),"",IF(U28+T28&gt;T30+U30,R29,R31))</f>
        <v/>
      </c>
      <c r="Y24" s="466" t="str">
        <f ca="1">IFERROR(VLOOKUP(X24,$G$5:$J$28,3,FALSE),"")</f>
        <v/>
      </c>
      <c r="Z24" s="967"/>
      <c r="AF24" s="453"/>
      <c r="AG24" s="453"/>
      <c r="AH24" s="453"/>
      <c r="AI24" s="453"/>
      <c r="AJ24" s="453"/>
      <c r="AN24" s="494"/>
      <c r="AO24" s="495"/>
      <c r="AP24" s="495"/>
      <c r="AQ24" s="496"/>
      <c r="AR24" s="494"/>
      <c r="AS24" s="495"/>
      <c r="AT24" s="495"/>
      <c r="AU24" s="496"/>
      <c r="AV24" s="494"/>
      <c r="AW24" s="495"/>
      <c r="AX24" s="495"/>
      <c r="AY24" s="496" t="s">
        <v>793</v>
      </c>
    </row>
    <row r="25" spans="6:51" ht="15.95" customHeight="1" x14ac:dyDescent="0.2">
      <c r="F25" s="489">
        <v>31</v>
      </c>
      <c r="G25" s="488" t="str">
        <f t="shared" si="5"/>
        <v/>
      </c>
      <c r="H25" s="898" t="str">
        <f t="shared" si="6"/>
        <v/>
      </c>
      <c r="I25" s="898" t="str">
        <f t="shared" si="6"/>
        <v/>
      </c>
      <c r="J25" s="898" t="str">
        <f t="shared" si="6"/>
        <v/>
      </c>
      <c r="K25" s="447"/>
      <c r="L25" s="441"/>
      <c r="M25" s="441"/>
      <c r="Q25" s="447"/>
      <c r="R25" s="437"/>
      <c r="S25" s="437"/>
      <c r="T25" s="451"/>
      <c r="W25" s="447"/>
      <c r="X25" s="441"/>
      <c r="Y25" s="441"/>
      <c r="AF25" s="453"/>
      <c r="AG25" s="453"/>
      <c r="AH25" s="453"/>
      <c r="AI25" s="453"/>
      <c r="AJ25" s="453"/>
      <c r="AN25" s="494"/>
      <c r="AO25" s="495"/>
      <c r="AP25" s="495"/>
      <c r="AQ25" s="496"/>
      <c r="AR25" s="494"/>
      <c r="AS25" s="495"/>
      <c r="AT25" s="495"/>
      <c r="AU25" s="496"/>
      <c r="AV25" s="494"/>
      <c r="AW25" s="495"/>
      <c r="AX25" s="495"/>
      <c r="AY25" s="496" t="s">
        <v>793</v>
      </c>
    </row>
    <row r="26" spans="6:51" ht="15.95" customHeight="1" thickBot="1" x14ac:dyDescent="0.25">
      <c r="F26" s="489">
        <v>32</v>
      </c>
      <c r="G26" s="488" t="str">
        <f t="shared" si="5"/>
        <v/>
      </c>
      <c r="H26" s="898" t="str">
        <f t="shared" si="6"/>
        <v/>
      </c>
      <c r="I26" s="898" t="str">
        <f t="shared" si="6"/>
        <v/>
      </c>
      <c r="J26" s="898" t="str">
        <f t="shared" si="6"/>
        <v/>
      </c>
      <c r="K26" s="450"/>
      <c r="L26" s="450"/>
      <c r="M26" s="450"/>
      <c r="N26" s="451"/>
      <c r="O26" s="450"/>
      <c r="P26" s="450"/>
      <c r="Q26" s="450"/>
      <c r="R26" s="437"/>
      <c r="S26" s="437"/>
      <c r="T26" s="451"/>
      <c r="U26" s="450"/>
      <c r="V26" s="450"/>
      <c r="W26" s="450"/>
      <c r="X26" s="979" t="s">
        <v>821</v>
      </c>
      <c r="Y26" s="1247"/>
      <c r="Z26" s="1247"/>
      <c r="AA26" s="450"/>
      <c r="AF26" s="453"/>
      <c r="AG26" s="453"/>
      <c r="AH26" s="453"/>
      <c r="AI26" s="453"/>
      <c r="AJ26" s="453"/>
      <c r="AN26" s="494"/>
      <c r="AO26" s="495"/>
      <c r="AP26" s="495"/>
      <c r="AQ26" s="496"/>
      <c r="AR26" s="494"/>
      <c r="AS26" s="495"/>
      <c r="AT26" s="495"/>
      <c r="AU26" s="496"/>
      <c r="AV26" s="494"/>
      <c r="AW26" s="495"/>
      <c r="AX26" s="495"/>
      <c r="AY26" s="496" t="s">
        <v>793</v>
      </c>
    </row>
    <row r="27" spans="6:51" ht="15.95" customHeight="1" thickBot="1" x14ac:dyDescent="0.25">
      <c r="F27" s="489">
        <v>33</v>
      </c>
      <c r="G27" s="488" t="str">
        <f t="shared" si="5"/>
        <v/>
      </c>
      <c r="H27" s="898" t="str">
        <f t="shared" si="6"/>
        <v/>
      </c>
      <c r="I27" s="898" t="str">
        <f t="shared" si="6"/>
        <v/>
      </c>
      <c r="J27" s="898" t="str">
        <f t="shared" si="6"/>
        <v/>
      </c>
      <c r="K27" s="445" t="s">
        <v>779</v>
      </c>
      <c r="L27" s="463" t="s">
        <v>1083</v>
      </c>
      <c r="M27" s="456" t="s">
        <v>481</v>
      </c>
      <c r="N27" s="464" t="s">
        <v>780</v>
      </c>
      <c r="O27" s="446" t="s">
        <v>781</v>
      </c>
      <c r="P27" s="445"/>
      <c r="Q27" s="445" t="s">
        <v>779</v>
      </c>
      <c r="R27" s="463" t="s">
        <v>1083</v>
      </c>
      <c r="S27" s="456" t="s">
        <v>481</v>
      </c>
      <c r="T27" s="464" t="s">
        <v>780</v>
      </c>
      <c r="U27" s="446" t="s">
        <v>781</v>
      </c>
      <c r="V27" s="445"/>
      <c r="W27" s="445" t="s">
        <v>779</v>
      </c>
      <c r="X27" s="463" t="s">
        <v>1083</v>
      </c>
      <c r="Y27" s="456" t="s">
        <v>481</v>
      </c>
      <c r="Z27" s="464" t="s">
        <v>780</v>
      </c>
      <c r="AA27" s="446" t="s">
        <v>781</v>
      </c>
      <c r="AF27" s="453"/>
      <c r="AG27" s="453"/>
      <c r="AH27" s="453"/>
      <c r="AI27" s="453"/>
      <c r="AJ27" s="453"/>
      <c r="AN27" s="494"/>
      <c r="AO27" s="495"/>
      <c r="AP27" s="495"/>
      <c r="AQ27" s="496"/>
      <c r="AR27" s="494"/>
      <c r="AS27" s="495"/>
      <c r="AT27" s="495"/>
      <c r="AU27" s="496"/>
      <c r="AV27" s="494"/>
      <c r="AW27" s="495"/>
      <c r="AX27" s="495"/>
      <c r="AY27" s="496" t="s">
        <v>793</v>
      </c>
    </row>
    <row r="28" spans="6:51" ht="15.95" customHeight="1" thickBot="1" x14ac:dyDescent="0.25">
      <c r="F28" s="489">
        <v>34</v>
      </c>
      <c r="G28" s="488" t="str">
        <f t="shared" si="5"/>
        <v/>
      </c>
      <c r="H28" s="898" t="str">
        <f t="shared" si="6"/>
        <v/>
      </c>
      <c r="I28" s="898" t="str">
        <f t="shared" si="6"/>
        <v/>
      </c>
      <c r="J28" s="898" t="str">
        <f t="shared" si="6"/>
        <v/>
      </c>
      <c r="K28" s="447">
        <f>K23+1</f>
        <v>7</v>
      </c>
      <c r="L28" s="472">
        <v>2</v>
      </c>
      <c r="M28" s="465" t="str">
        <f ca="1">IFERROR(VLOOKUP(L29,$G$5:$J$28,2,FALSE),"")</f>
        <v/>
      </c>
      <c r="N28" s="966">
        <v>1</v>
      </c>
      <c r="O28" s="780"/>
      <c r="Q28" s="447">
        <f>Q23+1</f>
        <v>7</v>
      </c>
      <c r="R28" s="472">
        <v>6</v>
      </c>
      <c r="S28" s="465" t="str">
        <f ca="1">IFERROR(VLOOKUP(R29,$G$5:$J$28,2,FALSE),"")</f>
        <v/>
      </c>
      <c r="T28" s="966">
        <v>1</v>
      </c>
      <c r="U28" s="780"/>
      <c r="W28" s="447">
        <f>W23+1</f>
        <v>7</v>
      </c>
      <c r="X28" s="472">
        <v>8</v>
      </c>
      <c r="Y28" s="465" t="str">
        <f ca="1">IFERROR(VLOOKUP(X29,$G$5:$J$28,2,FALSE),"")</f>
        <v/>
      </c>
      <c r="Z28" s="966">
        <v>1</v>
      </c>
      <c r="AA28" s="780"/>
      <c r="AF28" s="453"/>
      <c r="AG28" s="453"/>
      <c r="AH28" s="453"/>
      <c r="AI28" s="453"/>
      <c r="AJ28" s="453"/>
      <c r="AN28" s="494"/>
      <c r="AO28" s="495"/>
      <c r="AP28" s="495"/>
      <c r="AQ28" s="496"/>
      <c r="AR28" s="494"/>
      <c r="AS28" s="495"/>
      <c r="AT28" s="495"/>
      <c r="AU28" s="496"/>
      <c r="AV28" s="494"/>
      <c r="AW28" s="495"/>
      <c r="AX28" s="495"/>
      <c r="AY28" s="496" t="s">
        <v>793</v>
      </c>
    </row>
    <row r="29" spans="6:51" ht="15.95" customHeight="1" thickBot="1" x14ac:dyDescent="0.25">
      <c r="I29" s="437"/>
      <c r="J29" s="437"/>
      <c r="K29" s="447"/>
      <c r="L29" s="473" t="str">
        <f ca="1">VLOOKUP(L28,$A$5:$G$24,7,FALSE)</f>
        <v/>
      </c>
      <c r="M29" s="466" t="str">
        <f ca="1">IFERROR(VLOOKUP(L29,$G$5:$J$28,3,FALSE),"")</f>
        <v/>
      </c>
      <c r="N29" s="967"/>
      <c r="Q29" s="447"/>
      <c r="R29" s="473" t="str">
        <f ca="1">IF(ISBLANK(N21),"",IF(N21+O21&lt;N23+O23,L22,L24))</f>
        <v/>
      </c>
      <c r="S29" s="466" t="str">
        <f ca="1">IFERROR(VLOOKUP(R29,$G$5:$J$28,3,FALSE),"")</f>
        <v/>
      </c>
      <c r="T29" s="967"/>
      <c r="W29" s="447"/>
      <c r="X29" s="473" t="str">
        <f ca="1">IF(ISBLANK(T21),"",IF(U21+T21&lt;T23+U23,R22,R24))</f>
        <v/>
      </c>
      <c r="Y29" s="466" t="str">
        <f ca="1">IFERROR(VLOOKUP(X29,$G$5:$J$28,3,FALSE),"")</f>
        <v/>
      </c>
      <c r="Z29" s="967"/>
      <c r="AF29" s="453"/>
      <c r="AG29" s="453"/>
      <c r="AH29" s="453"/>
      <c r="AI29" s="453"/>
      <c r="AJ29" s="453"/>
      <c r="AN29" s="494"/>
      <c r="AO29" s="495"/>
      <c r="AP29" s="495"/>
      <c r="AQ29" s="496"/>
      <c r="AR29" s="494"/>
      <c r="AS29" s="495"/>
      <c r="AT29" s="495"/>
      <c r="AU29" s="496"/>
      <c r="AV29" s="494"/>
      <c r="AW29" s="495"/>
      <c r="AX29" s="495"/>
      <c r="AY29" s="496" t="s">
        <v>793</v>
      </c>
    </row>
    <row r="30" spans="6:51" ht="15.95" customHeight="1" thickBot="1" x14ac:dyDescent="0.25">
      <c r="I30" s="437"/>
      <c r="J30" s="437"/>
      <c r="K30" s="447">
        <f>K28+1</f>
        <v>8</v>
      </c>
      <c r="L30" s="472">
        <v>7</v>
      </c>
      <c r="M30" s="465" t="str">
        <f ca="1">IFERROR(VLOOKUP(L31,$G$5:$J$28,2,FALSE),"")</f>
        <v/>
      </c>
      <c r="N30" s="966">
        <v>0</v>
      </c>
      <c r="O30" s="780"/>
      <c r="Q30" s="447">
        <f>Q28+1</f>
        <v>8</v>
      </c>
      <c r="R30" s="472">
        <v>7</v>
      </c>
      <c r="S30" s="465" t="str">
        <f ca="1">IFERROR(VLOOKUP(R31,$G$5:$J$28,2,FALSE),"")</f>
        <v/>
      </c>
      <c r="T30" s="966">
        <v>0</v>
      </c>
      <c r="U30" s="780"/>
      <c r="W30" s="447">
        <f>W28+1</f>
        <v>8</v>
      </c>
      <c r="X30" s="472">
        <v>7</v>
      </c>
      <c r="Y30" s="465" t="str">
        <f ca="1">IFERROR(VLOOKUP(X31,$G$5:$J$28,2,FALSE),"")</f>
        <v/>
      </c>
      <c r="Z30" s="966">
        <v>0</v>
      </c>
      <c r="AA30" s="780"/>
      <c r="AF30" s="453"/>
      <c r="AG30" s="453"/>
      <c r="AH30" s="453"/>
      <c r="AI30" s="453"/>
      <c r="AJ30" s="453"/>
    </row>
    <row r="31" spans="6:51" ht="15.95" customHeight="1" thickBot="1" x14ac:dyDescent="0.25">
      <c r="I31" s="437"/>
      <c r="J31" s="437"/>
      <c r="K31" s="447"/>
      <c r="L31" s="473" t="str">
        <f ca="1">VLOOKUP(L30,$A$5:$G$24,7,FALSE)</f>
        <v/>
      </c>
      <c r="M31" s="466" t="str">
        <f ca="1">IFERROR(VLOOKUP(L31,$G$5:$J$28,3,FALSE),"")</f>
        <v/>
      </c>
      <c r="N31" s="967"/>
      <c r="Q31" s="447"/>
      <c r="R31" s="473" t="str">
        <f ca="1">IF(ISBLANK(N28),"",IF(N28+O28&lt;N30+O30,L29,L31))</f>
        <v/>
      </c>
      <c r="S31" s="466" t="str">
        <f ca="1">IFERROR(VLOOKUP(R31,$G$5:$J$28,3,FALSE),"")</f>
        <v/>
      </c>
      <c r="T31" s="967"/>
      <c r="W31" s="447"/>
      <c r="X31" s="473" t="str">
        <f ca="1">IF(ISBLANK(T28),"",IF(U28+T28&lt;T30+U30,R29,R31))</f>
        <v/>
      </c>
      <c r="Y31" s="466" t="str">
        <f ca="1">IFERROR(VLOOKUP(X31,$G$5:$J$28,3,FALSE),"")</f>
        <v/>
      </c>
      <c r="Z31" s="967"/>
      <c r="AF31" s="453"/>
      <c r="AG31" s="453"/>
    </row>
    <row r="32" spans="6:51" ht="15.95" customHeight="1" x14ac:dyDescent="0.2">
      <c r="I32" s="437"/>
      <c r="J32" s="437"/>
      <c r="K32" s="450"/>
      <c r="L32" s="437"/>
      <c r="M32" s="437"/>
      <c r="N32" s="451"/>
      <c r="O32" s="450"/>
      <c r="P32" s="450"/>
      <c r="Q32" s="450"/>
      <c r="R32" s="437"/>
      <c r="S32" s="437"/>
      <c r="T32" s="451"/>
      <c r="U32" s="450"/>
      <c r="V32" s="450"/>
      <c r="W32" s="450"/>
      <c r="X32" s="437"/>
      <c r="Y32" s="437"/>
      <c r="Z32" s="451"/>
      <c r="AA32" s="450"/>
      <c r="AF32" s="453"/>
      <c r="AG32" s="453"/>
    </row>
    <row r="33" spans="9:33" ht="15.95" customHeight="1" thickBot="1" x14ac:dyDescent="0.25">
      <c r="I33" s="437"/>
      <c r="J33" s="437"/>
      <c r="K33" s="450"/>
      <c r="L33" s="979" t="s">
        <v>1086</v>
      </c>
      <c r="M33" s="1247"/>
      <c r="N33" s="1247"/>
      <c r="O33" s="450"/>
      <c r="P33" s="450"/>
      <c r="Q33" s="450"/>
      <c r="R33" s="979" t="s">
        <v>823</v>
      </c>
      <c r="S33" s="1247"/>
      <c r="T33" s="1247"/>
      <c r="U33" s="450"/>
      <c r="V33" s="450"/>
      <c r="W33" s="450"/>
      <c r="X33" s="979" t="s">
        <v>824</v>
      </c>
      <c r="Y33" s="1247"/>
      <c r="Z33" s="1247"/>
      <c r="AA33" s="450"/>
      <c r="AF33" s="453"/>
      <c r="AG33" s="453"/>
    </row>
    <row r="34" spans="9:33" ht="15.95" customHeight="1" thickBot="1" x14ac:dyDescent="0.25">
      <c r="I34" s="437"/>
      <c r="J34" s="437"/>
      <c r="K34" s="445" t="s">
        <v>779</v>
      </c>
      <c r="L34" s="463" t="s">
        <v>1083</v>
      </c>
      <c r="M34" s="456" t="s">
        <v>481</v>
      </c>
      <c r="N34" s="464" t="s">
        <v>780</v>
      </c>
      <c r="O34" s="446" t="s">
        <v>781</v>
      </c>
      <c r="P34" s="445"/>
      <c r="Q34" s="445" t="s">
        <v>779</v>
      </c>
      <c r="R34" s="463" t="s">
        <v>1083</v>
      </c>
      <c r="S34" s="456" t="s">
        <v>481</v>
      </c>
      <c r="T34" s="464" t="s">
        <v>780</v>
      </c>
      <c r="U34" s="446" t="s">
        <v>781</v>
      </c>
      <c r="V34" s="445"/>
      <c r="W34" s="445" t="s">
        <v>779</v>
      </c>
      <c r="X34" s="463" t="s">
        <v>1083</v>
      </c>
      <c r="Y34" s="456" t="s">
        <v>481</v>
      </c>
      <c r="Z34" s="464" t="s">
        <v>780</v>
      </c>
      <c r="AA34" s="446" t="s">
        <v>781</v>
      </c>
      <c r="AF34" s="453"/>
      <c r="AG34" s="453"/>
    </row>
    <row r="35" spans="9:33" ht="15.95" customHeight="1" thickBot="1" x14ac:dyDescent="0.25">
      <c r="I35" s="437"/>
      <c r="J35" s="437"/>
      <c r="K35" s="447">
        <f>K30+1</f>
        <v>9</v>
      </c>
      <c r="L35" s="472">
        <v>9</v>
      </c>
      <c r="M35" s="465" t="str">
        <f ca="1">IFERROR(VLOOKUP(L36,$G$5:$J$28,2,FALSE),"")</f>
        <v/>
      </c>
      <c r="N35" s="966"/>
      <c r="O35" s="780"/>
      <c r="Q35" s="447">
        <f>K35</f>
        <v>9</v>
      </c>
      <c r="R35" s="472">
        <v>9</v>
      </c>
      <c r="S35" s="465" t="str">
        <f ca="1">IFERROR(VLOOKUP(R36,$G$5:$J$28,2,FALSE),"")</f>
        <v/>
      </c>
      <c r="T35" s="966">
        <v>1</v>
      </c>
      <c r="U35" s="780"/>
      <c r="W35" s="447">
        <f>Q35</f>
        <v>9</v>
      </c>
      <c r="X35" s="472">
        <v>9</v>
      </c>
      <c r="Y35" s="465" t="str">
        <f ca="1">IFERROR(VLOOKUP(X36,$G$5:$J$28,2,FALSE),"")</f>
        <v/>
      </c>
      <c r="Z35" s="966">
        <v>1</v>
      </c>
      <c r="AA35" s="780"/>
      <c r="AF35" s="453"/>
      <c r="AG35" s="453"/>
    </row>
    <row r="36" spans="9:33" ht="15.95" customHeight="1" thickBot="1" x14ac:dyDescent="0.25">
      <c r="I36" s="437"/>
      <c r="J36" s="437"/>
      <c r="K36" s="447"/>
      <c r="L36" s="473" t="str">
        <f ca="1">VLOOKUP(L35,$A$5:$G$24,7,FALSE)</f>
        <v/>
      </c>
      <c r="M36" s="466" t="str">
        <f ca="1">IFERROR(VLOOKUP(L36,$G$5:$J$28,3,FALSE),"")</f>
        <v/>
      </c>
      <c r="N36" s="967"/>
      <c r="O36" s="781" t="str">
        <f ca="1">Q59</f>
        <v/>
      </c>
      <c r="Q36" s="447"/>
      <c r="R36" s="473" t="str">
        <f ca="1">L36</f>
        <v/>
      </c>
      <c r="S36" s="466" t="str">
        <f ca="1">IFERROR(VLOOKUP(R36,$G$5:$J$28,3,FALSE),"")</f>
        <v/>
      </c>
      <c r="T36" s="967"/>
      <c r="W36" s="447"/>
      <c r="X36" s="473" t="str">
        <f ca="1">IF(ISBLANK(T35),"",IF(U35+T35&gt;T37+U37,R36,R38))</f>
        <v/>
      </c>
      <c r="Y36" s="466" t="str">
        <f ca="1">IFERROR(VLOOKUP(X36,$G$5:$J$28,3,FALSE),"")</f>
        <v/>
      </c>
      <c r="Z36" s="967"/>
      <c r="AF36" s="453"/>
      <c r="AG36" s="453"/>
    </row>
    <row r="37" spans="9:33" ht="15.95" customHeight="1" thickBot="1" x14ac:dyDescent="0.25">
      <c r="I37" s="437"/>
      <c r="J37" s="437"/>
      <c r="K37" s="447"/>
      <c r="L37" s="516"/>
      <c r="M37" s="516"/>
      <c r="N37" s="457"/>
      <c r="O37" s="778" t="s">
        <v>1082</v>
      </c>
      <c r="Q37" s="447">
        <f>Q35+1</f>
        <v>10</v>
      </c>
      <c r="R37" s="472">
        <v>12</v>
      </c>
      <c r="S37" s="465" t="str">
        <f ca="1">IFERROR(VLOOKUP(R38,$G$5:$J$28,2,FALSE),"")</f>
        <v/>
      </c>
      <c r="T37" s="966">
        <v>0</v>
      </c>
      <c r="U37" s="780"/>
      <c r="W37" s="447">
        <f>W35+1</f>
        <v>10</v>
      </c>
      <c r="X37" s="472">
        <v>10</v>
      </c>
      <c r="Y37" s="465" t="str">
        <f ca="1">IFERROR(VLOOKUP(X38,$G$5:$J$28,2,FALSE),"")</f>
        <v/>
      </c>
      <c r="Z37" s="966">
        <v>0</v>
      </c>
      <c r="AA37" s="780"/>
      <c r="AF37" s="453"/>
      <c r="AG37" s="453"/>
    </row>
    <row r="38" spans="9:33" ht="15.95" customHeight="1" thickBot="1" x14ac:dyDescent="0.25">
      <c r="I38" s="437"/>
      <c r="J38" s="437"/>
      <c r="K38" s="447"/>
      <c r="L38" s="516"/>
      <c r="M38" s="516"/>
      <c r="N38" s="457"/>
      <c r="Q38" s="447"/>
      <c r="R38" s="473" t="str">
        <f ca="1">L43</f>
        <v/>
      </c>
      <c r="S38" s="466" t="str">
        <f ca="1">IFERROR(VLOOKUP(R38,$G$5:$J$28,3,FALSE),"")</f>
        <v/>
      </c>
      <c r="T38" s="967"/>
      <c r="W38" s="447"/>
      <c r="X38" s="473" t="str">
        <f ca="1">IF(ISBLANK(T42),"",IF(U42+T42&gt;T44+U44,R43,R45))</f>
        <v/>
      </c>
      <c r="Y38" s="466" t="str">
        <f ca="1">IFERROR(VLOOKUP(X38,$G$5:$J$28,3,FALSE),"")</f>
        <v/>
      </c>
      <c r="Z38" s="967"/>
      <c r="AF38" s="453"/>
      <c r="AG38" s="453"/>
    </row>
    <row r="39" spans="9:33" ht="15.95" customHeight="1" x14ac:dyDescent="0.2">
      <c r="I39" s="437"/>
      <c r="J39" s="437"/>
      <c r="K39" s="450"/>
      <c r="L39" s="450"/>
      <c r="M39" s="450"/>
      <c r="N39" s="451"/>
      <c r="O39" s="450"/>
      <c r="P39" s="450"/>
      <c r="Q39" s="450"/>
      <c r="R39" s="437"/>
      <c r="S39" s="437"/>
      <c r="T39" s="451"/>
      <c r="U39" s="450"/>
      <c r="V39" s="450"/>
      <c r="W39" s="450"/>
      <c r="X39" s="450"/>
      <c r="Y39" s="450"/>
      <c r="Z39" s="451"/>
      <c r="AA39" s="450"/>
      <c r="AF39" s="453"/>
      <c r="AG39" s="453"/>
    </row>
    <row r="40" spans="9:33" ht="15.95" customHeight="1" thickBot="1" x14ac:dyDescent="0.25">
      <c r="I40" s="437"/>
      <c r="J40" s="437"/>
      <c r="K40" s="450"/>
      <c r="L40" s="450"/>
      <c r="M40" s="450"/>
      <c r="N40" s="451"/>
      <c r="O40" s="450"/>
      <c r="P40" s="450"/>
      <c r="Q40" s="450"/>
      <c r="R40" s="437"/>
      <c r="S40" s="437"/>
      <c r="T40" s="451"/>
      <c r="U40" s="450"/>
      <c r="V40" s="450"/>
      <c r="W40" s="450"/>
      <c r="X40" s="979" t="s">
        <v>825</v>
      </c>
      <c r="Y40" s="1247"/>
      <c r="Z40" s="1247"/>
      <c r="AA40" s="450"/>
      <c r="AF40" s="453"/>
      <c r="AG40" s="453"/>
    </row>
    <row r="41" spans="9:33" ht="15.95" customHeight="1" thickBot="1" x14ac:dyDescent="0.25">
      <c r="I41" s="437"/>
      <c r="J41" s="437"/>
      <c r="K41" s="445" t="s">
        <v>779</v>
      </c>
      <c r="L41" s="463" t="s">
        <v>1083</v>
      </c>
      <c r="M41" s="456" t="s">
        <v>481</v>
      </c>
      <c r="N41" s="464" t="s">
        <v>780</v>
      </c>
      <c r="O41" s="446" t="s">
        <v>781</v>
      </c>
      <c r="P41" s="445"/>
      <c r="Q41" s="445" t="s">
        <v>779</v>
      </c>
      <c r="R41" s="463" t="s">
        <v>1083</v>
      </c>
      <c r="S41" s="456" t="s">
        <v>481</v>
      </c>
      <c r="T41" s="464" t="s">
        <v>780</v>
      </c>
      <c r="U41" s="446" t="s">
        <v>781</v>
      </c>
      <c r="V41" s="445"/>
      <c r="W41" s="445" t="s">
        <v>779</v>
      </c>
      <c r="X41" s="463" t="s">
        <v>1083</v>
      </c>
      <c r="Y41" s="456" t="s">
        <v>481</v>
      </c>
      <c r="Z41" s="464" t="s">
        <v>780</v>
      </c>
      <c r="AA41" s="446" t="s">
        <v>781</v>
      </c>
      <c r="AF41" s="453"/>
      <c r="AG41" s="453"/>
    </row>
    <row r="42" spans="9:33" ht="15.95" customHeight="1" thickBot="1" x14ac:dyDescent="0.25">
      <c r="I42" s="437"/>
      <c r="J42" s="437"/>
      <c r="K42" s="447">
        <f>K35+1</f>
        <v>10</v>
      </c>
      <c r="L42" s="472">
        <v>12</v>
      </c>
      <c r="M42" s="465" t="str">
        <f ca="1">IFERROR(VLOOKUP(L43,$G$5:$J$28,2,FALSE),"")</f>
        <v/>
      </c>
      <c r="N42" s="966"/>
      <c r="O42" s="780"/>
      <c r="Q42" s="447">
        <f>Q37+1</f>
        <v>11</v>
      </c>
      <c r="R42" s="472">
        <v>10</v>
      </c>
      <c r="S42" s="465" t="str">
        <f ca="1">IFERROR(VLOOKUP(R43,$G$5:$J$28,2,FALSE),"")</f>
        <v/>
      </c>
      <c r="T42" s="966">
        <v>0</v>
      </c>
      <c r="U42" s="780"/>
      <c r="W42" s="447">
        <f>W37+1</f>
        <v>11</v>
      </c>
      <c r="X42" s="472">
        <v>11</v>
      </c>
      <c r="Y42" s="465" t="str">
        <f ca="1">IFERROR(VLOOKUP(X43,$G$5:$J$28,2,FALSE),"")</f>
        <v/>
      </c>
      <c r="Z42" s="966">
        <v>0</v>
      </c>
      <c r="AA42" s="780"/>
      <c r="AF42" s="453"/>
      <c r="AG42" s="453"/>
    </row>
    <row r="43" spans="9:33" ht="15.95" customHeight="1" thickBot="1" x14ac:dyDescent="0.25">
      <c r="I43" s="437"/>
      <c r="J43" s="437"/>
      <c r="K43" s="447"/>
      <c r="L43" s="473" t="str">
        <f ca="1">VLOOKUP(L42,$A$5:$G$24,7,FALSE)</f>
        <v/>
      </c>
      <c r="M43" s="466" t="str">
        <f ca="1">IFERROR(VLOOKUP(L43,$G$5:$J$28,3,FALSE),"")</f>
        <v/>
      </c>
      <c r="N43" s="967"/>
      <c r="O43" s="781" t="str">
        <f ca="1">Q60</f>
        <v/>
      </c>
      <c r="Q43" s="447"/>
      <c r="R43" s="473" t="str">
        <f ca="1">L50</f>
        <v/>
      </c>
      <c r="S43" s="466" t="str">
        <f ca="1">IFERROR(VLOOKUP(R43,$G$5:$J$28,3,FALSE),"")</f>
        <v/>
      </c>
      <c r="T43" s="967"/>
      <c r="W43" s="447"/>
      <c r="X43" s="473" t="str">
        <f ca="1">IF(ISBLANK(T35),"",IF(U35+T35&lt;T37+U37,R36,R38))</f>
        <v/>
      </c>
      <c r="Y43" s="466" t="str">
        <f ca="1">IFERROR(VLOOKUP(X43,$G$5:$J$28,3,FALSE),"")</f>
        <v/>
      </c>
      <c r="Z43" s="967"/>
      <c r="AF43" s="453"/>
      <c r="AG43" s="453"/>
    </row>
    <row r="44" spans="9:33" ht="15.95" customHeight="1" thickBot="1" x14ac:dyDescent="0.25">
      <c r="I44" s="437"/>
      <c r="J44" s="437"/>
      <c r="K44" s="447"/>
      <c r="L44" s="516"/>
      <c r="M44" s="516"/>
      <c r="N44" s="457"/>
      <c r="Q44" s="447">
        <f>Q42+1</f>
        <v>12</v>
      </c>
      <c r="R44" s="472">
        <v>11</v>
      </c>
      <c r="S44" s="465" t="str">
        <f ca="1">IFERROR(VLOOKUP(R45,$G$5:$J$28,2,FALSE),"")</f>
        <v/>
      </c>
      <c r="T44" s="966">
        <v>1</v>
      </c>
      <c r="U44" s="780"/>
      <c r="W44" s="447">
        <f>W42+1</f>
        <v>12</v>
      </c>
      <c r="X44" s="472">
        <v>12</v>
      </c>
      <c r="Y44" s="465" t="str">
        <f ca="1">IFERROR(VLOOKUP(X45,$G$5:$J$28,2,FALSE),"")</f>
        <v/>
      </c>
      <c r="Z44" s="966">
        <v>1</v>
      </c>
      <c r="AA44" s="780"/>
      <c r="AF44" s="453"/>
      <c r="AG44" s="453"/>
    </row>
    <row r="45" spans="9:33" ht="15.95" customHeight="1" thickBot="1" x14ac:dyDescent="0.25">
      <c r="I45" s="437"/>
      <c r="J45" s="437"/>
      <c r="K45" s="447"/>
      <c r="L45" s="516"/>
      <c r="M45" s="516"/>
      <c r="N45" s="457"/>
      <c r="Q45" s="447"/>
      <c r="R45" s="473" t="str">
        <f ca="1">L57</f>
        <v/>
      </c>
      <c r="S45" s="466" t="str">
        <f ca="1">IFERROR(VLOOKUP(R45,$G$5:$J$28,3,FALSE),"")</f>
        <v/>
      </c>
      <c r="T45" s="967"/>
      <c r="W45" s="447"/>
      <c r="X45" s="473" t="str">
        <f ca="1">IF(ISBLANK(T42),"",IF(U42+T42&lt;T44+U44,R43,R45))</f>
        <v/>
      </c>
      <c r="Y45" s="466" t="str">
        <f ca="1">IFERROR(VLOOKUP(X45,$G$5:$J$28,3,FALSE),"")</f>
        <v/>
      </c>
      <c r="Z45" s="967"/>
      <c r="AF45" s="453"/>
      <c r="AG45" s="453"/>
    </row>
    <row r="46" spans="9:33" ht="15.95" customHeight="1" x14ac:dyDescent="0.2">
      <c r="I46" s="437"/>
      <c r="J46" s="437"/>
      <c r="K46" s="450"/>
      <c r="L46" s="450"/>
      <c r="M46" s="450"/>
      <c r="N46" s="451"/>
      <c r="O46" s="450"/>
      <c r="P46" s="450"/>
      <c r="Q46" s="450"/>
      <c r="R46" s="450" t="s">
        <v>793</v>
      </c>
      <c r="S46" s="450"/>
      <c r="T46" s="451"/>
      <c r="U46" s="450"/>
      <c r="V46" s="450"/>
      <c r="W46" s="450"/>
      <c r="X46" s="450"/>
      <c r="Y46" s="450"/>
      <c r="Z46" s="451"/>
      <c r="AA46" s="450"/>
      <c r="AF46" s="453"/>
      <c r="AG46" s="453"/>
    </row>
    <row r="47" spans="9:33" ht="15.95" customHeight="1" thickBot="1" x14ac:dyDescent="0.25">
      <c r="I47" s="437"/>
      <c r="J47" s="437"/>
      <c r="K47" s="450"/>
      <c r="L47" s="454"/>
      <c r="M47" s="454"/>
      <c r="N47" s="455"/>
      <c r="O47" s="450"/>
      <c r="P47" s="450"/>
      <c r="V47" s="450"/>
      <c r="W47" s="450"/>
      <c r="X47" s="979"/>
      <c r="Y47" s="979"/>
      <c r="Z47" s="457"/>
      <c r="AA47" s="450"/>
      <c r="AF47" s="453"/>
      <c r="AG47" s="453"/>
    </row>
    <row r="48" spans="9:33" ht="15.95" customHeight="1" thickBot="1" x14ac:dyDescent="0.25">
      <c r="I48" s="437"/>
      <c r="J48" s="437"/>
      <c r="K48" s="445" t="s">
        <v>779</v>
      </c>
      <c r="L48" s="463" t="s">
        <v>1083</v>
      </c>
      <c r="M48" s="456" t="s">
        <v>481</v>
      </c>
      <c r="N48" s="464" t="s">
        <v>780</v>
      </c>
      <c r="O48" s="446" t="s">
        <v>781</v>
      </c>
      <c r="P48" s="445"/>
      <c r="V48" s="450"/>
      <c r="W48" s="450"/>
      <c r="X48" s="979"/>
      <c r="Y48" s="979"/>
      <c r="Z48" s="457"/>
      <c r="AA48" s="450"/>
      <c r="AF48" s="453"/>
      <c r="AG48" s="453"/>
    </row>
    <row r="49" spans="9:33" ht="15.95" customHeight="1" thickBot="1" x14ac:dyDescent="0.25">
      <c r="I49" s="437"/>
      <c r="J49" s="437"/>
      <c r="K49" s="447">
        <f>K42+1</f>
        <v>11</v>
      </c>
      <c r="L49" s="472">
        <v>11</v>
      </c>
      <c r="M49" s="465" t="str">
        <f ca="1">IFERROR(VLOOKUP(L50,$G$5:$J$28,2,FALSE),"")</f>
        <v/>
      </c>
      <c r="N49" s="966"/>
      <c r="O49" s="780"/>
      <c r="V49" s="450"/>
      <c r="W49" s="450"/>
      <c r="X49" s="979"/>
      <c r="Y49" s="979"/>
      <c r="Z49" s="457"/>
      <c r="AA49" s="450"/>
      <c r="AF49" s="453"/>
      <c r="AG49" s="453"/>
    </row>
    <row r="50" spans="9:33" ht="15.95" customHeight="1" thickBot="1" x14ac:dyDescent="0.25">
      <c r="I50" s="437"/>
      <c r="J50" s="437"/>
      <c r="K50" s="447"/>
      <c r="L50" s="473" t="str">
        <f ca="1">VLOOKUP(L49,$A$5:$G$24,7,FALSE)</f>
        <v/>
      </c>
      <c r="M50" s="466" t="str">
        <f ca="1">IFERROR(VLOOKUP(L50,$G$5:$J$28,3,FALSE),"")</f>
        <v/>
      </c>
      <c r="N50" s="967"/>
      <c r="O50" s="781" t="str">
        <f ca="1">Q61</f>
        <v/>
      </c>
      <c r="V50" s="450"/>
      <c r="W50" s="450"/>
      <c r="X50" s="979"/>
      <c r="Y50" s="979"/>
      <c r="Z50" s="457"/>
      <c r="AA50" s="450"/>
    </row>
    <row r="51" spans="9:33" ht="15.95" customHeight="1" x14ac:dyDescent="0.2">
      <c r="I51" s="437"/>
      <c r="J51" s="437"/>
      <c r="K51" s="447"/>
      <c r="L51" s="516"/>
      <c r="M51" s="516"/>
      <c r="N51" s="457"/>
      <c r="Q51" s="450"/>
      <c r="R51" s="516"/>
      <c r="S51" s="516"/>
      <c r="V51" s="450"/>
      <c r="W51" s="450"/>
      <c r="X51" s="979"/>
      <c r="Y51" s="979"/>
      <c r="Z51" s="457"/>
      <c r="AA51" s="450"/>
    </row>
    <row r="52" spans="9:33" ht="15.95" customHeight="1" x14ac:dyDescent="0.2">
      <c r="I52" s="437"/>
      <c r="J52" s="437"/>
      <c r="K52" s="447"/>
      <c r="L52" s="516"/>
      <c r="M52" s="516"/>
      <c r="N52" s="457"/>
      <c r="Q52" s="447"/>
      <c r="R52" s="447"/>
      <c r="S52" s="447"/>
      <c r="T52" s="447"/>
      <c r="U52" s="447"/>
      <c r="V52" s="447"/>
      <c r="W52" s="447"/>
      <c r="X52" s="447"/>
      <c r="Y52" s="447"/>
      <c r="Z52" s="457"/>
      <c r="AA52" s="450"/>
    </row>
    <row r="53" spans="9:33" ht="15.95" customHeight="1" x14ac:dyDescent="0.2">
      <c r="I53" s="437"/>
      <c r="J53" s="437"/>
      <c r="K53" s="447"/>
      <c r="L53" s="441"/>
      <c r="M53" s="441"/>
      <c r="Q53" s="447"/>
      <c r="R53" s="447"/>
      <c r="S53" s="447"/>
      <c r="T53" s="447"/>
      <c r="U53" s="447"/>
      <c r="V53" s="447"/>
      <c r="W53" s="447"/>
      <c r="X53" s="447"/>
      <c r="Y53" s="447"/>
      <c r="Z53" s="457"/>
      <c r="AA53" s="450"/>
    </row>
    <row r="54" spans="9:33" ht="15.95" customHeight="1" thickBot="1" x14ac:dyDescent="0.25">
      <c r="I54" s="437"/>
      <c r="J54" s="437"/>
      <c r="K54" s="450"/>
      <c r="L54" s="450"/>
      <c r="M54" s="450"/>
      <c r="N54" s="451"/>
      <c r="O54" s="450"/>
      <c r="P54" s="450"/>
      <c r="Q54" s="450"/>
      <c r="R54" s="437"/>
      <c r="S54" s="437"/>
      <c r="T54" s="451"/>
      <c r="U54" s="450"/>
      <c r="V54" s="450"/>
      <c r="W54" s="450"/>
      <c r="X54" s="516"/>
      <c r="Y54" s="516"/>
    </row>
    <row r="55" spans="9:33" ht="15.95" customHeight="1" thickBot="1" x14ac:dyDescent="0.25">
      <c r="I55" s="437"/>
      <c r="J55" s="437"/>
      <c r="K55" s="445" t="s">
        <v>779</v>
      </c>
      <c r="L55" s="463" t="s">
        <v>1083</v>
      </c>
      <c r="M55" s="456" t="s">
        <v>481</v>
      </c>
      <c r="N55" s="464" t="s">
        <v>780</v>
      </c>
      <c r="O55" s="446" t="s">
        <v>781</v>
      </c>
      <c r="P55" s="445"/>
      <c r="Q55" s="450"/>
      <c r="R55" s="437"/>
      <c r="S55" s="437"/>
      <c r="T55" s="451"/>
      <c r="U55" s="450"/>
      <c r="V55" s="450"/>
      <c r="W55" s="450"/>
      <c r="X55" s="516"/>
      <c r="Y55" s="516"/>
    </row>
    <row r="56" spans="9:33" ht="15.95" customHeight="1" thickBot="1" x14ac:dyDescent="0.25">
      <c r="I56" s="437"/>
      <c r="J56" s="437"/>
      <c r="K56" s="447">
        <f>K49+1</f>
        <v>12</v>
      </c>
      <c r="L56" s="472">
        <v>10</v>
      </c>
      <c r="M56" s="465" t="str">
        <f ca="1">IFERROR(VLOOKUP(L57,$G$5:$J$28,2,FALSE),"")</f>
        <v/>
      </c>
      <c r="N56" s="966"/>
      <c r="O56" s="780"/>
      <c r="P56" s="778"/>
      <c r="Q56" s="450"/>
      <c r="R56" s="437"/>
      <c r="S56" s="437"/>
      <c r="T56" s="451"/>
      <c r="U56" s="450"/>
      <c r="V56" s="450"/>
      <c r="W56" s="450"/>
      <c r="X56" s="516"/>
      <c r="Y56" s="516"/>
    </row>
    <row r="57" spans="9:33" ht="15.95" customHeight="1" thickBot="1" x14ac:dyDescent="0.25">
      <c r="I57" s="437"/>
      <c r="J57" s="437"/>
      <c r="K57" s="447"/>
      <c r="L57" s="473" t="str">
        <f ca="1">VLOOKUP(L56,$A$5:$G$24,7,FALSE)</f>
        <v/>
      </c>
      <c r="M57" s="466" t="str">
        <f ca="1">IFERROR(VLOOKUP(L57,$G$5:$J$28,3,FALSE),"")</f>
        <v/>
      </c>
      <c r="N57" s="967"/>
      <c r="O57" s="781" t="str">
        <f ca="1">Q62</f>
        <v/>
      </c>
      <c r="P57" s="778"/>
      <c r="Q57" s="450"/>
      <c r="R57" s="437"/>
      <c r="S57" s="437"/>
      <c r="T57" s="451"/>
      <c r="U57" s="450"/>
      <c r="V57" s="450"/>
      <c r="W57" s="450"/>
      <c r="X57" s="516"/>
      <c r="Y57" s="516"/>
    </row>
    <row r="58" spans="9:33" ht="15.95" customHeight="1" x14ac:dyDescent="0.2">
      <c r="I58" s="437"/>
      <c r="J58" s="437"/>
      <c r="K58" s="447"/>
      <c r="L58" s="516"/>
      <c r="M58" s="516"/>
      <c r="N58" s="457"/>
      <c r="P58" s="778"/>
      <c r="Q58" s="450"/>
      <c r="R58" s="437"/>
      <c r="S58" s="437"/>
      <c r="T58" s="451"/>
      <c r="U58" s="450"/>
      <c r="V58" s="450"/>
      <c r="W58" s="450"/>
      <c r="X58" s="516"/>
      <c r="Y58" s="516"/>
    </row>
    <row r="59" spans="9:33" ht="15.95" customHeight="1" x14ac:dyDescent="0.2">
      <c r="I59" s="437"/>
      <c r="J59" s="437"/>
      <c r="K59" s="447"/>
      <c r="L59" s="516"/>
      <c r="M59" s="516"/>
      <c r="N59" s="457"/>
      <c r="P59" s="778"/>
      <c r="Q59" s="789" t="str">
        <f ca="1">IF(SUM($R$31:$R$34)=0,"",RANK(R59,$R$31:$R$34,0))</f>
        <v/>
      </c>
      <c r="R59" s="790">
        <f>N35+O35/100</f>
        <v>0</v>
      </c>
      <c r="S59" s="791" t="str">
        <f ca="1">L36</f>
        <v/>
      </c>
      <c r="T59" s="793"/>
      <c r="U59" s="789"/>
      <c r="V59" s="789"/>
      <c r="W59" s="450"/>
      <c r="X59" s="516"/>
      <c r="Y59" s="516"/>
    </row>
    <row r="60" spans="9:33" ht="15.95" customHeight="1" x14ac:dyDescent="0.2">
      <c r="I60" s="437"/>
      <c r="J60" s="437"/>
      <c r="K60" s="450"/>
      <c r="L60" s="437"/>
      <c r="M60" s="437"/>
      <c r="N60" s="451"/>
      <c r="O60" s="450"/>
      <c r="P60" s="450"/>
      <c r="Q60" s="789" t="str">
        <f ca="1">IF(SUM($R$31:$R$34)=0,"",RANK(R60,$R$31:$R$34,0))</f>
        <v/>
      </c>
      <c r="R60" s="790">
        <f>N42+O42/100</f>
        <v>0</v>
      </c>
      <c r="S60" s="791" t="str">
        <f ca="1">L43</f>
        <v/>
      </c>
      <c r="T60" s="793"/>
      <c r="U60" s="789"/>
      <c r="V60" s="789"/>
      <c r="W60" s="450"/>
      <c r="X60" s="516"/>
      <c r="Y60" s="516"/>
    </row>
    <row r="61" spans="9:33" ht="15.95" customHeight="1" x14ac:dyDescent="0.2">
      <c r="I61" s="437"/>
      <c r="J61" s="437"/>
      <c r="K61" s="450"/>
      <c r="L61" s="516"/>
      <c r="M61" s="516"/>
      <c r="N61" s="457"/>
      <c r="P61" s="778"/>
      <c r="Q61" s="789" t="str">
        <f ca="1">IF(SUM($R$31:$R$34)=0,"",RANK(R61,$R$31:$R$34,0))</f>
        <v/>
      </c>
      <c r="R61" s="790">
        <f>N49+O49/100</f>
        <v>0</v>
      </c>
      <c r="S61" s="791" t="str">
        <f ca="1">L50</f>
        <v/>
      </c>
      <c r="T61" s="525"/>
      <c r="U61" s="787"/>
      <c r="V61" s="789"/>
      <c r="W61" s="450"/>
      <c r="X61" s="516"/>
      <c r="Y61" s="516"/>
      <c r="Z61" s="457"/>
    </row>
    <row r="62" spans="9:33" ht="15.95" customHeight="1" x14ac:dyDescent="0.2">
      <c r="I62" s="437"/>
      <c r="J62" s="437"/>
      <c r="K62" s="450"/>
      <c r="L62" s="516"/>
      <c r="M62" s="516"/>
      <c r="N62" s="457"/>
      <c r="P62" s="778"/>
      <c r="Q62" s="789" t="str">
        <f ca="1">IF(SUM($R$31:$R$34)=0,"",RANK(R62,$R$31:$R$34,0))</f>
        <v/>
      </c>
      <c r="R62" s="790">
        <f>N56+O56/100</f>
        <v>0</v>
      </c>
      <c r="S62" s="791" t="str">
        <f ca="1">L57</f>
        <v/>
      </c>
      <c r="T62" s="525"/>
      <c r="U62" s="787"/>
      <c r="V62" s="789"/>
      <c r="W62" s="450"/>
      <c r="X62" s="516"/>
      <c r="Y62" s="516"/>
      <c r="Z62" s="457"/>
    </row>
    <row r="63" spans="9:33" ht="15.95" customHeight="1" x14ac:dyDescent="0.2">
      <c r="I63" s="437"/>
      <c r="J63" s="437"/>
      <c r="K63" s="450"/>
      <c r="L63" s="516"/>
      <c r="M63" s="516"/>
      <c r="N63" s="457"/>
      <c r="P63" s="778"/>
      <c r="Q63" s="450"/>
      <c r="R63" s="516"/>
      <c r="S63" s="516"/>
      <c r="T63" s="457"/>
      <c r="U63" s="778"/>
      <c r="V63" s="450"/>
      <c r="W63" s="450"/>
      <c r="X63" s="516"/>
      <c r="Y63" s="516"/>
      <c r="Z63" s="457"/>
    </row>
    <row r="64" spans="9:33" ht="15.95" customHeight="1" x14ac:dyDescent="0.2">
      <c r="I64" s="437"/>
      <c r="J64" s="437"/>
      <c r="K64" s="450"/>
      <c r="L64" s="516"/>
      <c r="M64" s="516"/>
      <c r="N64" s="457"/>
      <c r="P64" s="778"/>
      <c r="Q64" s="450"/>
      <c r="R64" s="516"/>
      <c r="S64" s="516"/>
      <c r="T64" s="457"/>
      <c r="U64" s="778"/>
      <c r="V64" s="450"/>
      <c r="W64" s="450"/>
      <c r="X64" s="516"/>
      <c r="Y64" s="516"/>
      <c r="Z64" s="457"/>
    </row>
    <row r="65" spans="9:36" ht="15.95" customHeight="1" x14ac:dyDescent="0.2">
      <c r="I65" s="437"/>
      <c r="J65" s="437"/>
      <c r="K65" s="450"/>
      <c r="L65" s="516"/>
      <c r="M65" s="516"/>
      <c r="N65" s="457"/>
      <c r="Q65" s="450"/>
      <c r="R65" s="516"/>
      <c r="S65" s="516"/>
      <c r="T65" s="457"/>
      <c r="V65" s="450"/>
      <c r="W65" s="450"/>
      <c r="X65" s="516"/>
      <c r="Y65" s="516"/>
      <c r="Z65" s="457"/>
      <c r="AH65" s="441"/>
      <c r="AI65" s="441"/>
      <c r="AJ65" s="447"/>
    </row>
    <row r="66" spans="9:36" ht="15.95" customHeight="1" x14ac:dyDescent="0.2">
      <c r="I66" s="437"/>
      <c r="J66" s="437"/>
      <c r="K66" s="450"/>
      <c r="L66" s="516"/>
      <c r="M66" s="516"/>
      <c r="N66" s="457"/>
      <c r="Q66" s="450"/>
      <c r="R66" s="516"/>
      <c r="S66" s="516"/>
      <c r="T66" s="457"/>
      <c r="V66" s="450"/>
      <c r="W66" s="450"/>
      <c r="X66" s="516"/>
      <c r="Y66" s="516"/>
      <c r="Z66" s="457"/>
      <c r="AH66" s="441"/>
      <c r="AI66" s="441"/>
      <c r="AJ66" s="447"/>
    </row>
    <row r="67" spans="9:36" ht="15.95" customHeight="1" x14ac:dyDescent="0.2">
      <c r="I67" s="437"/>
      <c r="J67" s="437"/>
      <c r="K67" s="450"/>
      <c r="L67" s="450"/>
      <c r="M67" s="450"/>
      <c r="P67" s="450"/>
      <c r="Q67" s="450"/>
      <c r="R67" s="450"/>
      <c r="S67" s="450"/>
      <c r="V67" s="450"/>
      <c r="W67" s="450"/>
      <c r="X67" s="450"/>
      <c r="Y67" s="450"/>
      <c r="Z67" s="451"/>
      <c r="AA67" s="450"/>
      <c r="AH67" s="441"/>
      <c r="AI67" s="441"/>
      <c r="AJ67" s="441"/>
    </row>
    <row r="68" spans="9:36" ht="15.95" customHeight="1" x14ac:dyDescent="0.2">
      <c r="I68" s="437"/>
      <c r="J68" s="437"/>
      <c r="K68" s="450"/>
      <c r="L68" s="450"/>
      <c r="M68" s="450"/>
      <c r="N68" s="521"/>
      <c r="O68" s="521"/>
      <c r="P68" s="450"/>
      <c r="Q68" s="450"/>
      <c r="R68" s="437"/>
      <c r="S68" s="437"/>
      <c r="T68" s="451"/>
      <c r="U68" s="450"/>
      <c r="W68" s="450"/>
      <c r="X68" s="516"/>
      <c r="Y68" s="457"/>
      <c r="Z68" s="457"/>
      <c r="AA68" s="450"/>
      <c r="AH68" s="441"/>
      <c r="AI68" s="441"/>
      <c r="AJ68" s="441"/>
    </row>
    <row r="69" spans="9:36" ht="15.95" customHeight="1" x14ac:dyDescent="0.2">
      <c r="I69" s="437"/>
      <c r="J69" s="437"/>
      <c r="K69" s="450"/>
      <c r="L69" s="450"/>
      <c r="M69" s="450"/>
      <c r="N69" s="521"/>
      <c r="O69" s="521"/>
      <c r="P69" s="450"/>
      <c r="Q69" s="450"/>
      <c r="R69" s="437"/>
      <c r="S69" s="437"/>
      <c r="T69" s="451"/>
      <c r="U69" s="450"/>
      <c r="W69" s="450"/>
      <c r="X69" s="516"/>
      <c r="Y69" s="457"/>
      <c r="Z69" s="457"/>
      <c r="AA69" s="450"/>
      <c r="AH69" s="441"/>
      <c r="AI69" s="441"/>
      <c r="AJ69" s="450"/>
    </row>
    <row r="70" spans="9:36" ht="15.95" customHeight="1" x14ac:dyDescent="0.2">
      <c r="I70" s="437"/>
      <c r="J70" s="437"/>
      <c r="K70" s="450"/>
      <c r="L70" s="450"/>
      <c r="M70" s="450"/>
      <c r="N70" s="521"/>
      <c r="O70" s="521"/>
      <c r="P70" s="450"/>
      <c r="Q70" s="450"/>
      <c r="R70" s="437"/>
      <c r="S70" s="437"/>
      <c r="T70" s="451"/>
      <c r="U70" s="450"/>
      <c r="W70" s="450"/>
      <c r="X70" s="516"/>
      <c r="Y70" s="457"/>
      <c r="Z70" s="457"/>
      <c r="AA70" s="450"/>
      <c r="AH70" s="441"/>
      <c r="AI70" s="441"/>
      <c r="AJ70" s="450"/>
    </row>
    <row r="71" spans="9:36" ht="15.95" customHeight="1" x14ac:dyDescent="0.2">
      <c r="I71" s="437"/>
      <c r="J71" s="437"/>
      <c r="K71" s="450"/>
      <c r="L71" s="450"/>
      <c r="M71" s="450"/>
      <c r="N71" s="521"/>
      <c r="O71" s="521"/>
      <c r="P71" s="450"/>
      <c r="Q71" s="450"/>
      <c r="R71" s="437"/>
      <c r="S71" s="437"/>
      <c r="T71" s="451"/>
      <c r="U71" s="450"/>
      <c r="W71" s="450"/>
      <c r="X71" s="516"/>
      <c r="Y71" s="457"/>
      <c r="Z71" s="457"/>
      <c r="AA71" s="450"/>
      <c r="AH71" s="441"/>
      <c r="AI71" s="441"/>
      <c r="AJ71" s="445"/>
    </row>
    <row r="72" spans="9:36" ht="15.95" customHeight="1" x14ac:dyDescent="0.2">
      <c r="I72" s="437"/>
      <c r="J72" s="437"/>
      <c r="K72" s="450"/>
      <c r="L72" s="450"/>
      <c r="M72" s="450"/>
      <c r="N72" s="521"/>
      <c r="O72" s="521"/>
      <c r="P72" s="450"/>
      <c r="Q72" s="450"/>
      <c r="R72" s="437"/>
      <c r="S72" s="437"/>
      <c r="T72" s="451"/>
      <c r="U72" s="450"/>
      <c r="W72" s="450"/>
      <c r="X72" s="516"/>
      <c r="Y72" s="457"/>
      <c r="Z72" s="457"/>
      <c r="AA72" s="450"/>
      <c r="AH72" s="441"/>
      <c r="AI72" s="441"/>
      <c r="AJ72" s="447"/>
    </row>
    <row r="73" spans="9:36" ht="15.95" customHeight="1" x14ac:dyDescent="0.2">
      <c r="I73" s="437"/>
      <c r="J73" s="437"/>
      <c r="K73" s="450"/>
      <c r="L73" s="450"/>
      <c r="M73" s="450"/>
      <c r="N73" s="521"/>
      <c r="O73" s="521"/>
      <c r="P73" s="450"/>
      <c r="Q73" s="450"/>
      <c r="R73" s="437"/>
      <c r="S73" s="437"/>
      <c r="T73" s="451"/>
      <c r="U73" s="450"/>
      <c r="W73" s="450"/>
      <c r="X73" s="516"/>
      <c r="Y73" s="457"/>
      <c r="Z73" s="457"/>
      <c r="AA73" s="450"/>
      <c r="AH73" s="441"/>
      <c r="AI73" s="441"/>
      <c r="AJ73" s="447"/>
    </row>
    <row r="74" spans="9:36" ht="15.95" customHeight="1" x14ac:dyDescent="0.2">
      <c r="I74" s="437"/>
      <c r="J74" s="437"/>
      <c r="K74" s="450"/>
      <c r="L74" s="450"/>
      <c r="M74" s="450"/>
      <c r="N74" s="521"/>
      <c r="O74" s="521"/>
      <c r="P74" s="450"/>
      <c r="Q74" s="450"/>
      <c r="R74" s="437"/>
      <c r="S74" s="437"/>
      <c r="T74" s="451"/>
      <c r="U74" s="450"/>
      <c r="W74" s="450"/>
      <c r="X74" s="516"/>
      <c r="Y74" s="457"/>
      <c r="Z74" s="457"/>
      <c r="AA74" s="450"/>
      <c r="AH74" s="441"/>
      <c r="AI74" s="441"/>
      <c r="AJ74" s="450"/>
    </row>
    <row r="75" spans="9:36" ht="15.95" customHeight="1" x14ac:dyDescent="0.2">
      <c r="I75" s="437"/>
      <c r="J75" s="437"/>
      <c r="K75" s="450"/>
      <c r="L75" s="450"/>
      <c r="M75" s="450"/>
      <c r="N75" s="521"/>
      <c r="O75" s="521"/>
      <c r="P75" s="450"/>
      <c r="Q75" s="450"/>
      <c r="R75" s="437"/>
      <c r="S75" s="437"/>
      <c r="T75" s="451"/>
      <c r="U75" s="450"/>
      <c r="W75" s="450"/>
      <c r="X75" s="516"/>
      <c r="Y75" s="457"/>
      <c r="Z75" s="457"/>
      <c r="AA75" s="450"/>
      <c r="AH75" s="441"/>
      <c r="AI75" s="441"/>
      <c r="AJ75" s="450"/>
    </row>
    <row r="76" spans="9:36" ht="15.95" customHeight="1" x14ac:dyDescent="0.2">
      <c r="I76" s="437"/>
      <c r="J76" s="437"/>
      <c r="K76" s="450"/>
      <c r="L76" s="450"/>
      <c r="M76" s="450"/>
      <c r="N76" s="521"/>
      <c r="O76" s="521"/>
      <c r="P76" s="450"/>
      <c r="Q76" s="450"/>
      <c r="R76" s="437"/>
      <c r="S76" s="437"/>
      <c r="T76" s="451"/>
      <c r="U76" s="450"/>
      <c r="W76" s="450"/>
      <c r="X76" s="516"/>
      <c r="Y76" s="457"/>
      <c r="Z76" s="457"/>
      <c r="AA76" s="450"/>
      <c r="AH76" s="441"/>
      <c r="AI76" s="441"/>
      <c r="AJ76" s="450"/>
    </row>
    <row r="77" spans="9:36" ht="15.95" customHeight="1" x14ac:dyDescent="0.2">
      <c r="I77" s="437"/>
      <c r="J77" s="437"/>
      <c r="K77" s="447"/>
      <c r="L77" s="450"/>
      <c r="M77" s="450"/>
      <c r="N77" s="521"/>
      <c r="O77" s="521"/>
      <c r="P77" s="450"/>
      <c r="Q77" s="450"/>
      <c r="R77" s="450"/>
      <c r="S77" s="450"/>
      <c r="T77" s="451"/>
      <c r="U77" s="450"/>
      <c r="W77" s="450"/>
      <c r="X77" s="450"/>
      <c r="Y77" s="450"/>
      <c r="Z77" s="451"/>
      <c r="AA77" s="450"/>
      <c r="AH77" s="441"/>
      <c r="AI77" s="441"/>
      <c r="AJ77" s="450"/>
    </row>
    <row r="78" spans="9:36" ht="15.95" customHeight="1" x14ac:dyDescent="0.2">
      <c r="I78" s="437"/>
      <c r="J78" s="437"/>
      <c r="K78" s="447"/>
      <c r="L78" s="450"/>
      <c r="M78" s="450"/>
      <c r="N78" s="521"/>
      <c r="O78" s="521"/>
      <c r="P78" s="450"/>
      <c r="Q78" s="450"/>
      <c r="R78" s="450"/>
      <c r="S78" s="450"/>
      <c r="T78" s="451"/>
      <c r="U78" s="450"/>
      <c r="W78" s="450"/>
      <c r="X78" s="450"/>
      <c r="Y78" s="450"/>
      <c r="Z78" s="451"/>
      <c r="AA78" s="450"/>
      <c r="AH78" s="441"/>
      <c r="AI78" s="441"/>
      <c r="AJ78" s="445"/>
    </row>
    <row r="79" spans="9:36" ht="15.95" customHeight="1" x14ac:dyDescent="0.2">
      <c r="I79" s="437"/>
      <c r="J79" s="437"/>
      <c r="K79" s="447"/>
      <c r="L79" s="450"/>
      <c r="M79" s="450"/>
      <c r="N79" s="521"/>
      <c r="O79" s="521"/>
      <c r="P79" s="450"/>
      <c r="Q79" s="450"/>
      <c r="R79" s="450"/>
      <c r="S79" s="450"/>
      <c r="T79" s="451"/>
      <c r="U79" s="450"/>
      <c r="W79" s="450"/>
      <c r="X79" s="450"/>
      <c r="Y79" s="450"/>
      <c r="Z79" s="451"/>
      <c r="AA79" s="450"/>
      <c r="AH79" s="441"/>
      <c r="AI79" s="441"/>
      <c r="AJ79" s="447"/>
    </row>
    <row r="80" spans="9:36" ht="15.95" customHeight="1" x14ac:dyDescent="0.2">
      <c r="I80" s="437"/>
      <c r="J80" s="437"/>
      <c r="K80" s="447"/>
      <c r="L80" s="450"/>
      <c r="M80" s="450"/>
      <c r="N80" s="521"/>
      <c r="O80" s="521"/>
      <c r="P80" s="450"/>
      <c r="Q80" s="450"/>
      <c r="R80" s="450"/>
      <c r="S80" s="450"/>
      <c r="T80" s="451"/>
      <c r="U80" s="450"/>
      <c r="W80" s="450"/>
      <c r="X80" s="450"/>
      <c r="Y80" s="450"/>
      <c r="Z80" s="451"/>
      <c r="AA80" s="450"/>
      <c r="AH80" s="441"/>
      <c r="AI80" s="441"/>
      <c r="AJ80" s="447"/>
    </row>
    <row r="81" spans="9:36" ht="15.95" customHeight="1" x14ac:dyDescent="0.2">
      <c r="I81" s="437"/>
      <c r="J81" s="437"/>
      <c r="K81" s="447"/>
      <c r="L81" s="450"/>
      <c r="M81" s="450"/>
      <c r="N81" s="521"/>
      <c r="O81" s="521"/>
      <c r="P81" s="450"/>
      <c r="Q81" s="450"/>
      <c r="R81" s="450"/>
      <c r="S81" s="450"/>
      <c r="T81" s="451"/>
      <c r="U81" s="450"/>
      <c r="W81" s="450"/>
      <c r="X81" s="450"/>
      <c r="Y81" s="450"/>
      <c r="Z81" s="451"/>
      <c r="AA81" s="450"/>
      <c r="AH81" s="441"/>
      <c r="AI81" s="441"/>
      <c r="AJ81" s="447"/>
    </row>
    <row r="82" spans="9:36" ht="15.95" customHeight="1" x14ac:dyDescent="0.2">
      <c r="I82" s="437"/>
      <c r="J82" s="437"/>
      <c r="K82" s="450"/>
      <c r="L82" s="450"/>
      <c r="M82" s="450"/>
      <c r="N82" s="521"/>
      <c r="O82" s="521"/>
      <c r="P82" s="450"/>
      <c r="Q82" s="450"/>
      <c r="R82" s="450"/>
      <c r="S82" s="450"/>
      <c r="T82" s="451"/>
      <c r="U82" s="450"/>
      <c r="W82" s="450"/>
      <c r="X82" s="450"/>
      <c r="Y82" s="450"/>
      <c r="Z82" s="451"/>
      <c r="AA82" s="450"/>
      <c r="AH82" s="441"/>
      <c r="AI82" s="441"/>
      <c r="AJ82" s="450"/>
    </row>
    <row r="83" spans="9:36" ht="15.95" customHeight="1" x14ac:dyDescent="0.2">
      <c r="I83" s="437"/>
      <c r="J83" s="437"/>
      <c r="K83" s="445"/>
      <c r="L83" s="450"/>
      <c r="M83" s="450"/>
      <c r="N83" s="521"/>
      <c r="O83" s="521"/>
      <c r="P83" s="450"/>
      <c r="Q83" s="450"/>
      <c r="R83" s="450"/>
      <c r="S83" s="450"/>
      <c r="T83" s="451"/>
      <c r="U83" s="450"/>
      <c r="W83" s="450"/>
      <c r="X83" s="450"/>
      <c r="Y83" s="450"/>
      <c r="Z83" s="451"/>
      <c r="AA83" s="450"/>
      <c r="AH83" s="441"/>
      <c r="AI83" s="441"/>
      <c r="AJ83" s="445"/>
    </row>
    <row r="84" spans="9:36" ht="15.95" customHeight="1" x14ac:dyDescent="0.2">
      <c r="I84" s="437"/>
      <c r="J84" s="437"/>
      <c r="K84" s="447"/>
      <c r="L84" s="450"/>
      <c r="M84" s="450"/>
      <c r="N84" s="521"/>
      <c r="O84" s="521"/>
      <c r="P84" s="450"/>
      <c r="Q84" s="450"/>
      <c r="R84" s="450"/>
      <c r="S84" s="450"/>
      <c r="T84" s="451"/>
      <c r="U84" s="450"/>
      <c r="W84" s="450"/>
      <c r="X84" s="450"/>
      <c r="Y84" s="450"/>
      <c r="Z84" s="451"/>
      <c r="AA84" s="450"/>
      <c r="AH84" s="441"/>
      <c r="AI84" s="441"/>
      <c r="AJ84" s="447"/>
    </row>
    <row r="85" spans="9:36" ht="15.95" customHeight="1" x14ac:dyDescent="0.2">
      <c r="I85" s="437"/>
      <c r="J85" s="437"/>
      <c r="K85" s="447"/>
      <c r="L85" s="450"/>
      <c r="M85" s="450"/>
      <c r="N85" s="521"/>
      <c r="O85" s="521"/>
      <c r="P85" s="450"/>
      <c r="Q85" s="450"/>
      <c r="R85" s="450"/>
      <c r="S85" s="450"/>
      <c r="T85" s="451"/>
      <c r="U85" s="450"/>
      <c r="W85" s="450"/>
      <c r="X85" s="450"/>
      <c r="Y85" s="450"/>
      <c r="Z85" s="451"/>
      <c r="AA85" s="450"/>
      <c r="AH85" s="441"/>
      <c r="AI85" s="441"/>
      <c r="AJ85" s="447"/>
    </row>
    <row r="86" spans="9:36" ht="15.95" customHeight="1" x14ac:dyDescent="0.2">
      <c r="K86" s="447"/>
      <c r="L86" s="450"/>
      <c r="M86" s="450"/>
      <c r="N86" s="521"/>
      <c r="O86" s="521"/>
      <c r="P86" s="450"/>
      <c r="Q86" s="450"/>
      <c r="R86" s="450"/>
      <c r="S86" s="450"/>
      <c r="T86" s="451"/>
      <c r="U86" s="450"/>
      <c r="W86" s="450"/>
      <c r="X86" s="450"/>
      <c r="Y86" s="450"/>
      <c r="Z86" s="451"/>
      <c r="AA86" s="450"/>
      <c r="AH86" s="441"/>
      <c r="AI86" s="441"/>
      <c r="AJ86" s="441"/>
    </row>
    <row r="87" spans="9:36" ht="15.95" customHeight="1" x14ac:dyDescent="0.2">
      <c r="K87" s="447"/>
      <c r="L87" s="450"/>
      <c r="M87" s="450"/>
      <c r="N87" s="521"/>
      <c r="O87" s="521"/>
      <c r="P87" s="450"/>
      <c r="Q87" s="450"/>
      <c r="R87" s="450"/>
      <c r="S87" s="450"/>
      <c r="T87" s="451"/>
      <c r="U87" s="450"/>
      <c r="W87" s="450"/>
      <c r="X87" s="450"/>
      <c r="Y87" s="450"/>
      <c r="Z87" s="451"/>
      <c r="AA87" s="450"/>
      <c r="AH87" s="441"/>
      <c r="AI87" s="441"/>
      <c r="AJ87" s="441"/>
    </row>
    <row r="88" spans="9:36" ht="15.95" customHeight="1" x14ac:dyDescent="0.2">
      <c r="L88" s="450"/>
      <c r="M88" s="450"/>
      <c r="N88" s="521"/>
      <c r="O88" s="521"/>
      <c r="P88" s="450"/>
      <c r="Q88" s="450"/>
      <c r="R88" s="450"/>
      <c r="S88" s="450"/>
      <c r="T88" s="451"/>
      <c r="U88" s="450"/>
      <c r="W88" s="450"/>
      <c r="X88" s="450"/>
      <c r="Y88" s="450"/>
      <c r="Z88" s="451"/>
      <c r="AA88" s="450"/>
    </row>
    <row r="89" spans="9:36" ht="15.95" customHeight="1" x14ac:dyDescent="0.2">
      <c r="K89" s="435"/>
      <c r="L89" s="450"/>
      <c r="M89" s="450"/>
      <c r="N89" s="521"/>
      <c r="O89" s="521"/>
      <c r="P89" s="450"/>
      <c r="Q89" s="450"/>
      <c r="R89" s="450"/>
      <c r="S89" s="450"/>
      <c r="T89" s="451"/>
      <c r="U89" s="450"/>
      <c r="W89" s="450"/>
      <c r="X89" s="450"/>
      <c r="Y89" s="450"/>
      <c r="Z89" s="451"/>
      <c r="AA89" s="450"/>
    </row>
    <row r="90" spans="9:36" ht="15.95" customHeight="1" x14ac:dyDescent="0.2">
      <c r="K90" s="435"/>
      <c r="R90" s="450"/>
      <c r="S90" s="450"/>
      <c r="T90" s="451"/>
      <c r="U90" s="450"/>
      <c r="W90" s="450"/>
      <c r="X90" s="450"/>
      <c r="Y90" s="450"/>
      <c r="Z90" s="451"/>
    </row>
    <row r="91" spans="9:36" ht="15.95" customHeight="1" x14ac:dyDescent="0.2">
      <c r="K91" s="435"/>
    </row>
    <row r="92" spans="9:36" ht="15.95" customHeight="1" x14ac:dyDescent="0.2">
      <c r="K92" s="435"/>
    </row>
    <row r="93" spans="9:36" ht="15.95" customHeight="1" x14ac:dyDescent="0.2">
      <c r="K93" s="435"/>
    </row>
    <row r="94" spans="9:36" ht="15.95" customHeight="1" x14ac:dyDescent="0.2">
      <c r="K94" s="435"/>
    </row>
    <row r="95" spans="9:36" ht="15.95" customHeight="1" x14ac:dyDescent="0.2">
      <c r="K95" s="435"/>
      <c r="S95" s="450"/>
    </row>
    <row r="96" spans="9:36" ht="15.95" customHeight="1" x14ac:dyDescent="0.2">
      <c r="K96" s="435"/>
      <c r="S96" s="450"/>
    </row>
    <row r="97" ht="15.95" customHeight="1" x14ac:dyDescent="0.2"/>
    <row r="98" ht="15.95" customHeight="1" x14ac:dyDescent="0.2"/>
    <row r="99" ht="15.95" customHeight="1" x14ac:dyDescent="0.2"/>
    <row r="100" ht="15.95" customHeight="1" x14ac:dyDescent="0.2"/>
    <row r="101" ht="15.95" customHeight="1" x14ac:dyDescent="0.2"/>
    <row r="102" ht="15.95" customHeight="1" x14ac:dyDescent="0.2"/>
    <row r="103" ht="15.95" customHeight="1" x14ac:dyDescent="0.2"/>
    <row r="104" ht="15.95" customHeight="1" x14ac:dyDescent="0.2"/>
    <row r="105" ht="15.95" customHeight="1" x14ac:dyDescent="0.2"/>
    <row r="106" ht="15.95" customHeight="1" x14ac:dyDescent="0.2"/>
    <row r="107" ht="15.95" customHeight="1" x14ac:dyDescent="0.2"/>
    <row r="108" ht="15.95" customHeight="1" x14ac:dyDescent="0.2"/>
    <row r="109" ht="15.95" customHeight="1" x14ac:dyDescent="0.2"/>
    <row r="110" ht="15.95" customHeight="1" x14ac:dyDescent="0.2"/>
    <row r="111" ht="15.95" customHeight="1" x14ac:dyDescent="0.2"/>
    <row r="112" ht="15.95" customHeight="1" x14ac:dyDescent="0.2"/>
    <row r="113" ht="15.95" customHeight="1" x14ac:dyDescent="0.2"/>
    <row r="114" ht="15.95" customHeight="1" x14ac:dyDescent="0.2"/>
    <row r="115" ht="15.95" customHeight="1" x14ac:dyDescent="0.2"/>
    <row r="116" ht="15.95" customHeight="1" x14ac:dyDescent="0.2"/>
    <row r="117" ht="15.95" customHeight="1" x14ac:dyDescent="0.2"/>
    <row r="118" ht="15.95" customHeight="1" x14ac:dyDescent="0.2"/>
    <row r="119" ht="15.95" customHeight="1" x14ac:dyDescent="0.2"/>
    <row r="120" ht="15.95" customHeight="1" x14ac:dyDescent="0.2"/>
    <row r="121" ht="15.95" customHeight="1" x14ac:dyDescent="0.2"/>
    <row r="122" ht="15.95" customHeight="1" x14ac:dyDescent="0.2"/>
    <row r="123" ht="15.95" customHeight="1" x14ac:dyDescent="0.2"/>
    <row r="124" ht="15.95" customHeight="1" x14ac:dyDescent="0.2"/>
    <row r="125" ht="15.95" customHeight="1" x14ac:dyDescent="0.2"/>
    <row r="126" ht="15.95" customHeight="1" x14ac:dyDescent="0.2"/>
    <row r="127" ht="15.95" customHeight="1" x14ac:dyDescent="0.2"/>
    <row r="128" ht="15.95" customHeight="1" x14ac:dyDescent="0.2"/>
    <row r="129" ht="15.95" customHeight="1" x14ac:dyDescent="0.2"/>
    <row r="130" ht="15.95" customHeight="1" x14ac:dyDescent="0.2"/>
    <row r="131" ht="15.95" customHeight="1" x14ac:dyDescent="0.2"/>
    <row r="132" ht="15.95" customHeight="1" x14ac:dyDescent="0.2"/>
    <row r="133" ht="15.95" customHeight="1" x14ac:dyDescent="0.2"/>
    <row r="134" ht="15.95" customHeight="1" x14ac:dyDescent="0.2"/>
    <row r="135" ht="15.95" customHeight="1" x14ac:dyDescent="0.2"/>
    <row r="136" ht="15.95" customHeight="1" x14ac:dyDescent="0.2"/>
    <row r="137" ht="15.95" customHeight="1" x14ac:dyDescent="0.2"/>
    <row r="138" ht="15.95" customHeight="1" x14ac:dyDescent="0.2"/>
    <row r="139" ht="15.95" customHeight="1" x14ac:dyDescent="0.2"/>
    <row r="140" ht="15.95" customHeight="1" x14ac:dyDescent="0.2"/>
    <row r="141" ht="15.95" customHeight="1" x14ac:dyDescent="0.2"/>
    <row r="142" ht="15.95" customHeight="1" x14ac:dyDescent="0.2"/>
    <row r="143" ht="15.95" customHeight="1" x14ac:dyDescent="0.2"/>
    <row r="144" ht="15.95" customHeight="1" x14ac:dyDescent="0.2"/>
    <row r="145" ht="15.95" customHeight="1" x14ac:dyDescent="0.2"/>
    <row r="146" ht="15.95" customHeight="1" x14ac:dyDescent="0.2"/>
    <row r="147" ht="15.95" customHeight="1" x14ac:dyDescent="0.2"/>
    <row r="148" ht="15.95" customHeight="1" x14ac:dyDescent="0.2"/>
  </sheetData>
  <sheetProtection selectLockedCells="1"/>
  <mergeCells count="62">
    <mergeCell ref="X51:Y51"/>
    <mergeCell ref="N56:N57"/>
    <mergeCell ref="T44:T45"/>
    <mergeCell ref="Z44:Z45"/>
    <mergeCell ref="N49:N50"/>
    <mergeCell ref="X47:Y47"/>
    <mergeCell ref="X48:Y48"/>
    <mergeCell ref="X49:Y49"/>
    <mergeCell ref="X50:Y50"/>
    <mergeCell ref="T37:T38"/>
    <mergeCell ref="Z37:Z38"/>
    <mergeCell ref="X40:Z40"/>
    <mergeCell ref="N42:N43"/>
    <mergeCell ref="T42:T43"/>
    <mergeCell ref="Z42:Z43"/>
    <mergeCell ref="L33:N33"/>
    <mergeCell ref="N35:N36"/>
    <mergeCell ref="T35:T36"/>
    <mergeCell ref="Z35:Z36"/>
    <mergeCell ref="X26:Z26"/>
    <mergeCell ref="N28:N29"/>
    <mergeCell ref="T28:T29"/>
    <mergeCell ref="Z28:Z29"/>
    <mergeCell ref="N30:N31"/>
    <mergeCell ref="T30:T31"/>
    <mergeCell ref="Z30:Z31"/>
    <mergeCell ref="X33:Z33"/>
    <mergeCell ref="R33:T33"/>
    <mergeCell ref="N23:N24"/>
    <mergeCell ref="T23:T24"/>
    <mergeCell ref="Z23:Z24"/>
    <mergeCell ref="X12:Z12"/>
    <mergeCell ref="N14:N15"/>
    <mergeCell ref="T14:T15"/>
    <mergeCell ref="Z14:Z15"/>
    <mergeCell ref="N16:N17"/>
    <mergeCell ref="T16:T17"/>
    <mergeCell ref="Z16:Z17"/>
    <mergeCell ref="R19:T19"/>
    <mergeCell ref="X19:Z19"/>
    <mergeCell ref="N21:N22"/>
    <mergeCell ref="T21:T22"/>
    <mergeCell ref="Z21:Z22"/>
    <mergeCell ref="N7:N8"/>
    <mergeCell ref="T7:T8"/>
    <mergeCell ref="Z7:Z8"/>
    <mergeCell ref="N9:N10"/>
    <mergeCell ref="T9:T10"/>
    <mergeCell ref="Z9:Z10"/>
    <mergeCell ref="K4:N4"/>
    <mergeCell ref="Q4:T4"/>
    <mergeCell ref="W4:Z4"/>
    <mergeCell ref="AH4:AJ5"/>
    <mergeCell ref="L5:N5"/>
    <mergeCell ref="R5:T5"/>
    <mergeCell ref="X5:Z5"/>
    <mergeCell ref="K1:AA1"/>
    <mergeCell ref="AF1:AJ1"/>
    <mergeCell ref="K2:Z2"/>
    <mergeCell ref="AF2:AJ2"/>
    <mergeCell ref="N3:X3"/>
    <mergeCell ref="AF3:AJ3"/>
  </mergeCells>
  <conditionalFormatting sqref="O36">
    <cfRule type="expression" priority="127" stopIfTrue="1">
      <formula>IF(N36="",1)</formula>
    </cfRule>
    <cfRule type="expression" dxfId="1783" priority="128">
      <formula>IF(N36=N38,1,0)</formula>
    </cfRule>
  </conditionalFormatting>
  <conditionalFormatting sqref="U35:U36">
    <cfRule type="expression" priority="122" stopIfTrue="1">
      <formula>IF(T35="",1)</formula>
    </cfRule>
    <cfRule type="expression" dxfId="1782" priority="123">
      <formula>IF(T35=T37,1,0)</formula>
    </cfRule>
  </conditionalFormatting>
  <conditionalFormatting sqref="U37">
    <cfRule type="expression" priority="120" stopIfTrue="1">
      <formula>IF(T37="",1,0)</formula>
    </cfRule>
    <cfRule type="expression" dxfId="1781" priority="323">
      <formula>IF(T35=T37,1,0)</formula>
    </cfRule>
  </conditionalFormatting>
  <conditionalFormatting sqref="U42:U43">
    <cfRule type="expression" priority="116" stopIfTrue="1">
      <formula>IF(T42="",1)</formula>
    </cfRule>
    <cfRule type="expression" dxfId="1780" priority="117">
      <formula>IF(T42=T44,1,0)</formula>
    </cfRule>
  </conditionalFormatting>
  <conditionalFormatting sqref="U44">
    <cfRule type="expression" priority="114" stopIfTrue="1">
      <formula>IF(T44="",1,0)</formula>
    </cfRule>
    <cfRule type="expression" dxfId="1779" priority="324">
      <formula>IF(T42=T44,1,0)</formula>
    </cfRule>
  </conditionalFormatting>
  <conditionalFormatting sqref="AA35:AA36">
    <cfRule type="expression" priority="110" stopIfTrue="1">
      <formula>IF(Z35="",1)</formula>
    </cfRule>
    <cfRule type="expression" dxfId="1778" priority="111">
      <formula>IF(Z35=Z37,1,0)</formula>
    </cfRule>
  </conditionalFormatting>
  <conditionalFormatting sqref="AA37">
    <cfRule type="expression" priority="108" stopIfTrue="1">
      <formula>IF(Z37="",1,0)</formula>
    </cfRule>
    <cfRule type="expression" dxfId="1777" priority="325">
      <formula>IF(Z35=Z37,1,0)</formula>
    </cfRule>
  </conditionalFormatting>
  <conditionalFormatting sqref="AA42:AA43">
    <cfRule type="expression" priority="104" stopIfTrue="1">
      <formula>IF(Z42="",1)</formula>
    </cfRule>
    <cfRule type="expression" dxfId="1776" priority="105">
      <formula>IF(Z42=Z44,1,0)</formula>
    </cfRule>
  </conditionalFormatting>
  <conditionalFormatting sqref="AA44">
    <cfRule type="expression" priority="102" stopIfTrue="1">
      <formula>IF(Z44="",1,0)</formula>
    </cfRule>
    <cfRule type="expression" dxfId="1775" priority="326">
      <formula>IF(Z42=Z44,1,0)</formula>
    </cfRule>
  </conditionalFormatting>
  <conditionalFormatting sqref="O43">
    <cfRule type="expression" priority="97" stopIfTrue="1">
      <formula>IF(N43="",1)</formula>
    </cfRule>
    <cfRule type="expression" dxfId="1774" priority="98">
      <formula>IF(N43=N45,1,0)</formula>
    </cfRule>
  </conditionalFormatting>
  <conditionalFormatting sqref="O50">
    <cfRule type="expression" priority="95" stopIfTrue="1">
      <formula>IF(N50="",1)</formula>
    </cfRule>
    <cfRule type="expression" dxfId="1773" priority="96">
      <formula>IF(N50=N52,1,0)</formula>
    </cfRule>
  </conditionalFormatting>
  <conditionalFormatting sqref="O57">
    <cfRule type="expression" priority="93" stopIfTrue="1">
      <formula>IF(N57="",1)</formula>
    </cfRule>
    <cfRule type="expression" dxfId="1772" priority="94">
      <formula>IF(N57=N59,1,0)</formula>
    </cfRule>
  </conditionalFormatting>
  <conditionalFormatting sqref="O49">
    <cfRule type="expression" priority="91" stopIfTrue="1">
      <formula>IF(N49="",1)</formula>
    </cfRule>
    <cfRule type="expression" dxfId="1771" priority="92">
      <formula>OR(N49=N56,N49=N63,N49=N35,N49=N42)</formula>
    </cfRule>
  </conditionalFormatting>
  <conditionalFormatting sqref="O42">
    <cfRule type="expression" priority="89" stopIfTrue="1">
      <formula>IF(N42="",1)</formula>
    </cfRule>
    <cfRule type="expression" dxfId="1770" priority="90">
      <formula>OR(N42=N49,N42=N56,N42=N63,N42=N35)</formula>
    </cfRule>
  </conditionalFormatting>
  <conditionalFormatting sqref="O56">
    <cfRule type="expression" priority="87" stopIfTrue="1">
      <formula>IF(N56="",1)</formula>
    </cfRule>
    <cfRule type="expression" dxfId="1769" priority="88">
      <formula>OR(N56=N35,N56=N70,N56=N42,N56=N49)</formula>
    </cfRule>
  </conditionalFormatting>
  <conditionalFormatting sqref="O35">
    <cfRule type="expression" priority="85" stopIfTrue="1">
      <formula>IF(N35="",1)</formula>
    </cfRule>
    <cfRule type="expression" dxfId="1768" priority="86">
      <formula>OR(N35=N42,N35=N49,N35=N56,N35=N63)</formula>
    </cfRule>
  </conditionalFormatting>
  <conditionalFormatting sqref="S7">
    <cfRule type="expression" dxfId="1767" priority="84">
      <formula>IF(T7+U7&gt;T9+U9,1,0)</formula>
    </cfRule>
  </conditionalFormatting>
  <conditionalFormatting sqref="S9">
    <cfRule type="expression" dxfId="1766" priority="83">
      <formula>IF(T9+U9&gt;T11+U11,1,0)</formula>
    </cfRule>
  </conditionalFormatting>
  <conditionalFormatting sqref="S14">
    <cfRule type="expression" dxfId="1765" priority="82">
      <formula>IF(T14+U14&gt;T16+U16,1,0)</formula>
    </cfRule>
  </conditionalFormatting>
  <conditionalFormatting sqref="S16">
    <cfRule type="expression" dxfId="1764" priority="81">
      <formula>IF(T16+U16&gt;T18+U18,1,0)</formula>
    </cfRule>
  </conditionalFormatting>
  <conditionalFormatting sqref="S21">
    <cfRule type="expression" dxfId="1763" priority="80">
      <formula>IF(T21+U21&gt;T23+U23,1,0)</formula>
    </cfRule>
  </conditionalFormatting>
  <conditionalFormatting sqref="S23">
    <cfRule type="expression" dxfId="1762" priority="79">
      <formula>IF(T23+U23&gt;T25+U25,1,0)</formula>
    </cfRule>
  </conditionalFormatting>
  <conditionalFormatting sqref="S28">
    <cfRule type="expression" dxfId="1761" priority="78">
      <formula>IF(T28+U28&gt;T30+U30,1,0)</formula>
    </cfRule>
  </conditionalFormatting>
  <conditionalFormatting sqref="S30">
    <cfRule type="expression" dxfId="1760" priority="77">
      <formula>IF(T30+U30&gt;T32+U32,1,0)</formula>
    </cfRule>
  </conditionalFormatting>
  <conditionalFormatting sqref="S35">
    <cfRule type="expression" dxfId="1759" priority="76">
      <formula>IF(T35+U35&gt;T37+U37,1,0)</formula>
    </cfRule>
  </conditionalFormatting>
  <conditionalFormatting sqref="S37">
    <cfRule type="expression" dxfId="1758" priority="75">
      <formula>IF(T37+U37&gt;T39+U39,1,0)</formula>
    </cfRule>
  </conditionalFormatting>
  <conditionalFormatting sqref="S42">
    <cfRule type="expression" dxfId="1757" priority="74">
      <formula>IF(T42+U42&gt;T44+U44,1,0)</formula>
    </cfRule>
  </conditionalFormatting>
  <conditionalFormatting sqref="S44">
    <cfRule type="expression" dxfId="1756" priority="73">
      <formula>IF(T44+U44&gt;T46+U46,1,0)</formula>
    </cfRule>
  </conditionalFormatting>
  <conditionalFormatting sqref="Y7">
    <cfRule type="expression" dxfId="1755" priority="72">
      <formula>IF(Z7+AA7&gt;Z9+AA9,1,0)</formula>
    </cfRule>
  </conditionalFormatting>
  <conditionalFormatting sqref="Y9">
    <cfRule type="expression" dxfId="1754" priority="71">
      <formula>IF(Z9+AA9&gt;Z11+AA11,1,0)</formula>
    </cfRule>
  </conditionalFormatting>
  <conditionalFormatting sqref="Y14">
    <cfRule type="expression" dxfId="1753" priority="70">
      <formula>IF(Z14+AA14&gt;Z16+AA16,1,0)</formula>
    </cfRule>
  </conditionalFormatting>
  <conditionalFormatting sqref="Y16">
    <cfRule type="expression" dxfId="1752" priority="69">
      <formula>IF(Z16+AA16&gt;Z18+AA18,1,0)</formula>
    </cfRule>
  </conditionalFormatting>
  <conditionalFormatting sqref="Y21">
    <cfRule type="expression" dxfId="1751" priority="68">
      <formula>IF(Z21+AA21&gt;Z23+AA23,1,0)</formula>
    </cfRule>
  </conditionalFormatting>
  <conditionalFormatting sqref="Y23">
    <cfRule type="expression" dxfId="1750" priority="67">
      <formula>IF(Z23+AA23&gt;Z25+AA25,1,0)</formula>
    </cfRule>
  </conditionalFormatting>
  <conditionalFormatting sqref="Y28">
    <cfRule type="expression" dxfId="1749" priority="66">
      <formula>IF(Z28+AA28&gt;Z30+AA30,1,0)</formula>
    </cfRule>
  </conditionalFormatting>
  <conditionalFormatting sqref="Y30">
    <cfRule type="expression" dxfId="1748" priority="65">
      <formula>IF(Z30+AA30&gt;Z32+AA32,1,0)</formula>
    </cfRule>
  </conditionalFormatting>
  <conditionalFormatting sqref="Y35">
    <cfRule type="expression" dxfId="1747" priority="64">
      <formula>IF(Z35+AA35&gt;Z37+AA37,1,0)</formula>
    </cfRule>
  </conditionalFormatting>
  <conditionalFormatting sqref="Y37">
    <cfRule type="expression" dxfId="1746" priority="63">
      <formula>IF(Z37+AA37&gt;Z39+AA39,1,0)</formula>
    </cfRule>
  </conditionalFormatting>
  <conditionalFormatting sqref="Y42">
    <cfRule type="expression" dxfId="1745" priority="62">
      <formula>IF(Z42+AA42&gt;Z44+AA44,1,0)</formula>
    </cfRule>
  </conditionalFormatting>
  <conditionalFormatting sqref="Y44">
    <cfRule type="expression" dxfId="1744" priority="61">
      <formula>IF(Z44+AA44&gt;Z46+AA46,1,0)</formula>
    </cfRule>
  </conditionalFormatting>
  <conditionalFormatting sqref="O7:O8">
    <cfRule type="expression" priority="58" stopIfTrue="1">
      <formula>IF(N7="",1)</formula>
    </cfRule>
    <cfRule type="expression" dxfId="1743" priority="60">
      <formula>IF(N7=N9,1,0)</formula>
    </cfRule>
  </conditionalFormatting>
  <conditionalFormatting sqref="O9">
    <cfRule type="expression" priority="57" stopIfTrue="1">
      <formula>IF(N9="",1,0)</formula>
    </cfRule>
    <cfRule type="expression" dxfId="1742" priority="59">
      <formula>IF(N7=N9,1,0)</formula>
    </cfRule>
  </conditionalFormatting>
  <conditionalFormatting sqref="O14:O15">
    <cfRule type="expression" priority="54" stopIfTrue="1">
      <formula>IF(N14="",1)</formula>
    </cfRule>
    <cfRule type="expression" dxfId="1741" priority="56">
      <formula>IF(N14=N16,1,0)</formula>
    </cfRule>
  </conditionalFormatting>
  <conditionalFormatting sqref="O16">
    <cfRule type="expression" priority="53" stopIfTrue="1">
      <formula>IF(N16="",1,0)</formula>
    </cfRule>
    <cfRule type="expression" dxfId="1740" priority="55">
      <formula>IF(N14=N16,1,0)</formula>
    </cfRule>
  </conditionalFormatting>
  <conditionalFormatting sqref="O21:O22">
    <cfRule type="expression" priority="50" stopIfTrue="1">
      <formula>IF(N21="",1)</formula>
    </cfRule>
    <cfRule type="expression" dxfId="1739" priority="52">
      <formula>IF(N21=N23,1,0)</formula>
    </cfRule>
  </conditionalFormatting>
  <conditionalFormatting sqref="O23">
    <cfRule type="expression" priority="49" stopIfTrue="1">
      <formula>IF(N23="",1,0)</formula>
    </cfRule>
    <cfRule type="expression" dxfId="1738" priority="51">
      <formula>IF(N21=N23,1,0)</formula>
    </cfRule>
  </conditionalFormatting>
  <conditionalFormatting sqref="O28:O29">
    <cfRule type="expression" priority="46" stopIfTrue="1">
      <formula>IF(N28="",1)</formula>
    </cfRule>
    <cfRule type="expression" dxfId="1737" priority="48">
      <formula>IF(N28=N30,1,0)</formula>
    </cfRule>
  </conditionalFormatting>
  <conditionalFormatting sqref="O30">
    <cfRule type="expression" priority="45" stopIfTrue="1">
      <formula>IF(N30="",1,0)</formula>
    </cfRule>
    <cfRule type="expression" dxfId="1736" priority="47">
      <formula>IF(N28=N30,1,0)</formula>
    </cfRule>
  </conditionalFormatting>
  <conditionalFormatting sqref="U7:U8">
    <cfRule type="expression" priority="42" stopIfTrue="1">
      <formula>IF(T7="",1)</formula>
    </cfRule>
    <cfRule type="expression" dxfId="1735" priority="44">
      <formula>IF(T7=T9,1,0)</formula>
    </cfRule>
  </conditionalFormatting>
  <conditionalFormatting sqref="U9">
    <cfRule type="expression" priority="41" stopIfTrue="1">
      <formula>IF(T9="",1,0)</formula>
    </cfRule>
    <cfRule type="expression" dxfId="1734" priority="43">
      <formula>IF(T7=T9,1,0)</formula>
    </cfRule>
  </conditionalFormatting>
  <conditionalFormatting sqref="U14:U15">
    <cfRule type="expression" priority="38" stopIfTrue="1">
      <formula>IF(T14="",1)</formula>
    </cfRule>
    <cfRule type="expression" dxfId="1733" priority="40">
      <formula>IF(T14=T16,1,0)</formula>
    </cfRule>
  </conditionalFormatting>
  <conditionalFormatting sqref="U16">
    <cfRule type="expression" priority="37" stopIfTrue="1">
      <formula>IF(T16="",1,0)</formula>
    </cfRule>
    <cfRule type="expression" dxfId="1732" priority="39">
      <formula>IF(T14=T16,1,0)</formula>
    </cfRule>
  </conditionalFormatting>
  <conditionalFormatting sqref="U21:U22">
    <cfRule type="expression" priority="34" stopIfTrue="1">
      <formula>IF(T21="",1)</formula>
    </cfRule>
    <cfRule type="expression" dxfId="1731" priority="36">
      <formula>IF(T21=T23,1,0)</formula>
    </cfRule>
  </conditionalFormatting>
  <conditionalFormatting sqref="U23">
    <cfRule type="expression" priority="33" stopIfTrue="1">
      <formula>IF(T23="",1,0)</formula>
    </cfRule>
    <cfRule type="expression" dxfId="1730" priority="35">
      <formula>IF(T21=T23,1,0)</formula>
    </cfRule>
  </conditionalFormatting>
  <conditionalFormatting sqref="U28:U29">
    <cfRule type="expression" priority="30" stopIfTrue="1">
      <formula>IF(T28="",1)</formula>
    </cfRule>
    <cfRule type="expression" dxfId="1729" priority="32">
      <formula>IF(T28=T30,1,0)</formula>
    </cfRule>
  </conditionalFormatting>
  <conditionalFormatting sqref="U30">
    <cfRule type="expression" priority="29" stopIfTrue="1">
      <formula>IF(T30="",1,0)</formula>
    </cfRule>
    <cfRule type="expression" dxfId="1728" priority="31">
      <formula>IF(T28=T30,1,0)</formula>
    </cfRule>
  </conditionalFormatting>
  <conditionalFormatting sqref="AA7:AA8">
    <cfRule type="expression" priority="26" stopIfTrue="1">
      <formula>IF(Z7="",1)</formula>
    </cfRule>
    <cfRule type="expression" dxfId="1727" priority="28">
      <formula>IF(Z7=Z9,1,0)</formula>
    </cfRule>
  </conditionalFormatting>
  <conditionalFormatting sqref="AA9">
    <cfRule type="expression" priority="25" stopIfTrue="1">
      <formula>IF(Z9="",1,0)</formula>
    </cfRule>
    <cfRule type="expression" dxfId="1726" priority="27">
      <formula>IF(Z7=Z9,1,0)</formula>
    </cfRule>
  </conditionalFormatting>
  <conditionalFormatting sqref="AA14:AA15">
    <cfRule type="expression" priority="22" stopIfTrue="1">
      <formula>IF(Z14="",1)</formula>
    </cfRule>
    <cfRule type="expression" dxfId="1725" priority="24">
      <formula>IF(Z14=Z16,1,0)</formula>
    </cfRule>
  </conditionalFormatting>
  <conditionalFormatting sqref="AA16">
    <cfRule type="expression" priority="21" stopIfTrue="1">
      <formula>IF(Z16="",1,0)</formula>
    </cfRule>
    <cfRule type="expression" dxfId="1724" priority="23">
      <formula>IF(Z14=Z16,1,0)</formula>
    </cfRule>
  </conditionalFormatting>
  <conditionalFormatting sqref="AA21:AA22">
    <cfRule type="expression" priority="18" stopIfTrue="1">
      <formula>IF(Z21="",1)</formula>
    </cfRule>
    <cfRule type="expression" dxfId="1723" priority="20">
      <formula>IF(Z21=Z23,1,0)</formula>
    </cfRule>
  </conditionalFormatting>
  <conditionalFormatting sqref="AA23">
    <cfRule type="expression" priority="17" stopIfTrue="1">
      <formula>IF(Z23="",1,0)</formula>
    </cfRule>
    <cfRule type="expression" dxfId="1722" priority="19">
      <formula>IF(Z21=Z23,1,0)</formula>
    </cfRule>
  </conditionalFormatting>
  <conditionalFormatting sqref="AA28:AA29">
    <cfRule type="expression" priority="14" stopIfTrue="1">
      <formula>IF(Z28="",1)</formula>
    </cfRule>
    <cfRule type="expression" dxfId="1721" priority="16">
      <formula>IF(Z28=Z30,1,0)</formula>
    </cfRule>
  </conditionalFormatting>
  <conditionalFormatting sqref="AA30">
    <cfRule type="expression" priority="13" stopIfTrue="1">
      <formula>IF(Z30="",1,0)</formula>
    </cfRule>
    <cfRule type="expression" dxfId="1720" priority="15">
      <formula>IF(Z28=Z30,1,0)</formula>
    </cfRule>
  </conditionalFormatting>
  <conditionalFormatting sqref="M7">
    <cfRule type="expression" dxfId="1719" priority="12">
      <formula>IF(N7+O7&gt;N9+O9,1,0)</formula>
    </cfRule>
  </conditionalFormatting>
  <conditionalFormatting sqref="M9">
    <cfRule type="expression" dxfId="1718" priority="11">
      <formula>IF(N9+O9&gt;N11+O11,1,0)</formula>
    </cfRule>
  </conditionalFormatting>
  <conditionalFormatting sqref="M14">
    <cfRule type="expression" dxfId="1717" priority="10">
      <formula>IF(N14+O14&gt;N16+O16,1,0)</formula>
    </cfRule>
  </conditionalFormatting>
  <conditionalFormatting sqref="M16">
    <cfRule type="expression" dxfId="1716" priority="9">
      <formula>IF(N16+O16&gt;N18+O18,1,0)</formula>
    </cfRule>
  </conditionalFormatting>
  <conditionalFormatting sqref="M21">
    <cfRule type="expression" dxfId="1715" priority="8">
      <formula>IF(N21+O21&gt;N23+O23,1,0)</formula>
    </cfRule>
  </conditionalFormatting>
  <conditionalFormatting sqref="M23">
    <cfRule type="expression" dxfId="1714" priority="7">
      <formula>IF(N23+O23&gt;N25+O25,1,0)</formula>
    </cfRule>
  </conditionalFormatting>
  <conditionalFormatting sqref="M28">
    <cfRule type="expression" dxfId="1713" priority="6">
      <formula>IF(N28+O28&gt;N30+O30,1,0)</formula>
    </cfRule>
  </conditionalFormatting>
  <conditionalFormatting sqref="M30">
    <cfRule type="expression" dxfId="1712" priority="5">
      <formula>IF(N30+O30&gt;N32+O32,1,0)</formula>
    </cfRule>
  </conditionalFormatting>
  <conditionalFormatting sqref="M35">
    <cfRule type="expression" dxfId="1711" priority="4">
      <formula>IF(N35+O35&gt;N37+O37,1,0)</formula>
    </cfRule>
  </conditionalFormatting>
  <conditionalFormatting sqref="M42">
    <cfRule type="expression" dxfId="1710" priority="3">
      <formula>IF(N42+O42&gt;N44+O44,1,0)</formula>
    </cfRule>
  </conditionalFormatting>
  <conditionalFormatting sqref="M49">
    <cfRule type="expression" dxfId="1709" priority="2">
      <formula>IF(N49+O49&gt;N51+O51,1,0)</formula>
    </cfRule>
  </conditionalFormatting>
  <conditionalFormatting sqref="M56">
    <cfRule type="expression" dxfId="1708" priority="1">
      <formula>IF(N56+O56&gt;N58+O58,1,0)</formula>
    </cfRule>
  </conditionalFormatting>
  <pageMargins left="0.23622047244094491" right="0.23622047244094491" top="0.74803149606299213" bottom="0.74803149606299213" header="0.31496062992125984" footer="0.31496062992125984"/>
  <pageSetup paperSize="9" scale="33"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8">
    <pageSetUpPr fitToPage="1"/>
  </sheetPr>
  <dimension ref="A1:O61"/>
  <sheetViews>
    <sheetView zoomScale="98" workbookViewId="0">
      <pane ySplit="1" topLeftCell="A2" activePane="bottomLeft" state="frozenSplit"/>
      <selection activeCell="L21" sqref="L21"/>
      <selection pane="bottomLeft" activeCell="A21" sqref="A21"/>
    </sheetView>
  </sheetViews>
  <sheetFormatPr baseColWidth="10" defaultRowHeight="12" x14ac:dyDescent="0.2"/>
  <cols>
    <col min="1" max="1" width="3" style="169" bestFit="1" customWidth="1"/>
    <col min="2" max="2" width="8.140625" style="169" bestFit="1" customWidth="1"/>
    <col min="3" max="3" width="32" style="10" customWidth="1"/>
    <col min="4" max="4" width="24.85546875" style="10" customWidth="1"/>
    <col min="5" max="5" width="20.7109375" style="10" bestFit="1" customWidth="1"/>
    <col min="6" max="6" width="18.85546875" style="10" customWidth="1"/>
    <col min="7" max="7" width="17.85546875" style="10" customWidth="1"/>
    <col min="8" max="8" width="11.28515625" style="19" customWidth="1"/>
    <col min="9" max="9" width="11.28515625" style="170" customWidth="1"/>
    <col min="10" max="10" width="6.28515625" style="169" customWidth="1"/>
    <col min="11" max="11" width="3.85546875" style="19" bestFit="1" customWidth="1"/>
    <col min="12" max="12" width="7.42578125" style="171" bestFit="1" customWidth="1"/>
    <col min="13" max="13" width="11" style="19" bestFit="1" customWidth="1"/>
    <col min="14" max="14" width="34.28515625" style="19" bestFit="1" customWidth="1"/>
    <col min="15" max="15" width="7.28515625" style="19" customWidth="1"/>
    <col min="16" max="16" width="12.42578125" style="10" bestFit="1" customWidth="1"/>
    <col min="17" max="17" width="12.7109375" style="10" bestFit="1" customWidth="1"/>
    <col min="18" max="16384" width="11.42578125" style="10"/>
  </cols>
  <sheetData>
    <row r="1" spans="1:14" s="153" customFormat="1" ht="15.75" customHeight="1" x14ac:dyDescent="0.2">
      <c r="A1" s="157"/>
      <c r="B1" s="167" t="s">
        <v>489</v>
      </c>
      <c r="C1" s="331" t="s">
        <v>0</v>
      </c>
      <c r="D1" s="332" t="s">
        <v>375</v>
      </c>
      <c r="E1" s="331" t="s">
        <v>374</v>
      </c>
      <c r="F1" s="333"/>
      <c r="G1" s="333"/>
      <c r="H1" s="334"/>
      <c r="I1" s="336"/>
      <c r="J1" s="338"/>
      <c r="K1" s="339"/>
      <c r="L1" s="341"/>
      <c r="M1" s="157"/>
      <c r="N1" s="157"/>
    </row>
    <row r="2" spans="1:14" s="153" customFormat="1" ht="12.75" customHeight="1" x14ac:dyDescent="0.2">
      <c r="A2" s="161">
        <v>1</v>
      </c>
      <c r="B2" s="167"/>
      <c r="C2" s="317"/>
      <c r="D2" s="317"/>
      <c r="E2" s="318"/>
      <c r="F2" s="318"/>
      <c r="G2" s="317"/>
      <c r="H2" s="320"/>
      <c r="I2" s="165"/>
      <c r="J2" s="166"/>
      <c r="K2" s="323"/>
      <c r="L2" s="156"/>
      <c r="M2" s="154"/>
      <c r="N2" s="154"/>
    </row>
    <row r="3" spans="1:14" s="153" customFormat="1" ht="12.75" customHeight="1" x14ac:dyDescent="0.2">
      <c r="A3" s="167">
        <v>2</v>
      </c>
      <c r="B3" s="167"/>
      <c r="C3" s="317"/>
      <c r="D3" s="317"/>
      <c r="E3" s="318"/>
      <c r="F3" s="317"/>
      <c r="G3" s="319"/>
      <c r="H3" s="320"/>
      <c r="I3" s="321"/>
      <c r="J3" s="322"/>
      <c r="K3" s="323"/>
      <c r="L3" s="324"/>
    </row>
    <row r="4" spans="1:14" s="153" customFormat="1" ht="12.75" customHeight="1" x14ac:dyDescent="0.2">
      <c r="A4" s="167">
        <v>3</v>
      </c>
      <c r="B4" s="167"/>
      <c r="C4" s="317"/>
      <c r="D4" s="317"/>
      <c r="E4" s="318"/>
      <c r="F4" s="317"/>
      <c r="G4" s="319"/>
      <c r="H4" s="320"/>
      <c r="I4" s="321"/>
      <c r="J4" s="322"/>
      <c r="K4" s="323"/>
      <c r="L4" s="324"/>
    </row>
    <row r="5" spans="1:14" s="153" customFormat="1" ht="12.75" customHeight="1" x14ac:dyDescent="0.2">
      <c r="A5" s="167">
        <v>4</v>
      </c>
      <c r="B5" s="167"/>
      <c r="C5" s="317"/>
      <c r="D5" s="317"/>
      <c r="E5" s="318"/>
      <c r="F5" s="317"/>
      <c r="G5" s="319"/>
      <c r="H5" s="320"/>
      <c r="I5" s="321"/>
      <c r="J5" s="322"/>
      <c r="K5" s="323"/>
      <c r="L5" s="324"/>
    </row>
    <row r="6" spans="1:14" s="153" customFormat="1" ht="12.75" customHeight="1" x14ac:dyDescent="0.2">
      <c r="A6" s="167">
        <v>5</v>
      </c>
      <c r="B6" s="167"/>
      <c r="C6" s="317"/>
      <c r="D6" s="317"/>
      <c r="E6" s="318"/>
      <c r="F6" s="317"/>
      <c r="G6" s="319"/>
      <c r="H6" s="320"/>
      <c r="I6" s="321"/>
      <c r="J6" s="322"/>
      <c r="K6" s="323"/>
      <c r="L6" s="324"/>
    </row>
    <row r="7" spans="1:14" s="153" customFormat="1" ht="12.75" customHeight="1" x14ac:dyDescent="0.2">
      <c r="A7" s="167">
        <v>6</v>
      </c>
      <c r="B7" s="167"/>
      <c r="C7" s="317"/>
      <c r="D7" s="317"/>
      <c r="E7" s="318"/>
      <c r="F7" s="317"/>
      <c r="G7" s="319"/>
      <c r="H7" s="320"/>
      <c r="I7" s="321"/>
      <c r="J7" s="322"/>
      <c r="K7" s="323"/>
      <c r="L7" s="324"/>
    </row>
    <row r="8" spans="1:14" s="153" customFormat="1" ht="12.75" customHeight="1" x14ac:dyDescent="0.2">
      <c r="A8" s="167">
        <v>7</v>
      </c>
      <c r="B8" s="167"/>
      <c r="C8" s="317"/>
      <c r="D8" s="317"/>
      <c r="E8" s="318"/>
      <c r="F8" s="317"/>
      <c r="G8" s="319"/>
      <c r="H8" s="320"/>
      <c r="I8" s="321"/>
      <c r="J8" s="322"/>
      <c r="K8" s="323"/>
      <c r="L8" s="324"/>
    </row>
    <row r="9" spans="1:14" s="153" customFormat="1" ht="12.75" customHeight="1" x14ac:dyDescent="0.2">
      <c r="A9" s="167">
        <v>8</v>
      </c>
      <c r="B9" s="167"/>
      <c r="C9" s="317"/>
      <c r="D9" s="317"/>
      <c r="E9" s="318"/>
      <c r="F9" s="317"/>
      <c r="G9" s="319"/>
      <c r="H9" s="320"/>
      <c r="I9" s="321"/>
      <c r="J9" s="322"/>
      <c r="K9" s="323"/>
      <c r="L9" s="324"/>
    </row>
    <row r="10" spans="1:14" s="153" customFormat="1" ht="12.75" customHeight="1" x14ac:dyDescent="0.2">
      <c r="A10" s="167">
        <v>9</v>
      </c>
      <c r="B10" s="167"/>
      <c r="C10" s="317"/>
      <c r="D10" s="317"/>
      <c r="E10" s="318"/>
      <c r="F10" s="317"/>
      <c r="G10" s="319"/>
      <c r="H10" s="320"/>
      <c r="I10" s="321"/>
      <c r="J10" s="322"/>
      <c r="K10" s="323"/>
      <c r="L10" s="324"/>
    </row>
    <row r="11" spans="1:14" s="153" customFormat="1" ht="12.75" customHeight="1" x14ac:dyDescent="0.2">
      <c r="A11" s="167">
        <v>10</v>
      </c>
      <c r="B11" s="167"/>
      <c r="C11" s="317"/>
      <c r="D11" s="317"/>
      <c r="E11" s="318"/>
      <c r="F11" s="317"/>
      <c r="G11" s="319"/>
      <c r="H11" s="320"/>
      <c r="I11" s="321"/>
      <c r="J11" s="322"/>
      <c r="K11" s="323"/>
      <c r="L11" s="324"/>
    </row>
    <row r="12" spans="1:14" s="153" customFormat="1" ht="12.75" customHeight="1" x14ac:dyDescent="0.2">
      <c r="A12" s="167">
        <v>11</v>
      </c>
      <c r="B12" s="167"/>
      <c r="C12" s="317"/>
      <c r="D12" s="317"/>
      <c r="E12" s="318"/>
      <c r="F12" s="317"/>
      <c r="G12" s="319"/>
      <c r="H12" s="320"/>
      <c r="I12" s="321"/>
      <c r="J12" s="322"/>
      <c r="K12" s="323"/>
      <c r="L12" s="324"/>
    </row>
    <row r="13" spans="1:14" s="153" customFormat="1" ht="12.75" customHeight="1" x14ac:dyDescent="0.2">
      <c r="A13" s="167">
        <v>12</v>
      </c>
      <c r="B13" s="167"/>
      <c r="C13" s="317"/>
      <c r="D13" s="317"/>
      <c r="E13" s="318"/>
      <c r="F13" s="317"/>
      <c r="G13" s="319"/>
      <c r="H13" s="320"/>
      <c r="I13" s="321"/>
      <c r="J13" s="322"/>
      <c r="K13" s="323"/>
      <c r="L13" s="324"/>
    </row>
    <row r="14" spans="1:14" s="153" customFormat="1" ht="12.75" customHeight="1" x14ac:dyDescent="0.2">
      <c r="A14" s="167">
        <v>13</v>
      </c>
      <c r="B14" s="167"/>
      <c r="C14" s="317"/>
      <c r="D14" s="317"/>
      <c r="E14" s="318"/>
      <c r="F14" s="317"/>
      <c r="G14" s="319"/>
      <c r="H14" s="320"/>
      <c r="I14" s="321"/>
      <c r="J14" s="322"/>
      <c r="K14" s="323"/>
      <c r="L14" s="324"/>
    </row>
    <row r="15" spans="1:14" s="153" customFormat="1" ht="12.75" customHeight="1" x14ac:dyDescent="0.2">
      <c r="A15" s="167">
        <v>14</v>
      </c>
      <c r="B15" s="167"/>
      <c r="C15" s="317"/>
      <c r="D15" s="317"/>
      <c r="E15" s="318"/>
      <c r="F15" s="317"/>
      <c r="G15" s="319"/>
      <c r="H15" s="320"/>
      <c r="I15" s="321"/>
      <c r="J15" s="322"/>
      <c r="K15" s="323"/>
      <c r="L15" s="324"/>
    </row>
    <row r="16" spans="1:14" s="153" customFormat="1" ht="12.75" customHeight="1" x14ac:dyDescent="0.2">
      <c r="A16" s="167">
        <v>15</v>
      </c>
      <c r="B16" s="167"/>
      <c r="C16" s="317"/>
      <c r="D16" s="317"/>
      <c r="E16" s="318"/>
      <c r="F16" s="317"/>
      <c r="G16" s="319"/>
      <c r="H16" s="320"/>
      <c r="I16" s="321"/>
      <c r="J16" s="322"/>
      <c r="K16" s="323"/>
      <c r="L16" s="324"/>
    </row>
    <row r="17" spans="1:15" s="153" customFormat="1" x14ac:dyDescent="0.2">
      <c r="A17" s="167">
        <v>16</v>
      </c>
      <c r="B17" s="167"/>
      <c r="C17" s="317"/>
      <c r="D17" s="317"/>
      <c r="E17" s="318"/>
      <c r="F17" s="317"/>
      <c r="G17" s="319"/>
      <c r="H17" s="320"/>
      <c r="I17" s="321"/>
      <c r="J17" s="322"/>
      <c r="K17" s="323"/>
      <c r="L17" s="324"/>
    </row>
    <row r="18" spans="1:15" s="153" customFormat="1" x14ac:dyDescent="0.2">
      <c r="A18" s="167">
        <v>17</v>
      </c>
      <c r="B18" s="167"/>
      <c r="C18" s="317"/>
      <c r="D18" s="317"/>
      <c r="E18" s="318"/>
      <c r="F18" s="317"/>
      <c r="G18" s="319"/>
      <c r="H18" s="320"/>
      <c r="I18" s="321"/>
      <c r="J18" s="322"/>
      <c r="K18" s="323"/>
      <c r="L18" s="324"/>
    </row>
    <row r="19" spans="1:15" s="153" customFormat="1" x14ac:dyDescent="0.2">
      <c r="A19" s="167">
        <v>18</v>
      </c>
      <c r="B19" s="167"/>
      <c r="C19" s="317"/>
      <c r="D19" s="317"/>
      <c r="E19" s="318"/>
      <c r="F19" s="317"/>
      <c r="G19" s="319"/>
      <c r="H19" s="320"/>
      <c r="I19" s="321"/>
      <c r="J19" s="322"/>
      <c r="K19" s="323"/>
      <c r="L19" s="324"/>
    </row>
    <row r="20" spans="1:15" s="153" customFormat="1" x14ac:dyDescent="0.2">
      <c r="A20" s="167">
        <v>19</v>
      </c>
      <c r="B20" s="167"/>
      <c r="C20" s="317"/>
      <c r="D20" s="317"/>
      <c r="E20" s="318"/>
      <c r="F20" s="317"/>
      <c r="G20" s="319"/>
      <c r="H20" s="320"/>
      <c r="I20" s="321"/>
      <c r="J20" s="322"/>
      <c r="K20" s="323"/>
      <c r="L20" s="324"/>
    </row>
    <row r="21" spans="1:15" s="153" customFormat="1" x14ac:dyDescent="0.2">
      <c r="A21" s="167">
        <v>20</v>
      </c>
      <c r="B21" s="167"/>
      <c r="C21" s="317"/>
      <c r="D21" s="317"/>
      <c r="E21" s="318"/>
      <c r="F21" s="317"/>
      <c r="G21" s="319"/>
      <c r="H21" s="320"/>
      <c r="I21" s="321"/>
      <c r="J21" s="322"/>
      <c r="K21" s="323"/>
      <c r="L21" s="324"/>
    </row>
    <row r="22" spans="1:15" s="153" customFormat="1" x14ac:dyDescent="0.2">
      <c r="A22" s="167">
        <v>21</v>
      </c>
      <c r="B22" s="167"/>
      <c r="C22" s="317"/>
      <c r="D22" s="317"/>
      <c r="E22" s="318"/>
      <c r="F22" s="317"/>
      <c r="G22" s="319"/>
      <c r="H22" s="320"/>
      <c r="I22" s="321"/>
      <c r="J22" s="322"/>
      <c r="K22" s="323"/>
      <c r="L22" s="324"/>
    </row>
    <row r="23" spans="1:15" s="153" customFormat="1" x14ac:dyDescent="0.2">
      <c r="A23" s="167">
        <v>22</v>
      </c>
      <c r="B23" s="167"/>
      <c r="C23" s="317"/>
      <c r="D23" s="317"/>
      <c r="E23" s="318"/>
      <c r="F23" s="317"/>
      <c r="G23" s="319"/>
      <c r="H23" s="320"/>
      <c r="I23" s="321"/>
      <c r="J23" s="322"/>
      <c r="K23" s="323"/>
      <c r="L23" s="324"/>
    </row>
    <row r="24" spans="1:15" x14ac:dyDescent="0.2">
      <c r="H24" s="10"/>
      <c r="K24" s="10"/>
      <c r="L24" s="10"/>
      <c r="M24" s="10"/>
      <c r="N24" s="10"/>
      <c r="O24" s="10"/>
    </row>
    <row r="25" spans="1:15" x14ac:dyDescent="0.2">
      <c r="H25" s="10"/>
      <c r="I25" s="10"/>
      <c r="K25" s="10"/>
      <c r="L25" s="10"/>
      <c r="M25" s="10"/>
      <c r="N25" s="10"/>
      <c r="O25" s="10"/>
    </row>
    <row r="26" spans="1:15" x14ac:dyDescent="0.2">
      <c r="H26" s="10"/>
      <c r="I26" s="10"/>
      <c r="K26" s="10"/>
      <c r="L26" s="10"/>
      <c r="M26" s="10"/>
      <c r="N26" s="10"/>
      <c r="O26" s="10"/>
    </row>
    <row r="27" spans="1:15" x14ac:dyDescent="0.2">
      <c r="H27" s="10"/>
      <c r="K27" s="10"/>
      <c r="L27" s="10"/>
      <c r="M27" s="10"/>
      <c r="N27" s="10"/>
      <c r="O27" s="10"/>
    </row>
    <row r="28" spans="1:15" x14ac:dyDescent="0.2">
      <c r="H28" s="10"/>
      <c r="K28" s="10"/>
      <c r="L28" s="10"/>
      <c r="M28" s="10"/>
      <c r="N28" s="10"/>
      <c r="O28" s="10"/>
    </row>
    <row r="29" spans="1:15" x14ac:dyDescent="0.2">
      <c r="H29" s="10"/>
      <c r="K29" s="10"/>
      <c r="L29" s="10"/>
      <c r="M29" s="10"/>
      <c r="N29" s="10"/>
      <c r="O29" s="10"/>
    </row>
    <row r="30" spans="1:15" x14ac:dyDescent="0.2">
      <c r="H30" s="10"/>
      <c r="K30" s="10"/>
      <c r="L30" s="10"/>
      <c r="M30" s="10"/>
      <c r="N30" s="10"/>
      <c r="O30" s="10"/>
    </row>
    <row r="31" spans="1:15" x14ac:dyDescent="0.2">
      <c r="H31" s="10"/>
      <c r="K31" s="10"/>
      <c r="L31" s="10"/>
      <c r="M31" s="10"/>
      <c r="N31" s="10"/>
      <c r="O31" s="10"/>
    </row>
    <row r="32" spans="1:15" x14ac:dyDescent="0.2">
      <c r="H32" s="10"/>
      <c r="K32" s="10"/>
      <c r="L32" s="10"/>
      <c r="M32" s="10"/>
      <c r="N32" s="10"/>
      <c r="O32" s="10"/>
    </row>
    <row r="33" spans="8:15" x14ac:dyDescent="0.2">
      <c r="H33" s="10"/>
      <c r="K33" s="10"/>
      <c r="L33" s="10"/>
      <c r="M33" s="10"/>
      <c r="N33" s="10"/>
      <c r="O33" s="10"/>
    </row>
    <row r="34" spans="8:15" x14ac:dyDescent="0.2">
      <c r="H34" s="10"/>
      <c r="K34" s="10"/>
      <c r="L34" s="10"/>
      <c r="M34" s="10"/>
      <c r="N34" s="10"/>
      <c r="O34" s="10"/>
    </row>
    <row r="35" spans="8:15" x14ac:dyDescent="0.2">
      <c r="H35" s="10"/>
      <c r="K35" s="10"/>
      <c r="L35" s="10"/>
      <c r="M35" s="10"/>
      <c r="N35" s="10"/>
      <c r="O35" s="10"/>
    </row>
    <row r="36" spans="8:15" x14ac:dyDescent="0.2">
      <c r="H36" s="10"/>
      <c r="K36" s="10"/>
      <c r="L36" s="10"/>
      <c r="M36" s="10"/>
      <c r="N36" s="10"/>
      <c r="O36" s="10"/>
    </row>
    <row r="37" spans="8:15" x14ac:dyDescent="0.2">
      <c r="H37" s="10"/>
      <c r="K37" s="10"/>
      <c r="L37" s="10"/>
      <c r="M37" s="10"/>
      <c r="N37" s="10"/>
      <c r="O37" s="10"/>
    </row>
    <row r="38" spans="8:15" x14ac:dyDescent="0.2">
      <c r="H38" s="10"/>
      <c r="K38" s="10"/>
      <c r="L38" s="10"/>
      <c r="M38" s="10"/>
      <c r="N38" s="10"/>
      <c r="O38" s="10"/>
    </row>
    <row r="39" spans="8:15" x14ac:dyDescent="0.2">
      <c r="H39" s="10"/>
      <c r="K39" s="10"/>
      <c r="L39" s="10"/>
      <c r="M39" s="10"/>
      <c r="N39" s="10"/>
      <c r="O39" s="10"/>
    </row>
    <row r="40" spans="8:15" x14ac:dyDescent="0.2">
      <c r="H40" s="10"/>
      <c r="K40" s="10"/>
      <c r="L40" s="10"/>
      <c r="M40" s="10"/>
      <c r="N40" s="10"/>
      <c r="O40" s="10"/>
    </row>
    <row r="41" spans="8:15" x14ac:dyDescent="0.2">
      <c r="H41" s="10"/>
      <c r="K41" s="10"/>
      <c r="L41" s="10"/>
      <c r="M41" s="10"/>
      <c r="N41" s="10"/>
      <c r="O41" s="10"/>
    </row>
    <row r="42" spans="8:15" x14ac:dyDescent="0.2">
      <c r="H42" s="10"/>
      <c r="K42" s="10"/>
      <c r="L42" s="10"/>
      <c r="M42" s="10"/>
      <c r="N42" s="10"/>
      <c r="O42" s="10"/>
    </row>
    <row r="43" spans="8:15" x14ac:dyDescent="0.2">
      <c r="H43" s="10"/>
      <c r="K43" s="10"/>
      <c r="L43" s="10"/>
      <c r="M43" s="10"/>
      <c r="N43" s="10"/>
      <c r="O43" s="10"/>
    </row>
    <row r="44" spans="8:15" x14ac:dyDescent="0.2">
      <c r="H44" s="10"/>
      <c r="K44" s="10"/>
      <c r="L44" s="10"/>
      <c r="M44" s="10"/>
      <c r="N44" s="10"/>
      <c r="O44" s="10"/>
    </row>
    <row r="45" spans="8:15" x14ac:dyDescent="0.2">
      <c r="H45" s="10"/>
      <c r="K45" s="10"/>
      <c r="L45" s="10"/>
      <c r="M45" s="10"/>
      <c r="N45" s="10"/>
      <c r="O45" s="10"/>
    </row>
    <row r="46" spans="8:15" x14ac:dyDescent="0.2">
      <c r="H46" s="10"/>
      <c r="K46" s="10"/>
      <c r="L46" s="10"/>
      <c r="M46" s="10"/>
      <c r="N46" s="10"/>
      <c r="O46" s="10"/>
    </row>
    <row r="47" spans="8:15" x14ac:dyDescent="0.2">
      <c r="H47" s="10"/>
      <c r="K47" s="10"/>
      <c r="L47" s="10"/>
      <c r="M47" s="10"/>
      <c r="N47" s="10"/>
      <c r="O47" s="10"/>
    </row>
    <row r="48" spans="8:15" x14ac:dyDescent="0.2">
      <c r="H48" s="10"/>
      <c r="K48" s="10"/>
      <c r="L48" s="10"/>
      <c r="M48" s="10"/>
      <c r="N48" s="10"/>
      <c r="O48" s="10"/>
    </row>
    <row r="49" spans="8:15" x14ac:dyDescent="0.2">
      <c r="H49" s="10"/>
      <c r="K49" s="10"/>
      <c r="L49" s="10"/>
      <c r="M49" s="10"/>
      <c r="N49" s="10"/>
      <c r="O49" s="10"/>
    </row>
    <row r="50" spans="8:15" x14ac:dyDescent="0.2">
      <c r="H50" s="10"/>
      <c r="K50" s="10"/>
      <c r="L50" s="10"/>
      <c r="M50" s="10"/>
      <c r="N50" s="10"/>
      <c r="O50" s="10"/>
    </row>
    <row r="51" spans="8:15" x14ac:dyDescent="0.2">
      <c r="H51" s="10"/>
      <c r="K51" s="10"/>
      <c r="L51" s="10"/>
      <c r="M51" s="10"/>
      <c r="N51" s="10"/>
      <c r="O51" s="10"/>
    </row>
    <row r="52" spans="8:15" x14ac:dyDescent="0.2">
      <c r="H52" s="10"/>
      <c r="K52" s="10"/>
      <c r="L52" s="10"/>
      <c r="M52" s="10"/>
      <c r="N52" s="10"/>
      <c r="O52" s="10"/>
    </row>
    <row r="53" spans="8:15" x14ac:dyDescent="0.2">
      <c r="H53" s="10"/>
      <c r="K53" s="10"/>
      <c r="L53" s="10"/>
      <c r="M53" s="10"/>
      <c r="N53" s="10"/>
      <c r="O53" s="10"/>
    </row>
    <row r="54" spans="8:15" x14ac:dyDescent="0.2">
      <c r="H54" s="10"/>
      <c r="K54" s="10"/>
      <c r="L54" s="10"/>
      <c r="M54" s="10"/>
      <c r="N54" s="10"/>
      <c r="O54" s="10"/>
    </row>
    <row r="55" spans="8:15" x14ac:dyDescent="0.2">
      <c r="H55" s="10"/>
      <c r="K55" s="10"/>
      <c r="L55" s="10"/>
      <c r="M55" s="10"/>
      <c r="N55" s="10"/>
      <c r="O55" s="10"/>
    </row>
    <row r="56" spans="8:15" x14ac:dyDescent="0.2">
      <c r="H56" s="10"/>
      <c r="K56" s="10"/>
      <c r="L56" s="10"/>
      <c r="M56" s="10"/>
      <c r="N56" s="10"/>
      <c r="O56" s="10"/>
    </row>
    <row r="57" spans="8:15" x14ac:dyDescent="0.2">
      <c r="H57" s="10"/>
      <c r="K57" s="10"/>
      <c r="L57" s="10"/>
      <c r="M57" s="10"/>
      <c r="N57" s="10"/>
      <c r="O57" s="10"/>
    </row>
    <row r="58" spans="8:15" x14ac:dyDescent="0.2">
      <c r="H58" s="10"/>
      <c r="K58" s="10"/>
      <c r="L58" s="10"/>
      <c r="M58" s="10"/>
      <c r="N58" s="10"/>
      <c r="O58" s="10"/>
    </row>
    <row r="59" spans="8:15" x14ac:dyDescent="0.2">
      <c r="H59" s="10"/>
      <c r="K59" s="10"/>
      <c r="L59" s="10"/>
      <c r="M59" s="10"/>
      <c r="N59" s="10"/>
      <c r="O59" s="10"/>
    </row>
    <row r="60" spans="8:15" x14ac:dyDescent="0.2">
      <c r="H60" s="10"/>
      <c r="K60" s="10"/>
      <c r="L60" s="10"/>
      <c r="M60" s="10"/>
      <c r="N60" s="10"/>
      <c r="O60" s="10"/>
    </row>
    <row r="61" spans="8:15" x14ac:dyDescent="0.2">
      <c r="H61" s="10"/>
      <c r="K61" s="10"/>
      <c r="L61" s="10"/>
      <c r="M61" s="10"/>
      <c r="N61" s="10"/>
      <c r="O61" s="10"/>
    </row>
  </sheetData>
  <phoneticPr fontId="34" type="noConversion"/>
  <pageMargins left="0.78740157499999996" right="0.78740157499999996" top="0.984251969" bottom="0.984251969" header="0.4921259845" footer="0.4921259845"/>
  <pageSetup paperSize="9" scale="52" orientation="portrait" r:id="rId1"/>
  <headerFooter alignWithMargins="0"/>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euil64">
    <tabColor rgb="FFFFC000"/>
    <pageSetUpPr fitToPage="1"/>
  </sheetPr>
  <dimension ref="A1:AY148"/>
  <sheetViews>
    <sheetView topLeftCell="K1" zoomScale="59" zoomScaleNormal="85" workbookViewId="0">
      <selection activeCell="AN5" sqref="AN5:AP29"/>
    </sheetView>
  </sheetViews>
  <sheetFormatPr baseColWidth="10" defaultColWidth="10.85546875" defaultRowHeight="12.75" x14ac:dyDescent="0.2"/>
  <cols>
    <col min="1" max="1" width="3.7109375" style="435" hidden="1" customWidth="1"/>
    <col min="2" max="4" width="16.140625" style="435" hidden="1" customWidth="1"/>
    <col min="5" max="10" width="11.28515625" style="435" hidden="1" customWidth="1"/>
    <col min="11" max="11" width="7.85546875" style="441" bestFit="1" customWidth="1"/>
    <col min="12" max="12" width="6.5703125" style="435" bestFit="1" customWidth="1"/>
    <col min="13" max="13" width="36.5703125" style="435" customWidth="1"/>
    <col min="14" max="14" width="10.85546875" style="442"/>
    <col min="15" max="15" width="5" style="441" customWidth="1"/>
    <col min="16" max="16" width="15.7109375" style="441" customWidth="1"/>
    <col min="17" max="17" width="7.85546875" style="441" bestFit="1" customWidth="1"/>
    <col min="18" max="18" width="6.5703125" style="441" bestFit="1" customWidth="1"/>
    <col min="19" max="19" width="36.5703125" style="441" customWidth="1"/>
    <col min="20" max="20" width="10.85546875" style="442"/>
    <col min="21" max="21" width="4.85546875" style="441" bestFit="1" customWidth="1"/>
    <col min="22" max="22" width="15.85546875" style="441" customWidth="1"/>
    <col min="23" max="23" width="7.85546875" style="441" bestFit="1" customWidth="1"/>
    <col min="24" max="24" width="5.42578125" style="435" bestFit="1" customWidth="1"/>
    <col min="25" max="25" width="36.5703125" style="435" customWidth="1"/>
    <col min="26" max="26" width="10.85546875" style="442"/>
    <col min="27" max="27" width="4.85546875" style="441" bestFit="1" customWidth="1"/>
    <col min="28" max="28" width="6.5703125" style="435" customWidth="1"/>
    <col min="29" max="31" width="3.28515625" style="435" customWidth="1"/>
    <col min="32" max="32" width="12" style="435" customWidth="1"/>
    <col min="33" max="33" width="12" style="435" hidden="1" customWidth="1"/>
    <col min="34" max="34" width="36.7109375" style="435" customWidth="1"/>
    <col min="35" max="36" width="36.85546875" style="435" customWidth="1"/>
    <col min="37" max="42" width="10.85546875" style="435"/>
    <col min="43" max="43" width="1.7109375" style="435" bestFit="1" customWidth="1"/>
    <col min="44" max="44" width="10.85546875" style="435"/>
    <col min="45" max="46" width="12.28515625" style="435" customWidth="1"/>
    <col min="47" max="47" width="1.7109375" style="435" bestFit="1" customWidth="1"/>
    <col min="48" max="50" width="10.85546875" style="435"/>
    <col min="51" max="51" width="1.7109375" style="435" bestFit="1" customWidth="1"/>
    <col min="52" max="16384" width="10.85546875" style="435"/>
  </cols>
  <sheetData>
    <row r="1" spans="1:51" ht="55.5" customHeight="1" x14ac:dyDescent="0.2">
      <c r="B1" s="436"/>
      <c r="C1" s="436"/>
      <c r="D1" s="436"/>
      <c r="I1" s="437"/>
      <c r="J1" s="437"/>
      <c r="K1" s="988" t="str">
        <f>Championnat</f>
        <v>Championnat de France de Tir à l'ARC</v>
      </c>
      <c r="L1" s="988"/>
      <c r="M1" s="988"/>
      <c r="N1" s="988"/>
      <c r="O1" s="988"/>
      <c r="P1" s="988"/>
      <c r="Q1" s="988"/>
      <c r="R1" s="988"/>
      <c r="S1" s="988"/>
      <c r="T1" s="988"/>
      <c r="U1" s="988"/>
      <c r="V1" s="988"/>
      <c r="W1" s="988"/>
      <c r="X1" s="988"/>
      <c r="Y1" s="988"/>
      <c r="Z1" s="988"/>
      <c r="AA1" s="988"/>
      <c r="AB1" s="439"/>
      <c r="AC1" s="439"/>
      <c r="AD1" s="439"/>
      <c r="AE1" s="439"/>
      <c r="AF1" s="988" t="str">
        <f>Championnat</f>
        <v>Championnat de France de Tir à l'ARC</v>
      </c>
      <c r="AG1" s="988"/>
      <c r="AH1" s="988"/>
      <c r="AI1" s="988"/>
      <c r="AJ1" s="988"/>
      <c r="AK1" s="491"/>
      <c r="AL1" s="491"/>
      <c r="AM1" s="491"/>
      <c r="AN1" s="491"/>
      <c r="AO1" s="491"/>
      <c r="AP1" s="491"/>
      <c r="AQ1" s="491"/>
      <c r="AR1" s="491"/>
      <c r="AS1" s="491"/>
      <c r="AT1" s="491"/>
      <c r="AU1" s="491"/>
      <c r="AV1" s="491"/>
      <c r="AW1" s="491"/>
      <c r="AY1" s="491"/>
    </row>
    <row r="2" spans="1:51" ht="61.5" customHeight="1" x14ac:dyDescent="0.2">
      <c r="A2" s="437"/>
      <c r="I2" s="437"/>
      <c r="J2" s="437"/>
      <c r="K2" s="989" t="str">
        <f>CATEG_IMPORTEE</f>
        <v>Collèges Mixtes Etablissement</v>
      </c>
      <c r="L2" s="989"/>
      <c r="M2" s="989"/>
      <c r="N2" s="989"/>
      <c r="O2" s="989"/>
      <c r="P2" s="989"/>
      <c r="Q2" s="989"/>
      <c r="R2" s="989"/>
      <c r="S2" s="989"/>
      <c r="T2" s="989"/>
      <c r="U2" s="989"/>
      <c r="V2" s="989"/>
      <c r="W2" s="989"/>
      <c r="X2" s="989"/>
      <c r="Y2" s="989"/>
      <c r="Z2" s="989"/>
      <c r="AA2" s="438"/>
      <c r="AB2" s="439"/>
      <c r="AC2" s="439"/>
      <c r="AD2" s="439"/>
      <c r="AE2" s="439"/>
      <c r="AF2" s="990" t="str">
        <f>CATEG_IMPORTEE</f>
        <v>Collèges Mixtes Etablissement</v>
      </c>
      <c r="AG2" s="990"/>
      <c r="AH2" s="990"/>
      <c r="AI2" s="990"/>
      <c r="AJ2" s="990"/>
      <c r="AK2" s="492"/>
      <c r="AL2" s="492"/>
      <c r="AM2" s="492"/>
      <c r="AN2" s="492"/>
      <c r="AO2" s="492"/>
      <c r="AP2" s="492"/>
      <c r="AQ2" s="492"/>
      <c r="AR2" s="492"/>
      <c r="AS2" s="492"/>
      <c r="AT2" s="492"/>
      <c r="AU2" s="492"/>
      <c r="AV2" s="492"/>
      <c r="AW2" s="492"/>
      <c r="AY2" s="492"/>
    </row>
    <row r="3" spans="1:51" ht="42" customHeight="1" x14ac:dyDescent="0.2">
      <c r="B3" s="440" t="s">
        <v>774</v>
      </c>
      <c r="I3" s="437"/>
      <c r="J3" s="437"/>
      <c r="N3" s="991" t="str">
        <f>LIEU&amp;" du "&amp;DATE</f>
        <v>L’Isle sur la Sorgue du 27 au 31 mars 2023</v>
      </c>
      <c r="O3" s="991"/>
      <c r="P3" s="991"/>
      <c r="Q3" s="991"/>
      <c r="R3" s="991"/>
      <c r="S3" s="991"/>
      <c r="T3" s="991"/>
      <c r="U3" s="991"/>
      <c r="V3" s="991"/>
      <c r="W3" s="991"/>
      <c r="X3" s="991"/>
      <c r="AF3" s="991" t="str">
        <f>LIEU&amp;" du "&amp;DATE</f>
        <v>L’Isle sur la Sorgue du 27 au 31 mars 2023</v>
      </c>
      <c r="AG3" s="991"/>
      <c r="AH3" s="991"/>
      <c r="AI3" s="991"/>
      <c r="AJ3" s="991"/>
      <c r="AK3" s="493"/>
      <c r="AL3" s="493"/>
      <c r="AM3" s="493"/>
      <c r="AN3" s="493"/>
      <c r="AO3" s="493"/>
      <c r="AP3" s="493"/>
      <c r="AQ3" s="493"/>
      <c r="AR3" s="493"/>
      <c r="AS3" s="493"/>
      <c r="AT3" s="493"/>
      <c r="AU3" s="493"/>
      <c r="AW3" s="442"/>
      <c r="AY3" s="493"/>
    </row>
    <row r="4" spans="1:51" ht="21" customHeight="1" x14ac:dyDescent="0.2">
      <c r="B4" s="440" t="s">
        <v>775</v>
      </c>
      <c r="C4" s="462" t="s">
        <v>375</v>
      </c>
      <c r="D4" s="462" t="s">
        <v>374</v>
      </c>
      <c r="E4" s="440" t="s">
        <v>776</v>
      </c>
      <c r="F4" s="487" t="s">
        <v>838</v>
      </c>
      <c r="G4" s="488" t="s">
        <v>837</v>
      </c>
      <c r="H4" s="898"/>
      <c r="I4" s="437"/>
      <c r="J4" s="437"/>
      <c r="K4" s="979" t="s">
        <v>815</v>
      </c>
      <c r="L4" s="979"/>
      <c r="M4" s="979"/>
      <c r="N4" s="979"/>
      <c r="O4" s="443"/>
      <c r="P4" s="443"/>
      <c r="Q4" s="979" t="s">
        <v>816</v>
      </c>
      <c r="R4" s="979"/>
      <c r="S4" s="979"/>
      <c r="T4" s="979"/>
      <c r="U4" s="443"/>
      <c r="V4" s="443"/>
      <c r="W4" s="979" t="s">
        <v>817</v>
      </c>
      <c r="X4" s="979"/>
      <c r="Y4" s="979"/>
      <c r="Z4" s="979"/>
      <c r="AA4" s="443"/>
      <c r="AH4" s="980" t="s">
        <v>778</v>
      </c>
      <c r="AI4" s="980"/>
      <c r="AJ4" s="980"/>
      <c r="AN4" s="497" t="s">
        <v>848</v>
      </c>
    </row>
    <row r="5" spans="1:51" ht="15.95" customHeight="1" thickBot="1" x14ac:dyDescent="0.25">
      <c r="A5" s="435">
        <v>1</v>
      </c>
      <c r="B5" s="444" t="str">
        <f ca="1">INDIRECT("'Imp. Qualif.'!L"&amp;INDIRECT("f"&amp;ROW()))</f>
        <v/>
      </c>
      <c r="C5" s="444" t="str">
        <f ca="1">INDIRECT("'Imp. Qualif.'!M"&amp;INDIRECT("f"&amp;ROW()))</f>
        <v/>
      </c>
      <c r="D5" s="444" t="str">
        <f ca="1">INDIRECT("'Imp. Qualif.'!N"&amp;INDIRECT("f"&amp;ROW()))</f>
        <v/>
      </c>
      <c r="E5" s="486">
        <f ca="1">INDIRECT("'Imp. Qualif.'!O"&amp;INDIRECT("f"&amp;ROW()))</f>
        <v>0</v>
      </c>
      <c r="F5" s="489">
        <v>11</v>
      </c>
      <c r="G5" s="488" t="str">
        <f ca="1">B5&amp;C5</f>
        <v/>
      </c>
      <c r="H5" s="898" t="str">
        <f ca="1">IF(B5&lt;&gt;"",B5,"")</f>
        <v/>
      </c>
      <c r="I5" s="898" t="str">
        <f t="shared" ref="I5:J20" ca="1" si="0">IF(C5&lt;&gt;"",C5,"")</f>
        <v/>
      </c>
      <c r="J5" s="898" t="str">
        <f t="shared" ca="1" si="0"/>
        <v/>
      </c>
      <c r="L5" s="979" t="s">
        <v>1324</v>
      </c>
      <c r="M5" s="1247"/>
      <c r="N5" s="1247"/>
      <c r="O5" s="443"/>
      <c r="P5" s="443"/>
      <c r="R5" s="979" t="s">
        <v>818</v>
      </c>
      <c r="S5" s="1247"/>
      <c r="T5" s="1247"/>
      <c r="U5" s="443"/>
      <c r="V5" s="443"/>
      <c r="W5" s="445"/>
      <c r="X5" s="979" t="s">
        <v>777</v>
      </c>
      <c r="Y5" s="1247"/>
      <c r="Z5" s="1247"/>
      <c r="AA5" s="443"/>
      <c r="AH5" s="981"/>
      <c r="AI5" s="981"/>
      <c r="AJ5" s="981"/>
      <c r="AN5" s="494" t="s">
        <v>839</v>
      </c>
      <c r="AO5" s="494" t="s">
        <v>840</v>
      </c>
      <c r="AP5" s="494" t="s">
        <v>841</v>
      </c>
      <c r="AQ5" s="496" t="s">
        <v>793</v>
      </c>
      <c r="AR5" s="494" t="s">
        <v>842</v>
      </c>
      <c r="AS5" s="494" t="s">
        <v>843</v>
      </c>
      <c r="AT5" s="494" t="s">
        <v>844</v>
      </c>
      <c r="AU5" s="496" t="s">
        <v>793</v>
      </c>
      <c r="AV5" s="494" t="s">
        <v>845</v>
      </c>
      <c r="AW5" s="494" t="s">
        <v>846</v>
      </c>
      <c r="AX5" s="494" t="s">
        <v>847</v>
      </c>
      <c r="AY5" s="496" t="s">
        <v>793</v>
      </c>
    </row>
    <row r="6" spans="1:51" ht="15.95" customHeight="1" thickBot="1" x14ac:dyDescent="0.25">
      <c r="A6" s="435">
        <v>2</v>
      </c>
      <c r="B6" s="444" t="str">
        <f t="shared" ref="B6:B17" ca="1" si="1">INDIRECT("'Imp. Qualif.'!L"&amp;INDIRECT("f"&amp;ROW()))</f>
        <v/>
      </c>
      <c r="C6" s="444" t="str">
        <f t="shared" ref="C6:C17" ca="1" si="2">INDIRECT("'Imp. Qualif.'!M"&amp;INDIRECT("f"&amp;ROW()))</f>
        <v/>
      </c>
      <c r="D6" s="444" t="str">
        <f t="shared" ref="D6:D17" ca="1" si="3">INDIRECT("'Imp. Qualif.'!N"&amp;INDIRECT("f"&amp;ROW()))</f>
        <v/>
      </c>
      <c r="E6" s="486">
        <f t="shared" ref="E6:E17" ca="1" si="4">INDIRECT("'Imp. Qualif.'!O"&amp;INDIRECT("f"&amp;ROW()))</f>
        <v>0</v>
      </c>
      <c r="F6" s="489">
        <v>12</v>
      </c>
      <c r="G6" s="488" t="str">
        <f t="shared" ref="G6:G28" ca="1" si="5">B6&amp;C6</f>
        <v/>
      </c>
      <c r="H6" s="898" t="str">
        <f t="shared" ref="H6:J28" ca="1" si="6">IF(B6&lt;&gt;"",B6,"")</f>
        <v/>
      </c>
      <c r="I6" s="898" t="str">
        <f t="shared" ca="1" si="0"/>
        <v/>
      </c>
      <c r="J6" s="898" t="str">
        <f t="shared" ca="1" si="0"/>
        <v/>
      </c>
      <c r="K6" s="445" t="s">
        <v>779</v>
      </c>
      <c r="L6" s="779" t="s">
        <v>1083</v>
      </c>
      <c r="M6" s="456" t="s">
        <v>481</v>
      </c>
      <c r="N6" s="464" t="s">
        <v>780</v>
      </c>
      <c r="O6" s="446" t="s">
        <v>781</v>
      </c>
      <c r="P6" s="445"/>
      <c r="Q6" s="445" t="s">
        <v>779</v>
      </c>
      <c r="R6" s="779" t="s">
        <v>1083</v>
      </c>
      <c r="S6" s="456" t="s">
        <v>481</v>
      </c>
      <c r="T6" s="464" t="s">
        <v>780</v>
      </c>
      <c r="U6" s="446" t="s">
        <v>781</v>
      </c>
      <c r="V6" s="445"/>
      <c r="W6" s="445" t="s">
        <v>779</v>
      </c>
      <c r="X6" s="779" t="s">
        <v>1083</v>
      </c>
      <c r="Y6" s="456" t="s">
        <v>481</v>
      </c>
      <c r="Z6" s="464" t="s">
        <v>780</v>
      </c>
      <c r="AA6" s="446" t="s">
        <v>781</v>
      </c>
      <c r="AH6" s="483" t="s">
        <v>782</v>
      </c>
      <c r="AI6" s="484" t="s">
        <v>375</v>
      </c>
      <c r="AJ6" s="485" t="s">
        <v>783</v>
      </c>
      <c r="AN6" s="494">
        <f>K7</f>
        <v>1</v>
      </c>
      <c r="AO6" s="495" t="str">
        <f ca="1">L8</f>
        <v/>
      </c>
      <c r="AP6" s="495" t="str">
        <f ca="1">AO7</f>
        <v/>
      </c>
      <c r="AQ6" s="496" t="s">
        <v>793</v>
      </c>
      <c r="AR6" s="494">
        <f>Q7</f>
        <v>1</v>
      </c>
      <c r="AS6" s="495" t="str">
        <f ca="1">R8</f>
        <v/>
      </c>
      <c r="AT6" s="495" t="str">
        <f ca="1">AS7</f>
        <v/>
      </c>
      <c r="AU6" s="496" t="s">
        <v>793</v>
      </c>
      <c r="AV6" s="494">
        <f>W7</f>
        <v>1</v>
      </c>
      <c r="AW6" s="495" t="str">
        <f ca="1">X8</f>
        <v/>
      </c>
      <c r="AX6" s="495" t="str">
        <f t="shared" ref="AX6" ca="1" si="7">AW7</f>
        <v/>
      </c>
      <c r="AY6" s="496" t="s">
        <v>793</v>
      </c>
    </row>
    <row r="7" spans="1:51" ht="15.95" customHeight="1" thickBot="1" x14ac:dyDescent="0.25">
      <c r="A7" s="435">
        <v>3</v>
      </c>
      <c r="B7" s="444" t="str">
        <f t="shared" ca="1" si="1"/>
        <v/>
      </c>
      <c r="C7" s="444" t="str">
        <f t="shared" ca="1" si="2"/>
        <v/>
      </c>
      <c r="D7" s="444" t="str">
        <f t="shared" ca="1" si="3"/>
        <v/>
      </c>
      <c r="E7" s="486">
        <f t="shared" ca="1" si="4"/>
        <v>0</v>
      </c>
      <c r="F7" s="489">
        <v>13</v>
      </c>
      <c r="G7" s="488" t="str">
        <f t="shared" ca="1" si="5"/>
        <v/>
      </c>
      <c r="H7" s="898" t="str">
        <f t="shared" ca="1" si="6"/>
        <v/>
      </c>
      <c r="I7" s="898" t="str">
        <f t="shared" ca="1" si="0"/>
        <v/>
      </c>
      <c r="J7" s="898" t="str">
        <f t="shared" ca="1" si="0"/>
        <v/>
      </c>
      <c r="K7" s="447">
        <f>Num_Cible</f>
        <v>1</v>
      </c>
      <c r="L7" s="472">
        <v>1</v>
      </c>
      <c r="M7" s="465" t="str">
        <f ca="1">IFERROR(VLOOKUP(L8,$G$5:$J$28,2,FALSE),"")</f>
        <v/>
      </c>
      <c r="N7" s="966">
        <v>1</v>
      </c>
      <c r="O7" s="780"/>
      <c r="Q7" s="447">
        <f>K7</f>
        <v>1</v>
      </c>
      <c r="R7" s="472">
        <v>1</v>
      </c>
      <c r="S7" s="465" t="str">
        <f ca="1">IFERROR(VLOOKUP(R8,$G$5:$J$28,2,FALSE),"")</f>
        <v/>
      </c>
      <c r="T7" s="966">
        <v>1</v>
      </c>
      <c r="U7" s="780"/>
      <c r="W7" s="447">
        <f>Q7</f>
        <v>1</v>
      </c>
      <c r="X7" s="472">
        <v>1</v>
      </c>
      <c r="Y7" s="465" t="str">
        <f ca="1">IFERROR(VLOOKUP(X8,$G$5:$J$28,2,FALSE),"")</f>
        <v/>
      </c>
      <c r="Z7" s="966">
        <v>1</v>
      </c>
      <c r="AA7" s="780"/>
      <c r="AF7" s="448" t="s">
        <v>784</v>
      </c>
      <c r="AG7" s="435" t="str">
        <f ca="1">IF(ISBLANK(Z7),"",IF(Z7+AA7&gt;Z9+AA9,X8,X10))</f>
        <v/>
      </c>
      <c r="AH7" s="475" t="str">
        <f ca="1">IFERROR(VLOOKUP(AG7,$G$5:$J$28,2,FALSE),"")</f>
        <v/>
      </c>
      <c r="AI7" s="475" t="str">
        <f ca="1">IFERROR(VLOOKUP(AG7,$G$5:$J$28,3,FALSE),"")</f>
        <v/>
      </c>
      <c r="AJ7" s="475" t="str">
        <f ca="1">IFERROR(VLOOKUP(AG7,$G$5:$J$28,4,FALSE),"")</f>
        <v/>
      </c>
      <c r="AN7" s="494">
        <f>K9</f>
        <v>2</v>
      </c>
      <c r="AO7" s="495" t="str">
        <f ca="1">L10</f>
        <v/>
      </c>
      <c r="AP7" s="495" t="str">
        <f ca="1">AO6</f>
        <v/>
      </c>
      <c r="AQ7" s="496" t="s">
        <v>793</v>
      </c>
      <c r="AR7" s="494">
        <f>Q9</f>
        <v>2</v>
      </c>
      <c r="AS7" s="495" t="str">
        <f ca="1">R10</f>
        <v/>
      </c>
      <c r="AT7" s="495" t="str">
        <f ca="1">AS6</f>
        <v/>
      </c>
      <c r="AU7" s="496" t="s">
        <v>793</v>
      </c>
      <c r="AV7" s="494">
        <f>W9</f>
        <v>2</v>
      </c>
      <c r="AW7" s="495" t="str">
        <f ca="1">X10</f>
        <v/>
      </c>
      <c r="AX7" s="495" t="str">
        <f t="shared" ref="AX7" ca="1" si="8">AW6</f>
        <v/>
      </c>
      <c r="AY7" s="496" t="s">
        <v>793</v>
      </c>
    </row>
    <row r="8" spans="1:51" ht="15.95" customHeight="1" thickBot="1" x14ac:dyDescent="0.25">
      <c r="A8" s="435">
        <v>4</v>
      </c>
      <c r="B8" s="444" t="str">
        <f t="shared" ca="1" si="1"/>
        <v/>
      </c>
      <c r="C8" s="444" t="str">
        <f t="shared" ca="1" si="2"/>
        <v/>
      </c>
      <c r="D8" s="444" t="str">
        <f t="shared" ca="1" si="3"/>
        <v/>
      </c>
      <c r="E8" s="486">
        <f t="shared" ca="1" si="4"/>
        <v>0</v>
      </c>
      <c r="F8" s="489">
        <v>14</v>
      </c>
      <c r="G8" s="488" t="str">
        <f t="shared" ca="1" si="5"/>
        <v/>
      </c>
      <c r="H8" s="898" t="str">
        <f t="shared" ca="1" si="6"/>
        <v/>
      </c>
      <c r="I8" s="898" t="str">
        <f t="shared" ca="1" si="0"/>
        <v/>
      </c>
      <c r="J8" s="898" t="str">
        <f t="shared" ca="1" si="0"/>
        <v/>
      </c>
      <c r="K8" s="447"/>
      <c r="L8" s="473" t="str">
        <f ca="1">VLOOKUP(L7,$A$5:$G$24,7,FALSE)</f>
        <v/>
      </c>
      <c r="M8" s="466" t="str">
        <f ca="1">IFERROR(VLOOKUP(L8,$G$5:$J$28,3,FALSE),"")</f>
        <v/>
      </c>
      <c r="N8" s="967"/>
      <c r="Q8" s="447"/>
      <c r="R8" s="473" t="str">
        <f ca="1">IF(ISBLANK(N7),"",IF(O7+N7&gt;N9+O9,L8,L10))</f>
        <v/>
      </c>
      <c r="S8" s="466" t="str">
        <f ca="1">IFERROR(VLOOKUP(R8,$G$5:$J$28,3,FALSE),"")</f>
        <v/>
      </c>
      <c r="T8" s="967"/>
      <c r="W8" s="447"/>
      <c r="X8" s="473" t="str">
        <f ca="1">IF(ISBLANK(T7),"",IF(U7+T7&gt;T9+U9,R8,R10))</f>
        <v/>
      </c>
      <c r="Y8" s="466" t="str">
        <f ca="1">IFERROR(VLOOKUP(X8,$G$5:$J$28,3,FALSE),"")</f>
        <v/>
      </c>
      <c r="Z8" s="967"/>
      <c r="AF8" s="449" t="s">
        <v>785</v>
      </c>
      <c r="AG8" s="435" t="str">
        <f ca="1">IF(ISBLANK(Z7),"",IF(Z7+AA7&lt;Z9+AA9,X8,X10))</f>
        <v/>
      </c>
      <c r="AH8" s="478" t="str">
        <f t="shared" ref="AH8:AH19" ca="1" si="9">IFERROR(VLOOKUP(AG8,$G$5:$J$28,2,FALSE),"")</f>
        <v/>
      </c>
      <c r="AI8" s="474" t="str">
        <f t="shared" ref="AI8:AI19" ca="1" si="10">IFERROR(VLOOKUP(AG8,$G$5:$J$28,3,FALSE),"")</f>
        <v/>
      </c>
      <c r="AJ8" s="915" t="str">
        <f t="shared" ref="AJ8:AJ19" ca="1" si="11">IFERROR(VLOOKUP(AG8,$G$5:$J$28,4,FALSE),"")</f>
        <v/>
      </c>
      <c r="AN8" s="494">
        <f>K14</f>
        <v>3</v>
      </c>
      <c r="AO8" s="495" t="str">
        <f ca="1">L15</f>
        <v/>
      </c>
      <c r="AP8" s="495" t="str">
        <f ca="1">AO9</f>
        <v/>
      </c>
      <c r="AQ8" s="496" t="s">
        <v>793</v>
      </c>
      <c r="AR8" s="494">
        <f>Q14</f>
        <v>3</v>
      </c>
      <c r="AS8" s="495" t="str">
        <f ca="1">R15</f>
        <v/>
      </c>
      <c r="AT8" s="495" t="str">
        <f t="shared" ref="AT8" ca="1" si="12">AS9</f>
        <v/>
      </c>
      <c r="AU8" s="496" t="s">
        <v>793</v>
      </c>
      <c r="AV8" s="494">
        <f>W14</f>
        <v>3</v>
      </c>
      <c r="AW8" s="495" t="str">
        <f ca="1">X15</f>
        <v/>
      </c>
      <c r="AX8" s="495" t="str">
        <f t="shared" ref="AX8" ca="1" si="13">AW9</f>
        <v/>
      </c>
      <c r="AY8" s="496" t="s">
        <v>793</v>
      </c>
    </row>
    <row r="9" spans="1:51" ht="15.95" customHeight="1" thickBot="1" x14ac:dyDescent="0.25">
      <c r="A9" s="435">
        <v>5</v>
      </c>
      <c r="B9" s="444" t="str">
        <f t="shared" ca="1" si="1"/>
        <v/>
      </c>
      <c r="C9" s="444" t="str">
        <f t="shared" ca="1" si="2"/>
        <v/>
      </c>
      <c r="D9" s="444" t="str">
        <f t="shared" ca="1" si="3"/>
        <v/>
      </c>
      <c r="E9" s="486">
        <f t="shared" ca="1" si="4"/>
        <v>0</v>
      </c>
      <c r="F9" s="489">
        <v>15</v>
      </c>
      <c r="G9" s="488" t="str">
        <f t="shared" ca="1" si="5"/>
        <v/>
      </c>
      <c r="H9" s="898" t="str">
        <f t="shared" ca="1" si="6"/>
        <v/>
      </c>
      <c r="I9" s="898" t="str">
        <f t="shared" ca="1" si="0"/>
        <v/>
      </c>
      <c r="J9" s="898" t="str">
        <f t="shared" ca="1" si="0"/>
        <v/>
      </c>
      <c r="K9" s="447">
        <f>K7+1</f>
        <v>2</v>
      </c>
      <c r="L9" s="472">
        <v>8</v>
      </c>
      <c r="M9" s="465" t="str">
        <f ca="1">IFERROR(VLOOKUP(L10,$G$5:$J$28,2,FALSE),"")</f>
        <v/>
      </c>
      <c r="N9" s="966">
        <v>0</v>
      </c>
      <c r="O9" s="780"/>
      <c r="Q9" s="447">
        <f>Q7+1</f>
        <v>2</v>
      </c>
      <c r="R9" s="472">
        <v>4</v>
      </c>
      <c r="S9" s="465" t="str">
        <f ca="1">IFERROR(VLOOKUP(R10,$G$5:$J$28,2,FALSE),"")</f>
        <v/>
      </c>
      <c r="T9" s="966">
        <v>0</v>
      </c>
      <c r="U9" s="780"/>
      <c r="W9" s="447">
        <f>W7+1</f>
        <v>2</v>
      </c>
      <c r="X9" s="472">
        <v>2</v>
      </c>
      <c r="Y9" s="465" t="str">
        <f ca="1">IFERROR(VLOOKUP(X10,$G$5:$J$28,2,FALSE),"")</f>
        <v/>
      </c>
      <c r="Z9" s="966">
        <v>0</v>
      </c>
      <c r="AA9" s="780"/>
      <c r="AF9" s="452" t="s">
        <v>786</v>
      </c>
      <c r="AG9" s="435" t="str">
        <f ca="1">IF(ISBLANK(Z14),"",IF(Z14+AA14&gt;Z16+AA16,X15,X17))</f>
        <v/>
      </c>
      <c r="AH9" s="478" t="str">
        <f t="shared" ca="1" si="9"/>
        <v/>
      </c>
      <c r="AI9" s="474" t="str">
        <f t="shared" ca="1" si="10"/>
        <v/>
      </c>
      <c r="AJ9" s="915" t="str">
        <f t="shared" ca="1" si="11"/>
        <v/>
      </c>
      <c r="AN9" s="494">
        <f>K16</f>
        <v>4</v>
      </c>
      <c r="AO9" s="495" t="str">
        <f ca="1">L17</f>
        <v/>
      </c>
      <c r="AP9" s="495" t="str">
        <f ca="1">AO8</f>
        <v/>
      </c>
      <c r="AQ9" s="496" t="s">
        <v>793</v>
      </c>
      <c r="AR9" s="494">
        <f>Q16</f>
        <v>4</v>
      </c>
      <c r="AS9" s="495" t="str">
        <f ca="1">R17</f>
        <v/>
      </c>
      <c r="AT9" s="495" t="str">
        <f t="shared" ref="AT9" ca="1" si="14">AS8</f>
        <v/>
      </c>
      <c r="AU9" s="496" t="s">
        <v>793</v>
      </c>
      <c r="AV9" s="494">
        <f>W16</f>
        <v>4</v>
      </c>
      <c r="AW9" s="495" t="str">
        <f ca="1">X17</f>
        <v/>
      </c>
      <c r="AX9" s="495" t="str">
        <f t="shared" ref="AX9" ca="1" si="15">AW8</f>
        <v/>
      </c>
      <c r="AY9" s="496" t="s">
        <v>793</v>
      </c>
    </row>
    <row r="10" spans="1:51" ht="15.95" customHeight="1" thickBot="1" x14ac:dyDescent="0.25">
      <c r="A10" s="435">
        <v>6</v>
      </c>
      <c r="B10" s="444" t="str">
        <f t="shared" ca="1" si="1"/>
        <v/>
      </c>
      <c r="C10" s="444" t="str">
        <f t="shared" ca="1" si="2"/>
        <v/>
      </c>
      <c r="D10" s="444" t="str">
        <f t="shared" ca="1" si="3"/>
        <v/>
      </c>
      <c r="E10" s="486">
        <f t="shared" ca="1" si="4"/>
        <v>0</v>
      </c>
      <c r="F10" s="489">
        <v>16</v>
      </c>
      <c r="G10" s="488" t="str">
        <f t="shared" ca="1" si="5"/>
        <v/>
      </c>
      <c r="H10" s="898" t="str">
        <f t="shared" ca="1" si="6"/>
        <v/>
      </c>
      <c r="I10" s="898" t="str">
        <f t="shared" ca="1" si="0"/>
        <v/>
      </c>
      <c r="J10" s="898" t="str">
        <f t="shared" ca="1" si="0"/>
        <v/>
      </c>
      <c r="K10" s="447"/>
      <c r="L10" s="473" t="str">
        <f ca="1">VLOOKUP(L9,$A$5:$G$24,7,FALSE)</f>
        <v/>
      </c>
      <c r="M10" s="466" t="str">
        <f ca="1">IFERROR(VLOOKUP(L10,$G$5:$J$28,3,FALSE),"")</f>
        <v/>
      </c>
      <c r="N10" s="967"/>
      <c r="Q10" s="447"/>
      <c r="R10" s="473" t="str">
        <f ca="1">IF(ISBLANK(N14),"",IF(O14+N14&gt;N16+O16,L15,L17))</f>
        <v/>
      </c>
      <c r="S10" s="466" t="str">
        <f ca="1">IFERROR(VLOOKUP(R10,$G$5:$J$28,3,FALSE),"")</f>
        <v/>
      </c>
      <c r="T10" s="967"/>
      <c r="W10" s="447"/>
      <c r="X10" s="473" t="str">
        <f ca="1">IF(ISBLANK(T14),"",IF(U14+T14&gt;T16+U16,R15,R17))</f>
        <v/>
      </c>
      <c r="Y10" s="466" t="str">
        <f ca="1">IFERROR(VLOOKUP(X10,$G$5:$J$28,3,FALSE),"")</f>
        <v/>
      </c>
      <c r="Z10" s="967"/>
      <c r="AF10" s="453" t="s">
        <v>788</v>
      </c>
      <c r="AG10" s="435" t="str">
        <f ca="1">IF(ISBLANK(Z14),"",IF(Z14+AA14&lt;Z16+AA16,X15,X17))</f>
        <v/>
      </c>
      <c r="AH10" s="478" t="str">
        <f t="shared" ca="1" si="9"/>
        <v/>
      </c>
      <c r="AI10" s="474" t="str">
        <f t="shared" ca="1" si="10"/>
        <v/>
      </c>
      <c r="AJ10" s="915" t="str">
        <f t="shared" ca="1" si="11"/>
        <v/>
      </c>
      <c r="AN10" s="494">
        <f>K21</f>
        <v>5</v>
      </c>
      <c r="AO10" s="495" t="str">
        <f ca="1">L22</f>
        <v/>
      </c>
      <c r="AP10" s="495" t="str">
        <f ca="1">AO11</f>
        <v/>
      </c>
      <c r="AQ10" s="496" t="s">
        <v>793</v>
      </c>
      <c r="AR10" s="494">
        <f>Q21</f>
        <v>5</v>
      </c>
      <c r="AS10" s="495" t="str">
        <f ca="1">R22</f>
        <v/>
      </c>
      <c r="AT10" s="495" t="str">
        <f t="shared" ref="AT10" ca="1" si="16">AS11</f>
        <v/>
      </c>
      <c r="AU10" s="496" t="s">
        <v>793</v>
      </c>
      <c r="AV10" s="494">
        <f>W21</f>
        <v>5</v>
      </c>
      <c r="AW10" s="495" t="str">
        <f ca="1">X22</f>
        <v/>
      </c>
      <c r="AX10" s="495" t="str">
        <f t="shared" ref="AX10" ca="1" si="17">AW11</f>
        <v/>
      </c>
      <c r="AY10" s="496" t="s">
        <v>793</v>
      </c>
    </row>
    <row r="11" spans="1:51" ht="15.95" customHeight="1" x14ac:dyDescent="0.2">
      <c r="A11" s="435">
        <v>7</v>
      </c>
      <c r="B11" s="444" t="str">
        <f t="shared" ca="1" si="1"/>
        <v/>
      </c>
      <c r="C11" s="444" t="str">
        <f t="shared" ca="1" si="2"/>
        <v/>
      </c>
      <c r="D11" s="444" t="str">
        <f t="shared" ca="1" si="3"/>
        <v/>
      </c>
      <c r="E11" s="486">
        <f t="shared" ca="1" si="4"/>
        <v>0</v>
      </c>
      <c r="F11" s="489">
        <v>17</v>
      </c>
      <c r="G11" s="488" t="str">
        <f t="shared" ca="1" si="5"/>
        <v/>
      </c>
      <c r="H11" s="898" t="str">
        <f t="shared" ca="1" si="6"/>
        <v/>
      </c>
      <c r="I11" s="898" t="str">
        <f t="shared" ca="1" si="0"/>
        <v/>
      </c>
      <c r="J11" s="898" t="str">
        <f t="shared" ca="1" si="0"/>
        <v/>
      </c>
      <c r="K11" s="450"/>
      <c r="L11" s="450"/>
      <c r="M11" s="450"/>
      <c r="N11" s="451"/>
      <c r="O11" s="450"/>
      <c r="P11" s="450"/>
      <c r="Q11" s="450"/>
      <c r="R11" s="437"/>
      <c r="S11" s="437"/>
      <c r="T11" s="451"/>
      <c r="U11" s="450"/>
      <c r="V11" s="450"/>
      <c r="W11" s="450"/>
      <c r="X11" s="450"/>
      <c r="Y11" s="450"/>
      <c r="Z11" s="451"/>
      <c r="AA11" s="450"/>
      <c r="AF11" s="453" t="s">
        <v>789</v>
      </c>
      <c r="AG11" s="435" t="str">
        <f ca="1">IF(ISBLANK(Z21),"",IF(Z21+AA21&gt;Z23+AA23,X22,X24))</f>
        <v/>
      </c>
      <c r="AH11" s="478" t="str">
        <f t="shared" ca="1" si="9"/>
        <v/>
      </c>
      <c r="AI11" s="474" t="str">
        <f t="shared" ca="1" si="10"/>
        <v/>
      </c>
      <c r="AJ11" s="915" t="str">
        <f t="shared" ca="1" si="11"/>
        <v/>
      </c>
      <c r="AN11" s="494">
        <f>K23</f>
        <v>6</v>
      </c>
      <c r="AO11" s="495" t="str">
        <f ca="1">L24</f>
        <v/>
      </c>
      <c r="AP11" s="495" t="str">
        <f ca="1">AO10</f>
        <v/>
      </c>
      <c r="AQ11" s="496" t="s">
        <v>793</v>
      </c>
      <c r="AR11" s="494">
        <f>Q23</f>
        <v>6</v>
      </c>
      <c r="AS11" s="495" t="str">
        <f ca="1">R24</f>
        <v/>
      </c>
      <c r="AT11" s="495" t="str">
        <f t="shared" ref="AT11" ca="1" si="18">AS10</f>
        <v/>
      </c>
      <c r="AU11" s="496" t="s">
        <v>793</v>
      </c>
      <c r="AV11" s="494">
        <f>W23</f>
        <v>6</v>
      </c>
      <c r="AW11" s="495" t="str">
        <f ca="1">X24</f>
        <v/>
      </c>
      <c r="AX11" s="495" t="str">
        <f t="shared" ref="AX11" ca="1" si="19">AW10</f>
        <v/>
      </c>
      <c r="AY11" s="496" t="s">
        <v>793</v>
      </c>
    </row>
    <row r="12" spans="1:51" ht="15.95" customHeight="1" thickBot="1" x14ac:dyDescent="0.25">
      <c r="A12" s="435">
        <v>8</v>
      </c>
      <c r="B12" s="444" t="str">
        <f t="shared" ca="1" si="1"/>
        <v/>
      </c>
      <c r="C12" s="444" t="str">
        <f t="shared" ca="1" si="2"/>
        <v/>
      </c>
      <c r="D12" s="444" t="str">
        <f t="shared" ca="1" si="3"/>
        <v/>
      </c>
      <c r="E12" s="486">
        <f t="shared" ca="1" si="4"/>
        <v>0</v>
      </c>
      <c r="F12" s="489">
        <v>18</v>
      </c>
      <c r="G12" s="488" t="str">
        <f t="shared" ca="1" si="5"/>
        <v/>
      </c>
      <c r="H12" s="898" t="str">
        <f t="shared" ca="1" si="6"/>
        <v/>
      </c>
      <c r="I12" s="898" t="str">
        <f t="shared" ca="1" si="0"/>
        <v/>
      </c>
      <c r="J12" s="898" t="str">
        <f t="shared" ca="1" si="0"/>
        <v/>
      </c>
      <c r="K12" s="450"/>
      <c r="L12" s="450"/>
      <c r="M12" s="450"/>
      <c r="N12" s="451"/>
      <c r="O12" s="450"/>
      <c r="P12" s="450"/>
      <c r="Q12" s="450"/>
      <c r="R12" s="437"/>
      <c r="S12" s="437"/>
      <c r="T12" s="451"/>
      <c r="U12" s="450"/>
      <c r="V12" s="450"/>
      <c r="W12" s="450"/>
      <c r="X12" s="979" t="s">
        <v>787</v>
      </c>
      <c r="Y12" s="1247"/>
      <c r="Z12" s="1247"/>
      <c r="AA12" s="450"/>
      <c r="AF12" s="453" t="s">
        <v>790</v>
      </c>
      <c r="AG12" s="435" t="str">
        <f ca="1">IF(ISBLANK(Z21),"",IF(Z21+AA21&lt;Z23+AA23,X22,X24))</f>
        <v/>
      </c>
      <c r="AH12" s="478" t="str">
        <f t="shared" ca="1" si="9"/>
        <v/>
      </c>
      <c r="AI12" s="474" t="str">
        <f t="shared" ca="1" si="10"/>
        <v/>
      </c>
      <c r="AJ12" s="915" t="str">
        <f t="shared" ca="1" si="11"/>
        <v/>
      </c>
      <c r="AN12" s="494">
        <f>K28</f>
        <v>7</v>
      </c>
      <c r="AO12" s="495" t="str">
        <f ca="1">L29</f>
        <v/>
      </c>
      <c r="AP12" s="495" t="str">
        <f ca="1">AO13</f>
        <v/>
      </c>
      <c r="AQ12" s="496" t="s">
        <v>793</v>
      </c>
      <c r="AR12" s="494">
        <f>Q28</f>
        <v>7</v>
      </c>
      <c r="AS12" s="495" t="str">
        <f ca="1">R29</f>
        <v/>
      </c>
      <c r="AT12" s="495" t="str">
        <f t="shared" ref="AT12" ca="1" si="20">AS13</f>
        <v/>
      </c>
      <c r="AU12" s="496" t="s">
        <v>793</v>
      </c>
      <c r="AV12" s="494">
        <f>W28</f>
        <v>7</v>
      </c>
      <c r="AW12" s="495" t="str">
        <f ca="1">X29</f>
        <v/>
      </c>
      <c r="AX12" s="495" t="str">
        <f t="shared" ref="AX12" ca="1" si="21">AW13</f>
        <v/>
      </c>
      <c r="AY12" s="496" t="s">
        <v>793</v>
      </c>
    </row>
    <row r="13" spans="1:51" ht="15.95" customHeight="1" thickBot="1" x14ac:dyDescent="0.25">
      <c r="A13" s="435">
        <v>9</v>
      </c>
      <c r="B13" s="444" t="str">
        <f t="shared" ca="1" si="1"/>
        <v/>
      </c>
      <c r="C13" s="444" t="str">
        <f t="shared" ca="1" si="2"/>
        <v/>
      </c>
      <c r="D13" s="444" t="str">
        <f t="shared" ca="1" si="3"/>
        <v/>
      </c>
      <c r="E13" s="486">
        <f t="shared" ca="1" si="4"/>
        <v>0</v>
      </c>
      <c r="F13" s="489">
        <v>19</v>
      </c>
      <c r="G13" s="488" t="str">
        <f t="shared" ca="1" si="5"/>
        <v/>
      </c>
      <c r="H13" s="898" t="str">
        <f t="shared" ca="1" si="6"/>
        <v/>
      </c>
      <c r="I13" s="898" t="str">
        <f t="shared" ca="1" si="0"/>
        <v/>
      </c>
      <c r="J13" s="898" t="str">
        <f t="shared" ca="1" si="0"/>
        <v/>
      </c>
      <c r="K13" s="445" t="s">
        <v>779</v>
      </c>
      <c r="L13" s="779" t="s">
        <v>1083</v>
      </c>
      <c r="M13" s="456" t="s">
        <v>481</v>
      </c>
      <c r="N13" s="464" t="s">
        <v>780</v>
      </c>
      <c r="O13" s="446" t="s">
        <v>781</v>
      </c>
      <c r="P13" s="445"/>
      <c r="Q13" s="445" t="s">
        <v>779</v>
      </c>
      <c r="R13" s="779" t="s">
        <v>1083</v>
      </c>
      <c r="S13" s="456" t="s">
        <v>481</v>
      </c>
      <c r="T13" s="464" t="s">
        <v>780</v>
      </c>
      <c r="U13" s="446" t="s">
        <v>781</v>
      </c>
      <c r="V13" s="445"/>
      <c r="W13" s="445" t="s">
        <v>779</v>
      </c>
      <c r="X13" s="779" t="s">
        <v>1083</v>
      </c>
      <c r="Y13" s="456" t="s">
        <v>481</v>
      </c>
      <c r="Z13" s="464" t="s">
        <v>780</v>
      </c>
      <c r="AA13" s="446" t="s">
        <v>781</v>
      </c>
      <c r="AF13" s="453" t="s">
        <v>791</v>
      </c>
      <c r="AG13" s="435" t="str">
        <f ca="1">IF(ISBLANK(Z28),"",IF(Z28+AA28&gt;Z30+AA30,X29,X31))</f>
        <v/>
      </c>
      <c r="AH13" s="478" t="str">
        <f t="shared" ca="1" si="9"/>
        <v/>
      </c>
      <c r="AI13" s="474" t="str">
        <f t="shared" ca="1" si="10"/>
        <v/>
      </c>
      <c r="AJ13" s="915" t="str">
        <f t="shared" ca="1" si="11"/>
        <v/>
      </c>
      <c r="AN13" s="494">
        <f>K30</f>
        <v>8</v>
      </c>
      <c r="AO13" s="495" t="str">
        <f ca="1">L31</f>
        <v/>
      </c>
      <c r="AP13" s="495" t="str">
        <f ca="1">AO12</f>
        <v/>
      </c>
      <c r="AQ13" s="496" t="s">
        <v>793</v>
      </c>
      <c r="AR13" s="494">
        <f>Q30</f>
        <v>8</v>
      </c>
      <c r="AS13" s="495" t="str">
        <f ca="1">R31</f>
        <v/>
      </c>
      <c r="AT13" s="495" t="str">
        <f t="shared" ref="AT13" ca="1" si="22">AS12</f>
        <v/>
      </c>
      <c r="AU13" s="496" t="s">
        <v>793</v>
      </c>
      <c r="AV13" s="494">
        <f>W30</f>
        <v>8</v>
      </c>
      <c r="AW13" s="495" t="str">
        <f ca="1">X31</f>
        <v/>
      </c>
      <c r="AX13" s="495" t="str">
        <f t="shared" ref="AX13" ca="1" si="23">AW12</f>
        <v/>
      </c>
      <c r="AY13" s="496" t="s">
        <v>793</v>
      </c>
    </row>
    <row r="14" spans="1:51" ht="15.95" customHeight="1" thickBot="1" x14ac:dyDescent="0.25">
      <c r="A14" s="435">
        <v>10</v>
      </c>
      <c r="B14" s="444" t="str">
        <f t="shared" ca="1" si="1"/>
        <v/>
      </c>
      <c r="C14" s="444" t="str">
        <f t="shared" ca="1" si="2"/>
        <v/>
      </c>
      <c r="D14" s="444" t="str">
        <f t="shared" ca="1" si="3"/>
        <v/>
      </c>
      <c r="E14" s="486">
        <f t="shared" ca="1" si="4"/>
        <v>0</v>
      </c>
      <c r="F14" s="489">
        <v>20</v>
      </c>
      <c r="G14" s="488" t="str">
        <f t="shared" ca="1" si="5"/>
        <v/>
      </c>
      <c r="H14" s="898" t="str">
        <f t="shared" ca="1" si="6"/>
        <v/>
      </c>
      <c r="I14" s="898" t="str">
        <f t="shared" ca="1" si="0"/>
        <v/>
      </c>
      <c r="J14" s="898" t="str">
        <f t="shared" ca="1" si="0"/>
        <v/>
      </c>
      <c r="K14" s="447">
        <f>K9+1</f>
        <v>3</v>
      </c>
      <c r="L14" s="472">
        <v>4</v>
      </c>
      <c r="M14" s="465" t="str">
        <f ca="1">IFERROR(VLOOKUP(L15,$G$5:$J$28,2,FALSE),"")</f>
        <v/>
      </c>
      <c r="N14" s="966">
        <v>1</v>
      </c>
      <c r="O14" s="780"/>
      <c r="Q14" s="447">
        <f>Q9+1</f>
        <v>3</v>
      </c>
      <c r="R14" s="472">
        <v>3</v>
      </c>
      <c r="S14" s="465" t="str">
        <f ca="1">IFERROR(VLOOKUP(R15,$G$5:$J$28,2,FALSE),"")</f>
        <v/>
      </c>
      <c r="T14" s="966">
        <v>0</v>
      </c>
      <c r="U14" s="780"/>
      <c r="W14" s="447">
        <f>W9+1</f>
        <v>3</v>
      </c>
      <c r="X14" s="472">
        <v>4</v>
      </c>
      <c r="Y14" s="465" t="str">
        <f ca="1">IFERROR(VLOOKUP(X15,$G$5:$J$28,2,FALSE),"")</f>
        <v/>
      </c>
      <c r="Z14" s="966">
        <v>1</v>
      </c>
      <c r="AA14" s="780"/>
      <c r="AF14" s="453" t="s">
        <v>792</v>
      </c>
      <c r="AG14" s="435" t="str">
        <f ca="1">IF(ISBLANK(Z28),"",IF(Z28+AA28&lt;Z30+AA30,X29,X31))</f>
        <v/>
      </c>
      <c r="AH14" s="478" t="str">
        <f t="shared" ca="1" si="9"/>
        <v/>
      </c>
      <c r="AI14" s="474" t="str">
        <f t="shared" ca="1" si="10"/>
        <v/>
      </c>
      <c r="AJ14" s="915" t="str">
        <f t="shared" ca="1" si="11"/>
        <v/>
      </c>
      <c r="AN14" s="494">
        <f>K35</f>
        <v>9</v>
      </c>
      <c r="AO14" s="495" t="str">
        <f ca="1">L36</f>
        <v/>
      </c>
      <c r="AP14" s="784" t="s">
        <v>1326</v>
      </c>
      <c r="AQ14" s="496" t="s">
        <v>793</v>
      </c>
      <c r="AR14" s="494">
        <f>Q35</f>
        <v>9</v>
      </c>
      <c r="AS14" s="495" t="str">
        <f ca="1">R36</f>
        <v/>
      </c>
      <c r="AT14" s="495" t="str">
        <f t="shared" ref="AT14" ca="1" si="24">AS15</f>
        <v/>
      </c>
      <c r="AU14" s="496" t="s">
        <v>793</v>
      </c>
      <c r="AV14" s="494">
        <f>W35</f>
        <v>9</v>
      </c>
      <c r="AW14" s="495" t="str">
        <f ca="1">X36</f>
        <v/>
      </c>
      <c r="AX14" s="495" t="str">
        <f t="shared" ref="AX14" ca="1" si="25">AW15</f>
        <v/>
      </c>
      <c r="AY14" s="496" t="s">
        <v>793</v>
      </c>
    </row>
    <row r="15" spans="1:51" ht="15.95" customHeight="1" thickBot="1" x14ac:dyDescent="0.25">
      <c r="A15" s="435">
        <v>11</v>
      </c>
      <c r="B15" s="444" t="str">
        <f t="shared" ca="1" si="1"/>
        <v/>
      </c>
      <c r="C15" s="444" t="str">
        <f t="shared" ca="1" si="2"/>
        <v/>
      </c>
      <c r="D15" s="444" t="str">
        <f t="shared" ca="1" si="3"/>
        <v/>
      </c>
      <c r="E15" s="486">
        <f t="shared" ca="1" si="4"/>
        <v>0</v>
      </c>
      <c r="F15" s="489">
        <v>21</v>
      </c>
      <c r="G15" s="488" t="str">
        <f t="shared" ca="1" si="5"/>
        <v/>
      </c>
      <c r="H15" s="898" t="str">
        <f t="shared" ca="1" si="6"/>
        <v/>
      </c>
      <c r="I15" s="898" t="str">
        <f t="shared" ca="1" si="0"/>
        <v/>
      </c>
      <c r="J15" s="898" t="str">
        <f t="shared" ca="1" si="0"/>
        <v/>
      </c>
      <c r="K15" s="447"/>
      <c r="L15" s="473" t="str">
        <f ca="1">VLOOKUP(L14,$A$5:$G$24,7,FALSE)</f>
        <v/>
      </c>
      <c r="M15" s="466" t="str">
        <f ca="1">IFERROR(VLOOKUP(L15,$G$5:$J$28,3,FALSE),"")</f>
        <v/>
      </c>
      <c r="N15" s="967"/>
      <c r="Q15" s="447"/>
      <c r="R15" s="473" t="str">
        <f ca="1">IF(ISBLANK(N21),"",IF(N21+O21&gt;N23+O23,L22,L24))</f>
        <v/>
      </c>
      <c r="S15" s="466" t="str">
        <f ca="1">IFERROR(VLOOKUP(R15,$G$5:$J$28,3,FALSE),"")</f>
        <v/>
      </c>
      <c r="T15" s="967"/>
      <c r="W15" s="447"/>
      <c r="X15" s="473" t="str">
        <f ca="1">IF(ISBLANK(T7),"",IF(U7+T7&lt;T9+U9,R8,R10))</f>
        <v/>
      </c>
      <c r="Y15" s="466" t="str">
        <f ca="1">IFERROR(VLOOKUP(X15,$G$5:$J$28,3,FALSE),"")</f>
        <v/>
      </c>
      <c r="Z15" s="967"/>
      <c r="AF15" s="453" t="s">
        <v>794</v>
      </c>
      <c r="AG15" s="435" t="str">
        <f ca="1">IF(ISBLANK(Z35),"",IF(Z35+AA35&gt;Z37+AA37,X36,X38))</f>
        <v/>
      </c>
      <c r="AH15" s="478" t="str">
        <f t="shared" ca="1" si="9"/>
        <v/>
      </c>
      <c r="AI15" s="474" t="str">
        <f t="shared" ca="1" si="10"/>
        <v/>
      </c>
      <c r="AJ15" s="915" t="str">
        <f t="shared" ca="1" si="11"/>
        <v/>
      </c>
      <c r="AN15" s="494">
        <f>K41</f>
        <v>10</v>
      </c>
      <c r="AO15" s="495" t="str">
        <f ca="1">L42</f>
        <v/>
      </c>
      <c r="AP15" s="495" t="str">
        <f ca="1">AO16</f>
        <v/>
      </c>
      <c r="AQ15" s="496" t="s">
        <v>793</v>
      </c>
      <c r="AR15" s="494">
        <f>Q37</f>
        <v>10</v>
      </c>
      <c r="AS15" s="495" t="str">
        <f ca="1">R38</f>
        <v/>
      </c>
      <c r="AT15" s="495" t="str">
        <f t="shared" ref="AT15" ca="1" si="26">AS14</f>
        <v/>
      </c>
      <c r="AU15" s="496" t="s">
        <v>793</v>
      </c>
      <c r="AV15" s="494">
        <f>W37</f>
        <v>10</v>
      </c>
      <c r="AW15" s="495" t="str">
        <f ca="1">X38</f>
        <v/>
      </c>
      <c r="AX15" s="495" t="str">
        <f t="shared" ref="AX15" ca="1" si="27">AW14</f>
        <v/>
      </c>
      <c r="AY15" s="496" t="s">
        <v>793</v>
      </c>
    </row>
    <row r="16" spans="1:51" ht="15.95" customHeight="1" thickBot="1" x14ac:dyDescent="0.25">
      <c r="A16" s="435">
        <v>12</v>
      </c>
      <c r="B16" s="444" t="str">
        <f t="shared" ca="1" si="1"/>
        <v/>
      </c>
      <c r="C16" s="444" t="str">
        <f t="shared" ca="1" si="2"/>
        <v/>
      </c>
      <c r="D16" s="444" t="str">
        <f t="shared" ca="1" si="3"/>
        <v/>
      </c>
      <c r="E16" s="486">
        <f t="shared" ca="1" si="4"/>
        <v>0</v>
      </c>
      <c r="F16" s="489">
        <v>22</v>
      </c>
      <c r="G16" s="488" t="str">
        <f t="shared" ca="1" si="5"/>
        <v/>
      </c>
      <c r="H16" s="898" t="str">
        <f t="shared" ca="1" si="6"/>
        <v/>
      </c>
      <c r="I16" s="898" t="str">
        <f t="shared" ca="1" si="0"/>
        <v/>
      </c>
      <c r="J16" s="898" t="str">
        <f t="shared" ca="1" si="0"/>
        <v/>
      </c>
      <c r="K16" s="447">
        <f>K14+1</f>
        <v>4</v>
      </c>
      <c r="L16" s="472">
        <v>5</v>
      </c>
      <c r="M16" s="465" t="str">
        <f ca="1">IFERROR(VLOOKUP(L17,$G$5:$J$28,2,FALSE),"")</f>
        <v/>
      </c>
      <c r="N16" s="966">
        <v>0</v>
      </c>
      <c r="O16" s="780"/>
      <c r="Q16" s="447">
        <f>Q14+1</f>
        <v>4</v>
      </c>
      <c r="R16" s="472">
        <v>2</v>
      </c>
      <c r="S16" s="465" t="str">
        <f ca="1">IFERROR(VLOOKUP(R17,$G$5:$J$28,2,FALSE),"")</f>
        <v/>
      </c>
      <c r="T16" s="966">
        <v>1</v>
      </c>
      <c r="U16" s="780"/>
      <c r="W16" s="447">
        <f>W14+1</f>
        <v>4</v>
      </c>
      <c r="X16" s="472">
        <v>3</v>
      </c>
      <c r="Y16" s="465" t="str">
        <f ca="1">IFERROR(VLOOKUP(X17,$G$5:$J$28,2,FALSE),"")</f>
        <v/>
      </c>
      <c r="Z16" s="966">
        <v>0</v>
      </c>
      <c r="AA16" s="780"/>
      <c r="AF16" s="453" t="s">
        <v>795</v>
      </c>
      <c r="AG16" s="435" t="str">
        <f ca="1">IF(ISBLANK(Z35),"",IF(Z35+AA35&lt;Z37+AA37,X36,X38))</f>
        <v/>
      </c>
      <c r="AH16" s="478" t="str">
        <f t="shared" ca="1" si="9"/>
        <v/>
      </c>
      <c r="AI16" s="474" t="str">
        <f t="shared" ca="1" si="10"/>
        <v/>
      </c>
      <c r="AJ16" s="915" t="str">
        <f t="shared" ca="1" si="11"/>
        <v/>
      </c>
      <c r="AN16" s="494">
        <f>K43</f>
        <v>11</v>
      </c>
      <c r="AO16" s="495" t="str">
        <f ca="1">L44</f>
        <v/>
      </c>
      <c r="AP16" s="495" t="str">
        <f ca="1">AO15</f>
        <v/>
      </c>
      <c r="AQ16" s="496" t="s">
        <v>793</v>
      </c>
      <c r="AR16" s="494">
        <f>Q42</f>
        <v>11</v>
      </c>
      <c r="AS16" s="495" t="str">
        <f ca="1">R43</f>
        <v/>
      </c>
      <c r="AT16" s="495" t="str">
        <f t="shared" ref="AT16" ca="1" si="28">AS17</f>
        <v/>
      </c>
      <c r="AU16" s="496" t="s">
        <v>793</v>
      </c>
      <c r="AV16" s="494">
        <f>W44</f>
        <v>11</v>
      </c>
      <c r="AW16" s="495" t="str">
        <f ca="1">X45</f>
        <v/>
      </c>
      <c r="AX16" s="495" t="str">
        <f t="shared" ref="AX16" ca="1" si="29">AW17</f>
        <v/>
      </c>
      <c r="AY16" s="496" t="s">
        <v>793</v>
      </c>
    </row>
    <row r="17" spans="1:51" ht="15.95" customHeight="1" thickBot="1" x14ac:dyDescent="0.25">
      <c r="A17" s="435">
        <v>13</v>
      </c>
      <c r="B17" s="444" t="str">
        <f t="shared" ca="1" si="1"/>
        <v/>
      </c>
      <c r="C17" s="444" t="str">
        <f t="shared" ca="1" si="2"/>
        <v/>
      </c>
      <c r="D17" s="444" t="str">
        <f t="shared" ca="1" si="3"/>
        <v/>
      </c>
      <c r="E17" s="486">
        <f t="shared" ca="1" si="4"/>
        <v>0</v>
      </c>
      <c r="F17" s="489">
        <v>23</v>
      </c>
      <c r="G17" s="488" t="str">
        <f t="shared" ca="1" si="5"/>
        <v/>
      </c>
      <c r="H17" s="898" t="str">
        <f t="shared" ca="1" si="6"/>
        <v/>
      </c>
      <c r="I17" s="898" t="str">
        <f t="shared" ca="1" si="0"/>
        <v/>
      </c>
      <c r="J17" s="898" t="str">
        <f t="shared" ca="1" si="0"/>
        <v/>
      </c>
      <c r="K17" s="447"/>
      <c r="L17" s="473" t="str">
        <f ca="1">VLOOKUP(L16,$A$5:$G$24,7,FALSE)</f>
        <v/>
      </c>
      <c r="M17" s="466" t="str">
        <f ca="1">IFERROR(VLOOKUP(L17,$G$5:$J$28,3,FALSE),"")</f>
        <v/>
      </c>
      <c r="N17" s="967"/>
      <c r="Q17" s="447"/>
      <c r="R17" s="473" t="str">
        <f ca="1">IF(ISBLANK(N28),"",IF(N28+O28&gt;N30+O30,L29,L31))</f>
        <v/>
      </c>
      <c r="S17" s="466" t="str">
        <f ca="1">IFERROR(VLOOKUP(R17,$G$5:$J$28,3,FALSE),"")</f>
        <v/>
      </c>
      <c r="T17" s="967"/>
      <c r="W17" s="447"/>
      <c r="X17" s="473" t="str">
        <f ca="1">IF(ISBLANK(T14),"",IF(U14+T14&lt;T16+U16,R15,R17))</f>
        <v/>
      </c>
      <c r="Y17" s="466" t="str">
        <f ca="1">IFERROR(VLOOKUP(X17,$G$5:$J$28,3,FALSE),"")</f>
        <v/>
      </c>
      <c r="Z17" s="967"/>
      <c r="AF17" s="453" t="s">
        <v>796</v>
      </c>
      <c r="AG17" s="435" t="str">
        <f ca="1">IF(ISBLANK(Z44),"",IF(Z44+AA44&gt;Z46+AA46,X45,X47))</f>
        <v/>
      </c>
      <c r="AH17" s="478" t="str">
        <f t="shared" ca="1" si="9"/>
        <v/>
      </c>
      <c r="AI17" s="474" t="str">
        <f t="shared" ca="1" si="10"/>
        <v/>
      </c>
      <c r="AJ17" s="915" t="str">
        <f t="shared" ca="1" si="11"/>
        <v/>
      </c>
      <c r="AN17" s="494">
        <f>K48</f>
        <v>12</v>
      </c>
      <c r="AO17" s="495" t="str">
        <f ca="1">L49</f>
        <v/>
      </c>
      <c r="AP17" s="495" t="str">
        <f ca="1">AO18</f>
        <v/>
      </c>
      <c r="AQ17" s="496" t="s">
        <v>793</v>
      </c>
      <c r="AR17" s="494">
        <f>Q44</f>
        <v>12</v>
      </c>
      <c r="AS17" s="495" t="str">
        <f ca="1">R45</f>
        <v/>
      </c>
      <c r="AT17" s="495" t="str">
        <f t="shared" ref="AT17" ca="1" si="30">AS16</f>
        <v/>
      </c>
      <c r="AU17" s="496" t="s">
        <v>793</v>
      </c>
      <c r="AV17" s="494">
        <f>W46</f>
        <v>12</v>
      </c>
      <c r="AW17" s="495" t="str">
        <f ca="1">X47</f>
        <v/>
      </c>
      <c r="AX17" s="495" t="str">
        <f t="shared" ref="AX17" ca="1" si="31">AW16</f>
        <v/>
      </c>
      <c r="AY17" s="496" t="s">
        <v>793</v>
      </c>
    </row>
    <row r="18" spans="1:51" ht="15.95" customHeight="1" x14ac:dyDescent="0.2">
      <c r="F18" s="489">
        <v>24</v>
      </c>
      <c r="G18" s="488" t="str">
        <f t="shared" si="5"/>
        <v/>
      </c>
      <c r="H18" s="898" t="str">
        <f t="shared" si="6"/>
        <v/>
      </c>
      <c r="I18" s="898" t="str">
        <f t="shared" si="0"/>
        <v/>
      </c>
      <c r="J18" s="898" t="str">
        <f t="shared" si="0"/>
        <v/>
      </c>
      <c r="K18" s="450"/>
      <c r="L18" s="450"/>
      <c r="M18" s="450"/>
      <c r="N18" s="451"/>
      <c r="O18" s="450"/>
      <c r="P18" s="450"/>
      <c r="Q18" s="450"/>
      <c r="R18" s="450"/>
      <c r="S18" s="450"/>
      <c r="T18" s="451"/>
      <c r="U18" s="450"/>
      <c r="V18" s="450"/>
      <c r="W18" s="450"/>
      <c r="X18" s="450"/>
      <c r="Y18" s="450"/>
      <c r="Z18" s="451"/>
      <c r="AA18" s="450"/>
      <c r="AF18" s="453" t="s">
        <v>797</v>
      </c>
      <c r="AG18" s="435" t="str">
        <f ca="1">IF(ISBLANK(Z44),"",IF(Z44+AA44&lt;Z46+AA46,X45,X47))</f>
        <v/>
      </c>
      <c r="AH18" s="478" t="str">
        <f t="shared" ca="1" si="9"/>
        <v/>
      </c>
      <c r="AI18" s="474" t="str">
        <f t="shared" ca="1" si="10"/>
        <v/>
      </c>
      <c r="AJ18" s="915" t="str">
        <f t="shared" ca="1" si="11"/>
        <v/>
      </c>
      <c r="AN18" s="494">
        <f>K50</f>
        <v>13</v>
      </c>
      <c r="AO18" s="495" t="str">
        <f ca="1">L51</f>
        <v/>
      </c>
      <c r="AP18" s="495" t="str">
        <f ca="1">AO17</f>
        <v/>
      </c>
      <c r="AQ18" s="496" t="s">
        <v>793</v>
      </c>
      <c r="AR18" s="494">
        <f>Q50</f>
        <v>13</v>
      </c>
      <c r="AS18" s="495" t="str">
        <f ca="1">R51</f>
        <v/>
      </c>
      <c r="AT18" s="784" t="s">
        <v>1326</v>
      </c>
      <c r="AU18" s="496" t="s">
        <v>793</v>
      </c>
      <c r="AV18" s="494">
        <v>13</v>
      </c>
      <c r="AW18" s="940" t="s">
        <v>1326</v>
      </c>
      <c r="AX18" s="784"/>
      <c r="AY18" s="496" t="s">
        <v>793</v>
      </c>
    </row>
    <row r="19" spans="1:51" ht="15.95" customHeight="1" thickBot="1" x14ac:dyDescent="0.25">
      <c r="F19" s="489">
        <v>25</v>
      </c>
      <c r="G19" s="488" t="str">
        <f t="shared" si="5"/>
        <v/>
      </c>
      <c r="H19" s="898" t="str">
        <f t="shared" si="6"/>
        <v/>
      </c>
      <c r="I19" s="898" t="str">
        <f t="shared" si="0"/>
        <v/>
      </c>
      <c r="J19" s="898" t="str">
        <f t="shared" si="0"/>
        <v/>
      </c>
      <c r="K19" s="450"/>
      <c r="L19" s="454"/>
      <c r="M19" s="454"/>
      <c r="N19" s="455"/>
      <c r="O19" s="450"/>
      <c r="P19" s="450"/>
      <c r="Q19" s="450"/>
      <c r="R19" s="979" t="s">
        <v>819</v>
      </c>
      <c r="S19" s="1247"/>
      <c r="T19" s="1247"/>
      <c r="U19" s="450"/>
      <c r="V19" s="450"/>
      <c r="W19" s="450"/>
      <c r="X19" s="979" t="s">
        <v>820</v>
      </c>
      <c r="Y19" s="1247"/>
      <c r="Z19" s="1247"/>
      <c r="AA19" s="450"/>
      <c r="AB19" s="435" t="s">
        <v>793</v>
      </c>
      <c r="AF19" s="453" t="s">
        <v>798</v>
      </c>
      <c r="AG19" s="896" t="str">
        <f ca="1">R51</f>
        <v/>
      </c>
      <c r="AH19" s="480" t="str">
        <f t="shared" ca="1" si="9"/>
        <v/>
      </c>
      <c r="AI19" s="481" t="str">
        <f t="shared" ca="1" si="10"/>
        <v/>
      </c>
      <c r="AJ19" s="916" t="str">
        <f t="shared" ca="1" si="11"/>
        <v/>
      </c>
      <c r="AN19" s="494"/>
      <c r="AO19" s="495"/>
      <c r="AP19" s="495"/>
      <c r="AQ19" s="496"/>
      <c r="AR19" s="494"/>
      <c r="AS19" s="495"/>
      <c r="AT19" s="495"/>
      <c r="AU19" s="496"/>
      <c r="AV19" s="494"/>
      <c r="AW19" s="495"/>
      <c r="AX19" s="495"/>
      <c r="AY19" s="496" t="s">
        <v>793</v>
      </c>
    </row>
    <row r="20" spans="1:51" ht="15.95" customHeight="1" thickBot="1" x14ac:dyDescent="0.25">
      <c r="F20" s="489">
        <v>26</v>
      </c>
      <c r="G20" s="488" t="str">
        <f t="shared" si="5"/>
        <v/>
      </c>
      <c r="H20" s="898" t="str">
        <f t="shared" si="6"/>
        <v/>
      </c>
      <c r="I20" s="898" t="str">
        <f t="shared" si="0"/>
        <v/>
      </c>
      <c r="J20" s="898" t="str">
        <f t="shared" si="0"/>
        <v/>
      </c>
      <c r="K20" s="445" t="s">
        <v>779</v>
      </c>
      <c r="L20" s="779" t="s">
        <v>1083</v>
      </c>
      <c r="M20" s="456" t="s">
        <v>481</v>
      </c>
      <c r="N20" s="464" t="s">
        <v>780</v>
      </c>
      <c r="O20" s="446" t="s">
        <v>781</v>
      </c>
      <c r="P20" s="445"/>
      <c r="Q20" s="445" t="s">
        <v>779</v>
      </c>
      <c r="R20" s="779" t="s">
        <v>1083</v>
      </c>
      <c r="S20" s="456" t="s">
        <v>481</v>
      </c>
      <c r="T20" s="464" t="s">
        <v>780</v>
      </c>
      <c r="U20" s="446" t="s">
        <v>781</v>
      </c>
      <c r="V20" s="445"/>
      <c r="W20" s="445" t="s">
        <v>779</v>
      </c>
      <c r="X20" s="779" t="s">
        <v>1083</v>
      </c>
      <c r="Y20" s="456" t="s">
        <v>481</v>
      </c>
      <c r="Z20" s="464" t="s">
        <v>780</v>
      </c>
      <c r="AA20" s="446" t="s">
        <v>781</v>
      </c>
      <c r="AF20" s="453"/>
      <c r="AG20" s="453"/>
      <c r="AH20" s="453"/>
      <c r="AI20" s="453"/>
      <c r="AJ20" s="453"/>
      <c r="AN20" s="494"/>
      <c r="AO20" s="495"/>
      <c r="AP20" s="495"/>
      <c r="AQ20" s="496"/>
      <c r="AR20" s="494"/>
      <c r="AS20" s="495"/>
      <c r="AT20" s="495"/>
      <c r="AU20" s="496"/>
      <c r="AV20" s="494"/>
      <c r="AW20" s="495"/>
      <c r="AX20" s="495"/>
      <c r="AY20" s="496" t="s">
        <v>793</v>
      </c>
    </row>
    <row r="21" spans="1:51" ht="15.95" customHeight="1" thickBot="1" x14ac:dyDescent="0.25">
      <c r="F21" s="489">
        <v>27</v>
      </c>
      <c r="G21" s="488" t="str">
        <f t="shared" si="5"/>
        <v/>
      </c>
      <c r="H21" s="898" t="str">
        <f t="shared" si="6"/>
        <v/>
      </c>
      <c r="I21" s="898" t="str">
        <f t="shared" si="6"/>
        <v/>
      </c>
      <c r="J21" s="898" t="str">
        <f t="shared" si="6"/>
        <v/>
      </c>
      <c r="K21" s="447">
        <f>K16+1</f>
        <v>5</v>
      </c>
      <c r="L21" s="472">
        <v>3</v>
      </c>
      <c r="M21" s="465" t="str">
        <f ca="1">IFERROR(VLOOKUP(L22,$G$5:$J$28,2,FALSE),"")</f>
        <v/>
      </c>
      <c r="N21" s="966">
        <v>1</v>
      </c>
      <c r="O21" s="780"/>
      <c r="Q21" s="447">
        <f>Q16+1</f>
        <v>5</v>
      </c>
      <c r="R21" s="472">
        <v>8</v>
      </c>
      <c r="S21" s="465" t="str">
        <f ca="1">IFERROR(VLOOKUP(R22,$G$5:$J$28,2,FALSE),"")</f>
        <v/>
      </c>
      <c r="T21" s="966">
        <v>0</v>
      </c>
      <c r="U21" s="780"/>
      <c r="W21" s="447">
        <f>W16+1</f>
        <v>5</v>
      </c>
      <c r="X21" s="472">
        <v>5</v>
      </c>
      <c r="Y21" s="465" t="str">
        <f ca="1">IFERROR(VLOOKUP(X22,$G$5:$J$28,2,FALSE),"")</f>
        <v/>
      </c>
      <c r="Z21" s="966">
        <v>1</v>
      </c>
      <c r="AA21" s="780"/>
      <c r="AF21" s="453"/>
      <c r="AG21" s="453"/>
      <c r="AH21" s="453"/>
      <c r="AI21" s="453"/>
      <c r="AJ21" s="453"/>
      <c r="AN21" s="494"/>
      <c r="AO21" s="495"/>
      <c r="AP21" s="495"/>
      <c r="AQ21" s="496"/>
      <c r="AR21" s="494"/>
      <c r="AS21" s="495"/>
      <c r="AT21" s="495"/>
      <c r="AU21" s="496"/>
      <c r="AV21" s="494"/>
      <c r="AW21" s="495"/>
      <c r="AX21" s="495"/>
      <c r="AY21" s="496" t="s">
        <v>793</v>
      </c>
    </row>
    <row r="22" spans="1:51" ht="15.95" customHeight="1" thickBot="1" x14ac:dyDescent="0.25">
      <c r="F22" s="489">
        <v>28</v>
      </c>
      <c r="G22" s="488" t="str">
        <f t="shared" si="5"/>
        <v/>
      </c>
      <c r="H22" s="898" t="str">
        <f t="shared" si="6"/>
        <v/>
      </c>
      <c r="I22" s="898" t="str">
        <f t="shared" si="6"/>
        <v/>
      </c>
      <c r="J22" s="898" t="str">
        <f t="shared" si="6"/>
        <v/>
      </c>
      <c r="K22" s="447"/>
      <c r="L22" s="473" t="str">
        <f ca="1">VLOOKUP(L21,$A$5:$G$24,7,FALSE)</f>
        <v/>
      </c>
      <c r="M22" s="466" t="str">
        <f ca="1">IFERROR(VLOOKUP(L22,$G$5:$J$28,3,FALSE),"")</f>
        <v/>
      </c>
      <c r="N22" s="967"/>
      <c r="Q22" s="447"/>
      <c r="R22" s="473" t="str">
        <f ca="1">IF(ISBLANK(N7),"",IF(O7+N7&lt;N9+O9,L8,L10))</f>
        <v/>
      </c>
      <c r="S22" s="466" t="str">
        <f ca="1">IFERROR(VLOOKUP(R22,$G$5:$J$28,3,FALSE),"")</f>
        <v/>
      </c>
      <c r="T22" s="967"/>
      <c r="W22" s="447"/>
      <c r="X22" s="473" t="str">
        <f ca="1">IF(ISBLANK(T21),"",IF(U21+T21&gt;T23+U23,R22,R24))</f>
        <v/>
      </c>
      <c r="Y22" s="466" t="str">
        <f ca="1">IFERROR(VLOOKUP(X22,$G$5:$J$28,3,FALSE),"")</f>
        <v/>
      </c>
      <c r="Z22" s="967"/>
      <c r="AF22" s="453"/>
      <c r="AG22" s="453"/>
      <c r="AH22" s="453"/>
      <c r="AI22" s="453"/>
      <c r="AJ22" s="453"/>
      <c r="AN22" s="494"/>
      <c r="AO22" s="495"/>
      <c r="AP22" s="495"/>
      <c r="AQ22" s="496"/>
      <c r="AR22" s="494"/>
      <c r="AS22" s="495"/>
      <c r="AT22" s="495"/>
      <c r="AU22" s="496"/>
      <c r="AV22" s="494"/>
      <c r="AW22" s="495"/>
      <c r="AX22" s="495"/>
      <c r="AY22" s="496" t="s">
        <v>793</v>
      </c>
    </row>
    <row r="23" spans="1:51" ht="15.95" customHeight="1" thickBot="1" x14ac:dyDescent="0.25">
      <c r="F23" s="489">
        <v>29</v>
      </c>
      <c r="G23" s="488" t="str">
        <f t="shared" si="5"/>
        <v/>
      </c>
      <c r="H23" s="898" t="str">
        <f t="shared" si="6"/>
        <v/>
      </c>
      <c r="I23" s="898" t="str">
        <f t="shared" si="6"/>
        <v/>
      </c>
      <c r="J23" s="898" t="str">
        <f t="shared" si="6"/>
        <v/>
      </c>
      <c r="K23" s="447">
        <f>K21+1</f>
        <v>6</v>
      </c>
      <c r="L23" s="472">
        <v>6</v>
      </c>
      <c r="M23" s="465" t="str">
        <f ca="1">IFERROR(VLOOKUP(L24,$G$5:$J$28,2,FALSE),"")</f>
        <v/>
      </c>
      <c r="N23" s="966">
        <v>0</v>
      </c>
      <c r="O23" s="780"/>
      <c r="Q23" s="447">
        <f>Q21+1</f>
        <v>6</v>
      </c>
      <c r="R23" s="472">
        <v>5</v>
      </c>
      <c r="S23" s="465" t="str">
        <f ca="1">IFERROR(VLOOKUP(R24,$G$5:$J$28,2,FALSE),"")</f>
        <v/>
      </c>
      <c r="T23" s="966">
        <v>1</v>
      </c>
      <c r="U23" s="780"/>
      <c r="W23" s="447">
        <f>W21+1</f>
        <v>6</v>
      </c>
      <c r="X23" s="472">
        <v>6</v>
      </c>
      <c r="Y23" s="465" t="str">
        <f ca="1">IFERROR(VLOOKUP(X24,$G$5:$J$28,2,FALSE),"")</f>
        <v/>
      </c>
      <c r="Z23" s="966">
        <v>0</v>
      </c>
      <c r="AA23" s="780"/>
      <c r="AF23" s="453"/>
      <c r="AG23" s="453"/>
      <c r="AH23" s="453"/>
      <c r="AI23" s="453"/>
      <c r="AJ23" s="453"/>
      <c r="AN23" s="494"/>
      <c r="AO23" s="495"/>
      <c r="AP23" s="495"/>
      <c r="AQ23" s="496"/>
      <c r="AR23" s="494"/>
      <c r="AS23" s="495"/>
      <c r="AT23" s="495"/>
      <c r="AU23" s="496"/>
      <c r="AV23" s="494"/>
      <c r="AW23" s="495"/>
      <c r="AX23" s="495"/>
      <c r="AY23" s="496" t="s">
        <v>793</v>
      </c>
    </row>
    <row r="24" spans="1:51" ht="15.95" customHeight="1" thickBot="1" x14ac:dyDescent="0.25">
      <c r="F24" s="489">
        <v>30</v>
      </c>
      <c r="G24" s="488" t="str">
        <f t="shared" si="5"/>
        <v/>
      </c>
      <c r="H24" s="898" t="str">
        <f t="shared" si="6"/>
        <v/>
      </c>
      <c r="I24" s="898" t="str">
        <f t="shared" si="6"/>
        <v/>
      </c>
      <c r="J24" s="898" t="str">
        <f t="shared" si="6"/>
        <v/>
      </c>
      <c r="K24" s="447"/>
      <c r="L24" s="473" t="str">
        <f ca="1">VLOOKUP(L23,$A$5:$G$24,7,FALSE)</f>
        <v/>
      </c>
      <c r="M24" s="466" t="str">
        <f ca="1">IFERROR(VLOOKUP(L24,$G$5:$J$28,3,FALSE),"")</f>
        <v/>
      </c>
      <c r="N24" s="967"/>
      <c r="Q24" s="447"/>
      <c r="R24" s="473" t="str">
        <f ca="1">IF(ISBLANK(N14),"",IF(O14+N14&lt;N16+O16,L15,L17))</f>
        <v/>
      </c>
      <c r="S24" s="466" t="str">
        <f ca="1">IFERROR(VLOOKUP(R24,$G$5:$J$28,3,FALSE),"")</f>
        <v/>
      </c>
      <c r="T24" s="967"/>
      <c r="W24" s="447"/>
      <c r="X24" s="473" t="str">
        <f ca="1">IF(ISBLANK(T28),"",IF(U28+T28&gt;T30+U30,R29,R31))</f>
        <v/>
      </c>
      <c r="Y24" s="466" t="str">
        <f ca="1">IFERROR(VLOOKUP(X24,$G$5:$J$28,3,FALSE),"")</f>
        <v/>
      </c>
      <c r="Z24" s="967"/>
      <c r="AF24" s="453"/>
      <c r="AG24" s="453"/>
      <c r="AH24" s="453"/>
      <c r="AI24" s="453"/>
      <c r="AJ24" s="453"/>
      <c r="AN24" s="494"/>
      <c r="AO24" s="495"/>
      <c r="AP24" s="495"/>
      <c r="AQ24" s="496"/>
      <c r="AR24" s="494"/>
      <c r="AS24" s="495"/>
      <c r="AT24" s="495"/>
      <c r="AU24" s="496"/>
      <c r="AV24" s="494"/>
      <c r="AW24" s="495"/>
      <c r="AX24" s="495"/>
      <c r="AY24" s="496" t="s">
        <v>793</v>
      </c>
    </row>
    <row r="25" spans="1:51" ht="15.95" customHeight="1" x14ac:dyDescent="0.2">
      <c r="F25" s="489">
        <v>31</v>
      </c>
      <c r="G25" s="488" t="str">
        <f t="shared" si="5"/>
        <v/>
      </c>
      <c r="H25" s="898" t="str">
        <f t="shared" si="6"/>
        <v/>
      </c>
      <c r="I25" s="898" t="str">
        <f t="shared" si="6"/>
        <v/>
      </c>
      <c r="J25" s="898" t="str">
        <f t="shared" si="6"/>
        <v/>
      </c>
      <c r="K25" s="447"/>
      <c r="L25" s="441"/>
      <c r="M25" s="441"/>
      <c r="Q25" s="447"/>
      <c r="R25" s="437"/>
      <c r="S25" s="437"/>
      <c r="T25" s="451"/>
      <c r="W25" s="447"/>
      <c r="X25" s="441"/>
      <c r="Y25" s="441"/>
      <c r="AF25" s="453"/>
      <c r="AG25" s="453"/>
      <c r="AH25" s="453"/>
      <c r="AI25" s="453"/>
      <c r="AJ25" s="453"/>
      <c r="AN25" s="494"/>
      <c r="AO25" s="495"/>
      <c r="AP25" s="495"/>
      <c r="AQ25" s="496"/>
      <c r="AR25" s="494"/>
      <c r="AS25" s="495"/>
      <c r="AT25" s="495"/>
      <c r="AU25" s="496"/>
      <c r="AV25" s="494"/>
      <c r="AW25" s="495"/>
      <c r="AX25" s="495"/>
      <c r="AY25" s="496" t="s">
        <v>793</v>
      </c>
    </row>
    <row r="26" spans="1:51" ht="15.95" customHeight="1" thickBot="1" x14ac:dyDescent="0.25">
      <c r="F26" s="489">
        <v>32</v>
      </c>
      <c r="G26" s="488" t="str">
        <f t="shared" si="5"/>
        <v/>
      </c>
      <c r="H26" s="898" t="str">
        <f t="shared" si="6"/>
        <v/>
      </c>
      <c r="I26" s="898" t="str">
        <f t="shared" si="6"/>
        <v/>
      </c>
      <c r="J26" s="898" t="str">
        <f t="shared" si="6"/>
        <v/>
      </c>
      <c r="K26" s="450"/>
      <c r="L26" s="450"/>
      <c r="M26" s="450"/>
      <c r="N26" s="451"/>
      <c r="O26" s="450"/>
      <c r="P26" s="450"/>
      <c r="Q26" s="450"/>
      <c r="R26" s="437"/>
      <c r="S26" s="437"/>
      <c r="T26" s="451"/>
      <c r="U26" s="450"/>
      <c r="V26" s="450"/>
      <c r="W26" s="450"/>
      <c r="X26" s="979" t="s">
        <v>821</v>
      </c>
      <c r="Y26" s="1247"/>
      <c r="Z26" s="1247"/>
      <c r="AA26" s="450"/>
      <c r="AF26" s="453"/>
      <c r="AG26" s="453"/>
      <c r="AH26" s="453"/>
      <c r="AI26" s="453"/>
      <c r="AJ26" s="453"/>
      <c r="AN26" s="494"/>
      <c r="AO26" s="495"/>
      <c r="AP26" s="495"/>
      <c r="AQ26" s="496"/>
      <c r="AR26" s="494"/>
      <c r="AS26" s="495"/>
      <c r="AT26" s="495"/>
      <c r="AU26" s="496"/>
      <c r="AV26" s="494"/>
      <c r="AW26" s="495"/>
      <c r="AX26" s="495"/>
      <c r="AY26" s="496" t="s">
        <v>793</v>
      </c>
    </row>
    <row r="27" spans="1:51" ht="15.95" customHeight="1" thickBot="1" x14ac:dyDescent="0.25">
      <c r="F27" s="489">
        <v>33</v>
      </c>
      <c r="G27" s="488" t="str">
        <f t="shared" si="5"/>
        <v/>
      </c>
      <c r="H27" s="898" t="str">
        <f t="shared" si="6"/>
        <v/>
      </c>
      <c r="I27" s="898" t="str">
        <f t="shared" si="6"/>
        <v/>
      </c>
      <c r="J27" s="898" t="str">
        <f t="shared" si="6"/>
        <v/>
      </c>
      <c r="K27" s="445" t="s">
        <v>779</v>
      </c>
      <c r="L27" s="779" t="s">
        <v>1083</v>
      </c>
      <c r="M27" s="456" t="s">
        <v>481</v>
      </c>
      <c r="N27" s="464" t="s">
        <v>780</v>
      </c>
      <c r="O27" s="446" t="s">
        <v>781</v>
      </c>
      <c r="P27" s="445"/>
      <c r="Q27" s="445" t="s">
        <v>779</v>
      </c>
      <c r="R27" s="779" t="s">
        <v>1083</v>
      </c>
      <c r="S27" s="456" t="s">
        <v>481</v>
      </c>
      <c r="T27" s="464" t="s">
        <v>780</v>
      </c>
      <c r="U27" s="446" t="s">
        <v>781</v>
      </c>
      <c r="V27" s="445"/>
      <c r="W27" s="445" t="s">
        <v>779</v>
      </c>
      <c r="X27" s="779" t="s">
        <v>1083</v>
      </c>
      <c r="Y27" s="456" t="s">
        <v>481</v>
      </c>
      <c r="Z27" s="464" t="s">
        <v>780</v>
      </c>
      <c r="AA27" s="446" t="s">
        <v>781</v>
      </c>
      <c r="AF27" s="453"/>
      <c r="AG27" s="453"/>
      <c r="AH27" s="453"/>
      <c r="AI27" s="453"/>
      <c r="AJ27" s="453"/>
      <c r="AN27" s="494"/>
      <c r="AO27" s="495"/>
      <c r="AP27" s="495"/>
      <c r="AQ27" s="496"/>
      <c r="AR27" s="494"/>
      <c r="AS27" s="495"/>
      <c r="AT27" s="495"/>
      <c r="AU27" s="496"/>
      <c r="AV27" s="494"/>
      <c r="AW27" s="495"/>
      <c r="AX27" s="495"/>
      <c r="AY27" s="496" t="s">
        <v>793</v>
      </c>
    </row>
    <row r="28" spans="1:51" ht="15.95" customHeight="1" thickBot="1" x14ac:dyDescent="0.25">
      <c r="F28" s="489">
        <v>34</v>
      </c>
      <c r="G28" s="488" t="str">
        <f t="shared" si="5"/>
        <v/>
      </c>
      <c r="H28" s="898" t="str">
        <f t="shared" si="6"/>
        <v/>
      </c>
      <c r="I28" s="898" t="str">
        <f t="shared" si="6"/>
        <v/>
      </c>
      <c r="J28" s="898" t="str">
        <f t="shared" si="6"/>
        <v/>
      </c>
      <c r="K28" s="447">
        <f>K23+1</f>
        <v>7</v>
      </c>
      <c r="L28" s="472">
        <v>2</v>
      </c>
      <c r="M28" s="465" t="str">
        <f ca="1">IFERROR(VLOOKUP(L29,$G$5:$J$28,2,FALSE),"")</f>
        <v/>
      </c>
      <c r="N28" s="966">
        <v>1</v>
      </c>
      <c r="O28" s="780"/>
      <c r="Q28" s="447">
        <f>Q23+1</f>
        <v>7</v>
      </c>
      <c r="R28" s="472">
        <v>6</v>
      </c>
      <c r="S28" s="465" t="str">
        <f ca="1">IFERROR(VLOOKUP(R29,$G$5:$J$28,2,FALSE),"")</f>
        <v/>
      </c>
      <c r="T28" s="966">
        <v>1</v>
      </c>
      <c r="U28" s="780"/>
      <c r="W28" s="447">
        <f>W23+1</f>
        <v>7</v>
      </c>
      <c r="X28" s="472">
        <v>8</v>
      </c>
      <c r="Y28" s="465" t="str">
        <f ca="1">IFERROR(VLOOKUP(X29,$G$5:$J$28,2,FALSE),"")</f>
        <v/>
      </c>
      <c r="Z28" s="966">
        <v>1</v>
      </c>
      <c r="AA28" s="780"/>
      <c r="AF28" s="453"/>
      <c r="AG28" s="453"/>
      <c r="AH28" s="453"/>
      <c r="AI28" s="453"/>
      <c r="AJ28" s="453"/>
      <c r="AN28" s="494"/>
      <c r="AO28" s="495"/>
      <c r="AP28" s="495"/>
      <c r="AQ28" s="496"/>
      <c r="AR28" s="494"/>
      <c r="AS28" s="495"/>
      <c r="AT28" s="495"/>
      <c r="AU28" s="496"/>
      <c r="AV28" s="494"/>
      <c r="AW28" s="495"/>
      <c r="AX28" s="495"/>
      <c r="AY28" s="496" t="s">
        <v>793</v>
      </c>
    </row>
    <row r="29" spans="1:51" ht="15.95" customHeight="1" thickBot="1" x14ac:dyDescent="0.25">
      <c r="I29" s="437"/>
      <c r="J29" s="437"/>
      <c r="K29" s="447"/>
      <c r="L29" s="473" t="str">
        <f ca="1">VLOOKUP(L28,$A$5:$G$24,7,FALSE)</f>
        <v/>
      </c>
      <c r="M29" s="466" t="str">
        <f ca="1">IFERROR(VLOOKUP(L29,$G$5:$J$28,3,FALSE),"")</f>
        <v/>
      </c>
      <c r="N29" s="967"/>
      <c r="Q29" s="447"/>
      <c r="R29" s="473" t="str">
        <f ca="1">IF(ISBLANK(N21),"",IF(N21+O21&lt;N23+O23,L22,L24))</f>
        <v/>
      </c>
      <c r="S29" s="466" t="str">
        <f ca="1">IFERROR(VLOOKUP(R29,$G$5:$J$28,3,FALSE),"")</f>
        <v/>
      </c>
      <c r="T29" s="967"/>
      <c r="W29" s="447"/>
      <c r="X29" s="473" t="str">
        <f ca="1">IF(ISBLANK(T21),"",IF(U21+T21&lt;T23+U23,R22,R24))</f>
        <v/>
      </c>
      <c r="Y29" s="466" t="str">
        <f ca="1">IFERROR(VLOOKUP(X29,$G$5:$J$28,3,FALSE),"")</f>
        <v/>
      </c>
      <c r="Z29" s="967"/>
      <c r="AF29" s="453"/>
      <c r="AG29" s="453"/>
      <c r="AH29" s="453"/>
      <c r="AI29" s="453"/>
      <c r="AJ29" s="453"/>
      <c r="AN29" s="494"/>
      <c r="AO29" s="495"/>
      <c r="AP29" s="495"/>
      <c r="AQ29" s="496"/>
      <c r="AR29" s="494"/>
      <c r="AS29" s="495"/>
      <c r="AT29" s="495"/>
      <c r="AU29" s="496"/>
      <c r="AV29" s="494"/>
      <c r="AW29" s="495"/>
      <c r="AX29" s="495"/>
      <c r="AY29" s="496" t="s">
        <v>793</v>
      </c>
    </row>
    <row r="30" spans="1:51" ht="15.95" customHeight="1" thickBot="1" x14ac:dyDescent="0.25">
      <c r="I30" s="437"/>
      <c r="J30" s="437"/>
      <c r="K30" s="447">
        <f>K28+1</f>
        <v>8</v>
      </c>
      <c r="L30" s="472">
        <v>7</v>
      </c>
      <c r="M30" s="465" t="str">
        <f ca="1">IFERROR(VLOOKUP(L31,$G$5:$J$28,2,FALSE),"")</f>
        <v/>
      </c>
      <c r="N30" s="966">
        <v>0</v>
      </c>
      <c r="O30" s="780"/>
      <c r="Q30" s="447">
        <f>Q28+1</f>
        <v>8</v>
      </c>
      <c r="R30" s="472">
        <v>7</v>
      </c>
      <c r="S30" s="465" t="str">
        <f ca="1">IFERROR(VLOOKUP(R31,$G$5:$J$28,2,FALSE),"")</f>
        <v/>
      </c>
      <c r="T30" s="966">
        <v>0</v>
      </c>
      <c r="U30" s="780"/>
      <c r="W30" s="447">
        <f>W28+1</f>
        <v>8</v>
      </c>
      <c r="X30" s="472">
        <v>7</v>
      </c>
      <c r="Y30" s="465" t="str">
        <f ca="1">IFERROR(VLOOKUP(X31,$G$5:$J$28,2,FALSE),"")</f>
        <v/>
      </c>
      <c r="Z30" s="966">
        <v>0</v>
      </c>
      <c r="AA30" s="780"/>
      <c r="AF30" s="453"/>
      <c r="AG30" s="453"/>
      <c r="AH30" s="453"/>
      <c r="AI30" s="453"/>
      <c r="AJ30" s="453"/>
    </row>
    <row r="31" spans="1:51" ht="15.95" customHeight="1" thickBot="1" x14ac:dyDescent="0.25">
      <c r="I31" s="437"/>
      <c r="J31" s="437"/>
      <c r="K31" s="447"/>
      <c r="L31" s="473" t="str">
        <f ca="1">VLOOKUP(L30,$A$5:$G$24,7,FALSE)</f>
        <v/>
      </c>
      <c r="M31" s="466" t="str">
        <f ca="1">IFERROR(VLOOKUP(L31,$G$5:$J$28,3,FALSE),"")</f>
        <v/>
      </c>
      <c r="N31" s="967"/>
      <c r="Q31" s="447"/>
      <c r="R31" s="473" t="str">
        <f ca="1">IF(ISBLANK(N28),"",IF(N28+O28&lt;N30+O30,L29,L31))</f>
        <v/>
      </c>
      <c r="S31" s="466" t="str">
        <f ca="1">IFERROR(VLOOKUP(R31,$G$5:$J$28,3,FALSE),"")</f>
        <v/>
      </c>
      <c r="T31" s="967"/>
      <c r="W31" s="447"/>
      <c r="X31" s="473" t="str">
        <f ca="1">IF(ISBLANK(T28),"",IF(U28+T28&lt;T30+U30,R29,R31))</f>
        <v/>
      </c>
      <c r="Y31" s="466" t="str">
        <f ca="1">IFERROR(VLOOKUP(X31,$G$5:$J$28,3,FALSE),"")</f>
        <v/>
      </c>
      <c r="Z31" s="967"/>
      <c r="AF31" s="453"/>
      <c r="AG31" s="453"/>
    </row>
    <row r="32" spans="1:51" ht="15.95" customHeight="1" x14ac:dyDescent="0.2">
      <c r="I32" s="437"/>
      <c r="J32" s="437"/>
      <c r="K32" s="450"/>
      <c r="L32" s="437"/>
      <c r="M32" s="437"/>
      <c r="N32" s="451"/>
      <c r="O32" s="450"/>
      <c r="P32" s="450"/>
      <c r="Q32" s="450"/>
      <c r="R32" s="437"/>
      <c r="S32" s="437"/>
      <c r="T32" s="451"/>
      <c r="U32" s="450"/>
      <c r="V32" s="450"/>
      <c r="W32" s="450"/>
      <c r="X32" s="437"/>
      <c r="Y32" s="437"/>
      <c r="Z32" s="451"/>
      <c r="AA32" s="450"/>
      <c r="AF32" s="453"/>
      <c r="AG32" s="453"/>
    </row>
    <row r="33" spans="9:33" ht="15.95" customHeight="1" thickBot="1" x14ac:dyDescent="0.25">
      <c r="I33" s="437"/>
      <c r="J33" s="437"/>
      <c r="K33" s="450"/>
      <c r="L33" s="979" t="s">
        <v>1312</v>
      </c>
      <c r="M33" s="1247"/>
      <c r="N33" s="1247"/>
      <c r="Q33" s="450"/>
      <c r="R33" s="979" t="s">
        <v>1312</v>
      </c>
      <c r="S33" s="1247"/>
      <c r="T33" s="1247"/>
      <c r="U33" s="450"/>
      <c r="V33" s="450"/>
      <c r="W33" s="450"/>
      <c r="X33" s="979" t="s">
        <v>824</v>
      </c>
      <c r="Y33" s="1247"/>
      <c r="Z33" s="1247"/>
      <c r="AF33" s="453"/>
      <c r="AG33" s="453"/>
    </row>
    <row r="34" spans="9:33" ht="15.95" customHeight="1" thickBot="1" x14ac:dyDescent="0.25">
      <c r="I34" s="437"/>
      <c r="J34" s="437"/>
      <c r="K34" s="445" t="s">
        <v>779</v>
      </c>
      <c r="L34" s="779" t="s">
        <v>1083</v>
      </c>
      <c r="M34" s="456" t="s">
        <v>481</v>
      </c>
      <c r="N34" s="464" t="s">
        <v>780</v>
      </c>
      <c r="O34" s="817" t="s">
        <v>781</v>
      </c>
      <c r="P34" s="445"/>
      <c r="Q34" s="445" t="s">
        <v>779</v>
      </c>
      <c r="R34" s="779" t="s">
        <v>1083</v>
      </c>
      <c r="S34" s="456" t="s">
        <v>481</v>
      </c>
      <c r="T34" s="464" t="s">
        <v>780</v>
      </c>
      <c r="U34" s="817" t="s">
        <v>781</v>
      </c>
      <c r="V34" s="445"/>
      <c r="W34" s="445" t="s">
        <v>779</v>
      </c>
      <c r="X34" s="779" t="s">
        <v>1083</v>
      </c>
      <c r="Y34" s="456" t="s">
        <v>481</v>
      </c>
      <c r="Z34" s="464" t="s">
        <v>780</v>
      </c>
      <c r="AA34" s="817" t="s">
        <v>781</v>
      </c>
      <c r="AF34" s="453"/>
      <c r="AG34" s="453"/>
    </row>
    <row r="35" spans="9:33" ht="15.95" customHeight="1" thickBot="1" x14ac:dyDescent="0.25">
      <c r="I35" s="437"/>
      <c r="J35" s="437"/>
      <c r="K35" s="447">
        <f>K30+1</f>
        <v>9</v>
      </c>
      <c r="L35" s="472">
        <v>9</v>
      </c>
      <c r="M35" s="465" t="str">
        <f ca="1">IFERROR(VLOOKUP(L36,$G$5:$J$28,2,FALSE),"")</f>
        <v/>
      </c>
      <c r="N35" s="966"/>
      <c r="O35" s="780"/>
      <c r="Q35" s="447">
        <f>K35</f>
        <v>9</v>
      </c>
      <c r="R35" s="472">
        <v>9</v>
      </c>
      <c r="S35" s="465" t="str">
        <f ca="1">IFERROR(VLOOKUP(R36,$G$5:$J$28,2,FALSE),"")</f>
        <v/>
      </c>
      <c r="T35" s="966">
        <v>1</v>
      </c>
      <c r="U35" s="780"/>
      <c r="W35" s="447">
        <f>Q35</f>
        <v>9</v>
      </c>
      <c r="X35" s="472">
        <v>9</v>
      </c>
      <c r="Y35" s="465" t="str">
        <f ca="1">IFERROR(VLOOKUP(X36,$G$5:$J$28,2,FALSE),"")</f>
        <v/>
      </c>
      <c r="Z35" s="966">
        <v>1</v>
      </c>
      <c r="AA35" s="780"/>
      <c r="AF35" s="453"/>
      <c r="AG35" s="453"/>
    </row>
    <row r="36" spans="9:33" ht="15.95" customHeight="1" thickBot="1" x14ac:dyDescent="0.25">
      <c r="I36" s="437"/>
      <c r="J36" s="437"/>
      <c r="K36" s="447"/>
      <c r="L36" s="473" t="str">
        <f ca="1">VLOOKUP(L35,$A$5:$G$24,7,FALSE)</f>
        <v/>
      </c>
      <c r="M36" s="466" t="str">
        <f ca="1">IFERROR(VLOOKUP(L36,$G$5:$J$28,3,FALSE),"")</f>
        <v/>
      </c>
      <c r="N36" s="967"/>
      <c r="O36" s="783"/>
      <c r="Q36" s="447"/>
      <c r="R36" s="473" t="str">
        <f ca="1">L36</f>
        <v/>
      </c>
      <c r="S36" s="466" t="str">
        <f ca="1">IFERROR(VLOOKUP(R36,$G$5:$J$28,3,FALSE),"")</f>
        <v/>
      </c>
      <c r="T36" s="967"/>
      <c r="U36" s="441" t="str">
        <f>IF(W62=1,1,IF(W62=2,4,IF(W62=3,5,"")))</f>
        <v/>
      </c>
      <c r="W36" s="447"/>
      <c r="X36" s="473" t="str">
        <f ca="1">IF(ISBLANK(T35),"",IF(U35+T35&gt;T37+U37,R36,R38))</f>
        <v/>
      </c>
      <c r="Y36" s="466" t="str">
        <f ca="1">IFERROR(VLOOKUP(X36,$G$5:$J$28,3,FALSE),"")</f>
        <v/>
      </c>
      <c r="Z36" s="967"/>
      <c r="AF36" s="453"/>
      <c r="AG36" s="453"/>
    </row>
    <row r="37" spans="9:33" ht="15.95" customHeight="1" thickBot="1" x14ac:dyDescent="0.25">
      <c r="I37" s="437"/>
      <c r="J37" s="437"/>
      <c r="K37" s="447"/>
      <c r="L37" s="516"/>
      <c r="M37" s="516"/>
      <c r="N37" s="457"/>
      <c r="Q37" s="447">
        <f>Q35+1</f>
        <v>10</v>
      </c>
      <c r="R37" s="472">
        <v>12</v>
      </c>
      <c r="S37" s="465" t="str">
        <f ca="1">IFERROR(VLOOKUP(R38,$G$5:$J$28,2,FALSE),"")</f>
        <v/>
      </c>
      <c r="T37" s="966">
        <v>0</v>
      </c>
      <c r="U37" s="780"/>
      <c r="W37" s="447">
        <f>W35+1</f>
        <v>10</v>
      </c>
      <c r="X37" s="472">
        <v>10</v>
      </c>
      <c r="Y37" s="465" t="str">
        <f ca="1">IFERROR(VLOOKUP(X38,$G$5:$J$28,2,FALSE),"")</f>
        <v/>
      </c>
      <c r="Z37" s="966">
        <v>0</v>
      </c>
      <c r="AA37" s="780"/>
      <c r="AF37" s="453"/>
      <c r="AG37" s="453"/>
    </row>
    <row r="38" spans="9:33" ht="15.95" customHeight="1" thickBot="1" x14ac:dyDescent="0.25">
      <c r="I38" s="437"/>
      <c r="J38" s="437"/>
      <c r="K38" s="447"/>
      <c r="L38" s="516"/>
      <c r="M38" s="516"/>
      <c r="N38" s="457"/>
      <c r="Q38" s="447"/>
      <c r="R38" s="473" t="str">
        <f ca="1">IF(ISBLANK(N41),"",IF(O41+N41&gt;N43+O43,L42,L44))</f>
        <v/>
      </c>
      <c r="S38" s="466" t="str">
        <f ca="1">IFERROR(VLOOKUP(R38,$G$5:$J$28,3,FALSE),"")</f>
        <v/>
      </c>
      <c r="T38" s="967"/>
      <c r="U38" s="441" t="str">
        <f>IF(W63=1,1,IF(W63=2,4,IF(W63=3,5,"")))</f>
        <v/>
      </c>
      <c r="W38" s="447"/>
      <c r="X38" s="473" t="str">
        <f ca="1">IF(ISBLANK(T42),"",IF(U42+T42&gt;T44+U44,R43,R45))</f>
        <v/>
      </c>
      <c r="Y38" s="466" t="str">
        <f ca="1">IFERROR(VLOOKUP(X38,$G$5:$J$28,3,FALSE),"")</f>
        <v/>
      </c>
      <c r="Z38" s="967"/>
      <c r="AF38" s="453"/>
      <c r="AG38" s="453"/>
    </row>
    <row r="39" spans="9:33" ht="15.95" customHeight="1" thickBot="1" x14ac:dyDescent="0.25">
      <c r="I39" s="437"/>
      <c r="J39" s="437"/>
      <c r="P39" s="450"/>
      <c r="V39" s="450"/>
      <c r="W39" s="450"/>
      <c r="X39" s="450"/>
      <c r="Y39" s="450"/>
      <c r="Z39" s="451"/>
      <c r="AA39" s="450"/>
      <c r="AF39" s="453"/>
      <c r="AG39" s="453"/>
    </row>
    <row r="40" spans="9:33" ht="15.95" customHeight="1" thickBot="1" x14ac:dyDescent="0.25">
      <c r="I40" s="437"/>
      <c r="J40" s="437"/>
      <c r="K40" s="445" t="s">
        <v>779</v>
      </c>
      <c r="L40" s="779" t="s">
        <v>1083</v>
      </c>
      <c r="M40" s="456" t="s">
        <v>481</v>
      </c>
      <c r="N40" s="464" t="s">
        <v>780</v>
      </c>
      <c r="O40" s="817" t="s">
        <v>781</v>
      </c>
      <c r="P40" s="450"/>
      <c r="V40" s="450"/>
      <c r="AF40" s="453"/>
      <c r="AG40" s="453"/>
    </row>
    <row r="41" spans="9:33" ht="15.95" customHeight="1" thickBot="1" x14ac:dyDescent="0.25">
      <c r="I41" s="437"/>
      <c r="J41" s="437"/>
      <c r="K41" s="447">
        <f>K35+1</f>
        <v>10</v>
      </c>
      <c r="L41" s="472">
        <v>12</v>
      </c>
      <c r="M41" s="465" t="str">
        <f ca="1">IFERROR(VLOOKUP(L42,$G$5:$J$28,2,FALSE),"")</f>
        <v/>
      </c>
      <c r="N41" s="966">
        <v>1</v>
      </c>
      <c r="O41" s="780"/>
      <c r="P41" s="445"/>
      <c r="R41" s="779" t="s">
        <v>1083</v>
      </c>
      <c r="S41" s="456" t="s">
        <v>481</v>
      </c>
      <c r="T41" s="464" t="s">
        <v>780</v>
      </c>
      <c r="V41" s="445"/>
      <c r="AF41" s="453"/>
      <c r="AG41" s="453"/>
    </row>
    <row r="42" spans="9:33" ht="15.95" customHeight="1" thickBot="1" x14ac:dyDescent="0.25">
      <c r="I42" s="437"/>
      <c r="J42" s="437"/>
      <c r="K42" s="447"/>
      <c r="L42" s="473" t="str">
        <f ca="1">VLOOKUP(L41,$A$5:$G$24,7,FALSE)</f>
        <v/>
      </c>
      <c r="M42" s="466" t="str">
        <f ca="1">IFERROR(VLOOKUP(L42,$G$5:$J$28,3,FALSE),"")</f>
        <v/>
      </c>
      <c r="N42" s="967"/>
      <c r="Q42" s="447">
        <f>Q37+1</f>
        <v>11</v>
      </c>
      <c r="R42" s="472">
        <v>10</v>
      </c>
      <c r="S42" s="465" t="str">
        <f ca="1">IFERROR(VLOOKUP(R43,$G$5:$J$28,2,FALSE),"")</f>
        <v/>
      </c>
      <c r="T42" s="966">
        <v>1</v>
      </c>
      <c r="U42" s="780"/>
      <c r="W42" s="450"/>
      <c r="X42" s="979" t="s">
        <v>825</v>
      </c>
      <c r="Y42" s="1247"/>
      <c r="Z42" s="1247"/>
      <c r="AA42" s="450"/>
      <c r="AF42" s="453"/>
      <c r="AG42" s="453"/>
    </row>
    <row r="43" spans="9:33" ht="15.95" customHeight="1" thickBot="1" x14ac:dyDescent="0.25">
      <c r="I43" s="437"/>
      <c r="J43" s="437"/>
      <c r="K43" s="447">
        <f>K41+1</f>
        <v>11</v>
      </c>
      <c r="L43" s="472">
        <v>13</v>
      </c>
      <c r="M43" s="465" t="str">
        <f ca="1">IFERROR(VLOOKUP(L44,$G$5:$J$28,2,FALSE),"")</f>
        <v/>
      </c>
      <c r="N43" s="966">
        <v>0</v>
      </c>
      <c r="O43" s="780"/>
      <c r="Q43" s="447"/>
      <c r="R43" s="473" t="str">
        <f ca="1">L49</f>
        <v/>
      </c>
      <c r="S43" s="466" t="str">
        <f ca="1">IFERROR(VLOOKUP(R43,$G$5:$J$28,3,FALSE),"")</f>
        <v/>
      </c>
      <c r="T43" s="967"/>
      <c r="U43" s="441" t="str">
        <f>IF(W64=1,1,IF(W64=2,4,IF(W64=3,5,"")))</f>
        <v/>
      </c>
      <c r="W43" s="445" t="s">
        <v>779</v>
      </c>
      <c r="X43" s="779" t="s">
        <v>1083</v>
      </c>
      <c r="Y43" s="456" t="s">
        <v>481</v>
      </c>
      <c r="Z43" s="464" t="s">
        <v>780</v>
      </c>
      <c r="AA43" s="817" t="s">
        <v>781</v>
      </c>
      <c r="AF43" s="453"/>
      <c r="AG43" s="453"/>
    </row>
    <row r="44" spans="9:33" ht="15.95" customHeight="1" thickBot="1" x14ac:dyDescent="0.25">
      <c r="I44" s="437"/>
      <c r="J44" s="437"/>
      <c r="K44" s="447"/>
      <c r="L44" s="473" t="str">
        <f ca="1">VLOOKUP(L43,$A$5:$G$24,7,FALSE)</f>
        <v/>
      </c>
      <c r="M44" s="466" t="str">
        <f ca="1">IFERROR(VLOOKUP(L44,$G$5:$J$28,3,FALSE),"")</f>
        <v/>
      </c>
      <c r="N44" s="967"/>
      <c r="Q44" s="447">
        <f>Q42+1</f>
        <v>12</v>
      </c>
      <c r="R44" s="472">
        <v>11</v>
      </c>
      <c r="S44" s="465" t="str">
        <f ca="1">IFERROR(VLOOKUP(R45,$G$5:$J$28,2,FALSE),"")</f>
        <v/>
      </c>
      <c r="T44" s="966">
        <v>0</v>
      </c>
      <c r="U44" s="780"/>
      <c r="W44" s="447">
        <f>W37+1</f>
        <v>11</v>
      </c>
      <c r="X44" s="472">
        <v>12</v>
      </c>
      <c r="Y44" s="465" t="str">
        <f ca="1">IFERROR(VLOOKUP(X45,$G$5:$J$28,2,FALSE),"")</f>
        <v/>
      </c>
      <c r="Z44" s="966">
        <v>1</v>
      </c>
      <c r="AA44" s="780"/>
      <c r="AF44" s="453"/>
      <c r="AG44" s="453"/>
    </row>
    <row r="45" spans="9:33" ht="15.95" customHeight="1" thickBot="1" x14ac:dyDescent="0.25">
      <c r="I45" s="437"/>
      <c r="J45" s="437"/>
      <c r="Q45" s="447"/>
      <c r="R45" s="473" t="str">
        <f ca="1">L51</f>
        <v/>
      </c>
      <c r="S45" s="466" t="str">
        <f ca="1">IFERROR(VLOOKUP(R45,$G$5:$J$28,3,FALSE),"")</f>
        <v/>
      </c>
      <c r="T45" s="967"/>
      <c r="W45" s="447"/>
      <c r="X45" s="473" t="str">
        <f ca="1">IF(ISBLANK(T35),"",IF(U35+T35&lt;T37+U37,R36,R38))</f>
        <v/>
      </c>
      <c r="Y45" s="466" t="str">
        <f ca="1">IFERROR(VLOOKUP(X45,$G$5:$J$28,3,FALSE),"")</f>
        <v/>
      </c>
      <c r="Z45" s="967"/>
      <c r="AA45" s="781"/>
      <c r="AF45" s="453"/>
      <c r="AG45" s="453"/>
    </row>
    <row r="46" spans="9:33" ht="15.95" customHeight="1" thickBot="1" x14ac:dyDescent="0.25">
      <c r="I46" s="437"/>
      <c r="J46" s="437"/>
      <c r="P46" s="450"/>
      <c r="T46" s="441"/>
      <c r="V46" s="450"/>
      <c r="W46" s="447">
        <f>W44+1</f>
        <v>12</v>
      </c>
      <c r="X46" s="472">
        <v>11</v>
      </c>
      <c r="Y46" s="465" t="str">
        <f ca="1">IFERROR(VLOOKUP(X47,$G$5:$J$28,2,FALSE),"")</f>
        <v/>
      </c>
      <c r="Z46" s="966">
        <v>4</v>
      </c>
      <c r="AA46" s="780"/>
      <c r="AF46" s="453"/>
      <c r="AG46" s="453"/>
    </row>
    <row r="47" spans="9:33" ht="15.95" customHeight="1" thickBot="1" x14ac:dyDescent="0.25">
      <c r="I47" s="437"/>
      <c r="J47" s="437"/>
      <c r="K47" s="445" t="s">
        <v>779</v>
      </c>
      <c r="L47" s="779" t="s">
        <v>1083</v>
      </c>
      <c r="M47" s="456" t="s">
        <v>481</v>
      </c>
      <c r="N47" s="464" t="s">
        <v>780</v>
      </c>
      <c r="P47" s="450"/>
      <c r="V47" s="450"/>
      <c r="W47" s="447"/>
      <c r="X47" s="473" t="str">
        <f ca="1">IF(ISBLANK(T42),"",IF(U42+T42&lt;T44+U44,R43,R45))</f>
        <v/>
      </c>
      <c r="Y47" s="466" t="str">
        <f ca="1">IFERROR(VLOOKUP(X47,$G$5:$J$28,3,FALSE),"")</f>
        <v/>
      </c>
      <c r="Z47" s="967"/>
      <c r="AA47" s="781"/>
      <c r="AB47" s="435" t="s">
        <v>793</v>
      </c>
      <c r="AF47" s="453"/>
      <c r="AG47" s="453"/>
    </row>
    <row r="48" spans="9:33" ht="15.95" customHeight="1" thickBot="1" x14ac:dyDescent="0.25">
      <c r="I48" s="437"/>
      <c r="J48" s="437"/>
      <c r="K48" s="447">
        <f>K43+1</f>
        <v>12</v>
      </c>
      <c r="L48" s="472">
        <v>10</v>
      </c>
      <c r="M48" s="465" t="str">
        <f ca="1">IFERROR(VLOOKUP(L49,$G$5:$J$28,2,FALSE),"")</f>
        <v/>
      </c>
      <c r="N48" s="966"/>
      <c r="P48" s="445"/>
      <c r="R48" s="979" t="s">
        <v>1311</v>
      </c>
      <c r="S48" s="1247" t="s">
        <v>1307</v>
      </c>
      <c r="T48" s="1247"/>
      <c r="V48" s="445"/>
      <c r="AF48" s="453"/>
      <c r="AG48" s="453"/>
    </row>
    <row r="49" spans="9:33" ht="15.95" customHeight="1" thickBot="1" x14ac:dyDescent="0.25">
      <c r="I49" s="437"/>
      <c r="J49" s="437"/>
      <c r="K49" s="447"/>
      <c r="L49" s="473" t="str">
        <f ca="1">VLOOKUP(L48,$A$5:$G$24,7,FALSE)</f>
        <v/>
      </c>
      <c r="M49" s="466" t="str">
        <f ca="1">IFERROR(VLOOKUP(L49,$G$5:$J$28,3,FALSE),"")</f>
        <v/>
      </c>
      <c r="N49" s="967"/>
      <c r="Q49" s="445" t="s">
        <v>779</v>
      </c>
      <c r="R49" s="779" t="s">
        <v>1083</v>
      </c>
      <c r="S49" s="456" t="s">
        <v>481</v>
      </c>
      <c r="T49" s="464" t="s">
        <v>780</v>
      </c>
      <c r="U49" s="817" t="s">
        <v>781</v>
      </c>
      <c r="AF49" s="453"/>
      <c r="AG49" s="453"/>
    </row>
    <row r="50" spans="9:33" ht="15.95" customHeight="1" thickBot="1" x14ac:dyDescent="0.25">
      <c r="I50" s="437"/>
      <c r="J50" s="437"/>
      <c r="K50" s="447">
        <f>K48+1</f>
        <v>13</v>
      </c>
      <c r="L50" s="472">
        <v>11</v>
      </c>
      <c r="M50" s="465" t="str">
        <f ca="1">IFERROR(VLOOKUP(L51,$G$5:$J$28,2,FALSE),"")</f>
        <v/>
      </c>
      <c r="N50" s="966"/>
      <c r="Q50" s="447">
        <f>Q44+1</f>
        <v>13</v>
      </c>
      <c r="R50" s="472">
        <v>13</v>
      </c>
      <c r="S50" s="465" t="str">
        <f ca="1">IFERROR(VLOOKUP(R51,$G$5:$J$28,2,FALSE),"")</f>
        <v/>
      </c>
      <c r="T50" s="966"/>
      <c r="U50" s="780"/>
    </row>
    <row r="51" spans="9:33" ht="15.95" customHeight="1" thickBot="1" x14ac:dyDescent="0.25">
      <c r="I51" s="437"/>
      <c r="J51" s="437"/>
      <c r="K51" s="447"/>
      <c r="L51" s="473" t="str">
        <f ca="1">VLOOKUP(L50,$A$5:$G$24,7,FALSE)</f>
        <v/>
      </c>
      <c r="M51" s="466" t="str">
        <f ca="1">IFERROR(VLOOKUP(L51,$G$5:$J$28,3,FALSE),"")</f>
        <v/>
      </c>
      <c r="N51" s="967"/>
      <c r="Q51" s="447"/>
      <c r="R51" s="473" t="str">
        <f ca="1">IF(ISBLANK(N41),"",IF(O41+N41&lt;N43+O43,L42,L44))</f>
        <v/>
      </c>
      <c r="S51" s="466" t="str">
        <f ca="1">IFERROR(VLOOKUP(R51,$G$5:$J$28,3,FALSE),"")</f>
        <v/>
      </c>
      <c r="T51" s="967"/>
      <c r="V51" s="447"/>
    </row>
    <row r="52" spans="9:33" ht="15.95" customHeight="1" x14ac:dyDescent="0.2">
      <c r="I52" s="437"/>
      <c r="J52" s="437"/>
      <c r="V52" s="447"/>
    </row>
    <row r="53" spans="9:33" ht="15.95" customHeight="1" x14ac:dyDescent="0.2">
      <c r="I53" s="437"/>
      <c r="J53" s="437"/>
      <c r="K53" s="445"/>
      <c r="L53" s="782"/>
      <c r="O53" s="445"/>
      <c r="P53" s="445"/>
      <c r="Q53" s="445"/>
      <c r="R53" s="782"/>
      <c r="S53" s="435"/>
      <c r="U53" s="445"/>
      <c r="V53" s="445"/>
      <c r="W53" s="445"/>
      <c r="X53" s="782"/>
      <c r="AA53" s="445"/>
    </row>
    <row r="54" spans="9:33" ht="15.95" customHeight="1" x14ac:dyDescent="0.2">
      <c r="I54" s="437"/>
      <c r="J54" s="437"/>
      <c r="K54" s="445"/>
      <c r="L54" s="782"/>
      <c r="O54" s="445"/>
      <c r="P54" s="445"/>
      <c r="Q54" s="445"/>
      <c r="R54" s="782"/>
      <c r="S54" s="435"/>
      <c r="U54" s="445"/>
      <c r="V54" s="445"/>
      <c r="W54" s="445"/>
      <c r="X54" s="782"/>
      <c r="AA54" s="445"/>
    </row>
    <row r="55" spans="9:33" ht="15.95" customHeight="1" x14ac:dyDescent="0.2">
      <c r="I55" s="437"/>
      <c r="J55" s="437"/>
      <c r="K55" s="445"/>
      <c r="L55" s="782"/>
      <c r="O55" s="445"/>
      <c r="P55" s="445"/>
      <c r="Q55" s="445"/>
      <c r="R55" s="782"/>
      <c r="S55" s="435"/>
      <c r="U55" s="445"/>
      <c r="V55" s="445"/>
      <c r="W55" s="445"/>
      <c r="X55" s="782"/>
      <c r="AA55" s="445"/>
    </row>
    <row r="56" spans="9:33" ht="15.95" customHeight="1" x14ac:dyDescent="0.2">
      <c r="I56" s="437"/>
      <c r="J56" s="437"/>
      <c r="K56" s="445"/>
      <c r="L56" s="782"/>
      <c r="O56" s="445"/>
      <c r="P56" s="445"/>
      <c r="Q56" s="445"/>
      <c r="R56" s="782"/>
      <c r="S56" s="435"/>
      <c r="U56" s="445"/>
      <c r="V56" s="445"/>
      <c r="W56" s="445"/>
      <c r="X56" s="782"/>
      <c r="AA56" s="445"/>
    </row>
    <row r="57" spans="9:33" ht="15.95" customHeight="1" x14ac:dyDescent="0.2">
      <c r="I57" s="437"/>
      <c r="J57" s="437"/>
      <c r="K57" s="445"/>
      <c r="L57" s="782"/>
      <c r="O57" s="445"/>
      <c r="P57" s="445"/>
      <c r="Q57" s="445"/>
      <c r="R57" s="782"/>
      <c r="S57" s="435"/>
      <c r="U57" s="445"/>
      <c r="V57" s="445"/>
      <c r="W57" s="445"/>
      <c r="X57" s="782"/>
      <c r="AA57" s="445"/>
      <c r="AC57" s="788"/>
      <c r="AD57" s="788"/>
      <c r="AE57" s="788"/>
      <c r="AF57" s="788"/>
    </row>
    <row r="58" spans="9:33" ht="15.95" customHeight="1" x14ac:dyDescent="0.2">
      <c r="I58" s="437"/>
      <c r="J58" s="437"/>
      <c r="K58" s="445"/>
      <c r="L58" s="782"/>
      <c r="O58" s="445"/>
      <c r="P58" s="445"/>
      <c r="Q58" s="445"/>
      <c r="R58" s="782"/>
      <c r="S58" s="435"/>
      <c r="U58" s="445"/>
      <c r="V58" s="445"/>
      <c r="W58" s="445"/>
      <c r="X58" s="782"/>
      <c r="AA58" s="445"/>
      <c r="AC58" s="788"/>
      <c r="AD58" s="788"/>
      <c r="AE58" s="788"/>
      <c r="AF58" s="788"/>
    </row>
    <row r="59" spans="9:33" ht="15.95" customHeight="1" x14ac:dyDescent="0.2">
      <c r="I59" s="437"/>
      <c r="J59" s="437"/>
      <c r="K59" s="445"/>
      <c r="L59" s="782"/>
      <c r="O59" s="445"/>
      <c r="P59" s="445"/>
      <c r="Q59" s="445"/>
      <c r="R59" s="782"/>
      <c r="S59" s="435"/>
      <c r="U59" s="445"/>
      <c r="V59" s="445"/>
      <c r="W59" s="445"/>
      <c r="X59" s="782"/>
      <c r="AA59" s="445"/>
      <c r="AC59" s="788"/>
      <c r="AD59" s="788"/>
      <c r="AE59" s="788"/>
      <c r="AF59" s="788"/>
    </row>
    <row r="60" spans="9:33" ht="15.95" customHeight="1" x14ac:dyDescent="0.2">
      <c r="I60" s="437"/>
      <c r="J60" s="437"/>
      <c r="K60" s="445"/>
      <c r="L60" s="782"/>
      <c r="O60" s="445"/>
      <c r="P60" s="445"/>
      <c r="Q60" s="445"/>
      <c r="R60" s="782"/>
      <c r="S60" s="435"/>
      <c r="U60" s="445"/>
      <c r="V60" s="445"/>
      <c r="W60" s="445"/>
      <c r="X60" s="782"/>
      <c r="AA60" s="445"/>
      <c r="AC60" s="788"/>
      <c r="AD60" s="788"/>
      <c r="AE60" s="788"/>
      <c r="AF60" s="788"/>
    </row>
    <row r="61" spans="9:33" ht="15.95" customHeight="1" x14ac:dyDescent="0.2">
      <c r="I61" s="437"/>
      <c r="J61" s="437"/>
      <c r="K61" s="445"/>
      <c r="L61" s="782"/>
      <c r="O61" s="445"/>
      <c r="P61" s="445"/>
      <c r="Q61" s="445"/>
      <c r="R61" s="782"/>
      <c r="S61" s="435"/>
      <c r="U61" s="445"/>
      <c r="V61" s="445"/>
      <c r="W61" s="445"/>
      <c r="X61" s="782"/>
      <c r="AA61" s="445"/>
      <c r="AC61" s="788"/>
      <c r="AD61" s="788"/>
      <c r="AE61" s="788"/>
      <c r="AF61" s="788"/>
    </row>
    <row r="62" spans="9:33" ht="15.95" customHeight="1" x14ac:dyDescent="0.2">
      <c r="I62" s="437"/>
      <c r="J62" s="437"/>
      <c r="K62" s="445"/>
      <c r="L62" s="782"/>
      <c r="O62" s="445"/>
      <c r="P62" s="445"/>
      <c r="Q62" s="445"/>
      <c r="R62" s="782"/>
      <c r="S62" s="435"/>
      <c r="U62" s="445"/>
      <c r="V62" s="445"/>
      <c r="W62" s="445"/>
      <c r="X62" s="782"/>
      <c r="AA62" s="445"/>
      <c r="AC62" s="788"/>
      <c r="AD62" s="788"/>
      <c r="AE62" s="788"/>
      <c r="AF62" s="788"/>
    </row>
    <row r="63" spans="9:33" ht="15.95" customHeight="1" x14ac:dyDescent="0.2">
      <c r="I63" s="437"/>
      <c r="J63" s="437"/>
      <c r="K63" s="437"/>
      <c r="L63" s="437"/>
      <c r="M63" s="437"/>
      <c r="N63" s="437"/>
      <c r="O63" s="521"/>
      <c r="P63" s="778"/>
      <c r="Q63" s="787"/>
      <c r="R63" s="787"/>
      <c r="S63" s="787"/>
      <c r="T63" s="787"/>
      <c r="U63" s="787"/>
      <c r="V63" s="787"/>
      <c r="W63" s="787"/>
      <c r="X63" s="787"/>
      <c r="Y63" s="787"/>
      <c r="Z63" s="787"/>
      <c r="AA63" s="787"/>
      <c r="AB63" s="788"/>
      <c r="AC63" s="788"/>
      <c r="AD63" s="788"/>
      <c r="AE63" s="788"/>
      <c r="AF63" s="788"/>
    </row>
    <row r="64" spans="9:33" ht="15.95" customHeight="1" x14ac:dyDescent="0.2">
      <c r="I64" s="437"/>
      <c r="J64" s="437"/>
      <c r="K64" s="437"/>
      <c r="L64" s="437"/>
      <c r="M64" s="437"/>
      <c r="N64" s="437"/>
      <c r="O64" s="521"/>
      <c r="P64" s="778"/>
      <c r="Q64" s="778"/>
      <c r="R64" s="778"/>
      <c r="S64" s="778"/>
      <c r="T64" s="778"/>
      <c r="U64" s="778"/>
      <c r="V64" s="778"/>
      <c r="W64" s="778"/>
      <c r="X64" s="441"/>
      <c r="Y64" s="441"/>
      <c r="Z64" s="441"/>
    </row>
    <row r="65" spans="9:36" ht="15.95" customHeight="1" x14ac:dyDescent="0.2">
      <c r="I65" s="437"/>
      <c r="J65" s="437"/>
      <c r="K65" s="437"/>
      <c r="L65" s="437"/>
      <c r="M65" s="437"/>
      <c r="N65" s="437"/>
      <c r="O65" s="437"/>
      <c r="P65" s="437"/>
      <c r="Q65" s="437"/>
      <c r="R65" s="437"/>
      <c r="S65" s="437"/>
      <c r="T65" s="437"/>
      <c r="U65" s="437"/>
      <c r="V65" s="437"/>
      <c r="W65" s="437"/>
      <c r="X65" s="437"/>
      <c r="Y65" s="437"/>
      <c r="Z65" s="437"/>
      <c r="AA65" s="437"/>
      <c r="AH65" s="441"/>
      <c r="AI65" s="441"/>
      <c r="AJ65" s="447"/>
    </row>
    <row r="66" spans="9:36" ht="15.95" customHeight="1" x14ac:dyDescent="0.2">
      <c r="I66" s="437"/>
      <c r="J66" s="437"/>
      <c r="K66" s="437"/>
      <c r="L66" s="437"/>
      <c r="M66" s="437"/>
      <c r="N66" s="437"/>
      <c r="O66" s="437"/>
      <c r="P66" s="437"/>
      <c r="Q66" s="437"/>
      <c r="R66" s="437"/>
      <c r="S66" s="437"/>
      <c r="T66" s="437"/>
      <c r="U66" s="437"/>
      <c r="V66" s="437"/>
      <c r="W66" s="437"/>
      <c r="X66" s="437"/>
      <c r="Y66" s="437"/>
      <c r="Z66" s="437"/>
      <c r="AA66" s="437"/>
      <c r="AH66" s="441"/>
      <c r="AI66" s="441"/>
      <c r="AJ66" s="447"/>
    </row>
    <row r="67" spans="9:36" ht="15.95" customHeight="1" x14ac:dyDescent="0.2">
      <c r="I67" s="437"/>
      <c r="J67" s="437"/>
      <c r="K67" s="437"/>
      <c r="L67" s="437"/>
      <c r="M67" s="437"/>
      <c r="N67" s="437"/>
      <c r="O67" s="437"/>
      <c r="P67" s="437"/>
      <c r="Q67" s="437"/>
      <c r="R67" s="437"/>
      <c r="S67" s="437"/>
      <c r="T67" s="437"/>
      <c r="U67" s="437"/>
      <c r="V67" s="437"/>
      <c r="W67" s="437"/>
      <c r="X67" s="437"/>
      <c r="Y67" s="437"/>
      <c r="Z67" s="437"/>
      <c r="AA67" s="437"/>
      <c r="AH67" s="441"/>
      <c r="AI67" s="441"/>
      <c r="AJ67" s="441"/>
    </row>
    <row r="68" spans="9:36" ht="15.95" customHeight="1" x14ac:dyDescent="0.2">
      <c r="I68" s="437"/>
      <c r="J68" s="437"/>
      <c r="K68" s="450"/>
      <c r="L68" s="450"/>
      <c r="M68" s="450"/>
      <c r="N68" s="521"/>
      <c r="O68" s="521"/>
      <c r="P68" s="450"/>
      <c r="Q68" s="450"/>
      <c r="R68" s="437"/>
      <c r="S68" s="437"/>
      <c r="T68" s="451"/>
      <c r="U68" s="450"/>
      <c r="W68" s="450"/>
      <c r="X68" s="516"/>
      <c r="Y68" s="457"/>
      <c r="Z68" s="457"/>
      <c r="AA68" s="450"/>
      <c r="AH68" s="441"/>
      <c r="AI68" s="441"/>
      <c r="AJ68" s="441"/>
    </row>
    <row r="69" spans="9:36" ht="15.95" customHeight="1" x14ac:dyDescent="0.2">
      <c r="I69" s="437"/>
      <c r="J69" s="437"/>
      <c r="K69" s="450"/>
      <c r="L69" s="450"/>
      <c r="M69" s="450"/>
      <c r="N69" s="521"/>
      <c r="O69" s="521"/>
      <c r="P69" s="450"/>
      <c r="Q69" s="450"/>
      <c r="R69" s="437"/>
      <c r="S69" s="437"/>
      <c r="T69" s="451"/>
      <c r="U69" s="450"/>
      <c r="W69" s="450"/>
      <c r="X69" s="516"/>
      <c r="Y69" s="457"/>
      <c r="Z69" s="457"/>
      <c r="AA69" s="450"/>
      <c r="AH69" s="441"/>
      <c r="AI69" s="441"/>
      <c r="AJ69" s="450"/>
    </row>
    <row r="70" spans="9:36" ht="15.95" customHeight="1" x14ac:dyDescent="0.2">
      <c r="I70" s="437"/>
      <c r="J70" s="437"/>
      <c r="K70" s="450"/>
      <c r="L70" s="450"/>
      <c r="M70" s="450"/>
      <c r="N70" s="521"/>
      <c r="O70" s="521"/>
      <c r="P70" s="450"/>
      <c r="Q70" s="450"/>
      <c r="R70" s="437"/>
      <c r="S70" s="437"/>
      <c r="T70" s="451"/>
      <c r="U70" s="450"/>
      <c r="W70" s="450"/>
      <c r="X70" s="516"/>
      <c r="Y70" s="457"/>
      <c r="Z70" s="457"/>
      <c r="AA70" s="450"/>
      <c r="AH70" s="441"/>
      <c r="AI70" s="441"/>
      <c r="AJ70" s="450"/>
    </row>
    <row r="71" spans="9:36" ht="15.95" customHeight="1" x14ac:dyDescent="0.2">
      <c r="I71" s="437"/>
      <c r="J71" s="437"/>
      <c r="K71" s="450"/>
      <c r="L71" s="450"/>
      <c r="M71" s="450"/>
      <c r="N71" s="521"/>
      <c r="O71" s="521"/>
      <c r="P71" s="450"/>
      <c r="Q71" s="450"/>
      <c r="R71" s="437"/>
      <c r="S71" s="437"/>
      <c r="T71" s="451"/>
      <c r="U71" s="450"/>
      <c r="W71" s="450"/>
      <c r="X71" s="516"/>
      <c r="Y71" s="457"/>
      <c r="Z71" s="457"/>
      <c r="AA71" s="450"/>
      <c r="AH71" s="441"/>
      <c r="AI71" s="441"/>
      <c r="AJ71" s="445"/>
    </row>
    <row r="72" spans="9:36" ht="15.95" customHeight="1" x14ac:dyDescent="0.2">
      <c r="I72" s="437"/>
      <c r="J72" s="437"/>
      <c r="K72" s="450"/>
      <c r="L72" s="450"/>
      <c r="M72" s="450"/>
      <c r="N72" s="521"/>
      <c r="O72" s="521"/>
      <c r="P72" s="450"/>
      <c r="Q72" s="450"/>
      <c r="R72" s="437"/>
      <c r="S72" s="437"/>
      <c r="T72" s="451"/>
      <c r="U72" s="450"/>
      <c r="W72" s="450"/>
      <c r="X72" s="516"/>
      <c r="Y72" s="457"/>
      <c r="Z72" s="457"/>
      <c r="AA72" s="450"/>
      <c r="AH72" s="441"/>
      <c r="AI72" s="441"/>
      <c r="AJ72" s="447"/>
    </row>
    <row r="73" spans="9:36" ht="15.95" customHeight="1" x14ac:dyDescent="0.2">
      <c r="I73" s="437"/>
      <c r="J73" s="437"/>
      <c r="K73" s="450"/>
      <c r="L73" s="450"/>
      <c r="M73" s="450"/>
      <c r="N73" s="521"/>
      <c r="O73" s="521"/>
      <c r="P73" s="450"/>
      <c r="Q73" s="450"/>
      <c r="R73" s="437"/>
      <c r="S73" s="437"/>
      <c r="T73" s="451"/>
      <c r="U73" s="450"/>
      <c r="W73" s="450"/>
      <c r="X73" s="516"/>
      <c r="Y73" s="457"/>
      <c r="Z73" s="457"/>
      <c r="AA73" s="450"/>
      <c r="AH73" s="441"/>
      <c r="AI73" s="441"/>
      <c r="AJ73" s="447"/>
    </row>
    <row r="74" spans="9:36" ht="15.95" customHeight="1" x14ac:dyDescent="0.2">
      <c r="I74" s="437"/>
      <c r="J74" s="437"/>
      <c r="K74" s="450"/>
      <c r="L74" s="450"/>
      <c r="M74" s="450"/>
      <c r="N74" s="521"/>
      <c r="O74" s="521"/>
      <c r="P74" s="450"/>
      <c r="Q74" s="450"/>
      <c r="R74" s="437"/>
      <c r="S74" s="437"/>
      <c r="T74" s="451"/>
      <c r="U74" s="450"/>
      <c r="W74" s="450"/>
      <c r="X74" s="516"/>
      <c r="Y74" s="457"/>
      <c r="Z74" s="457"/>
      <c r="AA74" s="450"/>
      <c r="AH74" s="441"/>
      <c r="AI74" s="441"/>
      <c r="AJ74" s="450"/>
    </row>
    <row r="75" spans="9:36" ht="15.95" customHeight="1" x14ac:dyDescent="0.2">
      <c r="I75" s="437"/>
      <c r="J75" s="437"/>
      <c r="K75" s="450"/>
      <c r="L75" s="450"/>
      <c r="M75" s="450"/>
      <c r="N75" s="521"/>
      <c r="O75" s="521"/>
      <c r="P75" s="450"/>
      <c r="Q75" s="450"/>
      <c r="R75" s="437"/>
      <c r="S75" s="437"/>
      <c r="T75" s="451"/>
      <c r="U75" s="450"/>
      <c r="W75" s="450"/>
      <c r="X75" s="516"/>
      <c r="Y75" s="457"/>
      <c r="Z75" s="457"/>
      <c r="AA75" s="450"/>
      <c r="AH75" s="441"/>
      <c r="AI75" s="441"/>
      <c r="AJ75" s="450"/>
    </row>
    <row r="76" spans="9:36" ht="15.95" customHeight="1" x14ac:dyDescent="0.2">
      <c r="I76" s="437"/>
      <c r="J76" s="437"/>
      <c r="K76" s="450"/>
      <c r="L76" s="450"/>
      <c r="M76" s="450"/>
      <c r="N76" s="521"/>
      <c r="O76" s="521"/>
      <c r="P76" s="450"/>
      <c r="Q76" s="450"/>
      <c r="R76" s="437"/>
      <c r="S76" s="437"/>
      <c r="T76" s="451"/>
      <c r="U76" s="450"/>
      <c r="W76" s="450"/>
      <c r="X76" s="516"/>
      <c r="Y76" s="457"/>
      <c r="Z76" s="457"/>
      <c r="AA76" s="450"/>
      <c r="AH76" s="441"/>
      <c r="AI76" s="441"/>
      <c r="AJ76" s="450"/>
    </row>
    <row r="77" spans="9:36" ht="15.95" customHeight="1" x14ac:dyDescent="0.2">
      <c r="I77" s="437"/>
      <c r="J77" s="437"/>
      <c r="K77" s="447"/>
      <c r="L77" s="450"/>
      <c r="M77" s="450"/>
      <c r="N77" s="521"/>
      <c r="O77" s="521"/>
      <c r="P77" s="450"/>
      <c r="Q77" s="450"/>
      <c r="R77" s="450"/>
      <c r="S77" s="450"/>
      <c r="T77" s="451"/>
      <c r="U77" s="450"/>
      <c r="W77" s="450"/>
      <c r="X77" s="450"/>
      <c r="Y77" s="450"/>
      <c r="Z77" s="451"/>
      <c r="AA77" s="450"/>
      <c r="AH77" s="441"/>
      <c r="AI77" s="441"/>
      <c r="AJ77" s="450"/>
    </row>
    <row r="78" spans="9:36" ht="15.95" customHeight="1" x14ac:dyDescent="0.2">
      <c r="I78" s="437"/>
      <c r="J78" s="437"/>
      <c r="K78" s="447"/>
      <c r="L78" s="450"/>
      <c r="M78" s="450"/>
      <c r="N78" s="521"/>
      <c r="O78" s="521"/>
      <c r="P78" s="450"/>
      <c r="Q78" s="450"/>
      <c r="R78" s="450"/>
      <c r="S78" s="450"/>
      <c r="T78" s="451"/>
      <c r="U78" s="450"/>
      <c r="W78" s="450"/>
      <c r="X78" s="450"/>
      <c r="Y78" s="450"/>
      <c r="Z78" s="451"/>
      <c r="AA78" s="450"/>
      <c r="AH78" s="441"/>
      <c r="AI78" s="441"/>
      <c r="AJ78" s="445"/>
    </row>
    <row r="79" spans="9:36" ht="15.95" customHeight="1" x14ac:dyDescent="0.2">
      <c r="I79" s="437"/>
      <c r="J79" s="437"/>
      <c r="K79" s="447"/>
      <c r="L79" s="450"/>
      <c r="M79" s="450"/>
      <c r="N79" s="521"/>
      <c r="O79" s="521"/>
      <c r="P79" s="450"/>
      <c r="Q79" s="450"/>
      <c r="R79" s="450"/>
      <c r="S79" s="450"/>
      <c r="T79" s="451"/>
      <c r="U79" s="450"/>
      <c r="W79" s="450"/>
      <c r="X79" s="450"/>
      <c r="Y79" s="450"/>
      <c r="Z79" s="451"/>
      <c r="AA79" s="450"/>
      <c r="AH79" s="441"/>
      <c r="AI79" s="441"/>
      <c r="AJ79" s="447"/>
    </row>
    <row r="80" spans="9:36" ht="15.95" customHeight="1" x14ac:dyDescent="0.2">
      <c r="I80" s="437"/>
      <c r="J80" s="437"/>
      <c r="K80" s="447"/>
      <c r="L80" s="450"/>
      <c r="M80" s="450"/>
      <c r="N80" s="521"/>
      <c r="O80" s="521"/>
      <c r="P80" s="450"/>
      <c r="Q80" s="450"/>
      <c r="R80" s="450"/>
      <c r="S80" s="450"/>
      <c r="T80" s="451"/>
      <c r="U80" s="450"/>
      <c r="W80" s="450"/>
      <c r="X80" s="450"/>
      <c r="Y80" s="450"/>
      <c r="Z80" s="451"/>
      <c r="AA80" s="450"/>
      <c r="AH80" s="441"/>
      <c r="AI80" s="441"/>
      <c r="AJ80" s="447"/>
    </row>
    <row r="81" spans="9:36" ht="15.95" customHeight="1" x14ac:dyDescent="0.2">
      <c r="I81" s="437"/>
      <c r="J81" s="437"/>
      <c r="K81" s="447"/>
      <c r="L81" s="450"/>
      <c r="M81" s="450"/>
      <c r="N81" s="521"/>
      <c r="O81" s="521"/>
      <c r="P81" s="450"/>
      <c r="Q81" s="450"/>
      <c r="R81" s="450"/>
      <c r="S81" s="450"/>
      <c r="T81" s="451"/>
      <c r="U81" s="450"/>
      <c r="W81" s="450"/>
      <c r="X81" s="450"/>
      <c r="Y81" s="450"/>
      <c r="Z81" s="451"/>
      <c r="AA81" s="450"/>
      <c r="AH81" s="441"/>
      <c r="AI81" s="441"/>
      <c r="AJ81" s="447"/>
    </row>
    <row r="82" spans="9:36" ht="15.95" customHeight="1" x14ac:dyDescent="0.2">
      <c r="I82" s="437"/>
      <c r="J82" s="437"/>
      <c r="K82" s="450"/>
      <c r="L82" s="450"/>
      <c r="M82" s="450"/>
      <c r="N82" s="521"/>
      <c r="O82" s="521"/>
      <c r="P82" s="450"/>
      <c r="Q82" s="450"/>
      <c r="R82" s="450"/>
      <c r="S82" s="450"/>
      <c r="T82" s="451"/>
      <c r="U82" s="450"/>
      <c r="W82" s="450"/>
      <c r="X82" s="450"/>
      <c r="Y82" s="450"/>
      <c r="Z82" s="451"/>
      <c r="AA82" s="450"/>
      <c r="AH82" s="441"/>
      <c r="AI82" s="441"/>
      <c r="AJ82" s="450"/>
    </row>
    <row r="83" spans="9:36" ht="15.95" customHeight="1" x14ac:dyDescent="0.2">
      <c r="I83" s="437"/>
      <c r="J83" s="437"/>
      <c r="K83" s="445"/>
      <c r="L83" s="450"/>
      <c r="M83" s="450"/>
      <c r="N83" s="521"/>
      <c r="O83" s="521"/>
      <c r="P83" s="450"/>
      <c r="Q83" s="450"/>
      <c r="R83" s="450"/>
      <c r="S83" s="450"/>
      <c r="T83" s="451"/>
      <c r="U83" s="450"/>
      <c r="W83" s="450"/>
      <c r="X83" s="450"/>
      <c r="Y83" s="450"/>
      <c r="Z83" s="451"/>
      <c r="AA83" s="450"/>
      <c r="AH83" s="441"/>
      <c r="AI83" s="441"/>
      <c r="AJ83" s="445"/>
    </row>
    <row r="84" spans="9:36" ht="15.95" customHeight="1" x14ac:dyDescent="0.2">
      <c r="I84" s="437"/>
      <c r="J84" s="437"/>
      <c r="K84" s="447"/>
      <c r="L84" s="450"/>
      <c r="M84" s="450"/>
      <c r="N84" s="521"/>
      <c r="O84" s="521"/>
      <c r="P84" s="450"/>
      <c r="Q84" s="450"/>
      <c r="R84" s="450"/>
      <c r="S84" s="450"/>
      <c r="T84" s="451"/>
      <c r="U84" s="450"/>
      <c r="W84" s="450"/>
      <c r="X84" s="450"/>
      <c r="Y84" s="450"/>
      <c r="Z84" s="451"/>
      <c r="AA84" s="450"/>
      <c r="AH84" s="441"/>
      <c r="AI84" s="441"/>
      <c r="AJ84" s="447"/>
    </row>
    <row r="85" spans="9:36" ht="15.95" customHeight="1" x14ac:dyDescent="0.2">
      <c r="I85" s="437"/>
      <c r="J85" s="437"/>
      <c r="K85" s="447"/>
      <c r="L85" s="450"/>
      <c r="M85" s="450"/>
      <c r="N85" s="521"/>
      <c r="O85" s="521"/>
      <c r="P85" s="450"/>
      <c r="Q85" s="450"/>
      <c r="R85" s="450"/>
      <c r="S85" s="450"/>
      <c r="T85" s="451"/>
      <c r="U85" s="450"/>
      <c r="W85" s="450"/>
      <c r="X85" s="450"/>
      <c r="Y85" s="450"/>
      <c r="Z85" s="451"/>
      <c r="AA85" s="450"/>
      <c r="AH85" s="441"/>
      <c r="AI85" s="441"/>
      <c r="AJ85" s="447"/>
    </row>
    <row r="86" spans="9:36" ht="15.95" customHeight="1" x14ac:dyDescent="0.2">
      <c r="K86" s="447"/>
      <c r="L86" s="450"/>
      <c r="M86" s="450"/>
      <c r="N86" s="521"/>
      <c r="O86" s="521"/>
      <c r="P86" s="450"/>
      <c r="Q86" s="450"/>
      <c r="R86" s="450"/>
      <c r="S86" s="450"/>
      <c r="T86" s="451"/>
      <c r="U86" s="450"/>
      <c r="W86" s="450"/>
      <c r="X86" s="450"/>
      <c r="Y86" s="450"/>
      <c r="Z86" s="451"/>
      <c r="AA86" s="450"/>
      <c r="AH86" s="441"/>
      <c r="AI86" s="441"/>
      <c r="AJ86" s="441"/>
    </row>
    <row r="87" spans="9:36" ht="15.95" customHeight="1" x14ac:dyDescent="0.2">
      <c r="K87" s="447"/>
      <c r="L87" s="450"/>
      <c r="M87" s="450"/>
      <c r="N87" s="521"/>
      <c r="O87" s="521"/>
      <c r="P87" s="450"/>
      <c r="Q87" s="450"/>
      <c r="R87" s="450"/>
      <c r="S87" s="450"/>
      <c r="T87" s="451"/>
      <c r="U87" s="450"/>
      <c r="W87" s="450"/>
      <c r="X87" s="450"/>
      <c r="Y87" s="450"/>
      <c r="Z87" s="451"/>
      <c r="AA87" s="450"/>
      <c r="AH87" s="441"/>
      <c r="AI87" s="441"/>
      <c r="AJ87" s="441"/>
    </row>
    <row r="88" spans="9:36" ht="15.95" customHeight="1" x14ac:dyDescent="0.2">
      <c r="L88" s="450"/>
      <c r="M88" s="450"/>
      <c r="N88" s="521"/>
      <c r="O88" s="521"/>
      <c r="P88" s="450"/>
      <c r="Q88" s="450"/>
      <c r="R88" s="450"/>
      <c r="S88" s="450"/>
      <c r="T88" s="451"/>
      <c r="U88" s="450"/>
      <c r="W88" s="450"/>
      <c r="X88" s="450"/>
      <c r="Y88" s="450"/>
      <c r="Z88" s="451"/>
      <c r="AA88" s="450"/>
    </row>
    <row r="89" spans="9:36" ht="15.95" customHeight="1" x14ac:dyDescent="0.2">
      <c r="K89" s="435"/>
      <c r="L89" s="450"/>
      <c r="M89" s="450"/>
      <c r="N89" s="521"/>
      <c r="O89" s="521"/>
      <c r="P89" s="450"/>
      <c r="Q89" s="450"/>
      <c r="R89" s="450"/>
      <c r="S89" s="450"/>
      <c r="T89" s="451"/>
      <c r="U89" s="450"/>
      <c r="W89" s="450"/>
      <c r="X89" s="450"/>
      <c r="Y89" s="450"/>
      <c r="Z89" s="451"/>
      <c r="AA89" s="450"/>
    </row>
    <row r="90" spans="9:36" ht="15.95" customHeight="1" x14ac:dyDescent="0.2">
      <c r="K90" s="435"/>
      <c r="R90" s="450"/>
      <c r="S90" s="450"/>
      <c r="T90" s="451"/>
      <c r="U90" s="450"/>
      <c r="W90" s="450"/>
      <c r="X90" s="450"/>
      <c r="Y90" s="450"/>
      <c r="Z90" s="451"/>
    </row>
    <row r="91" spans="9:36" ht="15.95" customHeight="1" x14ac:dyDescent="0.2">
      <c r="K91" s="435"/>
    </row>
    <row r="92" spans="9:36" ht="15.95" customHeight="1" x14ac:dyDescent="0.2">
      <c r="K92" s="435"/>
    </row>
    <row r="93" spans="9:36" ht="15.95" customHeight="1" x14ac:dyDescent="0.2">
      <c r="K93" s="435"/>
    </row>
    <row r="94" spans="9:36" ht="15.95" customHeight="1" x14ac:dyDescent="0.2">
      <c r="K94" s="435"/>
    </row>
    <row r="95" spans="9:36" ht="15.95" customHeight="1" x14ac:dyDescent="0.2">
      <c r="K95" s="435"/>
      <c r="S95" s="450"/>
    </row>
    <row r="96" spans="9:36" ht="15.95" customHeight="1" x14ac:dyDescent="0.2">
      <c r="K96" s="435"/>
      <c r="S96" s="450"/>
    </row>
    <row r="97" ht="15.95" customHeight="1" x14ac:dyDescent="0.2"/>
    <row r="98" ht="15.95" customHeight="1" x14ac:dyDescent="0.2"/>
    <row r="99" ht="15.95" customHeight="1" x14ac:dyDescent="0.2"/>
    <row r="100" ht="15.95" customHeight="1" x14ac:dyDescent="0.2"/>
    <row r="101" ht="15.95" customHeight="1" x14ac:dyDescent="0.2"/>
    <row r="102" ht="15.95" customHeight="1" x14ac:dyDescent="0.2"/>
    <row r="103" ht="15.95" customHeight="1" x14ac:dyDescent="0.2"/>
    <row r="104" ht="15.95" customHeight="1" x14ac:dyDescent="0.2"/>
    <row r="105" ht="15.95" customHeight="1" x14ac:dyDescent="0.2"/>
    <row r="106" ht="15.95" customHeight="1" x14ac:dyDescent="0.2"/>
    <row r="107" ht="15.95" customHeight="1" x14ac:dyDescent="0.2"/>
    <row r="108" ht="15.95" customHeight="1" x14ac:dyDescent="0.2"/>
    <row r="109" ht="15.95" customHeight="1" x14ac:dyDescent="0.2"/>
    <row r="110" ht="15.95" customHeight="1" x14ac:dyDescent="0.2"/>
    <row r="111" ht="15.95" customHeight="1" x14ac:dyDescent="0.2"/>
    <row r="112" ht="15.95" customHeight="1" x14ac:dyDescent="0.2"/>
    <row r="113" ht="15.95" customHeight="1" x14ac:dyDescent="0.2"/>
    <row r="114" ht="15.95" customHeight="1" x14ac:dyDescent="0.2"/>
    <row r="115" ht="15.95" customHeight="1" x14ac:dyDescent="0.2"/>
    <row r="116" ht="15.95" customHeight="1" x14ac:dyDescent="0.2"/>
    <row r="117" ht="15.95" customHeight="1" x14ac:dyDescent="0.2"/>
    <row r="118" ht="15.95" customHeight="1" x14ac:dyDescent="0.2"/>
    <row r="119" ht="15.95" customHeight="1" x14ac:dyDescent="0.2"/>
    <row r="120" ht="15.95" customHeight="1" x14ac:dyDescent="0.2"/>
    <row r="121" ht="15.95" customHeight="1" x14ac:dyDescent="0.2"/>
    <row r="122" ht="15.95" customHeight="1" x14ac:dyDescent="0.2"/>
    <row r="123" ht="15.95" customHeight="1" x14ac:dyDescent="0.2"/>
    <row r="124" ht="15.95" customHeight="1" x14ac:dyDescent="0.2"/>
    <row r="125" ht="15.95" customHeight="1" x14ac:dyDescent="0.2"/>
    <row r="126" ht="15.95" customHeight="1" x14ac:dyDescent="0.2"/>
    <row r="127" ht="15.95" customHeight="1" x14ac:dyDescent="0.2"/>
    <row r="128" ht="15.95" customHeight="1" x14ac:dyDescent="0.2"/>
    <row r="129" ht="15.95" customHeight="1" x14ac:dyDescent="0.2"/>
    <row r="130" ht="15.95" customHeight="1" x14ac:dyDescent="0.2"/>
    <row r="131" ht="15.95" customHeight="1" x14ac:dyDescent="0.2"/>
    <row r="132" ht="15.95" customHeight="1" x14ac:dyDescent="0.2"/>
    <row r="133" ht="15.95" customHeight="1" x14ac:dyDescent="0.2"/>
    <row r="134" ht="15.95" customHeight="1" x14ac:dyDescent="0.2"/>
    <row r="135" ht="15.95" customHeight="1" x14ac:dyDescent="0.2"/>
    <row r="136" ht="15.95" customHeight="1" x14ac:dyDescent="0.2"/>
    <row r="137" ht="15.95" customHeight="1" x14ac:dyDescent="0.2"/>
    <row r="138" ht="15.95" customHeight="1" x14ac:dyDescent="0.2"/>
    <row r="139" ht="15.95" customHeight="1" x14ac:dyDescent="0.2"/>
    <row r="140" ht="15.95" customHeight="1" x14ac:dyDescent="0.2"/>
    <row r="141" ht="15.95" customHeight="1" x14ac:dyDescent="0.2"/>
    <row r="142" ht="15.95" customHeight="1" x14ac:dyDescent="0.2"/>
    <row r="143" ht="15.95" customHeight="1" x14ac:dyDescent="0.2"/>
    <row r="144" ht="15.95" customHeight="1" x14ac:dyDescent="0.2"/>
    <row r="145" ht="15.95" customHeight="1" x14ac:dyDescent="0.2"/>
    <row r="146" ht="15.95" customHeight="1" x14ac:dyDescent="0.2"/>
    <row r="147" ht="15.95" customHeight="1" x14ac:dyDescent="0.2"/>
    <row r="148" ht="15.95" customHeight="1" x14ac:dyDescent="0.2"/>
  </sheetData>
  <sheetProtection selectLockedCells="1"/>
  <mergeCells count="60">
    <mergeCell ref="Z46:Z47"/>
    <mergeCell ref="T44:T45"/>
    <mergeCell ref="L33:N33"/>
    <mergeCell ref="R33:T33"/>
    <mergeCell ref="X33:Z33"/>
    <mergeCell ref="N35:N36"/>
    <mergeCell ref="T35:T36"/>
    <mergeCell ref="Z35:Z36"/>
    <mergeCell ref="T37:T38"/>
    <mergeCell ref="N41:N42"/>
    <mergeCell ref="T42:T43"/>
    <mergeCell ref="N43:N44"/>
    <mergeCell ref="Z44:Z45"/>
    <mergeCell ref="Z37:Z38"/>
    <mergeCell ref="X42:Z42"/>
    <mergeCell ref="X26:Z26"/>
    <mergeCell ref="N28:N29"/>
    <mergeCell ref="T28:T29"/>
    <mergeCell ref="Z28:Z29"/>
    <mergeCell ref="N30:N31"/>
    <mergeCell ref="T30:T31"/>
    <mergeCell ref="Z30:Z31"/>
    <mergeCell ref="R19:T19"/>
    <mergeCell ref="X19:Z19"/>
    <mergeCell ref="N21:N22"/>
    <mergeCell ref="T21:T22"/>
    <mergeCell ref="Z21:Z22"/>
    <mergeCell ref="T14:T15"/>
    <mergeCell ref="Z14:Z15"/>
    <mergeCell ref="N16:N17"/>
    <mergeCell ref="T16:T17"/>
    <mergeCell ref="Z16:Z17"/>
    <mergeCell ref="AH4:AJ5"/>
    <mergeCell ref="L5:N5"/>
    <mergeCell ref="R5:T5"/>
    <mergeCell ref="X5:Z5"/>
    <mergeCell ref="N7:N8"/>
    <mergeCell ref="T7:T8"/>
    <mergeCell ref="Z7:Z8"/>
    <mergeCell ref="AF1:AJ1"/>
    <mergeCell ref="K2:Z2"/>
    <mergeCell ref="AF2:AJ2"/>
    <mergeCell ref="N3:X3"/>
    <mergeCell ref="AF3:AJ3"/>
    <mergeCell ref="N48:N49"/>
    <mergeCell ref="R48:T48"/>
    <mergeCell ref="T50:T51"/>
    <mergeCell ref="N50:N51"/>
    <mergeCell ref="K1:AA1"/>
    <mergeCell ref="K4:N4"/>
    <mergeCell ref="Q4:T4"/>
    <mergeCell ref="W4:Z4"/>
    <mergeCell ref="N9:N10"/>
    <mergeCell ref="T9:T10"/>
    <mergeCell ref="Z9:Z10"/>
    <mergeCell ref="N23:N24"/>
    <mergeCell ref="T23:T24"/>
    <mergeCell ref="Z23:Z24"/>
    <mergeCell ref="X12:Z12"/>
    <mergeCell ref="N14:N15"/>
  </mergeCells>
  <conditionalFormatting sqref="S7">
    <cfRule type="expression" dxfId="1707" priority="136">
      <formula>IF(T7+U7&gt;T9+U9,1,0)</formula>
    </cfRule>
  </conditionalFormatting>
  <conditionalFormatting sqref="S9">
    <cfRule type="expression" dxfId="1706" priority="135">
      <formula>IF(T9+U9&gt;T11+U11,1,0)</formula>
    </cfRule>
  </conditionalFormatting>
  <conditionalFormatting sqref="S14">
    <cfRule type="expression" dxfId="1705" priority="134">
      <formula>IF(T14+U14&gt;T16+U16,1,0)</formula>
    </cfRule>
  </conditionalFormatting>
  <conditionalFormatting sqref="S16">
    <cfRule type="expression" dxfId="1704" priority="133">
      <formula>IF(T16+U16&gt;T18+U18,1,0)</formula>
    </cfRule>
  </conditionalFormatting>
  <conditionalFormatting sqref="S21">
    <cfRule type="expression" dxfId="1703" priority="132">
      <formula>IF(T21+U21&gt;T23+U23,1,0)</formula>
    </cfRule>
  </conditionalFormatting>
  <conditionalFormatting sqref="S23">
    <cfRule type="expression" dxfId="1702" priority="131">
      <formula>IF(T23+U23&gt;T25+U25,1,0)</formula>
    </cfRule>
  </conditionalFormatting>
  <conditionalFormatting sqref="S28">
    <cfRule type="expression" dxfId="1701" priority="130">
      <formula>IF(T28+U28&gt;T30+U30,1,0)</formula>
    </cfRule>
  </conditionalFormatting>
  <conditionalFormatting sqref="S30">
    <cfRule type="expression" dxfId="1700" priority="129">
      <formula>IF(T30+U30&gt;T32+U32,1,0)</formula>
    </cfRule>
  </conditionalFormatting>
  <conditionalFormatting sqref="Y7">
    <cfRule type="expression" dxfId="1699" priority="124">
      <formula>IF(Z7+AA7&gt;Z9+AA9,1,0)</formula>
    </cfRule>
  </conditionalFormatting>
  <conditionalFormatting sqref="Y9">
    <cfRule type="expression" dxfId="1698" priority="123">
      <formula>IF(Z9+AA9&gt;Z11+AA11,1,0)</formula>
    </cfRule>
  </conditionalFormatting>
  <conditionalFormatting sqref="Y14">
    <cfRule type="expression" dxfId="1697" priority="122">
      <formula>IF(Z14+AA14&gt;Z16+AA16,1,0)</formula>
    </cfRule>
  </conditionalFormatting>
  <conditionalFormatting sqref="Y16">
    <cfRule type="expression" dxfId="1696" priority="121">
      <formula>IF(Z16+AA16&gt;Z18+AA18,1,0)</formula>
    </cfRule>
  </conditionalFormatting>
  <conditionalFormatting sqref="Y21">
    <cfRule type="expression" dxfId="1695" priority="120">
      <formula>IF(Z21+AA21&gt;Z23+AA23,1,0)</formula>
    </cfRule>
  </conditionalFormatting>
  <conditionalFormatting sqref="Y23">
    <cfRule type="expression" dxfId="1694" priority="119">
      <formula>IF(Z23+AA23&gt;Z25+AA25,1,0)</formula>
    </cfRule>
  </conditionalFormatting>
  <conditionalFormatting sqref="Y28">
    <cfRule type="expression" dxfId="1693" priority="118">
      <formula>IF(Z28+AA28&gt;Z30+AA30,1,0)</formula>
    </cfRule>
  </conditionalFormatting>
  <conditionalFormatting sqref="Y30">
    <cfRule type="expression" dxfId="1692" priority="117">
      <formula>IF(Z30+AA30&gt;Z32+AA32,1,0)</formula>
    </cfRule>
  </conditionalFormatting>
  <conditionalFormatting sqref="O7:O8">
    <cfRule type="expression" priority="110" stopIfTrue="1">
      <formula>IF(N7="",1)</formula>
    </cfRule>
    <cfRule type="expression" dxfId="1691" priority="112">
      <formula>IF(N7=N9,1,0)</formula>
    </cfRule>
  </conditionalFormatting>
  <conditionalFormatting sqref="O9">
    <cfRule type="expression" priority="109" stopIfTrue="1">
      <formula>IF(N9="",1,0)</formula>
    </cfRule>
    <cfRule type="expression" dxfId="1690" priority="111">
      <formula>IF(N7=N9,1,0)</formula>
    </cfRule>
  </conditionalFormatting>
  <conditionalFormatting sqref="O14:O15">
    <cfRule type="expression" priority="106" stopIfTrue="1">
      <formula>IF(N14="",1)</formula>
    </cfRule>
    <cfRule type="expression" dxfId="1689" priority="108">
      <formula>IF(N14=N16,1,0)</formula>
    </cfRule>
  </conditionalFormatting>
  <conditionalFormatting sqref="O16">
    <cfRule type="expression" priority="105" stopIfTrue="1">
      <formula>IF(N16="",1,0)</formula>
    </cfRule>
    <cfRule type="expression" dxfId="1688" priority="107">
      <formula>IF(N14=N16,1,0)</formula>
    </cfRule>
  </conditionalFormatting>
  <conditionalFormatting sqref="O21:O22">
    <cfRule type="expression" priority="102" stopIfTrue="1">
      <formula>IF(N21="",1)</formula>
    </cfRule>
    <cfRule type="expression" dxfId="1687" priority="104">
      <formula>IF(N21=N23,1,0)</formula>
    </cfRule>
  </conditionalFormatting>
  <conditionalFormatting sqref="O23">
    <cfRule type="expression" priority="101" stopIfTrue="1">
      <formula>IF(N23="",1,0)</formula>
    </cfRule>
    <cfRule type="expression" dxfId="1686" priority="103">
      <formula>IF(N21=N23,1,0)</formula>
    </cfRule>
  </conditionalFormatting>
  <conditionalFormatting sqref="O28:O29">
    <cfRule type="expression" priority="98" stopIfTrue="1">
      <formula>IF(N28="",1)</formula>
    </cfRule>
    <cfRule type="expression" dxfId="1685" priority="100">
      <formula>IF(N28=N30,1,0)</formula>
    </cfRule>
  </conditionalFormatting>
  <conditionalFormatting sqref="O30">
    <cfRule type="expression" priority="97" stopIfTrue="1">
      <formula>IF(N30="",1,0)</formula>
    </cfRule>
    <cfRule type="expression" dxfId="1684" priority="99">
      <formula>IF(N28=N30,1,0)</formula>
    </cfRule>
  </conditionalFormatting>
  <conditionalFormatting sqref="U7:U8">
    <cfRule type="expression" priority="94" stopIfTrue="1">
      <formula>IF(T7="",1)</formula>
    </cfRule>
    <cfRule type="expression" dxfId="1683" priority="96">
      <formula>IF(T7=T9,1,0)</formula>
    </cfRule>
  </conditionalFormatting>
  <conditionalFormatting sqref="U9">
    <cfRule type="expression" priority="93" stopIfTrue="1">
      <formula>IF(T9="",1,0)</formula>
    </cfRule>
    <cfRule type="expression" dxfId="1682" priority="95">
      <formula>IF(T7=T9,1,0)</formula>
    </cfRule>
  </conditionalFormatting>
  <conditionalFormatting sqref="U14:U15">
    <cfRule type="expression" priority="90" stopIfTrue="1">
      <formula>IF(T14="",1)</formula>
    </cfRule>
    <cfRule type="expression" dxfId="1681" priority="92">
      <formula>IF(T14=T16,1,0)</formula>
    </cfRule>
  </conditionalFormatting>
  <conditionalFormatting sqref="U16">
    <cfRule type="expression" priority="89" stopIfTrue="1">
      <formula>IF(T16="",1,0)</formula>
    </cfRule>
    <cfRule type="expression" dxfId="1680" priority="91">
      <formula>IF(T14=T16,1,0)</formula>
    </cfRule>
  </conditionalFormatting>
  <conditionalFormatting sqref="U21:U22">
    <cfRule type="expression" priority="86" stopIfTrue="1">
      <formula>IF(T21="",1)</formula>
    </cfRule>
    <cfRule type="expression" dxfId="1679" priority="88">
      <formula>IF(T21=T23,1,0)</formula>
    </cfRule>
  </conditionalFormatting>
  <conditionalFormatting sqref="U23">
    <cfRule type="expression" priority="85" stopIfTrue="1">
      <formula>IF(T23="",1,0)</formula>
    </cfRule>
    <cfRule type="expression" dxfId="1678" priority="87">
      <formula>IF(T21=T23,1,0)</formula>
    </cfRule>
  </conditionalFormatting>
  <conditionalFormatting sqref="U28:U29">
    <cfRule type="expression" priority="82" stopIfTrue="1">
      <formula>IF(T28="",1)</formula>
    </cfRule>
    <cfRule type="expression" dxfId="1677" priority="84">
      <formula>IF(T28=T30,1,0)</formula>
    </cfRule>
  </conditionalFormatting>
  <conditionalFormatting sqref="U30">
    <cfRule type="expression" priority="81" stopIfTrue="1">
      <formula>IF(T30="",1,0)</formula>
    </cfRule>
    <cfRule type="expression" dxfId="1676" priority="83">
      <formula>IF(T28=T30,1,0)</formula>
    </cfRule>
  </conditionalFormatting>
  <conditionalFormatting sqref="AA7:AA8">
    <cfRule type="expression" priority="78" stopIfTrue="1">
      <formula>IF(Z7="",1)</formula>
    </cfRule>
    <cfRule type="expression" dxfId="1675" priority="80">
      <formula>IF(Z7=Z9,1,0)</formula>
    </cfRule>
  </conditionalFormatting>
  <conditionalFormatting sqref="AA9">
    <cfRule type="expression" priority="77" stopIfTrue="1">
      <formula>IF(Z9="",1,0)</formula>
    </cfRule>
    <cfRule type="expression" dxfId="1674" priority="79">
      <formula>IF(Z7=Z9,1,0)</formula>
    </cfRule>
  </conditionalFormatting>
  <conditionalFormatting sqref="AA14:AA15">
    <cfRule type="expression" priority="74" stopIfTrue="1">
      <formula>IF(Z14="",1)</formula>
    </cfRule>
    <cfRule type="expression" dxfId="1673" priority="76">
      <formula>IF(Z14=Z16,1,0)</formula>
    </cfRule>
  </conditionalFormatting>
  <conditionalFormatting sqref="AA16">
    <cfRule type="expression" priority="73" stopIfTrue="1">
      <formula>IF(Z16="",1,0)</formula>
    </cfRule>
    <cfRule type="expression" dxfId="1672" priority="75">
      <formula>IF(Z14=Z16,1,0)</formula>
    </cfRule>
  </conditionalFormatting>
  <conditionalFormatting sqref="AA21:AA22">
    <cfRule type="expression" priority="70" stopIfTrue="1">
      <formula>IF(Z21="",1)</formula>
    </cfRule>
    <cfRule type="expression" dxfId="1671" priority="72">
      <formula>IF(Z21=Z23,1,0)</formula>
    </cfRule>
  </conditionalFormatting>
  <conditionalFormatting sqref="AA23">
    <cfRule type="expression" priority="69" stopIfTrue="1">
      <formula>IF(Z23="",1,0)</formula>
    </cfRule>
    <cfRule type="expression" dxfId="1670" priority="71">
      <formula>IF(Z21=Z23,1,0)</formula>
    </cfRule>
  </conditionalFormatting>
  <conditionalFormatting sqref="AA28:AA29">
    <cfRule type="expression" priority="66" stopIfTrue="1">
      <formula>IF(Z28="",1)</formula>
    </cfRule>
    <cfRule type="expression" dxfId="1669" priority="68">
      <formula>IF(Z28=Z30,1,0)</formula>
    </cfRule>
  </conditionalFormatting>
  <conditionalFormatting sqref="AA30">
    <cfRule type="expression" priority="65" stopIfTrue="1">
      <formula>IF(Z30="",1,0)</formula>
    </cfRule>
    <cfRule type="expression" dxfId="1668" priority="67">
      <formula>IF(Z28=Z30,1,0)</formula>
    </cfRule>
  </conditionalFormatting>
  <conditionalFormatting sqref="M14">
    <cfRule type="expression" dxfId="1667" priority="59">
      <formula>IF(N14+O14&gt;N16+O16,1,0)</formula>
    </cfRule>
  </conditionalFormatting>
  <conditionalFormatting sqref="M16">
    <cfRule type="expression" dxfId="1666" priority="58">
      <formula>IF(N16+O16&gt;N18+O18,1,0)</formula>
    </cfRule>
  </conditionalFormatting>
  <conditionalFormatting sqref="M21">
    <cfRule type="expression" dxfId="1665" priority="57">
      <formula>IF(N21+O21&gt;N23+O23,1,0)</formula>
    </cfRule>
  </conditionalFormatting>
  <conditionalFormatting sqref="M23">
    <cfRule type="expression" dxfId="1664" priority="56">
      <formula>IF(N23+O23&gt;N25+O25,1,0)</formula>
    </cfRule>
  </conditionalFormatting>
  <conditionalFormatting sqref="M28">
    <cfRule type="expression" dxfId="1663" priority="55">
      <formula>IF(N28+O28&gt;N30+O30,1,0)</formula>
    </cfRule>
  </conditionalFormatting>
  <conditionalFormatting sqref="M30">
    <cfRule type="expression" dxfId="1662" priority="54">
      <formula>IF(N30+O30&gt;N32+O32,1,0)</formula>
    </cfRule>
  </conditionalFormatting>
  <conditionalFormatting sqref="O35">
    <cfRule type="expression" priority="40" stopIfTrue="1">
      <formula>IF(N35="",1)</formula>
    </cfRule>
    <cfRule type="expression" dxfId="1661" priority="41">
      <formula>IF(N35=N37,1,0)</formula>
    </cfRule>
  </conditionalFormatting>
  <conditionalFormatting sqref="AA45">
    <cfRule type="expression" priority="35" stopIfTrue="1">
      <formula>IF(Z45="",1)</formula>
    </cfRule>
    <cfRule type="expression" dxfId="1660" priority="36">
      <formula>IF(Z45=Z47,1,0)</formula>
    </cfRule>
  </conditionalFormatting>
  <conditionalFormatting sqref="AA47">
    <cfRule type="expression" priority="42" stopIfTrue="1">
      <formula>IF(Z47="",1)</formula>
    </cfRule>
    <cfRule type="expression" dxfId="1659" priority="43">
      <formula>IF(Z47=Z62,1,0)</formula>
    </cfRule>
  </conditionalFormatting>
  <conditionalFormatting sqref="AA46">
    <cfRule type="expression" priority="44" stopIfTrue="1">
      <formula>IF(Z46="",1,0)</formula>
    </cfRule>
    <cfRule type="expression" dxfId="1658" priority="45">
      <formula>OR(Z44=Z46,Z52=Z46)</formula>
    </cfRule>
  </conditionalFormatting>
  <conditionalFormatting sqref="AA44">
    <cfRule type="expression" priority="46" stopIfTrue="1">
      <formula>IF(Z44="",1,0)</formula>
    </cfRule>
    <cfRule type="expression" dxfId="1657" priority="47">
      <formula>OR(Z52=Z44,Z46=Z44)</formula>
    </cfRule>
  </conditionalFormatting>
  <conditionalFormatting sqref="U50">
    <cfRule type="expression" priority="48" stopIfTrue="1">
      <formula>IF(T50="",1,0)</formula>
    </cfRule>
    <cfRule type="expression" dxfId="1656" priority="49">
      <formula>IF(T44=T50,1,0)</formula>
    </cfRule>
  </conditionalFormatting>
  <conditionalFormatting sqref="O41:O42">
    <cfRule type="expression" priority="30" stopIfTrue="1">
      <formula>IF(N41="",1)</formula>
    </cfRule>
    <cfRule type="expression" dxfId="1655" priority="32">
      <formula>IF(N41=N43,1,0)</formula>
    </cfRule>
  </conditionalFormatting>
  <conditionalFormatting sqref="O43">
    <cfRule type="expression" priority="29" stopIfTrue="1">
      <formula>IF(N43="",1,0)</formula>
    </cfRule>
    <cfRule type="expression" dxfId="1654" priority="31">
      <formula>IF(N41=N43,1,0)</formula>
    </cfRule>
  </conditionalFormatting>
  <conditionalFormatting sqref="U42:U43">
    <cfRule type="expression" priority="26" stopIfTrue="1">
      <formula>IF(T42="",1)</formula>
    </cfRule>
    <cfRule type="expression" dxfId="1653" priority="28">
      <formula>IF(T42=T44,1,0)</formula>
    </cfRule>
  </conditionalFormatting>
  <conditionalFormatting sqref="U44">
    <cfRule type="expression" priority="25" stopIfTrue="1">
      <formula>IF(T44="",1,0)</formula>
    </cfRule>
    <cfRule type="expression" dxfId="1652" priority="27">
      <formula>IF(T42=T44,1,0)</formula>
    </cfRule>
  </conditionalFormatting>
  <conditionalFormatting sqref="U35:U36">
    <cfRule type="expression" priority="22" stopIfTrue="1">
      <formula>IF(T35="",1)</formula>
    </cfRule>
    <cfRule type="expression" dxfId="1651" priority="24">
      <formula>IF(T35=T37,1,0)</formula>
    </cfRule>
  </conditionalFormatting>
  <conditionalFormatting sqref="U37">
    <cfRule type="expression" priority="21" stopIfTrue="1">
      <formula>IF(T37="",1,0)</formula>
    </cfRule>
    <cfRule type="expression" dxfId="1650" priority="23">
      <formula>IF(T35=T37,1,0)</formula>
    </cfRule>
  </conditionalFormatting>
  <conditionalFormatting sqref="AA35:AA36">
    <cfRule type="expression" priority="18" stopIfTrue="1">
      <formula>IF(Z35="",1)</formula>
    </cfRule>
    <cfRule type="expression" dxfId="1649" priority="20">
      <formula>IF(Z35=Z37,1,0)</formula>
    </cfRule>
  </conditionalFormatting>
  <conditionalFormatting sqref="AA37">
    <cfRule type="expression" priority="17" stopIfTrue="1">
      <formula>IF(Z37="",1,0)</formula>
    </cfRule>
    <cfRule type="expression" dxfId="1648" priority="19">
      <formula>IF(Z35=Z37,1,0)</formula>
    </cfRule>
  </conditionalFormatting>
  <conditionalFormatting sqref="S35">
    <cfRule type="expression" dxfId="1647" priority="16">
      <formula>IF(T35+U35&gt;T37+U37,1,0)</formula>
    </cfRule>
  </conditionalFormatting>
  <conditionalFormatting sqref="S37">
    <cfRule type="expression" dxfId="1646" priority="15">
      <formula>IF(T37+U37&gt;T39+U39,1,0)</formula>
    </cfRule>
  </conditionalFormatting>
  <conditionalFormatting sqref="S42">
    <cfRule type="expression" dxfId="1645" priority="14">
      <formula>IF(T42+U42&gt;T44+U44,1,0)</formula>
    </cfRule>
  </conditionalFormatting>
  <conditionalFormatting sqref="S44">
    <cfRule type="expression" dxfId="1644" priority="13">
      <formula>IF(T44+U44&gt;T46+U46,1,0)</formula>
    </cfRule>
  </conditionalFormatting>
  <conditionalFormatting sqref="Y35">
    <cfRule type="expression" dxfId="1643" priority="12">
      <formula>IF(Z35+AA35&gt;Z37+AA37,1,0)</formula>
    </cfRule>
  </conditionalFormatting>
  <conditionalFormatting sqref="Y37">
    <cfRule type="expression" dxfId="1642" priority="11">
      <formula>IF(Z37+AA37&gt;Z39+AA39,1,0)</formula>
    </cfRule>
  </conditionalFormatting>
  <conditionalFormatting sqref="Y44">
    <cfRule type="expression" dxfId="1641" priority="10">
      <formula>IF(Z44+AA44&gt;Z46+AA46,1,0)</formula>
    </cfRule>
  </conditionalFormatting>
  <conditionalFormatting sqref="Y46">
    <cfRule type="expression" dxfId="1640" priority="9">
      <formula>IF(Z46+AA46&gt;Z48+AA48,1,0)</formula>
    </cfRule>
  </conditionalFormatting>
  <conditionalFormatting sqref="S50">
    <cfRule type="expression" dxfId="1639" priority="8">
      <formula>IF(T50+U50&gt;T52+U52,1,0)</formula>
    </cfRule>
  </conditionalFormatting>
  <conditionalFormatting sqref="M7">
    <cfRule type="expression" dxfId="1638" priority="7">
      <formula>IF(N7+O7&gt;N9+O9,1,0)</formula>
    </cfRule>
  </conditionalFormatting>
  <conditionalFormatting sqref="M9">
    <cfRule type="expression" dxfId="1637" priority="6">
      <formula>IF(N7+O7&lt;N9+O9,1,0)</formula>
    </cfRule>
  </conditionalFormatting>
  <conditionalFormatting sqref="M35">
    <cfRule type="expression" dxfId="1636" priority="5">
      <formula>IF(N35+O35&gt;N37+O37,1,0)</formula>
    </cfRule>
  </conditionalFormatting>
  <conditionalFormatting sqref="M41">
    <cfRule type="expression" dxfId="1635" priority="4">
      <formula>IF(N41+O41&gt;N43+O43,1,0)</formula>
    </cfRule>
  </conditionalFormatting>
  <conditionalFormatting sqref="M43">
    <cfRule type="expression" dxfId="1634" priority="3">
      <formula>IF(N43+O43&gt;N45+O45,1,0)</formula>
    </cfRule>
  </conditionalFormatting>
  <conditionalFormatting sqref="M48">
    <cfRule type="expression" dxfId="1633" priority="2">
      <formula>IF(N48+O48&gt;N50+O50,1,0)</formula>
    </cfRule>
  </conditionalFormatting>
  <conditionalFormatting sqref="M50">
    <cfRule type="expression" dxfId="1632" priority="1">
      <formula>IF(N50+O50&gt;N52+O52,1,0)</formula>
    </cfRule>
  </conditionalFormatting>
  <pageMargins left="0.23622047244094491" right="0.23622047244094491" top="0.74803149606299213" bottom="0.74803149606299213" header="0.31496062992125984" footer="0.31496062992125984"/>
  <pageSetup paperSize="9" scale="33"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euil63">
    <tabColor rgb="FFFFC000"/>
    <pageSetUpPr fitToPage="1"/>
  </sheetPr>
  <dimension ref="A1:AY148"/>
  <sheetViews>
    <sheetView topLeftCell="K1" zoomScale="70" zoomScaleNormal="70" workbookViewId="0">
      <selection activeCell="K57" sqref="K1:AA57"/>
    </sheetView>
  </sheetViews>
  <sheetFormatPr baseColWidth="10" defaultColWidth="10.85546875" defaultRowHeight="12.75" x14ac:dyDescent="0.2"/>
  <cols>
    <col min="1" max="1" width="3.7109375" style="435" hidden="1" customWidth="1"/>
    <col min="2" max="4" width="16.140625" style="435" hidden="1" customWidth="1"/>
    <col min="5" max="10" width="11.28515625" style="435" hidden="1" customWidth="1"/>
    <col min="11" max="11" width="7.7109375" style="441" bestFit="1" customWidth="1"/>
    <col min="12" max="12" width="6.42578125" style="435" bestFit="1" customWidth="1"/>
    <col min="13" max="13" width="36.5703125" style="435" customWidth="1"/>
    <col min="14" max="14" width="10.85546875" style="442"/>
    <col min="15" max="15" width="4.7109375" style="441" bestFit="1" customWidth="1"/>
    <col min="16" max="16" width="15.7109375" style="441" customWidth="1"/>
    <col min="17" max="17" width="7.7109375" style="441" bestFit="1" customWidth="1"/>
    <col min="18" max="18" width="6.42578125" style="441" bestFit="1" customWidth="1"/>
    <col min="19" max="19" width="36.5703125" style="441" customWidth="1"/>
    <col min="20" max="20" width="10.85546875" style="442"/>
    <col min="21" max="21" width="4.85546875" style="441" bestFit="1" customWidth="1"/>
    <col min="22" max="22" width="15.85546875" style="441" customWidth="1"/>
    <col min="23" max="23" width="7.7109375" style="441" bestFit="1" customWidth="1"/>
    <col min="24" max="24" width="5.28515625" style="435" bestFit="1" customWidth="1"/>
    <col min="25" max="25" width="36.5703125" style="435" customWidth="1"/>
    <col min="26" max="26" width="10.85546875" style="442"/>
    <col min="27" max="27" width="4.85546875" style="441" bestFit="1" customWidth="1"/>
    <col min="28" max="28" width="6.5703125" style="435" customWidth="1"/>
    <col min="29" max="31" width="3.28515625" style="435" customWidth="1"/>
    <col min="32" max="32" width="12" style="435" customWidth="1"/>
    <col min="33" max="33" width="12" style="435" hidden="1" customWidth="1"/>
    <col min="34" max="34" width="36.7109375" style="435" customWidth="1"/>
    <col min="35" max="36" width="36.85546875" style="435" customWidth="1"/>
    <col min="37" max="42" width="10.85546875" style="435"/>
    <col min="43" max="43" width="1.7109375" style="435" bestFit="1" customWidth="1"/>
    <col min="44" max="46" width="10.85546875" style="435"/>
    <col min="47" max="47" width="1.7109375" style="435" bestFit="1" customWidth="1"/>
    <col min="48" max="50" width="10.85546875" style="435"/>
    <col min="51" max="51" width="1.7109375" style="435" bestFit="1" customWidth="1"/>
    <col min="52" max="16384" width="10.85546875" style="435"/>
  </cols>
  <sheetData>
    <row r="1" spans="1:51" ht="55.5" customHeight="1" x14ac:dyDescent="0.2">
      <c r="B1" s="436"/>
      <c r="C1" s="436"/>
      <c r="D1" s="436"/>
      <c r="I1" s="437"/>
      <c r="J1" s="437"/>
      <c r="K1" s="988" t="str">
        <f>Championnat</f>
        <v>Championnat de France de Tir à l'ARC</v>
      </c>
      <c r="L1" s="988"/>
      <c r="M1" s="988"/>
      <c r="N1" s="988"/>
      <c r="O1" s="988"/>
      <c r="P1" s="988"/>
      <c r="Q1" s="988"/>
      <c r="R1" s="988"/>
      <c r="S1" s="988"/>
      <c r="T1" s="988"/>
      <c r="U1" s="988"/>
      <c r="V1" s="988"/>
      <c r="W1" s="988"/>
      <c r="X1" s="988"/>
      <c r="Y1" s="988"/>
      <c r="Z1" s="988"/>
      <c r="AA1" s="988"/>
      <c r="AB1" s="439"/>
      <c r="AC1" s="439"/>
      <c r="AD1" s="439"/>
      <c r="AE1" s="439"/>
      <c r="AF1" s="988" t="str">
        <f>Championnat</f>
        <v>Championnat de France de Tir à l'ARC</v>
      </c>
      <c r="AG1" s="988"/>
      <c r="AH1" s="988"/>
      <c r="AI1" s="988"/>
      <c r="AJ1" s="988"/>
      <c r="AK1" s="491"/>
      <c r="AL1" s="491"/>
      <c r="AM1" s="491"/>
      <c r="AN1" s="491"/>
      <c r="AO1" s="491"/>
      <c r="AP1" s="491"/>
      <c r="AQ1" s="491"/>
      <c r="AR1" s="491"/>
      <c r="AS1" s="491"/>
      <c r="AT1" s="491"/>
      <c r="AU1" s="491"/>
      <c r="AV1" s="491"/>
      <c r="AW1" s="491"/>
      <c r="AY1" s="491"/>
    </row>
    <row r="2" spans="1:51" ht="61.5" customHeight="1" x14ac:dyDescent="0.2">
      <c r="A2" s="437"/>
      <c r="I2" s="437"/>
      <c r="J2" s="437"/>
      <c r="K2" s="989" t="str">
        <f>CATEG_IMPORTEE</f>
        <v>Collèges Mixtes Etablissement</v>
      </c>
      <c r="L2" s="989"/>
      <c r="M2" s="989"/>
      <c r="N2" s="989"/>
      <c r="O2" s="989"/>
      <c r="P2" s="989"/>
      <c r="Q2" s="989"/>
      <c r="R2" s="989"/>
      <c r="S2" s="989"/>
      <c r="T2" s="989"/>
      <c r="U2" s="989"/>
      <c r="V2" s="989"/>
      <c r="W2" s="989"/>
      <c r="X2" s="989"/>
      <c r="Y2" s="989"/>
      <c r="Z2" s="989"/>
      <c r="AA2" s="438"/>
      <c r="AB2" s="439"/>
      <c r="AC2" s="439"/>
      <c r="AD2" s="439"/>
      <c r="AE2" s="439"/>
      <c r="AF2" s="990" t="str">
        <f>CATEG_IMPORTEE</f>
        <v>Collèges Mixtes Etablissement</v>
      </c>
      <c r="AG2" s="990"/>
      <c r="AH2" s="990"/>
      <c r="AI2" s="990"/>
      <c r="AJ2" s="990"/>
      <c r="AK2" s="492"/>
      <c r="AL2" s="492"/>
      <c r="AM2" s="492"/>
      <c r="AN2" s="492"/>
      <c r="AO2" s="492"/>
      <c r="AP2" s="492"/>
      <c r="AQ2" s="492"/>
      <c r="AR2" s="492"/>
      <c r="AS2" s="492"/>
      <c r="AT2" s="492"/>
      <c r="AU2" s="492"/>
      <c r="AV2" s="492"/>
      <c r="AW2" s="492"/>
      <c r="AY2" s="492"/>
    </row>
    <row r="3" spans="1:51" ht="42" customHeight="1" x14ac:dyDescent="0.2">
      <c r="B3" s="440" t="s">
        <v>774</v>
      </c>
      <c r="I3" s="437"/>
      <c r="J3" s="437"/>
      <c r="N3" s="991" t="str">
        <f>LIEU&amp;" du "&amp;DATE</f>
        <v>L’Isle sur la Sorgue du 27 au 31 mars 2023</v>
      </c>
      <c r="O3" s="991"/>
      <c r="P3" s="991"/>
      <c r="Q3" s="991"/>
      <c r="R3" s="991"/>
      <c r="S3" s="991"/>
      <c r="T3" s="991"/>
      <c r="U3" s="991"/>
      <c r="V3" s="991"/>
      <c r="W3" s="991"/>
      <c r="X3" s="991"/>
      <c r="AF3" s="991" t="str">
        <f>LIEU&amp;" du "&amp;DATE</f>
        <v>L’Isle sur la Sorgue du 27 au 31 mars 2023</v>
      </c>
      <c r="AG3" s="991"/>
      <c r="AH3" s="991"/>
      <c r="AI3" s="991"/>
      <c r="AJ3" s="991"/>
      <c r="AK3" s="493"/>
      <c r="AL3" s="493"/>
      <c r="AM3" s="493"/>
      <c r="AN3" s="493"/>
      <c r="AO3" s="493"/>
      <c r="AP3" s="493"/>
      <c r="AQ3" s="493"/>
      <c r="AR3" s="493"/>
      <c r="AS3" s="493"/>
      <c r="AT3" s="493"/>
      <c r="AU3" s="493"/>
      <c r="AW3" s="442"/>
      <c r="AY3" s="493"/>
    </row>
    <row r="4" spans="1:51" ht="21" customHeight="1" x14ac:dyDescent="0.2">
      <c r="B4" s="440" t="s">
        <v>775</v>
      </c>
      <c r="C4" s="462" t="s">
        <v>375</v>
      </c>
      <c r="D4" s="462" t="s">
        <v>374</v>
      </c>
      <c r="E4" s="440" t="s">
        <v>776</v>
      </c>
      <c r="F4" s="487" t="s">
        <v>838</v>
      </c>
      <c r="G4" s="488" t="s">
        <v>837</v>
      </c>
      <c r="H4" s="898"/>
      <c r="I4" s="437"/>
      <c r="J4" s="437"/>
      <c r="K4" s="979" t="s">
        <v>815</v>
      </c>
      <c r="L4" s="979"/>
      <c r="M4" s="979"/>
      <c r="N4" s="979"/>
      <c r="O4" s="443"/>
      <c r="P4" s="443"/>
      <c r="Q4" s="979" t="s">
        <v>816</v>
      </c>
      <c r="R4" s="979"/>
      <c r="S4" s="979"/>
      <c r="T4" s="979"/>
      <c r="U4" s="443"/>
      <c r="V4" s="443"/>
      <c r="W4" s="979" t="s">
        <v>817</v>
      </c>
      <c r="X4" s="979"/>
      <c r="Y4" s="979"/>
      <c r="Z4" s="979"/>
      <c r="AA4" s="443"/>
      <c r="AH4" s="980" t="s">
        <v>778</v>
      </c>
      <c r="AI4" s="980"/>
      <c r="AJ4" s="980"/>
      <c r="AN4" s="497" t="s">
        <v>848</v>
      </c>
    </row>
    <row r="5" spans="1:51" ht="15.95" customHeight="1" thickBot="1" x14ac:dyDescent="0.25">
      <c r="A5" s="435">
        <v>1</v>
      </c>
      <c r="B5" s="444" t="str">
        <f ca="1">INDIRECT("'Imp. Qualif.'!L"&amp;INDIRECT("f"&amp;ROW()))</f>
        <v/>
      </c>
      <c r="C5" s="444" t="str">
        <f ca="1">INDIRECT("'Imp. Qualif.'!M"&amp;INDIRECT("f"&amp;ROW()))</f>
        <v/>
      </c>
      <c r="D5" s="444" t="str">
        <f ca="1">INDIRECT("'Imp. Qualif.'!N"&amp;INDIRECT("f"&amp;ROW()))</f>
        <v/>
      </c>
      <c r="E5" s="486">
        <f ca="1">INDIRECT("'Imp. Qualif.'!O"&amp;INDIRECT("f"&amp;ROW()))</f>
        <v>0</v>
      </c>
      <c r="F5" s="489">
        <v>11</v>
      </c>
      <c r="G5" s="488" t="str">
        <f ca="1">B5&amp;C5</f>
        <v/>
      </c>
      <c r="H5" s="898" t="str">
        <f ca="1">IF(B5&lt;&gt;"",B5,"")</f>
        <v/>
      </c>
      <c r="I5" s="898" t="str">
        <f t="shared" ref="I5:J20" ca="1" si="0">IF(C5&lt;&gt;"",C5,"")</f>
        <v/>
      </c>
      <c r="J5" s="898" t="str">
        <f t="shared" ca="1" si="0"/>
        <v/>
      </c>
      <c r="L5" s="979" t="s">
        <v>836</v>
      </c>
      <c r="M5" s="1247"/>
      <c r="N5" s="1247"/>
      <c r="O5" s="443"/>
      <c r="P5" s="443"/>
      <c r="R5" s="979" t="s">
        <v>818</v>
      </c>
      <c r="S5" s="1247"/>
      <c r="T5" s="1247"/>
      <c r="U5" s="443"/>
      <c r="V5" s="443"/>
      <c r="W5" s="445"/>
      <c r="X5" s="979" t="s">
        <v>777</v>
      </c>
      <c r="Y5" s="1247"/>
      <c r="Z5" s="1247"/>
      <c r="AA5" s="443"/>
      <c r="AH5" s="981"/>
      <c r="AI5" s="981"/>
      <c r="AJ5" s="981"/>
      <c r="AN5" s="494" t="s">
        <v>839</v>
      </c>
      <c r="AO5" s="494" t="s">
        <v>840</v>
      </c>
      <c r="AP5" s="494" t="s">
        <v>841</v>
      </c>
      <c r="AQ5" s="496" t="s">
        <v>793</v>
      </c>
      <c r="AR5" s="494" t="s">
        <v>842</v>
      </c>
      <c r="AS5" s="494" t="s">
        <v>843</v>
      </c>
      <c r="AT5" s="494" t="s">
        <v>844</v>
      </c>
      <c r="AU5" s="496" t="s">
        <v>793</v>
      </c>
      <c r="AV5" s="494" t="s">
        <v>845</v>
      </c>
      <c r="AW5" s="494" t="s">
        <v>846</v>
      </c>
      <c r="AX5" s="494" t="s">
        <v>847</v>
      </c>
      <c r="AY5" s="496" t="s">
        <v>793</v>
      </c>
    </row>
    <row r="6" spans="1:51" ht="15.95" customHeight="1" thickBot="1" x14ac:dyDescent="0.25">
      <c r="A6" s="435">
        <v>2</v>
      </c>
      <c r="B6" s="444" t="str">
        <f t="shared" ref="B6:B18" ca="1" si="1">INDIRECT("'Imp. Qualif.'!L"&amp;INDIRECT("f"&amp;ROW()))</f>
        <v/>
      </c>
      <c r="C6" s="444" t="str">
        <f t="shared" ref="C6:C18" ca="1" si="2">INDIRECT("'Imp. Qualif.'!M"&amp;INDIRECT("f"&amp;ROW()))</f>
        <v/>
      </c>
      <c r="D6" s="444" t="str">
        <f t="shared" ref="D6:D18" ca="1" si="3">INDIRECT("'Imp. Qualif.'!N"&amp;INDIRECT("f"&amp;ROW()))</f>
        <v/>
      </c>
      <c r="E6" s="486">
        <f t="shared" ref="E6:E18" ca="1" si="4">INDIRECT("'Imp. Qualif.'!O"&amp;INDIRECT("f"&amp;ROW()))</f>
        <v>0</v>
      </c>
      <c r="F6" s="489">
        <v>12</v>
      </c>
      <c r="G6" s="488" t="str">
        <f t="shared" ref="G6:G28" ca="1" si="5">B6&amp;C6</f>
        <v/>
      </c>
      <c r="H6" s="898" t="str">
        <f t="shared" ref="H6:J28" ca="1" si="6">IF(B6&lt;&gt;"",B6,"")</f>
        <v/>
      </c>
      <c r="I6" s="898" t="str">
        <f t="shared" ca="1" si="0"/>
        <v/>
      </c>
      <c r="J6" s="898" t="str">
        <f t="shared" ca="1" si="0"/>
        <v/>
      </c>
      <c r="K6" s="445" t="s">
        <v>779</v>
      </c>
      <c r="L6" s="779" t="s">
        <v>1083</v>
      </c>
      <c r="M6" s="456" t="s">
        <v>481</v>
      </c>
      <c r="N6" s="464" t="s">
        <v>780</v>
      </c>
      <c r="O6" s="446" t="s">
        <v>781</v>
      </c>
      <c r="P6" s="445"/>
      <c r="Q6" s="445" t="s">
        <v>779</v>
      </c>
      <c r="R6" s="779" t="s">
        <v>1083</v>
      </c>
      <c r="S6" s="456" t="s">
        <v>481</v>
      </c>
      <c r="T6" s="464" t="s">
        <v>780</v>
      </c>
      <c r="U6" s="446" t="s">
        <v>781</v>
      </c>
      <c r="V6" s="445"/>
      <c r="W6" s="445" t="s">
        <v>779</v>
      </c>
      <c r="X6" s="779" t="s">
        <v>1083</v>
      </c>
      <c r="Y6" s="456" t="s">
        <v>481</v>
      </c>
      <c r="Z6" s="464" t="s">
        <v>780</v>
      </c>
      <c r="AA6" s="446" t="s">
        <v>781</v>
      </c>
      <c r="AH6" s="483" t="s">
        <v>782</v>
      </c>
      <c r="AI6" s="484" t="s">
        <v>375</v>
      </c>
      <c r="AJ6" s="485" t="s">
        <v>783</v>
      </c>
      <c r="AN6" s="494">
        <f>K7</f>
        <v>1</v>
      </c>
      <c r="AO6" s="495" t="str">
        <f ca="1">L8</f>
        <v/>
      </c>
      <c r="AP6" s="495" t="str">
        <f ca="1">AO7</f>
        <v/>
      </c>
      <c r="AQ6" s="496" t="s">
        <v>793</v>
      </c>
      <c r="AR6" s="494">
        <f>Q7</f>
        <v>1</v>
      </c>
      <c r="AS6" s="495" t="str">
        <f>R8</f>
        <v/>
      </c>
      <c r="AT6" s="495" t="str">
        <f>AS7</f>
        <v/>
      </c>
      <c r="AU6" s="496" t="s">
        <v>793</v>
      </c>
      <c r="AV6" s="494">
        <f>W7</f>
        <v>1</v>
      </c>
      <c r="AW6" s="495" t="str">
        <f>X8</f>
        <v/>
      </c>
      <c r="AX6" s="495" t="str">
        <f>AW7</f>
        <v/>
      </c>
      <c r="AY6" s="496" t="s">
        <v>793</v>
      </c>
    </row>
    <row r="7" spans="1:51" ht="15.95" customHeight="1" thickBot="1" x14ac:dyDescent="0.25">
      <c r="A7" s="435">
        <v>3</v>
      </c>
      <c r="B7" s="444" t="str">
        <f t="shared" ca="1" si="1"/>
        <v/>
      </c>
      <c r="C7" s="444" t="str">
        <f t="shared" ca="1" si="2"/>
        <v/>
      </c>
      <c r="D7" s="444" t="str">
        <f t="shared" ca="1" si="3"/>
        <v/>
      </c>
      <c r="E7" s="486">
        <f t="shared" ca="1" si="4"/>
        <v>0</v>
      </c>
      <c r="F7" s="489">
        <v>13</v>
      </c>
      <c r="G7" s="488" t="str">
        <f t="shared" ca="1" si="5"/>
        <v/>
      </c>
      <c r="H7" s="898" t="str">
        <f t="shared" ca="1" si="6"/>
        <v/>
      </c>
      <c r="I7" s="898" t="str">
        <f t="shared" ca="1" si="0"/>
        <v/>
      </c>
      <c r="J7" s="898" t="str">
        <f t="shared" ca="1" si="0"/>
        <v/>
      </c>
      <c r="K7" s="447">
        <f>Num_Cible</f>
        <v>1</v>
      </c>
      <c r="L7" s="472">
        <v>1</v>
      </c>
      <c r="M7" s="465" t="str">
        <f ca="1">IFERROR(VLOOKUP(L8,$G$5:$J$28,2,FALSE),"")</f>
        <v/>
      </c>
      <c r="N7" s="966"/>
      <c r="O7" s="780"/>
      <c r="Q7" s="447">
        <f>K7</f>
        <v>1</v>
      </c>
      <c r="R7" s="472">
        <v>1</v>
      </c>
      <c r="S7" s="465" t="str">
        <f ca="1">IFERROR(VLOOKUP(R8,$G$5:$J$28,2,FALSE),"")</f>
        <v/>
      </c>
      <c r="T7" s="966"/>
      <c r="U7" s="780"/>
      <c r="W7" s="447">
        <f>Q7</f>
        <v>1</v>
      </c>
      <c r="X7" s="472">
        <v>1</v>
      </c>
      <c r="Y7" s="465" t="str">
        <f ca="1">IFERROR(VLOOKUP(X8,$G$5:$J$28,2,FALSE),"")</f>
        <v/>
      </c>
      <c r="Z7" s="966"/>
      <c r="AA7" s="780"/>
      <c r="AF7" s="448" t="s">
        <v>784</v>
      </c>
      <c r="AG7" s="435" t="str">
        <f>IF(ISBLANK(Z7),"",IF(Z7+AA7&gt;Z9+AA9,X8,X10))</f>
        <v/>
      </c>
      <c r="AH7" s="475" t="str">
        <f ca="1">IFERROR(VLOOKUP(AG7,$G$5:$J$28,2,FALSE),"")</f>
        <v/>
      </c>
      <c r="AI7" s="475" t="str">
        <f ca="1">IFERROR(VLOOKUP(AG7,$G$5:$J$28,3,FALSE),"")</f>
        <v/>
      </c>
      <c r="AJ7" s="475" t="str">
        <f ca="1">IFERROR(VLOOKUP(AG7,$G$5:$J$28,4,FALSE),"")</f>
        <v/>
      </c>
      <c r="AN7" s="494">
        <f>K9</f>
        <v>2</v>
      </c>
      <c r="AO7" s="495" t="str">
        <f ca="1">L10</f>
        <v/>
      </c>
      <c r="AP7" s="495" t="str">
        <f ca="1">AO6</f>
        <v/>
      </c>
      <c r="AQ7" s="496" t="s">
        <v>793</v>
      </c>
      <c r="AR7" s="494">
        <f>Q9</f>
        <v>2</v>
      </c>
      <c r="AS7" s="495" t="str">
        <f>R10</f>
        <v/>
      </c>
      <c r="AT7" s="495" t="str">
        <f>AS6</f>
        <v/>
      </c>
      <c r="AU7" s="496" t="s">
        <v>793</v>
      </c>
      <c r="AV7" s="494">
        <f>W9</f>
        <v>2</v>
      </c>
      <c r="AW7" s="495" t="str">
        <f>X10</f>
        <v/>
      </c>
      <c r="AX7" s="495" t="str">
        <f>AW6</f>
        <v/>
      </c>
      <c r="AY7" s="496" t="s">
        <v>793</v>
      </c>
    </row>
    <row r="8" spans="1:51" ht="15.95" customHeight="1" thickBot="1" x14ac:dyDescent="0.25">
      <c r="A8" s="435">
        <v>4</v>
      </c>
      <c r="B8" s="444" t="str">
        <f t="shared" ca="1" si="1"/>
        <v/>
      </c>
      <c r="C8" s="444" t="str">
        <f t="shared" ca="1" si="2"/>
        <v/>
      </c>
      <c r="D8" s="444" t="str">
        <f t="shared" ca="1" si="3"/>
        <v/>
      </c>
      <c r="E8" s="486">
        <f t="shared" ca="1" si="4"/>
        <v>0</v>
      </c>
      <c r="F8" s="489">
        <v>14</v>
      </c>
      <c r="G8" s="488" t="str">
        <f t="shared" ca="1" si="5"/>
        <v/>
      </c>
      <c r="H8" s="898" t="str">
        <f t="shared" ca="1" si="6"/>
        <v/>
      </c>
      <c r="I8" s="898" t="str">
        <f t="shared" ca="1" si="0"/>
        <v/>
      </c>
      <c r="J8" s="898" t="str">
        <f t="shared" ca="1" si="0"/>
        <v/>
      </c>
      <c r="K8" s="447"/>
      <c r="L8" s="473" t="str">
        <f ca="1">VLOOKUP(L7,$A$5:$G$24,7,FALSE)</f>
        <v/>
      </c>
      <c r="M8" s="466" t="str">
        <f ca="1">IFERROR(VLOOKUP(L8,$G$5:$J$28,3,FALSE),"")</f>
        <v/>
      </c>
      <c r="N8" s="967"/>
      <c r="Q8" s="447"/>
      <c r="R8" s="473" t="str">
        <f>IF(ISBLANK(N7),"",IF(O7+N7&gt;N9+O9,L8,L10))</f>
        <v/>
      </c>
      <c r="S8" s="466" t="str">
        <f ca="1">IFERROR(VLOOKUP(R8,$G$5:$J$28,3,FALSE),"")</f>
        <v/>
      </c>
      <c r="T8" s="967"/>
      <c r="W8" s="447"/>
      <c r="X8" s="473" t="str">
        <f>IF(ISBLANK(T7),"",IF(U7+T7&gt;T9+U9,R8,R10))</f>
        <v/>
      </c>
      <c r="Y8" s="466" t="str">
        <f ca="1">IFERROR(VLOOKUP(X8,$G$5:$J$28,3,FALSE),"")</f>
        <v/>
      </c>
      <c r="Z8" s="967"/>
      <c r="AF8" s="449" t="s">
        <v>785</v>
      </c>
      <c r="AG8" s="435" t="str">
        <f>IF(ISBLANK(Z7),"",IF(Z7+AA7&lt;Z9+AA9,X8,X10))</f>
        <v/>
      </c>
      <c r="AH8" s="478" t="str">
        <f t="shared" ref="AH8:AH20" ca="1" si="7">IFERROR(VLOOKUP(AG8,$G$5:$J$28,2,FALSE),"")</f>
        <v/>
      </c>
      <c r="AI8" s="474" t="str">
        <f t="shared" ref="AI8:AI20" ca="1" si="8">IFERROR(VLOOKUP(AG8,$G$5:$J$28,3,FALSE),"")</f>
        <v/>
      </c>
      <c r="AJ8" s="915" t="str">
        <f t="shared" ref="AJ8:AJ20" ca="1" si="9">IFERROR(VLOOKUP(AG8,$G$5:$J$28,4,FALSE),"")</f>
        <v/>
      </c>
      <c r="AN8" s="494">
        <f>K14</f>
        <v>3</v>
      </c>
      <c r="AO8" s="495" t="str">
        <f ca="1">L15</f>
        <v/>
      </c>
      <c r="AP8" s="495" t="str">
        <f t="shared" ref="AP8" ca="1" si="10">AO9</f>
        <v/>
      </c>
      <c r="AQ8" s="496" t="s">
        <v>793</v>
      </c>
      <c r="AR8" s="494">
        <f>Q14</f>
        <v>3</v>
      </c>
      <c r="AS8" s="495" t="str">
        <f>R15</f>
        <v/>
      </c>
      <c r="AT8" s="495" t="str">
        <f t="shared" ref="AT8" si="11">AS9</f>
        <v/>
      </c>
      <c r="AU8" s="496" t="s">
        <v>793</v>
      </c>
      <c r="AV8" s="494">
        <f>W14</f>
        <v>3</v>
      </c>
      <c r="AW8" s="495" t="str">
        <f>X15</f>
        <v/>
      </c>
      <c r="AX8" s="495" t="str">
        <f t="shared" ref="AX8" si="12">AW9</f>
        <v/>
      </c>
      <c r="AY8" s="496" t="s">
        <v>793</v>
      </c>
    </row>
    <row r="9" spans="1:51" ht="15.95" customHeight="1" thickBot="1" x14ac:dyDescent="0.25">
      <c r="A9" s="435">
        <v>5</v>
      </c>
      <c r="B9" s="444" t="str">
        <f t="shared" ca="1" si="1"/>
        <v/>
      </c>
      <c r="C9" s="444" t="str">
        <f t="shared" ca="1" si="2"/>
        <v/>
      </c>
      <c r="D9" s="444" t="str">
        <f t="shared" ca="1" si="3"/>
        <v/>
      </c>
      <c r="E9" s="486">
        <f t="shared" ca="1" si="4"/>
        <v>0</v>
      </c>
      <c r="F9" s="489">
        <v>15</v>
      </c>
      <c r="G9" s="488" t="str">
        <f t="shared" ca="1" si="5"/>
        <v/>
      </c>
      <c r="H9" s="898" t="str">
        <f t="shared" ca="1" si="6"/>
        <v/>
      </c>
      <c r="I9" s="898" t="str">
        <f t="shared" ca="1" si="0"/>
        <v/>
      </c>
      <c r="J9" s="898" t="str">
        <f t="shared" ca="1" si="0"/>
        <v/>
      </c>
      <c r="K9" s="447">
        <f>K7+1</f>
        <v>2</v>
      </c>
      <c r="L9" s="472">
        <v>8</v>
      </c>
      <c r="M9" s="465" t="str">
        <f ca="1">IFERROR(VLOOKUP(L10,$G$5:$J$28,2,FALSE),"")</f>
        <v/>
      </c>
      <c r="N9" s="966"/>
      <c r="O9" s="780"/>
      <c r="Q9" s="447">
        <f>Q7+1</f>
        <v>2</v>
      </c>
      <c r="R9" s="472">
        <v>4</v>
      </c>
      <c r="S9" s="465" t="str">
        <f ca="1">IFERROR(VLOOKUP(R10,$G$5:$J$28,2,FALSE),"")</f>
        <v/>
      </c>
      <c r="T9" s="966"/>
      <c r="U9" s="780"/>
      <c r="W9" s="447">
        <f>W7+1</f>
        <v>2</v>
      </c>
      <c r="X9" s="472">
        <v>2</v>
      </c>
      <c r="Y9" s="465" t="str">
        <f ca="1">IFERROR(VLOOKUP(X10,$G$5:$J$28,2,FALSE),"")</f>
        <v/>
      </c>
      <c r="Z9" s="966"/>
      <c r="AA9" s="780"/>
      <c r="AF9" s="452" t="s">
        <v>786</v>
      </c>
      <c r="AG9" s="435" t="str">
        <f>IF(ISBLANK(Z14),"",IF(Z14+AA14&gt;Z16+AA16,X15,X17))</f>
        <v/>
      </c>
      <c r="AH9" s="478" t="str">
        <f t="shared" ca="1" si="7"/>
        <v/>
      </c>
      <c r="AI9" s="474" t="str">
        <f t="shared" ca="1" si="8"/>
        <v/>
      </c>
      <c r="AJ9" s="915" t="str">
        <f t="shared" ca="1" si="9"/>
        <v/>
      </c>
      <c r="AN9" s="494">
        <f>K16</f>
        <v>4</v>
      </c>
      <c r="AO9" s="495" t="str">
        <f ca="1">L17</f>
        <v/>
      </c>
      <c r="AP9" s="495" t="str">
        <f t="shared" ref="AP9" ca="1" si="13">AO8</f>
        <v/>
      </c>
      <c r="AQ9" s="496" t="s">
        <v>793</v>
      </c>
      <c r="AR9" s="494">
        <f>Q16</f>
        <v>4</v>
      </c>
      <c r="AS9" s="495" t="str">
        <f>R17</f>
        <v/>
      </c>
      <c r="AT9" s="495" t="str">
        <f t="shared" ref="AT9" si="14">AS8</f>
        <v/>
      </c>
      <c r="AU9" s="496" t="s">
        <v>793</v>
      </c>
      <c r="AV9" s="494">
        <f>W16</f>
        <v>4</v>
      </c>
      <c r="AW9" s="495" t="str">
        <f>X17</f>
        <v/>
      </c>
      <c r="AX9" s="495" t="str">
        <f t="shared" ref="AX9" si="15">AW8</f>
        <v/>
      </c>
      <c r="AY9" s="496" t="s">
        <v>793</v>
      </c>
    </row>
    <row r="10" spans="1:51" ht="15.95" customHeight="1" thickBot="1" x14ac:dyDescent="0.25">
      <c r="A10" s="435">
        <v>6</v>
      </c>
      <c r="B10" s="444" t="str">
        <f t="shared" ca="1" si="1"/>
        <v/>
      </c>
      <c r="C10" s="444" t="str">
        <f t="shared" ca="1" si="2"/>
        <v/>
      </c>
      <c r="D10" s="444" t="str">
        <f t="shared" ca="1" si="3"/>
        <v/>
      </c>
      <c r="E10" s="486">
        <f t="shared" ca="1" si="4"/>
        <v>0</v>
      </c>
      <c r="F10" s="489">
        <v>16</v>
      </c>
      <c r="G10" s="488" t="str">
        <f t="shared" ca="1" si="5"/>
        <v/>
      </c>
      <c r="H10" s="898" t="str">
        <f t="shared" ca="1" si="6"/>
        <v/>
      </c>
      <c r="I10" s="898" t="str">
        <f t="shared" ca="1" si="0"/>
        <v/>
      </c>
      <c r="J10" s="898" t="str">
        <f t="shared" ca="1" si="0"/>
        <v/>
      </c>
      <c r="K10" s="447"/>
      <c r="L10" s="473" t="str">
        <f ca="1">VLOOKUP(L9,$A$5:$G$24,7,FALSE)</f>
        <v/>
      </c>
      <c r="M10" s="466" t="str">
        <f ca="1">IFERROR(VLOOKUP(L10,$G$5:$J$28,3,FALSE),"")</f>
        <v/>
      </c>
      <c r="N10" s="967"/>
      <c r="Q10" s="447"/>
      <c r="R10" s="473" t="str">
        <f>IF(ISBLANK(N14),"",IF(O14+N14&gt;N16+O16,L15,L17))</f>
        <v/>
      </c>
      <c r="S10" s="466" t="str">
        <f ca="1">IFERROR(VLOOKUP(R10,$G$5:$J$28,3,FALSE),"")</f>
        <v/>
      </c>
      <c r="T10" s="967"/>
      <c r="W10" s="447"/>
      <c r="X10" s="473" t="str">
        <f>IF(ISBLANK(T14),"",IF(U14+T14&gt;T16+U16,R15,R17))</f>
        <v/>
      </c>
      <c r="Y10" s="466" t="str">
        <f ca="1">IFERROR(VLOOKUP(X10,$G$5:$J$28,3,FALSE),"")</f>
        <v/>
      </c>
      <c r="Z10" s="967"/>
      <c r="AF10" s="453" t="s">
        <v>788</v>
      </c>
      <c r="AG10" s="435" t="str">
        <f>IF(ISBLANK(Z14),"",IF(Z14+AA14&lt;Z16+AA16,X15,X17))</f>
        <v/>
      </c>
      <c r="AH10" s="478" t="str">
        <f t="shared" ca="1" si="7"/>
        <v/>
      </c>
      <c r="AI10" s="474" t="str">
        <f t="shared" ca="1" si="8"/>
        <v/>
      </c>
      <c r="AJ10" s="915" t="str">
        <f t="shared" ca="1" si="9"/>
        <v/>
      </c>
      <c r="AN10" s="494">
        <f>K21</f>
        <v>5</v>
      </c>
      <c r="AO10" s="495" t="str">
        <f ca="1">L22</f>
        <v/>
      </c>
      <c r="AP10" s="495" t="str">
        <f t="shared" ref="AP10" ca="1" si="16">AO11</f>
        <v/>
      </c>
      <c r="AQ10" s="496" t="s">
        <v>793</v>
      </c>
      <c r="AR10" s="494">
        <f>Q21</f>
        <v>5</v>
      </c>
      <c r="AS10" s="495" t="str">
        <f>R22</f>
        <v/>
      </c>
      <c r="AT10" s="495" t="str">
        <f t="shared" ref="AT10" si="17">AS11</f>
        <v/>
      </c>
      <c r="AU10" s="496" t="s">
        <v>793</v>
      </c>
      <c r="AV10" s="494">
        <f>W21</f>
        <v>5</v>
      </c>
      <c r="AW10" s="495" t="str">
        <f>X22</f>
        <v/>
      </c>
      <c r="AX10" s="495" t="str">
        <f t="shared" ref="AX10" si="18">AW11</f>
        <v/>
      </c>
      <c r="AY10" s="496" t="s">
        <v>793</v>
      </c>
    </row>
    <row r="11" spans="1:51" ht="15.95" customHeight="1" x14ac:dyDescent="0.2">
      <c r="A11" s="435">
        <v>7</v>
      </c>
      <c r="B11" s="444" t="str">
        <f t="shared" ca="1" si="1"/>
        <v/>
      </c>
      <c r="C11" s="444" t="str">
        <f t="shared" ca="1" si="2"/>
        <v/>
      </c>
      <c r="D11" s="444" t="str">
        <f t="shared" ca="1" si="3"/>
        <v/>
      </c>
      <c r="E11" s="486">
        <f t="shared" ca="1" si="4"/>
        <v>0</v>
      </c>
      <c r="F11" s="489">
        <v>17</v>
      </c>
      <c r="G11" s="488" t="str">
        <f t="shared" ca="1" si="5"/>
        <v/>
      </c>
      <c r="H11" s="898" t="str">
        <f t="shared" ca="1" si="6"/>
        <v/>
      </c>
      <c r="I11" s="898" t="str">
        <f t="shared" ca="1" si="0"/>
        <v/>
      </c>
      <c r="J11" s="898" t="str">
        <f t="shared" ca="1" si="0"/>
        <v/>
      </c>
      <c r="K11" s="450"/>
      <c r="L11" s="450"/>
      <c r="M11" s="450"/>
      <c r="N11" s="451"/>
      <c r="O11" s="450"/>
      <c r="P11" s="450"/>
      <c r="Q11" s="450"/>
      <c r="R11" s="437"/>
      <c r="S11" s="437"/>
      <c r="T11" s="451"/>
      <c r="U11" s="450"/>
      <c r="V11" s="450"/>
      <c r="W11" s="450"/>
      <c r="X11" s="450"/>
      <c r="Y11" s="450"/>
      <c r="Z11" s="451"/>
      <c r="AA11" s="450"/>
      <c r="AF11" s="453" t="s">
        <v>789</v>
      </c>
      <c r="AG11" s="435" t="str">
        <f>IF(ISBLANK(Z21),"",IF(Z21+AA21&gt;Z23+AA23,X22,X24))</f>
        <v/>
      </c>
      <c r="AH11" s="478" t="str">
        <f t="shared" ca="1" si="7"/>
        <v/>
      </c>
      <c r="AI11" s="474" t="str">
        <f t="shared" ca="1" si="8"/>
        <v/>
      </c>
      <c r="AJ11" s="915" t="str">
        <f t="shared" ca="1" si="9"/>
        <v/>
      </c>
      <c r="AN11" s="494">
        <f>K23</f>
        <v>6</v>
      </c>
      <c r="AO11" s="495" t="str">
        <f ca="1">L24</f>
        <v/>
      </c>
      <c r="AP11" s="495" t="str">
        <f t="shared" ref="AP11" ca="1" si="19">AO10</f>
        <v/>
      </c>
      <c r="AQ11" s="496" t="s">
        <v>793</v>
      </c>
      <c r="AR11" s="494">
        <f>Q23</f>
        <v>6</v>
      </c>
      <c r="AS11" s="495" t="str">
        <f>R24</f>
        <v/>
      </c>
      <c r="AT11" s="495" t="str">
        <f t="shared" ref="AT11" si="20">AS10</f>
        <v/>
      </c>
      <c r="AU11" s="496" t="s">
        <v>793</v>
      </c>
      <c r="AV11" s="494">
        <f>W23</f>
        <v>6</v>
      </c>
      <c r="AW11" s="495" t="str">
        <f>X24</f>
        <v/>
      </c>
      <c r="AX11" s="495" t="str">
        <f t="shared" ref="AX11" si="21">AW10</f>
        <v/>
      </c>
      <c r="AY11" s="496" t="s">
        <v>793</v>
      </c>
    </row>
    <row r="12" spans="1:51" ht="15.95" customHeight="1" thickBot="1" x14ac:dyDescent="0.25">
      <c r="A12" s="435">
        <v>8</v>
      </c>
      <c r="B12" s="444" t="str">
        <f t="shared" ca="1" si="1"/>
        <v/>
      </c>
      <c r="C12" s="444" t="str">
        <f t="shared" ca="1" si="2"/>
        <v/>
      </c>
      <c r="D12" s="444" t="str">
        <f t="shared" ca="1" si="3"/>
        <v/>
      </c>
      <c r="E12" s="486">
        <f t="shared" ca="1" si="4"/>
        <v>0</v>
      </c>
      <c r="F12" s="489">
        <v>18</v>
      </c>
      <c r="G12" s="488" t="str">
        <f t="shared" ca="1" si="5"/>
        <v/>
      </c>
      <c r="H12" s="898" t="str">
        <f t="shared" ca="1" si="6"/>
        <v/>
      </c>
      <c r="I12" s="898" t="str">
        <f t="shared" ca="1" si="0"/>
        <v/>
      </c>
      <c r="J12" s="898" t="str">
        <f t="shared" ca="1" si="0"/>
        <v/>
      </c>
      <c r="K12" s="450"/>
      <c r="L12" s="450"/>
      <c r="M12" s="450"/>
      <c r="N12" s="451"/>
      <c r="O12" s="450"/>
      <c r="P12" s="450"/>
      <c r="Q12" s="450"/>
      <c r="R12" s="437"/>
      <c r="S12" s="437"/>
      <c r="T12" s="451"/>
      <c r="U12" s="450"/>
      <c r="V12" s="450"/>
      <c r="W12" s="450"/>
      <c r="X12" s="979" t="s">
        <v>787</v>
      </c>
      <c r="Y12" s="1247"/>
      <c r="Z12" s="1247"/>
      <c r="AA12" s="450"/>
      <c r="AF12" s="453" t="s">
        <v>790</v>
      </c>
      <c r="AG12" s="435" t="str">
        <f>IF(ISBLANK(Z21),"",IF(Z21+AA21&lt;Z23+AA23,X22,X24))</f>
        <v/>
      </c>
      <c r="AH12" s="478" t="str">
        <f t="shared" ca="1" si="7"/>
        <v/>
      </c>
      <c r="AI12" s="474" t="str">
        <f t="shared" ca="1" si="8"/>
        <v/>
      </c>
      <c r="AJ12" s="915" t="str">
        <f t="shared" ca="1" si="9"/>
        <v/>
      </c>
      <c r="AN12" s="494">
        <f>K28</f>
        <v>7</v>
      </c>
      <c r="AO12" s="495" t="str">
        <f ca="1">L29</f>
        <v/>
      </c>
      <c r="AP12" s="495" t="str">
        <f t="shared" ref="AP12" ca="1" si="22">AO13</f>
        <v/>
      </c>
      <c r="AQ12" s="496" t="s">
        <v>793</v>
      </c>
      <c r="AR12" s="494">
        <f>Q28</f>
        <v>7</v>
      </c>
      <c r="AS12" s="495" t="str">
        <f>R29</f>
        <v/>
      </c>
      <c r="AT12" s="495" t="str">
        <f t="shared" ref="AT12" si="23">AS13</f>
        <v/>
      </c>
      <c r="AU12" s="496" t="s">
        <v>793</v>
      </c>
      <c r="AV12" s="494">
        <f>W28</f>
        <v>7</v>
      </c>
      <c r="AW12" s="495" t="str">
        <f>X29</f>
        <v/>
      </c>
      <c r="AX12" s="495" t="str">
        <f t="shared" ref="AX12" si="24">AW13</f>
        <v/>
      </c>
      <c r="AY12" s="496" t="s">
        <v>793</v>
      </c>
    </row>
    <row r="13" spans="1:51" ht="15.95" customHeight="1" thickBot="1" x14ac:dyDescent="0.25">
      <c r="A13" s="435">
        <v>9</v>
      </c>
      <c r="B13" s="444" t="str">
        <f t="shared" ca="1" si="1"/>
        <v/>
      </c>
      <c r="C13" s="444" t="str">
        <f t="shared" ca="1" si="2"/>
        <v/>
      </c>
      <c r="D13" s="444" t="str">
        <f t="shared" ca="1" si="3"/>
        <v/>
      </c>
      <c r="E13" s="486">
        <f t="shared" ca="1" si="4"/>
        <v>0</v>
      </c>
      <c r="F13" s="489">
        <v>19</v>
      </c>
      <c r="G13" s="488" t="str">
        <f t="shared" ca="1" si="5"/>
        <v/>
      </c>
      <c r="H13" s="898" t="str">
        <f t="shared" ca="1" si="6"/>
        <v/>
      </c>
      <c r="I13" s="898" t="str">
        <f t="shared" ca="1" si="0"/>
        <v/>
      </c>
      <c r="J13" s="898" t="str">
        <f t="shared" ca="1" si="0"/>
        <v/>
      </c>
      <c r="K13" s="445" t="s">
        <v>779</v>
      </c>
      <c r="L13" s="779" t="s">
        <v>1083</v>
      </c>
      <c r="M13" s="456" t="s">
        <v>481</v>
      </c>
      <c r="N13" s="464" t="s">
        <v>780</v>
      </c>
      <c r="O13" s="446" t="s">
        <v>781</v>
      </c>
      <c r="P13" s="445"/>
      <c r="Q13" s="445" t="s">
        <v>779</v>
      </c>
      <c r="R13" s="779" t="s">
        <v>1083</v>
      </c>
      <c r="S13" s="456" t="s">
        <v>481</v>
      </c>
      <c r="T13" s="464" t="s">
        <v>780</v>
      </c>
      <c r="U13" s="446" t="s">
        <v>781</v>
      </c>
      <c r="V13" s="445"/>
      <c r="W13" s="445" t="s">
        <v>779</v>
      </c>
      <c r="X13" s="779" t="s">
        <v>1083</v>
      </c>
      <c r="Y13" s="456" t="s">
        <v>481</v>
      </c>
      <c r="Z13" s="464" t="s">
        <v>780</v>
      </c>
      <c r="AA13" s="446" t="s">
        <v>781</v>
      </c>
      <c r="AF13" s="453" t="s">
        <v>791</v>
      </c>
      <c r="AG13" s="435" t="str">
        <f>IF(ISBLANK(Z28),"",IF(Z28+AA28&gt;Z30+AA30,X29,X31))</f>
        <v/>
      </c>
      <c r="AH13" s="478" t="str">
        <f t="shared" ca="1" si="7"/>
        <v/>
      </c>
      <c r="AI13" s="474" t="str">
        <f t="shared" ca="1" si="8"/>
        <v/>
      </c>
      <c r="AJ13" s="915" t="str">
        <f t="shared" ca="1" si="9"/>
        <v/>
      </c>
      <c r="AN13" s="494">
        <f>K30</f>
        <v>8</v>
      </c>
      <c r="AO13" s="495" t="str">
        <f ca="1">L31</f>
        <v/>
      </c>
      <c r="AP13" s="495" t="str">
        <f t="shared" ref="AP13" ca="1" si="25">AO12</f>
        <v/>
      </c>
      <c r="AQ13" s="496" t="s">
        <v>793</v>
      </c>
      <c r="AR13" s="494">
        <f>Q30</f>
        <v>8</v>
      </c>
      <c r="AS13" s="495" t="str">
        <f>R31</f>
        <v/>
      </c>
      <c r="AT13" s="495" t="str">
        <f t="shared" ref="AT13" si="26">AS12</f>
        <v/>
      </c>
      <c r="AU13" s="496" t="s">
        <v>793</v>
      </c>
      <c r="AV13" s="494">
        <f>W30</f>
        <v>8</v>
      </c>
      <c r="AW13" s="495" t="str">
        <f>X31</f>
        <v/>
      </c>
      <c r="AX13" s="495" t="str">
        <f t="shared" ref="AX13" si="27">AW12</f>
        <v/>
      </c>
      <c r="AY13" s="496" t="s">
        <v>793</v>
      </c>
    </row>
    <row r="14" spans="1:51" ht="15.95" customHeight="1" thickBot="1" x14ac:dyDescent="0.25">
      <c r="A14" s="435">
        <v>10</v>
      </c>
      <c r="B14" s="444" t="str">
        <f t="shared" ca="1" si="1"/>
        <v/>
      </c>
      <c r="C14" s="444" t="str">
        <f t="shared" ca="1" si="2"/>
        <v/>
      </c>
      <c r="D14" s="444" t="str">
        <f t="shared" ca="1" si="3"/>
        <v/>
      </c>
      <c r="E14" s="486">
        <f t="shared" ca="1" si="4"/>
        <v>0</v>
      </c>
      <c r="F14" s="489">
        <v>20</v>
      </c>
      <c r="G14" s="488" t="str">
        <f t="shared" ca="1" si="5"/>
        <v/>
      </c>
      <c r="H14" s="898" t="str">
        <f t="shared" ca="1" si="6"/>
        <v/>
      </c>
      <c r="I14" s="898" t="str">
        <f t="shared" ca="1" si="0"/>
        <v/>
      </c>
      <c r="J14" s="898" t="str">
        <f t="shared" ca="1" si="0"/>
        <v/>
      </c>
      <c r="K14" s="447">
        <f>K9+1</f>
        <v>3</v>
      </c>
      <c r="L14" s="472">
        <v>4</v>
      </c>
      <c r="M14" s="465" t="str">
        <f ca="1">IFERROR(VLOOKUP(L15,$G$5:$J$28,2,FALSE),"")</f>
        <v/>
      </c>
      <c r="N14" s="966"/>
      <c r="O14" s="780"/>
      <c r="Q14" s="447">
        <f>Q9+1</f>
        <v>3</v>
      </c>
      <c r="R14" s="472">
        <v>3</v>
      </c>
      <c r="S14" s="465" t="str">
        <f ca="1">IFERROR(VLOOKUP(R15,$G$5:$J$28,2,FALSE),"")</f>
        <v/>
      </c>
      <c r="T14" s="966"/>
      <c r="U14" s="780"/>
      <c r="W14" s="447">
        <f>W9+1</f>
        <v>3</v>
      </c>
      <c r="X14" s="472">
        <v>4</v>
      </c>
      <c r="Y14" s="465" t="str">
        <f ca="1">IFERROR(VLOOKUP(X15,$G$5:$J$28,2,FALSE),"")</f>
        <v/>
      </c>
      <c r="Z14" s="966"/>
      <c r="AA14" s="780"/>
      <c r="AF14" s="453" t="s">
        <v>792</v>
      </c>
      <c r="AG14" s="435" t="str">
        <f>IF(ISBLANK(Z28),"",IF(Z28+AA28&lt;Z30+AA30,X29,X31))</f>
        <v/>
      </c>
      <c r="AH14" s="478" t="str">
        <f t="shared" ca="1" si="7"/>
        <v/>
      </c>
      <c r="AI14" s="474" t="str">
        <f t="shared" ca="1" si="8"/>
        <v/>
      </c>
      <c r="AJ14" s="915" t="str">
        <f t="shared" ca="1" si="9"/>
        <v/>
      </c>
      <c r="AN14" s="494">
        <f>K35</f>
        <v>9</v>
      </c>
      <c r="AO14" s="495" t="str">
        <f ca="1">L36</f>
        <v/>
      </c>
      <c r="AP14" s="784" t="s">
        <v>1326</v>
      </c>
      <c r="AQ14" s="496" t="s">
        <v>793</v>
      </c>
      <c r="AR14" s="494">
        <f>Q35</f>
        <v>9</v>
      </c>
      <c r="AS14" s="495" t="str">
        <f ca="1">R36</f>
        <v/>
      </c>
      <c r="AT14" s="495" t="str">
        <f t="shared" ref="AT14" si="28">AS15</f>
        <v/>
      </c>
      <c r="AU14" s="496" t="s">
        <v>793</v>
      </c>
      <c r="AV14" s="494">
        <f>W35</f>
        <v>9</v>
      </c>
      <c r="AW14" s="495" t="str">
        <f>X36</f>
        <v/>
      </c>
      <c r="AX14" s="495" t="str">
        <f t="shared" ref="AX14" si="29">AW15</f>
        <v/>
      </c>
      <c r="AY14" s="496" t="s">
        <v>793</v>
      </c>
    </row>
    <row r="15" spans="1:51" ht="15.95" customHeight="1" thickBot="1" x14ac:dyDescent="0.25">
      <c r="A15" s="435">
        <v>11</v>
      </c>
      <c r="B15" s="444" t="str">
        <f t="shared" ca="1" si="1"/>
        <v/>
      </c>
      <c r="C15" s="444" t="str">
        <f t="shared" ca="1" si="2"/>
        <v/>
      </c>
      <c r="D15" s="444" t="str">
        <f t="shared" ca="1" si="3"/>
        <v/>
      </c>
      <c r="E15" s="486">
        <f t="shared" ca="1" si="4"/>
        <v>0</v>
      </c>
      <c r="F15" s="489">
        <v>21</v>
      </c>
      <c r="G15" s="488" t="str">
        <f t="shared" ca="1" si="5"/>
        <v/>
      </c>
      <c r="H15" s="898" t="str">
        <f t="shared" ca="1" si="6"/>
        <v/>
      </c>
      <c r="I15" s="898" t="str">
        <f t="shared" ca="1" si="0"/>
        <v/>
      </c>
      <c r="J15" s="898" t="str">
        <f t="shared" ca="1" si="0"/>
        <v/>
      </c>
      <c r="K15" s="447"/>
      <c r="L15" s="473" t="str">
        <f ca="1">VLOOKUP(L14,$A$5:$G$24,7,FALSE)</f>
        <v/>
      </c>
      <c r="M15" s="466" t="str">
        <f ca="1">IFERROR(VLOOKUP(L15,$G$5:$J$28,3,FALSE),"")</f>
        <v/>
      </c>
      <c r="N15" s="967"/>
      <c r="Q15" s="447"/>
      <c r="R15" s="473" t="str">
        <f>IF(ISBLANK(N21),"",IF(N21+O21&gt;N23+O23,L22,L24))</f>
        <v/>
      </c>
      <c r="S15" s="466" t="str">
        <f ca="1">IFERROR(VLOOKUP(R15,$G$5:$J$28,3,FALSE),"")</f>
        <v/>
      </c>
      <c r="T15" s="967"/>
      <c r="W15" s="447"/>
      <c r="X15" s="473" t="str">
        <f>IF(ISBLANK(T7),"",IF(U7+T7&lt;T9+U9,R8,R10))</f>
        <v/>
      </c>
      <c r="Y15" s="466" t="str">
        <f ca="1">IFERROR(VLOOKUP(X15,$G$5:$J$28,3,FALSE),"")</f>
        <v/>
      </c>
      <c r="Z15" s="967"/>
      <c r="AF15" s="453" t="s">
        <v>794</v>
      </c>
      <c r="AG15" s="435" t="str">
        <f>IF(ISBLANK(Z35),"",IF(Z35+AA35&gt;Z37+AA37,X36,X38))</f>
        <v/>
      </c>
      <c r="AH15" s="478" t="str">
        <f t="shared" ca="1" si="7"/>
        <v/>
      </c>
      <c r="AI15" s="474" t="str">
        <f t="shared" ca="1" si="8"/>
        <v/>
      </c>
      <c r="AJ15" s="915" t="str">
        <f t="shared" ca="1" si="9"/>
        <v/>
      </c>
      <c r="AN15" s="494">
        <f>K40</f>
        <v>10</v>
      </c>
      <c r="AO15" s="495" t="str">
        <f ca="1">L41</f>
        <v/>
      </c>
      <c r="AP15" s="495" t="str">
        <f ca="1">AO16</f>
        <v/>
      </c>
      <c r="AQ15" s="496" t="s">
        <v>793</v>
      </c>
      <c r="AR15" s="494">
        <f>Q37</f>
        <v>10</v>
      </c>
      <c r="AS15" s="495" t="str">
        <f>R38</f>
        <v/>
      </c>
      <c r="AT15" s="495" t="str">
        <f t="shared" ref="AT15" ca="1" si="30">AS14</f>
        <v/>
      </c>
      <c r="AU15" s="496" t="s">
        <v>793</v>
      </c>
      <c r="AV15" s="494">
        <f>W37</f>
        <v>10</v>
      </c>
      <c r="AW15" s="495" t="str">
        <f>X38</f>
        <v/>
      </c>
      <c r="AX15" s="495" t="str">
        <f t="shared" ref="AX15" si="31">AW14</f>
        <v/>
      </c>
      <c r="AY15" s="496" t="s">
        <v>793</v>
      </c>
    </row>
    <row r="16" spans="1:51" ht="15.95" customHeight="1" thickBot="1" x14ac:dyDescent="0.25">
      <c r="A16" s="435">
        <v>12</v>
      </c>
      <c r="B16" s="444" t="str">
        <f t="shared" ca="1" si="1"/>
        <v/>
      </c>
      <c r="C16" s="444" t="str">
        <f t="shared" ca="1" si="2"/>
        <v/>
      </c>
      <c r="D16" s="444" t="str">
        <f t="shared" ca="1" si="3"/>
        <v/>
      </c>
      <c r="E16" s="486">
        <f t="shared" ca="1" si="4"/>
        <v>0</v>
      </c>
      <c r="F16" s="489">
        <v>22</v>
      </c>
      <c r="G16" s="488" t="str">
        <f t="shared" ca="1" si="5"/>
        <v/>
      </c>
      <c r="H16" s="898" t="str">
        <f t="shared" ca="1" si="6"/>
        <v/>
      </c>
      <c r="I16" s="898" t="str">
        <f t="shared" ca="1" si="0"/>
        <v/>
      </c>
      <c r="J16" s="898" t="str">
        <f t="shared" ca="1" si="0"/>
        <v/>
      </c>
      <c r="K16" s="447">
        <f>K14+1</f>
        <v>4</v>
      </c>
      <c r="L16" s="472">
        <v>5</v>
      </c>
      <c r="M16" s="465" t="str">
        <f ca="1">IFERROR(VLOOKUP(L17,$G$5:$J$28,2,FALSE),"")</f>
        <v/>
      </c>
      <c r="N16" s="966"/>
      <c r="O16" s="780"/>
      <c r="Q16" s="447">
        <f>Q14+1</f>
        <v>4</v>
      </c>
      <c r="R16" s="472">
        <v>2</v>
      </c>
      <c r="S16" s="465" t="str">
        <f ca="1">IFERROR(VLOOKUP(R17,$G$5:$J$28,2,FALSE),"")</f>
        <v/>
      </c>
      <c r="T16" s="966"/>
      <c r="U16" s="780"/>
      <c r="W16" s="447">
        <f>W14+1</f>
        <v>4</v>
      </c>
      <c r="X16" s="472">
        <v>3</v>
      </c>
      <c r="Y16" s="465" t="str">
        <f ca="1">IFERROR(VLOOKUP(X17,$G$5:$J$28,2,FALSE),"")</f>
        <v/>
      </c>
      <c r="Z16" s="966"/>
      <c r="AA16" s="780"/>
      <c r="AF16" s="453" t="s">
        <v>795</v>
      </c>
      <c r="AG16" s="435" t="str">
        <f>IF(ISBLANK(Z35),"",IF(Z35+AA35&lt;Z37+AA37,X36,X38))</f>
        <v/>
      </c>
      <c r="AH16" s="478" t="str">
        <f t="shared" ca="1" si="7"/>
        <v/>
      </c>
      <c r="AI16" s="474" t="str">
        <f t="shared" ca="1" si="8"/>
        <v/>
      </c>
      <c r="AJ16" s="915" t="str">
        <f t="shared" ca="1" si="9"/>
        <v/>
      </c>
      <c r="AN16" s="494">
        <f>K42</f>
        <v>11</v>
      </c>
      <c r="AO16" s="495" t="str">
        <f ca="1">L43</f>
        <v/>
      </c>
      <c r="AP16" s="495" t="str">
        <f ca="1">AO15</f>
        <v/>
      </c>
      <c r="AQ16" s="496" t="s">
        <v>793</v>
      </c>
      <c r="AR16" s="494">
        <f>Q42</f>
        <v>11</v>
      </c>
      <c r="AS16" s="495" t="str">
        <f ca="1">R43</f>
        <v/>
      </c>
      <c r="AT16" s="495" t="str">
        <f t="shared" ref="AT16" si="32">AS17</f>
        <v/>
      </c>
      <c r="AU16" s="496" t="s">
        <v>793</v>
      </c>
      <c r="AV16" s="494">
        <f>W42</f>
        <v>11</v>
      </c>
      <c r="AW16" s="495" t="str">
        <f>X43</f>
        <v/>
      </c>
      <c r="AX16" s="495" t="str">
        <f t="shared" ref="AX16" si="33">AW17</f>
        <v/>
      </c>
      <c r="AY16" s="496" t="s">
        <v>793</v>
      </c>
    </row>
    <row r="17" spans="1:51" ht="15.95" customHeight="1" thickBot="1" x14ac:dyDescent="0.25">
      <c r="A17" s="435">
        <v>13</v>
      </c>
      <c r="B17" s="444" t="str">
        <f t="shared" ca="1" si="1"/>
        <v/>
      </c>
      <c r="C17" s="444" t="str">
        <f t="shared" ca="1" si="2"/>
        <v/>
      </c>
      <c r="D17" s="444" t="str">
        <f t="shared" ca="1" si="3"/>
        <v/>
      </c>
      <c r="E17" s="486">
        <f t="shared" ca="1" si="4"/>
        <v>0</v>
      </c>
      <c r="F17" s="489">
        <v>23</v>
      </c>
      <c r="G17" s="488" t="str">
        <f t="shared" ca="1" si="5"/>
        <v/>
      </c>
      <c r="H17" s="898" t="str">
        <f t="shared" ca="1" si="6"/>
        <v/>
      </c>
      <c r="I17" s="898" t="str">
        <f t="shared" ca="1" si="0"/>
        <v/>
      </c>
      <c r="J17" s="898" t="str">
        <f t="shared" ca="1" si="0"/>
        <v/>
      </c>
      <c r="K17" s="447"/>
      <c r="L17" s="473" t="str">
        <f ca="1">VLOOKUP(L16,$A$5:$G$24,7,FALSE)</f>
        <v/>
      </c>
      <c r="M17" s="466" t="str">
        <f ca="1">IFERROR(VLOOKUP(L17,$G$5:$J$28,3,FALSE),"")</f>
        <v/>
      </c>
      <c r="N17" s="967"/>
      <c r="Q17" s="447"/>
      <c r="R17" s="473" t="str">
        <f>IF(ISBLANK(N28),"",IF(N28+O28&gt;N30+O30,L29,L31))</f>
        <v/>
      </c>
      <c r="S17" s="466" t="str">
        <f ca="1">IFERROR(VLOOKUP(R17,$G$5:$J$28,3,FALSE),"")</f>
        <v/>
      </c>
      <c r="T17" s="967"/>
      <c r="W17" s="447"/>
      <c r="X17" s="473" t="str">
        <f>IF(ISBLANK(T14),"",IF(U14+T14&lt;T16+U16,R15,R17))</f>
        <v/>
      </c>
      <c r="Y17" s="466" t="str">
        <f ca="1">IFERROR(VLOOKUP(X17,$G$5:$J$28,3,FALSE),"")</f>
        <v/>
      </c>
      <c r="Z17" s="967"/>
      <c r="AF17" s="453" t="s">
        <v>796</v>
      </c>
      <c r="AG17" s="435" t="str">
        <f>IF(ISBLANK(Z42),"",IF(Z42+AA42&gt;Z44+AA44,X43,X45))</f>
        <v/>
      </c>
      <c r="AH17" s="478" t="str">
        <f t="shared" ca="1" si="7"/>
        <v/>
      </c>
      <c r="AI17" s="474" t="str">
        <f t="shared" ca="1" si="8"/>
        <v/>
      </c>
      <c r="AJ17" s="915" t="str">
        <f t="shared" ca="1" si="9"/>
        <v/>
      </c>
      <c r="AN17" s="494">
        <f>K48</f>
        <v>12</v>
      </c>
      <c r="AO17" s="495" t="str">
        <f ca="1">L49</f>
        <v/>
      </c>
      <c r="AP17" s="784" t="s">
        <v>1326</v>
      </c>
      <c r="AQ17" s="496" t="s">
        <v>793</v>
      </c>
      <c r="AR17" s="494">
        <f>Q44</f>
        <v>12</v>
      </c>
      <c r="AS17" s="495" t="str">
        <f>R45</f>
        <v/>
      </c>
      <c r="AT17" s="495" t="str">
        <f t="shared" ref="AT17" ca="1" si="34">AS16</f>
        <v/>
      </c>
      <c r="AU17" s="496" t="s">
        <v>793</v>
      </c>
      <c r="AV17" s="494">
        <f>W44</f>
        <v>12</v>
      </c>
      <c r="AW17" s="495" t="str">
        <f>X45</f>
        <v/>
      </c>
      <c r="AX17" s="495" t="str">
        <f t="shared" ref="AX17" si="35">AW16</f>
        <v/>
      </c>
      <c r="AY17" s="496" t="s">
        <v>793</v>
      </c>
    </row>
    <row r="18" spans="1:51" ht="15.95" customHeight="1" x14ac:dyDescent="0.2">
      <c r="A18" s="435">
        <v>14</v>
      </c>
      <c r="B18" s="444" t="str">
        <f t="shared" ca="1" si="1"/>
        <v/>
      </c>
      <c r="C18" s="444" t="str">
        <f t="shared" ca="1" si="2"/>
        <v/>
      </c>
      <c r="D18" s="444" t="str">
        <f t="shared" ca="1" si="3"/>
        <v/>
      </c>
      <c r="E18" s="486">
        <f t="shared" ca="1" si="4"/>
        <v>0</v>
      </c>
      <c r="F18" s="489">
        <v>24</v>
      </c>
      <c r="G18" s="488" t="str">
        <f t="shared" ca="1" si="5"/>
        <v/>
      </c>
      <c r="H18" s="898" t="str">
        <f t="shared" ca="1" si="6"/>
        <v/>
      </c>
      <c r="I18" s="898" t="str">
        <f t="shared" ca="1" si="0"/>
        <v/>
      </c>
      <c r="J18" s="898" t="str">
        <f t="shared" ca="1" si="0"/>
        <v/>
      </c>
      <c r="K18" s="450"/>
      <c r="L18" s="450"/>
      <c r="M18" s="450"/>
      <c r="N18" s="451"/>
      <c r="O18" s="450"/>
      <c r="P18" s="450"/>
      <c r="Q18" s="450"/>
      <c r="R18" s="450"/>
      <c r="S18" s="450"/>
      <c r="T18" s="451"/>
      <c r="U18" s="450"/>
      <c r="V18" s="450"/>
      <c r="W18" s="450"/>
      <c r="X18" s="450"/>
      <c r="Y18" s="450"/>
      <c r="Z18" s="451"/>
      <c r="AA18" s="450"/>
      <c r="AF18" s="453" t="s">
        <v>797</v>
      </c>
      <c r="AG18" s="435" t="str">
        <f>IF(ISBLANK(Z42),"",IF(Z42+AA42&lt;Z44+AA44,X43,X45))</f>
        <v/>
      </c>
      <c r="AH18" s="478" t="str">
        <f t="shared" ca="1" si="7"/>
        <v/>
      </c>
      <c r="AI18" s="474" t="str">
        <f t="shared" ca="1" si="8"/>
        <v/>
      </c>
      <c r="AJ18" s="915" t="str">
        <f t="shared" ca="1" si="9"/>
        <v/>
      </c>
      <c r="AN18" s="494">
        <f>K53</f>
        <v>13</v>
      </c>
      <c r="AO18" s="495" t="str">
        <f ca="1">L54</f>
        <v/>
      </c>
      <c r="AP18" s="495" t="str">
        <f ca="1">AO19</f>
        <v/>
      </c>
      <c r="AQ18" s="496" t="s">
        <v>793</v>
      </c>
      <c r="AR18" s="494">
        <f>Q49</f>
        <v>13</v>
      </c>
      <c r="AS18" s="495" t="str">
        <f>R50</f>
        <v/>
      </c>
      <c r="AT18" s="784" t="s">
        <v>1326</v>
      </c>
      <c r="AU18" s="496" t="s">
        <v>793</v>
      </c>
      <c r="AV18" s="494">
        <f>W49</f>
        <v>13</v>
      </c>
      <c r="AW18" s="495" t="str">
        <f>X50</f>
        <v/>
      </c>
      <c r="AX18" s="495" t="str">
        <f t="shared" ref="AX18" si="36">AW19</f>
        <v/>
      </c>
      <c r="AY18" s="496" t="s">
        <v>793</v>
      </c>
    </row>
    <row r="19" spans="1:51" ht="15.95" customHeight="1" thickBot="1" x14ac:dyDescent="0.25">
      <c r="F19" s="489">
        <v>25</v>
      </c>
      <c r="G19" s="488" t="str">
        <f t="shared" si="5"/>
        <v/>
      </c>
      <c r="H19" s="898" t="str">
        <f t="shared" si="6"/>
        <v/>
      </c>
      <c r="I19" s="898" t="str">
        <f t="shared" si="0"/>
        <v/>
      </c>
      <c r="J19" s="898" t="str">
        <f t="shared" si="0"/>
        <v/>
      </c>
      <c r="K19" s="450"/>
      <c r="L19" s="454"/>
      <c r="M19" s="454"/>
      <c r="N19" s="455"/>
      <c r="O19" s="450"/>
      <c r="P19" s="450"/>
      <c r="Q19" s="450"/>
      <c r="R19" s="979" t="s">
        <v>819</v>
      </c>
      <c r="S19" s="1247"/>
      <c r="T19" s="1247"/>
      <c r="U19" s="450"/>
      <c r="V19" s="450"/>
      <c r="W19" s="450"/>
      <c r="X19" s="979" t="s">
        <v>820</v>
      </c>
      <c r="Y19" s="1247"/>
      <c r="Z19" s="1247"/>
      <c r="AA19" s="450"/>
      <c r="AF19" s="453" t="s">
        <v>798</v>
      </c>
      <c r="AG19" s="435" t="str">
        <f>IF(ISBLANK(Z49),"",IF(Z49+AA49&gt;Z51+AA51,X50,X52))</f>
        <v/>
      </c>
      <c r="AH19" s="478" t="str">
        <f t="shared" ca="1" si="7"/>
        <v/>
      </c>
      <c r="AI19" s="474" t="str">
        <f t="shared" ca="1" si="8"/>
        <v/>
      </c>
      <c r="AJ19" s="915" t="str">
        <f t="shared" ca="1" si="9"/>
        <v/>
      </c>
      <c r="AN19" s="494">
        <f>K55</f>
        <v>14</v>
      </c>
      <c r="AO19" s="495" t="str">
        <f ca="1">L56</f>
        <v/>
      </c>
      <c r="AP19" s="495" t="str">
        <f ca="1">AO18</f>
        <v/>
      </c>
      <c r="AQ19" s="496" t="s">
        <v>793</v>
      </c>
      <c r="AR19" s="494">
        <f>Q51</f>
        <v>14</v>
      </c>
      <c r="AS19" s="495" t="str">
        <f>R52</f>
        <v/>
      </c>
      <c r="AT19" s="784" t="s">
        <v>1326</v>
      </c>
      <c r="AU19" s="496" t="s">
        <v>793</v>
      </c>
      <c r="AV19" s="494">
        <f>W51</f>
        <v>14</v>
      </c>
      <c r="AW19" s="495" t="str">
        <f>X52</f>
        <v/>
      </c>
      <c r="AX19" s="495" t="str">
        <f t="shared" ref="AX19" si="37">AW18</f>
        <v/>
      </c>
      <c r="AY19" s="496" t="s">
        <v>793</v>
      </c>
    </row>
    <row r="20" spans="1:51" ht="15.95" customHeight="1" thickBot="1" x14ac:dyDescent="0.25">
      <c r="F20" s="489">
        <v>26</v>
      </c>
      <c r="G20" s="488" t="str">
        <f t="shared" si="5"/>
        <v/>
      </c>
      <c r="H20" s="898" t="str">
        <f t="shared" si="6"/>
        <v/>
      </c>
      <c r="I20" s="898" t="str">
        <f t="shared" si="0"/>
        <v/>
      </c>
      <c r="J20" s="898" t="str">
        <f t="shared" si="0"/>
        <v/>
      </c>
      <c r="K20" s="445" t="s">
        <v>779</v>
      </c>
      <c r="L20" s="779" t="s">
        <v>1083</v>
      </c>
      <c r="M20" s="456" t="s">
        <v>481</v>
      </c>
      <c r="N20" s="464" t="s">
        <v>780</v>
      </c>
      <c r="O20" s="446" t="s">
        <v>781</v>
      </c>
      <c r="P20" s="445"/>
      <c r="Q20" s="445" t="s">
        <v>779</v>
      </c>
      <c r="R20" s="779" t="s">
        <v>1083</v>
      </c>
      <c r="S20" s="456" t="s">
        <v>481</v>
      </c>
      <c r="T20" s="464" t="s">
        <v>780</v>
      </c>
      <c r="U20" s="446" t="s">
        <v>781</v>
      </c>
      <c r="V20" s="445"/>
      <c r="W20" s="445" t="s">
        <v>779</v>
      </c>
      <c r="X20" s="779" t="s">
        <v>1083</v>
      </c>
      <c r="Y20" s="456" t="s">
        <v>481</v>
      </c>
      <c r="Z20" s="464" t="s">
        <v>780</v>
      </c>
      <c r="AA20" s="446" t="s">
        <v>781</v>
      </c>
      <c r="AF20" s="453" t="s">
        <v>799</v>
      </c>
      <c r="AG20" s="435" t="str">
        <f>IF(ISBLANK(Z49),"",IF(Z49+AA49&lt;Z51+AA51,X50,X52))</f>
        <v/>
      </c>
      <c r="AH20" s="480" t="str">
        <f t="shared" ca="1" si="7"/>
        <v/>
      </c>
      <c r="AI20" s="481" t="str">
        <f t="shared" ca="1" si="8"/>
        <v/>
      </c>
      <c r="AJ20" s="916" t="str">
        <f t="shared" ca="1" si="9"/>
        <v/>
      </c>
      <c r="AN20" s="494"/>
      <c r="AO20" s="495"/>
      <c r="AP20" s="495"/>
      <c r="AQ20" s="496"/>
      <c r="AR20" s="494"/>
      <c r="AS20" s="495"/>
      <c r="AT20" s="495"/>
      <c r="AU20" s="496"/>
      <c r="AV20" s="494"/>
      <c r="AW20" s="495"/>
      <c r="AX20" s="495"/>
      <c r="AY20" s="496"/>
    </row>
    <row r="21" spans="1:51" ht="15.95" customHeight="1" thickBot="1" x14ac:dyDescent="0.25">
      <c r="F21" s="489">
        <v>27</v>
      </c>
      <c r="G21" s="488" t="str">
        <f t="shared" si="5"/>
        <v/>
      </c>
      <c r="H21" s="898" t="str">
        <f t="shared" si="6"/>
        <v/>
      </c>
      <c r="I21" s="898" t="str">
        <f t="shared" si="6"/>
        <v/>
      </c>
      <c r="J21" s="898" t="str">
        <f t="shared" si="6"/>
        <v/>
      </c>
      <c r="K21" s="447">
        <f>K16+1</f>
        <v>5</v>
      </c>
      <c r="L21" s="472">
        <v>3</v>
      </c>
      <c r="M21" s="465" t="str">
        <f ca="1">IFERROR(VLOOKUP(L22,$G$5:$J$28,2,FALSE),"")</f>
        <v/>
      </c>
      <c r="N21" s="966"/>
      <c r="O21" s="780"/>
      <c r="Q21" s="447">
        <f>Q16+1</f>
        <v>5</v>
      </c>
      <c r="R21" s="472">
        <v>8</v>
      </c>
      <c r="S21" s="465" t="str">
        <f ca="1">IFERROR(VLOOKUP(R22,$G$5:$J$28,2,FALSE),"")</f>
        <v/>
      </c>
      <c r="T21" s="966"/>
      <c r="U21" s="780"/>
      <c r="W21" s="447">
        <f>W16+1</f>
        <v>5</v>
      </c>
      <c r="X21" s="472">
        <v>5</v>
      </c>
      <c r="Y21" s="465" t="str">
        <f ca="1">IFERROR(VLOOKUP(X22,$G$5:$J$28,2,FALSE),"")</f>
        <v/>
      </c>
      <c r="Z21" s="966"/>
      <c r="AA21" s="780"/>
      <c r="AF21" s="453"/>
      <c r="AG21" s="453"/>
      <c r="AH21" s="453"/>
      <c r="AI21" s="453"/>
      <c r="AJ21" s="453"/>
      <c r="AN21" s="494"/>
      <c r="AO21" s="495"/>
      <c r="AP21" s="495"/>
      <c r="AQ21" s="496"/>
      <c r="AR21" s="494"/>
      <c r="AS21" s="495"/>
      <c r="AT21" s="495"/>
      <c r="AU21" s="496"/>
      <c r="AV21" s="494"/>
      <c r="AW21" s="495"/>
      <c r="AX21" s="495"/>
      <c r="AY21" s="496"/>
    </row>
    <row r="22" spans="1:51" ht="15.95" customHeight="1" thickBot="1" x14ac:dyDescent="0.25">
      <c r="F22" s="489">
        <v>28</v>
      </c>
      <c r="G22" s="488" t="str">
        <f t="shared" si="5"/>
        <v/>
      </c>
      <c r="H22" s="898" t="str">
        <f t="shared" si="6"/>
        <v/>
      </c>
      <c r="I22" s="898" t="str">
        <f t="shared" si="6"/>
        <v/>
      </c>
      <c r="J22" s="898" t="str">
        <f t="shared" si="6"/>
        <v/>
      </c>
      <c r="K22" s="447"/>
      <c r="L22" s="473" t="str">
        <f ca="1">VLOOKUP(L21,$A$5:$G$24,7,FALSE)</f>
        <v/>
      </c>
      <c r="M22" s="466" t="str">
        <f ca="1">IFERROR(VLOOKUP(L22,$G$5:$J$28,3,FALSE),"")</f>
        <v/>
      </c>
      <c r="N22" s="967"/>
      <c r="Q22" s="447"/>
      <c r="R22" s="473" t="str">
        <f>IF(ISBLANK(N7),"",IF(O7+N7&lt;N9+O9,L8,L10))</f>
        <v/>
      </c>
      <c r="S22" s="466" t="str">
        <f ca="1">IFERROR(VLOOKUP(R22,$G$5:$J$28,3,FALSE),"")</f>
        <v/>
      </c>
      <c r="T22" s="967"/>
      <c r="W22" s="447"/>
      <c r="X22" s="473" t="str">
        <f>IF(ISBLANK(T21),"",IF(U21+T21&gt;T23+U23,R22,R24))</f>
        <v/>
      </c>
      <c r="Y22" s="466" t="str">
        <f ca="1">IFERROR(VLOOKUP(X22,$G$5:$J$28,3,FALSE),"")</f>
        <v/>
      </c>
      <c r="Z22" s="967"/>
      <c r="AF22" s="453"/>
      <c r="AG22" s="453"/>
      <c r="AH22" s="453"/>
      <c r="AI22" s="453"/>
      <c r="AJ22" s="453"/>
      <c r="AN22" s="494"/>
      <c r="AO22" s="495"/>
      <c r="AP22" s="495"/>
      <c r="AQ22" s="496"/>
      <c r="AR22" s="494"/>
      <c r="AS22" s="495"/>
      <c r="AT22" s="495"/>
      <c r="AU22" s="496"/>
      <c r="AV22" s="494"/>
      <c r="AW22" s="495"/>
      <c r="AX22" s="495"/>
      <c r="AY22" s="496"/>
    </row>
    <row r="23" spans="1:51" ht="15.95" customHeight="1" thickBot="1" x14ac:dyDescent="0.25">
      <c r="F23" s="489">
        <v>29</v>
      </c>
      <c r="G23" s="488" t="str">
        <f t="shared" si="5"/>
        <v/>
      </c>
      <c r="H23" s="898" t="str">
        <f t="shared" si="6"/>
        <v/>
      </c>
      <c r="I23" s="898" t="str">
        <f t="shared" si="6"/>
        <v/>
      </c>
      <c r="J23" s="898" t="str">
        <f t="shared" si="6"/>
        <v/>
      </c>
      <c r="K23" s="447">
        <f>K21+1</f>
        <v>6</v>
      </c>
      <c r="L23" s="472">
        <v>6</v>
      </c>
      <c r="M23" s="465" t="str">
        <f ca="1">IFERROR(VLOOKUP(L24,$G$5:$J$28,2,FALSE),"")</f>
        <v/>
      </c>
      <c r="N23" s="966"/>
      <c r="O23" s="780"/>
      <c r="Q23" s="447">
        <f>Q21+1</f>
        <v>6</v>
      </c>
      <c r="R23" s="472">
        <v>5</v>
      </c>
      <c r="S23" s="465" t="str">
        <f ca="1">IFERROR(VLOOKUP(R24,$G$5:$J$28,2,FALSE),"")</f>
        <v/>
      </c>
      <c r="T23" s="966"/>
      <c r="U23" s="780"/>
      <c r="W23" s="447">
        <f>W21+1</f>
        <v>6</v>
      </c>
      <c r="X23" s="472">
        <v>6</v>
      </c>
      <c r="Y23" s="465" t="str">
        <f ca="1">IFERROR(VLOOKUP(X24,$G$5:$J$28,2,FALSE),"")</f>
        <v/>
      </c>
      <c r="Z23" s="966"/>
      <c r="AA23" s="780"/>
      <c r="AF23" s="453"/>
      <c r="AG23" s="453"/>
      <c r="AH23" s="453"/>
      <c r="AI23" s="453"/>
      <c r="AJ23" s="453"/>
      <c r="AN23" s="494"/>
      <c r="AO23" s="495"/>
      <c r="AP23" s="495"/>
      <c r="AQ23" s="496"/>
      <c r="AR23" s="494"/>
      <c r="AS23" s="495"/>
      <c r="AT23" s="495"/>
      <c r="AU23" s="496"/>
      <c r="AV23" s="494"/>
      <c r="AW23" s="495"/>
      <c r="AX23" s="495"/>
      <c r="AY23" s="496" t="s">
        <v>793</v>
      </c>
    </row>
    <row r="24" spans="1:51" ht="15.95" customHeight="1" thickBot="1" x14ac:dyDescent="0.25">
      <c r="F24" s="489">
        <v>30</v>
      </c>
      <c r="G24" s="488" t="str">
        <f t="shared" si="5"/>
        <v/>
      </c>
      <c r="H24" s="898" t="str">
        <f t="shared" si="6"/>
        <v/>
      </c>
      <c r="I24" s="898" t="str">
        <f t="shared" si="6"/>
        <v/>
      </c>
      <c r="J24" s="898" t="str">
        <f t="shared" si="6"/>
        <v/>
      </c>
      <c r="K24" s="447"/>
      <c r="L24" s="473" t="str">
        <f ca="1">VLOOKUP(L23,$A$5:$G$24,7,FALSE)</f>
        <v/>
      </c>
      <c r="M24" s="466" t="str">
        <f ca="1">IFERROR(VLOOKUP(L24,$G$5:$J$28,3,FALSE),"")</f>
        <v/>
      </c>
      <c r="N24" s="967"/>
      <c r="Q24" s="447"/>
      <c r="R24" s="473" t="str">
        <f>IF(ISBLANK(N14),"",IF(O14+N14&lt;N16+O16,L15,L17))</f>
        <v/>
      </c>
      <c r="S24" s="466" t="str">
        <f ca="1">IFERROR(VLOOKUP(R24,$G$5:$J$28,3,FALSE),"")</f>
        <v/>
      </c>
      <c r="T24" s="967"/>
      <c r="W24" s="447"/>
      <c r="X24" s="473" t="str">
        <f>IF(ISBLANK(T28),"",IF(U28+T28&gt;T30+U30,R29,R31))</f>
        <v/>
      </c>
      <c r="Y24" s="466" t="str">
        <f ca="1">IFERROR(VLOOKUP(X24,$G$5:$J$28,3,FALSE),"")</f>
        <v/>
      </c>
      <c r="Z24" s="967"/>
      <c r="AF24" s="453"/>
      <c r="AG24" s="453"/>
      <c r="AH24" s="453"/>
      <c r="AI24" s="453"/>
      <c r="AJ24" s="453"/>
      <c r="AN24" s="494"/>
      <c r="AO24" s="495"/>
      <c r="AP24" s="495"/>
      <c r="AQ24" s="496"/>
      <c r="AR24" s="494"/>
      <c r="AS24" s="495"/>
      <c r="AT24" s="495"/>
      <c r="AU24" s="496"/>
      <c r="AV24" s="494"/>
      <c r="AW24" s="495"/>
      <c r="AX24" s="495"/>
      <c r="AY24" s="496" t="s">
        <v>793</v>
      </c>
    </row>
    <row r="25" spans="1:51" ht="15.95" customHeight="1" x14ac:dyDescent="0.2">
      <c r="F25" s="489">
        <v>31</v>
      </c>
      <c r="G25" s="488" t="str">
        <f t="shared" si="5"/>
        <v/>
      </c>
      <c r="H25" s="898" t="str">
        <f t="shared" si="6"/>
        <v/>
      </c>
      <c r="I25" s="898" t="str">
        <f t="shared" si="6"/>
        <v/>
      </c>
      <c r="J25" s="898" t="str">
        <f t="shared" si="6"/>
        <v/>
      </c>
      <c r="K25" s="447"/>
      <c r="L25" s="441"/>
      <c r="M25" s="441"/>
      <c r="Q25" s="447"/>
      <c r="R25" s="437"/>
      <c r="S25" s="437"/>
      <c r="T25" s="451"/>
      <c r="W25" s="447"/>
      <c r="X25" s="441"/>
      <c r="Y25" s="441"/>
      <c r="AF25" s="453"/>
      <c r="AG25" s="453"/>
      <c r="AH25" s="453"/>
      <c r="AI25" s="453"/>
      <c r="AJ25" s="453"/>
      <c r="AN25" s="494"/>
      <c r="AO25" s="495"/>
      <c r="AP25" s="495"/>
      <c r="AQ25" s="496"/>
      <c r="AR25" s="494"/>
      <c r="AS25" s="495"/>
      <c r="AT25" s="495"/>
      <c r="AU25" s="496"/>
      <c r="AV25" s="494"/>
      <c r="AW25" s="495"/>
      <c r="AX25" s="495"/>
      <c r="AY25" s="496" t="s">
        <v>793</v>
      </c>
    </row>
    <row r="26" spans="1:51" ht="15.95" customHeight="1" thickBot="1" x14ac:dyDescent="0.25">
      <c r="F26" s="489">
        <v>32</v>
      </c>
      <c r="G26" s="488" t="str">
        <f t="shared" si="5"/>
        <v/>
      </c>
      <c r="H26" s="898" t="str">
        <f t="shared" si="6"/>
        <v/>
      </c>
      <c r="I26" s="898" t="str">
        <f t="shared" si="6"/>
        <v/>
      </c>
      <c r="J26" s="898" t="str">
        <f t="shared" si="6"/>
        <v/>
      </c>
      <c r="K26" s="450"/>
      <c r="L26" s="450"/>
      <c r="M26" s="450"/>
      <c r="N26" s="451"/>
      <c r="O26" s="450"/>
      <c r="P26" s="450"/>
      <c r="Q26" s="450"/>
      <c r="R26" s="437"/>
      <c r="S26" s="437"/>
      <c r="T26" s="451"/>
      <c r="U26" s="450"/>
      <c r="V26" s="450"/>
      <c r="W26" s="450"/>
      <c r="X26" s="979" t="s">
        <v>821</v>
      </c>
      <c r="Y26" s="1247"/>
      <c r="Z26" s="1247"/>
      <c r="AA26" s="450"/>
      <c r="AF26" s="453"/>
      <c r="AG26" s="453"/>
      <c r="AH26" s="453"/>
      <c r="AI26" s="453"/>
      <c r="AJ26" s="453"/>
      <c r="AN26" s="494"/>
      <c r="AO26" s="495"/>
      <c r="AP26" s="495"/>
      <c r="AQ26" s="496"/>
      <c r="AR26" s="494"/>
      <c r="AS26" s="495"/>
      <c r="AT26" s="495"/>
      <c r="AU26" s="496"/>
      <c r="AV26" s="494"/>
      <c r="AW26" s="495"/>
      <c r="AX26" s="495"/>
      <c r="AY26" s="496" t="s">
        <v>793</v>
      </c>
    </row>
    <row r="27" spans="1:51" ht="15.95" customHeight="1" thickBot="1" x14ac:dyDescent="0.25">
      <c r="F27" s="489">
        <v>33</v>
      </c>
      <c r="G27" s="488" t="str">
        <f t="shared" si="5"/>
        <v/>
      </c>
      <c r="H27" s="898" t="str">
        <f t="shared" si="6"/>
        <v/>
      </c>
      <c r="I27" s="898" t="str">
        <f t="shared" si="6"/>
        <v/>
      </c>
      <c r="J27" s="898" t="str">
        <f t="shared" si="6"/>
        <v/>
      </c>
      <c r="K27" s="445" t="s">
        <v>779</v>
      </c>
      <c r="L27" s="779" t="s">
        <v>1083</v>
      </c>
      <c r="M27" s="456" t="s">
        <v>481</v>
      </c>
      <c r="N27" s="464" t="s">
        <v>780</v>
      </c>
      <c r="O27" s="446" t="s">
        <v>781</v>
      </c>
      <c r="P27" s="445"/>
      <c r="Q27" s="445" t="s">
        <v>779</v>
      </c>
      <c r="R27" s="779" t="s">
        <v>1083</v>
      </c>
      <c r="S27" s="456" t="s">
        <v>481</v>
      </c>
      <c r="T27" s="464" t="s">
        <v>780</v>
      </c>
      <c r="U27" s="446" t="s">
        <v>781</v>
      </c>
      <c r="V27" s="445"/>
      <c r="W27" s="445" t="s">
        <v>779</v>
      </c>
      <c r="X27" s="779" t="s">
        <v>1083</v>
      </c>
      <c r="Y27" s="456" t="s">
        <v>481</v>
      </c>
      <c r="Z27" s="464" t="s">
        <v>780</v>
      </c>
      <c r="AA27" s="446" t="s">
        <v>781</v>
      </c>
      <c r="AF27" s="453"/>
      <c r="AG27" s="453"/>
      <c r="AH27" s="453"/>
      <c r="AI27" s="453"/>
      <c r="AJ27" s="453"/>
      <c r="AN27" s="494"/>
      <c r="AO27" s="495"/>
      <c r="AP27" s="495"/>
      <c r="AQ27" s="496"/>
      <c r="AR27" s="494"/>
      <c r="AS27" s="495"/>
      <c r="AT27" s="495"/>
      <c r="AU27" s="496"/>
      <c r="AV27" s="494"/>
      <c r="AW27" s="495"/>
      <c r="AX27" s="495"/>
      <c r="AY27" s="496" t="s">
        <v>793</v>
      </c>
    </row>
    <row r="28" spans="1:51" ht="15.95" customHeight="1" thickBot="1" x14ac:dyDescent="0.25">
      <c r="F28" s="489">
        <v>34</v>
      </c>
      <c r="G28" s="488" t="str">
        <f t="shared" si="5"/>
        <v/>
      </c>
      <c r="H28" s="898" t="str">
        <f t="shared" si="6"/>
        <v/>
      </c>
      <c r="I28" s="898" t="str">
        <f t="shared" si="6"/>
        <v/>
      </c>
      <c r="J28" s="898" t="str">
        <f t="shared" si="6"/>
        <v/>
      </c>
      <c r="K28" s="447">
        <f>K23+1</f>
        <v>7</v>
      </c>
      <c r="L28" s="472">
        <v>2</v>
      </c>
      <c r="M28" s="465" t="str">
        <f ca="1">IFERROR(VLOOKUP(L29,$G$5:$J$28,2,FALSE),"")</f>
        <v/>
      </c>
      <c r="N28" s="966"/>
      <c r="O28" s="780"/>
      <c r="Q28" s="447">
        <f>Q23+1</f>
        <v>7</v>
      </c>
      <c r="R28" s="472">
        <v>6</v>
      </c>
      <c r="S28" s="465" t="str">
        <f ca="1">IFERROR(VLOOKUP(R29,$G$5:$J$28,2,FALSE),"")</f>
        <v/>
      </c>
      <c r="T28" s="966"/>
      <c r="U28" s="780"/>
      <c r="W28" s="447">
        <f>W23+1</f>
        <v>7</v>
      </c>
      <c r="X28" s="472">
        <v>8</v>
      </c>
      <c r="Y28" s="465" t="str">
        <f ca="1">IFERROR(VLOOKUP(X29,$G$5:$J$28,2,FALSE),"")</f>
        <v/>
      </c>
      <c r="Z28" s="966"/>
      <c r="AA28" s="780"/>
      <c r="AF28" s="453"/>
      <c r="AG28" s="453"/>
      <c r="AH28" s="453"/>
      <c r="AI28" s="453"/>
      <c r="AJ28" s="453"/>
      <c r="AN28" s="494"/>
      <c r="AO28" s="495"/>
      <c r="AP28" s="495"/>
      <c r="AQ28" s="496"/>
      <c r="AR28" s="494"/>
      <c r="AS28" s="495"/>
      <c r="AT28" s="495"/>
      <c r="AU28" s="496"/>
      <c r="AV28" s="494"/>
      <c r="AW28" s="495"/>
      <c r="AX28" s="495"/>
      <c r="AY28" s="496" t="s">
        <v>793</v>
      </c>
    </row>
    <row r="29" spans="1:51" ht="15.95" customHeight="1" thickBot="1" x14ac:dyDescent="0.25">
      <c r="I29" s="437"/>
      <c r="J29" s="437"/>
      <c r="K29" s="447"/>
      <c r="L29" s="473" t="str">
        <f ca="1">VLOOKUP(L28,$A$5:$G$24,7,FALSE)</f>
        <v/>
      </c>
      <c r="M29" s="466" t="str">
        <f ca="1">IFERROR(VLOOKUP(L29,$G$5:$J$28,3,FALSE),"")</f>
        <v/>
      </c>
      <c r="N29" s="967"/>
      <c r="Q29" s="447"/>
      <c r="R29" s="473" t="str">
        <f>IF(ISBLANK(N21),"",IF(N21+O21&lt;N23+O23,L22,L24))</f>
        <v/>
      </c>
      <c r="S29" s="466" t="str">
        <f ca="1">IFERROR(VLOOKUP(R29,$G$5:$J$28,3,FALSE),"")</f>
        <v/>
      </c>
      <c r="T29" s="967"/>
      <c r="W29" s="447"/>
      <c r="X29" s="473" t="str">
        <f>IF(ISBLANK(T21),"",IF(U21+T21&lt;T23+U23,R22,R24))</f>
        <v/>
      </c>
      <c r="Y29" s="466" t="str">
        <f ca="1">IFERROR(VLOOKUP(X29,$G$5:$J$28,3,FALSE),"")</f>
        <v/>
      </c>
      <c r="Z29" s="967"/>
      <c r="AF29" s="453"/>
      <c r="AG29" s="453"/>
      <c r="AH29" s="453"/>
      <c r="AI29" s="453"/>
      <c r="AJ29" s="453"/>
      <c r="AN29" s="494"/>
      <c r="AO29" s="495"/>
      <c r="AP29" s="495"/>
      <c r="AQ29" s="496"/>
      <c r="AR29" s="494"/>
      <c r="AS29" s="495"/>
      <c r="AT29" s="495"/>
      <c r="AU29" s="496"/>
      <c r="AV29" s="494"/>
      <c r="AW29" s="495"/>
      <c r="AX29" s="495"/>
      <c r="AY29" s="496" t="s">
        <v>793</v>
      </c>
    </row>
    <row r="30" spans="1:51" ht="15.95" customHeight="1" thickBot="1" x14ac:dyDescent="0.25">
      <c r="I30" s="437"/>
      <c r="J30" s="437"/>
      <c r="K30" s="447">
        <f>K28+1</f>
        <v>8</v>
      </c>
      <c r="L30" s="472">
        <v>7</v>
      </c>
      <c r="M30" s="465" t="str">
        <f ca="1">IFERROR(VLOOKUP(L31,$G$5:$J$28,2,FALSE),"")</f>
        <v/>
      </c>
      <c r="N30" s="966"/>
      <c r="O30" s="780"/>
      <c r="Q30" s="447">
        <f>Q28+1</f>
        <v>8</v>
      </c>
      <c r="R30" s="472">
        <v>7</v>
      </c>
      <c r="S30" s="465" t="str">
        <f ca="1">IFERROR(VLOOKUP(R31,$G$5:$J$28,2,FALSE),"")</f>
        <v/>
      </c>
      <c r="T30" s="966"/>
      <c r="U30" s="780"/>
      <c r="W30" s="447">
        <f>W28+1</f>
        <v>8</v>
      </c>
      <c r="X30" s="472">
        <v>7</v>
      </c>
      <c r="Y30" s="465" t="str">
        <f ca="1">IFERROR(VLOOKUP(X31,$G$5:$J$28,2,FALSE),"")</f>
        <v/>
      </c>
      <c r="Z30" s="966"/>
      <c r="AA30" s="780"/>
      <c r="AF30" s="453"/>
      <c r="AG30" s="453"/>
      <c r="AH30" s="453"/>
      <c r="AI30" s="453"/>
      <c r="AJ30" s="453"/>
    </row>
    <row r="31" spans="1:51" ht="15.95" customHeight="1" thickBot="1" x14ac:dyDescent="0.25">
      <c r="I31" s="437"/>
      <c r="J31" s="437"/>
      <c r="K31" s="447"/>
      <c r="L31" s="473" t="str">
        <f ca="1">VLOOKUP(L30,$A$5:$G$24,7,FALSE)</f>
        <v/>
      </c>
      <c r="M31" s="466" t="str">
        <f ca="1">IFERROR(VLOOKUP(L31,$G$5:$J$28,3,FALSE),"")</f>
        <v/>
      </c>
      <c r="N31" s="967"/>
      <c r="Q31" s="447"/>
      <c r="R31" s="473" t="str">
        <f>IF(ISBLANK(N28),"",IF(N28+O28&lt;N30+O30,L29,L31))</f>
        <v/>
      </c>
      <c r="S31" s="466" t="str">
        <f ca="1">IFERROR(VLOOKUP(R31,$G$5:$J$28,3,FALSE),"")</f>
        <v/>
      </c>
      <c r="T31" s="967"/>
      <c r="W31" s="447"/>
      <c r="X31" s="473" t="str">
        <f>IF(ISBLANK(T28),"",IF(U28+T28&lt;T30+U30,R29,R31))</f>
        <v/>
      </c>
      <c r="Y31" s="466" t="str">
        <f ca="1">IFERROR(VLOOKUP(X31,$G$5:$J$28,3,FALSE),"")</f>
        <v/>
      </c>
      <c r="Z31" s="967"/>
      <c r="AF31" s="453"/>
      <c r="AG31" s="453"/>
    </row>
    <row r="32" spans="1:51" ht="15.95" customHeight="1" x14ac:dyDescent="0.2">
      <c r="I32" s="437"/>
      <c r="J32" s="437"/>
      <c r="K32" s="450"/>
      <c r="L32" s="437"/>
      <c r="M32" s="437"/>
      <c r="N32" s="451"/>
      <c r="O32" s="450"/>
      <c r="P32" s="450"/>
      <c r="Q32" s="450"/>
      <c r="R32" s="437"/>
      <c r="S32" s="437"/>
      <c r="T32" s="451"/>
      <c r="U32" s="450"/>
      <c r="V32" s="450"/>
      <c r="W32" s="450"/>
      <c r="X32" s="437"/>
      <c r="Y32" s="437"/>
      <c r="Z32" s="451"/>
      <c r="AA32" s="450"/>
      <c r="AF32" s="453"/>
      <c r="AG32" s="453"/>
    </row>
    <row r="33" spans="9:33" ht="15.95" customHeight="1" thickBot="1" x14ac:dyDescent="0.25">
      <c r="I33" s="437"/>
      <c r="J33" s="437"/>
      <c r="K33" s="450"/>
      <c r="L33" s="979" t="s">
        <v>1091</v>
      </c>
      <c r="M33" s="1247"/>
      <c r="N33" s="1247"/>
      <c r="Q33" s="450"/>
      <c r="R33" s="979" t="s">
        <v>1091</v>
      </c>
      <c r="S33" s="1247"/>
      <c r="T33" s="1247"/>
      <c r="U33" s="450"/>
      <c r="V33" s="450"/>
      <c r="W33" s="450"/>
      <c r="X33" s="979" t="s">
        <v>824</v>
      </c>
      <c r="Y33" s="1247"/>
      <c r="Z33" s="1247"/>
      <c r="AF33" s="453"/>
      <c r="AG33" s="453"/>
    </row>
    <row r="34" spans="9:33" ht="15.95" customHeight="1" thickBot="1" x14ac:dyDescent="0.25">
      <c r="I34" s="437"/>
      <c r="J34" s="437"/>
      <c r="K34" s="445" t="s">
        <v>779</v>
      </c>
      <c r="L34" s="779" t="s">
        <v>1083</v>
      </c>
      <c r="M34" s="456" t="s">
        <v>481</v>
      </c>
      <c r="N34" s="464" t="s">
        <v>780</v>
      </c>
      <c r="O34" s="446" t="s">
        <v>781</v>
      </c>
      <c r="P34" s="445"/>
      <c r="Q34" s="445" t="s">
        <v>779</v>
      </c>
      <c r="R34" s="779" t="s">
        <v>1083</v>
      </c>
      <c r="S34" s="456" t="s">
        <v>481</v>
      </c>
      <c r="T34" s="464" t="s">
        <v>780</v>
      </c>
      <c r="U34" s="446" t="s">
        <v>781</v>
      </c>
      <c r="V34" s="445"/>
      <c r="W34" s="445" t="s">
        <v>779</v>
      </c>
      <c r="X34" s="779" t="s">
        <v>1083</v>
      </c>
      <c r="Y34" s="456" t="s">
        <v>481</v>
      </c>
      <c r="Z34" s="464" t="s">
        <v>780</v>
      </c>
      <c r="AA34" s="446" t="s">
        <v>781</v>
      </c>
      <c r="AF34" s="453"/>
      <c r="AG34" s="453"/>
    </row>
    <row r="35" spans="9:33" ht="15.95" customHeight="1" thickBot="1" x14ac:dyDescent="0.25">
      <c r="I35" s="437"/>
      <c r="J35" s="437"/>
      <c r="K35" s="447">
        <f>K30+1</f>
        <v>9</v>
      </c>
      <c r="L35" s="472">
        <v>9</v>
      </c>
      <c r="M35" s="465" t="str">
        <f ca="1">IFERROR(VLOOKUP(L36,$G$5:$J$28,2,FALSE),"")</f>
        <v/>
      </c>
      <c r="N35" s="966"/>
      <c r="O35" s="780"/>
      <c r="Q35" s="447">
        <f>K35</f>
        <v>9</v>
      </c>
      <c r="R35" s="472">
        <v>9</v>
      </c>
      <c r="S35" s="465" t="str">
        <f ca="1">IFERROR(VLOOKUP(R36,$G$5:$J$28,2,FALSE),"")</f>
        <v/>
      </c>
      <c r="T35" s="966"/>
      <c r="U35" s="780"/>
      <c r="W35" s="447">
        <f>Q35</f>
        <v>9</v>
      </c>
      <c r="X35" s="472">
        <v>9</v>
      </c>
      <c r="Y35" s="465" t="str">
        <f ca="1">IFERROR(VLOOKUP(X36,$G$5:$J$28,2,FALSE),"")</f>
        <v/>
      </c>
      <c r="Z35" s="966"/>
      <c r="AA35" s="780"/>
      <c r="AF35" s="453"/>
      <c r="AG35" s="453"/>
    </row>
    <row r="36" spans="9:33" ht="15.95" customHeight="1" thickBot="1" x14ac:dyDescent="0.25">
      <c r="I36" s="437"/>
      <c r="J36" s="437"/>
      <c r="K36" s="447"/>
      <c r="L36" s="473" t="str">
        <f ca="1">VLOOKUP(L35,$A$5:$G$24,7,FALSE)</f>
        <v/>
      </c>
      <c r="M36" s="466" t="str">
        <f ca="1">IFERROR(VLOOKUP(L36,$G$5:$J$28,3,FALSE),"")</f>
        <v/>
      </c>
      <c r="N36" s="967"/>
      <c r="O36" s="781"/>
      <c r="Q36" s="447"/>
      <c r="R36" s="473" t="str">
        <f ca="1">L36</f>
        <v/>
      </c>
      <c r="S36" s="466" t="str">
        <f ca="1">IFERROR(VLOOKUP(R36,$G$5:$J$28,3,FALSE),"")</f>
        <v/>
      </c>
      <c r="T36" s="967"/>
      <c r="W36" s="447"/>
      <c r="X36" s="473" t="str">
        <f>IF(ISBLANK(T35),"",IF(U35+T35&gt;T37+U37,R36,R38))</f>
        <v/>
      </c>
      <c r="Y36" s="466" t="str">
        <f ca="1">IFERROR(VLOOKUP(X36,$G$5:$J$28,3,FALSE),"")</f>
        <v/>
      </c>
      <c r="Z36" s="967"/>
      <c r="AF36" s="453"/>
      <c r="AG36" s="453"/>
    </row>
    <row r="37" spans="9:33" ht="15.95" customHeight="1" thickBot="1" x14ac:dyDescent="0.25">
      <c r="I37" s="437"/>
      <c r="J37" s="437"/>
      <c r="K37" s="447"/>
      <c r="L37" s="516"/>
      <c r="M37" s="516"/>
      <c r="N37" s="457"/>
      <c r="Q37" s="447">
        <f>Q35+1</f>
        <v>10</v>
      </c>
      <c r="R37" s="472">
        <v>12</v>
      </c>
      <c r="S37" s="465" t="str">
        <f ca="1">IFERROR(VLOOKUP(R38,$G$5:$J$28,2,FALSE),"")</f>
        <v/>
      </c>
      <c r="T37" s="966"/>
      <c r="U37" s="780"/>
      <c r="W37" s="447">
        <f>W35+1</f>
        <v>10</v>
      </c>
      <c r="X37" s="472">
        <v>10</v>
      </c>
      <c r="Y37" s="465" t="str">
        <f ca="1">IFERROR(VLOOKUP(X38,$G$5:$J$28,2,FALSE),"")</f>
        <v/>
      </c>
      <c r="Z37" s="966"/>
      <c r="AA37" s="780"/>
      <c r="AF37" s="453"/>
      <c r="AG37" s="453"/>
    </row>
    <row r="38" spans="9:33" ht="15.95" customHeight="1" thickBot="1" x14ac:dyDescent="0.25">
      <c r="I38" s="437"/>
      <c r="J38" s="437"/>
      <c r="K38" s="447"/>
      <c r="L38" s="516"/>
      <c r="M38" s="516"/>
      <c r="N38" s="457"/>
      <c r="Q38" s="447"/>
      <c r="R38" s="473" t="str">
        <f>IF(ISBLANK(N40),"",IF(O40+N40&gt;N42+O42,L41,L43))</f>
        <v/>
      </c>
      <c r="S38" s="466" t="str">
        <f ca="1">IFERROR(VLOOKUP(R38,$G$5:$J$28,3,FALSE),"")</f>
        <v/>
      </c>
      <c r="T38" s="967"/>
      <c r="W38" s="447"/>
      <c r="X38" s="473" t="str">
        <f>IF(ISBLANK(T42),"",IF(U42+T42&gt;T44+U44,R43,R45))</f>
        <v/>
      </c>
      <c r="Y38" s="466" t="str">
        <f ca="1">IFERROR(VLOOKUP(X38,$G$5:$J$28,3,FALSE),"")</f>
        <v/>
      </c>
      <c r="Z38" s="967"/>
      <c r="AF38" s="453"/>
      <c r="AG38" s="453"/>
    </row>
    <row r="39" spans="9:33" ht="15.95" customHeight="1" thickBot="1" x14ac:dyDescent="0.25">
      <c r="I39" s="437"/>
      <c r="J39" s="437"/>
      <c r="K39" s="445" t="s">
        <v>779</v>
      </c>
      <c r="L39" s="779" t="s">
        <v>1083</v>
      </c>
      <c r="M39" s="456" t="s">
        <v>481</v>
      </c>
      <c r="N39" s="464" t="s">
        <v>780</v>
      </c>
      <c r="O39" s="446" t="s">
        <v>781</v>
      </c>
      <c r="P39" s="450"/>
      <c r="V39" s="450"/>
      <c r="W39" s="450"/>
      <c r="X39" s="450"/>
      <c r="Y39" s="450"/>
      <c r="Z39" s="451"/>
      <c r="AA39" s="450"/>
      <c r="AF39" s="453"/>
      <c r="AG39" s="453"/>
    </row>
    <row r="40" spans="9:33" ht="15.95" customHeight="1" thickBot="1" x14ac:dyDescent="0.25">
      <c r="I40" s="437"/>
      <c r="J40" s="437"/>
      <c r="K40" s="447">
        <f>K35+1</f>
        <v>10</v>
      </c>
      <c r="L40" s="472">
        <v>12</v>
      </c>
      <c r="M40" s="465" t="str">
        <f ca="1">IFERROR(VLOOKUP(L41,$G$5:$J$28,2,FALSE),"")</f>
        <v/>
      </c>
      <c r="N40" s="966"/>
      <c r="O40" s="780"/>
      <c r="P40" s="450"/>
      <c r="V40" s="450"/>
      <c r="W40" s="450"/>
      <c r="X40" s="979" t="s">
        <v>825</v>
      </c>
      <c r="Y40" s="1247"/>
      <c r="Z40" s="1247"/>
      <c r="AA40" s="450"/>
      <c r="AF40" s="453"/>
      <c r="AG40" s="453"/>
    </row>
    <row r="41" spans="9:33" ht="15.95" customHeight="1" thickBot="1" x14ac:dyDescent="0.25">
      <c r="I41" s="437"/>
      <c r="J41" s="437"/>
      <c r="K41" s="447"/>
      <c r="L41" s="473" t="str">
        <f ca="1">VLOOKUP(L40,$A$5:$G$24,7,FALSE)</f>
        <v/>
      </c>
      <c r="M41" s="466" t="str">
        <f ca="1">IFERROR(VLOOKUP(L41,$G$5:$J$28,3,FALSE),"")</f>
        <v/>
      </c>
      <c r="N41" s="967"/>
      <c r="P41" s="445"/>
      <c r="Q41" s="445" t="s">
        <v>779</v>
      </c>
      <c r="R41" s="779" t="s">
        <v>1083</v>
      </c>
      <c r="S41" s="456" t="s">
        <v>481</v>
      </c>
      <c r="T41" s="464" t="s">
        <v>780</v>
      </c>
      <c r="U41" s="446" t="s">
        <v>781</v>
      </c>
      <c r="V41" s="445"/>
      <c r="W41" s="445" t="s">
        <v>779</v>
      </c>
      <c r="X41" s="779" t="s">
        <v>1083</v>
      </c>
      <c r="Y41" s="456" t="s">
        <v>481</v>
      </c>
      <c r="Z41" s="464" t="s">
        <v>780</v>
      </c>
      <c r="AA41" s="446" t="s">
        <v>781</v>
      </c>
      <c r="AF41" s="453"/>
      <c r="AG41" s="453"/>
    </row>
    <row r="42" spans="9:33" ht="15.95" customHeight="1" thickBot="1" x14ac:dyDescent="0.25">
      <c r="I42" s="437"/>
      <c r="J42" s="437"/>
      <c r="K42" s="447">
        <f>K40+1</f>
        <v>11</v>
      </c>
      <c r="L42" s="472">
        <v>13</v>
      </c>
      <c r="M42" s="465" t="str">
        <f ca="1">IFERROR(VLOOKUP(L43,$G$5:$J$28,2,FALSE),"")</f>
        <v/>
      </c>
      <c r="N42" s="966"/>
      <c r="O42" s="780"/>
      <c r="Q42" s="447">
        <f>Q37+1</f>
        <v>11</v>
      </c>
      <c r="R42" s="472">
        <v>10</v>
      </c>
      <c r="S42" s="465" t="str">
        <f ca="1">IFERROR(VLOOKUP(R43,$G$5:$J$28,2,FALSE),"")</f>
        <v/>
      </c>
      <c r="T42" s="966"/>
      <c r="U42" s="780"/>
      <c r="W42" s="447">
        <f>W37+1</f>
        <v>11</v>
      </c>
      <c r="X42" s="472">
        <v>11</v>
      </c>
      <c r="Y42" s="465" t="str">
        <f ca="1">IFERROR(VLOOKUP(X43,$G$5:$J$28,2,FALSE),"")</f>
        <v/>
      </c>
      <c r="Z42" s="966"/>
      <c r="AA42" s="780"/>
      <c r="AF42" s="453"/>
      <c r="AG42" s="453"/>
    </row>
    <row r="43" spans="9:33" ht="15.95" customHeight="1" thickBot="1" x14ac:dyDescent="0.25">
      <c r="I43" s="437"/>
      <c r="J43" s="437"/>
      <c r="K43" s="447"/>
      <c r="L43" s="473" t="str">
        <f ca="1">VLOOKUP(L42,$A$5:$G$24,7,FALSE)</f>
        <v/>
      </c>
      <c r="M43" s="466" t="str">
        <f ca="1">IFERROR(VLOOKUP(L43,$G$5:$J$28,3,FALSE),"")</f>
        <v/>
      </c>
      <c r="N43" s="967"/>
      <c r="Q43" s="450"/>
      <c r="R43" s="473" t="str">
        <f ca="1">L49</f>
        <v/>
      </c>
      <c r="S43" s="466" t="str">
        <f ca="1">IFERROR(VLOOKUP(R43,$G$5:$J$28,3,FALSE),"")</f>
        <v/>
      </c>
      <c r="T43" s="967"/>
      <c r="W43" s="447"/>
      <c r="X43" s="473" t="str">
        <f>IF(ISBLANK(T42),"",IF(U42+T42&lt;T44+U44,R43,R45))</f>
        <v/>
      </c>
      <c r="Y43" s="466" t="str">
        <f ca="1">IFERROR(VLOOKUP(X43,$G$5:$J$28,3,FALSE),"")</f>
        <v/>
      </c>
      <c r="Z43" s="967"/>
      <c r="AF43" s="453"/>
      <c r="AG43" s="453"/>
    </row>
    <row r="44" spans="9:33" ht="15.95" customHeight="1" thickBot="1" x14ac:dyDescent="0.25">
      <c r="I44" s="437"/>
      <c r="J44" s="437"/>
      <c r="K44" s="435"/>
      <c r="N44" s="435"/>
      <c r="O44" s="435"/>
      <c r="Q44" s="447">
        <f>Q42+1</f>
        <v>12</v>
      </c>
      <c r="R44" s="472">
        <v>11</v>
      </c>
      <c r="S44" s="465" t="str">
        <f ca="1">IFERROR(VLOOKUP(R45,$G$5:$J$28,2,FALSE),"")</f>
        <v/>
      </c>
      <c r="T44" s="966"/>
      <c r="U44" s="780"/>
      <c r="W44" s="447">
        <f>W42+1</f>
        <v>12</v>
      </c>
      <c r="X44" s="472">
        <v>12</v>
      </c>
      <c r="Y44" s="465" t="str">
        <f ca="1">IFERROR(VLOOKUP(X45,$G$5:$J$28,2,FALSE),"")</f>
        <v/>
      </c>
      <c r="Z44" s="966"/>
      <c r="AA44" s="780"/>
      <c r="AF44" s="453"/>
      <c r="AG44" s="453"/>
    </row>
    <row r="45" spans="9:33" ht="15.95" customHeight="1" thickBot="1" x14ac:dyDescent="0.25">
      <c r="I45" s="437"/>
      <c r="J45" s="437"/>
      <c r="Q45" s="447"/>
      <c r="R45" s="473" t="str">
        <f>IF(ISBLANK(N53),"",IF(O53+N53&gt;N55+O55,L54,L56))</f>
        <v/>
      </c>
      <c r="S45" s="466" t="str">
        <f ca="1">IFERROR(VLOOKUP(R45,$G$5:$J$28,3,FALSE),"")</f>
        <v/>
      </c>
      <c r="T45" s="967"/>
      <c r="W45" s="447"/>
      <c r="X45" s="473" t="str">
        <f>IF(ISBLANK(T35),"",IF(U35+T35&lt;T37+U37,R36,R38))</f>
        <v/>
      </c>
      <c r="Y45" s="466" t="str">
        <f ca="1">IFERROR(VLOOKUP(X45,$G$5:$J$28,3,FALSE),"")</f>
        <v/>
      </c>
      <c r="Z45" s="967"/>
      <c r="AF45" s="453"/>
      <c r="AG45" s="453"/>
    </row>
    <row r="46" spans="9:33" ht="15.95" customHeight="1" thickBot="1" x14ac:dyDescent="0.25">
      <c r="I46" s="437"/>
      <c r="J46" s="437"/>
      <c r="P46" s="450"/>
      <c r="V46" s="450"/>
      <c r="W46" s="450"/>
      <c r="X46" s="450"/>
      <c r="Y46" s="450"/>
      <c r="Z46" s="451"/>
      <c r="AA46" s="450"/>
      <c r="AF46" s="453"/>
      <c r="AG46" s="453"/>
    </row>
    <row r="47" spans="9:33" ht="15.95" customHeight="1" thickBot="1" x14ac:dyDescent="0.25">
      <c r="I47" s="437"/>
      <c r="J47" s="437"/>
      <c r="K47" s="445" t="s">
        <v>779</v>
      </c>
      <c r="L47" s="779" t="s">
        <v>1083</v>
      </c>
      <c r="M47" s="456" t="s">
        <v>481</v>
      </c>
      <c r="N47" s="464" t="s">
        <v>780</v>
      </c>
      <c r="O47" s="446" t="s">
        <v>781</v>
      </c>
      <c r="P47" s="450"/>
      <c r="V47" s="450"/>
      <c r="W47" s="450"/>
      <c r="X47" s="979" t="s">
        <v>827</v>
      </c>
      <c r="Y47" s="1247"/>
      <c r="Z47" s="1247"/>
      <c r="AA47" s="450"/>
      <c r="AF47" s="453"/>
      <c r="AG47" s="453"/>
    </row>
    <row r="48" spans="9:33" ht="15.95" customHeight="1" thickBot="1" x14ac:dyDescent="0.25">
      <c r="I48" s="437"/>
      <c r="J48" s="437"/>
      <c r="K48" s="447">
        <f>K42+1</f>
        <v>12</v>
      </c>
      <c r="L48" s="472">
        <v>10</v>
      </c>
      <c r="M48" s="465" t="str">
        <f ca="1">IFERROR(VLOOKUP(L49,$G$5:$J$28,2,FALSE),"")</f>
        <v/>
      </c>
      <c r="N48" s="966"/>
      <c r="O48" s="780"/>
      <c r="P48" s="445"/>
      <c r="Q48" s="445" t="s">
        <v>779</v>
      </c>
      <c r="R48" s="779" t="s">
        <v>1083</v>
      </c>
      <c r="S48" s="456" t="s">
        <v>481</v>
      </c>
      <c r="T48" s="464" t="s">
        <v>780</v>
      </c>
      <c r="V48" s="445"/>
      <c r="W48" s="445" t="s">
        <v>779</v>
      </c>
      <c r="X48" s="779" t="s">
        <v>1083</v>
      </c>
      <c r="Y48" s="456" t="s">
        <v>481</v>
      </c>
      <c r="Z48" s="464" t="s">
        <v>780</v>
      </c>
      <c r="AA48" s="446" t="s">
        <v>781</v>
      </c>
      <c r="AF48" s="453"/>
      <c r="AG48" s="453"/>
    </row>
    <row r="49" spans="9:33" ht="15.95" customHeight="1" thickBot="1" x14ac:dyDescent="0.25">
      <c r="I49" s="437"/>
      <c r="J49" s="437"/>
      <c r="K49" s="447"/>
      <c r="L49" s="473" t="str">
        <f ca="1">VLOOKUP(L48,$A$5:$G$24,7,FALSE)</f>
        <v/>
      </c>
      <c r="M49" s="466" t="str">
        <f ca="1">IFERROR(VLOOKUP(L49,$G$5:$J$28,3,FALSE),"")</f>
        <v/>
      </c>
      <c r="N49" s="967"/>
      <c r="O49" s="781"/>
      <c r="Q49" s="447">
        <f>Q44+1</f>
        <v>13</v>
      </c>
      <c r="R49" s="472">
        <v>13</v>
      </c>
      <c r="S49" s="465" t="str">
        <f ca="1">IFERROR(VLOOKUP(R50,$G$5:$J$28,2,FALSE),"")</f>
        <v/>
      </c>
      <c r="T49" s="966"/>
      <c r="W49" s="447">
        <f>W44+1</f>
        <v>13</v>
      </c>
      <c r="X49" s="472">
        <v>13</v>
      </c>
      <c r="Y49" s="465" t="str">
        <f ca="1">IFERROR(VLOOKUP(X50,$G$5:$J$28,2,FALSE),"")</f>
        <v/>
      </c>
      <c r="Z49" s="966"/>
      <c r="AA49" s="780"/>
      <c r="AF49" s="453"/>
      <c r="AG49" s="453"/>
    </row>
    <row r="50" spans="9:33" ht="15.95" customHeight="1" thickBot="1" x14ac:dyDescent="0.25">
      <c r="I50" s="437"/>
      <c r="J50" s="437"/>
      <c r="Q50" s="447"/>
      <c r="R50" s="473" t="str">
        <f>IF(ISBLANK(N40),"",IF(O40+N40&lt;N42+O42,L41,L43))</f>
        <v/>
      </c>
      <c r="S50" s="466" t="str">
        <f ca="1">IFERROR(VLOOKUP(R50,$G$5:$J$28,3,FALSE),"")</f>
        <v/>
      </c>
      <c r="T50" s="967"/>
      <c r="W50" s="447"/>
      <c r="X50" s="473" t="str">
        <f>R50</f>
        <v/>
      </c>
      <c r="Y50" s="466" t="str">
        <f ca="1">IFERROR(VLOOKUP(X50,$G$5:$J$28,3,FALSE),"")</f>
        <v/>
      </c>
      <c r="Z50" s="967"/>
    </row>
    <row r="51" spans="9:33" ht="15.95" customHeight="1" thickBot="1" x14ac:dyDescent="0.25">
      <c r="I51" s="437"/>
      <c r="J51" s="437"/>
      <c r="Q51" s="447">
        <f>Q49+1</f>
        <v>14</v>
      </c>
      <c r="R51" s="472">
        <v>14</v>
      </c>
      <c r="S51" s="465" t="str">
        <f ca="1">IFERROR(VLOOKUP(R52,$G$5:$J$28,2,FALSE),"")</f>
        <v/>
      </c>
      <c r="T51" s="966"/>
      <c r="W51" s="447">
        <f>W49+1</f>
        <v>14</v>
      </c>
      <c r="X51" s="472">
        <v>14</v>
      </c>
      <c r="Y51" s="465" t="str">
        <f ca="1">IFERROR(VLOOKUP(X52,$G$5:$J$28,2,FALSE),"")</f>
        <v/>
      </c>
      <c r="Z51" s="966"/>
      <c r="AA51" s="780"/>
    </row>
    <row r="52" spans="9:33" ht="15.95" customHeight="1" thickBot="1" x14ac:dyDescent="0.25">
      <c r="I52" s="437"/>
      <c r="J52" s="437"/>
      <c r="K52" s="445" t="s">
        <v>779</v>
      </c>
      <c r="L52" s="779" t="s">
        <v>1083</v>
      </c>
      <c r="M52" s="456" t="s">
        <v>481</v>
      </c>
      <c r="N52" s="464" t="s">
        <v>780</v>
      </c>
      <c r="O52" s="446" t="s">
        <v>781</v>
      </c>
      <c r="R52" s="473" t="str">
        <f>IF(ISBLANK(N53),"",IF(O53+N53&lt;N55+O55,L54,L56))</f>
        <v/>
      </c>
      <c r="S52" s="466" t="str">
        <f ca="1">IFERROR(VLOOKUP(R52,$G$5:$J$28,3,FALSE),"")</f>
        <v/>
      </c>
      <c r="T52" s="967"/>
      <c r="W52" s="447"/>
      <c r="X52" s="473" t="str">
        <f>R52</f>
        <v/>
      </c>
      <c r="Y52" s="466" t="str">
        <f ca="1">IFERROR(VLOOKUP(X52,$G$5:$J$28,3,FALSE),"")</f>
        <v/>
      </c>
      <c r="Z52" s="967"/>
    </row>
    <row r="53" spans="9:33" ht="15.95" customHeight="1" thickBot="1" x14ac:dyDescent="0.25">
      <c r="I53" s="437"/>
      <c r="J53" s="437"/>
      <c r="K53" s="447">
        <f>K48+1</f>
        <v>13</v>
      </c>
      <c r="L53" s="472">
        <v>11</v>
      </c>
      <c r="M53" s="465" t="str">
        <f ca="1">IFERROR(VLOOKUP(L54,$G$5:$J$28,2,FALSE),"")</f>
        <v/>
      </c>
      <c r="N53" s="966"/>
      <c r="O53" s="780"/>
      <c r="Q53" s="447"/>
      <c r="R53" s="437"/>
      <c r="S53" s="437"/>
      <c r="T53" s="451"/>
      <c r="W53" s="447"/>
      <c r="X53" s="441"/>
      <c r="Y53" s="441"/>
      <c r="AC53" s="816"/>
      <c r="AD53" s="816"/>
      <c r="AE53" s="816"/>
      <c r="AF53" s="816"/>
    </row>
    <row r="54" spans="9:33" ht="15.95" customHeight="1" thickBot="1" x14ac:dyDescent="0.25">
      <c r="I54" s="437"/>
      <c r="J54" s="437"/>
      <c r="K54" s="447"/>
      <c r="L54" s="473" t="str">
        <f ca="1">VLOOKUP(L53,$A$5:$G$24,7,FALSE)</f>
        <v/>
      </c>
      <c r="M54" s="466" t="str">
        <f ca="1">IFERROR(VLOOKUP(L54,$G$5:$J$28,3,FALSE),"")</f>
        <v/>
      </c>
      <c r="N54" s="967"/>
      <c r="P54" s="450"/>
      <c r="T54" s="451"/>
      <c r="U54" s="450"/>
      <c r="AC54" s="816"/>
      <c r="AD54" s="816"/>
      <c r="AE54" s="816"/>
      <c r="AF54" s="816"/>
    </row>
    <row r="55" spans="9:33" ht="15.95" customHeight="1" thickBot="1" x14ac:dyDescent="0.25">
      <c r="I55" s="437"/>
      <c r="J55" s="437"/>
      <c r="K55" s="447">
        <f>K53+1</f>
        <v>14</v>
      </c>
      <c r="L55" s="472">
        <v>14</v>
      </c>
      <c r="M55" s="465" t="str">
        <f ca="1">IFERROR(VLOOKUP(L56,$G$5:$J$28,2,FALSE),"")</f>
        <v/>
      </c>
      <c r="N55" s="966"/>
      <c r="O55" s="780"/>
      <c r="P55" s="445"/>
      <c r="T55" s="451"/>
      <c r="U55" s="450"/>
      <c r="V55" s="450"/>
      <c r="AC55" s="816"/>
      <c r="AD55" s="816"/>
      <c r="AE55" s="816"/>
      <c r="AF55" s="816"/>
    </row>
    <row r="56" spans="9:33" ht="15.95" customHeight="1" thickBot="1" x14ac:dyDescent="0.25">
      <c r="I56" s="437"/>
      <c r="J56" s="437"/>
      <c r="K56" s="447"/>
      <c r="L56" s="473" t="str">
        <f ca="1">VLOOKUP(L55,$A$5:$G$24,7,FALSE)</f>
        <v/>
      </c>
      <c r="M56" s="466" t="str">
        <f ca="1">IFERROR(VLOOKUP(L56,$G$5:$J$28,3,FALSE),"")</f>
        <v/>
      </c>
      <c r="N56" s="967"/>
      <c r="T56" s="451"/>
      <c r="U56" s="450"/>
      <c r="V56" s="450"/>
      <c r="AC56" s="816"/>
      <c r="AD56" s="816"/>
      <c r="AE56" s="816"/>
      <c r="AF56" s="816"/>
    </row>
    <row r="57" spans="9:33" ht="15.95" customHeight="1" x14ac:dyDescent="0.2">
      <c r="I57" s="437"/>
      <c r="J57" s="437"/>
      <c r="K57" s="445"/>
      <c r="L57" s="914"/>
      <c r="O57" s="445"/>
      <c r="P57" s="445"/>
      <c r="Q57" s="445"/>
      <c r="R57" s="782"/>
      <c r="S57" s="435"/>
      <c r="U57" s="445"/>
      <c r="V57" s="445"/>
      <c r="W57" s="445"/>
      <c r="X57" s="782"/>
      <c r="AA57" s="445"/>
      <c r="AC57" s="816"/>
      <c r="AD57" s="816"/>
      <c r="AE57" s="816"/>
      <c r="AF57" s="816"/>
    </row>
    <row r="58" spans="9:33" ht="15.95" customHeight="1" x14ac:dyDescent="0.2">
      <c r="I58" s="437"/>
      <c r="J58" s="437"/>
      <c r="K58" s="445"/>
      <c r="L58" s="914"/>
      <c r="O58" s="445"/>
      <c r="P58" s="445"/>
      <c r="Q58" s="445"/>
      <c r="R58" s="782"/>
      <c r="S58" s="435"/>
      <c r="U58" s="445"/>
      <c r="V58" s="445"/>
      <c r="W58" s="445"/>
      <c r="X58" s="782"/>
      <c r="AA58" s="445"/>
      <c r="AC58" s="816"/>
      <c r="AD58" s="816"/>
      <c r="AE58" s="816"/>
      <c r="AF58" s="816"/>
    </row>
    <row r="59" spans="9:33" ht="15.95" customHeight="1" x14ac:dyDescent="0.2">
      <c r="I59" s="437"/>
      <c r="J59" s="437"/>
      <c r="K59" s="445"/>
      <c r="L59" s="914"/>
      <c r="O59" s="445"/>
      <c r="P59" s="445"/>
      <c r="Q59" s="445"/>
      <c r="R59" s="782"/>
      <c r="S59" s="435"/>
      <c r="U59" s="445"/>
      <c r="V59" s="445"/>
      <c r="W59" s="445"/>
      <c r="X59" s="782"/>
      <c r="AA59" s="445"/>
      <c r="AC59" s="816"/>
      <c r="AD59" s="816"/>
      <c r="AE59" s="816"/>
      <c r="AF59" s="816"/>
    </row>
    <row r="60" spans="9:33" ht="15.95" customHeight="1" x14ac:dyDescent="0.2">
      <c r="I60" s="437"/>
      <c r="J60" s="437"/>
      <c r="K60" s="445"/>
      <c r="L60" s="914"/>
      <c r="O60" s="445"/>
      <c r="P60" s="445"/>
      <c r="Q60" s="445"/>
      <c r="R60" s="782"/>
      <c r="S60" s="435"/>
      <c r="U60" s="445"/>
      <c r="V60" s="445"/>
      <c r="W60" s="445"/>
      <c r="X60" s="782"/>
      <c r="AA60" s="445"/>
      <c r="AC60" s="816"/>
      <c r="AD60" s="816"/>
      <c r="AE60" s="816"/>
      <c r="AF60" s="816"/>
    </row>
    <row r="61" spans="9:33" ht="15.95" customHeight="1" x14ac:dyDescent="0.2">
      <c r="I61" s="437"/>
      <c r="J61" s="437"/>
      <c r="K61" s="445"/>
      <c r="L61" s="914"/>
      <c r="O61" s="445"/>
      <c r="P61" s="445"/>
      <c r="Q61" s="445"/>
      <c r="R61" s="782"/>
      <c r="S61" s="435"/>
      <c r="U61" s="445"/>
      <c r="V61" s="445"/>
      <c r="W61" s="445"/>
      <c r="X61" s="782"/>
      <c r="AA61" s="445"/>
      <c r="AC61" s="816"/>
      <c r="AD61" s="816"/>
      <c r="AE61" s="816"/>
      <c r="AF61" s="816"/>
    </row>
    <row r="62" spans="9:33" ht="15.95" customHeight="1" x14ac:dyDescent="0.2">
      <c r="I62" s="437"/>
      <c r="J62" s="437"/>
      <c r="K62" s="445"/>
      <c r="L62" s="914"/>
      <c r="O62" s="445"/>
      <c r="P62" s="445"/>
      <c r="Q62" s="445"/>
      <c r="R62" s="782"/>
      <c r="S62" s="435"/>
      <c r="U62" s="445"/>
      <c r="V62" s="445"/>
      <c r="W62" s="445"/>
      <c r="X62" s="782"/>
      <c r="AA62" s="445"/>
    </row>
    <row r="63" spans="9:33" ht="15.95" customHeight="1" x14ac:dyDescent="0.2">
      <c r="I63" s="437"/>
      <c r="J63" s="437"/>
      <c r="K63" s="445"/>
      <c r="L63" s="914"/>
      <c r="O63" s="445"/>
      <c r="P63" s="445"/>
      <c r="Q63" s="445"/>
      <c r="R63" s="782"/>
      <c r="S63" s="435"/>
      <c r="U63" s="445"/>
      <c r="V63" s="445"/>
      <c r="W63" s="445"/>
      <c r="X63" s="782"/>
      <c r="AA63" s="445"/>
    </row>
    <row r="64" spans="9:33" ht="15.95" customHeight="1" x14ac:dyDescent="0.2">
      <c r="I64" s="437"/>
      <c r="J64" s="437"/>
      <c r="K64" s="450"/>
      <c r="L64" s="516"/>
      <c r="M64" s="516"/>
      <c r="N64" s="457"/>
      <c r="Q64" s="450"/>
      <c r="R64" s="516"/>
      <c r="S64" s="516"/>
      <c r="T64" s="457"/>
      <c r="V64" s="450"/>
      <c r="W64" s="450"/>
      <c r="X64" s="516"/>
      <c r="Y64" s="516"/>
      <c r="Z64" s="457"/>
    </row>
    <row r="65" spans="9:36" ht="15.95" customHeight="1" x14ac:dyDescent="0.2">
      <c r="I65" s="437"/>
      <c r="J65" s="437"/>
      <c r="K65" s="450"/>
      <c r="L65" s="516"/>
      <c r="M65" s="516"/>
      <c r="N65" s="457"/>
      <c r="Q65" s="450"/>
      <c r="R65" s="516"/>
      <c r="S65" s="516"/>
      <c r="T65" s="457"/>
      <c r="V65" s="450"/>
      <c r="W65" s="450"/>
      <c r="X65" s="516"/>
      <c r="Y65" s="516"/>
      <c r="Z65" s="457"/>
      <c r="AH65" s="441"/>
      <c r="AI65" s="441"/>
      <c r="AJ65" s="447"/>
    </row>
    <row r="66" spans="9:36" ht="15.95" customHeight="1" x14ac:dyDescent="0.2">
      <c r="I66" s="437"/>
      <c r="J66" s="437"/>
      <c r="K66" s="450"/>
      <c r="L66" s="516"/>
      <c r="M66" s="516"/>
      <c r="N66" s="457"/>
      <c r="Q66" s="450"/>
      <c r="R66" s="516"/>
      <c r="S66" s="516"/>
      <c r="T66" s="457"/>
      <c r="V66" s="450"/>
      <c r="W66" s="450"/>
      <c r="X66" s="516"/>
      <c r="Y66" s="516"/>
      <c r="Z66" s="457"/>
      <c r="AH66" s="441"/>
      <c r="AI66" s="441"/>
      <c r="AJ66" s="447"/>
    </row>
    <row r="67" spans="9:36" ht="15.95" customHeight="1" x14ac:dyDescent="0.2">
      <c r="I67" s="437"/>
      <c r="J67" s="437"/>
      <c r="K67" s="450"/>
      <c r="L67" s="450"/>
      <c r="M67" s="450"/>
      <c r="P67" s="450"/>
      <c r="Q67" s="450"/>
      <c r="R67" s="450"/>
      <c r="S67" s="450"/>
      <c r="V67" s="450"/>
      <c r="W67" s="450"/>
      <c r="X67" s="450"/>
      <c r="Y67" s="450"/>
      <c r="Z67" s="451"/>
      <c r="AA67" s="450"/>
      <c r="AH67" s="441"/>
      <c r="AI67" s="441"/>
      <c r="AJ67" s="441"/>
    </row>
    <row r="68" spans="9:36" ht="15.95" customHeight="1" x14ac:dyDescent="0.2">
      <c r="I68" s="437"/>
      <c r="J68" s="437"/>
      <c r="K68" s="450"/>
      <c r="L68" s="450"/>
      <c r="M68" s="450"/>
      <c r="N68" s="521"/>
      <c r="O68" s="521"/>
      <c r="P68" s="450"/>
      <c r="Q68" s="450"/>
      <c r="R68" s="437"/>
      <c r="S68" s="437"/>
      <c r="T68" s="451"/>
      <c r="U68" s="450"/>
      <c r="W68" s="450"/>
      <c r="X68" s="516"/>
      <c r="Y68" s="457"/>
      <c r="Z68" s="457"/>
      <c r="AA68" s="450"/>
      <c r="AH68" s="441"/>
      <c r="AI68" s="441"/>
      <c r="AJ68" s="441"/>
    </row>
    <row r="69" spans="9:36" ht="15.95" customHeight="1" x14ac:dyDescent="0.2">
      <c r="I69" s="437"/>
      <c r="J69" s="437"/>
      <c r="K69" s="450"/>
      <c r="L69" s="450"/>
      <c r="M69" s="450"/>
      <c r="N69" s="521"/>
      <c r="O69" s="521"/>
      <c r="P69" s="450"/>
      <c r="Q69" s="450"/>
      <c r="R69" s="437"/>
      <c r="S69" s="437"/>
      <c r="T69" s="451"/>
      <c r="U69" s="450"/>
      <c r="W69" s="450"/>
      <c r="X69" s="516"/>
      <c r="Y69" s="457"/>
      <c r="Z69" s="457"/>
      <c r="AA69" s="450"/>
      <c r="AH69" s="441"/>
      <c r="AI69" s="441"/>
      <c r="AJ69" s="450"/>
    </row>
    <row r="70" spans="9:36" ht="15.95" customHeight="1" x14ac:dyDescent="0.2">
      <c r="I70" s="437"/>
      <c r="J70" s="437"/>
      <c r="K70" s="450"/>
      <c r="L70" s="450"/>
      <c r="M70" s="450"/>
      <c r="N70" s="521"/>
      <c r="O70" s="521"/>
      <c r="P70" s="450"/>
      <c r="Q70" s="450"/>
      <c r="R70" s="437"/>
      <c r="S70" s="437"/>
      <c r="T70" s="451"/>
      <c r="U70" s="450"/>
      <c r="W70" s="450"/>
      <c r="X70" s="516"/>
      <c r="Y70" s="457"/>
      <c r="Z70" s="457"/>
      <c r="AA70" s="450"/>
      <c r="AH70" s="441"/>
      <c r="AI70" s="441"/>
      <c r="AJ70" s="450"/>
    </row>
    <row r="71" spans="9:36" ht="15.95" customHeight="1" x14ac:dyDescent="0.2">
      <c r="I71" s="437"/>
      <c r="J71" s="437"/>
      <c r="K71" s="450"/>
      <c r="L71" s="450"/>
      <c r="M71" s="450"/>
      <c r="N71" s="521"/>
      <c r="O71" s="521"/>
      <c r="P71" s="450"/>
      <c r="Q71" s="450"/>
      <c r="R71" s="437"/>
      <c r="S71" s="437"/>
      <c r="T71" s="451"/>
      <c r="U71" s="450"/>
      <c r="W71" s="450"/>
      <c r="X71" s="516"/>
      <c r="Y71" s="457"/>
      <c r="Z71" s="457"/>
      <c r="AA71" s="450"/>
      <c r="AH71" s="441"/>
      <c r="AI71" s="441"/>
      <c r="AJ71" s="445"/>
    </row>
    <row r="72" spans="9:36" ht="15.95" customHeight="1" x14ac:dyDescent="0.2">
      <c r="I72" s="437"/>
      <c r="J72" s="437"/>
      <c r="K72" s="450"/>
      <c r="L72" s="450"/>
      <c r="M72" s="450"/>
      <c r="N72" s="521"/>
      <c r="O72" s="521"/>
      <c r="P72" s="450"/>
      <c r="Q72" s="450"/>
      <c r="R72" s="437"/>
      <c r="S72" s="437"/>
      <c r="T72" s="451"/>
      <c r="U72" s="450"/>
      <c r="W72" s="450"/>
      <c r="X72" s="516"/>
      <c r="Y72" s="457"/>
      <c r="Z72" s="457"/>
      <c r="AA72" s="450"/>
      <c r="AH72" s="441"/>
      <c r="AI72" s="441"/>
      <c r="AJ72" s="447"/>
    </row>
    <row r="73" spans="9:36" ht="15.95" customHeight="1" x14ac:dyDescent="0.2">
      <c r="I73" s="437"/>
      <c r="J73" s="437"/>
      <c r="K73" s="450"/>
      <c r="L73" s="450"/>
      <c r="M73" s="450"/>
      <c r="N73" s="521"/>
      <c r="O73" s="521"/>
      <c r="P73" s="450"/>
      <c r="Q73" s="450"/>
      <c r="R73" s="437"/>
      <c r="S73" s="437"/>
      <c r="T73" s="451"/>
      <c r="U73" s="450"/>
      <c r="W73" s="450"/>
      <c r="X73" s="516"/>
      <c r="Y73" s="457"/>
      <c r="Z73" s="457"/>
      <c r="AA73" s="450"/>
      <c r="AH73" s="441"/>
      <c r="AI73" s="441"/>
      <c r="AJ73" s="447"/>
    </row>
    <row r="74" spans="9:36" ht="15.95" customHeight="1" x14ac:dyDescent="0.2">
      <c r="I74" s="437"/>
      <c r="J74" s="437"/>
      <c r="K74" s="450"/>
      <c r="L74" s="450"/>
      <c r="M74" s="450"/>
      <c r="N74" s="521"/>
      <c r="O74" s="521"/>
      <c r="P74" s="450"/>
      <c r="Q74" s="450"/>
      <c r="R74" s="437"/>
      <c r="S74" s="437"/>
      <c r="T74" s="451"/>
      <c r="U74" s="450"/>
      <c r="W74" s="450"/>
      <c r="X74" s="516"/>
      <c r="Y74" s="457"/>
      <c r="Z74" s="457"/>
      <c r="AA74" s="450"/>
      <c r="AH74" s="441"/>
      <c r="AI74" s="441"/>
      <c r="AJ74" s="450"/>
    </row>
    <row r="75" spans="9:36" ht="15.95" customHeight="1" x14ac:dyDescent="0.2">
      <c r="I75" s="437"/>
      <c r="J75" s="437"/>
      <c r="K75" s="450"/>
      <c r="L75" s="450"/>
      <c r="M75" s="450"/>
      <c r="N75" s="521"/>
      <c r="O75" s="521"/>
      <c r="P75" s="450"/>
      <c r="Q75" s="450"/>
      <c r="R75" s="437"/>
      <c r="S75" s="437"/>
      <c r="T75" s="451"/>
      <c r="U75" s="450"/>
      <c r="W75" s="450"/>
      <c r="X75" s="516"/>
      <c r="Y75" s="457"/>
      <c r="Z75" s="457"/>
      <c r="AA75" s="450"/>
      <c r="AH75" s="441"/>
      <c r="AI75" s="441"/>
      <c r="AJ75" s="450"/>
    </row>
    <row r="76" spans="9:36" ht="15.95" customHeight="1" x14ac:dyDescent="0.2">
      <c r="I76" s="437"/>
      <c r="J76" s="437"/>
      <c r="K76" s="450"/>
      <c r="L76" s="450"/>
      <c r="M76" s="450"/>
      <c r="N76" s="521"/>
      <c r="O76" s="521"/>
      <c r="P76" s="450"/>
      <c r="Q76" s="450"/>
      <c r="R76" s="437"/>
      <c r="S76" s="437"/>
      <c r="T76" s="451"/>
      <c r="U76" s="450"/>
      <c r="W76" s="450"/>
      <c r="X76" s="516"/>
      <c r="Y76" s="457"/>
      <c r="Z76" s="457"/>
      <c r="AA76" s="450"/>
      <c r="AH76" s="441"/>
      <c r="AI76" s="441"/>
      <c r="AJ76" s="450"/>
    </row>
    <row r="77" spans="9:36" ht="15.95" customHeight="1" x14ac:dyDescent="0.2">
      <c r="I77" s="437"/>
      <c r="J77" s="437"/>
      <c r="K77" s="447"/>
      <c r="L77" s="450"/>
      <c r="M77" s="450"/>
      <c r="N77" s="521"/>
      <c r="O77" s="521"/>
      <c r="P77" s="450"/>
      <c r="Q77" s="450"/>
      <c r="R77" s="450"/>
      <c r="S77" s="450"/>
      <c r="T77" s="451"/>
      <c r="U77" s="450"/>
      <c r="W77" s="450"/>
      <c r="X77" s="450"/>
      <c r="Y77" s="450"/>
      <c r="Z77" s="451"/>
      <c r="AA77" s="450"/>
      <c r="AH77" s="441"/>
      <c r="AI77" s="441"/>
      <c r="AJ77" s="450"/>
    </row>
    <row r="78" spans="9:36" ht="15.95" customHeight="1" x14ac:dyDescent="0.2">
      <c r="I78" s="437"/>
      <c r="J78" s="437"/>
      <c r="K78" s="447"/>
      <c r="L78" s="450"/>
      <c r="M78" s="450"/>
      <c r="N78" s="521"/>
      <c r="O78" s="521"/>
      <c r="P78" s="450"/>
      <c r="Q78" s="450"/>
      <c r="R78" s="450"/>
      <c r="S78" s="450"/>
      <c r="T78" s="451"/>
      <c r="U78" s="450"/>
      <c r="W78" s="450"/>
      <c r="X78" s="450"/>
      <c r="Y78" s="450"/>
      <c r="Z78" s="451"/>
      <c r="AA78" s="450"/>
      <c r="AH78" s="441"/>
      <c r="AI78" s="441"/>
      <c r="AJ78" s="445"/>
    </row>
    <row r="79" spans="9:36" ht="15.95" customHeight="1" x14ac:dyDescent="0.2">
      <c r="I79" s="437"/>
      <c r="J79" s="437"/>
      <c r="K79" s="447"/>
      <c r="L79" s="450"/>
      <c r="M79" s="450"/>
      <c r="N79" s="521"/>
      <c r="O79" s="521"/>
      <c r="P79" s="450"/>
      <c r="Q79" s="450"/>
      <c r="R79" s="450"/>
      <c r="S79" s="450"/>
      <c r="T79" s="451"/>
      <c r="U79" s="450"/>
      <c r="W79" s="450"/>
      <c r="X79" s="450"/>
      <c r="Y79" s="450"/>
      <c r="Z79" s="451"/>
      <c r="AA79" s="450"/>
      <c r="AH79" s="441"/>
      <c r="AI79" s="441"/>
      <c r="AJ79" s="447"/>
    </row>
    <row r="80" spans="9:36" ht="15.95" customHeight="1" x14ac:dyDescent="0.2">
      <c r="I80" s="437"/>
      <c r="J80" s="437"/>
      <c r="K80" s="447"/>
      <c r="L80" s="450"/>
      <c r="M80" s="450"/>
      <c r="N80" s="521"/>
      <c r="O80" s="521"/>
      <c r="P80" s="450"/>
      <c r="Q80" s="450"/>
      <c r="R80" s="450"/>
      <c r="S80" s="450"/>
      <c r="T80" s="451"/>
      <c r="U80" s="450"/>
      <c r="W80" s="450"/>
      <c r="X80" s="450"/>
      <c r="Y80" s="450"/>
      <c r="Z80" s="451"/>
      <c r="AA80" s="450"/>
      <c r="AH80" s="441"/>
      <c r="AI80" s="441"/>
      <c r="AJ80" s="447"/>
    </row>
    <row r="81" spans="9:36" ht="15.95" customHeight="1" x14ac:dyDescent="0.2">
      <c r="I81" s="437"/>
      <c r="J81" s="437"/>
      <c r="K81" s="447"/>
      <c r="L81" s="450"/>
      <c r="M81" s="450"/>
      <c r="N81" s="521"/>
      <c r="O81" s="521"/>
      <c r="P81" s="450"/>
      <c r="Q81" s="450"/>
      <c r="R81" s="450"/>
      <c r="S81" s="450"/>
      <c r="T81" s="451"/>
      <c r="U81" s="450"/>
      <c r="W81" s="450"/>
      <c r="X81" s="450"/>
      <c r="Y81" s="450"/>
      <c r="Z81" s="451"/>
      <c r="AA81" s="450"/>
      <c r="AH81" s="441"/>
      <c r="AI81" s="441"/>
      <c r="AJ81" s="447"/>
    </row>
    <row r="82" spans="9:36" ht="15.95" customHeight="1" x14ac:dyDescent="0.2">
      <c r="I82" s="437"/>
      <c r="J82" s="437"/>
      <c r="K82" s="450"/>
      <c r="L82" s="450"/>
      <c r="M82" s="450"/>
      <c r="N82" s="521"/>
      <c r="O82" s="521"/>
      <c r="P82" s="450"/>
      <c r="Q82" s="450"/>
      <c r="R82" s="450"/>
      <c r="S82" s="450"/>
      <c r="T82" s="451"/>
      <c r="U82" s="450"/>
      <c r="W82" s="450"/>
      <c r="X82" s="450"/>
      <c r="Y82" s="450"/>
      <c r="Z82" s="451"/>
      <c r="AA82" s="450"/>
      <c r="AH82" s="441"/>
      <c r="AI82" s="441"/>
      <c r="AJ82" s="450"/>
    </row>
    <row r="83" spans="9:36" ht="15.95" customHeight="1" x14ac:dyDescent="0.2">
      <c r="I83" s="437"/>
      <c r="J83" s="437"/>
      <c r="K83" s="445"/>
      <c r="L83" s="450"/>
      <c r="M83" s="450"/>
      <c r="N83" s="521"/>
      <c r="O83" s="521"/>
      <c r="P83" s="450"/>
      <c r="Q83" s="450"/>
      <c r="R83" s="450"/>
      <c r="S83" s="450"/>
      <c r="T83" s="451"/>
      <c r="U83" s="450"/>
      <c r="W83" s="450"/>
      <c r="X83" s="450"/>
      <c r="Y83" s="450"/>
      <c r="Z83" s="451"/>
      <c r="AA83" s="450"/>
      <c r="AH83" s="441"/>
      <c r="AI83" s="441"/>
      <c r="AJ83" s="445"/>
    </row>
    <row r="84" spans="9:36" ht="15.95" customHeight="1" x14ac:dyDescent="0.2">
      <c r="I84" s="437"/>
      <c r="J84" s="437"/>
      <c r="K84" s="447"/>
      <c r="L84" s="450"/>
      <c r="M84" s="450"/>
      <c r="N84" s="521"/>
      <c r="O84" s="521"/>
      <c r="P84" s="450"/>
      <c r="Q84" s="450"/>
      <c r="R84" s="450"/>
      <c r="S84" s="450"/>
      <c r="T84" s="451"/>
      <c r="U84" s="450"/>
      <c r="W84" s="450"/>
      <c r="X84" s="450"/>
      <c r="Y84" s="450"/>
      <c r="Z84" s="451"/>
      <c r="AA84" s="450"/>
      <c r="AH84" s="441"/>
      <c r="AI84" s="441"/>
      <c r="AJ84" s="447"/>
    </row>
    <row r="85" spans="9:36" ht="15.95" customHeight="1" x14ac:dyDescent="0.2">
      <c r="I85" s="437"/>
      <c r="J85" s="437"/>
      <c r="K85" s="447"/>
      <c r="L85" s="450"/>
      <c r="M85" s="450"/>
      <c r="N85" s="521"/>
      <c r="O85" s="521"/>
      <c r="P85" s="450"/>
      <c r="Q85" s="450"/>
      <c r="R85" s="450"/>
      <c r="S85" s="450"/>
      <c r="T85" s="451"/>
      <c r="U85" s="450"/>
      <c r="W85" s="450"/>
      <c r="X85" s="450"/>
      <c r="Y85" s="450"/>
      <c r="Z85" s="451"/>
      <c r="AA85" s="450"/>
      <c r="AH85" s="441"/>
      <c r="AI85" s="441"/>
      <c r="AJ85" s="447"/>
    </row>
    <row r="86" spans="9:36" ht="15.95" customHeight="1" x14ac:dyDescent="0.2">
      <c r="K86" s="447"/>
      <c r="L86" s="450"/>
      <c r="M86" s="450"/>
      <c r="N86" s="521"/>
      <c r="O86" s="521"/>
      <c r="P86" s="450"/>
      <c r="Q86" s="450"/>
      <c r="R86" s="450"/>
      <c r="S86" s="450"/>
      <c r="T86" s="451"/>
      <c r="U86" s="450"/>
      <c r="W86" s="450"/>
      <c r="X86" s="450"/>
      <c r="Y86" s="450"/>
      <c r="Z86" s="451"/>
      <c r="AA86" s="450"/>
      <c r="AH86" s="441"/>
      <c r="AI86" s="441"/>
      <c r="AJ86" s="441"/>
    </row>
    <row r="87" spans="9:36" ht="15.95" customHeight="1" x14ac:dyDescent="0.2">
      <c r="K87" s="447"/>
      <c r="L87" s="450"/>
      <c r="M87" s="450"/>
      <c r="N87" s="521"/>
      <c r="O87" s="521"/>
      <c r="P87" s="450"/>
      <c r="Q87" s="450"/>
      <c r="R87" s="450"/>
      <c r="S87" s="450"/>
      <c r="T87" s="451"/>
      <c r="U87" s="450"/>
      <c r="W87" s="450"/>
      <c r="X87" s="450"/>
      <c r="Y87" s="450"/>
      <c r="Z87" s="451"/>
      <c r="AA87" s="450"/>
      <c r="AH87" s="441"/>
      <c r="AI87" s="441"/>
      <c r="AJ87" s="441"/>
    </row>
    <row r="88" spans="9:36" ht="15.95" customHeight="1" x14ac:dyDescent="0.2">
      <c r="L88" s="450"/>
      <c r="M88" s="450"/>
      <c r="N88" s="521"/>
      <c r="O88" s="521"/>
      <c r="P88" s="450"/>
      <c r="Q88" s="450"/>
      <c r="R88" s="450"/>
      <c r="S88" s="450"/>
      <c r="T88" s="451"/>
      <c r="U88" s="450"/>
      <c r="W88" s="450"/>
      <c r="X88" s="450"/>
      <c r="Y88" s="450"/>
      <c r="Z88" s="451"/>
      <c r="AA88" s="450"/>
    </row>
    <row r="89" spans="9:36" ht="15.95" customHeight="1" x14ac:dyDescent="0.2">
      <c r="K89" s="435"/>
      <c r="L89" s="450"/>
      <c r="M89" s="450"/>
      <c r="N89" s="521"/>
      <c r="O89" s="521"/>
      <c r="P89" s="450"/>
      <c r="Q89" s="450"/>
      <c r="R89" s="450"/>
      <c r="S89" s="450"/>
      <c r="T89" s="451"/>
      <c r="U89" s="450"/>
      <c r="W89" s="450"/>
      <c r="X89" s="450"/>
      <c r="Y89" s="450"/>
      <c r="Z89" s="451"/>
      <c r="AA89" s="450"/>
    </row>
    <row r="90" spans="9:36" ht="15.95" customHeight="1" x14ac:dyDescent="0.2">
      <c r="K90" s="435"/>
      <c r="R90" s="450"/>
      <c r="S90" s="450"/>
      <c r="T90" s="451"/>
      <c r="U90" s="450"/>
      <c r="W90" s="450"/>
      <c r="X90" s="450"/>
      <c r="Y90" s="450"/>
      <c r="Z90" s="451"/>
    </row>
    <row r="91" spans="9:36" ht="15.95" customHeight="1" x14ac:dyDescent="0.2">
      <c r="K91" s="435"/>
    </row>
    <row r="92" spans="9:36" ht="15.95" customHeight="1" x14ac:dyDescent="0.2">
      <c r="K92" s="435"/>
    </row>
    <row r="93" spans="9:36" ht="15.95" customHeight="1" x14ac:dyDescent="0.2">
      <c r="K93" s="435"/>
    </row>
    <row r="94" spans="9:36" ht="15.95" customHeight="1" x14ac:dyDescent="0.2">
      <c r="K94" s="435"/>
    </row>
    <row r="95" spans="9:36" ht="15.95" customHeight="1" x14ac:dyDescent="0.2">
      <c r="K95" s="435"/>
      <c r="S95" s="450"/>
    </row>
    <row r="96" spans="9:36" ht="15.95" customHeight="1" x14ac:dyDescent="0.2">
      <c r="K96" s="435"/>
      <c r="S96" s="450"/>
    </row>
    <row r="97" ht="15.95" customHeight="1" x14ac:dyDescent="0.2"/>
    <row r="98" ht="15.95" customHeight="1" x14ac:dyDescent="0.2"/>
    <row r="99" ht="15.95" customHeight="1" x14ac:dyDescent="0.2"/>
    <row r="100" ht="15.95" customHeight="1" x14ac:dyDescent="0.2"/>
    <row r="101" ht="15.95" customHeight="1" x14ac:dyDescent="0.2"/>
    <row r="102" ht="15.95" customHeight="1" x14ac:dyDescent="0.2"/>
    <row r="103" ht="15.95" customHeight="1" x14ac:dyDescent="0.2"/>
    <row r="104" ht="15.95" customHeight="1" x14ac:dyDescent="0.2"/>
    <row r="105" ht="15.95" customHeight="1" x14ac:dyDescent="0.2"/>
    <row r="106" ht="15.95" customHeight="1" x14ac:dyDescent="0.2"/>
    <row r="107" ht="15.95" customHeight="1" x14ac:dyDescent="0.2"/>
    <row r="108" ht="15.95" customHeight="1" x14ac:dyDescent="0.2"/>
    <row r="109" ht="15.95" customHeight="1" x14ac:dyDescent="0.2"/>
    <row r="110" ht="15.95" customHeight="1" x14ac:dyDescent="0.2"/>
    <row r="111" ht="15.95" customHeight="1" x14ac:dyDescent="0.2"/>
    <row r="112" ht="15.95" customHeight="1" x14ac:dyDescent="0.2"/>
    <row r="113" ht="15.95" customHeight="1" x14ac:dyDescent="0.2"/>
    <row r="114" ht="15.95" customHeight="1" x14ac:dyDescent="0.2"/>
    <row r="115" ht="15.95" customHeight="1" x14ac:dyDescent="0.2"/>
    <row r="116" ht="15.95" customHeight="1" x14ac:dyDescent="0.2"/>
    <row r="117" ht="15.95" customHeight="1" x14ac:dyDescent="0.2"/>
    <row r="118" ht="15.95" customHeight="1" x14ac:dyDescent="0.2"/>
    <row r="119" ht="15.95" customHeight="1" x14ac:dyDescent="0.2"/>
    <row r="120" ht="15.95" customHeight="1" x14ac:dyDescent="0.2"/>
    <row r="121" ht="15.95" customHeight="1" x14ac:dyDescent="0.2"/>
    <row r="122" ht="15.95" customHeight="1" x14ac:dyDescent="0.2"/>
    <row r="123" ht="15.95" customHeight="1" x14ac:dyDescent="0.2"/>
    <row r="124" ht="15.95" customHeight="1" x14ac:dyDescent="0.2"/>
    <row r="125" ht="15.95" customHeight="1" x14ac:dyDescent="0.2"/>
    <row r="126" ht="15.95" customHeight="1" x14ac:dyDescent="0.2"/>
    <row r="127" ht="15.95" customHeight="1" x14ac:dyDescent="0.2"/>
    <row r="128" ht="15.95" customHeight="1" x14ac:dyDescent="0.2"/>
    <row r="129" ht="15.95" customHeight="1" x14ac:dyDescent="0.2"/>
    <row r="130" ht="15.95" customHeight="1" x14ac:dyDescent="0.2"/>
    <row r="131" ht="15.95" customHeight="1" x14ac:dyDescent="0.2"/>
    <row r="132" ht="15.95" customHeight="1" x14ac:dyDescent="0.2"/>
    <row r="133" ht="15.95" customHeight="1" x14ac:dyDescent="0.2"/>
    <row r="134" ht="15.95" customHeight="1" x14ac:dyDescent="0.2"/>
    <row r="135" ht="15.95" customHeight="1" x14ac:dyDescent="0.2"/>
    <row r="136" ht="15.95" customHeight="1" x14ac:dyDescent="0.2"/>
    <row r="137" ht="15.95" customHeight="1" x14ac:dyDescent="0.2"/>
    <row r="138" ht="15.95" customHeight="1" x14ac:dyDescent="0.2"/>
    <row r="139" ht="15.95" customHeight="1" x14ac:dyDescent="0.2"/>
    <row r="140" ht="15.95" customHeight="1" x14ac:dyDescent="0.2"/>
    <row r="141" ht="15.95" customHeight="1" x14ac:dyDescent="0.2"/>
    <row r="142" ht="15.95" customHeight="1" x14ac:dyDescent="0.2"/>
    <row r="143" ht="15.95" customHeight="1" x14ac:dyDescent="0.2"/>
    <row r="144" ht="15.95" customHeight="1" x14ac:dyDescent="0.2"/>
    <row r="145" ht="15.95" customHeight="1" x14ac:dyDescent="0.2"/>
    <row r="146" ht="15.95" customHeight="1" x14ac:dyDescent="0.2"/>
    <row r="147" ht="15.95" customHeight="1" x14ac:dyDescent="0.2"/>
    <row r="148" ht="15.95" customHeight="1" x14ac:dyDescent="0.2"/>
  </sheetData>
  <sheetProtection selectLockedCells="1"/>
  <mergeCells count="64">
    <mergeCell ref="T37:T38"/>
    <mergeCell ref="Z37:Z38"/>
    <mergeCell ref="N55:N56"/>
    <mergeCell ref="X40:Z40"/>
    <mergeCell ref="Z42:Z43"/>
    <mergeCell ref="N40:N41"/>
    <mergeCell ref="Z51:Z52"/>
    <mergeCell ref="T44:T45"/>
    <mergeCell ref="Z44:Z45"/>
    <mergeCell ref="X47:Z47"/>
    <mergeCell ref="Z49:Z50"/>
    <mergeCell ref="T51:T52"/>
    <mergeCell ref="N53:N54"/>
    <mergeCell ref="N42:N43"/>
    <mergeCell ref="T42:T43"/>
    <mergeCell ref="N48:N49"/>
    <mergeCell ref="L33:N33"/>
    <mergeCell ref="R33:T33"/>
    <mergeCell ref="X33:Z33"/>
    <mergeCell ref="N35:N36"/>
    <mergeCell ref="T35:T36"/>
    <mergeCell ref="Z35:Z36"/>
    <mergeCell ref="X26:Z26"/>
    <mergeCell ref="N28:N29"/>
    <mergeCell ref="T28:T29"/>
    <mergeCell ref="Z28:Z29"/>
    <mergeCell ref="N30:N31"/>
    <mergeCell ref="T30:T31"/>
    <mergeCell ref="Z30:Z31"/>
    <mergeCell ref="T16:T17"/>
    <mergeCell ref="Z16:Z17"/>
    <mergeCell ref="R19:T19"/>
    <mergeCell ref="X19:Z19"/>
    <mergeCell ref="N21:N22"/>
    <mergeCell ref="T21:T22"/>
    <mergeCell ref="Z21:Z22"/>
    <mergeCell ref="AH4:AJ5"/>
    <mergeCell ref="L5:N5"/>
    <mergeCell ref="R5:T5"/>
    <mergeCell ref="X5:Z5"/>
    <mergeCell ref="N7:N8"/>
    <mergeCell ref="T7:T8"/>
    <mergeCell ref="Z7:Z8"/>
    <mergeCell ref="AF1:AJ1"/>
    <mergeCell ref="K2:Z2"/>
    <mergeCell ref="AF2:AJ2"/>
    <mergeCell ref="N3:X3"/>
    <mergeCell ref="AF3:AJ3"/>
    <mergeCell ref="T49:T50"/>
    <mergeCell ref="K1:AA1"/>
    <mergeCell ref="K4:N4"/>
    <mergeCell ref="Q4:T4"/>
    <mergeCell ref="W4:Z4"/>
    <mergeCell ref="N9:N10"/>
    <mergeCell ref="T9:T10"/>
    <mergeCell ref="Z9:Z10"/>
    <mergeCell ref="N23:N24"/>
    <mergeCell ref="T23:T24"/>
    <mergeCell ref="Z23:Z24"/>
    <mergeCell ref="X12:Z12"/>
    <mergeCell ref="N14:N15"/>
    <mergeCell ref="T14:T15"/>
    <mergeCell ref="Z14:Z15"/>
    <mergeCell ref="N16:N17"/>
  </mergeCells>
  <conditionalFormatting sqref="O7:O8">
    <cfRule type="expression" priority="158" stopIfTrue="1">
      <formula>IF(N7="",1)</formula>
    </cfRule>
    <cfRule type="expression" dxfId="1631" priority="160">
      <formula>IF(N7=N9,1,0)</formula>
    </cfRule>
  </conditionalFormatting>
  <conditionalFormatting sqref="O9">
    <cfRule type="expression" priority="157" stopIfTrue="1">
      <formula>IF(N9="",1,0)</formula>
    </cfRule>
    <cfRule type="expression" dxfId="1630" priority="159">
      <formula>IF(N7=N9,1,0)</formula>
    </cfRule>
  </conditionalFormatting>
  <conditionalFormatting sqref="S7">
    <cfRule type="expression" dxfId="1629" priority="156">
      <formula>IF(T7+U7&gt;T9+U9,1,0)</formula>
    </cfRule>
  </conditionalFormatting>
  <conditionalFormatting sqref="S9">
    <cfRule type="expression" dxfId="1628" priority="155">
      <formula>IF(T9+U9&gt;T11+U11,1,0)</formula>
    </cfRule>
  </conditionalFormatting>
  <conditionalFormatting sqref="S14">
    <cfRule type="expression" dxfId="1627" priority="154">
      <formula>IF(T14+U14&gt;T16+U16,1,0)</formula>
    </cfRule>
  </conditionalFormatting>
  <conditionalFormatting sqref="S16">
    <cfRule type="expression" dxfId="1626" priority="153">
      <formula>IF(T16+U16&gt;T18+U18,1,0)</formula>
    </cfRule>
  </conditionalFormatting>
  <conditionalFormatting sqref="S21">
    <cfRule type="expression" dxfId="1625" priority="152">
      <formula>IF(T21+U21&gt;T23+U23,1,0)</formula>
    </cfRule>
  </conditionalFormatting>
  <conditionalFormatting sqref="S23">
    <cfRule type="expression" dxfId="1624" priority="151">
      <formula>IF(T23+U23&gt;T25+U25,1,0)</formula>
    </cfRule>
  </conditionalFormatting>
  <conditionalFormatting sqref="S28">
    <cfRule type="expression" dxfId="1623" priority="150">
      <formula>IF(T28+U28&gt;T30+U30,1,0)</formula>
    </cfRule>
  </conditionalFormatting>
  <conditionalFormatting sqref="S30">
    <cfRule type="expression" dxfId="1622" priority="149">
      <formula>IF(T30+U30&gt;T32+U32,1,0)</formula>
    </cfRule>
  </conditionalFormatting>
  <conditionalFormatting sqref="O14:O15">
    <cfRule type="expression" priority="138" stopIfTrue="1">
      <formula>IF(N14="",1)</formula>
    </cfRule>
    <cfRule type="expression" dxfId="1621" priority="140">
      <formula>IF(N14=N16,1,0)</formula>
    </cfRule>
  </conditionalFormatting>
  <conditionalFormatting sqref="O16">
    <cfRule type="expression" priority="137" stopIfTrue="1">
      <formula>IF(N16="",1,0)</formula>
    </cfRule>
    <cfRule type="expression" dxfId="1620" priority="139">
      <formula>IF(N14=N16,1,0)</formula>
    </cfRule>
  </conditionalFormatting>
  <conditionalFormatting sqref="O21:O22">
    <cfRule type="expression" priority="134" stopIfTrue="1">
      <formula>IF(N21="",1)</formula>
    </cfRule>
    <cfRule type="expression" dxfId="1619" priority="136">
      <formula>IF(N21=N23,1,0)</formula>
    </cfRule>
  </conditionalFormatting>
  <conditionalFormatting sqref="O23">
    <cfRule type="expression" priority="133" stopIfTrue="1">
      <formula>IF(N23="",1,0)</formula>
    </cfRule>
    <cfRule type="expression" dxfId="1618" priority="135">
      <formula>IF(N21=N23,1,0)</formula>
    </cfRule>
  </conditionalFormatting>
  <conditionalFormatting sqref="O28:O29">
    <cfRule type="expression" priority="130" stopIfTrue="1">
      <formula>IF(N28="",1)</formula>
    </cfRule>
    <cfRule type="expression" dxfId="1617" priority="132">
      <formula>IF(N28=N30,1,0)</formula>
    </cfRule>
  </conditionalFormatting>
  <conditionalFormatting sqref="O30">
    <cfRule type="expression" priority="129" stopIfTrue="1">
      <formula>IF(N30="",1,0)</formula>
    </cfRule>
    <cfRule type="expression" dxfId="1616" priority="131">
      <formula>IF(N28=N30,1,0)</formula>
    </cfRule>
  </conditionalFormatting>
  <conditionalFormatting sqref="U7:U8">
    <cfRule type="expression" priority="126" stopIfTrue="1">
      <formula>IF(T7="",1)</formula>
    </cfRule>
    <cfRule type="expression" dxfId="1615" priority="128">
      <formula>IF(T7=T9,1,0)</formula>
    </cfRule>
  </conditionalFormatting>
  <conditionalFormatting sqref="U9">
    <cfRule type="expression" priority="125" stopIfTrue="1">
      <formula>IF(T9="",1,0)</formula>
    </cfRule>
    <cfRule type="expression" dxfId="1614" priority="127">
      <formula>IF(T7=T9,1,0)</formula>
    </cfRule>
  </conditionalFormatting>
  <conditionalFormatting sqref="U14:U15">
    <cfRule type="expression" priority="122" stopIfTrue="1">
      <formula>IF(T14="",1)</formula>
    </cfRule>
    <cfRule type="expression" dxfId="1613" priority="124">
      <formula>IF(T14=T16,1,0)</formula>
    </cfRule>
  </conditionalFormatting>
  <conditionalFormatting sqref="U16">
    <cfRule type="expression" priority="121" stopIfTrue="1">
      <formula>IF(T16="",1,0)</formula>
    </cfRule>
    <cfRule type="expression" dxfId="1612" priority="123">
      <formula>IF(T14=T16,1,0)</formula>
    </cfRule>
  </conditionalFormatting>
  <conditionalFormatting sqref="U21:U22">
    <cfRule type="expression" priority="118" stopIfTrue="1">
      <formula>IF(T21="",1)</formula>
    </cfRule>
    <cfRule type="expression" dxfId="1611" priority="120">
      <formula>IF(T21=T23,1,0)</formula>
    </cfRule>
  </conditionalFormatting>
  <conditionalFormatting sqref="U23">
    <cfRule type="expression" priority="117" stopIfTrue="1">
      <formula>IF(T23="",1,0)</formula>
    </cfRule>
    <cfRule type="expression" dxfId="1610" priority="119">
      <formula>IF(T21=T23,1,0)</formula>
    </cfRule>
  </conditionalFormatting>
  <conditionalFormatting sqref="U28:U29">
    <cfRule type="expression" priority="114" stopIfTrue="1">
      <formula>IF(T28="",1)</formula>
    </cfRule>
    <cfRule type="expression" dxfId="1609" priority="116">
      <formula>IF(T28=T30,1,0)</formula>
    </cfRule>
  </conditionalFormatting>
  <conditionalFormatting sqref="U30">
    <cfRule type="expression" priority="113" stopIfTrue="1">
      <formula>IF(T30="",1,0)</formula>
    </cfRule>
    <cfRule type="expression" dxfId="1608" priority="115">
      <formula>IF(T28=T30,1,0)</formula>
    </cfRule>
  </conditionalFormatting>
  <conditionalFormatting sqref="AA7:AA8">
    <cfRule type="expression" priority="110" stopIfTrue="1">
      <formula>IF(Z7="",1)</formula>
    </cfRule>
    <cfRule type="expression" dxfId="1607" priority="112">
      <formula>IF(Z7=Z9,1,0)</formula>
    </cfRule>
  </conditionalFormatting>
  <conditionalFormatting sqref="AA9">
    <cfRule type="expression" priority="109" stopIfTrue="1">
      <formula>IF(Z9="",1,0)</formula>
    </cfRule>
    <cfRule type="expression" dxfId="1606" priority="111">
      <formula>IF(Z7=Z9,1,0)</formula>
    </cfRule>
  </conditionalFormatting>
  <conditionalFormatting sqref="AA14:AA15">
    <cfRule type="expression" priority="106" stopIfTrue="1">
      <formula>IF(Z14="",1)</formula>
    </cfRule>
    <cfRule type="expression" dxfId="1605" priority="108">
      <formula>IF(Z14=Z16,1,0)</formula>
    </cfRule>
  </conditionalFormatting>
  <conditionalFormatting sqref="AA16">
    <cfRule type="expression" priority="105" stopIfTrue="1">
      <formula>IF(Z16="",1,0)</formula>
    </cfRule>
    <cfRule type="expression" dxfId="1604" priority="107">
      <formula>IF(Z14=Z16,1,0)</formula>
    </cfRule>
  </conditionalFormatting>
  <conditionalFormatting sqref="AA21:AA22">
    <cfRule type="expression" priority="102" stopIfTrue="1">
      <formula>IF(Z21="",1)</formula>
    </cfRule>
    <cfRule type="expression" dxfId="1603" priority="104">
      <formula>IF(Z21=Z23,1,0)</formula>
    </cfRule>
  </conditionalFormatting>
  <conditionalFormatting sqref="AA23">
    <cfRule type="expression" priority="101" stopIfTrue="1">
      <formula>IF(Z23="",1,0)</formula>
    </cfRule>
    <cfRule type="expression" dxfId="1602" priority="103">
      <formula>IF(Z21=Z23,1,0)</formula>
    </cfRule>
  </conditionalFormatting>
  <conditionalFormatting sqref="AA28:AA29">
    <cfRule type="expression" priority="98" stopIfTrue="1">
      <formula>IF(Z28="",1)</formula>
    </cfRule>
    <cfRule type="expression" dxfId="1601" priority="100">
      <formula>IF(Z28=Z30,1,0)</formula>
    </cfRule>
  </conditionalFormatting>
  <conditionalFormatting sqref="AA30">
    <cfRule type="expression" priority="97" stopIfTrue="1">
      <formula>IF(Z30="",1,0)</formula>
    </cfRule>
    <cfRule type="expression" dxfId="1600" priority="99">
      <formula>IF(Z28=Z30,1,0)</formula>
    </cfRule>
  </conditionalFormatting>
  <conditionalFormatting sqref="M14">
    <cfRule type="expression" dxfId="1599" priority="96">
      <formula>IF(N14+O14&gt;N16+O16,1,0)</formula>
    </cfRule>
  </conditionalFormatting>
  <conditionalFormatting sqref="M16">
    <cfRule type="expression" dxfId="1598" priority="95">
      <formula>IF(N16+O16&gt;N18+O18,1,0)</formula>
    </cfRule>
  </conditionalFormatting>
  <conditionalFormatting sqref="M21">
    <cfRule type="expression" dxfId="1597" priority="94">
      <formula>IF(N21+O21&gt;N23+O23,1,0)</formula>
    </cfRule>
  </conditionalFormatting>
  <conditionalFormatting sqref="M23">
    <cfRule type="expression" dxfId="1596" priority="93">
      <formula>IF(N23+O23&gt;N25+O25,1,0)</formula>
    </cfRule>
  </conditionalFormatting>
  <conditionalFormatting sqref="M28">
    <cfRule type="expression" dxfId="1595" priority="92">
      <formula>IF(N28+O28&gt;N30+O30,1,0)</formula>
    </cfRule>
  </conditionalFormatting>
  <conditionalFormatting sqref="M30">
    <cfRule type="expression" dxfId="1594" priority="91">
      <formula>IF(N30+O30&gt;N32+O32,1,0)</formula>
    </cfRule>
  </conditionalFormatting>
  <conditionalFormatting sqref="O35">
    <cfRule type="expression" priority="85" stopIfTrue="1">
      <formula>IF(N35="",1)</formula>
    </cfRule>
    <cfRule type="expression" dxfId="1593" priority="86">
      <formula>IF(N35=N37,1,0)</formula>
    </cfRule>
  </conditionalFormatting>
  <conditionalFormatting sqref="AA50">
    <cfRule type="expression" priority="75" stopIfTrue="1">
      <formula>IF(Z50="",1)</formula>
    </cfRule>
    <cfRule type="expression" dxfId="1592" priority="76">
      <formula>IF(Z50=Z52,1,0)</formula>
    </cfRule>
  </conditionalFormatting>
  <conditionalFormatting sqref="AA42">
    <cfRule type="expression" priority="79" stopIfTrue="1">
      <formula>IF(Z42="",1)</formula>
    </cfRule>
    <cfRule type="expression" dxfId="1591" priority="80">
      <formula>IF(Z42=Z44,1,0)</formula>
    </cfRule>
  </conditionalFormatting>
  <conditionalFormatting sqref="AA43">
    <cfRule type="expression" priority="81" stopIfTrue="1">
      <formula>IF(Z43="",1)</formula>
    </cfRule>
    <cfRule type="expression" dxfId="1590" priority="82">
      <formula>IF(Z43=Z45,1,0)</formula>
    </cfRule>
  </conditionalFormatting>
  <conditionalFormatting sqref="AA44">
    <cfRule type="expression" priority="77" stopIfTrue="1">
      <formula>IF(Z44="",1)</formula>
    </cfRule>
    <cfRule type="expression" dxfId="1589" priority="78">
      <formula>IF(Z44=Z42,1,0)</formula>
    </cfRule>
  </conditionalFormatting>
  <conditionalFormatting sqref="AA49">
    <cfRule type="expression" priority="73" stopIfTrue="1">
      <formula>IF(Z49="",1)</formula>
    </cfRule>
    <cfRule type="expression" dxfId="1588" priority="74">
      <formula>IF(Z49=Z51,1,0)</formula>
    </cfRule>
  </conditionalFormatting>
  <conditionalFormatting sqref="AA51">
    <cfRule type="expression" priority="71" stopIfTrue="1">
      <formula>IF(Z51="",1)</formula>
    </cfRule>
    <cfRule type="expression" dxfId="1587" priority="72">
      <formula>IF(Z51=Z49,1,0)</formula>
    </cfRule>
  </conditionalFormatting>
  <conditionalFormatting sqref="AA35">
    <cfRule type="expression" priority="67" stopIfTrue="1">
      <formula>IF(Z35="",1)</formula>
    </cfRule>
    <cfRule type="expression" dxfId="1586" priority="68">
      <formula>IF(Z35=Z37,1,0)</formula>
    </cfRule>
  </conditionalFormatting>
  <conditionalFormatting sqref="AA36">
    <cfRule type="expression" priority="69" stopIfTrue="1">
      <formula>IF(Z36="",1)</formula>
    </cfRule>
    <cfRule type="expression" dxfId="1585" priority="70">
      <formula>IF(Z36=Z38,1,0)</formula>
    </cfRule>
  </conditionalFormatting>
  <conditionalFormatting sqref="AA37">
    <cfRule type="expression" priority="65" stopIfTrue="1">
      <formula>IF(Z37="",1)</formula>
    </cfRule>
    <cfRule type="expression" dxfId="1584" priority="66">
      <formula>IF(Z37=Z35,1,0)</formula>
    </cfRule>
  </conditionalFormatting>
  <conditionalFormatting sqref="O40">
    <cfRule type="expression" priority="59" stopIfTrue="1">
      <formula>IF(N40="",1)</formula>
    </cfRule>
    <cfRule type="expression" dxfId="1583" priority="60">
      <formula>IF(N40=N42,1,0)</formula>
    </cfRule>
  </conditionalFormatting>
  <conditionalFormatting sqref="O41">
    <cfRule type="expression" priority="61" stopIfTrue="1">
      <formula>IF(N41="",1)</formula>
    </cfRule>
    <cfRule type="expression" dxfId="1582" priority="62">
      <formula>IF(N41=N43,1,0)</formula>
    </cfRule>
  </conditionalFormatting>
  <conditionalFormatting sqref="O42">
    <cfRule type="expression" priority="57" stopIfTrue="1">
      <formula>IF(N42="",1)</formula>
    </cfRule>
    <cfRule type="expression" dxfId="1581" priority="58">
      <formula>IF(N42=N40,1,0)</formula>
    </cfRule>
  </conditionalFormatting>
  <conditionalFormatting sqref="O53">
    <cfRule type="expression" priority="51" stopIfTrue="1">
      <formula>IF(N53="",1)</formula>
    </cfRule>
    <cfRule type="expression" dxfId="1580" priority="52">
      <formula>IF(N53=N55,1,0)</formula>
    </cfRule>
  </conditionalFormatting>
  <conditionalFormatting sqref="O54">
    <cfRule type="expression" priority="53" stopIfTrue="1">
      <formula>IF(N54="",1)</formula>
    </cfRule>
    <cfRule type="expression" dxfId="1579" priority="54">
      <formula>IF(N54=N56,1,0)</formula>
    </cfRule>
  </conditionalFormatting>
  <conditionalFormatting sqref="O55">
    <cfRule type="expression" priority="49" stopIfTrue="1">
      <formula>IF(N55="",1)</formula>
    </cfRule>
    <cfRule type="expression" dxfId="1578" priority="50">
      <formula>IF(N55=N53,1,0)</formula>
    </cfRule>
  </conditionalFormatting>
  <conditionalFormatting sqref="O48">
    <cfRule type="expression" priority="87" stopIfTrue="1">
      <formula>IF(N48="",1)</formula>
    </cfRule>
    <cfRule type="expression" dxfId="1577" priority="88">
      <formula>IF(N48=#REF!,1,0)</formula>
    </cfRule>
  </conditionalFormatting>
  <conditionalFormatting sqref="U35">
    <cfRule type="expression" priority="45" stopIfTrue="1">
      <formula>IF(T35="",1)</formula>
    </cfRule>
    <cfRule type="expression" dxfId="1576" priority="46">
      <formula>IF(T35=T37,1,0)</formula>
    </cfRule>
  </conditionalFormatting>
  <conditionalFormatting sqref="U36">
    <cfRule type="expression" priority="47" stopIfTrue="1">
      <formula>IF(T36="",1)</formula>
    </cfRule>
    <cfRule type="expression" dxfId="1575" priority="48">
      <formula>IF(T36=T38,1,0)</formula>
    </cfRule>
  </conditionalFormatting>
  <conditionalFormatting sqref="U37">
    <cfRule type="expression" priority="43" stopIfTrue="1">
      <formula>IF(T37="",1)</formula>
    </cfRule>
    <cfRule type="expression" dxfId="1574" priority="44">
      <formula>IF(T37=T35,1,0)</formula>
    </cfRule>
  </conditionalFormatting>
  <conditionalFormatting sqref="U42">
    <cfRule type="expression" priority="39" stopIfTrue="1">
      <formula>IF(T42="",1)</formula>
    </cfRule>
    <cfRule type="expression" dxfId="1573" priority="40">
      <formula>IF(T42=T44,1,0)</formula>
    </cfRule>
  </conditionalFormatting>
  <conditionalFormatting sqref="U43">
    <cfRule type="expression" priority="41" stopIfTrue="1">
      <formula>IF(T43="",1)</formula>
    </cfRule>
    <cfRule type="expression" dxfId="1572" priority="42">
      <formula>IF(T43=T45,1,0)</formula>
    </cfRule>
  </conditionalFormatting>
  <conditionalFormatting sqref="U44">
    <cfRule type="expression" priority="37" stopIfTrue="1">
      <formula>IF(T44="",1)</formula>
    </cfRule>
    <cfRule type="expression" dxfId="1571" priority="38">
      <formula>IF(T44=T42,1,0)</formula>
    </cfRule>
  </conditionalFormatting>
  <conditionalFormatting sqref="S42">
    <cfRule type="expression" dxfId="1570" priority="34">
      <formula>IF(T42+U42&gt;T44+U44,1,0)</formula>
    </cfRule>
  </conditionalFormatting>
  <conditionalFormatting sqref="S44">
    <cfRule type="expression" dxfId="1569" priority="33">
      <formula>IF(T44+U44&gt;T46+U46,1,0)</formula>
    </cfRule>
  </conditionalFormatting>
  <conditionalFormatting sqref="S49">
    <cfRule type="expression" dxfId="1568" priority="32">
      <formula>IF(T49+U49&gt;T51+U51,1,0)</formula>
    </cfRule>
  </conditionalFormatting>
  <conditionalFormatting sqref="S51">
    <cfRule type="expression" dxfId="1567" priority="31">
      <formula>IF(T51+U51&gt;T53+U53,1,0)</formula>
    </cfRule>
  </conditionalFormatting>
  <conditionalFormatting sqref="Y7">
    <cfRule type="expression" dxfId="1566" priority="24">
      <formula>IF(Z7+AA7&gt;Z9+AA9,1,0)</formula>
    </cfRule>
  </conditionalFormatting>
  <conditionalFormatting sqref="Y9">
    <cfRule type="expression" dxfId="1565" priority="23">
      <formula>IF(Z7+AA7&lt;Z9+AA9,1,0)</formula>
    </cfRule>
  </conditionalFormatting>
  <conditionalFormatting sqref="Y14">
    <cfRule type="expression" dxfId="1564" priority="22">
      <formula>IF(Z14+AA14&gt;Z16+AA16,1,0)</formula>
    </cfRule>
  </conditionalFormatting>
  <conditionalFormatting sqref="Y16">
    <cfRule type="expression" dxfId="1563" priority="21">
      <formula>IF(Z14+AA14&lt;Z16+AA16,1,0)</formula>
    </cfRule>
  </conditionalFormatting>
  <conditionalFormatting sqref="Y21">
    <cfRule type="expression" dxfId="1562" priority="20">
      <formula>IF(Z21+AA21&gt;Z23+AA23,1,0)</formula>
    </cfRule>
  </conditionalFormatting>
  <conditionalFormatting sqref="Y23">
    <cfRule type="expression" dxfId="1561" priority="19">
      <formula>IF(Z21+AA21&lt;Z23+AA23,1,0)</formula>
    </cfRule>
  </conditionalFormatting>
  <conditionalFormatting sqref="Y28">
    <cfRule type="expression" dxfId="1560" priority="18">
      <formula>IF(Z28+AA28&gt;Z30+AA30,1,0)</formula>
    </cfRule>
  </conditionalFormatting>
  <conditionalFormatting sqref="Y30">
    <cfRule type="expression" dxfId="1559" priority="17">
      <formula>IF(Z28+AA28&lt;Z30+AA30,1,0)</formula>
    </cfRule>
  </conditionalFormatting>
  <conditionalFormatting sqref="Y35">
    <cfRule type="expression" dxfId="1558" priority="16">
      <formula>IF(Z35+AA35&gt;Z37+AA37,1,0)</formula>
    </cfRule>
  </conditionalFormatting>
  <conditionalFormatting sqref="Y37">
    <cfRule type="expression" dxfId="1557" priority="15">
      <formula>IF(Z35+AA35&lt;Z37+AA37,1,0)</formula>
    </cfRule>
  </conditionalFormatting>
  <conditionalFormatting sqref="Y42">
    <cfRule type="expression" dxfId="1556" priority="14">
      <formula>IF(Z42+AA42&gt;Z44+AA44,1,0)</formula>
    </cfRule>
  </conditionalFormatting>
  <conditionalFormatting sqref="Y44">
    <cfRule type="expression" dxfId="1555" priority="13">
      <formula>IF(Z42+AA42&lt;Z44+AA44,1,0)</formula>
    </cfRule>
  </conditionalFormatting>
  <conditionalFormatting sqref="Y49">
    <cfRule type="expression" dxfId="1554" priority="12">
      <formula>IF(Z49+AA49&gt;Z51+AA51,1,0)</formula>
    </cfRule>
  </conditionalFormatting>
  <conditionalFormatting sqref="Y51">
    <cfRule type="expression" dxfId="1553" priority="11">
      <formula>IF(Z49+AA49&lt;Z51+AA51,1,0)</formula>
    </cfRule>
  </conditionalFormatting>
  <conditionalFormatting sqref="S35">
    <cfRule type="expression" dxfId="1552" priority="10">
      <formula>IF(T35+U35&gt;T37+U37,1,0)</formula>
    </cfRule>
  </conditionalFormatting>
  <conditionalFormatting sqref="S37">
    <cfRule type="expression" dxfId="1551" priority="9">
      <formula>IF(T35+U35&lt;T37+U37,1,0)</formula>
    </cfRule>
  </conditionalFormatting>
  <conditionalFormatting sqref="M7">
    <cfRule type="expression" dxfId="1550" priority="8">
      <formula>IF(N7+O7&gt;N9+O9,1,0)</formula>
    </cfRule>
  </conditionalFormatting>
  <conditionalFormatting sqref="M9">
    <cfRule type="expression" dxfId="1549" priority="7">
      <formula>IF(N7+O7&lt;N9+O9,1,0)</formula>
    </cfRule>
  </conditionalFormatting>
  <conditionalFormatting sqref="M53">
    <cfRule type="expression" dxfId="1548" priority="6">
      <formula>IF(N53+O53&gt;N55+O55,1,0)</formula>
    </cfRule>
  </conditionalFormatting>
  <conditionalFormatting sqref="M55">
    <cfRule type="expression" dxfId="1547" priority="5">
      <formula>IF(N55+O55&gt;N57+O57,1,0)</formula>
    </cfRule>
  </conditionalFormatting>
  <conditionalFormatting sqref="M35">
    <cfRule type="expression" dxfId="1546" priority="4">
      <formula>IF(N35+O35&gt;N37+O37,1,0)</formula>
    </cfRule>
  </conditionalFormatting>
  <conditionalFormatting sqref="M48">
    <cfRule type="expression" dxfId="1545" priority="3">
      <formula>IF(N48+O48&gt;N50+O50,1,0)</formula>
    </cfRule>
  </conditionalFormatting>
  <conditionalFormatting sqref="M40">
    <cfRule type="expression" dxfId="1544" priority="2">
      <formula>IF(N40+O40&gt;N42+O42,1,0)</formula>
    </cfRule>
  </conditionalFormatting>
  <conditionalFormatting sqref="M42">
    <cfRule type="expression" dxfId="1543" priority="1">
      <formula>IF(N42+O42&gt;N44+O44,1,0)</formula>
    </cfRule>
  </conditionalFormatting>
  <pageMargins left="0.25" right="0.25" top="0.75" bottom="0.75" header="0.3" footer="0.3"/>
  <pageSetup paperSize="9" scale="20" fitToHeight="0"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Feuil70">
    <tabColor rgb="FFFFC000"/>
    <pageSetUpPr fitToPage="1"/>
  </sheetPr>
  <dimension ref="A1:AY148"/>
  <sheetViews>
    <sheetView topLeftCell="K1" zoomScale="81" zoomScaleNormal="60" workbookViewId="0">
      <selection activeCell="K58" sqref="K1:AA58"/>
    </sheetView>
  </sheetViews>
  <sheetFormatPr baseColWidth="10" defaultColWidth="10.85546875" defaultRowHeight="12.75" x14ac:dyDescent="0.2"/>
  <cols>
    <col min="1" max="1" width="3.7109375" style="435" hidden="1" customWidth="1"/>
    <col min="2" max="4" width="16.140625" style="435" hidden="1" customWidth="1"/>
    <col min="5" max="10" width="11.28515625" style="435" hidden="1" customWidth="1"/>
    <col min="11" max="11" width="7.7109375" style="441" bestFit="1" customWidth="1"/>
    <col min="12" max="12" width="6.42578125" style="435" bestFit="1" customWidth="1"/>
    <col min="13" max="13" width="36.5703125" style="435" customWidth="1"/>
    <col min="14" max="14" width="10.85546875" style="442"/>
    <col min="15" max="15" width="4.7109375" style="441" bestFit="1" customWidth="1"/>
    <col min="16" max="16" width="15.7109375" style="441" customWidth="1"/>
    <col min="17" max="17" width="7.7109375" style="441" bestFit="1" customWidth="1"/>
    <col min="18" max="18" width="6.42578125" style="441" bestFit="1" customWidth="1"/>
    <col min="19" max="19" width="36.5703125" style="441" customWidth="1"/>
    <col min="20" max="20" width="10.85546875" style="442"/>
    <col min="21" max="21" width="4.85546875" style="441" bestFit="1" customWidth="1"/>
    <col min="22" max="22" width="15.85546875" style="441" customWidth="1"/>
    <col min="23" max="23" width="7.7109375" style="441" bestFit="1" customWidth="1"/>
    <col min="24" max="24" width="5.28515625" style="435" bestFit="1" customWidth="1"/>
    <col min="25" max="25" width="36.5703125" style="435" customWidth="1"/>
    <col min="26" max="26" width="10.85546875" style="442"/>
    <col min="27" max="27" width="4.85546875" style="441" bestFit="1" customWidth="1"/>
    <col min="28" max="28" width="6.5703125" style="435" customWidth="1"/>
    <col min="29" max="29" width="4" style="435" customWidth="1"/>
    <col min="30" max="31" width="3.28515625" style="435" customWidth="1"/>
    <col min="32" max="32" width="10.85546875" style="435"/>
    <col min="33" max="33" width="14.85546875" style="435" hidden="1" customWidth="1"/>
    <col min="34" max="36" width="36.85546875" style="435" customWidth="1"/>
    <col min="37" max="42" width="10.85546875" style="435"/>
    <col min="43" max="43" width="1.7109375" style="435" bestFit="1" customWidth="1"/>
    <col min="44" max="45" width="10.85546875" style="435"/>
    <col min="46" max="46" width="12.28515625" style="435" customWidth="1"/>
    <col min="47" max="47" width="1.7109375" style="435" bestFit="1" customWidth="1"/>
    <col min="48" max="50" width="10.85546875" style="435"/>
    <col min="51" max="51" width="1.7109375" style="435" bestFit="1" customWidth="1"/>
    <col min="52" max="16384" width="10.85546875" style="435"/>
  </cols>
  <sheetData>
    <row r="1" spans="1:51" ht="55.5" customHeight="1" x14ac:dyDescent="0.2">
      <c r="B1" s="436"/>
      <c r="C1" s="436"/>
      <c r="D1" s="436"/>
      <c r="I1" s="437"/>
      <c r="J1" s="437"/>
      <c r="K1" s="988" t="str">
        <f>Championnat</f>
        <v>Championnat de France de Tir à l'ARC</v>
      </c>
      <c r="L1" s="988"/>
      <c r="M1" s="988"/>
      <c r="N1" s="988"/>
      <c r="O1" s="988"/>
      <c r="P1" s="988"/>
      <c r="Q1" s="988"/>
      <c r="R1" s="988"/>
      <c r="S1" s="988"/>
      <c r="T1" s="988"/>
      <c r="U1" s="988"/>
      <c r="V1" s="988"/>
      <c r="W1" s="988"/>
      <c r="X1" s="988"/>
      <c r="Y1" s="988"/>
      <c r="Z1" s="988"/>
      <c r="AA1" s="988"/>
      <c r="AB1" s="439"/>
      <c r="AC1" s="439"/>
      <c r="AD1" s="439"/>
      <c r="AE1" s="439"/>
      <c r="AF1" s="988" t="str">
        <f>Championnat</f>
        <v>Championnat de France de Tir à l'ARC</v>
      </c>
      <c r="AG1" s="988"/>
      <c r="AH1" s="988"/>
      <c r="AI1" s="988"/>
      <c r="AJ1" s="988"/>
      <c r="AK1" s="491"/>
      <c r="AL1" s="491"/>
      <c r="AM1" s="491"/>
      <c r="AN1" s="491"/>
      <c r="AO1" s="491"/>
      <c r="AP1" s="491"/>
      <c r="AQ1" s="491"/>
      <c r="AR1" s="491"/>
      <c r="AS1" s="491"/>
      <c r="AT1" s="491"/>
      <c r="AU1" s="491"/>
      <c r="AV1" s="491"/>
      <c r="AW1" s="491"/>
      <c r="AY1" s="491"/>
    </row>
    <row r="2" spans="1:51" ht="61.5" customHeight="1" x14ac:dyDescent="0.2">
      <c r="A2" s="437"/>
      <c r="I2" s="437"/>
      <c r="J2" s="437"/>
      <c r="K2" s="989" t="str">
        <f>CATEG_IMPORTEE</f>
        <v>Collèges Mixtes Etablissement</v>
      </c>
      <c r="L2" s="989"/>
      <c r="M2" s="989"/>
      <c r="N2" s="989"/>
      <c r="O2" s="989"/>
      <c r="P2" s="989"/>
      <c r="Q2" s="989"/>
      <c r="R2" s="989"/>
      <c r="S2" s="989"/>
      <c r="T2" s="989"/>
      <c r="U2" s="989"/>
      <c r="V2" s="989"/>
      <c r="W2" s="989"/>
      <c r="X2" s="989"/>
      <c r="Y2" s="989"/>
      <c r="Z2" s="989"/>
      <c r="AA2" s="438"/>
      <c r="AB2" s="439"/>
      <c r="AC2" s="439"/>
      <c r="AD2" s="439"/>
      <c r="AE2" s="439"/>
      <c r="AF2" s="990" t="str">
        <f>CATEG_IMPORTEE</f>
        <v>Collèges Mixtes Etablissement</v>
      </c>
      <c r="AG2" s="990"/>
      <c r="AH2" s="990"/>
      <c r="AI2" s="990"/>
      <c r="AJ2" s="990"/>
      <c r="AK2" s="492"/>
      <c r="AL2" s="492"/>
      <c r="AM2" s="492"/>
      <c r="AN2" s="492"/>
      <c r="AO2" s="492"/>
      <c r="AP2" s="492"/>
      <c r="AQ2" s="492"/>
      <c r="AR2" s="492"/>
      <c r="AS2" s="492"/>
      <c r="AT2" s="492"/>
      <c r="AU2" s="492"/>
      <c r="AV2" s="492"/>
      <c r="AW2" s="492"/>
      <c r="AY2" s="492"/>
    </row>
    <row r="3" spans="1:51" ht="42" customHeight="1" x14ac:dyDescent="0.2">
      <c r="B3" s="440" t="s">
        <v>774</v>
      </c>
      <c r="I3" s="437"/>
      <c r="J3" s="437"/>
      <c r="N3" s="991" t="str">
        <f>LIEU&amp;" du "&amp;DATE</f>
        <v>L’Isle sur la Sorgue du 27 au 31 mars 2023</v>
      </c>
      <c r="O3" s="991"/>
      <c r="P3" s="991"/>
      <c r="Q3" s="991"/>
      <c r="R3" s="991"/>
      <c r="S3" s="991"/>
      <c r="T3" s="991"/>
      <c r="U3" s="991"/>
      <c r="V3" s="991"/>
      <c r="W3" s="991"/>
      <c r="X3" s="991"/>
      <c r="AF3" s="991" t="str">
        <f>LIEU&amp;" du "&amp;DATE</f>
        <v>L’Isle sur la Sorgue du 27 au 31 mars 2023</v>
      </c>
      <c r="AG3" s="991"/>
      <c r="AH3" s="991"/>
      <c r="AI3" s="991"/>
      <c r="AJ3" s="991"/>
      <c r="AK3" s="493"/>
      <c r="AL3" s="493"/>
      <c r="AM3" s="493"/>
      <c r="AN3" s="493"/>
      <c r="AO3" s="493"/>
      <c r="AP3" s="493"/>
      <c r="AQ3" s="493"/>
      <c r="AR3" s="493"/>
      <c r="AS3" s="493"/>
      <c r="AT3" s="493"/>
      <c r="AU3" s="493"/>
      <c r="AW3" s="442"/>
      <c r="AY3" s="493"/>
    </row>
    <row r="4" spans="1:51" ht="21" customHeight="1" x14ac:dyDescent="0.2">
      <c r="B4" s="440" t="s">
        <v>775</v>
      </c>
      <c r="C4" s="462" t="s">
        <v>375</v>
      </c>
      <c r="D4" s="462" t="s">
        <v>374</v>
      </c>
      <c r="E4" s="440" t="s">
        <v>776</v>
      </c>
      <c r="F4" s="487" t="s">
        <v>838</v>
      </c>
      <c r="G4" s="488" t="s">
        <v>837</v>
      </c>
      <c r="H4" s="898"/>
      <c r="I4" s="437"/>
      <c r="J4" s="437"/>
      <c r="K4" s="979" t="s">
        <v>815</v>
      </c>
      <c r="L4" s="979"/>
      <c r="M4" s="979"/>
      <c r="N4" s="979"/>
      <c r="O4" s="443"/>
      <c r="P4" s="443"/>
      <c r="Q4" s="979" t="s">
        <v>816</v>
      </c>
      <c r="R4" s="979"/>
      <c r="S4" s="979"/>
      <c r="T4" s="979"/>
      <c r="U4" s="443"/>
      <c r="V4" s="443"/>
      <c r="W4" s="979" t="s">
        <v>817</v>
      </c>
      <c r="X4" s="979"/>
      <c r="Y4" s="979"/>
      <c r="Z4" s="979"/>
      <c r="AA4" s="443"/>
      <c r="AH4" s="980" t="s">
        <v>778</v>
      </c>
      <c r="AI4" s="980"/>
      <c r="AJ4" s="980"/>
      <c r="AN4" s="497" t="s">
        <v>848</v>
      </c>
    </row>
    <row r="5" spans="1:51" ht="15.95" customHeight="1" thickBot="1" x14ac:dyDescent="0.25">
      <c r="A5" s="435">
        <v>1</v>
      </c>
      <c r="B5" s="444" t="str">
        <f ca="1">INDIRECT("'Imp. Qualif.'!L"&amp;INDIRECT("f"&amp;ROW()))</f>
        <v/>
      </c>
      <c r="C5" s="444" t="str">
        <f ca="1">INDIRECT("'Imp. Qualif.'!M"&amp;INDIRECT("f"&amp;ROW()))</f>
        <v/>
      </c>
      <c r="D5" s="444" t="str">
        <f ca="1">INDIRECT("'Imp. Qualif.'!N"&amp;INDIRECT("f"&amp;ROW()))</f>
        <v/>
      </c>
      <c r="E5" s="486">
        <f ca="1">INDIRECT("'Imp. Qualif.'!O"&amp;INDIRECT("f"&amp;ROW()))</f>
        <v>0</v>
      </c>
      <c r="F5" s="489">
        <v>11</v>
      </c>
      <c r="G5" s="488" t="str">
        <f ca="1">B5&amp;C5</f>
        <v/>
      </c>
      <c r="H5" s="898" t="str">
        <f ca="1">IF(B5&lt;&gt;"",B5,"")</f>
        <v/>
      </c>
      <c r="I5" s="898" t="str">
        <f t="shared" ref="I5:J20" ca="1" si="0">IF(C5&lt;&gt;"",C5,"")</f>
        <v/>
      </c>
      <c r="J5" s="898" t="str">
        <f t="shared" ca="1" si="0"/>
        <v/>
      </c>
      <c r="L5" s="979" t="s">
        <v>836</v>
      </c>
      <c r="M5" s="1247"/>
      <c r="N5" s="1247"/>
      <c r="O5" s="443"/>
      <c r="P5" s="443"/>
      <c r="R5" s="979" t="s">
        <v>818</v>
      </c>
      <c r="S5" s="1247"/>
      <c r="T5" s="1247"/>
      <c r="U5" s="443"/>
      <c r="V5" s="443"/>
      <c r="W5" s="445"/>
      <c r="X5" s="979" t="s">
        <v>777</v>
      </c>
      <c r="Y5" s="1247"/>
      <c r="Z5" s="1247"/>
      <c r="AA5" s="443"/>
      <c r="AH5" s="981"/>
      <c r="AI5" s="981"/>
      <c r="AJ5" s="981"/>
      <c r="AN5" s="494" t="s">
        <v>839</v>
      </c>
      <c r="AO5" s="494" t="s">
        <v>840</v>
      </c>
      <c r="AP5" s="494" t="s">
        <v>841</v>
      </c>
      <c r="AQ5" s="496" t="s">
        <v>793</v>
      </c>
      <c r="AR5" s="494" t="s">
        <v>842</v>
      </c>
      <c r="AS5" s="494" t="s">
        <v>843</v>
      </c>
      <c r="AT5" s="494" t="s">
        <v>844</v>
      </c>
      <c r="AU5" s="496" t="s">
        <v>793</v>
      </c>
      <c r="AV5" s="494" t="s">
        <v>845</v>
      </c>
      <c r="AW5" s="494" t="s">
        <v>846</v>
      </c>
      <c r="AX5" s="494" t="s">
        <v>847</v>
      </c>
      <c r="AY5" s="496" t="s">
        <v>793</v>
      </c>
    </row>
    <row r="6" spans="1:51" ht="15.95" customHeight="1" thickBot="1" x14ac:dyDescent="0.25">
      <c r="A6" s="435">
        <v>2</v>
      </c>
      <c r="B6" s="444" t="str">
        <f t="shared" ref="B6:B19" ca="1" si="1">INDIRECT("'Imp. Qualif.'!L"&amp;INDIRECT("f"&amp;ROW()))</f>
        <v/>
      </c>
      <c r="C6" s="444" t="str">
        <f t="shared" ref="C6:C19" ca="1" si="2">INDIRECT("'Imp. Qualif.'!M"&amp;INDIRECT("f"&amp;ROW()))</f>
        <v/>
      </c>
      <c r="D6" s="444" t="str">
        <f t="shared" ref="D6:D19" ca="1" si="3">INDIRECT("'Imp. Qualif.'!N"&amp;INDIRECT("f"&amp;ROW()))</f>
        <v/>
      </c>
      <c r="E6" s="486">
        <f t="shared" ref="E6:E19" ca="1" si="4">INDIRECT("'Imp. Qualif.'!O"&amp;INDIRECT("f"&amp;ROW()))</f>
        <v>0</v>
      </c>
      <c r="F6" s="489">
        <v>12</v>
      </c>
      <c r="G6" s="488" t="str">
        <f t="shared" ref="G6:G28" ca="1" si="5">B6&amp;C6</f>
        <v/>
      </c>
      <c r="H6" s="898" t="str">
        <f t="shared" ref="H6:J28" ca="1" si="6">IF(B6&lt;&gt;"",B6,"")</f>
        <v/>
      </c>
      <c r="I6" s="898" t="str">
        <f t="shared" ca="1" si="0"/>
        <v/>
      </c>
      <c r="J6" s="898" t="str">
        <f t="shared" ca="1" si="0"/>
        <v/>
      </c>
      <c r="K6" s="445" t="s">
        <v>779</v>
      </c>
      <c r="L6" s="779" t="s">
        <v>1083</v>
      </c>
      <c r="M6" s="456" t="s">
        <v>481</v>
      </c>
      <c r="N6" s="464" t="s">
        <v>780</v>
      </c>
      <c r="O6" s="446" t="s">
        <v>781</v>
      </c>
      <c r="P6" s="445"/>
      <c r="Q6" s="445" t="s">
        <v>779</v>
      </c>
      <c r="R6" s="779" t="s">
        <v>1083</v>
      </c>
      <c r="S6" s="456" t="s">
        <v>481</v>
      </c>
      <c r="T6" s="464" t="s">
        <v>780</v>
      </c>
      <c r="U6" s="446" t="s">
        <v>781</v>
      </c>
      <c r="V6" s="445"/>
      <c r="W6" s="445" t="s">
        <v>779</v>
      </c>
      <c r="X6" s="779" t="s">
        <v>1083</v>
      </c>
      <c r="Y6" s="456" t="s">
        <v>481</v>
      </c>
      <c r="Z6" s="464" t="s">
        <v>780</v>
      </c>
      <c r="AA6" s="446" t="s">
        <v>781</v>
      </c>
      <c r="AH6" s="483" t="s">
        <v>782</v>
      </c>
      <c r="AI6" s="484" t="s">
        <v>375</v>
      </c>
      <c r="AJ6" s="485" t="s">
        <v>783</v>
      </c>
      <c r="AN6" s="494">
        <f>K7</f>
        <v>1</v>
      </c>
      <c r="AO6" s="495" t="str">
        <f ca="1">L8</f>
        <v/>
      </c>
      <c r="AP6" s="495" t="str">
        <f ca="1">AO7</f>
        <v/>
      </c>
      <c r="AQ6" s="496" t="s">
        <v>793</v>
      </c>
      <c r="AR6" s="494">
        <f>Q7</f>
        <v>1</v>
      </c>
      <c r="AS6" s="495" t="str">
        <f>R8</f>
        <v/>
      </c>
      <c r="AT6" s="495" t="str">
        <f>AS7</f>
        <v/>
      </c>
      <c r="AU6" s="496" t="s">
        <v>793</v>
      </c>
      <c r="AV6" s="494">
        <f>W7</f>
        <v>1</v>
      </c>
      <c r="AW6" s="495" t="str">
        <f>X8</f>
        <v/>
      </c>
      <c r="AX6" s="495" t="str">
        <f>AW7</f>
        <v/>
      </c>
      <c r="AY6" s="496" t="s">
        <v>793</v>
      </c>
    </row>
    <row r="7" spans="1:51" ht="15.95" customHeight="1" thickBot="1" x14ac:dyDescent="0.25">
      <c r="A7" s="435">
        <v>3</v>
      </c>
      <c r="B7" s="444" t="str">
        <f t="shared" ca="1" si="1"/>
        <v/>
      </c>
      <c r="C7" s="444" t="str">
        <f t="shared" ca="1" si="2"/>
        <v/>
      </c>
      <c r="D7" s="444" t="str">
        <f t="shared" ca="1" si="3"/>
        <v/>
      </c>
      <c r="E7" s="486">
        <f t="shared" ca="1" si="4"/>
        <v>0</v>
      </c>
      <c r="F7" s="489">
        <v>13</v>
      </c>
      <c r="G7" s="488" t="str">
        <f t="shared" ca="1" si="5"/>
        <v/>
      </c>
      <c r="H7" s="898" t="str">
        <f t="shared" ca="1" si="6"/>
        <v/>
      </c>
      <c r="I7" s="898" t="str">
        <f t="shared" ca="1" si="0"/>
        <v/>
      </c>
      <c r="J7" s="898" t="str">
        <f t="shared" ca="1" si="0"/>
        <v/>
      </c>
      <c r="K7" s="447">
        <f>Num_Cible</f>
        <v>1</v>
      </c>
      <c r="L7" s="472">
        <v>1</v>
      </c>
      <c r="M7" s="465" t="str">
        <f ca="1">IFERROR(VLOOKUP(L8,$G$5:$J$28,2,FALSE),"")</f>
        <v/>
      </c>
      <c r="N7" s="966"/>
      <c r="O7" s="780"/>
      <c r="Q7" s="447">
        <f>K7</f>
        <v>1</v>
      </c>
      <c r="R7" s="472">
        <v>1</v>
      </c>
      <c r="S7" s="465" t="str">
        <f ca="1">IFERROR(VLOOKUP(R8,$G$5:$J$28,2,FALSE),"")</f>
        <v/>
      </c>
      <c r="T7" s="966"/>
      <c r="U7" s="780"/>
      <c r="W7" s="447">
        <f>Q7</f>
        <v>1</v>
      </c>
      <c r="X7" s="472">
        <v>1</v>
      </c>
      <c r="Y7" s="465" t="str">
        <f ca="1">IFERROR(VLOOKUP(X8,$G$5:$J$28,2,FALSE),"")</f>
        <v/>
      </c>
      <c r="Z7" s="966"/>
      <c r="AA7" s="780"/>
      <c r="AF7" s="448" t="s">
        <v>784</v>
      </c>
      <c r="AG7" s="435" t="str">
        <f>IF(ISBLANK(Z7),"",IF(Z7+AA7&gt;Z9+AA9,X8,X10))</f>
        <v/>
      </c>
      <c r="AH7" s="475" t="str">
        <f ca="1">IFERROR(VLOOKUP(AG7,$G$5:$J$28,2,FALSE),"")</f>
        <v/>
      </c>
      <c r="AI7" s="475" t="str">
        <f ca="1">IFERROR(VLOOKUP(AG7,$G$5:$J$28,3,FALSE),"")</f>
        <v/>
      </c>
      <c r="AJ7" s="475" t="str">
        <f ca="1">IFERROR(VLOOKUP(AG7,$G$5:$J$28,4,FALSE),"")</f>
        <v/>
      </c>
      <c r="AN7" s="494">
        <f>K9</f>
        <v>2</v>
      </c>
      <c r="AO7" s="495" t="str">
        <f ca="1">L10</f>
        <v/>
      </c>
      <c r="AP7" s="495" t="str">
        <f ca="1">AO6</f>
        <v/>
      </c>
      <c r="AQ7" s="496" t="s">
        <v>793</v>
      </c>
      <c r="AR7" s="494">
        <f>Q9</f>
        <v>2</v>
      </c>
      <c r="AS7" s="495" t="str">
        <f>R10</f>
        <v/>
      </c>
      <c r="AT7" s="495" t="str">
        <f>AS6</f>
        <v/>
      </c>
      <c r="AU7" s="496" t="s">
        <v>793</v>
      </c>
      <c r="AV7" s="494">
        <f>W9</f>
        <v>2</v>
      </c>
      <c r="AW7" s="495" t="str">
        <f>X10</f>
        <v/>
      </c>
      <c r="AX7" s="495" t="str">
        <f>AW6</f>
        <v/>
      </c>
      <c r="AY7" s="496" t="s">
        <v>793</v>
      </c>
    </row>
    <row r="8" spans="1:51" ht="15.95" customHeight="1" thickBot="1" x14ac:dyDescent="0.25">
      <c r="A8" s="435">
        <v>4</v>
      </c>
      <c r="B8" s="444" t="str">
        <f t="shared" ca="1" si="1"/>
        <v/>
      </c>
      <c r="C8" s="444" t="str">
        <f t="shared" ca="1" si="2"/>
        <v/>
      </c>
      <c r="D8" s="444" t="str">
        <f t="shared" ca="1" si="3"/>
        <v/>
      </c>
      <c r="E8" s="486">
        <f t="shared" ca="1" si="4"/>
        <v>0</v>
      </c>
      <c r="F8" s="489">
        <v>14</v>
      </c>
      <c r="G8" s="488" t="str">
        <f t="shared" ca="1" si="5"/>
        <v/>
      </c>
      <c r="H8" s="898" t="str">
        <f t="shared" ca="1" si="6"/>
        <v/>
      </c>
      <c r="I8" s="898" t="str">
        <f t="shared" ca="1" si="0"/>
        <v/>
      </c>
      <c r="J8" s="898" t="str">
        <f t="shared" ca="1" si="0"/>
        <v/>
      </c>
      <c r="K8" s="447"/>
      <c r="L8" s="473" t="str">
        <f ca="1">VLOOKUP(L7,$A$5:$G$24,7,FALSE)</f>
        <v/>
      </c>
      <c r="M8" s="466" t="str">
        <f ca="1">IFERROR(VLOOKUP(L8,$G$5:$J$28,3,FALSE),"")</f>
        <v/>
      </c>
      <c r="N8" s="967"/>
      <c r="Q8" s="447"/>
      <c r="R8" s="473" t="str">
        <f>IF(ISBLANK(N7),"",IF(O7+N7&gt;N9+O9,L8,L10))</f>
        <v/>
      </c>
      <c r="S8" s="466" t="str">
        <f ca="1">IFERROR(VLOOKUP(R8,$G$5:$J$28,3,FALSE),"")</f>
        <v/>
      </c>
      <c r="T8" s="967"/>
      <c r="W8" s="447"/>
      <c r="X8" s="473" t="str">
        <f>IF(ISBLANK(T7),"",IF(U7+T7&gt;T9+U9,R8,R10))</f>
        <v/>
      </c>
      <c r="Y8" s="466" t="str">
        <f ca="1">IFERROR(VLOOKUP(X8,$G$5:$J$28,3,FALSE),"")</f>
        <v/>
      </c>
      <c r="Z8" s="967"/>
      <c r="AF8" s="449" t="s">
        <v>785</v>
      </c>
      <c r="AG8" s="435" t="str">
        <f>IF(ISBLANK(Z7),"",IF(Z7+AA7&lt;Z9+AA9,X8,X10))</f>
        <v/>
      </c>
      <c r="AH8" s="478" t="str">
        <f t="shared" ref="AH8:AH21" ca="1" si="7">IFERROR(VLOOKUP(AG8,$G$5:$J$28,2,FALSE),"")</f>
        <v/>
      </c>
      <c r="AI8" s="897" t="str">
        <f t="shared" ref="AI8:AI21" ca="1" si="8">IFERROR(VLOOKUP(AG8,$G$5:$J$28,3,FALSE),"")</f>
        <v/>
      </c>
      <c r="AJ8" s="479" t="str">
        <f t="shared" ref="AJ8:AJ21" ca="1" si="9">IFERROR(VLOOKUP(AG8,$G$5:$J$28,4,FALSE),"")</f>
        <v/>
      </c>
      <c r="AN8" s="494">
        <f>K14</f>
        <v>3</v>
      </c>
      <c r="AO8" s="495" t="str">
        <f ca="1">L15</f>
        <v/>
      </c>
      <c r="AP8" s="495" t="str">
        <f t="shared" ref="AP8" ca="1" si="10">AO9</f>
        <v/>
      </c>
      <c r="AQ8" s="496" t="s">
        <v>793</v>
      </c>
      <c r="AR8" s="494">
        <f>Q14</f>
        <v>3</v>
      </c>
      <c r="AS8" s="495" t="str">
        <f>R15</f>
        <v/>
      </c>
      <c r="AT8" s="495" t="str">
        <f t="shared" ref="AT8" si="11">AS9</f>
        <v/>
      </c>
      <c r="AU8" s="496" t="s">
        <v>793</v>
      </c>
      <c r="AV8" s="494">
        <f>W14</f>
        <v>3</v>
      </c>
      <c r="AW8" s="495" t="str">
        <f>X15</f>
        <v/>
      </c>
      <c r="AX8" s="495" t="str">
        <f t="shared" ref="AX8" si="12">AW9</f>
        <v/>
      </c>
      <c r="AY8" s="496" t="s">
        <v>793</v>
      </c>
    </row>
    <row r="9" spans="1:51" ht="15.95" customHeight="1" thickBot="1" x14ac:dyDescent="0.25">
      <c r="A9" s="435">
        <v>5</v>
      </c>
      <c r="B9" s="444" t="str">
        <f t="shared" ca="1" si="1"/>
        <v/>
      </c>
      <c r="C9" s="444" t="str">
        <f t="shared" ca="1" si="2"/>
        <v/>
      </c>
      <c r="D9" s="444" t="str">
        <f t="shared" ca="1" si="3"/>
        <v/>
      </c>
      <c r="E9" s="486">
        <f t="shared" ca="1" si="4"/>
        <v>0</v>
      </c>
      <c r="F9" s="489">
        <v>15</v>
      </c>
      <c r="G9" s="488" t="str">
        <f t="shared" ca="1" si="5"/>
        <v/>
      </c>
      <c r="H9" s="898" t="str">
        <f t="shared" ca="1" si="6"/>
        <v/>
      </c>
      <c r="I9" s="898" t="str">
        <f t="shared" ca="1" si="0"/>
        <v/>
      </c>
      <c r="J9" s="898" t="str">
        <f t="shared" ca="1" si="0"/>
        <v/>
      </c>
      <c r="K9" s="447">
        <f>K7+1</f>
        <v>2</v>
      </c>
      <c r="L9" s="472">
        <v>8</v>
      </c>
      <c r="M9" s="465" t="str">
        <f ca="1">IFERROR(VLOOKUP(L10,$G$5:$J$28,2,FALSE),"")</f>
        <v/>
      </c>
      <c r="N9" s="966"/>
      <c r="O9" s="780"/>
      <c r="Q9" s="447">
        <f>Q7+1</f>
        <v>2</v>
      </c>
      <c r="R9" s="472">
        <v>4</v>
      </c>
      <c r="S9" s="465" t="str">
        <f ca="1">IFERROR(VLOOKUP(R10,$G$5:$J$28,2,FALSE),"")</f>
        <v/>
      </c>
      <c r="T9" s="966"/>
      <c r="U9" s="780"/>
      <c r="W9" s="447">
        <f>W7+1</f>
        <v>2</v>
      </c>
      <c r="X9" s="472">
        <v>2</v>
      </c>
      <c r="Y9" s="465" t="str">
        <f ca="1">IFERROR(VLOOKUP(X10,$G$5:$J$28,2,FALSE),"")</f>
        <v/>
      </c>
      <c r="Z9" s="966"/>
      <c r="AA9" s="780"/>
      <c r="AF9" s="452" t="s">
        <v>786</v>
      </c>
      <c r="AG9" s="435" t="str">
        <f>IF(ISBLANK(Z14),"",IF(Z14+AA14&gt;Z16+AA16,X15,X17))</f>
        <v/>
      </c>
      <c r="AH9" s="478" t="str">
        <f t="shared" ca="1" si="7"/>
        <v/>
      </c>
      <c r="AI9" s="897" t="str">
        <f t="shared" ca="1" si="8"/>
        <v/>
      </c>
      <c r="AJ9" s="479" t="str">
        <f t="shared" ca="1" si="9"/>
        <v/>
      </c>
      <c r="AN9" s="494">
        <f>K16</f>
        <v>4</v>
      </c>
      <c r="AO9" s="495" t="str">
        <f ca="1">L17</f>
        <v/>
      </c>
      <c r="AP9" s="495" t="str">
        <f t="shared" ref="AP9" ca="1" si="13">AO8</f>
        <v/>
      </c>
      <c r="AQ9" s="496" t="s">
        <v>793</v>
      </c>
      <c r="AR9" s="494">
        <f>Q16</f>
        <v>4</v>
      </c>
      <c r="AS9" s="495" t="str">
        <f>R17</f>
        <v/>
      </c>
      <c r="AT9" s="495" t="str">
        <f t="shared" ref="AT9" si="14">AS8</f>
        <v/>
      </c>
      <c r="AU9" s="496" t="s">
        <v>793</v>
      </c>
      <c r="AV9" s="494">
        <f>W16</f>
        <v>4</v>
      </c>
      <c r="AW9" s="495" t="str">
        <f>X17</f>
        <v/>
      </c>
      <c r="AX9" s="495" t="str">
        <f t="shared" ref="AX9" si="15">AW8</f>
        <v/>
      </c>
      <c r="AY9" s="496" t="s">
        <v>793</v>
      </c>
    </row>
    <row r="10" spans="1:51" ht="15.95" customHeight="1" thickBot="1" x14ac:dyDescent="0.25">
      <c r="A10" s="435">
        <v>6</v>
      </c>
      <c r="B10" s="444" t="str">
        <f t="shared" ca="1" si="1"/>
        <v/>
      </c>
      <c r="C10" s="444" t="str">
        <f t="shared" ca="1" si="2"/>
        <v/>
      </c>
      <c r="D10" s="444" t="str">
        <f t="shared" ca="1" si="3"/>
        <v/>
      </c>
      <c r="E10" s="486">
        <f t="shared" ca="1" si="4"/>
        <v>0</v>
      </c>
      <c r="F10" s="489">
        <v>16</v>
      </c>
      <c r="G10" s="488" t="str">
        <f t="shared" ca="1" si="5"/>
        <v/>
      </c>
      <c r="H10" s="898" t="str">
        <f t="shared" ca="1" si="6"/>
        <v/>
      </c>
      <c r="I10" s="898" t="str">
        <f t="shared" ca="1" si="0"/>
        <v/>
      </c>
      <c r="J10" s="898" t="str">
        <f t="shared" ca="1" si="0"/>
        <v/>
      </c>
      <c r="K10" s="447"/>
      <c r="L10" s="473" t="str">
        <f ca="1">VLOOKUP(L9,$A$5:$G$24,7,FALSE)</f>
        <v/>
      </c>
      <c r="M10" s="466" t="str">
        <f ca="1">IFERROR(VLOOKUP(L10,$G$5:$J$28,3,FALSE),"")</f>
        <v/>
      </c>
      <c r="N10" s="967"/>
      <c r="Q10" s="447"/>
      <c r="R10" s="473" t="str">
        <f>IF(ISBLANK(N14),"",IF(O14+N14&gt;N16+O16,L15,L17))</f>
        <v/>
      </c>
      <c r="S10" s="466" t="str">
        <f ca="1">IFERROR(VLOOKUP(R10,$G$5:$J$28,3,FALSE),"")</f>
        <v/>
      </c>
      <c r="T10" s="967"/>
      <c r="W10" s="447"/>
      <c r="X10" s="473" t="str">
        <f>IF(ISBLANK(T14),"",IF(U14+T14&gt;T16+U16,R15,R17))</f>
        <v/>
      </c>
      <c r="Y10" s="466" t="str">
        <f ca="1">IFERROR(VLOOKUP(X10,$G$5:$J$28,3,FALSE),"")</f>
        <v/>
      </c>
      <c r="Z10" s="967"/>
      <c r="AF10" s="453" t="s">
        <v>788</v>
      </c>
      <c r="AG10" s="435" t="str">
        <f>IF(ISBLANK(Z14),"",IF(Z14+AA14&lt;Z16+AA16,X15,X17))</f>
        <v/>
      </c>
      <c r="AH10" s="478" t="str">
        <f t="shared" ca="1" si="7"/>
        <v/>
      </c>
      <c r="AI10" s="897" t="str">
        <f t="shared" ca="1" si="8"/>
        <v/>
      </c>
      <c r="AJ10" s="479" t="str">
        <f t="shared" ca="1" si="9"/>
        <v/>
      </c>
      <c r="AN10" s="494">
        <f>K21</f>
        <v>5</v>
      </c>
      <c r="AO10" s="495" t="str">
        <f ca="1">L22</f>
        <v/>
      </c>
      <c r="AP10" s="495" t="str">
        <f t="shared" ref="AP10" ca="1" si="16">AO11</f>
        <v/>
      </c>
      <c r="AQ10" s="496" t="s">
        <v>793</v>
      </c>
      <c r="AR10" s="494">
        <f>Q21</f>
        <v>5</v>
      </c>
      <c r="AS10" s="495" t="str">
        <f>R22</f>
        <v/>
      </c>
      <c r="AT10" s="495" t="str">
        <f t="shared" ref="AT10" si="17">AS11</f>
        <v/>
      </c>
      <c r="AU10" s="496" t="s">
        <v>793</v>
      </c>
      <c r="AV10" s="494">
        <f>W21</f>
        <v>5</v>
      </c>
      <c r="AW10" s="495" t="str">
        <f>X22</f>
        <v/>
      </c>
      <c r="AX10" s="495" t="str">
        <f t="shared" ref="AX10" si="18">AW11</f>
        <v/>
      </c>
      <c r="AY10" s="496" t="s">
        <v>793</v>
      </c>
    </row>
    <row r="11" spans="1:51" ht="15.95" customHeight="1" x14ac:dyDescent="0.2">
      <c r="A11" s="435">
        <v>7</v>
      </c>
      <c r="B11" s="444" t="str">
        <f t="shared" ca="1" si="1"/>
        <v/>
      </c>
      <c r="C11" s="444" t="str">
        <f t="shared" ca="1" si="2"/>
        <v/>
      </c>
      <c r="D11" s="444" t="str">
        <f t="shared" ca="1" si="3"/>
        <v/>
      </c>
      <c r="E11" s="486">
        <f t="shared" ca="1" si="4"/>
        <v>0</v>
      </c>
      <c r="F11" s="489">
        <v>17</v>
      </c>
      <c r="G11" s="488" t="str">
        <f t="shared" ca="1" si="5"/>
        <v/>
      </c>
      <c r="H11" s="898" t="str">
        <f t="shared" ca="1" si="6"/>
        <v/>
      </c>
      <c r="I11" s="898" t="str">
        <f t="shared" ca="1" si="0"/>
        <v/>
      </c>
      <c r="J11" s="898" t="str">
        <f t="shared" ca="1" si="0"/>
        <v/>
      </c>
      <c r="K11" s="450"/>
      <c r="L11" s="450"/>
      <c r="M11" s="450"/>
      <c r="N11" s="451"/>
      <c r="O11" s="450"/>
      <c r="P11" s="450"/>
      <c r="Q11" s="450"/>
      <c r="R11" s="437"/>
      <c r="S11" s="437"/>
      <c r="T11" s="451"/>
      <c r="U11" s="450"/>
      <c r="V11" s="450"/>
      <c r="W11" s="450"/>
      <c r="X11" s="450"/>
      <c r="Y11" s="450"/>
      <c r="Z11" s="451"/>
      <c r="AA11" s="450"/>
      <c r="AF11" s="453" t="s">
        <v>789</v>
      </c>
      <c r="AG11" s="435" t="str">
        <f>IF(ISBLANK(Z21),"",IF(Z21+AA21&gt;Z23+AA23,X22,X24))</f>
        <v/>
      </c>
      <c r="AH11" s="478" t="str">
        <f t="shared" ca="1" si="7"/>
        <v/>
      </c>
      <c r="AI11" s="897" t="str">
        <f t="shared" ca="1" si="8"/>
        <v/>
      </c>
      <c r="AJ11" s="479" t="str">
        <f t="shared" ca="1" si="9"/>
        <v/>
      </c>
      <c r="AN11" s="494">
        <f>K23</f>
        <v>6</v>
      </c>
      <c r="AO11" s="495" t="str">
        <f ca="1">L24</f>
        <v/>
      </c>
      <c r="AP11" s="495" t="str">
        <f t="shared" ref="AP11" ca="1" si="19">AO10</f>
        <v/>
      </c>
      <c r="AQ11" s="496" t="s">
        <v>793</v>
      </c>
      <c r="AR11" s="494">
        <f>Q23</f>
        <v>6</v>
      </c>
      <c r="AS11" s="495" t="str">
        <f>R24</f>
        <v/>
      </c>
      <c r="AT11" s="495" t="str">
        <f t="shared" ref="AT11" si="20">AS10</f>
        <v/>
      </c>
      <c r="AU11" s="496" t="s">
        <v>793</v>
      </c>
      <c r="AV11" s="494">
        <f>W23</f>
        <v>6</v>
      </c>
      <c r="AW11" s="495" t="str">
        <f>X24</f>
        <v/>
      </c>
      <c r="AX11" s="495" t="str">
        <f t="shared" ref="AX11" si="21">AW10</f>
        <v/>
      </c>
      <c r="AY11" s="496" t="s">
        <v>793</v>
      </c>
    </row>
    <row r="12" spans="1:51" ht="15.95" customHeight="1" thickBot="1" x14ac:dyDescent="0.25">
      <c r="A12" s="435">
        <v>8</v>
      </c>
      <c r="B12" s="444" t="str">
        <f t="shared" ca="1" si="1"/>
        <v/>
      </c>
      <c r="C12" s="444" t="str">
        <f t="shared" ca="1" si="2"/>
        <v/>
      </c>
      <c r="D12" s="444" t="str">
        <f t="shared" ca="1" si="3"/>
        <v/>
      </c>
      <c r="E12" s="486">
        <f t="shared" ca="1" si="4"/>
        <v>0</v>
      </c>
      <c r="F12" s="489">
        <v>18</v>
      </c>
      <c r="G12" s="488" t="str">
        <f t="shared" ca="1" si="5"/>
        <v/>
      </c>
      <c r="H12" s="898" t="str">
        <f t="shared" ca="1" si="6"/>
        <v/>
      </c>
      <c r="I12" s="898" t="str">
        <f t="shared" ca="1" si="0"/>
        <v/>
      </c>
      <c r="J12" s="898" t="str">
        <f t="shared" ca="1" si="0"/>
        <v/>
      </c>
      <c r="K12" s="450"/>
      <c r="L12" s="450"/>
      <c r="M12" s="450"/>
      <c r="N12" s="451"/>
      <c r="O12" s="450"/>
      <c r="P12" s="450"/>
      <c r="Q12" s="450"/>
      <c r="R12" s="437"/>
      <c r="S12" s="437"/>
      <c r="T12" s="451"/>
      <c r="U12" s="450"/>
      <c r="V12" s="450"/>
      <c r="W12" s="450"/>
      <c r="X12" s="979" t="s">
        <v>787</v>
      </c>
      <c r="Y12" s="1247"/>
      <c r="Z12" s="1247"/>
      <c r="AA12" s="450"/>
      <c r="AF12" s="453" t="s">
        <v>790</v>
      </c>
      <c r="AG12" s="435" t="str">
        <f>IF(ISBLANK(Z21),"",IF(Z21+AA21&lt;Z23+AA23,X22,X24))</f>
        <v/>
      </c>
      <c r="AH12" s="478" t="str">
        <f t="shared" ca="1" si="7"/>
        <v/>
      </c>
      <c r="AI12" s="897" t="str">
        <f t="shared" ca="1" si="8"/>
        <v/>
      </c>
      <c r="AJ12" s="479" t="str">
        <f t="shared" ca="1" si="9"/>
        <v/>
      </c>
      <c r="AN12" s="494">
        <f>K28</f>
        <v>7</v>
      </c>
      <c r="AO12" s="495" t="str">
        <f ca="1">L29</f>
        <v/>
      </c>
      <c r="AP12" s="495" t="str">
        <f t="shared" ref="AP12" ca="1" si="22">AO13</f>
        <v/>
      </c>
      <c r="AQ12" s="496" t="s">
        <v>793</v>
      </c>
      <c r="AR12" s="494">
        <f>Q28</f>
        <v>7</v>
      </c>
      <c r="AS12" s="495" t="str">
        <f>R29</f>
        <v/>
      </c>
      <c r="AT12" s="495" t="str">
        <f t="shared" ref="AT12" si="23">AS13</f>
        <v/>
      </c>
      <c r="AU12" s="496" t="s">
        <v>793</v>
      </c>
      <c r="AV12" s="494">
        <f>W28</f>
        <v>7</v>
      </c>
      <c r="AW12" s="495" t="str">
        <f>X29</f>
        <v/>
      </c>
      <c r="AX12" s="495" t="str">
        <f t="shared" ref="AX12" si="24">AW13</f>
        <v/>
      </c>
      <c r="AY12" s="496" t="s">
        <v>793</v>
      </c>
    </row>
    <row r="13" spans="1:51" ht="15.95" customHeight="1" thickBot="1" x14ac:dyDescent="0.25">
      <c r="A13" s="435">
        <v>9</v>
      </c>
      <c r="B13" s="444" t="str">
        <f t="shared" ca="1" si="1"/>
        <v/>
      </c>
      <c r="C13" s="444" t="str">
        <f t="shared" ca="1" si="2"/>
        <v/>
      </c>
      <c r="D13" s="444" t="str">
        <f t="shared" ca="1" si="3"/>
        <v/>
      </c>
      <c r="E13" s="486">
        <f t="shared" ca="1" si="4"/>
        <v>0</v>
      </c>
      <c r="F13" s="489">
        <v>19</v>
      </c>
      <c r="G13" s="488" t="str">
        <f t="shared" ca="1" si="5"/>
        <v/>
      </c>
      <c r="H13" s="898" t="str">
        <f t="shared" ca="1" si="6"/>
        <v/>
      </c>
      <c r="I13" s="898" t="str">
        <f t="shared" ca="1" si="0"/>
        <v/>
      </c>
      <c r="J13" s="898" t="str">
        <f t="shared" ca="1" si="0"/>
        <v/>
      </c>
      <c r="K13" s="445" t="s">
        <v>779</v>
      </c>
      <c r="L13" s="779" t="s">
        <v>1083</v>
      </c>
      <c r="M13" s="456" t="s">
        <v>481</v>
      </c>
      <c r="N13" s="464" t="s">
        <v>780</v>
      </c>
      <c r="O13" s="446" t="s">
        <v>781</v>
      </c>
      <c r="P13" s="445"/>
      <c r="Q13" s="445" t="s">
        <v>779</v>
      </c>
      <c r="R13" s="779" t="s">
        <v>1083</v>
      </c>
      <c r="S13" s="456" t="s">
        <v>481</v>
      </c>
      <c r="T13" s="464" t="s">
        <v>780</v>
      </c>
      <c r="U13" s="446" t="s">
        <v>781</v>
      </c>
      <c r="V13" s="445"/>
      <c r="W13" s="445" t="s">
        <v>779</v>
      </c>
      <c r="X13" s="779" t="s">
        <v>1083</v>
      </c>
      <c r="Y13" s="456" t="s">
        <v>481</v>
      </c>
      <c r="Z13" s="464" t="s">
        <v>780</v>
      </c>
      <c r="AA13" s="446" t="s">
        <v>781</v>
      </c>
      <c r="AF13" s="453" t="s">
        <v>791</v>
      </c>
      <c r="AG13" s="435" t="str">
        <f>IF(ISBLANK(Z28),"",IF(Z28+AA28&gt;Z30+AA30,X29,X31))</f>
        <v/>
      </c>
      <c r="AH13" s="478" t="str">
        <f t="shared" ca="1" si="7"/>
        <v/>
      </c>
      <c r="AI13" s="897" t="str">
        <f t="shared" ca="1" si="8"/>
        <v/>
      </c>
      <c r="AJ13" s="479" t="str">
        <f t="shared" ca="1" si="9"/>
        <v/>
      </c>
      <c r="AN13" s="494">
        <f>K30</f>
        <v>8</v>
      </c>
      <c r="AO13" s="495" t="str">
        <f ca="1">L31</f>
        <v/>
      </c>
      <c r="AP13" s="495" t="str">
        <f t="shared" ref="AP13" ca="1" si="25">AO12</f>
        <v/>
      </c>
      <c r="AQ13" s="496" t="s">
        <v>793</v>
      </c>
      <c r="AR13" s="494">
        <f>Q30</f>
        <v>8</v>
      </c>
      <c r="AS13" s="495" t="str">
        <f>R31</f>
        <v/>
      </c>
      <c r="AT13" s="495" t="str">
        <f t="shared" ref="AT13" si="26">AS12</f>
        <v/>
      </c>
      <c r="AU13" s="496" t="s">
        <v>793</v>
      </c>
      <c r="AV13" s="494">
        <f>W30</f>
        <v>8</v>
      </c>
      <c r="AW13" s="495" t="str">
        <f>X31</f>
        <v/>
      </c>
      <c r="AX13" s="495" t="str">
        <f t="shared" ref="AX13" si="27">AW12</f>
        <v/>
      </c>
      <c r="AY13" s="496" t="s">
        <v>793</v>
      </c>
    </row>
    <row r="14" spans="1:51" ht="15.95" customHeight="1" thickBot="1" x14ac:dyDescent="0.25">
      <c r="A14" s="435">
        <v>10</v>
      </c>
      <c r="B14" s="444" t="str">
        <f t="shared" ca="1" si="1"/>
        <v/>
      </c>
      <c r="C14" s="444" t="str">
        <f t="shared" ca="1" si="2"/>
        <v/>
      </c>
      <c r="D14" s="444" t="str">
        <f t="shared" ca="1" si="3"/>
        <v/>
      </c>
      <c r="E14" s="486">
        <f t="shared" ca="1" si="4"/>
        <v>0</v>
      </c>
      <c r="F14" s="489">
        <v>20</v>
      </c>
      <c r="G14" s="488" t="str">
        <f t="shared" ca="1" si="5"/>
        <v/>
      </c>
      <c r="H14" s="898" t="str">
        <f t="shared" ca="1" si="6"/>
        <v/>
      </c>
      <c r="I14" s="898" t="str">
        <f t="shared" ca="1" si="0"/>
        <v/>
      </c>
      <c r="J14" s="898" t="str">
        <f t="shared" ca="1" si="0"/>
        <v/>
      </c>
      <c r="K14" s="447">
        <f>K9+1</f>
        <v>3</v>
      </c>
      <c r="L14" s="472">
        <v>4</v>
      </c>
      <c r="M14" s="465" t="str">
        <f ca="1">IFERROR(VLOOKUP(L15,$G$5:$J$28,2,FALSE),"")</f>
        <v/>
      </c>
      <c r="N14" s="966"/>
      <c r="O14" s="780"/>
      <c r="Q14" s="447">
        <f>Q9+1</f>
        <v>3</v>
      </c>
      <c r="R14" s="472">
        <v>3</v>
      </c>
      <c r="S14" s="465" t="str">
        <f ca="1">IFERROR(VLOOKUP(R15,$G$5:$J$28,2,FALSE),"")</f>
        <v/>
      </c>
      <c r="T14" s="966"/>
      <c r="U14" s="780"/>
      <c r="W14" s="447">
        <f>W9+1</f>
        <v>3</v>
      </c>
      <c r="X14" s="472">
        <v>4</v>
      </c>
      <c r="Y14" s="465" t="str">
        <f ca="1">IFERROR(VLOOKUP(X15,$G$5:$J$28,2,FALSE),"")</f>
        <v/>
      </c>
      <c r="Z14" s="966"/>
      <c r="AA14" s="780"/>
      <c r="AF14" s="453" t="s">
        <v>792</v>
      </c>
      <c r="AG14" s="435" t="str">
        <f>IF(ISBLANK(Z28),"",IF(Z28+AA28&lt;Z30+AA30,X29,X31))</f>
        <v/>
      </c>
      <c r="AH14" s="478" t="str">
        <f t="shared" ca="1" si="7"/>
        <v/>
      </c>
      <c r="AI14" s="897" t="str">
        <f t="shared" ca="1" si="8"/>
        <v/>
      </c>
      <c r="AJ14" s="479" t="str">
        <f t="shared" ca="1" si="9"/>
        <v/>
      </c>
      <c r="AN14" s="494">
        <f>K35</f>
        <v>9</v>
      </c>
      <c r="AO14" s="495" t="str">
        <f ca="1">L36</f>
        <v/>
      </c>
      <c r="AP14" s="784" t="s">
        <v>1326</v>
      </c>
      <c r="AQ14" s="496" t="s">
        <v>793</v>
      </c>
      <c r="AR14" s="494">
        <f>Q35</f>
        <v>9</v>
      </c>
      <c r="AS14" s="495" t="str">
        <f ca="1">R36</f>
        <v/>
      </c>
      <c r="AT14" s="495" t="str">
        <f t="shared" ref="AT14" si="28">AS15</f>
        <v/>
      </c>
      <c r="AU14" s="496" t="s">
        <v>793</v>
      </c>
      <c r="AV14" s="494">
        <f>W35</f>
        <v>9</v>
      </c>
      <c r="AW14" s="495" t="str">
        <f>X36</f>
        <v/>
      </c>
      <c r="AX14" s="495" t="str">
        <f t="shared" ref="AX14" si="29">AW15</f>
        <v/>
      </c>
      <c r="AY14" s="496" t="s">
        <v>793</v>
      </c>
    </row>
    <row r="15" spans="1:51" ht="15.95" customHeight="1" thickBot="1" x14ac:dyDescent="0.25">
      <c r="A15" s="435">
        <v>11</v>
      </c>
      <c r="B15" s="444" t="str">
        <f t="shared" ca="1" si="1"/>
        <v/>
      </c>
      <c r="C15" s="444" t="str">
        <f t="shared" ca="1" si="2"/>
        <v/>
      </c>
      <c r="D15" s="444" t="str">
        <f t="shared" ca="1" si="3"/>
        <v/>
      </c>
      <c r="E15" s="486">
        <f t="shared" ca="1" si="4"/>
        <v>0</v>
      </c>
      <c r="F15" s="489">
        <v>21</v>
      </c>
      <c r="G15" s="488" t="str">
        <f t="shared" ca="1" si="5"/>
        <v/>
      </c>
      <c r="H15" s="898" t="str">
        <f t="shared" ca="1" si="6"/>
        <v/>
      </c>
      <c r="I15" s="898" t="str">
        <f t="shared" ca="1" si="0"/>
        <v/>
      </c>
      <c r="J15" s="898" t="str">
        <f t="shared" ca="1" si="0"/>
        <v/>
      </c>
      <c r="K15" s="447"/>
      <c r="L15" s="473" t="str">
        <f ca="1">VLOOKUP(L14,$A$5:$G$24,7,FALSE)</f>
        <v/>
      </c>
      <c r="M15" s="466" t="str">
        <f ca="1">IFERROR(VLOOKUP(L15,$G$5:$J$28,3,FALSE),"")</f>
        <v/>
      </c>
      <c r="N15" s="967"/>
      <c r="Q15" s="447"/>
      <c r="R15" s="473" t="str">
        <f>IF(ISBLANK(N21),"",IF(N21+O21&gt;N23+O23,L22,L24))</f>
        <v/>
      </c>
      <c r="S15" s="466" t="str">
        <f ca="1">IFERROR(VLOOKUP(R15,$G$5:$J$28,3,FALSE),"")</f>
        <v/>
      </c>
      <c r="T15" s="967"/>
      <c r="W15" s="447"/>
      <c r="X15" s="473" t="str">
        <f>IF(ISBLANK(T7),"",IF(U7+T7&lt;T9+U9,R8,R10))</f>
        <v/>
      </c>
      <c r="Y15" s="466" t="str">
        <f ca="1">IFERROR(VLOOKUP(X15,$G$5:$J$28,3,FALSE),"")</f>
        <v/>
      </c>
      <c r="Z15" s="967"/>
      <c r="AF15" s="453" t="s">
        <v>794</v>
      </c>
      <c r="AG15" s="435" t="str">
        <f>IF(ISBLANK(Z35),"",IF(Z35+AA35&gt;Z37+AA37,X36,X38))</f>
        <v/>
      </c>
      <c r="AH15" s="478" t="str">
        <f t="shared" ca="1" si="7"/>
        <v/>
      </c>
      <c r="AI15" s="897" t="str">
        <f t="shared" ca="1" si="8"/>
        <v/>
      </c>
      <c r="AJ15" s="479" t="str">
        <f t="shared" ca="1" si="9"/>
        <v/>
      </c>
      <c r="AN15" s="494">
        <f>K40</f>
        <v>10</v>
      </c>
      <c r="AO15" s="495" t="str">
        <f ca="1">L41</f>
        <v/>
      </c>
      <c r="AP15" s="495" t="str">
        <f t="shared" ref="AP15" ca="1" si="30">AO16</f>
        <v/>
      </c>
      <c r="AQ15" s="496" t="s">
        <v>793</v>
      </c>
      <c r="AR15" s="494">
        <f>Q37</f>
        <v>10</v>
      </c>
      <c r="AS15" s="495" t="str">
        <f>R38</f>
        <v/>
      </c>
      <c r="AT15" s="495" t="str">
        <f t="shared" ref="AT15" ca="1" si="31">AS14</f>
        <v/>
      </c>
      <c r="AU15" s="496" t="s">
        <v>793</v>
      </c>
      <c r="AV15" s="494">
        <f>W37</f>
        <v>10</v>
      </c>
      <c r="AW15" s="495" t="str">
        <f>X38</f>
        <v/>
      </c>
      <c r="AX15" s="495" t="str">
        <f t="shared" ref="AX15" si="32">AW14</f>
        <v/>
      </c>
      <c r="AY15" s="496" t="s">
        <v>793</v>
      </c>
    </row>
    <row r="16" spans="1:51" ht="15.95" customHeight="1" thickBot="1" x14ac:dyDescent="0.25">
      <c r="A16" s="435">
        <v>12</v>
      </c>
      <c r="B16" s="444" t="str">
        <f t="shared" ca="1" si="1"/>
        <v/>
      </c>
      <c r="C16" s="444" t="str">
        <f t="shared" ca="1" si="2"/>
        <v/>
      </c>
      <c r="D16" s="444" t="str">
        <f t="shared" ca="1" si="3"/>
        <v/>
      </c>
      <c r="E16" s="486">
        <f t="shared" ca="1" si="4"/>
        <v>0</v>
      </c>
      <c r="F16" s="489">
        <v>22</v>
      </c>
      <c r="G16" s="488" t="str">
        <f t="shared" ca="1" si="5"/>
        <v/>
      </c>
      <c r="H16" s="898" t="str">
        <f t="shared" ca="1" si="6"/>
        <v/>
      </c>
      <c r="I16" s="898" t="str">
        <f t="shared" ca="1" si="0"/>
        <v/>
      </c>
      <c r="J16" s="898" t="str">
        <f t="shared" ca="1" si="0"/>
        <v/>
      </c>
      <c r="K16" s="447">
        <f>K14+1</f>
        <v>4</v>
      </c>
      <c r="L16" s="472">
        <v>5</v>
      </c>
      <c r="M16" s="465" t="str">
        <f ca="1">IFERROR(VLOOKUP(L17,$G$5:$J$28,2,FALSE),"")</f>
        <v/>
      </c>
      <c r="N16" s="966"/>
      <c r="O16" s="780"/>
      <c r="Q16" s="447">
        <f>Q14+1</f>
        <v>4</v>
      </c>
      <c r="R16" s="472">
        <v>2</v>
      </c>
      <c r="S16" s="465" t="str">
        <f ca="1">IFERROR(VLOOKUP(R17,$G$5:$J$28,2,FALSE),"")</f>
        <v/>
      </c>
      <c r="T16" s="966"/>
      <c r="U16" s="780"/>
      <c r="W16" s="447">
        <f>W14+1</f>
        <v>4</v>
      </c>
      <c r="X16" s="472">
        <v>3</v>
      </c>
      <c r="Y16" s="465" t="str">
        <f ca="1">IFERROR(VLOOKUP(X17,$G$5:$J$28,2,FALSE),"")</f>
        <v/>
      </c>
      <c r="Z16" s="966"/>
      <c r="AA16" s="780"/>
      <c r="AF16" s="453" t="s">
        <v>795</v>
      </c>
      <c r="AG16" s="435" t="str">
        <f>IF(ISBLANK(Z35),"",IF(Z35+AA35&lt;Z37+AA37,X36,X38))</f>
        <v/>
      </c>
      <c r="AH16" s="478" t="str">
        <f t="shared" ca="1" si="7"/>
        <v/>
      </c>
      <c r="AI16" s="897" t="str">
        <f t="shared" ca="1" si="8"/>
        <v/>
      </c>
      <c r="AJ16" s="479" t="str">
        <f t="shared" ca="1" si="9"/>
        <v/>
      </c>
      <c r="AN16" s="494">
        <f>K42</f>
        <v>11</v>
      </c>
      <c r="AO16" s="495" t="str">
        <f ca="1">L43</f>
        <v/>
      </c>
      <c r="AP16" s="495" t="str">
        <f t="shared" ref="AP16" ca="1" si="33">AO15</f>
        <v/>
      </c>
      <c r="AQ16" s="496" t="s">
        <v>793</v>
      </c>
      <c r="AR16" s="494">
        <f>Q41</f>
        <v>11</v>
      </c>
      <c r="AS16" s="495" t="str">
        <f>R42</f>
        <v/>
      </c>
      <c r="AT16" s="495" t="str">
        <f t="shared" ref="AT16" si="34">AS17</f>
        <v/>
      </c>
      <c r="AU16" s="496" t="s">
        <v>793</v>
      </c>
      <c r="AV16" s="494">
        <f>W42</f>
        <v>11</v>
      </c>
      <c r="AW16" s="495" t="str">
        <f>X43</f>
        <v/>
      </c>
      <c r="AX16" s="495" t="str">
        <f t="shared" ref="AX16" si="35">AW17</f>
        <v/>
      </c>
      <c r="AY16" s="496" t="s">
        <v>793</v>
      </c>
    </row>
    <row r="17" spans="1:51" ht="15.95" customHeight="1" thickBot="1" x14ac:dyDescent="0.25">
      <c r="A17" s="435">
        <v>13</v>
      </c>
      <c r="B17" s="444" t="str">
        <f t="shared" ca="1" si="1"/>
        <v/>
      </c>
      <c r="C17" s="444" t="str">
        <f t="shared" ca="1" si="2"/>
        <v/>
      </c>
      <c r="D17" s="444" t="str">
        <f t="shared" ca="1" si="3"/>
        <v/>
      </c>
      <c r="E17" s="486">
        <f t="shared" ca="1" si="4"/>
        <v>0</v>
      </c>
      <c r="F17" s="489">
        <v>23</v>
      </c>
      <c r="G17" s="488" t="str">
        <f t="shared" ca="1" si="5"/>
        <v/>
      </c>
      <c r="H17" s="898" t="str">
        <f t="shared" ca="1" si="6"/>
        <v/>
      </c>
      <c r="I17" s="898" t="str">
        <f t="shared" ca="1" si="0"/>
        <v/>
      </c>
      <c r="J17" s="898" t="str">
        <f t="shared" ca="1" si="0"/>
        <v/>
      </c>
      <c r="K17" s="447"/>
      <c r="L17" s="473" t="str">
        <f ca="1">VLOOKUP(L16,$A$5:$G$24,7,FALSE)</f>
        <v/>
      </c>
      <c r="M17" s="466" t="str">
        <f ca="1">IFERROR(VLOOKUP(L17,$G$5:$J$28,3,FALSE),"")</f>
        <v/>
      </c>
      <c r="N17" s="967"/>
      <c r="Q17" s="447"/>
      <c r="R17" s="473" t="str">
        <f>IF(ISBLANK(N28),"",IF(N28+O28&gt;N30+O30,L29,L31))</f>
        <v/>
      </c>
      <c r="S17" s="466" t="str">
        <f ca="1">IFERROR(VLOOKUP(R17,$G$5:$J$28,3,FALSE),"")</f>
        <v/>
      </c>
      <c r="T17" s="967"/>
      <c r="W17" s="447"/>
      <c r="X17" s="473" t="str">
        <f>IF(ISBLANK(T14),"",IF(U14+T14&lt;T16+U16,R15,R17))</f>
        <v/>
      </c>
      <c r="Y17" s="466" t="str">
        <f ca="1">IFERROR(VLOOKUP(X17,$G$5:$J$28,3,FALSE),"")</f>
        <v/>
      </c>
      <c r="Z17" s="967"/>
      <c r="AF17" s="453" t="s">
        <v>796</v>
      </c>
      <c r="AG17" s="435" t="str">
        <f>IF(ISBLANK(Z42),"",IF(Z42+AA42&gt;Z44+AA44,X43,X45))</f>
        <v/>
      </c>
      <c r="AH17" s="478" t="str">
        <f t="shared" ca="1" si="7"/>
        <v/>
      </c>
      <c r="AI17" s="897" t="str">
        <f t="shared" ca="1" si="8"/>
        <v/>
      </c>
      <c r="AJ17" s="479" t="str">
        <f t="shared" ca="1" si="9"/>
        <v/>
      </c>
      <c r="AN17" s="494">
        <f>K47</f>
        <v>12</v>
      </c>
      <c r="AO17" s="495" t="str">
        <f ca="1">L48</f>
        <v/>
      </c>
      <c r="AP17" s="495" t="str">
        <f t="shared" ref="AP17" ca="1" si="36">AO18</f>
        <v/>
      </c>
      <c r="AQ17" s="496" t="s">
        <v>793</v>
      </c>
      <c r="AR17" s="494">
        <f>Q43</f>
        <v>12</v>
      </c>
      <c r="AS17" s="495" t="str">
        <f>R44</f>
        <v/>
      </c>
      <c r="AT17" s="495" t="str">
        <f t="shared" ref="AT17" si="37">AS16</f>
        <v/>
      </c>
      <c r="AU17" s="496" t="s">
        <v>793</v>
      </c>
      <c r="AV17" s="494">
        <f>W44</f>
        <v>12</v>
      </c>
      <c r="AW17" s="495" t="str">
        <f>X45</f>
        <v/>
      </c>
      <c r="AX17" s="495" t="str">
        <f t="shared" ref="AX17" si="38">AW16</f>
        <v/>
      </c>
      <c r="AY17" s="496" t="s">
        <v>793</v>
      </c>
    </row>
    <row r="18" spans="1:51" ht="15.95" customHeight="1" x14ac:dyDescent="0.2">
      <c r="A18" s="435">
        <v>14</v>
      </c>
      <c r="B18" s="444" t="str">
        <f t="shared" ca="1" si="1"/>
        <v/>
      </c>
      <c r="C18" s="444" t="str">
        <f t="shared" ca="1" si="2"/>
        <v/>
      </c>
      <c r="D18" s="444" t="str">
        <f t="shared" ca="1" si="3"/>
        <v/>
      </c>
      <c r="E18" s="486">
        <f t="shared" ca="1" si="4"/>
        <v>0</v>
      </c>
      <c r="F18" s="489">
        <v>24</v>
      </c>
      <c r="G18" s="488" t="str">
        <f t="shared" ca="1" si="5"/>
        <v/>
      </c>
      <c r="H18" s="898" t="str">
        <f t="shared" ca="1" si="6"/>
        <v/>
      </c>
      <c r="I18" s="898" t="str">
        <f t="shared" ca="1" si="0"/>
        <v/>
      </c>
      <c r="J18" s="898" t="str">
        <f t="shared" ca="1" si="0"/>
        <v/>
      </c>
      <c r="K18" s="450"/>
      <c r="L18" s="450"/>
      <c r="M18" s="450"/>
      <c r="N18" s="451"/>
      <c r="O18" s="450"/>
      <c r="P18" s="450"/>
      <c r="Q18" s="450"/>
      <c r="R18" s="450"/>
      <c r="S18" s="450"/>
      <c r="T18" s="451"/>
      <c r="U18" s="450"/>
      <c r="V18" s="450"/>
      <c r="W18" s="450"/>
      <c r="X18" s="450"/>
      <c r="Y18" s="450"/>
      <c r="Z18" s="451"/>
      <c r="AA18" s="450"/>
      <c r="AF18" s="453" t="s">
        <v>797</v>
      </c>
      <c r="AG18" s="435" t="str">
        <f>IF(ISBLANK(Z42),"",IF(Z42+AA42&lt;Z44+AA44,X43,X45))</f>
        <v/>
      </c>
      <c r="AH18" s="478" t="str">
        <f t="shared" ca="1" si="7"/>
        <v/>
      </c>
      <c r="AI18" s="897" t="str">
        <f t="shared" ca="1" si="8"/>
        <v/>
      </c>
      <c r="AJ18" s="479" t="str">
        <f t="shared" ca="1" si="9"/>
        <v/>
      </c>
      <c r="AN18" s="494">
        <f>K49</f>
        <v>13</v>
      </c>
      <c r="AO18" s="495" t="str">
        <f ca="1">L50</f>
        <v/>
      </c>
      <c r="AP18" s="495" t="str">
        <f t="shared" ref="AP18" ca="1" si="39">AO17</f>
        <v/>
      </c>
      <c r="AQ18" s="496" t="s">
        <v>793</v>
      </c>
      <c r="AR18" s="494">
        <f>Q48</f>
        <v>13</v>
      </c>
      <c r="AS18" s="495" t="str">
        <f>R49</f>
        <v/>
      </c>
      <c r="AT18" s="784" t="s">
        <v>1326</v>
      </c>
      <c r="AU18" s="496" t="s">
        <v>793</v>
      </c>
      <c r="AV18" s="494">
        <f>W49</f>
        <v>13</v>
      </c>
      <c r="AW18" s="495" t="str">
        <f>X50</f>
        <v/>
      </c>
      <c r="AX18" s="495" t="str">
        <f t="shared" ref="AX18" si="40">AW19</f>
        <v/>
      </c>
      <c r="AY18" s="496" t="s">
        <v>793</v>
      </c>
    </row>
    <row r="19" spans="1:51" ht="15.95" customHeight="1" thickBot="1" x14ac:dyDescent="0.25">
      <c r="A19" s="435">
        <v>15</v>
      </c>
      <c r="B19" s="444" t="str">
        <f t="shared" ca="1" si="1"/>
        <v/>
      </c>
      <c r="C19" s="444" t="str">
        <f t="shared" ca="1" si="2"/>
        <v/>
      </c>
      <c r="D19" s="444" t="str">
        <f t="shared" ca="1" si="3"/>
        <v/>
      </c>
      <c r="E19" s="486">
        <f t="shared" ca="1" si="4"/>
        <v>0</v>
      </c>
      <c r="F19" s="489">
        <v>25</v>
      </c>
      <c r="G19" s="488" t="str">
        <f t="shared" ca="1" si="5"/>
        <v/>
      </c>
      <c r="H19" s="898" t="str">
        <f t="shared" ca="1" si="6"/>
        <v/>
      </c>
      <c r="I19" s="898" t="str">
        <f t="shared" ca="1" si="0"/>
        <v/>
      </c>
      <c r="J19" s="898" t="str">
        <f t="shared" ca="1" si="0"/>
        <v/>
      </c>
      <c r="K19" s="450"/>
      <c r="L19" s="454"/>
      <c r="M19" s="454"/>
      <c r="N19" s="455"/>
      <c r="O19" s="450"/>
      <c r="P19" s="450"/>
      <c r="Q19" s="450"/>
      <c r="R19" s="979" t="s">
        <v>819</v>
      </c>
      <c r="S19" s="1247"/>
      <c r="T19" s="1247"/>
      <c r="U19" s="450"/>
      <c r="V19" s="450"/>
      <c r="W19" s="450"/>
      <c r="X19" s="979" t="s">
        <v>820</v>
      </c>
      <c r="Y19" s="1247"/>
      <c r="Z19" s="1247"/>
      <c r="AA19" s="450"/>
      <c r="AB19" s="435" t="s">
        <v>793</v>
      </c>
      <c r="AF19" s="453" t="s">
        <v>798</v>
      </c>
      <c r="AG19" s="435" t="str">
        <f>IF(ISBLANK(Z49),"",IF(Z49+AA49&gt;Z51+AA51,X50,X52))</f>
        <v/>
      </c>
      <c r="AH19" s="478" t="str">
        <f t="shared" ca="1" si="7"/>
        <v/>
      </c>
      <c r="AI19" s="897" t="str">
        <f t="shared" ca="1" si="8"/>
        <v/>
      </c>
      <c r="AJ19" s="479" t="str">
        <f t="shared" ca="1" si="9"/>
        <v/>
      </c>
      <c r="AN19" s="494">
        <f>K54</f>
        <v>14</v>
      </c>
      <c r="AO19" s="495" t="str">
        <f ca="1">L55</f>
        <v/>
      </c>
      <c r="AP19" s="495" t="str">
        <f t="shared" ref="AP19" ca="1" si="41">AO20</f>
        <v/>
      </c>
      <c r="AQ19" s="496" t="s">
        <v>793</v>
      </c>
      <c r="AR19" s="494">
        <f>Q53</f>
        <v>14</v>
      </c>
      <c r="AS19" s="495" t="str">
        <f>R54</f>
        <v/>
      </c>
      <c r="AT19" s="495" t="str">
        <f>AS20</f>
        <v/>
      </c>
      <c r="AU19" s="496" t="s">
        <v>793</v>
      </c>
      <c r="AV19" s="494">
        <f>W51</f>
        <v>14</v>
      </c>
      <c r="AW19" s="495" t="str">
        <f>X52</f>
        <v/>
      </c>
      <c r="AX19" s="495" t="str">
        <f t="shared" ref="AX19" si="42">AW18</f>
        <v/>
      </c>
      <c r="AY19" s="496" t="s">
        <v>793</v>
      </c>
    </row>
    <row r="20" spans="1:51" ht="15.95" customHeight="1" thickBot="1" x14ac:dyDescent="0.25">
      <c r="F20" s="489">
        <v>26</v>
      </c>
      <c r="G20" s="488" t="str">
        <f t="shared" si="5"/>
        <v/>
      </c>
      <c r="H20" s="898" t="str">
        <f t="shared" si="6"/>
        <v/>
      </c>
      <c r="I20" s="898" t="str">
        <f t="shared" si="0"/>
        <v/>
      </c>
      <c r="J20" s="898" t="str">
        <f t="shared" si="0"/>
        <v/>
      </c>
      <c r="K20" s="445" t="s">
        <v>779</v>
      </c>
      <c r="L20" s="779" t="s">
        <v>1083</v>
      </c>
      <c r="M20" s="456" t="s">
        <v>481</v>
      </c>
      <c r="N20" s="464" t="s">
        <v>780</v>
      </c>
      <c r="O20" s="446" t="s">
        <v>781</v>
      </c>
      <c r="P20" s="445"/>
      <c r="Q20" s="445" t="s">
        <v>779</v>
      </c>
      <c r="R20" s="779" t="s">
        <v>1083</v>
      </c>
      <c r="S20" s="456" t="s">
        <v>481</v>
      </c>
      <c r="T20" s="464" t="s">
        <v>780</v>
      </c>
      <c r="U20" s="446" t="s">
        <v>781</v>
      </c>
      <c r="V20" s="445"/>
      <c r="W20" s="445" t="s">
        <v>779</v>
      </c>
      <c r="X20" s="779" t="s">
        <v>1083</v>
      </c>
      <c r="Y20" s="456" t="s">
        <v>481</v>
      </c>
      <c r="Z20" s="464" t="s">
        <v>780</v>
      </c>
      <c r="AA20" s="446" t="s">
        <v>781</v>
      </c>
      <c r="AF20" s="453" t="s">
        <v>799</v>
      </c>
      <c r="AG20" s="435" t="str">
        <f>IF(ISBLANK(Z49),"",IF(Z49+AA49&lt;Z51+AA51,X50,X52))</f>
        <v/>
      </c>
      <c r="AH20" s="478" t="str">
        <f t="shared" ca="1" si="7"/>
        <v/>
      </c>
      <c r="AI20" s="897" t="str">
        <f t="shared" ca="1" si="8"/>
        <v/>
      </c>
      <c r="AJ20" s="479" t="str">
        <f t="shared" ca="1" si="9"/>
        <v/>
      </c>
      <c r="AN20" s="494">
        <f>K56</f>
        <v>15</v>
      </c>
      <c r="AO20" s="495" t="str">
        <f ca="1">L57</f>
        <v/>
      </c>
      <c r="AP20" s="495" t="str">
        <f t="shared" ref="AP20" ca="1" si="43">AO19</f>
        <v/>
      </c>
      <c r="AQ20" s="496" t="s">
        <v>793</v>
      </c>
      <c r="AR20" s="494">
        <f>Q55</f>
        <v>15</v>
      </c>
      <c r="AS20" s="495" t="str">
        <f>R56</f>
        <v/>
      </c>
      <c r="AT20" s="495" t="str">
        <f>AS19</f>
        <v/>
      </c>
      <c r="AU20" s="496" t="s">
        <v>793</v>
      </c>
      <c r="AV20" s="494">
        <f>W55</f>
        <v>15</v>
      </c>
      <c r="AW20" s="495" t="str">
        <f>X54</f>
        <v>15ème place</v>
      </c>
      <c r="AX20" s="784" t="s">
        <v>1326</v>
      </c>
      <c r="AY20" s="496" t="s">
        <v>793</v>
      </c>
    </row>
    <row r="21" spans="1:51" ht="15.95" customHeight="1" thickBot="1" x14ac:dyDescent="0.25">
      <c r="F21" s="489">
        <v>27</v>
      </c>
      <c r="G21" s="488" t="str">
        <f t="shared" si="5"/>
        <v/>
      </c>
      <c r="H21" s="898" t="str">
        <f t="shared" si="6"/>
        <v/>
      </c>
      <c r="I21" s="898" t="str">
        <f t="shared" si="6"/>
        <v/>
      </c>
      <c r="J21" s="898" t="str">
        <f t="shared" si="6"/>
        <v/>
      </c>
      <c r="K21" s="447">
        <f>K16+1</f>
        <v>5</v>
      </c>
      <c r="L21" s="472">
        <v>3</v>
      </c>
      <c r="M21" s="465" t="str">
        <f ca="1">IFERROR(VLOOKUP(L22,$G$5:$J$28,2,FALSE),"")</f>
        <v/>
      </c>
      <c r="N21" s="966"/>
      <c r="O21" s="780"/>
      <c r="Q21" s="447">
        <f>Q16+1</f>
        <v>5</v>
      </c>
      <c r="R21" s="472">
        <v>8</v>
      </c>
      <c r="S21" s="465" t="str">
        <f ca="1">IFERROR(VLOOKUP(R22,$G$5:$J$28,2,FALSE),"")</f>
        <v/>
      </c>
      <c r="T21" s="966"/>
      <c r="U21" s="780"/>
      <c r="W21" s="447">
        <f>W16+1</f>
        <v>5</v>
      </c>
      <c r="X21" s="472">
        <v>5</v>
      </c>
      <c r="Y21" s="465" t="str">
        <f ca="1">IFERROR(VLOOKUP(X22,$G$5:$J$28,2,FALSE),"")</f>
        <v/>
      </c>
      <c r="Z21" s="966"/>
      <c r="AA21" s="780"/>
      <c r="AF21" s="453" t="s">
        <v>800</v>
      </c>
      <c r="AG21" s="896" t="str">
        <f>X56</f>
        <v/>
      </c>
      <c r="AH21" s="480" t="str">
        <f t="shared" ca="1" si="7"/>
        <v/>
      </c>
      <c r="AI21" s="481" t="str">
        <f t="shared" ca="1" si="8"/>
        <v/>
      </c>
      <c r="AJ21" s="482" t="str">
        <f t="shared" ca="1" si="9"/>
        <v/>
      </c>
      <c r="AN21" s="494"/>
      <c r="AO21" s="495"/>
      <c r="AP21" s="495"/>
      <c r="AQ21" s="496"/>
      <c r="AR21" s="494"/>
      <c r="AS21" s="495"/>
      <c r="AT21" s="495"/>
      <c r="AU21" s="496" t="s">
        <v>793</v>
      </c>
      <c r="AV21" s="494"/>
      <c r="AW21" s="495"/>
      <c r="AX21" s="495"/>
      <c r="AY21" s="496" t="s">
        <v>793</v>
      </c>
    </row>
    <row r="22" spans="1:51" ht="15.95" customHeight="1" thickBot="1" x14ac:dyDescent="0.25">
      <c r="F22" s="489">
        <v>28</v>
      </c>
      <c r="G22" s="488" t="str">
        <f t="shared" si="5"/>
        <v/>
      </c>
      <c r="H22" s="898" t="str">
        <f t="shared" si="6"/>
        <v/>
      </c>
      <c r="I22" s="898" t="str">
        <f t="shared" si="6"/>
        <v/>
      </c>
      <c r="J22" s="898" t="str">
        <f t="shared" si="6"/>
        <v/>
      </c>
      <c r="K22" s="447"/>
      <c r="L22" s="473" t="str">
        <f ca="1">VLOOKUP(L21,$A$5:$G$24,7,FALSE)</f>
        <v/>
      </c>
      <c r="M22" s="466" t="str">
        <f ca="1">IFERROR(VLOOKUP(L22,$G$5:$J$28,3,FALSE),"")</f>
        <v/>
      </c>
      <c r="N22" s="967"/>
      <c r="Q22" s="447"/>
      <c r="R22" s="473" t="str">
        <f>IF(ISBLANK(N7),"",IF(O7+N7&lt;N9+O9,L8,L10))</f>
        <v/>
      </c>
      <c r="S22" s="466" t="str">
        <f ca="1">IFERROR(VLOOKUP(R22,$G$5:$J$28,3,FALSE),"")</f>
        <v/>
      </c>
      <c r="T22" s="967"/>
      <c r="W22" s="447"/>
      <c r="X22" s="473" t="str">
        <f>IF(ISBLANK(T21),"",IF(U21+T21&gt;T23+U23,R22,R24))</f>
        <v/>
      </c>
      <c r="Y22" s="466" t="str">
        <f ca="1">IFERROR(VLOOKUP(X22,$G$5:$J$28,3,FALSE),"")</f>
        <v/>
      </c>
      <c r="Z22" s="967"/>
      <c r="AF22" s="453"/>
      <c r="AG22" s="453"/>
      <c r="AH22" s="453"/>
      <c r="AI22" s="453"/>
      <c r="AJ22" s="453"/>
      <c r="AN22" s="494"/>
      <c r="AO22" s="495"/>
      <c r="AP22" s="495"/>
      <c r="AQ22" s="496"/>
      <c r="AR22" s="494"/>
      <c r="AS22" s="495"/>
      <c r="AT22" s="495"/>
      <c r="AU22" s="496"/>
      <c r="AV22" s="494"/>
      <c r="AW22" s="495"/>
      <c r="AX22" s="495"/>
      <c r="AY22" s="496" t="s">
        <v>793</v>
      </c>
    </row>
    <row r="23" spans="1:51" ht="15.95" customHeight="1" thickBot="1" x14ac:dyDescent="0.25">
      <c r="F23" s="489">
        <v>29</v>
      </c>
      <c r="G23" s="488" t="str">
        <f t="shared" si="5"/>
        <v/>
      </c>
      <c r="H23" s="898" t="str">
        <f t="shared" si="6"/>
        <v/>
      </c>
      <c r="I23" s="898" t="str">
        <f t="shared" si="6"/>
        <v/>
      </c>
      <c r="J23" s="898" t="str">
        <f t="shared" si="6"/>
        <v/>
      </c>
      <c r="K23" s="447">
        <f>K21+1</f>
        <v>6</v>
      </c>
      <c r="L23" s="472">
        <v>6</v>
      </c>
      <c r="M23" s="465" t="str">
        <f ca="1">IFERROR(VLOOKUP(L24,$G$5:$J$28,2,FALSE),"")</f>
        <v/>
      </c>
      <c r="N23" s="966"/>
      <c r="O23" s="780"/>
      <c r="Q23" s="447">
        <f>Q21+1</f>
        <v>6</v>
      </c>
      <c r="R23" s="472">
        <v>5</v>
      </c>
      <c r="S23" s="465" t="str">
        <f ca="1">IFERROR(VLOOKUP(R24,$G$5:$J$28,2,FALSE),"")</f>
        <v/>
      </c>
      <c r="T23" s="966"/>
      <c r="U23" s="780"/>
      <c r="W23" s="447">
        <f>W21+1</f>
        <v>6</v>
      </c>
      <c r="X23" s="472">
        <v>6</v>
      </c>
      <c r="Y23" s="465" t="str">
        <f ca="1">IFERROR(VLOOKUP(X24,$G$5:$J$28,2,FALSE),"")</f>
        <v/>
      </c>
      <c r="Z23" s="966"/>
      <c r="AA23" s="780"/>
      <c r="AF23" s="453"/>
      <c r="AG23" s="453"/>
      <c r="AH23" s="453"/>
      <c r="AI23" s="453"/>
      <c r="AJ23" s="453"/>
      <c r="AN23" s="494"/>
      <c r="AO23" s="495"/>
      <c r="AP23" s="495"/>
      <c r="AQ23" s="496"/>
      <c r="AR23" s="494"/>
      <c r="AS23" s="495"/>
      <c r="AT23" s="495"/>
      <c r="AU23" s="496"/>
      <c r="AV23" s="494"/>
      <c r="AW23" s="495"/>
      <c r="AX23" s="495"/>
      <c r="AY23" s="496" t="s">
        <v>793</v>
      </c>
    </row>
    <row r="24" spans="1:51" ht="15.95" customHeight="1" thickBot="1" x14ac:dyDescent="0.25">
      <c r="F24" s="489">
        <v>30</v>
      </c>
      <c r="G24" s="488" t="str">
        <f t="shared" si="5"/>
        <v/>
      </c>
      <c r="H24" s="898" t="str">
        <f t="shared" si="6"/>
        <v/>
      </c>
      <c r="I24" s="898" t="str">
        <f t="shared" si="6"/>
        <v/>
      </c>
      <c r="J24" s="898" t="str">
        <f t="shared" si="6"/>
        <v/>
      </c>
      <c r="K24" s="447"/>
      <c r="L24" s="473" t="str">
        <f ca="1">VLOOKUP(L23,$A$5:$G$24,7,FALSE)</f>
        <v/>
      </c>
      <c r="M24" s="466" t="str">
        <f ca="1">IFERROR(VLOOKUP(L24,$G$5:$J$28,3,FALSE),"")</f>
        <v/>
      </c>
      <c r="N24" s="967"/>
      <c r="Q24" s="447"/>
      <c r="R24" s="473" t="str">
        <f>IF(ISBLANK(N14),"",IF(O14+N14&lt;N16+O16,L15,L17))</f>
        <v/>
      </c>
      <c r="S24" s="466" t="str">
        <f ca="1">IFERROR(VLOOKUP(R24,$G$5:$J$28,3,FALSE),"")</f>
        <v/>
      </c>
      <c r="T24" s="967"/>
      <c r="W24" s="447"/>
      <c r="X24" s="473" t="str">
        <f>IF(ISBLANK(T28),"",IF(U28+T28&gt;T30+U30,R29,R31))</f>
        <v/>
      </c>
      <c r="Y24" s="466" t="str">
        <f ca="1">IFERROR(VLOOKUP(X24,$G$5:$J$28,3,FALSE),"")</f>
        <v/>
      </c>
      <c r="Z24" s="967"/>
      <c r="AF24" s="453"/>
      <c r="AG24" s="453"/>
      <c r="AH24" s="453"/>
      <c r="AI24" s="453"/>
      <c r="AJ24" s="453"/>
      <c r="AN24" s="494"/>
      <c r="AO24" s="495"/>
      <c r="AP24" s="495"/>
      <c r="AQ24" s="496"/>
      <c r="AR24" s="494"/>
      <c r="AS24" s="495"/>
      <c r="AT24" s="495"/>
      <c r="AU24" s="496"/>
      <c r="AV24" s="494"/>
      <c r="AW24" s="495"/>
      <c r="AX24" s="495"/>
      <c r="AY24" s="496" t="s">
        <v>793</v>
      </c>
    </row>
    <row r="25" spans="1:51" ht="15.95" customHeight="1" x14ac:dyDescent="0.2">
      <c r="F25" s="489">
        <v>31</v>
      </c>
      <c r="G25" s="488" t="str">
        <f t="shared" si="5"/>
        <v/>
      </c>
      <c r="H25" s="898" t="str">
        <f t="shared" si="6"/>
        <v/>
      </c>
      <c r="I25" s="898" t="str">
        <f t="shared" si="6"/>
        <v/>
      </c>
      <c r="J25" s="898" t="str">
        <f t="shared" si="6"/>
        <v/>
      </c>
      <c r="K25" s="447"/>
      <c r="L25" s="441"/>
      <c r="M25" s="441"/>
      <c r="Q25" s="447"/>
      <c r="R25" s="437"/>
      <c r="S25" s="437"/>
      <c r="T25" s="451"/>
      <c r="W25" s="447"/>
      <c r="X25" s="441"/>
      <c r="Y25" s="441"/>
      <c r="AF25" s="453"/>
      <c r="AG25" s="453"/>
      <c r="AH25" s="453"/>
      <c r="AI25" s="453"/>
      <c r="AJ25" s="453"/>
      <c r="AN25" s="494"/>
      <c r="AO25" s="495"/>
      <c r="AP25" s="495"/>
      <c r="AQ25" s="496"/>
      <c r="AR25" s="494"/>
      <c r="AS25" s="495"/>
      <c r="AT25" s="495"/>
      <c r="AU25" s="496"/>
      <c r="AV25" s="494"/>
      <c r="AW25" s="495"/>
      <c r="AX25" s="495"/>
      <c r="AY25" s="496" t="s">
        <v>793</v>
      </c>
    </row>
    <row r="26" spans="1:51" ht="15.95" customHeight="1" thickBot="1" x14ac:dyDescent="0.25">
      <c r="F26" s="489">
        <v>32</v>
      </c>
      <c r="G26" s="488" t="str">
        <f t="shared" si="5"/>
        <v/>
      </c>
      <c r="H26" s="898" t="str">
        <f t="shared" si="6"/>
        <v/>
      </c>
      <c r="I26" s="898" t="str">
        <f t="shared" si="6"/>
        <v/>
      </c>
      <c r="J26" s="898" t="str">
        <f t="shared" si="6"/>
        <v/>
      </c>
      <c r="K26" s="450"/>
      <c r="L26" s="450"/>
      <c r="M26" s="450"/>
      <c r="N26" s="451"/>
      <c r="O26" s="450"/>
      <c r="P26" s="450"/>
      <c r="Q26" s="450"/>
      <c r="R26" s="437"/>
      <c r="S26" s="437"/>
      <c r="T26" s="451"/>
      <c r="U26" s="450"/>
      <c r="V26" s="450"/>
      <c r="W26" s="450"/>
      <c r="X26" s="979" t="s">
        <v>821</v>
      </c>
      <c r="Y26" s="1247"/>
      <c r="Z26" s="1247"/>
      <c r="AA26" s="450"/>
      <c r="AF26" s="453"/>
      <c r="AG26" s="453"/>
      <c r="AH26" s="453"/>
      <c r="AI26" s="453"/>
      <c r="AJ26" s="453"/>
      <c r="AN26" s="494"/>
      <c r="AO26" s="495"/>
      <c r="AP26" s="495"/>
      <c r="AQ26" s="496"/>
      <c r="AR26" s="494"/>
      <c r="AS26" s="495"/>
      <c r="AT26" s="495"/>
      <c r="AU26" s="496"/>
      <c r="AV26" s="494"/>
      <c r="AW26" s="495"/>
      <c r="AX26" s="495"/>
      <c r="AY26" s="496" t="s">
        <v>793</v>
      </c>
    </row>
    <row r="27" spans="1:51" ht="15.95" customHeight="1" thickBot="1" x14ac:dyDescent="0.25">
      <c r="F27" s="489">
        <v>33</v>
      </c>
      <c r="G27" s="488" t="str">
        <f t="shared" si="5"/>
        <v/>
      </c>
      <c r="H27" s="898" t="str">
        <f t="shared" si="6"/>
        <v/>
      </c>
      <c r="I27" s="898" t="str">
        <f t="shared" si="6"/>
        <v/>
      </c>
      <c r="J27" s="898" t="str">
        <f t="shared" si="6"/>
        <v/>
      </c>
      <c r="K27" s="445" t="s">
        <v>779</v>
      </c>
      <c r="L27" s="779" t="s">
        <v>1083</v>
      </c>
      <c r="M27" s="456" t="s">
        <v>481</v>
      </c>
      <c r="N27" s="464" t="s">
        <v>780</v>
      </c>
      <c r="O27" s="446" t="s">
        <v>781</v>
      </c>
      <c r="P27" s="445"/>
      <c r="Q27" s="445" t="s">
        <v>779</v>
      </c>
      <c r="R27" s="779" t="s">
        <v>1083</v>
      </c>
      <c r="S27" s="456" t="s">
        <v>481</v>
      </c>
      <c r="T27" s="464" t="s">
        <v>780</v>
      </c>
      <c r="U27" s="446" t="s">
        <v>781</v>
      </c>
      <c r="V27" s="445"/>
      <c r="W27" s="445" t="s">
        <v>779</v>
      </c>
      <c r="X27" s="779" t="s">
        <v>1083</v>
      </c>
      <c r="Y27" s="456" t="s">
        <v>481</v>
      </c>
      <c r="Z27" s="464" t="s">
        <v>780</v>
      </c>
      <c r="AA27" s="446" t="s">
        <v>781</v>
      </c>
      <c r="AF27" s="453"/>
      <c r="AG27" s="453"/>
      <c r="AH27" s="453"/>
      <c r="AI27" s="453"/>
      <c r="AJ27" s="453"/>
      <c r="AN27" s="494"/>
      <c r="AO27" s="495"/>
      <c r="AP27" s="495"/>
      <c r="AQ27" s="496"/>
      <c r="AR27" s="494"/>
      <c r="AS27" s="495"/>
      <c r="AT27" s="495"/>
      <c r="AU27" s="496"/>
      <c r="AV27" s="494"/>
      <c r="AW27" s="495"/>
      <c r="AX27" s="495"/>
      <c r="AY27" s="496" t="s">
        <v>793</v>
      </c>
    </row>
    <row r="28" spans="1:51" ht="15.95" customHeight="1" thickBot="1" x14ac:dyDescent="0.25">
      <c r="F28" s="489">
        <v>34</v>
      </c>
      <c r="G28" s="488" t="str">
        <f t="shared" si="5"/>
        <v/>
      </c>
      <c r="H28" s="898" t="str">
        <f t="shared" si="6"/>
        <v/>
      </c>
      <c r="I28" s="898" t="str">
        <f t="shared" si="6"/>
        <v/>
      </c>
      <c r="J28" s="898" t="str">
        <f t="shared" si="6"/>
        <v/>
      </c>
      <c r="K28" s="447">
        <f>K23+1</f>
        <v>7</v>
      </c>
      <c r="L28" s="472">
        <v>2</v>
      </c>
      <c r="M28" s="465" t="str">
        <f ca="1">IFERROR(VLOOKUP(L29,$G$5:$J$28,2,FALSE),"")</f>
        <v/>
      </c>
      <c r="N28" s="966"/>
      <c r="O28" s="780"/>
      <c r="Q28" s="447">
        <f>Q23+1</f>
        <v>7</v>
      </c>
      <c r="R28" s="472">
        <v>6</v>
      </c>
      <c r="S28" s="465" t="str">
        <f ca="1">IFERROR(VLOOKUP(R29,$G$5:$J$28,2,FALSE),"")</f>
        <v/>
      </c>
      <c r="T28" s="966"/>
      <c r="U28" s="780"/>
      <c r="W28" s="447">
        <f>W23+1</f>
        <v>7</v>
      </c>
      <c r="X28" s="472">
        <v>8</v>
      </c>
      <c r="Y28" s="465" t="str">
        <f ca="1">IFERROR(VLOOKUP(X29,$G$5:$J$28,2,FALSE),"")</f>
        <v/>
      </c>
      <c r="Z28" s="966"/>
      <c r="AA28" s="780"/>
      <c r="AF28" s="453"/>
      <c r="AG28" s="453"/>
      <c r="AH28" s="453"/>
      <c r="AI28" s="453"/>
      <c r="AJ28" s="453"/>
      <c r="AN28" s="494"/>
      <c r="AO28" s="495"/>
      <c r="AP28" s="495"/>
      <c r="AQ28" s="496"/>
      <c r="AR28" s="494"/>
      <c r="AS28" s="495"/>
      <c r="AT28" s="495"/>
      <c r="AU28" s="496"/>
      <c r="AV28" s="494"/>
      <c r="AW28" s="495"/>
      <c r="AX28" s="495"/>
      <c r="AY28" s="496" t="s">
        <v>793</v>
      </c>
    </row>
    <row r="29" spans="1:51" ht="15.95" customHeight="1" thickBot="1" x14ac:dyDescent="0.25">
      <c r="I29" s="437"/>
      <c r="J29" s="437"/>
      <c r="K29" s="447"/>
      <c r="L29" s="473" t="str">
        <f ca="1">VLOOKUP(L28,$A$5:$G$24,7,FALSE)</f>
        <v/>
      </c>
      <c r="M29" s="466" t="str">
        <f ca="1">IFERROR(VLOOKUP(L29,$G$5:$J$28,3,FALSE),"")</f>
        <v/>
      </c>
      <c r="N29" s="967"/>
      <c r="Q29" s="447"/>
      <c r="R29" s="473" t="str">
        <f>IF(ISBLANK(N21),"",IF(N21+O21&lt;N23+O23,L22,L24))</f>
        <v/>
      </c>
      <c r="S29" s="466" t="str">
        <f ca="1">IFERROR(VLOOKUP(R29,$G$5:$J$28,3,FALSE),"")</f>
        <v/>
      </c>
      <c r="T29" s="967"/>
      <c r="W29" s="447"/>
      <c r="X29" s="473" t="str">
        <f>IF(ISBLANK(T21),"",IF(U21+T21&lt;T23+U23,R22,R24))</f>
        <v/>
      </c>
      <c r="Y29" s="466" t="str">
        <f ca="1">IFERROR(VLOOKUP(X29,$G$5:$J$28,3,FALSE),"")</f>
        <v/>
      </c>
      <c r="Z29" s="967"/>
      <c r="AF29" s="453"/>
      <c r="AG29" s="453"/>
      <c r="AH29" s="453"/>
      <c r="AI29" s="453"/>
      <c r="AJ29" s="453"/>
      <c r="AN29" s="494"/>
      <c r="AO29" s="495"/>
      <c r="AP29" s="495"/>
      <c r="AQ29" s="496"/>
      <c r="AR29" s="494"/>
      <c r="AS29" s="495"/>
      <c r="AT29" s="495"/>
      <c r="AU29" s="496"/>
      <c r="AV29" s="494"/>
      <c r="AW29" s="495"/>
      <c r="AX29" s="495"/>
      <c r="AY29" s="496" t="s">
        <v>793</v>
      </c>
    </row>
    <row r="30" spans="1:51" ht="15.95" customHeight="1" thickBot="1" x14ac:dyDescent="0.25">
      <c r="I30" s="437"/>
      <c r="J30" s="437"/>
      <c r="K30" s="447">
        <f>K28+1</f>
        <v>8</v>
      </c>
      <c r="L30" s="472">
        <v>7</v>
      </c>
      <c r="M30" s="465" t="str">
        <f ca="1">IFERROR(VLOOKUP(L31,$G$5:$J$28,2,FALSE),"")</f>
        <v/>
      </c>
      <c r="N30" s="966"/>
      <c r="O30" s="780"/>
      <c r="Q30" s="447">
        <f>Q28+1</f>
        <v>8</v>
      </c>
      <c r="R30" s="472">
        <v>7</v>
      </c>
      <c r="S30" s="465" t="str">
        <f ca="1">IFERROR(VLOOKUP(R31,$G$5:$J$28,2,FALSE),"")</f>
        <v/>
      </c>
      <c r="T30" s="966"/>
      <c r="U30" s="780"/>
      <c r="W30" s="447">
        <f>W28+1</f>
        <v>8</v>
      </c>
      <c r="X30" s="472">
        <v>7</v>
      </c>
      <c r="Y30" s="465" t="str">
        <f ca="1">IFERROR(VLOOKUP(X31,$G$5:$J$28,2,FALSE),"")</f>
        <v/>
      </c>
      <c r="Z30" s="966"/>
      <c r="AA30" s="780"/>
      <c r="AF30" s="453"/>
      <c r="AG30" s="453"/>
      <c r="AH30" s="453"/>
      <c r="AI30" s="453"/>
      <c r="AJ30" s="453"/>
    </row>
    <row r="31" spans="1:51" ht="15.95" customHeight="1" thickBot="1" x14ac:dyDescent="0.25">
      <c r="I31" s="437"/>
      <c r="J31" s="437"/>
      <c r="K31" s="447"/>
      <c r="L31" s="473" t="str">
        <f ca="1">VLOOKUP(L30,$A$5:$G$24,7,FALSE)</f>
        <v/>
      </c>
      <c r="M31" s="466" t="str">
        <f ca="1">IFERROR(VLOOKUP(L31,$G$5:$J$28,3,FALSE),"")</f>
        <v/>
      </c>
      <c r="N31" s="967"/>
      <c r="Q31" s="447"/>
      <c r="R31" s="473" t="str">
        <f>IF(ISBLANK(N28),"",IF(N28+O28&lt;N30+O30,L29,L31))</f>
        <v/>
      </c>
      <c r="S31" s="466" t="str">
        <f ca="1">IFERROR(VLOOKUP(R31,$G$5:$J$28,3,FALSE),"")</f>
        <v/>
      </c>
      <c r="T31" s="967"/>
      <c r="W31" s="447"/>
      <c r="X31" s="473" t="str">
        <f>IF(ISBLANK(T28),"",IF(U28+T28&lt;T30+U30,R29,R31))</f>
        <v/>
      </c>
      <c r="Y31" s="466" t="str">
        <f ca="1">IFERROR(VLOOKUP(X31,$G$5:$J$28,3,FALSE),"")</f>
        <v/>
      </c>
      <c r="Z31" s="967"/>
      <c r="AF31" s="453"/>
      <c r="AG31" s="453"/>
    </row>
    <row r="32" spans="1:51" ht="15.95" customHeight="1" x14ac:dyDescent="0.2">
      <c r="I32" s="437"/>
      <c r="J32" s="437"/>
      <c r="K32" s="450"/>
      <c r="L32" s="437"/>
      <c r="M32" s="437"/>
      <c r="N32" s="451"/>
      <c r="O32" s="450"/>
      <c r="P32" s="450"/>
      <c r="Q32" s="450"/>
      <c r="R32" s="437"/>
      <c r="S32" s="437"/>
      <c r="T32" s="451"/>
      <c r="U32" s="450"/>
      <c r="V32" s="450"/>
      <c r="W32" s="450"/>
      <c r="X32" s="437"/>
      <c r="Y32" s="437"/>
      <c r="Z32" s="451"/>
      <c r="AA32" s="450"/>
      <c r="AF32" s="453"/>
      <c r="AG32" s="453"/>
    </row>
    <row r="33" spans="9:33" ht="15.95" customHeight="1" thickBot="1" x14ac:dyDescent="0.25">
      <c r="I33" s="437"/>
      <c r="J33" s="437"/>
      <c r="L33" s="979" t="s">
        <v>1106</v>
      </c>
      <c r="M33" s="1247"/>
      <c r="N33" s="1247"/>
      <c r="O33" s="443"/>
      <c r="P33" s="443"/>
      <c r="R33" s="979" t="s">
        <v>823</v>
      </c>
      <c r="S33" s="1247"/>
      <c r="T33" s="1247"/>
      <c r="U33" s="443"/>
      <c r="V33" s="443"/>
      <c r="W33" s="445"/>
      <c r="X33" s="979" t="s">
        <v>824</v>
      </c>
      <c r="Y33" s="1247"/>
      <c r="Z33" s="1247"/>
      <c r="AA33" s="443"/>
      <c r="AF33" s="453"/>
      <c r="AG33" s="453"/>
    </row>
    <row r="34" spans="9:33" ht="15.95" customHeight="1" thickBot="1" x14ac:dyDescent="0.25">
      <c r="I34" s="437"/>
      <c r="J34" s="437"/>
      <c r="K34" s="445" t="s">
        <v>779</v>
      </c>
      <c r="L34" s="779" t="s">
        <v>1083</v>
      </c>
      <c r="M34" s="456" t="s">
        <v>481</v>
      </c>
      <c r="N34" s="464" t="s">
        <v>780</v>
      </c>
      <c r="O34" s="446" t="s">
        <v>781</v>
      </c>
      <c r="P34" s="445"/>
      <c r="Q34" s="445" t="s">
        <v>779</v>
      </c>
      <c r="R34" s="779" t="s">
        <v>1083</v>
      </c>
      <c r="S34" s="456" t="s">
        <v>481</v>
      </c>
      <c r="T34" s="464" t="s">
        <v>780</v>
      </c>
      <c r="U34" s="446" t="s">
        <v>781</v>
      </c>
      <c r="V34" s="445"/>
      <c r="W34" s="445" t="s">
        <v>779</v>
      </c>
      <c r="X34" s="779" t="s">
        <v>1083</v>
      </c>
      <c r="Y34" s="456" t="s">
        <v>481</v>
      </c>
      <c r="Z34" s="464" t="s">
        <v>780</v>
      </c>
      <c r="AA34" s="446" t="s">
        <v>781</v>
      </c>
      <c r="AF34" s="453"/>
      <c r="AG34" s="453"/>
    </row>
    <row r="35" spans="9:33" ht="15.95" customHeight="1" thickBot="1" x14ac:dyDescent="0.25">
      <c r="I35" s="437"/>
      <c r="J35" s="437"/>
      <c r="K35" s="809">
        <f>K30+1</f>
        <v>9</v>
      </c>
      <c r="L35" s="472">
        <v>9</v>
      </c>
      <c r="M35" s="465" t="str">
        <f ca="1">IFERROR(VLOOKUP(L36,$G$5:$J$28,2,FALSE),"")</f>
        <v/>
      </c>
      <c r="N35" s="966"/>
      <c r="O35" s="780"/>
      <c r="Q35" s="809">
        <f>K35</f>
        <v>9</v>
      </c>
      <c r="R35" s="472">
        <v>9</v>
      </c>
      <c r="S35" s="465" t="str">
        <f ca="1">IFERROR(VLOOKUP(R36,$G$5:$J$28,2,FALSE),"")</f>
        <v/>
      </c>
      <c r="T35" s="966"/>
      <c r="U35" s="780"/>
      <c r="W35" s="809">
        <f>W30+1</f>
        <v>9</v>
      </c>
      <c r="X35" s="472">
        <v>9</v>
      </c>
      <c r="Y35" s="465" t="str">
        <f ca="1">IFERROR(VLOOKUP(X36,$G$5:$J$28,2,FALSE),"")</f>
        <v/>
      </c>
      <c r="Z35" s="966"/>
      <c r="AA35" s="780"/>
      <c r="AF35" s="453"/>
      <c r="AG35" s="453"/>
    </row>
    <row r="36" spans="9:33" ht="15.95" customHeight="1" thickBot="1" x14ac:dyDescent="0.25">
      <c r="I36" s="437"/>
      <c r="J36" s="437"/>
      <c r="K36" s="809"/>
      <c r="L36" s="473" t="str">
        <f ca="1">VLOOKUP(L35,$A$5:$G$24,7,FALSE)</f>
        <v/>
      </c>
      <c r="M36" s="466" t="str">
        <f ca="1">IFERROR(VLOOKUP(L36,$G$5:$J$28,3,FALSE),"")</f>
        <v/>
      </c>
      <c r="N36" s="967"/>
      <c r="O36" s="781"/>
      <c r="Q36" s="809"/>
      <c r="R36" s="473" t="str">
        <f ca="1">L36</f>
        <v/>
      </c>
      <c r="S36" s="466" t="str">
        <f ca="1">IFERROR(VLOOKUP(R36,$G$5:$J$28,3,FALSE),"")</f>
        <v/>
      </c>
      <c r="T36" s="967"/>
      <c r="U36" s="781"/>
      <c r="W36" s="809"/>
      <c r="X36" s="473" t="str">
        <f>IF(ISBLANK(T35),"",IF(U35+T35&gt;T37+U37,R36,R38))</f>
        <v/>
      </c>
      <c r="Y36" s="466" t="str">
        <f ca="1">IFERROR(VLOOKUP(X36,$G$5:$J$28,3,FALSE),"")</f>
        <v/>
      </c>
      <c r="Z36" s="967"/>
      <c r="AF36" s="453"/>
      <c r="AG36" s="453"/>
    </row>
    <row r="37" spans="9:33" ht="15.95" customHeight="1" thickBot="1" x14ac:dyDescent="0.25">
      <c r="I37" s="437"/>
      <c r="J37" s="437"/>
      <c r="K37" s="450"/>
      <c r="L37" s="516"/>
      <c r="M37" s="465"/>
      <c r="N37" s="457"/>
      <c r="Q37" s="809">
        <f>Q35+1</f>
        <v>10</v>
      </c>
      <c r="R37" s="472">
        <v>12</v>
      </c>
      <c r="S37" s="465" t="str">
        <f ca="1">IFERROR(VLOOKUP(R38,$G$5:$J$28,2,FALSE),"")</f>
        <v/>
      </c>
      <c r="T37" s="966"/>
      <c r="U37" s="780"/>
      <c r="W37" s="809">
        <f>W35+1</f>
        <v>10</v>
      </c>
      <c r="X37" s="472">
        <v>10</v>
      </c>
      <c r="Y37" s="465" t="str">
        <f ca="1">IFERROR(VLOOKUP(X38,$G$5:$J$28,2,FALSE),"")</f>
        <v/>
      </c>
      <c r="Z37" s="966"/>
      <c r="AA37" s="780"/>
      <c r="AF37" s="453"/>
      <c r="AG37" s="453"/>
    </row>
    <row r="38" spans="9:33" ht="15.95" customHeight="1" thickBot="1" x14ac:dyDescent="0.25">
      <c r="I38" s="437"/>
      <c r="J38" s="437"/>
      <c r="M38" s="466"/>
      <c r="Q38" s="809"/>
      <c r="R38" s="473" t="str">
        <f>IF(ISBLANK(N40),"",IF(O40+N40&gt;N42+O42,L41,L43))</f>
        <v/>
      </c>
      <c r="S38" s="466" t="str">
        <f ca="1">IFERROR(VLOOKUP(R38,$G$5:$J$28,3,FALSE),"")</f>
        <v/>
      </c>
      <c r="T38" s="967"/>
      <c r="U38" s="781"/>
      <c r="W38" s="809"/>
      <c r="X38" s="473" t="str">
        <f>IF(ISBLANK(T41),"",IF(U41+T41&gt;T43+U43,R42,R44))</f>
        <v/>
      </c>
      <c r="Y38" s="466" t="str">
        <f ca="1">IFERROR(VLOOKUP(X38,$G$5:$J$28,3,FALSE),"")</f>
        <v/>
      </c>
      <c r="Z38" s="967"/>
      <c r="AF38" s="453"/>
      <c r="AG38" s="453"/>
    </row>
    <row r="39" spans="9:33" ht="15.95" customHeight="1" thickBot="1" x14ac:dyDescent="0.25">
      <c r="I39" s="437"/>
      <c r="J39" s="437"/>
      <c r="K39" s="445" t="s">
        <v>779</v>
      </c>
      <c r="L39" s="779" t="s">
        <v>1083</v>
      </c>
      <c r="M39" s="456" t="s">
        <v>481</v>
      </c>
      <c r="N39" s="464" t="s">
        <v>780</v>
      </c>
      <c r="O39" s="446" t="s">
        <v>781</v>
      </c>
      <c r="P39" s="450"/>
      <c r="Q39" s="809"/>
      <c r="R39" s="442"/>
      <c r="S39" s="442"/>
      <c r="U39" s="442"/>
      <c r="V39" s="450"/>
      <c r="W39" s="450"/>
      <c r="X39" s="450"/>
      <c r="Y39" s="450"/>
      <c r="Z39" s="451"/>
      <c r="AA39" s="450"/>
      <c r="AF39" s="453"/>
      <c r="AG39" s="453"/>
    </row>
    <row r="40" spans="9:33" ht="15.95" customHeight="1" thickBot="1" x14ac:dyDescent="0.25">
      <c r="I40" s="437"/>
      <c r="J40" s="437"/>
      <c r="K40" s="809">
        <f>K35+1</f>
        <v>10</v>
      </c>
      <c r="L40" s="472">
        <v>12</v>
      </c>
      <c r="M40" s="465" t="str">
        <f ca="1">IFERROR(VLOOKUP(L41,$G$5:$J$28,2,FALSE),"")</f>
        <v/>
      </c>
      <c r="N40" s="966"/>
      <c r="O40" s="780"/>
      <c r="P40" s="450"/>
      <c r="Q40" s="445" t="s">
        <v>779</v>
      </c>
      <c r="R40" s="779" t="s">
        <v>1083</v>
      </c>
      <c r="S40" s="456" t="s">
        <v>481</v>
      </c>
      <c r="T40" s="464" t="s">
        <v>780</v>
      </c>
      <c r="U40" s="446" t="s">
        <v>781</v>
      </c>
      <c r="V40" s="450"/>
      <c r="W40" s="450"/>
      <c r="X40" s="979" t="s">
        <v>825</v>
      </c>
      <c r="Y40" s="1247"/>
      <c r="Z40" s="1247"/>
      <c r="AA40" s="450"/>
      <c r="AF40" s="453"/>
      <c r="AG40" s="453"/>
    </row>
    <row r="41" spans="9:33" ht="15.95" customHeight="1" thickBot="1" x14ac:dyDescent="0.25">
      <c r="I41" s="437"/>
      <c r="J41" s="437"/>
      <c r="K41" s="809"/>
      <c r="L41" s="473" t="str">
        <f ca="1">VLOOKUP(L40,$A$5:$G$24,7,FALSE)</f>
        <v/>
      </c>
      <c r="M41" s="466" t="str">
        <f ca="1">IFERROR(VLOOKUP(L41,$G$5:$J$28,3,FALSE),"")</f>
        <v/>
      </c>
      <c r="N41" s="967"/>
      <c r="P41" s="445"/>
      <c r="Q41" s="809">
        <f>Q37+1</f>
        <v>11</v>
      </c>
      <c r="R41" s="472">
        <v>10</v>
      </c>
      <c r="S41" s="465" t="str">
        <f ca="1">IFERROR(VLOOKUP(R42,$G$5:$J$28,2,FALSE),"")</f>
        <v/>
      </c>
      <c r="T41" s="966"/>
      <c r="U41" s="780"/>
      <c r="V41" s="445"/>
      <c r="W41" s="445" t="s">
        <v>779</v>
      </c>
      <c r="X41" s="779" t="s">
        <v>1083</v>
      </c>
      <c r="Y41" s="456" t="s">
        <v>481</v>
      </c>
      <c r="Z41" s="464" t="s">
        <v>780</v>
      </c>
      <c r="AA41" s="446" t="s">
        <v>781</v>
      </c>
      <c r="AF41" s="453"/>
      <c r="AG41" s="453"/>
    </row>
    <row r="42" spans="9:33" ht="15.95" customHeight="1" thickBot="1" x14ac:dyDescent="0.25">
      <c r="I42" s="437"/>
      <c r="J42" s="437"/>
      <c r="K42" s="809">
        <f>K40+1</f>
        <v>11</v>
      </c>
      <c r="L42" s="472">
        <v>13</v>
      </c>
      <c r="M42" s="465" t="str">
        <f ca="1">IFERROR(VLOOKUP(L43,$G$5:$J$28,2,FALSE),"")</f>
        <v/>
      </c>
      <c r="N42" s="966"/>
      <c r="O42" s="780"/>
      <c r="Q42" s="809"/>
      <c r="R42" s="473" t="str">
        <f>IF(ISBLANK(N54),"",IF(O54+N54&gt;N56+O56,L55,L57))</f>
        <v/>
      </c>
      <c r="S42" s="466" t="str">
        <f ca="1">IFERROR(VLOOKUP(R42,$G$5:$J$28,3,FALSE),"")</f>
        <v/>
      </c>
      <c r="T42" s="967"/>
      <c r="U42" s="781"/>
      <c r="W42" s="809">
        <f>W37+1</f>
        <v>11</v>
      </c>
      <c r="X42" s="472">
        <v>11</v>
      </c>
      <c r="Y42" s="465" t="str">
        <f ca="1">IFERROR(VLOOKUP(X43,$G$5:$J$28,2,FALSE),"")</f>
        <v/>
      </c>
      <c r="Z42" s="966"/>
      <c r="AA42" s="780"/>
      <c r="AF42" s="453"/>
      <c r="AG42" s="453"/>
    </row>
    <row r="43" spans="9:33" ht="15.95" customHeight="1" thickBot="1" x14ac:dyDescent="0.25">
      <c r="I43" s="437"/>
      <c r="J43" s="437"/>
      <c r="K43" s="809"/>
      <c r="L43" s="473" t="str">
        <f ca="1">VLOOKUP(L42,$A$5:$G$24,7,FALSE)</f>
        <v/>
      </c>
      <c r="M43" s="466" t="str">
        <f ca="1">IFERROR(VLOOKUP(L43,$G$5:$J$28,3,FALSE),"")</f>
        <v/>
      </c>
      <c r="N43" s="967"/>
      <c r="Q43" s="809">
        <f>Q41+1</f>
        <v>12</v>
      </c>
      <c r="R43" s="472">
        <v>11</v>
      </c>
      <c r="S43" s="465" t="str">
        <f ca="1">IFERROR(VLOOKUP(R44,$G$5:$J$28,2,FALSE),"")</f>
        <v/>
      </c>
      <c r="T43" s="966"/>
      <c r="U43" s="780"/>
      <c r="W43" s="809"/>
      <c r="X43" s="473" t="str">
        <f>IF(ISBLANK(T41),"",IF(U41+T41&lt;T43+U43,R42,R44))</f>
        <v/>
      </c>
      <c r="Y43" s="466" t="str">
        <f ca="1">IFERROR(VLOOKUP(X43,$G$5:$J$28,3,FALSE),"")</f>
        <v/>
      </c>
      <c r="Z43" s="967"/>
      <c r="AF43" s="453"/>
      <c r="AG43" s="453"/>
    </row>
    <row r="44" spans="9:33" ht="15.95" customHeight="1" thickBot="1" x14ac:dyDescent="0.25">
      <c r="I44" s="437"/>
      <c r="J44" s="437"/>
      <c r="Q44" s="809"/>
      <c r="R44" s="473" t="str">
        <f>IF(ISBLANK(N47),"",IF(O47+N47&gt;N49+O49,L48,L50))</f>
        <v/>
      </c>
      <c r="S44" s="466" t="str">
        <f ca="1">IFERROR(VLOOKUP(R44,$G$5:$J$28,3,FALSE),"")</f>
        <v/>
      </c>
      <c r="T44" s="967"/>
      <c r="U44" s="781"/>
      <c r="W44" s="809">
        <f>W42+1</f>
        <v>12</v>
      </c>
      <c r="X44" s="472">
        <v>12</v>
      </c>
      <c r="Y44" s="465" t="str">
        <f ca="1">IFERROR(VLOOKUP(X45,$G$5:$J$28,2,FALSE),"")</f>
        <v/>
      </c>
      <c r="Z44" s="966"/>
      <c r="AA44" s="780"/>
      <c r="AF44" s="453"/>
      <c r="AG44" s="453"/>
    </row>
    <row r="45" spans="9:33" ht="15.95" customHeight="1" thickBot="1" x14ac:dyDescent="0.25">
      <c r="I45" s="437"/>
      <c r="J45" s="437"/>
      <c r="K45" s="450"/>
      <c r="L45" s="516"/>
      <c r="M45" s="516"/>
      <c r="N45" s="457"/>
      <c r="W45" s="809"/>
      <c r="X45" s="473" t="str">
        <f>IF(ISBLANK(T35),"",IF(U35+T35&lt;T37+U37,R36,R38))</f>
        <v/>
      </c>
      <c r="Y45" s="466" t="str">
        <f ca="1">IFERROR(VLOOKUP(X45,$G$5:$J$28,3,FALSE),"")</f>
        <v/>
      </c>
      <c r="Z45" s="967"/>
      <c r="AF45" s="453"/>
      <c r="AG45" s="453"/>
    </row>
    <row r="46" spans="9:33" ht="15.95" customHeight="1" thickBot="1" x14ac:dyDescent="0.25">
      <c r="I46" s="437"/>
      <c r="J46" s="437"/>
      <c r="K46" s="445" t="s">
        <v>779</v>
      </c>
      <c r="L46" s="779" t="s">
        <v>1083</v>
      </c>
      <c r="M46" s="456" t="s">
        <v>481</v>
      </c>
      <c r="N46" s="464" t="s">
        <v>780</v>
      </c>
      <c r="O46" s="446" t="s">
        <v>781</v>
      </c>
      <c r="P46" s="450"/>
      <c r="R46" s="1250" t="s">
        <v>1105</v>
      </c>
      <c r="S46" s="1250"/>
      <c r="T46" s="1250"/>
      <c r="V46" s="450"/>
      <c r="W46" s="450"/>
      <c r="X46" s="450"/>
      <c r="Y46" s="450"/>
      <c r="Z46" s="451"/>
      <c r="AA46" s="450"/>
      <c r="AF46" s="453"/>
      <c r="AG46" s="453"/>
    </row>
    <row r="47" spans="9:33" ht="15.95" customHeight="1" thickBot="1" x14ac:dyDescent="0.25">
      <c r="I47" s="437"/>
      <c r="J47" s="437"/>
      <c r="K47" s="809">
        <f>K42+1</f>
        <v>12</v>
      </c>
      <c r="L47" s="472">
        <v>11</v>
      </c>
      <c r="M47" s="465" t="str">
        <f ca="1">IFERROR(VLOOKUP(L48,$G$5:$J$28,2,FALSE),"")</f>
        <v/>
      </c>
      <c r="N47" s="966"/>
      <c r="O47" s="780"/>
      <c r="P47" s="450"/>
      <c r="Q47" s="445" t="s">
        <v>779</v>
      </c>
      <c r="R47" s="779" t="s">
        <v>1083</v>
      </c>
      <c r="S47" s="456" t="s">
        <v>481</v>
      </c>
      <c r="T47" s="464" t="s">
        <v>780</v>
      </c>
      <c r="U47" s="446" t="s">
        <v>781</v>
      </c>
      <c r="V47" s="450"/>
      <c r="W47" s="450"/>
      <c r="X47" s="979" t="s">
        <v>827</v>
      </c>
      <c r="Y47" s="1247"/>
      <c r="Z47" s="1247"/>
      <c r="AA47" s="450"/>
      <c r="AB47" s="435" t="s">
        <v>793</v>
      </c>
      <c r="AF47" s="453"/>
      <c r="AG47" s="453"/>
    </row>
    <row r="48" spans="9:33" ht="15.95" customHeight="1" thickBot="1" x14ac:dyDescent="0.25">
      <c r="I48" s="437"/>
      <c r="J48" s="437"/>
      <c r="K48" s="809"/>
      <c r="L48" s="473" t="str">
        <f ca="1">VLOOKUP(L47,$A$5:$G$24,7,FALSE)</f>
        <v/>
      </c>
      <c r="M48" s="466" t="str">
        <f ca="1">IFERROR(VLOOKUP(L48,$G$5:$J$28,3,FALSE),"")</f>
        <v/>
      </c>
      <c r="N48" s="967"/>
      <c r="P48" s="445"/>
      <c r="Q48" s="809">
        <f>Q43+1</f>
        <v>13</v>
      </c>
      <c r="R48" s="472">
        <v>13</v>
      </c>
      <c r="S48" s="465" t="str">
        <f ca="1">IFERROR(VLOOKUP(R49,$G$5:$J$28,2,FALSE),"")</f>
        <v/>
      </c>
      <c r="T48" s="966"/>
      <c r="U48" s="780"/>
      <c r="V48" s="445"/>
      <c r="W48" s="445" t="s">
        <v>779</v>
      </c>
      <c r="X48" s="779" t="s">
        <v>1083</v>
      </c>
      <c r="Y48" s="456" t="s">
        <v>481</v>
      </c>
      <c r="Z48" s="464" t="s">
        <v>780</v>
      </c>
      <c r="AA48" s="446" t="s">
        <v>781</v>
      </c>
      <c r="AB48" s="435" t="s">
        <v>793</v>
      </c>
      <c r="AF48" s="453"/>
      <c r="AG48" s="453"/>
    </row>
    <row r="49" spans="9:33" ht="15.95" customHeight="1" thickBot="1" x14ac:dyDescent="0.25">
      <c r="I49" s="437"/>
      <c r="J49" s="437"/>
      <c r="K49" s="809">
        <f>K47+1</f>
        <v>13</v>
      </c>
      <c r="L49" s="472">
        <v>14</v>
      </c>
      <c r="M49" s="465" t="str">
        <f ca="1">IFERROR(VLOOKUP(L50,$G$5:$J$28,2,FALSE),"")</f>
        <v/>
      </c>
      <c r="N49" s="966"/>
      <c r="O49" s="780"/>
      <c r="Q49" s="809"/>
      <c r="R49" s="473" t="str">
        <f>IF(ISBLANK(N40),"",IF(O40+N40&lt;N42+O42,L41,L43))</f>
        <v/>
      </c>
      <c r="S49" s="466" t="str">
        <f ca="1">IFERROR(VLOOKUP(R49,$G$5:$J$28,3,FALSE),"")</f>
        <v/>
      </c>
      <c r="T49" s="967"/>
      <c r="W49" s="809">
        <f>W44+1</f>
        <v>13</v>
      </c>
      <c r="X49" s="472">
        <v>13</v>
      </c>
      <c r="Y49" s="465" t="str">
        <f ca="1">IFERROR(VLOOKUP(X50,$G$5:$J$28,2,FALSE),"")</f>
        <v/>
      </c>
      <c r="Z49" s="966"/>
      <c r="AA49" s="780"/>
      <c r="AB49" s="435" t="s">
        <v>793</v>
      </c>
      <c r="AF49" s="453"/>
      <c r="AG49" s="453"/>
    </row>
    <row r="50" spans="9:33" ht="15.95" customHeight="1" thickBot="1" x14ac:dyDescent="0.25">
      <c r="I50" s="437"/>
      <c r="J50" s="437"/>
      <c r="K50" s="809"/>
      <c r="L50" s="473" t="str">
        <f ca="1">VLOOKUP(L49,$A$5:$G$24,7,FALSE)</f>
        <v/>
      </c>
      <c r="M50" s="466" t="str">
        <f ca="1">IFERROR(VLOOKUP(L50,$G$5:$J$28,3,FALSE),"")</f>
        <v/>
      </c>
      <c r="N50" s="967"/>
      <c r="S50" s="465" t="str">
        <f ca="1">IFERROR(VLOOKUP(R51,$G$5:$J$28,2,FALSE),"")</f>
        <v/>
      </c>
      <c r="W50" s="809"/>
      <c r="X50" s="473" t="str">
        <f>R49</f>
        <v/>
      </c>
      <c r="Y50" s="466" t="str">
        <f ca="1">IFERROR(VLOOKUP(X50,$G$5:$J$28,3,FALSE),"")</f>
        <v/>
      </c>
      <c r="Z50" s="967"/>
      <c r="AB50" s="435" t="s">
        <v>793</v>
      </c>
    </row>
    <row r="51" spans="9:33" ht="15.95" customHeight="1" thickBot="1" x14ac:dyDescent="0.25">
      <c r="I51" s="437"/>
      <c r="J51" s="437"/>
      <c r="S51" s="466" t="str">
        <f ca="1">IFERROR(VLOOKUP(R51,$G$5:$J$28,3,FALSE),"")</f>
        <v/>
      </c>
      <c r="W51" s="809">
        <f>W49+1</f>
        <v>14</v>
      </c>
      <c r="X51" s="472">
        <v>14</v>
      </c>
      <c r="Y51" s="465" t="str">
        <f ca="1">IFERROR(VLOOKUP(X52,$G$5:$J$28,2,FALSE),"")</f>
        <v/>
      </c>
      <c r="Z51" s="966"/>
      <c r="AA51" s="780"/>
      <c r="AB51" s="435" t="s">
        <v>793</v>
      </c>
    </row>
    <row r="52" spans="9:33" ht="15.95" customHeight="1" thickBot="1" x14ac:dyDescent="0.25">
      <c r="I52" s="437"/>
      <c r="J52" s="437"/>
      <c r="Q52" s="445" t="s">
        <v>779</v>
      </c>
      <c r="R52" s="779" t="s">
        <v>1083</v>
      </c>
      <c r="S52" s="456" t="s">
        <v>481</v>
      </c>
      <c r="T52" s="464" t="s">
        <v>780</v>
      </c>
      <c r="U52" s="446" t="s">
        <v>781</v>
      </c>
      <c r="W52" s="809"/>
      <c r="X52" s="473" t="str">
        <f>IF(ISBLANK(T53),"",IF(U53+T53&gt;T55+U55,R54,R56))</f>
        <v/>
      </c>
      <c r="Y52" s="466" t="str">
        <f ca="1">IFERROR(VLOOKUP(X52,$G$5:$J$28,3,FALSE),"")</f>
        <v/>
      </c>
      <c r="Z52" s="967"/>
      <c r="AB52" s="435" t="s">
        <v>793</v>
      </c>
    </row>
    <row r="53" spans="9:33" ht="15.95" customHeight="1" thickBot="1" x14ac:dyDescent="0.25">
      <c r="I53" s="437"/>
      <c r="J53" s="437"/>
      <c r="K53" s="445" t="s">
        <v>779</v>
      </c>
      <c r="L53" s="779" t="s">
        <v>1083</v>
      </c>
      <c r="M53" s="456" t="s">
        <v>481</v>
      </c>
      <c r="N53" s="464" t="s">
        <v>780</v>
      </c>
      <c r="O53" s="446" t="s">
        <v>781</v>
      </c>
      <c r="Q53" s="809">
        <f>Q48+1</f>
        <v>14</v>
      </c>
      <c r="R53" s="472">
        <v>14</v>
      </c>
      <c r="S53" s="465" t="str">
        <f ca="1">IFERROR(VLOOKUP(R54,$G$5:$J$28,2,FALSE),"")</f>
        <v/>
      </c>
      <c r="T53" s="966"/>
      <c r="U53" s="780"/>
      <c r="AB53" s="435" t="s">
        <v>793</v>
      </c>
    </row>
    <row r="54" spans="9:33" ht="15.95" customHeight="1" thickBot="1" x14ac:dyDescent="0.25">
      <c r="I54" s="437"/>
      <c r="J54" s="437"/>
      <c r="K54" s="809">
        <f>K49+1</f>
        <v>14</v>
      </c>
      <c r="L54" s="472">
        <v>10</v>
      </c>
      <c r="M54" s="465" t="str">
        <f ca="1">IFERROR(VLOOKUP(L55,$G$5:$J$28,2,FALSE),"")</f>
        <v/>
      </c>
      <c r="N54" s="966"/>
      <c r="O54" s="780"/>
      <c r="P54" s="450"/>
      <c r="Q54" s="809"/>
      <c r="R54" s="473" t="str">
        <f>IF(ISBLANK(N47),"",IF(O47+N47&lt;N49+O49,L48,L50))</f>
        <v/>
      </c>
      <c r="S54" s="466" t="str">
        <f ca="1">IFERROR(VLOOKUP(R54,$G$5:$J$28,3,FALSE),"")</f>
        <v/>
      </c>
      <c r="T54" s="967"/>
      <c r="U54" s="781"/>
      <c r="V54" s="450"/>
      <c r="X54" s="979" t="s">
        <v>1316</v>
      </c>
      <c r="Y54" s="1247"/>
      <c r="Z54" s="1247"/>
      <c r="AB54" s="435" t="s">
        <v>793</v>
      </c>
    </row>
    <row r="55" spans="9:33" ht="15.95" customHeight="1" thickBot="1" x14ac:dyDescent="0.25">
      <c r="I55" s="437"/>
      <c r="J55" s="437"/>
      <c r="K55" s="809"/>
      <c r="L55" s="473" t="str">
        <f ca="1">VLOOKUP(L54,$A$5:$G$24,7,FALSE)</f>
        <v/>
      </c>
      <c r="M55" s="466" t="str">
        <f ca="1">IFERROR(VLOOKUP(L55,$G$5:$J$28,3,FALSE),"")</f>
        <v/>
      </c>
      <c r="N55" s="967"/>
      <c r="P55" s="445"/>
      <c r="Q55" s="809">
        <f>Q53+1</f>
        <v>15</v>
      </c>
      <c r="R55" s="472">
        <v>15</v>
      </c>
      <c r="S55" s="465" t="str">
        <f ca="1">IFERROR(VLOOKUP(R56,$G$5:$J$28,2,FALSE),"")</f>
        <v/>
      </c>
      <c r="T55" s="966"/>
      <c r="U55" s="780"/>
      <c r="V55" s="445"/>
      <c r="W55" s="809">
        <f>W51+1</f>
        <v>15</v>
      </c>
      <c r="X55" s="472">
        <v>15</v>
      </c>
      <c r="Y55" s="465" t="str">
        <f ca="1">IFERROR(VLOOKUP(X56,$G$5:$J$28,2,FALSE),"")</f>
        <v/>
      </c>
      <c r="Z55" s="886" t="str">
        <f>IF(AA55="","",AA55-T55)</f>
        <v/>
      </c>
      <c r="AB55" s="435" t="s">
        <v>793</v>
      </c>
    </row>
    <row r="56" spans="9:33" ht="15.95" customHeight="1" thickBot="1" x14ac:dyDescent="0.25">
      <c r="I56" s="437"/>
      <c r="J56" s="437"/>
      <c r="K56" s="809">
        <f>K54+1</f>
        <v>15</v>
      </c>
      <c r="L56" s="472">
        <v>15</v>
      </c>
      <c r="M56" s="465" t="str">
        <f ca="1">IFERROR(VLOOKUP(L57,$G$5:$J$28,2,FALSE),"")</f>
        <v/>
      </c>
      <c r="N56" s="966"/>
      <c r="O56" s="780"/>
      <c r="R56" s="473" t="str">
        <f>IF(ISBLANK(N54),"",IF(O54+N54&lt;N56+O56,L55,L57))</f>
        <v/>
      </c>
      <c r="S56" s="466" t="str">
        <f ca="1">IFERROR(VLOOKUP(R56,$G$5:$J$28,3,FALSE),"")</f>
        <v/>
      </c>
      <c r="T56" s="967"/>
      <c r="U56" s="781"/>
      <c r="W56" s="450"/>
      <c r="X56" s="473" t="str">
        <f>IF(ISBLANK(T53),"",IF(U53+T53&lt;T55+U55,R54,R56))</f>
        <v/>
      </c>
      <c r="Y56" s="466" t="str">
        <f ca="1">IFERROR(VLOOKUP(X56,$G$5:$J$28,3,FALSE),"")</f>
        <v/>
      </c>
      <c r="Z56" s="887"/>
      <c r="AB56" s="435" t="s">
        <v>793</v>
      </c>
    </row>
    <row r="57" spans="9:33" ht="15.95" customHeight="1" thickBot="1" x14ac:dyDescent="0.25">
      <c r="I57" s="437"/>
      <c r="J57" s="437"/>
      <c r="K57" s="809"/>
      <c r="L57" s="473" t="str">
        <f ca="1">VLOOKUP(L56,$A$5:$G$24,7,FALSE)</f>
        <v/>
      </c>
      <c r="M57" s="466" t="str">
        <f ca="1">IFERROR(VLOOKUP(L57,$G$5:$J$28,3,FALSE),"")</f>
        <v/>
      </c>
      <c r="N57" s="967"/>
    </row>
    <row r="58" spans="9:33" ht="15.95" customHeight="1" x14ac:dyDescent="0.2">
      <c r="I58" s="437"/>
      <c r="J58" s="437"/>
      <c r="K58" s="445"/>
      <c r="L58" s="782"/>
      <c r="O58" s="445"/>
      <c r="P58" s="445"/>
      <c r="Q58" s="445"/>
      <c r="R58" s="782"/>
      <c r="S58" s="435"/>
      <c r="U58" s="445"/>
      <c r="V58" s="445"/>
      <c r="W58" s="445"/>
      <c r="X58" s="782"/>
      <c r="AA58" s="445"/>
    </row>
    <row r="59" spans="9:33" ht="15.95" customHeight="1" x14ac:dyDescent="0.2">
      <c r="I59" s="437"/>
      <c r="J59" s="437"/>
      <c r="K59" s="445"/>
      <c r="L59" s="782"/>
      <c r="O59" s="445"/>
      <c r="P59" s="445"/>
      <c r="Q59" s="445"/>
      <c r="R59" s="782"/>
      <c r="S59" s="435"/>
      <c r="U59" s="445"/>
      <c r="V59" s="445"/>
      <c r="W59" s="445"/>
      <c r="X59" s="782"/>
      <c r="AA59" s="445"/>
    </row>
    <row r="60" spans="9:33" ht="15.95" customHeight="1" x14ac:dyDescent="0.2">
      <c r="I60" s="437"/>
      <c r="J60" s="437"/>
      <c r="K60" s="445"/>
      <c r="L60" s="782"/>
      <c r="O60" s="445"/>
      <c r="P60" s="445"/>
      <c r="Q60" s="445"/>
      <c r="R60" s="782"/>
      <c r="S60" s="435"/>
      <c r="U60" s="445"/>
      <c r="V60" s="445"/>
      <c r="W60" s="445"/>
      <c r="X60" s="782"/>
      <c r="AA60" s="445"/>
    </row>
    <row r="61" spans="9:33" ht="15.95" customHeight="1" x14ac:dyDescent="0.2">
      <c r="I61" s="437"/>
      <c r="J61" s="437"/>
      <c r="K61" s="445"/>
      <c r="L61" s="782"/>
      <c r="O61" s="445"/>
      <c r="P61" s="445"/>
      <c r="Q61" s="445"/>
      <c r="R61" s="782"/>
      <c r="S61" s="435"/>
      <c r="U61" s="445"/>
      <c r="V61" s="445"/>
      <c r="W61" s="445"/>
      <c r="X61" s="782"/>
      <c r="AA61" s="445"/>
    </row>
    <row r="62" spans="9:33" ht="15.95" customHeight="1" x14ac:dyDescent="0.2">
      <c r="I62" s="437"/>
      <c r="J62" s="437"/>
      <c r="K62" s="445"/>
      <c r="L62" s="782"/>
      <c r="O62" s="445"/>
      <c r="P62" s="445"/>
      <c r="Q62" s="445"/>
      <c r="R62" s="782"/>
      <c r="S62" s="435"/>
      <c r="U62" s="445"/>
      <c r="V62" s="445"/>
      <c r="W62" s="445"/>
      <c r="X62" s="782"/>
      <c r="AA62" s="445"/>
    </row>
    <row r="63" spans="9:33" ht="15.95" customHeight="1" x14ac:dyDescent="0.2">
      <c r="I63" s="437"/>
      <c r="J63" s="437"/>
      <c r="K63" s="445"/>
      <c r="L63" s="782"/>
      <c r="O63" s="445"/>
      <c r="P63" s="445"/>
      <c r="Q63" s="445"/>
      <c r="R63" s="782"/>
      <c r="S63" s="435"/>
      <c r="U63" s="445"/>
      <c r="V63" s="445"/>
      <c r="W63" s="445"/>
      <c r="X63" s="782"/>
      <c r="AA63" s="445"/>
    </row>
    <row r="64" spans="9:33" ht="15.95" customHeight="1" x14ac:dyDescent="0.2">
      <c r="I64" s="437"/>
      <c r="J64" s="437"/>
      <c r="K64" s="445"/>
      <c r="L64" s="782"/>
      <c r="O64" s="445"/>
      <c r="P64" s="445"/>
      <c r="Q64" s="445"/>
      <c r="R64" s="782"/>
      <c r="S64" s="435"/>
      <c r="U64" s="445"/>
      <c r="V64" s="445"/>
      <c r="W64" s="445"/>
      <c r="X64" s="782"/>
      <c r="AA64" s="445"/>
    </row>
    <row r="65" spans="9:36" ht="15.95" customHeight="1" x14ac:dyDescent="0.2">
      <c r="I65" s="437"/>
      <c r="J65" s="437"/>
      <c r="K65" s="445"/>
      <c r="L65" s="782"/>
      <c r="O65" s="445"/>
      <c r="P65" s="445"/>
      <c r="Q65" s="445"/>
      <c r="R65" s="782"/>
      <c r="S65" s="435"/>
      <c r="U65" s="445"/>
      <c r="V65" s="445"/>
      <c r="W65" s="445"/>
      <c r="X65" s="782"/>
      <c r="AA65" s="445"/>
      <c r="AH65" s="441"/>
      <c r="AI65" s="441"/>
      <c r="AJ65" s="447"/>
    </row>
    <row r="66" spans="9:36" ht="15.95" customHeight="1" x14ac:dyDescent="0.2">
      <c r="I66" s="437"/>
      <c r="J66" s="437"/>
      <c r="K66" s="445"/>
      <c r="L66" s="782"/>
      <c r="O66" s="445"/>
      <c r="P66" s="445"/>
      <c r="Q66" s="445"/>
      <c r="R66" s="782"/>
      <c r="S66" s="435"/>
      <c r="U66" s="445"/>
      <c r="V66" s="445"/>
      <c r="W66" s="445"/>
      <c r="X66" s="782"/>
      <c r="AA66" s="445"/>
      <c r="AH66" s="441"/>
      <c r="AI66" s="441"/>
      <c r="AJ66" s="447"/>
    </row>
    <row r="67" spans="9:36" ht="15.95" customHeight="1" x14ac:dyDescent="0.2">
      <c r="I67" s="437"/>
      <c r="J67" s="437"/>
      <c r="K67" s="445"/>
      <c r="L67" s="782"/>
      <c r="O67" s="445"/>
      <c r="P67" s="445"/>
      <c r="Q67" s="445"/>
      <c r="R67" s="782"/>
      <c r="S67" s="435"/>
      <c r="U67" s="445"/>
      <c r="V67" s="445"/>
      <c r="W67" s="445"/>
      <c r="X67" s="782"/>
      <c r="AA67" s="445"/>
      <c r="AH67" s="441"/>
      <c r="AI67" s="441"/>
      <c r="AJ67" s="441"/>
    </row>
    <row r="68" spans="9:36" ht="15.95" customHeight="1" x14ac:dyDescent="0.2">
      <c r="I68" s="437"/>
      <c r="J68" s="437"/>
      <c r="K68" s="445"/>
      <c r="L68" s="782"/>
      <c r="O68" s="445"/>
      <c r="P68" s="445"/>
      <c r="Q68" s="445"/>
      <c r="R68" s="782"/>
      <c r="S68" s="435"/>
      <c r="U68" s="445"/>
      <c r="V68" s="445"/>
      <c r="W68" s="445"/>
      <c r="X68" s="782"/>
      <c r="AA68" s="445"/>
      <c r="AH68" s="441"/>
      <c r="AI68" s="441"/>
      <c r="AJ68" s="441"/>
    </row>
    <row r="69" spans="9:36" ht="15.95" customHeight="1" x14ac:dyDescent="0.2">
      <c r="I69" s="437"/>
      <c r="J69" s="437"/>
      <c r="K69" s="445"/>
      <c r="L69" s="782"/>
      <c r="O69" s="445"/>
      <c r="P69" s="445"/>
      <c r="Q69" s="445"/>
      <c r="R69" s="782"/>
      <c r="S69" s="435"/>
      <c r="U69" s="445"/>
      <c r="V69" s="445"/>
      <c r="W69" s="445"/>
      <c r="X69" s="782"/>
      <c r="AA69" s="445"/>
      <c r="AH69" s="441"/>
      <c r="AI69" s="441"/>
      <c r="AJ69" s="450"/>
    </row>
    <row r="70" spans="9:36" ht="15.95" customHeight="1" x14ac:dyDescent="0.2">
      <c r="I70" s="437"/>
      <c r="J70" s="437"/>
      <c r="K70" s="445"/>
      <c r="L70" s="782"/>
      <c r="O70" s="445"/>
      <c r="P70" s="445"/>
      <c r="Q70" s="445"/>
      <c r="R70" s="782"/>
      <c r="S70" s="435"/>
      <c r="U70" s="445"/>
      <c r="V70" s="445"/>
      <c r="W70" s="445"/>
      <c r="X70" s="782"/>
      <c r="AA70" s="445"/>
      <c r="AH70" s="441"/>
      <c r="AI70" s="441"/>
      <c r="AJ70" s="450"/>
    </row>
    <row r="71" spans="9:36" ht="15.95" customHeight="1" x14ac:dyDescent="0.2">
      <c r="I71" s="437"/>
      <c r="J71" s="437"/>
      <c r="K71" s="445"/>
      <c r="L71" s="782"/>
      <c r="O71" s="445"/>
      <c r="P71" s="445"/>
      <c r="Q71" s="445"/>
      <c r="R71" s="782"/>
      <c r="S71" s="435"/>
      <c r="U71" s="445"/>
      <c r="V71" s="445"/>
      <c r="W71" s="445"/>
      <c r="X71" s="782"/>
      <c r="AA71" s="445"/>
      <c r="AH71" s="441"/>
      <c r="AI71" s="441"/>
      <c r="AJ71" s="445"/>
    </row>
    <row r="72" spans="9:36" ht="15.95" customHeight="1" x14ac:dyDescent="0.2">
      <c r="I72" s="437"/>
      <c r="J72" s="437"/>
      <c r="K72" s="445"/>
      <c r="L72" s="782"/>
      <c r="O72" s="445"/>
      <c r="P72" s="445"/>
      <c r="Q72" s="445"/>
      <c r="R72" s="782"/>
      <c r="S72" s="435"/>
      <c r="U72" s="445"/>
      <c r="V72" s="445"/>
      <c r="W72" s="445"/>
      <c r="X72" s="782"/>
      <c r="AA72" s="445"/>
      <c r="AH72" s="441"/>
      <c r="AI72" s="441"/>
      <c r="AJ72" s="447"/>
    </row>
    <row r="73" spans="9:36" ht="15.95" customHeight="1" x14ac:dyDescent="0.2">
      <c r="I73" s="437"/>
      <c r="J73" s="437"/>
      <c r="K73" s="445"/>
      <c r="L73" s="782"/>
      <c r="O73" s="445"/>
      <c r="P73" s="445"/>
      <c r="Q73" s="445"/>
      <c r="R73" s="782"/>
      <c r="S73" s="435"/>
      <c r="U73" s="445"/>
      <c r="V73" s="445"/>
      <c r="W73" s="445"/>
      <c r="X73" s="782"/>
      <c r="AA73" s="445"/>
      <c r="AH73" s="441"/>
      <c r="AI73" s="441"/>
      <c r="AJ73" s="447"/>
    </row>
    <row r="74" spans="9:36" ht="15.95" customHeight="1" x14ac:dyDescent="0.2">
      <c r="I74" s="437"/>
      <c r="J74" s="437"/>
      <c r="K74" s="450"/>
      <c r="L74" s="450"/>
      <c r="M74" s="450"/>
      <c r="P74" s="450"/>
      <c r="Q74" s="450"/>
      <c r="R74" s="450"/>
      <c r="S74" s="450"/>
      <c r="V74" s="450"/>
      <c r="W74" s="450"/>
      <c r="X74" s="450"/>
      <c r="Y74" s="450"/>
      <c r="Z74" s="451"/>
      <c r="AA74" s="450"/>
      <c r="AH74" s="441"/>
      <c r="AI74" s="441"/>
      <c r="AJ74" s="450"/>
    </row>
    <row r="75" spans="9:36" ht="15.95" customHeight="1" x14ac:dyDescent="0.2">
      <c r="I75" s="437"/>
      <c r="J75" s="437"/>
      <c r="K75" s="450"/>
      <c r="L75" s="450"/>
      <c r="M75" s="450"/>
      <c r="P75" s="450"/>
      <c r="Q75" s="450"/>
      <c r="R75" s="450"/>
      <c r="S75" s="450"/>
      <c r="V75" s="450"/>
      <c r="W75" s="450"/>
      <c r="X75" s="450"/>
      <c r="Y75" s="450"/>
      <c r="Z75" s="451"/>
      <c r="AA75" s="450"/>
      <c r="AH75" s="441"/>
      <c r="AI75" s="441"/>
      <c r="AJ75" s="450"/>
    </row>
    <row r="76" spans="9:36" ht="15.95" customHeight="1" x14ac:dyDescent="0.2">
      <c r="I76" s="437"/>
      <c r="J76" s="437"/>
      <c r="K76" s="523"/>
      <c r="L76" s="523"/>
      <c r="M76" s="523"/>
      <c r="N76" s="523"/>
      <c r="Q76" s="809"/>
      <c r="R76" s="450"/>
      <c r="S76" s="450"/>
      <c r="T76" s="451"/>
      <c r="U76" s="450"/>
      <c r="V76" s="450"/>
      <c r="W76" s="809"/>
      <c r="X76" s="450"/>
      <c r="Y76" s="450"/>
      <c r="Z76" s="451"/>
      <c r="AA76" s="521"/>
      <c r="AH76" s="441"/>
      <c r="AI76" s="441"/>
      <c r="AJ76" s="450"/>
    </row>
    <row r="77" spans="9:36" ht="15.95" customHeight="1" x14ac:dyDescent="0.2">
      <c r="I77" s="437"/>
      <c r="J77" s="437"/>
      <c r="K77" s="523"/>
      <c r="L77" s="523"/>
      <c r="M77" s="523"/>
      <c r="N77" s="523"/>
      <c r="Q77" s="809"/>
      <c r="R77" s="450"/>
      <c r="S77" s="450"/>
      <c r="T77" s="451"/>
      <c r="U77" s="450"/>
      <c r="V77" s="450"/>
      <c r="W77" s="809"/>
      <c r="X77" s="450"/>
      <c r="Y77" s="450"/>
      <c r="Z77" s="451"/>
      <c r="AA77" s="521"/>
      <c r="AH77" s="441"/>
      <c r="AI77" s="441"/>
      <c r="AJ77" s="450"/>
    </row>
    <row r="78" spans="9:36" ht="15.95" customHeight="1" x14ac:dyDescent="0.2">
      <c r="I78" s="437"/>
      <c r="J78" s="437"/>
      <c r="K78" s="450"/>
      <c r="L78" s="516"/>
      <c r="M78" s="457"/>
      <c r="N78" s="457"/>
      <c r="Q78" s="450"/>
      <c r="R78" s="516"/>
      <c r="S78" s="457"/>
      <c r="T78" s="457"/>
      <c r="U78" s="450"/>
      <c r="V78" s="450"/>
      <c r="W78" s="450"/>
      <c r="X78" s="516"/>
      <c r="Y78" s="457"/>
      <c r="Z78" s="457"/>
      <c r="AH78" s="441"/>
      <c r="AI78" s="441"/>
      <c r="AJ78" s="445"/>
    </row>
    <row r="79" spans="9:36" ht="15.95" customHeight="1" x14ac:dyDescent="0.2">
      <c r="I79" s="437"/>
      <c r="J79" s="437"/>
      <c r="K79" s="450"/>
      <c r="L79" s="516"/>
      <c r="M79" s="457"/>
      <c r="N79" s="457"/>
      <c r="Q79" s="450"/>
      <c r="R79" s="516"/>
      <c r="S79" s="457"/>
      <c r="T79" s="457"/>
      <c r="U79" s="450"/>
      <c r="V79" s="450"/>
      <c r="W79" s="450"/>
      <c r="X79" s="516"/>
      <c r="Y79" s="457"/>
      <c r="Z79" s="457"/>
      <c r="AH79" s="441"/>
      <c r="AI79" s="441"/>
      <c r="AJ79" s="447"/>
    </row>
    <row r="80" spans="9:36" ht="15.95" customHeight="1" x14ac:dyDescent="0.2">
      <c r="I80" s="437"/>
      <c r="J80" s="437"/>
      <c r="K80" s="450"/>
      <c r="L80" s="516"/>
      <c r="M80" s="457"/>
      <c r="N80" s="457"/>
      <c r="Q80" s="450"/>
      <c r="R80" s="516"/>
      <c r="S80" s="457"/>
      <c r="T80" s="457"/>
      <c r="U80" s="450"/>
      <c r="V80" s="450"/>
      <c r="W80" s="450"/>
      <c r="X80" s="516"/>
      <c r="Y80" s="457"/>
      <c r="Z80" s="457"/>
      <c r="AH80" s="441"/>
      <c r="AI80" s="441"/>
      <c r="AJ80" s="447"/>
    </row>
    <row r="81" spans="9:36" ht="15.95" customHeight="1" x14ac:dyDescent="0.2">
      <c r="I81" s="437"/>
      <c r="J81" s="437"/>
      <c r="K81" s="450"/>
      <c r="L81" s="516"/>
      <c r="M81" s="457"/>
      <c r="N81" s="457"/>
      <c r="Q81" s="450"/>
      <c r="R81" s="516"/>
      <c r="S81" s="457"/>
      <c r="T81" s="457"/>
      <c r="U81" s="450"/>
      <c r="V81" s="450"/>
      <c r="W81" s="450"/>
      <c r="X81" s="516"/>
      <c r="Y81" s="457"/>
      <c r="Z81" s="457"/>
      <c r="AH81" s="441"/>
      <c r="AI81" s="441"/>
      <c r="AJ81" s="447"/>
    </row>
    <row r="82" spans="9:36" ht="15.95" customHeight="1" x14ac:dyDescent="0.2">
      <c r="I82" s="437"/>
      <c r="J82" s="437"/>
      <c r="K82" s="450"/>
      <c r="L82" s="450"/>
      <c r="M82" s="450"/>
      <c r="N82" s="521"/>
      <c r="O82" s="521"/>
      <c r="P82" s="450"/>
      <c r="Q82" s="450"/>
      <c r="R82" s="450"/>
      <c r="S82" s="450"/>
      <c r="T82" s="451"/>
      <c r="U82" s="450"/>
      <c r="W82" s="450"/>
      <c r="X82" s="450"/>
      <c r="Y82" s="450"/>
      <c r="Z82" s="451"/>
      <c r="AA82" s="450"/>
      <c r="AH82" s="441"/>
      <c r="AI82" s="441"/>
      <c r="AJ82" s="450"/>
    </row>
    <row r="83" spans="9:36" ht="15.95" customHeight="1" x14ac:dyDescent="0.2">
      <c r="I83" s="437"/>
      <c r="J83" s="437"/>
      <c r="K83" s="445"/>
      <c r="L83" s="450"/>
      <c r="M83" s="450"/>
      <c r="N83" s="521"/>
      <c r="O83" s="521"/>
      <c r="P83" s="450"/>
      <c r="Q83" s="450"/>
      <c r="R83" s="450"/>
      <c r="S83" s="450"/>
      <c r="T83" s="451"/>
      <c r="U83" s="450"/>
      <c r="W83" s="450"/>
      <c r="X83" s="450"/>
      <c r="Y83" s="450"/>
      <c r="Z83" s="451"/>
      <c r="AA83" s="450"/>
      <c r="AH83" s="441"/>
      <c r="AI83" s="441"/>
      <c r="AJ83" s="445"/>
    </row>
    <row r="84" spans="9:36" ht="15.95" customHeight="1" x14ac:dyDescent="0.2">
      <c r="I84" s="437"/>
      <c r="J84" s="437"/>
      <c r="K84" s="447"/>
      <c r="L84" s="450"/>
      <c r="M84" s="450"/>
      <c r="N84" s="521"/>
      <c r="O84" s="521"/>
      <c r="P84" s="450"/>
      <c r="Q84" s="450"/>
      <c r="R84" s="450"/>
      <c r="S84" s="450"/>
      <c r="T84" s="451"/>
      <c r="U84" s="450"/>
      <c r="W84" s="450"/>
      <c r="X84" s="450"/>
      <c r="Y84" s="450"/>
      <c r="Z84" s="451"/>
      <c r="AA84" s="450"/>
      <c r="AH84" s="441"/>
      <c r="AI84" s="441"/>
      <c r="AJ84" s="447"/>
    </row>
    <row r="85" spans="9:36" ht="15.95" customHeight="1" x14ac:dyDescent="0.2">
      <c r="I85" s="437"/>
      <c r="J85" s="437"/>
      <c r="K85" s="447"/>
      <c r="L85" s="450"/>
      <c r="M85" s="450"/>
      <c r="N85" s="521"/>
      <c r="O85" s="521"/>
      <c r="P85" s="450"/>
      <c r="Q85" s="450"/>
      <c r="R85" s="450"/>
      <c r="S85" s="450"/>
      <c r="T85" s="451"/>
      <c r="U85" s="450"/>
      <c r="W85" s="450"/>
      <c r="X85" s="450"/>
      <c r="Y85" s="450"/>
      <c r="Z85" s="451"/>
      <c r="AA85" s="450"/>
      <c r="AH85" s="441"/>
      <c r="AI85" s="441"/>
      <c r="AJ85" s="447"/>
    </row>
    <row r="86" spans="9:36" ht="15.95" customHeight="1" x14ac:dyDescent="0.2">
      <c r="K86" s="447"/>
      <c r="L86" s="450"/>
      <c r="M86" s="450"/>
      <c r="N86" s="521"/>
      <c r="O86" s="521"/>
      <c r="P86" s="450"/>
      <c r="Q86" s="450"/>
      <c r="R86" s="450"/>
      <c r="S86" s="450"/>
      <c r="T86" s="451"/>
      <c r="U86" s="450"/>
      <c r="W86" s="450"/>
      <c r="X86" s="450"/>
      <c r="Y86" s="450"/>
      <c r="Z86" s="451"/>
      <c r="AA86" s="450"/>
      <c r="AH86" s="441"/>
      <c r="AI86" s="441"/>
      <c r="AJ86" s="441"/>
    </row>
    <row r="87" spans="9:36" ht="15.95" customHeight="1" x14ac:dyDescent="0.2">
      <c r="K87" s="447"/>
      <c r="L87" s="450"/>
      <c r="M87" s="450"/>
      <c r="N87" s="521"/>
      <c r="O87" s="521"/>
      <c r="P87" s="450"/>
      <c r="Q87" s="450"/>
      <c r="R87" s="450"/>
      <c r="S87" s="450"/>
      <c r="T87" s="451"/>
      <c r="U87" s="450"/>
      <c r="W87" s="450"/>
      <c r="X87" s="450"/>
      <c r="Y87" s="450"/>
      <c r="Z87" s="451"/>
      <c r="AA87" s="450"/>
      <c r="AH87" s="441"/>
      <c r="AI87" s="441"/>
      <c r="AJ87" s="441"/>
    </row>
    <row r="88" spans="9:36" ht="15.95" customHeight="1" x14ac:dyDescent="0.2">
      <c r="L88" s="450"/>
      <c r="M88" s="450"/>
      <c r="N88" s="521"/>
      <c r="O88" s="521"/>
      <c r="P88" s="450"/>
      <c r="Q88" s="450"/>
      <c r="R88" s="450"/>
      <c r="S88" s="450"/>
      <c r="T88" s="451"/>
      <c r="U88" s="450"/>
      <c r="W88" s="450"/>
      <c r="X88" s="450"/>
      <c r="Y88" s="450"/>
      <c r="Z88" s="451"/>
      <c r="AA88" s="450"/>
    </row>
    <row r="89" spans="9:36" ht="15.95" customHeight="1" x14ac:dyDescent="0.2">
      <c r="K89" s="435"/>
      <c r="L89" s="450"/>
      <c r="M89" s="450"/>
      <c r="N89" s="521"/>
      <c r="O89" s="521"/>
      <c r="P89" s="450"/>
      <c r="Q89" s="450"/>
      <c r="R89" s="450"/>
      <c r="S89" s="450"/>
      <c r="T89" s="451"/>
      <c r="U89" s="450"/>
      <c r="W89" s="450"/>
      <c r="X89" s="450"/>
      <c r="Y89" s="450"/>
      <c r="Z89" s="451"/>
      <c r="AA89" s="450"/>
    </row>
    <row r="90" spans="9:36" ht="15.95" customHeight="1" x14ac:dyDescent="0.2">
      <c r="K90" s="435"/>
      <c r="R90" s="450"/>
      <c r="S90" s="450"/>
      <c r="T90" s="451"/>
      <c r="U90" s="450"/>
      <c r="W90" s="450"/>
      <c r="X90" s="450"/>
      <c r="Y90" s="450"/>
      <c r="Z90" s="451"/>
    </row>
    <row r="91" spans="9:36" ht="15.95" customHeight="1" x14ac:dyDescent="0.2">
      <c r="K91" s="435"/>
    </row>
    <row r="92" spans="9:36" ht="15.95" customHeight="1" x14ac:dyDescent="0.2">
      <c r="K92" s="435"/>
    </row>
    <row r="93" spans="9:36" ht="15.95" customHeight="1" x14ac:dyDescent="0.2">
      <c r="K93" s="435"/>
    </row>
    <row r="94" spans="9:36" ht="15.95" customHeight="1" x14ac:dyDescent="0.2">
      <c r="K94" s="435"/>
    </row>
    <row r="95" spans="9:36" ht="15.95" customHeight="1" x14ac:dyDescent="0.2">
      <c r="K95" s="435"/>
      <c r="S95" s="450"/>
    </row>
    <row r="96" spans="9:36" ht="15.95" customHeight="1" x14ac:dyDescent="0.2">
      <c r="K96" s="435"/>
      <c r="S96" s="450"/>
    </row>
    <row r="97" ht="15.95" customHeight="1" x14ac:dyDescent="0.2"/>
    <row r="98" ht="15.95" customHeight="1" x14ac:dyDescent="0.2"/>
    <row r="99" ht="15.95" customHeight="1" x14ac:dyDescent="0.2"/>
    <row r="100" ht="15.95" customHeight="1" x14ac:dyDescent="0.2"/>
    <row r="101" ht="15.95" customHeight="1" x14ac:dyDescent="0.2"/>
    <row r="102" ht="15.95" customHeight="1" x14ac:dyDescent="0.2"/>
    <row r="103" ht="15.95" customHeight="1" x14ac:dyDescent="0.2"/>
    <row r="104" ht="15.95" customHeight="1" x14ac:dyDescent="0.2"/>
    <row r="105" ht="15.95" customHeight="1" x14ac:dyDescent="0.2"/>
    <row r="106" ht="15.95" customHeight="1" x14ac:dyDescent="0.2"/>
    <row r="107" ht="15.95" customHeight="1" x14ac:dyDescent="0.2"/>
    <row r="108" ht="15.95" customHeight="1" x14ac:dyDescent="0.2"/>
    <row r="109" ht="15.95" customHeight="1" x14ac:dyDescent="0.2"/>
    <row r="110" ht="15.95" customHeight="1" x14ac:dyDescent="0.2"/>
    <row r="111" ht="15.95" customHeight="1" x14ac:dyDescent="0.2"/>
    <row r="112" ht="15.95" customHeight="1" x14ac:dyDescent="0.2"/>
    <row r="113" ht="15.95" customHeight="1" x14ac:dyDescent="0.2"/>
    <row r="114" ht="15.95" customHeight="1" x14ac:dyDescent="0.2"/>
    <row r="115" ht="15.95" customHeight="1" x14ac:dyDescent="0.2"/>
    <row r="116" ht="15.95" customHeight="1" x14ac:dyDescent="0.2"/>
    <row r="117" ht="15.95" customHeight="1" x14ac:dyDescent="0.2"/>
    <row r="118" ht="15.95" customHeight="1" x14ac:dyDescent="0.2"/>
    <row r="119" ht="15.95" customHeight="1" x14ac:dyDescent="0.2"/>
    <row r="120" ht="15.95" customHeight="1" x14ac:dyDescent="0.2"/>
    <row r="121" ht="15.95" customHeight="1" x14ac:dyDescent="0.2"/>
    <row r="122" ht="15.95" customHeight="1" x14ac:dyDescent="0.2"/>
    <row r="123" ht="15.95" customHeight="1" x14ac:dyDescent="0.2"/>
    <row r="124" ht="15.95" customHeight="1" x14ac:dyDescent="0.2"/>
    <row r="125" ht="15.95" customHeight="1" x14ac:dyDescent="0.2"/>
    <row r="126" ht="15.95" customHeight="1" x14ac:dyDescent="0.2"/>
    <row r="127" ht="15.95" customHeight="1" x14ac:dyDescent="0.2"/>
    <row r="128" ht="15.95" customHeight="1" x14ac:dyDescent="0.2"/>
    <row r="129" ht="15.95" customHeight="1" x14ac:dyDescent="0.2"/>
    <row r="130" ht="15.95" customHeight="1" x14ac:dyDescent="0.2"/>
    <row r="131" ht="15.95" customHeight="1" x14ac:dyDescent="0.2"/>
    <row r="132" ht="15.95" customHeight="1" x14ac:dyDescent="0.2"/>
    <row r="133" ht="15.95" customHeight="1" x14ac:dyDescent="0.2"/>
    <row r="134" ht="15.95" customHeight="1" x14ac:dyDescent="0.2"/>
    <row r="135" ht="15.95" customHeight="1" x14ac:dyDescent="0.2"/>
    <row r="136" ht="15.95" customHeight="1" x14ac:dyDescent="0.2"/>
    <row r="137" ht="15.95" customHeight="1" x14ac:dyDescent="0.2"/>
    <row r="138" ht="15.95" customHeight="1" x14ac:dyDescent="0.2"/>
    <row r="139" ht="15.95" customHeight="1" x14ac:dyDescent="0.2"/>
    <row r="140" ht="15.95" customHeight="1" x14ac:dyDescent="0.2"/>
    <row r="141" ht="15.95" customHeight="1" x14ac:dyDescent="0.2"/>
    <row r="142" ht="15.95" customHeight="1" x14ac:dyDescent="0.2"/>
    <row r="143" ht="15.95" customHeight="1" x14ac:dyDescent="0.2"/>
    <row r="144" ht="15.95" customHeight="1" x14ac:dyDescent="0.2"/>
    <row r="145" ht="15.95" customHeight="1" x14ac:dyDescent="0.2"/>
    <row r="146" ht="15.95" customHeight="1" x14ac:dyDescent="0.2"/>
    <row r="147" ht="15.95" customHeight="1" x14ac:dyDescent="0.2"/>
    <row r="148" ht="15.95" customHeight="1" x14ac:dyDescent="0.2"/>
  </sheetData>
  <sheetProtection selectLockedCells="1"/>
  <mergeCells count="68">
    <mergeCell ref="R46:T46"/>
    <mergeCell ref="T48:T49"/>
    <mergeCell ref="N49:N50"/>
    <mergeCell ref="N47:N48"/>
    <mergeCell ref="T53:T54"/>
    <mergeCell ref="T55:T56"/>
    <mergeCell ref="N54:N55"/>
    <mergeCell ref="N56:N57"/>
    <mergeCell ref="X54:Z54"/>
    <mergeCell ref="X47:Z47"/>
    <mergeCell ref="Z49:Z50"/>
    <mergeCell ref="Z51:Z52"/>
    <mergeCell ref="Z42:Z43"/>
    <mergeCell ref="Z44:Z45"/>
    <mergeCell ref="X40:Z40"/>
    <mergeCell ref="N40:N41"/>
    <mergeCell ref="T41:T42"/>
    <mergeCell ref="N42:N43"/>
    <mergeCell ref="T43:T44"/>
    <mergeCell ref="N30:N31"/>
    <mergeCell ref="T30:T31"/>
    <mergeCell ref="Z30:Z31"/>
    <mergeCell ref="T37:T38"/>
    <mergeCell ref="Z37:Z38"/>
    <mergeCell ref="L33:N33"/>
    <mergeCell ref="R33:T33"/>
    <mergeCell ref="X33:Z33"/>
    <mergeCell ref="N35:N36"/>
    <mergeCell ref="T35:T36"/>
    <mergeCell ref="Z35:Z36"/>
    <mergeCell ref="T21:T22"/>
    <mergeCell ref="Z21:Z22"/>
    <mergeCell ref="X26:Z26"/>
    <mergeCell ref="N28:N29"/>
    <mergeCell ref="T28:T29"/>
    <mergeCell ref="Z28:Z29"/>
    <mergeCell ref="AH4:AJ5"/>
    <mergeCell ref="L5:N5"/>
    <mergeCell ref="R5:T5"/>
    <mergeCell ref="X5:Z5"/>
    <mergeCell ref="N7:N8"/>
    <mergeCell ref="T7:T8"/>
    <mergeCell ref="Z7:Z8"/>
    <mergeCell ref="K4:N4"/>
    <mergeCell ref="Q4:T4"/>
    <mergeCell ref="W4:Z4"/>
    <mergeCell ref="AF1:AJ1"/>
    <mergeCell ref="K2:Z2"/>
    <mergeCell ref="AF2:AJ2"/>
    <mergeCell ref="N3:X3"/>
    <mergeCell ref="AF3:AJ3"/>
    <mergeCell ref="K1:AA1"/>
    <mergeCell ref="N9:N10"/>
    <mergeCell ref="T9:T10"/>
    <mergeCell ref="Z9:Z10"/>
    <mergeCell ref="N23:N24"/>
    <mergeCell ref="T23:T24"/>
    <mergeCell ref="Z23:Z24"/>
    <mergeCell ref="X12:Z12"/>
    <mergeCell ref="N14:N15"/>
    <mergeCell ref="T14:T15"/>
    <mergeCell ref="Z14:Z15"/>
    <mergeCell ref="N16:N17"/>
    <mergeCell ref="T16:T17"/>
    <mergeCell ref="Z16:Z17"/>
    <mergeCell ref="R19:T19"/>
    <mergeCell ref="X19:Z19"/>
    <mergeCell ref="N21:N22"/>
  </mergeCells>
  <conditionalFormatting sqref="U35">
    <cfRule type="expression" priority="210" stopIfTrue="1">
      <formula>IF(T35="",1)</formula>
    </cfRule>
    <cfRule type="expression" dxfId="1542" priority="211">
      <formula>OR(T35=T37,T35=T39)</formula>
    </cfRule>
  </conditionalFormatting>
  <conditionalFormatting sqref="AA35:AA36">
    <cfRule type="expression" priority="207" stopIfTrue="1">
      <formula>IF(Z35="",1)</formula>
    </cfRule>
    <cfRule type="expression" dxfId="1541" priority="209">
      <formula>IF(Z35=Z37,1,0)</formula>
    </cfRule>
  </conditionalFormatting>
  <conditionalFormatting sqref="AA37">
    <cfRule type="expression" priority="206" stopIfTrue="1">
      <formula>IF(Z37="",1,0)</formula>
    </cfRule>
    <cfRule type="expression" dxfId="1540" priority="208">
      <formula>IF(Z35=Z37,1,0)</formula>
    </cfRule>
  </conditionalFormatting>
  <conditionalFormatting sqref="U38">
    <cfRule type="expression" priority="197" stopIfTrue="1">
      <formula>IF(T38="",1)</formula>
    </cfRule>
    <cfRule type="expression" dxfId="1539" priority="198">
      <formula>IF(T38=#REF!,1,0)</formula>
    </cfRule>
  </conditionalFormatting>
  <conditionalFormatting sqref="O36">
    <cfRule type="expression" priority="196" stopIfTrue="1">
      <formula>IF(N36="",1)</formula>
    </cfRule>
  </conditionalFormatting>
  <conditionalFormatting sqref="U37">
    <cfRule type="expression" priority="194" stopIfTrue="1">
      <formula>IF(T37="",1)</formula>
    </cfRule>
    <cfRule type="expression" dxfId="1538" priority="195">
      <formula>OR(T37=T39,T37=T35)</formula>
    </cfRule>
  </conditionalFormatting>
  <conditionalFormatting sqref="AA42:AA43">
    <cfRule type="expression" priority="191" stopIfTrue="1">
      <formula>IF(Z42="",1)</formula>
    </cfRule>
    <cfRule type="expression" dxfId="1537" priority="193">
      <formula>IF(Z42=Z44,1,0)</formula>
    </cfRule>
  </conditionalFormatting>
  <conditionalFormatting sqref="AA44">
    <cfRule type="expression" priority="190" stopIfTrue="1">
      <formula>IF(Z44="",1,0)</formula>
    </cfRule>
    <cfRule type="expression" dxfId="1536" priority="192">
      <formula>IF(Z42=Z44,1,0)</formula>
    </cfRule>
  </conditionalFormatting>
  <conditionalFormatting sqref="U36">
    <cfRule type="expression" priority="188" stopIfTrue="1">
      <formula>IF(T36="",1)</formula>
    </cfRule>
    <cfRule type="expression" dxfId="1535" priority="189">
      <formula>IF(T36=#REF!,1,0)</formula>
    </cfRule>
  </conditionalFormatting>
  <conditionalFormatting sqref="O35">
    <cfRule type="expression" priority="213" stopIfTrue="1">
      <formula>IF(N35="",1)</formula>
    </cfRule>
    <cfRule type="expression" dxfId="1534" priority="214">
      <formula>OR(N35=N40,N35=N42,N35=N47,N35=N49,N35=N54,N35=N56)</formula>
    </cfRule>
  </conditionalFormatting>
  <conditionalFormatting sqref="S48">
    <cfRule type="expression" dxfId="1533" priority="181">
      <formula>IF(T48+U48&gt;T50+U50,1,0)</formula>
    </cfRule>
  </conditionalFormatting>
  <conditionalFormatting sqref="S50">
    <cfRule type="expression" dxfId="1532" priority="180">
      <formula>IF(T50+U50&gt;T52+U52,1,0)</formula>
    </cfRule>
  </conditionalFormatting>
  <conditionalFormatting sqref="AA49:AA50">
    <cfRule type="expression" priority="171" stopIfTrue="1">
      <formula>IF(Z49="",1)</formula>
    </cfRule>
    <cfRule type="expression" dxfId="1531" priority="173">
      <formula>IF(Z49=Z51,1,0)</formula>
    </cfRule>
  </conditionalFormatting>
  <conditionalFormatting sqref="AA51">
    <cfRule type="expression" priority="170" stopIfTrue="1">
      <formula>IF(Z51="",1,0)</formula>
    </cfRule>
    <cfRule type="expression" dxfId="1530" priority="172">
      <formula>IF(Z49=Z51,1,0)</formula>
    </cfRule>
  </conditionalFormatting>
  <conditionalFormatting sqref="O40">
    <cfRule type="expression" priority="164" stopIfTrue="1">
      <formula>IF(N40="",1)</formula>
    </cfRule>
    <cfRule type="expression" dxfId="1529" priority="165">
      <formula>IF(N40=N42,1,0)</formula>
    </cfRule>
  </conditionalFormatting>
  <conditionalFormatting sqref="O41">
    <cfRule type="expression" priority="166" stopIfTrue="1">
      <formula>IF(N41="",1)</formula>
    </cfRule>
    <cfRule type="expression" dxfId="1528" priority="167">
      <formula>IF(N41=N43,1,0)</formula>
    </cfRule>
  </conditionalFormatting>
  <conditionalFormatting sqref="O42">
    <cfRule type="expression" priority="162" stopIfTrue="1">
      <formula>IF(N42="",1)</formula>
    </cfRule>
    <cfRule type="expression" dxfId="1527" priority="163">
      <formula>IF(N42=N40,1,0)</formula>
    </cfRule>
  </conditionalFormatting>
  <conditionalFormatting sqref="O47">
    <cfRule type="expression" priority="158" stopIfTrue="1">
      <formula>IF(N47="",1)</formula>
    </cfRule>
    <cfRule type="expression" dxfId="1526" priority="159">
      <formula>IF(N47=N49,1,0)</formula>
    </cfRule>
  </conditionalFormatting>
  <conditionalFormatting sqref="O48">
    <cfRule type="expression" priority="160" stopIfTrue="1">
      <formula>IF(N48="",1)</formula>
    </cfRule>
    <cfRule type="expression" dxfId="1525" priority="161">
      <formula>IF(N48=N50,1,0)</formula>
    </cfRule>
  </conditionalFormatting>
  <conditionalFormatting sqref="O49">
    <cfRule type="expression" priority="156" stopIfTrue="1">
      <formula>IF(N49="",1)</formula>
    </cfRule>
    <cfRule type="expression" dxfId="1524" priority="157">
      <formula>IF(N49=N47,1,0)</formula>
    </cfRule>
  </conditionalFormatting>
  <conditionalFormatting sqref="O54">
    <cfRule type="expression" priority="152" stopIfTrue="1">
      <formula>IF(N54="",1)</formula>
    </cfRule>
    <cfRule type="expression" dxfId="1523" priority="153">
      <formula>IF(N54=N56,1,0)</formula>
    </cfRule>
  </conditionalFormatting>
  <conditionalFormatting sqref="O55">
    <cfRule type="expression" priority="154" stopIfTrue="1">
      <formula>IF(N55="",1)</formula>
    </cfRule>
    <cfRule type="expression" dxfId="1522" priority="155">
      <formula>IF(N55=N57,1,0)</formula>
    </cfRule>
  </conditionalFormatting>
  <conditionalFormatting sqref="O56">
    <cfRule type="expression" priority="150" stopIfTrue="1">
      <formula>IF(N56="",1)</formula>
    </cfRule>
    <cfRule type="expression" dxfId="1521" priority="151">
      <formula>IF(N56=N54,1,0)</formula>
    </cfRule>
  </conditionalFormatting>
  <conditionalFormatting sqref="U41">
    <cfRule type="expression" priority="148" stopIfTrue="1">
      <formula>IF(T41="",1)</formula>
    </cfRule>
    <cfRule type="expression" dxfId="1520" priority="149">
      <formula>OR(T41=T43,T41=T45)</formula>
    </cfRule>
  </conditionalFormatting>
  <conditionalFormatting sqref="U44">
    <cfRule type="expression" priority="146" stopIfTrue="1">
      <formula>IF(T44="",1)</formula>
    </cfRule>
    <cfRule type="expression" dxfId="1519" priority="147">
      <formula>IF(T44=#REF!,1,0)</formula>
    </cfRule>
  </conditionalFormatting>
  <conditionalFormatting sqref="U43">
    <cfRule type="expression" priority="144" stopIfTrue="1">
      <formula>IF(T43="",1)</formula>
    </cfRule>
    <cfRule type="expression" dxfId="1518" priority="145">
      <formula>OR(T43=T45,T43=T41)</formula>
    </cfRule>
  </conditionalFormatting>
  <conditionalFormatting sqref="U42">
    <cfRule type="expression" priority="142" stopIfTrue="1">
      <formula>IF(T42="",1)</formula>
    </cfRule>
    <cfRule type="expression" dxfId="1517" priority="143">
      <formula>IF(T42=#REF!,1,0)</formula>
    </cfRule>
  </conditionalFormatting>
  <conditionalFormatting sqref="U48">
    <cfRule type="expression" priority="138" stopIfTrue="1">
      <formula>IF(T48="",1)</formula>
    </cfRule>
    <cfRule type="expression" dxfId="1516" priority="139">
      <formula>OR(T48=T50,T48=T52)</formula>
    </cfRule>
  </conditionalFormatting>
  <conditionalFormatting sqref="U53">
    <cfRule type="expression" priority="136" stopIfTrue="1">
      <formula>IF(T53="",1)</formula>
    </cfRule>
    <cfRule type="expression" dxfId="1515" priority="137">
      <formula>OR(T53=T55,T53=T57)</formula>
    </cfRule>
  </conditionalFormatting>
  <conditionalFormatting sqref="U56">
    <cfRule type="expression" priority="134" stopIfTrue="1">
      <formula>IF(T56="",1)</formula>
    </cfRule>
    <cfRule type="expression" dxfId="1514" priority="135">
      <formula>IF(T56=#REF!,1,0)</formula>
    </cfRule>
  </conditionalFormatting>
  <conditionalFormatting sqref="U55">
    <cfRule type="expression" priority="132" stopIfTrue="1">
      <formula>IF(T55="",1)</formula>
    </cfRule>
    <cfRule type="expression" dxfId="1513" priority="133">
      <formula>OR(T55=T57,T55=T53)</formula>
    </cfRule>
  </conditionalFormatting>
  <conditionalFormatting sqref="U54">
    <cfRule type="expression" priority="130" stopIfTrue="1">
      <formula>IF(T54="",1)</formula>
    </cfRule>
    <cfRule type="expression" dxfId="1512" priority="131">
      <formula>IF(T54=#REF!,1,0)</formula>
    </cfRule>
  </conditionalFormatting>
  <conditionalFormatting sqref="O7:O8">
    <cfRule type="expression" priority="127" stopIfTrue="1">
      <formula>IF(N7="",1)</formula>
    </cfRule>
    <cfRule type="expression" dxfId="1511" priority="129">
      <formula>IF(N7=N9,1,0)</formula>
    </cfRule>
  </conditionalFormatting>
  <conditionalFormatting sqref="O9">
    <cfRule type="expression" priority="126" stopIfTrue="1">
      <formula>IF(N9="",1,0)</formula>
    </cfRule>
    <cfRule type="expression" dxfId="1510" priority="128">
      <formula>IF(N7=N9,1,0)</formula>
    </cfRule>
  </conditionalFormatting>
  <conditionalFormatting sqref="O14:O15">
    <cfRule type="expression" priority="107" stopIfTrue="1">
      <formula>IF(N14="",1)</formula>
    </cfRule>
    <cfRule type="expression" dxfId="1509" priority="109">
      <formula>IF(N14=N16,1,0)</formula>
    </cfRule>
  </conditionalFormatting>
  <conditionalFormatting sqref="O16">
    <cfRule type="expression" priority="106" stopIfTrue="1">
      <formula>IF(N16="",1,0)</formula>
    </cfRule>
    <cfRule type="expression" dxfId="1508" priority="108">
      <formula>IF(N14=N16,1,0)</formula>
    </cfRule>
  </conditionalFormatting>
  <conditionalFormatting sqref="O21:O22">
    <cfRule type="expression" priority="103" stopIfTrue="1">
      <formula>IF(N21="",1)</formula>
    </cfRule>
    <cfRule type="expression" dxfId="1507" priority="105">
      <formula>IF(N21=N23,1,0)</formula>
    </cfRule>
  </conditionalFormatting>
  <conditionalFormatting sqref="O23">
    <cfRule type="expression" priority="102" stopIfTrue="1">
      <formula>IF(N23="",1,0)</formula>
    </cfRule>
    <cfRule type="expression" dxfId="1506" priority="104">
      <formula>IF(N21=N23,1,0)</formula>
    </cfRule>
  </conditionalFormatting>
  <conditionalFormatting sqref="O28:O29">
    <cfRule type="expression" priority="99" stopIfTrue="1">
      <formula>IF(N28="",1)</formula>
    </cfRule>
    <cfRule type="expression" dxfId="1505" priority="101">
      <formula>IF(N28=N30,1,0)</formula>
    </cfRule>
  </conditionalFormatting>
  <conditionalFormatting sqref="O30">
    <cfRule type="expression" priority="98" stopIfTrue="1">
      <formula>IF(N30="",1,0)</formula>
    </cfRule>
    <cfRule type="expression" dxfId="1504" priority="100">
      <formula>IF(N28=N30,1,0)</formula>
    </cfRule>
  </conditionalFormatting>
  <conditionalFormatting sqref="U7:U8">
    <cfRule type="expression" priority="95" stopIfTrue="1">
      <formula>IF(T7="",1)</formula>
    </cfRule>
    <cfRule type="expression" dxfId="1503" priority="97">
      <formula>IF(T7=T9,1,0)</formula>
    </cfRule>
  </conditionalFormatting>
  <conditionalFormatting sqref="U9">
    <cfRule type="expression" priority="94" stopIfTrue="1">
      <formula>IF(T9="",1,0)</formula>
    </cfRule>
    <cfRule type="expression" dxfId="1502" priority="96">
      <formula>IF(T7=T9,1,0)</formula>
    </cfRule>
  </conditionalFormatting>
  <conditionalFormatting sqref="U14:U15">
    <cfRule type="expression" priority="91" stopIfTrue="1">
      <formula>IF(T14="",1)</formula>
    </cfRule>
    <cfRule type="expression" dxfId="1501" priority="93">
      <formula>IF(T14=T16,1,0)</formula>
    </cfRule>
  </conditionalFormatting>
  <conditionalFormatting sqref="U16">
    <cfRule type="expression" priority="90" stopIfTrue="1">
      <formula>IF(T16="",1,0)</formula>
    </cfRule>
    <cfRule type="expression" dxfId="1500" priority="92">
      <formula>IF(T14=T16,1,0)</formula>
    </cfRule>
  </conditionalFormatting>
  <conditionalFormatting sqref="U21:U22">
    <cfRule type="expression" priority="87" stopIfTrue="1">
      <formula>IF(T21="",1)</formula>
    </cfRule>
    <cfRule type="expression" dxfId="1499" priority="89">
      <formula>IF(T21=T23,1,0)</formula>
    </cfRule>
  </conditionalFormatting>
  <conditionalFormatting sqref="U23">
    <cfRule type="expression" priority="86" stopIfTrue="1">
      <formula>IF(T23="",1,0)</formula>
    </cfRule>
    <cfRule type="expression" dxfId="1498" priority="88">
      <formula>IF(T21=T23,1,0)</formula>
    </cfRule>
  </conditionalFormatting>
  <conditionalFormatting sqref="U28:U29">
    <cfRule type="expression" priority="83" stopIfTrue="1">
      <formula>IF(T28="",1)</formula>
    </cfRule>
    <cfRule type="expression" dxfId="1497" priority="85">
      <formula>IF(T28=T30,1,0)</formula>
    </cfRule>
  </conditionalFormatting>
  <conditionalFormatting sqref="U30">
    <cfRule type="expression" priority="82" stopIfTrue="1">
      <formula>IF(T30="",1,0)</formula>
    </cfRule>
    <cfRule type="expression" dxfId="1496" priority="84">
      <formula>IF(T28=T30,1,0)</formula>
    </cfRule>
  </conditionalFormatting>
  <conditionalFormatting sqref="AA7:AA8">
    <cfRule type="expression" priority="79" stopIfTrue="1">
      <formula>IF(Z7="",1)</formula>
    </cfRule>
    <cfRule type="expression" dxfId="1495" priority="81">
      <formula>IF(Z7=Z9,1,0)</formula>
    </cfRule>
  </conditionalFormatting>
  <conditionalFormatting sqref="AA9">
    <cfRule type="expression" priority="78" stopIfTrue="1">
      <formula>IF(Z9="",1,0)</formula>
    </cfRule>
    <cfRule type="expression" dxfId="1494" priority="80">
      <formula>IF(Z7=Z9,1,0)</formula>
    </cfRule>
  </conditionalFormatting>
  <conditionalFormatting sqref="AA14:AA15">
    <cfRule type="expression" priority="75" stopIfTrue="1">
      <formula>IF(Z14="",1)</formula>
    </cfRule>
    <cfRule type="expression" dxfId="1493" priority="77">
      <formula>IF(Z14=Z16,1,0)</formula>
    </cfRule>
  </conditionalFormatting>
  <conditionalFormatting sqref="AA16">
    <cfRule type="expression" priority="74" stopIfTrue="1">
      <formula>IF(Z16="",1,0)</formula>
    </cfRule>
    <cfRule type="expression" dxfId="1492" priority="76">
      <formula>IF(Z14=Z16,1,0)</formula>
    </cfRule>
  </conditionalFormatting>
  <conditionalFormatting sqref="AA21:AA22">
    <cfRule type="expression" priority="71" stopIfTrue="1">
      <formula>IF(Z21="",1)</formula>
    </cfRule>
    <cfRule type="expression" dxfId="1491" priority="73">
      <formula>IF(Z21=Z23,1,0)</formula>
    </cfRule>
  </conditionalFormatting>
  <conditionalFormatting sqref="AA23">
    <cfRule type="expression" priority="70" stopIfTrue="1">
      <formula>IF(Z23="",1,0)</formula>
    </cfRule>
    <cfRule type="expression" dxfId="1490" priority="72">
      <formula>IF(Z21=Z23,1,0)</formula>
    </cfRule>
  </conditionalFormatting>
  <conditionalFormatting sqref="AA28:AA29">
    <cfRule type="expression" priority="67" stopIfTrue="1">
      <formula>IF(Z28="",1)</formula>
    </cfRule>
    <cfRule type="expression" dxfId="1489" priority="69">
      <formula>IF(Z28=Z30,1,0)</formula>
    </cfRule>
  </conditionalFormatting>
  <conditionalFormatting sqref="AA30">
    <cfRule type="expression" priority="66" stopIfTrue="1">
      <formula>IF(Z30="",1,0)</formula>
    </cfRule>
    <cfRule type="expression" dxfId="1488" priority="68">
      <formula>IF(Z28=Z30,1,0)</formula>
    </cfRule>
  </conditionalFormatting>
  <conditionalFormatting sqref="M21">
    <cfRule type="expression" dxfId="1487" priority="63">
      <formula>IF(N21+O21&gt;N23+O23,1,0)</formula>
    </cfRule>
  </conditionalFormatting>
  <conditionalFormatting sqref="M23">
    <cfRule type="expression" dxfId="1486" priority="62">
      <formula>IF(N23+O23&gt;N25+O25,1,0)</formula>
    </cfRule>
  </conditionalFormatting>
  <conditionalFormatting sqref="S7">
    <cfRule type="expression" dxfId="1485" priority="46">
      <formula>IF(T7+U7&gt;T9+U9,1,0)</formula>
    </cfRule>
  </conditionalFormatting>
  <conditionalFormatting sqref="S9">
    <cfRule type="expression" dxfId="1484" priority="45">
      <formula>IF(T7+U7&lt;T9+U9,1,0)</formula>
    </cfRule>
  </conditionalFormatting>
  <conditionalFormatting sqref="S14">
    <cfRule type="expression" dxfId="1483" priority="44">
      <formula>IF(T14+U14&gt;T16+U16,1,0)</formula>
    </cfRule>
  </conditionalFormatting>
  <conditionalFormatting sqref="S16">
    <cfRule type="expression" dxfId="1482" priority="43">
      <formula>IF(T14+U14&lt;T16+U16,1,0)</formula>
    </cfRule>
  </conditionalFormatting>
  <conditionalFormatting sqref="S21">
    <cfRule type="expression" dxfId="1481" priority="42">
      <formula>IF(T21+U21&gt;T23+U23,1,0)</formula>
    </cfRule>
  </conditionalFormatting>
  <conditionalFormatting sqref="S23">
    <cfRule type="expression" dxfId="1480" priority="41">
      <formula>IF(T21+U21&lt;T23+U23,1,0)</formula>
    </cfRule>
  </conditionalFormatting>
  <conditionalFormatting sqref="S28">
    <cfRule type="expression" dxfId="1479" priority="40">
      <formula>IF(T28+U28&gt;T30+U30,1,0)</formula>
    </cfRule>
  </conditionalFormatting>
  <conditionalFormatting sqref="S30">
    <cfRule type="expression" dxfId="1478" priority="39">
      <formula>IF(T28+U28&lt;T30+U30,1,0)</formula>
    </cfRule>
  </conditionalFormatting>
  <conditionalFormatting sqref="S35">
    <cfRule type="expression" dxfId="1477" priority="38">
      <formula>IF(T35+U35&gt;T37+U37,1,0)</formula>
    </cfRule>
  </conditionalFormatting>
  <conditionalFormatting sqref="S37">
    <cfRule type="expression" dxfId="1476" priority="37">
      <formula>IF(T35+U35&lt;T37+U37,1,0)</formula>
    </cfRule>
  </conditionalFormatting>
  <conditionalFormatting sqref="S41">
    <cfRule type="expression" dxfId="1475" priority="36">
      <formula>IF(T41+U41&gt;T43+U43,1,0)</formula>
    </cfRule>
  </conditionalFormatting>
  <conditionalFormatting sqref="S43">
    <cfRule type="expression" dxfId="1474" priority="35">
      <formula>IF(T41+U41&lt;T43+U43,1,0)</formula>
    </cfRule>
  </conditionalFormatting>
  <conditionalFormatting sqref="S53">
    <cfRule type="expression" dxfId="1473" priority="34">
      <formula>IF(T53+U53&gt;T55+U55,1,0)</formula>
    </cfRule>
  </conditionalFormatting>
  <conditionalFormatting sqref="S55">
    <cfRule type="expression" dxfId="1472" priority="33">
      <formula>IF(T53+U53&lt;T55+U55,1,0)</formula>
    </cfRule>
  </conditionalFormatting>
  <conditionalFormatting sqref="M47">
    <cfRule type="expression" dxfId="1471" priority="30">
      <formula>IF(N47+O47&gt;N49+O49,1,0)</formula>
    </cfRule>
  </conditionalFormatting>
  <conditionalFormatting sqref="M49">
    <cfRule type="expression" dxfId="1470" priority="29">
      <formula>IF(N47+O47&lt;N49+O49,1,0)</formula>
    </cfRule>
  </conditionalFormatting>
  <conditionalFormatting sqref="M40">
    <cfRule type="expression" dxfId="1469" priority="28">
      <formula>IF(N40+O40&gt;N42+O42,1,0)</formula>
    </cfRule>
  </conditionalFormatting>
  <conditionalFormatting sqref="M42">
    <cfRule type="expression" dxfId="1468" priority="27">
      <formula>IF(N40+O40&lt;N42+O42,1,0)</formula>
    </cfRule>
  </conditionalFormatting>
  <conditionalFormatting sqref="M37">
    <cfRule type="expression" dxfId="1467" priority="25">
      <formula>IF(N35+O35&lt;N37+O37,1,0)</formula>
    </cfRule>
  </conditionalFormatting>
  <conditionalFormatting sqref="M28">
    <cfRule type="expression" dxfId="1466" priority="24">
      <formula>IF(N28+O28&gt;N30+O30,1,0)</formula>
    </cfRule>
  </conditionalFormatting>
  <conditionalFormatting sqref="M30">
    <cfRule type="expression" dxfId="1465" priority="23">
      <formula>IF(N28+O28&lt;N30+O30,1,0)</formula>
    </cfRule>
  </conditionalFormatting>
  <conditionalFormatting sqref="M14">
    <cfRule type="expression" dxfId="1464" priority="22">
      <formula>IF(N14+O14&gt;N16+O16,1,0)</formula>
    </cfRule>
  </conditionalFormatting>
  <conditionalFormatting sqref="M16">
    <cfRule type="expression" dxfId="1463" priority="21">
      <formula>IF(N14+O14&lt;N16+O16,1,0)</formula>
    </cfRule>
  </conditionalFormatting>
  <conditionalFormatting sqref="M7">
    <cfRule type="expression" dxfId="1462" priority="20">
      <formula>IF(N7+O7&gt;N9+O9,1,0)</formula>
    </cfRule>
  </conditionalFormatting>
  <conditionalFormatting sqref="M9">
    <cfRule type="expression" dxfId="1461" priority="19">
      <formula>IF(N7+O7&lt;N9+O9,1,0)</formula>
    </cfRule>
  </conditionalFormatting>
  <conditionalFormatting sqref="Y7">
    <cfRule type="expression" dxfId="1460" priority="18">
      <formula>IF(Z7+AA7&gt;Z9+AA9,1,0)</formula>
    </cfRule>
  </conditionalFormatting>
  <conditionalFormatting sqref="Y9">
    <cfRule type="expression" dxfId="1459" priority="17">
      <formula>IF(Z7+AA7&lt;Z9+AA9,1,0)</formula>
    </cfRule>
  </conditionalFormatting>
  <conditionalFormatting sqref="Y14">
    <cfRule type="expression" dxfId="1458" priority="16">
      <formula>IF(Z14+AA14&gt;Z16+AA16,1,0)</formula>
    </cfRule>
  </conditionalFormatting>
  <conditionalFormatting sqref="Y16">
    <cfRule type="expression" dxfId="1457" priority="15">
      <formula>IF(Z14+AA14&lt;Z16+AA16,1,0)</formula>
    </cfRule>
  </conditionalFormatting>
  <conditionalFormatting sqref="Y21">
    <cfRule type="expression" dxfId="1456" priority="14">
      <formula>IF(Z21+AA21&gt;Z23+AA23,1,0)</formula>
    </cfRule>
  </conditionalFormatting>
  <conditionalFormatting sqref="Y23">
    <cfRule type="expression" dxfId="1455" priority="13">
      <formula>IF(Z21+AA21&lt;Z23+AA23,1,0)</formula>
    </cfRule>
  </conditionalFormatting>
  <conditionalFormatting sqref="Y28">
    <cfRule type="expression" dxfId="1454" priority="12">
      <formula>IF(Z28+AA28&gt;Z30+AA30,1,0)</formula>
    </cfRule>
  </conditionalFormatting>
  <conditionalFormatting sqref="Y30">
    <cfRule type="expression" dxfId="1453" priority="11">
      <formula>IF(Z28+AA28&lt;Z30+AA30,1,0)</formula>
    </cfRule>
  </conditionalFormatting>
  <conditionalFormatting sqref="Y35">
    <cfRule type="expression" dxfId="1452" priority="10">
      <formula>IF(Z35+AA35&gt;Z37+AA37,1,0)</formula>
    </cfRule>
  </conditionalFormatting>
  <conditionalFormatting sqref="Y37">
    <cfRule type="expression" dxfId="1451" priority="9">
      <formula>IF(Z35+AA35&lt;Z37+AA37,1,0)</formula>
    </cfRule>
  </conditionalFormatting>
  <conditionalFormatting sqref="Y42">
    <cfRule type="expression" dxfId="1450" priority="8">
      <formula>IF(Z42+AA42&gt;Z44+AA44,1,0)</formula>
    </cfRule>
  </conditionalFormatting>
  <conditionalFormatting sqref="Y44">
    <cfRule type="expression" dxfId="1449" priority="7">
      <formula>IF(Z42+AA42&lt;Z44+AA44,1,0)</formula>
    </cfRule>
  </conditionalFormatting>
  <conditionalFormatting sqref="Y49">
    <cfRule type="expression" dxfId="1448" priority="6">
      <formula>IF(Z49+AA49&gt;Z51+AA51,1,0)</formula>
    </cfRule>
  </conditionalFormatting>
  <conditionalFormatting sqref="Y51">
    <cfRule type="expression" dxfId="1447" priority="5">
      <formula>IF(Z49+AA49&lt;Z51+AA51,1,0)</formula>
    </cfRule>
  </conditionalFormatting>
  <conditionalFormatting sqref="Y55">
    <cfRule type="expression" dxfId="1446" priority="4">
      <formula>IF(Z53+AA53&lt;Z55+AA55,1,0)</formula>
    </cfRule>
  </conditionalFormatting>
  <conditionalFormatting sqref="M35">
    <cfRule type="expression" dxfId="1445" priority="3">
      <formula>IF(N35+O35&gt;N37+O37,1,0)</formula>
    </cfRule>
  </conditionalFormatting>
  <conditionalFormatting sqref="M54">
    <cfRule type="expression" dxfId="1444" priority="2">
      <formula>IF(N54+O54&gt;N56+O56,1,0)</formula>
    </cfRule>
  </conditionalFormatting>
  <conditionalFormatting sqref="M56">
    <cfRule type="expression" dxfId="1443" priority="1">
      <formula>IF(N54+O54&lt;N56+O56,1,0)</formula>
    </cfRule>
  </conditionalFormatting>
  <pageMargins left="0.25" right="0.25" top="0.75" bottom="0.75" header="0.3" footer="0.3"/>
  <pageSetup paperSize="9" scale="44" fitToHeight="0"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Feuil61">
    <tabColor rgb="FF00B0F0"/>
    <pageSetUpPr fitToPage="1"/>
  </sheetPr>
  <dimension ref="A1:AY148"/>
  <sheetViews>
    <sheetView topLeftCell="K1" zoomScale="55" zoomScaleNormal="55" workbookViewId="0">
      <selection activeCell="K60" sqref="K1:AA60"/>
    </sheetView>
  </sheetViews>
  <sheetFormatPr baseColWidth="10" defaultColWidth="10.85546875" defaultRowHeight="12.75" x14ac:dyDescent="0.2"/>
  <cols>
    <col min="1" max="1" width="3.7109375" style="435" hidden="1" customWidth="1"/>
    <col min="2" max="4" width="16.140625" style="435" hidden="1" customWidth="1"/>
    <col min="5" max="10" width="11.28515625" style="435" hidden="1" customWidth="1"/>
    <col min="11" max="11" width="7.7109375" style="441" bestFit="1" customWidth="1"/>
    <col min="12" max="12" width="6.42578125" style="435" bestFit="1" customWidth="1"/>
    <col min="13" max="13" width="36.5703125" style="435" customWidth="1"/>
    <col min="14" max="14" width="10.85546875" style="442"/>
    <col min="15" max="15" width="4.7109375" style="441" bestFit="1" customWidth="1"/>
    <col min="16" max="16" width="15.7109375" style="441" customWidth="1"/>
    <col min="17" max="17" width="7.7109375" style="441" bestFit="1" customWidth="1"/>
    <col min="18" max="18" width="6.42578125" style="441" bestFit="1" customWidth="1"/>
    <col min="19" max="19" width="36.5703125" style="441" customWidth="1"/>
    <col min="20" max="20" width="10.85546875" style="442"/>
    <col min="21" max="21" width="4.85546875" style="441" bestFit="1" customWidth="1"/>
    <col min="22" max="22" width="15.85546875" style="441" customWidth="1"/>
    <col min="23" max="23" width="7.7109375" style="441" bestFit="1" customWidth="1"/>
    <col min="24" max="24" width="5.28515625" style="435" bestFit="1" customWidth="1"/>
    <col min="25" max="25" width="36.5703125" style="435" customWidth="1"/>
    <col min="26" max="26" width="10.85546875" style="442"/>
    <col min="27" max="27" width="4.85546875" style="441" bestFit="1" customWidth="1"/>
    <col min="28" max="28" width="6.5703125" style="435" customWidth="1"/>
    <col min="29" max="31" width="3.28515625" style="435" customWidth="1"/>
    <col min="32" max="32" width="10.85546875" style="435"/>
    <col min="33" max="33" width="15.28515625" style="435" hidden="1" customWidth="1"/>
    <col min="34" max="36" width="36.85546875" style="435" customWidth="1"/>
    <col min="37" max="42" width="10.85546875" style="435"/>
    <col min="43" max="43" width="1.7109375" style="435" bestFit="1" customWidth="1"/>
    <col min="44" max="46" width="10.85546875" style="435"/>
    <col min="47" max="47" width="1.7109375" style="435" bestFit="1" customWidth="1"/>
    <col min="48" max="50" width="10.85546875" style="435"/>
    <col min="51" max="51" width="1.7109375" style="435" bestFit="1" customWidth="1"/>
    <col min="52" max="16384" width="10.85546875" style="435"/>
  </cols>
  <sheetData>
    <row r="1" spans="1:51" ht="55.5" customHeight="1" x14ac:dyDescent="0.2">
      <c r="B1" s="436"/>
      <c r="C1" s="436"/>
      <c r="D1" s="436"/>
      <c r="I1" s="437"/>
      <c r="J1" s="437"/>
      <c r="K1" s="988" t="str">
        <f>Championnat</f>
        <v>Championnat de France de Tir à l'ARC</v>
      </c>
      <c r="L1" s="988"/>
      <c r="M1" s="988"/>
      <c r="N1" s="988"/>
      <c r="O1" s="988"/>
      <c r="P1" s="988"/>
      <c r="Q1" s="988"/>
      <c r="R1" s="988"/>
      <c r="S1" s="988"/>
      <c r="T1" s="988"/>
      <c r="U1" s="988"/>
      <c r="V1" s="988"/>
      <c r="W1" s="988"/>
      <c r="X1" s="988"/>
      <c r="Y1" s="988"/>
      <c r="Z1" s="988"/>
      <c r="AA1" s="988"/>
      <c r="AB1" s="439"/>
      <c r="AC1" s="439"/>
      <c r="AD1" s="439"/>
      <c r="AE1" s="439"/>
      <c r="AF1" s="988" t="str">
        <f>Championnat</f>
        <v>Championnat de France de Tir à l'ARC</v>
      </c>
      <c r="AG1" s="988"/>
      <c r="AH1" s="988"/>
      <c r="AI1" s="988"/>
      <c r="AJ1" s="988"/>
      <c r="AK1" s="491"/>
      <c r="AL1" s="491"/>
      <c r="AM1" s="491"/>
      <c r="AN1" s="491"/>
      <c r="AO1" s="491"/>
      <c r="AP1" s="491"/>
      <c r="AQ1" s="491"/>
      <c r="AR1" s="491"/>
      <c r="AS1" s="491"/>
      <c r="AT1" s="491"/>
      <c r="AU1" s="491"/>
      <c r="AV1" s="491"/>
      <c r="AW1" s="491"/>
      <c r="AY1" s="491"/>
    </row>
    <row r="2" spans="1:51" ht="61.5" customHeight="1" x14ac:dyDescent="0.2">
      <c r="A2" s="437"/>
      <c r="I2" s="437"/>
      <c r="J2" s="437"/>
      <c r="K2" s="989" t="str">
        <f>CATEG_IMPORTEE</f>
        <v>Collèges Mixtes Etablissement</v>
      </c>
      <c r="L2" s="989"/>
      <c r="M2" s="989"/>
      <c r="N2" s="989"/>
      <c r="O2" s="989"/>
      <c r="P2" s="989"/>
      <c r="Q2" s="989"/>
      <c r="R2" s="989"/>
      <c r="S2" s="989"/>
      <c r="T2" s="989"/>
      <c r="U2" s="989"/>
      <c r="V2" s="989"/>
      <c r="W2" s="989"/>
      <c r="X2" s="989"/>
      <c r="Y2" s="989"/>
      <c r="Z2" s="989"/>
      <c r="AA2" s="438"/>
      <c r="AB2" s="439"/>
      <c r="AC2" s="439"/>
      <c r="AD2" s="439"/>
      <c r="AE2" s="439"/>
      <c r="AF2" s="990" t="str">
        <f>CATEG_IMPORTEE</f>
        <v>Collèges Mixtes Etablissement</v>
      </c>
      <c r="AG2" s="990"/>
      <c r="AH2" s="990"/>
      <c r="AI2" s="990"/>
      <c r="AJ2" s="990"/>
      <c r="AK2" s="492"/>
      <c r="AL2" s="492"/>
      <c r="AM2" s="492"/>
      <c r="AN2" s="492"/>
      <c r="AO2" s="492"/>
      <c r="AP2" s="492"/>
      <c r="AQ2" s="492"/>
      <c r="AR2" s="492"/>
      <c r="AS2" s="492"/>
      <c r="AT2" s="492"/>
      <c r="AU2" s="492"/>
      <c r="AV2" s="492"/>
      <c r="AW2" s="492"/>
      <c r="AY2" s="492"/>
    </row>
    <row r="3" spans="1:51" ht="42" customHeight="1" x14ac:dyDescent="0.2">
      <c r="B3" s="440" t="s">
        <v>774</v>
      </c>
      <c r="I3" s="437"/>
      <c r="J3" s="437"/>
      <c r="N3" s="991" t="str">
        <f>LIEU&amp;" du "&amp;DATE</f>
        <v>L’Isle sur la Sorgue du 27 au 31 mars 2023</v>
      </c>
      <c r="O3" s="991"/>
      <c r="P3" s="991"/>
      <c r="Q3" s="991"/>
      <c r="R3" s="991"/>
      <c r="S3" s="991"/>
      <c r="T3" s="991"/>
      <c r="U3" s="991"/>
      <c r="V3" s="991"/>
      <c r="W3" s="991"/>
      <c r="X3" s="991"/>
      <c r="AF3" s="991" t="str">
        <f>LIEU&amp;" du "&amp;DATE</f>
        <v>L’Isle sur la Sorgue du 27 au 31 mars 2023</v>
      </c>
      <c r="AG3" s="991"/>
      <c r="AH3" s="991"/>
      <c r="AI3" s="991"/>
      <c r="AJ3" s="991"/>
      <c r="AK3" s="493"/>
      <c r="AL3" s="493"/>
      <c r="AM3" s="493"/>
      <c r="AN3" s="493"/>
      <c r="AO3" s="493"/>
      <c r="AP3" s="493"/>
      <c r="AQ3" s="493"/>
      <c r="AR3" s="493"/>
      <c r="AS3" s="493"/>
      <c r="AT3" s="493"/>
      <c r="AU3" s="493"/>
      <c r="AW3" s="442"/>
      <c r="AY3" s="493"/>
    </row>
    <row r="4" spans="1:51" ht="21" customHeight="1" x14ac:dyDescent="0.2">
      <c r="B4" s="440" t="s">
        <v>775</v>
      </c>
      <c r="C4" s="462" t="s">
        <v>375</v>
      </c>
      <c r="D4" s="462" t="s">
        <v>374</v>
      </c>
      <c r="E4" s="440" t="s">
        <v>776</v>
      </c>
      <c r="F4" s="487" t="s">
        <v>838</v>
      </c>
      <c r="G4" s="488" t="s">
        <v>837</v>
      </c>
      <c r="H4" s="898"/>
      <c r="I4" s="437"/>
      <c r="J4" s="437"/>
      <c r="K4" s="979" t="s">
        <v>815</v>
      </c>
      <c r="L4" s="979"/>
      <c r="M4" s="979"/>
      <c r="N4" s="979"/>
      <c r="O4" s="443"/>
      <c r="P4" s="443"/>
      <c r="Q4" s="979" t="s">
        <v>816</v>
      </c>
      <c r="R4" s="979"/>
      <c r="S4" s="979"/>
      <c r="T4" s="979"/>
      <c r="U4" s="443"/>
      <c r="V4" s="443"/>
      <c r="W4" s="979" t="s">
        <v>817</v>
      </c>
      <c r="X4" s="979"/>
      <c r="Y4" s="979"/>
      <c r="Z4" s="979"/>
      <c r="AA4" s="443"/>
      <c r="AH4" s="980" t="s">
        <v>778</v>
      </c>
      <c r="AI4" s="980"/>
      <c r="AJ4" s="980"/>
      <c r="AN4" s="497" t="s">
        <v>848</v>
      </c>
    </row>
    <row r="5" spans="1:51" ht="15.95" customHeight="1" thickBot="1" x14ac:dyDescent="0.25">
      <c r="A5" s="435">
        <v>1</v>
      </c>
      <c r="B5" s="444" t="str">
        <f ca="1">INDIRECT("'Imp. Qualif.'!L"&amp;INDIRECT("f"&amp;ROW()))</f>
        <v/>
      </c>
      <c r="C5" s="444" t="str">
        <f ca="1">INDIRECT("'Imp. Qualif.'!M"&amp;INDIRECT("f"&amp;ROW()))</f>
        <v/>
      </c>
      <c r="D5" s="444" t="str">
        <f ca="1">INDIRECT("'Imp. Qualif.'!N"&amp;INDIRECT("f"&amp;ROW()))</f>
        <v/>
      </c>
      <c r="E5" s="486">
        <f ca="1">INDIRECT("'Imp. Qualif.'!O"&amp;INDIRECT("f"&amp;ROW()))</f>
        <v>0</v>
      </c>
      <c r="F5" s="489">
        <v>11</v>
      </c>
      <c r="G5" s="488" t="str">
        <f ca="1">B5&amp;C5</f>
        <v/>
      </c>
      <c r="H5" s="898" t="str">
        <f ca="1">IF(B5&lt;&gt;"",B5,"")</f>
        <v/>
      </c>
      <c r="I5" s="898" t="str">
        <f t="shared" ref="I5:J20" ca="1" si="0">IF(C5&lt;&gt;"",C5,"")</f>
        <v/>
      </c>
      <c r="J5" s="898" t="str">
        <f t="shared" ca="1" si="0"/>
        <v/>
      </c>
      <c r="L5" s="979" t="s">
        <v>836</v>
      </c>
      <c r="M5" s="1247"/>
      <c r="N5" s="1247"/>
      <c r="O5" s="443"/>
      <c r="P5" s="443"/>
      <c r="R5" s="979" t="s">
        <v>818</v>
      </c>
      <c r="S5" s="1247"/>
      <c r="T5" s="1247"/>
      <c r="U5" s="443"/>
      <c r="V5" s="443"/>
      <c r="W5" s="445"/>
      <c r="X5" s="979" t="s">
        <v>777</v>
      </c>
      <c r="Y5" s="1247"/>
      <c r="Z5" s="1247"/>
      <c r="AA5" s="443"/>
      <c r="AH5" s="981"/>
      <c r="AI5" s="981"/>
      <c r="AJ5" s="981"/>
      <c r="AN5" s="494" t="s">
        <v>839</v>
      </c>
      <c r="AO5" s="494" t="s">
        <v>840</v>
      </c>
      <c r="AP5" s="494" t="s">
        <v>841</v>
      </c>
      <c r="AQ5" s="496" t="s">
        <v>793</v>
      </c>
      <c r="AR5" s="494" t="s">
        <v>842</v>
      </c>
      <c r="AS5" s="494" t="s">
        <v>843</v>
      </c>
      <c r="AT5" s="494" t="s">
        <v>844</v>
      </c>
      <c r="AU5" s="496" t="s">
        <v>793</v>
      </c>
      <c r="AV5" s="494" t="s">
        <v>845</v>
      </c>
      <c r="AW5" s="494" t="s">
        <v>846</v>
      </c>
      <c r="AX5" s="494" t="s">
        <v>847</v>
      </c>
      <c r="AY5" s="496" t="s">
        <v>793</v>
      </c>
    </row>
    <row r="6" spans="1:51" ht="15.95" customHeight="1" thickBot="1" x14ac:dyDescent="0.25">
      <c r="A6" s="435">
        <v>2</v>
      </c>
      <c r="B6" s="444" t="str">
        <f t="shared" ref="B6:B20" ca="1" si="1">INDIRECT("'Imp. Qualif.'!L"&amp;INDIRECT("f"&amp;ROW()))</f>
        <v/>
      </c>
      <c r="C6" s="444" t="str">
        <f t="shared" ref="C6:C20" ca="1" si="2">INDIRECT("'Imp. Qualif.'!M"&amp;INDIRECT("f"&amp;ROW()))</f>
        <v/>
      </c>
      <c r="D6" s="444" t="str">
        <f t="shared" ref="D6:D20" ca="1" si="3">INDIRECT("'Imp. Qualif.'!N"&amp;INDIRECT("f"&amp;ROW()))</f>
        <v/>
      </c>
      <c r="E6" s="486">
        <f t="shared" ref="E6:E20" ca="1" si="4">INDIRECT("'Imp. Qualif.'!O"&amp;INDIRECT("f"&amp;ROW()))</f>
        <v>0</v>
      </c>
      <c r="F6" s="489">
        <v>12</v>
      </c>
      <c r="G6" s="488" t="str">
        <f t="shared" ref="G6:G28" ca="1" si="5">B6&amp;C6</f>
        <v/>
      </c>
      <c r="H6" s="898" t="str">
        <f t="shared" ref="H6:J28" ca="1" si="6">IF(B6&lt;&gt;"",B6,"")</f>
        <v/>
      </c>
      <c r="I6" s="898" t="str">
        <f t="shared" ca="1" si="0"/>
        <v/>
      </c>
      <c r="J6" s="898" t="str">
        <f t="shared" ca="1" si="0"/>
        <v/>
      </c>
      <c r="K6" s="445" t="s">
        <v>779</v>
      </c>
      <c r="L6" s="779" t="s">
        <v>1083</v>
      </c>
      <c r="M6" s="456" t="s">
        <v>481</v>
      </c>
      <c r="N6" s="464" t="s">
        <v>780</v>
      </c>
      <c r="O6" s="446" t="s">
        <v>781</v>
      </c>
      <c r="P6" s="445"/>
      <c r="Q6" s="445" t="s">
        <v>779</v>
      </c>
      <c r="R6" s="779" t="s">
        <v>1083</v>
      </c>
      <c r="S6" s="456" t="s">
        <v>481</v>
      </c>
      <c r="T6" s="464" t="s">
        <v>780</v>
      </c>
      <c r="U6" s="446" t="s">
        <v>781</v>
      </c>
      <c r="V6" s="445"/>
      <c r="W6" s="445" t="s">
        <v>779</v>
      </c>
      <c r="X6" s="779" t="s">
        <v>1083</v>
      </c>
      <c r="Y6" s="456" t="s">
        <v>481</v>
      </c>
      <c r="Z6" s="464" t="s">
        <v>780</v>
      </c>
      <c r="AA6" s="446" t="s">
        <v>781</v>
      </c>
      <c r="AH6" s="483" t="s">
        <v>782</v>
      </c>
      <c r="AI6" s="484" t="s">
        <v>375</v>
      </c>
      <c r="AJ6" s="485" t="s">
        <v>783</v>
      </c>
      <c r="AN6" s="494">
        <f>K7</f>
        <v>1</v>
      </c>
      <c r="AO6" s="495" t="str">
        <f ca="1">L8</f>
        <v/>
      </c>
      <c r="AP6" s="495" t="str">
        <f ca="1">AO7</f>
        <v/>
      </c>
      <c r="AQ6" s="496" t="s">
        <v>793</v>
      </c>
      <c r="AR6" s="494">
        <f>Q7</f>
        <v>1</v>
      </c>
      <c r="AS6" s="495" t="str">
        <f>R8</f>
        <v/>
      </c>
      <c r="AT6" s="495" t="str">
        <f>AS7</f>
        <v/>
      </c>
      <c r="AU6" s="496" t="s">
        <v>793</v>
      </c>
      <c r="AV6" s="494">
        <f>W7</f>
        <v>1</v>
      </c>
      <c r="AW6" s="495" t="str">
        <f>X8</f>
        <v/>
      </c>
      <c r="AX6" s="495" t="str">
        <f>AW7</f>
        <v/>
      </c>
      <c r="AY6" s="496" t="s">
        <v>793</v>
      </c>
    </row>
    <row r="7" spans="1:51" ht="15.95" customHeight="1" thickBot="1" x14ac:dyDescent="0.25">
      <c r="A7" s="435">
        <v>3</v>
      </c>
      <c r="B7" s="444" t="str">
        <f t="shared" ca="1" si="1"/>
        <v/>
      </c>
      <c r="C7" s="444" t="str">
        <f t="shared" ca="1" si="2"/>
        <v/>
      </c>
      <c r="D7" s="444" t="str">
        <f t="shared" ca="1" si="3"/>
        <v/>
      </c>
      <c r="E7" s="486">
        <f t="shared" ca="1" si="4"/>
        <v>0</v>
      </c>
      <c r="F7" s="489">
        <v>13</v>
      </c>
      <c r="G7" s="488" t="str">
        <f t="shared" ca="1" si="5"/>
        <v/>
      </c>
      <c r="H7" s="898" t="str">
        <f t="shared" ca="1" si="6"/>
        <v/>
      </c>
      <c r="I7" s="898" t="str">
        <f t="shared" ca="1" si="0"/>
        <v/>
      </c>
      <c r="J7" s="898" t="str">
        <f t="shared" ca="1" si="0"/>
        <v/>
      </c>
      <c r="K7" s="447">
        <f>Num_Cible</f>
        <v>1</v>
      </c>
      <c r="L7" s="472">
        <v>1</v>
      </c>
      <c r="M7" s="465" t="str">
        <f ca="1">IFERROR(VLOOKUP(L8,$G$5:$J$28,2,FALSE),"")</f>
        <v/>
      </c>
      <c r="N7" s="966"/>
      <c r="O7" s="780"/>
      <c r="Q7" s="447">
        <f>K7</f>
        <v>1</v>
      </c>
      <c r="R7" s="472">
        <v>1</v>
      </c>
      <c r="S7" s="465" t="str">
        <f ca="1">IFERROR(VLOOKUP(R8,$G$5:$J$28,2,FALSE),"")</f>
        <v/>
      </c>
      <c r="T7" s="966"/>
      <c r="U7" s="780"/>
      <c r="W7" s="447">
        <f>Q7</f>
        <v>1</v>
      </c>
      <c r="X7" s="472">
        <v>1</v>
      </c>
      <c r="Y7" s="465" t="str">
        <f ca="1">IFERROR(VLOOKUP(X8,$G$5:$J$28,2,FALSE),"")</f>
        <v/>
      </c>
      <c r="Z7" s="966"/>
      <c r="AA7" s="780"/>
      <c r="AF7" s="448" t="s">
        <v>784</v>
      </c>
      <c r="AG7" s="435" t="str">
        <f>IF(ISBLANK(Z7),"",IF(Z7+AA7&gt;Z9+AA9,X8,X10))</f>
        <v/>
      </c>
      <c r="AH7" s="475" t="str">
        <f ca="1">IFERROR(VLOOKUP(AG7,$G$5:$J$28,2,FALSE),"")</f>
        <v/>
      </c>
      <c r="AI7" s="475" t="str">
        <f ca="1">IFERROR(VLOOKUP(AG7,$G$5:$J$28,3,FALSE),"")</f>
        <v/>
      </c>
      <c r="AJ7" s="475" t="str">
        <f ca="1">IFERROR(VLOOKUP(AG7,$G$5:$J$28,4,FALSE),"")</f>
        <v/>
      </c>
      <c r="AN7" s="494">
        <f>K9</f>
        <v>2</v>
      </c>
      <c r="AO7" s="495" t="str">
        <f ca="1">L10</f>
        <v/>
      </c>
      <c r="AP7" s="495" t="str">
        <f ca="1">AO6</f>
        <v/>
      </c>
      <c r="AQ7" s="496" t="s">
        <v>793</v>
      </c>
      <c r="AR7" s="494">
        <f>Q9</f>
        <v>2</v>
      </c>
      <c r="AS7" s="495" t="str">
        <f>R10</f>
        <v/>
      </c>
      <c r="AT7" s="495" t="str">
        <f>AS6</f>
        <v/>
      </c>
      <c r="AU7" s="496" t="s">
        <v>793</v>
      </c>
      <c r="AV7" s="494">
        <f>W9</f>
        <v>2</v>
      </c>
      <c r="AW7" s="495" t="str">
        <f>X10</f>
        <v/>
      </c>
      <c r="AX7" s="495" t="str">
        <f>AW6</f>
        <v/>
      </c>
      <c r="AY7" s="496" t="s">
        <v>793</v>
      </c>
    </row>
    <row r="8" spans="1:51" ht="15.95" customHeight="1" thickBot="1" x14ac:dyDescent="0.25">
      <c r="A8" s="435">
        <v>4</v>
      </c>
      <c r="B8" s="444" t="str">
        <f t="shared" ca="1" si="1"/>
        <v/>
      </c>
      <c r="C8" s="444" t="str">
        <f t="shared" ca="1" si="2"/>
        <v/>
      </c>
      <c r="D8" s="444" t="str">
        <f t="shared" ca="1" si="3"/>
        <v/>
      </c>
      <c r="E8" s="486">
        <f t="shared" ca="1" si="4"/>
        <v>0</v>
      </c>
      <c r="F8" s="489">
        <v>14</v>
      </c>
      <c r="G8" s="488" t="str">
        <f t="shared" ca="1" si="5"/>
        <v/>
      </c>
      <c r="H8" s="898" t="str">
        <f t="shared" ca="1" si="6"/>
        <v/>
      </c>
      <c r="I8" s="898" t="str">
        <f t="shared" ca="1" si="0"/>
        <v/>
      </c>
      <c r="J8" s="898" t="str">
        <f t="shared" ca="1" si="0"/>
        <v/>
      </c>
      <c r="K8" s="447"/>
      <c r="L8" s="473" t="str">
        <f ca="1">VLOOKUP(L7,$A$5:$G$24,7,FALSE)</f>
        <v/>
      </c>
      <c r="M8" s="466" t="str">
        <f ca="1">IFERROR(VLOOKUP(L8,$G$5:$J$28,3,FALSE),"")</f>
        <v/>
      </c>
      <c r="N8" s="967"/>
      <c r="Q8" s="447"/>
      <c r="R8" s="473" t="str">
        <f>IF(ISBLANK(N7),"",IF(O7+N7&gt;N9+O9,L8,L10))</f>
        <v/>
      </c>
      <c r="S8" s="466" t="str">
        <f ca="1">IFERROR(VLOOKUP(R8,$G$5:$J$28,3,FALSE),"")</f>
        <v/>
      </c>
      <c r="T8" s="967"/>
      <c r="W8" s="447"/>
      <c r="X8" s="473" t="str">
        <f>IF(ISBLANK(T7),"",IF(U7+T7&gt;T9+U9,R8,R10))</f>
        <v/>
      </c>
      <c r="Y8" s="466" t="str">
        <f ca="1">IFERROR(VLOOKUP(X8,$G$5:$J$28,3,FALSE),"")</f>
        <v/>
      </c>
      <c r="Z8" s="967"/>
      <c r="AF8" s="449" t="s">
        <v>785</v>
      </c>
      <c r="AG8" s="435" t="str">
        <f>IF(ISBLANK(Z7),"",IF(Z7+AA7&lt;Z9+AA9,X8,X10))</f>
        <v/>
      </c>
      <c r="AH8" s="478" t="str">
        <f t="shared" ref="AH8:AH22" ca="1" si="7">IFERROR(VLOOKUP(AG8,$G$5:$J$28,2,FALSE),"")</f>
        <v/>
      </c>
      <c r="AI8" s="474" t="str">
        <f t="shared" ref="AI8:AI22" ca="1" si="8">IFERROR(VLOOKUP(AG8,$G$5:$J$28,3,FALSE),"")</f>
        <v/>
      </c>
      <c r="AJ8" s="479" t="str">
        <f t="shared" ref="AJ8:AJ22" ca="1" si="9">IFERROR(VLOOKUP(AG8,$G$5:$J$28,4,FALSE),"")</f>
        <v/>
      </c>
      <c r="AN8" s="494">
        <f>K14</f>
        <v>3</v>
      </c>
      <c r="AO8" s="495" t="str">
        <f ca="1">L15</f>
        <v/>
      </c>
      <c r="AP8" s="495" t="str">
        <f t="shared" ref="AP8" ca="1" si="10">AO9</f>
        <v/>
      </c>
      <c r="AQ8" s="496" t="s">
        <v>793</v>
      </c>
      <c r="AR8" s="494">
        <f>Q14</f>
        <v>3</v>
      </c>
      <c r="AS8" s="495" t="str">
        <f>R15</f>
        <v/>
      </c>
      <c r="AT8" s="495" t="str">
        <f t="shared" ref="AT8" si="11">AS9</f>
        <v/>
      </c>
      <c r="AU8" s="496" t="s">
        <v>793</v>
      </c>
      <c r="AV8" s="494">
        <f>W14</f>
        <v>3</v>
      </c>
      <c r="AW8" s="495" t="str">
        <f>X15</f>
        <v/>
      </c>
      <c r="AX8" s="495" t="str">
        <f t="shared" ref="AX8" si="12">AW9</f>
        <v/>
      </c>
      <c r="AY8" s="496" t="s">
        <v>793</v>
      </c>
    </row>
    <row r="9" spans="1:51" ht="15.95" customHeight="1" thickBot="1" x14ac:dyDescent="0.25">
      <c r="A9" s="435">
        <v>5</v>
      </c>
      <c r="B9" s="444" t="str">
        <f t="shared" ca="1" si="1"/>
        <v/>
      </c>
      <c r="C9" s="444" t="str">
        <f t="shared" ca="1" si="2"/>
        <v/>
      </c>
      <c r="D9" s="444" t="str">
        <f t="shared" ca="1" si="3"/>
        <v/>
      </c>
      <c r="E9" s="486">
        <f t="shared" ca="1" si="4"/>
        <v>0</v>
      </c>
      <c r="F9" s="489">
        <v>15</v>
      </c>
      <c r="G9" s="488" t="str">
        <f t="shared" ca="1" si="5"/>
        <v/>
      </c>
      <c r="H9" s="898" t="str">
        <f t="shared" ca="1" si="6"/>
        <v/>
      </c>
      <c r="I9" s="898" t="str">
        <f t="shared" ca="1" si="0"/>
        <v/>
      </c>
      <c r="J9" s="898" t="str">
        <f t="shared" ca="1" si="0"/>
        <v/>
      </c>
      <c r="K9" s="447">
        <f>K7+1</f>
        <v>2</v>
      </c>
      <c r="L9" s="472">
        <v>8</v>
      </c>
      <c r="M9" s="465" t="str">
        <f ca="1">IFERROR(VLOOKUP(L10,$G$5:$J$28,2,FALSE),"")</f>
        <v/>
      </c>
      <c r="N9" s="966"/>
      <c r="O9" s="780"/>
      <c r="Q9" s="447">
        <f>Q7+1</f>
        <v>2</v>
      </c>
      <c r="R9" s="472">
        <v>4</v>
      </c>
      <c r="S9" s="465" t="str">
        <f ca="1">IFERROR(VLOOKUP(R10,$G$5:$J$28,2,FALSE),"")</f>
        <v/>
      </c>
      <c r="T9" s="966"/>
      <c r="U9" s="780"/>
      <c r="W9" s="447">
        <f>W7+1</f>
        <v>2</v>
      </c>
      <c r="X9" s="472">
        <v>2</v>
      </c>
      <c r="Y9" s="465" t="str">
        <f ca="1">IFERROR(VLOOKUP(X10,$G$5:$J$28,2,FALSE),"")</f>
        <v/>
      </c>
      <c r="Z9" s="966"/>
      <c r="AA9" s="780"/>
      <c r="AF9" s="452" t="s">
        <v>786</v>
      </c>
      <c r="AG9" s="435" t="str">
        <f>IF(ISBLANK(Z14),"",IF(Z14+AA14&gt;Z16+AA16,X15,X17))</f>
        <v/>
      </c>
      <c r="AH9" s="478" t="str">
        <f t="shared" ca="1" si="7"/>
        <v/>
      </c>
      <c r="AI9" s="474" t="str">
        <f t="shared" ca="1" si="8"/>
        <v/>
      </c>
      <c r="AJ9" s="479" t="str">
        <f t="shared" ca="1" si="9"/>
        <v/>
      </c>
      <c r="AN9" s="494">
        <f>K16</f>
        <v>4</v>
      </c>
      <c r="AO9" s="495" t="str">
        <f ca="1">L17</f>
        <v/>
      </c>
      <c r="AP9" s="495" t="str">
        <f t="shared" ref="AP9" ca="1" si="13">AO8</f>
        <v/>
      </c>
      <c r="AQ9" s="496" t="s">
        <v>793</v>
      </c>
      <c r="AR9" s="494">
        <f>Q16</f>
        <v>4</v>
      </c>
      <c r="AS9" s="495" t="str">
        <f>R17</f>
        <v/>
      </c>
      <c r="AT9" s="495" t="str">
        <f t="shared" ref="AT9" si="14">AS8</f>
        <v/>
      </c>
      <c r="AU9" s="496" t="s">
        <v>793</v>
      </c>
      <c r="AV9" s="494">
        <f>W16</f>
        <v>4</v>
      </c>
      <c r="AW9" s="495" t="str">
        <f>X17</f>
        <v/>
      </c>
      <c r="AX9" s="495" t="str">
        <f t="shared" ref="AX9" si="15">AW8</f>
        <v/>
      </c>
      <c r="AY9" s="496" t="s">
        <v>793</v>
      </c>
    </row>
    <row r="10" spans="1:51" ht="15.95" customHeight="1" thickBot="1" x14ac:dyDescent="0.25">
      <c r="A10" s="435">
        <v>6</v>
      </c>
      <c r="B10" s="444" t="str">
        <f t="shared" ca="1" si="1"/>
        <v/>
      </c>
      <c r="C10" s="444" t="str">
        <f t="shared" ca="1" si="2"/>
        <v/>
      </c>
      <c r="D10" s="444" t="str">
        <f t="shared" ca="1" si="3"/>
        <v/>
      </c>
      <c r="E10" s="486">
        <f t="shared" ca="1" si="4"/>
        <v>0</v>
      </c>
      <c r="F10" s="489">
        <v>16</v>
      </c>
      <c r="G10" s="488" t="str">
        <f t="shared" ca="1" si="5"/>
        <v/>
      </c>
      <c r="H10" s="898" t="str">
        <f t="shared" ca="1" si="6"/>
        <v/>
      </c>
      <c r="I10" s="898" t="str">
        <f t="shared" ca="1" si="0"/>
        <v/>
      </c>
      <c r="J10" s="898" t="str">
        <f t="shared" ca="1" si="0"/>
        <v/>
      </c>
      <c r="K10" s="447"/>
      <c r="L10" s="473" t="str">
        <f ca="1">VLOOKUP(L9,$A$5:$G$24,7,FALSE)</f>
        <v/>
      </c>
      <c r="M10" s="466" t="str">
        <f ca="1">IFERROR(VLOOKUP(L10,$G$5:$J$28,3,FALSE),"")</f>
        <v/>
      </c>
      <c r="N10" s="967"/>
      <c r="Q10" s="447"/>
      <c r="R10" s="473" t="str">
        <f>IF(ISBLANK(N14),"",IF(O14+N14&gt;N16+O16,L15,L17))</f>
        <v/>
      </c>
      <c r="S10" s="466" t="str">
        <f ca="1">IFERROR(VLOOKUP(R10,$G$5:$J$28,3,FALSE),"")</f>
        <v/>
      </c>
      <c r="T10" s="967"/>
      <c r="W10" s="447"/>
      <c r="X10" s="473" t="str">
        <f>IF(ISBLANK(T14),"",IF(U14+T14&gt;T16+U16,R15,R17))</f>
        <v/>
      </c>
      <c r="Y10" s="466" t="str">
        <f ca="1">IFERROR(VLOOKUP(X10,$G$5:$J$28,3,FALSE),"")</f>
        <v/>
      </c>
      <c r="Z10" s="967"/>
      <c r="AF10" s="453" t="s">
        <v>788</v>
      </c>
      <c r="AG10" s="435" t="str">
        <f>IF(ISBLANK(Z14),"",IF(Z14+AA14&lt;Z16+AA16,X15,X17))</f>
        <v/>
      </c>
      <c r="AH10" s="478" t="str">
        <f t="shared" ca="1" si="7"/>
        <v/>
      </c>
      <c r="AI10" s="474" t="str">
        <f t="shared" ca="1" si="8"/>
        <v/>
      </c>
      <c r="AJ10" s="479" t="str">
        <f t="shared" ca="1" si="9"/>
        <v/>
      </c>
      <c r="AN10" s="494">
        <f>K21</f>
        <v>5</v>
      </c>
      <c r="AO10" s="495" t="str">
        <f ca="1">L22</f>
        <v/>
      </c>
      <c r="AP10" s="495" t="str">
        <f t="shared" ref="AP10" ca="1" si="16">AO11</f>
        <v/>
      </c>
      <c r="AQ10" s="496" t="s">
        <v>793</v>
      </c>
      <c r="AR10" s="494">
        <f>Q21</f>
        <v>5</v>
      </c>
      <c r="AS10" s="495" t="str">
        <f>R22</f>
        <v/>
      </c>
      <c r="AT10" s="495" t="str">
        <f t="shared" ref="AT10" si="17">AS11</f>
        <v/>
      </c>
      <c r="AU10" s="496" t="s">
        <v>793</v>
      </c>
      <c r="AV10" s="494">
        <f>W21</f>
        <v>5</v>
      </c>
      <c r="AW10" s="495" t="str">
        <f>X22</f>
        <v/>
      </c>
      <c r="AX10" s="495" t="str">
        <f t="shared" ref="AX10" si="18">AW11</f>
        <v/>
      </c>
      <c r="AY10" s="496" t="s">
        <v>793</v>
      </c>
    </row>
    <row r="11" spans="1:51" ht="15.95" customHeight="1" x14ac:dyDescent="0.2">
      <c r="A11" s="435">
        <v>7</v>
      </c>
      <c r="B11" s="444" t="str">
        <f t="shared" ca="1" si="1"/>
        <v/>
      </c>
      <c r="C11" s="444" t="str">
        <f t="shared" ca="1" si="2"/>
        <v/>
      </c>
      <c r="D11" s="444" t="str">
        <f t="shared" ca="1" si="3"/>
        <v/>
      </c>
      <c r="E11" s="486">
        <f t="shared" ca="1" si="4"/>
        <v>0</v>
      </c>
      <c r="F11" s="489">
        <v>17</v>
      </c>
      <c r="G11" s="488" t="str">
        <f t="shared" ca="1" si="5"/>
        <v/>
      </c>
      <c r="H11" s="898" t="str">
        <f t="shared" ca="1" si="6"/>
        <v/>
      </c>
      <c r="I11" s="898" t="str">
        <f t="shared" ca="1" si="0"/>
        <v/>
      </c>
      <c r="J11" s="898" t="str">
        <f t="shared" ca="1" si="0"/>
        <v/>
      </c>
      <c r="K11" s="450"/>
      <c r="L11" s="450"/>
      <c r="M11" s="450"/>
      <c r="N11" s="451"/>
      <c r="O11" s="450"/>
      <c r="P11" s="450"/>
      <c r="Q11" s="450"/>
      <c r="R11" s="437"/>
      <c r="S11" s="437"/>
      <c r="T11" s="451"/>
      <c r="U11" s="450"/>
      <c r="V11" s="450"/>
      <c r="W11" s="450"/>
      <c r="X11" s="450"/>
      <c r="Y11" s="450"/>
      <c r="Z11" s="451"/>
      <c r="AA11" s="450"/>
      <c r="AF11" s="453" t="s">
        <v>789</v>
      </c>
      <c r="AG11" s="435" t="str">
        <f>IF(ISBLANK(Z21),"",IF(Z21+AA21&gt;Z23+AA23,X22,X24))</f>
        <v/>
      </c>
      <c r="AH11" s="478" t="str">
        <f t="shared" ca="1" si="7"/>
        <v/>
      </c>
      <c r="AI11" s="474" t="str">
        <f t="shared" ca="1" si="8"/>
        <v/>
      </c>
      <c r="AJ11" s="479" t="str">
        <f t="shared" ca="1" si="9"/>
        <v/>
      </c>
      <c r="AN11" s="494">
        <f>K23</f>
        <v>6</v>
      </c>
      <c r="AO11" s="495" t="str">
        <f ca="1">L24</f>
        <v/>
      </c>
      <c r="AP11" s="495" t="str">
        <f t="shared" ref="AP11" ca="1" si="19">AO10</f>
        <v/>
      </c>
      <c r="AQ11" s="496" t="s">
        <v>793</v>
      </c>
      <c r="AR11" s="494">
        <f>Q23</f>
        <v>6</v>
      </c>
      <c r="AS11" s="495" t="str">
        <f>R24</f>
        <v/>
      </c>
      <c r="AT11" s="495" t="str">
        <f t="shared" ref="AT11" si="20">AS10</f>
        <v/>
      </c>
      <c r="AU11" s="496" t="s">
        <v>793</v>
      </c>
      <c r="AV11" s="494">
        <f>W23</f>
        <v>6</v>
      </c>
      <c r="AW11" s="495" t="str">
        <f>X24</f>
        <v/>
      </c>
      <c r="AX11" s="495" t="str">
        <f t="shared" ref="AX11" si="21">AW10</f>
        <v/>
      </c>
      <c r="AY11" s="496" t="s">
        <v>793</v>
      </c>
    </row>
    <row r="12" spans="1:51" ht="15.95" customHeight="1" thickBot="1" x14ac:dyDescent="0.25">
      <c r="A12" s="435">
        <v>8</v>
      </c>
      <c r="B12" s="444" t="str">
        <f t="shared" ca="1" si="1"/>
        <v/>
      </c>
      <c r="C12" s="444" t="str">
        <f t="shared" ca="1" si="2"/>
        <v/>
      </c>
      <c r="D12" s="444" t="str">
        <f t="shared" ca="1" si="3"/>
        <v/>
      </c>
      <c r="E12" s="486">
        <f t="shared" ca="1" si="4"/>
        <v>0</v>
      </c>
      <c r="F12" s="489">
        <v>18</v>
      </c>
      <c r="G12" s="488" t="str">
        <f t="shared" ca="1" si="5"/>
        <v/>
      </c>
      <c r="H12" s="898" t="str">
        <f t="shared" ca="1" si="6"/>
        <v/>
      </c>
      <c r="I12" s="898" t="str">
        <f t="shared" ca="1" si="0"/>
        <v/>
      </c>
      <c r="J12" s="898" t="str">
        <f t="shared" ca="1" si="0"/>
        <v/>
      </c>
      <c r="K12" s="450"/>
      <c r="L12" s="450"/>
      <c r="M12" s="450"/>
      <c r="N12" s="451"/>
      <c r="O12" s="450"/>
      <c r="P12" s="450"/>
      <c r="Q12" s="450"/>
      <c r="R12" s="437"/>
      <c r="S12" s="437"/>
      <c r="T12" s="451"/>
      <c r="U12" s="450"/>
      <c r="V12" s="450"/>
      <c r="W12" s="450"/>
      <c r="X12" s="979" t="s">
        <v>787</v>
      </c>
      <c r="Y12" s="1247"/>
      <c r="Z12" s="1247"/>
      <c r="AA12" s="450"/>
      <c r="AF12" s="453" t="s">
        <v>790</v>
      </c>
      <c r="AG12" s="435" t="str">
        <f>IF(ISBLANK(Z21),"",IF(Z21+AA21&lt;Z23+AA23,X22,X24))</f>
        <v/>
      </c>
      <c r="AH12" s="478" t="str">
        <f t="shared" ca="1" si="7"/>
        <v/>
      </c>
      <c r="AI12" s="474" t="str">
        <f t="shared" ca="1" si="8"/>
        <v/>
      </c>
      <c r="AJ12" s="479" t="str">
        <f t="shared" ca="1" si="9"/>
        <v/>
      </c>
      <c r="AN12" s="494">
        <f>K28</f>
        <v>7</v>
      </c>
      <c r="AO12" s="495" t="str">
        <f ca="1">L29</f>
        <v/>
      </c>
      <c r="AP12" s="495" t="str">
        <f t="shared" ref="AP12" ca="1" si="22">AO13</f>
        <v/>
      </c>
      <c r="AQ12" s="496" t="s">
        <v>793</v>
      </c>
      <c r="AR12" s="494">
        <f>Q28</f>
        <v>7</v>
      </c>
      <c r="AS12" s="495" t="str">
        <f>R29</f>
        <v/>
      </c>
      <c r="AT12" s="495" t="str">
        <f t="shared" ref="AT12" si="23">AS13</f>
        <v/>
      </c>
      <c r="AU12" s="496" t="s">
        <v>793</v>
      </c>
      <c r="AV12" s="494">
        <f>W28</f>
        <v>7</v>
      </c>
      <c r="AW12" s="495" t="str">
        <f>X29</f>
        <v/>
      </c>
      <c r="AX12" s="495" t="str">
        <f t="shared" ref="AX12" si="24">AW13</f>
        <v/>
      </c>
      <c r="AY12" s="496" t="s">
        <v>793</v>
      </c>
    </row>
    <row r="13" spans="1:51" ht="15.95" customHeight="1" thickBot="1" x14ac:dyDescent="0.25">
      <c r="A13" s="435">
        <v>9</v>
      </c>
      <c r="B13" s="444" t="str">
        <f t="shared" ca="1" si="1"/>
        <v/>
      </c>
      <c r="C13" s="444" t="str">
        <f t="shared" ca="1" si="2"/>
        <v/>
      </c>
      <c r="D13" s="444" t="str">
        <f t="shared" ca="1" si="3"/>
        <v/>
      </c>
      <c r="E13" s="486">
        <f t="shared" ca="1" si="4"/>
        <v>0</v>
      </c>
      <c r="F13" s="489">
        <v>19</v>
      </c>
      <c r="G13" s="488" t="str">
        <f t="shared" ca="1" si="5"/>
        <v/>
      </c>
      <c r="H13" s="898" t="str">
        <f t="shared" ca="1" si="6"/>
        <v/>
      </c>
      <c r="I13" s="898" t="str">
        <f t="shared" ca="1" si="0"/>
        <v/>
      </c>
      <c r="J13" s="898" t="str">
        <f t="shared" ca="1" si="0"/>
        <v/>
      </c>
      <c r="K13" s="445" t="s">
        <v>779</v>
      </c>
      <c r="L13" s="779" t="s">
        <v>1083</v>
      </c>
      <c r="M13" s="456" t="s">
        <v>481</v>
      </c>
      <c r="N13" s="464" t="s">
        <v>780</v>
      </c>
      <c r="O13" s="446" t="s">
        <v>781</v>
      </c>
      <c r="P13" s="445"/>
      <c r="Q13" s="445" t="s">
        <v>779</v>
      </c>
      <c r="R13" s="779" t="s">
        <v>1083</v>
      </c>
      <c r="S13" s="456" t="s">
        <v>481</v>
      </c>
      <c r="T13" s="464" t="s">
        <v>780</v>
      </c>
      <c r="U13" s="446" t="s">
        <v>781</v>
      </c>
      <c r="V13" s="445"/>
      <c r="W13" s="445" t="s">
        <v>779</v>
      </c>
      <c r="X13" s="779" t="s">
        <v>1083</v>
      </c>
      <c r="Y13" s="456" t="s">
        <v>481</v>
      </c>
      <c r="Z13" s="464" t="s">
        <v>780</v>
      </c>
      <c r="AA13" s="446" t="s">
        <v>781</v>
      </c>
      <c r="AF13" s="453" t="s">
        <v>791</v>
      </c>
      <c r="AG13" s="435" t="str">
        <f>IF(ISBLANK(Z28),"",IF(Z28+AA28&gt;Z30+AA30,X29,X31))</f>
        <v/>
      </c>
      <c r="AH13" s="478" t="str">
        <f t="shared" ca="1" si="7"/>
        <v/>
      </c>
      <c r="AI13" s="474" t="str">
        <f t="shared" ca="1" si="8"/>
        <v/>
      </c>
      <c r="AJ13" s="479" t="str">
        <f t="shared" ca="1" si="9"/>
        <v/>
      </c>
      <c r="AN13" s="494">
        <f>K30</f>
        <v>8</v>
      </c>
      <c r="AO13" s="495" t="str">
        <f ca="1">L31</f>
        <v/>
      </c>
      <c r="AP13" s="495" t="str">
        <f t="shared" ref="AP13" ca="1" si="25">AO12</f>
        <v/>
      </c>
      <c r="AQ13" s="496" t="s">
        <v>793</v>
      </c>
      <c r="AR13" s="494">
        <f>Q30</f>
        <v>8</v>
      </c>
      <c r="AS13" s="495" t="str">
        <f>R31</f>
        <v/>
      </c>
      <c r="AT13" s="495" t="str">
        <f t="shared" ref="AT13" si="26">AS12</f>
        <v/>
      </c>
      <c r="AU13" s="496" t="s">
        <v>793</v>
      </c>
      <c r="AV13" s="494">
        <f>W30</f>
        <v>8</v>
      </c>
      <c r="AW13" s="495" t="str">
        <f>X31</f>
        <v/>
      </c>
      <c r="AX13" s="495" t="str">
        <f t="shared" ref="AX13" si="27">AW12</f>
        <v/>
      </c>
      <c r="AY13" s="496" t="s">
        <v>793</v>
      </c>
    </row>
    <row r="14" spans="1:51" ht="15.95" customHeight="1" thickBot="1" x14ac:dyDescent="0.25">
      <c r="A14" s="435">
        <v>10</v>
      </c>
      <c r="B14" s="444" t="str">
        <f t="shared" ca="1" si="1"/>
        <v/>
      </c>
      <c r="C14" s="444" t="str">
        <f t="shared" ca="1" si="2"/>
        <v/>
      </c>
      <c r="D14" s="444" t="str">
        <f t="shared" ca="1" si="3"/>
        <v/>
      </c>
      <c r="E14" s="486">
        <f t="shared" ca="1" si="4"/>
        <v>0</v>
      </c>
      <c r="F14" s="489">
        <v>20</v>
      </c>
      <c r="G14" s="488" t="str">
        <f t="shared" ca="1" si="5"/>
        <v/>
      </c>
      <c r="H14" s="898" t="str">
        <f t="shared" ca="1" si="6"/>
        <v/>
      </c>
      <c r="I14" s="898" t="str">
        <f t="shared" ca="1" si="0"/>
        <v/>
      </c>
      <c r="J14" s="898" t="str">
        <f t="shared" ca="1" si="0"/>
        <v/>
      </c>
      <c r="K14" s="447">
        <f>K9+1</f>
        <v>3</v>
      </c>
      <c r="L14" s="472">
        <v>4</v>
      </c>
      <c r="M14" s="465" t="str">
        <f ca="1">IFERROR(VLOOKUP(L15,$G$5:$J$28,2,FALSE),"")</f>
        <v/>
      </c>
      <c r="N14" s="966"/>
      <c r="O14" s="780"/>
      <c r="Q14" s="447">
        <f>Q9+1</f>
        <v>3</v>
      </c>
      <c r="R14" s="472">
        <v>3</v>
      </c>
      <c r="S14" s="465" t="str">
        <f ca="1">IFERROR(VLOOKUP(R15,$G$5:$J$28,2,FALSE),"")</f>
        <v/>
      </c>
      <c r="T14" s="966"/>
      <c r="U14" s="780"/>
      <c r="W14" s="447">
        <f>W9+1</f>
        <v>3</v>
      </c>
      <c r="X14" s="472">
        <v>4</v>
      </c>
      <c r="Y14" s="465" t="str">
        <f ca="1">IFERROR(VLOOKUP(X15,$G$5:$J$28,2,FALSE),"")</f>
        <v/>
      </c>
      <c r="Z14" s="966"/>
      <c r="AA14" s="780"/>
      <c r="AF14" s="453" t="s">
        <v>792</v>
      </c>
      <c r="AG14" s="435" t="str">
        <f>IF(ISBLANK(Z28),"",IF(Z28+AA28&lt;Z30+AA30,X29,X31))</f>
        <v/>
      </c>
      <c r="AH14" s="478" t="str">
        <f t="shared" ca="1" si="7"/>
        <v/>
      </c>
      <c r="AI14" s="474" t="str">
        <f t="shared" ca="1" si="8"/>
        <v/>
      </c>
      <c r="AJ14" s="479" t="str">
        <f t="shared" ca="1" si="9"/>
        <v/>
      </c>
      <c r="AN14" s="494">
        <f>K35</f>
        <v>9</v>
      </c>
      <c r="AO14" s="495" t="str">
        <f ca="1">L36</f>
        <v/>
      </c>
      <c r="AP14" s="495" t="str">
        <f t="shared" ref="AP14" ca="1" si="28">AO15</f>
        <v/>
      </c>
      <c r="AQ14" s="496" t="s">
        <v>793</v>
      </c>
      <c r="AR14" s="494">
        <f>Q35</f>
        <v>9</v>
      </c>
      <c r="AS14" s="495" t="str">
        <f>R36</f>
        <v/>
      </c>
      <c r="AT14" s="495" t="str">
        <f t="shared" ref="AT14" si="29">AS15</f>
        <v/>
      </c>
      <c r="AU14" s="496" t="s">
        <v>793</v>
      </c>
      <c r="AV14" s="494">
        <f>W35</f>
        <v>9</v>
      </c>
      <c r="AW14" s="495" t="str">
        <f>X36</f>
        <v/>
      </c>
      <c r="AX14" s="495" t="str">
        <f t="shared" ref="AX14" si="30">AW15</f>
        <v/>
      </c>
      <c r="AY14" s="496" t="s">
        <v>793</v>
      </c>
    </row>
    <row r="15" spans="1:51" ht="15.95" customHeight="1" thickBot="1" x14ac:dyDescent="0.25">
      <c r="A15" s="435">
        <v>11</v>
      </c>
      <c r="B15" s="444" t="str">
        <f t="shared" ca="1" si="1"/>
        <v/>
      </c>
      <c r="C15" s="444" t="str">
        <f t="shared" ca="1" si="2"/>
        <v/>
      </c>
      <c r="D15" s="444" t="str">
        <f t="shared" ca="1" si="3"/>
        <v/>
      </c>
      <c r="E15" s="486">
        <f t="shared" ca="1" si="4"/>
        <v>0</v>
      </c>
      <c r="F15" s="489">
        <v>21</v>
      </c>
      <c r="G15" s="488" t="str">
        <f t="shared" ca="1" si="5"/>
        <v/>
      </c>
      <c r="H15" s="898" t="str">
        <f t="shared" ca="1" si="6"/>
        <v/>
      </c>
      <c r="I15" s="898" t="str">
        <f t="shared" ca="1" si="0"/>
        <v/>
      </c>
      <c r="J15" s="898" t="str">
        <f t="shared" ca="1" si="0"/>
        <v/>
      </c>
      <c r="K15" s="447"/>
      <c r="L15" s="473" t="str">
        <f ca="1">VLOOKUP(L14,$A$5:$G$24,7,FALSE)</f>
        <v/>
      </c>
      <c r="M15" s="466" t="str">
        <f ca="1">IFERROR(VLOOKUP(L15,$G$5:$J$28,3,FALSE),"")</f>
        <v/>
      </c>
      <c r="N15" s="967"/>
      <c r="Q15" s="447"/>
      <c r="R15" s="473" t="str">
        <f>IF(ISBLANK(N21),"",IF(N21+O21&gt;N23+O23,L22,L24))</f>
        <v/>
      </c>
      <c r="S15" s="466" t="str">
        <f ca="1">IFERROR(VLOOKUP(R15,$G$5:$J$28,3,FALSE),"")</f>
        <v/>
      </c>
      <c r="T15" s="967"/>
      <c r="W15" s="447"/>
      <c r="X15" s="473" t="str">
        <f>IF(ISBLANK(T7),"",IF(U7+T7&lt;T9+U9,R8,R10))</f>
        <v/>
      </c>
      <c r="Y15" s="466" t="str">
        <f ca="1">IFERROR(VLOOKUP(X15,$G$5:$J$28,3,FALSE),"")</f>
        <v/>
      </c>
      <c r="Z15" s="967"/>
      <c r="AF15" s="453" t="s">
        <v>794</v>
      </c>
      <c r="AG15" s="435" t="str">
        <f>IF(ISBLANK(Z35),"",IF(Z35+AA35&gt;Z37+AA37,X36,X38))</f>
        <v/>
      </c>
      <c r="AH15" s="478" t="str">
        <f t="shared" ca="1" si="7"/>
        <v/>
      </c>
      <c r="AI15" s="474" t="str">
        <f t="shared" ca="1" si="8"/>
        <v/>
      </c>
      <c r="AJ15" s="479" t="str">
        <f t="shared" ca="1" si="9"/>
        <v/>
      </c>
      <c r="AN15" s="494">
        <f>K37</f>
        <v>10</v>
      </c>
      <c r="AO15" s="495" t="str">
        <f ca="1">L38</f>
        <v/>
      </c>
      <c r="AP15" s="495" t="str">
        <f t="shared" ref="AP15" ca="1" si="31">AO14</f>
        <v/>
      </c>
      <c r="AQ15" s="496" t="s">
        <v>793</v>
      </c>
      <c r="AR15" s="494">
        <f>Q37</f>
        <v>10</v>
      </c>
      <c r="AS15" s="495" t="str">
        <f>R38</f>
        <v/>
      </c>
      <c r="AT15" s="495" t="str">
        <f t="shared" ref="AT15" si="32">AS14</f>
        <v/>
      </c>
      <c r="AU15" s="496" t="s">
        <v>793</v>
      </c>
      <c r="AV15" s="494">
        <f>W37</f>
        <v>10</v>
      </c>
      <c r="AW15" s="495" t="str">
        <f>X38</f>
        <v/>
      </c>
      <c r="AX15" s="495" t="str">
        <f t="shared" ref="AX15" si="33">AW14</f>
        <v/>
      </c>
      <c r="AY15" s="496" t="s">
        <v>793</v>
      </c>
    </row>
    <row r="16" spans="1:51" ht="15.95" customHeight="1" thickBot="1" x14ac:dyDescent="0.25">
      <c r="A16" s="435">
        <v>12</v>
      </c>
      <c r="B16" s="444" t="str">
        <f t="shared" ca="1" si="1"/>
        <v/>
      </c>
      <c r="C16" s="444" t="str">
        <f t="shared" ca="1" si="2"/>
        <v/>
      </c>
      <c r="D16" s="444" t="str">
        <f t="shared" ca="1" si="3"/>
        <v/>
      </c>
      <c r="E16" s="486">
        <f t="shared" ca="1" si="4"/>
        <v>0</v>
      </c>
      <c r="F16" s="489">
        <v>22</v>
      </c>
      <c r="G16" s="488" t="str">
        <f t="shared" ca="1" si="5"/>
        <v/>
      </c>
      <c r="H16" s="898" t="str">
        <f t="shared" ca="1" si="6"/>
        <v/>
      </c>
      <c r="I16" s="898" t="str">
        <f t="shared" ca="1" si="0"/>
        <v/>
      </c>
      <c r="J16" s="898" t="str">
        <f t="shared" ca="1" si="0"/>
        <v/>
      </c>
      <c r="K16" s="447">
        <f>K14+1</f>
        <v>4</v>
      </c>
      <c r="L16" s="472">
        <v>5</v>
      </c>
      <c r="M16" s="465" t="str">
        <f ca="1">IFERROR(VLOOKUP(L17,$G$5:$J$28,2,FALSE),"")</f>
        <v/>
      </c>
      <c r="N16" s="966"/>
      <c r="O16" s="780"/>
      <c r="Q16" s="447">
        <f>Q14+1</f>
        <v>4</v>
      </c>
      <c r="R16" s="472">
        <v>2</v>
      </c>
      <c r="S16" s="465" t="str">
        <f ca="1">IFERROR(VLOOKUP(R17,$G$5:$J$28,2,FALSE),"")</f>
        <v/>
      </c>
      <c r="T16" s="966"/>
      <c r="U16" s="780"/>
      <c r="W16" s="447">
        <f>W14+1</f>
        <v>4</v>
      </c>
      <c r="X16" s="472">
        <v>3</v>
      </c>
      <c r="Y16" s="465" t="str">
        <f ca="1">IFERROR(VLOOKUP(X17,$G$5:$J$28,2,FALSE),"")</f>
        <v/>
      </c>
      <c r="Z16" s="966"/>
      <c r="AA16" s="780"/>
      <c r="AF16" s="453" t="s">
        <v>795</v>
      </c>
      <c r="AG16" s="435" t="str">
        <f>IF(ISBLANK(Z35),"",IF(Z35+AA35&lt;Z37+AA37,X36,X38))</f>
        <v/>
      </c>
      <c r="AH16" s="478" t="str">
        <f t="shared" ca="1" si="7"/>
        <v/>
      </c>
      <c r="AI16" s="474" t="str">
        <f t="shared" ca="1" si="8"/>
        <v/>
      </c>
      <c r="AJ16" s="479" t="str">
        <f t="shared" ca="1" si="9"/>
        <v/>
      </c>
      <c r="AN16" s="494">
        <f>K42</f>
        <v>11</v>
      </c>
      <c r="AO16" s="495" t="str">
        <f ca="1">L43</f>
        <v/>
      </c>
      <c r="AP16" s="495" t="str">
        <f t="shared" ref="AP16" ca="1" si="34">AO17</f>
        <v/>
      </c>
      <c r="AQ16" s="496" t="s">
        <v>793</v>
      </c>
      <c r="AR16" s="494">
        <f>Q42</f>
        <v>11</v>
      </c>
      <c r="AS16" s="495" t="str">
        <f>R43</f>
        <v/>
      </c>
      <c r="AT16" s="495" t="str">
        <f t="shared" ref="AT16" si="35">AS17</f>
        <v/>
      </c>
      <c r="AU16" s="496" t="s">
        <v>793</v>
      </c>
      <c r="AV16" s="494">
        <f>W42</f>
        <v>11</v>
      </c>
      <c r="AW16" s="495" t="str">
        <f>X43</f>
        <v/>
      </c>
      <c r="AX16" s="495" t="str">
        <f t="shared" ref="AX16" si="36">AW17</f>
        <v/>
      </c>
      <c r="AY16" s="496" t="s">
        <v>793</v>
      </c>
    </row>
    <row r="17" spans="1:51" ht="15.95" customHeight="1" thickBot="1" x14ac:dyDescent="0.25">
      <c r="A17" s="435">
        <v>13</v>
      </c>
      <c r="B17" s="444" t="str">
        <f t="shared" ca="1" si="1"/>
        <v/>
      </c>
      <c r="C17" s="444" t="str">
        <f t="shared" ca="1" si="2"/>
        <v/>
      </c>
      <c r="D17" s="444" t="str">
        <f t="shared" ca="1" si="3"/>
        <v/>
      </c>
      <c r="E17" s="486">
        <f t="shared" ca="1" si="4"/>
        <v>0</v>
      </c>
      <c r="F17" s="489">
        <v>23</v>
      </c>
      <c r="G17" s="488" t="str">
        <f t="shared" ca="1" si="5"/>
        <v/>
      </c>
      <c r="H17" s="898" t="str">
        <f t="shared" ca="1" si="6"/>
        <v/>
      </c>
      <c r="I17" s="898" t="str">
        <f t="shared" ca="1" si="0"/>
        <v/>
      </c>
      <c r="J17" s="898" t="str">
        <f t="shared" ca="1" si="0"/>
        <v/>
      </c>
      <c r="K17" s="447"/>
      <c r="L17" s="473" t="str">
        <f ca="1">VLOOKUP(L16,$A$5:$G$24,7,FALSE)</f>
        <v/>
      </c>
      <c r="M17" s="466" t="str">
        <f ca="1">IFERROR(VLOOKUP(L17,$G$5:$J$28,3,FALSE),"")</f>
        <v/>
      </c>
      <c r="N17" s="967"/>
      <c r="Q17" s="447"/>
      <c r="R17" s="473" t="str">
        <f>IF(ISBLANK(N28),"",IF(N28+O28&gt;N30+O30,L29,L31))</f>
        <v/>
      </c>
      <c r="S17" s="466" t="str">
        <f ca="1">IFERROR(VLOOKUP(R17,$G$5:$J$28,3,FALSE),"")</f>
        <v/>
      </c>
      <c r="T17" s="967"/>
      <c r="W17" s="447"/>
      <c r="X17" s="473" t="str">
        <f>IF(ISBLANK(T14),"",IF(U14+T14&lt;T16+U16,R15,R17))</f>
        <v/>
      </c>
      <c r="Y17" s="466" t="str">
        <f ca="1">IFERROR(VLOOKUP(X17,$G$5:$J$28,3,FALSE),"")</f>
        <v/>
      </c>
      <c r="Z17" s="967"/>
      <c r="AF17" s="453" t="s">
        <v>796</v>
      </c>
      <c r="AG17" s="435" t="str">
        <f>IF(ISBLANK(Z42),"",IF(Z42+AA42&gt;Z44+AA44,X43,X45))</f>
        <v/>
      </c>
      <c r="AH17" s="478" t="str">
        <f t="shared" ca="1" si="7"/>
        <v/>
      </c>
      <c r="AI17" s="474" t="str">
        <f t="shared" ca="1" si="8"/>
        <v/>
      </c>
      <c r="AJ17" s="479" t="str">
        <f t="shared" ca="1" si="9"/>
        <v/>
      </c>
      <c r="AN17" s="494">
        <f>K44</f>
        <v>12</v>
      </c>
      <c r="AO17" s="495" t="str">
        <f ca="1">L45</f>
        <v/>
      </c>
      <c r="AP17" s="495" t="str">
        <f t="shared" ref="AP17" ca="1" si="37">AO16</f>
        <v/>
      </c>
      <c r="AQ17" s="496" t="s">
        <v>793</v>
      </c>
      <c r="AR17" s="494">
        <f>Q44</f>
        <v>12</v>
      </c>
      <c r="AS17" s="495" t="str">
        <f>R45</f>
        <v/>
      </c>
      <c r="AT17" s="495" t="str">
        <f t="shared" ref="AT17" si="38">AS16</f>
        <v/>
      </c>
      <c r="AU17" s="496" t="s">
        <v>793</v>
      </c>
      <c r="AV17" s="494">
        <f>W44</f>
        <v>12</v>
      </c>
      <c r="AW17" s="495" t="str">
        <f>X45</f>
        <v/>
      </c>
      <c r="AX17" s="495" t="str">
        <f t="shared" ref="AX17" si="39">AW16</f>
        <v/>
      </c>
      <c r="AY17" s="496" t="s">
        <v>793</v>
      </c>
    </row>
    <row r="18" spans="1:51" ht="15.95" customHeight="1" x14ac:dyDescent="0.2">
      <c r="A18" s="435">
        <v>14</v>
      </c>
      <c r="B18" s="444" t="str">
        <f t="shared" ca="1" si="1"/>
        <v/>
      </c>
      <c r="C18" s="444" t="str">
        <f t="shared" ca="1" si="2"/>
        <v/>
      </c>
      <c r="D18" s="444" t="str">
        <f t="shared" ca="1" si="3"/>
        <v/>
      </c>
      <c r="E18" s="486">
        <f t="shared" ca="1" si="4"/>
        <v>0</v>
      </c>
      <c r="F18" s="489">
        <v>24</v>
      </c>
      <c r="G18" s="488" t="str">
        <f t="shared" ca="1" si="5"/>
        <v/>
      </c>
      <c r="H18" s="898" t="str">
        <f t="shared" ca="1" si="6"/>
        <v/>
      </c>
      <c r="I18" s="898" t="str">
        <f t="shared" ca="1" si="0"/>
        <v/>
      </c>
      <c r="J18" s="898" t="str">
        <f t="shared" ca="1" si="0"/>
        <v/>
      </c>
      <c r="K18" s="450"/>
      <c r="L18" s="450"/>
      <c r="M18" s="450"/>
      <c r="N18" s="451"/>
      <c r="O18" s="450"/>
      <c r="P18" s="450"/>
      <c r="Q18" s="450"/>
      <c r="R18" s="450"/>
      <c r="S18" s="450"/>
      <c r="T18" s="451"/>
      <c r="U18" s="450"/>
      <c r="V18" s="450"/>
      <c r="W18" s="450"/>
      <c r="X18" s="450"/>
      <c r="Y18" s="450"/>
      <c r="Z18" s="451"/>
      <c r="AA18" s="450"/>
      <c r="AF18" s="453" t="s">
        <v>797</v>
      </c>
      <c r="AG18" s="435" t="str">
        <f>IF(ISBLANK(Z42),"",IF(Z42+AA42&lt;Z44+AA44,X43,X45))</f>
        <v/>
      </c>
      <c r="AH18" s="478" t="str">
        <f t="shared" ca="1" si="7"/>
        <v/>
      </c>
      <c r="AI18" s="474" t="str">
        <f t="shared" ca="1" si="8"/>
        <v/>
      </c>
      <c r="AJ18" s="479" t="str">
        <f t="shared" ca="1" si="9"/>
        <v/>
      </c>
      <c r="AN18" s="494">
        <f>K49</f>
        <v>13</v>
      </c>
      <c r="AO18" s="495" t="str">
        <f ca="1">L50</f>
        <v/>
      </c>
      <c r="AP18" s="495" t="str">
        <f t="shared" ref="AP18" ca="1" si="40">AO19</f>
        <v/>
      </c>
      <c r="AQ18" s="496" t="s">
        <v>793</v>
      </c>
      <c r="AR18" s="494">
        <f>Q49</f>
        <v>13</v>
      </c>
      <c r="AS18" s="495" t="str">
        <f>R50</f>
        <v/>
      </c>
      <c r="AT18" s="495" t="str">
        <f t="shared" ref="AT18" si="41">AS19</f>
        <v/>
      </c>
      <c r="AU18" s="496" t="s">
        <v>793</v>
      </c>
      <c r="AV18" s="494">
        <f>W49</f>
        <v>13</v>
      </c>
      <c r="AW18" s="495" t="str">
        <f>X50</f>
        <v/>
      </c>
      <c r="AX18" s="495" t="str">
        <f t="shared" ref="AX18" si="42">AW19</f>
        <v/>
      </c>
      <c r="AY18" s="496" t="s">
        <v>793</v>
      </c>
    </row>
    <row r="19" spans="1:51" ht="15.95" customHeight="1" thickBot="1" x14ac:dyDescent="0.25">
      <c r="A19" s="435">
        <v>15</v>
      </c>
      <c r="B19" s="444" t="str">
        <f t="shared" ca="1" si="1"/>
        <v/>
      </c>
      <c r="C19" s="444" t="str">
        <f t="shared" ca="1" si="2"/>
        <v/>
      </c>
      <c r="D19" s="444" t="str">
        <f t="shared" ca="1" si="3"/>
        <v/>
      </c>
      <c r="E19" s="486">
        <f t="shared" ca="1" si="4"/>
        <v>0</v>
      </c>
      <c r="F19" s="489">
        <v>25</v>
      </c>
      <c r="G19" s="488" t="str">
        <f t="shared" ca="1" si="5"/>
        <v/>
      </c>
      <c r="H19" s="898" t="str">
        <f t="shared" ca="1" si="6"/>
        <v/>
      </c>
      <c r="I19" s="898" t="str">
        <f t="shared" ca="1" si="0"/>
        <v/>
      </c>
      <c r="J19" s="898" t="str">
        <f t="shared" ca="1" si="0"/>
        <v/>
      </c>
      <c r="K19" s="450"/>
      <c r="L19" s="454"/>
      <c r="M19" s="454"/>
      <c r="N19" s="455"/>
      <c r="O19" s="450"/>
      <c r="P19" s="450"/>
      <c r="Q19" s="450"/>
      <c r="R19" s="979" t="s">
        <v>819</v>
      </c>
      <c r="S19" s="1247"/>
      <c r="T19" s="1247"/>
      <c r="U19" s="450"/>
      <c r="V19" s="450"/>
      <c r="W19" s="450"/>
      <c r="X19" s="979" t="s">
        <v>820</v>
      </c>
      <c r="Y19" s="1247"/>
      <c r="Z19" s="1247"/>
      <c r="AA19" s="450"/>
      <c r="AF19" s="453" t="s">
        <v>798</v>
      </c>
      <c r="AG19" s="435" t="str">
        <f>IF(ISBLANK(Z49),"",IF(Z49+AA49&gt;Z51+AA51,X50,X52))</f>
        <v/>
      </c>
      <c r="AH19" s="478" t="str">
        <f t="shared" ca="1" si="7"/>
        <v/>
      </c>
      <c r="AI19" s="474" t="str">
        <f t="shared" ca="1" si="8"/>
        <v/>
      </c>
      <c r="AJ19" s="479" t="str">
        <f t="shared" ca="1" si="9"/>
        <v/>
      </c>
      <c r="AN19" s="494">
        <f>K51</f>
        <v>14</v>
      </c>
      <c r="AO19" s="495" t="str">
        <f ca="1">L52</f>
        <v/>
      </c>
      <c r="AP19" s="495" t="str">
        <f t="shared" ref="AP19" ca="1" si="43">AO18</f>
        <v/>
      </c>
      <c r="AQ19" s="496" t="s">
        <v>793</v>
      </c>
      <c r="AR19" s="494">
        <f>Q51</f>
        <v>14</v>
      </c>
      <c r="AS19" s="495" t="str">
        <f>R52</f>
        <v/>
      </c>
      <c r="AT19" s="495" t="str">
        <f t="shared" ref="AT19" si="44">AS18</f>
        <v/>
      </c>
      <c r="AU19" s="496" t="s">
        <v>793</v>
      </c>
      <c r="AV19" s="494">
        <f>W51</f>
        <v>14</v>
      </c>
      <c r="AW19" s="495" t="str">
        <f>X52</f>
        <v/>
      </c>
      <c r="AX19" s="495" t="str">
        <f t="shared" ref="AX19" si="45">AW18</f>
        <v/>
      </c>
      <c r="AY19" s="496" t="s">
        <v>793</v>
      </c>
    </row>
    <row r="20" spans="1:51" ht="15.95" customHeight="1" thickBot="1" x14ac:dyDescent="0.25">
      <c r="A20" s="435">
        <v>16</v>
      </c>
      <c r="B20" s="444" t="str">
        <f t="shared" ca="1" si="1"/>
        <v/>
      </c>
      <c r="C20" s="444" t="str">
        <f t="shared" ca="1" si="2"/>
        <v/>
      </c>
      <c r="D20" s="444" t="str">
        <f t="shared" ca="1" si="3"/>
        <v/>
      </c>
      <c r="E20" s="486">
        <f t="shared" ca="1" si="4"/>
        <v>0</v>
      </c>
      <c r="F20" s="489">
        <v>26</v>
      </c>
      <c r="G20" s="488" t="str">
        <f t="shared" ca="1" si="5"/>
        <v/>
      </c>
      <c r="H20" s="898" t="str">
        <f t="shared" ca="1" si="6"/>
        <v/>
      </c>
      <c r="I20" s="898" t="str">
        <f t="shared" ca="1" si="0"/>
        <v/>
      </c>
      <c r="J20" s="898" t="str">
        <f t="shared" ca="1" si="0"/>
        <v/>
      </c>
      <c r="K20" s="445" t="s">
        <v>779</v>
      </c>
      <c r="L20" s="779" t="s">
        <v>1083</v>
      </c>
      <c r="M20" s="456" t="s">
        <v>481</v>
      </c>
      <c r="N20" s="464" t="s">
        <v>780</v>
      </c>
      <c r="O20" s="446" t="s">
        <v>781</v>
      </c>
      <c r="P20" s="445"/>
      <c r="Q20" s="445" t="s">
        <v>779</v>
      </c>
      <c r="R20" s="779" t="s">
        <v>1083</v>
      </c>
      <c r="S20" s="456" t="s">
        <v>481</v>
      </c>
      <c r="T20" s="464" t="s">
        <v>780</v>
      </c>
      <c r="U20" s="446" t="s">
        <v>781</v>
      </c>
      <c r="V20" s="445"/>
      <c r="W20" s="445" t="s">
        <v>779</v>
      </c>
      <c r="X20" s="779" t="s">
        <v>1083</v>
      </c>
      <c r="Y20" s="456" t="s">
        <v>481</v>
      </c>
      <c r="Z20" s="464" t="s">
        <v>780</v>
      </c>
      <c r="AA20" s="446" t="s">
        <v>781</v>
      </c>
      <c r="AF20" s="453" t="s">
        <v>799</v>
      </c>
      <c r="AG20" s="435" t="str">
        <f>IF(ISBLANK(Z49),"",IF(Z49+AA49&lt;Z51+AA51,X50,X52))</f>
        <v/>
      </c>
      <c r="AH20" s="478" t="str">
        <f t="shared" ca="1" si="7"/>
        <v/>
      </c>
      <c r="AI20" s="474" t="str">
        <f t="shared" ca="1" si="8"/>
        <v/>
      </c>
      <c r="AJ20" s="479" t="str">
        <f t="shared" ca="1" si="9"/>
        <v/>
      </c>
      <c r="AN20" s="494">
        <f>K56</f>
        <v>15</v>
      </c>
      <c r="AO20" s="495" t="str">
        <f ca="1">L57</f>
        <v/>
      </c>
      <c r="AP20" s="495" t="str">
        <f t="shared" ref="AP20" ca="1" si="46">AO21</f>
        <v/>
      </c>
      <c r="AQ20" s="496" t="s">
        <v>793</v>
      </c>
      <c r="AR20" s="494">
        <f>Q56</f>
        <v>15</v>
      </c>
      <c r="AS20" s="495" t="str">
        <f>R57</f>
        <v/>
      </c>
      <c r="AT20" s="495" t="str">
        <f t="shared" ref="AT20" si="47">AS21</f>
        <v/>
      </c>
      <c r="AU20" s="496" t="s">
        <v>793</v>
      </c>
      <c r="AV20" s="494">
        <f>W56</f>
        <v>15</v>
      </c>
      <c r="AW20" s="495" t="str">
        <f>X57</f>
        <v/>
      </c>
      <c r="AX20" s="495" t="str">
        <f t="shared" ref="AX20" si="48">AW21</f>
        <v/>
      </c>
      <c r="AY20" s="496" t="s">
        <v>793</v>
      </c>
    </row>
    <row r="21" spans="1:51" ht="15.95" customHeight="1" thickBot="1" x14ac:dyDescent="0.25">
      <c r="F21" s="489">
        <v>27</v>
      </c>
      <c r="G21" s="488" t="str">
        <f t="shared" si="5"/>
        <v/>
      </c>
      <c r="H21" s="898" t="str">
        <f t="shared" si="6"/>
        <v/>
      </c>
      <c r="I21" s="898" t="str">
        <f t="shared" si="6"/>
        <v/>
      </c>
      <c r="J21" s="898" t="str">
        <f t="shared" si="6"/>
        <v/>
      </c>
      <c r="K21" s="447">
        <f>K16+1</f>
        <v>5</v>
      </c>
      <c r="L21" s="472">
        <v>3</v>
      </c>
      <c r="M21" s="465" t="str">
        <f ca="1">IFERROR(VLOOKUP(L22,$G$5:$J$28,2,FALSE),"")</f>
        <v/>
      </c>
      <c r="N21" s="966"/>
      <c r="O21" s="780"/>
      <c r="Q21" s="447">
        <f>Q16+1</f>
        <v>5</v>
      </c>
      <c r="R21" s="472">
        <v>8</v>
      </c>
      <c r="S21" s="465" t="str">
        <f ca="1">IFERROR(VLOOKUP(R22,$G$5:$J$28,2,FALSE),"")</f>
        <v/>
      </c>
      <c r="T21" s="966"/>
      <c r="U21" s="780"/>
      <c r="W21" s="447">
        <f>W16+1</f>
        <v>5</v>
      </c>
      <c r="X21" s="472">
        <v>5</v>
      </c>
      <c r="Y21" s="465" t="str">
        <f ca="1">IFERROR(VLOOKUP(X22,$G$5:$J$28,2,FALSE),"")</f>
        <v/>
      </c>
      <c r="Z21" s="966"/>
      <c r="AA21" s="780"/>
      <c r="AF21" s="453" t="s">
        <v>800</v>
      </c>
      <c r="AG21" s="435" t="str">
        <f>IF(ISBLANK(Z56),"",IF(Z56+AA56&gt;Z58+AA58,X57,X59))</f>
        <v/>
      </c>
      <c r="AH21" s="478" t="str">
        <f t="shared" ca="1" si="7"/>
        <v/>
      </c>
      <c r="AI21" s="474" t="str">
        <f t="shared" ca="1" si="8"/>
        <v/>
      </c>
      <c r="AJ21" s="479" t="str">
        <f t="shared" ca="1" si="9"/>
        <v/>
      </c>
      <c r="AN21" s="494">
        <f>K58</f>
        <v>16</v>
      </c>
      <c r="AO21" s="495" t="str">
        <f ca="1">L59</f>
        <v/>
      </c>
      <c r="AP21" s="495" t="str">
        <f t="shared" ref="AP21" ca="1" si="49">AO20</f>
        <v/>
      </c>
      <c r="AQ21" s="496" t="s">
        <v>793</v>
      </c>
      <c r="AR21" s="494">
        <f>Q58</f>
        <v>16</v>
      </c>
      <c r="AS21" s="495" t="str">
        <f>R59</f>
        <v/>
      </c>
      <c r="AT21" s="495" t="str">
        <f t="shared" ref="AT21" si="50">AS20</f>
        <v/>
      </c>
      <c r="AU21" s="496" t="s">
        <v>793</v>
      </c>
      <c r="AV21" s="494">
        <f>W58</f>
        <v>16</v>
      </c>
      <c r="AW21" s="495" t="str">
        <f>X59</f>
        <v/>
      </c>
      <c r="AX21" s="495" t="str">
        <f t="shared" ref="AX21" si="51">AW20</f>
        <v/>
      </c>
      <c r="AY21" s="496" t="s">
        <v>793</v>
      </c>
    </row>
    <row r="22" spans="1:51" ht="15.95" customHeight="1" thickBot="1" x14ac:dyDescent="0.25">
      <c r="F22" s="489">
        <v>28</v>
      </c>
      <c r="G22" s="488" t="str">
        <f t="shared" si="5"/>
        <v/>
      </c>
      <c r="H22" s="898" t="str">
        <f t="shared" si="6"/>
        <v/>
      </c>
      <c r="I22" s="898" t="str">
        <f t="shared" si="6"/>
        <v/>
      </c>
      <c r="J22" s="898" t="str">
        <f t="shared" si="6"/>
        <v/>
      </c>
      <c r="K22" s="447"/>
      <c r="L22" s="473" t="str">
        <f ca="1">VLOOKUP(L21,$A$5:$G$24,7,FALSE)</f>
        <v/>
      </c>
      <c r="M22" s="466" t="str">
        <f ca="1">IFERROR(VLOOKUP(L22,$G$5:$J$28,3,FALSE),"")</f>
        <v/>
      </c>
      <c r="N22" s="967"/>
      <c r="Q22" s="447"/>
      <c r="R22" s="473" t="str">
        <f>IF(ISBLANK(N7),"",IF(O7+N7&lt;N9+O9,L8,L10))</f>
        <v/>
      </c>
      <c r="S22" s="466" t="str">
        <f ca="1">IFERROR(VLOOKUP(R22,$G$5:$J$28,3,FALSE),"")</f>
        <v/>
      </c>
      <c r="T22" s="967"/>
      <c r="W22" s="447"/>
      <c r="X22" s="473" t="str">
        <f>IF(ISBLANK(T21),"",IF(U21+T21&gt;T23+U23,R22,R24))</f>
        <v/>
      </c>
      <c r="Y22" s="466" t="str">
        <f ca="1">IFERROR(VLOOKUP(X22,$G$5:$J$28,3,FALSE),"")</f>
        <v/>
      </c>
      <c r="Z22" s="967"/>
      <c r="AF22" s="453" t="s">
        <v>801</v>
      </c>
      <c r="AG22" s="435" t="str">
        <f>IF(ISBLANK(Z56),"",IF(Z56+AA56&lt;Z58+AA58,X57,X59))</f>
        <v/>
      </c>
      <c r="AH22" s="480" t="str">
        <f t="shared" ca="1" si="7"/>
        <v/>
      </c>
      <c r="AI22" s="481" t="str">
        <f t="shared" ca="1" si="8"/>
        <v/>
      </c>
      <c r="AJ22" s="482" t="str">
        <f t="shared" ca="1" si="9"/>
        <v/>
      </c>
      <c r="AN22" s="494"/>
      <c r="AO22" s="495"/>
      <c r="AP22" s="495"/>
      <c r="AQ22" s="496"/>
      <c r="AR22" s="494"/>
      <c r="AS22" s="495"/>
      <c r="AT22" s="495"/>
      <c r="AU22" s="496"/>
      <c r="AV22" s="494"/>
      <c r="AW22" s="495"/>
      <c r="AX22" s="495"/>
      <c r="AY22" s="496" t="s">
        <v>793</v>
      </c>
    </row>
    <row r="23" spans="1:51" ht="15.95" customHeight="1" thickBot="1" x14ac:dyDescent="0.25">
      <c r="F23" s="489">
        <v>29</v>
      </c>
      <c r="G23" s="488" t="str">
        <f t="shared" si="5"/>
        <v/>
      </c>
      <c r="H23" s="898" t="str">
        <f t="shared" si="6"/>
        <v/>
      </c>
      <c r="I23" s="898" t="str">
        <f t="shared" si="6"/>
        <v/>
      </c>
      <c r="J23" s="898" t="str">
        <f t="shared" si="6"/>
        <v/>
      </c>
      <c r="K23" s="447">
        <f>K21+1</f>
        <v>6</v>
      </c>
      <c r="L23" s="472">
        <v>6</v>
      </c>
      <c r="M23" s="465" t="str">
        <f ca="1">IFERROR(VLOOKUP(L24,$G$5:$J$28,2,FALSE),"")</f>
        <v/>
      </c>
      <c r="N23" s="966"/>
      <c r="O23" s="780"/>
      <c r="Q23" s="447">
        <f>Q21+1</f>
        <v>6</v>
      </c>
      <c r="R23" s="472">
        <v>5</v>
      </c>
      <c r="S23" s="465" t="str">
        <f ca="1">IFERROR(VLOOKUP(R24,$G$5:$J$28,2,FALSE),"")</f>
        <v/>
      </c>
      <c r="T23" s="966"/>
      <c r="U23" s="780"/>
      <c r="W23" s="447">
        <f>W21+1</f>
        <v>6</v>
      </c>
      <c r="X23" s="472">
        <v>6</v>
      </c>
      <c r="Y23" s="465" t="str">
        <f ca="1">IFERROR(VLOOKUP(X24,$G$5:$J$28,2,FALSE),"")</f>
        <v/>
      </c>
      <c r="Z23" s="966"/>
      <c r="AA23" s="780"/>
      <c r="AF23" s="453"/>
      <c r="AG23" s="453"/>
      <c r="AH23" s="453"/>
      <c r="AI23" s="453"/>
      <c r="AJ23" s="453"/>
      <c r="AN23" s="494"/>
      <c r="AO23" s="495"/>
      <c r="AP23" s="495"/>
      <c r="AQ23" s="496"/>
      <c r="AR23" s="494"/>
      <c r="AS23" s="495"/>
      <c r="AT23" s="495"/>
      <c r="AU23" s="496"/>
      <c r="AV23" s="494"/>
      <c r="AW23" s="495"/>
      <c r="AX23" s="495"/>
      <c r="AY23" s="496" t="s">
        <v>793</v>
      </c>
    </row>
    <row r="24" spans="1:51" ht="15.95" customHeight="1" thickBot="1" x14ac:dyDescent="0.25">
      <c r="F24" s="489">
        <v>30</v>
      </c>
      <c r="G24" s="488" t="str">
        <f t="shared" si="5"/>
        <v/>
      </c>
      <c r="H24" s="898" t="str">
        <f t="shared" si="6"/>
        <v/>
      </c>
      <c r="I24" s="898" t="str">
        <f t="shared" si="6"/>
        <v/>
      </c>
      <c r="J24" s="898" t="str">
        <f t="shared" si="6"/>
        <v/>
      </c>
      <c r="K24" s="447"/>
      <c r="L24" s="473" t="str">
        <f ca="1">VLOOKUP(L23,$A$5:$G$24,7,FALSE)</f>
        <v/>
      </c>
      <c r="M24" s="466" t="str">
        <f ca="1">IFERROR(VLOOKUP(L24,$G$5:$J$28,3,FALSE),"")</f>
        <v/>
      </c>
      <c r="N24" s="967"/>
      <c r="Q24" s="447"/>
      <c r="R24" s="473" t="str">
        <f>IF(ISBLANK(N14),"",IF(O14+N14&lt;N16+O16,L15,L17))</f>
        <v/>
      </c>
      <c r="S24" s="466" t="str">
        <f ca="1">IFERROR(VLOOKUP(R24,$G$5:$J$28,3,FALSE),"")</f>
        <v/>
      </c>
      <c r="T24" s="967"/>
      <c r="W24" s="447"/>
      <c r="X24" s="473" t="str">
        <f>IF(ISBLANK(T28),"",IF(U28+T28&gt;T30+U30,R29,R31))</f>
        <v/>
      </c>
      <c r="Y24" s="466" t="str">
        <f ca="1">IFERROR(VLOOKUP(X24,$G$5:$J$28,3,FALSE),"")</f>
        <v/>
      </c>
      <c r="Z24" s="967"/>
      <c r="AF24" s="453"/>
      <c r="AG24" s="453"/>
      <c r="AH24" s="453"/>
      <c r="AI24" s="453"/>
      <c r="AJ24" s="453"/>
      <c r="AN24" s="494"/>
      <c r="AO24" s="495"/>
      <c r="AP24" s="495"/>
      <c r="AQ24" s="496"/>
      <c r="AR24" s="494"/>
      <c r="AS24" s="495"/>
      <c r="AT24" s="495"/>
      <c r="AU24" s="496"/>
      <c r="AV24" s="494"/>
      <c r="AW24" s="495"/>
      <c r="AX24" s="495"/>
      <c r="AY24" s="496" t="s">
        <v>793</v>
      </c>
    </row>
    <row r="25" spans="1:51" ht="15.95" customHeight="1" x14ac:dyDescent="0.2">
      <c r="F25" s="489">
        <v>31</v>
      </c>
      <c r="G25" s="488" t="str">
        <f t="shared" si="5"/>
        <v/>
      </c>
      <c r="H25" s="898" t="str">
        <f t="shared" si="6"/>
        <v/>
      </c>
      <c r="I25" s="898" t="str">
        <f t="shared" si="6"/>
        <v/>
      </c>
      <c r="J25" s="898" t="str">
        <f t="shared" si="6"/>
        <v/>
      </c>
      <c r="K25" s="447"/>
      <c r="L25" s="441"/>
      <c r="M25" s="441"/>
      <c r="Q25" s="447"/>
      <c r="R25" s="437"/>
      <c r="S25" s="437"/>
      <c r="T25" s="451"/>
      <c r="W25" s="447"/>
      <c r="X25" s="441"/>
      <c r="Y25" s="441"/>
      <c r="AF25" s="453"/>
      <c r="AG25" s="453"/>
      <c r="AH25" s="453"/>
      <c r="AI25" s="453"/>
      <c r="AJ25" s="453"/>
      <c r="AN25" s="494"/>
      <c r="AO25" s="495"/>
      <c r="AP25" s="495"/>
      <c r="AQ25" s="496"/>
      <c r="AR25" s="494"/>
      <c r="AS25" s="495"/>
      <c r="AT25" s="495"/>
      <c r="AU25" s="496"/>
      <c r="AV25" s="494"/>
      <c r="AW25" s="495"/>
      <c r="AX25" s="495"/>
      <c r="AY25" s="496" t="s">
        <v>793</v>
      </c>
    </row>
    <row r="26" spans="1:51" ht="15.95" customHeight="1" thickBot="1" x14ac:dyDescent="0.25">
      <c r="F26" s="489">
        <v>32</v>
      </c>
      <c r="G26" s="488" t="str">
        <f t="shared" si="5"/>
        <v/>
      </c>
      <c r="H26" s="898" t="str">
        <f t="shared" si="6"/>
        <v/>
      </c>
      <c r="I26" s="898" t="str">
        <f t="shared" si="6"/>
        <v/>
      </c>
      <c r="J26" s="898" t="str">
        <f t="shared" si="6"/>
        <v/>
      </c>
      <c r="K26" s="450"/>
      <c r="L26" s="450"/>
      <c r="M26" s="450"/>
      <c r="N26" s="451"/>
      <c r="O26" s="450"/>
      <c r="P26" s="450"/>
      <c r="Q26" s="450"/>
      <c r="R26" s="437"/>
      <c r="S26" s="437"/>
      <c r="T26" s="451"/>
      <c r="U26" s="450"/>
      <c r="V26" s="450"/>
      <c r="W26" s="450"/>
      <c r="X26" s="979" t="s">
        <v>821</v>
      </c>
      <c r="Y26" s="1247"/>
      <c r="Z26" s="1247"/>
      <c r="AA26" s="450"/>
      <c r="AF26" s="453"/>
      <c r="AG26" s="453"/>
      <c r="AH26" s="453"/>
      <c r="AI26" s="453"/>
      <c r="AJ26" s="453"/>
      <c r="AN26" s="494"/>
      <c r="AO26" s="495"/>
      <c r="AP26" s="495"/>
      <c r="AQ26" s="496"/>
      <c r="AR26" s="494"/>
      <c r="AS26" s="495"/>
      <c r="AT26" s="495"/>
      <c r="AU26" s="496"/>
      <c r="AV26" s="494"/>
      <c r="AW26" s="495"/>
      <c r="AX26" s="495"/>
      <c r="AY26" s="496" t="s">
        <v>793</v>
      </c>
    </row>
    <row r="27" spans="1:51" ht="15.95" customHeight="1" thickBot="1" x14ac:dyDescent="0.25">
      <c r="F27" s="489">
        <v>33</v>
      </c>
      <c r="G27" s="488" t="str">
        <f t="shared" si="5"/>
        <v/>
      </c>
      <c r="H27" s="898" t="str">
        <f t="shared" si="6"/>
        <v/>
      </c>
      <c r="I27" s="898" t="str">
        <f t="shared" si="6"/>
        <v/>
      </c>
      <c r="J27" s="898" t="str">
        <f t="shared" si="6"/>
        <v/>
      </c>
      <c r="K27" s="445" t="s">
        <v>779</v>
      </c>
      <c r="L27" s="779" t="s">
        <v>1083</v>
      </c>
      <c r="M27" s="456" t="s">
        <v>481</v>
      </c>
      <c r="N27" s="464" t="s">
        <v>780</v>
      </c>
      <c r="O27" s="446" t="s">
        <v>781</v>
      </c>
      <c r="P27" s="445"/>
      <c r="Q27" s="445" t="s">
        <v>779</v>
      </c>
      <c r="R27" s="779" t="s">
        <v>1083</v>
      </c>
      <c r="S27" s="456" t="s">
        <v>481</v>
      </c>
      <c r="T27" s="464" t="s">
        <v>780</v>
      </c>
      <c r="U27" s="446" t="s">
        <v>781</v>
      </c>
      <c r="V27" s="445"/>
      <c r="W27" s="445" t="s">
        <v>779</v>
      </c>
      <c r="X27" s="779" t="s">
        <v>1083</v>
      </c>
      <c r="Y27" s="456" t="s">
        <v>481</v>
      </c>
      <c r="Z27" s="464" t="s">
        <v>780</v>
      </c>
      <c r="AA27" s="446" t="s">
        <v>781</v>
      </c>
      <c r="AF27" s="453"/>
      <c r="AG27" s="453"/>
      <c r="AH27" s="453"/>
      <c r="AI27" s="453"/>
      <c r="AJ27" s="453"/>
      <c r="AN27" s="494"/>
      <c r="AO27" s="495"/>
      <c r="AP27" s="495"/>
      <c r="AQ27" s="496"/>
      <c r="AR27" s="494"/>
      <c r="AS27" s="495"/>
      <c r="AT27" s="495"/>
      <c r="AU27" s="496"/>
      <c r="AV27" s="494"/>
      <c r="AW27" s="495"/>
      <c r="AX27" s="495"/>
      <c r="AY27" s="496" t="s">
        <v>793</v>
      </c>
    </row>
    <row r="28" spans="1:51" ht="15.95" customHeight="1" thickBot="1" x14ac:dyDescent="0.25">
      <c r="F28" s="489">
        <v>34</v>
      </c>
      <c r="G28" s="488" t="str">
        <f t="shared" si="5"/>
        <v/>
      </c>
      <c r="H28" s="898" t="str">
        <f t="shared" si="6"/>
        <v/>
      </c>
      <c r="I28" s="898" t="str">
        <f t="shared" si="6"/>
        <v/>
      </c>
      <c r="J28" s="898" t="str">
        <f t="shared" si="6"/>
        <v/>
      </c>
      <c r="K28" s="447">
        <f>K23+1</f>
        <v>7</v>
      </c>
      <c r="L28" s="472">
        <v>2</v>
      </c>
      <c r="M28" s="465" t="str">
        <f ca="1">IFERROR(VLOOKUP(L29,$G$5:$J$28,2,FALSE),"")</f>
        <v/>
      </c>
      <c r="N28" s="966"/>
      <c r="O28" s="780"/>
      <c r="Q28" s="447">
        <f>Q23+1</f>
        <v>7</v>
      </c>
      <c r="R28" s="472">
        <v>6</v>
      </c>
      <c r="S28" s="465" t="str">
        <f ca="1">IFERROR(VLOOKUP(R29,$G$5:$J$28,2,FALSE),"")</f>
        <v/>
      </c>
      <c r="T28" s="966"/>
      <c r="U28" s="780"/>
      <c r="W28" s="447">
        <f>W23+1</f>
        <v>7</v>
      </c>
      <c r="X28" s="472">
        <v>8</v>
      </c>
      <c r="Y28" s="465" t="str">
        <f ca="1">IFERROR(VLOOKUP(X29,$G$5:$J$28,2,FALSE),"")</f>
        <v/>
      </c>
      <c r="Z28" s="966"/>
      <c r="AA28" s="780"/>
      <c r="AF28" s="453"/>
      <c r="AG28" s="453"/>
      <c r="AH28" s="453"/>
      <c r="AI28" s="453"/>
      <c r="AJ28" s="453"/>
      <c r="AN28" s="494"/>
      <c r="AO28" s="495"/>
      <c r="AP28" s="495"/>
      <c r="AQ28" s="496"/>
      <c r="AR28" s="494"/>
      <c r="AS28" s="495"/>
      <c r="AT28" s="495"/>
      <c r="AU28" s="496"/>
      <c r="AV28" s="494"/>
      <c r="AW28" s="495"/>
      <c r="AX28" s="495"/>
      <c r="AY28" s="496" t="s">
        <v>793</v>
      </c>
    </row>
    <row r="29" spans="1:51" ht="15.95" customHeight="1" thickBot="1" x14ac:dyDescent="0.25">
      <c r="I29" s="437"/>
      <c r="J29" s="437"/>
      <c r="K29" s="447"/>
      <c r="L29" s="473" t="str">
        <f ca="1">VLOOKUP(L28,$A$5:$G$24,7,FALSE)</f>
        <v/>
      </c>
      <c r="M29" s="466" t="str">
        <f ca="1">IFERROR(VLOOKUP(L29,$G$5:$J$28,3,FALSE),"")</f>
        <v/>
      </c>
      <c r="N29" s="967"/>
      <c r="Q29" s="447"/>
      <c r="R29" s="473" t="str">
        <f>IF(ISBLANK(N21),"",IF(N21+O21&lt;N23+O23,L22,L24))</f>
        <v/>
      </c>
      <c r="S29" s="466" t="str">
        <f ca="1">IFERROR(VLOOKUP(R29,$G$5:$J$28,3,FALSE),"")</f>
        <v/>
      </c>
      <c r="T29" s="967"/>
      <c r="W29" s="447"/>
      <c r="X29" s="473" t="str">
        <f>IF(ISBLANK(T21),"",IF(U21+T21&lt;T23+U23,R22,R24))</f>
        <v/>
      </c>
      <c r="Y29" s="466" t="str">
        <f ca="1">IFERROR(VLOOKUP(X29,$G$5:$J$28,3,FALSE),"")</f>
        <v/>
      </c>
      <c r="Z29" s="967"/>
      <c r="AF29" s="453"/>
      <c r="AG29" s="453"/>
      <c r="AH29" s="453"/>
      <c r="AI29" s="453"/>
      <c r="AJ29" s="453"/>
      <c r="AN29" s="494"/>
      <c r="AO29" s="495"/>
      <c r="AP29" s="495"/>
      <c r="AQ29" s="496"/>
      <c r="AR29" s="494"/>
      <c r="AS29" s="495"/>
      <c r="AT29" s="495"/>
      <c r="AU29" s="496"/>
      <c r="AV29" s="494"/>
      <c r="AW29" s="495"/>
      <c r="AX29" s="495"/>
      <c r="AY29" s="496" t="s">
        <v>793</v>
      </c>
    </row>
    <row r="30" spans="1:51" ht="15.95" customHeight="1" thickBot="1" x14ac:dyDescent="0.25">
      <c r="I30" s="437"/>
      <c r="J30" s="437"/>
      <c r="K30" s="447">
        <f>K28+1</f>
        <v>8</v>
      </c>
      <c r="L30" s="472">
        <v>7</v>
      </c>
      <c r="M30" s="465" t="str">
        <f ca="1">IFERROR(VLOOKUP(L31,$G$5:$J$28,2,FALSE),"")</f>
        <v/>
      </c>
      <c r="N30" s="966"/>
      <c r="O30" s="780"/>
      <c r="Q30" s="447">
        <f>Q28+1</f>
        <v>8</v>
      </c>
      <c r="R30" s="472">
        <v>7</v>
      </c>
      <c r="S30" s="465" t="str">
        <f ca="1">IFERROR(VLOOKUP(R31,$G$5:$J$28,2,FALSE),"")</f>
        <v/>
      </c>
      <c r="T30" s="966"/>
      <c r="U30" s="780"/>
      <c r="W30" s="447">
        <f>W28+1</f>
        <v>8</v>
      </c>
      <c r="X30" s="472">
        <v>7</v>
      </c>
      <c r="Y30" s="465" t="str">
        <f ca="1">IFERROR(VLOOKUP(X31,$G$5:$J$28,2,FALSE),"")</f>
        <v/>
      </c>
      <c r="Z30" s="966"/>
      <c r="AA30" s="780"/>
      <c r="AF30" s="453"/>
      <c r="AG30" s="453"/>
      <c r="AH30" s="453"/>
      <c r="AI30" s="453"/>
      <c r="AJ30" s="453"/>
    </row>
    <row r="31" spans="1:51" ht="15.95" customHeight="1" thickBot="1" x14ac:dyDescent="0.25">
      <c r="I31" s="437"/>
      <c r="J31" s="437"/>
      <c r="K31" s="447"/>
      <c r="L31" s="473" t="str">
        <f ca="1">VLOOKUP(L30,$A$5:$G$24,7,FALSE)</f>
        <v/>
      </c>
      <c r="M31" s="466" t="str">
        <f ca="1">IFERROR(VLOOKUP(L31,$G$5:$J$28,3,FALSE),"")</f>
        <v/>
      </c>
      <c r="N31" s="967"/>
      <c r="Q31" s="447"/>
      <c r="R31" s="473" t="str">
        <f>IF(ISBLANK(N28),"",IF(N28+O28&lt;N30+O30,L29,L31))</f>
        <v/>
      </c>
      <c r="S31" s="466" t="str">
        <f ca="1">IFERROR(VLOOKUP(R31,$G$5:$J$28,3,FALSE),"")</f>
        <v/>
      </c>
      <c r="T31" s="967"/>
      <c r="W31" s="447"/>
      <c r="X31" s="473" t="str">
        <f>IF(ISBLANK(T28),"",IF(U28+T28&lt;T30+U30,R29,R31))</f>
        <v/>
      </c>
      <c r="Y31" s="466" t="str">
        <f ca="1">IFERROR(VLOOKUP(X31,$G$5:$J$28,3,FALSE),"")</f>
        <v/>
      </c>
      <c r="Z31" s="967"/>
      <c r="AF31" s="453"/>
      <c r="AG31" s="453"/>
    </row>
    <row r="32" spans="1:51" ht="15.95" customHeight="1" x14ac:dyDescent="0.2">
      <c r="I32" s="437"/>
      <c r="J32" s="437"/>
      <c r="K32" s="450"/>
      <c r="L32" s="437"/>
      <c r="M32" s="437"/>
      <c r="N32" s="451"/>
      <c r="O32" s="450"/>
      <c r="P32" s="450"/>
      <c r="Q32" s="450"/>
      <c r="R32" s="437"/>
      <c r="S32" s="437"/>
      <c r="T32" s="451"/>
      <c r="U32" s="450"/>
      <c r="V32" s="450"/>
      <c r="W32" s="450"/>
      <c r="X32" s="437"/>
      <c r="Y32" s="437"/>
      <c r="Z32" s="451"/>
      <c r="AA32" s="450"/>
      <c r="AF32" s="453"/>
      <c r="AG32" s="453"/>
    </row>
    <row r="33" spans="9:33" ht="15.95" customHeight="1" thickBot="1" x14ac:dyDescent="0.25">
      <c r="I33" s="437"/>
      <c r="J33" s="437"/>
      <c r="K33" s="450"/>
      <c r="L33" s="979" t="s">
        <v>822</v>
      </c>
      <c r="M33" s="1247"/>
      <c r="N33" s="1247"/>
      <c r="Q33" s="450"/>
      <c r="R33" s="979" t="s">
        <v>823</v>
      </c>
      <c r="S33" s="1247"/>
      <c r="T33" s="1247"/>
      <c r="U33" s="450"/>
      <c r="V33" s="450"/>
      <c r="W33" s="450"/>
      <c r="X33" s="979" t="s">
        <v>824</v>
      </c>
      <c r="Y33" s="1247"/>
      <c r="Z33" s="1247"/>
      <c r="AF33" s="453"/>
      <c r="AG33" s="453"/>
    </row>
    <row r="34" spans="9:33" ht="15.95" customHeight="1" thickBot="1" x14ac:dyDescent="0.25">
      <c r="I34" s="437"/>
      <c r="J34" s="437"/>
      <c r="K34" s="445" t="s">
        <v>779</v>
      </c>
      <c r="L34" s="779" t="s">
        <v>1083</v>
      </c>
      <c r="M34" s="456" t="s">
        <v>481</v>
      </c>
      <c r="N34" s="464" t="s">
        <v>780</v>
      </c>
      <c r="O34" s="446" t="s">
        <v>781</v>
      </c>
      <c r="P34" s="445"/>
      <c r="Q34" s="445" t="s">
        <v>779</v>
      </c>
      <c r="R34" s="779" t="s">
        <v>1083</v>
      </c>
      <c r="S34" s="456" t="s">
        <v>481</v>
      </c>
      <c r="T34" s="464" t="s">
        <v>780</v>
      </c>
      <c r="U34" s="446" t="s">
        <v>781</v>
      </c>
      <c r="V34" s="445"/>
      <c r="W34" s="445" t="s">
        <v>779</v>
      </c>
      <c r="X34" s="779" t="s">
        <v>1083</v>
      </c>
      <c r="Y34" s="456" t="s">
        <v>481</v>
      </c>
      <c r="Z34" s="464" t="s">
        <v>780</v>
      </c>
      <c r="AA34" s="446" t="s">
        <v>781</v>
      </c>
      <c r="AF34" s="453"/>
      <c r="AG34" s="453"/>
    </row>
    <row r="35" spans="9:33" ht="15.95" customHeight="1" thickBot="1" x14ac:dyDescent="0.25">
      <c r="I35" s="437"/>
      <c r="J35" s="437"/>
      <c r="K35" s="447">
        <f>K30+1</f>
        <v>9</v>
      </c>
      <c r="L35" s="472">
        <v>9</v>
      </c>
      <c r="M35" s="465" t="str">
        <f ca="1">IFERROR(VLOOKUP(L36,$G$5:$J$28,2,FALSE),"")</f>
        <v/>
      </c>
      <c r="N35" s="966"/>
      <c r="O35" s="780"/>
      <c r="Q35" s="447">
        <f>K35</f>
        <v>9</v>
      </c>
      <c r="R35" s="472">
        <v>9</v>
      </c>
      <c r="S35" s="465" t="str">
        <f ca="1">IFERROR(VLOOKUP(R36,$G$5:$J$28,2,FALSE),"")</f>
        <v/>
      </c>
      <c r="T35" s="966"/>
      <c r="U35" s="780"/>
      <c r="W35" s="447">
        <f>Q35</f>
        <v>9</v>
      </c>
      <c r="X35" s="472">
        <v>9</v>
      </c>
      <c r="Y35" s="465" t="str">
        <f ca="1">IFERROR(VLOOKUP(X36,$G$5:$J$28,2,FALSE),"")</f>
        <v/>
      </c>
      <c r="Z35" s="966"/>
      <c r="AA35" s="780"/>
      <c r="AF35" s="453"/>
      <c r="AG35" s="453"/>
    </row>
    <row r="36" spans="9:33" ht="15.95" customHeight="1" thickBot="1" x14ac:dyDescent="0.25">
      <c r="I36" s="437"/>
      <c r="J36" s="437"/>
      <c r="K36" s="447"/>
      <c r="L36" s="473" t="str">
        <f ca="1">VLOOKUP(L35,$A$5:$G$24,7,FALSE)</f>
        <v/>
      </c>
      <c r="M36" s="466" t="str">
        <f ca="1">IFERROR(VLOOKUP(L36,$G$5:$J$28,3,FALSE),"")</f>
        <v/>
      </c>
      <c r="N36" s="967"/>
      <c r="Q36" s="447"/>
      <c r="R36" s="473" t="str">
        <f>IF(ISBLANK(N35),"",IF(O35+N35&gt;N37+O37,L36,L38))</f>
        <v/>
      </c>
      <c r="S36" s="466" t="str">
        <f ca="1">IFERROR(VLOOKUP(R36,$G$5:$J$28,3,FALSE),"")</f>
        <v/>
      </c>
      <c r="T36" s="967"/>
      <c r="W36" s="447"/>
      <c r="X36" s="473" t="str">
        <f>IF(ISBLANK(T35),"",IF(U35+T35&gt;T37+U37,R36,R38))</f>
        <v/>
      </c>
      <c r="Y36" s="466" t="str">
        <f ca="1">IFERROR(VLOOKUP(X36,$G$5:$J$28,3,FALSE),"")</f>
        <v/>
      </c>
      <c r="Z36" s="967"/>
      <c r="AF36" s="453"/>
      <c r="AG36" s="453"/>
    </row>
    <row r="37" spans="9:33" ht="15.95" customHeight="1" thickBot="1" x14ac:dyDescent="0.25">
      <c r="I37" s="437"/>
      <c r="J37" s="437"/>
      <c r="K37" s="447">
        <f>K35+1</f>
        <v>10</v>
      </c>
      <c r="L37" s="472">
        <v>16</v>
      </c>
      <c r="M37" s="465" t="str">
        <f ca="1">IFERROR(VLOOKUP(L38,$G$5:$J$28,2,FALSE),"")</f>
        <v/>
      </c>
      <c r="N37" s="966"/>
      <c r="O37" s="780"/>
      <c r="Q37" s="447">
        <f>Q35+1</f>
        <v>10</v>
      </c>
      <c r="R37" s="472">
        <v>12</v>
      </c>
      <c r="S37" s="465" t="str">
        <f ca="1">IFERROR(VLOOKUP(R38,$G$5:$J$28,2,FALSE),"")</f>
        <v/>
      </c>
      <c r="T37" s="966"/>
      <c r="U37" s="780"/>
      <c r="W37" s="447">
        <f>W35+1</f>
        <v>10</v>
      </c>
      <c r="X37" s="472">
        <v>10</v>
      </c>
      <c r="Y37" s="465" t="str">
        <f ca="1">IFERROR(VLOOKUP(X38,$G$5:$J$28,2,FALSE),"")</f>
        <v/>
      </c>
      <c r="Z37" s="966"/>
      <c r="AA37" s="780"/>
      <c r="AF37" s="453"/>
      <c r="AG37" s="453"/>
    </row>
    <row r="38" spans="9:33" ht="15.95" customHeight="1" thickBot="1" x14ac:dyDescent="0.25">
      <c r="I38" s="437"/>
      <c r="J38" s="437"/>
      <c r="K38" s="447"/>
      <c r="L38" s="473" t="str">
        <f ca="1">VLOOKUP(L37,$A$5:$G$24,7,FALSE)</f>
        <v/>
      </c>
      <c r="M38" s="466" t="str">
        <f ca="1">IFERROR(VLOOKUP(L38,$G$5:$J$28,3,FALSE),"")</f>
        <v/>
      </c>
      <c r="N38" s="967"/>
      <c r="Q38" s="447"/>
      <c r="R38" s="473" t="str">
        <f>IF(ISBLANK(N42),"",IF(O42+N42&gt;N44+O44,L43,L45))</f>
        <v/>
      </c>
      <c r="S38" s="466" t="str">
        <f ca="1">IFERROR(VLOOKUP(R38,$G$5:$J$28,3,FALSE),"")</f>
        <v/>
      </c>
      <c r="T38" s="967"/>
      <c r="W38" s="447"/>
      <c r="X38" s="473" t="str">
        <f>IF(ISBLANK(T42),"",IF(U42+T42&gt;T44+U44,R43,R45))</f>
        <v/>
      </c>
      <c r="Y38" s="466" t="str">
        <f ca="1">IFERROR(VLOOKUP(X38,$G$5:$J$28,3,FALSE),"")</f>
        <v/>
      </c>
      <c r="Z38" s="967"/>
      <c r="AF38" s="453"/>
      <c r="AG38" s="453"/>
    </row>
    <row r="39" spans="9:33" ht="15.95" customHeight="1" x14ac:dyDescent="0.2">
      <c r="I39" s="437"/>
      <c r="J39" s="437"/>
      <c r="K39" s="450"/>
      <c r="L39" s="450"/>
      <c r="M39" s="450"/>
      <c r="N39" s="451"/>
      <c r="O39" s="450"/>
      <c r="P39" s="450"/>
      <c r="Q39" s="450"/>
      <c r="R39" s="437"/>
      <c r="S39" s="437"/>
      <c r="T39" s="451"/>
      <c r="U39" s="450"/>
      <c r="V39" s="450"/>
      <c r="W39" s="450"/>
      <c r="X39" s="450"/>
      <c r="Y39" s="450"/>
      <c r="Z39" s="451"/>
      <c r="AA39" s="450"/>
      <c r="AF39" s="453"/>
      <c r="AG39" s="453"/>
    </row>
    <row r="40" spans="9:33" ht="15.95" customHeight="1" thickBot="1" x14ac:dyDescent="0.25">
      <c r="I40" s="437"/>
      <c r="J40" s="437"/>
      <c r="K40" s="450"/>
      <c r="L40" s="450"/>
      <c r="M40" s="450"/>
      <c r="N40" s="451"/>
      <c r="O40" s="450"/>
      <c r="P40" s="450"/>
      <c r="Q40" s="450"/>
      <c r="R40" s="437"/>
      <c r="S40" s="437"/>
      <c r="T40" s="451"/>
      <c r="U40" s="450"/>
      <c r="V40" s="450"/>
      <c r="W40" s="450"/>
      <c r="X40" s="979" t="s">
        <v>825</v>
      </c>
      <c r="Y40" s="1247"/>
      <c r="Z40" s="1247"/>
      <c r="AA40" s="450"/>
      <c r="AF40" s="453"/>
      <c r="AG40" s="453"/>
    </row>
    <row r="41" spans="9:33" ht="15.95" customHeight="1" thickBot="1" x14ac:dyDescent="0.25">
      <c r="I41" s="437"/>
      <c r="J41" s="437"/>
      <c r="K41" s="445" t="s">
        <v>779</v>
      </c>
      <c r="L41" s="779" t="s">
        <v>1083</v>
      </c>
      <c r="M41" s="456" t="s">
        <v>481</v>
      </c>
      <c r="N41" s="464" t="s">
        <v>780</v>
      </c>
      <c r="O41" s="446" t="s">
        <v>781</v>
      </c>
      <c r="P41" s="445"/>
      <c r="Q41" s="445" t="s">
        <v>779</v>
      </c>
      <c r="R41" s="779" t="s">
        <v>1083</v>
      </c>
      <c r="S41" s="456" t="s">
        <v>481</v>
      </c>
      <c r="T41" s="464" t="s">
        <v>780</v>
      </c>
      <c r="U41" s="446" t="s">
        <v>781</v>
      </c>
      <c r="V41" s="445"/>
      <c r="W41" s="445" t="s">
        <v>779</v>
      </c>
      <c r="X41" s="779" t="s">
        <v>1083</v>
      </c>
      <c r="Y41" s="456" t="s">
        <v>481</v>
      </c>
      <c r="Z41" s="464" t="s">
        <v>780</v>
      </c>
      <c r="AA41" s="446" t="s">
        <v>781</v>
      </c>
      <c r="AF41" s="453"/>
      <c r="AG41" s="453"/>
    </row>
    <row r="42" spans="9:33" ht="15.95" customHeight="1" thickBot="1" x14ac:dyDescent="0.25">
      <c r="I42" s="437"/>
      <c r="J42" s="437"/>
      <c r="K42" s="447">
        <f>K37+1</f>
        <v>11</v>
      </c>
      <c r="L42" s="472">
        <v>12</v>
      </c>
      <c r="M42" s="465" t="str">
        <f ca="1">IFERROR(VLOOKUP(L43,$G$5:$J$28,2,FALSE),"")</f>
        <v/>
      </c>
      <c r="N42" s="966"/>
      <c r="O42" s="780"/>
      <c r="Q42" s="447">
        <f>Q37+1</f>
        <v>11</v>
      </c>
      <c r="R42" s="472">
        <v>11</v>
      </c>
      <c r="S42" s="465" t="str">
        <f ca="1">IFERROR(VLOOKUP(R43,$G$5:$J$28,2,FALSE),"")</f>
        <v/>
      </c>
      <c r="T42" s="966"/>
      <c r="U42" s="780"/>
      <c r="W42" s="447">
        <f>W37+1</f>
        <v>11</v>
      </c>
      <c r="X42" s="472">
        <v>12</v>
      </c>
      <c r="Y42" s="465" t="str">
        <f ca="1">IFERROR(VLOOKUP(X43,$G$5:$J$28,2,FALSE),"")</f>
        <v/>
      </c>
      <c r="Z42" s="966"/>
      <c r="AA42" s="780"/>
      <c r="AF42" s="453"/>
      <c r="AG42" s="453"/>
    </row>
    <row r="43" spans="9:33" ht="15.95" customHeight="1" thickBot="1" x14ac:dyDescent="0.25">
      <c r="I43" s="437"/>
      <c r="J43" s="437"/>
      <c r="K43" s="447"/>
      <c r="L43" s="473" t="str">
        <f ca="1">VLOOKUP(L42,$A$5:$G$24,7,FALSE)</f>
        <v/>
      </c>
      <c r="M43" s="466" t="str">
        <f ca="1">IFERROR(VLOOKUP(L43,$G$5:$J$28,3,FALSE),"")</f>
        <v/>
      </c>
      <c r="N43" s="967"/>
      <c r="Q43" s="447"/>
      <c r="R43" s="473" t="str">
        <f>IF(ISBLANK(N49),"",IF(N49+O49&gt;N51+O51,L50,L52))</f>
        <v/>
      </c>
      <c r="S43" s="466" t="str">
        <f ca="1">IFERROR(VLOOKUP(R43,$G$5:$J$28,3,FALSE),"")</f>
        <v/>
      </c>
      <c r="T43" s="967"/>
      <c r="W43" s="447"/>
      <c r="X43" s="473" t="str">
        <f>IF(ISBLANK(T35),"",IF(U35+T35&lt;T37+U37,R36,R38))</f>
        <v/>
      </c>
      <c r="Y43" s="466" t="str">
        <f ca="1">IFERROR(VLOOKUP(X43,$G$5:$J$28,3,FALSE),"")</f>
        <v/>
      </c>
      <c r="Z43" s="967"/>
      <c r="AF43" s="453"/>
      <c r="AG43" s="453"/>
    </row>
    <row r="44" spans="9:33" ht="15.95" customHeight="1" thickBot="1" x14ac:dyDescent="0.25">
      <c r="I44" s="437"/>
      <c r="J44" s="437"/>
      <c r="K44" s="447">
        <f>K42+1</f>
        <v>12</v>
      </c>
      <c r="L44" s="472">
        <v>13</v>
      </c>
      <c r="M44" s="465" t="str">
        <f ca="1">IFERROR(VLOOKUP(L45,$G$5:$J$28,2,FALSE),"")</f>
        <v/>
      </c>
      <c r="N44" s="966"/>
      <c r="O44" s="780"/>
      <c r="Q44" s="447">
        <f>Q42+1</f>
        <v>12</v>
      </c>
      <c r="R44" s="472">
        <v>10</v>
      </c>
      <c r="S44" s="465" t="str">
        <f ca="1">IFERROR(VLOOKUP(R45,$G$5:$J$28,2,FALSE),"")</f>
        <v/>
      </c>
      <c r="T44" s="966"/>
      <c r="U44" s="780"/>
      <c r="W44" s="447">
        <f>W42+1</f>
        <v>12</v>
      </c>
      <c r="X44" s="472">
        <v>11</v>
      </c>
      <c r="Y44" s="465" t="str">
        <f ca="1">IFERROR(VLOOKUP(X45,$G$5:$J$28,2,FALSE),"")</f>
        <v/>
      </c>
      <c r="Z44" s="966"/>
      <c r="AA44" s="780"/>
      <c r="AF44" s="453"/>
      <c r="AG44" s="453"/>
    </row>
    <row r="45" spans="9:33" ht="15.95" customHeight="1" thickBot="1" x14ac:dyDescent="0.25">
      <c r="I45" s="437"/>
      <c r="J45" s="437"/>
      <c r="K45" s="447"/>
      <c r="L45" s="473" t="str">
        <f ca="1">VLOOKUP(L44,$A$5:$G$24,7,FALSE)</f>
        <v/>
      </c>
      <c r="M45" s="466" t="str">
        <f ca="1">IFERROR(VLOOKUP(L45,$G$5:$J$28,3,FALSE),"")</f>
        <v/>
      </c>
      <c r="N45" s="967"/>
      <c r="Q45" s="447"/>
      <c r="R45" s="473" t="str">
        <f>IF(ISBLANK(N56),"",IF(N56+O56&gt;N58+O58,L57,L59))</f>
        <v/>
      </c>
      <c r="S45" s="466" t="str">
        <f ca="1">IFERROR(VLOOKUP(R45,$G$5:$J$28,3,FALSE),"")</f>
        <v/>
      </c>
      <c r="T45" s="967"/>
      <c r="W45" s="447"/>
      <c r="X45" s="473" t="str">
        <f>IF(ISBLANK(T42),"",IF(U42+T42&lt;T44+U44,R43,R45))</f>
        <v/>
      </c>
      <c r="Y45" s="466" t="str">
        <f ca="1">IFERROR(VLOOKUP(X45,$G$5:$J$28,3,FALSE),"")</f>
        <v/>
      </c>
      <c r="Z45" s="967"/>
      <c r="AF45" s="453"/>
      <c r="AG45" s="453"/>
    </row>
    <row r="46" spans="9:33" ht="15.95" customHeight="1" x14ac:dyDescent="0.2">
      <c r="I46" s="437"/>
      <c r="J46" s="437"/>
      <c r="K46" s="450"/>
      <c r="L46" s="450"/>
      <c r="M46" s="450"/>
      <c r="N46" s="451"/>
      <c r="O46" s="450"/>
      <c r="P46" s="450"/>
      <c r="Q46" s="450"/>
      <c r="R46" s="450"/>
      <c r="S46" s="450"/>
      <c r="T46" s="451"/>
      <c r="U46" s="450"/>
      <c r="V46" s="450"/>
      <c r="W46" s="450"/>
      <c r="X46" s="450"/>
      <c r="Y46" s="450"/>
      <c r="Z46" s="451"/>
      <c r="AA46" s="450"/>
      <c r="AF46" s="453"/>
      <c r="AG46" s="453"/>
    </row>
    <row r="47" spans="9:33" ht="15.95" customHeight="1" thickBot="1" x14ac:dyDescent="0.25">
      <c r="I47" s="437"/>
      <c r="J47" s="437"/>
      <c r="K47" s="450"/>
      <c r="L47" s="454"/>
      <c r="M47" s="454"/>
      <c r="N47" s="455"/>
      <c r="O47" s="450"/>
      <c r="P47" s="450"/>
      <c r="Q47" s="450"/>
      <c r="R47" s="979" t="s">
        <v>819</v>
      </c>
      <c r="S47" s="1247"/>
      <c r="T47" s="1247"/>
      <c r="U47" s="450"/>
      <c r="V47" s="450"/>
      <c r="W47" s="450"/>
      <c r="X47" s="979" t="s">
        <v>827</v>
      </c>
      <c r="Y47" s="1247"/>
      <c r="Z47" s="1247"/>
      <c r="AA47" s="450"/>
      <c r="AF47" s="453"/>
      <c r="AG47" s="453"/>
    </row>
    <row r="48" spans="9:33" ht="15.95" customHeight="1" thickBot="1" x14ac:dyDescent="0.25">
      <c r="I48" s="437"/>
      <c r="J48" s="437"/>
      <c r="K48" s="445" t="s">
        <v>779</v>
      </c>
      <c r="L48" s="779" t="s">
        <v>1083</v>
      </c>
      <c r="M48" s="456" t="s">
        <v>481</v>
      </c>
      <c r="N48" s="464" t="s">
        <v>780</v>
      </c>
      <c r="O48" s="446" t="s">
        <v>781</v>
      </c>
      <c r="P48" s="445"/>
      <c r="Q48" s="445" t="s">
        <v>779</v>
      </c>
      <c r="R48" s="779" t="s">
        <v>1083</v>
      </c>
      <c r="S48" s="456" t="s">
        <v>481</v>
      </c>
      <c r="T48" s="464" t="s">
        <v>780</v>
      </c>
      <c r="U48" s="446" t="s">
        <v>781</v>
      </c>
      <c r="V48" s="445"/>
      <c r="W48" s="445" t="s">
        <v>779</v>
      </c>
      <c r="X48" s="779" t="s">
        <v>1083</v>
      </c>
      <c r="Y48" s="456" t="s">
        <v>481</v>
      </c>
      <c r="Z48" s="464" t="s">
        <v>780</v>
      </c>
      <c r="AA48" s="446" t="s">
        <v>781</v>
      </c>
      <c r="AF48" s="453"/>
      <c r="AG48" s="453"/>
    </row>
    <row r="49" spans="9:33" ht="15.95" customHeight="1" thickBot="1" x14ac:dyDescent="0.25">
      <c r="I49" s="437"/>
      <c r="J49" s="437"/>
      <c r="K49" s="447">
        <f>K44+1</f>
        <v>13</v>
      </c>
      <c r="L49" s="472">
        <v>11</v>
      </c>
      <c r="M49" s="465" t="str">
        <f ca="1">IFERROR(VLOOKUP(L50,$G$5:$J$28,2,FALSE),"")</f>
        <v/>
      </c>
      <c r="N49" s="966"/>
      <c r="O49" s="780"/>
      <c r="Q49" s="447">
        <f>Q44+1</f>
        <v>13</v>
      </c>
      <c r="R49" s="472">
        <v>16</v>
      </c>
      <c r="S49" s="465" t="str">
        <f ca="1">IFERROR(VLOOKUP(R50,$G$5:$J$28,2,FALSE),"")</f>
        <v/>
      </c>
      <c r="T49" s="966"/>
      <c r="U49" s="780"/>
      <c r="W49" s="447">
        <f>W44+1</f>
        <v>13</v>
      </c>
      <c r="X49" s="472">
        <v>13</v>
      </c>
      <c r="Y49" s="465" t="str">
        <f ca="1">IFERROR(VLOOKUP(X50,$G$5:$J$28,2,FALSE),"")</f>
        <v/>
      </c>
      <c r="Z49" s="966"/>
      <c r="AA49" s="780"/>
      <c r="AF49" s="453"/>
      <c r="AG49" s="453"/>
    </row>
    <row r="50" spans="9:33" ht="15.95" customHeight="1" thickBot="1" x14ac:dyDescent="0.25">
      <c r="I50" s="437"/>
      <c r="J50" s="437"/>
      <c r="K50" s="447"/>
      <c r="L50" s="473" t="str">
        <f ca="1">VLOOKUP(L49,$A$5:$G$24,7,FALSE)</f>
        <v/>
      </c>
      <c r="M50" s="466" t="str">
        <f ca="1">IFERROR(VLOOKUP(L50,$G$5:$J$28,3,FALSE),"")</f>
        <v/>
      </c>
      <c r="N50" s="967"/>
      <c r="Q50" s="447"/>
      <c r="R50" s="473" t="str">
        <f>IF(ISBLANK(N35),"",IF(O35+N35&lt;N37+O37,L36,L38))</f>
        <v/>
      </c>
      <c r="S50" s="466" t="str">
        <f ca="1">IFERROR(VLOOKUP(R50,$G$5:$J$28,3,FALSE),"")</f>
        <v/>
      </c>
      <c r="T50" s="967"/>
      <c r="W50" s="447"/>
      <c r="X50" s="473" t="str">
        <f>IF(ISBLANK(T49),"",IF(U49+T49&gt;T51+U51,R50,R52))</f>
        <v/>
      </c>
      <c r="Y50" s="466" t="str">
        <f ca="1">IFERROR(VLOOKUP(X50,$G$5:$J$28,3,FALSE),"")</f>
        <v/>
      </c>
      <c r="Z50" s="967"/>
    </row>
    <row r="51" spans="9:33" ht="15.95" customHeight="1" thickBot="1" x14ac:dyDescent="0.25">
      <c r="I51" s="437"/>
      <c r="J51" s="437"/>
      <c r="K51" s="447">
        <f>K49+1</f>
        <v>14</v>
      </c>
      <c r="L51" s="472">
        <v>14</v>
      </c>
      <c r="M51" s="465" t="str">
        <f ca="1">IFERROR(VLOOKUP(L52,$G$5:$J$28,2,FALSE),"")</f>
        <v/>
      </c>
      <c r="N51" s="966"/>
      <c r="O51" s="780"/>
      <c r="Q51" s="447">
        <f>Q49+1</f>
        <v>14</v>
      </c>
      <c r="R51" s="472">
        <v>13</v>
      </c>
      <c r="S51" s="465" t="str">
        <f ca="1">IFERROR(VLOOKUP(R52,$G$5:$J$28,2,FALSE),"")</f>
        <v/>
      </c>
      <c r="T51" s="966"/>
      <c r="U51" s="780"/>
      <c r="W51" s="447">
        <f>W49+1</f>
        <v>14</v>
      </c>
      <c r="X51" s="472">
        <v>14</v>
      </c>
      <c r="Y51" s="465" t="str">
        <f ca="1">IFERROR(VLOOKUP(X52,$G$5:$J$28,2,FALSE),"")</f>
        <v/>
      </c>
      <c r="Z51" s="966"/>
      <c r="AA51" s="780"/>
    </row>
    <row r="52" spans="9:33" ht="15.95" customHeight="1" thickBot="1" x14ac:dyDescent="0.25">
      <c r="I52" s="437"/>
      <c r="J52" s="437"/>
      <c r="K52" s="447"/>
      <c r="L52" s="473" t="str">
        <f ca="1">VLOOKUP(L51,$A$5:$G$24,7,FALSE)</f>
        <v/>
      </c>
      <c r="M52" s="466" t="str">
        <f ca="1">IFERROR(VLOOKUP(L52,$G$5:$J$28,3,FALSE),"")</f>
        <v/>
      </c>
      <c r="N52" s="967"/>
      <c r="Q52" s="447"/>
      <c r="R52" s="473" t="str">
        <f>IF(ISBLANK(N42),"",IF(O42+N42&lt;N44+O44,L43,L45))</f>
        <v/>
      </c>
      <c r="S52" s="466" t="str">
        <f ca="1">IFERROR(VLOOKUP(R52,$G$5:$J$28,3,FALSE),"")</f>
        <v/>
      </c>
      <c r="T52" s="967"/>
      <c r="W52" s="447"/>
      <c r="X52" s="473" t="str">
        <f>IF(ISBLANK(T56),"",IF(U56+T56&gt;T58+U58,R57,R59))</f>
        <v/>
      </c>
      <c r="Y52" s="466" t="str">
        <f ca="1">IFERROR(VLOOKUP(X52,$G$5:$J$28,3,FALSE),"")</f>
        <v/>
      </c>
      <c r="Z52" s="967"/>
    </row>
    <row r="53" spans="9:33" ht="15.95" customHeight="1" x14ac:dyDescent="0.2">
      <c r="I53" s="437"/>
      <c r="J53" s="437"/>
      <c r="K53" s="447"/>
      <c r="L53" s="441"/>
      <c r="M53" s="441"/>
      <c r="Q53" s="447"/>
      <c r="R53" s="437"/>
      <c r="S53" s="437"/>
      <c r="T53" s="451"/>
      <c r="W53" s="447"/>
      <c r="X53" s="441"/>
      <c r="Y53" s="441"/>
    </row>
    <row r="54" spans="9:33" ht="15.95" customHeight="1" thickBot="1" x14ac:dyDescent="0.25">
      <c r="I54" s="437"/>
      <c r="J54" s="437"/>
      <c r="K54" s="450"/>
      <c r="L54" s="450"/>
      <c r="M54" s="450"/>
      <c r="N54" s="451"/>
      <c r="O54" s="450"/>
      <c r="P54" s="450"/>
      <c r="Q54" s="450"/>
      <c r="R54" s="437"/>
      <c r="S54" s="437"/>
      <c r="T54" s="451"/>
      <c r="U54" s="450"/>
      <c r="V54" s="450"/>
      <c r="W54" s="450"/>
      <c r="X54" s="979" t="s">
        <v>828</v>
      </c>
      <c r="Y54" s="1247"/>
      <c r="Z54" s="1247"/>
      <c r="AA54" s="450"/>
    </row>
    <row r="55" spans="9:33" ht="15.95" customHeight="1" thickBot="1" x14ac:dyDescent="0.25">
      <c r="I55" s="437"/>
      <c r="J55" s="437"/>
      <c r="K55" s="445" t="s">
        <v>779</v>
      </c>
      <c r="L55" s="779" t="s">
        <v>1083</v>
      </c>
      <c r="M55" s="456" t="s">
        <v>481</v>
      </c>
      <c r="N55" s="464" t="s">
        <v>780</v>
      </c>
      <c r="O55" s="446" t="s">
        <v>781</v>
      </c>
      <c r="P55" s="445"/>
      <c r="Q55" s="445" t="s">
        <v>779</v>
      </c>
      <c r="R55" s="779" t="s">
        <v>1083</v>
      </c>
      <c r="S55" s="456" t="s">
        <v>481</v>
      </c>
      <c r="T55" s="464" t="s">
        <v>780</v>
      </c>
      <c r="U55" s="446" t="s">
        <v>781</v>
      </c>
      <c r="V55" s="445"/>
      <c r="W55" s="445" t="s">
        <v>779</v>
      </c>
      <c r="X55" s="779" t="s">
        <v>1083</v>
      </c>
      <c r="Y55" s="456" t="s">
        <v>481</v>
      </c>
      <c r="Z55" s="464" t="s">
        <v>780</v>
      </c>
      <c r="AA55" s="446" t="s">
        <v>781</v>
      </c>
    </row>
    <row r="56" spans="9:33" ht="15.95" customHeight="1" thickBot="1" x14ac:dyDescent="0.25">
      <c r="I56" s="437"/>
      <c r="J56" s="437"/>
      <c r="K56" s="447">
        <f>K51+1</f>
        <v>15</v>
      </c>
      <c r="L56" s="472">
        <v>10</v>
      </c>
      <c r="M56" s="465" t="str">
        <f ca="1">IFERROR(VLOOKUP(L57,$G$5:$J$28,2,FALSE),"")</f>
        <v/>
      </c>
      <c r="N56" s="966"/>
      <c r="O56" s="780"/>
      <c r="Q56" s="447">
        <f>Q51+1</f>
        <v>15</v>
      </c>
      <c r="R56" s="472">
        <v>14</v>
      </c>
      <c r="S56" s="465" t="str">
        <f ca="1">IFERROR(VLOOKUP(R57,$G$5:$J$28,2,FALSE),"")</f>
        <v/>
      </c>
      <c r="T56" s="966"/>
      <c r="U56" s="780"/>
      <c r="W56" s="447">
        <f>W51+1</f>
        <v>15</v>
      </c>
      <c r="X56" s="472">
        <v>16</v>
      </c>
      <c r="Y56" s="465" t="str">
        <f ca="1">IFERROR(VLOOKUP(X57,$G$5:$J$28,2,FALSE),"")</f>
        <v/>
      </c>
      <c r="Z56" s="966"/>
      <c r="AA56" s="780"/>
    </row>
    <row r="57" spans="9:33" ht="15.95" customHeight="1" thickBot="1" x14ac:dyDescent="0.25">
      <c r="I57" s="437"/>
      <c r="J57" s="437"/>
      <c r="K57" s="447"/>
      <c r="L57" s="473" t="str">
        <f ca="1">VLOOKUP(L56,$A$5:$G$24,7,FALSE)</f>
        <v/>
      </c>
      <c r="M57" s="466" t="str">
        <f ca="1">IFERROR(VLOOKUP(L57,$G$5:$J$28,3,FALSE),"")</f>
        <v/>
      </c>
      <c r="N57" s="967"/>
      <c r="Q57" s="447"/>
      <c r="R57" s="473" t="str">
        <f>IF(ISBLANK(N49),"",IF(N49+O49&lt;N51+O51,L50,L52))</f>
        <v/>
      </c>
      <c r="S57" s="466" t="str">
        <f ca="1">IFERROR(VLOOKUP(R57,$G$5:$J$28,3,FALSE),"")</f>
        <v/>
      </c>
      <c r="T57" s="967"/>
      <c r="W57" s="447"/>
      <c r="X57" s="473" t="str">
        <f>IF(ISBLANK(T49),"",IF(U49+T49&lt;T51+U51,R50,R52))</f>
        <v/>
      </c>
      <c r="Y57" s="466" t="str">
        <f ca="1">IFERROR(VLOOKUP(X57,$G$5:$J$28,3,FALSE),"")</f>
        <v/>
      </c>
      <c r="Z57" s="967"/>
    </row>
    <row r="58" spans="9:33" ht="15.95" customHeight="1" thickBot="1" x14ac:dyDescent="0.25">
      <c r="I58" s="437"/>
      <c r="J58" s="437"/>
      <c r="K58" s="447">
        <f>K56+1</f>
        <v>16</v>
      </c>
      <c r="L58" s="472">
        <v>15</v>
      </c>
      <c r="M58" s="465" t="str">
        <f ca="1">IFERROR(VLOOKUP(L59,$G$5:$J$28,2,FALSE),"")</f>
        <v/>
      </c>
      <c r="N58" s="966"/>
      <c r="O58" s="780"/>
      <c r="Q58" s="447">
        <f>Q56+1</f>
        <v>16</v>
      </c>
      <c r="R58" s="472">
        <v>15</v>
      </c>
      <c r="S58" s="465" t="str">
        <f ca="1">IFERROR(VLOOKUP(R59,$G$5:$J$28,2,FALSE),"")</f>
        <v/>
      </c>
      <c r="T58" s="966"/>
      <c r="U58" s="780"/>
      <c r="W58" s="447">
        <f>W56+1</f>
        <v>16</v>
      </c>
      <c r="X58" s="472">
        <v>15</v>
      </c>
      <c r="Y58" s="465" t="str">
        <f ca="1">IFERROR(VLOOKUP(X59,$G$5:$J$28,2,FALSE),"")</f>
        <v/>
      </c>
      <c r="Z58" s="966"/>
      <c r="AA58" s="780"/>
    </row>
    <row r="59" spans="9:33" ht="15.95" customHeight="1" thickBot="1" x14ac:dyDescent="0.25">
      <c r="I59" s="437"/>
      <c r="J59" s="437"/>
      <c r="K59" s="447"/>
      <c r="L59" s="473" t="str">
        <f ca="1">VLOOKUP(L58,$A$5:$G$24,7,FALSE)</f>
        <v/>
      </c>
      <c r="M59" s="466" t="str">
        <f ca="1">IFERROR(VLOOKUP(L59,$G$5:$J$28,3,FALSE),"")</f>
        <v/>
      </c>
      <c r="N59" s="967"/>
      <c r="Q59" s="447"/>
      <c r="R59" s="473" t="str">
        <f>IF(ISBLANK(N56),"",IF(N56+O56&lt;N58+O58,L57,L59))</f>
        <v/>
      </c>
      <c r="S59" s="466" t="str">
        <f ca="1">IFERROR(VLOOKUP(R59,$G$5:$J$28,3,FALSE),"")</f>
        <v/>
      </c>
      <c r="T59" s="967"/>
      <c r="W59" s="447"/>
      <c r="X59" s="473" t="str">
        <f>IF(ISBLANK(T56),"",IF(U56+T56&lt;T58+U58,R57,R59))</f>
        <v/>
      </c>
      <c r="Y59" s="466" t="str">
        <f ca="1">IFERROR(VLOOKUP(X59,$G$5:$J$28,3,FALSE),"")</f>
        <v/>
      </c>
      <c r="Z59" s="967"/>
    </row>
    <row r="60" spans="9:33" ht="15.95" customHeight="1" x14ac:dyDescent="0.2">
      <c r="I60" s="437"/>
      <c r="J60" s="437"/>
      <c r="K60" s="447"/>
      <c r="Q60" s="447"/>
      <c r="W60" s="447"/>
    </row>
    <row r="61" spans="9:33" ht="15.95" customHeight="1" x14ac:dyDescent="0.2">
      <c r="I61" s="437"/>
      <c r="J61" s="437"/>
      <c r="K61" s="437"/>
      <c r="L61" s="437"/>
      <c r="M61" s="437"/>
      <c r="N61" s="437"/>
      <c r="T61" s="441"/>
      <c r="X61" s="441"/>
      <c r="Y61" s="441"/>
      <c r="Z61" s="441"/>
    </row>
    <row r="62" spans="9:33" ht="15.95" customHeight="1" x14ac:dyDescent="0.2">
      <c r="I62" s="437"/>
      <c r="J62" s="437"/>
      <c r="K62" s="437"/>
      <c r="L62" s="437"/>
      <c r="M62" s="437"/>
      <c r="N62" s="437"/>
      <c r="T62" s="441"/>
      <c r="X62" s="441"/>
      <c r="Y62" s="441"/>
      <c r="Z62" s="441"/>
    </row>
    <row r="63" spans="9:33" ht="15.95" customHeight="1" x14ac:dyDescent="0.2">
      <c r="I63" s="437"/>
      <c r="J63" s="437"/>
      <c r="K63" s="437"/>
      <c r="L63" s="437"/>
      <c r="M63" s="437"/>
      <c r="N63" s="437"/>
      <c r="T63" s="441"/>
      <c r="X63" s="441"/>
      <c r="Y63" s="441"/>
      <c r="Z63" s="441"/>
    </row>
    <row r="64" spans="9:33" ht="15.95" customHeight="1" x14ac:dyDescent="0.2">
      <c r="I64" s="437"/>
      <c r="J64" s="437"/>
      <c r="K64" s="437"/>
      <c r="L64" s="437"/>
      <c r="M64" s="437"/>
      <c r="N64" s="437"/>
      <c r="T64" s="441"/>
      <c r="X64" s="441"/>
      <c r="Y64" s="441"/>
      <c r="Z64" s="441"/>
    </row>
    <row r="65" spans="9:36" ht="15.95" customHeight="1" x14ac:dyDescent="0.2">
      <c r="I65" s="437"/>
      <c r="J65" s="437"/>
      <c r="K65" s="437"/>
      <c r="L65" s="437"/>
      <c r="M65" s="437"/>
      <c r="N65" s="437"/>
      <c r="T65" s="441"/>
      <c r="X65" s="441"/>
      <c r="Y65" s="441"/>
      <c r="Z65" s="441"/>
      <c r="AH65" s="441"/>
      <c r="AI65" s="441"/>
      <c r="AJ65" s="447"/>
    </row>
    <row r="66" spans="9:36" ht="15.95" customHeight="1" x14ac:dyDescent="0.2">
      <c r="I66" s="437"/>
      <c r="J66" s="437"/>
      <c r="K66" s="437"/>
      <c r="L66" s="437"/>
      <c r="M66" s="437"/>
      <c r="N66" s="437"/>
      <c r="T66" s="441"/>
      <c r="X66" s="441"/>
      <c r="Y66" s="441"/>
      <c r="Z66" s="441"/>
      <c r="AH66" s="441"/>
      <c r="AI66" s="441"/>
      <c r="AJ66" s="447"/>
    </row>
    <row r="67" spans="9:36" ht="15.95" customHeight="1" x14ac:dyDescent="0.2">
      <c r="I67" s="437"/>
      <c r="J67" s="437"/>
      <c r="K67" s="437"/>
      <c r="L67" s="437"/>
      <c r="M67" s="437"/>
      <c r="N67" s="437"/>
      <c r="T67" s="441"/>
      <c r="X67" s="441"/>
      <c r="Y67" s="441"/>
      <c r="Z67" s="441"/>
      <c r="AH67" s="441"/>
      <c r="AI67" s="441"/>
      <c r="AJ67" s="441"/>
    </row>
    <row r="68" spans="9:36" ht="15.95" customHeight="1" x14ac:dyDescent="0.2">
      <c r="I68" s="437"/>
      <c r="J68" s="437"/>
      <c r="K68" s="437"/>
      <c r="L68" s="437"/>
      <c r="M68" s="437"/>
      <c r="N68" s="437"/>
      <c r="T68" s="441"/>
      <c r="X68" s="441"/>
      <c r="Y68" s="441"/>
      <c r="Z68" s="441"/>
      <c r="AH68" s="441"/>
      <c r="AI68" s="441"/>
      <c r="AJ68" s="441"/>
    </row>
    <row r="69" spans="9:36" ht="15.95" customHeight="1" x14ac:dyDescent="0.2">
      <c r="I69" s="437"/>
      <c r="J69" s="437"/>
      <c r="K69" s="437"/>
      <c r="L69" s="437"/>
      <c r="M69" s="437"/>
      <c r="N69" s="437"/>
      <c r="T69" s="441"/>
      <c r="X69" s="441"/>
      <c r="Y69" s="441"/>
      <c r="Z69" s="441"/>
      <c r="AH69" s="441"/>
      <c r="AI69" s="441"/>
      <c r="AJ69" s="450"/>
    </row>
    <row r="70" spans="9:36" ht="15.95" customHeight="1" x14ac:dyDescent="0.2">
      <c r="I70" s="437"/>
      <c r="J70" s="437"/>
      <c r="K70" s="437"/>
      <c r="L70" s="437"/>
      <c r="M70" s="437"/>
      <c r="N70" s="437"/>
      <c r="T70" s="441"/>
      <c r="X70" s="441"/>
      <c r="Y70" s="441"/>
      <c r="Z70" s="441"/>
      <c r="AH70" s="441"/>
      <c r="AI70" s="441"/>
      <c r="AJ70" s="450"/>
    </row>
    <row r="71" spans="9:36" ht="15.95" customHeight="1" x14ac:dyDescent="0.2">
      <c r="I71" s="437"/>
      <c r="J71" s="437"/>
      <c r="K71" s="437"/>
      <c r="L71" s="437"/>
      <c r="M71" s="437"/>
      <c r="N71" s="437"/>
      <c r="T71" s="441"/>
      <c r="X71" s="441"/>
      <c r="Y71" s="441"/>
      <c r="Z71" s="441"/>
      <c r="AH71" s="441"/>
      <c r="AI71" s="441"/>
      <c r="AJ71" s="445"/>
    </row>
    <row r="72" spans="9:36" ht="15.95" customHeight="1" x14ac:dyDescent="0.2">
      <c r="I72" s="437"/>
      <c r="J72" s="437"/>
      <c r="K72" s="437"/>
      <c r="L72" s="437"/>
      <c r="M72" s="437"/>
      <c r="N72" s="437"/>
      <c r="T72" s="441"/>
      <c r="X72" s="441"/>
      <c r="Y72" s="441"/>
      <c r="Z72" s="441"/>
      <c r="AH72" s="441"/>
      <c r="AI72" s="441"/>
      <c r="AJ72" s="447"/>
    </row>
    <row r="73" spans="9:36" ht="15.95" customHeight="1" x14ac:dyDescent="0.2">
      <c r="I73" s="437"/>
      <c r="J73" s="437"/>
      <c r="K73" s="437"/>
      <c r="L73" s="437"/>
      <c r="M73" s="437"/>
      <c r="N73" s="437"/>
      <c r="T73" s="441"/>
      <c r="X73" s="441"/>
      <c r="Y73" s="441"/>
      <c r="Z73" s="441"/>
      <c r="AH73" s="441"/>
      <c r="AI73" s="441"/>
      <c r="AJ73" s="447"/>
    </row>
    <row r="74" spans="9:36" ht="15.95" customHeight="1" x14ac:dyDescent="0.2">
      <c r="I74" s="437"/>
      <c r="J74" s="437"/>
      <c r="K74" s="437"/>
      <c r="L74" s="437"/>
      <c r="M74" s="437"/>
      <c r="N74" s="437"/>
      <c r="T74" s="441"/>
      <c r="X74" s="441"/>
      <c r="Y74" s="441"/>
      <c r="Z74" s="441"/>
      <c r="AH74" s="441"/>
      <c r="AI74" s="441"/>
      <c r="AJ74" s="450"/>
    </row>
    <row r="75" spans="9:36" ht="15.95" customHeight="1" x14ac:dyDescent="0.2">
      <c r="I75" s="437"/>
      <c r="J75" s="437"/>
      <c r="K75" s="437"/>
      <c r="L75" s="437"/>
      <c r="M75" s="437"/>
      <c r="N75" s="437"/>
      <c r="T75" s="441"/>
      <c r="X75" s="441"/>
      <c r="Y75" s="441"/>
      <c r="Z75" s="441"/>
      <c r="AH75" s="441"/>
      <c r="AI75" s="441"/>
      <c r="AJ75" s="450"/>
    </row>
    <row r="76" spans="9:36" ht="15.95" customHeight="1" x14ac:dyDescent="0.2">
      <c r="I76" s="437"/>
      <c r="J76" s="437"/>
      <c r="K76" s="437"/>
      <c r="L76" s="437"/>
      <c r="M76" s="437"/>
      <c r="N76" s="437"/>
      <c r="T76" s="441"/>
      <c r="X76" s="441"/>
      <c r="Y76" s="441"/>
      <c r="Z76" s="441"/>
      <c r="AH76" s="441"/>
      <c r="AI76" s="441"/>
      <c r="AJ76" s="450"/>
    </row>
    <row r="77" spans="9:36" ht="15.95" customHeight="1" x14ac:dyDescent="0.2">
      <c r="I77" s="437"/>
      <c r="J77" s="437"/>
      <c r="K77" s="437"/>
      <c r="L77" s="437"/>
      <c r="M77" s="437"/>
      <c r="N77" s="437"/>
      <c r="T77" s="441"/>
      <c r="X77" s="441"/>
      <c r="Y77" s="441"/>
      <c r="Z77" s="441"/>
      <c r="AH77" s="441"/>
      <c r="AI77" s="441"/>
      <c r="AJ77" s="450"/>
    </row>
    <row r="78" spans="9:36" ht="15.95" customHeight="1" x14ac:dyDescent="0.2">
      <c r="I78" s="437"/>
      <c r="J78" s="437"/>
      <c r="K78" s="437"/>
      <c r="L78" s="437"/>
      <c r="M78" s="437"/>
      <c r="N78" s="437"/>
      <c r="T78" s="441"/>
      <c r="X78" s="441"/>
      <c r="Y78" s="441"/>
      <c r="Z78" s="441"/>
      <c r="AH78" s="441"/>
      <c r="AI78" s="441"/>
      <c r="AJ78" s="445"/>
    </row>
    <row r="79" spans="9:36" ht="15.95" customHeight="1" x14ac:dyDescent="0.2">
      <c r="I79" s="437"/>
      <c r="J79" s="437"/>
      <c r="K79" s="437"/>
      <c r="L79" s="437"/>
      <c r="M79" s="437"/>
      <c r="N79" s="437"/>
      <c r="T79" s="441"/>
      <c r="X79" s="441"/>
      <c r="Y79" s="441"/>
      <c r="Z79" s="441"/>
      <c r="AH79" s="441"/>
      <c r="AI79" s="441"/>
      <c r="AJ79" s="447"/>
    </row>
    <row r="80" spans="9:36" ht="15.95" customHeight="1" x14ac:dyDescent="0.2">
      <c r="I80" s="437"/>
      <c r="J80" s="437"/>
      <c r="K80" s="437"/>
      <c r="L80" s="437"/>
      <c r="M80" s="437"/>
      <c r="N80" s="437"/>
      <c r="T80" s="441"/>
      <c r="X80" s="441"/>
      <c r="Y80" s="441"/>
      <c r="Z80" s="441"/>
      <c r="AH80" s="441"/>
      <c r="AI80" s="441"/>
      <c r="AJ80" s="447"/>
    </row>
    <row r="81" spans="9:36" ht="15.95" customHeight="1" x14ac:dyDescent="0.2">
      <c r="I81" s="437"/>
      <c r="J81" s="437"/>
      <c r="K81" s="437"/>
      <c r="L81" s="437"/>
      <c r="M81" s="437"/>
      <c r="N81" s="437"/>
      <c r="T81" s="441"/>
      <c r="X81" s="441"/>
      <c r="Y81" s="441"/>
      <c r="Z81" s="441"/>
      <c r="AH81" s="441"/>
      <c r="AI81" s="441"/>
      <c r="AJ81" s="447"/>
    </row>
    <row r="82" spans="9:36" ht="15.95" customHeight="1" x14ac:dyDescent="0.2">
      <c r="I82" s="437"/>
      <c r="J82" s="437"/>
      <c r="K82" s="437"/>
      <c r="L82" s="437"/>
      <c r="M82" s="437"/>
      <c r="N82" s="437"/>
      <c r="T82" s="441"/>
      <c r="X82" s="441"/>
      <c r="Y82" s="441"/>
      <c r="Z82" s="441"/>
      <c r="AH82" s="441"/>
      <c r="AI82" s="441"/>
      <c r="AJ82" s="450"/>
    </row>
    <row r="83" spans="9:36" ht="15.95" customHeight="1" x14ac:dyDescent="0.2">
      <c r="I83" s="437"/>
      <c r="J83" s="437"/>
      <c r="K83" s="437"/>
      <c r="L83" s="437"/>
      <c r="M83" s="437"/>
      <c r="N83" s="437"/>
      <c r="T83" s="441"/>
      <c r="X83" s="441"/>
      <c r="Y83" s="441"/>
      <c r="Z83" s="441"/>
      <c r="AH83" s="441"/>
      <c r="AI83" s="441"/>
      <c r="AJ83" s="445"/>
    </row>
    <row r="84" spans="9:36" ht="15.95" customHeight="1" x14ac:dyDescent="0.2">
      <c r="I84" s="437"/>
      <c r="J84" s="437"/>
      <c r="K84" s="437"/>
      <c r="L84" s="437"/>
      <c r="M84" s="437"/>
      <c r="N84" s="437"/>
      <c r="T84" s="441"/>
      <c r="X84" s="441"/>
      <c r="Y84" s="441"/>
      <c r="Z84" s="441"/>
      <c r="AH84" s="441"/>
      <c r="AI84" s="441"/>
      <c r="AJ84" s="447"/>
    </row>
    <row r="85" spans="9:36" ht="15.95" customHeight="1" x14ac:dyDescent="0.2">
      <c r="I85" s="437"/>
      <c r="J85" s="437"/>
      <c r="K85" s="437"/>
      <c r="L85" s="437"/>
      <c r="M85" s="437"/>
      <c r="N85" s="437"/>
      <c r="T85" s="441"/>
      <c r="X85" s="441"/>
      <c r="Y85" s="441"/>
      <c r="Z85" s="441"/>
      <c r="AH85" s="441"/>
      <c r="AI85" s="441"/>
      <c r="AJ85" s="447"/>
    </row>
    <row r="86" spans="9:36" ht="15.95" customHeight="1" x14ac:dyDescent="0.2">
      <c r="K86" s="437"/>
      <c r="L86" s="437"/>
      <c r="M86" s="437"/>
      <c r="N86" s="437"/>
      <c r="T86" s="441"/>
      <c r="X86" s="441"/>
      <c r="Y86" s="441"/>
      <c r="Z86" s="441"/>
      <c r="AH86" s="441"/>
      <c r="AI86" s="441"/>
      <c r="AJ86" s="441"/>
    </row>
    <row r="87" spans="9:36" ht="15.95" customHeight="1" x14ac:dyDescent="0.2">
      <c r="K87" s="437"/>
      <c r="L87" s="437"/>
      <c r="M87" s="437"/>
      <c r="N87" s="437"/>
      <c r="T87" s="441"/>
      <c r="X87" s="441"/>
      <c r="Y87" s="441"/>
      <c r="Z87" s="441"/>
      <c r="AH87" s="441"/>
      <c r="AI87" s="441"/>
      <c r="AJ87" s="441"/>
    </row>
    <row r="88" spans="9:36" ht="15.95" customHeight="1" x14ac:dyDescent="0.2">
      <c r="K88" s="437"/>
      <c r="L88" s="437"/>
      <c r="M88" s="437"/>
      <c r="N88" s="437"/>
      <c r="T88" s="441"/>
      <c r="X88" s="441"/>
      <c r="Y88" s="441"/>
      <c r="Z88" s="441"/>
    </row>
    <row r="89" spans="9:36" ht="15.95" customHeight="1" x14ac:dyDescent="0.2">
      <c r="K89" s="437"/>
      <c r="L89" s="437"/>
      <c r="M89" s="437"/>
      <c r="N89" s="437"/>
      <c r="T89" s="441"/>
      <c r="X89" s="441"/>
      <c r="Y89" s="441"/>
      <c r="Z89" s="441"/>
    </row>
    <row r="90" spans="9:36" ht="15.95" customHeight="1" x14ac:dyDescent="0.2">
      <c r="K90" s="437"/>
      <c r="L90" s="437"/>
      <c r="M90" s="437"/>
      <c r="N90" s="437"/>
      <c r="T90" s="441"/>
      <c r="X90" s="441"/>
      <c r="Y90" s="441"/>
      <c r="Z90" s="441"/>
    </row>
    <row r="91" spans="9:36" ht="15.95" customHeight="1" x14ac:dyDescent="0.2">
      <c r="K91" s="437"/>
      <c r="L91" s="437"/>
      <c r="M91" s="437"/>
      <c r="N91" s="437"/>
      <c r="T91" s="441"/>
      <c r="X91" s="441"/>
      <c r="Y91" s="441"/>
      <c r="Z91" s="441"/>
    </row>
    <row r="92" spans="9:36" ht="15.95" customHeight="1" x14ac:dyDescent="0.2">
      <c r="K92" s="435"/>
    </row>
    <row r="93" spans="9:36" ht="15.95" customHeight="1" x14ac:dyDescent="0.2">
      <c r="K93" s="435"/>
    </row>
    <row r="94" spans="9:36" ht="15.95" customHeight="1" x14ac:dyDescent="0.2">
      <c r="K94" s="435"/>
    </row>
    <row r="95" spans="9:36" ht="15.95" customHeight="1" x14ac:dyDescent="0.2">
      <c r="K95" s="435"/>
      <c r="S95" s="450"/>
    </row>
    <row r="96" spans="9:36" ht="15.95" customHeight="1" x14ac:dyDescent="0.2">
      <c r="K96" s="435"/>
      <c r="S96" s="450"/>
    </row>
    <row r="97" ht="15.95" customHeight="1" x14ac:dyDescent="0.2"/>
    <row r="98" ht="15.95" customHeight="1" x14ac:dyDescent="0.2"/>
    <row r="99" ht="15.95" customHeight="1" x14ac:dyDescent="0.2"/>
    <row r="100" ht="15.95" customHeight="1" x14ac:dyDescent="0.2"/>
    <row r="101" ht="15.95" customHeight="1" x14ac:dyDescent="0.2"/>
    <row r="102" ht="15.95" customHeight="1" x14ac:dyDescent="0.2"/>
    <row r="103" ht="15.95" customHeight="1" x14ac:dyDescent="0.2"/>
    <row r="104" ht="15.95" customHeight="1" x14ac:dyDescent="0.2"/>
    <row r="105" ht="15.95" customHeight="1" x14ac:dyDescent="0.2"/>
    <row r="106" ht="15.95" customHeight="1" x14ac:dyDescent="0.2"/>
    <row r="107" ht="15.95" customHeight="1" x14ac:dyDescent="0.2"/>
    <row r="108" ht="15.95" customHeight="1" x14ac:dyDescent="0.2"/>
    <row r="109" ht="15.95" customHeight="1" x14ac:dyDescent="0.2"/>
    <row r="110" ht="15.95" customHeight="1" x14ac:dyDescent="0.2"/>
    <row r="111" ht="15.95" customHeight="1" x14ac:dyDescent="0.2"/>
    <row r="112" ht="15.95" customHeight="1" x14ac:dyDescent="0.2"/>
    <row r="113" ht="15.95" customHeight="1" x14ac:dyDescent="0.2"/>
    <row r="114" ht="15.95" customHeight="1" x14ac:dyDescent="0.2"/>
    <row r="115" ht="15.95" customHeight="1" x14ac:dyDescent="0.2"/>
    <row r="116" ht="15.95" customHeight="1" x14ac:dyDescent="0.2"/>
    <row r="117" ht="15.95" customHeight="1" x14ac:dyDescent="0.2"/>
    <row r="118" ht="15.95" customHeight="1" x14ac:dyDescent="0.2"/>
    <row r="119" ht="15.95" customHeight="1" x14ac:dyDescent="0.2"/>
    <row r="120" ht="15.95" customHeight="1" x14ac:dyDescent="0.2"/>
    <row r="121" ht="15.95" customHeight="1" x14ac:dyDescent="0.2"/>
    <row r="122" ht="15.95" customHeight="1" x14ac:dyDescent="0.2"/>
    <row r="123" ht="15.95" customHeight="1" x14ac:dyDescent="0.2"/>
    <row r="124" ht="15.95" customHeight="1" x14ac:dyDescent="0.2"/>
    <row r="125" ht="15.95" customHeight="1" x14ac:dyDescent="0.2"/>
    <row r="126" ht="15.95" customHeight="1" x14ac:dyDescent="0.2"/>
    <row r="127" ht="15.95" customHeight="1" x14ac:dyDescent="0.2"/>
    <row r="128" ht="15.95" customHeight="1" x14ac:dyDescent="0.2"/>
    <row r="129" ht="15.95" customHeight="1" x14ac:dyDescent="0.2"/>
    <row r="130" ht="15.95" customHeight="1" x14ac:dyDescent="0.2"/>
    <row r="131" ht="15.95" customHeight="1" x14ac:dyDescent="0.2"/>
    <row r="132" ht="15.95" customHeight="1" x14ac:dyDescent="0.2"/>
    <row r="133" ht="15.95" customHeight="1" x14ac:dyDescent="0.2"/>
    <row r="134" ht="15.95" customHeight="1" x14ac:dyDescent="0.2"/>
    <row r="135" ht="15.95" customHeight="1" x14ac:dyDescent="0.2"/>
    <row r="136" ht="15.95" customHeight="1" x14ac:dyDescent="0.2"/>
    <row r="137" ht="15.95" customHeight="1" x14ac:dyDescent="0.2"/>
    <row r="138" ht="15.95" customHeight="1" x14ac:dyDescent="0.2"/>
    <row r="139" ht="15.95" customHeight="1" x14ac:dyDescent="0.2"/>
    <row r="140" ht="15.95" customHeight="1" x14ac:dyDescent="0.2"/>
    <row r="141" ht="15.95" customHeight="1" x14ac:dyDescent="0.2"/>
    <row r="142" ht="15.95" customHeight="1" x14ac:dyDescent="0.2"/>
    <row r="143" ht="15.95" customHeight="1" x14ac:dyDescent="0.2"/>
    <row r="144" ht="15.95" customHeight="1" x14ac:dyDescent="0.2"/>
    <row r="145" ht="15.95" customHeight="1" x14ac:dyDescent="0.2"/>
    <row r="146" ht="15.95" customHeight="1" x14ac:dyDescent="0.2"/>
    <row r="147" ht="15.95" customHeight="1" x14ac:dyDescent="0.2"/>
    <row r="148" ht="15.95" customHeight="1" x14ac:dyDescent="0.2"/>
  </sheetData>
  <sheetProtection selectLockedCells="1"/>
  <mergeCells count="72">
    <mergeCell ref="K1:AA1"/>
    <mergeCell ref="AF1:AJ1"/>
    <mergeCell ref="K2:Z2"/>
    <mergeCell ref="AF2:AJ2"/>
    <mergeCell ref="N3:X3"/>
    <mergeCell ref="AF3:AJ3"/>
    <mergeCell ref="K4:N4"/>
    <mergeCell ref="Q4:T4"/>
    <mergeCell ref="W4:Z4"/>
    <mergeCell ref="AH4:AJ5"/>
    <mergeCell ref="L5:N5"/>
    <mergeCell ref="R5:T5"/>
    <mergeCell ref="X5:Z5"/>
    <mergeCell ref="N7:N8"/>
    <mergeCell ref="T7:T8"/>
    <mergeCell ref="Z7:Z8"/>
    <mergeCell ref="N9:N10"/>
    <mergeCell ref="T9:T10"/>
    <mergeCell ref="Z9:Z10"/>
    <mergeCell ref="N23:N24"/>
    <mergeCell ref="T23:T24"/>
    <mergeCell ref="Z23:Z24"/>
    <mergeCell ref="X12:Z12"/>
    <mergeCell ref="N14:N15"/>
    <mergeCell ref="T14:T15"/>
    <mergeCell ref="Z14:Z15"/>
    <mergeCell ref="N16:N17"/>
    <mergeCell ref="T16:T17"/>
    <mergeCell ref="Z16:Z17"/>
    <mergeCell ref="R19:T19"/>
    <mergeCell ref="X19:Z19"/>
    <mergeCell ref="N21:N22"/>
    <mergeCell ref="T21:T22"/>
    <mergeCell ref="Z21:Z22"/>
    <mergeCell ref="X26:Z26"/>
    <mergeCell ref="N28:N29"/>
    <mergeCell ref="T28:T29"/>
    <mergeCell ref="Z28:Z29"/>
    <mergeCell ref="N30:N31"/>
    <mergeCell ref="T30:T31"/>
    <mergeCell ref="Z30:Z31"/>
    <mergeCell ref="L33:N33"/>
    <mergeCell ref="R33:T33"/>
    <mergeCell ref="X33:Z33"/>
    <mergeCell ref="N35:N36"/>
    <mergeCell ref="T35:T36"/>
    <mergeCell ref="Z35:Z36"/>
    <mergeCell ref="N49:N50"/>
    <mergeCell ref="T49:T50"/>
    <mergeCell ref="Z49:Z50"/>
    <mergeCell ref="N37:N38"/>
    <mergeCell ref="T37:T38"/>
    <mergeCell ref="Z37:Z38"/>
    <mergeCell ref="X40:Z40"/>
    <mergeCell ref="N42:N43"/>
    <mergeCell ref="T42:T43"/>
    <mergeCell ref="Z42:Z43"/>
    <mergeCell ref="N44:N45"/>
    <mergeCell ref="T44:T45"/>
    <mergeCell ref="Z44:Z45"/>
    <mergeCell ref="R47:T47"/>
    <mergeCell ref="X47:Z47"/>
    <mergeCell ref="N58:N59"/>
    <mergeCell ref="T58:T59"/>
    <mergeCell ref="Z58:Z59"/>
    <mergeCell ref="N51:N52"/>
    <mergeCell ref="T51:T52"/>
    <mergeCell ref="Z51:Z52"/>
    <mergeCell ref="X54:Z54"/>
    <mergeCell ref="N56:N57"/>
    <mergeCell ref="T56:T57"/>
    <mergeCell ref="Z56:Z57"/>
  </mergeCells>
  <conditionalFormatting sqref="O7:O8">
    <cfRule type="expression" priority="246" stopIfTrue="1">
      <formula>IF(N7="",1)</formula>
    </cfRule>
    <cfRule type="expression" dxfId="1442" priority="248">
      <formula>IF(N7=N9,1,0)</formula>
    </cfRule>
  </conditionalFormatting>
  <conditionalFormatting sqref="O9">
    <cfRule type="expression" priority="245" stopIfTrue="1">
      <formula>IF(N9="",1,0)</formula>
    </cfRule>
    <cfRule type="expression" dxfId="1441" priority="247">
      <formula>IF(N7=N9,1,0)</formula>
    </cfRule>
  </conditionalFormatting>
  <conditionalFormatting sqref="S7">
    <cfRule type="expression" dxfId="1440" priority="244">
      <formula>IF(T7+U7&gt;T9+U9,1,0)</formula>
    </cfRule>
  </conditionalFormatting>
  <conditionalFormatting sqref="S9">
    <cfRule type="expression" dxfId="1439" priority="243">
      <formula>IF(T9+U9&gt;T11+U11,1,0)</formula>
    </cfRule>
  </conditionalFormatting>
  <conditionalFormatting sqref="S14">
    <cfRule type="expression" dxfId="1438" priority="242">
      <formula>IF(T14+U14&gt;T16+U16,1,0)</formula>
    </cfRule>
  </conditionalFormatting>
  <conditionalFormatting sqref="S16">
    <cfRule type="expression" dxfId="1437" priority="241">
      <formula>IF(T16+U16&gt;T18+U18,1,0)</formula>
    </cfRule>
  </conditionalFormatting>
  <conditionalFormatting sqref="S21">
    <cfRule type="expression" dxfId="1436" priority="240">
      <formula>IF(T21+U21&gt;T23+U23,1,0)</formula>
    </cfRule>
  </conditionalFormatting>
  <conditionalFormatting sqref="S23">
    <cfRule type="expression" dxfId="1435" priority="239">
      <formula>IF(T23+U23&gt;T25+U25,1,0)</formula>
    </cfRule>
  </conditionalFormatting>
  <conditionalFormatting sqref="O14:O15">
    <cfRule type="expression" priority="226" stopIfTrue="1">
      <formula>IF(N14="",1)</formula>
    </cfRule>
    <cfRule type="expression" dxfId="1434" priority="228">
      <formula>IF(N14=N16,1,0)</formula>
    </cfRule>
  </conditionalFormatting>
  <conditionalFormatting sqref="O16">
    <cfRule type="expression" priority="225" stopIfTrue="1">
      <formula>IF(N16="",1,0)</formula>
    </cfRule>
    <cfRule type="expression" dxfId="1433" priority="227">
      <formula>IF(N14=N16,1,0)</formula>
    </cfRule>
  </conditionalFormatting>
  <conditionalFormatting sqref="O21:O22">
    <cfRule type="expression" priority="222" stopIfTrue="1">
      <formula>IF(N21="",1)</formula>
    </cfRule>
    <cfRule type="expression" dxfId="1432" priority="224">
      <formula>IF(N21=N23,1,0)</formula>
    </cfRule>
  </conditionalFormatting>
  <conditionalFormatting sqref="O23">
    <cfRule type="expression" priority="221" stopIfTrue="1">
      <formula>IF(N23="",1,0)</formula>
    </cfRule>
    <cfRule type="expression" dxfId="1431" priority="223">
      <formula>IF(N21=N23,1,0)</formula>
    </cfRule>
  </conditionalFormatting>
  <conditionalFormatting sqref="O28:O29">
    <cfRule type="expression" priority="218" stopIfTrue="1">
      <formula>IF(N28="",1)</formula>
    </cfRule>
    <cfRule type="expression" dxfId="1430" priority="220">
      <formula>IF(N28=N30,1,0)</formula>
    </cfRule>
  </conditionalFormatting>
  <conditionalFormatting sqref="O30">
    <cfRule type="expression" priority="217" stopIfTrue="1">
      <formula>IF(N30="",1,0)</formula>
    </cfRule>
    <cfRule type="expression" dxfId="1429" priority="219">
      <formula>IF(N28=N30,1,0)</formula>
    </cfRule>
  </conditionalFormatting>
  <conditionalFormatting sqref="U7:U8">
    <cfRule type="expression" priority="214" stopIfTrue="1">
      <formula>IF(T7="",1)</formula>
    </cfRule>
    <cfRule type="expression" dxfId="1428" priority="216">
      <formula>IF(T7=T9,1,0)</formula>
    </cfRule>
  </conditionalFormatting>
  <conditionalFormatting sqref="U9">
    <cfRule type="expression" priority="213" stopIfTrue="1">
      <formula>IF(T9="",1,0)</formula>
    </cfRule>
    <cfRule type="expression" dxfId="1427" priority="215">
      <formula>IF(T7=T9,1,0)</formula>
    </cfRule>
  </conditionalFormatting>
  <conditionalFormatting sqref="U14:U15">
    <cfRule type="expression" priority="210" stopIfTrue="1">
      <formula>IF(T14="",1)</formula>
    </cfRule>
    <cfRule type="expression" dxfId="1426" priority="212">
      <formula>IF(T14=T16,1,0)</formula>
    </cfRule>
  </conditionalFormatting>
  <conditionalFormatting sqref="U16">
    <cfRule type="expression" priority="209" stopIfTrue="1">
      <formula>IF(T16="",1,0)</formula>
    </cfRule>
    <cfRule type="expression" dxfId="1425" priority="211">
      <formula>IF(T14=T16,1,0)</formula>
    </cfRule>
  </conditionalFormatting>
  <conditionalFormatting sqref="U21:U22">
    <cfRule type="expression" priority="206" stopIfTrue="1">
      <formula>IF(T21="",1)</formula>
    </cfRule>
    <cfRule type="expression" dxfId="1424" priority="208">
      <formula>IF(T21=T23,1,0)</formula>
    </cfRule>
  </conditionalFormatting>
  <conditionalFormatting sqref="U23">
    <cfRule type="expression" priority="205" stopIfTrue="1">
      <formula>IF(T23="",1,0)</formula>
    </cfRule>
    <cfRule type="expression" dxfId="1423" priority="207">
      <formula>IF(T21=T23,1,0)</formula>
    </cfRule>
  </conditionalFormatting>
  <conditionalFormatting sqref="U28:U29">
    <cfRule type="expression" priority="202" stopIfTrue="1">
      <formula>IF(T28="",1)</formula>
    </cfRule>
    <cfRule type="expression" dxfId="1422" priority="204">
      <formula>IF(T28=T30,1,0)</formula>
    </cfRule>
  </conditionalFormatting>
  <conditionalFormatting sqref="U30">
    <cfRule type="expression" priority="201" stopIfTrue="1">
      <formula>IF(T30="",1,0)</formula>
    </cfRule>
    <cfRule type="expression" dxfId="1421" priority="203">
      <formula>IF(T28=T30,1,0)</formula>
    </cfRule>
  </conditionalFormatting>
  <conditionalFormatting sqref="AA7:AA8">
    <cfRule type="expression" priority="198" stopIfTrue="1">
      <formula>IF(Z7="",1)</formula>
    </cfRule>
    <cfRule type="expression" dxfId="1420" priority="200">
      <formula>IF(Z7=Z9,1,0)</formula>
    </cfRule>
  </conditionalFormatting>
  <conditionalFormatting sqref="AA9">
    <cfRule type="expression" priority="197" stopIfTrue="1">
      <formula>IF(Z9="",1,0)</formula>
    </cfRule>
    <cfRule type="expression" dxfId="1419" priority="199">
      <formula>IF(Z7=Z9,1,0)</formula>
    </cfRule>
  </conditionalFormatting>
  <conditionalFormatting sqref="AA14:AA15">
    <cfRule type="expression" priority="194" stopIfTrue="1">
      <formula>IF(Z14="",1)</formula>
    </cfRule>
    <cfRule type="expression" dxfId="1418" priority="196">
      <formula>IF(Z14=Z16,1,0)</formula>
    </cfRule>
  </conditionalFormatting>
  <conditionalFormatting sqref="AA16">
    <cfRule type="expression" priority="193" stopIfTrue="1">
      <formula>IF(Z16="",1,0)</formula>
    </cfRule>
    <cfRule type="expression" dxfId="1417" priority="195">
      <formula>IF(Z14=Z16,1,0)</formula>
    </cfRule>
  </conditionalFormatting>
  <conditionalFormatting sqref="AA21:AA22">
    <cfRule type="expression" priority="190" stopIfTrue="1">
      <formula>IF(Z21="",1)</formula>
    </cfRule>
    <cfRule type="expression" dxfId="1416" priority="192">
      <formula>IF(Z21=Z23,1,0)</formula>
    </cfRule>
  </conditionalFormatting>
  <conditionalFormatting sqref="AA23">
    <cfRule type="expression" priority="189" stopIfTrue="1">
      <formula>IF(Z23="",1,0)</formula>
    </cfRule>
    <cfRule type="expression" dxfId="1415" priority="191">
      <formula>IF(Z21=Z23,1,0)</formula>
    </cfRule>
  </conditionalFormatting>
  <conditionalFormatting sqref="AA28:AA29">
    <cfRule type="expression" priority="186" stopIfTrue="1">
      <formula>IF(Z28="",1)</formula>
    </cfRule>
    <cfRule type="expression" dxfId="1414" priority="188">
      <formula>IF(Z28=Z30,1,0)</formula>
    </cfRule>
  </conditionalFormatting>
  <conditionalFormatting sqref="AA30">
    <cfRule type="expression" priority="185" stopIfTrue="1">
      <formula>IF(Z30="",1,0)</formula>
    </cfRule>
    <cfRule type="expression" dxfId="1413" priority="187">
      <formula>IF(Z28=Z30,1,0)</formula>
    </cfRule>
  </conditionalFormatting>
  <conditionalFormatting sqref="M14">
    <cfRule type="expression" dxfId="1412" priority="184">
      <formula>IF(N14+O14&gt;N16+O16,1,0)</formula>
    </cfRule>
  </conditionalFormatting>
  <conditionalFormatting sqref="M16">
    <cfRule type="expression" dxfId="1411" priority="183">
      <formula>IF(N16+O16&gt;N18+O18,1,0)</formula>
    </cfRule>
  </conditionalFormatting>
  <conditionalFormatting sqref="M21">
    <cfRule type="expression" dxfId="1410" priority="182">
      <formula>IF(N21+O21&gt;N23+O23,1,0)</formula>
    </cfRule>
  </conditionalFormatting>
  <conditionalFormatting sqref="M23">
    <cfRule type="expression" dxfId="1409" priority="181">
      <formula>IF(N23+O23&gt;N25+O25,1,0)</formula>
    </cfRule>
  </conditionalFormatting>
  <conditionalFormatting sqref="M28">
    <cfRule type="expression" dxfId="1408" priority="180">
      <formula>IF(N28+O28&gt;N30+O30,1,0)</formula>
    </cfRule>
  </conditionalFormatting>
  <conditionalFormatting sqref="M30">
    <cfRule type="expression" dxfId="1407" priority="179">
      <formula>IF(N30+O30&gt;N32+O32,1,0)</formula>
    </cfRule>
  </conditionalFormatting>
  <conditionalFormatting sqref="M7">
    <cfRule type="expression" dxfId="1406" priority="178">
      <formula>IF(N7+O7&gt;N9+O9,1,0)</formula>
    </cfRule>
  </conditionalFormatting>
  <conditionalFormatting sqref="M9">
    <cfRule type="expression" dxfId="1405" priority="177">
      <formula>IF(N9+O9&gt;N11+O11,1,0)</formula>
    </cfRule>
  </conditionalFormatting>
  <conditionalFormatting sqref="O35:O36">
    <cfRule type="expression" priority="174" stopIfTrue="1">
      <formula>IF(N35="",1)</formula>
    </cfRule>
    <cfRule type="expression" dxfId="1404" priority="176">
      <formula>IF(N35=N37,1,0)</formula>
    </cfRule>
  </conditionalFormatting>
  <conditionalFormatting sqref="O37">
    <cfRule type="expression" priority="173" stopIfTrue="1">
      <formula>IF(N37="",1,0)</formula>
    </cfRule>
    <cfRule type="expression" dxfId="1403" priority="175">
      <formula>IF(N35=N37,1,0)</formula>
    </cfRule>
  </conditionalFormatting>
  <conditionalFormatting sqref="O42:O43">
    <cfRule type="expression" priority="154" stopIfTrue="1">
      <formula>IF(N42="",1)</formula>
    </cfRule>
    <cfRule type="expression" dxfId="1402" priority="156">
      <formula>IF(N42=N44,1,0)</formula>
    </cfRule>
  </conditionalFormatting>
  <conditionalFormatting sqref="O44">
    <cfRule type="expression" priority="153" stopIfTrue="1">
      <formula>IF(N44="",1,0)</formula>
    </cfRule>
    <cfRule type="expression" dxfId="1401" priority="155">
      <formula>IF(N42=N44,1,0)</formula>
    </cfRule>
  </conditionalFormatting>
  <conditionalFormatting sqref="O49:O50">
    <cfRule type="expression" priority="150" stopIfTrue="1">
      <formula>IF(N49="",1)</formula>
    </cfRule>
    <cfRule type="expression" dxfId="1400" priority="152">
      <formula>IF(N49=N51,1,0)</formula>
    </cfRule>
  </conditionalFormatting>
  <conditionalFormatting sqref="O51">
    <cfRule type="expression" priority="149" stopIfTrue="1">
      <formula>IF(N51="",1,0)</formula>
    </cfRule>
    <cfRule type="expression" dxfId="1399" priority="151">
      <formula>IF(N49=N51,1,0)</formula>
    </cfRule>
  </conditionalFormatting>
  <conditionalFormatting sqref="O56:O57">
    <cfRule type="expression" priority="146" stopIfTrue="1">
      <formula>IF(N56="",1)</formula>
    </cfRule>
    <cfRule type="expression" dxfId="1398" priority="148">
      <formula>IF(N56=N58,1,0)</formula>
    </cfRule>
  </conditionalFormatting>
  <conditionalFormatting sqref="O58">
    <cfRule type="expression" priority="145" stopIfTrue="1">
      <formula>IF(N58="",1,0)</formula>
    </cfRule>
    <cfRule type="expression" dxfId="1397" priority="147">
      <formula>IF(N56=N58,1,0)</formula>
    </cfRule>
  </conditionalFormatting>
  <conditionalFormatting sqref="U35:U36">
    <cfRule type="expression" priority="142" stopIfTrue="1">
      <formula>IF(T35="",1)</formula>
    </cfRule>
    <cfRule type="expression" dxfId="1396" priority="144">
      <formula>IF(T35=T37,1,0)</formula>
    </cfRule>
  </conditionalFormatting>
  <conditionalFormatting sqref="U37">
    <cfRule type="expression" priority="141" stopIfTrue="1">
      <formula>IF(T37="",1,0)</formula>
    </cfRule>
    <cfRule type="expression" dxfId="1395" priority="143">
      <formula>IF(T35=T37,1,0)</formula>
    </cfRule>
  </conditionalFormatting>
  <conditionalFormatting sqref="U42:U43">
    <cfRule type="expression" priority="138" stopIfTrue="1">
      <formula>IF(T42="",1)</formula>
    </cfRule>
    <cfRule type="expression" dxfId="1394" priority="140">
      <formula>IF(T42=T44,1,0)</formula>
    </cfRule>
  </conditionalFormatting>
  <conditionalFormatting sqref="U44">
    <cfRule type="expression" priority="137" stopIfTrue="1">
      <formula>IF(T44="",1,0)</formula>
    </cfRule>
    <cfRule type="expression" dxfId="1393" priority="139">
      <formula>IF(T42=T44,1,0)</formula>
    </cfRule>
  </conditionalFormatting>
  <conditionalFormatting sqref="U49:U50">
    <cfRule type="expression" priority="134" stopIfTrue="1">
      <formula>IF(T49="",1)</formula>
    </cfRule>
    <cfRule type="expression" dxfId="1392" priority="136">
      <formula>IF(T49=T51,1,0)</formula>
    </cfRule>
  </conditionalFormatting>
  <conditionalFormatting sqref="U51">
    <cfRule type="expression" priority="133" stopIfTrue="1">
      <formula>IF(T51="",1,0)</formula>
    </cfRule>
    <cfRule type="expression" dxfId="1391" priority="135">
      <formula>IF(T49=T51,1,0)</formula>
    </cfRule>
  </conditionalFormatting>
  <conditionalFormatting sqref="U56:U57">
    <cfRule type="expression" priority="130" stopIfTrue="1">
      <formula>IF(T56="",1)</formula>
    </cfRule>
    <cfRule type="expression" dxfId="1390" priority="132">
      <formula>IF(T56=T58,1,0)</formula>
    </cfRule>
  </conditionalFormatting>
  <conditionalFormatting sqref="U58">
    <cfRule type="expression" priority="129" stopIfTrue="1">
      <formula>IF(T58="",1,0)</formula>
    </cfRule>
    <cfRule type="expression" dxfId="1389" priority="131">
      <formula>IF(T56=T58,1,0)</formula>
    </cfRule>
  </conditionalFormatting>
  <conditionalFormatting sqref="AA35:AA36">
    <cfRule type="expression" priority="126" stopIfTrue="1">
      <formula>IF(Z35="",1)</formula>
    </cfRule>
    <cfRule type="expression" dxfId="1388" priority="128">
      <formula>IF(Z35=Z37,1,0)</formula>
    </cfRule>
  </conditionalFormatting>
  <conditionalFormatting sqref="AA37">
    <cfRule type="expression" priority="125" stopIfTrue="1">
      <formula>IF(Z37="",1,0)</formula>
    </cfRule>
    <cfRule type="expression" dxfId="1387" priority="127">
      <formula>IF(Z35=Z37,1,0)</formula>
    </cfRule>
  </conditionalFormatting>
  <conditionalFormatting sqref="AA42:AA43">
    <cfRule type="expression" priority="122" stopIfTrue="1">
      <formula>IF(Z42="",1)</formula>
    </cfRule>
    <cfRule type="expression" dxfId="1386" priority="124">
      <formula>IF(Z42=Z44,1,0)</formula>
    </cfRule>
  </conditionalFormatting>
  <conditionalFormatting sqref="AA44">
    <cfRule type="expression" priority="121" stopIfTrue="1">
      <formula>IF(Z44="",1,0)</formula>
    </cfRule>
    <cfRule type="expression" dxfId="1385" priority="123">
      <formula>IF(Z42=Z44,1,0)</formula>
    </cfRule>
  </conditionalFormatting>
  <conditionalFormatting sqref="AA49:AA50">
    <cfRule type="expression" priority="118" stopIfTrue="1">
      <formula>IF(Z49="",1)</formula>
    </cfRule>
    <cfRule type="expression" dxfId="1384" priority="120">
      <formula>IF(Z49=Z51,1,0)</formula>
    </cfRule>
  </conditionalFormatting>
  <conditionalFormatting sqref="AA51">
    <cfRule type="expression" priority="117" stopIfTrue="1">
      <formula>IF(Z51="",1,0)</formula>
    </cfRule>
    <cfRule type="expression" dxfId="1383" priority="119">
      <formula>IF(Z49=Z51,1,0)</formula>
    </cfRule>
  </conditionalFormatting>
  <conditionalFormatting sqref="AA56:AA57">
    <cfRule type="expression" priority="114" stopIfTrue="1">
      <formula>IF(Z56="",1)</formula>
    </cfRule>
    <cfRule type="expression" dxfId="1382" priority="116">
      <formula>IF(Z56=Z58,1,0)</formula>
    </cfRule>
  </conditionalFormatting>
  <conditionalFormatting sqref="AA58">
    <cfRule type="expression" priority="113" stopIfTrue="1">
      <formula>IF(Z58="",1,0)</formula>
    </cfRule>
    <cfRule type="expression" dxfId="1381" priority="115">
      <formula>IF(Z56=Z58,1,0)</formula>
    </cfRule>
  </conditionalFormatting>
  <conditionalFormatting sqref="M42">
    <cfRule type="expression" dxfId="1380" priority="112">
      <formula>IF(N42+O42&gt;N44+O44,1,0)</formula>
    </cfRule>
  </conditionalFormatting>
  <conditionalFormatting sqref="M44">
    <cfRule type="expression" dxfId="1379" priority="111">
      <formula>IF(N44+O44&gt;N46+O46,1,0)</formula>
    </cfRule>
  </conditionalFormatting>
  <conditionalFormatting sqref="M49">
    <cfRule type="expression" dxfId="1378" priority="110">
      <formula>IF(N49+O49&gt;N51+O51,1,0)</formula>
    </cfRule>
  </conditionalFormatting>
  <conditionalFormatting sqref="M51">
    <cfRule type="expression" dxfId="1377" priority="109">
      <formula>IF(N51+O51&gt;N53+O53,1,0)</formula>
    </cfRule>
  </conditionalFormatting>
  <conditionalFormatting sqref="M56">
    <cfRule type="expression" dxfId="1376" priority="108">
      <formula>IF(N56+O56&gt;N58+O58,1,0)</formula>
    </cfRule>
  </conditionalFormatting>
  <conditionalFormatting sqref="M58">
    <cfRule type="expression" dxfId="1375" priority="107">
      <formula>IF(N58+O58&gt;N60+O60,1,0)</formula>
    </cfRule>
  </conditionalFormatting>
  <conditionalFormatting sqref="Y7">
    <cfRule type="expression" dxfId="1374" priority="104">
      <formula>IF(Z7+AA7&gt;Z9+AA9,1,0)</formula>
    </cfRule>
  </conditionalFormatting>
  <conditionalFormatting sqref="Y9">
    <cfRule type="expression" dxfId="1373" priority="103">
      <formula>IF(Z7+AA7&lt;Z9+AA9,1,0)</formula>
    </cfRule>
  </conditionalFormatting>
  <conditionalFormatting sqref="Y14">
    <cfRule type="expression" dxfId="1372" priority="102">
      <formula>IF(Z14+AA14&gt;Z16+AA16,1,0)</formula>
    </cfRule>
  </conditionalFormatting>
  <conditionalFormatting sqref="Y16">
    <cfRule type="expression" dxfId="1371" priority="101">
      <formula>IF(Z14+AA14&lt;Z16+AA16,1,0)</formula>
    </cfRule>
  </conditionalFormatting>
  <conditionalFormatting sqref="Y21">
    <cfRule type="expression" dxfId="1370" priority="100">
      <formula>IF(Z21+AA21&gt;Z23+AA23,1,0)</formula>
    </cfRule>
  </conditionalFormatting>
  <conditionalFormatting sqref="Y23">
    <cfRule type="expression" dxfId="1369" priority="99">
      <formula>IF(Z21+AA21&lt;Z23+AA23,1,0)</formula>
    </cfRule>
  </conditionalFormatting>
  <conditionalFormatting sqref="Y28">
    <cfRule type="expression" dxfId="1368" priority="98">
      <formula>IF(Z28+AA28&gt;Z30+AA30,1,0)</formula>
    </cfRule>
  </conditionalFormatting>
  <conditionalFormatting sqref="Y30">
    <cfRule type="expression" dxfId="1367" priority="97">
      <formula>IF(Z28+AA28&lt;Z30+AA30,1,0)</formula>
    </cfRule>
  </conditionalFormatting>
  <conditionalFormatting sqref="Y35">
    <cfRule type="expression" dxfId="1366" priority="96">
      <formula>IF(Z35+AA35&gt;Z37+AA37,1,0)</formula>
    </cfRule>
  </conditionalFormatting>
  <conditionalFormatting sqref="Y37">
    <cfRule type="expression" dxfId="1365" priority="95">
      <formula>IF(Z35+AA35&lt;Z37+AA37,1,0)</formula>
    </cfRule>
  </conditionalFormatting>
  <conditionalFormatting sqref="Y42">
    <cfRule type="expression" dxfId="1364" priority="94">
      <formula>IF(Z42+AA42&gt;Z44+AA44,1,0)</formula>
    </cfRule>
  </conditionalFormatting>
  <conditionalFormatting sqref="Y44">
    <cfRule type="expression" dxfId="1363" priority="93">
      <formula>IF(Z42+AA42&lt;Z44+AA44,1,0)</formula>
    </cfRule>
  </conditionalFormatting>
  <conditionalFormatting sqref="Y49">
    <cfRule type="expression" dxfId="1362" priority="92">
      <formula>IF(Z49+AA49&gt;Z51+AA51,1,0)</formula>
    </cfRule>
  </conditionalFormatting>
  <conditionalFormatting sqref="Y51">
    <cfRule type="expression" dxfId="1361" priority="91">
      <formula>IF(Z49+AA49&lt;Z51+AA51,1,0)</formula>
    </cfRule>
  </conditionalFormatting>
  <conditionalFormatting sqref="Y56">
    <cfRule type="expression" dxfId="1360" priority="90">
      <formula>IF(Z56+AA56&gt;Z58+AA58,1,0)</formula>
    </cfRule>
  </conditionalFormatting>
  <conditionalFormatting sqref="Y58">
    <cfRule type="expression" dxfId="1359" priority="89">
      <formula>IF(Z56+AA56&lt;Z58+AA58,1,0)</formula>
    </cfRule>
  </conditionalFormatting>
  <conditionalFormatting sqref="S56">
    <cfRule type="expression" dxfId="1358" priority="88">
      <formula>IF(T56+U56&gt;T58+U58,1,0)</formula>
    </cfRule>
  </conditionalFormatting>
  <conditionalFormatting sqref="S58">
    <cfRule type="expression" dxfId="1357" priority="87">
      <formula>IF(T56+U56&lt;T58+U58,1,0)</formula>
    </cfRule>
  </conditionalFormatting>
  <conditionalFormatting sqref="S49">
    <cfRule type="expression" dxfId="1356" priority="86">
      <formula>IF(T49+U49&gt;T51+U51,1,0)</formula>
    </cfRule>
  </conditionalFormatting>
  <conditionalFormatting sqref="S51">
    <cfRule type="expression" dxfId="1355" priority="85">
      <formula>IF(T49+U49&lt;T51+U51,1,0)</formula>
    </cfRule>
  </conditionalFormatting>
  <conditionalFormatting sqref="S42">
    <cfRule type="expression" dxfId="1354" priority="84">
      <formula>IF(T42+U42&gt;T44+U44,1,0)</formula>
    </cfRule>
  </conditionalFormatting>
  <conditionalFormatting sqref="S44">
    <cfRule type="expression" dxfId="1353" priority="83">
      <formula>IF(T42+U42&lt;T44+U44,1,0)</formula>
    </cfRule>
  </conditionalFormatting>
  <conditionalFormatting sqref="S35">
    <cfRule type="expression" dxfId="1352" priority="82">
      <formula>IF(T35+U35&gt;T37+U37,1,0)</formula>
    </cfRule>
  </conditionalFormatting>
  <conditionalFormatting sqref="S37">
    <cfRule type="expression" dxfId="1351" priority="81">
      <formula>IF(T35+U35&lt;T37+U37,1,0)</formula>
    </cfRule>
  </conditionalFormatting>
  <conditionalFormatting sqref="S28">
    <cfRule type="expression" dxfId="1350" priority="80">
      <formula>IF(T28+U28&gt;T30+U30,1,0)</formula>
    </cfRule>
  </conditionalFormatting>
  <conditionalFormatting sqref="S30">
    <cfRule type="expression" dxfId="1349" priority="79">
      <formula>IF(T28+U28&lt;T30+U30,1,0)</formula>
    </cfRule>
  </conditionalFormatting>
  <conditionalFormatting sqref="M35">
    <cfRule type="expression" dxfId="1348" priority="6">
      <formula>IF(N35+O35&gt;N37+O37,1,0)</formula>
    </cfRule>
  </conditionalFormatting>
  <conditionalFormatting sqref="M37">
    <cfRule type="expression" dxfId="1347" priority="5">
      <formula>IF(N37+O37&gt;N39+O39,1,0)</formula>
    </cfRule>
  </conditionalFormatting>
  <pageMargins left="0.25" right="0.25" top="0.75" bottom="0.75" header="0.3" footer="0.3"/>
  <pageSetup paperSize="9" scale="20" fitToHeight="0"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Feuil60">
    <tabColor rgb="FF00B0F0"/>
    <pageSetUpPr fitToPage="1"/>
  </sheetPr>
  <dimension ref="A1:AY148"/>
  <sheetViews>
    <sheetView topLeftCell="K1" zoomScale="80" zoomScaleNormal="80" workbookViewId="0">
      <selection activeCell="K65" sqref="K1:AA65"/>
    </sheetView>
  </sheetViews>
  <sheetFormatPr baseColWidth="10" defaultColWidth="10.85546875" defaultRowHeight="12.75" x14ac:dyDescent="0.2"/>
  <cols>
    <col min="1" max="1" width="3.7109375" style="435" hidden="1" customWidth="1"/>
    <col min="2" max="4" width="16.140625" style="435" hidden="1" customWidth="1"/>
    <col min="5" max="10" width="11.28515625" style="435" hidden="1" customWidth="1"/>
    <col min="11" max="11" width="7.7109375" style="441" bestFit="1" customWidth="1"/>
    <col min="12" max="12" width="6.42578125" style="435" bestFit="1" customWidth="1"/>
    <col min="13" max="13" width="36.5703125" style="435" customWidth="1"/>
    <col min="14" max="14" width="10.85546875" style="442"/>
    <col min="15" max="15" width="4.7109375" style="441" bestFit="1" customWidth="1"/>
    <col min="16" max="16" width="15.7109375" style="441" customWidth="1"/>
    <col min="17" max="17" width="7.7109375" style="441" bestFit="1" customWidth="1"/>
    <col min="18" max="18" width="6.42578125" style="441" bestFit="1" customWidth="1"/>
    <col min="19" max="19" width="36.5703125" style="441" customWidth="1"/>
    <col min="20" max="20" width="10.85546875" style="442"/>
    <col min="21" max="21" width="4.85546875" style="441" bestFit="1" customWidth="1"/>
    <col min="22" max="22" width="15.85546875" style="441" customWidth="1"/>
    <col min="23" max="23" width="7.7109375" style="441" bestFit="1" customWidth="1"/>
    <col min="24" max="24" width="5.7109375" style="435" bestFit="1" customWidth="1"/>
    <col min="25" max="25" width="36.5703125" style="435" customWidth="1"/>
    <col min="26" max="26" width="10.85546875" style="442"/>
    <col min="27" max="27" width="4.85546875" style="441" bestFit="1" customWidth="1"/>
    <col min="28" max="28" width="6.5703125" style="435" customWidth="1"/>
    <col min="29" max="31" width="3.28515625" style="435" customWidth="1"/>
    <col min="32" max="32" width="10.85546875" style="435"/>
    <col min="33" max="33" width="6.5703125" style="435" customWidth="1"/>
    <col min="34" max="36" width="36.85546875" style="435" customWidth="1"/>
    <col min="37" max="42" width="10.85546875" style="435"/>
    <col min="43" max="43" width="1.7109375" style="435" bestFit="1" customWidth="1"/>
    <col min="44" max="46" width="10.85546875" style="435"/>
    <col min="47" max="47" width="1.7109375" style="435" bestFit="1" customWidth="1"/>
    <col min="48" max="50" width="10.85546875" style="435"/>
    <col min="51" max="51" width="1.7109375" style="435" bestFit="1" customWidth="1"/>
    <col min="52" max="16384" width="10.85546875" style="435"/>
  </cols>
  <sheetData>
    <row r="1" spans="1:51" ht="55.5" customHeight="1" x14ac:dyDescent="0.2">
      <c r="B1" s="436"/>
      <c r="C1" s="436"/>
      <c r="D1" s="436"/>
      <c r="I1" s="437"/>
      <c r="J1" s="437"/>
      <c r="K1" s="988" t="str">
        <f>Championnat</f>
        <v>Championnat de France de Tir à l'ARC</v>
      </c>
      <c r="L1" s="988"/>
      <c r="M1" s="988"/>
      <c r="N1" s="988"/>
      <c r="O1" s="988"/>
      <c r="P1" s="988"/>
      <c r="Q1" s="988"/>
      <c r="R1" s="988"/>
      <c r="S1" s="988"/>
      <c r="T1" s="988"/>
      <c r="U1" s="988"/>
      <c r="V1" s="988"/>
      <c r="W1" s="988"/>
      <c r="X1" s="988"/>
      <c r="Y1" s="988"/>
      <c r="Z1" s="988"/>
      <c r="AA1" s="988"/>
      <c r="AB1" s="439"/>
      <c r="AC1" s="439"/>
      <c r="AD1" s="439"/>
      <c r="AE1" s="439"/>
      <c r="AF1" s="988" t="str">
        <f>Championnat</f>
        <v>Championnat de France de Tir à l'ARC</v>
      </c>
      <c r="AG1" s="988"/>
      <c r="AH1" s="988"/>
      <c r="AI1" s="988"/>
      <c r="AJ1" s="988"/>
      <c r="AK1" s="491"/>
      <c r="AL1" s="491"/>
      <c r="AM1" s="491"/>
      <c r="AN1" s="491"/>
      <c r="AO1" s="491"/>
      <c r="AP1" s="491"/>
      <c r="AQ1" s="491"/>
      <c r="AR1" s="491"/>
      <c r="AS1" s="491"/>
      <c r="AT1" s="491"/>
      <c r="AU1" s="491"/>
      <c r="AV1" s="491"/>
      <c r="AW1" s="491"/>
      <c r="AY1" s="491"/>
    </row>
    <row r="2" spans="1:51" ht="61.5" customHeight="1" x14ac:dyDescent="0.2">
      <c r="A2" s="437"/>
      <c r="I2" s="437"/>
      <c r="J2" s="437"/>
      <c r="K2" s="989" t="str">
        <f>CATEG_IMPORTEE</f>
        <v>Collèges Mixtes Etablissement</v>
      </c>
      <c r="L2" s="989"/>
      <c r="M2" s="989"/>
      <c r="N2" s="989"/>
      <c r="O2" s="989"/>
      <c r="P2" s="989"/>
      <c r="Q2" s="989"/>
      <c r="R2" s="989"/>
      <c r="S2" s="989"/>
      <c r="T2" s="989"/>
      <c r="U2" s="989"/>
      <c r="V2" s="989"/>
      <c r="W2" s="989"/>
      <c r="X2" s="989"/>
      <c r="Y2" s="989"/>
      <c r="Z2" s="989"/>
      <c r="AA2" s="438"/>
      <c r="AB2" s="439"/>
      <c r="AC2" s="439"/>
      <c r="AD2" s="439"/>
      <c r="AE2" s="439"/>
      <c r="AF2" s="990" t="str">
        <f>CATEG_IMPORTEE</f>
        <v>Collèges Mixtes Etablissement</v>
      </c>
      <c r="AG2" s="990"/>
      <c r="AH2" s="990"/>
      <c r="AI2" s="990"/>
      <c r="AJ2" s="990"/>
      <c r="AK2" s="492"/>
      <c r="AL2" s="492"/>
      <c r="AM2" s="492"/>
      <c r="AN2" s="492"/>
      <c r="AO2" s="492"/>
      <c r="AP2" s="492"/>
      <c r="AQ2" s="492"/>
      <c r="AR2" s="492"/>
      <c r="AS2" s="492"/>
      <c r="AT2" s="492"/>
      <c r="AU2" s="492"/>
      <c r="AV2" s="492"/>
      <c r="AW2" s="492"/>
      <c r="AY2" s="492"/>
    </row>
    <row r="3" spans="1:51" ht="42" customHeight="1" x14ac:dyDescent="0.2">
      <c r="B3" s="440" t="s">
        <v>774</v>
      </c>
      <c r="I3" s="437"/>
      <c r="J3" s="437"/>
      <c r="N3" s="991" t="str">
        <f>LIEU&amp;" du "&amp;DATE</f>
        <v>L’Isle sur la Sorgue du 27 au 31 mars 2023</v>
      </c>
      <c r="O3" s="991"/>
      <c r="P3" s="991"/>
      <c r="Q3" s="991"/>
      <c r="R3" s="991"/>
      <c r="S3" s="991"/>
      <c r="T3" s="991"/>
      <c r="U3" s="991"/>
      <c r="V3" s="991"/>
      <c r="W3" s="991"/>
      <c r="X3" s="991"/>
      <c r="AF3" s="991" t="str">
        <f>LIEU&amp;" du "&amp;DATE</f>
        <v>L’Isle sur la Sorgue du 27 au 31 mars 2023</v>
      </c>
      <c r="AG3" s="991"/>
      <c r="AH3" s="991"/>
      <c r="AI3" s="991"/>
      <c r="AJ3" s="991"/>
      <c r="AK3" s="493"/>
      <c r="AL3" s="493"/>
      <c r="AM3" s="493"/>
      <c r="AN3" s="493"/>
      <c r="AO3" s="493"/>
      <c r="AP3" s="493"/>
      <c r="AQ3" s="493"/>
      <c r="AR3" s="493"/>
      <c r="AS3" s="493"/>
      <c r="AT3" s="493"/>
      <c r="AU3" s="493"/>
      <c r="AW3" s="442"/>
      <c r="AY3" s="493"/>
    </row>
    <row r="4" spans="1:51" ht="21" customHeight="1" x14ac:dyDescent="0.2">
      <c r="B4" s="440" t="s">
        <v>775</v>
      </c>
      <c r="C4" s="462" t="s">
        <v>375</v>
      </c>
      <c r="D4" s="462" t="s">
        <v>374</v>
      </c>
      <c r="E4" s="440" t="s">
        <v>776</v>
      </c>
      <c r="F4" s="487" t="s">
        <v>838</v>
      </c>
      <c r="G4" s="488" t="s">
        <v>837</v>
      </c>
      <c r="H4" s="898"/>
      <c r="I4" s="437"/>
      <c r="J4" s="437"/>
      <c r="K4" s="979" t="s">
        <v>815</v>
      </c>
      <c r="L4" s="979"/>
      <c r="M4" s="979"/>
      <c r="N4" s="979"/>
      <c r="O4" s="443"/>
      <c r="P4" s="443"/>
      <c r="Q4" s="979" t="s">
        <v>816</v>
      </c>
      <c r="R4" s="979"/>
      <c r="S4" s="979"/>
      <c r="T4" s="979"/>
      <c r="U4" s="443"/>
      <c r="V4" s="443"/>
      <c r="W4" s="979" t="s">
        <v>817</v>
      </c>
      <c r="X4" s="979"/>
      <c r="Y4" s="979"/>
      <c r="Z4" s="979"/>
      <c r="AA4" s="443"/>
      <c r="AH4" s="980" t="s">
        <v>778</v>
      </c>
      <c r="AI4" s="980"/>
      <c r="AJ4" s="980"/>
      <c r="AN4" s="497" t="s">
        <v>848</v>
      </c>
    </row>
    <row r="5" spans="1:51" ht="15.95" customHeight="1" thickBot="1" x14ac:dyDescent="0.25">
      <c r="A5" s="435">
        <v>1</v>
      </c>
      <c r="B5" s="444" t="str">
        <f ca="1">INDIRECT("'Imp. Qualif.'!L"&amp;INDIRECT("f"&amp;ROW()))</f>
        <v/>
      </c>
      <c r="C5" s="444" t="str">
        <f ca="1">INDIRECT("'Imp. Qualif.'!M"&amp;INDIRECT("f"&amp;ROW()))</f>
        <v/>
      </c>
      <c r="D5" s="444" t="str">
        <f ca="1">INDIRECT("'Imp. Qualif.'!N"&amp;INDIRECT("f"&amp;ROW()))</f>
        <v/>
      </c>
      <c r="E5" s="486">
        <f ca="1">INDIRECT("'Imp. Qualif.'!O"&amp;INDIRECT("f"&amp;ROW()))</f>
        <v>0</v>
      </c>
      <c r="F5" s="489">
        <v>11</v>
      </c>
      <c r="G5" s="488" t="str">
        <f ca="1">B5&amp;C5</f>
        <v/>
      </c>
      <c r="H5" s="898" t="str">
        <f ca="1">IF(B5&lt;&gt;"",B5,"")</f>
        <v/>
      </c>
      <c r="I5" s="898" t="str">
        <f t="shared" ref="I5:J20" ca="1" si="0">IF(C5&lt;&gt;"",C5,"")</f>
        <v/>
      </c>
      <c r="J5" s="898" t="str">
        <f t="shared" ca="1" si="0"/>
        <v/>
      </c>
      <c r="L5" s="979" t="s">
        <v>836</v>
      </c>
      <c r="M5" s="1247"/>
      <c r="N5" s="1247"/>
      <c r="O5" s="443"/>
      <c r="P5" s="443"/>
      <c r="R5" s="979" t="s">
        <v>818</v>
      </c>
      <c r="S5" s="1247"/>
      <c r="T5" s="1247"/>
      <c r="U5" s="443"/>
      <c r="V5" s="443"/>
      <c r="W5" s="445"/>
      <c r="X5" s="979" t="s">
        <v>777</v>
      </c>
      <c r="Y5" s="1247"/>
      <c r="Z5" s="1247"/>
      <c r="AA5" s="443"/>
      <c r="AH5" s="981"/>
      <c r="AI5" s="981"/>
      <c r="AJ5" s="981"/>
      <c r="AN5" s="494" t="s">
        <v>839</v>
      </c>
      <c r="AO5" s="494" t="s">
        <v>840</v>
      </c>
      <c r="AP5" s="494" t="s">
        <v>841</v>
      </c>
      <c r="AQ5" s="496" t="s">
        <v>793</v>
      </c>
      <c r="AR5" s="494" t="s">
        <v>842</v>
      </c>
      <c r="AS5" s="494" t="s">
        <v>843</v>
      </c>
      <c r="AT5" s="494" t="s">
        <v>844</v>
      </c>
      <c r="AU5" s="496" t="s">
        <v>793</v>
      </c>
      <c r="AV5" s="494" t="s">
        <v>845</v>
      </c>
      <c r="AW5" s="494" t="s">
        <v>846</v>
      </c>
      <c r="AX5" s="494" t="s">
        <v>847</v>
      </c>
      <c r="AY5" s="496" t="s">
        <v>793</v>
      </c>
    </row>
    <row r="6" spans="1:51" ht="15.95" customHeight="1" thickBot="1" x14ac:dyDescent="0.25">
      <c r="A6" s="435">
        <v>2</v>
      </c>
      <c r="B6" s="444" t="str">
        <f t="shared" ref="B6:B21" ca="1" si="1">INDIRECT("'Imp. Qualif.'!L"&amp;INDIRECT("f"&amp;ROW()))</f>
        <v/>
      </c>
      <c r="C6" s="444" t="str">
        <f t="shared" ref="C6:C21" ca="1" si="2">INDIRECT("'Imp. Qualif.'!M"&amp;INDIRECT("f"&amp;ROW()))</f>
        <v/>
      </c>
      <c r="D6" s="444" t="str">
        <f t="shared" ref="D6:D21" ca="1" si="3">INDIRECT("'Imp. Qualif.'!N"&amp;INDIRECT("f"&amp;ROW()))</f>
        <v/>
      </c>
      <c r="E6" s="486">
        <f t="shared" ref="E6:E21" ca="1" si="4">INDIRECT("'Imp. Qualif.'!O"&amp;INDIRECT("f"&amp;ROW()))</f>
        <v>0</v>
      </c>
      <c r="F6" s="489">
        <v>12</v>
      </c>
      <c r="G6" s="488" t="str">
        <f t="shared" ref="G6:G28" ca="1" si="5">B6&amp;C6</f>
        <v/>
      </c>
      <c r="H6" s="898" t="str">
        <f t="shared" ref="H6:J28" ca="1" si="6">IF(B6&lt;&gt;"",B6,"")</f>
        <v/>
      </c>
      <c r="I6" s="898" t="str">
        <f t="shared" ca="1" si="0"/>
        <v/>
      </c>
      <c r="J6" s="898" t="str">
        <f t="shared" ca="1" si="0"/>
        <v/>
      </c>
      <c r="K6" s="445" t="s">
        <v>779</v>
      </c>
      <c r="L6" s="779" t="s">
        <v>1083</v>
      </c>
      <c r="M6" s="456" t="s">
        <v>481</v>
      </c>
      <c r="N6" s="464" t="s">
        <v>780</v>
      </c>
      <c r="O6" s="446" t="s">
        <v>781</v>
      </c>
      <c r="P6" s="445"/>
      <c r="Q6" s="445" t="s">
        <v>779</v>
      </c>
      <c r="R6" s="779" t="s">
        <v>1083</v>
      </c>
      <c r="S6" s="456" t="s">
        <v>481</v>
      </c>
      <c r="T6" s="464" t="s">
        <v>780</v>
      </c>
      <c r="U6" s="446" t="s">
        <v>781</v>
      </c>
      <c r="V6" s="445"/>
      <c r="W6" s="445" t="s">
        <v>779</v>
      </c>
      <c r="X6" s="779" t="s">
        <v>1083</v>
      </c>
      <c r="Y6" s="456" t="s">
        <v>481</v>
      </c>
      <c r="Z6" s="464" t="s">
        <v>780</v>
      </c>
      <c r="AA6" s="446" t="s">
        <v>781</v>
      </c>
      <c r="AH6" s="483" t="s">
        <v>782</v>
      </c>
      <c r="AI6" s="484" t="s">
        <v>375</v>
      </c>
      <c r="AJ6" s="485" t="s">
        <v>783</v>
      </c>
      <c r="AN6" s="494">
        <f>K7</f>
        <v>1</v>
      </c>
      <c r="AO6" s="495" t="str">
        <f ca="1">L8</f>
        <v/>
      </c>
      <c r="AP6" s="495" t="str">
        <f ca="1">AO7</f>
        <v/>
      </c>
      <c r="AQ6" s="496" t="s">
        <v>793</v>
      </c>
      <c r="AR6" s="494">
        <f>Q7</f>
        <v>1</v>
      </c>
      <c r="AS6" s="495" t="str">
        <f>R8</f>
        <v/>
      </c>
      <c r="AT6" s="495" t="str">
        <f>AS7</f>
        <v/>
      </c>
      <c r="AU6" s="496" t="s">
        <v>793</v>
      </c>
      <c r="AV6" s="494">
        <f>W7</f>
        <v>1</v>
      </c>
      <c r="AW6" s="495" t="str">
        <f>X8</f>
        <v/>
      </c>
      <c r="AX6" s="495" t="str">
        <f>AW7</f>
        <v/>
      </c>
      <c r="AY6" s="496" t="s">
        <v>793</v>
      </c>
    </row>
    <row r="7" spans="1:51" ht="15.95" customHeight="1" thickBot="1" x14ac:dyDescent="0.25">
      <c r="A7" s="435">
        <v>3</v>
      </c>
      <c r="B7" s="444" t="str">
        <f t="shared" ca="1" si="1"/>
        <v/>
      </c>
      <c r="C7" s="444" t="str">
        <f t="shared" ca="1" si="2"/>
        <v/>
      </c>
      <c r="D7" s="444" t="str">
        <f t="shared" ca="1" si="3"/>
        <v/>
      </c>
      <c r="E7" s="486">
        <f t="shared" ca="1" si="4"/>
        <v>0</v>
      </c>
      <c r="F7" s="489">
        <v>13</v>
      </c>
      <c r="G7" s="488" t="str">
        <f t="shared" ca="1" si="5"/>
        <v/>
      </c>
      <c r="H7" s="898" t="str">
        <f t="shared" ca="1" si="6"/>
        <v/>
      </c>
      <c r="I7" s="898" t="str">
        <f t="shared" ca="1" si="0"/>
        <v/>
      </c>
      <c r="J7" s="898" t="str">
        <f t="shared" ca="1" si="0"/>
        <v/>
      </c>
      <c r="K7" s="447">
        <f>Num_Cible</f>
        <v>1</v>
      </c>
      <c r="L7" s="472">
        <v>1</v>
      </c>
      <c r="M7" s="465" t="str">
        <f ca="1">IFERROR(VLOOKUP(L8,$G$5:$J$28,2,FALSE),"")</f>
        <v/>
      </c>
      <c r="N7" s="966"/>
      <c r="O7" s="780"/>
      <c r="Q7" s="447">
        <f>K7</f>
        <v>1</v>
      </c>
      <c r="R7" s="472">
        <v>1</v>
      </c>
      <c r="S7" s="465" t="str">
        <f ca="1">IFERROR(VLOOKUP(R8,$G$5:$J$28,2,FALSE),"")</f>
        <v/>
      </c>
      <c r="T7" s="966"/>
      <c r="U7" s="780"/>
      <c r="W7" s="447">
        <f>Q7</f>
        <v>1</v>
      </c>
      <c r="X7" s="472">
        <v>1</v>
      </c>
      <c r="Y7" s="465" t="str">
        <f ca="1">IFERROR(VLOOKUP(X8,$G$5:$J$28,2,FALSE),"")</f>
        <v/>
      </c>
      <c r="Z7" s="966"/>
      <c r="AA7" s="780"/>
      <c r="AF7" s="448" t="s">
        <v>784</v>
      </c>
      <c r="AG7" s="435" t="str">
        <f>IF(ISBLANK(Z7),"",IF(Z7+AA7&gt;Z9+AA9,X8,X10))</f>
        <v/>
      </c>
      <c r="AH7" s="475" t="str">
        <f t="shared" ref="AH7:AH23" ca="1" si="7">IFERROR(VLOOKUP(AG7,$G$5:$J$28,2,FALSE),"")</f>
        <v/>
      </c>
      <c r="AI7" s="476" t="str">
        <f t="shared" ref="AI7:AI23" ca="1" si="8">IFERROR(VLOOKUP(AG7,$G$5:$J$28,3,FALSE),"")</f>
        <v/>
      </c>
      <c r="AJ7" s="477" t="str">
        <f t="shared" ref="AJ7:AJ23" ca="1" si="9">IFERROR(VLOOKUP(AG7,$G$5:$J$28,4,FALSE),"")</f>
        <v/>
      </c>
      <c r="AN7" s="494">
        <f>K9</f>
        <v>2</v>
      </c>
      <c r="AO7" s="495" t="str">
        <f ca="1">L10</f>
        <v/>
      </c>
      <c r="AP7" s="495" t="str">
        <f ca="1">AO6</f>
        <v/>
      </c>
      <c r="AQ7" s="496" t="s">
        <v>793</v>
      </c>
      <c r="AR7" s="494">
        <f>Q9</f>
        <v>2</v>
      </c>
      <c r="AS7" s="495" t="str">
        <f>R10</f>
        <v/>
      </c>
      <c r="AT7" s="495" t="str">
        <f>AS6</f>
        <v/>
      </c>
      <c r="AU7" s="496" t="s">
        <v>793</v>
      </c>
      <c r="AV7" s="494">
        <f>W9</f>
        <v>2</v>
      </c>
      <c r="AW7" s="495" t="str">
        <f>X10</f>
        <v/>
      </c>
      <c r="AX7" s="495" t="str">
        <f>AW6</f>
        <v/>
      </c>
      <c r="AY7" s="496" t="s">
        <v>793</v>
      </c>
    </row>
    <row r="8" spans="1:51" ht="15.95" customHeight="1" thickBot="1" x14ac:dyDescent="0.25">
      <c r="A8" s="435">
        <v>4</v>
      </c>
      <c r="B8" s="444" t="str">
        <f t="shared" ca="1" si="1"/>
        <v/>
      </c>
      <c r="C8" s="444" t="str">
        <f t="shared" ca="1" si="2"/>
        <v/>
      </c>
      <c r="D8" s="444" t="str">
        <f t="shared" ca="1" si="3"/>
        <v/>
      </c>
      <c r="E8" s="486">
        <f t="shared" ca="1" si="4"/>
        <v>0</v>
      </c>
      <c r="F8" s="489">
        <v>14</v>
      </c>
      <c r="G8" s="488" t="str">
        <f t="shared" ca="1" si="5"/>
        <v/>
      </c>
      <c r="H8" s="898" t="str">
        <f t="shared" ca="1" si="6"/>
        <v/>
      </c>
      <c r="I8" s="898" t="str">
        <f t="shared" ca="1" si="0"/>
        <v/>
      </c>
      <c r="J8" s="898" t="str">
        <f t="shared" ca="1" si="0"/>
        <v/>
      </c>
      <c r="K8" s="447"/>
      <c r="L8" s="473" t="str">
        <f ca="1">VLOOKUP(L7,$A$5:$G$24,7,FALSE)</f>
        <v/>
      </c>
      <c r="M8" s="466" t="str">
        <f ca="1">IFERROR(VLOOKUP(L8,$G$5:$J$28,3,FALSE),"")</f>
        <v/>
      </c>
      <c r="N8" s="967"/>
      <c r="Q8" s="447"/>
      <c r="R8" s="473" t="str">
        <f>IF(ISBLANK(N7),"",IF(O7+N7&gt;N9+O9,L8,L10))</f>
        <v/>
      </c>
      <c r="S8" s="466" t="str">
        <f ca="1">IFERROR(VLOOKUP(R8,$G$5:$J$28,3,FALSE),"")</f>
        <v/>
      </c>
      <c r="T8" s="967"/>
      <c r="W8" s="447"/>
      <c r="X8" s="473" t="str">
        <f>IF(ISBLANK(T7),"",IF(U7+T7&gt;T9+U9,R8,R10))</f>
        <v/>
      </c>
      <c r="Y8" s="466" t="str">
        <f ca="1">IFERROR(VLOOKUP(X8,$G$5:$J$28,3,FALSE),"")</f>
        <v/>
      </c>
      <c r="Z8" s="967"/>
      <c r="AF8" s="449" t="s">
        <v>785</v>
      </c>
      <c r="AG8" s="435" t="str">
        <f>IF(ISBLANK(Z7),"",IF(Z7+AA7&lt;Z9+AA9,X8,X10))</f>
        <v/>
      </c>
      <c r="AH8" s="478" t="str">
        <f t="shared" ca="1" si="7"/>
        <v/>
      </c>
      <c r="AI8" s="474" t="str">
        <f t="shared" ca="1" si="8"/>
        <v/>
      </c>
      <c r="AJ8" s="479" t="str">
        <f t="shared" ca="1" si="9"/>
        <v/>
      </c>
      <c r="AN8" s="494">
        <f>K14</f>
        <v>3</v>
      </c>
      <c r="AO8" s="495" t="str">
        <f ca="1">L15</f>
        <v/>
      </c>
      <c r="AP8" s="495" t="str">
        <f t="shared" ref="AP8" ca="1" si="10">AO9</f>
        <v/>
      </c>
      <c r="AQ8" s="496" t="s">
        <v>793</v>
      </c>
      <c r="AR8" s="494">
        <f>Q14</f>
        <v>3</v>
      </c>
      <c r="AS8" s="495" t="str">
        <f>R15</f>
        <v/>
      </c>
      <c r="AT8" s="495" t="str">
        <f t="shared" ref="AT8" si="11">AS9</f>
        <v/>
      </c>
      <c r="AU8" s="496" t="s">
        <v>793</v>
      </c>
      <c r="AV8" s="494">
        <f>W14</f>
        <v>3</v>
      </c>
      <c r="AW8" s="495" t="str">
        <f>X15</f>
        <v/>
      </c>
      <c r="AX8" s="495" t="str">
        <f t="shared" ref="AX8" si="12">AW9</f>
        <v/>
      </c>
      <c r="AY8" s="496" t="s">
        <v>793</v>
      </c>
    </row>
    <row r="9" spans="1:51" ht="15.95" customHeight="1" thickBot="1" x14ac:dyDescent="0.25">
      <c r="A9" s="435">
        <v>5</v>
      </c>
      <c r="B9" s="444" t="str">
        <f t="shared" ca="1" si="1"/>
        <v/>
      </c>
      <c r="C9" s="444" t="str">
        <f t="shared" ca="1" si="2"/>
        <v/>
      </c>
      <c r="D9" s="444" t="str">
        <f t="shared" ca="1" si="3"/>
        <v/>
      </c>
      <c r="E9" s="486">
        <f t="shared" ca="1" si="4"/>
        <v>0</v>
      </c>
      <c r="F9" s="489">
        <v>15</v>
      </c>
      <c r="G9" s="488" t="str">
        <f t="shared" ca="1" si="5"/>
        <v/>
      </c>
      <c r="H9" s="898" t="str">
        <f t="shared" ca="1" si="6"/>
        <v/>
      </c>
      <c r="I9" s="898" t="str">
        <f t="shared" ca="1" si="0"/>
        <v/>
      </c>
      <c r="J9" s="898" t="str">
        <f t="shared" ca="1" si="0"/>
        <v/>
      </c>
      <c r="K9" s="447">
        <f>K7+1</f>
        <v>2</v>
      </c>
      <c r="L9" s="472">
        <v>8</v>
      </c>
      <c r="M9" s="465" t="str">
        <f ca="1">IFERROR(VLOOKUP(L10,$G$5:$J$28,2,FALSE),"")</f>
        <v/>
      </c>
      <c r="N9" s="966"/>
      <c r="O9" s="780"/>
      <c r="Q9" s="447">
        <f>Q7+1</f>
        <v>2</v>
      </c>
      <c r="R9" s="472">
        <v>4</v>
      </c>
      <c r="S9" s="465" t="str">
        <f ca="1">IFERROR(VLOOKUP(R10,$G$5:$J$28,2,FALSE),"")</f>
        <v/>
      </c>
      <c r="T9" s="966"/>
      <c r="U9" s="780"/>
      <c r="W9" s="447">
        <f>W7+1</f>
        <v>2</v>
      </c>
      <c r="X9" s="472">
        <v>2</v>
      </c>
      <c r="Y9" s="465" t="str">
        <f ca="1">IFERROR(VLOOKUP(X10,$G$5:$J$28,2,FALSE),"")</f>
        <v/>
      </c>
      <c r="Z9" s="966"/>
      <c r="AA9" s="780"/>
      <c r="AF9" s="452" t="s">
        <v>786</v>
      </c>
      <c r="AG9" s="435" t="str">
        <f>IF(ISBLANK(Z14),"",IF(Z14+AA14&gt;Z16+AA16,X15,X17))</f>
        <v/>
      </c>
      <c r="AH9" s="478" t="str">
        <f t="shared" ca="1" si="7"/>
        <v/>
      </c>
      <c r="AI9" s="474" t="str">
        <f t="shared" ca="1" si="8"/>
        <v/>
      </c>
      <c r="AJ9" s="479" t="str">
        <f t="shared" ca="1" si="9"/>
        <v/>
      </c>
      <c r="AN9" s="494">
        <f>K16</f>
        <v>4</v>
      </c>
      <c r="AO9" s="495" t="str">
        <f ca="1">L17</f>
        <v/>
      </c>
      <c r="AP9" s="495" t="str">
        <f t="shared" ref="AP9" ca="1" si="13">AO8</f>
        <v/>
      </c>
      <c r="AQ9" s="496" t="s">
        <v>793</v>
      </c>
      <c r="AR9" s="494">
        <f>Q16</f>
        <v>4</v>
      </c>
      <c r="AS9" s="495" t="str">
        <f>R17</f>
        <v/>
      </c>
      <c r="AT9" s="495" t="str">
        <f t="shared" ref="AT9" si="14">AS8</f>
        <v/>
      </c>
      <c r="AU9" s="496" t="s">
        <v>793</v>
      </c>
      <c r="AV9" s="494">
        <f>W16</f>
        <v>4</v>
      </c>
      <c r="AW9" s="495" t="str">
        <f>X17</f>
        <v/>
      </c>
      <c r="AX9" s="495" t="str">
        <f t="shared" ref="AX9" si="15">AW8</f>
        <v/>
      </c>
      <c r="AY9" s="496" t="s">
        <v>793</v>
      </c>
    </row>
    <row r="10" spans="1:51" ht="15.95" customHeight="1" thickBot="1" x14ac:dyDescent="0.25">
      <c r="A10" s="435">
        <v>6</v>
      </c>
      <c r="B10" s="444" t="str">
        <f t="shared" ca="1" si="1"/>
        <v/>
      </c>
      <c r="C10" s="444" t="str">
        <f t="shared" ca="1" si="2"/>
        <v/>
      </c>
      <c r="D10" s="444" t="str">
        <f t="shared" ca="1" si="3"/>
        <v/>
      </c>
      <c r="E10" s="486">
        <f t="shared" ca="1" si="4"/>
        <v>0</v>
      </c>
      <c r="F10" s="489">
        <v>16</v>
      </c>
      <c r="G10" s="488" t="str">
        <f t="shared" ca="1" si="5"/>
        <v/>
      </c>
      <c r="H10" s="898" t="str">
        <f t="shared" ca="1" si="6"/>
        <v/>
      </c>
      <c r="I10" s="898" t="str">
        <f t="shared" ca="1" si="0"/>
        <v/>
      </c>
      <c r="J10" s="898" t="str">
        <f t="shared" ca="1" si="0"/>
        <v/>
      </c>
      <c r="K10" s="447"/>
      <c r="L10" s="473" t="str">
        <f ca="1">VLOOKUP(L9,$A$5:$G$24,7,FALSE)</f>
        <v/>
      </c>
      <c r="M10" s="466" t="str">
        <f ca="1">IFERROR(VLOOKUP(L10,$G$5:$J$28,3,FALSE),"")</f>
        <v/>
      </c>
      <c r="N10" s="967"/>
      <c r="Q10" s="447"/>
      <c r="R10" s="473" t="str">
        <f>IF(ISBLANK(N14),"",IF(O14+N14&gt;N16+O16,L15,L17))</f>
        <v/>
      </c>
      <c r="S10" s="466" t="str">
        <f ca="1">IFERROR(VLOOKUP(R10,$G$5:$J$28,3,FALSE),"")</f>
        <v/>
      </c>
      <c r="T10" s="967"/>
      <c r="W10" s="447"/>
      <c r="X10" s="473" t="str">
        <f>IF(ISBLANK(T14),"",IF(U14+T14&gt;T16+U16,R15,R17))</f>
        <v/>
      </c>
      <c r="Y10" s="466" t="str">
        <f ca="1">IFERROR(VLOOKUP(X10,$G$5:$J$28,3,FALSE),"")</f>
        <v/>
      </c>
      <c r="Z10" s="967"/>
      <c r="AF10" s="453" t="s">
        <v>788</v>
      </c>
      <c r="AG10" s="435" t="str">
        <f>IF(ISBLANK(Z14),"",IF(Z14+AA14&lt;Z16+AA16,X15,X17))</f>
        <v/>
      </c>
      <c r="AH10" s="478" t="str">
        <f t="shared" ca="1" si="7"/>
        <v/>
      </c>
      <c r="AI10" s="474" t="str">
        <f t="shared" ca="1" si="8"/>
        <v/>
      </c>
      <c r="AJ10" s="479" t="str">
        <f t="shared" ca="1" si="9"/>
        <v/>
      </c>
      <c r="AN10" s="494">
        <f>K21</f>
        <v>5</v>
      </c>
      <c r="AO10" s="495" t="str">
        <f ca="1">L22</f>
        <v/>
      </c>
      <c r="AP10" s="495" t="str">
        <f t="shared" ref="AP10" ca="1" si="16">AO11</f>
        <v/>
      </c>
      <c r="AQ10" s="496" t="s">
        <v>793</v>
      </c>
      <c r="AR10" s="494">
        <f>Q21</f>
        <v>5</v>
      </c>
      <c r="AS10" s="495" t="str">
        <f>R22</f>
        <v/>
      </c>
      <c r="AT10" s="495" t="str">
        <f t="shared" ref="AT10" si="17">AS11</f>
        <v/>
      </c>
      <c r="AU10" s="496" t="s">
        <v>793</v>
      </c>
      <c r="AV10" s="494">
        <f>W21</f>
        <v>5</v>
      </c>
      <c r="AW10" s="495" t="str">
        <f>X22</f>
        <v/>
      </c>
      <c r="AX10" s="495" t="str">
        <f t="shared" ref="AX10" si="18">AW11</f>
        <v/>
      </c>
      <c r="AY10" s="496" t="s">
        <v>793</v>
      </c>
    </row>
    <row r="11" spans="1:51" ht="15.95" customHeight="1" x14ac:dyDescent="0.2">
      <c r="A11" s="435">
        <v>7</v>
      </c>
      <c r="B11" s="444" t="str">
        <f t="shared" ca="1" si="1"/>
        <v/>
      </c>
      <c r="C11" s="444" t="str">
        <f t="shared" ca="1" si="2"/>
        <v/>
      </c>
      <c r="D11" s="444" t="str">
        <f t="shared" ca="1" si="3"/>
        <v/>
      </c>
      <c r="E11" s="486">
        <f t="shared" ca="1" si="4"/>
        <v>0</v>
      </c>
      <c r="F11" s="489">
        <v>17</v>
      </c>
      <c r="G11" s="488" t="str">
        <f t="shared" ca="1" si="5"/>
        <v/>
      </c>
      <c r="H11" s="898" t="str">
        <f t="shared" ca="1" si="6"/>
        <v/>
      </c>
      <c r="I11" s="898" t="str">
        <f t="shared" ca="1" si="0"/>
        <v/>
      </c>
      <c r="J11" s="898" t="str">
        <f t="shared" ca="1" si="0"/>
        <v/>
      </c>
      <c r="K11" s="450"/>
      <c r="L11" s="450"/>
      <c r="M11" s="450"/>
      <c r="N11" s="451"/>
      <c r="O11" s="450"/>
      <c r="P11" s="450"/>
      <c r="Q11" s="450"/>
      <c r="R11" s="437"/>
      <c r="S11" s="437"/>
      <c r="T11" s="451"/>
      <c r="U11" s="450"/>
      <c r="V11" s="450"/>
      <c r="W11" s="450"/>
      <c r="X11" s="450"/>
      <c r="Y11" s="450"/>
      <c r="Z11" s="451"/>
      <c r="AA11" s="450"/>
      <c r="AF11" s="453" t="s">
        <v>789</v>
      </c>
      <c r="AG11" s="435" t="str">
        <f>IF(ISBLANK(Z21),"",IF(Z21+AA21&gt;Z23+AA23,X22,X24))</f>
        <v/>
      </c>
      <c r="AH11" s="478" t="str">
        <f t="shared" ca="1" si="7"/>
        <v/>
      </c>
      <c r="AI11" s="474" t="str">
        <f t="shared" ca="1" si="8"/>
        <v/>
      </c>
      <c r="AJ11" s="479" t="str">
        <f t="shared" ca="1" si="9"/>
        <v/>
      </c>
      <c r="AN11" s="494">
        <f>K23</f>
        <v>6</v>
      </c>
      <c r="AO11" s="495" t="str">
        <f ca="1">L24</f>
        <v/>
      </c>
      <c r="AP11" s="495" t="str">
        <f t="shared" ref="AP11" ca="1" si="19">AO10</f>
        <v/>
      </c>
      <c r="AQ11" s="496" t="s">
        <v>793</v>
      </c>
      <c r="AR11" s="494">
        <f>Q23</f>
        <v>6</v>
      </c>
      <c r="AS11" s="495" t="str">
        <f>R24</f>
        <v/>
      </c>
      <c r="AT11" s="495" t="str">
        <f t="shared" ref="AT11" si="20">AS10</f>
        <v/>
      </c>
      <c r="AU11" s="496" t="s">
        <v>793</v>
      </c>
      <c r="AV11" s="494">
        <f>W23</f>
        <v>6</v>
      </c>
      <c r="AW11" s="495" t="str">
        <f>X24</f>
        <v/>
      </c>
      <c r="AX11" s="495" t="str">
        <f t="shared" ref="AX11" si="21">AW10</f>
        <v/>
      </c>
      <c r="AY11" s="496" t="s">
        <v>793</v>
      </c>
    </row>
    <row r="12" spans="1:51" ht="15.95" customHeight="1" thickBot="1" x14ac:dyDescent="0.25">
      <c r="A12" s="435">
        <v>8</v>
      </c>
      <c r="B12" s="444" t="str">
        <f t="shared" ca="1" si="1"/>
        <v/>
      </c>
      <c r="C12" s="444" t="str">
        <f t="shared" ca="1" si="2"/>
        <v/>
      </c>
      <c r="D12" s="444" t="str">
        <f t="shared" ca="1" si="3"/>
        <v/>
      </c>
      <c r="E12" s="486">
        <f t="shared" ca="1" si="4"/>
        <v>0</v>
      </c>
      <c r="F12" s="489">
        <v>18</v>
      </c>
      <c r="G12" s="488" t="str">
        <f t="shared" ca="1" si="5"/>
        <v/>
      </c>
      <c r="H12" s="898" t="str">
        <f t="shared" ca="1" si="6"/>
        <v/>
      </c>
      <c r="I12" s="898" t="str">
        <f t="shared" ca="1" si="0"/>
        <v/>
      </c>
      <c r="J12" s="898" t="str">
        <f t="shared" ca="1" si="0"/>
        <v/>
      </c>
      <c r="K12" s="450"/>
      <c r="L12" s="450"/>
      <c r="M12" s="450"/>
      <c r="N12" s="451"/>
      <c r="O12" s="450"/>
      <c r="P12" s="450"/>
      <c r="Q12" s="450"/>
      <c r="R12" s="437"/>
      <c r="S12" s="437"/>
      <c r="T12" s="451"/>
      <c r="U12" s="450"/>
      <c r="V12" s="450"/>
      <c r="W12" s="450"/>
      <c r="X12" s="979" t="s">
        <v>787</v>
      </c>
      <c r="Y12" s="1247"/>
      <c r="Z12" s="1247"/>
      <c r="AA12" s="450"/>
      <c r="AF12" s="453" t="s">
        <v>790</v>
      </c>
      <c r="AG12" s="435" t="str">
        <f>IF(ISBLANK(Z21),"",IF(Z21+AA21&lt;Z23+AA23,X22,X24))</f>
        <v/>
      </c>
      <c r="AH12" s="478" t="str">
        <f t="shared" ca="1" si="7"/>
        <v/>
      </c>
      <c r="AI12" s="474" t="str">
        <f t="shared" ca="1" si="8"/>
        <v/>
      </c>
      <c r="AJ12" s="479" t="str">
        <f t="shared" ca="1" si="9"/>
        <v/>
      </c>
      <c r="AN12" s="494">
        <f>K28</f>
        <v>7</v>
      </c>
      <c r="AO12" s="495" t="str">
        <f ca="1">L29</f>
        <v/>
      </c>
      <c r="AP12" s="495" t="str">
        <f t="shared" ref="AP12" ca="1" si="22">AO13</f>
        <v/>
      </c>
      <c r="AQ12" s="496" t="s">
        <v>793</v>
      </c>
      <c r="AR12" s="494">
        <f>Q28</f>
        <v>7</v>
      </c>
      <c r="AS12" s="495" t="str">
        <f>R29</f>
        <v/>
      </c>
      <c r="AT12" s="495" t="str">
        <f t="shared" ref="AT12" si="23">AS13</f>
        <v/>
      </c>
      <c r="AU12" s="496" t="s">
        <v>793</v>
      </c>
      <c r="AV12" s="494">
        <f>W28</f>
        <v>7</v>
      </c>
      <c r="AW12" s="495" t="str">
        <f>X29</f>
        <v/>
      </c>
      <c r="AX12" s="495" t="str">
        <f t="shared" ref="AX12" si="24">AW13</f>
        <v/>
      </c>
      <c r="AY12" s="496" t="s">
        <v>793</v>
      </c>
    </row>
    <row r="13" spans="1:51" ht="15.95" customHeight="1" thickBot="1" x14ac:dyDescent="0.25">
      <c r="A13" s="435">
        <v>9</v>
      </c>
      <c r="B13" s="444" t="str">
        <f t="shared" ca="1" si="1"/>
        <v/>
      </c>
      <c r="C13" s="444" t="str">
        <f t="shared" ca="1" si="2"/>
        <v/>
      </c>
      <c r="D13" s="444" t="str">
        <f t="shared" ca="1" si="3"/>
        <v/>
      </c>
      <c r="E13" s="486">
        <f t="shared" ca="1" si="4"/>
        <v>0</v>
      </c>
      <c r="F13" s="489">
        <v>19</v>
      </c>
      <c r="G13" s="488" t="str">
        <f t="shared" ca="1" si="5"/>
        <v/>
      </c>
      <c r="H13" s="898" t="str">
        <f t="shared" ca="1" si="6"/>
        <v/>
      </c>
      <c r="I13" s="898" t="str">
        <f t="shared" ca="1" si="0"/>
        <v/>
      </c>
      <c r="J13" s="898" t="str">
        <f t="shared" ca="1" si="0"/>
        <v/>
      </c>
      <c r="K13" s="445" t="s">
        <v>779</v>
      </c>
      <c r="L13" s="779" t="s">
        <v>1083</v>
      </c>
      <c r="M13" s="456" t="s">
        <v>481</v>
      </c>
      <c r="N13" s="464" t="s">
        <v>780</v>
      </c>
      <c r="O13" s="446" t="s">
        <v>781</v>
      </c>
      <c r="P13" s="445"/>
      <c r="Q13" s="445" t="s">
        <v>779</v>
      </c>
      <c r="R13" s="779" t="s">
        <v>1083</v>
      </c>
      <c r="S13" s="456" t="s">
        <v>481</v>
      </c>
      <c r="T13" s="464" t="s">
        <v>780</v>
      </c>
      <c r="U13" s="446" t="s">
        <v>781</v>
      </c>
      <c r="V13" s="445"/>
      <c r="W13" s="445" t="s">
        <v>779</v>
      </c>
      <c r="X13" s="779" t="s">
        <v>1083</v>
      </c>
      <c r="Y13" s="456" t="s">
        <v>481</v>
      </c>
      <c r="Z13" s="464" t="s">
        <v>780</v>
      </c>
      <c r="AA13" s="446" t="s">
        <v>781</v>
      </c>
      <c r="AF13" s="453" t="s">
        <v>791</v>
      </c>
      <c r="AG13" s="435" t="str">
        <f>IF(ISBLANK(Z28),"",IF(Z28+AA28&gt;Z30+AA30,X29,X31))</f>
        <v/>
      </c>
      <c r="AH13" s="478" t="str">
        <f t="shared" ca="1" si="7"/>
        <v/>
      </c>
      <c r="AI13" s="474" t="str">
        <f t="shared" ca="1" si="8"/>
        <v/>
      </c>
      <c r="AJ13" s="479" t="str">
        <f t="shared" ca="1" si="9"/>
        <v/>
      </c>
      <c r="AN13" s="494">
        <f>K30</f>
        <v>8</v>
      </c>
      <c r="AO13" s="495" t="str">
        <f ca="1">L31</f>
        <v/>
      </c>
      <c r="AP13" s="495" t="str">
        <f t="shared" ref="AP13" ca="1" si="25">AO12</f>
        <v/>
      </c>
      <c r="AQ13" s="496" t="s">
        <v>793</v>
      </c>
      <c r="AR13" s="494">
        <f>Q30</f>
        <v>8</v>
      </c>
      <c r="AS13" s="495" t="str">
        <f>R31</f>
        <v/>
      </c>
      <c r="AT13" s="495" t="str">
        <f t="shared" ref="AT13" si="26">AS12</f>
        <v/>
      </c>
      <c r="AU13" s="496" t="s">
        <v>793</v>
      </c>
      <c r="AV13" s="494">
        <f>W30</f>
        <v>8</v>
      </c>
      <c r="AW13" s="495" t="str">
        <f>X31</f>
        <v/>
      </c>
      <c r="AX13" s="495" t="str">
        <f t="shared" ref="AX13" si="27">AW12</f>
        <v/>
      </c>
      <c r="AY13" s="496" t="s">
        <v>793</v>
      </c>
    </row>
    <row r="14" spans="1:51" ht="15.95" customHeight="1" thickBot="1" x14ac:dyDescent="0.25">
      <c r="A14" s="435">
        <v>10</v>
      </c>
      <c r="B14" s="444" t="str">
        <f t="shared" ca="1" si="1"/>
        <v/>
      </c>
      <c r="C14" s="444" t="str">
        <f t="shared" ca="1" si="2"/>
        <v/>
      </c>
      <c r="D14" s="444" t="str">
        <f t="shared" ca="1" si="3"/>
        <v/>
      </c>
      <c r="E14" s="486">
        <f t="shared" ca="1" si="4"/>
        <v>0</v>
      </c>
      <c r="F14" s="489">
        <v>20</v>
      </c>
      <c r="G14" s="488" t="str">
        <f t="shared" ca="1" si="5"/>
        <v/>
      </c>
      <c r="H14" s="898" t="str">
        <f t="shared" ca="1" si="6"/>
        <v/>
      </c>
      <c r="I14" s="898" t="str">
        <f t="shared" ca="1" si="0"/>
        <v/>
      </c>
      <c r="J14" s="898" t="str">
        <f t="shared" ca="1" si="0"/>
        <v/>
      </c>
      <c r="K14" s="447">
        <f>K9+1</f>
        <v>3</v>
      </c>
      <c r="L14" s="472">
        <v>4</v>
      </c>
      <c r="M14" s="465" t="str">
        <f ca="1">IFERROR(VLOOKUP(L15,$G$5:$J$28,2,FALSE),"")</f>
        <v/>
      </c>
      <c r="N14" s="966"/>
      <c r="O14" s="780"/>
      <c r="Q14" s="447">
        <f>Q9+1</f>
        <v>3</v>
      </c>
      <c r="R14" s="472">
        <v>3</v>
      </c>
      <c r="S14" s="465" t="str">
        <f ca="1">IFERROR(VLOOKUP(R15,$G$5:$J$28,2,FALSE),"")</f>
        <v/>
      </c>
      <c r="T14" s="966"/>
      <c r="U14" s="780"/>
      <c r="W14" s="447">
        <f>W9+1</f>
        <v>3</v>
      </c>
      <c r="X14" s="472">
        <v>4</v>
      </c>
      <c r="Y14" s="465" t="str">
        <f ca="1">IFERROR(VLOOKUP(X15,$G$5:$J$28,2,FALSE),"")</f>
        <v/>
      </c>
      <c r="Z14" s="966"/>
      <c r="AA14" s="780"/>
      <c r="AF14" s="453" t="s">
        <v>792</v>
      </c>
      <c r="AG14" s="435" t="str">
        <f>IF(ISBLANK(Z28),"",IF(Z28+AA28&lt;Z30+AA30,X29,X31))</f>
        <v/>
      </c>
      <c r="AH14" s="478" t="str">
        <f t="shared" ca="1" si="7"/>
        <v/>
      </c>
      <c r="AI14" s="474" t="str">
        <f t="shared" ca="1" si="8"/>
        <v/>
      </c>
      <c r="AJ14" s="479" t="str">
        <f t="shared" ca="1" si="9"/>
        <v/>
      </c>
      <c r="AN14" s="494">
        <f>K35</f>
        <v>9</v>
      </c>
      <c r="AO14" s="495" t="str">
        <f ca="1">L36</f>
        <v/>
      </c>
      <c r="AP14" s="495" t="str">
        <f t="shared" ref="AP14" ca="1" si="28">AO15</f>
        <v/>
      </c>
      <c r="AQ14" s="496" t="s">
        <v>793</v>
      </c>
      <c r="AR14" s="494">
        <f>Q35</f>
        <v>9</v>
      </c>
      <c r="AS14" s="495" t="str">
        <f>R36</f>
        <v/>
      </c>
      <c r="AT14" s="495" t="str">
        <f t="shared" ref="AT14" si="29">AS15</f>
        <v/>
      </c>
      <c r="AU14" s="496" t="s">
        <v>793</v>
      </c>
      <c r="AV14" s="494">
        <f>W35</f>
        <v>9</v>
      </c>
      <c r="AW14" s="495" t="str">
        <f>X36</f>
        <v/>
      </c>
      <c r="AX14" s="495" t="str">
        <f t="shared" ref="AX14" si="30">AW15</f>
        <v/>
      </c>
      <c r="AY14" s="496" t="s">
        <v>793</v>
      </c>
    </row>
    <row r="15" spans="1:51" ht="15.95" customHeight="1" thickBot="1" x14ac:dyDescent="0.25">
      <c r="A15" s="435">
        <v>11</v>
      </c>
      <c r="B15" s="444" t="str">
        <f t="shared" ca="1" si="1"/>
        <v/>
      </c>
      <c r="C15" s="444" t="str">
        <f t="shared" ca="1" si="2"/>
        <v/>
      </c>
      <c r="D15" s="444" t="str">
        <f t="shared" ca="1" si="3"/>
        <v/>
      </c>
      <c r="E15" s="486">
        <f t="shared" ca="1" si="4"/>
        <v>0</v>
      </c>
      <c r="F15" s="489">
        <v>21</v>
      </c>
      <c r="G15" s="488" t="str">
        <f t="shared" ca="1" si="5"/>
        <v/>
      </c>
      <c r="H15" s="898" t="str">
        <f t="shared" ca="1" si="6"/>
        <v/>
      </c>
      <c r="I15" s="898" t="str">
        <f t="shared" ca="1" si="0"/>
        <v/>
      </c>
      <c r="J15" s="898" t="str">
        <f t="shared" ca="1" si="0"/>
        <v/>
      </c>
      <c r="K15" s="447"/>
      <c r="L15" s="473" t="str">
        <f ca="1">VLOOKUP(L14,$A$5:$G$24,7,FALSE)</f>
        <v/>
      </c>
      <c r="M15" s="466" t="str">
        <f ca="1">IFERROR(VLOOKUP(L15,$G$5:$J$28,3,FALSE),"")</f>
        <v/>
      </c>
      <c r="N15" s="967"/>
      <c r="Q15" s="447"/>
      <c r="R15" s="473" t="str">
        <f>IF(ISBLANK(N21),"",IF(N21+O21&gt;N23+O23,L22,L24))</f>
        <v/>
      </c>
      <c r="S15" s="466" t="str">
        <f ca="1">IFERROR(VLOOKUP(R15,$G$5:$J$28,3,FALSE),"")</f>
        <v/>
      </c>
      <c r="T15" s="967"/>
      <c r="W15" s="447"/>
      <c r="X15" s="473" t="str">
        <f>IF(ISBLANK(T7),"",IF(U7+T7&lt;T9+U9,R8,R10))</f>
        <v/>
      </c>
      <c r="Y15" s="466" t="str">
        <f ca="1">IFERROR(VLOOKUP(X15,$G$5:$J$28,3,FALSE),"")</f>
        <v/>
      </c>
      <c r="Z15" s="967"/>
      <c r="AF15" s="453" t="s">
        <v>794</v>
      </c>
      <c r="AG15" s="435" t="str">
        <f>IF(ISBLANK(Z35),"",IF(Z35+AA35&gt;Z37+AA37,X36,X38))</f>
        <v/>
      </c>
      <c r="AH15" s="478" t="str">
        <f t="shared" ca="1" si="7"/>
        <v/>
      </c>
      <c r="AI15" s="474" t="str">
        <f t="shared" ca="1" si="8"/>
        <v/>
      </c>
      <c r="AJ15" s="479" t="str">
        <f t="shared" ca="1" si="9"/>
        <v/>
      </c>
      <c r="AN15" s="494">
        <f>K37</f>
        <v>10</v>
      </c>
      <c r="AO15" s="495" t="str">
        <f ca="1">L38</f>
        <v/>
      </c>
      <c r="AP15" s="495" t="str">
        <f t="shared" ref="AP15" ca="1" si="31">AO14</f>
        <v/>
      </c>
      <c r="AQ15" s="496" t="s">
        <v>793</v>
      </c>
      <c r="AR15" s="494">
        <f>Q37</f>
        <v>10</v>
      </c>
      <c r="AS15" s="495" t="str">
        <f>R38</f>
        <v/>
      </c>
      <c r="AT15" s="495" t="str">
        <f t="shared" ref="AT15" si="32">AS14</f>
        <v/>
      </c>
      <c r="AU15" s="496" t="s">
        <v>793</v>
      </c>
      <c r="AV15" s="494">
        <f>W37</f>
        <v>10</v>
      </c>
      <c r="AW15" s="495" t="str">
        <f>X38</f>
        <v/>
      </c>
      <c r="AX15" s="495" t="str">
        <f t="shared" ref="AX15" si="33">AW14</f>
        <v/>
      </c>
      <c r="AY15" s="496" t="s">
        <v>793</v>
      </c>
    </row>
    <row r="16" spans="1:51" ht="15.95" customHeight="1" thickBot="1" x14ac:dyDescent="0.25">
      <c r="A16" s="435">
        <v>12</v>
      </c>
      <c r="B16" s="444" t="str">
        <f t="shared" ca="1" si="1"/>
        <v/>
      </c>
      <c r="C16" s="444" t="str">
        <f t="shared" ca="1" si="2"/>
        <v/>
      </c>
      <c r="D16" s="444" t="str">
        <f t="shared" ca="1" si="3"/>
        <v/>
      </c>
      <c r="E16" s="486">
        <f t="shared" ca="1" si="4"/>
        <v>0</v>
      </c>
      <c r="F16" s="489">
        <v>22</v>
      </c>
      <c r="G16" s="488" t="str">
        <f t="shared" ca="1" si="5"/>
        <v/>
      </c>
      <c r="H16" s="898" t="str">
        <f t="shared" ca="1" si="6"/>
        <v/>
      </c>
      <c r="I16" s="898" t="str">
        <f t="shared" ca="1" si="0"/>
        <v/>
      </c>
      <c r="J16" s="898" t="str">
        <f t="shared" ca="1" si="0"/>
        <v/>
      </c>
      <c r="K16" s="447">
        <f>K14+1</f>
        <v>4</v>
      </c>
      <c r="L16" s="472">
        <v>5</v>
      </c>
      <c r="M16" s="465" t="str">
        <f ca="1">IFERROR(VLOOKUP(L17,$G$5:$J$28,2,FALSE),"")</f>
        <v/>
      </c>
      <c r="N16" s="966"/>
      <c r="O16" s="780"/>
      <c r="Q16" s="447">
        <f>Q14+1</f>
        <v>4</v>
      </c>
      <c r="R16" s="472">
        <v>2</v>
      </c>
      <c r="S16" s="465" t="str">
        <f ca="1">IFERROR(VLOOKUP(R17,$G$5:$J$28,2,FALSE),"")</f>
        <v/>
      </c>
      <c r="T16" s="966"/>
      <c r="U16" s="780"/>
      <c r="W16" s="447">
        <f>W14+1</f>
        <v>4</v>
      </c>
      <c r="X16" s="472">
        <v>3</v>
      </c>
      <c r="Y16" s="465" t="str">
        <f ca="1">IFERROR(VLOOKUP(X17,$G$5:$J$28,2,FALSE),"")</f>
        <v/>
      </c>
      <c r="Z16" s="966"/>
      <c r="AA16" s="780"/>
      <c r="AF16" s="453" t="s">
        <v>795</v>
      </c>
      <c r="AG16" s="435" t="str">
        <f>IF(ISBLANK(Z35),"",IF(Z35+AA35&lt;Z37+AA37,X36,X38))</f>
        <v/>
      </c>
      <c r="AH16" s="478" t="str">
        <f t="shared" ca="1" si="7"/>
        <v/>
      </c>
      <c r="AI16" s="474" t="str">
        <f t="shared" ca="1" si="8"/>
        <v/>
      </c>
      <c r="AJ16" s="479" t="str">
        <f t="shared" ca="1" si="9"/>
        <v/>
      </c>
      <c r="AN16" s="494">
        <f>K42</f>
        <v>11</v>
      </c>
      <c r="AO16" s="495" t="str">
        <f ca="1">L43</f>
        <v/>
      </c>
      <c r="AP16" s="495" t="str">
        <f t="shared" ref="AP16" ca="1" si="34">AO17</f>
        <v/>
      </c>
      <c r="AQ16" s="496" t="s">
        <v>793</v>
      </c>
      <c r="AR16" s="494">
        <f>Q42</f>
        <v>11</v>
      </c>
      <c r="AS16" s="495" t="str">
        <f>R43</f>
        <v/>
      </c>
      <c r="AT16" s="495" t="str">
        <f t="shared" ref="AT16" si="35">AS17</f>
        <v/>
      </c>
      <c r="AU16" s="496" t="s">
        <v>793</v>
      </c>
      <c r="AV16" s="494">
        <f>W42</f>
        <v>11</v>
      </c>
      <c r="AW16" s="495" t="str">
        <f>X43</f>
        <v/>
      </c>
      <c r="AX16" s="495" t="str">
        <f t="shared" ref="AX16" si="36">AW17</f>
        <v/>
      </c>
      <c r="AY16" s="496" t="s">
        <v>793</v>
      </c>
    </row>
    <row r="17" spans="1:51" ht="15.95" customHeight="1" thickBot="1" x14ac:dyDescent="0.25">
      <c r="A17" s="435">
        <v>13</v>
      </c>
      <c r="B17" s="444" t="str">
        <f t="shared" ca="1" si="1"/>
        <v/>
      </c>
      <c r="C17" s="444" t="str">
        <f t="shared" ca="1" si="2"/>
        <v/>
      </c>
      <c r="D17" s="444" t="str">
        <f t="shared" ca="1" si="3"/>
        <v/>
      </c>
      <c r="E17" s="486">
        <f t="shared" ca="1" si="4"/>
        <v>0</v>
      </c>
      <c r="F17" s="489">
        <v>23</v>
      </c>
      <c r="G17" s="488" t="str">
        <f t="shared" ca="1" si="5"/>
        <v/>
      </c>
      <c r="H17" s="898" t="str">
        <f t="shared" ca="1" si="6"/>
        <v/>
      </c>
      <c r="I17" s="898" t="str">
        <f t="shared" ca="1" si="0"/>
        <v/>
      </c>
      <c r="J17" s="898" t="str">
        <f t="shared" ca="1" si="0"/>
        <v/>
      </c>
      <c r="K17" s="447"/>
      <c r="L17" s="473" t="str">
        <f ca="1">VLOOKUP(L16,$A$5:$G$24,7,FALSE)</f>
        <v/>
      </c>
      <c r="M17" s="466" t="str">
        <f ca="1">IFERROR(VLOOKUP(L17,$G$5:$J$28,3,FALSE),"")</f>
        <v/>
      </c>
      <c r="N17" s="967"/>
      <c r="Q17" s="447"/>
      <c r="R17" s="473" t="str">
        <f>IF(ISBLANK(N28),"",IF(N28+O28&gt;N30+O30,L29,L31))</f>
        <v/>
      </c>
      <c r="S17" s="466" t="str">
        <f ca="1">IFERROR(VLOOKUP(R17,$G$5:$J$28,3,FALSE),"")</f>
        <v/>
      </c>
      <c r="T17" s="967"/>
      <c r="W17" s="447"/>
      <c r="X17" s="473" t="str">
        <f>IF(ISBLANK(T14),"",IF(U14+T14&lt;T16+U16,R15,R17))</f>
        <v/>
      </c>
      <c r="Y17" s="466" t="str">
        <f ca="1">IFERROR(VLOOKUP(X17,$G$5:$J$28,3,FALSE),"")</f>
        <v/>
      </c>
      <c r="Z17" s="967"/>
      <c r="AF17" s="453" t="s">
        <v>796</v>
      </c>
      <c r="AG17" s="435" t="str">
        <f>IF(ISBLANK(Z42),"",IF(Z42+AA42&gt;Z44+AA44,X43,X45))</f>
        <v/>
      </c>
      <c r="AH17" s="478" t="str">
        <f t="shared" ca="1" si="7"/>
        <v/>
      </c>
      <c r="AI17" s="474" t="str">
        <f t="shared" ca="1" si="8"/>
        <v/>
      </c>
      <c r="AJ17" s="479" t="str">
        <f t="shared" ca="1" si="9"/>
        <v/>
      </c>
      <c r="AN17" s="494">
        <f>K44</f>
        <v>12</v>
      </c>
      <c r="AO17" s="495" t="str">
        <f ca="1">L45</f>
        <v/>
      </c>
      <c r="AP17" s="495" t="str">
        <f t="shared" ref="AP17" ca="1" si="37">AO16</f>
        <v/>
      </c>
      <c r="AQ17" s="496" t="s">
        <v>793</v>
      </c>
      <c r="AR17" s="494">
        <f>Q44</f>
        <v>12</v>
      </c>
      <c r="AS17" s="495" t="str">
        <f>R45</f>
        <v/>
      </c>
      <c r="AT17" s="495" t="str">
        <f t="shared" ref="AT17" si="38">AS16</f>
        <v/>
      </c>
      <c r="AU17" s="496" t="s">
        <v>793</v>
      </c>
      <c r="AV17" s="494">
        <f>W44</f>
        <v>12</v>
      </c>
      <c r="AW17" s="495" t="str">
        <f>X45</f>
        <v/>
      </c>
      <c r="AX17" s="495" t="str">
        <f t="shared" ref="AX17" si="39">AW16</f>
        <v/>
      </c>
      <c r="AY17" s="496" t="s">
        <v>793</v>
      </c>
    </row>
    <row r="18" spans="1:51" ht="15.95" customHeight="1" x14ac:dyDescent="0.2">
      <c r="A18" s="435">
        <v>14</v>
      </c>
      <c r="B18" s="444" t="str">
        <f t="shared" ca="1" si="1"/>
        <v/>
      </c>
      <c r="C18" s="444" t="str">
        <f t="shared" ca="1" si="2"/>
        <v/>
      </c>
      <c r="D18" s="444" t="str">
        <f t="shared" ca="1" si="3"/>
        <v/>
      </c>
      <c r="E18" s="486">
        <f t="shared" ca="1" si="4"/>
        <v>0</v>
      </c>
      <c r="F18" s="489">
        <v>24</v>
      </c>
      <c r="G18" s="488" t="str">
        <f t="shared" ca="1" si="5"/>
        <v/>
      </c>
      <c r="H18" s="898" t="str">
        <f t="shared" ca="1" si="6"/>
        <v/>
      </c>
      <c r="I18" s="898" t="str">
        <f t="shared" ca="1" si="0"/>
        <v/>
      </c>
      <c r="J18" s="898" t="str">
        <f t="shared" ca="1" si="0"/>
        <v/>
      </c>
      <c r="K18" s="450"/>
      <c r="L18" s="450"/>
      <c r="M18" s="450"/>
      <c r="N18" s="451"/>
      <c r="O18" s="450"/>
      <c r="P18" s="450"/>
      <c r="Q18" s="450"/>
      <c r="R18" s="450"/>
      <c r="S18" s="450"/>
      <c r="T18" s="451"/>
      <c r="U18" s="450"/>
      <c r="V18" s="450"/>
      <c r="W18" s="450"/>
      <c r="X18" s="450"/>
      <c r="Y18" s="450"/>
      <c r="Z18" s="451"/>
      <c r="AA18" s="450"/>
      <c r="AF18" s="453" t="s">
        <v>797</v>
      </c>
      <c r="AG18" s="435" t="str">
        <f>IF(ISBLANK(Z42),"",IF(Z42+AA42&lt;Z44+AA44,X43,X45))</f>
        <v/>
      </c>
      <c r="AH18" s="478" t="str">
        <f t="shared" ca="1" si="7"/>
        <v/>
      </c>
      <c r="AI18" s="474" t="str">
        <f t="shared" ca="1" si="8"/>
        <v/>
      </c>
      <c r="AJ18" s="479" t="str">
        <f t="shared" ca="1" si="9"/>
        <v/>
      </c>
      <c r="AN18" s="494">
        <f>K49</f>
        <v>13</v>
      </c>
      <c r="AO18" s="495" t="str">
        <f ca="1">L50</f>
        <v/>
      </c>
      <c r="AP18" s="495" t="str">
        <f t="shared" ref="AP18" ca="1" si="40">AO19</f>
        <v/>
      </c>
      <c r="AQ18" s="496" t="s">
        <v>793</v>
      </c>
      <c r="AR18" s="494">
        <f>Q49</f>
        <v>13</v>
      </c>
      <c r="AS18" s="495" t="str">
        <f>R50</f>
        <v/>
      </c>
      <c r="AT18" s="495" t="str">
        <f t="shared" ref="AT18" si="41">AS19</f>
        <v/>
      </c>
      <c r="AU18" s="496" t="s">
        <v>793</v>
      </c>
      <c r="AV18" s="494">
        <f>W49</f>
        <v>13</v>
      </c>
      <c r="AW18" s="495" t="str">
        <f>X50</f>
        <v/>
      </c>
      <c r="AX18" s="495" t="str">
        <f t="shared" ref="AX18" si="42">AW19</f>
        <v/>
      </c>
      <c r="AY18" s="496" t="s">
        <v>793</v>
      </c>
    </row>
    <row r="19" spans="1:51" ht="15.95" customHeight="1" thickBot="1" x14ac:dyDescent="0.25">
      <c r="A19" s="435">
        <v>15</v>
      </c>
      <c r="B19" s="444" t="str">
        <f t="shared" ca="1" si="1"/>
        <v/>
      </c>
      <c r="C19" s="444" t="str">
        <f t="shared" ca="1" si="2"/>
        <v/>
      </c>
      <c r="D19" s="444" t="str">
        <f t="shared" ca="1" si="3"/>
        <v/>
      </c>
      <c r="E19" s="486">
        <f t="shared" ca="1" si="4"/>
        <v>0</v>
      </c>
      <c r="F19" s="489">
        <v>25</v>
      </c>
      <c r="G19" s="488" t="str">
        <f t="shared" ca="1" si="5"/>
        <v/>
      </c>
      <c r="H19" s="898" t="str">
        <f t="shared" ca="1" si="6"/>
        <v/>
      </c>
      <c r="I19" s="898" t="str">
        <f t="shared" ca="1" si="0"/>
        <v/>
      </c>
      <c r="J19" s="898" t="str">
        <f t="shared" ca="1" si="0"/>
        <v/>
      </c>
      <c r="K19" s="450"/>
      <c r="L19" s="454"/>
      <c r="M19" s="454"/>
      <c r="N19" s="455"/>
      <c r="O19" s="450"/>
      <c r="P19" s="450"/>
      <c r="Q19" s="450"/>
      <c r="R19" s="979" t="s">
        <v>819</v>
      </c>
      <c r="S19" s="1247"/>
      <c r="T19" s="1247"/>
      <c r="U19" s="450"/>
      <c r="V19" s="450"/>
      <c r="W19" s="450"/>
      <c r="X19" s="979" t="s">
        <v>820</v>
      </c>
      <c r="Y19" s="1247"/>
      <c r="Z19" s="1247"/>
      <c r="AA19" s="450"/>
      <c r="AB19" s="435" t="s">
        <v>793</v>
      </c>
      <c r="AF19" s="453" t="s">
        <v>798</v>
      </c>
      <c r="AG19" s="435" t="str">
        <f>IF(ISBLANK(Z49),"",IF(Z49+AA49&gt;Z51+AA51,X50,X52))</f>
        <v/>
      </c>
      <c r="AH19" s="478" t="str">
        <f t="shared" ca="1" si="7"/>
        <v/>
      </c>
      <c r="AI19" s="474" t="str">
        <f t="shared" ca="1" si="8"/>
        <v/>
      </c>
      <c r="AJ19" s="479" t="str">
        <f t="shared" ca="1" si="9"/>
        <v/>
      </c>
      <c r="AN19" s="494">
        <f>K51</f>
        <v>14</v>
      </c>
      <c r="AO19" s="495" t="str">
        <f ca="1">L52</f>
        <v/>
      </c>
      <c r="AP19" s="495" t="str">
        <f t="shared" ref="AP19" ca="1" si="43">AO18</f>
        <v/>
      </c>
      <c r="AQ19" s="496" t="s">
        <v>793</v>
      </c>
      <c r="AR19" s="494">
        <f>Q51</f>
        <v>14</v>
      </c>
      <c r="AS19" s="495" t="str">
        <f>R52</f>
        <v/>
      </c>
      <c r="AT19" s="495" t="str">
        <f t="shared" ref="AT19" si="44">AS18</f>
        <v/>
      </c>
      <c r="AU19" s="496" t="s">
        <v>793</v>
      </c>
      <c r="AV19" s="494">
        <f>W51</f>
        <v>14</v>
      </c>
      <c r="AW19" s="495" t="str">
        <f>X52</f>
        <v/>
      </c>
      <c r="AX19" s="495" t="str">
        <f t="shared" ref="AX19" si="45">AW18</f>
        <v/>
      </c>
      <c r="AY19" s="496" t="s">
        <v>793</v>
      </c>
    </row>
    <row r="20" spans="1:51" ht="15.95" customHeight="1" thickBot="1" x14ac:dyDescent="0.25">
      <c r="A20" s="435">
        <v>16</v>
      </c>
      <c r="B20" s="444" t="str">
        <f t="shared" ca="1" si="1"/>
        <v/>
      </c>
      <c r="C20" s="444" t="str">
        <f t="shared" ca="1" si="2"/>
        <v/>
      </c>
      <c r="D20" s="444" t="str">
        <f t="shared" ca="1" si="3"/>
        <v/>
      </c>
      <c r="E20" s="486">
        <f t="shared" ca="1" si="4"/>
        <v>0</v>
      </c>
      <c r="F20" s="489">
        <v>26</v>
      </c>
      <c r="G20" s="488" t="str">
        <f t="shared" ca="1" si="5"/>
        <v/>
      </c>
      <c r="H20" s="898" t="str">
        <f t="shared" ca="1" si="6"/>
        <v/>
      </c>
      <c r="I20" s="898" t="str">
        <f t="shared" ca="1" si="0"/>
        <v/>
      </c>
      <c r="J20" s="898" t="str">
        <f t="shared" ca="1" si="0"/>
        <v/>
      </c>
      <c r="K20" s="445" t="s">
        <v>779</v>
      </c>
      <c r="L20" s="779" t="s">
        <v>1083</v>
      </c>
      <c r="M20" s="456" t="s">
        <v>481</v>
      </c>
      <c r="N20" s="464" t="s">
        <v>780</v>
      </c>
      <c r="O20" s="446" t="s">
        <v>781</v>
      </c>
      <c r="P20" s="445"/>
      <c r="Q20" s="445" t="s">
        <v>779</v>
      </c>
      <c r="R20" s="779" t="s">
        <v>1083</v>
      </c>
      <c r="S20" s="456" t="s">
        <v>481</v>
      </c>
      <c r="T20" s="464" t="s">
        <v>780</v>
      </c>
      <c r="U20" s="446" t="s">
        <v>781</v>
      </c>
      <c r="V20" s="445"/>
      <c r="W20" s="445" t="s">
        <v>779</v>
      </c>
      <c r="X20" s="779" t="s">
        <v>1083</v>
      </c>
      <c r="Y20" s="456" t="s">
        <v>481</v>
      </c>
      <c r="Z20" s="464" t="s">
        <v>780</v>
      </c>
      <c r="AA20" s="446" t="s">
        <v>781</v>
      </c>
      <c r="AF20" s="453" t="s">
        <v>799</v>
      </c>
      <c r="AG20" s="435" t="str">
        <f>IF(ISBLANK(Z49),"",IF(Z49+AA49&lt;Z51+AA51,X50,X52))</f>
        <v/>
      </c>
      <c r="AH20" s="478" t="str">
        <f t="shared" ca="1" si="7"/>
        <v/>
      </c>
      <c r="AI20" s="474" t="str">
        <f t="shared" ca="1" si="8"/>
        <v/>
      </c>
      <c r="AJ20" s="479" t="str">
        <f t="shared" ca="1" si="9"/>
        <v/>
      </c>
      <c r="AN20" s="494">
        <f>K56</f>
        <v>15</v>
      </c>
      <c r="AO20" s="495" t="str">
        <f ca="1">L57</f>
        <v/>
      </c>
      <c r="AP20" s="495" t="str">
        <f t="shared" ref="AP20" ca="1" si="46">AO21</f>
        <v/>
      </c>
      <c r="AQ20" s="496" t="s">
        <v>793</v>
      </c>
      <c r="AR20" s="494">
        <f>Q56</f>
        <v>15</v>
      </c>
      <c r="AS20" s="495" t="str">
        <f>R57</f>
        <v/>
      </c>
      <c r="AT20" s="495" t="str">
        <f>AS21</f>
        <v/>
      </c>
      <c r="AU20" s="496" t="s">
        <v>793</v>
      </c>
      <c r="AV20" s="494">
        <f>W56</f>
        <v>15</v>
      </c>
      <c r="AW20" s="495" t="str">
        <f>X57</f>
        <v/>
      </c>
      <c r="AX20" s="495" t="str">
        <f t="shared" ref="AX20" si="47">AW21</f>
        <v/>
      </c>
      <c r="AY20" s="496" t="s">
        <v>793</v>
      </c>
    </row>
    <row r="21" spans="1:51" ht="15.95" customHeight="1" thickBot="1" x14ac:dyDescent="0.25">
      <c r="A21" s="435">
        <v>17</v>
      </c>
      <c r="B21" s="444" t="str">
        <f t="shared" ca="1" si="1"/>
        <v/>
      </c>
      <c r="C21" s="444" t="str">
        <f t="shared" ca="1" si="2"/>
        <v/>
      </c>
      <c r="D21" s="444" t="str">
        <f t="shared" ca="1" si="3"/>
        <v/>
      </c>
      <c r="E21" s="486">
        <f t="shared" ca="1" si="4"/>
        <v>0</v>
      </c>
      <c r="F21" s="489">
        <v>27</v>
      </c>
      <c r="G21" s="488" t="str">
        <f t="shared" ca="1" si="5"/>
        <v/>
      </c>
      <c r="H21" s="898" t="str">
        <f t="shared" ca="1" si="6"/>
        <v/>
      </c>
      <c r="I21" s="898" t="str">
        <f t="shared" ca="1" si="6"/>
        <v/>
      </c>
      <c r="J21" s="898" t="str">
        <f t="shared" ca="1" si="6"/>
        <v/>
      </c>
      <c r="K21" s="447">
        <f>K16+1</f>
        <v>5</v>
      </c>
      <c r="L21" s="472">
        <v>3</v>
      </c>
      <c r="M21" s="465" t="str">
        <f ca="1">IFERROR(VLOOKUP(L22,$G$5:$J$28,2,FALSE),"")</f>
        <v/>
      </c>
      <c r="N21" s="966"/>
      <c r="O21" s="780"/>
      <c r="Q21" s="447">
        <f>Q16+1</f>
        <v>5</v>
      </c>
      <c r="R21" s="472">
        <v>8</v>
      </c>
      <c r="S21" s="465" t="str">
        <f ca="1">IFERROR(VLOOKUP(R22,$G$5:$J$28,2,FALSE),"")</f>
        <v/>
      </c>
      <c r="T21" s="966"/>
      <c r="U21" s="780"/>
      <c r="W21" s="447">
        <f>W16+1</f>
        <v>5</v>
      </c>
      <c r="X21" s="472">
        <v>5</v>
      </c>
      <c r="Y21" s="465" t="str">
        <f ca="1">IFERROR(VLOOKUP(X22,$G$5:$J$28,2,FALSE),"")</f>
        <v/>
      </c>
      <c r="Z21" s="966"/>
      <c r="AA21" s="780"/>
      <c r="AF21" s="453" t="s">
        <v>800</v>
      </c>
      <c r="AG21" s="435" t="e">
        <f>VLOOKUP(15,$V$76:$Y$78,4,FALSE)</f>
        <v>#N/A</v>
      </c>
      <c r="AH21" s="478" t="str">
        <f t="shared" si="7"/>
        <v/>
      </c>
      <c r="AI21" s="474" t="str">
        <f t="shared" si="8"/>
        <v/>
      </c>
      <c r="AJ21" s="479" t="str">
        <f t="shared" si="9"/>
        <v/>
      </c>
      <c r="AN21" s="494">
        <f>K58</f>
        <v>16</v>
      </c>
      <c r="AO21" s="495" t="str">
        <f ca="1">L59</f>
        <v/>
      </c>
      <c r="AP21" s="495" t="str">
        <f t="shared" ref="AP21" ca="1" si="48">AO20</f>
        <v/>
      </c>
      <c r="AQ21" s="496" t="s">
        <v>793</v>
      </c>
      <c r="AR21" s="494">
        <f>Q58</f>
        <v>16</v>
      </c>
      <c r="AS21" s="495" t="str">
        <f>R59</f>
        <v/>
      </c>
      <c r="AT21" s="495" t="str">
        <f t="shared" ref="AT21" si="49">AS20</f>
        <v/>
      </c>
      <c r="AU21" s="496" t="s">
        <v>793</v>
      </c>
      <c r="AV21" s="494">
        <f>W58</f>
        <v>16</v>
      </c>
      <c r="AW21" s="495" t="str">
        <f>X59</f>
        <v/>
      </c>
      <c r="AX21" s="495" t="str">
        <f t="shared" ref="AX21" si="50">AW20</f>
        <v/>
      </c>
      <c r="AY21" s="496" t="s">
        <v>793</v>
      </c>
    </row>
    <row r="22" spans="1:51" ht="15.95" customHeight="1" thickBot="1" x14ac:dyDescent="0.25">
      <c r="F22" s="489">
        <v>28</v>
      </c>
      <c r="G22" s="488" t="str">
        <f t="shared" si="5"/>
        <v/>
      </c>
      <c r="H22" s="898" t="str">
        <f t="shared" si="6"/>
        <v/>
      </c>
      <c r="I22" s="898" t="str">
        <f t="shared" si="6"/>
        <v/>
      </c>
      <c r="J22" s="898" t="str">
        <f t="shared" si="6"/>
        <v/>
      </c>
      <c r="K22" s="447"/>
      <c r="L22" s="473" t="str">
        <f ca="1">VLOOKUP(L21,$A$5:$G$24,7,FALSE)</f>
        <v/>
      </c>
      <c r="M22" s="466" t="str">
        <f ca="1">IFERROR(VLOOKUP(L22,$G$5:$J$28,3,FALSE),"")</f>
        <v/>
      </c>
      <c r="N22" s="967"/>
      <c r="Q22" s="447"/>
      <c r="R22" s="473" t="str">
        <f>IF(ISBLANK(N7),"",IF(O7+N7&lt;N9+O9,L8,L10))</f>
        <v/>
      </c>
      <c r="S22" s="466" t="str">
        <f ca="1">IFERROR(VLOOKUP(R22,$G$5:$J$28,3,FALSE),"")</f>
        <v/>
      </c>
      <c r="T22" s="967"/>
      <c r="W22" s="447"/>
      <c r="X22" s="473" t="str">
        <f>IF(ISBLANK(T21),"",IF(U21+T21&gt;T23+U23,R22,R24))</f>
        <v/>
      </c>
      <c r="Y22" s="466" t="str">
        <f ca="1">IFERROR(VLOOKUP(X22,$G$5:$J$28,3,FALSE),"")</f>
        <v/>
      </c>
      <c r="Z22" s="967"/>
      <c r="AF22" s="453" t="s">
        <v>801</v>
      </c>
      <c r="AG22" s="435" t="e">
        <f>VLOOKUP(16,$V$76:$Y$78,4,FALSE)</f>
        <v>#N/A</v>
      </c>
      <c r="AH22" s="478" t="str">
        <f t="shared" si="7"/>
        <v/>
      </c>
      <c r="AI22" s="474" t="str">
        <f t="shared" si="8"/>
        <v/>
      </c>
      <c r="AJ22" s="479" t="str">
        <f t="shared" si="9"/>
        <v/>
      </c>
      <c r="AN22" s="494">
        <f>K63</f>
        <v>17</v>
      </c>
      <c r="AO22" s="495" t="str">
        <f ca="1">L64</f>
        <v/>
      </c>
      <c r="AP22" s="784" t="s">
        <v>1326</v>
      </c>
      <c r="AQ22" s="496" t="s">
        <v>793</v>
      </c>
      <c r="AR22" s="494">
        <f>Q63</f>
        <v>17</v>
      </c>
      <c r="AS22" s="495" t="str">
        <f ca="1">R64</f>
        <v/>
      </c>
      <c r="AT22" s="784" t="s">
        <v>1326</v>
      </c>
      <c r="AU22" s="496" t="s">
        <v>793</v>
      </c>
      <c r="AV22" s="494">
        <f>W63</f>
        <v>17</v>
      </c>
      <c r="AW22" s="495" t="str">
        <f ca="1">X64</f>
        <v/>
      </c>
      <c r="AX22" s="784" t="s">
        <v>1326</v>
      </c>
      <c r="AY22" s="496" t="s">
        <v>793</v>
      </c>
    </row>
    <row r="23" spans="1:51" ht="15.95" customHeight="1" thickBot="1" x14ac:dyDescent="0.25">
      <c r="F23" s="489">
        <v>29</v>
      </c>
      <c r="G23" s="488" t="str">
        <f t="shared" si="5"/>
        <v/>
      </c>
      <c r="H23" s="898" t="str">
        <f t="shared" si="6"/>
        <v/>
      </c>
      <c r="I23" s="898" t="str">
        <f t="shared" si="6"/>
        <v/>
      </c>
      <c r="J23" s="898" t="str">
        <f t="shared" si="6"/>
        <v/>
      </c>
      <c r="K23" s="447">
        <f>K21+1</f>
        <v>6</v>
      </c>
      <c r="L23" s="472">
        <v>6</v>
      </c>
      <c r="M23" s="465" t="str">
        <f ca="1">IFERROR(VLOOKUP(L24,$G$5:$J$28,2,FALSE),"")</f>
        <v/>
      </c>
      <c r="N23" s="966"/>
      <c r="O23" s="780"/>
      <c r="Q23" s="447">
        <f>Q21+1</f>
        <v>6</v>
      </c>
      <c r="R23" s="472">
        <v>5</v>
      </c>
      <c r="S23" s="465" t="str">
        <f ca="1">IFERROR(VLOOKUP(R24,$G$5:$J$28,2,FALSE),"")</f>
        <v/>
      </c>
      <c r="T23" s="966"/>
      <c r="U23" s="780"/>
      <c r="W23" s="447">
        <f>W21+1</f>
        <v>6</v>
      </c>
      <c r="X23" s="472">
        <v>6</v>
      </c>
      <c r="Y23" s="465" t="str">
        <f ca="1">IFERROR(VLOOKUP(X24,$G$5:$J$28,2,FALSE),"")</f>
        <v/>
      </c>
      <c r="Z23" s="966"/>
      <c r="AA23" s="780"/>
      <c r="AF23" s="453" t="s">
        <v>802</v>
      </c>
      <c r="AG23" s="896" t="str">
        <f ca="1">X64</f>
        <v/>
      </c>
      <c r="AH23" s="480" t="str">
        <f t="shared" ca="1" si="7"/>
        <v/>
      </c>
      <c r="AI23" s="481" t="str">
        <f t="shared" ca="1" si="8"/>
        <v/>
      </c>
      <c r="AJ23" s="482" t="str">
        <f t="shared" ca="1" si="9"/>
        <v/>
      </c>
      <c r="AN23" s="494"/>
      <c r="AO23" s="495"/>
      <c r="AP23" s="495"/>
      <c r="AQ23" s="496"/>
      <c r="AR23" s="494"/>
      <c r="AS23" s="495"/>
      <c r="AT23" s="495"/>
      <c r="AU23" s="496"/>
      <c r="AV23" s="494"/>
      <c r="AW23" s="495"/>
      <c r="AX23" s="495"/>
      <c r="AY23" s="496" t="s">
        <v>793</v>
      </c>
    </row>
    <row r="24" spans="1:51" ht="15.95" customHeight="1" thickBot="1" x14ac:dyDescent="0.25">
      <c r="F24" s="489">
        <v>30</v>
      </c>
      <c r="G24" s="488" t="str">
        <f t="shared" si="5"/>
        <v/>
      </c>
      <c r="H24" s="898" t="str">
        <f t="shared" si="6"/>
        <v/>
      </c>
      <c r="I24" s="898" t="str">
        <f t="shared" si="6"/>
        <v/>
      </c>
      <c r="J24" s="898" t="str">
        <f t="shared" si="6"/>
        <v/>
      </c>
      <c r="K24" s="447"/>
      <c r="L24" s="473" t="str">
        <f ca="1">VLOOKUP(L23,$A$5:$G$24,7,FALSE)</f>
        <v/>
      </c>
      <c r="M24" s="466" t="str">
        <f ca="1">IFERROR(VLOOKUP(L24,$G$5:$J$28,3,FALSE),"")</f>
        <v/>
      </c>
      <c r="N24" s="967"/>
      <c r="Q24" s="447"/>
      <c r="R24" s="473" t="str">
        <f>IF(ISBLANK(N14),"",IF(O14+N14&lt;N16+O16,L15,L17))</f>
        <v/>
      </c>
      <c r="S24" s="466" t="str">
        <f ca="1">IFERROR(VLOOKUP(R24,$G$5:$J$28,3,FALSE),"")</f>
        <v/>
      </c>
      <c r="T24" s="967"/>
      <c r="W24" s="447"/>
      <c r="X24" s="473" t="str">
        <f>IF(ISBLANK(T28),"",IF(U28+T28&gt;T30+U30,R29,R31))</f>
        <v/>
      </c>
      <c r="Y24" s="466" t="str">
        <f ca="1">IFERROR(VLOOKUP(X24,$G$5:$J$28,3,FALSE),"")</f>
        <v/>
      </c>
      <c r="Z24" s="967"/>
      <c r="AF24" s="453"/>
      <c r="AG24" s="453"/>
      <c r="AH24" s="453"/>
      <c r="AI24" s="453"/>
      <c r="AJ24" s="453"/>
      <c r="AN24" s="494"/>
      <c r="AO24" s="495"/>
      <c r="AP24" s="495"/>
      <c r="AQ24" s="496"/>
      <c r="AR24" s="494"/>
      <c r="AS24" s="495"/>
      <c r="AT24" s="495"/>
      <c r="AU24" s="496"/>
      <c r="AV24" s="494"/>
      <c r="AW24" s="495"/>
      <c r="AX24" s="495"/>
      <c r="AY24" s="496"/>
    </row>
    <row r="25" spans="1:51" ht="15.95" customHeight="1" x14ac:dyDescent="0.2">
      <c r="F25" s="489">
        <v>31</v>
      </c>
      <c r="G25" s="488" t="str">
        <f t="shared" si="5"/>
        <v/>
      </c>
      <c r="H25" s="898" t="str">
        <f t="shared" si="6"/>
        <v/>
      </c>
      <c r="I25" s="898" t="str">
        <f t="shared" si="6"/>
        <v/>
      </c>
      <c r="J25" s="898" t="str">
        <f t="shared" si="6"/>
        <v/>
      </c>
      <c r="K25" s="447"/>
      <c r="L25" s="441"/>
      <c r="M25" s="441"/>
      <c r="Q25" s="447"/>
      <c r="R25" s="437"/>
      <c r="S25" s="437"/>
      <c r="T25" s="451"/>
      <c r="W25" s="447"/>
      <c r="X25" s="441"/>
      <c r="Y25" s="441"/>
      <c r="AF25" s="453"/>
      <c r="AG25" s="453"/>
      <c r="AH25" s="453"/>
      <c r="AI25" s="453"/>
      <c r="AJ25" s="453"/>
      <c r="AN25" s="494"/>
      <c r="AO25" s="495"/>
      <c r="AP25" s="495"/>
      <c r="AQ25" s="496"/>
      <c r="AR25" s="494"/>
      <c r="AS25" s="495"/>
      <c r="AT25" s="495"/>
      <c r="AU25" s="496"/>
      <c r="AV25" s="494"/>
      <c r="AW25" s="495"/>
      <c r="AX25" s="495"/>
      <c r="AY25" s="496"/>
    </row>
    <row r="26" spans="1:51" ht="15.95" customHeight="1" thickBot="1" x14ac:dyDescent="0.25">
      <c r="F26" s="489">
        <v>32</v>
      </c>
      <c r="G26" s="488" t="str">
        <f t="shared" si="5"/>
        <v/>
      </c>
      <c r="H26" s="898" t="str">
        <f t="shared" si="6"/>
        <v/>
      </c>
      <c r="I26" s="898" t="str">
        <f t="shared" si="6"/>
        <v/>
      </c>
      <c r="J26" s="898" t="str">
        <f t="shared" si="6"/>
        <v/>
      </c>
      <c r="K26" s="450"/>
      <c r="L26" s="450"/>
      <c r="M26" s="450"/>
      <c r="N26" s="451"/>
      <c r="O26" s="450"/>
      <c r="P26" s="450"/>
      <c r="Q26" s="450"/>
      <c r="R26" s="437"/>
      <c r="S26" s="437"/>
      <c r="T26" s="451"/>
      <c r="U26" s="450"/>
      <c r="V26" s="450"/>
      <c r="W26" s="450"/>
      <c r="X26" s="979" t="s">
        <v>821</v>
      </c>
      <c r="Y26" s="1247"/>
      <c r="Z26" s="1247"/>
      <c r="AA26" s="450"/>
      <c r="AF26" s="453"/>
      <c r="AG26" s="453"/>
      <c r="AH26" s="453"/>
      <c r="AI26" s="453"/>
      <c r="AJ26" s="453"/>
      <c r="AN26" s="494"/>
      <c r="AO26" s="495"/>
      <c r="AP26" s="495"/>
      <c r="AQ26" s="496"/>
      <c r="AR26" s="494"/>
      <c r="AS26" s="495"/>
      <c r="AT26" s="495"/>
      <c r="AU26" s="496"/>
      <c r="AV26" s="494"/>
      <c r="AW26" s="495"/>
      <c r="AX26" s="495"/>
      <c r="AY26" s="496"/>
    </row>
    <row r="27" spans="1:51" ht="15.95" customHeight="1" thickBot="1" x14ac:dyDescent="0.25">
      <c r="F27" s="489">
        <v>33</v>
      </c>
      <c r="G27" s="488" t="str">
        <f t="shared" si="5"/>
        <v/>
      </c>
      <c r="H27" s="898" t="str">
        <f t="shared" si="6"/>
        <v/>
      </c>
      <c r="I27" s="898" t="str">
        <f t="shared" si="6"/>
        <v/>
      </c>
      <c r="J27" s="898" t="str">
        <f t="shared" si="6"/>
        <v/>
      </c>
      <c r="K27" s="445" t="s">
        <v>779</v>
      </c>
      <c r="L27" s="779" t="s">
        <v>1083</v>
      </c>
      <c r="M27" s="456" t="s">
        <v>481</v>
      </c>
      <c r="N27" s="464" t="s">
        <v>780</v>
      </c>
      <c r="O27" s="446" t="s">
        <v>781</v>
      </c>
      <c r="P27" s="445"/>
      <c r="Q27" s="445" t="s">
        <v>779</v>
      </c>
      <c r="R27" s="779" t="s">
        <v>1083</v>
      </c>
      <c r="S27" s="456" t="s">
        <v>481</v>
      </c>
      <c r="T27" s="464" t="s">
        <v>780</v>
      </c>
      <c r="U27" s="446" t="s">
        <v>781</v>
      </c>
      <c r="V27" s="445"/>
      <c r="W27" s="445" t="s">
        <v>779</v>
      </c>
      <c r="X27" s="779" t="s">
        <v>1083</v>
      </c>
      <c r="Y27" s="456" t="s">
        <v>481</v>
      </c>
      <c r="Z27" s="464" t="s">
        <v>780</v>
      </c>
      <c r="AA27" s="446" t="s">
        <v>781</v>
      </c>
      <c r="AF27" s="453"/>
      <c r="AG27" s="453"/>
      <c r="AH27" s="453"/>
      <c r="AI27" s="453"/>
      <c r="AJ27" s="453"/>
      <c r="AN27" s="494"/>
      <c r="AO27" s="495"/>
      <c r="AP27" s="495"/>
      <c r="AQ27" s="496"/>
      <c r="AR27" s="494"/>
      <c r="AS27" s="495"/>
      <c r="AT27" s="495"/>
      <c r="AU27" s="496"/>
      <c r="AV27" s="494"/>
      <c r="AW27" s="495"/>
      <c r="AX27" s="495"/>
      <c r="AY27" s="496"/>
    </row>
    <row r="28" spans="1:51" ht="15.95" customHeight="1" thickBot="1" x14ac:dyDescent="0.25">
      <c r="F28" s="489">
        <v>34</v>
      </c>
      <c r="G28" s="488" t="str">
        <f t="shared" si="5"/>
        <v/>
      </c>
      <c r="H28" s="898" t="str">
        <f t="shared" si="6"/>
        <v/>
      </c>
      <c r="I28" s="898" t="str">
        <f t="shared" si="6"/>
        <v/>
      </c>
      <c r="J28" s="898" t="str">
        <f t="shared" si="6"/>
        <v/>
      </c>
      <c r="K28" s="447">
        <f>K23+1</f>
        <v>7</v>
      </c>
      <c r="L28" s="472">
        <v>2</v>
      </c>
      <c r="M28" s="465" t="str">
        <f ca="1">IFERROR(VLOOKUP(L29,$G$5:$J$28,2,FALSE),"")</f>
        <v/>
      </c>
      <c r="N28" s="966"/>
      <c r="O28" s="780"/>
      <c r="Q28" s="447">
        <f>Q23+1</f>
        <v>7</v>
      </c>
      <c r="R28" s="472">
        <v>6</v>
      </c>
      <c r="S28" s="465" t="str">
        <f ca="1">IFERROR(VLOOKUP(R29,$G$5:$J$28,2,FALSE),"")</f>
        <v/>
      </c>
      <c r="T28" s="966"/>
      <c r="U28" s="780"/>
      <c r="W28" s="447">
        <f>W23+1</f>
        <v>7</v>
      </c>
      <c r="X28" s="472">
        <v>8</v>
      </c>
      <c r="Y28" s="465" t="str">
        <f ca="1">IFERROR(VLOOKUP(X29,$G$5:$J$28,2,FALSE),"")</f>
        <v/>
      </c>
      <c r="Z28" s="966"/>
      <c r="AA28" s="780"/>
      <c r="AF28" s="453"/>
      <c r="AG28" s="453"/>
      <c r="AH28" s="453"/>
      <c r="AI28" s="453"/>
      <c r="AJ28" s="453"/>
      <c r="AN28" s="494"/>
      <c r="AO28" s="495"/>
      <c r="AP28" s="495"/>
      <c r="AQ28" s="496"/>
      <c r="AR28" s="494"/>
      <c r="AS28" s="495"/>
      <c r="AT28" s="495"/>
      <c r="AU28" s="496"/>
      <c r="AV28" s="494"/>
      <c r="AW28" s="495"/>
      <c r="AX28" s="495"/>
      <c r="AY28" s="496"/>
    </row>
    <row r="29" spans="1:51" ht="15.95" customHeight="1" thickBot="1" x14ac:dyDescent="0.25">
      <c r="I29" s="437"/>
      <c r="J29" s="437"/>
      <c r="K29" s="447"/>
      <c r="L29" s="473" t="str">
        <f ca="1">VLOOKUP(L28,$A$5:$G$24,7,FALSE)</f>
        <v/>
      </c>
      <c r="M29" s="466" t="str">
        <f ca="1">IFERROR(VLOOKUP(L29,$G$5:$J$28,3,FALSE),"")</f>
        <v/>
      </c>
      <c r="N29" s="967"/>
      <c r="Q29" s="447"/>
      <c r="R29" s="473" t="str">
        <f>IF(ISBLANK(N21),"",IF(N21+O21&lt;N23+O23,L22,L24))</f>
        <v/>
      </c>
      <c r="S29" s="466" t="str">
        <f ca="1">IFERROR(VLOOKUP(R29,$G$5:$J$28,3,FALSE),"")</f>
        <v/>
      </c>
      <c r="T29" s="967"/>
      <c r="W29" s="447"/>
      <c r="X29" s="473" t="str">
        <f>IF(ISBLANK(T21),"",IF(U21+T21&lt;T23+U23,R22,R24))</f>
        <v/>
      </c>
      <c r="Y29" s="466" t="str">
        <f ca="1">IFERROR(VLOOKUP(X29,$G$5:$J$28,3,FALSE),"")</f>
        <v/>
      </c>
      <c r="Z29" s="967"/>
      <c r="AF29" s="453"/>
      <c r="AG29" s="453"/>
      <c r="AH29" s="453"/>
      <c r="AI29" s="453"/>
      <c r="AJ29" s="453"/>
      <c r="AN29" s="494"/>
      <c r="AO29" s="495"/>
      <c r="AP29" s="495"/>
      <c r="AQ29" s="496"/>
      <c r="AR29" s="494"/>
      <c r="AS29" s="495"/>
      <c r="AT29" s="495"/>
      <c r="AU29" s="496"/>
      <c r="AV29" s="494"/>
      <c r="AW29" s="495"/>
      <c r="AX29" s="495"/>
      <c r="AY29" s="496"/>
    </row>
    <row r="30" spans="1:51" ht="15.95" customHeight="1" thickBot="1" x14ac:dyDescent="0.25">
      <c r="I30" s="437"/>
      <c r="J30" s="437"/>
      <c r="K30" s="447">
        <f>K28+1</f>
        <v>8</v>
      </c>
      <c r="L30" s="472">
        <v>7</v>
      </c>
      <c r="M30" s="465" t="str">
        <f ca="1">IFERROR(VLOOKUP(L31,$G$5:$J$28,2,FALSE),"")</f>
        <v/>
      </c>
      <c r="N30" s="966"/>
      <c r="O30" s="780"/>
      <c r="Q30" s="447">
        <f>Q28+1</f>
        <v>8</v>
      </c>
      <c r="R30" s="472">
        <v>7</v>
      </c>
      <c r="S30" s="465" t="str">
        <f ca="1">IFERROR(VLOOKUP(R31,$G$5:$J$28,2,FALSE),"")</f>
        <v/>
      </c>
      <c r="T30" s="966"/>
      <c r="U30" s="780"/>
      <c r="W30" s="447">
        <f>W28+1</f>
        <v>8</v>
      </c>
      <c r="X30" s="472">
        <v>7</v>
      </c>
      <c r="Y30" s="465" t="str">
        <f ca="1">IFERROR(VLOOKUP(X31,$G$5:$J$28,2,FALSE),"")</f>
        <v/>
      </c>
      <c r="Z30" s="966"/>
      <c r="AA30" s="780"/>
      <c r="AF30" s="453"/>
      <c r="AG30" s="453"/>
      <c r="AH30" s="453"/>
      <c r="AI30" s="453"/>
      <c r="AJ30" s="453"/>
    </row>
    <row r="31" spans="1:51" ht="15.95" customHeight="1" thickBot="1" x14ac:dyDescent="0.25">
      <c r="I31" s="437"/>
      <c r="J31" s="437"/>
      <c r="K31" s="447"/>
      <c r="L31" s="473" t="str">
        <f ca="1">VLOOKUP(L30,$A$5:$G$24,7,FALSE)</f>
        <v/>
      </c>
      <c r="M31" s="466" t="str">
        <f ca="1">IFERROR(VLOOKUP(L31,$G$5:$J$28,3,FALSE),"")</f>
        <v/>
      </c>
      <c r="N31" s="967"/>
      <c r="Q31" s="447"/>
      <c r="R31" s="473" t="str">
        <f>IF(ISBLANK(N28),"",IF(N28+O28&lt;N30+O30,L29,L31))</f>
        <v/>
      </c>
      <c r="S31" s="466" t="str">
        <f ca="1">IFERROR(VLOOKUP(R31,$G$5:$J$28,3,FALSE),"")</f>
        <v/>
      </c>
      <c r="T31" s="967"/>
      <c r="W31" s="447"/>
      <c r="X31" s="473" t="str">
        <f>IF(ISBLANK(T28),"",IF(U28+T28&lt;T30+U30,R29,R31))</f>
        <v/>
      </c>
      <c r="Y31" s="466" t="str">
        <f ca="1">IFERROR(VLOOKUP(X31,$G$5:$J$28,3,FALSE),"")</f>
        <v/>
      </c>
      <c r="Z31" s="967"/>
      <c r="AF31" s="453"/>
      <c r="AG31" s="453"/>
    </row>
    <row r="32" spans="1:51" ht="15.95" customHeight="1" x14ac:dyDescent="0.2">
      <c r="I32" s="437"/>
      <c r="J32" s="437"/>
      <c r="K32" s="450"/>
      <c r="L32" s="437"/>
      <c r="M32" s="437"/>
      <c r="N32" s="451"/>
      <c r="O32" s="450"/>
      <c r="P32" s="450"/>
      <c r="Q32" s="450"/>
      <c r="R32" s="437"/>
      <c r="S32" s="437"/>
      <c r="T32" s="451"/>
      <c r="U32" s="450"/>
      <c r="V32" s="450"/>
      <c r="W32" s="450"/>
      <c r="X32" s="437"/>
      <c r="Y32" s="437"/>
      <c r="Z32" s="451"/>
      <c r="AA32" s="450"/>
      <c r="AF32" s="453"/>
      <c r="AG32" s="453"/>
    </row>
    <row r="33" spans="9:33" ht="15.95" customHeight="1" thickBot="1" x14ac:dyDescent="0.25">
      <c r="I33" s="437"/>
      <c r="J33" s="437"/>
      <c r="K33" s="450"/>
      <c r="L33" s="979" t="s">
        <v>822</v>
      </c>
      <c r="M33" s="1247"/>
      <c r="N33" s="1247"/>
      <c r="Q33" s="450"/>
      <c r="R33" s="979" t="s">
        <v>823</v>
      </c>
      <c r="S33" s="1247"/>
      <c r="T33" s="1247"/>
      <c r="U33" s="450"/>
      <c r="V33" s="450"/>
      <c r="W33" s="450"/>
      <c r="X33" s="979" t="s">
        <v>824</v>
      </c>
      <c r="Y33" s="1247"/>
      <c r="Z33" s="1247"/>
      <c r="AF33" s="453"/>
      <c r="AG33" s="453"/>
    </row>
    <row r="34" spans="9:33" ht="15.95" customHeight="1" thickBot="1" x14ac:dyDescent="0.25">
      <c r="I34" s="437"/>
      <c r="J34" s="437"/>
      <c r="K34" s="445" t="s">
        <v>779</v>
      </c>
      <c r="L34" s="779" t="s">
        <v>1083</v>
      </c>
      <c r="M34" s="456" t="s">
        <v>481</v>
      </c>
      <c r="N34" s="464" t="s">
        <v>780</v>
      </c>
      <c r="O34" s="446" t="s">
        <v>781</v>
      </c>
      <c r="P34" s="445"/>
      <c r="Q34" s="445" t="s">
        <v>779</v>
      </c>
      <c r="R34" s="779" t="s">
        <v>1083</v>
      </c>
      <c r="S34" s="456" t="s">
        <v>481</v>
      </c>
      <c r="T34" s="464" t="s">
        <v>780</v>
      </c>
      <c r="U34" s="446" t="s">
        <v>781</v>
      </c>
      <c r="V34" s="445"/>
      <c r="W34" s="445" t="s">
        <v>779</v>
      </c>
      <c r="X34" s="779" t="s">
        <v>1083</v>
      </c>
      <c r="Y34" s="456" t="s">
        <v>481</v>
      </c>
      <c r="Z34" s="464" t="s">
        <v>780</v>
      </c>
      <c r="AA34" s="446" t="s">
        <v>781</v>
      </c>
      <c r="AF34" s="453"/>
      <c r="AG34" s="453"/>
    </row>
    <row r="35" spans="9:33" ht="15.95" customHeight="1" thickBot="1" x14ac:dyDescent="0.25">
      <c r="I35" s="437"/>
      <c r="J35" s="437"/>
      <c r="K35" s="447">
        <f>K30+1</f>
        <v>9</v>
      </c>
      <c r="L35" s="472">
        <v>9</v>
      </c>
      <c r="M35" s="465" t="str">
        <f ca="1">IFERROR(VLOOKUP(L36,$G$5:$J$28,2,FALSE),"")</f>
        <v/>
      </c>
      <c r="N35" s="966"/>
      <c r="O35" s="780"/>
      <c r="Q35" s="447">
        <f>K35</f>
        <v>9</v>
      </c>
      <c r="R35" s="472">
        <v>9</v>
      </c>
      <c r="S35" s="465" t="str">
        <f ca="1">IFERROR(VLOOKUP(R36,$G$5:$J$28,2,FALSE),"")</f>
        <v/>
      </c>
      <c r="T35" s="966"/>
      <c r="U35" s="780"/>
      <c r="W35" s="447">
        <f>Q35</f>
        <v>9</v>
      </c>
      <c r="X35" s="472">
        <v>9</v>
      </c>
      <c r="Y35" s="465" t="str">
        <f ca="1">IFERROR(VLOOKUP(X36,$G$5:$J$28,2,FALSE),"")</f>
        <v/>
      </c>
      <c r="Z35" s="966"/>
      <c r="AA35" s="780"/>
      <c r="AF35" s="453"/>
      <c r="AG35" s="453"/>
    </row>
    <row r="36" spans="9:33" ht="15.95" customHeight="1" thickBot="1" x14ac:dyDescent="0.25">
      <c r="I36" s="437"/>
      <c r="J36" s="437"/>
      <c r="K36" s="447"/>
      <c r="L36" s="473" t="str">
        <f ca="1">VLOOKUP(L35,$A$5:$G$24,7,FALSE)</f>
        <v/>
      </c>
      <c r="M36" s="466" t="str">
        <f ca="1">IFERROR(VLOOKUP(L36,$G$5:$J$28,3,FALSE),"")</f>
        <v/>
      </c>
      <c r="N36" s="967"/>
      <c r="Q36" s="447"/>
      <c r="R36" s="473" t="str">
        <f>IF(ISBLANK(N35),"",IF(O35+N35&gt;N37+O37,L36,L38))</f>
        <v/>
      </c>
      <c r="S36" s="466" t="str">
        <f ca="1">IFERROR(VLOOKUP(R36,$G$5:$J$28,3,FALSE),"")</f>
        <v/>
      </c>
      <c r="T36" s="967"/>
      <c r="W36" s="447"/>
      <c r="X36" s="473" t="str">
        <f>IF(ISBLANK(T35),"",IF(U35+T35&gt;T37+U37,R36,R38))</f>
        <v/>
      </c>
      <c r="Y36" s="466" t="str">
        <f ca="1">IFERROR(VLOOKUP(X36,$G$5:$J$28,3,FALSE),"")</f>
        <v/>
      </c>
      <c r="Z36" s="967"/>
      <c r="AF36" s="453"/>
      <c r="AG36" s="453"/>
    </row>
    <row r="37" spans="9:33" ht="15.95" customHeight="1" thickBot="1" x14ac:dyDescent="0.25">
      <c r="I37" s="437"/>
      <c r="J37" s="437"/>
      <c r="K37" s="447">
        <f>K35+1</f>
        <v>10</v>
      </c>
      <c r="L37" s="472">
        <v>16</v>
      </c>
      <c r="M37" s="465" t="str">
        <f ca="1">IFERROR(VLOOKUP(L38,$G$5:$J$28,2,FALSE),"")</f>
        <v/>
      </c>
      <c r="N37" s="966"/>
      <c r="O37" s="780"/>
      <c r="Q37" s="447">
        <f>Q35+1</f>
        <v>10</v>
      </c>
      <c r="R37" s="472">
        <v>12</v>
      </c>
      <c r="S37" s="465" t="str">
        <f ca="1">IFERROR(VLOOKUP(R38,$G$5:$J$28,2,FALSE),"")</f>
        <v/>
      </c>
      <c r="T37" s="966"/>
      <c r="U37" s="780"/>
      <c r="W37" s="447">
        <f>W35+1</f>
        <v>10</v>
      </c>
      <c r="X37" s="472">
        <v>10</v>
      </c>
      <c r="Y37" s="465" t="str">
        <f ca="1">IFERROR(VLOOKUP(X38,$G$5:$J$28,2,FALSE),"")</f>
        <v/>
      </c>
      <c r="Z37" s="966"/>
      <c r="AA37" s="780"/>
      <c r="AF37" s="453"/>
      <c r="AG37" s="453"/>
    </row>
    <row r="38" spans="9:33" ht="15.95" customHeight="1" thickBot="1" x14ac:dyDescent="0.25">
      <c r="I38" s="437"/>
      <c r="J38" s="437"/>
      <c r="K38" s="447"/>
      <c r="L38" s="473" t="str">
        <f ca="1">VLOOKUP(L37,$A$5:$G$24,7,FALSE)</f>
        <v/>
      </c>
      <c r="M38" s="466" t="str">
        <f ca="1">IFERROR(VLOOKUP(L38,$G$5:$J$28,3,FALSE),"")</f>
        <v/>
      </c>
      <c r="N38" s="967"/>
      <c r="Q38" s="447"/>
      <c r="R38" s="473" t="str">
        <f>IF(ISBLANK(N42),"",IF(O42+N42&gt;N44+O44,L43,L45))</f>
        <v/>
      </c>
      <c r="S38" s="466" t="str">
        <f ca="1">IFERROR(VLOOKUP(R38,$G$5:$J$28,3,FALSE),"")</f>
        <v/>
      </c>
      <c r="T38" s="967"/>
      <c r="W38" s="447"/>
      <c r="X38" s="473" t="str">
        <f>IF(ISBLANK(T42),"",IF(U42+T42&gt;T44+U44,R43,R45))</f>
        <v/>
      </c>
      <c r="Y38" s="466" t="str">
        <f ca="1">IFERROR(VLOOKUP(X38,$G$5:$J$28,3,FALSE),"")</f>
        <v/>
      </c>
      <c r="Z38" s="967"/>
      <c r="AF38" s="453"/>
      <c r="AG38" s="453"/>
    </row>
    <row r="39" spans="9:33" ht="15.95" customHeight="1" x14ac:dyDescent="0.2">
      <c r="I39" s="437"/>
      <c r="J39" s="437"/>
      <c r="K39" s="450"/>
      <c r="L39" s="450"/>
      <c r="M39" s="450"/>
      <c r="N39" s="451"/>
      <c r="O39" s="450"/>
      <c r="P39" s="450"/>
      <c r="Q39" s="450"/>
      <c r="R39" s="437"/>
      <c r="S39" s="437"/>
      <c r="T39" s="451"/>
      <c r="U39" s="450"/>
      <c r="V39" s="450"/>
      <c r="W39" s="450"/>
      <c r="X39" s="450"/>
      <c r="Y39" s="450"/>
      <c r="Z39" s="451"/>
      <c r="AA39" s="450"/>
      <c r="AF39" s="453"/>
      <c r="AG39" s="453"/>
    </row>
    <row r="40" spans="9:33" ht="15.95" customHeight="1" thickBot="1" x14ac:dyDescent="0.25">
      <c r="I40" s="437"/>
      <c r="J40" s="437"/>
      <c r="K40" s="450"/>
      <c r="L40" s="450"/>
      <c r="M40" s="450"/>
      <c r="N40" s="451"/>
      <c r="O40" s="450"/>
      <c r="P40" s="450"/>
      <c r="Q40" s="450"/>
      <c r="R40" s="437"/>
      <c r="S40" s="437"/>
      <c r="T40" s="451"/>
      <c r="U40" s="450"/>
      <c r="V40" s="450"/>
      <c r="W40" s="450"/>
      <c r="X40" s="979" t="s">
        <v>825</v>
      </c>
      <c r="Y40" s="1247"/>
      <c r="Z40" s="1247"/>
      <c r="AA40" s="450"/>
      <c r="AF40" s="453"/>
      <c r="AG40" s="453"/>
    </row>
    <row r="41" spans="9:33" ht="15.95" customHeight="1" thickBot="1" x14ac:dyDescent="0.25">
      <c r="I41" s="437"/>
      <c r="J41" s="437"/>
      <c r="K41" s="445" t="s">
        <v>779</v>
      </c>
      <c r="L41" s="779" t="s">
        <v>1083</v>
      </c>
      <c r="M41" s="456" t="s">
        <v>481</v>
      </c>
      <c r="N41" s="464" t="s">
        <v>780</v>
      </c>
      <c r="O41" s="446" t="s">
        <v>781</v>
      </c>
      <c r="P41" s="445"/>
      <c r="Q41" s="445" t="s">
        <v>779</v>
      </c>
      <c r="R41" s="779" t="s">
        <v>1083</v>
      </c>
      <c r="S41" s="456" t="s">
        <v>481</v>
      </c>
      <c r="T41" s="464" t="s">
        <v>780</v>
      </c>
      <c r="U41" s="446" t="s">
        <v>781</v>
      </c>
      <c r="V41" s="445"/>
      <c r="W41" s="445" t="s">
        <v>779</v>
      </c>
      <c r="X41" s="779" t="s">
        <v>1083</v>
      </c>
      <c r="Y41" s="456" t="s">
        <v>481</v>
      </c>
      <c r="Z41" s="464" t="s">
        <v>780</v>
      </c>
      <c r="AA41" s="446" t="s">
        <v>781</v>
      </c>
      <c r="AF41" s="453"/>
      <c r="AG41" s="453"/>
    </row>
    <row r="42" spans="9:33" ht="15.95" customHeight="1" thickBot="1" x14ac:dyDescent="0.25">
      <c r="I42" s="437"/>
      <c r="J42" s="437"/>
      <c r="K42" s="447">
        <f>K37+1</f>
        <v>11</v>
      </c>
      <c r="L42" s="472">
        <v>12</v>
      </c>
      <c r="M42" s="465" t="str">
        <f ca="1">IFERROR(VLOOKUP(L43,$G$5:$J$28,2,FALSE),"")</f>
        <v/>
      </c>
      <c r="N42" s="966"/>
      <c r="O42" s="780"/>
      <c r="Q42" s="447">
        <f>Q37+1</f>
        <v>11</v>
      </c>
      <c r="R42" s="472">
        <v>11</v>
      </c>
      <c r="S42" s="465" t="str">
        <f ca="1">IFERROR(VLOOKUP(R43,$G$5:$J$28,2,FALSE),"")</f>
        <v/>
      </c>
      <c r="T42" s="966"/>
      <c r="U42" s="780"/>
      <c r="W42" s="447">
        <f>W37+1</f>
        <v>11</v>
      </c>
      <c r="X42" s="472">
        <v>12</v>
      </c>
      <c r="Y42" s="465" t="str">
        <f ca="1">IFERROR(VLOOKUP(X43,$G$5:$J$28,2,FALSE),"")</f>
        <v/>
      </c>
      <c r="Z42" s="966"/>
      <c r="AA42" s="780"/>
      <c r="AF42" s="453"/>
      <c r="AG42" s="453"/>
    </row>
    <row r="43" spans="9:33" ht="15.95" customHeight="1" thickBot="1" x14ac:dyDescent="0.25">
      <c r="I43" s="437"/>
      <c r="J43" s="437"/>
      <c r="K43" s="447"/>
      <c r="L43" s="473" t="str">
        <f ca="1">VLOOKUP(L42,$A$5:$G$24,7,FALSE)</f>
        <v/>
      </c>
      <c r="M43" s="466" t="str">
        <f ca="1">IFERROR(VLOOKUP(L43,$G$5:$J$28,3,FALSE),"")</f>
        <v/>
      </c>
      <c r="N43" s="967"/>
      <c r="Q43" s="447"/>
      <c r="R43" s="473" t="str">
        <f>IF(ISBLANK(N49),"",IF(N49+O49&gt;N51+O51,L50,L52))</f>
        <v/>
      </c>
      <c r="S43" s="466" t="str">
        <f ca="1">IFERROR(VLOOKUP(R43,$G$5:$J$28,3,FALSE),"")</f>
        <v/>
      </c>
      <c r="T43" s="967"/>
      <c r="W43" s="447"/>
      <c r="X43" s="473" t="str">
        <f>IF(ISBLANK(T35),"",IF(U35+T35&lt;T37+U37,R36,R38))</f>
        <v/>
      </c>
      <c r="Y43" s="466" t="str">
        <f ca="1">IFERROR(VLOOKUP(X43,$G$5:$J$28,3,FALSE),"")</f>
        <v/>
      </c>
      <c r="Z43" s="967"/>
      <c r="AF43" s="453"/>
      <c r="AG43" s="453"/>
    </row>
    <row r="44" spans="9:33" ht="15.95" customHeight="1" thickBot="1" x14ac:dyDescent="0.25">
      <c r="I44" s="437"/>
      <c r="J44" s="437"/>
      <c r="K44" s="447">
        <f>K42+1</f>
        <v>12</v>
      </c>
      <c r="L44" s="472">
        <v>13</v>
      </c>
      <c r="M44" s="465" t="str">
        <f ca="1">IFERROR(VLOOKUP(L45,$G$5:$J$28,2,FALSE),"")</f>
        <v/>
      </c>
      <c r="N44" s="966"/>
      <c r="O44" s="780"/>
      <c r="Q44" s="447">
        <f>Q42+1</f>
        <v>12</v>
      </c>
      <c r="R44" s="472">
        <v>10</v>
      </c>
      <c r="S44" s="465" t="str">
        <f ca="1">IFERROR(VLOOKUP(R45,$G$5:$J$28,2,FALSE),"")</f>
        <v/>
      </c>
      <c r="T44" s="966"/>
      <c r="U44" s="780"/>
      <c r="W44" s="447">
        <f>W42+1</f>
        <v>12</v>
      </c>
      <c r="X44" s="472">
        <v>11</v>
      </c>
      <c r="Y44" s="465" t="str">
        <f ca="1">IFERROR(VLOOKUP(X45,$G$5:$J$28,2,FALSE),"")</f>
        <v/>
      </c>
      <c r="Z44" s="966"/>
      <c r="AA44" s="780"/>
      <c r="AF44" s="453"/>
      <c r="AG44" s="453"/>
    </row>
    <row r="45" spans="9:33" ht="15.95" customHeight="1" thickBot="1" x14ac:dyDescent="0.25">
      <c r="I45" s="437"/>
      <c r="J45" s="437"/>
      <c r="K45" s="447"/>
      <c r="L45" s="473" t="str">
        <f ca="1">VLOOKUP(L44,$A$5:$G$24,7,FALSE)</f>
        <v/>
      </c>
      <c r="M45" s="466" t="str">
        <f ca="1">IFERROR(VLOOKUP(L45,$G$5:$J$28,3,FALSE),"")</f>
        <v/>
      </c>
      <c r="N45" s="967"/>
      <c r="Q45" s="447"/>
      <c r="R45" s="473" t="str">
        <f>IF(ISBLANK(N56),"",IF(N56+O56&gt;N58+O58,L57,L59))</f>
        <v/>
      </c>
      <c r="S45" s="466" t="str">
        <f ca="1">IFERROR(VLOOKUP(R45,$G$5:$J$28,3,FALSE),"")</f>
        <v/>
      </c>
      <c r="T45" s="967"/>
      <c r="W45" s="447"/>
      <c r="X45" s="473" t="str">
        <f>IF(ISBLANK(T42),"",IF(U42+T42&lt;T44+U44,R43,R45))</f>
        <v/>
      </c>
      <c r="Y45" s="466" t="str">
        <f ca="1">IFERROR(VLOOKUP(X45,$G$5:$J$28,3,FALSE),"")</f>
        <v/>
      </c>
      <c r="Z45" s="967"/>
      <c r="AF45" s="453"/>
      <c r="AG45" s="453"/>
    </row>
    <row r="46" spans="9:33" ht="15.95" customHeight="1" x14ac:dyDescent="0.2">
      <c r="I46" s="437"/>
      <c r="J46" s="437"/>
      <c r="K46" s="450"/>
      <c r="L46" s="450"/>
      <c r="M46" s="450"/>
      <c r="N46" s="451"/>
      <c r="O46" s="450"/>
      <c r="P46" s="450"/>
      <c r="Q46" s="450"/>
      <c r="R46" s="450"/>
      <c r="S46" s="450"/>
      <c r="T46" s="451"/>
      <c r="U46" s="450"/>
      <c r="V46" s="450"/>
      <c r="W46" s="450"/>
      <c r="X46" s="450"/>
      <c r="Y46" s="450"/>
      <c r="Z46" s="451"/>
      <c r="AA46" s="450"/>
      <c r="AF46" s="453"/>
      <c r="AG46" s="453"/>
    </row>
    <row r="47" spans="9:33" ht="15.95" customHeight="1" thickBot="1" x14ac:dyDescent="0.25">
      <c r="I47" s="437"/>
      <c r="J47" s="437"/>
      <c r="K47" s="450"/>
      <c r="L47" s="454"/>
      <c r="M47" s="454"/>
      <c r="N47" s="455"/>
      <c r="O47" s="450"/>
      <c r="P47" s="450"/>
      <c r="Q47" s="450"/>
      <c r="R47" s="979" t="s">
        <v>826</v>
      </c>
      <c r="S47" s="1247"/>
      <c r="T47" s="1247"/>
      <c r="U47" s="450"/>
      <c r="V47" s="450"/>
      <c r="W47" s="450"/>
      <c r="X47" s="979" t="s">
        <v>827</v>
      </c>
      <c r="Y47" s="1247"/>
      <c r="Z47" s="1247"/>
      <c r="AA47" s="450"/>
      <c r="AF47" s="453"/>
      <c r="AG47" s="453"/>
    </row>
    <row r="48" spans="9:33" ht="15.95" customHeight="1" thickBot="1" x14ac:dyDescent="0.25">
      <c r="I48" s="437"/>
      <c r="J48" s="437"/>
      <c r="K48" s="445" t="s">
        <v>779</v>
      </c>
      <c r="L48" s="779" t="s">
        <v>1083</v>
      </c>
      <c r="M48" s="456" t="s">
        <v>481</v>
      </c>
      <c r="N48" s="464" t="s">
        <v>780</v>
      </c>
      <c r="O48" s="446" t="s">
        <v>781</v>
      </c>
      <c r="P48" s="445"/>
      <c r="Q48" s="445" t="s">
        <v>779</v>
      </c>
      <c r="R48" s="779" t="s">
        <v>1083</v>
      </c>
      <c r="S48" s="456" t="s">
        <v>481</v>
      </c>
      <c r="T48" s="464" t="s">
        <v>780</v>
      </c>
      <c r="U48" s="446" t="s">
        <v>781</v>
      </c>
      <c r="V48" s="445"/>
      <c r="W48" s="445" t="s">
        <v>779</v>
      </c>
      <c r="X48" s="779" t="s">
        <v>1083</v>
      </c>
      <c r="Y48" s="456" t="s">
        <v>481</v>
      </c>
      <c r="Z48" s="464" t="s">
        <v>780</v>
      </c>
      <c r="AA48" s="446" t="s">
        <v>781</v>
      </c>
      <c r="AF48" s="453"/>
      <c r="AG48" s="453"/>
    </row>
    <row r="49" spans="9:33" ht="15.95" customHeight="1" thickBot="1" x14ac:dyDescent="0.25">
      <c r="I49" s="437"/>
      <c r="J49" s="437"/>
      <c r="K49" s="447">
        <f>K44+1</f>
        <v>13</v>
      </c>
      <c r="L49" s="472">
        <v>11</v>
      </c>
      <c r="M49" s="465" t="str">
        <f ca="1">IFERROR(VLOOKUP(L50,$G$5:$J$28,2,FALSE),"")</f>
        <v/>
      </c>
      <c r="N49" s="966"/>
      <c r="O49" s="780"/>
      <c r="Q49" s="447">
        <f>Q44+1</f>
        <v>13</v>
      </c>
      <c r="R49" s="472">
        <v>16</v>
      </c>
      <c r="S49" s="465" t="str">
        <f ca="1">IFERROR(VLOOKUP(R50,$G$5:$J$28,2,FALSE),"")</f>
        <v/>
      </c>
      <c r="T49" s="966"/>
      <c r="U49" s="780"/>
      <c r="W49" s="447">
        <f>W44+1</f>
        <v>13</v>
      </c>
      <c r="X49" s="472">
        <v>13</v>
      </c>
      <c r="Y49" s="465" t="str">
        <f ca="1">IFERROR(VLOOKUP(X50,$G$5:$J$28,2,FALSE),"")</f>
        <v/>
      </c>
      <c r="Z49" s="966"/>
      <c r="AA49" s="780"/>
      <c r="AF49" s="453"/>
      <c r="AG49" s="453"/>
    </row>
    <row r="50" spans="9:33" ht="15.95" customHeight="1" thickBot="1" x14ac:dyDescent="0.25">
      <c r="I50" s="437"/>
      <c r="J50" s="437"/>
      <c r="K50" s="447"/>
      <c r="L50" s="473" t="str">
        <f ca="1">VLOOKUP(L49,$A$5:$G$24,7,FALSE)</f>
        <v/>
      </c>
      <c r="M50" s="466" t="str">
        <f ca="1">IFERROR(VLOOKUP(L50,$G$5:$J$28,3,FALSE),"")</f>
        <v/>
      </c>
      <c r="N50" s="967"/>
      <c r="Q50" s="447"/>
      <c r="R50" s="473" t="str">
        <f>IF(ISBLANK(N35),"",IF(O35+N35&lt;N37+O37,L36,L38))</f>
        <v/>
      </c>
      <c r="S50" s="466" t="str">
        <f ca="1">IFERROR(VLOOKUP(R50,$G$5:$J$28,3,FALSE),"")</f>
        <v/>
      </c>
      <c r="T50" s="967"/>
      <c r="W50" s="447"/>
      <c r="X50" s="473" t="str">
        <f>IF(ISBLANK(T49),"",IF(U49+T49&gt;T51+U51,R50,R52))</f>
        <v/>
      </c>
      <c r="Y50" s="466" t="str">
        <f ca="1">IFERROR(VLOOKUP(X50,$G$5:$J$28,3,FALSE),"")</f>
        <v/>
      </c>
      <c r="Z50" s="967"/>
    </row>
    <row r="51" spans="9:33" ht="15.95" customHeight="1" thickBot="1" x14ac:dyDescent="0.25">
      <c r="I51" s="437"/>
      <c r="J51" s="437"/>
      <c r="K51" s="447">
        <f>K49+1</f>
        <v>14</v>
      </c>
      <c r="L51" s="472">
        <v>14</v>
      </c>
      <c r="M51" s="465" t="str">
        <f ca="1">IFERROR(VLOOKUP(L52,$G$5:$J$28,2,FALSE),"")</f>
        <v/>
      </c>
      <c r="N51" s="966"/>
      <c r="O51" s="780"/>
      <c r="Q51" s="447">
        <f>Q49+1</f>
        <v>14</v>
      </c>
      <c r="R51" s="472">
        <v>13</v>
      </c>
      <c r="S51" s="465" t="str">
        <f ca="1">IFERROR(VLOOKUP(R52,$G$5:$J$28,2,FALSE),"")</f>
        <v/>
      </c>
      <c r="T51" s="966"/>
      <c r="U51" s="780"/>
      <c r="W51" s="447">
        <f>W49+1</f>
        <v>14</v>
      </c>
      <c r="X51" s="472">
        <v>14</v>
      </c>
      <c r="Y51" s="465" t="str">
        <f ca="1">IFERROR(VLOOKUP(X52,$G$5:$J$28,2,FALSE),"")</f>
        <v/>
      </c>
      <c r="Z51" s="966"/>
      <c r="AA51" s="780"/>
    </row>
    <row r="52" spans="9:33" ht="15.95" customHeight="1" thickBot="1" x14ac:dyDescent="0.25">
      <c r="I52" s="437"/>
      <c r="J52" s="437"/>
      <c r="K52" s="447"/>
      <c r="L52" s="473" t="str">
        <f ca="1">VLOOKUP(L51,$A$5:$G$24,7,FALSE)</f>
        <v/>
      </c>
      <c r="M52" s="466" t="str">
        <f ca="1">IFERROR(VLOOKUP(L52,$G$5:$J$28,3,FALSE),"")</f>
        <v/>
      </c>
      <c r="N52" s="967"/>
      <c r="Q52" s="447"/>
      <c r="R52" s="473" t="str">
        <f>IF(ISBLANK(N42),"",IF(O42+N42&lt;N44+O44,L43,L45))</f>
        <v/>
      </c>
      <c r="S52" s="466" t="str">
        <f ca="1">IFERROR(VLOOKUP(R52,$G$5:$J$28,3,FALSE),"")</f>
        <v/>
      </c>
      <c r="T52" s="967"/>
      <c r="W52" s="447"/>
      <c r="X52" s="473" t="str">
        <f>IF(ISBLANK(T56),"",IF(U56+T56&gt;T58+U58,R57,R59))</f>
        <v/>
      </c>
      <c r="Y52" s="466" t="str">
        <f ca="1">IFERROR(VLOOKUP(X52,$G$5:$J$28,3,FALSE),"")</f>
        <v/>
      </c>
      <c r="Z52" s="967"/>
    </row>
    <row r="53" spans="9:33" ht="15.95" customHeight="1" x14ac:dyDescent="0.2">
      <c r="I53" s="437"/>
      <c r="J53" s="437"/>
      <c r="K53" s="447"/>
      <c r="L53" s="441"/>
      <c r="M53" s="441"/>
      <c r="Q53" s="447"/>
      <c r="R53" s="437"/>
      <c r="S53" s="437"/>
      <c r="T53" s="451"/>
      <c r="W53" s="447"/>
      <c r="X53" s="441"/>
      <c r="Y53" s="441"/>
    </row>
    <row r="54" spans="9:33" ht="15.95" customHeight="1" thickBot="1" x14ac:dyDescent="0.25">
      <c r="I54" s="437"/>
      <c r="J54" s="437"/>
      <c r="K54" s="450"/>
      <c r="L54" s="450"/>
      <c r="M54" s="450"/>
      <c r="N54" s="451"/>
      <c r="O54" s="450"/>
      <c r="P54" s="450"/>
      <c r="Q54" s="450"/>
      <c r="R54" s="437"/>
      <c r="S54" s="437"/>
      <c r="T54" s="451"/>
      <c r="U54" s="450"/>
      <c r="V54" s="450"/>
      <c r="W54" s="450"/>
      <c r="X54" s="979" t="s">
        <v>828</v>
      </c>
      <c r="Y54" s="1247"/>
      <c r="Z54" s="1247"/>
      <c r="AA54" s="450"/>
    </row>
    <row r="55" spans="9:33" ht="15.95" customHeight="1" thickBot="1" x14ac:dyDescent="0.25">
      <c r="I55" s="437"/>
      <c r="J55" s="437"/>
      <c r="K55" s="445" t="s">
        <v>779</v>
      </c>
      <c r="L55" s="779" t="s">
        <v>1083</v>
      </c>
      <c r="M55" s="456" t="s">
        <v>481</v>
      </c>
      <c r="N55" s="464" t="s">
        <v>780</v>
      </c>
      <c r="O55" s="446" t="s">
        <v>781</v>
      </c>
      <c r="P55" s="445"/>
      <c r="Q55" s="445" t="s">
        <v>779</v>
      </c>
      <c r="R55" s="779" t="s">
        <v>1083</v>
      </c>
      <c r="S55" s="456" t="s">
        <v>481</v>
      </c>
      <c r="T55" s="464" t="s">
        <v>780</v>
      </c>
      <c r="U55" s="446" t="s">
        <v>781</v>
      </c>
      <c r="V55" s="445"/>
      <c r="W55" s="445" t="s">
        <v>779</v>
      </c>
      <c r="X55" s="779" t="s">
        <v>1083</v>
      </c>
      <c r="Y55" s="456" t="s">
        <v>481</v>
      </c>
      <c r="Z55" s="464" t="s">
        <v>780</v>
      </c>
      <c r="AA55" s="446" t="s">
        <v>781</v>
      </c>
    </row>
    <row r="56" spans="9:33" ht="15.95" customHeight="1" thickBot="1" x14ac:dyDescent="0.25">
      <c r="I56" s="437"/>
      <c r="J56" s="437"/>
      <c r="K56" s="447">
        <f>K51+1</f>
        <v>15</v>
      </c>
      <c r="L56" s="472">
        <v>10</v>
      </c>
      <c r="M56" s="465" t="str">
        <f ca="1">IFERROR(VLOOKUP(L57,$G$5:$J$28,2,FALSE),"")</f>
        <v/>
      </c>
      <c r="N56" s="966"/>
      <c r="O56" s="780"/>
      <c r="Q56" s="447">
        <f>Q51+1</f>
        <v>15</v>
      </c>
      <c r="R56" s="472">
        <v>14</v>
      </c>
      <c r="S56" s="465" t="str">
        <f ca="1">IFERROR(VLOOKUP(R57,$G$5:$J$28,2,FALSE),"")</f>
        <v/>
      </c>
      <c r="T56" s="966"/>
      <c r="U56" s="780"/>
      <c r="W56" s="447">
        <f>W51+1</f>
        <v>15</v>
      </c>
      <c r="X56" s="472">
        <v>16</v>
      </c>
      <c r="Y56" s="465" t="str">
        <f ca="1">IFERROR(VLOOKUP(X57,$G$5:$J$28,2,FALSE),"")</f>
        <v/>
      </c>
      <c r="Z56" s="966"/>
      <c r="AA56" s="780"/>
    </row>
    <row r="57" spans="9:33" ht="15.95" customHeight="1" thickBot="1" x14ac:dyDescent="0.25">
      <c r="I57" s="437"/>
      <c r="J57" s="437"/>
      <c r="K57" s="447"/>
      <c r="L57" s="473" t="str">
        <f ca="1">VLOOKUP(L56,$A$5:$G$24,7,FALSE)</f>
        <v/>
      </c>
      <c r="M57" s="466" t="str">
        <f ca="1">IFERROR(VLOOKUP(L57,$G$5:$J$28,3,FALSE),"")</f>
        <v/>
      </c>
      <c r="N57" s="967"/>
      <c r="Q57" s="447"/>
      <c r="R57" s="473" t="str">
        <f>IF(ISBLANK(N49),"",IF(N49+O49&lt;N51+O51,L50,L52))</f>
        <v/>
      </c>
      <c r="S57" s="466" t="str">
        <f ca="1">IFERROR(VLOOKUP(R57,$G$5:$J$28,3,FALSE),"")</f>
        <v/>
      </c>
      <c r="T57" s="967"/>
      <c r="W57" s="447"/>
      <c r="X57" s="473" t="str">
        <f>IF(ISBLANK(T49),"",IF(U49+T49&lt;T51+U51,R50,R52))</f>
        <v/>
      </c>
      <c r="Y57" s="466" t="str">
        <f ca="1">IFERROR(VLOOKUP(X57,$G$5:$J$28,3,FALSE),"")</f>
        <v/>
      </c>
      <c r="Z57" s="967"/>
    </row>
    <row r="58" spans="9:33" ht="15.95" customHeight="1" thickBot="1" x14ac:dyDescent="0.25">
      <c r="I58" s="437"/>
      <c r="J58" s="437"/>
      <c r="K58" s="447">
        <f>K56+1</f>
        <v>16</v>
      </c>
      <c r="L58" s="472">
        <v>15</v>
      </c>
      <c r="M58" s="465" t="str">
        <f ca="1">IFERROR(VLOOKUP(L59,$G$5:$J$28,2,FALSE),"")</f>
        <v/>
      </c>
      <c r="N58" s="966"/>
      <c r="O58" s="780"/>
      <c r="Q58" s="447">
        <f>Q56+1</f>
        <v>16</v>
      </c>
      <c r="R58" s="472">
        <v>15</v>
      </c>
      <c r="S58" s="465" t="str">
        <f ca="1">IFERROR(VLOOKUP(R59,$G$5:$J$28,2,FALSE),"")</f>
        <v/>
      </c>
      <c r="T58" s="966"/>
      <c r="U58" s="780"/>
      <c r="W58" s="447">
        <f>W56+1</f>
        <v>16</v>
      </c>
      <c r="X58" s="472">
        <v>15</v>
      </c>
      <c r="Y58" s="465" t="str">
        <f ca="1">IFERROR(VLOOKUP(X59,$G$5:$J$28,2,FALSE),"")</f>
        <v/>
      </c>
      <c r="Z58" s="966"/>
      <c r="AA58" s="780"/>
    </row>
    <row r="59" spans="9:33" ht="15.95" customHeight="1" thickBot="1" x14ac:dyDescent="0.25">
      <c r="I59" s="437"/>
      <c r="J59" s="437"/>
      <c r="K59" s="447"/>
      <c r="L59" s="473" t="str">
        <f ca="1">VLOOKUP(L58,$A$5:$G$24,7,FALSE)</f>
        <v/>
      </c>
      <c r="M59" s="466" t="str">
        <f ca="1">IFERROR(VLOOKUP(L59,$G$5:$J$28,3,FALSE),"")</f>
        <v/>
      </c>
      <c r="N59" s="967"/>
      <c r="Q59" s="447"/>
      <c r="R59" s="473" t="str">
        <f>IF(ISBLANK(N56),"",IF(N56+O56&lt;N58+O58,L57,L59))</f>
        <v/>
      </c>
      <c r="S59" s="466" t="str">
        <f ca="1">IFERROR(VLOOKUP(R59,$G$5:$J$28,3,FALSE),"")</f>
        <v/>
      </c>
      <c r="T59" s="967"/>
      <c r="W59" s="447"/>
      <c r="X59" s="473" t="str">
        <f>IF(ISBLANK(T56),"",IF(U56+T56&lt;T58+U58,R57,R59))</f>
        <v/>
      </c>
      <c r="Y59" s="466" t="str">
        <f ca="1">IFERROR(VLOOKUP(X59,$G$5:$J$28,3,FALSE),"")</f>
        <v/>
      </c>
      <c r="Z59" s="967"/>
    </row>
    <row r="60" spans="9:33" ht="15.95" customHeight="1" x14ac:dyDescent="0.2">
      <c r="I60" s="437"/>
      <c r="J60" s="437"/>
      <c r="K60" s="445"/>
      <c r="L60" s="914"/>
      <c r="O60" s="445"/>
      <c r="P60" s="445"/>
      <c r="Q60" s="445"/>
      <c r="R60" s="914"/>
      <c r="S60" s="435"/>
      <c r="U60" s="445"/>
      <c r="V60" s="445"/>
      <c r="W60" s="445"/>
      <c r="X60" s="914"/>
      <c r="AA60" s="445"/>
    </row>
    <row r="61" spans="9:33" ht="15.95" customHeight="1" thickBot="1" x14ac:dyDescent="0.25">
      <c r="I61" s="437"/>
      <c r="J61" s="437"/>
      <c r="X61" s="979" t="s">
        <v>1323</v>
      </c>
      <c r="Y61" s="1247"/>
      <c r="Z61" s="1247"/>
    </row>
    <row r="62" spans="9:33" ht="15.95" customHeight="1" thickBot="1" x14ac:dyDescent="0.25">
      <c r="I62" s="437"/>
      <c r="J62" s="437"/>
      <c r="K62" s="445" t="s">
        <v>779</v>
      </c>
      <c r="L62" s="779" t="s">
        <v>1083</v>
      </c>
      <c r="M62" s="456" t="s">
        <v>481</v>
      </c>
      <c r="N62" s="464" t="s">
        <v>3</v>
      </c>
      <c r="O62" s="446" t="s">
        <v>781</v>
      </c>
      <c r="P62" s="445"/>
      <c r="Q62" s="445" t="s">
        <v>779</v>
      </c>
      <c r="R62" s="779" t="s">
        <v>1083</v>
      </c>
      <c r="S62" s="456" t="s">
        <v>481</v>
      </c>
      <c r="T62" s="464" t="s">
        <v>3</v>
      </c>
      <c r="U62" s="446" t="s">
        <v>781</v>
      </c>
      <c r="V62" s="445"/>
      <c r="W62" s="445" t="s">
        <v>779</v>
      </c>
      <c r="X62" s="779" t="s">
        <v>1083</v>
      </c>
      <c r="Y62" s="456" t="s">
        <v>481</v>
      </c>
      <c r="Z62" s="464" t="s">
        <v>3</v>
      </c>
      <c r="AA62" s="446" t="s">
        <v>781</v>
      </c>
    </row>
    <row r="63" spans="9:33" ht="15.95" customHeight="1" x14ac:dyDescent="0.2">
      <c r="I63" s="437"/>
      <c r="J63" s="437"/>
      <c r="K63" s="447">
        <f>K58+1</f>
        <v>17</v>
      </c>
      <c r="L63" s="472">
        <v>17</v>
      </c>
      <c r="M63" s="465" t="str">
        <f ca="1">IFERROR(VLOOKUP(L64,$G$5:$J$28,2,FALSE),"")</f>
        <v/>
      </c>
      <c r="N63" s="881"/>
      <c r="O63" s="518"/>
      <c r="Q63" s="447">
        <f>Q58+1</f>
        <v>17</v>
      </c>
      <c r="R63" s="472">
        <v>17</v>
      </c>
      <c r="S63" s="465" t="str">
        <f ca="1">IFERROR(VLOOKUP(R64,$G$5:$J$28,2,FALSE),"")</f>
        <v/>
      </c>
      <c r="T63" s="881"/>
      <c r="U63" s="518"/>
      <c r="W63" s="447">
        <f>W58+1</f>
        <v>17</v>
      </c>
      <c r="X63" s="472">
        <v>17</v>
      </c>
      <c r="Y63" s="465" t="str">
        <f ca="1">IFERROR(VLOOKUP(X64,$G$5:$J$28,2,FALSE),"")</f>
        <v/>
      </c>
      <c r="Z63" s="966"/>
      <c r="AA63" s="518"/>
    </row>
    <row r="64" spans="9:33" ht="15.95" customHeight="1" thickBot="1" x14ac:dyDescent="0.25">
      <c r="I64" s="437"/>
      <c r="J64" s="437"/>
      <c r="K64" s="447"/>
      <c r="L64" s="473" t="str">
        <f ca="1">VLOOKUP(L63,$A$5:$G$24,7,FALSE)</f>
        <v/>
      </c>
      <c r="M64" s="466" t="str">
        <f ca="1">IFERROR(VLOOKUP(L64,$G$5:$J$28,3,FALSE),"")</f>
        <v/>
      </c>
      <c r="N64" s="882"/>
      <c r="Q64" s="447"/>
      <c r="R64" s="473" t="str">
        <f ca="1">L64</f>
        <v/>
      </c>
      <c r="S64" s="466" t="str">
        <f ca="1">IFERROR(VLOOKUP(R64,$G$5:$J$28,3,FALSE),"")</f>
        <v/>
      </c>
      <c r="T64" s="882"/>
      <c r="W64" s="447"/>
      <c r="X64" s="473" t="str">
        <f ca="1">R64</f>
        <v/>
      </c>
      <c r="Y64" s="466" t="str">
        <f ca="1">IFERROR(VLOOKUP(X64,$G$5:$J$28,3,FALSE),"")</f>
        <v/>
      </c>
      <c r="Z64" s="967"/>
    </row>
    <row r="65" spans="9:36" ht="15.95" customHeight="1" x14ac:dyDescent="0.2">
      <c r="I65" s="437"/>
      <c r="J65" s="437"/>
      <c r="AH65" s="441"/>
      <c r="AI65" s="441"/>
      <c r="AJ65" s="447"/>
    </row>
    <row r="66" spans="9:36" ht="15.95" customHeight="1" x14ac:dyDescent="0.2">
      <c r="I66" s="437"/>
      <c r="J66" s="437"/>
      <c r="K66" s="450"/>
      <c r="L66" s="437"/>
      <c r="M66" s="437"/>
      <c r="N66" s="451"/>
      <c r="O66" s="450"/>
      <c r="AH66" s="441"/>
      <c r="AI66" s="441"/>
      <c r="AJ66" s="447"/>
    </row>
    <row r="67" spans="9:36" ht="15.95" customHeight="1" x14ac:dyDescent="0.2">
      <c r="I67" s="437"/>
      <c r="J67" s="437"/>
      <c r="K67" s="450"/>
      <c r="L67" s="437"/>
      <c r="M67" s="437"/>
      <c r="N67" s="451"/>
      <c r="AA67" s="450"/>
      <c r="AH67" s="441"/>
      <c r="AI67" s="441"/>
      <c r="AJ67" s="441"/>
    </row>
    <row r="68" spans="9:36" ht="15.95" customHeight="1" x14ac:dyDescent="0.2">
      <c r="I68" s="437"/>
      <c r="J68" s="437"/>
      <c r="K68" s="450"/>
      <c r="L68" s="437"/>
      <c r="M68" s="437"/>
      <c r="N68" s="451"/>
      <c r="AA68" s="450"/>
      <c r="AH68" s="441"/>
      <c r="AI68" s="441"/>
      <c r="AJ68" s="441"/>
    </row>
    <row r="69" spans="9:36" ht="15.95" customHeight="1" x14ac:dyDescent="0.2">
      <c r="I69" s="437"/>
      <c r="J69" s="437"/>
      <c r="K69" s="450"/>
      <c r="L69" s="437"/>
      <c r="M69" s="437"/>
      <c r="N69" s="793"/>
      <c r="O69" s="787"/>
      <c r="P69" s="787"/>
      <c r="Q69" s="787"/>
      <c r="R69" s="787"/>
      <c r="S69" s="787"/>
      <c r="T69" s="517"/>
      <c r="U69" s="787"/>
      <c r="V69" s="787"/>
      <c r="W69" s="787"/>
      <c r="X69" s="788"/>
      <c r="Y69" s="788"/>
      <c r="AA69" s="450"/>
      <c r="AH69" s="441"/>
      <c r="AI69" s="441"/>
      <c r="AJ69" s="450"/>
    </row>
    <row r="70" spans="9:36" ht="15.95" customHeight="1" x14ac:dyDescent="0.2">
      <c r="I70" s="437"/>
      <c r="J70" s="437"/>
      <c r="K70" s="450"/>
      <c r="L70" s="437"/>
      <c r="M70" s="437"/>
      <c r="N70" s="793"/>
      <c r="O70" s="787"/>
      <c r="P70" s="787"/>
      <c r="Q70" s="787"/>
      <c r="R70" s="787"/>
      <c r="S70" s="787"/>
      <c r="T70" s="517"/>
      <c r="U70" s="787"/>
      <c r="V70" s="787"/>
      <c r="W70" s="787"/>
      <c r="X70" s="788"/>
      <c r="Y70" s="788"/>
      <c r="AA70" s="450"/>
      <c r="AH70" s="441"/>
      <c r="AI70" s="441"/>
      <c r="AJ70" s="450"/>
    </row>
    <row r="71" spans="9:36" ht="15.95" customHeight="1" x14ac:dyDescent="0.2">
      <c r="I71" s="437"/>
      <c r="J71" s="437"/>
      <c r="K71" s="447"/>
      <c r="L71" s="441"/>
      <c r="N71" s="517"/>
      <c r="O71" s="787"/>
      <c r="P71" s="789"/>
      <c r="Q71" s="787"/>
      <c r="R71" s="787"/>
      <c r="S71" s="787"/>
      <c r="T71" s="517"/>
      <c r="U71" s="787"/>
      <c r="V71" s="789"/>
      <c r="W71" s="789"/>
      <c r="X71" s="789"/>
      <c r="Y71" s="789"/>
      <c r="Z71" s="451"/>
      <c r="AA71" s="450"/>
      <c r="AH71" s="441"/>
      <c r="AI71" s="441"/>
      <c r="AJ71" s="445"/>
    </row>
    <row r="72" spans="9:36" ht="15.95" customHeight="1" x14ac:dyDescent="0.2">
      <c r="I72" s="437"/>
      <c r="J72" s="437"/>
      <c r="K72" s="450"/>
      <c r="L72" s="450"/>
      <c r="M72" s="450"/>
      <c r="N72" s="819"/>
      <c r="O72" s="819"/>
      <c r="P72" s="789"/>
      <c r="Q72" s="789"/>
      <c r="R72" s="798"/>
      <c r="S72" s="798"/>
      <c r="T72" s="793"/>
      <c r="U72" s="789"/>
      <c r="V72" s="787"/>
      <c r="W72" s="789"/>
      <c r="X72" s="790"/>
      <c r="Y72" s="525"/>
      <c r="Z72" s="457"/>
      <c r="AA72" s="450"/>
      <c r="AH72" s="441"/>
      <c r="AI72" s="441"/>
      <c r="AJ72" s="447"/>
    </row>
    <row r="73" spans="9:36" ht="15.95" customHeight="1" x14ac:dyDescent="0.2">
      <c r="I73" s="437"/>
      <c r="J73" s="437"/>
      <c r="K73" s="450"/>
      <c r="L73" s="450"/>
      <c r="M73" s="450"/>
      <c r="N73" s="819"/>
      <c r="O73" s="819"/>
      <c r="P73" s="789"/>
      <c r="Q73" s="789"/>
      <c r="R73" s="798"/>
      <c r="S73" s="798"/>
      <c r="T73" s="793"/>
      <c r="U73" s="789"/>
      <c r="V73" s="787"/>
      <c r="W73" s="789"/>
      <c r="X73" s="790"/>
      <c r="Y73" s="525"/>
      <c r="Z73" s="457"/>
      <c r="AA73" s="450"/>
      <c r="AH73" s="441"/>
      <c r="AI73" s="441"/>
      <c r="AJ73" s="447"/>
    </row>
    <row r="74" spans="9:36" ht="15.95" customHeight="1" x14ac:dyDescent="0.2">
      <c r="I74" s="437"/>
      <c r="J74" s="437"/>
      <c r="K74" s="450"/>
      <c r="L74" s="450"/>
      <c r="M74" s="450"/>
      <c r="N74" s="819"/>
      <c r="O74" s="819"/>
      <c r="P74" s="789"/>
      <c r="Q74" s="789"/>
      <c r="R74" s="798"/>
      <c r="S74" s="798"/>
      <c r="T74" s="793"/>
      <c r="U74" s="789"/>
      <c r="V74" s="787"/>
      <c r="W74" s="789"/>
      <c r="X74" s="790"/>
      <c r="Y74" s="525"/>
      <c r="Z74" s="457"/>
      <c r="AA74" s="450"/>
      <c r="AH74" s="441"/>
      <c r="AI74" s="441"/>
      <c r="AJ74" s="450"/>
    </row>
    <row r="75" spans="9:36" ht="15.95" customHeight="1" x14ac:dyDescent="0.2">
      <c r="I75" s="437"/>
      <c r="J75" s="437"/>
      <c r="K75" s="450"/>
      <c r="L75" s="450"/>
      <c r="M75" s="450"/>
      <c r="N75" s="819"/>
      <c r="O75" s="819"/>
      <c r="P75" s="792" t="str">
        <f>IFERROR(IF(Q75=1,1,IF(Q75=2,8,IF(Q75=3,9,"")))+8,"")</f>
        <v/>
      </c>
      <c r="Q75" s="789" t="str">
        <f>IF(SUM($R$75:$R$77)=0,"",RANK(R75,$R$75:$R$77,0))</f>
        <v/>
      </c>
      <c r="R75" s="795">
        <f>N35+O35/100</f>
        <v>0</v>
      </c>
      <c r="S75" s="791" t="str">
        <f ca="1">L36</f>
        <v/>
      </c>
      <c r="T75" s="517"/>
      <c r="U75" s="787"/>
      <c r="V75" s="787"/>
      <c r="W75" s="787"/>
      <c r="X75" s="788"/>
      <c r="Y75" s="788"/>
      <c r="Z75" s="517"/>
      <c r="AA75" s="450"/>
      <c r="AH75" s="441"/>
      <c r="AI75" s="441"/>
      <c r="AJ75" s="450"/>
    </row>
    <row r="76" spans="9:36" ht="15.95" customHeight="1" x14ac:dyDescent="0.2">
      <c r="I76" s="437"/>
      <c r="J76" s="437"/>
      <c r="K76" s="450"/>
      <c r="L76" s="450"/>
      <c r="M76" s="450"/>
      <c r="N76" s="819"/>
      <c r="O76" s="819"/>
      <c r="P76" s="792" t="str">
        <f>IFERROR(IF(Q76=1,1,IF(Q76=2,8,IF(Q76=3,9,"")))+8,"")</f>
        <v/>
      </c>
      <c r="Q76" s="789" t="str">
        <f>IF(SUM($R$75:$R$77)=0,"",RANK(R76,$R$75:$R$77,0))</f>
        <v/>
      </c>
      <c r="R76" s="795">
        <f>N37+O37/100</f>
        <v>0</v>
      </c>
      <c r="S76" s="791" t="str">
        <f ca="1">L38</f>
        <v/>
      </c>
      <c r="T76" s="517"/>
      <c r="U76" s="787"/>
      <c r="V76" s="792" t="str">
        <f>IFERROR(IF(W76=1,7,IF(W76=2,8,IF(W76=3,9,"")))+8,"")</f>
        <v/>
      </c>
      <c r="W76" s="789" t="str">
        <f>IF(SUM($X$76:$X$78)=0,"",RANK(X76,$X$76:$X$78,0))</f>
        <v/>
      </c>
      <c r="X76" s="795">
        <f>Z56+AA56/100</f>
        <v>0</v>
      </c>
      <c r="Y76" s="791" t="str">
        <f>X57</f>
        <v/>
      </c>
      <c r="AA76" s="450"/>
      <c r="AH76" s="441"/>
      <c r="AI76" s="441"/>
      <c r="AJ76" s="450"/>
    </row>
    <row r="77" spans="9:36" ht="15.95" customHeight="1" x14ac:dyDescent="0.2">
      <c r="I77" s="437"/>
      <c r="J77" s="437"/>
      <c r="K77" s="447"/>
      <c r="L77" s="450"/>
      <c r="M77" s="450"/>
      <c r="N77" s="819"/>
      <c r="O77" s="819"/>
      <c r="P77" s="792" t="str">
        <f>IFERROR(IF(Q77=1,1,IF(Q77=2,8,IF(Q77=3,9,"")))+8,"")</f>
        <v/>
      </c>
      <c r="Q77" s="789" t="str">
        <f>IF(SUM($R$75:$R$77)=0,"",RANK(R77,$R$75:$R$77,0))</f>
        <v/>
      </c>
      <c r="R77" s="795">
        <f>N39+O39/100</f>
        <v>0</v>
      </c>
      <c r="S77" s="791">
        <f>L40</f>
        <v>0</v>
      </c>
      <c r="T77" s="517"/>
      <c r="U77" s="787"/>
      <c r="V77" s="792" t="str">
        <f>IFERROR(IF(W77=1,7,IF(W77=2,8,IF(W77=3,9,"")))+8,"")</f>
        <v/>
      </c>
      <c r="W77" s="789" t="str">
        <f>IF(SUM($X$76:$X$78)=0,"",RANK(X77,$X$76:$X$78,0))</f>
        <v/>
      </c>
      <c r="X77" s="795">
        <f>Z58+AA58/100</f>
        <v>0</v>
      </c>
      <c r="Y77" s="791" t="str">
        <f>X59</f>
        <v/>
      </c>
      <c r="AA77" s="450"/>
      <c r="AH77" s="441"/>
      <c r="AI77" s="441"/>
      <c r="AJ77" s="450"/>
    </row>
    <row r="78" spans="9:36" ht="15.95" customHeight="1" x14ac:dyDescent="0.2">
      <c r="I78" s="437"/>
      <c r="J78" s="437"/>
      <c r="K78" s="447"/>
      <c r="L78" s="450"/>
      <c r="M78" s="450"/>
      <c r="N78" s="819"/>
      <c r="O78" s="819"/>
      <c r="P78" s="787"/>
      <c r="Q78" s="787"/>
      <c r="R78" s="796"/>
      <c r="S78" s="787"/>
      <c r="T78" s="517"/>
      <c r="U78" s="789"/>
      <c r="V78" s="792" t="str">
        <f>IFERROR(IF(W78=1,7,IF(W78=2,8,IF(W78=3,9,"")))+8,"")</f>
        <v/>
      </c>
      <c r="W78" s="789" t="str">
        <f>IF(SUM($X$76:$X$78)=0,"",RANK(X78,$X$76:$X$78,0))</f>
        <v/>
      </c>
      <c r="X78" s="795">
        <f>Z60+AA60/100</f>
        <v>0</v>
      </c>
      <c r="Y78" s="791" t="str">
        <f>X61</f>
        <v>17ème place</v>
      </c>
      <c r="AA78" s="450"/>
      <c r="AH78" s="441"/>
      <c r="AI78" s="441"/>
      <c r="AJ78" s="445"/>
    </row>
    <row r="79" spans="9:36" ht="15.95" customHeight="1" x14ac:dyDescent="0.2">
      <c r="I79" s="437"/>
      <c r="J79" s="437"/>
      <c r="K79" s="447"/>
      <c r="L79" s="450"/>
      <c r="M79" s="450"/>
      <c r="N79" s="819"/>
      <c r="O79" s="819"/>
      <c r="P79" s="792" t="str">
        <f>IFERROR(IF(Q79=1,5,IF(Q79=2,8,IF(Q79=3,9,"")))+8,"")</f>
        <v/>
      </c>
      <c r="Q79" s="789" t="str">
        <f>IF(SUM($R$79:$R$81)=0,"",RANK(R79,$R$79:$R$81,0))</f>
        <v/>
      </c>
      <c r="R79" s="795">
        <f>T49+U49/100</f>
        <v>0</v>
      </c>
      <c r="S79" s="791" t="str">
        <f>R50</f>
        <v/>
      </c>
      <c r="T79" s="517"/>
      <c r="U79" s="787"/>
      <c r="V79" s="789"/>
      <c r="W79" s="789"/>
      <c r="X79" s="789"/>
      <c r="Y79" s="789"/>
      <c r="Z79" s="451"/>
      <c r="AA79" s="450"/>
      <c r="AH79" s="441"/>
      <c r="AI79" s="441"/>
      <c r="AJ79" s="447"/>
    </row>
    <row r="80" spans="9:36" ht="15.95" customHeight="1" x14ac:dyDescent="0.2">
      <c r="I80" s="437"/>
      <c r="J80" s="437"/>
      <c r="K80" s="447"/>
      <c r="L80" s="450"/>
      <c r="M80" s="450"/>
      <c r="N80" s="819"/>
      <c r="O80" s="819"/>
      <c r="P80" s="792" t="str">
        <f>IFERROR(IF(Q80=1,5,IF(Q80=2,8,IF(Q80=3,9,"")))+8,"")</f>
        <v/>
      </c>
      <c r="Q80" s="789" t="str">
        <f>IF(SUM($R$79:$R$81)=0,"",RANK(R80,$R$79:$R$81,0))</f>
        <v/>
      </c>
      <c r="R80" s="795">
        <f>T51+U51/100</f>
        <v>0</v>
      </c>
      <c r="S80" s="791" t="str">
        <f>R52</f>
        <v/>
      </c>
      <c r="T80" s="517"/>
      <c r="U80" s="787"/>
      <c r="V80" s="789"/>
      <c r="W80" s="789"/>
      <c r="X80" s="789"/>
      <c r="Y80" s="789"/>
      <c r="Z80" s="451"/>
      <c r="AA80" s="450"/>
      <c r="AH80" s="441"/>
      <c r="AI80" s="441"/>
      <c r="AJ80" s="447"/>
    </row>
    <row r="81" spans="9:36" ht="15.95" customHeight="1" x14ac:dyDescent="0.2">
      <c r="I81" s="437"/>
      <c r="J81" s="437"/>
      <c r="K81" s="447"/>
      <c r="L81" s="450"/>
      <c r="M81" s="450"/>
      <c r="N81" s="819"/>
      <c r="O81" s="819"/>
      <c r="P81" s="792" t="str">
        <f>IFERROR(IF(Q81=1,5,IF(Q81=2,8,IF(Q81=3,9,"")))+8,"")</f>
        <v/>
      </c>
      <c r="Q81" s="789" t="str">
        <f>IF(SUM($R$79:$R$81)=0,"",RANK(R81,$R$79:$R$81,0))</f>
        <v/>
      </c>
      <c r="R81" s="795">
        <f>T53+U53/100</f>
        <v>0</v>
      </c>
      <c r="S81" s="791">
        <f>R54</f>
        <v>0</v>
      </c>
      <c r="T81" s="517"/>
      <c r="U81" s="787"/>
      <c r="V81" s="789"/>
      <c r="W81" s="789"/>
      <c r="X81" s="789"/>
      <c r="Y81" s="789"/>
      <c r="Z81" s="451"/>
      <c r="AA81" s="450"/>
      <c r="AH81" s="441"/>
      <c r="AI81" s="441"/>
      <c r="AJ81" s="447"/>
    </row>
    <row r="82" spans="9:36" ht="15.95" customHeight="1" x14ac:dyDescent="0.2">
      <c r="I82" s="437"/>
      <c r="J82" s="437"/>
      <c r="K82" s="450"/>
      <c r="L82" s="450"/>
      <c r="M82" s="450"/>
      <c r="N82" s="819"/>
      <c r="O82" s="819"/>
      <c r="P82" s="789"/>
      <c r="Q82" s="787"/>
      <c r="R82" s="787"/>
      <c r="S82" s="787"/>
      <c r="T82" s="517"/>
      <c r="U82" s="787"/>
      <c r="V82" s="789"/>
      <c r="W82" s="789"/>
      <c r="X82" s="789"/>
      <c r="Y82" s="789"/>
      <c r="Z82" s="451"/>
      <c r="AA82" s="450"/>
      <c r="AH82" s="441"/>
      <c r="AI82" s="441"/>
      <c r="AJ82" s="450"/>
    </row>
    <row r="83" spans="9:36" ht="15.95" customHeight="1" x14ac:dyDescent="0.2">
      <c r="I83" s="437"/>
      <c r="J83" s="437"/>
      <c r="K83" s="445"/>
      <c r="L83" s="450"/>
      <c r="M83" s="450"/>
      <c r="N83" s="819"/>
      <c r="O83" s="819"/>
      <c r="P83" s="789"/>
      <c r="Q83" s="789"/>
      <c r="R83" s="789"/>
      <c r="S83" s="789"/>
      <c r="T83" s="793"/>
      <c r="U83" s="789"/>
      <c r="V83" s="787"/>
      <c r="W83" s="789"/>
      <c r="X83" s="789"/>
      <c r="Y83" s="789"/>
      <c r="Z83" s="451"/>
      <c r="AA83" s="450"/>
      <c r="AH83" s="441"/>
      <c r="AI83" s="441"/>
      <c r="AJ83" s="445"/>
    </row>
    <row r="84" spans="9:36" ht="15.95" customHeight="1" x14ac:dyDescent="0.2">
      <c r="I84" s="437"/>
      <c r="J84" s="437"/>
      <c r="K84" s="447"/>
      <c r="L84" s="450"/>
      <c r="M84" s="450"/>
      <c r="N84" s="819"/>
      <c r="O84" s="819"/>
      <c r="P84" s="789"/>
      <c r="Q84" s="789"/>
      <c r="R84" s="789"/>
      <c r="S84" s="789"/>
      <c r="T84" s="793"/>
      <c r="U84" s="789"/>
      <c r="V84" s="787"/>
      <c r="W84" s="789"/>
      <c r="X84" s="789"/>
      <c r="Y84" s="789"/>
      <c r="Z84" s="451"/>
      <c r="AA84" s="450"/>
      <c r="AH84" s="441"/>
      <c r="AI84" s="441"/>
      <c r="AJ84" s="447"/>
    </row>
    <row r="85" spans="9:36" ht="15.95" customHeight="1" x14ac:dyDescent="0.2">
      <c r="I85" s="437"/>
      <c r="J85" s="437"/>
      <c r="K85" s="447"/>
      <c r="L85" s="450"/>
      <c r="M85" s="450"/>
      <c r="N85" s="819"/>
      <c r="O85" s="819"/>
      <c r="P85" s="789"/>
      <c r="Q85" s="789"/>
      <c r="R85" s="789"/>
      <c r="S85" s="789"/>
      <c r="T85" s="793"/>
      <c r="U85" s="789"/>
      <c r="V85" s="787"/>
      <c r="W85" s="789"/>
      <c r="X85" s="789"/>
      <c r="Y85" s="789"/>
      <c r="Z85" s="451"/>
      <c r="AA85" s="450"/>
      <c r="AH85" s="441"/>
      <c r="AI85" s="441"/>
      <c r="AJ85" s="447"/>
    </row>
    <row r="86" spans="9:36" ht="15.95" customHeight="1" x14ac:dyDescent="0.2">
      <c r="K86" s="447"/>
      <c r="L86" s="450"/>
      <c r="M86" s="450"/>
      <c r="N86" s="521"/>
      <c r="O86" s="521"/>
      <c r="P86" s="450"/>
      <c r="Q86" s="450"/>
      <c r="R86" s="450"/>
      <c r="S86" s="450"/>
      <c r="T86" s="451"/>
      <c r="U86" s="450"/>
      <c r="W86" s="450"/>
      <c r="X86" s="450"/>
      <c r="Y86" s="450"/>
      <c r="Z86" s="451"/>
      <c r="AA86" s="450"/>
      <c r="AH86" s="441"/>
      <c r="AI86" s="441"/>
      <c r="AJ86" s="441"/>
    </row>
    <row r="87" spans="9:36" ht="15.95" customHeight="1" x14ac:dyDescent="0.2">
      <c r="K87" s="447"/>
      <c r="L87" s="450"/>
      <c r="M87" s="450"/>
      <c r="N87" s="521"/>
      <c r="O87" s="521"/>
      <c r="P87" s="450"/>
      <c r="Q87" s="450"/>
      <c r="R87" s="450"/>
      <c r="S87" s="450"/>
      <c r="T87" s="451"/>
      <c r="U87" s="450"/>
      <c r="W87" s="450"/>
      <c r="X87" s="450"/>
      <c r="Y87" s="450"/>
      <c r="Z87" s="451"/>
      <c r="AA87" s="450"/>
      <c r="AH87" s="441"/>
      <c r="AI87" s="441"/>
      <c r="AJ87" s="441"/>
    </row>
    <row r="88" spans="9:36" ht="15.95" customHeight="1" x14ac:dyDescent="0.2">
      <c r="L88" s="450"/>
      <c r="M88" s="450"/>
      <c r="N88" s="521"/>
      <c r="O88" s="521"/>
      <c r="P88" s="450"/>
      <c r="Q88" s="450"/>
      <c r="R88" s="450"/>
      <c r="S88" s="450"/>
      <c r="T88" s="451"/>
      <c r="U88" s="450"/>
      <c r="W88" s="450"/>
      <c r="X88" s="450"/>
      <c r="Y88" s="450"/>
      <c r="Z88" s="451"/>
      <c r="AA88" s="450"/>
    </row>
    <row r="89" spans="9:36" ht="15.95" customHeight="1" x14ac:dyDescent="0.2">
      <c r="K89" s="435"/>
      <c r="L89" s="450"/>
      <c r="M89" s="450"/>
      <c r="N89" s="521"/>
      <c r="O89" s="521"/>
      <c r="P89" s="450"/>
      <c r="Q89" s="450"/>
      <c r="R89" s="450"/>
      <c r="S89" s="450"/>
      <c r="T89" s="451"/>
      <c r="U89" s="450"/>
      <c r="W89" s="450"/>
      <c r="X89" s="450"/>
      <c r="Y89" s="450"/>
      <c r="Z89" s="451"/>
      <c r="AA89" s="450"/>
    </row>
    <row r="90" spans="9:36" ht="15.95" customHeight="1" x14ac:dyDescent="0.2">
      <c r="K90" s="435"/>
      <c r="R90" s="450"/>
      <c r="S90" s="450"/>
      <c r="T90" s="451"/>
      <c r="U90" s="450"/>
      <c r="W90" s="450"/>
      <c r="X90" s="450"/>
      <c r="Y90" s="450"/>
      <c r="Z90" s="451"/>
    </row>
    <row r="91" spans="9:36" ht="15.95" customHeight="1" x14ac:dyDescent="0.2">
      <c r="K91" s="435"/>
    </row>
    <row r="92" spans="9:36" ht="15.95" customHeight="1" x14ac:dyDescent="0.2">
      <c r="K92" s="435"/>
    </row>
    <row r="93" spans="9:36" ht="15.95" customHeight="1" x14ac:dyDescent="0.2">
      <c r="K93" s="435"/>
    </row>
    <row r="94" spans="9:36" ht="15.95" customHeight="1" x14ac:dyDescent="0.2">
      <c r="K94" s="435"/>
    </row>
    <row r="95" spans="9:36" ht="15.95" customHeight="1" x14ac:dyDescent="0.2">
      <c r="K95" s="435"/>
      <c r="S95" s="450"/>
    </row>
    <row r="96" spans="9:36" ht="15.95" customHeight="1" x14ac:dyDescent="0.2">
      <c r="K96" s="435"/>
      <c r="S96" s="450"/>
    </row>
    <row r="97" ht="15.95" customHeight="1" x14ac:dyDescent="0.2"/>
    <row r="98" ht="15.95" customHeight="1" x14ac:dyDescent="0.2"/>
    <row r="99" ht="15.95" customHeight="1" x14ac:dyDescent="0.2"/>
    <row r="100" ht="15.95" customHeight="1" x14ac:dyDescent="0.2"/>
    <row r="101" ht="15.95" customHeight="1" x14ac:dyDescent="0.2"/>
    <row r="102" ht="15.95" customHeight="1" x14ac:dyDescent="0.2"/>
    <row r="103" ht="15.95" customHeight="1" x14ac:dyDescent="0.2"/>
    <row r="104" ht="15.95" customHeight="1" x14ac:dyDescent="0.2"/>
    <row r="105" ht="15.95" customHeight="1" x14ac:dyDescent="0.2"/>
    <row r="106" ht="15.95" customHeight="1" x14ac:dyDescent="0.2"/>
    <row r="107" ht="15.95" customHeight="1" x14ac:dyDescent="0.2"/>
    <row r="108" ht="15.95" customHeight="1" x14ac:dyDescent="0.2"/>
    <row r="109" ht="15.95" customHeight="1" x14ac:dyDescent="0.2"/>
    <row r="110" ht="15.95" customHeight="1" x14ac:dyDescent="0.2"/>
    <row r="111" ht="15.95" customHeight="1" x14ac:dyDescent="0.2"/>
    <row r="112" ht="15.95" customHeight="1" x14ac:dyDescent="0.2"/>
    <row r="113" ht="15.95" customHeight="1" x14ac:dyDescent="0.2"/>
    <row r="114" ht="15.95" customHeight="1" x14ac:dyDescent="0.2"/>
    <row r="115" ht="15.95" customHeight="1" x14ac:dyDescent="0.2"/>
    <row r="116" ht="15.95" customHeight="1" x14ac:dyDescent="0.2"/>
    <row r="117" ht="15.95" customHeight="1" x14ac:dyDescent="0.2"/>
    <row r="118" ht="15.95" customHeight="1" x14ac:dyDescent="0.2"/>
    <row r="119" ht="15.95" customHeight="1" x14ac:dyDescent="0.2"/>
    <row r="120" ht="15.95" customHeight="1" x14ac:dyDescent="0.2"/>
    <row r="121" ht="15.95" customHeight="1" x14ac:dyDescent="0.2"/>
    <row r="122" ht="15.95" customHeight="1" x14ac:dyDescent="0.2"/>
    <row r="123" ht="15.95" customHeight="1" x14ac:dyDescent="0.2"/>
    <row r="124" ht="15.95" customHeight="1" x14ac:dyDescent="0.2"/>
    <row r="125" ht="15.95" customHeight="1" x14ac:dyDescent="0.2"/>
    <row r="126" ht="15.95" customHeight="1" x14ac:dyDescent="0.2"/>
    <row r="127" ht="15.95" customHeight="1" x14ac:dyDescent="0.2"/>
    <row r="128" ht="15.95" customHeight="1" x14ac:dyDescent="0.2"/>
    <row r="129" ht="15.95" customHeight="1" x14ac:dyDescent="0.2"/>
    <row r="130" ht="15.95" customHeight="1" x14ac:dyDescent="0.2"/>
    <row r="131" ht="15.95" customHeight="1" x14ac:dyDescent="0.2"/>
    <row r="132" ht="15.95" customHeight="1" x14ac:dyDescent="0.2"/>
    <row r="133" ht="15.95" customHeight="1" x14ac:dyDescent="0.2"/>
    <row r="134" ht="15.95" customHeight="1" x14ac:dyDescent="0.2"/>
    <row r="135" ht="15.95" customHeight="1" x14ac:dyDescent="0.2"/>
    <row r="136" ht="15.95" customHeight="1" x14ac:dyDescent="0.2"/>
    <row r="137" ht="15.95" customHeight="1" x14ac:dyDescent="0.2"/>
    <row r="138" ht="15.95" customHeight="1" x14ac:dyDescent="0.2"/>
    <row r="139" ht="15.95" customHeight="1" x14ac:dyDescent="0.2"/>
    <row r="140" ht="15.95" customHeight="1" x14ac:dyDescent="0.2"/>
    <row r="141" ht="15.95" customHeight="1" x14ac:dyDescent="0.2"/>
    <row r="142" ht="15.95" customHeight="1" x14ac:dyDescent="0.2"/>
    <row r="143" ht="15.95" customHeight="1" x14ac:dyDescent="0.2"/>
    <row r="144" ht="15.95" customHeight="1" x14ac:dyDescent="0.2"/>
    <row r="145" ht="15.95" customHeight="1" x14ac:dyDescent="0.2"/>
    <row r="146" ht="15.95" customHeight="1" x14ac:dyDescent="0.2"/>
    <row r="147" ht="15.95" customHeight="1" x14ac:dyDescent="0.2"/>
    <row r="148" ht="15.95" customHeight="1" x14ac:dyDescent="0.2"/>
  </sheetData>
  <sheetProtection selectLockedCells="1"/>
  <mergeCells count="74">
    <mergeCell ref="K1:AA1"/>
    <mergeCell ref="AF1:AJ1"/>
    <mergeCell ref="K2:Z2"/>
    <mergeCell ref="AF2:AJ2"/>
    <mergeCell ref="N3:X3"/>
    <mergeCell ref="AF3:AJ3"/>
    <mergeCell ref="K4:N4"/>
    <mergeCell ref="Q4:T4"/>
    <mergeCell ref="W4:Z4"/>
    <mergeCell ref="AH4:AJ5"/>
    <mergeCell ref="L5:N5"/>
    <mergeCell ref="R5:T5"/>
    <mergeCell ref="X5:Z5"/>
    <mergeCell ref="N7:N8"/>
    <mergeCell ref="T7:T8"/>
    <mergeCell ref="Z7:Z8"/>
    <mergeCell ref="N9:N10"/>
    <mergeCell ref="T9:T10"/>
    <mergeCell ref="Z9:Z10"/>
    <mergeCell ref="N23:N24"/>
    <mergeCell ref="T23:T24"/>
    <mergeCell ref="Z23:Z24"/>
    <mergeCell ref="X12:Z12"/>
    <mergeCell ref="N14:N15"/>
    <mergeCell ref="T14:T15"/>
    <mergeCell ref="Z14:Z15"/>
    <mergeCell ref="N16:N17"/>
    <mergeCell ref="T16:T17"/>
    <mergeCell ref="Z16:Z17"/>
    <mergeCell ref="R19:T19"/>
    <mergeCell ref="X19:Z19"/>
    <mergeCell ref="N21:N22"/>
    <mergeCell ref="T21:T22"/>
    <mergeCell ref="Z21:Z22"/>
    <mergeCell ref="X33:Z33"/>
    <mergeCell ref="N35:N36"/>
    <mergeCell ref="T35:T36"/>
    <mergeCell ref="Z35:Z36"/>
    <mergeCell ref="X26:Z26"/>
    <mergeCell ref="N28:N29"/>
    <mergeCell ref="T28:T29"/>
    <mergeCell ref="Z28:Z29"/>
    <mergeCell ref="N30:N31"/>
    <mergeCell ref="T30:T31"/>
    <mergeCell ref="Z30:Z31"/>
    <mergeCell ref="N51:N52"/>
    <mergeCell ref="T51:T52"/>
    <mergeCell ref="N42:N43"/>
    <mergeCell ref="N49:N50"/>
    <mergeCell ref="L33:N33"/>
    <mergeCell ref="R33:T33"/>
    <mergeCell ref="T49:T50"/>
    <mergeCell ref="Z49:Z50"/>
    <mergeCell ref="N37:N38"/>
    <mergeCell ref="T37:T38"/>
    <mergeCell ref="Z37:Z38"/>
    <mergeCell ref="X40:Z40"/>
    <mergeCell ref="T42:T43"/>
    <mergeCell ref="Z42:Z43"/>
    <mergeCell ref="N44:N45"/>
    <mergeCell ref="T44:T45"/>
    <mergeCell ref="Z44:Z45"/>
    <mergeCell ref="R47:T47"/>
    <mergeCell ref="X47:Z47"/>
    <mergeCell ref="N58:N59"/>
    <mergeCell ref="T58:T59"/>
    <mergeCell ref="Z58:Z59"/>
    <mergeCell ref="N56:N57"/>
    <mergeCell ref="T56:T57"/>
    <mergeCell ref="X61:Z61"/>
    <mergeCell ref="Z63:Z64"/>
    <mergeCell ref="Z51:Z52"/>
    <mergeCell ref="X54:Z54"/>
    <mergeCell ref="Z56:Z57"/>
  </mergeCells>
  <conditionalFormatting sqref="M71">
    <cfRule type="expression" dxfId="1346" priority="230">
      <formula>IF(N69+O69&lt;N71+O71,1,0)</formula>
    </cfRule>
  </conditionalFormatting>
  <conditionalFormatting sqref="O7:O8">
    <cfRule type="expression" priority="147" stopIfTrue="1">
      <formula>IF(N7="",1)</formula>
    </cfRule>
    <cfRule type="expression" dxfId="1345" priority="149">
      <formula>IF(N7=N9,1,0)</formula>
    </cfRule>
  </conditionalFormatting>
  <conditionalFormatting sqref="O9">
    <cfRule type="expression" priority="146" stopIfTrue="1">
      <formula>IF(N9="",1,0)</formula>
    </cfRule>
    <cfRule type="expression" dxfId="1344" priority="148">
      <formula>IF(N7=N9,1,0)</formula>
    </cfRule>
  </conditionalFormatting>
  <conditionalFormatting sqref="S7">
    <cfRule type="expression" dxfId="1343" priority="145">
      <formula>IF(T7+U7&gt;T9+U9,1,0)</formula>
    </cfRule>
  </conditionalFormatting>
  <conditionalFormatting sqref="S9">
    <cfRule type="expression" dxfId="1342" priority="144">
      <formula>IF(T9+U9&gt;T11+U11,1,0)</formula>
    </cfRule>
  </conditionalFormatting>
  <conditionalFormatting sqref="S14">
    <cfRule type="expression" dxfId="1341" priority="143">
      <formula>IF(T14+U14&gt;T16+U16,1,0)</formula>
    </cfRule>
  </conditionalFormatting>
  <conditionalFormatting sqref="S16">
    <cfRule type="expression" dxfId="1340" priority="142">
      <formula>IF(T16+U16&gt;T18+U18,1,0)</formula>
    </cfRule>
  </conditionalFormatting>
  <conditionalFormatting sqref="S21">
    <cfRule type="expression" dxfId="1339" priority="141">
      <formula>IF(T21+U21&gt;T23+U23,1,0)</formula>
    </cfRule>
  </conditionalFormatting>
  <conditionalFormatting sqref="S23">
    <cfRule type="expression" dxfId="1338" priority="140">
      <formula>IF(T23+U23&gt;T25+U25,1,0)</formula>
    </cfRule>
  </conditionalFormatting>
  <conditionalFormatting sqref="O14:O15">
    <cfRule type="expression" priority="137" stopIfTrue="1">
      <formula>IF(N14="",1)</formula>
    </cfRule>
    <cfRule type="expression" dxfId="1337" priority="139">
      <formula>IF(N14=N16,1,0)</formula>
    </cfRule>
  </conditionalFormatting>
  <conditionalFormatting sqref="O16">
    <cfRule type="expression" priority="136" stopIfTrue="1">
      <formula>IF(N16="",1,0)</formula>
    </cfRule>
    <cfRule type="expression" dxfId="1336" priority="138">
      <formula>IF(N14=N16,1,0)</formula>
    </cfRule>
  </conditionalFormatting>
  <conditionalFormatting sqref="O21:O22">
    <cfRule type="expression" priority="133" stopIfTrue="1">
      <formula>IF(N21="",1)</formula>
    </cfRule>
    <cfRule type="expression" dxfId="1335" priority="135">
      <formula>IF(N21=N23,1,0)</formula>
    </cfRule>
  </conditionalFormatting>
  <conditionalFormatting sqref="O23">
    <cfRule type="expression" priority="132" stopIfTrue="1">
      <formula>IF(N23="",1,0)</formula>
    </cfRule>
    <cfRule type="expression" dxfId="1334" priority="134">
      <formula>IF(N21=N23,1,0)</formula>
    </cfRule>
  </conditionalFormatting>
  <conditionalFormatting sqref="O28:O29">
    <cfRule type="expression" priority="129" stopIfTrue="1">
      <formula>IF(N28="",1)</formula>
    </cfRule>
    <cfRule type="expression" dxfId="1333" priority="131">
      <formula>IF(N28=N30,1,0)</formula>
    </cfRule>
  </conditionalFormatting>
  <conditionalFormatting sqref="O30">
    <cfRule type="expression" priority="128" stopIfTrue="1">
      <formula>IF(N30="",1,0)</formula>
    </cfRule>
    <cfRule type="expression" dxfId="1332" priority="130">
      <formula>IF(N28=N30,1,0)</formula>
    </cfRule>
  </conditionalFormatting>
  <conditionalFormatting sqref="U7:U8">
    <cfRule type="expression" priority="125" stopIfTrue="1">
      <formula>IF(T7="",1)</formula>
    </cfRule>
    <cfRule type="expression" dxfId="1331" priority="127">
      <formula>IF(T7=T9,1,0)</formula>
    </cfRule>
  </conditionalFormatting>
  <conditionalFormatting sqref="U9">
    <cfRule type="expression" priority="124" stopIfTrue="1">
      <formula>IF(T9="",1,0)</formula>
    </cfRule>
    <cfRule type="expression" dxfId="1330" priority="126">
      <formula>IF(T7=T9,1,0)</formula>
    </cfRule>
  </conditionalFormatting>
  <conditionalFormatting sqref="U14:U15">
    <cfRule type="expression" priority="121" stopIfTrue="1">
      <formula>IF(T14="",1)</formula>
    </cfRule>
    <cfRule type="expression" dxfId="1329" priority="123">
      <formula>IF(T14=T16,1,0)</formula>
    </cfRule>
  </conditionalFormatting>
  <conditionalFormatting sqref="U16">
    <cfRule type="expression" priority="120" stopIfTrue="1">
      <formula>IF(T16="",1,0)</formula>
    </cfRule>
    <cfRule type="expression" dxfId="1328" priority="122">
      <formula>IF(T14=T16,1,0)</formula>
    </cfRule>
  </conditionalFormatting>
  <conditionalFormatting sqref="U21:U22">
    <cfRule type="expression" priority="117" stopIfTrue="1">
      <formula>IF(T21="",1)</formula>
    </cfRule>
    <cfRule type="expression" dxfId="1327" priority="119">
      <formula>IF(T21=T23,1,0)</formula>
    </cfRule>
  </conditionalFormatting>
  <conditionalFormatting sqref="U23">
    <cfRule type="expression" priority="116" stopIfTrue="1">
      <formula>IF(T23="",1,0)</formula>
    </cfRule>
    <cfRule type="expression" dxfId="1326" priority="118">
      <formula>IF(T21=T23,1,0)</formula>
    </cfRule>
  </conditionalFormatting>
  <conditionalFormatting sqref="U28:U29">
    <cfRule type="expression" priority="113" stopIfTrue="1">
      <formula>IF(T28="",1)</formula>
    </cfRule>
    <cfRule type="expression" dxfId="1325" priority="115">
      <formula>IF(T28=T30,1,0)</formula>
    </cfRule>
  </conditionalFormatting>
  <conditionalFormatting sqref="U30">
    <cfRule type="expression" priority="112" stopIfTrue="1">
      <formula>IF(T30="",1,0)</formula>
    </cfRule>
    <cfRule type="expression" dxfId="1324" priority="114">
      <formula>IF(T28=T30,1,0)</formula>
    </cfRule>
  </conditionalFormatting>
  <conditionalFormatting sqref="AA7:AA8">
    <cfRule type="expression" priority="109" stopIfTrue="1">
      <formula>IF(Z7="",1)</formula>
    </cfRule>
    <cfRule type="expression" dxfId="1323" priority="111">
      <formula>IF(Z7=Z9,1,0)</formula>
    </cfRule>
  </conditionalFormatting>
  <conditionalFormatting sqref="AA9">
    <cfRule type="expression" priority="108" stopIfTrue="1">
      <formula>IF(Z9="",1,0)</formula>
    </cfRule>
    <cfRule type="expression" dxfId="1322" priority="110">
      <formula>IF(Z7=Z9,1,0)</formula>
    </cfRule>
  </conditionalFormatting>
  <conditionalFormatting sqref="AA14:AA15">
    <cfRule type="expression" priority="105" stopIfTrue="1">
      <formula>IF(Z14="",1)</formula>
    </cfRule>
    <cfRule type="expression" dxfId="1321" priority="107">
      <formula>IF(Z14=Z16,1,0)</formula>
    </cfRule>
  </conditionalFormatting>
  <conditionalFormatting sqref="AA16">
    <cfRule type="expression" priority="104" stopIfTrue="1">
      <formula>IF(Z16="",1,0)</formula>
    </cfRule>
    <cfRule type="expression" dxfId="1320" priority="106">
      <formula>IF(Z14=Z16,1,0)</formula>
    </cfRule>
  </conditionalFormatting>
  <conditionalFormatting sqref="AA21:AA22">
    <cfRule type="expression" priority="101" stopIfTrue="1">
      <formula>IF(Z21="",1)</formula>
    </cfRule>
    <cfRule type="expression" dxfId="1319" priority="103">
      <formula>IF(Z21=Z23,1,0)</formula>
    </cfRule>
  </conditionalFormatting>
  <conditionalFormatting sqref="AA23">
    <cfRule type="expression" priority="100" stopIfTrue="1">
      <formula>IF(Z23="",1,0)</formula>
    </cfRule>
    <cfRule type="expression" dxfId="1318" priority="102">
      <formula>IF(Z21=Z23,1,0)</formula>
    </cfRule>
  </conditionalFormatting>
  <conditionalFormatting sqref="AA28:AA29">
    <cfRule type="expression" priority="97" stopIfTrue="1">
      <formula>IF(Z28="",1)</formula>
    </cfRule>
    <cfRule type="expression" dxfId="1317" priority="99">
      <formula>IF(Z28=Z30,1,0)</formula>
    </cfRule>
  </conditionalFormatting>
  <conditionalFormatting sqref="AA30">
    <cfRule type="expression" priority="96" stopIfTrue="1">
      <formula>IF(Z30="",1,0)</formula>
    </cfRule>
    <cfRule type="expression" dxfId="1316" priority="98">
      <formula>IF(Z28=Z30,1,0)</formula>
    </cfRule>
  </conditionalFormatting>
  <conditionalFormatting sqref="M14">
    <cfRule type="expression" dxfId="1315" priority="95">
      <formula>IF(N14+O14&gt;N16+O16,1,0)</formula>
    </cfRule>
  </conditionalFormatting>
  <conditionalFormatting sqref="M16">
    <cfRule type="expression" dxfId="1314" priority="94">
      <formula>IF(N16+O16&gt;N18+O18,1,0)</formula>
    </cfRule>
  </conditionalFormatting>
  <conditionalFormatting sqref="M21">
    <cfRule type="expression" dxfId="1313" priority="93">
      <formula>IF(N21+O21&gt;N23+O23,1,0)</formula>
    </cfRule>
  </conditionalFormatting>
  <conditionalFormatting sqref="M23">
    <cfRule type="expression" dxfId="1312" priority="92">
      <formula>IF(N23+O23&gt;N25+O25,1,0)</formula>
    </cfRule>
  </conditionalFormatting>
  <conditionalFormatting sqref="M28">
    <cfRule type="expression" dxfId="1311" priority="91">
      <formula>IF(N28+O28&gt;N30+O30,1,0)</formula>
    </cfRule>
  </conditionalFormatting>
  <conditionalFormatting sqref="M30">
    <cfRule type="expression" dxfId="1310" priority="90">
      <formula>IF(N30+O30&gt;N32+O32,1,0)</formula>
    </cfRule>
  </conditionalFormatting>
  <conditionalFormatting sqref="M7">
    <cfRule type="expression" dxfId="1309" priority="89">
      <formula>IF(N7+O7&gt;N9+O9,1,0)</formula>
    </cfRule>
  </conditionalFormatting>
  <conditionalFormatting sqref="M9">
    <cfRule type="expression" dxfId="1308" priority="88">
      <formula>IF(N9+O9&gt;N11+O11,1,0)</formula>
    </cfRule>
  </conditionalFormatting>
  <conditionalFormatting sqref="O35:O36">
    <cfRule type="expression" priority="85" stopIfTrue="1">
      <formula>IF(N35="",1)</formula>
    </cfRule>
    <cfRule type="expression" dxfId="1307" priority="87">
      <formula>IF(N35=N37,1,0)</formula>
    </cfRule>
  </conditionalFormatting>
  <conditionalFormatting sqref="O37">
    <cfRule type="expression" priority="84" stopIfTrue="1">
      <formula>IF(N37="",1,0)</formula>
    </cfRule>
    <cfRule type="expression" dxfId="1306" priority="86">
      <formula>IF(N35=N37,1,0)</formula>
    </cfRule>
  </conditionalFormatting>
  <conditionalFormatting sqref="O42:O43">
    <cfRule type="expression" priority="81" stopIfTrue="1">
      <formula>IF(N42="",1)</formula>
    </cfRule>
    <cfRule type="expression" dxfId="1305" priority="83">
      <formula>IF(N42=N44,1,0)</formula>
    </cfRule>
  </conditionalFormatting>
  <conditionalFormatting sqref="O44">
    <cfRule type="expression" priority="80" stopIfTrue="1">
      <formula>IF(N44="",1,0)</formula>
    </cfRule>
    <cfRule type="expression" dxfId="1304" priority="82">
      <formula>IF(N42=N44,1,0)</formula>
    </cfRule>
  </conditionalFormatting>
  <conditionalFormatting sqref="O49:O50">
    <cfRule type="expression" priority="77" stopIfTrue="1">
      <formula>IF(N49="",1)</formula>
    </cfRule>
    <cfRule type="expression" dxfId="1303" priority="79">
      <formula>IF(N49=N51,1,0)</formula>
    </cfRule>
  </conditionalFormatting>
  <conditionalFormatting sqref="O51">
    <cfRule type="expression" priority="76" stopIfTrue="1">
      <formula>IF(N51="",1,0)</formula>
    </cfRule>
    <cfRule type="expression" dxfId="1302" priority="78">
      <formula>IF(N49=N51,1,0)</formula>
    </cfRule>
  </conditionalFormatting>
  <conditionalFormatting sqref="O56:O57">
    <cfRule type="expression" priority="73" stopIfTrue="1">
      <formula>IF(N56="",1)</formula>
    </cfRule>
    <cfRule type="expression" dxfId="1301" priority="75">
      <formula>IF(N56=N58,1,0)</formula>
    </cfRule>
  </conditionalFormatting>
  <conditionalFormatting sqref="O58">
    <cfRule type="expression" priority="72" stopIfTrue="1">
      <formula>IF(N58="",1,0)</formula>
    </cfRule>
    <cfRule type="expression" dxfId="1300" priority="74">
      <formula>IF(N56=N58,1,0)</formula>
    </cfRule>
  </conditionalFormatting>
  <conditionalFormatting sqref="U35:U36">
    <cfRule type="expression" priority="69" stopIfTrue="1">
      <formula>IF(T35="",1)</formula>
    </cfRule>
    <cfRule type="expression" dxfId="1299" priority="71">
      <formula>IF(T35=T37,1,0)</formula>
    </cfRule>
  </conditionalFormatting>
  <conditionalFormatting sqref="U37">
    <cfRule type="expression" priority="68" stopIfTrue="1">
      <formula>IF(T37="",1,0)</formula>
    </cfRule>
    <cfRule type="expression" dxfId="1298" priority="70">
      <formula>IF(T35=T37,1,0)</formula>
    </cfRule>
  </conditionalFormatting>
  <conditionalFormatting sqref="U42:U43">
    <cfRule type="expression" priority="65" stopIfTrue="1">
      <formula>IF(T42="",1)</formula>
    </cfRule>
    <cfRule type="expression" dxfId="1297" priority="67">
      <formula>IF(T42=T44,1,0)</formula>
    </cfRule>
  </conditionalFormatting>
  <conditionalFormatting sqref="U44">
    <cfRule type="expression" priority="64" stopIfTrue="1">
      <formula>IF(T44="",1,0)</formula>
    </cfRule>
    <cfRule type="expression" dxfId="1296" priority="66">
      <formula>IF(T42=T44,1,0)</formula>
    </cfRule>
  </conditionalFormatting>
  <conditionalFormatting sqref="U49:U50">
    <cfRule type="expression" priority="61" stopIfTrue="1">
      <formula>IF(T49="",1)</formula>
    </cfRule>
    <cfRule type="expression" dxfId="1295" priority="63">
      <formula>IF(T49=T51,1,0)</formula>
    </cfRule>
  </conditionalFormatting>
  <conditionalFormatting sqref="U51">
    <cfRule type="expression" priority="60" stopIfTrue="1">
      <formula>IF(T51="",1,0)</formula>
    </cfRule>
    <cfRule type="expression" dxfId="1294" priority="62">
      <formula>IF(T49=T51,1,0)</formula>
    </cfRule>
  </conditionalFormatting>
  <conditionalFormatting sqref="U56:U57">
    <cfRule type="expression" priority="57" stopIfTrue="1">
      <formula>IF(T56="",1)</formula>
    </cfRule>
    <cfRule type="expression" dxfId="1293" priority="59">
      <formula>IF(T56=T58,1,0)</formula>
    </cfRule>
  </conditionalFormatting>
  <conditionalFormatting sqref="U58">
    <cfRule type="expression" priority="56" stopIfTrue="1">
      <formula>IF(T58="",1,0)</formula>
    </cfRule>
    <cfRule type="expression" dxfId="1292" priority="58">
      <formula>IF(T56=T58,1,0)</formula>
    </cfRule>
  </conditionalFormatting>
  <conditionalFormatting sqref="AA35:AA36">
    <cfRule type="expression" priority="53" stopIfTrue="1">
      <formula>IF(Z35="",1)</formula>
    </cfRule>
    <cfRule type="expression" dxfId="1291" priority="55">
      <formula>IF(Z35=Z37,1,0)</formula>
    </cfRule>
  </conditionalFormatting>
  <conditionalFormatting sqref="AA37">
    <cfRule type="expression" priority="52" stopIfTrue="1">
      <formula>IF(Z37="",1,0)</formula>
    </cfRule>
    <cfRule type="expression" dxfId="1290" priority="54">
      <formula>IF(Z35=Z37,1,0)</formula>
    </cfRule>
  </conditionalFormatting>
  <conditionalFormatting sqref="AA42:AA43">
    <cfRule type="expression" priority="49" stopIfTrue="1">
      <formula>IF(Z42="",1)</formula>
    </cfRule>
    <cfRule type="expression" dxfId="1289" priority="51">
      <formula>IF(Z42=Z44,1,0)</formula>
    </cfRule>
  </conditionalFormatting>
  <conditionalFormatting sqref="AA44">
    <cfRule type="expression" priority="48" stopIfTrue="1">
      <formula>IF(Z44="",1,0)</formula>
    </cfRule>
    <cfRule type="expression" dxfId="1288" priority="50">
      <formula>IF(Z42=Z44,1,0)</formula>
    </cfRule>
  </conditionalFormatting>
  <conditionalFormatting sqref="AA49:AA50">
    <cfRule type="expression" priority="45" stopIfTrue="1">
      <formula>IF(Z49="",1)</formula>
    </cfRule>
    <cfRule type="expression" dxfId="1287" priority="47">
      <formula>IF(Z49=Z51,1,0)</formula>
    </cfRule>
  </conditionalFormatting>
  <conditionalFormatting sqref="AA51">
    <cfRule type="expression" priority="44" stopIfTrue="1">
      <formula>IF(Z51="",1,0)</formula>
    </cfRule>
    <cfRule type="expression" dxfId="1286" priority="46">
      <formula>IF(Z49=Z51,1,0)</formula>
    </cfRule>
  </conditionalFormatting>
  <conditionalFormatting sqref="AA56:AA57">
    <cfRule type="expression" priority="41" stopIfTrue="1">
      <formula>IF(Z56="",1)</formula>
    </cfRule>
    <cfRule type="expression" dxfId="1285" priority="43">
      <formula>IF(Z56=Z58,1,0)</formula>
    </cfRule>
  </conditionalFormatting>
  <conditionalFormatting sqref="AA58">
    <cfRule type="expression" priority="40" stopIfTrue="1">
      <formula>IF(Z58="",1,0)</formula>
    </cfRule>
    <cfRule type="expression" dxfId="1284" priority="42">
      <formula>IF(Z56=Z58,1,0)</formula>
    </cfRule>
  </conditionalFormatting>
  <conditionalFormatting sqref="M42">
    <cfRule type="expression" dxfId="1283" priority="39">
      <formula>IF(N42+O42&gt;N44+O44,1,0)</formula>
    </cfRule>
  </conditionalFormatting>
  <conditionalFormatting sqref="M44">
    <cfRule type="expression" dxfId="1282" priority="38">
      <formula>IF(N44+O44&gt;N46+O46,1,0)</formula>
    </cfRule>
  </conditionalFormatting>
  <conditionalFormatting sqref="M49">
    <cfRule type="expression" dxfId="1281" priority="37">
      <formula>IF(N49+O49&gt;N51+O51,1,0)</formula>
    </cfRule>
  </conditionalFormatting>
  <conditionalFormatting sqref="M51">
    <cfRule type="expression" dxfId="1280" priority="36">
      <formula>IF(N51+O51&gt;N53+O53,1,0)</formula>
    </cfRule>
  </conditionalFormatting>
  <conditionalFormatting sqref="M56">
    <cfRule type="expression" dxfId="1279" priority="35">
      <formula>IF(N56+O56&gt;N58+O58,1,0)</formula>
    </cfRule>
  </conditionalFormatting>
  <conditionalFormatting sqref="M58">
    <cfRule type="expression" dxfId="1278" priority="34">
      <formula>IF(N58+O58&gt;N60+O60,1,0)</formula>
    </cfRule>
  </conditionalFormatting>
  <conditionalFormatting sqref="M35">
    <cfRule type="expression" dxfId="1277" priority="33">
      <formula>IF(N35+O35&gt;N37+O37,1,0)</formula>
    </cfRule>
  </conditionalFormatting>
  <conditionalFormatting sqref="M37">
    <cfRule type="expression" dxfId="1276" priority="32">
      <formula>IF(N37+O37&gt;N39+O39,1,0)</formula>
    </cfRule>
  </conditionalFormatting>
  <conditionalFormatting sqref="Y7">
    <cfRule type="expression" dxfId="1275" priority="31">
      <formula>IF(Z7+AA7&gt;Z9+AA9,1,0)</formula>
    </cfRule>
  </conditionalFormatting>
  <conditionalFormatting sqref="Y9">
    <cfRule type="expression" dxfId="1274" priority="30">
      <formula>IF(Z7+AA7&lt;Z9+AA9,1,0)</formula>
    </cfRule>
  </conditionalFormatting>
  <conditionalFormatting sqref="Y14">
    <cfRule type="expression" dxfId="1273" priority="29">
      <formula>IF(Z14+AA14&gt;Z16+AA16,1,0)</formula>
    </cfRule>
  </conditionalFormatting>
  <conditionalFormatting sqref="Y16">
    <cfRule type="expression" dxfId="1272" priority="28">
      <formula>IF(Z14+AA14&lt;Z16+AA16,1,0)</formula>
    </cfRule>
  </conditionalFormatting>
  <conditionalFormatting sqref="Y21">
    <cfRule type="expression" dxfId="1271" priority="27">
      <formula>IF(Z21+AA21&gt;Z23+AA23,1,0)</formula>
    </cfRule>
  </conditionalFormatting>
  <conditionalFormatting sqref="Y23">
    <cfRule type="expression" dxfId="1270" priority="26">
      <formula>IF(Z21+AA21&lt;Z23+AA23,1,0)</formula>
    </cfRule>
  </conditionalFormatting>
  <conditionalFormatting sqref="Y28">
    <cfRule type="expression" dxfId="1269" priority="25">
      <formula>IF(Z28+AA28&gt;Z30+AA30,1,0)</formula>
    </cfRule>
  </conditionalFormatting>
  <conditionalFormatting sqref="Y30">
    <cfRule type="expression" dxfId="1268" priority="24">
      <formula>IF(Z28+AA28&lt;Z30+AA30,1,0)</formula>
    </cfRule>
  </conditionalFormatting>
  <conditionalFormatting sqref="Y35">
    <cfRule type="expression" dxfId="1267" priority="23">
      <formula>IF(Z35+AA35&gt;Z37+AA37,1,0)</formula>
    </cfRule>
  </conditionalFormatting>
  <conditionalFormatting sqref="Y37">
    <cfRule type="expression" dxfId="1266" priority="22">
      <formula>IF(Z35+AA35&lt;Z37+AA37,1,0)</formula>
    </cfRule>
  </conditionalFormatting>
  <conditionalFormatting sqref="Y42">
    <cfRule type="expression" dxfId="1265" priority="21">
      <formula>IF(Z42+AA42&gt;Z44+AA44,1,0)</formula>
    </cfRule>
  </conditionalFormatting>
  <conditionalFormatting sqref="Y44">
    <cfRule type="expression" dxfId="1264" priority="20">
      <formula>IF(Z42+AA42&lt;Z44+AA44,1,0)</formula>
    </cfRule>
  </conditionalFormatting>
  <conditionalFormatting sqref="Y49">
    <cfRule type="expression" dxfId="1263" priority="19">
      <formula>IF(Z49+AA49&gt;Z51+AA51,1,0)</formula>
    </cfRule>
  </conditionalFormatting>
  <conditionalFormatting sqref="Y51">
    <cfRule type="expression" dxfId="1262" priority="18">
      <formula>IF(Z49+AA49&lt;Z51+AA51,1,0)</formula>
    </cfRule>
  </conditionalFormatting>
  <conditionalFormatting sqref="Y56">
    <cfRule type="expression" dxfId="1261" priority="17">
      <formula>IF(Z56+AA56&gt;Z58+AA58,1,0)</formula>
    </cfRule>
  </conditionalFormatting>
  <conditionalFormatting sqref="Y58">
    <cfRule type="expression" dxfId="1260" priority="16">
      <formula>IF(Z56+AA56&lt;Z58+AA58,1,0)</formula>
    </cfRule>
  </conditionalFormatting>
  <conditionalFormatting sqref="S56">
    <cfRule type="expression" dxfId="1259" priority="15">
      <formula>IF(T56+U56&gt;T58+U58,1,0)</formula>
    </cfRule>
  </conditionalFormatting>
  <conditionalFormatting sqref="S58">
    <cfRule type="expression" dxfId="1258" priority="14">
      <formula>IF(T56+U56&lt;T58+U58,1,0)</formula>
    </cfRule>
  </conditionalFormatting>
  <conditionalFormatting sqref="S49">
    <cfRule type="expression" dxfId="1257" priority="13">
      <formula>IF(T49+U49&gt;T51+U51,1,0)</formula>
    </cfRule>
  </conditionalFormatting>
  <conditionalFormatting sqref="S51">
    <cfRule type="expression" dxfId="1256" priority="12">
      <formula>IF(T49+U49&lt;T51+U51,1,0)</formula>
    </cfRule>
  </conditionalFormatting>
  <conditionalFormatting sqref="S42">
    <cfRule type="expression" dxfId="1255" priority="11">
      <formula>IF(T42+U42&gt;T44+U44,1,0)</formula>
    </cfRule>
  </conditionalFormatting>
  <conditionalFormatting sqref="S44">
    <cfRule type="expression" dxfId="1254" priority="10">
      <formula>IF(T42+U42&lt;T44+U44,1,0)</formula>
    </cfRule>
  </conditionalFormatting>
  <conditionalFormatting sqref="S35">
    <cfRule type="expression" dxfId="1253" priority="9">
      <formula>IF(T35+U35&gt;T37+U37,1,0)</formula>
    </cfRule>
  </conditionalFormatting>
  <conditionalFormatting sqref="S37">
    <cfRule type="expression" dxfId="1252" priority="8">
      <formula>IF(T35+U35&lt;T37+U37,1,0)</formula>
    </cfRule>
  </conditionalFormatting>
  <conditionalFormatting sqref="S28">
    <cfRule type="expression" dxfId="1251" priority="7">
      <formula>IF(T28+U28&gt;T30+U30,1,0)</formula>
    </cfRule>
  </conditionalFormatting>
  <conditionalFormatting sqref="S30">
    <cfRule type="expression" dxfId="1250" priority="6">
      <formula>IF(T28+U28&lt;T30+U30,1,0)</formula>
    </cfRule>
  </conditionalFormatting>
  <conditionalFormatting sqref="O63:O64 U63:U64 AA63:AA64">
    <cfRule type="expression" priority="4" stopIfTrue="1">
      <formula>IF(N63="",1)</formula>
    </cfRule>
    <cfRule type="expression" dxfId="1249" priority="5">
      <formula>IF(N63=#REF!,1,0)</formula>
    </cfRule>
  </conditionalFormatting>
  <conditionalFormatting sqref="S63">
    <cfRule type="expression" dxfId="1248" priority="3">
      <formula>IF(T63+U63&gt;T65+U65,1,0)</formula>
    </cfRule>
  </conditionalFormatting>
  <conditionalFormatting sqref="Y63">
    <cfRule type="expression" dxfId="1247" priority="2">
      <formula>IF(Z63+AA63&gt;Z65+AA65,1,0)</formula>
    </cfRule>
  </conditionalFormatting>
  <conditionalFormatting sqref="M63">
    <cfRule type="expression" dxfId="1246" priority="1">
      <formula>IF(N63+O63&gt;N65+O65,1,0)</formula>
    </cfRule>
  </conditionalFormatting>
  <pageMargins left="0.25" right="0.25" top="0.75" bottom="0.75" header="0.3" footer="0.3"/>
  <pageSetup paperSize="9" scale="43" fitToHeight="0"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Feuil59">
    <tabColor rgb="FF00B0F0"/>
    <pageSetUpPr fitToPage="1"/>
  </sheetPr>
  <dimension ref="A1:AY148"/>
  <sheetViews>
    <sheetView topLeftCell="K1" zoomScale="71" zoomScaleNormal="55" workbookViewId="0">
      <selection activeCell="K75" sqref="K1:AA75"/>
    </sheetView>
  </sheetViews>
  <sheetFormatPr baseColWidth="10" defaultColWidth="10.85546875" defaultRowHeight="12.75" x14ac:dyDescent="0.2"/>
  <cols>
    <col min="1" max="1" width="3.7109375" style="435" hidden="1" customWidth="1"/>
    <col min="2" max="4" width="16.140625" style="435" hidden="1" customWidth="1"/>
    <col min="5" max="10" width="11.28515625" style="435" hidden="1" customWidth="1"/>
    <col min="11" max="11" width="7.7109375" style="441" bestFit="1" customWidth="1"/>
    <col min="12" max="12" width="6.42578125" style="435" bestFit="1" customWidth="1"/>
    <col min="13" max="13" width="36.5703125" style="435" customWidth="1"/>
    <col min="14" max="14" width="10.85546875" style="442"/>
    <col min="15" max="15" width="5.28515625" style="441" bestFit="1" customWidth="1"/>
    <col min="16" max="16" width="15.7109375" style="441" customWidth="1"/>
    <col min="17" max="17" width="7.7109375" style="441" bestFit="1" customWidth="1"/>
    <col min="18" max="18" width="6.42578125" style="441" bestFit="1" customWidth="1"/>
    <col min="19" max="19" width="36.5703125" style="441" customWidth="1"/>
    <col min="20" max="20" width="10.85546875" style="442"/>
    <col min="21" max="21" width="4.85546875" style="441" bestFit="1" customWidth="1"/>
    <col min="22" max="22" width="15.85546875" style="441" customWidth="1"/>
    <col min="23" max="23" width="7.7109375" style="441" bestFit="1" customWidth="1"/>
    <col min="24" max="24" width="5.28515625" style="435" bestFit="1" customWidth="1"/>
    <col min="25" max="25" width="36.5703125" style="435" customWidth="1"/>
    <col min="26" max="26" width="10.85546875" style="442"/>
    <col min="27" max="27" width="4.85546875" style="441" bestFit="1" customWidth="1"/>
    <col min="28" max="28" width="6.5703125" style="435" customWidth="1"/>
    <col min="29" max="31" width="3.28515625" style="435" customWidth="1"/>
    <col min="32" max="32" width="10.85546875" style="435"/>
    <col min="33" max="33" width="6.5703125" style="435" customWidth="1"/>
    <col min="34" max="36" width="36.85546875" style="435" customWidth="1"/>
    <col min="37" max="40" width="10.85546875" style="435"/>
    <col min="41" max="41" width="13.140625" style="435" customWidth="1"/>
    <col min="42" max="42" width="10.85546875" style="435"/>
    <col min="43" max="43" width="1.7109375" style="435" bestFit="1" customWidth="1"/>
    <col min="44" max="44" width="10.85546875" style="435"/>
    <col min="45" max="45" width="12.42578125" style="435" customWidth="1"/>
    <col min="46" max="46" width="10.85546875" style="435"/>
    <col min="47" max="47" width="1.7109375" style="435" bestFit="1" customWidth="1"/>
    <col min="48" max="48" width="10.85546875" style="435"/>
    <col min="49" max="49" width="12.85546875" style="435" customWidth="1"/>
    <col min="50" max="50" width="12.140625" style="435" customWidth="1"/>
    <col min="51" max="51" width="1.7109375" style="435" bestFit="1" customWidth="1"/>
    <col min="52" max="16384" width="10.85546875" style="435"/>
  </cols>
  <sheetData>
    <row r="1" spans="1:51" ht="55.5" customHeight="1" x14ac:dyDescent="0.2">
      <c r="B1" s="436"/>
      <c r="C1" s="436"/>
      <c r="D1" s="436"/>
      <c r="H1" s="437"/>
      <c r="I1" s="437"/>
      <c r="J1" s="437"/>
      <c r="K1" s="988" t="str">
        <f>Championnat</f>
        <v>Championnat de France de Tir à l'ARC</v>
      </c>
      <c r="L1" s="988"/>
      <c r="M1" s="988"/>
      <c r="N1" s="988"/>
      <c r="O1" s="988"/>
      <c r="P1" s="988"/>
      <c r="Q1" s="988"/>
      <c r="R1" s="988"/>
      <c r="S1" s="988"/>
      <c r="T1" s="988"/>
      <c r="U1" s="988"/>
      <c r="V1" s="988"/>
      <c r="W1" s="988"/>
      <c r="X1" s="988"/>
      <c r="Y1" s="988"/>
      <c r="Z1" s="988"/>
      <c r="AA1" s="988"/>
      <c r="AB1" s="439"/>
      <c r="AC1" s="439"/>
      <c r="AD1" s="439"/>
      <c r="AE1" s="439"/>
      <c r="AF1" s="988" t="str">
        <f>Championnat</f>
        <v>Championnat de France de Tir à l'ARC</v>
      </c>
      <c r="AG1" s="988"/>
      <c r="AH1" s="988"/>
      <c r="AI1" s="988"/>
      <c r="AJ1" s="988"/>
      <c r="AK1" s="491"/>
      <c r="AL1" s="491"/>
      <c r="AM1" s="491"/>
      <c r="AN1" s="491"/>
      <c r="AO1" s="491"/>
      <c r="AP1" s="491"/>
      <c r="AQ1" s="491"/>
      <c r="AR1" s="491"/>
      <c r="AS1" s="491"/>
      <c r="AT1" s="491"/>
      <c r="AU1" s="491"/>
      <c r="AV1" s="491"/>
      <c r="AW1" s="491"/>
      <c r="AY1" s="491"/>
    </row>
    <row r="2" spans="1:51" ht="61.5" customHeight="1" x14ac:dyDescent="0.2">
      <c r="A2" s="437"/>
      <c r="H2" s="437"/>
      <c r="I2" s="437"/>
      <c r="J2" s="437"/>
      <c r="K2" s="989" t="str">
        <f>CATEG_IMPORTEE</f>
        <v>Collèges Mixtes Etablissement</v>
      </c>
      <c r="L2" s="989"/>
      <c r="M2" s="989"/>
      <c r="N2" s="989"/>
      <c r="O2" s="989"/>
      <c r="P2" s="989"/>
      <c r="Q2" s="989"/>
      <c r="R2" s="989"/>
      <c r="S2" s="989"/>
      <c r="T2" s="989"/>
      <c r="U2" s="989"/>
      <c r="V2" s="989"/>
      <c r="W2" s="989"/>
      <c r="X2" s="989"/>
      <c r="Y2" s="989"/>
      <c r="Z2" s="989"/>
      <c r="AA2" s="438"/>
      <c r="AB2" s="439"/>
      <c r="AC2" s="439"/>
      <c r="AD2" s="439"/>
      <c r="AE2" s="439"/>
      <c r="AF2" s="990" t="str">
        <f>CATEG_IMPORTEE</f>
        <v>Collèges Mixtes Etablissement</v>
      </c>
      <c r="AG2" s="990"/>
      <c r="AH2" s="990"/>
      <c r="AI2" s="990"/>
      <c r="AJ2" s="990"/>
      <c r="AK2" s="492"/>
      <c r="AL2" s="492"/>
      <c r="AM2" s="492"/>
      <c r="AN2" s="492"/>
      <c r="AO2" s="492"/>
      <c r="AP2" s="492"/>
      <c r="AQ2" s="492"/>
      <c r="AR2" s="492"/>
      <c r="AS2" s="492"/>
      <c r="AT2" s="492"/>
      <c r="AU2" s="492"/>
      <c r="AV2" s="492"/>
      <c r="AW2" s="492"/>
      <c r="AY2" s="492"/>
    </row>
    <row r="3" spans="1:51" ht="42" customHeight="1" x14ac:dyDescent="0.2">
      <c r="B3" s="440" t="s">
        <v>774</v>
      </c>
      <c r="H3" s="437"/>
      <c r="I3" s="437"/>
      <c r="J3" s="437"/>
      <c r="N3" s="991" t="str">
        <f>LIEU&amp;" du "&amp;DATE</f>
        <v>L’Isle sur la Sorgue du 27 au 31 mars 2023</v>
      </c>
      <c r="O3" s="991"/>
      <c r="P3" s="991"/>
      <c r="Q3" s="991"/>
      <c r="R3" s="991"/>
      <c r="S3" s="991"/>
      <c r="T3" s="991"/>
      <c r="U3" s="991"/>
      <c r="V3" s="991"/>
      <c r="W3" s="991"/>
      <c r="X3" s="991"/>
      <c r="AF3" s="991" t="str">
        <f>LIEU&amp;" du "&amp;DATE</f>
        <v>L’Isle sur la Sorgue du 27 au 31 mars 2023</v>
      </c>
      <c r="AG3" s="991"/>
      <c r="AH3" s="991"/>
      <c r="AI3" s="991"/>
      <c r="AJ3" s="991"/>
      <c r="AK3" s="493"/>
      <c r="AL3" s="493"/>
      <c r="AM3" s="493"/>
      <c r="AN3" s="493"/>
      <c r="AO3" s="493"/>
      <c r="AP3" s="493"/>
      <c r="AQ3" s="493"/>
      <c r="AR3" s="493"/>
      <c r="AS3" s="493"/>
      <c r="AT3" s="493"/>
      <c r="AU3" s="493"/>
      <c r="AW3" s="442"/>
      <c r="AY3" s="493"/>
    </row>
    <row r="4" spans="1:51" ht="21" customHeight="1" x14ac:dyDescent="0.2">
      <c r="B4" s="440" t="s">
        <v>775</v>
      </c>
      <c r="C4" s="462" t="s">
        <v>375</v>
      </c>
      <c r="D4" s="462" t="s">
        <v>374</v>
      </c>
      <c r="E4" s="440" t="s">
        <v>776</v>
      </c>
      <c r="F4" s="487" t="s">
        <v>838</v>
      </c>
      <c r="G4" s="488" t="s">
        <v>837</v>
      </c>
      <c r="H4" s="437"/>
      <c r="I4" s="437"/>
      <c r="J4" s="437"/>
      <c r="K4" s="979" t="s">
        <v>815</v>
      </c>
      <c r="L4" s="979"/>
      <c r="M4" s="979"/>
      <c r="N4" s="979"/>
      <c r="O4" s="443"/>
      <c r="P4" s="443"/>
      <c r="Q4" s="979" t="s">
        <v>816</v>
      </c>
      <c r="R4" s="979"/>
      <c r="S4" s="979"/>
      <c r="T4" s="979"/>
      <c r="U4" s="443"/>
      <c r="V4" s="443"/>
      <c r="W4" s="979" t="s">
        <v>817</v>
      </c>
      <c r="X4" s="979"/>
      <c r="Y4" s="979"/>
      <c r="Z4" s="979"/>
      <c r="AA4" s="443"/>
      <c r="AH4" s="980" t="s">
        <v>778</v>
      </c>
      <c r="AI4" s="980"/>
      <c r="AJ4" s="980"/>
      <c r="AN4" s="497" t="s">
        <v>848</v>
      </c>
    </row>
    <row r="5" spans="1:51" ht="15.95" customHeight="1" thickBot="1" x14ac:dyDescent="0.25">
      <c r="A5" s="435">
        <v>1</v>
      </c>
      <c r="B5" s="444" t="str">
        <f ca="1">INDIRECT("'Imp. Qualif.'!L"&amp;INDIRECT("f"&amp;ROW()))</f>
        <v/>
      </c>
      <c r="C5" s="444" t="str">
        <f ca="1">INDIRECT("'Imp. Qualif.'!M"&amp;INDIRECT("f"&amp;ROW()))</f>
        <v/>
      </c>
      <c r="D5" s="444" t="str">
        <f ca="1">INDIRECT("'Imp. Qualif.'!N"&amp;INDIRECT("f"&amp;ROW()))</f>
        <v/>
      </c>
      <c r="E5" s="486">
        <f ca="1">INDIRECT("'Imp. Qualif.'!O"&amp;INDIRECT("f"&amp;ROW()))</f>
        <v>0</v>
      </c>
      <c r="F5" s="489">
        <v>11</v>
      </c>
      <c r="G5" s="488" t="str">
        <f ca="1">B5&amp;C5</f>
        <v/>
      </c>
      <c r="H5" s="898" t="str">
        <f ca="1">IF(B5&lt;&gt;"",B5,"")</f>
        <v/>
      </c>
      <c r="I5" s="898" t="str">
        <f ca="1">IF(C5&lt;&gt;"",C5,"")</f>
        <v/>
      </c>
      <c r="J5" s="898" t="str">
        <f ca="1">IF(D5&lt;&gt;"",D5,"")</f>
        <v/>
      </c>
      <c r="L5" s="979" t="s">
        <v>836</v>
      </c>
      <c r="M5" s="1247"/>
      <c r="N5" s="1247"/>
      <c r="O5" s="443"/>
      <c r="P5" s="443"/>
      <c r="R5" s="979" t="s">
        <v>818</v>
      </c>
      <c r="S5" s="1247"/>
      <c r="T5" s="1247"/>
      <c r="U5" s="443"/>
      <c r="V5" s="443"/>
      <c r="W5" s="445"/>
      <c r="X5" s="979" t="s">
        <v>777</v>
      </c>
      <c r="Y5" s="1247"/>
      <c r="Z5" s="1247"/>
      <c r="AA5" s="443"/>
      <c r="AH5" s="981"/>
      <c r="AI5" s="981"/>
      <c r="AJ5" s="981"/>
      <c r="AN5" s="494" t="s">
        <v>839</v>
      </c>
      <c r="AO5" s="494" t="s">
        <v>840</v>
      </c>
      <c r="AP5" s="494" t="s">
        <v>841</v>
      </c>
      <c r="AQ5" s="496" t="s">
        <v>793</v>
      </c>
      <c r="AR5" s="494" t="s">
        <v>842</v>
      </c>
      <c r="AS5" s="494" t="s">
        <v>843</v>
      </c>
      <c r="AT5" s="494" t="s">
        <v>844</v>
      </c>
      <c r="AU5" s="496" t="s">
        <v>793</v>
      </c>
      <c r="AV5" s="494" t="s">
        <v>845</v>
      </c>
      <c r="AW5" s="494" t="s">
        <v>846</v>
      </c>
      <c r="AX5" s="494" t="s">
        <v>847</v>
      </c>
      <c r="AY5" s="496" t="s">
        <v>793</v>
      </c>
    </row>
    <row r="6" spans="1:51" ht="15.95" customHeight="1" thickBot="1" x14ac:dyDescent="0.25">
      <c r="A6" s="435">
        <v>2</v>
      </c>
      <c r="B6" s="444" t="str">
        <f t="shared" ref="B6:B28" ca="1" si="0">INDIRECT("'Imp. Qualif.'!L"&amp;INDIRECT("f"&amp;ROW()))</f>
        <v/>
      </c>
      <c r="C6" s="444" t="str">
        <f t="shared" ref="C6:C28" ca="1" si="1">INDIRECT("'Imp. Qualif.'!M"&amp;INDIRECT("f"&amp;ROW()))</f>
        <v/>
      </c>
      <c r="D6" s="444" t="str">
        <f t="shared" ref="D6:D28" ca="1" si="2">INDIRECT("'Imp. Qualif.'!N"&amp;INDIRECT("f"&amp;ROW()))</f>
        <v/>
      </c>
      <c r="E6" s="486">
        <f t="shared" ref="E6:E28" ca="1" si="3">INDIRECT("'Imp. Qualif.'!O"&amp;INDIRECT("f"&amp;ROW()))</f>
        <v>0</v>
      </c>
      <c r="F6" s="489">
        <v>12</v>
      </c>
      <c r="G6" s="488" t="str">
        <f t="shared" ref="G6:G28" ca="1" si="4">B6&amp;C6</f>
        <v/>
      </c>
      <c r="H6" s="898" t="str">
        <f t="shared" ref="H6:H28" ca="1" si="5">IF(B6&lt;&gt;"",B6,"")</f>
        <v/>
      </c>
      <c r="I6" s="898" t="str">
        <f t="shared" ref="I6:I28" ca="1" si="6">IF(C6&lt;&gt;"",C6,"")</f>
        <v/>
      </c>
      <c r="J6" s="898" t="str">
        <f t="shared" ref="J6:J28" ca="1" si="7">IF(D6&lt;&gt;"",D6,"")</f>
        <v/>
      </c>
      <c r="K6" s="445" t="s">
        <v>779</v>
      </c>
      <c r="L6" s="779" t="s">
        <v>1083</v>
      </c>
      <c r="M6" s="456" t="s">
        <v>481</v>
      </c>
      <c r="N6" s="464" t="s">
        <v>780</v>
      </c>
      <c r="O6" s="446" t="s">
        <v>781</v>
      </c>
      <c r="P6" s="445"/>
      <c r="Q6" s="445" t="s">
        <v>779</v>
      </c>
      <c r="R6" s="779" t="s">
        <v>1083</v>
      </c>
      <c r="S6" s="456" t="s">
        <v>481</v>
      </c>
      <c r="T6" s="464" t="s">
        <v>780</v>
      </c>
      <c r="U6" s="446" t="s">
        <v>781</v>
      </c>
      <c r="V6" s="445"/>
      <c r="W6" s="445" t="s">
        <v>779</v>
      </c>
      <c r="X6" s="779" t="s">
        <v>1083</v>
      </c>
      <c r="Y6" s="456" t="s">
        <v>481</v>
      </c>
      <c r="Z6" s="464" t="s">
        <v>780</v>
      </c>
      <c r="AA6" s="446" t="s">
        <v>781</v>
      </c>
      <c r="AH6" s="483" t="s">
        <v>782</v>
      </c>
      <c r="AI6" s="484" t="s">
        <v>375</v>
      </c>
      <c r="AJ6" s="485" t="s">
        <v>783</v>
      </c>
      <c r="AN6" s="494">
        <f>K7</f>
        <v>1</v>
      </c>
      <c r="AO6" s="495" t="str">
        <f ca="1">L8</f>
        <v/>
      </c>
      <c r="AP6" s="495" t="str">
        <f ca="1">AO7</f>
        <v/>
      </c>
      <c r="AQ6" s="496" t="s">
        <v>793</v>
      </c>
      <c r="AR6" s="494">
        <f>Q7</f>
        <v>1</v>
      </c>
      <c r="AS6" s="495" t="str">
        <f>R8</f>
        <v/>
      </c>
      <c r="AT6" s="495" t="str">
        <f>AS7</f>
        <v/>
      </c>
      <c r="AU6" s="496" t="s">
        <v>793</v>
      </c>
      <c r="AV6" s="494">
        <f>W7</f>
        <v>1</v>
      </c>
      <c r="AW6" s="495" t="str">
        <f>X8</f>
        <v/>
      </c>
      <c r="AX6" s="495" t="str">
        <f>AW7</f>
        <v/>
      </c>
      <c r="AY6" s="496" t="s">
        <v>793</v>
      </c>
    </row>
    <row r="7" spans="1:51" ht="15.95" customHeight="1" thickBot="1" x14ac:dyDescent="0.25">
      <c r="A7" s="435">
        <v>3</v>
      </c>
      <c r="B7" s="444" t="str">
        <f t="shared" ca="1" si="0"/>
        <v/>
      </c>
      <c r="C7" s="444" t="str">
        <f t="shared" ca="1" si="1"/>
        <v/>
      </c>
      <c r="D7" s="444" t="str">
        <f t="shared" ca="1" si="2"/>
        <v/>
      </c>
      <c r="E7" s="486">
        <f t="shared" ca="1" si="3"/>
        <v>0</v>
      </c>
      <c r="F7" s="489">
        <v>13</v>
      </c>
      <c r="G7" s="488" t="str">
        <f t="shared" ca="1" si="4"/>
        <v/>
      </c>
      <c r="H7" s="898" t="str">
        <f t="shared" ca="1" si="5"/>
        <v/>
      </c>
      <c r="I7" s="898" t="str">
        <f t="shared" ca="1" si="6"/>
        <v/>
      </c>
      <c r="J7" s="898" t="str">
        <f t="shared" ca="1" si="7"/>
        <v/>
      </c>
      <c r="K7" s="447">
        <f>Num_Cible</f>
        <v>1</v>
      </c>
      <c r="L7" s="472">
        <v>1</v>
      </c>
      <c r="M7" s="465" t="str">
        <f ca="1">IFERROR(VLOOKUP(L8,$G$5:$J$28,2,FALSE),"")</f>
        <v/>
      </c>
      <c r="N7" s="966"/>
      <c r="O7" s="780"/>
      <c r="Q7" s="447">
        <f>K7</f>
        <v>1</v>
      </c>
      <c r="R7" s="472">
        <v>1</v>
      </c>
      <c r="S7" s="465" t="str">
        <f ca="1">IFERROR(VLOOKUP(R8,$G$5:$J$28,2,FALSE),"")</f>
        <v/>
      </c>
      <c r="T7" s="966"/>
      <c r="U7" s="780"/>
      <c r="W7" s="447">
        <f>Q7</f>
        <v>1</v>
      </c>
      <c r="X7" s="472">
        <v>1</v>
      </c>
      <c r="Y7" s="465" t="str">
        <f ca="1">IFERROR(VLOOKUP(X8,$G$5:$J$28,2,FALSE),"")</f>
        <v/>
      </c>
      <c r="Z7" s="966"/>
      <c r="AA7" s="780"/>
      <c r="AF7" s="448" t="s">
        <v>784</v>
      </c>
      <c r="AG7" s="435" t="str">
        <f>IF(ISBLANK(Z7),"",IF(Z7+AA7&gt;Z9+AA9,X8,X10))</f>
        <v/>
      </c>
      <c r="AH7" s="475" t="str">
        <f ca="1">IFERROR(VLOOKUP(AG7,$G$5:$J$28,2,FALSE),"")</f>
        <v/>
      </c>
      <c r="AI7" s="476" t="str">
        <f ca="1">IFERROR(VLOOKUP(AG7,$G$5:$J$28,3,FALSE),"")</f>
        <v/>
      </c>
      <c r="AJ7" s="933" t="str">
        <f ca="1">IFERROR(VLOOKUP(AG7,$G$5:$J$28,4,FALSE),"")</f>
        <v/>
      </c>
      <c r="AN7" s="494">
        <f>K9</f>
        <v>2</v>
      </c>
      <c r="AO7" s="495" t="str">
        <f ca="1">L10</f>
        <v/>
      </c>
      <c r="AP7" s="495" t="str">
        <f ca="1">AO6</f>
        <v/>
      </c>
      <c r="AQ7" s="496" t="s">
        <v>793</v>
      </c>
      <c r="AR7" s="494">
        <f>Q9</f>
        <v>2</v>
      </c>
      <c r="AS7" s="495" t="str">
        <f>R10</f>
        <v/>
      </c>
      <c r="AT7" s="495" t="str">
        <f>AS6</f>
        <v/>
      </c>
      <c r="AU7" s="496" t="s">
        <v>793</v>
      </c>
      <c r="AV7" s="494">
        <f>W9</f>
        <v>2</v>
      </c>
      <c r="AW7" s="495" t="str">
        <f>X10</f>
        <v/>
      </c>
      <c r="AX7" s="495" t="str">
        <f>AW6</f>
        <v/>
      </c>
      <c r="AY7" s="496" t="s">
        <v>793</v>
      </c>
    </row>
    <row r="8" spans="1:51" ht="15.95" customHeight="1" thickBot="1" x14ac:dyDescent="0.25">
      <c r="A8" s="435">
        <v>4</v>
      </c>
      <c r="B8" s="444" t="str">
        <f t="shared" ca="1" si="0"/>
        <v/>
      </c>
      <c r="C8" s="444" t="str">
        <f t="shared" ca="1" si="1"/>
        <v/>
      </c>
      <c r="D8" s="444" t="str">
        <f t="shared" ca="1" si="2"/>
        <v/>
      </c>
      <c r="E8" s="486">
        <f t="shared" ca="1" si="3"/>
        <v>0</v>
      </c>
      <c r="F8" s="489">
        <v>14</v>
      </c>
      <c r="G8" s="488" t="str">
        <f t="shared" ca="1" si="4"/>
        <v/>
      </c>
      <c r="H8" s="898" t="str">
        <f t="shared" ca="1" si="5"/>
        <v/>
      </c>
      <c r="I8" s="898" t="str">
        <f t="shared" ca="1" si="6"/>
        <v/>
      </c>
      <c r="J8" s="898" t="str">
        <f t="shared" ca="1" si="7"/>
        <v/>
      </c>
      <c r="K8" s="447"/>
      <c r="L8" s="473" t="str">
        <f ca="1">VLOOKUP(L7,$A$5:$G$24,7,FALSE)</f>
        <v/>
      </c>
      <c r="M8" s="466" t="str">
        <f ca="1">IFERROR(VLOOKUP(L8,$G$5:$J$28,3,FALSE),"")</f>
        <v/>
      </c>
      <c r="N8" s="967"/>
      <c r="Q8" s="447"/>
      <c r="R8" s="473" t="str">
        <f>IF(ISBLANK(N7),"",IF(O7+N7&gt;N9+O9,L8,L10))</f>
        <v/>
      </c>
      <c r="S8" s="466" t="str">
        <f ca="1">IFERROR(VLOOKUP(R8,$G$5:$J$28,3,FALSE),"")</f>
        <v/>
      </c>
      <c r="T8" s="967"/>
      <c r="W8" s="447"/>
      <c r="X8" s="473" t="str">
        <f>IF(ISBLANK(T7),"",IF(U7+T7&lt;T9+U9,R8,R10))</f>
        <v/>
      </c>
      <c r="Y8" s="466" t="str">
        <f ca="1">IFERROR(VLOOKUP(X8,$G$5:$J$28,3,FALSE),"")</f>
        <v/>
      </c>
      <c r="Z8" s="967"/>
      <c r="AF8" s="449" t="s">
        <v>785</v>
      </c>
      <c r="AG8" s="435" t="str">
        <f>IF(ISBLANK(Z7),"",IF(Z7+AA7&lt;Z9+AA9,X8,X10))</f>
        <v/>
      </c>
      <c r="AH8" s="478" t="str">
        <f t="shared" ref="AH8:AH24" ca="1" si="8">IFERROR(VLOOKUP(AG8,$G$5:$J$28,2,FALSE),"")</f>
        <v/>
      </c>
      <c r="AI8" s="476" t="str">
        <f t="shared" ref="AI8:AI24" ca="1" si="9">IFERROR(VLOOKUP(AG8,$G$5:$J$28,3,FALSE),"")</f>
        <v/>
      </c>
      <c r="AJ8" s="915" t="str">
        <f t="shared" ref="AJ8:AJ24" ca="1" si="10">IFERROR(VLOOKUP(AG8,$G$5:$J$28,4,FALSE),"")</f>
        <v/>
      </c>
      <c r="AN8" s="494">
        <f>K14</f>
        <v>3</v>
      </c>
      <c r="AO8" s="495" t="str">
        <f ca="1">L15</f>
        <v/>
      </c>
      <c r="AP8" s="495" t="str">
        <f t="shared" ref="AP8" ca="1" si="11">AO9</f>
        <v/>
      </c>
      <c r="AQ8" s="496" t="s">
        <v>793</v>
      </c>
      <c r="AR8" s="494">
        <f>Q14</f>
        <v>3</v>
      </c>
      <c r="AS8" s="495" t="str">
        <f>R15</f>
        <v/>
      </c>
      <c r="AT8" s="495" t="str">
        <f t="shared" ref="AT8" si="12">AS9</f>
        <v/>
      </c>
      <c r="AU8" s="496" t="s">
        <v>793</v>
      </c>
      <c r="AV8" s="494">
        <f>W14</f>
        <v>3</v>
      </c>
      <c r="AW8" s="495" t="str">
        <f>X15</f>
        <v/>
      </c>
      <c r="AX8" s="495" t="str">
        <f t="shared" ref="AX8" si="13">AW9</f>
        <v/>
      </c>
      <c r="AY8" s="496" t="s">
        <v>793</v>
      </c>
    </row>
    <row r="9" spans="1:51" ht="15.95" customHeight="1" thickBot="1" x14ac:dyDescent="0.25">
      <c r="A9" s="435">
        <v>5</v>
      </c>
      <c r="B9" s="444" t="str">
        <f t="shared" ca="1" si="0"/>
        <v/>
      </c>
      <c r="C9" s="444" t="str">
        <f t="shared" ca="1" si="1"/>
        <v/>
      </c>
      <c r="D9" s="444" t="str">
        <f t="shared" ca="1" si="2"/>
        <v/>
      </c>
      <c r="E9" s="486">
        <f t="shared" ca="1" si="3"/>
        <v>0</v>
      </c>
      <c r="F9" s="489">
        <v>15</v>
      </c>
      <c r="G9" s="488" t="str">
        <f t="shared" ca="1" si="4"/>
        <v/>
      </c>
      <c r="H9" s="898" t="str">
        <f t="shared" ca="1" si="5"/>
        <v/>
      </c>
      <c r="I9" s="898" t="str">
        <f t="shared" ca="1" si="6"/>
        <v/>
      </c>
      <c r="J9" s="898" t="str">
        <f t="shared" ca="1" si="7"/>
        <v/>
      </c>
      <c r="K9" s="447">
        <f>K7+1</f>
        <v>2</v>
      </c>
      <c r="L9" s="472">
        <v>8</v>
      </c>
      <c r="M9" s="465" t="str">
        <f ca="1">IFERROR(VLOOKUP(L10,$G$5:$J$28,2,FALSE),"")</f>
        <v/>
      </c>
      <c r="N9" s="966"/>
      <c r="O9" s="780"/>
      <c r="Q9" s="447">
        <f>Q7+1</f>
        <v>2</v>
      </c>
      <c r="R9" s="472">
        <v>4</v>
      </c>
      <c r="S9" s="465" t="str">
        <f ca="1">IFERROR(VLOOKUP(R10,$G$5:$J$28,2,FALSE),"")</f>
        <v/>
      </c>
      <c r="T9" s="966"/>
      <c r="U9" s="780"/>
      <c r="W9" s="447">
        <f>W7+1</f>
        <v>2</v>
      </c>
      <c r="X9" s="472">
        <v>2</v>
      </c>
      <c r="Y9" s="465" t="str">
        <f ca="1">IFERROR(VLOOKUP(X10,$G$5:$J$28,2,FALSE),"")</f>
        <v/>
      </c>
      <c r="Z9" s="966"/>
      <c r="AA9" s="780"/>
      <c r="AF9" s="452" t="s">
        <v>786</v>
      </c>
      <c r="AG9" s="435" t="str">
        <f>IF(ISBLANK(Z14),"",IF(Z14+AA14&gt;Z16+AA16,X15,X17))</f>
        <v/>
      </c>
      <c r="AH9" s="478" t="str">
        <f t="shared" ca="1" si="8"/>
        <v/>
      </c>
      <c r="AI9" s="476" t="str">
        <f t="shared" ca="1" si="9"/>
        <v/>
      </c>
      <c r="AJ9" s="915" t="str">
        <f t="shared" ca="1" si="10"/>
        <v/>
      </c>
      <c r="AN9" s="494">
        <f>K16</f>
        <v>4</v>
      </c>
      <c r="AO9" s="495" t="str">
        <f ca="1">L17</f>
        <v/>
      </c>
      <c r="AP9" s="495" t="str">
        <f t="shared" ref="AP9" ca="1" si="14">AO8</f>
        <v/>
      </c>
      <c r="AQ9" s="496" t="s">
        <v>793</v>
      </c>
      <c r="AR9" s="494">
        <f>Q16</f>
        <v>4</v>
      </c>
      <c r="AS9" s="495" t="str">
        <f>R17</f>
        <v/>
      </c>
      <c r="AT9" s="495" t="str">
        <f t="shared" ref="AT9" si="15">AS8</f>
        <v/>
      </c>
      <c r="AU9" s="496" t="s">
        <v>793</v>
      </c>
      <c r="AV9" s="494">
        <f>W16</f>
        <v>4</v>
      </c>
      <c r="AW9" s="495" t="str">
        <f>X17</f>
        <v/>
      </c>
      <c r="AX9" s="495" t="str">
        <f t="shared" ref="AX9" si="16">AW8</f>
        <v/>
      </c>
      <c r="AY9" s="496" t="s">
        <v>793</v>
      </c>
    </row>
    <row r="10" spans="1:51" ht="15.95" customHeight="1" thickBot="1" x14ac:dyDescent="0.25">
      <c r="A10" s="435">
        <v>6</v>
      </c>
      <c r="B10" s="444" t="str">
        <f t="shared" ca="1" si="0"/>
        <v/>
      </c>
      <c r="C10" s="444" t="str">
        <f t="shared" ca="1" si="1"/>
        <v/>
      </c>
      <c r="D10" s="444" t="str">
        <f t="shared" ca="1" si="2"/>
        <v/>
      </c>
      <c r="E10" s="486">
        <f t="shared" ca="1" si="3"/>
        <v>0</v>
      </c>
      <c r="F10" s="489">
        <v>16</v>
      </c>
      <c r="G10" s="488" t="str">
        <f t="shared" ca="1" si="4"/>
        <v/>
      </c>
      <c r="H10" s="898" t="str">
        <f t="shared" ca="1" si="5"/>
        <v/>
      </c>
      <c r="I10" s="898" t="str">
        <f t="shared" ca="1" si="6"/>
        <v/>
      </c>
      <c r="J10" s="898" t="str">
        <f t="shared" ca="1" si="7"/>
        <v/>
      </c>
      <c r="K10" s="447"/>
      <c r="L10" s="473" t="str">
        <f ca="1">VLOOKUP(L9,$A$5:$G$24,7,FALSE)</f>
        <v/>
      </c>
      <c r="M10" s="466" t="str">
        <f ca="1">IFERROR(VLOOKUP(L10,$G$5:$J$28,3,FALSE),"")</f>
        <v/>
      </c>
      <c r="N10" s="967"/>
      <c r="Q10" s="447"/>
      <c r="R10" s="473" t="str">
        <f>IF(ISBLANK(N14),"",IF(O14+N14&gt;N16+O16,L15,L17))</f>
        <v/>
      </c>
      <c r="S10" s="466" t="str">
        <f ca="1">IFERROR(VLOOKUP(R10,$G$5:$J$28,3,FALSE),"")</f>
        <v/>
      </c>
      <c r="T10" s="967"/>
      <c r="W10" s="447"/>
      <c r="X10" s="473" t="str">
        <f>IF(ISBLANK(T14),"",IF(U14+T14&gt;T16+U16,R15,R17))</f>
        <v/>
      </c>
      <c r="Y10" s="466" t="str">
        <f ca="1">IFERROR(VLOOKUP(X10,$G$5:$J$28,3,FALSE),"")</f>
        <v/>
      </c>
      <c r="Z10" s="967"/>
      <c r="AF10" s="453" t="s">
        <v>788</v>
      </c>
      <c r="AG10" s="435" t="str">
        <f>IF(ISBLANK(Z14),"",IF(Z14+AA14&lt;Z16+AA16,X15,X17))</f>
        <v/>
      </c>
      <c r="AH10" s="478" t="str">
        <f t="shared" ca="1" si="8"/>
        <v/>
      </c>
      <c r="AI10" s="476" t="str">
        <f t="shared" ca="1" si="9"/>
        <v/>
      </c>
      <c r="AJ10" s="915" t="str">
        <f t="shared" ca="1" si="10"/>
        <v/>
      </c>
      <c r="AN10" s="494">
        <f>K21</f>
        <v>5</v>
      </c>
      <c r="AO10" s="495" t="str">
        <f ca="1">L22</f>
        <v/>
      </c>
      <c r="AP10" s="495" t="str">
        <f t="shared" ref="AP10" ca="1" si="17">AO11</f>
        <v/>
      </c>
      <c r="AQ10" s="496" t="s">
        <v>793</v>
      </c>
      <c r="AR10" s="494">
        <f>Q21</f>
        <v>5</v>
      </c>
      <c r="AS10" s="495" t="str">
        <f>R22</f>
        <v/>
      </c>
      <c r="AT10" s="495" t="str">
        <f t="shared" ref="AT10" si="18">AS11</f>
        <v/>
      </c>
      <c r="AU10" s="496" t="s">
        <v>793</v>
      </c>
      <c r="AV10" s="494">
        <f>W21</f>
        <v>5</v>
      </c>
      <c r="AW10" s="495" t="str">
        <f>X22</f>
        <v/>
      </c>
      <c r="AX10" s="495" t="str">
        <f t="shared" ref="AX10" si="19">AW11</f>
        <v/>
      </c>
      <c r="AY10" s="496" t="s">
        <v>793</v>
      </c>
    </row>
    <row r="11" spans="1:51" ht="15.95" customHeight="1" thickBot="1" x14ac:dyDescent="0.25">
      <c r="A11" s="435">
        <v>7</v>
      </c>
      <c r="B11" s="444" t="str">
        <f t="shared" ca="1" si="0"/>
        <v/>
      </c>
      <c r="C11" s="444" t="str">
        <f t="shared" ca="1" si="1"/>
        <v/>
      </c>
      <c r="D11" s="444" t="str">
        <f t="shared" ca="1" si="2"/>
        <v/>
      </c>
      <c r="E11" s="486">
        <f t="shared" ca="1" si="3"/>
        <v>0</v>
      </c>
      <c r="F11" s="489">
        <v>17</v>
      </c>
      <c r="G11" s="488" t="str">
        <f t="shared" ca="1" si="4"/>
        <v/>
      </c>
      <c r="H11" s="898" t="str">
        <f t="shared" ca="1" si="5"/>
        <v/>
      </c>
      <c r="I11" s="898" t="str">
        <f t="shared" ca="1" si="6"/>
        <v/>
      </c>
      <c r="J11" s="898" t="str">
        <f t="shared" ca="1" si="7"/>
        <v/>
      </c>
      <c r="K11" s="450"/>
      <c r="L11" s="450"/>
      <c r="M11" s="450"/>
      <c r="N11" s="451"/>
      <c r="O11" s="450"/>
      <c r="P11" s="450"/>
      <c r="Q11" s="450"/>
      <c r="R11" s="437"/>
      <c r="S11" s="437"/>
      <c r="T11" s="451"/>
      <c r="U11" s="450"/>
      <c r="V11" s="450"/>
      <c r="W11" s="450"/>
      <c r="X11" s="450"/>
      <c r="Y11" s="450"/>
      <c r="Z11" s="451"/>
      <c r="AA11" s="450"/>
      <c r="AF11" s="453" t="s">
        <v>789</v>
      </c>
      <c r="AG11" s="435" t="str">
        <f>IF(ISBLANK(Z21),"",IF(Z21+AA21&gt;Z23+AA23,X22,X24))</f>
        <v/>
      </c>
      <c r="AH11" s="478" t="str">
        <f t="shared" ca="1" si="8"/>
        <v/>
      </c>
      <c r="AI11" s="476" t="str">
        <f t="shared" ca="1" si="9"/>
        <v/>
      </c>
      <c r="AJ11" s="915" t="str">
        <f t="shared" ca="1" si="10"/>
        <v/>
      </c>
      <c r="AN11" s="494">
        <f>K23</f>
        <v>6</v>
      </c>
      <c r="AO11" s="495" t="str">
        <f ca="1">L24</f>
        <v/>
      </c>
      <c r="AP11" s="495" t="str">
        <f t="shared" ref="AP11" ca="1" si="20">AO10</f>
        <v/>
      </c>
      <c r="AQ11" s="496" t="s">
        <v>793</v>
      </c>
      <c r="AR11" s="494">
        <f>Q23</f>
        <v>6</v>
      </c>
      <c r="AS11" s="495" t="str">
        <f>R24</f>
        <v/>
      </c>
      <c r="AT11" s="495" t="str">
        <f t="shared" ref="AT11" si="21">AS10</f>
        <v/>
      </c>
      <c r="AU11" s="496" t="s">
        <v>793</v>
      </c>
      <c r="AV11" s="494">
        <f>W23</f>
        <v>6</v>
      </c>
      <c r="AW11" s="495" t="str">
        <f>X24</f>
        <v/>
      </c>
      <c r="AX11" s="495" t="str">
        <f t="shared" ref="AX11" si="22">AW10</f>
        <v/>
      </c>
      <c r="AY11" s="496" t="s">
        <v>793</v>
      </c>
    </row>
    <row r="12" spans="1:51" ht="15.95" customHeight="1" thickBot="1" x14ac:dyDescent="0.25">
      <c r="A12" s="435">
        <v>8</v>
      </c>
      <c r="B12" s="444" t="str">
        <f t="shared" ca="1" si="0"/>
        <v/>
      </c>
      <c r="C12" s="444" t="str">
        <f t="shared" ca="1" si="1"/>
        <v/>
      </c>
      <c r="D12" s="444" t="str">
        <f t="shared" ca="1" si="2"/>
        <v/>
      </c>
      <c r="E12" s="486">
        <f t="shared" ca="1" si="3"/>
        <v>0</v>
      </c>
      <c r="F12" s="489">
        <v>18</v>
      </c>
      <c r="G12" s="488" t="str">
        <f t="shared" ca="1" si="4"/>
        <v/>
      </c>
      <c r="H12" s="898" t="str">
        <f t="shared" ca="1" si="5"/>
        <v/>
      </c>
      <c r="I12" s="898" t="str">
        <f t="shared" ca="1" si="6"/>
        <v/>
      </c>
      <c r="J12" s="898" t="str">
        <f t="shared" ca="1" si="7"/>
        <v/>
      </c>
      <c r="K12" s="450"/>
      <c r="L12" s="450"/>
      <c r="M12" s="450"/>
      <c r="N12" s="451"/>
      <c r="O12" s="450"/>
      <c r="P12" s="450"/>
      <c r="Q12" s="450"/>
      <c r="R12" s="437"/>
      <c r="S12" s="437"/>
      <c r="T12" s="451"/>
      <c r="U12" s="450"/>
      <c r="V12" s="450"/>
      <c r="W12" s="450"/>
      <c r="X12" s="979" t="s">
        <v>787</v>
      </c>
      <c r="Y12" s="1247"/>
      <c r="Z12" s="1247"/>
      <c r="AA12" s="450"/>
      <c r="AF12" s="453" t="s">
        <v>790</v>
      </c>
      <c r="AG12" s="435" t="str">
        <f>IF(ISBLANK(Z21),"",IF(Z21+AA21&lt;Z23+AA23,X22,X24))</f>
        <v/>
      </c>
      <c r="AH12" s="478" t="str">
        <f t="shared" ca="1" si="8"/>
        <v/>
      </c>
      <c r="AI12" s="476" t="str">
        <f t="shared" ca="1" si="9"/>
        <v/>
      </c>
      <c r="AJ12" s="915" t="str">
        <f t="shared" ca="1" si="10"/>
        <v/>
      </c>
      <c r="AN12" s="494">
        <f>K28</f>
        <v>7</v>
      </c>
      <c r="AO12" s="495" t="str">
        <f ca="1">L29</f>
        <v/>
      </c>
      <c r="AP12" s="495" t="str">
        <f t="shared" ref="AP12" ca="1" si="23">AO13</f>
        <v/>
      </c>
      <c r="AQ12" s="496" t="s">
        <v>793</v>
      </c>
      <c r="AR12" s="494">
        <f>Q28</f>
        <v>7</v>
      </c>
      <c r="AS12" s="495" t="str">
        <f>R29</f>
        <v/>
      </c>
      <c r="AT12" s="495" t="str">
        <f t="shared" ref="AT12" si="24">AS13</f>
        <v/>
      </c>
      <c r="AU12" s="496" t="s">
        <v>793</v>
      </c>
      <c r="AV12" s="494">
        <f>W28</f>
        <v>7</v>
      </c>
      <c r="AW12" s="495" t="str">
        <f>X29</f>
        <v/>
      </c>
      <c r="AX12" s="495" t="str">
        <f t="shared" ref="AX12" si="25">AW13</f>
        <v/>
      </c>
      <c r="AY12" s="496" t="s">
        <v>793</v>
      </c>
    </row>
    <row r="13" spans="1:51" ht="15.95" customHeight="1" thickBot="1" x14ac:dyDescent="0.25">
      <c r="A13" s="435">
        <v>9</v>
      </c>
      <c r="B13" s="444" t="str">
        <f t="shared" ca="1" si="0"/>
        <v/>
      </c>
      <c r="C13" s="444" t="str">
        <f t="shared" ca="1" si="1"/>
        <v/>
      </c>
      <c r="D13" s="444" t="str">
        <f t="shared" ca="1" si="2"/>
        <v/>
      </c>
      <c r="E13" s="486">
        <f t="shared" ca="1" si="3"/>
        <v>0</v>
      </c>
      <c r="F13" s="489">
        <v>19</v>
      </c>
      <c r="G13" s="488" t="str">
        <f t="shared" ca="1" si="4"/>
        <v/>
      </c>
      <c r="H13" s="898" t="str">
        <f t="shared" ca="1" si="5"/>
        <v/>
      </c>
      <c r="I13" s="898" t="str">
        <f t="shared" ca="1" si="6"/>
        <v/>
      </c>
      <c r="J13" s="898" t="str">
        <f t="shared" ca="1" si="7"/>
        <v/>
      </c>
      <c r="K13" s="445" t="s">
        <v>779</v>
      </c>
      <c r="L13" s="779" t="s">
        <v>1083</v>
      </c>
      <c r="M13" s="456" t="s">
        <v>481</v>
      </c>
      <c r="N13" s="464" t="s">
        <v>780</v>
      </c>
      <c r="O13" s="446" t="s">
        <v>781</v>
      </c>
      <c r="P13" s="445"/>
      <c r="Q13" s="445" t="s">
        <v>779</v>
      </c>
      <c r="R13" s="779" t="s">
        <v>1083</v>
      </c>
      <c r="S13" s="456" t="s">
        <v>481</v>
      </c>
      <c r="T13" s="464" t="s">
        <v>780</v>
      </c>
      <c r="U13" s="446" t="s">
        <v>781</v>
      </c>
      <c r="V13" s="445"/>
      <c r="W13" s="445" t="s">
        <v>779</v>
      </c>
      <c r="X13" s="779" t="s">
        <v>1083</v>
      </c>
      <c r="Y13" s="456" t="s">
        <v>481</v>
      </c>
      <c r="Z13" s="464" t="s">
        <v>780</v>
      </c>
      <c r="AA13" s="446" t="s">
        <v>781</v>
      </c>
      <c r="AF13" s="453" t="s">
        <v>791</v>
      </c>
      <c r="AG13" s="435" t="str">
        <f>IF(ISBLANK(Z28),"",IF(Z28+AA28&gt;Z30+AA30,X29,X31))</f>
        <v/>
      </c>
      <c r="AH13" s="478" t="str">
        <f t="shared" ca="1" si="8"/>
        <v/>
      </c>
      <c r="AI13" s="476" t="str">
        <f t="shared" ca="1" si="9"/>
        <v/>
      </c>
      <c r="AJ13" s="915" t="str">
        <f t="shared" ca="1" si="10"/>
        <v/>
      </c>
      <c r="AN13" s="494">
        <f>K30</f>
        <v>8</v>
      </c>
      <c r="AO13" s="495" t="str">
        <f ca="1">L31</f>
        <v/>
      </c>
      <c r="AP13" s="495" t="str">
        <f t="shared" ref="AP13" ca="1" si="26">AO12</f>
        <v/>
      </c>
      <c r="AQ13" s="496" t="s">
        <v>793</v>
      </c>
      <c r="AR13" s="494">
        <f>Q30</f>
        <v>8</v>
      </c>
      <c r="AS13" s="495" t="str">
        <f>R31</f>
        <v/>
      </c>
      <c r="AT13" s="495" t="str">
        <f t="shared" ref="AT13" si="27">AS12</f>
        <v/>
      </c>
      <c r="AU13" s="496" t="s">
        <v>793</v>
      </c>
      <c r="AV13" s="494">
        <f>W30</f>
        <v>8</v>
      </c>
      <c r="AW13" s="495" t="str">
        <f>X31</f>
        <v/>
      </c>
      <c r="AX13" s="495" t="str">
        <f t="shared" ref="AX13" si="28">AW12</f>
        <v/>
      </c>
      <c r="AY13" s="496" t="s">
        <v>793</v>
      </c>
    </row>
    <row r="14" spans="1:51" ht="15.95" customHeight="1" thickBot="1" x14ac:dyDescent="0.25">
      <c r="A14" s="435">
        <v>10</v>
      </c>
      <c r="B14" s="444" t="str">
        <f t="shared" ca="1" si="0"/>
        <v/>
      </c>
      <c r="C14" s="444" t="str">
        <f t="shared" ca="1" si="1"/>
        <v/>
      </c>
      <c r="D14" s="444" t="str">
        <f t="shared" ca="1" si="2"/>
        <v/>
      </c>
      <c r="E14" s="486">
        <f t="shared" ca="1" si="3"/>
        <v>0</v>
      </c>
      <c r="F14" s="489">
        <v>20</v>
      </c>
      <c r="G14" s="488" t="str">
        <f t="shared" ca="1" si="4"/>
        <v/>
      </c>
      <c r="H14" s="898" t="str">
        <f t="shared" ca="1" si="5"/>
        <v/>
      </c>
      <c r="I14" s="898" t="str">
        <f t="shared" ca="1" si="6"/>
        <v/>
      </c>
      <c r="J14" s="898" t="str">
        <f t="shared" ca="1" si="7"/>
        <v/>
      </c>
      <c r="K14" s="447">
        <f>K9+1</f>
        <v>3</v>
      </c>
      <c r="L14" s="472">
        <v>4</v>
      </c>
      <c r="M14" s="465" t="str">
        <f ca="1">IFERROR(VLOOKUP(L15,$G$5:$J$28,2,FALSE),"")</f>
        <v/>
      </c>
      <c r="N14" s="966"/>
      <c r="O14" s="780"/>
      <c r="Q14" s="447">
        <f>Q9+1</f>
        <v>3</v>
      </c>
      <c r="R14" s="472">
        <v>3</v>
      </c>
      <c r="S14" s="465" t="str">
        <f ca="1">IFERROR(VLOOKUP(R15,$G$5:$J$28,2,FALSE),"")</f>
        <v/>
      </c>
      <c r="T14" s="966"/>
      <c r="U14" s="780"/>
      <c r="W14" s="447">
        <f>W9+1</f>
        <v>3</v>
      </c>
      <c r="X14" s="472">
        <v>4</v>
      </c>
      <c r="Y14" s="465" t="str">
        <f ca="1">IFERROR(VLOOKUP(X15,$G$5:$J$28,2,FALSE),"")</f>
        <v/>
      </c>
      <c r="Z14" s="966"/>
      <c r="AA14" s="780"/>
      <c r="AF14" s="453" t="s">
        <v>792</v>
      </c>
      <c r="AG14" s="435" t="str">
        <f>IF(ISBLANK(Z28),"",IF(Z28+AA28&lt;Z30+AA30,X29,X31))</f>
        <v/>
      </c>
      <c r="AH14" s="478" t="str">
        <f t="shared" ca="1" si="8"/>
        <v/>
      </c>
      <c r="AI14" s="476" t="str">
        <f t="shared" ca="1" si="9"/>
        <v/>
      </c>
      <c r="AJ14" s="915" t="str">
        <f t="shared" ca="1" si="10"/>
        <v/>
      </c>
      <c r="AN14" s="494">
        <f>K35</f>
        <v>9</v>
      </c>
      <c r="AO14" s="495" t="str">
        <f ca="1">L36</f>
        <v/>
      </c>
      <c r="AP14" s="495" t="str">
        <f t="shared" ref="AP14" ca="1" si="29">AO15</f>
        <v/>
      </c>
      <c r="AQ14" s="496" t="s">
        <v>793</v>
      </c>
      <c r="AR14" s="494">
        <f>Q35</f>
        <v>9</v>
      </c>
      <c r="AS14" s="495" t="str">
        <f>R36</f>
        <v/>
      </c>
      <c r="AT14" s="495" t="str">
        <f t="shared" ref="AT14" si="30">AS15</f>
        <v/>
      </c>
      <c r="AU14" s="496" t="s">
        <v>793</v>
      </c>
      <c r="AV14" s="494">
        <f>W35</f>
        <v>9</v>
      </c>
      <c r="AW14" s="495" t="str">
        <f>X36</f>
        <v/>
      </c>
      <c r="AX14" s="495" t="str">
        <f t="shared" ref="AX14" si="31">AW15</f>
        <v/>
      </c>
      <c r="AY14" s="496" t="s">
        <v>793</v>
      </c>
    </row>
    <row r="15" spans="1:51" ht="15.95" customHeight="1" thickBot="1" x14ac:dyDescent="0.25">
      <c r="A15" s="435">
        <v>11</v>
      </c>
      <c r="B15" s="444" t="str">
        <f t="shared" ca="1" si="0"/>
        <v/>
      </c>
      <c r="C15" s="444" t="str">
        <f t="shared" ca="1" si="1"/>
        <v/>
      </c>
      <c r="D15" s="444" t="str">
        <f t="shared" ca="1" si="2"/>
        <v/>
      </c>
      <c r="E15" s="486">
        <f t="shared" ca="1" si="3"/>
        <v>0</v>
      </c>
      <c r="F15" s="489">
        <v>21</v>
      </c>
      <c r="G15" s="488" t="str">
        <f t="shared" ca="1" si="4"/>
        <v/>
      </c>
      <c r="H15" s="898" t="str">
        <f t="shared" ca="1" si="5"/>
        <v/>
      </c>
      <c r="I15" s="898" t="str">
        <f t="shared" ca="1" si="6"/>
        <v/>
      </c>
      <c r="J15" s="898" t="str">
        <f t="shared" ca="1" si="7"/>
        <v/>
      </c>
      <c r="K15" s="447"/>
      <c r="L15" s="473" t="str">
        <f ca="1">VLOOKUP(L14,$A$5:$G$24,7,FALSE)</f>
        <v/>
      </c>
      <c r="M15" s="466" t="str">
        <f ca="1">IFERROR(VLOOKUP(L15,$G$5:$J$28,3,FALSE),"")</f>
        <v/>
      </c>
      <c r="N15" s="967"/>
      <c r="Q15" s="447"/>
      <c r="R15" s="473" t="str">
        <f>IF(ISBLANK(N21),"",IF(N21+O21&gt;N23+O23,L22,L24))</f>
        <v/>
      </c>
      <c r="S15" s="466" t="str">
        <f ca="1">IFERROR(VLOOKUP(R15,$G$5:$J$28,3,FALSE),"")</f>
        <v/>
      </c>
      <c r="T15" s="967"/>
      <c r="W15" s="447"/>
      <c r="X15" s="473" t="str">
        <f>IF(ISBLANK(T7),"",IF(U7+T7&gt;T9+U9,R8,R10))</f>
        <v/>
      </c>
      <c r="Y15" s="466" t="str">
        <f ca="1">IFERROR(VLOOKUP(X15,$G$5:$J$28,3,FALSE),"")</f>
        <v/>
      </c>
      <c r="Z15" s="967"/>
      <c r="AF15" s="453" t="s">
        <v>794</v>
      </c>
      <c r="AG15" s="435" t="str">
        <f>IF(ISBLANK(Z35),"",IF(Z35+AA35&gt;Z37+AA37,X36,X38))</f>
        <v/>
      </c>
      <c r="AH15" s="478" t="str">
        <f t="shared" ca="1" si="8"/>
        <v/>
      </c>
      <c r="AI15" s="476" t="str">
        <f t="shared" ca="1" si="9"/>
        <v/>
      </c>
      <c r="AJ15" s="915" t="str">
        <f t="shared" ca="1" si="10"/>
        <v/>
      </c>
      <c r="AN15" s="494">
        <f>K37</f>
        <v>10</v>
      </c>
      <c r="AO15" s="495" t="str">
        <f ca="1">L38</f>
        <v/>
      </c>
      <c r="AP15" s="495" t="str">
        <f t="shared" ref="AP15" ca="1" si="32">AO14</f>
        <v/>
      </c>
      <c r="AQ15" s="496" t="s">
        <v>793</v>
      </c>
      <c r="AR15" s="494">
        <f>Q37</f>
        <v>10</v>
      </c>
      <c r="AS15" s="495" t="str">
        <f>R38</f>
        <v/>
      </c>
      <c r="AT15" s="495" t="str">
        <f t="shared" ref="AT15" si="33">AS14</f>
        <v/>
      </c>
      <c r="AU15" s="496" t="s">
        <v>793</v>
      </c>
      <c r="AV15" s="494">
        <f>W37</f>
        <v>10</v>
      </c>
      <c r="AW15" s="495" t="str">
        <f>X38</f>
        <v/>
      </c>
      <c r="AX15" s="495" t="str">
        <f t="shared" ref="AX15" si="34">AW14</f>
        <v/>
      </c>
      <c r="AY15" s="496" t="s">
        <v>793</v>
      </c>
    </row>
    <row r="16" spans="1:51" ht="15.95" customHeight="1" thickBot="1" x14ac:dyDescent="0.25">
      <c r="A16" s="435">
        <v>12</v>
      </c>
      <c r="B16" s="444" t="str">
        <f t="shared" ca="1" si="0"/>
        <v/>
      </c>
      <c r="C16" s="444" t="str">
        <f t="shared" ca="1" si="1"/>
        <v/>
      </c>
      <c r="D16" s="444" t="str">
        <f t="shared" ca="1" si="2"/>
        <v/>
      </c>
      <c r="E16" s="486">
        <f t="shared" ca="1" si="3"/>
        <v>0</v>
      </c>
      <c r="F16" s="489">
        <v>22</v>
      </c>
      <c r="G16" s="488" t="str">
        <f t="shared" ca="1" si="4"/>
        <v/>
      </c>
      <c r="H16" s="898" t="str">
        <f t="shared" ca="1" si="5"/>
        <v/>
      </c>
      <c r="I16" s="898" t="str">
        <f t="shared" ca="1" si="6"/>
        <v/>
      </c>
      <c r="J16" s="898" t="str">
        <f t="shared" ca="1" si="7"/>
        <v/>
      </c>
      <c r="K16" s="447">
        <f>K14+1</f>
        <v>4</v>
      </c>
      <c r="L16" s="472">
        <v>5</v>
      </c>
      <c r="M16" s="465" t="str">
        <f ca="1">IFERROR(VLOOKUP(L17,$G$5:$J$28,2,FALSE),"")</f>
        <v/>
      </c>
      <c r="N16" s="966"/>
      <c r="O16" s="780"/>
      <c r="Q16" s="447">
        <f>Q14+1</f>
        <v>4</v>
      </c>
      <c r="R16" s="472">
        <v>2</v>
      </c>
      <c r="S16" s="465" t="str">
        <f ca="1">IFERROR(VLOOKUP(R17,$G$5:$J$28,2,FALSE),"")</f>
        <v/>
      </c>
      <c r="T16" s="966"/>
      <c r="U16" s="780"/>
      <c r="W16" s="447">
        <f>W14+1</f>
        <v>4</v>
      </c>
      <c r="X16" s="472">
        <v>3</v>
      </c>
      <c r="Y16" s="465" t="str">
        <f ca="1">IFERROR(VLOOKUP(X17,$G$5:$J$28,2,FALSE),"")</f>
        <v/>
      </c>
      <c r="Z16" s="966"/>
      <c r="AA16" s="780"/>
      <c r="AF16" s="453" t="s">
        <v>795</v>
      </c>
      <c r="AG16" s="435" t="str">
        <f>IF(ISBLANK(Z35),"",IF(Z35+AA35&lt;Z37+AA37,X36,X38))</f>
        <v/>
      </c>
      <c r="AH16" s="478" t="str">
        <f t="shared" ca="1" si="8"/>
        <v/>
      </c>
      <c r="AI16" s="476" t="str">
        <f t="shared" ca="1" si="9"/>
        <v/>
      </c>
      <c r="AJ16" s="915" t="str">
        <f t="shared" ca="1" si="10"/>
        <v/>
      </c>
      <c r="AN16" s="494">
        <f>K42</f>
        <v>11</v>
      </c>
      <c r="AO16" s="495" t="str">
        <f ca="1">L43</f>
        <v/>
      </c>
      <c r="AP16" s="495" t="str">
        <f t="shared" ref="AP16" ca="1" si="35">AO17</f>
        <v/>
      </c>
      <c r="AQ16" s="496" t="s">
        <v>793</v>
      </c>
      <c r="AR16" s="494">
        <f>Q42</f>
        <v>11</v>
      </c>
      <c r="AS16" s="495" t="str">
        <f>R43</f>
        <v/>
      </c>
      <c r="AT16" s="495" t="str">
        <f t="shared" ref="AT16" si="36">AS17</f>
        <v/>
      </c>
      <c r="AU16" s="496" t="s">
        <v>793</v>
      </c>
      <c r="AV16" s="494">
        <f>W42</f>
        <v>11</v>
      </c>
      <c r="AW16" s="495" t="str">
        <f>X43</f>
        <v/>
      </c>
      <c r="AX16" s="495" t="str">
        <f t="shared" ref="AX16" si="37">AW17</f>
        <v/>
      </c>
      <c r="AY16" s="496" t="s">
        <v>793</v>
      </c>
    </row>
    <row r="17" spans="1:51" ht="15.95" customHeight="1" thickBot="1" x14ac:dyDescent="0.25">
      <c r="A17" s="435">
        <v>13</v>
      </c>
      <c r="B17" s="444" t="str">
        <f t="shared" ca="1" si="0"/>
        <v/>
      </c>
      <c r="C17" s="444" t="str">
        <f t="shared" ca="1" si="1"/>
        <v/>
      </c>
      <c r="D17" s="444" t="str">
        <f t="shared" ca="1" si="2"/>
        <v/>
      </c>
      <c r="E17" s="486">
        <f t="shared" ca="1" si="3"/>
        <v>0</v>
      </c>
      <c r="F17" s="489">
        <v>23</v>
      </c>
      <c r="G17" s="488" t="str">
        <f t="shared" ca="1" si="4"/>
        <v/>
      </c>
      <c r="H17" s="898" t="str">
        <f t="shared" ca="1" si="5"/>
        <v/>
      </c>
      <c r="I17" s="898" t="str">
        <f t="shared" ca="1" si="6"/>
        <v/>
      </c>
      <c r="J17" s="898" t="str">
        <f t="shared" ca="1" si="7"/>
        <v/>
      </c>
      <c r="K17" s="447"/>
      <c r="L17" s="473" t="str">
        <f ca="1">VLOOKUP(L16,$A$5:$G$24,7,FALSE)</f>
        <v/>
      </c>
      <c r="M17" s="466" t="str">
        <f ca="1">IFERROR(VLOOKUP(L17,$G$5:$J$28,3,FALSE),"")</f>
        <v/>
      </c>
      <c r="N17" s="967"/>
      <c r="Q17" s="447"/>
      <c r="R17" s="473" t="str">
        <f>IF(ISBLANK(N28),"",IF(N28+O28&gt;N30+O30,L29,L31))</f>
        <v/>
      </c>
      <c r="S17" s="466" t="str">
        <f ca="1">IFERROR(VLOOKUP(R17,$G$5:$J$28,3,FALSE),"")</f>
        <v/>
      </c>
      <c r="T17" s="967"/>
      <c r="W17" s="447"/>
      <c r="X17" s="473" t="str">
        <f>IF(ISBLANK(T14),"",IF(U14+T14&lt;T16+U16,R15,R17))</f>
        <v/>
      </c>
      <c r="Y17" s="466" t="str">
        <f ca="1">IFERROR(VLOOKUP(X17,$G$5:$J$28,3,FALSE),"")</f>
        <v/>
      </c>
      <c r="Z17" s="967"/>
      <c r="AF17" s="453" t="s">
        <v>796</v>
      </c>
      <c r="AG17" s="435" t="str">
        <f>IF(ISBLANK(Z42),"",IF(Z42+AA42&gt;Z44+AA44,X43,X45))</f>
        <v/>
      </c>
      <c r="AH17" s="478" t="str">
        <f t="shared" ca="1" si="8"/>
        <v/>
      </c>
      <c r="AI17" s="476" t="str">
        <f t="shared" ca="1" si="9"/>
        <v/>
      </c>
      <c r="AJ17" s="915" t="str">
        <f t="shared" ca="1" si="10"/>
        <v/>
      </c>
      <c r="AN17" s="494">
        <f>K44</f>
        <v>12</v>
      </c>
      <c r="AO17" s="495" t="str">
        <f ca="1">L45</f>
        <v/>
      </c>
      <c r="AP17" s="495" t="str">
        <f t="shared" ref="AP17" ca="1" si="38">AO16</f>
        <v/>
      </c>
      <c r="AQ17" s="496" t="s">
        <v>793</v>
      </c>
      <c r="AR17" s="494">
        <f>Q44</f>
        <v>12</v>
      </c>
      <c r="AS17" s="495" t="str">
        <f>R45</f>
        <v/>
      </c>
      <c r="AT17" s="495" t="str">
        <f t="shared" ref="AT17" si="39">AS16</f>
        <v/>
      </c>
      <c r="AU17" s="496" t="s">
        <v>793</v>
      </c>
      <c r="AV17" s="494">
        <f>W44</f>
        <v>12</v>
      </c>
      <c r="AW17" s="495" t="str">
        <f>X45</f>
        <v/>
      </c>
      <c r="AX17" s="495" t="str">
        <f t="shared" ref="AX17" si="40">AW16</f>
        <v/>
      </c>
      <c r="AY17" s="496" t="s">
        <v>793</v>
      </c>
    </row>
    <row r="18" spans="1:51" ht="15.95" customHeight="1" thickBot="1" x14ac:dyDescent="0.25">
      <c r="A18" s="435">
        <v>14</v>
      </c>
      <c r="B18" s="444" t="str">
        <f t="shared" ca="1" si="0"/>
        <v/>
      </c>
      <c r="C18" s="444" t="str">
        <f t="shared" ca="1" si="1"/>
        <v/>
      </c>
      <c r="D18" s="444" t="str">
        <f t="shared" ca="1" si="2"/>
        <v/>
      </c>
      <c r="E18" s="486">
        <f t="shared" ca="1" si="3"/>
        <v>0</v>
      </c>
      <c r="F18" s="489">
        <v>24</v>
      </c>
      <c r="G18" s="488" t="str">
        <f t="shared" ca="1" si="4"/>
        <v/>
      </c>
      <c r="H18" s="898" t="str">
        <f t="shared" ca="1" si="5"/>
        <v/>
      </c>
      <c r="I18" s="898" t="str">
        <f t="shared" ca="1" si="6"/>
        <v/>
      </c>
      <c r="J18" s="898" t="str">
        <f t="shared" ca="1" si="7"/>
        <v/>
      </c>
      <c r="K18" s="450"/>
      <c r="L18" s="450"/>
      <c r="M18" s="450"/>
      <c r="N18" s="451"/>
      <c r="O18" s="450"/>
      <c r="P18" s="450"/>
      <c r="Q18" s="450"/>
      <c r="R18" s="450"/>
      <c r="S18" s="450"/>
      <c r="T18" s="451"/>
      <c r="U18" s="450"/>
      <c r="V18" s="450"/>
      <c r="W18" s="450"/>
      <c r="X18" s="450"/>
      <c r="Y18" s="450"/>
      <c r="Z18" s="451"/>
      <c r="AA18" s="450"/>
      <c r="AF18" s="453" t="s">
        <v>797</v>
      </c>
      <c r="AG18" s="435" t="str">
        <f>IF(ISBLANK(Z42),"",IF(Z42+AA42&lt;Z44+AA44,X43,X45))</f>
        <v/>
      </c>
      <c r="AH18" s="478" t="str">
        <f t="shared" ca="1" si="8"/>
        <v/>
      </c>
      <c r="AI18" s="476" t="str">
        <f t="shared" ca="1" si="9"/>
        <v/>
      </c>
      <c r="AJ18" s="915" t="str">
        <f t="shared" ca="1" si="10"/>
        <v/>
      </c>
      <c r="AN18" s="494">
        <f>K49</f>
        <v>13</v>
      </c>
      <c r="AO18" s="495" t="str">
        <f ca="1">L50</f>
        <v/>
      </c>
      <c r="AP18" s="495" t="str">
        <f t="shared" ref="AP18" ca="1" si="41">AO19</f>
        <v/>
      </c>
      <c r="AQ18" s="496" t="s">
        <v>793</v>
      </c>
      <c r="AR18" s="494">
        <f>Q49</f>
        <v>13</v>
      </c>
      <c r="AS18" s="495" t="str">
        <f>R50</f>
        <v/>
      </c>
      <c r="AT18" s="495" t="str">
        <f t="shared" ref="AT18" si="42">AS19</f>
        <v/>
      </c>
      <c r="AU18" s="496" t="s">
        <v>793</v>
      </c>
      <c r="AV18" s="494">
        <f>W49</f>
        <v>13</v>
      </c>
      <c r="AW18" s="495" t="str">
        <f>X50</f>
        <v/>
      </c>
      <c r="AX18" s="495" t="str">
        <f t="shared" ref="AX18" si="43">AW19</f>
        <v/>
      </c>
      <c r="AY18" s="496" t="s">
        <v>793</v>
      </c>
    </row>
    <row r="19" spans="1:51" ht="15.95" customHeight="1" thickBot="1" x14ac:dyDescent="0.25">
      <c r="A19" s="435">
        <v>15</v>
      </c>
      <c r="B19" s="444" t="str">
        <f t="shared" ca="1" si="0"/>
        <v/>
      </c>
      <c r="C19" s="444" t="str">
        <f t="shared" ca="1" si="1"/>
        <v/>
      </c>
      <c r="D19" s="444" t="str">
        <f t="shared" ca="1" si="2"/>
        <v/>
      </c>
      <c r="E19" s="486">
        <f t="shared" ca="1" si="3"/>
        <v>0</v>
      </c>
      <c r="F19" s="489">
        <v>25</v>
      </c>
      <c r="G19" s="488" t="str">
        <f t="shared" ca="1" si="4"/>
        <v/>
      </c>
      <c r="H19" s="898" t="str">
        <f t="shared" ca="1" si="5"/>
        <v/>
      </c>
      <c r="I19" s="898" t="str">
        <f t="shared" ca="1" si="6"/>
        <v/>
      </c>
      <c r="J19" s="898" t="str">
        <f t="shared" ca="1" si="7"/>
        <v/>
      </c>
      <c r="K19" s="450"/>
      <c r="L19" s="454"/>
      <c r="M19" s="454"/>
      <c r="N19" s="455"/>
      <c r="O19" s="450"/>
      <c r="P19" s="450"/>
      <c r="Q19" s="450"/>
      <c r="R19" s="979" t="s">
        <v>819</v>
      </c>
      <c r="S19" s="1247"/>
      <c r="T19" s="1247"/>
      <c r="U19" s="450"/>
      <c r="V19" s="450"/>
      <c r="W19" s="450"/>
      <c r="X19" s="979" t="s">
        <v>820</v>
      </c>
      <c r="Y19" s="1247"/>
      <c r="Z19" s="1247"/>
      <c r="AA19" s="450"/>
      <c r="AF19" s="453" t="s">
        <v>798</v>
      </c>
      <c r="AG19" s="435" t="str">
        <f>IF(ISBLANK(Z49),"",IF(Z49+AA49&gt;Z51+AA51,X50,X52))</f>
        <v/>
      </c>
      <c r="AH19" s="478" t="str">
        <f t="shared" ca="1" si="8"/>
        <v/>
      </c>
      <c r="AI19" s="476" t="str">
        <f t="shared" ca="1" si="9"/>
        <v/>
      </c>
      <c r="AJ19" s="915" t="str">
        <f t="shared" ca="1" si="10"/>
        <v/>
      </c>
      <c r="AN19" s="494">
        <f>K51</f>
        <v>14</v>
      </c>
      <c r="AO19" s="495" t="str">
        <f ca="1">L52</f>
        <v/>
      </c>
      <c r="AP19" s="495" t="str">
        <f t="shared" ref="AP19" ca="1" si="44">AO18</f>
        <v/>
      </c>
      <c r="AQ19" s="496" t="s">
        <v>793</v>
      </c>
      <c r="AR19" s="494">
        <f>Q51</f>
        <v>14</v>
      </c>
      <c r="AS19" s="495" t="str">
        <f>R52</f>
        <v/>
      </c>
      <c r="AT19" s="495" t="str">
        <f t="shared" ref="AT19" si="45">AS18</f>
        <v/>
      </c>
      <c r="AU19" s="496" t="s">
        <v>793</v>
      </c>
      <c r="AV19" s="494">
        <f>W51</f>
        <v>14</v>
      </c>
      <c r="AW19" s="495" t="str">
        <f>X52</f>
        <v/>
      </c>
      <c r="AX19" s="495" t="str">
        <f t="shared" ref="AX19" si="46">AW18</f>
        <v/>
      </c>
      <c r="AY19" s="496" t="s">
        <v>793</v>
      </c>
    </row>
    <row r="20" spans="1:51" ht="15.95" customHeight="1" thickBot="1" x14ac:dyDescent="0.25">
      <c r="A20" s="435">
        <v>16</v>
      </c>
      <c r="B20" s="444" t="str">
        <f t="shared" ca="1" si="0"/>
        <v/>
      </c>
      <c r="C20" s="444" t="str">
        <f t="shared" ca="1" si="1"/>
        <v/>
      </c>
      <c r="D20" s="444" t="str">
        <f t="shared" ca="1" si="2"/>
        <v/>
      </c>
      <c r="E20" s="486">
        <f t="shared" ca="1" si="3"/>
        <v>0</v>
      </c>
      <c r="F20" s="489">
        <v>26</v>
      </c>
      <c r="G20" s="488" t="str">
        <f t="shared" ca="1" si="4"/>
        <v/>
      </c>
      <c r="H20" s="898" t="str">
        <f t="shared" ca="1" si="5"/>
        <v/>
      </c>
      <c r="I20" s="898" t="str">
        <f t="shared" ca="1" si="6"/>
        <v/>
      </c>
      <c r="J20" s="898" t="str">
        <f t="shared" ca="1" si="7"/>
        <v/>
      </c>
      <c r="K20" s="445" t="s">
        <v>779</v>
      </c>
      <c r="L20" s="779" t="s">
        <v>1083</v>
      </c>
      <c r="M20" s="456" t="s">
        <v>481</v>
      </c>
      <c r="N20" s="464" t="s">
        <v>780</v>
      </c>
      <c r="O20" s="446" t="s">
        <v>781</v>
      </c>
      <c r="P20" s="445"/>
      <c r="Q20" s="445" t="s">
        <v>779</v>
      </c>
      <c r="R20" s="779" t="s">
        <v>1083</v>
      </c>
      <c r="S20" s="456" t="s">
        <v>481</v>
      </c>
      <c r="T20" s="464" t="s">
        <v>780</v>
      </c>
      <c r="U20" s="446" t="s">
        <v>781</v>
      </c>
      <c r="V20" s="445"/>
      <c r="W20" s="445" t="s">
        <v>779</v>
      </c>
      <c r="X20" s="779" t="s">
        <v>1083</v>
      </c>
      <c r="Y20" s="456" t="s">
        <v>481</v>
      </c>
      <c r="Z20" s="464" t="s">
        <v>780</v>
      </c>
      <c r="AA20" s="446" t="s">
        <v>781</v>
      </c>
      <c r="AF20" s="453" t="s">
        <v>799</v>
      </c>
      <c r="AG20" s="435" t="str">
        <f>IF(ISBLANK(Z49),"",IF(Z49+AA49&lt;Z51+AA51,X50,X52))</f>
        <v/>
      </c>
      <c r="AH20" s="478" t="str">
        <f t="shared" ca="1" si="8"/>
        <v/>
      </c>
      <c r="AI20" s="476" t="str">
        <f t="shared" ca="1" si="9"/>
        <v/>
      </c>
      <c r="AJ20" s="915" t="str">
        <f t="shared" ca="1" si="10"/>
        <v/>
      </c>
      <c r="AN20" s="494">
        <f>K56</f>
        <v>15</v>
      </c>
      <c r="AO20" s="495" t="str">
        <f ca="1">L57</f>
        <v/>
      </c>
      <c r="AP20" s="495" t="str">
        <f t="shared" ref="AP20" ca="1" si="47">AO21</f>
        <v/>
      </c>
      <c r="AQ20" s="496" t="s">
        <v>793</v>
      </c>
      <c r="AR20" s="494">
        <f>Q56</f>
        <v>15</v>
      </c>
      <c r="AS20" s="495" t="str">
        <f>R57</f>
        <v/>
      </c>
      <c r="AT20" s="495" t="str">
        <f t="shared" ref="AT20" si="48">AS21</f>
        <v/>
      </c>
      <c r="AU20" s="496" t="s">
        <v>793</v>
      </c>
      <c r="AV20" s="494">
        <f>W56</f>
        <v>15</v>
      </c>
      <c r="AW20" s="495" t="str">
        <f>X57</f>
        <v/>
      </c>
      <c r="AX20" s="495" t="str">
        <f t="shared" ref="AX20" si="49">AW21</f>
        <v/>
      </c>
      <c r="AY20" s="496" t="s">
        <v>793</v>
      </c>
    </row>
    <row r="21" spans="1:51" ht="15.95" customHeight="1" thickBot="1" x14ac:dyDescent="0.25">
      <c r="A21" s="435">
        <v>17</v>
      </c>
      <c r="B21" s="444" t="str">
        <f t="shared" ca="1" si="0"/>
        <v/>
      </c>
      <c r="C21" s="444" t="str">
        <f t="shared" ca="1" si="1"/>
        <v/>
      </c>
      <c r="D21" s="444" t="str">
        <f t="shared" ca="1" si="2"/>
        <v/>
      </c>
      <c r="E21" s="486">
        <f t="shared" ca="1" si="3"/>
        <v>0</v>
      </c>
      <c r="F21" s="489">
        <v>27</v>
      </c>
      <c r="G21" s="488" t="str">
        <f t="shared" ca="1" si="4"/>
        <v/>
      </c>
      <c r="H21" s="898" t="str">
        <f t="shared" ca="1" si="5"/>
        <v/>
      </c>
      <c r="I21" s="898" t="str">
        <f t="shared" ca="1" si="6"/>
        <v/>
      </c>
      <c r="J21" s="898" t="str">
        <f t="shared" ca="1" si="7"/>
        <v/>
      </c>
      <c r="K21" s="447">
        <f>K16+1</f>
        <v>5</v>
      </c>
      <c r="L21" s="472">
        <v>3</v>
      </c>
      <c r="M21" s="465" t="str">
        <f ca="1">IFERROR(VLOOKUP(L22,$G$5:$J$28,2,FALSE),"")</f>
        <v/>
      </c>
      <c r="N21" s="966"/>
      <c r="O21" s="780"/>
      <c r="Q21" s="447">
        <f>Q16+1</f>
        <v>5</v>
      </c>
      <c r="R21" s="472">
        <v>8</v>
      </c>
      <c r="S21" s="465" t="str">
        <f ca="1">IFERROR(VLOOKUP(R22,$G$5:$J$28,2,FALSE),"")</f>
        <v/>
      </c>
      <c r="T21" s="966"/>
      <c r="U21" s="780"/>
      <c r="W21" s="447">
        <f>W16+1</f>
        <v>5</v>
      </c>
      <c r="X21" s="472">
        <v>5</v>
      </c>
      <c r="Y21" s="465" t="str">
        <f ca="1">IFERROR(VLOOKUP(X22,$G$5:$J$28,2,FALSE),"")</f>
        <v/>
      </c>
      <c r="Z21" s="966"/>
      <c r="AA21" s="780"/>
      <c r="AF21" s="453" t="s">
        <v>800</v>
      </c>
      <c r="AG21" s="435" t="str">
        <f>IF(ISBLANK(Z56),"",IF(Z56+AA56&gt;Z58+AA58,X57,X59))</f>
        <v/>
      </c>
      <c r="AH21" s="478" t="str">
        <f t="shared" ca="1" si="8"/>
        <v/>
      </c>
      <c r="AI21" s="476" t="str">
        <f t="shared" ca="1" si="9"/>
        <v/>
      </c>
      <c r="AJ21" s="915" t="str">
        <f t="shared" ca="1" si="10"/>
        <v/>
      </c>
      <c r="AN21" s="494">
        <f>K58</f>
        <v>16</v>
      </c>
      <c r="AO21" s="495" t="str">
        <f ca="1">L59</f>
        <v/>
      </c>
      <c r="AP21" s="495" t="str">
        <f t="shared" ref="AP21" ca="1" si="50">AO20</f>
        <v/>
      </c>
      <c r="AQ21" s="496" t="s">
        <v>793</v>
      </c>
      <c r="AR21" s="494">
        <f>Q58</f>
        <v>16</v>
      </c>
      <c r="AS21" s="495" t="str">
        <f>R59</f>
        <v/>
      </c>
      <c r="AT21" s="495" t="str">
        <f t="shared" ref="AT21" si="51">AS20</f>
        <v/>
      </c>
      <c r="AU21" s="496" t="s">
        <v>793</v>
      </c>
      <c r="AV21" s="494">
        <f>W58</f>
        <v>16</v>
      </c>
      <c r="AW21" s="495" t="str">
        <f>X59</f>
        <v/>
      </c>
      <c r="AX21" s="495" t="str">
        <f t="shared" ref="AX21" si="52">AW20</f>
        <v/>
      </c>
      <c r="AY21" s="496" t="s">
        <v>793</v>
      </c>
    </row>
    <row r="22" spans="1:51" ht="15.95" customHeight="1" thickBot="1" x14ac:dyDescent="0.25">
      <c r="A22" s="435">
        <v>18</v>
      </c>
      <c r="B22" s="444" t="str">
        <f t="shared" ca="1" si="0"/>
        <v/>
      </c>
      <c r="C22" s="444" t="str">
        <f t="shared" ca="1" si="1"/>
        <v/>
      </c>
      <c r="D22" s="444" t="str">
        <f t="shared" ca="1" si="2"/>
        <v/>
      </c>
      <c r="E22" s="486">
        <f t="shared" ca="1" si="3"/>
        <v>0</v>
      </c>
      <c r="F22" s="489">
        <v>28</v>
      </c>
      <c r="G22" s="488" t="str">
        <f t="shared" ca="1" si="4"/>
        <v/>
      </c>
      <c r="H22" s="898" t="str">
        <f t="shared" ca="1" si="5"/>
        <v/>
      </c>
      <c r="I22" s="898" t="str">
        <f t="shared" ca="1" si="6"/>
        <v/>
      </c>
      <c r="J22" s="898" t="str">
        <f t="shared" ca="1" si="7"/>
        <v/>
      </c>
      <c r="K22" s="447"/>
      <c r="L22" s="473" t="str">
        <f ca="1">VLOOKUP(L21,$A$5:$G$24,7,FALSE)</f>
        <v/>
      </c>
      <c r="M22" s="466" t="str">
        <f ca="1">IFERROR(VLOOKUP(L22,$G$5:$J$28,3,FALSE),"")</f>
        <v/>
      </c>
      <c r="N22" s="967"/>
      <c r="Q22" s="447"/>
      <c r="R22" s="473" t="str">
        <f>IF(ISBLANK(N7),"",IF(O7+N7&lt;N9+O9,L8,L10))</f>
        <v/>
      </c>
      <c r="S22" s="466" t="str">
        <f ca="1">IFERROR(VLOOKUP(R22,$G$5:$J$28,3,FALSE),"")</f>
        <v/>
      </c>
      <c r="T22" s="967"/>
      <c r="W22" s="447"/>
      <c r="X22" s="473" t="str">
        <f>IF(ISBLANK(T21),"",IF(U21+T21&gt;T23+U23,R22,R24))</f>
        <v/>
      </c>
      <c r="Y22" s="466" t="str">
        <f ca="1">IFERROR(VLOOKUP(X22,$G$5:$J$28,3,FALSE),"")</f>
        <v/>
      </c>
      <c r="Z22" s="967"/>
      <c r="AF22" s="453" t="s">
        <v>801</v>
      </c>
      <c r="AG22" s="435" t="str">
        <f>IF(ISBLANK(Z56),"",IF(Z56+AA56&lt;Z58+AA58,X57,X59))</f>
        <v/>
      </c>
      <c r="AH22" s="478" t="str">
        <f t="shared" ca="1" si="8"/>
        <v/>
      </c>
      <c r="AI22" s="476" t="str">
        <f t="shared" ca="1" si="9"/>
        <v/>
      </c>
      <c r="AJ22" s="915" t="str">
        <f t="shared" ca="1" si="10"/>
        <v/>
      </c>
      <c r="AN22" s="494">
        <f>K66</f>
        <v>17</v>
      </c>
      <c r="AO22" s="495" t="str">
        <f ca="1">L67</f>
        <v/>
      </c>
      <c r="AP22" s="495" t="str">
        <f t="shared" ref="AP22" ca="1" si="53">AO23</f>
        <v/>
      </c>
      <c r="AQ22" s="496" t="s">
        <v>793</v>
      </c>
      <c r="AR22" s="494">
        <f>Q66</f>
        <v>17</v>
      </c>
      <c r="AS22" s="495" t="str">
        <f ca="1">R67</f>
        <v/>
      </c>
      <c r="AT22" s="495" t="str">
        <f t="shared" ref="AT22" ca="1" si="54">AS23</f>
        <v/>
      </c>
      <c r="AU22" s="496" t="s">
        <v>793</v>
      </c>
      <c r="AV22" s="494">
        <f>W66</f>
        <v>17</v>
      </c>
      <c r="AW22" s="495" t="str">
        <f ca="1">X67</f>
        <v/>
      </c>
      <c r="AX22" s="495" t="str">
        <f t="shared" ref="AX22" ca="1" si="55">AW23</f>
        <v/>
      </c>
      <c r="AY22" s="496" t="s">
        <v>793</v>
      </c>
    </row>
    <row r="23" spans="1:51" ht="15.95" customHeight="1" thickBot="1" x14ac:dyDescent="0.25">
      <c r="A23" s="435">
        <v>19</v>
      </c>
      <c r="B23" s="444" t="str">
        <f t="shared" ca="1" si="0"/>
        <v/>
      </c>
      <c r="C23" s="444" t="str">
        <f t="shared" ca="1" si="1"/>
        <v/>
      </c>
      <c r="D23" s="444" t="str">
        <f t="shared" ca="1" si="2"/>
        <v/>
      </c>
      <c r="E23" s="486">
        <f t="shared" ca="1" si="3"/>
        <v>0</v>
      </c>
      <c r="F23" s="489">
        <v>29</v>
      </c>
      <c r="G23" s="488" t="str">
        <f t="shared" ca="1" si="4"/>
        <v/>
      </c>
      <c r="H23" s="898" t="str">
        <f t="shared" ca="1" si="5"/>
        <v/>
      </c>
      <c r="I23" s="898" t="str">
        <f t="shared" ca="1" si="6"/>
        <v/>
      </c>
      <c r="J23" s="898" t="str">
        <f t="shared" ca="1" si="7"/>
        <v/>
      </c>
      <c r="K23" s="447">
        <f>K21+1</f>
        <v>6</v>
      </c>
      <c r="L23" s="472">
        <v>6</v>
      </c>
      <c r="M23" s="465" t="str">
        <f ca="1">IFERROR(VLOOKUP(L24,$G$5:$J$28,2,FALSE),"")</f>
        <v/>
      </c>
      <c r="N23" s="966"/>
      <c r="O23" s="780"/>
      <c r="Q23" s="447">
        <f>Q21+1</f>
        <v>6</v>
      </c>
      <c r="R23" s="472">
        <v>5</v>
      </c>
      <c r="S23" s="465" t="str">
        <f ca="1">IFERROR(VLOOKUP(R24,$G$5:$J$28,2,FALSE),"")</f>
        <v/>
      </c>
      <c r="T23" s="966"/>
      <c r="U23" s="780"/>
      <c r="W23" s="447">
        <f>W21+1</f>
        <v>6</v>
      </c>
      <c r="X23" s="472">
        <v>6</v>
      </c>
      <c r="Y23" s="465" t="str">
        <f ca="1">IFERROR(VLOOKUP(X24,$G$5:$J$28,2,FALSE),"")</f>
        <v/>
      </c>
      <c r="Z23" s="966"/>
      <c r="AA23" s="780"/>
      <c r="AF23" s="453" t="s">
        <v>802</v>
      </c>
      <c r="AG23" s="435">
        <f>IF(ISBLANK(T72),"",IF(T72+U52&gt;Z52+AA52,R73,X53))</f>
        <v>0</v>
      </c>
      <c r="AH23" s="478" t="str">
        <f ca="1">IFERROR(VLOOKUP(AG23,$G$5:$J$28,2,FALSE),"")</f>
        <v/>
      </c>
      <c r="AI23" s="476" t="str">
        <f t="shared" ca="1" si="9"/>
        <v/>
      </c>
      <c r="AJ23" s="915" t="str">
        <f t="shared" ca="1" si="10"/>
        <v/>
      </c>
      <c r="AN23" s="494">
        <f>K68</f>
        <v>18</v>
      </c>
      <c r="AO23" s="495" t="str">
        <f ca="1">L69</f>
        <v/>
      </c>
      <c r="AP23" s="495" t="str">
        <f t="shared" ref="AP23" ca="1" si="56">AO22</f>
        <v/>
      </c>
      <c r="AQ23" s="496" t="s">
        <v>793</v>
      </c>
      <c r="AR23" s="494">
        <f>Q68</f>
        <v>18</v>
      </c>
      <c r="AS23" s="495" t="str">
        <f ca="1">R69</f>
        <v/>
      </c>
      <c r="AT23" s="495" t="str">
        <f t="shared" ref="AT23" ca="1" si="57">AS22</f>
        <v/>
      </c>
      <c r="AU23" s="496" t="s">
        <v>793</v>
      </c>
      <c r="AV23" s="494">
        <f>W68</f>
        <v>18</v>
      </c>
      <c r="AW23" s="495" t="str">
        <f ca="1">X69</f>
        <v/>
      </c>
      <c r="AX23" s="495" t="str">
        <f t="shared" ref="AX23" ca="1" si="58">AW22</f>
        <v/>
      </c>
      <c r="AY23" s="496" t="s">
        <v>793</v>
      </c>
    </row>
    <row r="24" spans="1:51" ht="15.95" customHeight="1" thickBot="1" x14ac:dyDescent="0.25">
      <c r="A24" s="435">
        <v>20</v>
      </c>
      <c r="B24" s="444" t="str">
        <f t="shared" ca="1" si="0"/>
        <v/>
      </c>
      <c r="C24" s="444" t="str">
        <f t="shared" ca="1" si="1"/>
        <v/>
      </c>
      <c r="D24" s="444" t="str">
        <f t="shared" ca="1" si="2"/>
        <v/>
      </c>
      <c r="E24" s="486">
        <f t="shared" ca="1" si="3"/>
        <v>0</v>
      </c>
      <c r="F24" s="489">
        <v>30</v>
      </c>
      <c r="G24" s="488" t="str">
        <f t="shared" ca="1" si="4"/>
        <v/>
      </c>
      <c r="H24" s="898" t="str">
        <f t="shared" ca="1" si="5"/>
        <v/>
      </c>
      <c r="I24" s="898" t="str">
        <f t="shared" ca="1" si="6"/>
        <v/>
      </c>
      <c r="J24" s="898" t="str">
        <f t="shared" ca="1" si="7"/>
        <v/>
      </c>
      <c r="K24" s="447"/>
      <c r="L24" s="473" t="str">
        <f ca="1">VLOOKUP(L23,$A$5:$G$24,7,FALSE)</f>
        <v/>
      </c>
      <c r="M24" s="466" t="str">
        <f ca="1">IFERROR(VLOOKUP(L24,$G$5:$J$28,3,FALSE),"")</f>
        <v/>
      </c>
      <c r="N24" s="967"/>
      <c r="Q24" s="447"/>
      <c r="R24" s="473" t="str">
        <f>IF(ISBLANK(N14),"",IF(O14+N14&lt;N16+O16,L15,L17))</f>
        <v/>
      </c>
      <c r="S24" s="466" t="str">
        <f ca="1">IFERROR(VLOOKUP(R24,$G$5:$J$28,3,FALSE),"")</f>
        <v/>
      </c>
      <c r="T24" s="967"/>
      <c r="W24" s="447"/>
      <c r="X24" s="473" t="str">
        <f>IF(ISBLANK(T28),"",IF(U28+T28&gt;T30+U30,R29,R31))</f>
        <v/>
      </c>
      <c r="Y24" s="466" t="str">
        <f ca="1">IFERROR(VLOOKUP(X24,$G$5:$J$28,3,FALSE),"")</f>
        <v/>
      </c>
      <c r="Z24" s="967"/>
      <c r="AF24" s="453" t="s">
        <v>803</v>
      </c>
      <c r="AG24" s="435" t="str">
        <f>IF(ISBLANK(T52),"",IF(T52+U52&lt;Z72+AA72,R53,X73))</f>
        <v/>
      </c>
      <c r="AH24" s="478" t="str">
        <f t="shared" ca="1" si="8"/>
        <v/>
      </c>
      <c r="AI24" s="476" t="str">
        <f t="shared" ca="1" si="9"/>
        <v/>
      </c>
      <c r="AJ24" s="479" t="str">
        <f t="shared" ca="1" si="10"/>
        <v/>
      </c>
      <c r="AN24" s="494"/>
      <c r="AO24" s="495"/>
      <c r="AP24" s="495"/>
      <c r="AQ24" s="496"/>
      <c r="AR24" s="494"/>
      <c r="AS24" s="495"/>
      <c r="AT24" s="495"/>
      <c r="AU24" s="496"/>
      <c r="AV24" s="494"/>
      <c r="AW24" s="495"/>
      <c r="AX24" s="495"/>
      <c r="AY24" s="496"/>
    </row>
    <row r="25" spans="1:51" ht="15.95" customHeight="1" x14ac:dyDescent="0.2">
      <c r="A25" s="435">
        <v>21</v>
      </c>
      <c r="B25" s="444" t="str">
        <f t="shared" ca="1" si="0"/>
        <v/>
      </c>
      <c r="C25" s="444" t="str">
        <f t="shared" ca="1" si="1"/>
        <v/>
      </c>
      <c r="D25" s="444" t="str">
        <f t="shared" ca="1" si="2"/>
        <v/>
      </c>
      <c r="E25" s="486">
        <f t="shared" ca="1" si="3"/>
        <v>0</v>
      </c>
      <c r="F25" s="489">
        <v>31</v>
      </c>
      <c r="G25" s="488" t="str">
        <f t="shared" ca="1" si="4"/>
        <v/>
      </c>
      <c r="H25" s="898" t="str">
        <f t="shared" ca="1" si="5"/>
        <v/>
      </c>
      <c r="I25" s="898" t="str">
        <f t="shared" ca="1" si="6"/>
        <v/>
      </c>
      <c r="J25" s="898" t="str">
        <f t="shared" ca="1" si="7"/>
        <v/>
      </c>
      <c r="K25" s="447"/>
      <c r="L25" s="441"/>
      <c r="M25" s="441"/>
      <c r="Q25" s="447"/>
      <c r="R25" s="437"/>
      <c r="S25" s="437"/>
      <c r="T25" s="451"/>
      <c r="W25" s="447"/>
      <c r="X25" s="441"/>
      <c r="Y25" s="441"/>
      <c r="AF25" s="453" t="s">
        <v>804</v>
      </c>
      <c r="AG25" s="435" t="str">
        <f>IF(ISBLANK(Z70),"",IF(Z70+AA70&gt;Z72+AA72,X71,X73))</f>
        <v/>
      </c>
      <c r="AH25" s="478" t="str">
        <f t="shared" ref="AH25:AH30" si="59">IFERROR(VLOOKUP(AG25,Num_AS,2,FALSE),"")</f>
        <v/>
      </c>
      <c r="AI25" s="474" t="str">
        <f t="shared" ref="AI25:AI30" si="60">IFERROR(VLOOKUP(AG25,Num_AS,3,FALSE),"")</f>
        <v/>
      </c>
      <c r="AJ25" s="479" t="str">
        <f t="shared" ref="AJ25:AJ30" si="61">IFERROR(VLOOKUP(AG25,Num_AS,4,FALSE),"")</f>
        <v/>
      </c>
      <c r="AN25" s="494"/>
      <c r="AO25" s="495"/>
      <c r="AP25" s="495"/>
      <c r="AQ25" s="496"/>
      <c r="AR25" s="494"/>
      <c r="AS25" s="495"/>
      <c r="AT25" s="495"/>
      <c r="AU25" s="496"/>
      <c r="AV25" s="494"/>
      <c r="AW25" s="495"/>
      <c r="AX25" s="495"/>
      <c r="AY25" s="496"/>
    </row>
    <row r="26" spans="1:51" ht="15.95" customHeight="1" thickBot="1" x14ac:dyDescent="0.25">
      <c r="A26" s="435">
        <v>22</v>
      </c>
      <c r="B26" s="444" t="str">
        <f t="shared" ca="1" si="0"/>
        <v/>
      </c>
      <c r="C26" s="444" t="str">
        <f t="shared" ca="1" si="1"/>
        <v/>
      </c>
      <c r="D26" s="444" t="str">
        <f t="shared" ca="1" si="2"/>
        <v/>
      </c>
      <c r="E26" s="486">
        <f t="shared" ca="1" si="3"/>
        <v>0</v>
      </c>
      <c r="F26" s="489">
        <v>32</v>
      </c>
      <c r="G26" s="488" t="str">
        <f t="shared" ca="1" si="4"/>
        <v/>
      </c>
      <c r="H26" s="898" t="str">
        <f t="shared" ca="1" si="5"/>
        <v/>
      </c>
      <c r="I26" s="898" t="str">
        <f t="shared" ca="1" si="6"/>
        <v/>
      </c>
      <c r="J26" s="898" t="str">
        <f t="shared" ca="1" si="7"/>
        <v/>
      </c>
      <c r="K26" s="450"/>
      <c r="L26" s="450"/>
      <c r="M26" s="450"/>
      <c r="N26" s="451"/>
      <c r="O26" s="450"/>
      <c r="P26" s="450"/>
      <c r="Q26" s="450"/>
      <c r="R26" s="437"/>
      <c r="S26" s="437"/>
      <c r="T26" s="451"/>
      <c r="U26" s="450"/>
      <c r="V26" s="450"/>
      <c r="W26" s="450"/>
      <c r="X26" s="979" t="s">
        <v>821</v>
      </c>
      <c r="Y26" s="1247"/>
      <c r="Z26" s="1247"/>
      <c r="AA26" s="450"/>
      <c r="AF26" s="453" t="s">
        <v>805</v>
      </c>
      <c r="AG26" s="435" t="str">
        <f>IF(ISBLANK(Z70),"",IF(Z70+AA70&lt;Z72+AA72,X71,X73))</f>
        <v/>
      </c>
      <c r="AH26" s="478" t="str">
        <f t="shared" si="59"/>
        <v/>
      </c>
      <c r="AI26" s="474" t="str">
        <f t="shared" si="60"/>
        <v/>
      </c>
      <c r="AJ26" s="479" t="str">
        <f t="shared" si="61"/>
        <v/>
      </c>
      <c r="AN26" s="494"/>
      <c r="AO26" s="495"/>
      <c r="AP26" s="495"/>
      <c r="AQ26" s="496"/>
      <c r="AR26" s="494"/>
      <c r="AS26" s="495"/>
      <c r="AT26" s="495"/>
      <c r="AU26" s="496"/>
      <c r="AV26" s="494"/>
      <c r="AW26" s="495"/>
      <c r="AX26" s="495"/>
      <c r="AY26" s="496"/>
    </row>
    <row r="27" spans="1:51" ht="15.95" customHeight="1" thickBot="1" x14ac:dyDescent="0.25">
      <c r="A27" s="435">
        <v>23</v>
      </c>
      <c r="B27" s="444" t="str">
        <f t="shared" ca="1" si="0"/>
        <v/>
      </c>
      <c r="C27" s="444" t="str">
        <f t="shared" ca="1" si="1"/>
        <v/>
      </c>
      <c r="D27" s="444" t="str">
        <f t="shared" ca="1" si="2"/>
        <v/>
      </c>
      <c r="E27" s="486">
        <f t="shared" ca="1" si="3"/>
        <v>0</v>
      </c>
      <c r="F27" s="489">
        <v>33</v>
      </c>
      <c r="G27" s="488" t="str">
        <f t="shared" ca="1" si="4"/>
        <v/>
      </c>
      <c r="H27" s="898" t="str">
        <f t="shared" ca="1" si="5"/>
        <v/>
      </c>
      <c r="I27" s="898" t="str">
        <f t="shared" ca="1" si="6"/>
        <v/>
      </c>
      <c r="J27" s="898" t="str">
        <f t="shared" ca="1" si="7"/>
        <v/>
      </c>
      <c r="K27" s="445" t="s">
        <v>779</v>
      </c>
      <c r="L27" s="779" t="s">
        <v>1083</v>
      </c>
      <c r="M27" s="456" t="s">
        <v>481</v>
      </c>
      <c r="N27" s="464" t="s">
        <v>780</v>
      </c>
      <c r="O27" s="446" t="s">
        <v>781</v>
      </c>
      <c r="P27" s="445"/>
      <c r="Q27" s="445" t="s">
        <v>779</v>
      </c>
      <c r="R27" s="779" t="s">
        <v>1083</v>
      </c>
      <c r="S27" s="456" t="s">
        <v>481</v>
      </c>
      <c r="T27" s="464" t="s">
        <v>780</v>
      </c>
      <c r="U27" s="446" t="s">
        <v>781</v>
      </c>
      <c r="V27" s="445"/>
      <c r="W27" s="445" t="s">
        <v>779</v>
      </c>
      <c r="X27" s="779" t="s">
        <v>1083</v>
      </c>
      <c r="Y27" s="456" t="s">
        <v>481</v>
      </c>
      <c r="Z27" s="464" t="s">
        <v>780</v>
      </c>
      <c r="AA27" s="446" t="s">
        <v>781</v>
      </c>
      <c r="AF27" s="453" t="s">
        <v>806</v>
      </c>
      <c r="AG27" s="435" t="str">
        <f>IF(ISBLANK(Z77),"",IF(Z77+AA77&gt;Z79+AA79,X78,X80))</f>
        <v/>
      </c>
      <c r="AH27" s="478" t="str">
        <f t="shared" si="59"/>
        <v/>
      </c>
      <c r="AI27" s="474" t="str">
        <f t="shared" si="60"/>
        <v/>
      </c>
      <c r="AJ27" s="479" t="str">
        <f t="shared" si="61"/>
        <v/>
      </c>
      <c r="AN27" s="494"/>
      <c r="AO27" s="495"/>
      <c r="AP27" s="495"/>
      <c r="AQ27" s="496"/>
      <c r="AR27" s="494"/>
      <c r="AS27" s="495"/>
      <c r="AT27" s="495"/>
      <c r="AU27" s="496"/>
      <c r="AV27" s="494"/>
      <c r="AW27" s="495"/>
      <c r="AX27" s="495"/>
      <c r="AY27" s="496"/>
    </row>
    <row r="28" spans="1:51" ht="15.95" customHeight="1" thickBot="1" x14ac:dyDescent="0.25">
      <c r="A28" s="435">
        <v>24</v>
      </c>
      <c r="B28" s="444" t="str">
        <f t="shared" ca="1" si="0"/>
        <v/>
      </c>
      <c r="C28" s="444" t="str">
        <f t="shared" ca="1" si="1"/>
        <v/>
      </c>
      <c r="D28" s="444" t="str">
        <f t="shared" ca="1" si="2"/>
        <v/>
      </c>
      <c r="E28" s="486">
        <f t="shared" ca="1" si="3"/>
        <v>0</v>
      </c>
      <c r="F28" s="489">
        <v>34</v>
      </c>
      <c r="G28" s="488" t="str">
        <f t="shared" ca="1" si="4"/>
        <v/>
      </c>
      <c r="H28" s="898" t="str">
        <f t="shared" ca="1" si="5"/>
        <v/>
      </c>
      <c r="I28" s="898" t="str">
        <f t="shared" ca="1" si="6"/>
        <v/>
      </c>
      <c r="J28" s="898" t="str">
        <f t="shared" ca="1" si="7"/>
        <v/>
      </c>
      <c r="K28" s="447">
        <f>K23+1</f>
        <v>7</v>
      </c>
      <c r="L28" s="472">
        <v>2</v>
      </c>
      <c r="M28" s="465" t="str">
        <f ca="1">IFERROR(VLOOKUP(L29,$G$5:$J$28,2,FALSE),"")</f>
        <v/>
      </c>
      <c r="N28" s="966"/>
      <c r="O28" s="780"/>
      <c r="Q28" s="447">
        <f>Q23+1</f>
        <v>7</v>
      </c>
      <c r="R28" s="472">
        <v>6</v>
      </c>
      <c r="S28" s="465" t="str">
        <f ca="1">IFERROR(VLOOKUP(R29,$G$5:$J$28,2,FALSE),"")</f>
        <v/>
      </c>
      <c r="T28" s="966"/>
      <c r="U28" s="780"/>
      <c r="W28" s="447">
        <f>W23+1</f>
        <v>7</v>
      </c>
      <c r="X28" s="472">
        <v>8</v>
      </c>
      <c r="Y28" s="465" t="str">
        <f ca="1">IFERROR(VLOOKUP(X29,$G$5:$J$28,2,FALSE),"")</f>
        <v/>
      </c>
      <c r="Z28" s="966"/>
      <c r="AA28" s="780"/>
      <c r="AF28" s="453" t="s">
        <v>807</v>
      </c>
      <c r="AG28" s="435" t="str">
        <f>IF(ISBLANK(Z77),"",IF(Z77+AA77&lt;Z79+AA79,X78,X80))</f>
        <v/>
      </c>
      <c r="AH28" s="478" t="str">
        <f t="shared" si="59"/>
        <v/>
      </c>
      <c r="AI28" s="474" t="str">
        <f t="shared" si="60"/>
        <v/>
      </c>
      <c r="AJ28" s="479" t="str">
        <f t="shared" si="61"/>
        <v/>
      </c>
      <c r="AN28" s="494"/>
      <c r="AO28" s="495"/>
      <c r="AP28" s="495"/>
      <c r="AQ28" s="496"/>
      <c r="AR28" s="494"/>
      <c r="AS28" s="495"/>
      <c r="AT28" s="495"/>
      <c r="AU28" s="496"/>
      <c r="AV28" s="494"/>
      <c r="AW28" s="495"/>
      <c r="AX28" s="495"/>
      <c r="AY28" s="496"/>
    </row>
    <row r="29" spans="1:51" ht="15.95" customHeight="1" thickBot="1" x14ac:dyDescent="0.25">
      <c r="H29" s="437"/>
      <c r="I29" s="437"/>
      <c r="J29" s="437"/>
      <c r="K29" s="447"/>
      <c r="L29" s="473" t="str">
        <f ca="1">VLOOKUP(L28,$A$5:$G$24,7,FALSE)</f>
        <v/>
      </c>
      <c r="M29" s="466" t="str">
        <f ca="1">IFERROR(VLOOKUP(L29,$G$5:$J$28,3,FALSE),"")</f>
        <v/>
      </c>
      <c r="N29" s="967"/>
      <c r="Q29" s="447"/>
      <c r="R29" s="473" t="str">
        <f>IF(ISBLANK(N21),"",IF(N21+O21&lt;N23+O23,L22,L24))</f>
        <v/>
      </c>
      <c r="S29" s="466" t="str">
        <f ca="1">IFERROR(VLOOKUP(R29,$G$5:$J$28,3,FALSE),"")</f>
        <v/>
      </c>
      <c r="T29" s="967"/>
      <c r="W29" s="447"/>
      <c r="X29" s="473" t="str">
        <f>IF(ISBLANK(T21),"",IF(U21+T21&lt;T23+U23,R22,R24))</f>
        <v/>
      </c>
      <c r="Y29" s="466" t="str">
        <f ca="1">IFERROR(VLOOKUP(X29,$G$5:$J$28,3,FALSE),"")</f>
        <v/>
      </c>
      <c r="Z29" s="967"/>
      <c r="AF29" s="453" t="s">
        <v>808</v>
      </c>
      <c r="AG29" s="435" t="str">
        <f>IF(ISBLANK(Z84),"",IF(Z84+AA84&gt;Z86+AA86,X85,X87))</f>
        <v/>
      </c>
      <c r="AH29" s="478" t="str">
        <f t="shared" si="59"/>
        <v/>
      </c>
      <c r="AI29" s="474" t="str">
        <f t="shared" si="60"/>
        <v/>
      </c>
      <c r="AJ29" s="479" t="str">
        <f t="shared" si="61"/>
        <v/>
      </c>
      <c r="AN29" s="494"/>
      <c r="AO29" s="495"/>
      <c r="AP29" s="495"/>
      <c r="AQ29" s="496"/>
      <c r="AR29" s="494"/>
      <c r="AS29" s="495"/>
      <c r="AT29" s="495"/>
      <c r="AU29" s="496"/>
      <c r="AV29" s="494"/>
      <c r="AW29" s="495"/>
      <c r="AX29" s="495"/>
      <c r="AY29" s="496"/>
    </row>
    <row r="30" spans="1:51" ht="15.95" customHeight="1" thickBot="1" x14ac:dyDescent="0.25">
      <c r="H30" s="437"/>
      <c r="I30" s="437"/>
      <c r="J30" s="437"/>
      <c r="K30" s="447">
        <f>K28+1</f>
        <v>8</v>
      </c>
      <c r="L30" s="472">
        <v>7</v>
      </c>
      <c r="M30" s="465" t="str">
        <f ca="1">IFERROR(VLOOKUP(L31,$G$5:$J$28,2,FALSE),"")</f>
        <v/>
      </c>
      <c r="N30" s="966"/>
      <c r="O30" s="780"/>
      <c r="Q30" s="447">
        <f>Q28+1</f>
        <v>8</v>
      </c>
      <c r="R30" s="472">
        <v>7</v>
      </c>
      <c r="S30" s="465" t="str">
        <f ca="1">IFERROR(VLOOKUP(R31,$G$5:$J$28,2,FALSE),"")</f>
        <v/>
      </c>
      <c r="T30" s="966"/>
      <c r="U30" s="780"/>
      <c r="W30" s="447">
        <f>W28+1</f>
        <v>8</v>
      </c>
      <c r="X30" s="472">
        <v>7</v>
      </c>
      <c r="Y30" s="465" t="str">
        <f ca="1">IFERROR(VLOOKUP(X31,$G$5:$J$28,2,FALSE),"")</f>
        <v/>
      </c>
      <c r="Z30" s="966"/>
      <c r="AA30" s="780"/>
      <c r="AF30" s="453" t="s">
        <v>809</v>
      </c>
      <c r="AG30" s="435" t="str">
        <f>IF(ISBLANK(Z84),"",IF(Z84+AA84&lt;Z86+AA86,X85,X87))</f>
        <v/>
      </c>
      <c r="AH30" s="480" t="str">
        <f t="shared" si="59"/>
        <v/>
      </c>
      <c r="AI30" s="481" t="str">
        <f t="shared" si="60"/>
        <v/>
      </c>
      <c r="AJ30" s="482" t="str">
        <f t="shared" si="61"/>
        <v/>
      </c>
    </row>
    <row r="31" spans="1:51" ht="15.95" customHeight="1" thickBot="1" x14ac:dyDescent="0.25">
      <c r="H31" s="437"/>
      <c r="I31" s="437"/>
      <c r="J31" s="437"/>
      <c r="K31" s="447"/>
      <c r="L31" s="473" t="str">
        <f ca="1">VLOOKUP(L30,$A$5:$G$24,7,FALSE)</f>
        <v/>
      </c>
      <c r="M31" s="466" t="str">
        <f ca="1">IFERROR(VLOOKUP(L31,$G$5:$J$28,3,FALSE),"")</f>
        <v/>
      </c>
      <c r="N31" s="967"/>
      <c r="Q31" s="447"/>
      <c r="R31" s="473" t="str">
        <f>IF(ISBLANK(N28),"",IF(N28+O28&lt;N30+O30,L29,L31))</f>
        <v/>
      </c>
      <c r="S31" s="466" t="str">
        <f ca="1">IFERROR(VLOOKUP(R31,$G$5:$J$28,3,FALSE),"")</f>
        <v/>
      </c>
      <c r="T31" s="967"/>
      <c r="W31" s="447"/>
      <c r="X31" s="473" t="str">
        <f>IF(ISBLANK(T28),"",IF(U28+T28&lt;T30+U30,R29,R31))</f>
        <v/>
      </c>
      <c r="Y31" s="466" t="str">
        <f ca="1">IFERROR(VLOOKUP(X31,$G$5:$J$28,3,FALSE),"")</f>
        <v/>
      </c>
      <c r="Z31" s="967"/>
      <c r="AF31" s="453"/>
      <c r="AG31" s="453"/>
    </row>
    <row r="32" spans="1:51" ht="15.95" customHeight="1" x14ac:dyDescent="0.2">
      <c r="H32" s="437"/>
      <c r="I32" s="437"/>
      <c r="J32" s="437"/>
      <c r="K32" s="450"/>
      <c r="L32" s="437"/>
      <c r="M32" s="437"/>
      <c r="N32" s="451"/>
      <c r="O32" s="450"/>
      <c r="P32" s="450"/>
      <c r="Q32" s="450"/>
      <c r="R32" s="437"/>
      <c r="S32" s="437"/>
      <c r="T32" s="451"/>
      <c r="U32" s="450"/>
      <c r="V32" s="450"/>
      <c r="W32" s="450"/>
      <c r="X32" s="437"/>
      <c r="Y32" s="437"/>
      <c r="Z32" s="451"/>
      <c r="AA32" s="450"/>
      <c r="AF32" s="453"/>
      <c r="AG32" s="453"/>
    </row>
    <row r="33" spans="8:33" ht="15.95" customHeight="1" thickBot="1" x14ac:dyDescent="0.25">
      <c r="H33" s="437"/>
      <c r="I33" s="437"/>
      <c r="J33" s="437"/>
      <c r="K33" s="450"/>
      <c r="L33" s="979" t="s">
        <v>822</v>
      </c>
      <c r="M33" s="1247"/>
      <c r="N33" s="1247"/>
      <c r="Q33" s="450"/>
      <c r="R33" s="979" t="s">
        <v>823</v>
      </c>
      <c r="S33" s="1247"/>
      <c r="T33" s="1247"/>
      <c r="U33" s="450"/>
      <c r="V33" s="450"/>
      <c r="W33" s="450"/>
      <c r="X33" s="979" t="s">
        <v>824</v>
      </c>
      <c r="Y33" s="1247"/>
      <c r="Z33" s="1247"/>
      <c r="AF33" s="453"/>
      <c r="AG33" s="453"/>
    </row>
    <row r="34" spans="8:33" ht="15.95" customHeight="1" thickBot="1" x14ac:dyDescent="0.25">
      <c r="H34" s="437"/>
      <c r="I34" s="437"/>
      <c r="J34" s="437"/>
      <c r="K34" s="445" t="s">
        <v>779</v>
      </c>
      <c r="L34" s="779" t="s">
        <v>1083</v>
      </c>
      <c r="M34" s="456" t="s">
        <v>481</v>
      </c>
      <c r="N34" s="464" t="s">
        <v>780</v>
      </c>
      <c r="O34" s="446" t="s">
        <v>781</v>
      </c>
      <c r="P34" s="445"/>
      <c r="Q34" s="445" t="s">
        <v>779</v>
      </c>
      <c r="R34" s="779" t="s">
        <v>1083</v>
      </c>
      <c r="S34" s="456" t="s">
        <v>481</v>
      </c>
      <c r="T34" s="464" t="s">
        <v>780</v>
      </c>
      <c r="U34" s="446" t="s">
        <v>781</v>
      </c>
      <c r="V34" s="445"/>
      <c r="W34" s="445" t="s">
        <v>779</v>
      </c>
      <c r="X34" s="779" t="s">
        <v>1083</v>
      </c>
      <c r="Y34" s="456" t="s">
        <v>481</v>
      </c>
      <c r="Z34" s="464" t="s">
        <v>780</v>
      </c>
      <c r="AA34" s="446" t="s">
        <v>781</v>
      </c>
      <c r="AF34" s="453"/>
      <c r="AG34" s="453"/>
    </row>
    <row r="35" spans="8:33" ht="15.95" customHeight="1" thickBot="1" x14ac:dyDescent="0.25">
      <c r="H35" s="437"/>
      <c r="I35" s="437"/>
      <c r="J35" s="437"/>
      <c r="K35" s="447">
        <f>K30+1</f>
        <v>9</v>
      </c>
      <c r="L35" s="472">
        <v>9</v>
      </c>
      <c r="M35" s="465" t="str">
        <f ca="1">IFERROR(VLOOKUP(L36,$G$5:$J$28,2,FALSE),"")</f>
        <v/>
      </c>
      <c r="N35" s="966"/>
      <c r="O35" s="780"/>
      <c r="Q35" s="447">
        <f>K35</f>
        <v>9</v>
      </c>
      <c r="R35" s="472">
        <v>9</v>
      </c>
      <c r="S35" s="465" t="str">
        <f ca="1">IFERROR(VLOOKUP(R36,$G$5:$J$28,2,FALSE),"")</f>
        <v/>
      </c>
      <c r="T35" s="966"/>
      <c r="U35" s="780"/>
      <c r="W35" s="447">
        <f>Q35</f>
        <v>9</v>
      </c>
      <c r="X35" s="472">
        <v>9</v>
      </c>
      <c r="Y35" s="465" t="str">
        <f ca="1">IFERROR(VLOOKUP(X36,$G$5:$J$28,2,FALSE),"")</f>
        <v/>
      </c>
      <c r="Z35" s="966"/>
      <c r="AA35" s="780"/>
      <c r="AF35" s="453"/>
      <c r="AG35" s="453"/>
    </row>
    <row r="36" spans="8:33" ht="15.95" customHeight="1" thickBot="1" x14ac:dyDescent="0.25">
      <c r="H36" s="437"/>
      <c r="I36" s="437"/>
      <c r="J36" s="437"/>
      <c r="K36" s="447"/>
      <c r="L36" s="473" t="str">
        <f ca="1">VLOOKUP(L35,$A$5:$G$24,7,FALSE)</f>
        <v/>
      </c>
      <c r="M36" s="466" t="str">
        <f ca="1">IFERROR(VLOOKUP(L36,$G$5:$J$28,3,FALSE),"")</f>
        <v/>
      </c>
      <c r="N36" s="967"/>
      <c r="Q36" s="447"/>
      <c r="R36" s="473" t="str">
        <f>IF(ISBLANK(N35),"",IF(O35+N35&gt;N37+O37,L36,L38))</f>
        <v/>
      </c>
      <c r="S36" s="466" t="str">
        <f ca="1">IFERROR(VLOOKUP(R36,$G$5:$J$28,3,FALSE),"")</f>
        <v/>
      </c>
      <c r="T36" s="967"/>
      <c r="W36" s="447"/>
      <c r="X36" s="473" t="str">
        <f>IF(ISBLANK(T35),"",IF(U35+T35&gt;T37+U37,R36,R38))</f>
        <v/>
      </c>
      <c r="Y36" s="466" t="str">
        <f ca="1">IFERROR(VLOOKUP(X36,$G$5:$J$28,3,FALSE),"")</f>
        <v/>
      </c>
      <c r="Z36" s="967"/>
      <c r="AF36" s="453"/>
      <c r="AG36" s="453"/>
    </row>
    <row r="37" spans="8:33" ht="15.95" customHeight="1" thickBot="1" x14ac:dyDescent="0.25">
      <c r="H37" s="437"/>
      <c r="I37" s="437"/>
      <c r="J37" s="437"/>
      <c r="K37" s="447">
        <f>K35+1</f>
        <v>10</v>
      </c>
      <c r="L37" s="472">
        <v>16</v>
      </c>
      <c r="M37" s="465" t="str">
        <f ca="1">IFERROR(VLOOKUP(L38,$G$5:$J$28,2,FALSE),"")</f>
        <v/>
      </c>
      <c r="N37" s="966"/>
      <c r="O37" s="780"/>
      <c r="Q37" s="447">
        <f>Q35+1</f>
        <v>10</v>
      </c>
      <c r="R37" s="472">
        <v>12</v>
      </c>
      <c r="S37" s="465" t="str">
        <f ca="1">IFERROR(VLOOKUP(R38,$G$5:$J$28,2,FALSE),"")</f>
        <v/>
      </c>
      <c r="T37" s="966"/>
      <c r="U37" s="780"/>
      <c r="W37" s="447">
        <f>W35+1</f>
        <v>10</v>
      </c>
      <c r="X37" s="472">
        <v>10</v>
      </c>
      <c r="Y37" s="465" t="str">
        <f ca="1">IFERROR(VLOOKUP(X38,$G$5:$J$28,2,FALSE),"")</f>
        <v/>
      </c>
      <c r="Z37" s="966"/>
      <c r="AA37" s="780"/>
      <c r="AF37" s="453"/>
      <c r="AG37" s="453"/>
    </row>
    <row r="38" spans="8:33" ht="15.95" customHeight="1" thickBot="1" x14ac:dyDescent="0.25">
      <c r="H38" s="437"/>
      <c r="I38" s="437"/>
      <c r="J38" s="437"/>
      <c r="K38" s="447"/>
      <c r="L38" s="473" t="str">
        <f ca="1">VLOOKUP(L37,$A$5:$G$24,7,FALSE)</f>
        <v/>
      </c>
      <c r="M38" s="466" t="str">
        <f ca="1">IFERROR(VLOOKUP(L38,$G$5:$J$28,3,FALSE),"")</f>
        <v/>
      </c>
      <c r="N38" s="967"/>
      <c r="Q38" s="447"/>
      <c r="R38" s="473" t="str">
        <f>IF(ISBLANK(N42),"",IF(O42+N42&gt;N44+O44,L43,L45))</f>
        <v/>
      </c>
      <c r="S38" s="466" t="str">
        <f ca="1">IFERROR(VLOOKUP(R38,$G$5:$J$28,3,FALSE),"")</f>
        <v/>
      </c>
      <c r="T38" s="967"/>
      <c r="W38" s="447"/>
      <c r="X38" s="473" t="str">
        <f>IF(ISBLANK(T42),"",IF(U42+T42&gt;T44+U44,R43,R45))</f>
        <v/>
      </c>
      <c r="Y38" s="466" t="str">
        <f ca="1">IFERROR(VLOOKUP(X38,$G$5:$J$28,3,FALSE),"")</f>
        <v/>
      </c>
      <c r="Z38" s="967"/>
      <c r="AF38" s="453"/>
      <c r="AG38" s="453"/>
    </row>
    <row r="39" spans="8:33" ht="15.95" customHeight="1" x14ac:dyDescent="0.2">
      <c r="H39" s="437"/>
      <c r="I39" s="437"/>
      <c r="J39" s="437"/>
      <c r="K39" s="450"/>
      <c r="L39" s="450"/>
      <c r="M39" s="450"/>
      <c r="N39" s="451"/>
      <c r="O39" s="450"/>
      <c r="P39" s="450"/>
      <c r="Q39" s="450"/>
      <c r="R39" s="437"/>
      <c r="S39" s="437"/>
      <c r="T39" s="451"/>
      <c r="U39" s="450"/>
      <c r="V39" s="450"/>
      <c r="W39" s="450"/>
      <c r="X39" s="450"/>
      <c r="Y39" s="450"/>
      <c r="Z39" s="451"/>
      <c r="AA39" s="450"/>
      <c r="AF39" s="453"/>
      <c r="AG39" s="453"/>
    </row>
    <row r="40" spans="8:33" ht="15.95" customHeight="1" thickBot="1" x14ac:dyDescent="0.25">
      <c r="H40" s="437"/>
      <c r="I40" s="437"/>
      <c r="J40" s="437"/>
      <c r="K40" s="450"/>
      <c r="L40" s="450"/>
      <c r="M40" s="450"/>
      <c r="N40" s="451"/>
      <c r="O40" s="450"/>
      <c r="P40" s="450"/>
      <c r="Q40" s="450"/>
      <c r="R40" s="437"/>
      <c r="S40" s="437"/>
      <c r="T40" s="451"/>
      <c r="U40" s="450"/>
      <c r="V40" s="450"/>
      <c r="W40" s="450"/>
      <c r="X40" s="979" t="s">
        <v>825</v>
      </c>
      <c r="Y40" s="1247"/>
      <c r="Z40" s="1247"/>
      <c r="AA40" s="450"/>
      <c r="AF40" s="453"/>
      <c r="AG40" s="453"/>
    </row>
    <row r="41" spans="8:33" ht="15.95" customHeight="1" thickBot="1" x14ac:dyDescent="0.25">
      <c r="H41" s="437"/>
      <c r="I41" s="437"/>
      <c r="J41" s="437"/>
      <c r="K41" s="445" t="s">
        <v>779</v>
      </c>
      <c r="L41" s="779" t="s">
        <v>1083</v>
      </c>
      <c r="M41" s="456" t="s">
        <v>481</v>
      </c>
      <c r="N41" s="464" t="s">
        <v>780</v>
      </c>
      <c r="O41" s="446" t="s">
        <v>781</v>
      </c>
      <c r="P41" s="445"/>
      <c r="Q41" s="445" t="s">
        <v>779</v>
      </c>
      <c r="R41" s="779" t="s">
        <v>1083</v>
      </c>
      <c r="S41" s="456" t="s">
        <v>481</v>
      </c>
      <c r="T41" s="464" t="s">
        <v>780</v>
      </c>
      <c r="U41" s="446" t="s">
        <v>781</v>
      </c>
      <c r="V41" s="445"/>
      <c r="W41" s="445" t="s">
        <v>779</v>
      </c>
      <c r="X41" s="779" t="s">
        <v>1083</v>
      </c>
      <c r="Y41" s="456" t="s">
        <v>481</v>
      </c>
      <c r="Z41" s="464" t="s">
        <v>780</v>
      </c>
      <c r="AA41" s="446" t="s">
        <v>781</v>
      </c>
      <c r="AF41" s="453"/>
      <c r="AG41" s="453"/>
    </row>
    <row r="42" spans="8:33" ht="15.95" customHeight="1" thickBot="1" x14ac:dyDescent="0.25">
      <c r="H42" s="437"/>
      <c r="I42" s="437"/>
      <c r="J42" s="437"/>
      <c r="K42" s="447">
        <f>K37+1</f>
        <v>11</v>
      </c>
      <c r="L42" s="472">
        <v>12</v>
      </c>
      <c r="M42" s="465" t="str">
        <f ca="1">IFERROR(VLOOKUP(L43,$G$5:$J$28,2,FALSE),"")</f>
        <v/>
      </c>
      <c r="N42" s="966"/>
      <c r="O42" s="780"/>
      <c r="Q42" s="447">
        <f>Q37+1</f>
        <v>11</v>
      </c>
      <c r="R42" s="472">
        <v>11</v>
      </c>
      <c r="S42" s="465" t="str">
        <f ca="1">IFERROR(VLOOKUP(R43,$G$5:$J$28,2,FALSE),"")</f>
        <v/>
      </c>
      <c r="T42" s="966"/>
      <c r="U42" s="780"/>
      <c r="W42" s="447">
        <f>W37+1</f>
        <v>11</v>
      </c>
      <c r="X42" s="472">
        <v>12</v>
      </c>
      <c r="Y42" s="465" t="str">
        <f ca="1">IFERROR(VLOOKUP(X43,$G$5:$J$28,2,FALSE),"")</f>
        <v/>
      </c>
      <c r="Z42" s="966"/>
      <c r="AA42" s="780"/>
      <c r="AF42" s="453"/>
      <c r="AG42" s="453"/>
    </row>
    <row r="43" spans="8:33" ht="15.95" customHeight="1" thickBot="1" x14ac:dyDescent="0.25">
      <c r="H43" s="437"/>
      <c r="I43" s="437"/>
      <c r="J43" s="437"/>
      <c r="K43" s="447"/>
      <c r="L43" s="473" t="str">
        <f ca="1">VLOOKUP(L42,$A$5:$G$24,7,FALSE)</f>
        <v/>
      </c>
      <c r="M43" s="466" t="str">
        <f ca="1">IFERROR(VLOOKUP(L43,$G$5:$J$28,3,FALSE),"")</f>
        <v/>
      </c>
      <c r="N43" s="967"/>
      <c r="Q43" s="447"/>
      <c r="R43" s="473" t="str">
        <f>IF(ISBLANK(N49),"",IF(N49+O49&gt;N51+O51,L50,L52))</f>
        <v/>
      </c>
      <c r="S43" s="466" t="str">
        <f ca="1">IFERROR(VLOOKUP(R43,$G$5:$J$28,3,FALSE),"")</f>
        <v/>
      </c>
      <c r="T43" s="967"/>
      <c r="W43" s="447"/>
      <c r="X43" s="473" t="str">
        <f>IF(ISBLANK(T35),"",IF(U35+T35&lt;T37+U37,R36,R38))</f>
        <v/>
      </c>
      <c r="Y43" s="466" t="str">
        <f ca="1">IFERROR(VLOOKUP(X43,$G$5:$J$28,3,FALSE),"")</f>
        <v/>
      </c>
      <c r="Z43" s="967"/>
      <c r="AF43" s="453"/>
      <c r="AG43" s="453"/>
    </row>
    <row r="44" spans="8:33" ht="15.95" customHeight="1" thickBot="1" x14ac:dyDescent="0.25">
      <c r="H44" s="437"/>
      <c r="I44" s="437"/>
      <c r="J44" s="437"/>
      <c r="K44" s="447">
        <f>K42+1</f>
        <v>12</v>
      </c>
      <c r="L44" s="472">
        <v>13</v>
      </c>
      <c r="M44" s="465" t="str">
        <f ca="1">IFERROR(VLOOKUP(L45,$G$5:$J$28,2,FALSE),"")</f>
        <v/>
      </c>
      <c r="N44" s="966"/>
      <c r="O44" s="780"/>
      <c r="Q44" s="447">
        <f>Q42+1</f>
        <v>12</v>
      </c>
      <c r="R44" s="472">
        <v>10</v>
      </c>
      <c r="S44" s="465" t="str">
        <f ca="1">IFERROR(VLOOKUP(R45,$G$5:$J$28,2,FALSE),"")</f>
        <v/>
      </c>
      <c r="T44" s="966"/>
      <c r="U44" s="780"/>
      <c r="W44" s="447">
        <f>W42+1</f>
        <v>12</v>
      </c>
      <c r="X44" s="472">
        <v>11</v>
      </c>
      <c r="Y44" s="465" t="str">
        <f ca="1">IFERROR(VLOOKUP(X45,$G$5:$J$28,2,FALSE),"")</f>
        <v/>
      </c>
      <c r="Z44" s="966"/>
      <c r="AA44" s="780"/>
      <c r="AF44" s="453"/>
      <c r="AG44" s="453"/>
    </row>
    <row r="45" spans="8:33" ht="15.95" customHeight="1" thickBot="1" x14ac:dyDescent="0.25">
      <c r="H45" s="437"/>
      <c r="I45" s="437"/>
      <c r="J45" s="437"/>
      <c r="K45" s="447"/>
      <c r="L45" s="473" t="str">
        <f ca="1">VLOOKUP(L44,$A$5:$G$24,7,FALSE)</f>
        <v/>
      </c>
      <c r="M45" s="466" t="str">
        <f ca="1">IFERROR(VLOOKUP(L45,$G$5:$J$28,3,FALSE),"")</f>
        <v/>
      </c>
      <c r="N45" s="967"/>
      <c r="Q45" s="447"/>
      <c r="R45" s="473" t="str">
        <f>IF(ISBLANK(N56),"",IF(N56+O56&gt;N58+O58,L57,L59))</f>
        <v/>
      </c>
      <c r="S45" s="466" t="str">
        <f ca="1">IFERROR(VLOOKUP(R45,$G$5:$J$28,3,FALSE),"")</f>
        <v/>
      </c>
      <c r="T45" s="967"/>
      <c r="W45" s="447"/>
      <c r="X45" s="473" t="str">
        <f>IF(ISBLANK(T42),"",IF(U42+T42&lt;T44+U44,R43,R45))</f>
        <v/>
      </c>
      <c r="Y45" s="466" t="str">
        <f ca="1">IFERROR(VLOOKUP(X45,$G$5:$J$28,3,FALSE),"")</f>
        <v/>
      </c>
      <c r="Z45" s="967"/>
      <c r="AF45" s="453"/>
      <c r="AG45" s="453"/>
    </row>
    <row r="46" spans="8:33" ht="15.95" customHeight="1" x14ac:dyDescent="0.2">
      <c r="H46" s="437"/>
      <c r="I46" s="437"/>
      <c r="J46" s="437"/>
      <c r="K46" s="450"/>
      <c r="L46" s="450"/>
      <c r="M46" s="450"/>
      <c r="N46" s="451"/>
      <c r="O46" s="450"/>
      <c r="P46" s="450"/>
      <c r="Q46" s="450"/>
      <c r="R46" s="450"/>
      <c r="S46" s="450"/>
      <c r="T46" s="451"/>
      <c r="U46" s="450"/>
      <c r="V46" s="450"/>
      <c r="W46" s="450"/>
      <c r="X46" s="450"/>
      <c r="Y46" s="450"/>
      <c r="Z46" s="451"/>
      <c r="AA46" s="450"/>
      <c r="AF46" s="453"/>
      <c r="AG46" s="453"/>
    </row>
    <row r="47" spans="8:33" ht="15.95" customHeight="1" thickBot="1" x14ac:dyDescent="0.25">
      <c r="H47" s="437"/>
      <c r="I47" s="437"/>
      <c r="J47" s="437"/>
      <c r="K47" s="450"/>
      <c r="L47" s="454"/>
      <c r="M47" s="454"/>
      <c r="N47" s="455"/>
      <c r="O47" s="450"/>
      <c r="P47" s="450"/>
      <c r="Q47" s="450"/>
      <c r="R47" s="979" t="s">
        <v>826</v>
      </c>
      <c r="S47" s="1247"/>
      <c r="T47" s="1247"/>
      <c r="U47" s="450"/>
      <c r="V47" s="450"/>
      <c r="W47" s="450"/>
      <c r="X47" s="979" t="s">
        <v>827</v>
      </c>
      <c r="Y47" s="1247"/>
      <c r="Z47" s="1247"/>
      <c r="AA47" s="450"/>
      <c r="AF47" s="453"/>
      <c r="AG47" s="453"/>
    </row>
    <row r="48" spans="8:33" ht="15.95" customHeight="1" thickBot="1" x14ac:dyDescent="0.25">
      <c r="H48" s="437"/>
      <c r="I48" s="437"/>
      <c r="J48" s="437"/>
      <c r="K48" s="445" t="s">
        <v>779</v>
      </c>
      <c r="L48" s="779" t="s">
        <v>1083</v>
      </c>
      <c r="M48" s="456" t="s">
        <v>481</v>
      </c>
      <c r="N48" s="464" t="s">
        <v>780</v>
      </c>
      <c r="O48" s="446" t="s">
        <v>781</v>
      </c>
      <c r="P48" s="445"/>
      <c r="Q48" s="445" t="s">
        <v>779</v>
      </c>
      <c r="R48" s="779" t="s">
        <v>1083</v>
      </c>
      <c r="S48" s="456" t="s">
        <v>481</v>
      </c>
      <c r="T48" s="464" t="s">
        <v>780</v>
      </c>
      <c r="U48" s="446" t="s">
        <v>781</v>
      </c>
      <c r="V48" s="445"/>
      <c r="W48" s="445" t="s">
        <v>779</v>
      </c>
      <c r="X48" s="779" t="s">
        <v>1083</v>
      </c>
      <c r="Y48" s="456" t="s">
        <v>481</v>
      </c>
      <c r="Z48" s="464" t="s">
        <v>780</v>
      </c>
      <c r="AA48" s="446" t="s">
        <v>781</v>
      </c>
      <c r="AF48" s="453"/>
      <c r="AG48" s="453"/>
    </row>
    <row r="49" spans="8:33" ht="15.95" customHeight="1" thickBot="1" x14ac:dyDescent="0.25">
      <c r="H49" s="437"/>
      <c r="I49" s="437"/>
      <c r="J49" s="437"/>
      <c r="K49" s="447">
        <f>K44+1</f>
        <v>13</v>
      </c>
      <c r="L49" s="472">
        <v>11</v>
      </c>
      <c r="M49" s="465" t="str">
        <f ca="1">IFERROR(VLOOKUP(L50,$G$5:$J$28,2,FALSE),"")</f>
        <v/>
      </c>
      <c r="N49" s="966"/>
      <c r="O49" s="780"/>
      <c r="Q49" s="447">
        <f>Q44+1</f>
        <v>13</v>
      </c>
      <c r="R49" s="472">
        <v>16</v>
      </c>
      <c r="S49" s="465" t="str">
        <f ca="1">IFERROR(VLOOKUP(R50,$G$5:$J$28,2,FALSE),"")</f>
        <v/>
      </c>
      <c r="T49" s="966"/>
      <c r="U49" s="780"/>
      <c r="W49" s="447">
        <f>W44+1</f>
        <v>13</v>
      </c>
      <c r="X49" s="472">
        <v>13</v>
      </c>
      <c r="Y49" s="465" t="str">
        <f ca="1">IFERROR(VLOOKUP(X50,$G$5:$J$28,2,FALSE),"")</f>
        <v/>
      </c>
      <c r="Z49" s="966"/>
      <c r="AA49" s="780"/>
      <c r="AF49" s="453"/>
      <c r="AG49" s="453"/>
    </row>
    <row r="50" spans="8:33" ht="15.95" customHeight="1" thickBot="1" x14ac:dyDescent="0.25">
      <c r="H50" s="437"/>
      <c r="I50" s="437"/>
      <c r="J50" s="437"/>
      <c r="K50" s="447"/>
      <c r="L50" s="473" t="str">
        <f ca="1">VLOOKUP(L49,$A$5:$G$24,7,FALSE)</f>
        <v/>
      </c>
      <c r="M50" s="466" t="str">
        <f ca="1">IFERROR(VLOOKUP(L50,$G$5:$J$28,3,FALSE),"")</f>
        <v/>
      </c>
      <c r="N50" s="967"/>
      <c r="Q50" s="447"/>
      <c r="R50" s="473" t="str">
        <f>IF(ISBLANK(N35),"",IF(O35+N35&lt;N37+O37,L36,L38))</f>
        <v/>
      </c>
      <c r="S50" s="466" t="str">
        <f ca="1">IFERROR(VLOOKUP(R50,$G$5:$J$28,3,FALSE),"")</f>
        <v/>
      </c>
      <c r="T50" s="967"/>
      <c r="W50" s="447"/>
      <c r="X50" s="473" t="str">
        <f>IF(ISBLANK(T49),"",IF(U49+T49&gt;T51+U51,R50,R52))</f>
        <v/>
      </c>
      <c r="Y50" s="466" t="str">
        <f ca="1">IFERROR(VLOOKUP(X50,$G$5:$J$28,3,FALSE),"")</f>
        <v/>
      </c>
      <c r="Z50" s="967"/>
    </row>
    <row r="51" spans="8:33" ht="15.95" customHeight="1" thickBot="1" x14ac:dyDescent="0.25">
      <c r="H51" s="437"/>
      <c r="I51" s="437"/>
      <c r="J51" s="437"/>
      <c r="K51" s="447">
        <f>K49+1</f>
        <v>14</v>
      </c>
      <c r="L51" s="472">
        <v>14</v>
      </c>
      <c r="M51" s="465" t="str">
        <f ca="1">IFERROR(VLOOKUP(L52,$G$5:$J$28,2,FALSE),"")</f>
        <v/>
      </c>
      <c r="N51" s="966"/>
      <c r="O51" s="780"/>
      <c r="Q51" s="447">
        <f>Q49+1</f>
        <v>14</v>
      </c>
      <c r="R51" s="472">
        <v>13</v>
      </c>
      <c r="S51" s="465" t="str">
        <f ca="1">IFERROR(VLOOKUP(R52,$G$5:$J$28,2,FALSE),"")</f>
        <v/>
      </c>
      <c r="T51" s="966"/>
      <c r="U51" s="780"/>
      <c r="W51" s="447">
        <f>W49+1</f>
        <v>14</v>
      </c>
      <c r="X51" s="472">
        <v>14</v>
      </c>
      <c r="Y51" s="465" t="str">
        <f ca="1">IFERROR(VLOOKUP(X52,$G$5:$J$28,2,FALSE),"")</f>
        <v/>
      </c>
      <c r="Z51" s="966"/>
      <c r="AA51" s="780"/>
    </row>
    <row r="52" spans="8:33" ht="15.95" customHeight="1" thickBot="1" x14ac:dyDescent="0.25">
      <c r="H52" s="437"/>
      <c r="I52" s="437"/>
      <c r="J52" s="437"/>
      <c r="K52" s="447"/>
      <c r="L52" s="473" t="str">
        <f ca="1">VLOOKUP(L51,$A$5:$G$24,7,FALSE)</f>
        <v/>
      </c>
      <c r="M52" s="466" t="str">
        <f ca="1">IFERROR(VLOOKUP(L52,$G$5:$J$28,3,FALSE),"")</f>
        <v/>
      </c>
      <c r="N52" s="967"/>
      <c r="Q52" s="447"/>
      <c r="R52" s="473" t="str">
        <f>IF(ISBLANK(N42),"",IF(O42+N42&lt;N44+O44,L43,L45))</f>
        <v/>
      </c>
      <c r="S52" s="466" t="str">
        <f ca="1">IFERROR(VLOOKUP(R52,$G$5:$J$28,3,FALSE),"")</f>
        <v/>
      </c>
      <c r="T52" s="967"/>
      <c r="W52" s="447"/>
      <c r="X52" s="473" t="str">
        <f>IF(ISBLANK(T56),"",IF(U56+T56&gt;T58+U58,R57,R59))</f>
        <v/>
      </c>
      <c r="Y52" s="466" t="str">
        <f ca="1">IFERROR(VLOOKUP(X52,$G$5:$J$28,3,FALSE),"")</f>
        <v/>
      </c>
      <c r="Z52" s="967"/>
    </row>
    <row r="53" spans="8:33" ht="15.95" customHeight="1" x14ac:dyDescent="0.2">
      <c r="H53" s="437"/>
      <c r="I53" s="437"/>
      <c r="J53" s="437"/>
      <c r="K53" s="447"/>
      <c r="L53" s="441"/>
      <c r="M53" s="441"/>
      <c r="Q53" s="447"/>
      <c r="R53" s="437"/>
      <c r="S53" s="437"/>
      <c r="T53" s="451"/>
      <c r="W53" s="447"/>
      <c r="X53" s="441"/>
      <c r="Y53" s="441"/>
    </row>
    <row r="54" spans="8:33" ht="15.95" customHeight="1" thickBot="1" x14ac:dyDescent="0.25">
      <c r="H54" s="437"/>
      <c r="I54" s="437"/>
      <c r="J54" s="437"/>
      <c r="K54" s="450"/>
      <c r="L54" s="450"/>
      <c r="M54" s="450"/>
      <c r="N54" s="451"/>
      <c r="O54" s="450"/>
      <c r="P54" s="450"/>
      <c r="Q54" s="450"/>
      <c r="R54" s="437"/>
      <c r="S54" s="437"/>
      <c r="T54" s="451"/>
      <c r="U54" s="450"/>
      <c r="V54" s="450"/>
      <c r="W54" s="450"/>
      <c r="X54" s="979" t="s">
        <v>828</v>
      </c>
      <c r="Y54" s="1247"/>
      <c r="Z54" s="1247"/>
      <c r="AA54" s="450"/>
    </row>
    <row r="55" spans="8:33" ht="15.95" customHeight="1" thickBot="1" x14ac:dyDescent="0.25">
      <c r="H55" s="437"/>
      <c r="I55" s="437"/>
      <c r="J55" s="437"/>
      <c r="K55" s="445" t="s">
        <v>779</v>
      </c>
      <c r="L55" s="779" t="s">
        <v>1083</v>
      </c>
      <c r="M55" s="456" t="s">
        <v>481</v>
      </c>
      <c r="N55" s="464" t="s">
        <v>780</v>
      </c>
      <c r="O55" s="446" t="s">
        <v>781</v>
      </c>
      <c r="P55" s="445"/>
      <c r="Q55" s="445" t="s">
        <v>779</v>
      </c>
      <c r="R55" s="779" t="s">
        <v>1083</v>
      </c>
      <c r="S55" s="456" t="s">
        <v>481</v>
      </c>
      <c r="T55" s="464" t="s">
        <v>780</v>
      </c>
      <c r="U55" s="446" t="s">
        <v>781</v>
      </c>
      <c r="V55" s="445"/>
      <c r="W55" s="445" t="s">
        <v>779</v>
      </c>
      <c r="X55" s="779" t="s">
        <v>1083</v>
      </c>
      <c r="Y55" s="456" t="s">
        <v>481</v>
      </c>
      <c r="Z55" s="464" t="s">
        <v>780</v>
      </c>
      <c r="AA55" s="446" t="s">
        <v>781</v>
      </c>
    </row>
    <row r="56" spans="8:33" ht="15.95" customHeight="1" thickBot="1" x14ac:dyDescent="0.25">
      <c r="H56" s="437"/>
      <c r="I56" s="437"/>
      <c r="J56" s="437"/>
      <c r="K56" s="447">
        <f>K51+1</f>
        <v>15</v>
      </c>
      <c r="L56" s="472">
        <v>10</v>
      </c>
      <c r="M56" s="465" t="str">
        <f ca="1">IFERROR(VLOOKUP(L57,$G$5:$J$28,2,FALSE),"")</f>
        <v/>
      </c>
      <c r="N56" s="966"/>
      <c r="O56" s="780"/>
      <c r="Q56" s="447">
        <f>Q51+1</f>
        <v>15</v>
      </c>
      <c r="R56" s="472">
        <v>14</v>
      </c>
      <c r="S56" s="465" t="str">
        <f ca="1">IFERROR(VLOOKUP(R57,$G$5:$J$28,2,FALSE),"")</f>
        <v/>
      </c>
      <c r="T56" s="966"/>
      <c r="U56" s="780"/>
      <c r="W56" s="447">
        <f>W51+1</f>
        <v>15</v>
      </c>
      <c r="X56" s="472">
        <v>16</v>
      </c>
      <c r="Y56" s="465" t="str">
        <f ca="1">IFERROR(VLOOKUP(X57,$G$5:$J$28,2,FALSE),"")</f>
        <v/>
      </c>
      <c r="Z56" s="966"/>
      <c r="AA56" s="780"/>
    </row>
    <row r="57" spans="8:33" ht="15.95" customHeight="1" thickBot="1" x14ac:dyDescent="0.25">
      <c r="H57" s="437"/>
      <c r="I57" s="437"/>
      <c r="J57" s="437"/>
      <c r="K57" s="447"/>
      <c r="L57" s="473" t="str">
        <f ca="1">VLOOKUP(L56,$A$5:$G$24,7,FALSE)</f>
        <v/>
      </c>
      <c r="M57" s="466" t="str">
        <f ca="1">IFERROR(VLOOKUP(L57,$G$5:$J$28,3,FALSE),"")</f>
        <v/>
      </c>
      <c r="N57" s="967"/>
      <c r="Q57" s="447"/>
      <c r="R57" s="473" t="str">
        <f>IF(ISBLANK(N49),"",IF(N49+O49&lt;N51+O51,L50,L52))</f>
        <v/>
      </c>
      <c r="S57" s="466" t="str">
        <f ca="1">IFERROR(VLOOKUP(R57,$G$5:$J$28,3,FALSE),"")</f>
        <v/>
      </c>
      <c r="T57" s="967"/>
      <c r="W57" s="447"/>
      <c r="X57" s="473" t="str">
        <f>IF(ISBLANK(T49),"",IF(U49+T49&lt;T51+U51,R50,R52))</f>
        <v/>
      </c>
      <c r="Y57" s="466" t="str">
        <f ca="1">IFERROR(VLOOKUP(X57,$G$5:$J$28,3,FALSE),"")</f>
        <v/>
      </c>
      <c r="Z57" s="967"/>
    </row>
    <row r="58" spans="8:33" ht="15.95" customHeight="1" thickBot="1" x14ac:dyDescent="0.25">
      <c r="H58" s="437"/>
      <c r="I58" s="437"/>
      <c r="J58" s="437"/>
      <c r="K58" s="447">
        <f>K56+1</f>
        <v>16</v>
      </c>
      <c r="L58" s="472">
        <v>15</v>
      </c>
      <c r="M58" s="465" t="str">
        <f ca="1">IFERROR(VLOOKUP(L59,$G$5:$J$28,2,FALSE),"")</f>
        <v/>
      </c>
      <c r="N58" s="966"/>
      <c r="O58" s="780"/>
      <c r="Q58" s="447">
        <f>Q56+1</f>
        <v>16</v>
      </c>
      <c r="R58" s="472">
        <v>15</v>
      </c>
      <c r="S58" s="465" t="str">
        <f ca="1">IFERROR(VLOOKUP(R59,$G$5:$J$28,2,FALSE),"")</f>
        <v/>
      </c>
      <c r="T58" s="966"/>
      <c r="U58" s="780"/>
      <c r="W58" s="447">
        <f>W56+1</f>
        <v>16</v>
      </c>
      <c r="X58" s="472">
        <v>15</v>
      </c>
      <c r="Y58" s="465" t="str">
        <f ca="1">IFERROR(VLOOKUP(X59,$G$5:$J$28,2,FALSE),"")</f>
        <v/>
      </c>
      <c r="Z58" s="966"/>
      <c r="AA58" s="780"/>
    </row>
    <row r="59" spans="8:33" ht="15.95" customHeight="1" thickBot="1" x14ac:dyDescent="0.25">
      <c r="H59" s="437"/>
      <c r="I59" s="437"/>
      <c r="J59" s="437"/>
      <c r="K59" s="447"/>
      <c r="L59" s="473" t="str">
        <f ca="1">VLOOKUP(L58,$A$5:$G$24,7,FALSE)</f>
        <v/>
      </c>
      <c r="M59" s="466" t="str">
        <f ca="1">IFERROR(VLOOKUP(L59,$G$5:$J$28,3,FALSE),"")</f>
        <v/>
      </c>
      <c r="N59" s="967"/>
      <c r="Q59" s="447"/>
      <c r="R59" s="473" t="str">
        <f>IF(ISBLANK(N56),"",IF(N56+O56&lt;N58+O58,L57,L59))</f>
        <v/>
      </c>
      <c r="S59" s="466" t="str">
        <f ca="1">IFERROR(VLOOKUP(R59,$G$5:$J$28,3,FALSE),"")</f>
        <v/>
      </c>
      <c r="T59" s="967"/>
      <c r="W59" s="447"/>
      <c r="X59" s="473" t="str">
        <f>IF(ISBLANK(T56),"",IF(U56+T56&lt;T58+U58,R57,R59))</f>
        <v/>
      </c>
      <c r="Y59" s="466" t="str">
        <f ca="1">IFERROR(VLOOKUP(X59,$G$5:$J$28,3,FALSE),"")</f>
        <v/>
      </c>
      <c r="Z59" s="967"/>
    </row>
    <row r="60" spans="8:33" ht="15.95" customHeight="1" x14ac:dyDescent="0.2">
      <c r="H60" s="437"/>
      <c r="I60" s="437"/>
      <c r="J60" s="437"/>
      <c r="K60" s="447"/>
      <c r="L60" s="516"/>
      <c r="M60" s="457"/>
      <c r="N60" s="457"/>
      <c r="O60" s="443"/>
      <c r="P60" s="443"/>
      <c r="R60" s="516"/>
      <c r="S60" s="457"/>
      <c r="T60" s="457"/>
      <c r="U60" s="443"/>
      <c r="V60" s="443"/>
      <c r="W60" s="445"/>
      <c r="X60" s="516"/>
      <c r="Y60" s="457"/>
      <c r="Z60" s="457"/>
      <c r="AA60" s="443"/>
    </row>
    <row r="61" spans="8:33" ht="15.95" customHeight="1" thickBot="1" x14ac:dyDescent="0.25">
      <c r="H61" s="437"/>
      <c r="I61" s="437"/>
      <c r="J61" s="437"/>
      <c r="K61" s="447"/>
      <c r="L61" s="516"/>
      <c r="M61" s="457"/>
      <c r="N61" s="457"/>
      <c r="O61" s="443"/>
      <c r="P61" s="443"/>
      <c r="R61" s="516"/>
      <c r="S61" s="457"/>
      <c r="T61" s="457"/>
      <c r="U61" s="443"/>
      <c r="V61" s="443"/>
      <c r="W61" s="445"/>
      <c r="X61" s="516"/>
      <c r="Y61" s="457"/>
      <c r="Z61" s="457"/>
      <c r="AA61" s="443"/>
    </row>
    <row r="62" spans="8:33" ht="15.95" customHeight="1" x14ac:dyDescent="0.2">
      <c r="H62" s="437"/>
      <c r="I62" s="437"/>
      <c r="J62" s="437"/>
      <c r="K62" s="450"/>
      <c r="M62" s="982" t="s">
        <v>1322</v>
      </c>
      <c r="N62" s="983"/>
      <c r="O62" s="983"/>
      <c r="P62" s="983"/>
      <c r="Q62" s="983"/>
      <c r="R62" s="983"/>
      <c r="S62" s="983"/>
      <c r="T62" s="983"/>
      <c r="U62" s="983"/>
      <c r="V62" s="983"/>
      <c r="W62" s="983"/>
      <c r="X62" s="983"/>
      <c r="Y62" s="983"/>
      <c r="Z62" s="984"/>
    </row>
    <row r="63" spans="8:33" ht="15.95" customHeight="1" thickBot="1" x14ac:dyDescent="0.25">
      <c r="H63" s="437"/>
      <c r="I63" s="437"/>
      <c r="J63" s="437"/>
      <c r="M63" s="985"/>
      <c r="N63" s="986"/>
      <c r="O63" s="986"/>
      <c r="P63" s="986"/>
      <c r="Q63" s="986"/>
      <c r="R63" s="986"/>
      <c r="S63" s="986"/>
      <c r="T63" s="986"/>
      <c r="U63" s="986"/>
      <c r="V63" s="986"/>
      <c r="W63" s="986"/>
      <c r="X63" s="986"/>
      <c r="Y63" s="986"/>
      <c r="Z63" s="987"/>
    </row>
    <row r="64" spans="8:33" ht="15.95" customHeight="1" thickBot="1" x14ac:dyDescent="0.25">
      <c r="H64" s="437"/>
      <c r="I64" s="437"/>
      <c r="J64" s="437"/>
    </row>
    <row r="65" spans="8:36" ht="15.95" customHeight="1" thickBot="1" x14ac:dyDescent="0.25">
      <c r="H65" s="437"/>
      <c r="I65" s="437"/>
      <c r="J65" s="437"/>
      <c r="K65" s="445" t="s">
        <v>779</v>
      </c>
      <c r="L65" s="779" t="s">
        <v>1083</v>
      </c>
      <c r="M65" s="456" t="s">
        <v>481</v>
      </c>
      <c r="N65" s="464" t="s">
        <v>3</v>
      </c>
      <c r="O65" s="446" t="s">
        <v>781</v>
      </c>
      <c r="P65" s="445"/>
      <c r="Q65" s="445" t="s">
        <v>779</v>
      </c>
      <c r="R65" s="779" t="s">
        <v>1083</v>
      </c>
      <c r="S65" s="456" t="s">
        <v>481</v>
      </c>
      <c r="T65" s="464" t="s">
        <v>3</v>
      </c>
      <c r="U65" s="446" t="s">
        <v>781</v>
      </c>
      <c r="V65" s="445"/>
      <c r="W65" s="445" t="s">
        <v>779</v>
      </c>
      <c r="X65" s="779" t="s">
        <v>1083</v>
      </c>
      <c r="Y65" s="456" t="s">
        <v>481</v>
      </c>
      <c r="Z65" s="464" t="s">
        <v>3</v>
      </c>
      <c r="AA65" s="446" t="s">
        <v>781</v>
      </c>
      <c r="AH65" s="441"/>
      <c r="AI65" s="441"/>
      <c r="AJ65" s="447"/>
    </row>
    <row r="66" spans="8:36" ht="15.95" customHeight="1" thickBot="1" x14ac:dyDescent="0.25">
      <c r="H66" s="437"/>
      <c r="I66" s="437"/>
      <c r="J66" s="437"/>
      <c r="K66" s="447">
        <f>K58+1</f>
        <v>17</v>
      </c>
      <c r="L66" s="472">
        <v>17</v>
      </c>
      <c r="M66" s="465" t="str">
        <f ca="1">IFERROR(VLOOKUP(L67,$G$5:$J$28,2,FALSE),"")</f>
        <v/>
      </c>
      <c r="N66" s="966"/>
      <c r="O66" s="780"/>
      <c r="Q66" s="447">
        <f>Q58+1</f>
        <v>17</v>
      </c>
      <c r="R66" s="472">
        <v>17</v>
      </c>
      <c r="S66" s="465" t="str">
        <f ca="1">IFERROR(VLOOKUP(R67,$G$5:$J$28,2,FALSE),"")</f>
        <v/>
      </c>
      <c r="T66" s="966"/>
      <c r="U66" s="780"/>
      <c r="W66" s="447">
        <f>W58+1</f>
        <v>17</v>
      </c>
      <c r="X66" s="472">
        <v>17</v>
      </c>
      <c r="Y66" s="465" t="str">
        <f ca="1">IFERROR(VLOOKUP(X67,$G$5:$J$28,2,FALSE),"")</f>
        <v/>
      </c>
      <c r="Z66" s="966"/>
      <c r="AA66" s="780"/>
      <c r="AH66" s="441"/>
      <c r="AI66" s="441"/>
      <c r="AJ66" s="447"/>
    </row>
    <row r="67" spans="8:36" ht="15.95" customHeight="1" thickBot="1" x14ac:dyDescent="0.25">
      <c r="H67" s="437"/>
      <c r="I67" s="437"/>
      <c r="J67" s="437"/>
      <c r="K67" s="447"/>
      <c r="L67" s="473" t="str">
        <f ca="1">VLOOKUP(L66,$A$5:$G$24,7,FALSE)</f>
        <v/>
      </c>
      <c r="M67" s="466" t="str">
        <f ca="1">IFERROR(VLOOKUP(L67,$G$5:$J$28,3,FALSE),"")</f>
        <v/>
      </c>
      <c r="N67" s="967"/>
      <c r="Q67" s="447"/>
      <c r="R67" s="473" t="str">
        <f ca="1">L67</f>
        <v/>
      </c>
      <c r="S67" s="466" t="str">
        <f ca="1">IFERROR(VLOOKUP(R67,$G$5:$J$28,3,FALSE),"")</f>
        <v/>
      </c>
      <c r="T67" s="967"/>
      <c r="W67" s="447"/>
      <c r="X67" s="473" t="str">
        <f ca="1">R67</f>
        <v/>
      </c>
      <c r="Y67" s="466" t="str">
        <f ca="1">IFERROR(VLOOKUP(X67,$G$5:$J$28,3,FALSE),"")</f>
        <v/>
      </c>
      <c r="Z67" s="967"/>
      <c r="AH67" s="441"/>
      <c r="AI67" s="441"/>
      <c r="AJ67" s="441"/>
    </row>
    <row r="68" spans="8:36" ht="15.95" customHeight="1" thickBot="1" x14ac:dyDescent="0.25">
      <c r="H68" s="437"/>
      <c r="I68" s="437"/>
      <c r="J68" s="437"/>
      <c r="K68" s="447">
        <f>K66+1</f>
        <v>18</v>
      </c>
      <c r="L68" s="472">
        <v>18</v>
      </c>
      <c r="M68" s="465" t="str">
        <f ca="1">IFERROR(VLOOKUP(L69,$G$5:$J$28,2,FALSE),"")</f>
        <v/>
      </c>
      <c r="N68" s="966"/>
      <c r="O68" s="780"/>
      <c r="Q68" s="447">
        <f>Q66+1</f>
        <v>18</v>
      </c>
      <c r="R68" s="472">
        <v>18</v>
      </c>
      <c r="S68" s="465" t="str">
        <f ca="1">IFERROR(VLOOKUP(R69,$G$5:$J$28,2,FALSE),"")</f>
        <v/>
      </c>
      <c r="T68" s="966"/>
      <c r="U68" s="780"/>
      <c r="W68" s="447">
        <f>W66+1</f>
        <v>18</v>
      </c>
      <c r="X68" s="472">
        <v>18</v>
      </c>
      <c r="Y68" s="465" t="str">
        <f ca="1">IFERROR(VLOOKUP(X69,$G$5:$J$28,2,FALSE),"")</f>
        <v/>
      </c>
      <c r="Z68" s="966"/>
      <c r="AA68" s="780"/>
      <c r="AH68" s="441"/>
      <c r="AI68" s="441"/>
      <c r="AJ68" s="441"/>
    </row>
    <row r="69" spans="8:36" ht="15.95" customHeight="1" thickBot="1" x14ac:dyDescent="0.25">
      <c r="H69" s="437"/>
      <c r="I69" s="437"/>
      <c r="J69" s="437"/>
      <c r="K69" s="447"/>
      <c r="L69" s="473" t="str">
        <f ca="1">VLOOKUP(L68,$A$5:$G$24,7,FALSE)</f>
        <v/>
      </c>
      <c r="M69" s="466" t="str">
        <f ca="1">IFERROR(VLOOKUP(L69,$G$5:$J$28,3,FALSE),"")</f>
        <v/>
      </c>
      <c r="N69" s="967"/>
      <c r="Q69" s="447"/>
      <c r="R69" s="473" t="str">
        <f ca="1">L69</f>
        <v/>
      </c>
      <c r="S69" s="466" t="str">
        <f ca="1">IFERROR(VLOOKUP(R69,$G$5:$J$28,3,FALSE),"")</f>
        <v/>
      </c>
      <c r="T69" s="967"/>
      <c r="W69" s="447"/>
      <c r="X69" s="473" t="str">
        <f ca="1">R69</f>
        <v/>
      </c>
      <c r="Y69" s="466" t="str">
        <f ca="1">IFERROR(VLOOKUP(X69,$G$5:$J$28,3,FALSE),"")</f>
        <v/>
      </c>
      <c r="Z69" s="967"/>
      <c r="AH69" s="441"/>
      <c r="AI69" s="441"/>
      <c r="AJ69" s="450"/>
    </row>
    <row r="70" spans="8:36" ht="15.95" customHeight="1" thickBot="1" x14ac:dyDescent="0.25">
      <c r="H70" s="437"/>
      <c r="I70" s="437"/>
      <c r="J70" s="437"/>
      <c r="AH70" s="441"/>
      <c r="AI70" s="441"/>
      <c r="AJ70" s="450"/>
    </row>
    <row r="71" spans="8:36" ht="15.95" customHeight="1" thickBot="1" x14ac:dyDescent="0.25">
      <c r="H71" s="437"/>
      <c r="I71" s="437"/>
      <c r="J71" s="437"/>
      <c r="K71" s="450"/>
      <c r="L71" s="437"/>
      <c r="M71" s="968" t="s">
        <v>1314</v>
      </c>
      <c r="N71" s="969"/>
      <c r="O71" s="970"/>
      <c r="P71" s="792" t="e">
        <f>IF(Q71=1,5,IF(Q71=2,8,IF(Q71=3,9,"")))</f>
        <v>#N/A</v>
      </c>
      <c r="Q71" s="900" t="e">
        <f>RANK(R71,$R$43:$R$45,0)</f>
        <v>#N/A</v>
      </c>
      <c r="R71" s="901">
        <f>T49+U49/100</f>
        <v>0</v>
      </c>
      <c r="S71" s="902" t="str">
        <f ca="1">L43</f>
        <v/>
      </c>
      <c r="T71" s="903"/>
      <c r="U71" s="904"/>
      <c r="V71" s="905"/>
      <c r="W71" s="905"/>
      <c r="X71" s="905"/>
      <c r="Y71" s="905"/>
      <c r="Z71" s="906"/>
      <c r="AA71" s="907"/>
      <c r="AH71" s="441"/>
      <c r="AI71" s="441"/>
      <c r="AJ71" s="445"/>
    </row>
    <row r="72" spans="8:36" ht="15.95" customHeight="1" x14ac:dyDescent="0.2">
      <c r="H72" s="437"/>
      <c r="I72" s="437"/>
      <c r="J72" s="437"/>
      <c r="L72" s="437"/>
      <c r="M72" s="971"/>
      <c r="N72" s="972"/>
      <c r="O72" s="973"/>
      <c r="P72" s="892"/>
      <c r="Q72" s="908"/>
      <c r="R72" s="472">
        <v>17</v>
      </c>
      <c r="S72" s="465" t="str">
        <f ca="1">IFERROR(VLOOKUP(R73,$G$5:$J$28,2,FALSE),"")</f>
        <v/>
      </c>
      <c r="T72" s="977">
        <f>L83</f>
        <v>0</v>
      </c>
      <c r="U72" s="892"/>
      <c r="V72" s="892"/>
      <c r="W72" s="892"/>
      <c r="X72" s="472">
        <v>18</v>
      </c>
      <c r="Y72" s="465" t="str">
        <f ca="1">IFERROR(VLOOKUP(X73,$G$5:$J$28,2,FALSE),"")</f>
        <v/>
      </c>
      <c r="Z72" s="977">
        <f>L85</f>
        <v>0</v>
      </c>
      <c r="AA72" s="909"/>
      <c r="AH72" s="441"/>
      <c r="AI72" s="441"/>
      <c r="AJ72" s="447"/>
    </row>
    <row r="73" spans="8:36" ht="15.95" customHeight="1" thickBot="1" x14ac:dyDescent="0.25">
      <c r="H73" s="437"/>
      <c r="I73" s="437"/>
      <c r="J73" s="437"/>
      <c r="K73" s="450"/>
      <c r="L73" s="437"/>
      <c r="M73" s="971"/>
      <c r="N73" s="972"/>
      <c r="O73" s="973"/>
      <c r="P73" s="892"/>
      <c r="Q73" s="908"/>
      <c r="R73" s="473" t="str">
        <f ca="1">L67</f>
        <v/>
      </c>
      <c r="S73" s="466" t="str">
        <f ca="1">IFERROR(VLOOKUP(R73,$G$5:$J$28,3,FALSE),"")</f>
        <v/>
      </c>
      <c r="T73" s="978"/>
      <c r="U73" s="892"/>
      <c r="V73" s="892"/>
      <c r="W73" s="892"/>
      <c r="X73" s="473" t="str">
        <f ca="1">L69</f>
        <v/>
      </c>
      <c r="Y73" s="466" t="str">
        <f ca="1">IFERROR(VLOOKUP(X73,$G$5:$J$28,3,FALSE),"")</f>
        <v/>
      </c>
      <c r="Z73" s="978"/>
      <c r="AA73" s="909"/>
      <c r="AH73" s="441"/>
      <c r="AI73" s="441"/>
      <c r="AJ73" s="447"/>
    </row>
    <row r="74" spans="8:36" ht="15.95" customHeight="1" thickBot="1" x14ac:dyDescent="0.25">
      <c r="H74" s="437"/>
      <c r="I74" s="437"/>
      <c r="J74" s="437"/>
      <c r="K74" s="450"/>
      <c r="L74" s="450"/>
      <c r="M74" s="974"/>
      <c r="N74" s="975"/>
      <c r="O74" s="976"/>
      <c r="P74" s="450"/>
      <c r="Q74" s="910"/>
      <c r="R74" s="911"/>
      <c r="S74" s="911"/>
      <c r="T74" s="912"/>
      <c r="U74" s="466"/>
      <c r="V74" s="911"/>
      <c r="W74" s="911"/>
      <c r="X74" s="911"/>
      <c r="Y74" s="911"/>
      <c r="Z74" s="455"/>
      <c r="AA74" s="913"/>
      <c r="AH74" s="441"/>
      <c r="AI74" s="441"/>
      <c r="AJ74" s="450"/>
    </row>
    <row r="75" spans="8:36" ht="15.95" customHeight="1" x14ac:dyDescent="0.2">
      <c r="H75" s="437"/>
      <c r="I75" s="437"/>
      <c r="J75" s="437"/>
      <c r="K75" s="792" t="str">
        <f>IFERROR(IF(L75=1,1,IF(L75=2,8,IF(L75=3,9,"")))+8,"")</f>
        <v/>
      </c>
      <c r="L75" s="789" t="str">
        <f t="shared" ref="L75" si="62">IF(SUM($M$73:$M$75)=0,"",RANK(M75,$M$73:$M$75,0))</f>
        <v/>
      </c>
      <c r="M75" s="795">
        <f>N39+O39/100</f>
        <v>0</v>
      </c>
      <c r="N75" s="791">
        <f>L40</f>
        <v>0</v>
      </c>
      <c r="O75" s="793"/>
      <c r="P75" s="789"/>
      <c r="Q75" s="792" t="str">
        <f t="shared" ref="Q75" ca="1" si="63">IFERROR(IF(R75=1,5,IF(R75=2,8,IF(R75=3,9,"")))+8,"")</f>
        <v/>
      </c>
      <c r="R75" s="789" t="str">
        <f t="shared" ref="R75" ca="1" si="64">IF(SUM($S$73:$S$75)=0,"",RANK(S75,$S$73:$S$75,0))</f>
        <v/>
      </c>
      <c r="S75" s="795">
        <f>T53+U53/100</f>
        <v>0</v>
      </c>
      <c r="T75" s="791">
        <f>IFERROR(R54,"")</f>
        <v>0</v>
      </c>
      <c r="U75" s="791"/>
      <c r="V75" s="791"/>
      <c r="W75" s="791"/>
      <c r="X75" s="791"/>
      <c r="Y75" s="791"/>
      <c r="Z75" s="793"/>
      <c r="AA75" s="450"/>
      <c r="AH75" s="441"/>
      <c r="AI75" s="441"/>
      <c r="AJ75" s="450"/>
    </row>
    <row r="76" spans="8:36" ht="15.95" customHeight="1" x14ac:dyDescent="0.2">
      <c r="H76" s="437"/>
      <c r="I76" s="437"/>
      <c r="J76" s="437"/>
      <c r="K76" s="787" t="s">
        <v>1087</v>
      </c>
      <c r="L76" s="787"/>
      <c r="M76" s="796"/>
      <c r="N76" s="787"/>
      <c r="O76" s="525"/>
      <c r="P76" s="787"/>
      <c r="Q76" s="787" t="s">
        <v>1087</v>
      </c>
      <c r="R76" s="787"/>
      <c r="S76" s="796"/>
      <c r="T76" s="787"/>
      <c r="U76" s="791"/>
      <c r="V76" s="791"/>
      <c r="W76" s="791"/>
      <c r="X76" s="791"/>
      <c r="Y76" s="791"/>
      <c r="Z76" s="793"/>
      <c r="AA76" s="521"/>
      <c r="AH76" s="441"/>
      <c r="AI76" s="441"/>
      <c r="AJ76" s="450"/>
    </row>
    <row r="77" spans="8:36" ht="15.95" customHeight="1" x14ac:dyDescent="0.2">
      <c r="H77" s="437"/>
      <c r="I77" s="437"/>
      <c r="J77" s="437"/>
      <c r="K77" s="792" t="str">
        <f>IFERROR(IF(L77=1,2,IF(L77=2,7,IF(L77=3,10,"")))+8,"")</f>
        <v/>
      </c>
      <c r="L77" s="789" t="str">
        <f>IF(SUM($M$77:$M$79)=0,"",RANK(M77,$M$77:$M$79,0))</f>
        <v/>
      </c>
      <c r="M77" s="795">
        <f>N58+O58/100</f>
        <v>0</v>
      </c>
      <c r="N77" s="791" t="str">
        <f ca="1">L59</f>
        <v/>
      </c>
      <c r="O77" s="517"/>
      <c r="P77" s="787"/>
      <c r="Q77" s="792" t="str">
        <f>IFERROR(IF(R77=1,6,IF(R77=2,7,IF(R77=3,10,"")))+8,"")</f>
        <v/>
      </c>
      <c r="R77" s="789" t="str">
        <f>IF(SUM($S$77:$S$79)=0,"",RANK(S77,$S$77:$S$79,0))</f>
        <v/>
      </c>
      <c r="S77" s="795">
        <f>T58+U58/100</f>
        <v>0</v>
      </c>
      <c r="T77" s="791" t="str">
        <f>IFERROR(R59,"")</f>
        <v/>
      </c>
      <c r="U77" s="791"/>
      <c r="V77" s="791"/>
      <c r="W77" s="791"/>
      <c r="X77" s="791"/>
      <c r="Y77" s="791"/>
      <c r="Z77" s="793"/>
      <c r="AA77" s="521"/>
      <c r="AH77" s="441"/>
      <c r="AI77" s="441"/>
      <c r="AJ77" s="450"/>
    </row>
    <row r="78" spans="8:36" ht="15.95" customHeight="1" x14ac:dyDescent="0.2">
      <c r="H78" s="437"/>
      <c r="I78" s="437"/>
      <c r="J78" s="437"/>
      <c r="K78" s="792" t="str">
        <f t="shared" ref="K78:K79" si="65">IFERROR(IF(L78=1,2,IF(L78=2,7,IF(L78=3,10,"")))+8,"")</f>
        <v/>
      </c>
      <c r="L78" s="789" t="str">
        <f t="shared" ref="L78:L79" si="66">IF(SUM($M$77:$M$79)=0,"",RANK(M78,$M$77:$M$79,0))</f>
        <v/>
      </c>
      <c r="M78" s="795">
        <f>N60+O60/100</f>
        <v>0</v>
      </c>
      <c r="N78" s="791">
        <f>L61</f>
        <v>0</v>
      </c>
      <c r="O78" s="517"/>
      <c r="P78" s="787"/>
      <c r="Q78" s="792" t="str">
        <f t="shared" ref="Q78:Q79" si="67">IFERROR(IF(R78=1,6,IF(R78=2,7,IF(R78=3,10,"")))+8,"")</f>
        <v/>
      </c>
      <c r="R78" s="789" t="str">
        <f t="shared" ref="R78:R79" si="68">IF(SUM($S$77:$S$79)=0,"",RANK(S78,$S$77:$S$79,0))</f>
        <v/>
      </c>
      <c r="S78" s="795">
        <f>T60+U60/100</f>
        <v>0</v>
      </c>
      <c r="T78" s="791">
        <f>IFERROR(R61,"")</f>
        <v>0</v>
      </c>
      <c r="U78" s="791"/>
      <c r="V78" s="791"/>
      <c r="W78" s="791"/>
      <c r="X78" s="791"/>
      <c r="Y78" s="791"/>
      <c r="Z78" s="793"/>
      <c r="AA78" s="521"/>
      <c r="AH78" s="441"/>
      <c r="AI78" s="441"/>
      <c r="AJ78" s="445"/>
    </row>
    <row r="79" spans="8:36" ht="15.95" customHeight="1" x14ac:dyDescent="0.2">
      <c r="H79" s="437"/>
      <c r="I79" s="437"/>
      <c r="J79" s="437"/>
      <c r="K79" s="792" t="str">
        <f t="shared" si="65"/>
        <v/>
      </c>
      <c r="L79" s="789" t="str">
        <f t="shared" si="66"/>
        <v/>
      </c>
      <c r="M79" s="795">
        <f>N62+O62/100</f>
        <v>0</v>
      </c>
      <c r="N79" s="791">
        <f>L63</f>
        <v>0</v>
      </c>
      <c r="O79" s="517"/>
      <c r="P79" s="787"/>
      <c r="Q79" s="792" t="str">
        <f t="shared" si="67"/>
        <v/>
      </c>
      <c r="R79" s="789" t="str">
        <f t="shared" si="68"/>
        <v/>
      </c>
      <c r="S79" s="795">
        <f>T62+U62/100</f>
        <v>0</v>
      </c>
      <c r="T79" s="791">
        <f>IFERROR(R63,"")</f>
        <v>0</v>
      </c>
      <c r="U79" s="791"/>
      <c r="V79" s="791"/>
      <c r="W79" s="791"/>
      <c r="X79" s="791"/>
      <c r="Y79" s="791"/>
      <c r="Z79" s="793"/>
      <c r="AA79" s="450"/>
      <c r="AH79" s="441"/>
      <c r="AI79" s="441"/>
      <c r="AJ79" s="447"/>
    </row>
    <row r="80" spans="8:36" ht="15.95" customHeight="1" x14ac:dyDescent="0.2">
      <c r="H80" s="437"/>
      <c r="I80" s="437"/>
      <c r="J80" s="437"/>
      <c r="K80" s="797"/>
      <c r="L80" s="797"/>
      <c r="M80" s="797"/>
      <c r="N80" s="797"/>
      <c r="O80" s="787"/>
      <c r="P80" s="787"/>
      <c r="Q80" s="794"/>
      <c r="R80" s="789"/>
      <c r="S80" s="789"/>
      <c r="T80" s="793"/>
      <c r="U80" s="789"/>
      <c r="V80" s="789"/>
      <c r="W80" s="794"/>
      <c r="X80" s="789"/>
      <c r="Y80" s="789"/>
      <c r="Z80" s="793"/>
      <c r="AA80" s="450"/>
      <c r="AH80" s="441"/>
      <c r="AI80" s="441"/>
      <c r="AJ80" s="447"/>
    </row>
    <row r="81" spans="8:36" ht="15.95" customHeight="1" thickBot="1" x14ac:dyDescent="0.25">
      <c r="H81" s="437"/>
      <c r="I81" s="437"/>
      <c r="J81" s="437"/>
      <c r="K81" s="447"/>
      <c r="L81" s="450"/>
      <c r="M81" s="450"/>
      <c r="N81" s="521"/>
      <c r="O81" s="521"/>
      <c r="P81" s="450"/>
      <c r="Q81" s="450"/>
      <c r="R81" s="450"/>
      <c r="S81" s="450"/>
      <c r="T81" s="451"/>
      <c r="U81" s="450"/>
      <c r="W81" s="450"/>
      <c r="X81" s="450"/>
      <c r="Y81" s="450"/>
      <c r="Z81" s="451"/>
      <c r="AA81" s="450"/>
      <c r="AH81" s="441"/>
      <c r="AI81" s="441"/>
      <c r="AJ81" s="447"/>
    </row>
    <row r="82" spans="8:36" ht="15.95" customHeight="1" x14ac:dyDescent="0.2">
      <c r="H82" s="437"/>
      <c r="I82" s="437"/>
      <c r="J82" s="437"/>
      <c r="K82" s="786"/>
      <c r="L82" s="932" t="s">
        <v>1315</v>
      </c>
      <c r="M82" s="924"/>
      <c r="N82" s="924"/>
      <c r="O82" s="925"/>
      <c r="P82" s="786"/>
      <c r="Q82" s="450"/>
      <c r="R82" s="450"/>
      <c r="S82" s="450"/>
      <c r="T82" s="451"/>
      <c r="U82" s="450"/>
      <c r="W82" s="450"/>
      <c r="X82" s="450"/>
      <c r="Y82" s="450"/>
      <c r="Z82" s="451"/>
      <c r="AA82" s="450"/>
      <c r="AH82" s="441"/>
      <c r="AI82" s="441"/>
      <c r="AJ82" s="450"/>
    </row>
    <row r="83" spans="8:36" ht="15.95" customHeight="1" x14ac:dyDescent="0.2">
      <c r="H83" s="437"/>
      <c r="I83" s="437"/>
      <c r="J83" s="437"/>
      <c r="K83" s="786"/>
      <c r="L83" s="926">
        <f>SUM(M83:O83)</f>
        <v>0</v>
      </c>
      <c r="M83" s="927" t="str">
        <f>IF(ISBLANK(N66),"",IF(U66+N66&gt;N68+O68,1,0))</f>
        <v/>
      </c>
      <c r="N83" s="927" t="str">
        <f>IF(ISBLANK(T66),"",IF(U66+T66&gt;T68+U68,1,0))</f>
        <v/>
      </c>
      <c r="O83" s="928" t="str">
        <f>IF(ISBLANK(Z66),"",IF(AA66+Z66&gt;AA68+Z68,1,0))</f>
        <v/>
      </c>
      <c r="P83" s="786"/>
      <c r="Q83" s="450"/>
      <c r="R83" s="450"/>
      <c r="S83" s="450"/>
      <c r="T83" s="451"/>
      <c r="U83" s="450"/>
      <c r="W83" s="450"/>
      <c r="X83" s="450"/>
      <c r="Y83" s="450"/>
      <c r="Z83" s="451"/>
      <c r="AA83" s="450"/>
      <c r="AH83" s="441"/>
      <c r="AI83" s="441"/>
      <c r="AJ83" s="445"/>
    </row>
    <row r="84" spans="8:36" ht="15.95" customHeight="1" x14ac:dyDescent="0.2">
      <c r="H84" s="437"/>
      <c r="I84" s="437"/>
      <c r="J84" s="437"/>
      <c r="K84" s="786"/>
      <c r="L84" s="926"/>
      <c r="M84" s="927"/>
      <c r="N84" s="927"/>
      <c r="O84" s="928"/>
      <c r="P84" s="786"/>
      <c r="Q84" s="450"/>
      <c r="R84" s="450"/>
      <c r="S84" s="450"/>
      <c r="T84" s="451"/>
      <c r="U84" s="450"/>
      <c r="W84" s="450"/>
      <c r="X84" s="450"/>
      <c r="Y84" s="450"/>
      <c r="Z84" s="451"/>
      <c r="AA84" s="450"/>
      <c r="AH84" s="441"/>
      <c r="AI84" s="441"/>
      <c r="AJ84" s="447"/>
    </row>
    <row r="85" spans="8:36" ht="15.95" customHeight="1" thickBot="1" x14ac:dyDescent="0.25">
      <c r="H85" s="437"/>
      <c r="I85" s="437"/>
      <c r="J85" s="437"/>
      <c r="K85" s="786"/>
      <c r="L85" s="929">
        <f>SUM(M85:O85)</f>
        <v>0</v>
      </c>
      <c r="M85" s="930" t="str">
        <f>IF(ISBLANK(N66),"",IF(U66+N66&lt;N68+O68,1,0))</f>
        <v/>
      </c>
      <c r="N85" s="930" t="str">
        <f>IF(ISBLANK(T66),"",IF(U66+T66&lt;T68+U68,1,0))</f>
        <v/>
      </c>
      <c r="O85" s="931" t="str">
        <f>IF(ISBLANK(Z66),"",IF(AA66+Z66&lt;Z68+AA68,1,0))</f>
        <v/>
      </c>
      <c r="P85" s="786"/>
      <c r="Q85" s="450"/>
      <c r="R85" s="450"/>
      <c r="S85" s="450"/>
      <c r="T85" s="451"/>
      <c r="U85" s="450"/>
      <c r="W85" s="450"/>
      <c r="X85" s="450"/>
      <c r="Y85" s="450"/>
      <c r="Z85" s="451"/>
      <c r="AA85" s="450"/>
      <c r="AH85" s="441"/>
      <c r="AI85" s="441"/>
      <c r="AJ85" s="447"/>
    </row>
    <row r="86" spans="8:36" ht="15.95" customHeight="1" x14ac:dyDescent="0.2">
      <c r="K86" s="786"/>
      <c r="L86" s="786"/>
      <c r="M86" s="786"/>
      <c r="N86" s="786"/>
      <c r="O86" s="786"/>
      <c r="P86" s="786"/>
      <c r="Q86" s="450"/>
      <c r="R86" s="450"/>
      <c r="S86" s="450"/>
      <c r="T86" s="451"/>
      <c r="U86" s="450"/>
      <c r="W86" s="450"/>
      <c r="X86" s="450"/>
      <c r="Y86" s="450"/>
      <c r="Z86" s="451"/>
      <c r="AA86" s="450"/>
      <c r="AH86" s="441"/>
      <c r="AI86" s="441"/>
      <c r="AJ86" s="441"/>
    </row>
    <row r="87" spans="8:36" ht="15.95" customHeight="1" x14ac:dyDescent="0.2">
      <c r="K87" s="786"/>
      <c r="L87" s="786"/>
      <c r="M87" s="786"/>
      <c r="N87" s="786"/>
      <c r="O87" s="786"/>
      <c r="P87" s="786"/>
      <c r="Q87" s="450"/>
      <c r="R87" s="450"/>
      <c r="S87" s="450"/>
      <c r="T87" s="451"/>
      <c r="U87" s="450"/>
      <c r="W87" s="450"/>
      <c r="X87" s="450"/>
      <c r="Y87" s="450"/>
      <c r="Z87" s="451"/>
      <c r="AA87" s="450"/>
      <c r="AH87" s="441"/>
      <c r="AI87" s="441"/>
      <c r="AJ87" s="441"/>
    </row>
    <row r="88" spans="8:36" ht="15.95" customHeight="1" x14ac:dyDescent="0.2">
      <c r="L88" s="450"/>
      <c r="M88" s="450"/>
      <c r="N88" s="521"/>
      <c r="O88" s="521"/>
      <c r="P88" s="450"/>
      <c r="Q88" s="450"/>
      <c r="R88" s="450"/>
      <c r="S88" s="450"/>
      <c r="T88" s="451"/>
      <c r="U88" s="450"/>
      <c r="W88" s="450"/>
      <c r="X88" s="450"/>
      <c r="Y88" s="450"/>
      <c r="Z88" s="451"/>
      <c r="AA88" s="450"/>
    </row>
    <row r="89" spans="8:36" ht="15.95" customHeight="1" x14ac:dyDescent="0.2">
      <c r="K89" s="435"/>
      <c r="L89" s="450"/>
      <c r="M89" s="450"/>
      <c r="N89" s="521"/>
      <c r="O89" s="521"/>
      <c r="P89" s="450"/>
      <c r="Q89" s="450"/>
      <c r="R89" s="450"/>
      <c r="S89" s="450"/>
      <c r="T89" s="451"/>
      <c r="U89" s="450"/>
      <c r="W89" s="450"/>
      <c r="X89" s="450"/>
      <c r="Y89" s="450"/>
      <c r="Z89" s="451"/>
      <c r="AA89" s="450"/>
    </row>
    <row r="90" spans="8:36" ht="15.95" customHeight="1" x14ac:dyDescent="0.2">
      <c r="K90" s="435"/>
      <c r="R90" s="450"/>
      <c r="S90" s="450"/>
      <c r="T90" s="451"/>
      <c r="U90" s="450"/>
      <c r="W90" s="450"/>
      <c r="X90" s="450"/>
      <c r="Y90" s="450"/>
      <c r="Z90" s="451"/>
    </row>
    <row r="91" spans="8:36" ht="15.95" customHeight="1" x14ac:dyDescent="0.2">
      <c r="K91" s="435"/>
    </row>
    <row r="92" spans="8:36" ht="15.95" customHeight="1" x14ac:dyDescent="0.2">
      <c r="K92" s="435"/>
    </row>
    <row r="93" spans="8:36" ht="15.95" customHeight="1" x14ac:dyDescent="0.2">
      <c r="K93" s="435"/>
    </row>
    <row r="94" spans="8:36" ht="15.95" customHeight="1" x14ac:dyDescent="0.2">
      <c r="K94" s="435"/>
    </row>
    <row r="95" spans="8:36" ht="15.95" customHeight="1" x14ac:dyDescent="0.2">
      <c r="K95" s="435"/>
      <c r="S95" s="450"/>
    </row>
    <row r="96" spans="8:36" ht="15.95" customHeight="1" x14ac:dyDescent="0.2">
      <c r="K96" s="435"/>
      <c r="S96" s="450"/>
    </row>
    <row r="97" ht="15.95" customHeight="1" x14ac:dyDescent="0.2"/>
    <row r="98" ht="15.95" customHeight="1" x14ac:dyDescent="0.2"/>
    <row r="99" ht="15.95" customHeight="1" x14ac:dyDescent="0.2"/>
    <row r="100" ht="15.95" customHeight="1" x14ac:dyDescent="0.2"/>
    <row r="101" ht="15.95" customHeight="1" x14ac:dyDescent="0.2"/>
    <row r="102" ht="15.95" customHeight="1" x14ac:dyDescent="0.2"/>
    <row r="103" ht="15.95" customHeight="1" x14ac:dyDescent="0.2"/>
    <row r="104" ht="15.95" customHeight="1" x14ac:dyDescent="0.2"/>
    <row r="105" ht="15.95" customHeight="1" x14ac:dyDescent="0.2"/>
    <row r="106" ht="15.95" customHeight="1" x14ac:dyDescent="0.2"/>
    <row r="107" ht="15.95" customHeight="1" x14ac:dyDescent="0.2"/>
    <row r="108" ht="15.95" customHeight="1" x14ac:dyDescent="0.2"/>
    <row r="109" ht="15.95" customHeight="1" x14ac:dyDescent="0.2"/>
    <row r="110" ht="15.95" customHeight="1" x14ac:dyDescent="0.2"/>
    <row r="111" ht="15.95" customHeight="1" x14ac:dyDescent="0.2"/>
    <row r="112" ht="15.95" customHeight="1" x14ac:dyDescent="0.2"/>
    <row r="113" ht="15.95" customHeight="1" x14ac:dyDescent="0.2"/>
    <row r="114" ht="15.95" customHeight="1" x14ac:dyDescent="0.2"/>
    <row r="115" ht="15.95" customHeight="1" x14ac:dyDescent="0.2"/>
    <row r="116" ht="15.95" customHeight="1" x14ac:dyDescent="0.2"/>
    <row r="117" ht="15.95" customHeight="1" x14ac:dyDescent="0.2"/>
    <row r="118" ht="15.95" customHeight="1" x14ac:dyDescent="0.2"/>
    <row r="119" ht="15.95" customHeight="1" x14ac:dyDescent="0.2"/>
    <row r="120" ht="15.95" customHeight="1" x14ac:dyDescent="0.2"/>
    <row r="121" ht="15.95" customHeight="1" x14ac:dyDescent="0.2"/>
    <row r="122" ht="15.95" customHeight="1" x14ac:dyDescent="0.2"/>
    <row r="123" ht="15.95" customHeight="1" x14ac:dyDescent="0.2"/>
    <row r="124" ht="15.95" customHeight="1" x14ac:dyDescent="0.2"/>
    <row r="125" ht="15.95" customHeight="1" x14ac:dyDescent="0.2"/>
    <row r="126" ht="15.95" customHeight="1" x14ac:dyDescent="0.2"/>
    <row r="127" ht="15.95" customHeight="1" x14ac:dyDescent="0.2"/>
    <row r="128" ht="15.95" customHeight="1" x14ac:dyDescent="0.2"/>
    <row r="129" ht="15.95" customHeight="1" x14ac:dyDescent="0.2"/>
    <row r="130" ht="15.95" customHeight="1" x14ac:dyDescent="0.2"/>
    <row r="131" ht="15.95" customHeight="1" x14ac:dyDescent="0.2"/>
    <row r="132" ht="15.95" customHeight="1" x14ac:dyDescent="0.2"/>
    <row r="133" ht="15.95" customHeight="1" x14ac:dyDescent="0.2"/>
    <row r="134" ht="15.95" customHeight="1" x14ac:dyDescent="0.2"/>
    <row r="135" ht="15.95" customHeight="1" x14ac:dyDescent="0.2"/>
    <row r="136" ht="15.95" customHeight="1" x14ac:dyDescent="0.2"/>
    <row r="137" ht="15.95" customHeight="1" x14ac:dyDescent="0.2"/>
    <row r="138" ht="15.95" customHeight="1" x14ac:dyDescent="0.2"/>
    <row r="139" ht="15.95" customHeight="1" x14ac:dyDescent="0.2"/>
    <row r="140" ht="15.95" customHeight="1" x14ac:dyDescent="0.2"/>
    <row r="141" ht="15.95" customHeight="1" x14ac:dyDescent="0.2"/>
    <row r="142" ht="15.95" customHeight="1" x14ac:dyDescent="0.2"/>
    <row r="143" ht="15.95" customHeight="1" x14ac:dyDescent="0.2"/>
    <row r="144" ht="15.95" customHeight="1" x14ac:dyDescent="0.2"/>
    <row r="145" ht="15.95" customHeight="1" x14ac:dyDescent="0.2"/>
    <row r="146" ht="15.95" customHeight="1" x14ac:dyDescent="0.2"/>
    <row r="147" ht="15.95" customHeight="1" x14ac:dyDescent="0.2"/>
    <row r="148" ht="15.95" customHeight="1" x14ac:dyDescent="0.2"/>
  </sheetData>
  <sheetProtection selectLockedCells="1"/>
  <mergeCells count="82">
    <mergeCell ref="K4:N4"/>
    <mergeCell ref="Q4:T4"/>
    <mergeCell ref="W4:Z4"/>
    <mergeCell ref="AH4:AJ5"/>
    <mergeCell ref="L5:N5"/>
    <mergeCell ref="R5:T5"/>
    <mergeCell ref="X5:Z5"/>
    <mergeCell ref="K1:AA1"/>
    <mergeCell ref="AF1:AJ1"/>
    <mergeCell ref="K2:Z2"/>
    <mergeCell ref="AF2:AJ2"/>
    <mergeCell ref="N3:X3"/>
    <mergeCell ref="AF3:AJ3"/>
    <mergeCell ref="T7:T8"/>
    <mergeCell ref="Z7:Z8"/>
    <mergeCell ref="N9:N10"/>
    <mergeCell ref="T9:T10"/>
    <mergeCell ref="Z9:Z10"/>
    <mergeCell ref="N7:N8"/>
    <mergeCell ref="N23:N24"/>
    <mergeCell ref="T23:T24"/>
    <mergeCell ref="Z23:Z24"/>
    <mergeCell ref="X12:Z12"/>
    <mergeCell ref="N14:N15"/>
    <mergeCell ref="T14:T15"/>
    <mergeCell ref="Z14:Z15"/>
    <mergeCell ref="N16:N17"/>
    <mergeCell ref="T16:T17"/>
    <mergeCell ref="Z16:Z17"/>
    <mergeCell ref="R19:T19"/>
    <mergeCell ref="X19:Z19"/>
    <mergeCell ref="N21:N22"/>
    <mergeCell ref="T21:T22"/>
    <mergeCell ref="Z21:Z22"/>
    <mergeCell ref="X26:Z26"/>
    <mergeCell ref="N28:N29"/>
    <mergeCell ref="T28:T29"/>
    <mergeCell ref="Z28:Z29"/>
    <mergeCell ref="N30:N31"/>
    <mergeCell ref="T30:T31"/>
    <mergeCell ref="Z30:Z31"/>
    <mergeCell ref="Z44:Z45"/>
    <mergeCell ref="R47:T47"/>
    <mergeCell ref="X47:Z47"/>
    <mergeCell ref="N37:N38"/>
    <mergeCell ref="T37:T38"/>
    <mergeCell ref="Z37:Z38"/>
    <mergeCell ref="X40:Z40"/>
    <mergeCell ref="T42:T43"/>
    <mergeCell ref="Z42:Z43"/>
    <mergeCell ref="N42:N43"/>
    <mergeCell ref="N44:N45"/>
    <mergeCell ref="T44:T45"/>
    <mergeCell ref="L33:N33"/>
    <mergeCell ref="R33:T33"/>
    <mergeCell ref="X33:Z33"/>
    <mergeCell ref="N35:N36"/>
    <mergeCell ref="T35:T36"/>
    <mergeCell ref="Z35:Z36"/>
    <mergeCell ref="N49:N50"/>
    <mergeCell ref="N56:N57"/>
    <mergeCell ref="T56:T57"/>
    <mergeCell ref="N51:N52"/>
    <mergeCell ref="T51:T52"/>
    <mergeCell ref="Z51:Z52"/>
    <mergeCell ref="X54:Z54"/>
    <mergeCell ref="Z56:Z57"/>
    <mergeCell ref="Z49:Z50"/>
    <mergeCell ref="T49:T50"/>
    <mergeCell ref="M62:Z63"/>
    <mergeCell ref="N66:N67"/>
    <mergeCell ref="T66:T67"/>
    <mergeCell ref="Z66:Z67"/>
    <mergeCell ref="N58:N59"/>
    <mergeCell ref="T58:T59"/>
    <mergeCell ref="Z58:Z59"/>
    <mergeCell ref="N68:N69"/>
    <mergeCell ref="T68:T69"/>
    <mergeCell ref="Z68:Z69"/>
    <mergeCell ref="M71:O74"/>
    <mergeCell ref="T72:T73"/>
    <mergeCell ref="Z72:Z73"/>
  </mergeCells>
  <conditionalFormatting sqref="O7:O8">
    <cfRule type="expression" priority="163" stopIfTrue="1">
      <formula>IF(N7="",1)</formula>
    </cfRule>
    <cfRule type="expression" dxfId="1245" priority="165">
      <formula>IF(N7=N9,1,0)</formula>
    </cfRule>
  </conditionalFormatting>
  <conditionalFormatting sqref="O9">
    <cfRule type="expression" priority="162" stopIfTrue="1">
      <formula>IF(N9="",1,0)</formula>
    </cfRule>
    <cfRule type="expression" dxfId="1244" priority="164">
      <formula>IF(N7=N9,1,0)</formula>
    </cfRule>
  </conditionalFormatting>
  <conditionalFormatting sqref="S7">
    <cfRule type="expression" dxfId="1243" priority="161">
      <formula>IF(T7+U7&gt;T9+U9,1,0)</formula>
    </cfRule>
  </conditionalFormatting>
  <conditionalFormatting sqref="S9">
    <cfRule type="expression" dxfId="1242" priority="160">
      <formula>IF(T9+U9&gt;T11+U11,1,0)</formula>
    </cfRule>
  </conditionalFormatting>
  <conditionalFormatting sqref="S14">
    <cfRule type="expression" dxfId="1241" priority="159">
      <formula>IF(T14+U14&gt;T16+U16,1,0)</formula>
    </cfRule>
  </conditionalFormatting>
  <conditionalFormatting sqref="S16">
    <cfRule type="expression" dxfId="1240" priority="158">
      <formula>IF(T16+U16&gt;T18+U18,1,0)</formula>
    </cfRule>
  </conditionalFormatting>
  <conditionalFormatting sqref="S21">
    <cfRule type="expression" dxfId="1239" priority="157">
      <formula>IF(T21+U21&gt;T23+U23,1,0)</formula>
    </cfRule>
  </conditionalFormatting>
  <conditionalFormatting sqref="S23">
    <cfRule type="expression" dxfId="1238" priority="156">
      <formula>IF(T23+U23&gt;T25+U25,1,0)</formula>
    </cfRule>
  </conditionalFormatting>
  <conditionalFormatting sqref="O14:O15">
    <cfRule type="expression" priority="153" stopIfTrue="1">
      <formula>IF(N14="",1)</formula>
    </cfRule>
    <cfRule type="expression" dxfId="1237" priority="155">
      <formula>IF(N14=N16,1,0)</formula>
    </cfRule>
  </conditionalFormatting>
  <conditionalFormatting sqref="O16">
    <cfRule type="expression" priority="152" stopIfTrue="1">
      <formula>IF(N16="",1,0)</formula>
    </cfRule>
    <cfRule type="expression" dxfId="1236" priority="154">
      <formula>IF(N14=N16,1,0)</formula>
    </cfRule>
  </conditionalFormatting>
  <conditionalFormatting sqref="O21:O22">
    <cfRule type="expression" priority="149" stopIfTrue="1">
      <formula>IF(N21="",1)</formula>
    </cfRule>
    <cfRule type="expression" dxfId="1235" priority="151">
      <formula>IF(N21=N23,1,0)</formula>
    </cfRule>
  </conditionalFormatting>
  <conditionalFormatting sqref="O23">
    <cfRule type="expression" priority="148" stopIfTrue="1">
      <formula>IF(N23="",1,0)</formula>
    </cfRule>
    <cfRule type="expression" dxfId="1234" priority="150">
      <formula>IF(N21=N23,1,0)</formula>
    </cfRule>
  </conditionalFormatting>
  <conditionalFormatting sqref="O28:O29">
    <cfRule type="expression" priority="145" stopIfTrue="1">
      <formula>IF(N28="",1)</formula>
    </cfRule>
    <cfRule type="expression" dxfId="1233" priority="147">
      <formula>IF(N28=N30,1,0)</formula>
    </cfRule>
  </conditionalFormatting>
  <conditionalFormatting sqref="O30">
    <cfRule type="expression" priority="144" stopIfTrue="1">
      <formula>IF(N30="",1,0)</formula>
    </cfRule>
    <cfRule type="expression" dxfId="1232" priority="146">
      <formula>IF(N28=N30,1,0)</formula>
    </cfRule>
  </conditionalFormatting>
  <conditionalFormatting sqref="U7:U8">
    <cfRule type="expression" priority="141" stopIfTrue="1">
      <formula>IF(T7="",1)</formula>
    </cfRule>
    <cfRule type="expression" dxfId="1231" priority="143">
      <formula>IF(T7=T9,1,0)</formula>
    </cfRule>
  </conditionalFormatting>
  <conditionalFormatting sqref="U9">
    <cfRule type="expression" priority="140" stopIfTrue="1">
      <formula>IF(T9="",1,0)</formula>
    </cfRule>
    <cfRule type="expression" dxfId="1230" priority="142">
      <formula>IF(T7=T9,1,0)</formula>
    </cfRule>
  </conditionalFormatting>
  <conditionalFormatting sqref="U14:U15">
    <cfRule type="expression" priority="137" stopIfTrue="1">
      <formula>IF(T14="",1)</formula>
    </cfRule>
    <cfRule type="expression" dxfId="1229" priority="139">
      <formula>IF(T14=T16,1,0)</formula>
    </cfRule>
  </conditionalFormatting>
  <conditionalFormatting sqref="U16">
    <cfRule type="expression" priority="136" stopIfTrue="1">
      <formula>IF(T16="",1,0)</formula>
    </cfRule>
    <cfRule type="expression" dxfId="1228" priority="138">
      <formula>IF(T14=T16,1,0)</formula>
    </cfRule>
  </conditionalFormatting>
  <conditionalFormatting sqref="U21:U22">
    <cfRule type="expression" priority="133" stopIfTrue="1">
      <formula>IF(T21="",1)</formula>
    </cfRule>
    <cfRule type="expression" dxfId="1227" priority="135">
      <formula>IF(T21=T23,1,0)</formula>
    </cfRule>
  </conditionalFormatting>
  <conditionalFormatting sqref="U23">
    <cfRule type="expression" priority="132" stopIfTrue="1">
      <formula>IF(T23="",1,0)</formula>
    </cfRule>
    <cfRule type="expression" dxfId="1226" priority="134">
      <formula>IF(T21=T23,1,0)</formula>
    </cfRule>
  </conditionalFormatting>
  <conditionalFormatting sqref="U28:U29">
    <cfRule type="expression" priority="129" stopIfTrue="1">
      <formula>IF(T28="",1)</formula>
    </cfRule>
    <cfRule type="expression" dxfId="1225" priority="131">
      <formula>IF(T28=T30,1,0)</formula>
    </cfRule>
  </conditionalFormatting>
  <conditionalFormatting sqref="U30">
    <cfRule type="expression" priority="128" stopIfTrue="1">
      <formula>IF(T30="",1,0)</formula>
    </cfRule>
    <cfRule type="expression" dxfId="1224" priority="130">
      <formula>IF(T28=T30,1,0)</formula>
    </cfRule>
  </conditionalFormatting>
  <conditionalFormatting sqref="AA7:AA8">
    <cfRule type="expression" priority="125" stopIfTrue="1">
      <formula>IF(Z7="",1)</formula>
    </cfRule>
    <cfRule type="expression" dxfId="1223" priority="127">
      <formula>IF(Z7=Z9,1,0)</formula>
    </cfRule>
  </conditionalFormatting>
  <conditionalFormatting sqref="AA9">
    <cfRule type="expression" priority="124" stopIfTrue="1">
      <formula>IF(Z9="",1,0)</formula>
    </cfRule>
    <cfRule type="expression" dxfId="1222" priority="126">
      <formula>IF(Z7=Z9,1,0)</formula>
    </cfRule>
  </conditionalFormatting>
  <conditionalFormatting sqref="AA14:AA15">
    <cfRule type="expression" priority="121" stopIfTrue="1">
      <formula>IF(Z14="",1)</formula>
    </cfRule>
    <cfRule type="expression" dxfId="1221" priority="123">
      <formula>IF(Z14=Z16,1,0)</formula>
    </cfRule>
  </conditionalFormatting>
  <conditionalFormatting sqref="AA16">
    <cfRule type="expression" priority="120" stopIfTrue="1">
      <formula>IF(Z16="",1,0)</formula>
    </cfRule>
    <cfRule type="expression" dxfId="1220" priority="122">
      <formula>IF(Z14=Z16,1,0)</formula>
    </cfRule>
  </conditionalFormatting>
  <conditionalFormatting sqref="AA21:AA22">
    <cfRule type="expression" priority="117" stopIfTrue="1">
      <formula>IF(Z21="",1)</formula>
    </cfRule>
    <cfRule type="expression" dxfId="1219" priority="119">
      <formula>IF(Z21=Z23,1,0)</formula>
    </cfRule>
  </conditionalFormatting>
  <conditionalFormatting sqref="AA23">
    <cfRule type="expression" priority="116" stopIfTrue="1">
      <formula>IF(Z23="",1,0)</formula>
    </cfRule>
    <cfRule type="expression" dxfId="1218" priority="118">
      <formula>IF(Z21=Z23,1,0)</formula>
    </cfRule>
  </conditionalFormatting>
  <conditionalFormatting sqref="AA28:AA29">
    <cfRule type="expression" priority="113" stopIfTrue="1">
      <formula>IF(Z28="",1)</formula>
    </cfRule>
    <cfRule type="expression" dxfId="1217" priority="115">
      <formula>IF(Z28=Z30,1,0)</formula>
    </cfRule>
  </conditionalFormatting>
  <conditionalFormatting sqref="AA30">
    <cfRule type="expression" priority="112" stopIfTrue="1">
      <formula>IF(Z30="",1,0)</formula>
    </cfRule>
    <cfRule type="expression" dxfId="1216" priority="114">
      <formula>IF(Z28=Z30,1,0)</formula>
    </cfRule>
  </conditionalFormatting>
  <conditionalFormatting sqref="M14">
    <cfRule type="expression" dxfId="1215" priority="111">
      <formula>IF(N14+O14&gt;N16+O16,1,0)</formula>
    </cfRule>
  </conditionalFormatting>
  <conditionalFormatting sqref="M16">
    <cfRule type="expression" dxfId="1214" priority="110">
      <formula>IF(N16+O16&gt;N18+O18,1,0)</formula>
    </cfRule>
  </conditionalFormatting>
  <conditionalFormatting sqref="M21">
    <cfRule type="expression" dxfId="1213" priority="109">
      <formula>IF(N21+O21&gt;N23+O23,1,0)</formula>
    </cfRule>
  </conditionalFormatting>
  <conditionalFormatting sqref="M23">
    <cfRule type="expression" dxfId="1212" priority="108">
      <formula>IF(N23+O23&gt;N25+O25,1,0)</formula>
    </cfRule>
  </conditionalFormatting>
  <conditionalFormatting sqref="M28">
    <cfRule type="expression" dxfId="1211" priority="107">
      <formula>IF(N28+O28&gt;N30+O30,1,0)</formula>
    </cfRule>
  </conditionalFormatting>
  <conditionalFormatting sqref="M30">
    <cfRule type="expression" dxfId="1210" priority="106">
      <formula>IF(N30+O30&gt;N32+O32,1,0)</formula>
    </cfRule>
  </conditionalFormatting>
  <conditionalFormatting sqref="M7">
    <cfRule type="expression" dxfId="1209" priority="105">
      <formula>IF(N7+O7&gt;N9+O9,1,0)</formula>
    </cfRule>
  </conditionalFormatting>
  <conditionalFormatting sqref="M9">
    <cfRule type="expression" dxfId="1208" priority="104">
      <formula>IF(N9+O9&gt;N11+O11,1,0)</formula>
    </cfRule>
  </conditionalFormatting>
  <conditionalFormatting sqref="O35:O36">
    <cfRule type="expression" priority="101" stopIfTrue="1">
      <formula>IF(N35="",1)</formula>
    </cfRule>
    <cfRule type="expression" dxfId="1207" priority="103">
      <formula>IF(N35=N37,1,0)</formula>
    </cfRule>
  </conditionalFormatting>
  <conditionalFormatting sqref="O37">
    <cfRule type="expression" priority="100" stopIfTrue="1">
      <formula>IF(N37="",1,0)</formula>
    </cfRule>
    <cfRule type="expression" dxfId="1206" priority="102">
      <formula>IF(N35=N37,1,0)</formula>
    </cfRule>
  </conditionalFormatting>
  <conditionalFormatting sqref="O42:O43">
    <cfRule type="expression" priority="97" stopIfTrue="1">
      <formula>IF(N42="",1)</formula>
    </cfRule>
    <cfRule type="expression" dxfId="1205" priority="99">
      <formula>IF(N42=N44,1,0)</formula>
    </cfRule>
  </conditionalFormatting>
  <conditionalFormatting sqref="O44">
    <cfRule type="expression" priority="96" stopIfTrue="1">
      <formula>IF(N44="",1,0)</formula>
    </cfRule>
    <cfRule type="expression" dxfId="1204" priority="98">
      <formula>IF(N42=N44,1,0)</formula>
    </cfRule>
  </conditionalFormatting>
  <conditionalFormatting sqref="O49:O50">
    <cfRule type="expression" priority="93" stopIfTrue="1">
      <formula>IF(N49="",1)</formula>
    </cfRule>
    <cfRule type="expression" dxfId="1203" priority="95">
      <formula>IF(N49=N51,1,0)</formula>
    </cfRule>
  </conditionalFormatting>
  <conditionalFormatting sqref="O51">
    <cfRule type="expression" priority="92" stopIfTrue="1">
      <formula>IF(N51="",1,0)</formula>
    </cfRule>
    <cfRule type="expression" dxfId="1202" priority="94">
      <formula>IF(N49=N51,1,0)</formula>
    </cfRule>
  </conditionalFormatting>
  <conditionalFormatting sqref="O56:O57">
    <cfRule type="expression" priority="89" stopIfTrue="1">
      <formula>IF(N56="",1)</formula>
    </cfRule>
    <cfRule type="expression" dxfId="1201" priority="91">
      <formula>IF(N56=N58,1,0)</formula>
    </cfRule>
  </conditionalFormatting>
  <conditionalFormatting sqref="O58">
    <cfRule type="expression" priority="88" stopIfTrue="1">
      <formula>IF(N58="",1,0)</formula>
    </cfRule>
    <cfRule type="expression" dxfId="1200" priority="90">
      <formula>IF(N56=N58,1,0)</formula>
    </cfRule>
  </conditionalFormatting>
  <conditionalFormatting sqref="U35:U36">
    <cfRule type="expression" priority="85" stopIfTrue="1">
      <formula>IF(T35="",1)</formula>
    </cfRule>
    <cfRule type="expression" dxfId="1199" priority="87">
      <formula>IF(T35=T37,1,0)</formula>
    </cfRule>
  </conditionalFormatting>
  <conditionalFormatting sqref="U37">
    <cfRule type="expression" priority="84" stopIfTrue="1">
      <formula>IF(T37="",1,0)</formula>
    </cfRule>
    <cfRule type="expression" dxfId="1198" priority="86">
      <formula>IF(T35=T37,1,0)</formula>
    </cfRule>
  </conditionalFormatting>
  <conditionalFormatting sqref="U42:U43">
    <cfRule type="expression" priority="81" stopIfTrue="1">
      <formula>IF(T42="",1)</formula>
    </cfRule>
    <cfRule type="expression" dxfId="1197" priority="83">
      <formula>IF(T42=T44,1,0)</formula>
    </cfRule>
  </conditionalFormatting>
  <conditionalFormatting sqref="U44">
    <cfRule type="expression" priority="80" stopIfTrue="1">
      <formula>IF(T44="",1,0)</formula>
    </cfRule>
    <cfRule type="expression" dxfId="1196" priority="82">
      <formula>IF(T42=T44,1,0)</formula>
    </cfRule>
  </conditionalFormatting>
  <conditionalFormatting sqref="U49:U50">
    <cfRule type="expression" priority="77" stopIfTrue="1">
      <formula>IF(T49="",1)</formula>
    </cfRule>
    <cfRule type="expression" dxfId="1195" priority="79">
      <formula>IF(T49=T51,1,0)</formula>
    </cfRule>
  </conditionalFormatting>
  <conditionalFormatting sqref="U51">
    <cfRule type="expression" priority="76" stopIfTrue="1">
      <formula>IF(T51="",1,0)</formula>
    </cfRule>
    <cfRule type="expression" dxfId="1194" priority="78">
      <formula>IF(T49=T51,1,0)</formula>
    </cfRule>
  </conditionalFormatting>
  <conditionalFormatting sqref="U56:U57">
    <cfRule type="expression" priority="73" stopIfTrue="1">
      <formula>IF(T56="",1)</formula>
    </cfRule>
    <cfRule type="expression" dxfId="1193" priority="75">
      <formula>IF(T56=T58,1,0)</formula>
    </cfRule>
  </conditionalFormatting>
  <conditionalFormatting sqref="U58">
    <cfRule type="expression" priority="72" stopIfTrue="1">
      <formula>IF(T58="",1,0)</formula>
    </cfRule>
    <cfRule type="expression" dxfId="1192" priority="74">
      <formula>IF(T56=T58,1,0)</formula>
    </cfRule>
  </conditionalFormatting>
  <conditionalFormatting sqref="AA35:AA36">
    <cfRule type="expression" priority="69" stopIfTrue="1">
      <formula>IF(Z35="",1)</formula>
    </cfRule>
    <cfRule type="expression" dxfId="1191" priority="71">
      <formula>IF(Z35=Z37,1,0)</formula>
    </cfRule>
  </conditionalFormatting>
  <conditionalFormatting sqref="AA37">
    <cfRule type="expression" priority="68" stopIfTrue="1">
      <formula>IF(Z37="",1,0)</formula>
    </cfRule>
    <cfRule type="expression" dxfId="1190" priority="70">
      <formula>IF(Z35=Z37,1,0)</formula>
    </cfRule>
  </conditionalFormatting>
  <conditionalFormatting sqref="AA42:AA43">
    <cfRule type="expression" priority="65" stopIfTrue="1">
      <formula>IF(Z42="",1)</formula>
    </cfRule>
    <cfRule type="expression" dxfId="1189" priority="67">
      <formula>IF(Z42=Z44,1,0)</formula>
    </cfRule>
  </conditionalFormatting>
  <conditionalFormatting sqref="AA44">
    <cfRule type="expression" priority="64" stopIfTrue="1">
      <formula>IF(Z44="",1,0)</formula>
    </cfRule>
    <cfRule type="expression" dxfId="1188" priority="66">
      <formula>IF(Z42=Z44,1,0)</formula>
    </cfRule>
  </conditionalFormatting>
  <conditionalFormatting sqref="AA49:AA50">
    <cfRule type="expression" priority="61" stopIfTrue="1">
      <formula>IF(Z49="",1)</formula>
    </cfRule>
    <cfRule type="expression" dxfId="1187" priority="63">
      <formula>IF(Z49=Z51,1,0)</formula>
    </cfRule>
  </conditionalFormatting>
  <conditionalFormatting sqref="AA51">
    <cfRule type="expression" priority="60" stopIfTrue="1">
      <formula>IF(Z51="",1,0)</formula>
    </cfRule>
    <cfRule type="expression" dxfId="1186" priority="62">
      <formula>IF(Z49=Z51,1,0)</formula>
    </cfRule>
  </conditionalFormatting>
  <conditionalFormatting sqref="AA56:AA57">
    <cfRule type="expression" priority="57" stopIfTrue="1">
      <formula>IF(Z56="",1)</formula>
    </cfRule>
    <cfRule type="expression" dxfId="1185" priority="59">
      <formula>IF(Z56=Z58,1,0)</formula>
    </cfRule>
  </conditionalFormatting>
  <conditionalFormatting sqref="AA58">
    <cfRule type="expression" priority="56" stopIfTrue="1">
      <formula>IF(Z58="",1,0)</formula>
    </cfRule>
    <cfRule type="expression" dxfId="1184" priority="58">
      <formula>IF(Z56=Z58,1,0)</formula>
    </cfRule>
  </conditionalFormatting>
  <conditionalFormatting sqref="M42">
    <cfRule type="expression" dxfId="1183" priority="55">
      <formula>IF(N42+O42&gt;N44+O44,1,0)</formula>
    </cfRule>
  </conditionalFormatting>
  <conditionalFormatting sqref="M44">
    <cfRule type="expression" dxfId="1182" priority="54">
      <formula>IF(N44+O44&gt;N46+O46,1,0)</formula>
    </cfRule>
  </conditionalFormatting>
  <conditionalFormatting sqref="M49">
    <cfRule type="expression" dxfId="1181" priority="53">
      <formula>IF(N49+O49&gt;N51+O51,1,0)</formula>
    </cfRule>
  </conditionalFormatting>
  <conditionalFormatting sqref="M51">
    <cfRule type="expression" dxfId="1180" priority="52">
      <formula>IF(N51+O51&gt;N53+O53,1,0)</formula>
    </cfRule>
  </conditionalFormatting>
  <conditionalFormatting sqref="M56">
    <cfRule type="expression" dxfId="1179" priority="51">
      <formula>IF(N56+O56&gt;N58+O58,1,0)</formula>
    </cfRule>
  </conditionalFormatting>
  <conditionalFormatting sqref="M58">
    <cfRule type="expression" dxfId="1178" priority="50">
      <formula>IF(N58+O58&gt;N60+O60,1,0)</formula>
    </cfRule>
  </conditionalFormatting>
  <conditionalFormatting sqref="M35">
    <cfRule type="expression" dxfId="1177" priority="49">
      <formula>IF(N35+O35&gt;N37+O37,1,0)</formula>
    </cfRule>
  </conditionalFormatting>
  <conditionalFormatting sqref="M37">
    <cfRule type="expression" dxfId="1176" priority="48">
      <formula>IF(N37+O37&gt;N39+O39,1,0)</formula>
    </cfRule>
  </conditionalFormatting>
  <conditionalFormatting sqref="Y7">
    <cfRule type="expression" dxfId="1175" priority="47">
      <formula>IF(Z7+AA7&gt;Z9+AA9,1,0)</formula>
    </cfRule>
  </conditionalFormatting>
  <conditionalFormatting sqref="Y9">
    <cfRule type="expression" dxfId="1174" priority="46">
      <formula>IF(Z7+AA7&lt;Z9+AA9,1,0)</formula>
    </cfRule>
  </conditionalFormatting>
  <conditionalFormatting sqref="Y14">
    <cfRule type="expression" dxfId="1173" priority="45">
      <formula>IF(Z14+AA14&gt;Z16+AA16,1,0)</formula>
    </cfRule>
  </conditionalFormatting>
  <conditionalFormatting sqref="Y16">
    <cfRule type="expression" dxfId="1172" priority="44">
      <formula>IF(Z14+AA14&lt;Z16+AA16,1,0)</formula>
    </cfRule>
  </conditionalFormatting>
  <conditionalFormatting sqref="Y21">
    <cfRule type="expression" dxfId="1171" priority="43">
      <formula>IF(Z21+AA21&gt;Z23+AA23,1,0)</formula>
    </cfRule>
  </conditionalFormatting>
  <conditionalFormatting sqref="Y23">
    <cfRule type="expression" dxfId="1170" priority="42">
      <formula>IF(Z21+AA21&lt;Z23+AA23,1,0)</formula>
    </cfRule>
  </conditionalFormatting>
  <conditionalFormatting sqref="Y28">
    <cfRule type="expression" dxfId="1169" priority="41">
      <formula>IF(Z28+AA28&gt;Z30+AA30,1,0)</formula>
    </cfRule>
  </conditionalFormatting>
  <conditionalFormatting sqref="Y30">
    <cfRule type="expression" dxfId="1168" priority="40">
      <formula>IF(Z28+AA28&lt;Z30+AA30,1,0)</formula>
    </cfRule>
  </conditionalFormatting>
  <conditionalFormatting sqref="Y35">
    <cfRule type="expression" dxfId="1167" priority="39">
      <formula>IF(Z35+AA35&gt;Z37+AA37,1,0)</formula>
    </cfRule>
  </conditionalFormatting>
  <conditionalFormatting sqref="Y37">
    <cfRule type="expression" dxfId="1166" priority="38">
      <formula>IF(Z35+AA35&lt;Z37+AA37,1,0)</formula>
    </cfRule>
  </conditionalFormatting>
  <conditionalFormatting sqref="Y42">
    <cfRule type="expression" dxfId="1165" priority="37">
      <formula>IF(Z42+AA42&gt;Z44+AA44,1,0)</formula>
    </cfRule>
  </conditionalFormatting>
  <conditionalFormatting sqref="Y44">
    <cfRule type="expression" dxfId="1164" priority="36">
      <formula>IF(Z42+AA42&lt;Z44+AA44,1,0)</formula>
    </cfRule>
  </conditionalFormatting>
  <conditionalFormatting sqref="Y49">
    <cfRule type="expression" dxfId="1163" priority="35">
      <formula>IF(Z49+AA49&gt;Z51+AA51,1,0)</formula>
    </cfRule>
  </conditionalFormatting>
  <conditionalFormatting sqref="Y51">
    <cfRule type="expression" dxfId="1162" priority="34">
      <formula>IF(Z49+AA49&lt;Z51+AA51,1,0)</formula>
    </cfRule>
  </conditionalFormatting>
  <conditionalFormatting sqref="Y56">
    <cfRule type="expression" dxfId="1161" priority="33">
      <formula>IF(Z56+AA56&gt;Z58+AA58,1,0)</formula>
    </cfRule>
  </conditionalFormatting>
  <conditionalFormatting sqref="Y58">
    <cfRule type="expression" dxfId="1160" priority="32">
      <formula>IF(Z56+AA56&lt;Z58+AA58,1,0)</formula>
    </cfRule>
  </conditionalFormatting>
  <conditionalFormatting sqref="S56">
    <cfRule type="expression" dxfId="1159" priority="31">
      <formula>IF(T56+U56&gt;T58+U58,1,0)</formula>
    </cfRule>
  </conditionalFormatting>
  <conditionalFormatting sqref="S58">
    <cfRule type="expression" dxfId="1158" priority="30">
      <formula>IF(T56+U56&lt;T58+U58,1,0)</formula>
    </cfRule>
  </conditionalFormatting>
  <conditionalFormatting sqref="S49">
    <cfRule type="expression" dxfId="1157" priority="29">
      <formula>IF(T49+U49&gt;T51+U51,1,0)</formula>
    </cfRule>
  </conditionalFormatting>
  <conditionalFormatting sqref="S51">
    <cfRule type="expression" dxfId="1156" priority="28">
      <formula>IF(T49+U49&lt;T51+U51,1,0)</formula>
    </cfRule>
  </conditionalFormatting>
  <conditionalFormatting sqref="S42">
    <cfRule type="expression" dxfId="1155" priority="27">
      <formula>IF(T42+U42&gt;T44+U44,1,0)</formula>
    </cfRule>
  </conditionalFormatting>
  <conditionalFormatting sqref="S44">
    <cfRule type="expression" dxfId="1154" priority="26">
      <formula>IF(T42+U42&lt;T44+U44,1,0)</formula>
    </cfRule>
  </conditionalFormatting>
  <conditionalFormatting sqref="S35">
    <cfRule type="expression" dxfId="1153" priority="25">
      <formula>IF(T35+U35&gt;T37+U37,1,0)</formula>
    </cfRule>
  </conditionalFormatting>
  <conditionalFormatting sqref="S37">
    <cfRule type="expression" dxfId="1152" priority="24">
      <formula>IF(T35+U35&lt;T37+U37,1,0)</formula>
    </cfRule>
  </conditionalFormatting>
  <conditionalFormatting sqref="S28">
    <cfRule type="expression" dxfId="1151" priority="23">
      <formula>IF(T28+U28&gt;T30+U30,1,0)</formula>
    </cfRule>
  </conditionalFormatting>
  <conditionalFormatting sqref="S30">
    <cfRule type="expression" dxfId="1150" priority="22">
      <formula>IF(T28+U28&lt;T30+U30,1,0)</formula>
    </cfRule>
  </conditionalFormatting>
  <conditionalFormatting sqref="O66:O67">
    <cfRule type="expression" priority="19" stopIfTrue="1">
      <formula>IF(N66="",1)</formula>
    </cfRule>
    <cfRule type="expression" dxfId="1149" priority="21">
      <formula>IF(N66=N68,1,0)</formula>
    </cfRule>
  </conditionalFormatting>
  <conditionalFormatting sqref="O68">
    <cfRule type="expression" priority="18" stopIfTrue="1">
      <formula>IF(N68="",1,0)</formula>
    </cfRule>
    <cfRule type="expression" dxfId="1148" priority="20">
      <formula>IF(N66=N68,1,0)</formula>
    </cfRule>
  </conditionalFormatting>
  <conditionalFormatting sqref="U66:U67">
    <cfRule type="expression" priority="15" stopIfTrue="1">
      <formula>IF(T66="",1)</formula>
    </cfRule>
    <cfRule type="expression" dxfId="1147" priority="17">
      <formula>IF(T66=T68,1,0)</formula>
    </cfRule>
  </conditionalFormatting>
  <conditionalFormatting sqref="U68">
    <cfRule type="expression" priority="14" stopIfTrue="1">
      <formula>IF(T68="",1,0)</formula>
    </cfRule>
    <cfRule type="expression" dxfId="1146" priority="16">
      <formula>IF(T66=T68,1,0)</formula>
    </cfRule>
  </conditionalFormatting>
  <conditionalFormatting sqref="AA66:AA67">
    <cfRule type="expression" priority="11" stopIfTrue="1">
      <formula>IF(Z66="",1)</formula>
    </cfRule>
    <cfRule type="expression" dxfId="1145" priority="13">
      <formula>IF(Z66=Z68,1,0)</formula>
    </cfRule>
  </conditionalFormatting>
  <conditionalFormatting sqref="AA68">
    <cfRule type="expression" priority="10" stopIfTrue="1">
      <formula>IF(Z68="",1,0)</formula>
    </cfRule>
    <cfRule type="expression" dxfId="1144" priority="12">
      <formula>IF(Z66=Z68,1,0)</formula>
    </cfRule>
  </conditionalFormatting>
  <conditionalFormatting sqref="M71">
    <cfRule type="expression" dxfId="1143" priority="9">
      <formula>IF(N72+O72&gt;#REF!+#REF!,1,0)</formula>
    </cfRule>
  </conditionalFormatting>
  <conditionalFormatting sqref="S72">
    <cfRule type="expression" dxfId="1142" priority="8">
      <formula>IF(T72&gt;Z72,1,0)</formula>
    </cfRule>
  </conditionalFormatting>
  <conditionalFormatting sqref="Y72">
    <cfRule type="expression" dxfId="1141" priority="7">
      <formula>IF(T72&lt;Z72,1,0)</formula>
    </cfRule>
  </conditionalFormatting>
  <conditionalFormatting sqref="M66">
    <cfRule type="expression" dxfId="1140" priority="6">
      <formula>IF(N66+O66&gt;N68+O68,1,0)</formula>
    </cfRule>
  </conditionalFormatting>
  <conditionalFormatting sqref="M68">
    <cfRule type="expression" dxfId="1139" priority="5">
      <formula>IF(N68+O68&gt;N70+O70,1,0)</formula>
    </cfRule>
  </conditionalFormatting>
  <conditionalFormatting sqref="S66">
    <cfRule type="expression" dxfId="1138" priority="4">
      <formula>IF(T66+U66&gt;T68+U68,1,0)</formula>
    </cfRule>
  </conditionalFormatting>
  <conditionalFormatting sqref="S68">
    <cfRule type="expression" dxfId="1137" priority="3">
      <formula>IF(T68+U68&gt;T70+U70,1,0)</formula>
    </cfRule>
  </conditionalFormatting>
  <conditionalFormatting sqref="Y66">
    <cfRule type="expression" dxfId="1136" priority="2">
      <formula>IF(Z66+AA66&gt;Z68+AA68,1,0)</formula>
    </cfRule>
  </conditionalFormatting>
  <conditionalFormatting sqref="Y68">
    <cfRule type="expression" dxfId="1135" priority="1">
      <formula>IF(Z68+AA68&gt;Z70+AA70,1,0)</formula>
    </cfRule>
  </conditionalFormatting>
  <pageMargins left="0.25" right="0.25" top="0.75" bottom="0.75" header="0.3" footer="0.3"/>
  <pageSetup paperSize="9" scale="43" fitToHeight="0"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Feuil38">
    <tabColor rgb="FF00B0F0"/>
    <pageSetUpPr fitToPage="1"/>
  </sheetPr>
  <dimension ref="A1:AY148"/>
  <sheetViews>
    <sheetView topLeftCell="K1" zoomScale="85" zoomScaleNormal="40" workbookViewId="0">
      <selection activeCell="K75" sqref="K1:AA75"/>
    </sheetView>
  </sheetViews>
  <sheetFormatPr baseColWidth="10" defaultColWidth="10.85546875" defaultRowHeight="12.75" x14ac:dyDescent="0.2"/>
  <cols>
    <col min="1" max="1" width="3.7109375" style="435" hidden="1" customWidth="1"/>
    <col min="2" max="4" width="16.140625" style="435" hidden="1" customWidth="1"/>
    <col min="5" max="6" width="11.28515625" style="435" hidden="1" customWidth="1"/>
    <col min="7" max="8" width="13" style="435" hidden="1" customWidth="1"/>
    <col min="9" max="10" width="11.28515625" style="435" hidden="1" customWidth="1"/>
    <col min="11" max="11" width="7.7109375" style="441" bestFit="1" customWidth="1"/>
    <col min="12" max="12" width="6.42578125" style="435" bestFit="1" customWidth="1"/>
    <col min="13" max="13" width="36.5703125" style="435" customWidth="1"/>
    <col min="14" max="14" width="10.85546875" style="442"/>
    <col min="15" max="15" width="4.7109375" style="441" bestFit="1" customWidth="1"/>
    <col min="16" max="16" width="15.7109375" style="441" customWidth="1"/>
    <col min="17" max="17" width="7.85546875" style="441" bestFit="1" customWidth="1"/>
    <col min="18" max="18" width="6.5703125" style="441" bestFit="1" customWidth="1"/>
    <col min="19" max="19" width="36.5703125" style="441" customWidth="1"/>
    <col min="20" max="20" width="10.85546875" style="442"/>
    <col min="21" max="21" width="4.85546875" style="441" bestFit="1" customWidth="1"/>
    <col min="22" max="22" width="15.85546875" style="441" customWidth="1"/>
    <col min="23" max="23" width="7.85546875" style="441" bestFit="1" customWidth="1"/>
    <col min="24" max="24" width="6" style="435" bestFit="1" customWidth="1"/>
    <col min="25" max="25" width="36.5703125" style="435" customWidth="1"/>
    <col min="26" max="26" width="10.85546875" style="442"/>
    <col min="27" max="27" width="4.85546875" style="441" bestFit="1" customWidth="1"/>
    <col min="28" max="28" width="4.5703125" style="435" customWidth="1"/>
    <col min="29" max="31" width="3.28515625" style="435" customWidth="1"/>
    <col min="32" max="32" width="10.85546875" style="435"/>
    <col min="33" max="33" width="6.5703125" style="435" hidden="1" customWidth="1"/>
    <col min="34" max="36" width="36.85546875" style="435" customWidth="1"/>
    <col min="37" max="40" width="10.85546875" style="435"/>
    <col min="41" max="41" width="14.28515625" style="435" customWidth="1"/>
    <col min="42" max="42" width="10.85546875" style="435"/>
    <col min="43" max="43" width="1.7109375" style="435" bestFit="1" customWidth="1"/>
    <col min="44" max="46" width="10.85546875" style="435"/>
    <col min="47" max="47" width="1.7109375" style="435" bestFit="1" customWidth="1"/>
    <col min="48" max="50" width="10.85546875" style="435"/>
    <col min="51" max="51" width="1.7109375" style="435" bestFit="1" customWidth="1"/>
    <col min="52" max="16384" width="10.85546875" style="435"/>
  </cols>
  <sheetData>
    <row r="1" spans="1:51" ht="55.5" customHeight="1" x14ac:dyDescent="0.2">
      <c r="B1" s="436"/>
      <c r="C1" s="436"/>
      <c r="D1" s="436"/>
      <c r="I1" s="437"/>
      <c r="J1" s="437"/>
      <c r="K1" s="988" t="str">
        <f>Championnat</f>
        <v>Championnat de France de Tir à l'ARC</v>
      </c>
      <c r="L1" s="988"/>
      <c r="M1" s="988"/>
      <c r="N1" s="988"/>
      <c r="O1" s="988"/>
      <c r="P1" s="988"/>
      <c r="Q1" s="988"/>
      <c r="R1" s="988"/>
      <c r="S1" s="988"/>
      <c r="T1" s="988"/>
      <c r="U1" s="988"/>
      <c r="V1" s="988"/>
      <c r="W1" s="988"/>
      <c r="X1" s="988"/>
      <c r="Y1" s="988"/>
      <c r="Z1" s="988"/>
      <c r="AA1" s="988"/>
      <c r="AB1" s="439"/>
      <c r="AC1" s="439"/>
      <c r="AD1" s="439"/>
      <c r="AE1" s="439"/>
      <c r="AF1" s="988" t="str">
        <f>Championnat</f>
        <v>Championnat de France de Tir à l'ARC</v>
      </c>
      <c r="AG1" s="988"/>
      <c r="AH1" s="988"/>
      <c r="AI1" s="988"/>
      <c r="AJ1" s="988"/>
      <c r="AK1" s="491"/>
      <c r="AL1" s="491"/>
      <c r="AM1" s="491"/>
      <c r="AN1" s="491"/>
      <c r="AO1" s="491"/>
      <c r="AP1" s="491"/>
      <c r="AQ1" s="491"/>
      <c r="AR1" s="491"/>
      <c r="AS1" s="491"/>
      <c r="AT1" s="491"/>
      <c r="AU1" s="491"/>
      <c r="AV1" s="491"/>
      <c r="AW1" s="491"/>
      <c r="AY1" s="491"/>
    </row>
    <row r="2" spans="1:51" ht="61.5" customHeight="1" x14ac:dyDescent="0.2">
      <c r="A2" s="437"/>
      <c r="I2" s="437"/>
      <c r="J2" s="437"/>
      <c r="K2" s="989" t="str">
        <f>CATEG_IMPORTEE</f>
        <v>Collèges Mixtes Etablissement</v>
      </c>
      <c r="L2" s="989"/>
      <c r="M2" s="989"/>
      <c r="N2" s="989"/>
      <c r="O2" s="989"/>
      <c r="P2" s="989"/>
      <c r="Q2" s="989"/>
      <c r="R2" s="989"/>
      <c r="S2" s="989"/>
      <c r="T2" s="989"/>
      <c r="U2" s="989"/>
      <c r="V2" s="989"/>
      <c r="W2" s="989"/>
      <c r="X2" s="989"/>
      <c r="Y2" s="989"/>
      <c r="Z2" s="989"/>
      <c r="AA2" s="799"/>
      <c r="AB2" s="439"/>
      <c r="AC2" s="439"/>
      <c r="AD2" s="439"/>
      <c r="AE2" s="439"/>
      <c r="AF2" s="990" t="str">
        <f>CATEG_IMPORTEE</f>
        <v>Collèges Mixtes Etablissement</v>
      </c>
      <c r="AG2" s="990"/>
      <c r="AH2" s="990"/>
      <c r="AI2" s="990"/>
      <c r="AJ2" s="990"/>
      <c r="AK2" s="492"/>
      <c r="AL2" s="492"/>
      <c r="AM2" s="492"/>
      <c r="AN2" s="492"/>
      <c r="AO2" s="492"/>
      <c r="AP2" s="492"/>
      <c r="AQ2" s="492"/>
      <c r="AR2" s="492"/>
      <c r="AS2" s="492"/>
      <c r="AT2" s="492"/>
      <c r="AU2" s="492"/>
      <c r="AV2" s="492"/>
      <c r="AW2" s="492"/>
      <c r="AY2" s="492"/>
    </row>
    <row r="3" spans="1:51" ht="42" customHeight="1" x14ac:dyDescent="0.2">
      <c r="B3" s="462" t="s">
        <v>774</v>
      </c>
      <c r="I3" s="437"/>
      <c r="J3" s="437"/>
      <c r="N3" s="991" t="str">
        <f>LIEU&amp;" du "&amp;DATE</f>
        <v>L’Isle sur la Sorgue du 27 au 31 mars 2023</v>
      </c>
      <c r="O3" s="991"/>
      <c r="P3" s="991"/>
      <c r="Q3" s="991"/>
      <c r="R3" s="991"/>
      <c r="S3" s="991"/>
      <c r="T3" s="991"/>
      <c r="U3" s="991"/>
      <c r="V3" s="991"/>
      <c r="W3" s="991"/>
      <c r="X3" s="991"/>
      <c r="AF3" s="991" t="str">
        <f>LIEU&amp;" du "&amp;DATE</f>
        <v>L’Isle sur la Sorgue du 27 au 31 mars 2023</v>
      </c>
      <c r="AG3" s="991"/>
      <c r="AH3" s="991"/>
      <c r="AI3" s="991"/>
      <c r="AJ3" s="991"/>
      <c r="AK3" s="493"/>
      <c r="AL3" s="493"/>
      <c r="AM3" s="493"/>
      <c r="AN3" s="493"/>
      <c r="AO3" s="493"/>
      <c r="AP3" s="493"/>
      <c r="AQ3" s="493"/>
      <c r="AR3" s="493"/>
      <c r="AS3" s="493"/>
      <c r="AT3" s="493"/>
      <c r="AU3" s="493"/>
      <c r="AW3" s="442"/>
      <c r="AY3" s="493"/>
    </row>
    <row r="4" spans="1:51" ht="21" customHeight="1" x14ac:dyDescent="0.2">
      <c r="B4" s="462" t="s">
        <v>775</v>
      </c>
      <c r="C4" s="462" t="s">
        <v>375</v>
      </c>
      <c r="D4" s="462" t="s">
        <v>374</v>
      </c>
      <c r="E4" s="462" t="s">
        <v>776</v>
      </c>
      <c r="F4" s="800" t="s">
        <v>838</v>
      </c>
      <c r="G4" s="801" t="s">
        <v>837</v>
      </c>
      <c r="H4" s="898"/>
      <c r="I4" s="437"/>
      <c r="J4" s="437"/>
      <c r="K4" s="979" t="s">
        <v>815</v>
      </c>
      <c r="L4" s="979"/>
      <c r="M4" s="979"/>
      <c r="N4" s="979"/>
      <c r="O4" s="443"/>
      <c r="P4" s="443"/>
      <c r="Q4" s="979" t="s">
        <v>816</v>
      </c>
      <c r="R4" s="979"/>
      <c r="S4" s="979"/>
      <c r="T4" s="979"/>
      <c r="U4" s="443"/>
      <c r="V4" s="443"/>
      <c r="W4" s="979" t="s">
        <v>817</v>
      </c>
      <c r="X4" s="979"/>
      <c r="Y4" s="979"/>
      <c r="Z4" s="979"/>
      <c r="AA4" s="443"/>
      <c r="AH4" s="980" t="s">
        <v>778</v>
      </c>
      <c r="AI4" s="980"/>
      <c r="AJ4" s="980"/>
      <c r="AN4" s="497" t="s">
        <v>848</v>
      </c>
    </row>
    <row r="5" spans="1:51" ht="15.95" customHeight="1" thickBot="1" x14ac:dyDescent="0.25">
      <c r="A5" s="435">
        <v>1</v>
      </c>
      <c r="B5" s="444" t="str">
        <f ca="1">INDIRECT("'Imp. Qualif.'!L"&amp;INDIRECT("f"&amp;ROW()))</f>
        <v/>
      </c>
      <c r="C5" s="444" t="str">
        <f ca="1">INDIRECT("'Imp. Qualif.'!M"&amp;INDIRECT("f"&amp;ROW()))</f>
        <v/>
      </c>
      <c r="D5" s="444" t="str">
        <f ca="1">INDIRECT("'Imp. Qualif.'!N"&amp;INDIRECT("f"&amp;ROW()))</f>
        <v/>
      </c>
      <c r="E5" s="486">
        <f ca="1">INDIRECT("'Imp. Qualif.'!O"&amp;INDIRECT("f"&amp;ROW()))</f>
        <v>0</v>
      </c>
      <c r="F5" s="802">
        <v>11</v>
      </c>
      <c r="G5" s="488" t="str">
        <f ca="1">B5&amp;C5</f>
        <v/>
      </c>
      <c r="H5" s="898" t="str">
        <f ca="1">IF(B5&lt;&gt;"",B5,"")</f>
        <v/>
      </c>
      <c r="I5" s="898" t="str">
        <f t="shared" ref="I5:J20" ca="1" si="0">IF(C5&lt;&gt;"",C5,"")</f>
        <v/>
      </c>
      <c r="J5" s="898" t="str">
        <f t="shared" ca="1" si="0"/>
        <v/>
      </c>
      <c r="L5" s="979" t="s">
        <v>836</v>
      </c>
      <c r="M5" s="1247"/>
      <c r="N5" s="1247"/>
      <c r="O5" s="443"/>
      <c r="P5" s="443"/>
      <c r="R5" s="979" t="s">
        <v>818</v>
      </c>
      <c r="S5" s="1247"/>
      <c r="T5" s="1247"/>
      <c r="U5" s="443"/>
      <c r="V5" s="443"/>
      <c r="W5" s="445"/>
      <c r="X5" s="979" t="s">
        <v>777</v>
      </c>
      <c r="Y5" s="1247"/>
      <c r="Z5" s="1247"/>
      <c r="AA5" s="443"/>
      <c r="AH5" s="981"/>
      <c r="AI5" s="981"/>
      <c r="AJ5" s="981"/>
      <c r="AN5" s="803" t="s">
        <v>839</v>
      </c>
      <c r="AO5" s="803" t="s">
        <v>840</v>
      </c>
      <c r="AP5" s="803" t="s">
        <v>841</v>
      </c>
      <c r="AQ5" s="804" t="s">
        <v>793</v>
      </c>
      <c r="AR5" s="803" t="s">
        <v>842</v>
      </c>
      <c r="AS5" s="803" t="s">
        <v>843</v>
      </c>
      <c r="AT5" s="803" t="s">
        <v>844</v>
      </c>
      <c r="AU5" s="804" t="s">
        <v>793</v>
      </c>
      <c r="AV5" s="803" t="s">
        <v>845</v>
      </c>
      <c r="AW5" s="803" t="s">
        <v>846</v>
      </c>
      <c r="AX5" s="803" t="s">
        <v>847</v>
      </c>
      <c r="AY5" s="804" t="s">
        <v>793</v>
      </c>
    </row>
    <row r="6" spans="1:51" ht="15.95" customHeight="1" thickBot="1" x14ac:dyDescent="0.25">
      <c r="A6" s="435">
        <v>2</v>
      </c>
      <c r="B6" s="444" t="str">
        <f t="shared" ref="B6:B23" ca="1" si="1">INDIRECT("'Imp. Qualif.'!L"&amp;INDIRECT("f"&amp;ROW()))</f>
        <v/>
      </c>
      <c r="C6" s="444" t="str">
        <f t="shared" ref="C6:C23" ca="1" si="2">INDIRECT("'Imp. Qualif.'!M"&amp;INDIRECT("f"&amp;ROW()))</f>
        <v/>
      </c>
      <c r="D6" s="444" t="str">
        <f t="shared" ref="D6:D23" ca="1" si="3">INDIRECT("'Imp. Qualif.'!N"&amp;INDIRECT("f"&amp;ROW()))</f>
        <v/>
      </c>
      <c r="E6" s="486">
        <f t="shared" ref="E6:E23" ca="1" si="4">INDIRECT("'Imp. Qualif.'!O"&amp;INDIRECT("f"&amp;ROW()))</f>
        <v>0</v>
      </c>
      <c r="F6" s="802">
        <v>12</v>
      </c>
      <c r="G6" s="488" t="str">
        <f t="shared" ref="G6:G28" ca="1" si="5">B6&amp;C6</f>
        <v/>
      </c>
      <c r="H6" s="898" t="str">
        <f t="shared" ref="H6:J28" ca="1" si="6">IF(B6&lt;&gt;"",B6,"")</f>
        <v/>
      </c>
      <c r="I6" s="898" t="str">
        <f t="shared" ca="1" si="0"/>
        <v/>
      </c>
      <c r="J6" s="898" t="str">
        <f t="shared" ca="1" si="0"/>
        <v/>
      </c>
      <c r="K6" s="445" t="s">
        <v>779</v>
      </c>
      <c r="L6" s="779" t="s">
        <v>1083</v>
      </c>
      <c r="M6" s="456" t="s">
        <v>481</v>
      </c>
      <c r="N6" s="464" t="s">
        <v>780</v>
      </c>
      <c r="O6" s="446" t="s">
        <v>781</v>
      </c>
      <c r="P6" s="445"/>
      <c r="Q6" s="445" t="s">
        <v>779</v>
      </c>
      <c r="R6" s="779" t="s">
        <v>1083</v>
      </c>
      <c r="S6" s="456" t="s">
        <v>481</v>
      </c>
      <c r="T6" s="464" t="s">
        <v>780</v>
      </c>
      <c r="U6" s="446" t="s">
        <v>781</v>
      </c>
      <c r="V6" s="445"/>
      <c r="W6" s="445" t="s">
        <v>779</v>
      </c>
      <c r="X6" s="779" t="s">
        <v>1083</v>
      </c>
      <c r="Y6" s="456" t="s">
        <v>481</v>
      </c>
      <c r="Z6" s="464" t="s">
        <v>780</v>
      </c>
      <c r="AA6" s="446" t="s">
        <v>781</v>
      </c>
      <c r="AH6" s="935" t="s">
        <v>782</v>
      </c>
      <c r="AI6" s="936" t="s">
        <v>375</v>
      </c>
      <c r="AJ6" s="937" t="s">
        <v>783</v>
      </c>
      <c r="AN6" s="803">
        <f>K7</f>
        <v>1</v>
      </c>
      <c r="AO6" s="807" t="str">
        <f ca="1">L8</f>
        <v/>
      </c>
      <c r="AP6" s="807" t="str">
        <f ca="1">AO7</f>
        <v/>
      </c>
      <c r="AQ6" s="804" t="s">
        <v>793</v>
      </c>
      <c r="AR6" s="803">
        <f>Q7</f>
        <v>1</v>
      </c>
      <c r="AS6" s="807" t="str">
        <f>R8</f>
        <v/>
      </c>
      <c r="AT6" s="807" t="str">
        <f>AS7</f>
        <v/>
      </c>
      <c r="AU6" s="804" t="s">
        <v>793</v>
      </c>
      <c r="AV6" s="803">
        <f>W7</f>
        <v>1</v>
      </c>
      <c r="AW6" s="807" t="str">
        <f>X8</f>
        <v/>
      </c>
      <c r="AX6" s="807" t="str">
        <f>AW7</f>
        <v/>
      </c>
      <c r="AY6" s="804" t="s">
        <v>793</v>
      </c>
    </row>
    <row r="7" spans="1:51" ht="15.95" customHeight="1" thickBot="1" x14ac:dyDescent="0.25">
      <c r="A7" s="435">
        <v>3</v>
      </c>
      <c r="B7" s="444" t="str">
        <f t="shared" ca="1" si="1"/>
        <v/>
      </c>
      <c r="C7" s="444" t="str">
        <f t="shared" ca="1" si="2"/>
        <v/>
      </c>
      <c r="D7" s="444" t="str">
        <f t="shared" ca="1" si="3"/>
        <v/>
      </c>
      <c r="E7" s="486">
        <f t="shared" ca="1" si="4"/>
        <v>0</v>
      </c>
      <c r="F7" s="802">
        <v>13</v>
      </c>
      <c r="G7" s="488" t="str">
        <f t="shared" ca="1" si="5"/>
        <v/>
      </c>
      <c r="H7" s="898" t="str">
        <f t="shared" ca="1" si="6"/>
        <v/>
      </c>
      <c r="I7" s="898" t="str">
        <f t="shared" ca="1" si="0"/>
        <v/>
      </c>
      <c r="J7" s="898" t="str">
        <f t="shared" ca="1" si="0"/>
        <v/>
      </c>
      <c r="K7" s="447">
        <f>Num_Cible</f>
        <v>1</v>
      </c>
      <c r="L7" s="472">
        <v>1</v>
      </c>
      <c r="M7" s="465" t="str">
        <f ca="1">IFERROR(VLOOKUP(L8,$G$5:$J$28,2,FALSE),"")</f>
        <v/>
      </c>
      <c r="N7" s="966"/>
      <c r="O7" s="780"/>
      <c r="Q7" s="447">
        <f>K7</f>
        <v>1</v>
      </c>
      <c r="R7" s="472">
        <v>1</v>
      </c>
      <c r="S7" s="465" t="str">
        <f ca="1">IFERROR(VLOOKUP(R8,$G$5:$J$28,2,FALSE),"")</f>
        <v/>
      </c>
      <c r="T7" s="966"/>
      <c r="U7" s="780"/>
      <c r="W7" s="447">
        <f>Q7</f>
        <v>1</v>
      </c>
      <c r="X7" s="472">
        <v>1</v>
      </c>
      <c r="Y7" s="465" t="str">
        <f ca="1">IFERROR(VLOOKUP(X8,$G$5:$J$28,2,FALSE),"")</f>
        <v/>
      </c>
      <c r="Z7" s="966"/>
      <c r="AA7" s="780"/>
      <c r="AF7" s="810" t="s">
        <v>784</v>
      </c>
      <c r="AG7" s="435" t="str">
        <f>IF(ISBLANK(Z7),"",IF(Z7+AA7&gt;Z9+AA9,X8,X10))</f>
        <v/>
      </c>
      <c r="AH7" s="475" t="str">
        <f ca="1">IFERROR(VLOOKUP(AG7,$G$5:$J$28,2,FALSE),"")</f>
        <v/>
      </c>
      <c r="AI7" s="476" t="str">
        <f ca="1">IFERROR(VLOOKUP(AG7,$G$5:$J$28,3,FALSE),"")</f>
        <v/>
      </c>
      <c r="AJ7" s="934" t="str">
        <f ca="1">IFERROR(VLOOKUP(AG7,$G$5:$J$28,4,FALSE),"")</f>
        <v/>
      </c>
      <c r="AN7" s="803">
        <f>K9</f>
        <v>2</v>
      </c>
      <c r="AO7" s="807" t="str">
        <f ca="1">L10</f>
        <v/>
      </c>
      <c r="AP7" s="807" t="str">
        <f ca="1">AO6</f>
        <v/>
      </c>
      <c r="AQ7" s="804" t="s">
        <v>793</v>
      </c>
      <c r="AR7" s="803">
        <f>Q9</f>
        <v>2</v>
      </c>
      <c r="AS7" s="807" t="str">
        <f>R10</f>
        <v/>
      </c>
      <c r="AT7" s="807" t="str">
        <f>AS6</f>
        <v/>
      </c>
      <c r="AU7" s="804" t="s">
        <v>793</v>
      </c>
      <c r="AV7" s="803">
        <f>W9</f>
        <v>2</v>
      </c>
      <c r="AW7" s="807" t="str">
        <f>X10</f>
        <v/>
      </c>
      <c r="AX7" s="807" t="str">
        <f>AW6</f>
        <v/>
      </c>
      <c r="AY7" s="804" t="s">
        <v>793</v>
      </c>
    </row>
    <row r="8" spans="1:51" ht="15.95" customHeight="1" thickBot="1" x14ac:dyDescent="0.25">
      <c r="A8" s="435">
        <v>4</v>
      </c>
      <c r="B8" s="444" t="str">
        <f t="shared" ca="1" si="1"/>
        <v/>
      </c>
      <c r="C8" s="444" t="str">
        <f t="shared" ca="1" si="2"/>
        <v/>
      </c>
      <c r="D8" s="444" t="str">
        <f t="shared" ca="1" si="3"/>
        <v/>
      </c>
      <c r="E8" s="486">
        <f t="shared" ca="1" si="4"/>
        <v>0</v>
      </c>
      <c r="F8" s="802">
        <v>14</v>
      </c>
      <c r="G8" s="488" t="str">
        <f t="shared" ca="1" si="5"/>
        <v/>
      </c>
      <c r="H8" s="898" t="str">
        <f t="shared" ca="1" si="6"/>
        <v/>
      </c>
      <c r="I8" s="898" t="str">
        <f t="shared" ca="1" si="0"/>
        <v/>
      </c>
      <c r="J8" s="898" t="str">
        <f t="shared" ca="1" si="0"/>
        <v/>
      </c>
      <c r="K8" s="447"/>
      <c r="L8" s="473" t="str">
        <f ca="1">VLOOKUP(L7,$A$5:$G$24,7,FALSE)</f>
        <v/>
      </c>
      <c r="M8" s="466" t="str">
        <f ca="1">IFERROR(VLOOKUP(L8,$G$5:$J$28,3,FALSE),"")</f>
        <v/>
      </c>
      <c r="N8" s="967"/>
      <c r="Q8" s="447"/>
      <c r="R8" s="473" t="str">
        <f>IF(ISBLANK(N7),"",IF(O7+N7&gt;N9+O9,L8,L10))</f>
        <v/>
      </c>
      <c r="S8" s="466" t="str">
        <f ca="1">IFERROR(VLOOKUP(R8,$G$5:$J$28,3,FALSE),"")</f>
        <v/>
      </c>
      <c r="T8" s="967"/>
      <c r="W8" s="447"/>
      <c r="X8" s="473" t="str">
        <f>IF(ISBLANK(T7),"",IF(U7+T7&gt;T9+U9,R8,R10))</f>
        <v/>
      </c>
      <c r="Y8" s="466" t="str">
        <f ca="1">IFERROR(VLOOKUP(X8,$G$5:$J$28,3,FALSE),"")</f>
        <v/>
      </c>
      <c r="Z8" s="967"/>
      <c r="AF8" s="811" t="s">
        <v>785</v>
      </c>
      <c r="AG8" s="435" t="str">
        <f>IF(ISBLANK(Z7),"",IF(Z7+AA7&lt;Z9+AA9,X8,X10))</f>
        <v/>
      </c>
      <c r="AH8" s="478" t="str">
        <f t="shared" ref="AH8:AH25" ca="1" si="7">IFERROR(VLOOKUP(AG8,$G$5:$J$28,2,FALSE),"")</f>
        <v/>
      </c>
      <c r="AI8" s="897" t="str">
        <f t="shared" ref="AI8:AI25" ca="1" si="8">IFERROR(VLOOKUP(AG8,$G$5:$J$28,3,FALSE),"")</f>
        <v/>
      </c>
      <c r="AJ8" s="917" t="str">
        <f t="shared" ref="AJ8:AJ25" ca="1" si="9">IFERROR(VLOOKUP(AG8,$G$5:$J$28,4,FALSE),"")</f>
        <v/>
      </c>
      <c r="AN8" s="803">
        <f>K14</f>
        <v>3</v>
      </c>
      <c r="AO8" s="807" t="str">
        <f ca="1">L15</f>
        <v/>
      </c>
      <c r="AP8" s="807" t="str">
        <f t="shared" ref="AP8" ca="1" si="10">AO9</f>
        <v/>
      </c>
      <c r="AQ8" s="804" t="s">
        <v>793</v>
      </c>
      <c r="AR8" s="803">
        <f>Q14</f>
        <v>3</v>
      </c>
      <c r="AS8" s="807" t="str">
        <f>R15</f>
        <v/>
      </c>
      <c r="AT8" s="807" t="str">
        <f>AS9</f>
        <v/>
      </c>
      <c r="AU8" s="804" t="s">
        <v>793</v>
      </c>
      <c r="AV8" s="803">
        <f>W14</f>
        <v>3</v>
      </c>
      <c r="AW8" s="807" t="str">
        <f>X15</f>
        <v/>
      </c>
      <c r="AX8" s="807" t="str">
        <f t="shared" ref="AX8" si="11">AW9</f>
        <v/>
      </c>
      <c r="AY8" s="804" t="s">
        <v>793</v>
      </c>
    </row>
    <row r="9" spans="1:51" ht="15.95" customHeight="1" thickBot="1" x14ac:dyDescent="0.25">
      <c r="A9" s="435">
        <v>5</v>
      </c>
      <c r="B9" s="444" t="str">
        <f t="shared" ca="1" si="1"/>
        <v/>
      </c>
      <c r="C9" s="444" t="str">
        <f t="shared" ca="1" si="2"/>
        <v/>
      </c>
      <c r="D9" s="444" t="str">
        <f t="shared" ca="1" si="3"/>
        <v/>
      </c>
      <c r="E9" s="486">
        <f t="shared" ca="1" si="4"/>
        <v>0</v>
      </c>
      <c r="F9" s="802">
        <v>15</v>
      </c>
      <c r="G9" s="488" t="str">
        <f t="shared" ca="1" si="5"/>
        <v/>
      </c>
      <c r="H9" s="898" t="str">
        <f t="shared" ca="1" si="6"/>
        <v/>
      </c>
      <c r="I9" s="898" t="str">
        <f t="shared" ca="1" si="0"/>
        <v/>
      </c>
      <c r="J9" s="898" t="str">
        <f t="shared" ca="1" si="0"/>
        <v/>
      </c>
      <c r="K9" s="447">
        <f>K7+1</f>
        <v>2</v>
      </c>
      <c r="L9" s="472">
        <v>8</v>
      </c>
      <c r="M9" s="465" t="str">
        <f ca="1">IFERROR(VLOOKUP(L10,$G$5:$J$28,2,FALSE),"")</f>
        <v/>
      </c>
      <c r="N9" s="966"/>
      <c r="O9" s="780"/>
      <c r="Q9" s="447">
        <f>Q7+1</f>
        <v>2</v>
      </c>
      <c r="R9" s="472">
        <v>4</v>
      </c>
      <c r="S9" s="465" t="str">
        <f ca="1">IFERROR(VLOOKUP(R10,$G$5:$J$28,2,FALSE),"")</f>
        <v/>
      </c>
      <c r="T9" s="966"/>
      <c r="U9" s="780"/>
      <c r="W9" s="447">
        <f>W7+1</f>
        <v>2</v>
      </c>
      <c r="X9" s="472">
        <v>2</v>
      </c>
      <c r="Y9" s="465" t="str">
        <f ca="1">IFERROR(VLOOKUP(X10,$G$5:$J$28,2,FALSE),"")</f>
        <v/>
      </c>
      <c r="Z9" s="966"/>
      <c r="AA9" s="780"/>
      <c r="AF9" s="813" t="s">
        <v>786</v>
      </c>
      <c r="AG9" s="435" t="str">
        <f>IF(ISBLANK(Z14),"",IF(Z14+AA14&gt;Z16+AA16,X15,X17))</f>
        <v/>
      </c>
      <c r="AH9" s="478" t="str">
        <f t="shared" ca="1" si="7"/>
        <v/>
      </c>
      <c r="AI9" s="897" t="str">
        <f t="shared" ca="1" si="8"/>
        <v/>
      </c>
      <c r="AJ9" s="917" t="str">
        <f t="shared" ca="1" si="9"/>
        <v/>
      </c>
      <c r="AN9" s="803">
        <f>K16</f>
        <v>4</v>
      </c>
      <c r="AO9" s="807" t="str">
        <f ca="1">L17</f>
        <v/>
      </c>
      <c r="AP9" s="807" t="str">
        <f t="shared" ref="AP9" ca="1" si="12">AO8</f>
        <v/>
      </c>
      <c r="AQ9" s="804" t="s">
        <v>793</v>
      </c>
      <c r="AR9" s="803">
        <f>Q16</f>
        <v>4</v>
      </c>
      <c r="AS9" s="807" t="str">
        <f>R17</f>
        <v/>
      </c>
      <c r="AT9" s="807" t="str">
        <f>AS8</f>
        <v/>
      </c>
      <c r="AU9" s="804" t="s">
        <v>793</v>
      </c>
      <c r="AV9" s="803">
        <f>W16</f>
        <v>4</v>
      </c>
      <c r="AW9" s="807" t="str">
        <f>X17</f>
        <v/>
      </c>
      <c r="AX9" s="807" t="str">
        <f t="shared" ref="AX9" si="13">AW8</f>
        <v/>
      </c>
      <c r="AY9" s="804" t="s">
        <v>793</v>
      </c>
    </row>
    <row r="10" spans="1:51" ht="15.95" customHeight="1" thickBot="1" x14ac:dyDescent="0.25">
      <c r="A10" s="435">
        <v>6</v>
      </c>
      <c r="B10" s="444" t="str">
        <f t="shared" ca="1" si="1"/>
        <v/>
      </c>
      <c r="C10" s="444" t="str">
        <f t="shared" ca="1" si="2"/>
        <v/>
      </c>
      <c r="D10" s="444" t="str">
        <f t="shared" ca="1" si="3"/>
        <v/>
      </c>
      <c r="E10" s="486">
        <f t="shared" ca="1" si="4"/>
        <v>0</v>
      </c>
      <c r="F10" s="802">
        <v>16</v>
      </c>
      <c r="G10" s="488" t="str">
        <f t="shared" ca="1" si="5"/>
        <v/>
      </c>
      <c r="H10" s="898" t="str">
        <f t="shared" ca="1" si="6"/>
        <v/>
      </c>
      <c r="I10" s="898" t="str">
        <f t="shared" ca="1" si="0"/>
        <v/>
      </c>
      <c r="J10" s="898" t="str">
        <f t="shared" ca="1" si="0"/>
        <v/>
      </c>
      <c r="K10" s="447"/>
      <c r="L10" s="473" t="str">
        <f ca="1">VLOOKUP(L9,$A$5:$G$24,7,FALSE)</f>
        <v/>
      </c>
      <c r="M10" s="466" t="str">
        <f ca="1">IFERROR(VLOOKUP(L10,$G$5:$J$28,3,FALSE),"")</f>
        <v/>
      </c>
      <c r="N10" s="967"/>
      <c r="Q10" s="447"/>
      <c r="R10" s="473" t="str">
        <f>IF(ISBLANK(N14),"",IF(O14+N14&gt;N16+O16,L15,L17))</f>
        <v/>
      </c>
      <c r="S10" s="466" t="str">
        <f ca="1">IFERROR(VLOOKUP(R10,$G$5:$J$28,3,FALSE),"")</f>
        <v/>
      </c>
      <c r="T10" s="967"/>
      <c r="W10" s="447"/>
      <c r="X10" s="473" t="str">
        <f>IF(ISBLANK(T14),"",IF(U14+T14&gt;T16+U16,R15,R17))</f>
        <v/>
      </c>
      <c r="Y10" s="466" t="str">
        <f ca="1">IFERROR(VLOOKUP(X10,$G$5:$J$28,3,FALSE),"")</f>
        <v/>
      </c>
      <c r="Z10" s="967"/>
      <c r="AF10" s="814" t="s">
        <v>788</v>
      </c>
      <c r="AG10" s="435" t="str">
        <f>IF(ISBLANK(Z14),"",IF(Z14+AA14&lt;Z16+AA16,X15,X17))</f>
        <v/>
      </c>
      <c r="AH10" s="478" t="str">
        <f t="shared" ca="1" si="7"/>
        <v/>
      </c>
      <c r="AI10" s="897" t="str">
        <f t="shared" ca="1" si="8"/>
        <v/>
      </c>
      <c r="AJ10" s="917" t="str">
        <f t="shared" ca="1" si="9"/>
        <v/>
      </c>
      <c r="AN10" s="803">
        <f>K21</f>
        <v>5</v>
      </c>
      <c r="AO10" s="807" t="str">
        <f ca="1">L22</f>
        <v/>
      </c>
      <c r="AP10" s="807" t="str">
        <f t="shared" ref="AP10" ca="1" si="14">AO11</f>
        <v/>
      </c>
      <c r="AQ10" s="804" t="s">
        <v>793</v>
      </c>
      <c r="AR10" s="803">
        <f>Q21</f>
        <v>5</v>
      </c>
      <c r="AS10" s="807" t="str">
        <f>R22</f>
        <v/>
      </c>
      <c r="AT10" s="807" t="str">
        <f>AS11</f>
        <v/>
      </c>
      <c r="AU10" s="804" t="s">
        <v>793</v>
      </c>
      <c r="AV10" s="803">
        <f>W21</f>
        <v>5</v>
      </c>
      <c r="AW10" s="807" t="str">
        <f>X22</f>
        <v/>
      </c>
      <c r="AX10" s="807" t="str">
        <f t="shared" ref="AX10" si="15">AW11</f>
        <v/>
      </c>
      <c r="AY10" s="804" t="s">
        <v>793</v>
      </c>
    </row>
    <row r="11" spans="1:51" ht="15.95" customHeight="1" x14ac:dyDescent="0.2">
      <c r="A11" s="435">
        <v>7</v>
      </c>
      <c r="B11" s="444" t="str">
        <f t="shared" ca="1" si="1"/>
        <v/>
      </c>
      <c r="C11" s="444" t="str">
        <f t="shared" ca="1" si="2"/>
        <v/>
      </c>
      <c r="D11" s="444" t="str">
        <f t="shared" ca="1" si="3"/>
        <v/>
      </c>
      <c r="E11" s="486">
        <f t="shared" ca="1" si="4"/>
        <v>0</v>
      </c>
      <c r="F11" s="802">
        <v>17</v>
      </c>
      <c r="G11" s="488" t="str">
        <f t="shared" ca="1" si="5"/>
        <v/>
      </c>
      <c r="H11" s="898" t="str">
        <f t="shared" ca="1" si="6"/>
        <v/>
      </c>
      <c r="I11" s="898" t="str">
        <f t="shared" ca="1" si="0"/>
        <v/>
      </c>
      <c r="J11" s="898" t="str">
        <f t="shared" ca="1" si="0"/>
        <v/>
      </c>
      <c r="K11" s="450"/>
      <c r="L11" s="450"/>
      <c r="M11" s="450"/>
      <c r="N11" s="451"/>
      <c r="O11" s="450"/>
      <c r="P11" s="450"/>
      <c r="Q11" s="450"/>
      <c r="R11" s="437"/>
      <c r="S11" s="437"/>
      <c r="T11" s="451"/>
      <c r="U11" s="450"/>
      <c r="V11" s="450"/>
      <c r="W11" s="450"/>
      <c r="X11" s="450"/>
      <c r="Y11" s="450"/>
      <c r="Z11" s="451"/>
      <c r="AA11" s="450"/>
      <c r="AF11" s="814" t="s">
        <v>789</v>
      </c>
      <c r="AG11" s="435" t="str">
        <f>IF(ISBLANK(Z21),"",IF(Z21+AA21&gt;Z23+AA23,X22,X24))</f>
        <v/>
      </c>
      <c r="AH11" s="478" t="str">
        <f t="shared" ca="1" si="7"/>
        <v/>
      </c>
      <c r="AI11" s="897" t="str">
        <f t="shared" ca="1" si="8"/>
        <v/>
      </c>
      <c r="AJ11" s="917" t="str">
        <f t="shared" ca="1" si="9"/>
        <v/>
      </c>
      <c r="AN11" s="803">
        <f>K23</f>
        <v>6</v>
      </c>
      <c r="AO11" s="807" t="str">
        <f ca="1">L24</f>
        <v/>
      </c>
      <c r="AP11" s="807" t="str">
        <f t="shared" ref="AP11" ca="1" si="16">AO10</f>
        <v/>
      </c>
      <c r="AQ11" s="804" t="s">
        <v>793</v>
      </c>
      <c r="AR11" s="803">
        <f>Q23</f>
        <v>6</v>
      </c>
      <c r="AS11" s="807" t="str">
        <f>R24</f>
        <v/>
      </c>
      <c r="AT11" s="807" t="str">
        <f>AS10</f>
        <v/>
      </c>
      <c r="AU11" s="804" t="s">
        <v>793</v>
      </c>
      <c r="AV11" s="803">
        <f>W23</f>
        <v>6</v>
      </c>
      <c r="AW11" s="807" t="str">
        <f>X24</f>
        <v/>
      </c>
      <c r="AX11" s="807" t="str">
        <f t="shared" ref="AX11" si="17">AW10</f>
        <v/>
      </c>
      <c r="AY11" s="804" t="s">
        <v>793</v>
      </c>
    </row>
    <row r="12" spans="1:51" ht="15.95" customHeight="1" thickBot="1" x14ac:dyDescent="0.25">
      <c r="A12" s="435">
        <v>8</v>
      </c>
      <c r="B12" s="444" t="str">
        <f t="shared" ca="1" si="1"/>
        <v/>
      </c>
      <c r="C12" s="444" t="str">
        <f t="shared" ca="1" si="2"/>
        <v/>
      </c>
      <c r="D12" s="444" t="str">
        <f t="shared" ca="1" si="3"/>
        <v/>
      </c>
      <c r="E12" s="486">
        <f t="shared" ca="1" si="4"/>
        <v>0</v>
      </c>
      <c r="F12" s="802">
        <v>18</v>
      </c>
      <c r="G12" s="488" t="str">
        <f t="shared" ca="1" si="5"/>
        <v/>
      </c>
      <c r="H12" s="898" t="str">
        <f t="shared" ca="1" si="6"/>
        <v/>
      </c>
      <c r="I12" s="898" t="str">
        <f t="shared" ca="1" si="0"/>
        <v/>
      </c>
      <c r="J12" s="898" t="str">
        <f t="shared" ca="1" si="0"/>
        <v/>
      </c>
      <c r="K12" s="450"/>
      <c r="L12" s="450"/>
      <c r="M12" s="450"/>
      <c r="N12" s="451"/>
      <c r="O12" s="450"/>
      <c r="P12" s="450"/>
      <c r="Q12" s="450"/>
      <c r="R12" s="437"/>
      <c r="S12" s="437"/>
      <c r="T12" s="451"/>
      <c r="U12" s="450"/>
      <c r="V12" s="450"/>
      <c r="W12" s="450"/>
      <c r="X12" s="979" t="s">
        <v>787</v>
      </c>
      <c r="Y12" s="1247"/>
      <c r="Z12" s="1247"/>
      <c r="AA12" s="450"/>
      <c r="AF12" s="814" t="s">
        <v>790</v>
      </c>
      <c r="AG12" s="435" t="str">
        <f>IF(ISBLANK(Z21),"",IF(Z21+AA21&lt;Z23+AA23,X22,X24))</f>
        <v/>
      </c>
      <c r="AH12" s="478" t="str">
        <f t="shared" ca="1" si="7"/>
        <v/>
      </c>
      <c r="AI12" s="897" t="str">
        <f t="shared" ca="1" si="8"/>
        <v/>
      </c>
      <c r="AJ12" s="917" t="str">
        <f t="shared" ca="1" si="9"/>
        <v/>
      </c>
      <c r="AN12" s="803">
        <f>K28</f>
        <v>7</v>
      </c>
      <c r="AO12" s="807" t="str">
        <f ca="1">L29</f>
        <v/>
      </c>
      <c r="AP12" s="807" t="str">
        <f t="shared" ref="AP12" ca="1" si="18">AO13</f>
        <v/>
      </c>
      <c r="AQ12" s="804" t="s">
        <v>793</v>
      </c>
      <c r="AR12" s="803">
        <f>Q28</f>
        <v>7</v>
      </c>
      <c r="AS12" s="807" t="str">
        <f>R29</f>
        <v/>
      </c>
      <c r="AT12" s="807" t="str">
        <f>AS13</f>
        <v/>
      </c>
      <c r="AU12" s="804" t="s">
        <v>793</v>
      </c>
      <c r="AV12" s="803">
        <f>W28</f>
        <v>7</v>
      </c>
      <c r="AW12" s="807" t="str">
        <f>X29</f>
        <v/>
      </c>
      <c r="AX12" s="807" t="str">
        <f t="shared" ref="AX12" si="19">AW13</f>
        <v/>
      </c>
      <c r="AY12" s="804" t="s">
        <v>793</v>
      </c>
    </row>
    <row r="13" spans="1:51" ht="15.95" customHeight="1" thickBot="1" x14ac:dyDescent="0.25">
      <c r="A13" s="435">
        <v>9</v>
      </c>
      <c r="B13" s="444" t="str">
        <f t="shared" ca="1" si="1"/>
        <v/>
      </c>
      <c r="C13" s="444" t="str">
        <f t="shared" ca="1" si="2"/>
        <v/>
      </c>
      <c r="D13" s="444" t="str">
        <f t="shared" ca="1" si="3"/>
        <v/>
      </c>
      <c r="E13" s="486">
        <f t="shared" ca="1" si="4"/>
        <v>0</v>
      </c>
      <c r="F13" s="802">
        <v>19</v>
      </c>
      <c r="G13" s="488" t="str">
        <f t="shared" ca="1" si="5"/>
        <v/>
      </c>
      <c r="H13" s="898" t="str">
        <f t="shared" ca="1" si="6"/>
        <v/>
      </c>
      <c r="I13" s="898" t="str">
        <f t="shared" ca="1" si="0"/>
        <v/>
      </c>
      <c r="J13" s="898" t="str">
        <f t="shared" ca="1" si="0"/>
        <v/>
      </c>
      <c r="K13" s="445" t="s">
        <v>779</v>
      </c>
      <c r="L13" s="779" t="s">
        <v>1083</v>
      </c>
      <c r="M13" s="456" t="s">
        <v>481</v>
      </c>
      <c r="N13" s="464" t="s">
        <v>780</v>
      </c>
      <c r="O13" s="446" t="s">
        <v>781</v>
      </c>
      <c r="P13" s="445"/>
      <c r="Q13" s="445" t="s">
        <v>779</v>
      </c>
      <c r="R13" s="779" t="s">
        <v>1083</v>
      </c>
      <c r="S13" s="456" t="s">
        <v>481</v>
      </c>
      <c r="T13" s="464" t="s">
        <v>780</v>
      </c>
      <c r="U13" s="446" t="s">
        <v>781</v>
      </c>
      <c r="V13" s="445"/>
      <c r="W13" s="445" t="s">
        <v>779</v>
      </c>
      <c r="X13" s="779" t="s">
        <v>1083</v>
      </c>
      <c r="Y13" s="456" t="s">
        <v>481</v>
      </c>
      <c r="Z13" s="464" t="s">
        <v>780</v>
      </c>
      <c r="AA13" s="446" t="s">
        <v>781</v>
      </c>
      <c r="AF13" s="814" t="s">
        <v>791</v>
      </c>
      <c r="AG13" s="435" t="str">
        <f>IF(ISBLANK(Z28),"",IF(Z28+AA28&gt;Z30+AA30,X29,X31))</f>
        <v/>
      </c>
      <c r="AH13" s="478" t="str">
        <f t="shared" ca="1" si="7"/>
        <v/>
      </c>
      <c r="AI13" s="897" t="str">
        <f t="shared" ca="1" si="8"/>
        <v/>
      </c>
      <c r="AJ13" s="917" t="str">
        <f t="shared" ca="1" si="9"/>
        <v/>
      </c>
      <c r="AN13" s="803">
        <f>K30</f>
        <v>8</v>
      </c>
      <c r="AO13" s="807" t="str">
        <f ca="1">L31</f>
        <v/>
      </c>
      <c r="AP13" s="807" t="str">
        <f t="shared" ref="AP13" ca="1" si="20">AO12</f>
        <v/>
      </c>
      <c r="AQ13" s="804" t="s">
        <v>793</v>
      </c>
      <c r="AR13" s="803">
        <f>Q30</f>
        <v>8</v>
      </c>
      <c r="AS13" s="807" t="str">
        <f>R31</f>
        <v/>
      </c>
      <c r="AT13" s="807" t="str">
        <f>AS12</f>
        <v/>
      </c>
      <c r="AU13" s="804" t="s">
        <v>793</v>
      </c>
      <c r="AV13" s="803">
        <f>W30</f>
        <v>8</v>
      </c>
      <c r="AW13" s="807" t="str">
        <f>X31</f>
        <v/>
      </c>
      <c r="AX13" s="807" t="str">
        <f t="shared" ref="AX13" si="21">AW12</f>
        <v/>
      </c>
      <c r="AY13" s="804" t="s">
        <v>793</v>
      </c>
    </row>
    <row r="14" spans="1:51" ht="15.95" customHeight="1" thickBot="1" x14ac:dyDescent="0.25">
      <c r="A14" s="435">
        <v>10</v>
      </c>
      <c r="B14" s="444" t="str">
        <f t="shared" ca="1" si="1"/>
        <v/>
      </c>
      <c r="C14" s="444" t="str">
        <f t="shared" ca="1" si="2"/>
        <v/>
      </c>
      <c r="D14" s="444" t="str">
        <f t="shared" ca="1" si="3"/>
        <v/>
      </c>
      <c r="E14" s="486">
        <f t="shared" ca="1" si="4"/>
        <v>0</v>
      </c>
      <c r="F14" s="802">
        <v>20</v>
      </c>
      <c r="G14" s="488" t="str">
        <f t="shared" ca="1" si="5"/>
        <v/>
      </c>
      <c r="H14" s="898" t="str">
        <f t="shared" ca="1" si="6"/>
        <v/>
      </c>
      <c r="I14" s="898" t="str">
        <f t="shared" ca="1" si="0"/>
        <v/>
      </c>
      <c r="J14" s="898" t="str">
        <f t="shared" ca="1" si="0"/>
        <v/>
      </c>
      <c r="K14" s="447">
        <f>K9+1</f>
        <v>3</v>
      </c>
      <c r="L14" s="472">
        <v>4</v>
      </c>
      <c r="M14" s="465" t="str">
        <f ca="1">IFERROR(VLOOKUP(L15,$G$5:$J$28,2,FALSE),"")</f>
        <v/>
      </c>
      <c r="N14" s="966"/>
      <c r="O14" s="780"/>
      <c r="Q14" s="447">
        <f>Q9+1</f>
        <v>3</v>
      </c>
      <c r="R14" s="472">
        <v>3</v>
      </c>
      <c r="S14" s="465" t="str">
        <f ca="1">IFERROR(VLOOKUP(R15,$G$5:$J$28,2,FALSE),"")</f>
        <v/>
      </c>
      <c r="T14" s="966"/>
      <c r="U14" s="780"/>
      <c r="W14" s="447">
        <f>W9+1</f>
        <v>3</v>
      </c>
      <c r="X14" s="472">
        <v>4</v>
      </c>
      <c r="Y14" s="465" t="str">
        <f ca="1">IFERROR(VLOOKUP(X15,$G$5:$J$28,2,FALSE),"")</f>
        <v/>
      </c>
      <c r="Z14" s="966"/>
      <c r="AA14" s="780"/>
      <c r="AF14" s="814" t="s">
        <v>792</v>
      </c>
      <c r="AG14" s="435" t="str">
        <f>IF(ISBLANK(Z28),"",IF(Z28+AA28&lt;Z30+AA30,X29,X31))</f>
        <v/>
      </c>
      <c r="AH14" s="478" t="str">
        <f t="shared" ca="1" si="7"/>
        <v/>
      </c>
      <c r="AI14" s="897" t="str">
        <f t="shared" ca="1" si="8"/>
        <v/>
      </c>
      <c r="AJ14" s="917" t="str">
        <f t="shared" ca="1" si="9"/>
        <v/>
      </c>
      <c r="AN14" s="803">
        <f>K35</f>
        <v>9</v>
      </c>
      <c r="AO14" s="807" t="str">
        <f ca="1">L36</f>
        <v/>
      </c>
      <c r="AP14" s="807" t="str">
        <f t="shared" ref="AP14" ca="1" si="22">AO15</f>
        <v/>
      </c>
      <c r="AQ14" s="804" t="s">
        <v>793</v>
      </c>
      <c r="AR14" s="803">
        <f>Q35</f>
        <v>9</v>
      </c>
      <c r="AS14" s="807" t="str">
        <f>R36</f>
        <v/>
      </c>
      <c r="AT14" s="807" t="str">
        <f>AS15</f>
        <v/>
      </c>
      <c r="AU14" s="804" t="s">
        <v>793</v>
      </c>
      <c r="AV14" s="803">
        <f>W35</f>
        <v>9</v>
      </c>
      <c r="AW14" s="807" t="str">
        <f>X36</f>
        <v/>
      </c>
      <c r="AX14" s="807" t="str">
        <f t="shared" ref="AX14" si="23">AW15</f>
        <v/>
      </c>
      <c r="AY14" s="804" t="s">
        <v>793</v>
      </c>
    </row>
    <row r="15" spans="1:51" ht="15.95" customHeight="1" thickBot="1" x14ac:dyDescent="0.25">
      <c r="A15" s="435">
        <v>11</v>
      </c>
      <c r="B15" s="444" t="str">
        <f t="shared" ca="1" si="1"/>
        <v/>
      </c>
      <c r="C15" s="444" t="str">
        <f t="shared" ca="1" si="2"/>
        <v/>
      </c>
      <c r="D15" s="444" t="str">
        <f t="shared" ca="1" si="3"/>
        <v/>
      </c>
      <c r="E15" s="486">
        <f t="shared" ca="1" si="4"/>
        <v>0</v>
      </c>
      <c r="F15" s="802">
        <v>21</v>
      </c>
      <c r="G15" s="488" t="str">
        <f t="shared" ca="1" si="5"/>
        <v/>
      </c>
      <c r="H15" s="898" t="str">
        <f t="shared" ca="1" si="6"/>
        <v/>
      </c>
      <c r="I15" s="898" t="str">
        <f t="shared" ca="1" si="0"/>
        <v/>
      </c>
      <c r="J15" s="898" t="str">
        <f t="shared" ca="1" si="0"/>
        <v/>
      </c>
      <c r="K15" s="447"/>
      <c r="L15" s="473" t="str">
        <f ca="1">VLOOKUP(L14,$A$5:$G$24,7,FALSE)</f>
        <v/>
      </c>
      <c r="M15" s="466" t="str">
        <f ca="1">IFERROR(VLOOKUP(L15,$G$5:$J$28,3,FALSE),"")</f>
        <v/>
      </c>
      <c r="N15" s="967"/>
      <c r="Q15" s="447"/>
      <c r="R15" s="473" t="str">
        <f>IF(ISBLANK(N21),"",IF(N21+O21&gt;N23+O23,L22,L24))</f>
        <v/>
      </c>
      <c r="S15" s="466" t="str">
        <f ca="1">IFERROR(VLOOKUP(R15,$G$5:$J$28,3,FALSE),"")</f>
        <v/>
      </c>
      <c r="T15" s="967"/>
      <c r="W15" s="447"/>
      <c r="X15" s="473" t="str">
        <f>IF(ISBLANK(T7),"",IF(U7+T7&lt;T9+U9,R8,R10))</f>
        <v/>
      </c>
      <c r="Y15" s="466" t="str">
        <f ca="1">IFERROR(VLOOKUP(X15,$G$5:$J$28,3,FALSE),"")</f>
        <v/>
      </c>
      <c r="Z15" s="967"/>
      <c r="AF15" s="814" t="s">
        <v>794</v>
      </c>
      <c r="AG15" s="435" t="str">
        <f>IF(ISBLANK(Z35),"",IF(Z35+AA35&gt;Z37+AA37,X36,X38))</f>
        <v/>
      </c>
      <c r="AH15" s="478" t="str">
        <f t="shared" ca="1" si="7"/>
        <v/>
      </c>
      <c r="AI15" s="897" t="str">
        <f t="shared" ca="1" si="8"/>
        <v/>
      </c>
      <c r="AJ15" s="917" t="str">
        <f t="shared" ca="1" si="9"/>
        <v/>
      </c>
      <c r="AN15" s="803">
        <f>K37</f>
        <v>10</v>
      </c>
      <c r="AO15" s="807" t="str">
        <f ca="1">L38</f>
        <v/>
      </c>
      <c r="AP15" s="807" t="str">
        <f t="shared" ref="AP15" ca="1" si="24">AO14</f>
        <v/>
      </c>
      <c r="AQ15" s="804" t="s">
        <v>793</v>
      </c>
      <c r="AR15" s="803">
        <f>Q37</f>
        <v>10</v>
      </c>
      <c r="AS15" s="807" t="str">
        <f>R38</f>
        <v/>
      </c>
      <c r="AT15" s="807" t="str">
        <f>AS14</f>
        <v/>
      </c>
      <c r="AU15" s="804" t="s">
        <v>793</v>
      </c>
      <c r="AV15" s="803">
        <f>W37</f>
        <v>10</v>
      </c>
      <c r="AW15" s="807" t="str">
        <f>X38</f>
        <v/>
      </c>
      <c r="AX15" s="807" t="str">
        <f t="shared" ref="AX15" si="25">AW14</f>
        <v/>
      </c>
      <c r="AY15" s="804" t="s">
        <v>793</v>
      </c>
    </row>
    <row r="16" spans="1:51" ht="15.95" customHeight="1" thickBot="1" x14ac:dyDescent="0.25">
      <c r="A16" s="435">
        <v>12</v>
      </c>
      <c r="B16" s="444" t="str">
        <f t="shared" ca="1" si="1"/>
        <v/>
      </c>
      <c r="C16" s="444" t="str">
        <f t="shared" ca="1" si="2"/>
        <v/>
      </c>
      <c r="D16" s="444" t="str">
        <f t="shared" ca="1" si="3"/>
        <v/>
      </c>
      <c r="E16" s="486">
        <f t="shared" ca="1" si="4"/>
        <v>0</v>
      </c>
      <c r="F16" s="802">
        <v>22</v>
      </c>
      <c r="G16" s="488" t="str">
        <f t="shared" ca="1" si="5"/>
        <v/>
      </c>
      <c r="H16" s="898" t="str">
        <f t="shared" ca="1" si="6"/>
        <v/>
      </c>
      <c r="I16" s="898" t="str">
        <f t="shared" ca="1" si="0"/>
        <v/>
      </c>
      <c r="J16" s="898" t="str">
        <f t="shared" ca="1" si="0"/>
        <v/>
      </c>
      <c r="K16" s="447">
        <f>K14+1</f>
        <v>4</v>
      </c>
      <c r="L16" s="472">
        <v>5</v>
      </c>
      <c r="M16" s="465" t="str">
        <f ca="1">IFERROR(VLOOKUP(L17,$G$5:$J$28,2,FALSE),"")</f>
        <v/>
      </c>
      <c r="N16" s="966"/>
      <c r="O16" s="780"/>
      <c r="Q16" s="447">
        <f>Q14+1</f>
        <v>4</v>
      </c>
      <c r="R16" s="472">
        <v>2</v>
      </c>
      <c r="S16" s="465" t="str">
        <f ca="1">IFERROR(VLOOKUP(R17,$G$5:$J$28,2,FALSE),"")</f>
        <v/>
      </c>
      <c r="T16" s="966"/>
      <c r="U16" s="780"/>
      <c r="W16" s="447">
        <f>W14+1</f>
        <v>4</v>
      </c>
      <c r="X16" s="472">
        <v>3</v>
      </c>
      <c r="Y16" s="465" t="str">
        <f ca="1">IFERROR(VLOOKUP(X17,$G$5:$J$28,2,FALSE),"")</f>
        <v/>
      </c>
      <c r="Z16" s="966"/>
      <c r="AA16" s="780"/>
      <c r="AF16" s="814" t="s">
        <v>795</v>
      </c>
      <c r="AG16" s="435" t="str">
        <f>IF(ISBLANK(Z35),"",IF(Z35+AA35&lt;Z37+AA37,X36,X38))</f>
        <v/>
      </c>
      <c r="AH16" s="478" t="str">
        <f t="shared" ca="1" si="7"/>
        <v/>
      </c>
      <c r="AI16" s="897" t="str">
        <f t="shared" ca="1" si="8"/>
        <v/>
      </c>
      <c r="AJ16" s="917" t="str">
        <f t="shared" ca="1" si="9"/>
        <v/>
      </c>
      <c r="AN16" s="803">
        <f>K42</f>
        <v>11</v>
      </c>
      <c r="AO16" s="807" t="str">
        <f ca="1">L43</f>
        <v/>
      </c>
      <c r="AP16" s="807" t="str">
        <f t="shared" ref="AP16" ca="1" si="26">AO17</f>
        <v/>
      </c>
      <c r="AQ16" s="804" t="s">
        <v>793</v>
      </c>
      <c r="AR16" s="803">
        <f>Q42</f>
        <v>11</v>
      </c>
      <c r="AS16" s="807" t="str">
        <f>R43</f>
        <v/>
      </c>
      <c r="AT16" s="807" t="str">
        <f>AS17</f>
        <v/>
      </c>
      <c r="AU16" s="804" t="s">
        <v>793</v>
      </c>
      <c r="AV16" s="803">
        <f>W42</f>
        <v>11</v>
      </c>
      <c r="AW16" s="807" t="str">
        <f>X43</f>
        <v/>
      </c>
      <c r="AX16" s="807" t="str">
        <f t="shared" ref="AX16" si="27">AW17</f>
        <v/>
      </c>
      <c r="AY16" s="804" t="s">
        <v>793</v>
      </c>
    </row>
    <row r="17" spans="1:51" ht="15.95" customHeight="1" thickBot="1" x14ac:dyDescent="0.25">
      <c r="A17" s="435">
        <v>13</v>
      </c>
      <c r="B17" s="444" t="str">
        <f t="shared" ca="1" si="1"/>
        <v/>
      </c>
      <c r="C17" s="444" t="str">
        <f t="shared" ca="1" si="2"/>
        <v/>
      </c>
      <c r="D17" s="444" t="str">
        <f t="shared" ca="1" si="3"/>
        <v/>
      </c>
      <c r="E17" s="486">
        <f t="shared" ca="1" si="4"/>
        <v>0</v>
      </c>
      <c r="F17" s="802">
        <v>23</v>
      </c>
      <c r="G17" s="488" t="str">
        <f t="shared" ca="1" si="5"/>
        <v/>
      </c>
      <c r="H17" s="898" t="str">
        <f t="shared" ca="1" si="6"/>
        <v/>
      </c>
      <c r="I17" s="898" t="str">
        <f t="shared" ca="1" si="0"/>
        <v/>
      </c>
      <c r="J17" s="898" t="str">
        <f t="shared" ca="1" si="0"/>
        <v/>
      </c>
      <c r="K17" s="447"/>
      <c r="L17" s="473" t="str">
        <f ca="1">VLOOKUP(L16,$A$5:$G$24,7,FALSE)</f>
        <v/>
      </c>
      <c r="M17" s="466" t="str">
        <f ca="1">IFERROR(VLOOKUP(L17,$G$5:$J$28,3,FALSE),"")</f>
        <v/>
      </c>
      <c r="N17" s="967"/>
      <c r="Q17" s="447"/>
      <c r="R17" s="473" t="str">
        <f>IF(ISBLANK(N28),"",IF(N28+O28&gt;N30+O30,L29,L31))</f>
        <v/>
      </c>
      <c r="S17" s="466" t="str">
        <f ca="1">IFERROR(VLOOKUP(R17,$G$5:$J$28,3,FALSE),"")</f>
        <v/>
      </c>
      <c r="T17" s="967"/>
      <c r="W17" s="447"/>
      <c r="X17" s="473" t="str">
        <f>IF(ISBLANK(T14),"",IF(U14+T14&lt;T16+U16,R15,R17))</f>
        <v/>
      </c>
      <c r="Y17" s="466" t="str">
        <f ca="1">IFERROR(VLOOKUP(X17,$G$5:$J$28,3,FALSE),"")</f>
        <v/>
      </c>
      <c r="Z17" s="967"/>
      <c r="AF17" s="814" t="s">
        <v>796</v>
      </c>
      <c r="AG17" s="435" t="str">
        <f>IF(ISBLANK(Z42),"",IF(Z42+AA42&gt;Z44+AA44,X43,X45))</f>
        <v/>
      </c>
      <c r="AH17" s="478" t="str">
        <f t="shared" ca="1" si="7"/>
        <v/>
      </c>
      <c r="AI17" s="897" t="str">
        <f t="shared" ca="1" si="8"/>
        <v/>
      </c>
      <c r="AJ17" s="917" t="str">
        <f t="shared" ca="1" si="9"/>
        <v/>
      </c>
      <c r="AN17" s="803">
        <f>K44</f>
        <v>12</v>
      </c>
      <c r="AO17" s="807" t="str">
        <f ca="1">L45</f>
        <v/>
      </c>
      <c r="AP17" s="807" t="str">
        <f t="shared" ref="AP17" ca="1" si="28">AO16</f>
        <v/>
      </c>
      <c r="AQ17" s="804" t="s">
        <v>793</v>
      </c>
      <c r="AR17" s="803">
        <f>Q44</f>
        <v>12</v>
      </c>
      <c r="AS17" s="807" t="str">
        <f>R45</f>
        <v/>
      </c>
      <c r="AT17" s="807" t="str">
        <f>AS16</f>
        <v/>
      </c>
      <c r="AU17" s="804" t="s">
        <v>793</v>
      </c>
      <c r="AV17" s="803">
        <f>W44</f>
        <v>12</v>
      </c>
      <c r="AW17" s="807" t="str">
        <f>X45</f>
        <v/>
      </c>
      <c r="AX17" s="807" t="str">
        <f t="shared" ref="AX17" si="29">AW16</f>
        <v/>
      </c>
      <c r="AY17" s="804" t="s">
        <v>793</v>
      </c>
    </row>
    <row r="18" spans="1:51" ht="15.95" customHeight="1" x14ac:dyDescent="0.2">
      <c r="A18" s="435">
        <v>14</v>
      </c>
      <c r="B18" s="444" t="str">
        <f t="shared" ca="1" si="1"/>
        <v/>
      </c>
      <c r="C18" s="444" t="str">
        <f t="shared" ca="1" si="2"/>
        <v/>
      </c>
      <c r="D18" s="444" t="str">
        <f t="shared" ca="1" si="3"/>
        <v/>
      </c>
      <c r="E18" s="486">
        <f t="shared" ca="1" si="4"/>
        <v>0</v>
      </c>
      <c r="F18" s="802">
        <v>24</v>
      </c>
      <c r="G18" s="488" t="str">
        <f t="shared" ca="1" si="5"/>
        <v/>
      </c>
      <c r="H18" s="898" t="str">
        <f t="shared" ca="1" si="6"/>
        <v/>
      </c>
      <c r="I18" s="898" t="str">
        <f t="shared" ca="1" si="0"/>
        <v/>
      </c>
      <c r="J18" s="898" t="str">
        <f t="shared" ca="1" si="0"/>
        <v/>
      </c>
      <c r="K18" s="450"/>
      <c r="L18" s="450"/>
      <c r="M18" s="450"/>
      <c r="N18" s="451"/>
      <c r="O18" s="450"/>
      <c r="P18" s="450"/>
      <c r="Q18" s="450"/>
      <c r="R18" s="450"/>
      <c r="S18" s="450"/>
      <c r="T18" s="451"/>
      <c r="U18" s="450"/>
      <c r="V18" s="450"/>
      <c r="W18" s="450"/>
      <c r="X18" s="450"/>
      <c r="Y18" s="450"/>
      <c r="Z18" s="451"/>
      <c r="AA18" s="450"/>
      <c r="AF18" s="814" t="s">
        <v>797</v>
      </c>
      <c r="AG18" s="435" t="str">
        <f>IF(ISBLANK(Z42),"",IF(Z42+AA42&lt;Z44+AA44,X43,X45))</f>
        <v/>
      </c>
      <c r="AH18" s="478" t="str">
        <f t="shared" ca="1" si="7"/>
        <v/>
      </c>
      <c r="AI18" s="897" t="str">
        <f t="shared" ca="1" si="8"/>
        <v/>
      </c>
      <c r="AJ18" s="917" t="str">
        <f t="shared" ca="1" si="9"/>
        <v/>
      </c>
      <c r="AN18" s="803">
        <f>K49</f>
        <v>13</v>
      </c>
      <c r="AO18" s="807" t="str">
        <f ca="1">L50</f>
        <v/>
      </c>
      <c r="AP18" s="807" t="str">
        <f t="shared" ref="AP18" ca="1" si="30">AO19</f>
        <v/>
      </c>
      <c r="AQ18" s="804" t="s">
        <v>793</v>
      </c>
      <c r="AR18" s="803">
        <f>Q49</f>
        <v>13</v>
      </c>
      <c r="AS18" s="807" t="str">
        <f>R50</f>
        <v/>
      </c>
      <c r="AT18" s="807" t="str">
        <f>AS19</f>
        <v/>
      </c>
      <c r="AU18" s="804" t="s">
        <v>793</v>
      </c>
      <c r="AV18" s="803">
        <f>W49</f>
        <v>13</v>
      </c>
      <c r="AW18" s="807" t="str">
        <f>X50</f>
        <v/>
      </c>
      <c r="AX18" s="807" t="str">
        <f t="shared" ref="AX18" si="31">AW19</f>
        <v/>
      </c>
      <c r="AY18" s="804" t="s">
        <v>793</v>
      </c>
    </row>
    <row r="19" spans="1:51" ht="15.95" customHeight="1" thickBot="1" x14ac:dyDescent="0.25">
      <c r="A19" s="435">
        <v>15</v>
      </c>
      <c r="B19" s="444" t="str">
        <f t="shared" ca="1" si="1"/>
        <v/>
      </c>
      <c r="C19" s="444" t="str">
        <f t="shared" ca="1" si="2"/>
        <v/>
      </c>
      <c r="D19" s="444" t="str">
        <f t="shared" ca="1" si="3"/>
        <v/>
      </c>
      <c r="E19" s="486">
        <f t="shared" ca="1" si="4"/>
        <v>0</v>
      </c>
      <c r="F19" s="802">
        <v>25</v>
      </c>
      <c r="G19" s="488" t="str">
        <f t="shared" ca="1" si="5"/>
        <v/>
      </c>
      <c r="H19" s="898" t="str">
        <f t="shared" ca="1" si="6"/>
        <v/>
      </c>
      <c r="I19" s="898" t="str">
        <f t="shared" ca="1" si="0"/>
        <v/>
      </c>
      <c r="J19" s="898" t="str">
        <f t="shared" ca="1" si="0"/>
        <v/>
      </c>
      <c r="K19" s="450"/>
      <c r="L19" s="454"/>
      <c r="M19" s="454"/>
      <c r="N19" s="455"/>
      <c r="O19" s="450"/>
      <c r="P19" s="450"/>
      <c r="Q19" s="450"/>
      <c r="R19" s="979" t="s">
        <v>819</v>
      </c>
      <c r="S19" s="1247"/>
      <c r="T19" s="1247"/>
      <c r="U19" s="450"/>
      <c r="V19" s="450"/>
      <c r="W19" s="450"/>
      <c r="X19" s="979" t="s">
        <v>820</v>
      </c>
      <c r="Y19" s="1247"/>
      <c r="Z19" s="1247"/>
      <c r="AA19" s="450"/>
      <c r="AF19" s="814" t="s">
        <v>798</v>
      </c>
      <c r="AG19" s="435" t="str">
        <f>IF(ISBLANK(Z49),"",IF(Z49+AA49&gt;Z51+AA51,X50,X52))</f>
        <v/>
      </c>
      <c r="AH19" s="478" t="str">
        <f t="shared" ca="1" si="7"/>
        <v/>
      </c>
      <c r="AI19" s="897" t="str">
        <f t="shared" ca="1" si="8"/>
        <v/>
      </c>
      <c r="AJ19" s="917" t="str">
        <f t="shared" ca="1" si="9"/>
        <v/>
      </c>
      <c r="AN19" s="803">
        <f>K51</f>
        <v>14</v>
      </c>
      <c r="AO19" s="807" t="str">
        <f ca="1">L52</f>
        <v/>
      </c>
      <c r="AP19" s="807" t="str">
        <f t="shared" ref="AP19" ca="1" si="32">AO18</f>
        <v/>
      </c>
      <c r="AQ19" s="804" t="s">
        <v>793</v>
      </c>
      <c r="AR19" s="803">
        <f>Q51</f>
        <v>14</v>
      </c>
      <c r="AS19" s="807" t="str">
        <f>R52</f>
        <v/>
      </c>
      <c r="AT19" s="807" t="str">
        <f>AS18</f>
        <v/>
      </c>
      <c r="AU19" s="804" t="s">
        <v>793</v>
      </c>
      <c r="AV19" s="803">
        <f>W51</f>
        <v>14</v>
      </c>
      <c r="AW19" s="807" t="str">
        <f>X52</f>
        <v/>
      </c>
      <c r="AX19" s="807" t="str">
        <f t="shared" ref="AX19" si="33">AW18</f>
        <v/>
      </c>
      <c r="AY19" s="804" t="s">
        <v>793</v>
      </c>
    </row>
    <row r="20" spans="1:51" ht="15.95" customHeight="1" thickBot="1" x14ac:dyDescent="0.25">
      <c r="A20" s="435">
        <v>16</v>
      </c>
      <c r="B20" s="444" t="str">
        <f t="shared" ca="1" si="1"/>
        <v/>
      </c>
      <c r="C20" s="444" t="str">
        <f t="shared" ca="1" si="2"/>
        <v/>
      </c>
      <c r="D20" s="444" t="str">
        <f t="shared" ca="1" si="3"/>
        <v/>
      </c>
      <c r="E20" s="486">
        <f t="shared" ca="1" si="4"/>
        <v>0</v>
      </c>
      <c r="F20" s="802">
        <v>26</v>
      </c>
      <c r="G20" s="488" t="str">
        <f t="shared" ca="1" si="5"/>
        <v/>
      </c>
      <c r="H20" s="898" t="str">
        <f t="shared" ca="1" si="6"/>
        <v/>
      </c>
      <c r="I20" s="898" t="str">
        <f t="shared" ca="1" si="0"/>
        <v/>
      </c>
      <c r="J20" s="898" t="str">
        <f t="shared" ca="1" si="0"/>
        <v/>
      </c>
      <c r="K20" s="445" t="s">
        <v>779</v>
      </c>
      <c r="L20" s="779" t="s">
        <v>1083</v>
      </c>
      <c r="M20" s="456" t="s">
        <v>481</v>
      </c>
      <c r="N20" s="464" t="s">
        <v>780</v>
      </c>
      <c r="O20" s="446" t="s">
        <v>781</v>
      </c>
      <c r="P20" s="445"/>
      <c r="Q20" s="445" t="s">
        <v>779</v>
      </c>
      <c r="R20" s="779" t="s">
        <v>1083</v>
      </c>
      <c r="S20" s="456" t="s">
        <v>481</v>
      </c>
      <c r="T20" s="464" t="s">
        <v>780</v>
      </c>
      <c r="U20" s="446" t="s">
        <v>781</v>
      </c>
      <c r="V20" s="445"/>
      <c r="W20" s="445" t="s">
        <v>779</v>
      </c>
      <c r="X20" s="779" t="s">
        <v>1083</v>
      </c>
      <c r="Y20" s="456" t="s">
        <v>481</v>
      </c>
      <c r="Z20" s="464" t="s">
        <v>780</v>
      </c>
      <c r="AA20" s="446" t="s">
        <v>781</v>
      </c>
      <c r="AF20" s="814" t="s">
        <v>799</v>
      </c>
      <c r="AG20" s="435" t="str">
        <f>IF(ISBLANK(Z49),"",IF(Z49+AA49&lt;Z51+AA51,X50,X52))</f>
        <v/>
      </c>
      <c r="AH20" s="478" t="str">
        <f t="shared" ca="1" si="7"/>
        <v/>
      </c>
      <c r="AI20" s="897" t="str">
        <f t="shared" ca="1" si="8"/>
        <v/>
      </c>
      <c r="AJ20" s="917" t="str">
        <f t="shared" ca="1" si="9"/>
        <v/>
      </c>
      <c r="AN20" s="803">
        <f>K56</f>
        <v>15</v>
      </c>
      <c r="AO20" s="807" t="str">
        <f ca="1">L57</f>
        <v/>
      </c>
      <c r="AP20" s="807" t="str">
        <f t="shared" ref="AP20" ca="1" si="34">AO21</f>
        <v/>
      </c>
      <c r="AQ20" s="804" t="s">
        <v>793</v>
      </c>
      <c r="AR20" s="803">
        <f>Q56</f>
        <v>15</v>
      </c>
      <c r="AS20" s="807" t="str">
        <f>R57</f>
        <v/>
      </c>
      <c r="AT20" s="807" t="str">
        <f>AS21</f>
        <v/>
      </c>
      <c r="AU20" s="804" t="s">
        <v>793</v>
      </c>
      <c r="AV20" s="803">
        <f>W56</f>
        <v>15</v>
      </c>
      <c r="AW20" s="807" t="str">
        <f>X57</f>
        <v/>
      </c>
      <c r="AX20" s="807" t="str">
        <f t="shared" ref="AX20" si="35">AW21</f>
        <v/>
      </c>
      <c r="AY20" s="804" t="s">
        <v>793</v>
      </c>
    </row>
    <row r="21" spans="1:51" ht="15.95" customHeight="1" thickBot="1" x14ac:dyDescent="0.25">
      <c r="A21" s="435">
        <v>17</v>
      </c>
      <c r="B21" s="444" t="str">
        <f t="shared" ca="1" si="1"/>
        <v/>
      </c>
      <c r="C21" s="444" t="str">
        <f t="shared" ca="1" si="2"/>
        <v/>
      </c>
      <c r="D21" s="444" t="str">
        <f t="shared" ca="1" si="3"/>
        <v/>
      </c>
      <c r="E21" s="486">
        <f t="shared" ca="1" si="4"/>
        <v>0</v>
      </c>
      <c r="F21" s="802">
        <v>27</v>
      </c>
      <c r="G21" s="488" t="str">
        <f t="shared" ca="1" si="5"/>
        <v/>
      </c>
      <c r="H21" s="898" t="str">
        <f t="shared" ca="1" si="6"/>
        <v/>
      </c>
      <c r="I21" s="898" t="str">
        <f t="shared" ca="1" si="6"/>
        <v/>
      </c>
      <c r="J21" s="898" t="str">
        <f t="shared" ca="1" si="6"/>
        <v/>
      </c>
      <c r="K21" s="447">
        <f>K16+1</f>
        <v>5</v>
      </c>
      <c r="L21" s="472">
        <v>3</v>
      </c>
      <c r="M21" s="465" t="str">
        <f ca="1">IFERROR(VLOOKUP(L22,$G$5:$J$28,2,FALSE),"")</f>
        <v/>
      </c>
      <c r="N21" s="966"/>
      <c r="O21" s="780"/>
      <c r="Q21" s="447">
        <f>Q16+1</f>
        <v>5</v>
      </c>
      <c r="R21" s="472">
        <v>8</v>
      </c>
      <c r="S21" s="465" t="str">
        <f ca="1">IFERROR(VLOOKUP(R22,$G$5:$J$28,2,FALSE),"")</f>
        <v/>
      </c>
      <c r="T21" s="966"/>
      <c r="U21" s="780"/>
      <c r="W21" s="447">
        <f>W16+1</f>
        <v>5</v>
      </c>
      <c r="X21" s="472">
        <v>5</v>
      </c>
      <c r="Y21" s="465" t="str">
        <f ca="1">IFERROR(VLOOKUP(X22,$G$5:$J$28,2,FALSE),"")</f>
        <v/>
      </c>
      <c r="Z21" s="966"/>
      <c r="AA21" s="780"/>
      <c r="AF21" s="814" t="s">
        <v>800</v>
      </c>
      <c r="AG21" s="435" t="str">
        <f>IF(ISBLANK(Z56),"",IF(Z56+AA56&gt;Z58+AA58,X57,X59))</f>
        <v/>
      </c>
      <c r="AH21" s="478" t="str">
        <f t="shared" ca="1" si="7"/>
        <v/>
      </c>
      <c r="AI21" s="897" t="str">
        <f t="shared" ca="1" si="8"/>
        <v/>
      </c>
      <c r="AJ21" s="917" t="str">
        <f t="shared" ca="1" si="9"/>
        <v/>
      </c>
      <c r="AN21" s="803">
        <f>K58</f>
        <v>16</v>
      </c>
      <c r="AO21" s="807" t="str">
        <f ca="1">L59</f>
        <v/>
      </c>
      <c r="AP21" s="807" t="str">
        <f t="shared" ref="AP21" ca="1" si="36">AO20</f>
        <v/>
      </c>
      <c r="AQ21" s="804" t="s">
        <v>793</v>
      </c>
      <c r="AR21" s="803">
        <f>Q58</f>
        <v>16</v>
      </c>
      <c r="AS21" s="807" t="str">
        <f>R59</f>
        <v/>
      </c>
      <c r="AT21" s="807" t="str">
        <f>AS20</f>
        <v/>
      </c>
      <c r="AU21" s="804" t="s">
        <v>793</v>
      </c>
      <c r="AV21" s="803">
        <f>W58</f>
        <v>16</v>
      </c>
      <c r="AW21" s="807" t="str">
        <f>X59</f>
        <v/>
      </c>
      <c r="AX21" s="807" t="str">
        <f t="shared" ref="AX21" si="37">AW20</f>
        <v/>
      </c>
      <c r="AY21" s="804" t="s">
        <v>793</v>
      </c>
    </row>
    <row r="22" spans="1:51" ht="15.95" customHeight="1" thickBot="1" x14ac:dyDescent="0.25">
      <c r="A22" s="435">
        <v>18</v>
      </c>
      <c r="B22" s="444" t="str">
        <f t="shared" ca="1" si="1"/>
        <v/>
      </c>
      <c r="C22" s="444" t="str">
        <f t="shared" ca="1" si="2"/>
        <v/>
      </c>
      <c r="D22" s="444" t="str">
        <f t="shared" ca="1" si="3"/>
        <v/>
      </c>
      <c r="E22" s="486">
        <f t="shared" ca="1" si="4"/>
        <v>0</v>
      </c>
      <c r="F22" s="802">
        <v>28</v>
      </c>
      <c r="G22" s="488" t="str">
        <f t="shared" ca="1" si="5"/>
        <v/>
      </c>
      <c r="H22" s="898" t="str">
        <f t="shared" ca="1" si="6"/>
        <v/>
      </c>
      <c r="I22" s="898" t="str">
        <f t="shared" ca="1" si="6"/>
        <v/>
      </c>
      <c r="J22" s="898" t="str">
        <f t="shared" ca="1" si="6"/>
        <v/>
      </c>
      <c r="K22" s="447"/>
      <c r="L22" s="473" t="str">
        <f ca="1">VLOOKUP(L21,$A$5:$G$24,7,FALSE)</f>
        <v/>
      </c>
      <c r="M22" s="466" t="str">
        <f ca="1">IFERROR(VLOOKUP(L22,$G$5:$J$28,3,FALSE),"")</f>
        <v/>
      </c>
      <c r="N22" s="967"/>
      <c r="Q22" s="447"/>
      <c r="R22" s="473" t="str">
        <f>IF(ISBLANK(N7),"",IF(O7+N7&lt;N9+O9,L8,L10))</f>
        <v/>
      </c>
      <c r="S22" s="466" t="str">
        <f ca="1">IFERROR(VLOOKUP(R22,$G$5:$J$28,3,FALSE),"")</f>
        <v/>
      </c>
      <c r="T22" s="967"/>
      <c r="W22" s="447"/>
      <c r="X22" s="473" t="str">
        <f>IF(ISBLANK(T21),"",IF(U21+T21&gt;T23+U23,R22,R24))</f>
        <v/>
      </c>
      <c r="Y22" s="466" t="str">
        <f ca="1">IFERROR(VLOOKUP(X22,$G$5:$J$28,3,FALSE),"")</f>
        <v/>
      </c>
      <c r="Z22" s="967"/>
      <c r="AF22" s="814" t="s">
        <v>801</v>
      </c>
      <c r="AG22" s="435" t="str">
        <f>IF(ISBLANK(Z56),"",IF(Z56+AA56&lt;Z58+AA58,X57,X59))</f>
        <v/>
      </c>
      <c r="AH22" s="478" t="str">
        <f t="shared" ca="1" si="7"/>
        <v/>
      </c>
      <c r="AI22" s="897" t="str">
        <f t="shared" ca="1" si="8"/>
        <v/>
      </c>
      <c r="AJ22" s="917" t="str">
        <f t="shared" ca="1" si="9"/>
        <v/>
      </c>
      <c r="AN22" s="803">
        <f>K63</f>
        <v>17</v>
      </c>
      <c r="AO22" s="807" t="str">
        <f ca="1">L64</f>
        <v/>
      </c>
      <c r="AP22" s="808" t="s">
        <v>1326</v>
      </c>
      <c r="AQ22" s="804" t="s">
        <v>793</v>
      </c>
      <c r="AR22" s="803">
        <f>Q63</f>
        <v>17</v>
      </c>
      <c r="AS22" s="807" t="str">
        <f ca="1">R64</f>
        <v/>
      </c>
      <c r="AT22" s="808" t="s">
        <v>1326</v>
      </c>
      <c r="AU22" s="804" t="s">
        <v>793</v>
      </c>
      <c r="AV22" s="803">
        <f>W63</f>
        <v>17</v>
      </c>
      <c r="AW22" s="807" t="str">
        <f ca="1">X64</f>
        <v/>
      </c>
      <c r="AX22" s="807" t="str">
        <f t="shared" ref="AX22" si="38">AW23</f>
        <v/>
      </c>
      <c r="AY22" s="804" t="s">
        <v>793</v>
      </c>
    </row>
    <row r="23" spans="1:51" ht="15.95" customHeight="1" thickBot="1" x14ac:dyDescent="0.25">
      <c r="A23" s="435">
        <v>19</v>
      </c>
      <c r="B23" s="444" t="str">
        <f t="shared" ca="1" si="1"/>
        <v/>
      </c>
      <c r="C23" s="444" t="str">
        <f t="shared" ca="1" si="2"/>
        <v/>
      </c>
      <c r="D23" s="444" t="str">
        <f t="shared" ca="1" si="3"/>
        <v/>
      </c>
      <c r="E23" s="486">
        <f t="shared" ca="1" si="4"/>
        <v>0</v>
      </c>
      <c r="F23" s="802">
        <v>29</v>
      </c>
      <c r="G23" s="488" t="str">
        <f t="shared" ca="1" si="5"/>
        <v/>
      </c>
      <c r="H23" s="898" t="str">
        <f t="shared" ca="1" si="6"/>
        <v/>
      </c>
      <c r="I23" s="898" t="str">
        <f t="shared" ca="1" si="6"/>
        <v/>
      </c>
      <c r="J23" s="898" t="str">
        <f t="shared" ca="1" si="6"/>
        <v/>
      </c>
      <c r="K23" s="447">
        <f>K21+1</f>
        <v>6</v>
      </c>
      <c r="L23" s="472">
        <v>6</v>
      </c>
      <c r="M23" s="465" t="str">
        <f ca="1">IFERROR(VLOOKUP(L24,$G$5:$J$28,2,FALSE),"")</f>
        <v/>
      </c>
      <c r="N23" s="966"/>
      <c r="O23" s="780"/>
      <c r="Q23" s="447">
        <f>Q21+1</f>
        <v>6</v>
      </c>
      <c r="R23" s="472">
        <v>5</v>
      </c>
      <c r="S23" s="465" t="str">
        <f ca="1">IFERROR(VLOOKUP(R24,$G$5:$J$28,2,FALSE),"")</f>
        <v/>
      </c>
      <c r="T23" s="966"/>
      <c r="U23" s="780"/>
      <c r="W23" s="447">
        <f>W21+1</f>
        <v>6</v>
      </c>
      <c r="X23" s="472">
        <v>6</v>
      </c>
      <c r="Y23" s="465" t="str">
        <f ca="1">IFERROR(VLOOKUP(X24,$G$5:$J$28,2,FALSE),"")</f>
        <v/>
      </c>
      <c r="Z23" s="966"/>
      <c r="AA23" s="780"/>
      <c r="AF23" s="814" t="s">
        <v>802</v>
      </c>
      <c r="AG23" s="435" t="str">
        <f>IF(ISBLANK(Z63),"",IF(Z63+AA63&gt;Z65+AA65,X64,X66))</f>
        <v/>
      </c>
      <c r="AH23" s="478" t="str">
        <f t="shared" ca="1" si="7"/>
        <v/>
      </c>
      <c r="AI23" s="897" t="str">
        <f t="shared" ca="1" si="8"/>
        <v/>
      </c>
      <c r="AJ23" s="917" t="str">
        <f t="shared" ca="1" si="9"/>
        <v/>
      </c>
      <c r="AN23" s="803">
        <f>K68</f>
        <v>18</v>
      </c>
      <c r="AO23" s="807" t="str">
        <f ca="1">L69</f>
        <v/>
      </c>
      <c r="AP23" s="808" t="s">
        <v>1326</v>
      </c>
      <c r="AQ23" s="804" t="s">
        <v>793</v>
      </c>
      <c r="AR23" s="803">
        <f>Q68</f>
        <v>18</v>
      </c>
      <c r="AS23" s="807" t="str">
        <f ca="1">R69</f>
        <v/>
      </c>
      <c r="AT23" s="807" t="str">
        <f ca="1">AS24</f>
        <v/>
      </c>
      <c r="AU23" s="804" t="s">
        <v>793</v>
      </c>
      <c r="AV23" s="803">
        <f>W65</f>
        <v>18</v>
      </c>
      <c r="AW23" s="807" t="str">
        <f>X66</f>
        <v/>
      </c>
      <c r="AX23" s="807" t="str">
        <f t="shared" ref="AX23" ca="1" si="39">AW22</f>
        <v/>
      </c>
      <c r="AY23" s="804" t="s">
        <v>793</v>
      </c>
    </row>
    <row r="24" spans="1:51" ht="15.95" customHeight="1" thickBot="1" x14ac:dyDescent="0.25">
      <c r="G24" s="488" t="str">
        <f t="shared" si="5"/>
        <v/>
      </c>
      <c r="H24" s="898" t="str">
        <f t="shared" si="6"/>
        <v/>
      </c>
      <c r="I24" s="898" t="str">
        <f t="shared" si="6"/>
        <v/>
      </c>
      <c r="J24" s="898" t="str">
        <f t="shared" si="6"/>
        <v/>
      </c>
      <c r="K24" s="447"/>
      <c r="L24" s="473" t="str">
        <f ca="1">VLOOKUP(L23,$A$5:$G$24,7,FALSE)</f>
        <v/>
      </c>
      <c r="M24" s="466" t="str">
        <f ca="1">IFERROR(VLOOKUP(L24,$G$5:$J$28,3,FALSE),"")</f>
        <v/>
      </c>
      <c r="N24" s="967"/>
      <c r="Q24" s="447"/>
      <c r="R24" s="473" t="str">
        <f>IF(ISBLANK(N14),"",IF(O14+N14&lt;N16+O16,L15,L17))</f>
        <v/>
      </c>
      <c r="S24" s="466" t="str">
        <f ca="1">IFERROR(VLOOKUP(R24,$G$5:$J$28,3,FALSE),"")</f>
        <v/>
      </c>
      <c r="T24" s="967"/>
      <c r="W24" s="447"/>
      <c r="X24" s="473" t="str">
        <f>IF(ISBLANK(T28),"",IF(U28+T28&gt;T30+U30,R29,R31))</f>
        <v/>
      </c>
      <c r="Y24" s="466" t="str">
        <f ca="1">IFERROR(VLOOKUP(X24,$G$5:$J$28,3,FALSE),"")</f>
        <v/>
      </c>
      <c r="Z24" s="967"/>
      <c r="AF24" s="814" t="s">
        <v>803</v>
      </c>
      <c r="AG24" s="435" t="str">
        <f>IF(ISBLANK(Z63),"",IF(Z63+AA63&lt;Z65+AA65,X64,X66))</f>
        <v/>
      </c>
      <c r="AH24" s="478" t="str">
        <f t="shared" ca="1" si="7"/>
        <v/>
      </c>
      <c r="AI24" s="897" t="str">
        <f t="shared" ca="1" si="8"/>
        <v/>
      </c>
      <c r="AJ24" s="917" t="str">
        <f t="shared" ca="1" si="9"/>
        <v/>
      </c>
      <c r="AN24" s="803">
        <f>K73</f>
        <v>19</v>
      </c>
      <c r="AO24" s="807" t="str">
        <f ca="1">L74</f>
        <v/>
      </c>
      <c r="AP24" s="808" t="s">
        <v>1326</v>
      </c>
      <c r="AQ24" s="804" t="s">
        <v>793</v>
      </c>
      <c r="AR24" s="803">
        <f>Q70</f>
        <v>19</v>
      </c>
      <c r="AS24" s="807" t="str">
        <f ca="1">R71</f>
        <v/>
      </c>
      <c r="AT24" s="807" t="str">
        <f ca="1">AS23</f>
        <v/>
      </c>
      <c r="AU24" s="804" t="s">
        <v>793</v>
      </c>
      <c r="AV24" s="803">
        <f>W70</f>
        <v>19</v>
      </c>
      <c r="AW24" s="807" t="str">
        <f>X71</f>
        <v/>
      </c>
      <c r="AX24" s="808"/>
      <c r="AY24" s="804" t="s">
        <v>793</v>
      </c>
    </row>
    <row r="25" spans="1:51" ht="15.95" customHeight="1" thickBot="1" x14ac:dyDescent="0.25">
      <c r="G25" s="488" t="str">
        <f t="shared" si="5"/>
        <v/>
      </c>
      <c r="H25" s="898" t="str">
        <f t="shared" si="6"/>
        <v/>
      </c>
      <c r="I25" s="898" t="str">
        <f t="shared" si="6"/>
        <v/>
      </c>
      <c r="J25" s="898" t="str">
        <f t="shared" si="6"/>
        <v/>
      </c>
      <c r="K25" s="447"/>
      <c r="L25" s="441"/>
      <c r="M25" s="441"/>
      <c r="Q25" s="447"/>
      <c r="R25" s="437"/>
      <c r="S25" s="437"/>
      <c r="T25" s="451"/>
      <c r="W25" s="447"/>
      <c r="X25" s="441"/>
      <c r="Y25" s="441"/>
      <c r="AF25" s="814" t="s">
        <v>804</v>
      </c>
      <c r="AG25" s="896" t="str">
        <f>X71</f>
        <v/>
      </c>
      <c r="AH25" s="480" t="str">
        <f t="shared" ca="1" si="7"/>
        <v/>
      </c>
      <c r="AI25" s="481" t="str">
        <f t="shared" ca="1" si="8"/>
        <v/>
      </c>
      <c r="AJ25" s="918" t="str">
        <f t="shared" ca="1" si="9"/>
        <v/>
      </c>
      <c r="AN25" s="803"/>
      <c r="AO25" s="807"/>
      <c r="AP25" s="807"/>
      <c r="AQ25" s="804" t="s">
        <v>793</v>
      </c>
      <c r="AR25" s="803"/>
      <c r="AS25" s="807"/>
      <c r="AT25" s="807"/>
      <c r="AU25" s="804" t="s">
        <v>793</v>
      </c>
      <c r="AV25" s="803"/>
      <c r="AW25" s="807"/>
      <c r="AX25" s="807"/>
      <c r="AY25" s="804" t="s">
        <v>793</v>
      </c>
    </row>
    <row r="26" spans="1:51" ht="15.95" customHeight="1" thickBot="1" x14ac:dyDescent="0.25">
      <c r="G26" s="488" t="str">
        <f t="shared" si="5"/>
        <v/>
      </c>
      <c r="H26" s="898" t="str">
        <f t="shared" si="6"/>
        <v/>
      </c>
      <c r="I26" s="898" t="str">
        <f t="shared" si="6"/>
        <v/>
      </c>
      <c r="J26" s="898" t="str">
        <f t="shared" si="6"/>
        <v/>
      </c>
      <c r="K26" s="450"/>
      <c r="L26" s="450"/>
      <c r="M26" s="450"/>
      <c r="N26" s="451"/>
      <c r="O26" s="450"/>
      <c r="P26" s="450"/>
      <c r="Q26" s="450"/>
      <c r="R26" s="437"/>
      <c r="S26" s="437"/>
      <c r="T26" s="451"/>
      <c r="U26" s="450"/>
      <c r="V26" s="450"/>
      <c r="W26" s="450"/>
      <c r="X26" s="979" t="s">
        <v>821</v>
      </c>
      <c r="Y26" s="1247"/>
      <c r="Z26" s="1247"/>
      <c r="AA26" s="450"/>
      <c r="AF26" s="814"/>
      <c r="AG26" s="814"/>
      <c r="AN26" s="803"/>
      <c r="AO26" s="807"/>
      <c r="AP26" s="807"/>
      <c r="AQ26" s="804"/>
      <c r="AR26" s="803"/>
      <c r="AS26" s="807"/>
      <c r="AT26" s="807"/>
      <c r="AU26" s="804"/>
      <c r="AV26" s="803"/>
      <c r="AW26" s="807"/>
      <c r="AX26" s="807"/>
      <c r="AY26" s="804"/>
    </row>
    <row r="27" spans="1:51" ht="15.95" customHeight="1" thickBot="1" x14ac:dyDescent="0.25">
      <c r="G27" s="488" t="str">
        <f t="shared" si="5"/>
        <v/>
      </c>
      <c r="H27" s="898" t="str">
        <f t="shared" si="6"/>
        <v/>
      </c>
      <c r="I27" s="898" t="str">
        <f t="shared" si="6"/>
        <v/>
      </c>
      <c r="J27" s="898" t="str">
        <f t="shared" si="6"/>
        <v/>
      </c>
      <c r="K27" s="445" t="s">
        <v>779</v>
      </c>
      <c r="L27" s="779" t="s">
        <v>1083</v>
      </c>
      <c r="M27" s="456" t="s">
        <v>481</v>
      </c>
      <c r="N27" s="464" t="s">
        <v>780</v>
      </c>
      <c r="O27" s="446" t="s">
        <v>781</v>
      </c>
      <c r="P27" s="445"/>
      <c r="Q27" s="445" t="s">
        <v>779</v>
      </c>
      <c r="R27" s="779" t="s">
        <v>1083</v>
      </c>
      <c r="S27" s="456" t="s">
        <v>481</v>
      </c>
      <c r="T27" s="464" t="s">
        <v>780</v>
      </c>
      <c r="U27" s="446" t="s">
        <v>781</v>
      </c>
      <c r="V27" s="445"/>
      <c r="W27" s="445" t="s">
        <v>779</v>
      </c>
      <c r="X27" s="779" t="s">
        <v>1083</v>
      </c>
      <c r="Y27" s="456" t="s">
        <v>481</v>
      </c>
      <c r="Z27" s="464" t="s">
        <v>780</v>
      </c>
      <c r="AA27" s="446" t="s">
        <v>781</v>
      </c>
      <c r="AF27" s="814"/>
      <c r="AG27" s="814"/>
      <c r="AN27" s="803"/>
      <c r="AO27" s="807"/>
      <c r="AP27" s="807"/>
      <c r="AQ27" s="804"/>
      <c r="AR27" s="803"/>
      <c r="AS27" s="807"/>
      <c r="AT27" s="807"/>
      <c r="AU27" s="804"/>
      <c r="AV27" s="803"/>
      <c r="AW27" s="807"/>
      <c r="AX27" s="807"/>
      <c r="AY27" s="804"/>
    </row>
    <row r="28" spans="1:51" ht="15.95" customHeight="1" thickBot="1" x14ac:dyDescent="0.25">
      <c r="G28" s="488" t="str">
        <f t="shared" si="5"/>
        <v/>
      </c>
      <c r="H28" s="898" t="str">
        <f t="shared" si="6"/>
        <v/>
      </c>
      <c r="I28" s="898" t="str">
        <f t="shared" si="6"/>
        <v/>
      </c>
      <c r="J28" s="898" t="str">
        <f t="shared" si="6"/>
        <v/>
      </c>
      <c r="K28" s="447">
        <f>K23+1</f>
        <v>7</v>
      </c>
      <c r="L28" s="472">
        <v>2</v>
      </c>
      <c r="M28" s="465" t="str">
        <f ca="1">IFERROR(VLOOKUP(L29,$G$5:$J$28,2,FALSE),"")</f>
        <v/>
      </c>
      <c r="N28" s="966"/>
      <c r="O28" s="780"/>
      <c r="Q28" s="447">
        <f>Q23+1</f>
        <v>7</v>
      </c>
      <c r="R28" s="472">
        <v>6</v>
      </c>
      <c r="S28" s="465" t="str">
        <f ca="1">IFERROR(VLOOKUP(R29,$G$5:$J$28,2,FALSE),"")</f>
        <v/>
      </c>
      <c r="T28" s="966"/>
      <c r="U28" s="780"/>
      <c r="W28" s="447">
        <f>W23+1</f>
        <v>7</v>
      </c>
      <c r="X28" s="472">
        <v>8</v>
      </c>
      <c r="Y28" s="465" t="str">
        <f ca="1">IFERROR(VLOOKUP(X29,$G$5:$J$28,2,FALSE),"")</f>
        <v/>
      </c>
      <c r="Z28" s="966"/>
      <c r="AA28" s="780"/>
      <c r="AF28" s="814"/>
      <c r="AG28" s="814"/>
      <c r="AN28" s="803"/>
      <c r="AO28" s="807"/>
      <c r="AP28" s="807"/>
      <c r="AQ28" s="804"/>
      <c r="AR28" s="803"/>
      <c r="AS28" s="807"/>
      <c r="AT28" s="807"/>
      <c r="AU28" s="804"/>
      <c r="AV28" s="803"/>
      <c r="AW28" s="807"/>
      <c r="AX28" s="807"/>
      <c r="AY28" s="804"/>
    </row>
    <row r="29" spans="1:51" ht="15.95" customHeight="1" thickBot="1" x14ac:dyDescent="0.25">
      <c r="I29" s="437"/>
      <c r="J29" s="437"/>
      <c r="K29" s="447"/>
      <c r="L29" s="473" t="str">
        <f ca="1">VLOOKUP(L28,$A$5:$G$24,7,FALSE)</f>
        <v/>
      </c>
      <c r="M29" s="466" t="str">
        <f ca="1">IFERROR(VLOOKUP(L29,$G$5:$J$28,3,FALSE),"")</f>
        <v/>
      </c>
      <c r="N29" s="967"/>
      <c r="Q29" s="447"/>
      <c r="R29" s="473" t="str">
        <f>IF(ISBLANK(N21),"",IF(N21+O21&lt;N23+O23,L22,L24))</f>
        <v/>
      </c>
      <c r="S29" s="466" t="str">
        <f ca="1">IFERROR(VLOOKUP(R29,$G$5:$J$28,3,FALSE),"")</f>
        <v/>
      </c>
      <c r="T29" s="967"/>
      <c r="W29" s="447"/>
      <c r="X29" s="473" t="str">
        <f>IF(ISBLANK(T21),"",IF(U21+T21&lt;T23+U23,R22,R24))</f>
        <v/>
      </c>
      <c r="Y29" s="466" t="str">
        <f ca="1">IFERROR(VLOOKUP(X29,$G$5:$J$28,3,FALSE),"")</f>
        <v/>
      </c>
      <c r="Z29" s="967"/>
      <c r="AF29" s="814"/>
      <c r="AG29" s="814"/>
      <c r="AN29" s="803"/>
      <c r="AO29" s="807"/>
      <c r="AP29" s="807"/>
      <c r="AQ29" s="804"/>
      <c r="AR29" s="803"/>
      <c r="AS29" s="807"/>
      <c r="AT29" s="807"/>
      <c r="AU29" s="804"/>
      <c r="AV29" s="803"/>
      <c r="AW29" s="807"/>
      <c r="AX29" s="807"/>
      <c r="AY29" s="804"/>
    </row>
    <row r="30" spans="1:51" ht="15.95" customHeight="1" thickBot="1" x14ac:dyDescent="0.25">
      <c r="I30" s="437"/>
      <c r="J30" s="437"/>
      <c r="K30" s="447">
        <f>K28+1</f>
        <v>8</v>
      </c>
      <c r="L30" s="472">
        <v>7</v>
      </c>
      <c r="M30" s="465" t="str">
        <f ca="1">IFERROR(VLOOKUP(L31,$G$5:$J$28,2,FALSE),"")</f>
        <v/>
      </c>
      <c r="N30" s="966"/>
      <c r="O30" s="780"/>
      <c r="Q30" s="447">
        <f>Q28+1</f>
        <v>8</v>
      </c>
      <c r="R30" s="472">
        <v>7</v>
      </c>
      <c r="S30" s="465" t="str">
        <f ca="1">IFERROR(VLOOKUP(R31,$G$5:$J$28,2,FALSE),"")</f>
        <v/>
      </c>
      <c r="T30" s="966"/>
      <c r="U30" s="780"/>
      <c r="W30" s="447">
        <f>W28+1</f>
        <v>8</v>
      </c>
      <c r="X30" s="472">
        <v>7</v>
      </c>
      <c r="Y30" s="465" t="str">
        <f ca="1">IFERROR(VLOOKUP(X31,$G$5:$J$28,2,FALSE),"")</f>
        <v/>
      </c>
      <c r="Z30" s="966"/>
      <c r="AA30" s="780"/>
      <c r="AF30" s="814"/>
      <c r="AG30" s="814"/>
    </row>
    <row r="31" spans="1:51" ht="15.95" customHeight="1" thickBot="1" x14ac:dyDescent="0.25">
      <c r="I31" s="437"/>
      <c r="J31" s="437"/>
      <c r="K31" s="447"/>
      <c r="L31" s="473" t="str">
        <f ca="1">VLOOKUP(L30,$A$5:$G$24,7,FALSE)</f>
        <v/>
      </c>
      <c r="M31" s="466" t="str">
        <f ca="1">IFERROR(VLOOKUP(L31,$G$5:$J$28,3,FALSE),"")</f>
        <v/>
      </c>
      <c r="N31" s="967"/>
      <c r="Q31" s="447"/>
      <c r="R31" s="473" t="str">
        <f>IF(ISBLANK(N28),"",IF(N28+O28&lt;N30+O30,L29,L31))</f>
        <v/>
      </c>
      <c r="S31" s="466" t="str">
        <f ca="1">IFERROR(VLOOKUP(R31,$G$5:$J$28,3,FALSE),"")</f>
        <v/>
      </c>
      <c r="T31" s="967"/>
      <c r="W31" s="447"/>
      <c r="X31" s="473" t="str">
        <f>IF(ISBLANK(T28),"",IF(U28+T28&lt;T30+U30,R29,R31))</f>
        <v/>
      </c>
      <c r="Y31" s="466" t="str">
        <f ca="1">IFERROR(VLOOKUP(X31,$G$5:$J$28,3,FALSE),"")</f>
        <v/>
      </c>
      <c r="Z31" s="967"/>
      <c r="AF31" s="814"/>
      <c r="AG31" s="814"/>
    </row>
    <row r="32" spans="1:51" ht="15.95" customHeight="1" x14ac:dyDescent="0.2">
      <c r="I32" s="437"/>
      <c r="J32" s="437"/>
      <c r="K32" s="450"/>
      <c r="L32" s="437"/>
      <c r="M32" s="437"/>
      <c r="N32" s="451"/>
      <c r="O32" s="450"/>
      <c r="P32" s="450"/>
      <c r="Q32" s="450"/>
      <c r="R32" s="437"/>
      <c r="S32" s="437"/>
      <c r="T32" s="451"/>
      <c r="U32" s="450"/>
      <c r="V32" s="450"/>
      <c r="W32" s="450"/>
      <c r="X32" s="437"/>
      <c r="Y32" s="437"/>
      <c r="Z32" s="451"/>
      <c r="AA32" s="450"/>
      <c r="AF32" s="814"/>
      <c r="AG32" s="814"/>
    </row>
    <row r="33" spans="9:33" ht="15.95" customHeight="1" thickBot="1" x14ac:dyDescent="0.25">
      <c r="I33" s="437"/>
      <c r="J33" s="437"/>
      <c r="K33" s="450"/>
      <c r="L33" s="979" t="s">
        <v>822</v>
      </c>
      <c r="M33" s="1247"/>
      <c r="N33" s="1247"/>
      <c r="Q33" s="450"/>
      <c r="R33" s="979" t="s">
        <v>823</v>
      </c>
      <c r="S33" s="1247"/>
      <c r="T33" s="1247"/>
      <c r="U33" s="450"/>
      <c r="V33" s="450"/>
      <c r="W33" s="450"/>
      <c r="X33" s="979" t="s">
        <v>824</v>
      </c>
      <c r="Y33" s="1247"/>
      <c r="Z33" s="1247"/>
      <c r="AF33" s="814"/>
      <c r="AG33" s="814"/>
    </row>
    <row r="34" spans="9:33" ht="15.95" customHeight="1" thickBot="1" x14ac:dyDescent="0.25">
      <c r="I34" s="437"/>
      <c r="J34" s="437"/>
      <c r="K34" s="445" t="s">
        <v>779</v>
      </c>
      <c r="L34" s="779" t="s">
        <v>1083</v>
      </c>
      <c r="M34" s="456" t="s">
        <v>481</v>
      </c>
      <c r="N34" s="464" t="s">
        <v>780</v>
      </c>
      <c r="O34" s="446" t="s">
        <v>781</v>
      </c>
      <c r="P34" s="445"/>
      <c r="Q34" s="445" t="s">
        <v>779</v>
      </c>
      <c r="R34" s="779" t="s">
        <v>1083</v>
      </c>
      <c r="S34" s="456" t="s">
        <v>481</v>
      </c>
      <c r="T34" s="464" t="s">
        <v>780</v>
      </c>
      <c r="U34" s="446" t="s">
        <v>781</v>
      </c>
      <c r="V34" s="445"/>
      <c r="W34" s="445" t="s">
        <v>779</v>
      </c>
      <c r="X34" s="779" t="s">
        <v>1083</v>
      </c>
      <c r="Y34" s="456" t="s">
        <v>481</v>
      </c>
      <c r="Z34" s="464" t="s">
        <v>780</v>
      </c>
      <c r="AA34" s="446" t="s">
        <v>781</v>
      </c>
      <c r="AF34" s="814"/>
      <c r="AG34" s="814"/>
    </row>
    <row r="35" spans="9:33" ht="15.95" customHeight="1" thickBot="1" x14ac:dyDescent="0.25">
      <c r="I35" s="437"/>
      <c r="J35" s="437"/>
      <c r="K35" s="447">
        <f>K30+1</f>
        <v>9</v>
      </c>
      <c r="L35" s="472">
        <v>9</v>
      </c>
      <c r="M35" s="465" t="str">
        <f ca="1">IFERROR(VLOOKUP(L36,$G$5:$J$28,2,FALSE),"")</f>
        <v/>
      </c>
      <c r="N35" s="966"/>
      <c r="O35" s="780"/>
      <c r="Q35" s="447">
        <f>K35</f>
        <v>9</v>
      </c>
      <c r="R35" s="472">
        <v>9</v>
      </c>
      <c r="S35" s="465" t="str">
        <f ca="1">IFERROR(VLOOKUP(R36,$G$5:$J$28,2,FALSE),"")</f>
        <v/>
      </c>
      <c r="T35" s="966"/>
      <c r="U35" s="780"/>
      <c r="W35" s="447">
        <f>Q35</f>
        <v>9</v>
      </c>
      <c r="X35" s="472">
        <v>9</v>
      </c>
      <c r="Y35" s="465" t="str">
        <f ca="1">IFERROR(VLOOKUP(X36,$G$5:$J$28,2,FALSE),"")</f>
        <v/>
      </c>
      <c r="Z35" s="966"/>
      <c r="AA35" s="780"/>
      <c r="AF35" s="814"/>
      <c r="AG35" s="814"/>
    </row>
    <row r="36" spans="9:33" ht="15.95" customHeight="1" thickBot="1" x14ac:dyDescent="0.25">
      <c r="I36" s="437"/>
      <c r="J36" s="437"/>
      <c r="K36" s="447"/>
      <c r="L36" s="473" t="str">
        <f ca="1">VLOOKUP(L35,$A$5:$G$24,7,FALSE)</f>
        <v/>
      </c>
      <c r="M36" s="466" t="str">
        <f ca="1">IFERROR(VLOOKUP(L36,$G$5:$J$28,3,FALSE),"")</f>
        <v/>
      </c>
      <c r="N36" s="967"/>
      <c r="Q36" s="447"/>
      <c r="R36" s="473" t="str">
        <f>IF(ISBLANK(N35),"",IF(O35+N35&gt;N37+O37,L36,L38))</f>
        <v/>
      </c>
      <c r="S36" s="466" t="str">
        <f ca="1">IFERROR(VLOOKUP(R36,$G$5:$J$28,3,FALSE),"")</f>
        <v/>
      </c>
      <c r="T36" s="967"/>
      <c r="W36" s="447"/>
      <c r="X36" s="473" t="str">
        <f>IF(ISBLANK(T35),"",IF(U35+T35&gt;T37+U37,R36,R38))</f>
        <v/>
      </c>
      <c r="Y36" s="466" t="str">
        <f ca="1">IFERROR(VLOOKUP(X36,$G$5:$J$28,3,FALSE),"")</f>
        <v/>
      </c>
      <c r="Z36" s="967"/>
      <c r="AF36" s="814"/>
      <c r="AG36" s="814"/>
    </row>
    <row r="37" spans="9:33" ht="15.95" customHeight="1" thickBot="1" x14ac:dyDescent="0.25">
      <c r="I37" s="437"/>
      <c r="J37" s="437"/>
      <c r="K37" s="447">
        <f>K35+1</f>
        <v>10</v>
      </c>
      <c r="L37" s="472">
        <v>16</v>
      </c>
      <c r="M37" s="465" t="str">
        <f ca="1">IFERROR(VLOOKUP(L38,$G$5:$J$28,2,FALSE),"")</f>
        <v/>
      </c>
      <c r="N37" s="966"/>
      <c r="O37" s="780"/>
      <c r="Q37" s="447">
        <f>Q35+1</f>
        <v>10</v>
      </c>
      <c r="R37" s="472">
        <v>12</v>
      </c>
      <c r="S37" s="465" t="str">
        <f ca="1">IFERROR(VLOOKUP(R38,$G$5:$J$28,2,FALSE),"")</f>
        <v/>
      </c>
      <c r="T37" s="966"/>
      <c r="U37" s="780"/>
      <c r="W37" s="447">
        <f>W35+1</f>
        <v>10</v>
      </c>
      <c r="X37" s="472">
        <v>10</v>
      </c>
      <c r="Y37" s="465" t="str">
        <f ca="1">IFERROR(VLOOKUP(X38,$G$5:$J$28,2,FALSE),"")</f>
        <v/>
      </c>
      <c r="Z37" s="966"/>
      <c r="AA37" s="780"/>
      <c r="AF37" s="814"/>
      <c r="AG37" s="814"/>
    </row>
    <row r="38" spans="9:33" ht="15.95" customHeight="1" thickBot="1" x14ac:dyDescent="0.25">
      <c r="I38" s="437"/>
      <c r="J38" s="437"/>
      <c r="K38" s="447"/>
      <c r="L38" s="473" t="str">
        <f ca="1">VLOOKUP(L37,$A$5:$G$24,7,FALSE)</f>
        <v/>
      </c>
      <c r="M38" s="466" t="str">
        <f ca="1">IFERROR(VLOOKUP(L38,$G$5:$J$28,3,FALSE),"")</f>
        <v/>
      </c>
      <c r="N38" s="967"/>
      <c r="Q38" s="447"/>
      <c r="R38" s="473" t="str">
        <f>IF(ISBLANK(N42),"",IF(O42+N42&gt;N44+O44,L43,L45))</f>
        <v/>
      </c>
      <c r="S38" s="466" t="str">
        <f ca="1">IFERROR(VLOOKUP(R38,$G$5:$J$28,3,FALSE),"")</f>
        <v/>
      </c>
      <c r="T38" s="967"/>
      <c r="W38" s="447"/>
      <c r="X38" s="473" t="str">
        <f>IF(ISBLANK(T42),"",IF(U42+T42&gt;T44+U44,R43,R45))</f>
        <v/>
      </c>
      <c r="Y38" s="466" t="str">
        <f ca="1">IFERROR(VLOOKUP(X38,$G$5:$J$28,3,FALSE),"")</f>
        <v/>
      </c>
      <c r="Z38" s="967"/>
      <c r="AF38" s="814"/>
      <c r="AG38" s="814"/>
    </row>
    <row r="39" spans="9:33" ht="15.95" customHeight="1" x14ac:dyDescent="0.2">
      <c r="I39" s="437"/>
      <c r="J39" s="437"/>
      <c r="K39" s="450"/>
      <c r="L39" s="450"/>
      <c r="M39" s="450"/>
      <c r="N39" s="451"/>
      <c r="O39" s="450"/>
      <c r="P39" s="450"/>
      <c r="Q39" s="450"/>
      <c r="R39" s="437"/>
      <c r="S39" s="437"/>
      <c r="T39" s="451"/>
      <c r="U39" s="450"/>
      <c r="V39" s="450"/>
      <c r="W39" s="450"/>
      <c r="X39" s="450"/>
      <c r="Y39" s="450"/>
      <c r="Z39" s="451"/>
      <c r="AA39" s="450"/>
      <c r="AF39" s="814"/>
      <c r="AG39" s="814"/>
    </row>
    <row r="40" spans="9:33" ht="15.95" customHeight="1" thickBot="1" x14ac:dyDescent="0.25">
      <c r="I40" s="437"/>
      <c r="J40" s="437"/>
      <c r="K40" s="450"/>
      <c r="L40" s="450"/>
      <c r="M40" s="450"/>
      <c r="N40" s="451"/>
      <c r="O40" s="450"/>
      <c r="P40" s="450"/>
      <c r="Q40" s="450"/>
      <c r="R40" s="437"/>
      <c r="S40" s="437"/>
      <c r="T40" s="451"/>
      <c r="U40" s="450"/>
      <c r="V40" s="450"/>
      <c r="W40" s="450"/>
      <c r="X40" s="979" t="s">
        <v>825</v>
      </c>
      <c r="Y40" s="1247"/>
      <c r="Z40" s="1247"/>
      <c r="AA40" s="450"/>
      <c r="AF40" s="814"/>
      <c r="AG40" s="814"/>
    </row>
    <row r="41" spans="9:33" ht="15.95" customHeight="1" thickBot="1" x14ac:dyDescent="0.25">
      <c r="I41" s="437"/>
      <c r="J41" s="437"/>
      <c r="K41" s="445" t="s">
        <v>779</v>
      </c>
      <c r="L41" s="779" t="s">
        <v>1083</v>
      </c>
      <c r="M41" s="456" t="s">
        <v>481</v>
      </c>
      <c r="N41" s="464" t="s">
        <v>780</v>
      </c>
      <c r="O41" s="446" t="s">
        <v>781</v>
      </c>
      <c r="P41" s="445"/>
      <c r="Q41" s="445" t="s">
        <v>779</v>
      </c>
      <c r="R41" s="779" t="s">
        <v>1083</v>
      </c>
      <c r="S41" s="456" t="s">
        <v>481</v>
      </c>
      <c r="T41" s="464" t="s">
        <v>780</v>
      </c>
      <c r="U41" s="446" t="s">
        <v>781</v>
      </c>
      <c r="V41" s="445"/>
      <c r="W41" s="445" t="s">
        <v>779</v>
      </c>
      <c r="X41" s="779" t="s">
        <v>1083</v>
      </c>
      <c r="Y41" s="456" t="s">
        <v>481</v>
      </c>
      <c r="Z41" s="464" t="s">
        <v>780</v>
      </c>
      <c r="AA41" s="446" t="s">
        <v>781</v>
      </c>
      <c r="AF41" s="814"/>
      <c r="AG41" s="814"/>
    </row>
    <row r="42" spans="9:33" ht="15.95" customHeight="1" thickBot="1" x14ac:dyDescent="0.25">
      <c r="I42" s="437"/>
      <c r="J42" s="437"/>
      <c r="K42" s="447">
        <f>K37+1</f>
        <v>11</v>
      </c>
      <c r="L42" s="472">
        <v>12</v>
      </c>
      <c r="M42" s="465" t="str">
        <f ca="1">IFERROR(VLOOKUP(L43,$G$5:$J$28,2,FALSE),"")</f>
        <v/>
      </c>
      <c r="N42" s="966"/>
      <c r="O42" s="780"/>
      <c r="Q42" s="447">
        <f>Q37+1</f>
        <v>11</v>
      </c>
      <c r="R42" s="472">
        <v>11</v>
      </c>
      <c r="S42" s="465" t="str">
        <f ca="1">IFERROR(VLOOKUP(R43,$G$5:$J$28,2,FALSE),"")</f>
        <v/>
      </c>
      <c r="T42" s="966"/>
      <c r="U42" s="780"/>
      <c r="W42" s="447">
        <f>W37+1</f>
        <v>11</v>
      </c>
      <c r="X42" s="472">
        <v>12</v>
      </c>
      <c r="Y42" s="465" t="str">
        <f ca="1">IFERROR(VLOOKUP(X43,$G$5:$J$28,2,FALSE),"")</f>
        <v/>
      </c>
      <c r="Z42" s="966"/>
      <c r="AA42" s="780"/>
      <c r="AF42" s="814"/>
      <c r="AG42" s="814"/>
    </row>
    <row r="43" spans="9:33" ht="15.95" customHeight="1" thickBot="1" x14ac:dyDescent="0.25">
      <c r="I43" s="437"/>
      <c r="J43" s="437"/>
      <c r="K43" s="447"/>
      <c r="L43" s="473" t="str">
        <f ca="1">VLOOKUP(L42,$A$5:$G$24,7,FALSE)</f>
        <v/>
      </c>
      <c r="M43" s="466" t="str">
        <f ca="1">IFERROR(VLOOKUP(L43,$G$5:$J$28,3,FALSE),"")</f>
        <v/>
      </c>
      <c r="N43" s="967"/>
      <c r="Q43" s="447"/>
      <c r="R43" s="473" t="str">
        <f>IF(ISBLANK(N49),"",IF(N49+O49&gt;N51+O51,L50,L52))</f>
        <v/>
      </c>
      <c r="S43" s="466" t="str">
        <f ca="1">IFERROR(VLOOKUP(R43,$G$5:$J$28,3,FALSE),"")</f>
        <v/>
      </c>
      <c r="T43" s="967"/>
      <c r="W43" s="447"/>
      <c r="X43" s="473" t="str">
        <f>IF(ISBLANK(T35),"",IF(U35+T35&lt;T37+U37,R36,R38))</f>
        <v/>
      </c>
      <c r="Y43" s="466" t="str">
        <f ca="1">IFERROR(VLOOKUP(X43,$G$5:$J$28,3,FALSE),"")</f>
        <v/>
      </c>
      <c r="Z43" s="967"/>
      <c r="AF43" s="814"/>
      <c r="AG43" s="814"/>
    </row>
    <row r="44" spans="9:33" ht="15.95" customHeight="1" thickBot="1" x14ac:dyDescent="0.25">
      <c r="I44" s="437"/>
      <c r="J44" s="437"/>
      <c r="K44" s="447">
        <f>K42+1</f>
        <v>12</v>
      </c>
      <c r="L44" s="472">
        <v>13</v>
      </c>
      <c r="M44" s="465" t="str">
        <f ca="1">IFERROR(VLOOKUP(L45,$G$5:$J$28,2,FALSE),"")</f>
        <v/>
      </c>
      <c r="N44" s="966"/>
      <c r="O44" s="780"/>
      <c r="Q44" s="447">
        <f>Q42+1</f>
        <v>12</v>
      </c>
      <c r="R44" s="472">
        <v>10</v>
      </c>
      <c r="S44" s="465" t="str">
        <f ca="1">IFERROR(VLOOKUP(R45,$G$5:$J$28,2,FALSE),"")</f>
        <v/>
      </c>
      <c r="T44" s="966"/>
      <c r="U44" s="780"/>
      <c r="W44" s="447">
        <f>W42+1</f>
        <v>12</v>
      </c>
      <c r="X44" s="472">
        <v>11</v>
      </c>
      <c r="Y44" s="465" t="str">
        <f ca="1">IFERROR(VLOOKUP(X45,$G$5:$J$28,2,FALSE),"")</f>
        <v/>
      </c>
      <c r="Z44" s="966"/>
      <c r="AA44" s="780"/>
      <c r="AF44" s="814"/>
      <c r="AG44" s="814"/>
    </row>
    <row r="45" spans="9:33" ht="15.95" customHeight="1" thickBot="1" x14ac:dyDescent="0.25">
      <c r="I45" s="437"/>
      <c r="J45" s="437"/>
      <c r="K45" s="447"/>
      <c r="L45" s="473" t="str">
        <f ca="1">VLOOKUP(L44,$A$5:$G$24,7,FALSE)</f>
        <v/>
      </c>
      <c r="M45" s="466" t="str">
        <f ca="1">IFERROR(VLOOKUP(L45,$G$5:$J$28,3,FALSE),"")</f>
        <v/>
      </c>
      <c r="N45" s="967"/>
      <c r="Q45" s="447"/>
      <c r="R45" s="473" t="str">
        <f>IF(ISBLANK(N56),"",IF(N56+O56&gt;N58+O58,L57,L59))</f>
        <v/>
      </c>
      <c r="S45" s="466" t="str">
        <f ca="1">IFERROR(VLOOKUP(R45,$G$5:$J$28,3,FALSE),"")</f>
        <v/>
      </c>
      <c r="T45" s="967"/>
      <c r="W45" s="447"/>
      <c r="X45" s="473" t="str">
        <f>IF(ISBLANK(T42),"",IF(U42+T42&lt;T44+U44,R43,R45))</f>
        <v/>
      </c>
      <c r="Y45" s="466" t="str">
        <f ca="1">IFERROR(VLOOKUP(X45,$G$5:$J$28,3,FALSE),"")</f>
        <v/>
      </c>
      <c r="Z45" s="967"/>
      <c r="AF45" s="814"/>
      <c r="AG45" s="814"/>
    </row>
    <row r="46" spans="9:33" ht="15.95" customHeight="1" x14ac:dyDescent="0.2">
      <c r="I46" s="437"/>
      <c r="J46" s="437"/>
      <c r="K46" s="450"/>
      <c r="L46" s="450"/>
      <c r="M46" s="450"/>
      <c r="N46" s="451"/>
      <c r="O46" s="450"/>
      <c r="P46" s="450"/>
      <c r="Q46" s="450"/>
      <c r="R46" s="450"/>
      <c r="S46" s="450"/>
      <c r="T46" s="451"/>
      <c r="U46" s="450"/>
      <c r="V46" s="450"/>
      <c r="W46" s="450"/>
      <c r="X46" s="450"/>
      <c r="Y46" s="450"/>
      <c r="Z46" s="451"/>
      <c r="AA46" s="450"/>
      <c r="AF46" s="814"/>
      <c r="AG46" s="814"/>
    </row>
    <row r="47" spans="9:33" ht="15.95" customHeight="1" thickBot="1" x14ac:dyDescent="0.25">
      <c r="I47" s="437"/>
      <c r="J47" s="437"/>
      <c r="K47" s="450"/>
      <c r="L47" s="454"/>
      <c r="M47" s="454"/>
      <c r="N47" s="455"/>
      <c r="O47" s="450"/>
      <c r="P47" s="450"/>
      <c r="Q47" s="450"/>
      <c r="R47" s="979" t="s">
        <v>826</v>
      </c>
      <c r="S47" s="1247"/>
      <c r="T47" s="1247"/>
      <c r="U47" s="450"/>
      <c r="V47" s="450"/>
      <c r="W47" s="450"/>
      <c r="X47" s="979" t="s">
        <v>827</v>
      </c>
      <c r="Y47" s="1247"/>
      <c r="Z47" s="1247"/>
      <c r="AA47" s="450"/>
      <c r="AF47" s="814"/>
      <c r="AG47" s="814"/>
    </row>
    <row r="48" spans="9:33" ht="15.95" customHeight="1" thickBot="1" x14ac:dyDescent="0.25">
      <c r="I48" s="437"/>
      <c r="J48" s="437"/>
      <c r="K48" s="445" t="s">
        <v>779</v>
      </c>
      <c r="L48" s="779" t="s">
        <v>1083</v>
      </c>
      <c r="M48" s="456" t="s">
        <v>481</v>
      </c>
      <c r="N48" s="464" t="s">
        <v>780</v>
      </c>
      <c r="O48" s="446" t="s">
        <v>781</v>
      </c>
      <c r="P48" s="445"/>
      <c r="Q48" s="445" t="s">
        <v>779</v>
      </c>
      <c r="R48" s="779" t="s">
        <v>1083</v>
      </c>
      <c r="S48" s="456" t="s">
        <v>481</v>
      </c>
      <c r="T48" s="464" t="s">
        <v>780</v>
      </c>
      <c r="U48" s="446" t="s">
        <v>781</v>
      </c>
      <c r="V48" s="445"/>
      <c r="W48" s="445" t="s">
        <v>779</v>
      </c>
      <c r="X48" s="779" t="s">
        <v>1083</v>
      </c>
      <c r="Y48" s="456" t="s">
        <v>481</v>
      </c>
      <c r="Z48" s="464" t="s">
        <v>780</v>
      </c>
      <c r="AA48" s="446" t="s">
        <v>781</v>
      </c>
      <c r="AF48" s="814"/>
      <c r="AG48" s="814"/>
    </row>
    <row r="49" spans="9:34" ht="15.95" customHeight="1" thickBot="1" x14ac:dyDescent="0.25">
      <c r="I49" s="437"/>
      <c r="J49" s="437"/>
      <c r="K49" s="447">
        <f>K44+1</f>
        <v>13</v>
      </c>
      <c r="L49" s="472">
        <v>11</v>
      </c>
      <c r="M49" s="465" t="str">
        <f ca="1">IFERROR(VLOOKUP(L50,$G$5:$J$28,2,FALSE),"")</f>
        <v/>
      </c>
      <c r="N49" s="966"/>
      <c r="O49" s="780"/>
      <c r="Q49" s="447">
        <f>Q44+1</f>
        <v>13</v>
      </c>
      <c r="R49" s="472">
        <v>16</v>
      </c>
      <c r="S49" s="465" t="str">
        <f ca="1">IFERROR(VLOOKUP(R50,$G$5:$J$28,2,FALSE),"")</f>
        <v/>
      </c>
      <c r="T49" s="966"/>
      <c r="U49" s="780"/>
      <c r="W49" s="447">
        <f>W44+1</f>
        <v>13</v>
      </c>
      <c r="X49" s="472">
        <v>13</v>
      </c>
      <c r="Y49" s="465" t="str">
        <f ca="1">IFERROR(VLOOKUP(X50,$G$5:$J$28,2,FALSE),"")</f>
        <v/>
      </c>
      <c r="Z49" s="966"/>
      <c r="AA49" s="780"/>
      <c r="AF49" s="814"/>
      <c r="AG49" s="814"/>
    </row>
    <row r="50" spans="9:34" ht="15.95" customHeight="1" thickBot="1" x14ac:dyDescent="0.25">
      <c r="I50" s="437"/>
      <c r="J50" s="437"/>
      <c r="K50" s="447"/>
      <c r="L50" s="473" t="str">
        <f ca="1">VLOOKUP(L49,$A$5:$G$24,7,FALSE)</f>
        <v/>
      </c>
      <c r="M50" s="466" t="str">
        <f ca="1">IFERROR(VLOOKUP(L50,$G$5:$J$28,3,FALSE),"")</f>
        <v/>
      </c>
      <c r="N50" s="967"/>
      <c r="Q50" s="447"/>
      <c r="R50" s="473" t="str">
        <f>IF(ISBLANK(N35),"",IF(O35+N35&lt;N37+O37,L36,L38))</f>
        <v/>
      </c>
      <c r="S50" s="466" t="str">
        <f ca="1">IFERROR(VLOOKUP(R50,$G$5:$J$28,3,FALSE),"")</f>
        <v/>
      </c>
      <c r="T50" s="967"/>
      <c r="W50" s="447"/>
      <c r="X50" s="473" t="str">
        <f>IF(ISBLANK(T49),"",IF(U49+T49&gt;T51+U51,R50,R52))</f>
        <v/>
      </c>
      <c r="Y50" s="466" t="str">
        <f ca="1">IFERROR(VLOOKUP(X50,$G$5:$J$28,3,FALSE),"")</f>
        <v/>
      </c>
      <c r="Z50" s="967"/>
      <c r="AH50" s="818"/>
    </row>
    <row r="51" spans="9:34" ht="15.95" customHeight="1" thickBot="1" x14ac:dyDescent="0.25">
      <c r="I51" s="437"/>
      <c r="J51" s="437"/>
      <c r="K51" s="447">
        <f>K49+1</f>
        <v>14</v>
      </c>
      <c r="L51" s="472">
        <v>14</v>
      </c>
      <c r="M51" s="465" t="str">
        <f ca="1">IFERROR(VLOOKUP(L52,$G$5:$J$28,2,FALSE),"")</f>
        <v/>
      </c>
      <c r="N51" s="966"/>
      <c r="O51" s="780"/>
      <c r="Q51" s="447">
        <f>Q49+1</f>
        <v>14</v>
      </c>
      <c r="R51" s="472">
        <v>13</v>
      </c>
      <c r="S51" s="465" t="str">
        <f ca="1">IFERROR(VLOOKUP(R52,$G$5:$J$28,2,FALSE),"")</f>
        <v/>
      </c>
      <c r="T51" s="966"/>
      <c r="U51" s="780"/>
      <c r="W51" s="447">
        <f>W49+1</f>
        <v>14</v>
      </c>
      <c r="X51" s="472">
        <v>14</v>
      </c>
      <c r="Y51" s="465" t="str">
        <f ca="1">IFERROR(VLOOKUP(X52,$G$5:$J$28,2,FALSE),"")</f>
        <v/>
      </c>
      <c r="Z51" s="966"/>
      <c r="AA51" s="780"/>
      <c r="AH51" s="818"/>
    </row>
    <row r="52" spans="9:34" ht="15.95" customHeight="1" thickBot="1" x14ac:dyDescent="0.25">
      <c r="I52" s="437"/>
      <c r="J52" s="437"/>
      <c r="K52" s="447"/>
      <c r="L52" s="473" t="str">
        <f ca="1">VLOOKUP(L51,$A$5:$G$24,7,FALSE)</f>
        <v/>
      </c>
      <c r="M52" s="466" t="str">
        <f ca="1">IFERROR(VLOOKUP(L52,$G$5:$J$28,3,FALSE),"")</f>
        <v/>
      </c>
      <c r="N52" s="967"/>
      <c r="Q52" s="447"/>
      <c r="R52" s="473" t="str">
        <f>IF(ISBLANK(N42),"",IF(O42+N42&lt;N44+O44,L43,L45))</f>
        <v/>
      </c>
      <c r="S52" s="466" t="str">
        <f ca="1">IFERROR(VLOOKUP(R52,$G$5:$J$28,3,FALSE),"")</f>
        <v/>
      </c>
      <c r="T52" s="967"/>
      <c r="W52" s="447"/>
      <c r="X52" s="473" t="str">
        <f>IF(ISBLANK(T56),"",IF(U56+T56&gt;T58+U58,R57,R59))</f>
        <v/>
      </c>
      <c r="Y52" s="466" t="str">
        <f ca="1">IFERROR(VLOOKUP(X52,$G$5:$J$28,3,FALSE),"")</f>
        <v/>
      </c>
      <c r="Z52" s="967"/>
      <c r="AH52" s="818"/>
    </row>
    <row r="53" spans="9:34" ht="15.95" customHeight="1" x14ac:dyDescent="0.2">
      <c r="I53" s="437"/>
      <c r="J53" s="437"/>
      <c r="K53" s="447"/>
      <c r="L53" s="441"/>
      <c r="M53" s="441"/>
      <c r="Q53" s="447"/>
      <c r="R53" s="437"/>
      <c r="S53" s="437"/>
      <c r="T53" s="451"/>
      <c r="W53" s="447"/>
      <c r="X53" s="441"/>
      <c r="Y53" s="441"/>
      <c r="AH53" s="818"/>
    </row>
    <row r="54" spans="9:34" ht="15.95" customHeight="1" thickBot="1" x14ac:dyDescent="0.25">
      <c r="I54" s="437"/>
      <c r="J54" s="437"/>
      <c r="K54" s="450"/>
      <c r="L54" s="450"/>
      <c r="M54" s="450"/>
      <c r="N54" s="451"/>
      <c r="O54" s="450"/>
      <c r="P54" s="450"/>
      <c r="Q54" s="450"/>
      <c r="R54" s="437"/>
      <c r="S54" s="437"/>
      <c r="T54" s="451"/>
      <c r="U54" s="450"/>
      <c r="V54" s="450"/>
      <c r="W54" s="450"/>
      <c r="X54" s="979" t="s">
        <v>828</v>
      </c>
      <c r="Y54" s="1247"/>
      <c r="Z54" s="1247"/>
      <c r="AA54" s="450"/>
      <c r="AH54" s="818"/>
    </row>
    <row r="55" spans="9:34" ht="15.95" customHeight="1" thickBot="1" x14ac:dyDescent="0.25">
      <c r="I55" s="437"/>
      <c r="J55" s="437"/>
      <c r="K55" s="445" t="s">
        <v>779</v>
      </c>
      <c r="L55" s="779" t="s">
        <v>1083</v>
      </c>
      <c r="M55" s="456" t="s">
        <v>481</v>
      </c>
      <c r="N55" s="464" t="s">
        <v>780</v>
      </c>
      <c r="O55" s="446" t="s">
        <v>781</v>
      </c>
      <c r="P55" s="445"/>
      <c r="Q55" s="445" t="s">
        <v>779</v>
      </c>
      <c r="R55" s="779" t="s">
        <v>1083</v>
      </c>
      <c r="S55" s="456" t="s">
        <v>481</v>
      </c>
      <c r="T55" s="464" t="s">
        <v>780</v>
      </c>
      <c r="U55" s="446" t="s">
        <v>781</v>
      </c>
      <c r="V55" s="445"/>
      <c r="W55" s="445" t="s">
        <v>779</v>
      </c>
      <c r="X55" s="779" t="s">
        <v>1083</v>
      </c>
      <c r="Y55" s="456" t="s">
        <v>481</v>
      </c>
      <c r="Z55" s="464" t="s">
        <v>780</v>
      </c>
      <c r="AA55" s="446" t="s">
        <v>781</v>
      </c>
      <c r="AH55" s="818"/>
    </row>
    <row r="56" spans="9:34" ht="15.95" customHeight="1" thickBot="1" x14ac:dyDescent="0.25">
      <c r="I56" s="437"/>
      <c r="J56" s="437"/>
      <c r="K56" s="447">
        <f>K51+1</f>
        <v>15</v>
      </c>
      <c r="L56" s="472">
        <v>10</v>
      </c>
      <c r="M56" s="465" t="str">
        <f ca="1">IFERROR(VLOOKUP(L57,$G$5:$J$28,2,FALSE),"")</f>
        <v/>
      </c>
      <c r="N56" s="966"/>
      <c r="O56" s="780"/>
      <c r="Q56" s="447">
        <f>Q51+1</f>
        <v>15</v>
      </c>
      <c r="R56" s="472">
        <v>14</v>
      </c>
      <c r="S56" s="465" t="str">
        <f ca="1">IFERROR(VLOOKUP(R57,$G$5:$J$28,2,FALSE),"")</f>
        <v/>
      </c>
      <c r="T56" s="966"/>
      <c r="U56" s="780"/>
      <c r="W56" s="447">
        <f>W51+1</f>
        <v>15</v>
      </c>
      <c r="X56" s="472">
        <v>16</v>
      </c>
      <c r="Y56" s="465" t="str">
        <f ca="1">IFERROR(VLOOKUP(X57,$G$5:$J$28,2,FALSE),"")</f>
        <v/>
      </c>
      <c r="Z56" s="966"/>
      <c r="AA56" s="780"/>
      <c r="AH56" s="818"/>
    </row>
    <row r="57" spans="9:34" ht="15.95" customHeight="1" thickBot="1" x14ac:dyDescent="0.25">
      <c r="I57" s="437"/>
      <c r="J57" s="437"/>
      <c r="K57" s="447"/>
      <c r="L57" s="473" t="str">
        <f ca="1">VLOOKUP(L56,$A$5:$G$24,7,FALSE)</f>
        <v/>
      </c>
      <c r="M57" s="466" t="str">
        <f ca="1">IFERROR(VLOOKUP(L57,$G$5:$J$28,3,FALSE),"")</f>
        <v/>
      </c>
      <c r="N57" s="967"/>
      <c r="Q57" s="447"/>
      <c r="R57" s="473" t="str">
        <f>IF(ISBLANK(N49),"",IF(N49+O49&lt;N51+O51,L50,L52))</f>
        <v/>
      </c>
      <c r="S57" s="466" t="str">
        <f ca="1">IFERROR(VLOOKUP(R57,$G$5:$J$28,3,FALSE),"")</f>
        <v/>
      </c>
      <c r="T57" s="967"/>
      <c r="W57" s="447"/>
      <c r="X57" s="473" t="str">
        <f>IF(ISBLANK(T49),"",IF(U49+T49&lt;T51+U51,R50,R52))</f>
        <v/>
      </c>
      <c r="Y57" s="466" t="str">
        <f ca="1">IFERROR(VLOOKUP(X57,$G$5:$J$28,3,FALSE),"")</f>
        <v/>
      </c>
      <c r="Z57" s="967"/>
      <c r="AH57" s="818"/>
    </row>
    <row r="58" spans="9:34" ht="15.95" customHeight="1" thickBot="1" x14ac:dyDescent="0.25">
      <c r="I58" s="437"/>
      <c r="J58" s="437"/>
      <c r="K58" s="447">
        <f>K56+1</f>
        <v>16</v>
      </c>
      <c r="L58" s="472">
        <v>15</v>
      </c>
      <c r="M58" s="465" t="str">
        <f ca="1">IFERROR(VLOOKUP(L59,$G$5:$J$28,2,FALSE),"")</f>
        <v/>
      </c>
      <c r="N58" s="966"/>
      <c r="O58" s="780"/>
      <c r="Q58" s="447">
        <f>Q56+1</f>
        <v>16</v>
      </c>
      <c r="R58" s="472">
        <v>15</v>
      </c>
      <c r="S58" s="465" t="str">
        <f ca="1">IFERROR(VLOOKUP(R59,$G$5:$J$28,2,FALSE),"")</f>
        <v/>
      </c>
      <c r="T58" s="966"/>
      <c r="U58" s="780"/>
      <c r="W58" s="447">
        <f>W56+1</f>
        <v>16</v>
      </c>
      <c r="X58" s="472">
        <v>15</v>
      </c>
      <c r="Y58" s="465" t="str">
        <f ca="1">IFERROR(VLOOKUP(X59,$G$5:$J$28,2,FALSE),"")</f>
        <v/>
      </c>
      <c r="Z58" s="966"/>
      <c r="AA58" s="780"/>
      <c r="AH58" s="818"/>
    </row>
    <row r="59" spans="9:34" ht="15.95" customHeight="1" thickBot="1" x14ac:dyDescent="0.25">
      <c r="I59" s="437"/>
      <c r="J59" s="437"/>
      <c r="K59" s="447"/>
      <c r="L59" s="473" t="str">
        <f ca="1">VLOOKUP(L58,$A$5:$G$24,7,FALSE)</f>
        <v/>
      </c>
      <c r="M59" s="466" t="str">
        <f ca="1">IFERROR(VLOOKUP(L59,$G$5:$J$28,3,FALSE),"")</f>
        <v/>
      </c>
      <c r="N59" s="967"/>
      <c r="Q59" s="447"/>
      <c r="R59" s="473" t="str">
        <f>IF(ISBLANK(N56),"",IF(N56+O56&lt;N58+O58,L57,L59))</f>
        <v/>
      </c>
      <c r="S59" s="466" t="str">
        <f ca="1">IFERROR(VLOOKUP(R59,$G$5:$J$28,3,FALSE),"")</f>
        <v/>
      </c>
      <c r="T59" s="967"/>
      <c r="W59" s="447"/>
      <c r="X59" s="473" t="str">
        <f>IF(ISBLANK(T56),"",IF(U56+T56&lt;T58+U58,R57,R59))</f>
        <v/>
      </c>
      <c r="Y59" s="466" t="str">
        <f ca="1">IFERROR(VLOOKUP(X59,$G$5:$J$28,3,FALSE),"")</f>
        <v/>
      </c>
      <c r="Z59" s="967"/>
      <c r="AH59" s="818"/>
    </row>
    <row r="60" spans="9:34" ht="15.95" customHeight="1" x14ac:dyDescent="0.2">
      <c r="I60" s="437"/>
      <c r="J60" s="437"/>
      <c r="K60" s="447"/>
      <c r="Q60" s="447"/>
      <c r="W60" s="447"/>
      <c r="AH60" s="818"/>
    </row>
    <row r="61" spans="9:34" ht="15.95" customHeight="1" thickBot="1" x14ac:dyDescent="0.25">
      <c r="I61" s="437"/>
      <c r="J61" s="437"/>
      <c r="K61" s="437"/>
      <c r="L61" s="437"/>
      <c r="M61" s="437"/>
      <c r="N61" s="437"/>
      <c r="T61" s="441"/>
      <c r="X61" s="441"/>
      <c r="Y61" s="979" t="s">
        <v>831</v>
      </c>
      <c r="Z61" s="1247"/>
      <c r="AA61" s="1247"/>
    </row>
    <row r="62" spans="9:34" ht="15.95" customHeight="1" thickBot="1" x14ac:dyDescent="0.25">
      <c r="I62" s="437"/>
      <c r="J62" s="437"/>
      <c r="K62" s="445" t="s">
        <v>779</v>
      </c>
      <c r="L62" s="779" t="s">
        <v>1083</v>
      </c>
      <c r="M62" s="456" t="s">
        <v>481</v>
      </c>
      <c r="N62" s="464" t="s">
        <v>780</v>
      </c>
      <c r="O62" s="446"/>
      <c r="P62" s="445"/>
      <c r="Q62" s="445" t="s">
        <v>779</v>
      </c>
      <c r="R62" s="779" t="s">
        <v>1083</v>
      </c>
      <c r="S62" s="456" t="s">
        <v>481</v>
      </c>
      <c r="T62" s="832" t="s">
        <v>1244</v>
      </c>
      <c r="U62" s="446" t="s">
        <v>781</v>
      </c>
      <c r="V62" s="445"/>
      <c r="W62" s="445" t="s">
        <v>779</v>
      </c>
      <c r="X62" s="779" t="s">
        <v>1083</v>
      </c>
      <c r="Y62" s="456" t="s">
        <v>481</v>
      </c>
      <c r="Z62" s="464" t="s">
        <v>780</v>
      </c>
      <c r="AA62" s="446" t="s">
        <v>781</v>
      </c>
    </row>
    <row r="63" spans="9:34" ht="15.95" customHeight="1" thickBot="1" x14ac:dyDescent="0.25">
      <c r="I63" s="437"/>
      <c r="J63" s="437"/>
      <c r="K63" s="447">
        <f>K58+1</f>
        <v>17</v>
      </c>
      <c r="L63" s="472">
        <v>17</v>
      </c>
      <c r="M63" s="465" t="str">
        <f ca="1">IFERROR(VLOOKUP(L64,$G$5:$J$28,2,FALSE),"")</f>
        <v/>
      </c>
      <c r="N63" s="966"/>
      <c r="O63" s="518"/>
      <c r="Q63" s="447">
        <f>Q58+1</f>
        <v>17</v>
      </c>
      <c r="R63" s="472">
        <f>K63</f>
        <v>17</v>
      </c>
      <c r="S63" s="465" t="str">
        <f ca="1">IFERROR(VLOOKUP(R64,$G$5:$J$28,2,FALSE),"")</f>
        <v/>
      </c>
      <c r="T63" s="966"/>
      <c r="U63" s="780"/>
      <c r="W63" s="447">
        <f>R63</f>
        <v>17</v>
      </c>
      <c r="X63" s="472">
        <v>17</v>
      </c>
      <c r="Y63" s="465" t="str">
        <f ca="1">IFERROR(VLOOKUP(X64,$G$5:$J$28,2,FALSE),"")</f>
        <v/>
      </c>
      <c r="Z63" s="966"/>
      <c r="AA63" s="780"/>
    </row>
    <row r="64" spans="9:34" ht="15.95" customHeight="1" thickBot="1" x14ac:dyDescent="0.25">
      <c r="I64" s="437"/>
      <c r="J64" s="437"/>
      <c r="K64" s="447"/>
      <c r="L64" s="473" t="str">
        <f ca="1">VLOOKUP(L63,$A$5:$G$24,7,FALSE)</f>
        <v/>
      </c>
      <c r="M64" s="466" t="str">
        <f ca="1">IFERROR(VLOOKUP(L64,$G$5:$J$28,3,FALSE),"")</f>
        <v/>
      </c>
      <c r="N64" s="967"/>
      <c r="Q64" s="447"/>
      <c r="R64" s="473" t="str">
        <f ca="1">L64</f>
        <v/>
      </c>
      <c r="S64" s="466" t="str">
        <f ca="1">IFERROR(VLOOKUP(R64,$G$5:$J$28,3,FALSE),"")</f>
        <v/>
      </c>
      <c r="T64" s="967"/>
      <c r="U64" s="781" t="str">
        <f>IF(T63="","",O86)</f>
        <v/>
      </c>
      <c r="W64" s="447"/>
      <c r="X64" s="473" t="str">
        <f ca="1">R64</f>
        <v/>
      </c>
      <c r="Y64" s="466" t="str">
        <f ca="1">IFERROR(VLOOKUP(X64,$G$5:$J$28,3,FALSE),"")</f>
        <v/>
      </c>
      <c r="Z64" s="967"/>
    </row>
    <row r="65" spans="9:36" ht="15.95" customHeight="1" thickBot="1" x14ac:dyDescent="0.25">
      <c r="I65" s="437"/>
      <c r="J65" s="437"/>
      <c r="K65" s="447"/>
      <c r="L65" s="441"/>
      <c r="M65" s="441"/>
      <c r="S65" s="923"/>
      <c r="T65" s="923"/>
      <c r="U65" s="447"/>
      <c r="W65" s="447">
        <f>W63+1</f>
        <v>18</v>
      </c>
      <c r="X65" s="472">
        <v>18</v>
      </c>
      <c r="Y65" s="465" t="str">
        <f ca="1">IFERROR(VLOOKUP(X66,$G$5:$J$28,2,FALSE),"")</f>
        <v/>
      </c>
      <c r="Z65" s="966"/>
      <c r="AA65" s="780"/>
      <c r="AH65" s="441"/>
      <c r="AI65" s="441"/>
      <c r="AJ65" s="809"/>
    </row>
    <row r="66" spans="9:36" ht="15.95" customHeight="1" thickBot="1" x14ac:dyDescent="0.25">
      <c r="I66" s="437"/>
      <c r="J66" s="437"/>
      <c r="K66" s="447"/>
      <c r="L66" s="450"/>
      <c r="M66" s="450"/>
      <c r="N66" s="451"/>
      <c r="Q66" s="447"/>
      <c r="R66" s="450"/>
      <c r="S66" s="816"/>
      <c r="T66" s="816"/>
      <c r="W66" s="447"/>
      <c r="X66" s="473" t="str">
        <f>IF(ISBLANK(T68),"",IF(U68+T68&gt;T70+U70,R69,R71))</f>
        <v/>
      </c>
      <c r="Y66" s="466" t="str">
        <f ca="1">IFERROR(VLOOKUP(X66,$G$5:$J$28,3,FALSE),"")</f>
        <v/>
      </c>
      <c r="Z66" s="967"/>
      <c r="AH66" s="441"/>
      <c r="AI66" s="441"/>
      <c r="AJ66" s="809"/>
    </row>
    <row r="67" spans="9:36" ht="15.95" customHeight="1" thickBot="1" x14ac:dyDescent="0.25">
      <c r="I67" s="437"/>
      <c r="J67" s="437"/>
      <c r="K67" s="445" t="s">
        <v>779</v>
      </c>
      <c r="L67" s="779" t="s">
        <v>1083</v>
      </c>
      <c r="M67" s="456" t="s">
        <v>481</v>
      </c>
      <c r="N67" s="464" t="s">
        <v>780</v>
      </c>
      <c r="O67" s="450"/>
      <c r="P67" s="450"/>
      <c r="Q67" s="445" t="s">
        <v>779</v>
      </c>
      <c r="R67" s="779" t="s">
        <v>1083</v>
      </c>
      <c r="S67" s="456" t="s">
        <v>481</v>
      </c>
      <c r="T67" s="832" t="s">
        <v>1244</v>
      </c>
      <c r="U67" s="446" t="s">
        <v>781</v>
      </c>
      <c r="V67" s="450"/>
      <c r="W67" s="450"/>
      <c r="X67" s="450"/>
      <c r="Y67" s="450"/>
      <c r="Z67" s="451"/>
      <c r="AA67" s="450"/>
      <c r="AH67" s="441"/>
      <c r="AI67" s="441"/>
      <c r="AJ67" s="441"/>
    </row>
    <row r="68" spans="9:36" ht="15.95" customHeight="1" thickBot="1" x14ac:dyDescent="0.25">
      <c r="I68" s="437"/>
      <c r="J68" s="437"/>
      <c r="K68" s="447">
        <f>K63+1</f>
        <v>18</v>
      </c>
      <c r="L68" s="472">
        <v>18</v>
      </c>
      <c r="M68" s="465" t="str">
        <f ca="1">IFERROR(VLOOKUP(L69,$G$5:$J$28,2,FALSE),"")</f>
        <v/>
      </c>
      <c r="N68" s="966"/>
      <c r="O68" s="450"/>
      <c r="P68" s="450"/>
      <c r="Q68" s="447">
        <f>Q63+1</f>
        <v>18</v>
      </c>
      <c r="R68" s="472">
        <f>K68</f>
        <v>18</v>
      </c>
      <c r="S68" s="465" t="str">
        <f ca="1">IFERROR(VLOOKUP(R69,$G$5:$J$28,2,FALSE),"")</f>
        <v/>
      </c>
      <c r="T68" s="966"/>
      <c r="U68" s="780"/>
      <c r="V68" s="450"/>
      <c r="W68" s="450"/>
      <c r="X68" s="1250" t="s">
        <v>1321</v>
      </c>
      <c r="Y68" s="1250"/>
      <c r="Z68" s="457"/>
      <c r="AA68" s="450"/>
      <c r="AH68" s="441"/>
      <c r="AI68" s="441"/>
      <c r="AJ68" s="441"/>
    </row>
    <row r="69" spans="9:36" ht="15.95" customHeight="1" thickBot="1" x14ac:dyDescent="0.25">
      <c r="K69" s="447"/>
      <c r="L69" s="473" t="str">
        <f ca="1">VLOOKUP(L68,$A$5:$G$24,7,FALSE)</f>
        <v/>
      </c>
      <c r="M69" s="466" t="str">
        <f ca="1">IFERROR(VLOOKUP(L69,$G$5:$J$28,3,FALSE),"")</f>
        <v/>
      </c>
      <c r="N69" s="967"/>
      <c r="O69" s="446"/>
      <c r="P69" s="445"/>
      <c r="Q69" s="447"/>
      <c r="R69" s="473" t="str">
        <f ca="1">L69</f>
        <v/>
      </c>
      <c r="S69" s="466" t="str">
        <f ca="1">IFERROR(VLOOKUP(R69,$G$5:$J$28,3,FALSE),"")</f>
        <v/>
      </c>
      <c r="T69" s="967"/>
      <c r="V69" s="445"/>
      <c r="W69" s="445" t="s">
        <v>779</v>
      </c>
      <c r="X69" s="779" t="s">
        <v>1083</v>
      </c>
      <c r="Y69" s="515" t="s">
        <v>481</v>
      </c>
      <c r="Z69" s="457"/>
      <c r="AA69" s="450"/>
      <c r="AH69" s="441"/>
      <c r="AI69" s="441"/>
      <c r="AJ69" s="450"/>
    </row>
    <row r="70" spans="9:36" ht="15.95" customHeight="1" thickBot="1" x14ac:dyDescent="0.25">
      <c r="K70" s="447"/>
      <c r="L70" s="441"/>
      <c r="M70" s="441"/>
      <c r="O70" s="518"/>
      <c r="Q70" s="447">
        <f>Q68+1</f>
        <v>19</v>
      </c>
      <c r="R70" s="472">
        <f>K73</f>
        <v>19</v>
      </c>
      <c r="S70" s="465" t="str">
        <f ca="1">IFERROR(VLOOKUP(R71,$G$5:$J$28,2,FALSE),"")</f>
        <v/>
      </c>
      <c r="T70" s="966"/>
      <c r="U70" s="780"/>
      <c r="W70" s="447">
        <f>W65+1</f>
        <v>19</v>
      </c>
      <c r="X70" s="472">
        <v>19</v>
      </c>
      <c r="Y70" s="467" t="str">
        <f ca="1">IFERROR(VLOOKUP(X71,$G$5:$J$28,2,FALSE),"")</f>
        <v/>
      </c>
      <c r="Z70" s="525">
        <v>1</v>
      </c>
      <c r="AA70" s="450"/>
      <c r="AH70" s="441"/>
      <c r="AI70" s="441"/>
      <c r="AJ70" s="450"/>
    </row>
    <row r="71" spans="9:36" ht="15.95" customHeight="1" thickBot="1" x14ac:dyDescent="0.25">
      <c r="Q71" s="450"/>
      <c r="R71" s="473" t="str">
        <f ca="1">L74</f>
        <v/>
      </c>
      <c r="S71" s="466" t="str">
        <f ca="1">IFERROR(VLOOKUP(R71,$G$5:$J$28,3,FALSE),"")</f>
        <v/>
      </c>
      <c r="T71" s="967"/>
      <c r="W71" s="447"/>
      <c r="X71" s="473" t="str">
        <f>IF(ISBLANK(T68),"",IF(U68+T68&lt;T70+U70,R69,R71))</f>
        <v/>
      </c>
      <c r="Y71" s="468" t="str">
        <f ca="1">IFERROR(VLOOKUP(X71,$G$5:$J$28,3,FALSE),"")</f>
        <v/>
      </c>
      <c r="Z71" s="457"/>
      <c r="AA71" s="450"/>
      <c r="AH71" s="441"/>
      <c r="AI71" s="441"/>
      <c r="AJ71" s="445"/>
    </row>
    <row r="72" spans="9:36" ht="15.95" customHeight="1" thickBot="1" x14ac:dyDescent="0.25">
      <c r="K72" s="445" t="s">
        <v>779</v>
      </c>
      <c r="L72" s="779" t="s">
        <v>1083</v>
      </c>
      <c r="M72" s="456" t="s">
        <v>481</v>
      </c>
      <c r="N72" s="464" t="s">
        <v>780</v>
      </c>
      <c r="W72" s="447"/>
      <c r="X72" s="441"/>
      <c r="Z72" s="457"/>
      <c r="AA72" s="450"/>
      <c r="AH72" s="441"/>
      <c r="AI72" s="441"/>
      <c r="AJ72" s="809"/>
    </row>
    <row r="73" spans="9:36" ht="15.95" customHeight="1" x14ac:dyDescent="0.2">
      <c r="I73" s="437"/>
      <c r="J73" s="437"/>
      <c r="K73" s="447">
        <f>K68+1</f>
        <v>19</v>
      </c>
      <c r="L73" s="894">
        <v>19</v>
      </c>
      <c r="M73" s="465" t="str">
        <f ca="1">IFERROR(VLOOKUP(L74,$G$5:$J$28,2,FALSE),"")</f>
        <v/>
      </c>
      <c r="N73" s="966"/>
      <c r="W73" s="447"/>
      <c r="X73" s="524"/>
      <c r="Y73" s="441"/>
      <c r="Z73" s="457"/>
      <c r="AA73" s="450"/>
      <c r="AH73" s="441"/>
      <c r="AI73" s="441"/>
      <c r="AJ73" s="809"/>
    </row>
    <row r="74" spans="9:36" ht="15.95" customHeight="1" thickBot="1" x14ac:dyDescent="0.25">
      <c r="I74" s="437"/>
      <c r="J74" s="437"/>
      <c r="K74" s="447"/>
      <c r="L74" s="473" t="str">
        <f ca="1">VLOOKUP(L73,$A$5:$G$24,7,FALSE)</f>
        <v/>
      </c>
      <c r="M74" s="466" t="str">
        <f ca="1">IFERROR(VLOOKUP(L74,$G$5:$J$28,3,FALSE),"")</f>
        <v/>
      </c>
      <c r="N74" s="967"/>
      <c r="X74" s="450"/>
      <c r="Y74" s="450"/>
      <c r="Z74" s="457"/>
      <c r="AA74" s="450"/>
      <c r="AH74" s="441"/>
      <c r="AI74" s="441"/>
      <c r="AJ74" s="450"/>
    </row>
    <row r="75" spans="9:36" ht="15.95" customHeight="1" x14ac:dyDescent="0.2">
      <c r="I75" s="437"/>
      <c r="J75" s="437"/>
      <c r="K75" s="450"/>
      <c r="L75" s="778"/>
      <c r="M75" s="778"/>
      <c r="N75" s="815"/>
      <c r="O75" s="778"/>
      <c r="X75" s="979"/>
      <c r="Y75" s="979"/>
      <c r="Z75" s="457"/>
      <c r="AA75" s="450"/>
      <c r="AH75" s="441"/>
      <c r="AI75" s="441"/>
      <c r="AJ75" s="450"/>
    </row>
    <row r="76" spans="9:36" ht="15.95" customHeight="1" x14ac:dyDescent="0.2">
      <c r="I76" s="437"/>
      <c r="J76" s="437"/>
      <c r="L76" s="778"/>
      <c r="M76" s="778"/>
      <c r="N76" s="815"/>
      <c r="O76" s="778"/>
      <c r="P76" s="445"/>
      <c r="Q76" s="445"/>
      <c r="R76" s="445"/>
      <c r="S76" s="445"/>
      <c r="T76" s="445"/>
      <c r="U76" s="445"/>
      <c r="X76" s="979"/>
      <c r="Y76" s="979"/>
      <c r="Z76" s="457"/>
      <c r="AA76" s="450"/>
      <c r="AH76" s="441"/>
      <c r="AI76" s="441"/>
      <c r="AJ76" s="450"/>
    </row>
    <row r="77" spans="9:36" ht="15.95" customHeight="1" x14ac:dyDescent="0.2">
      <c r="I77" s="437"/>
      <c r="J77" s="437"/>
      <c r="L77" s="778"/>
      <c r="M77" s="778"/>
      <c r="N77" s="815"/>
      <c r="O77" s="778"/>
      <c r="P77" s="778"/>
      <c r="V77" s="450"/>
      <c r="W77" s="450"/>
      <c r="X77" s="979"/>
      <c r="Y77" s="979"/>
      <c r="Z77" s="457"/>
      <c r="AA77" s="450"/>
      <c r="AH77" s="441"/>
      <c r="AI77" s="441"/>
      <c r="AJ77" s="450"/>
    </row>
    <row r="78" spans="9:36" ht="15.95" customHeight="1" x14ac:dyDescent="0.2">
      <c r="I78" s="437"/>
      <c r="J78" s="437"/>
      <c r="L78" s="778"/>
      <c r="M78" s="778"/>
      <c r="N78" s="815"/>
      <c r="O78" s="778"/>
      <c r="P78" s="778"/>
      <c r="V78" s="450"/>
      <c r="W78" s="450"/>
      <c r="X78" s="979"/>
      <c r="Y78" s="979"/>
      <c r="Z78" s="457"/>
      <c r="AA78" s="450"/>
      <c r="AH78" s="441"/>
      <c r="AI78" s="441"/>
      <c r="AJ78" s="445"/>
    </row>
    <row r="79" spans="9:36" ht="15.95" customHeight="1" x14ac:dyDescent="0.2">
      <c r="I79" s="437"/>
      <c r="J79" s="437"/>
      <c r="K79" s="447"/>
      <c r="L79" s="778"/>
      <c r="M79" s="778"/>
      <c r="N79" s="815"/>
      <c r="O79" s="778"/>
      <c r="P79" s="778"/>
      <c r="V79" s="450"/>
      <c r="W79" s="450"/>
      <c r="X79" s="979"/>
      <c r="Y79" s="979"/>
      <c r="Z79" s="457"/>
      <c r="AA79" s="450"/>
      <c r="AH79" s="441"/>
      <c r="AI79" s="441"/>
      <c r="AJ79" s="809"/>
    </row>
    <row r="80" spans="9:36" ht="15.95" customHeight="1" x14ac:dyDescent="0.2">
      <c r="I80" s="437"/>
      <c r="J80" s="437"/>
      <c r="K80" s="447"/>
      <c r="L80" s="450"/>
      <c r="M80" s="450"/>
      <c r="N80" s="451"/>
      <c r="O80" s="778"/>
      <c r="P80" s="778"/>
      <c r="V80" s="809"/>
      <c r="W80" s="809"/>
      <c r="X80" s="809"/>
      <c r="Y80" s="809"/>
      <c r="Z80" s="457"/>
      <c r="AA80" s="450"/>
      <c r="AH80" s="441"/>
      <c r="AI80" s="441"/>
      <c r="AJ80" s="809"/>
    </row>
    <row r="81" spans="9:36" ht="15.95" customHeight="1" x14ac:dyDescent="0.2">
      <c r="I81" s="437"/>
      <c r="J81" s="437"/>
      <c r="L81" s="516"/>
      <c r="M81" s="457"/>
      <c r="N81" s="457"/>
      <c r="O81" s="443"/>
      <c r="P81" s="443"/>
      <c r="V81" s="443"/>
      <c r="W81" s="445"/>
      <c r="X81" s="516"/>
      <c r="Y81" s="457"/>
      <c r="Z81" s="457"/>
      <c r="AA81" s="443"/>
      <c r="AH81" s="441"/>
      <c r="AI81" s="441"/>
      <c r="AJ81" s="809"/>
    </row>
    <row r="82" spans="9:36" ht="15.95" customHeight="1" x14ac:dyDescent="0.2">
      <c r="I82" s="437"/>
      <c r="J82" s="437"/>
      <c r="L82" s="516"/>
      <c r="M82" s="457"/>
      <c r="N82" s="457"/>
      <c r="O82" s="443"/>
      <c r="P82" s="443"/>
      <c r="R82" s="516"/>
      <c r="S82" s="457"/>
      <c r="T82" s="457"/>
      <c r="U82" s="443"/>
      <c r="V82" s="443"/>
      <c r="W82" s="445"/>
      <c r="X82" s="516"/>
      <c r="Y82" s="457"/>
      <c r="Z82" s="457"/>
      <c r="AA82" s="443"/>
      <c r="AH82" s="441"/>
      <c r="AI82" s="441"/>
      <c r="AJ82" s="450"/>
    </row>
    <row r="83" spans="9:36" ht="15.95" customHeight="1" x14ac:dyDescent="0.2">
      <c r="I83" s="437"/>
      <c r="J83" s="437"/>
      <c r="L83" s="516"/>
      <c r="M83" s="457"/>
      <c r="N83" s="457"/>
      <c r="O83" s="443"/>
      <c r="P83" s="443"/>
      <c r="R83" s="516"/>
      <c r="S83" s="457"/>
      <c r="T83" s="457"/>
      <c r="U83" s="443"/>
      <c r="V83" s="443"/>
      <c r="W83" s="445"/>
      <c r="X83" s="516"/>
      <c r="Y83" s="457"/>
      <c r="Z83" s="457"/>
      <c r="AA83" s="443"/>
      <c r="AH83" s="441"/>
      <c r="AI83" s="441"/>
      <c r="AJ83" s="445"/>
    </row>
    <row r="84" spans="9:36" ht="15.95" customHeight="1" x14ac:dyDescent="0.2">
      <c r="I84" s="437"/>
      <c r="J84" s="437"/>
      <c r="L84" s="516"/>
      <c r="M84" s="457"/>
      <c r="N84" s="457"/>
      <c r="O84" s="443"/>
      <c r="P84" s="443"/>
      <c r="R84" s="516"/>
      <c r="S84" s="457"/>
      <c r="T84" s="457"/>
      <c r="U84" s="443"/>
      <c r="V84" s="443"/>
      <c r="W84" s="445"/>
      <c r="X84" s="516"/>
      <c r="Y84" s="457"/>
      <c r="Z84" s="457"/>
      <c r="AA84" s="443"/>
      <c r="AH84" s="441"/>
      <c r="AI84" s="441"/>
      <c r="AJ84" s="809"/>
    </row>
    <row r="85" spans="9:36" ht="15.95" customHeight="1" x14ac:dyDescent="0.2">
      <c r="I85" s="437"/>
      <c r="J85" s="437"/>
      <c r="L85" s="516"/>
      <c r="M85" s="457"/>
      <c r="N85" s="457"/>
      <c r="O85" s="443"/>
      <c r="P85" s="443"/>
      <c r="R85" s="516"/>
      <c r="S85" s="457"/>
      <c r="T85" s="457"/>
      <c r="U85" s="443"/>
      <c r="V85" s="443"/>
      <c r="W85" s="445"/>
      <c r="X85" s="516"/>
      <c r="Y85" s="457"/>
      <c r="Z85" s="457"/>
      <c r="AA85" s="443"/>
      <c r="AC85" s="788"/>
      <c r="AD85" s="788"/>
      <c r="AE85" s="788"/>
      <c r="AF85" s="788"/>
      <c r="AH85" s="441"/>
      <c r="AI85" s="441"/>
      <c r="AJ85" s="809"/>
    </row>
    <row r="86" spans="9:36" ht="15.95" customHeight="1" x14ac:dyDescent="0.2">
      <c r="L86" s="516"/>
      <c r="M86" s="457"/>
      <c r="N86" s="457"/>
      <c r="O86" s="443"/>
      <c r="P86" s="443"/>
      <c r="R86" s="516"/>
      <c r="S86" s="457"/>
      <c r="T86" s="457"/>
      <c r="U86" s="443"/>
      <c r="V86" s="443"/>
      <c r="W86" s="445"/>
      <c r="X86" s="516"/>
      <c r="Y86" s="457"/>
      <c r="Z86" s="457"/>
      <c r="AA86" s="443"/>
      <c r="AC86" s="788"/>
      <c r="AD86" s="788"/>
      <c r="AE86" s="788"/>
      <c r="AF86" s="788"/>
      <c r="AH86" s="441"/>
      <c r="AI86" s="441"/>
      <c r="AJ86" s="441"/>
    </row>
    <row r="87" spans="9:36" ht="15.95" customHeight="1" x14ac:dyDescent="0.2">
      <c r="L87" s="516"/>
      <c r="M87" s="457"/>
      <c r="N87" s="457"/>
      <c r="O87" s="443"/>
      <c r="P87" s="443"/>
      <c r="R87" s="516"/>
      <c r="S87" s="457"/>
      <c r="T87" s="457"/>
      <c r="U87" s="443"/>
      <c r="V87" s="443"/>
      <c r="W87" s="445"/>
      <c r="X87" s="516"/>
      <c r="Y87" s="457"/>
      <c r="Z87" s="457"/>
      <c r="AA87" s="443"/>
      <c r="AC87" s="788"/>
      <c r="AD87" s="788"/>
      <c r="AE87" s="788"/>
      <c r="AF87" s="788"/>
      <c r="AH87" s="441"/>
      <c r="AI87" s="441"/>
      <c r="AJ87" s="441"/>
    </row>
    <row r="88" spans="9:36" ht="15.95" customHeight="1" x14ac:dyDescent="0.2">
      <c r="L88" s="516"/>
      <c r="M88" s="457"/>
      <c r="N88" s="457"/>
      <c r="O88" s="443"/>
      <c r="P88" s="443"/>
      <c r="R88" s="516"/>
      <c r="S88" s="457"/>
      <c r="T88" s="457"/>
      <c r="U88" s="443"/>
      <c r="V88" s="443"/>
      <c r="W88" s="445"/>
      <c r="X88" s="516"/>
      <c r="Y88" s="457"/>
      <c r="Z88" s="457"/>
      <c r="AA88" s="443"/>
      <c r="AC88" s="788"/>
      <c r="AD88" s="788"/>
      <c r="AE88" s="788"/>
      <c r="AF88" s="788"/>
    </row>
    <row r="89" spans="9:36" ht="15.95" customHeight="1" x14ac:dyDescent="0.2">
      <c r="L89" s="516"/>
      <c r="M89" s="457"/>
      <c r="N89" s="457"/>
      <c r="O89" s="443"/>
      <c r="P89" s="443"/>
      <c r="R89" s="516"/>
      <c r="S89" s="457"/>
      <c r="T89" s="457"/>
      <c r="U89" s="443"/>
      <c r="V89" s="443"/>
      <c r="W89" s="445"/>
      <c r="X89" s="516"/>
      <c r="Y89" s="457"/>
      <c r="Z89" s="457"/>
      <c r="AA89" s="443"/>
      <c r="AC89" s="788"/>
      <c r="AD89" s="788"/>
      <c r="AE89" s="788"/>
      <c r="AF89" s="788"/>
    </row>
    <row r="90" spans="9:36" ht="15.95" customHeight="1" x14ac:dyDescent="0.2">
      <c r="L90" s="516"/>
      <c r="M90" s="457"/>
      <c r="N90" s="457"/>
      <c r="O90" s="443"/>
      <c r="P90" s="443"/>
      <c r="R90" s="516"/>
      <c r="S90" s="457"/>
      <c r="T90" s="457"/>
      <c r="U90" s="443"/>
      <c r="V90" s="443"/>
      <c r="W90" s="445"/>
      <c r="X90" s="516"/>
      <c r="Y90" s="457"/>
      <c r="Z90" s="457"/>
      <c r="AA90" s="443"/>
      <c r="AC90" s="788"/>
      <c r="AD90" s="788"/>
      <c r="AE90" s="788"/>
      <c r="AF90" s="788"/>
    </row>
    <row r="91" spans="9:36" ht="15.95" customHeight="1" x14ac:dyDescent="0.2">
      <c r="L91" s="516"/>
      <c r="M91" s="457"/>
      <c r="N91" s="457"/>
      <c r="O91" s="443"/>
      <c r="P91" s="443"/>
      <c r="R91" s="516"/>
      <c r="S91" s="457"/>
      <c r="T91" s="457"/>
      <c r="U91" s="443"/>
      <c r="V91" s="443"/>
      <c r="W91" s="445"/>
      <c r="X91" s="516"/>
      <c r="Y91" s="457"/>
      <c r="Z91" s="457"/>
      <c r="AA91" s="443"/>
      <c r="AC91" s="788"/>
      <c r="AD91" s="788"/>
      <c r="AE91" s="788"/>
      <c r="AF91" s="788"/>
    </row>
    <row r="92" spans="9:36" ht="15.95" customHeight="1" x14ac:dyDescent="0.2">
      <c r="L92" s="516"/>
      <c r="M92" s="457"/>
      <c r="N92" s="457"/>
      <c r="O92" s="443"/>
      <c r="P92" s="443"/>
      <c r="R92" s="516"/>
      <c r="S92" s="457"/>
      <c r="T92" s="457"/>
      <c r="U92" s="443"/>
      <c r="V92" s="443"/>
      <c r="W92" s="445"/>
      <c r="X92" s="516"/>
      <c r="Y92" s="457"/>
      <c r="Z92" s="457"/>
      <c r="AA92" s="443"/>
      <c r="AC92" s="788"/>
      <c r="AD92" s="788"/>
      <c r="AE92" s="788"/>
      <c r="AF92" s="788"/>
    </row>
    <row r="93" spans="9:36" ht="15.95" customHeight="1" x14ac:dyDescent="0.2">
      <c r="L93" s="516"/>
      <c r="M93" s="457"/>
      <c r="N93" s="457"/>
      <c r="O93" s="443"/>
      <c r="P93" s="443"/>
      <c r="R93" s="516"/>
      <c r="S93" s="457"/>
      <c r="T93" s="457"/>
      <c r="U93" s="443"/>
      <c r="V93" s="443"/>
      <c r="W93" s="445"/>
      <c r="X93" s="516"/>
      <c r="Y93" s="457"/>
      <c r="Z93" s="457"/>
      <c r="AA93" s="443"/>
      <c r="AC93" s="788"/>
      <c r="AD93" s="788"/>
      <c r="AE93" s="788"/>
      <c r="AF93" s="788"/>
    </row>
    <row r="94" spans="9:36" ht="15.95" customHeight="1" x14ac:dyDescent="0.2">
      <c r="L94" s="516"/>
      <c r="M94" s="457"/>
      <c r="N94" s="457"/>
      <c r="O94" s="443"/>
      <c r="P94" s="443"/>
      <c r="R94" s="516"/>
      <c r="S94" s="457"/>
      <c r="T94" s="457"/>
      <c r="U94" s="443"/>
      <c r="V94" s="443"/>
      <c r="W94" s="445"/>
      <c r="X94" s="516"/>
      <c r="Y94" s="457"/>
      <c r="Z94" s="457"/>
      <c r="AA94" s="443"/>
      <c r="AC94" s="788"/>
      <c r="AD94" s="788"/>
      <c r="AE94" s="788"/>
      <c r="AF94" s="788"/>
    </row>
    <row r="95" spans="9:36" ht="15.95" customHeight="1" x14ac:dyDescent="0.2">
      <c r="L95" s="516"/>
      <c r="M95" s="457"/>
      <c r="N95" s="457"/>
      <c r="O95" s="443"/>
      <c r="P95" s="443"/>
      <c r="R95" s="516"/>
      <c r="S95" s="457"/>
      <c r="T95" s="457"/>
      <c r="U95" s="443"/>
      <c r="V95" s="443"/>
      <c r="W95" s="445"/>
      <c r="X95" s="516"/>
      <c r="Y95" s="457"/>
      <c r="Z95" s="457"/>
      <c r="AA95" s="443"/>
      <c r="AC95" s="788"/>
      <c r="AD95" s="788"/>
      <c r="AE95" s="788"/>
      <c r="AF95" s="788"/>
    </row>
    <row r="96" spans="9:36" ht="15.95" customHeight="1" x14ac:dyDescent="0.2">
      <c r="L96" s="516"/>
      <c r="M96" s="457"/>
      <c r="N96" s="457"/>
      <c r="O96" s="443"/>
      <c r="P96" s="443"/>
      <c r="R96" s="516"/>
      <c r="S96" s="457"/>
      <c r="T96" s="457"/>
      <c r="U96" s="443"/>
      <c r="V96" s="443"/>
      <c r="W96" s="445"/>
      <c r="X96" s="516"/>
      <c r="Y96" s="457"/>
      <c r="Z96" s="457"/>
      <c r="AA96" s="443"/>
      <c r="AC96" s="788"/>
      <c r="AD96" s="788"/>
      <c r="AE96" s="788"/>
      <c r="AF96" s="788"/>
    </row>
    <row r="97" spans="12:32" ht="15.95" customHeight="1" x14ac:dyDescent="0.2">
      <c r="L97" s="516"/>
      <c r="M97" s="457"/>
      <c r="N97" s="457"/>
      <c r="O97" s="443"/>
      <c r="P97" s="443"/>
      <c r="R97" s="516"/>
      <c r="S97" s="457"/>
      <c r="T97" s="457"/>
      <c r="U97" s="443"/>
      <c r="V97" s="443"/>
      <c r="W97" s="445"/>
      <c r="X97" s="516"/>
      <c r="Y97" s="457"/>
      <c r="Z97" s="457"/>
      <c r="AA97" s="443"/>
      <c r="AC97" s="788"/>
      <c r="AD97" s="788"/>
      <c r="AE97" s="788"/>
      <c r="AF97" s="788"/>
    </row>
    <row r="98" spans="12:32" ht="15.95" customHeight="1" x14ac:dyDescent="0.2">
      <c r="L98" s="516"/>
      <c r="M98" s="457"/>
      <c r="N98" s="457"/>
      <c r="O98" s="443"/>
      <c r="P98" s="443"/>
      <c r="R98" s="516"/>
      <c r="S98" s="457"/>
      <c r="T98" s="457"/>
      <c r="U98" s="443"/>
      <c r="V98" s="443"/>
      <c r="W98" s="445"/>
      <c r="X98" s="516"/>
      <c r="Y98" s="457"/>
      <c r="Z98" s="457"/>
      <c r="AA98" s="443"/>
      <c r="AC98" s="788"/>
      <c r="AD98" s="788"/>
      <c r="AE98" s="788"/>
      <c r="AF98" s="788"/>
    </row>
    <row r="99" spans="12:32" ht="15.95" customHeight="1" x14ac:dyDescent="0.2">
      <c r="L99" s="516"/>
      <c r="M99" s="457"/>
      <c r="N99" s="457"/>
      <c r="O99" s="443"/>
      <c r="P99" s="443"/>
      <c r="R99" s="516"/>
      <c r="S99" s="457"/>
      <c r="T99" s="457"/>
      <c r="U99" s="443"/>
      <c r="V99" s="443"/>
      <c r="W99" s="445"/>
      <c r="X99" s="516"/>
      <c r="Y99" s="457"/>
      <c r="Z99" s="457"/>
      <c r="AA99" s="443"/>
      <c r="AC99" s="788"/>
      <c r="AD99" s="788"/>
      <c r="AE99" s="788"/>
      <c r="AF99" s="788"/>
    </row>
    <row r="100" spans="12:32" ht="15.95" customHeight="1" x14ac:dyDescent="0.2">
      <c r="L100" s="516"/>
      <c r="M100" s="457"/>
      <c r="N100" s="457"/>
      <c r="O100" s="443"/>
      <c r="P100" s="443"/>
      <c r="R100" s="516"/>
      <c r="S100" s="457"/>
      <c r="T100" s="457"/>
      <c r="U100" s="443"/>
      <c r="V100" s="443"/>
      <c r="W100" s="445"/>
      <c r="X100" s="516"/>
      <c r="Y100" s="457"/>
      <c r="Z100" s="457"/>
      <c r="AA100" s="443"/>
    </row>
    <row r="101" spans="12:32" ht="15.95" customHeight="1" x14ac:dyDescent="0.2">
      <c r="L101" s="516"/>
      <c r="M101" s="457"/>
      <c r="N101" s="457"/>
      <c r="O101" s="443"/>
      <c r="P101" s="443"/>
      <c r="R101" s="516"/>
      <c r="S101" s="457"/>
      <c r="T101" s="457"/>
      <c r="U101" s="443"/>
      <c r="V101" s="443"/>
      <c r="W101" s="445"/>
      <c r="X101" s="516"/>
      <c r="Y101" s="457"/>
      <c r="Z101" s="457"/>
      <c r="AA101" s="443"/>
    </row>
    <row r="102" spans="12:32" ht="15.95" customHeight="1" x14ac:dyDescent="0.2">
      <c r="L102" s="516"/>
      <c r="M102" s="457"/>
      <c r="N102" s="457"/>
      <c r="O102" s="443"/>
      <c r="P102" s="443"/>
      <c r="R102" s="516"/>
      <c r="S102" s="457"/>
      <c r="T102" s="457"/>
      <c r="U102" s="443"/>
      <c r="V102" s="443"/>
      <c r="W102" s="445"/>
      <c r="X102" s="516"/>
      <c r="Y102" s="457"/>
      <c r="Z102" s="457"/>
      <c r="AA102" s="443"/>
    </row>
    <row r="103" spans="12:32" ht="15.95" customHeight="1" x14ac:dyDescent="0.2">
      <c r="L103" s="516"/>
      <c r="M103" s="457"/>
      <c r="N103" s="457"/>
      <c r="O103" s="443"/>
      <c r="P103" s="443"/>
      <c r="R103" s="516"/>
      <c r="S103" s="457"/>
      <c r="T103" s="457"/>
      <c r="U103" s="443"/>
      <c r="V103" s="443"/>
      <c r="W103" s="445"/>
      <c r="X103" s="516"/>
      <c r="Y103" s="457"/>
      <c r="Z103" s="457"/>
      <c r="AA103" s="443"/>
    </row>
    <row r="104" spans="12:32" ht="15.95" customHeight="1" x14ac:dyDescent="0.2">
      <c r="L104" s="516"/>
      <c r="M104" s="457"/>
      <c r="N104" s="457"/>
      <c r="O104" s="443"/>
      <c r="P104" s="443"/>
      <c r="R104" s="516"/>
      <c r="S104" s="457"/>
      <c r="T104" s="457"/>
      <c r="U104" s="443"/>
      <c r="V104" s="443"/>
      <c r="W104" s="445"/>
      <c r="X104" s="516"/>
      <c r="Y104" s="457"/>
      <c r="Z104" s="457"/>
      <c r="AA104" s="443"/>
    </row>
    <row r="105" spans="12:32" ht="15.95" customHeight="1" x14ac:dyDescent="0.2">
      <c r="L105" s="516"/>
      <c r="M105" s="457"/>
      <c r="N105" s="457"/>
      <c r="O105" s="443"/>
      <c r="P105" s="443"/>
      <c r="R105" s="516"/>
      <c r="S105" s="457"/>
      <c r="T105" s="457"/>
      <c r="U105" s="443"/>
      <c r="V105" s="443"/>
      <c r="W105" s="445"/>
      <c r="X105" s="516"/>
      <c r="Y105" s="457"/>
      <c r="Z105" s="457"/>
      <c r="AA105" s="443"/>
    </row>
    <row r="106" spans="12:32" ht="15.95" customHeight="1" x14ac:dyDescent="0.2">
      <c r="L106" s="516"/>
      <c r="M106" s="457"/>
      <c r="N106" s="457"/>
      <c r="O106" s="443"/>
      <c r="P106" s="443"/>
      <c r="R106" s="516"/>
      <c r="S106" s="457"/>
      <c r="T106" s="457"/>
      <c r="U106" s="443"/>
      <c r="V106" s="443"/>
      <c r="W106" s="445"/>
      <c r="X106" s="516"/>
      <c r="Y106" s="457"/>
      <c r="Z106" s="457"/>
      <c r="AA106" s="443"/>
    </row>
    <row r="107" spans="12:32" ht="15.95" customHeight="1" x14ac:dyDescent="0.2">
      <c r="L107" s="516"/>
      <c r="M107" s="457"/>
      <c r="N107" s="457"/>
      <c r="O107" s="443"/>
      <c r="P107" s="443"/>
      <c r="R107" s="516"/>
      <c r="S107" s="457"/>
      <c r="T107" s="457"/>
      <c r="U107" s="443"/>
      <c r="V107" s="443"/>
      <c r="W107" s="445"/>
      <c r="X107" s="516"/>
      <c r="Y107" s="457"/>
      <c r="Z107" s="457"/>
      <c r="AA107" s="443"/>
    </row>
    <row r="108" spans="12:32" ht="15.95" customHeight="1" x14ac:dyDescent="0.2">
      <c r="L108" s="516"/>
      <c r="M108" s="457"/>
      <c r="N108" s="457"/>
      <c r="O108" s="443"/>
      <c r="P108" s="443"/>
      <c r="R108" s="516"/>
      <c r="S108" s="457"/>
      <c r="T108" s="457"/>
      <c r="U108" s="443"/>
      <c r="V108" s="443"/>
      <c r="W108" s="445"/>
      <c r="X108" s="516"/>
      <c r="Y108" s="457"/>
      <c r="Z108" s="457"/>
      <c r="AA108" s="443"/>
    </row>
    <row r="109" spans="12:32" ht="15.95" customHeight="1" x14ac:dyDescent="0.2">
      <c r="L109" s="516"/>
      <c r="M109" s="457"/>
      <c r="N109" s="457"/>
      <c r="O109" s="443"/>
      <c r="P109" s="443"/>
      <c r="R109" s="516"/>
      <c r="S109" s="457"/>
      <c r="T109" s="457"/>
      <c r="U109" s="443"/>
      <c r="V109" s="443"/>
      <c r="W109" s="445"/>
      <c r="X109" s="516"/>
      <c r="Y109" s="457"/>
      <c r="Z109" s="457"/>
      <c r="AA109" s="443"/>
    </row>
    <row r="110" spans="12:32" ht="15.95" customHeight="1" x14ac:dyDescent="0.2">
      <c r="L110" s="516"/>
      <c r="M110" s="457"/>
      <c r="N110" s="457"/>
      <c r="O110" s="443"/>
      <c r="P110" s="443"/>
      <c r="R110" s="516"/>
      <c r="S110" s="457"/>
      <c r="T110" s="457"/>
      <c r="U110" s="443"/>
      <c r="V110" s="443"/>
      <c r="W110" s="445"/>
      <c r="X110" s="516"/>
      <c r="Y110" s="457"/>
      <c r="Z110" s="457"/>
      <c r="AA110" s="443"/>
    </row>
    <row r="111" spans="12:32" ht="15.95" customHeight="1" x14ac:dyDescent="0.2">
      <c r="L111" s="516"/>
      <c r="M111" s="457"/>
      <c r="N111" s="457"/>
      <c r="O111" s="443"/>
      <c r="P111" s="443"/>
      <c r="R111" s="516"/>
      <c r="S111" s="457"/>
      <c r="T111" s="457"/>
      <c r="U111" s="443"/>
      <c r="V111" s="443"/>
      <c r="W111" s="445"/>
      <c r="X111" s="516"/>
      <c r="Y111" s="457"/>
      <c r="Z111" s="457"/>
      <c r="AA111" s="443"/>
    </row>
    <row r="112" spans="12:32" ht="15.95" customHeight="1" x14ac:dyDescent="0.2">
      <c r="L112" s="516"/>
      <c r="M112" s="457"/>
      <c r="N112" s="457"/>
      <c r="O112" s="443"/>
      <c r="P112" s="443"/>
      <c r="R112" s="516"/>
      <c r="S112" s="457"/>
      <c r="T112" s="457"/>
      <c r="U112" s="443"/>
      <c r="V112" s="443"/>
      <c r="W112" s="445"/>
      <c r="X112" s="516"/>
      <c r="Y112" s="457"/>
      <c r="Z112" s="457"/>
      <c r="AA112" s="443"/>
    </row>
    <row r="113" spans="11:27" ht="15.95" customHeight="1" x14ac:dyDescent="0.2">
      <c r="L113" s="516"/>
      <c r="M113" s="457"/>
      <c r="N113" s="457"/>
      <c r="O113" s="443"/>
      <c r="P113" s="443"/>
      <c r="R113" s="516"/>
      <c r="S113" s="457"/>
      <c r="T113" s="457"/>
      <c r="U113" s="443"/>
      <c r="V113" s="443"/>
      <c r="W113" s="445"/>
      <c r="X113" s="516"/>
      <c r="Y113" s="457"/>
      <c r="Z113" s="457"/>
      <c r="AA113" s="443"/>
    </row>
    <row r="114" spans="11:27" ht="15.95" customHeight="1" x14ac:dyDescent="0.2">
      <c r="K114" s="435"/>
      <c r="N114" s="435"/>
      <c r="O114" s="435"/>
      <c r="P114" s="435"/>
      <c r="Q114" s="435"/>
      <c r="R114" s="435"/>
      <c r="S114" s="435"/>
      <c r="T114" s="435"/>
      <c r="U114" s="435"/>
      <c r="V114" s="435"/>
      <c r="W114" s="435"/>
      <c r="Z114" s="435"/>
      <c r="AA114" s="435"/>
    </row>
    <row r="115" spans="11:27" ht="15.95" customHeight="1" x14ac:dyDescent="0.2">
      <c r="K115" s="435"/>
      <c r="N115" s="435"/>
      <c r="O115" s="435"/>
      <c r="P115" s="435"/>
      <c r="Q115" s="435"/>
      <c r="R115" s="435"/>
      <c r="S115" s="435"/>
      <c r="T115" s="435"/>
      <c r="U115" s="435"/>
      <c r="V115" s="435"/>
      <c r="W115" s="435"/>
      <c r="Z115" s="435"/>
      <c r="AA115" s="435"/>
    </row>
    <row r="116" spans="11:27" ht="15.95" customHeight="1" x14ac:dyDescent="0.2">
      <c r="K116" s="435"/>
      <c r="N116" s="435"/>
      <c r="O116" s="435"/>
      <c r="P116" s="435"/>
      <c r="Q116" s="435"/>
      <c r="R116" s="435"/>
      <c r="S116" s="435"/>
      <c r="T116" s="435"/>
      <c r="U116" s="435"/>
      <c r="V116" s="435"/>
      <c r="W116" s="435"/>
      <c r="Z116" s="435"/>
      <c r="AA116" s="435"/>
    </row>
    <row r="117" spans="11:27" ht="15.95" customHeight="1" x14ac:dyDescent="0.2">
      <c r="K117" s="435"/>
      <c r="N117" s="435"/>
      <c r="O117" s="435"/>
      <c r="P117" s="435"/>
      <c r="Q117" s="435"/>
      <c r="R117" s="435"/>
      <c r="S117" s="435"/>
      <c r="T117" s="435"/>
      <c r="U117" s="435"/>
      <c r="V117" s="435"/>
      <c r="W117" s="435"/>
      <c r="Z117" s="435"/>
      <c r="AA117" s="435"/>
    </row>
    <row r="118" spans="11:27" ht="15.95" customHeight="1" x14ac:dyDescent="0.2">
      <c r="K118" s="435"/>
      <c r="N118" s="435"/>
      <c r="O118" s="435"/>
      <c r="P118" s="435"/>
      <c r="Q118" s="435"/>
      <c r="R118" s="435"/>
      <c r="S118" s="435"/>
      <c r="T118" s="435"/>
      <c r="U118" s="435"/>
      <c r="V118" s="435"/>
      <c r="W118" s="435"/>
      <c r="Z118" s="435"/>
      <c r="AA118" s="435"/>
    </row>
    <row r="119" spans="11:27" ht="15.95" customHeight="1" x14ac:dyDescent="0.2">
      <c r="K119" s="435"/>
      <c r="N119" s="435"/>
      <c r="O119" s="435"/>
      <c r="P119" s="435"/>
      <c r="Q119" s="435"/>
      <c r="R119" s="435"/>
      <c r="S119" s="435"/>
      <c r="T119" s="435"/>
      <c r="U119" s="435"/>
      <c r="V119" s="435"/>
      <c r="W119" s="435"/>
      <c r="Z119" s="435"/>
      <c r="AA119" s="435"/>
    </row>
    <row r="120" spans="11:27" ht="15.95" customHeight="1" x14ac:dyDescent="0.2">
      <c r="K120" s="435"/>
      <c r="N120" s="435"/>
      <c r="O120" s="435"/>
      <c r="P120" s="435"/>
      <c r="Q120" s="435"/>
      <c r="R120" s="435"/>
      <c r="S120" s="435"/>
      <c r="T120" s="435"/>
      <c r="U120" s="435"/>
      <c r="V120" s="435"/>
      <c r="W120" s="435"/>
      <c r="Z120" s="435"/>
      <c r="AA120" s="435"/>
    </row>
    <row r="121" spans="11:27" ht="15.95" customHeight="1" x14ac:dyDescent="0.2">
      <c r="K121" s="435"/>
      <c r="N121" s="435"/>
      <c r="O121" s="435"/>
      <c r="P121" s="435"/>
      <c r="Q121" s="435"/>
      <c r="R121" s="435"/>
      <c r="S121" s="435"/>
      <c r="T121" s="435"/>
      <c r="U121" s="435"/>
      <c r="V121" s="435"/>
      <c r="W121" s="435"/>
      <c r="Z121" s="435"/>
      <c r="AA121" s="435"/>
    </row>
    <row r="122" spans="11:27" ht="15.95" customHeight="1" x14ac:dyDescent="0.2">
      <c r="K122" s="435"/>
      <c r="N122" s="435"/>
      <c r="O122" s="435"/>
      <c r="P122" s="435"/>
      <c r="Q122" s="435"/>
      <c r="R122" s="435"/>
      <c r="S122" s="435"/>
      <c r="T122" s="435"/>
      <c r="U122" s="435"/>
      <c r="V122" s="435"/>
      <c r="W122" s="435"/>
      <c r="Z122" s="435"/>
      <c r="AA122" s="435"/>
    </row>
    <row r="123" spans="11:27" ht="15.95" customHeight="1" x14ac:dyDescent="0.2">
      <c r="K123" s="435"/>
      <c r="N123" s="435"/>
      <c r="O123" s="435"/>
      <c r="P123" s="435"/>
      <c r="Q123" s="435"/>
      <c r="R123" s="435"/>
      <c r="S123" s="435"/>
      <c r="T123" s="435"/>
      <c r="U123" s="435"/>
      <c r="V123" s="435"/>
      <c r="W123" s="435"/>
      <c r="Z123" s="435"/>
      <c r="AA123" s="435"/>
    </row>
    <row r="124" spans="11:27" ht="15.95" customHeight="1" x14ac:dyDescent="0.2">
      <c r="K124" s="435"/>
      <c r="N124" s="435"/>
      <c r="O124" s="435"/>
      <c r="P124" s="435"/>
      <c r="Q124" s="435"/>
      <c r="R124" s="435"/>
      <c r="S124" s="435"/>
      <c r="T124" s="435"/>
      <c r="U124" s="435"/>
      <c r="V124" s="435"/>
      <c r="W124" s="435"/>
      <c r="Z124" s="435"/>
      <c r="AA124" s="435"/>
    </row>
    <row r="125" spans="11:27" ht="15.95" customHeight="1" x14ac:dyDescent="0.2">
      <c r="K125" s="435"/>
      <c r="N125" s="435"/>
      <c r="O125" s="435"/>
      <c r="P125" s="435"/>
      <c r="Q125" s="435"/>
      <c r="R125" s="435"/>
      <c r="S125" s="435"/>
      <c r="T125" s="435"/>
      <c r="U125" s="435"/>
      <c r="V125" s="435"/>
      <c r="W125" s="435"/>
      <c r="Z125" s="435"/>
      <c r="AA125" s="435"/>
    </row>
    <row r="126" spans="11:27" ht="15.95" customHeight="1" x14ac:dyDescent="0.2">
      <c r="K126" s="435"/>
      <c r="N126" s="435"/>
      <c r="O126" s="435"/>
      <c r="P126" s="435"/>
      <c r="Q126" s="435"/>
      <c r="R126" s="435"/>
      <c r="S126" s="435"/>
      <c r="T126" s="435"/>
      <c r="U126" s="435"/>
      <c r="V126" s="435"/>
      <c r="W126" s="435"/>
      <c r="Z126" s="435"/>
      <c r="AA126" s="435"/>
    </row>
    <row r="127" spans="11:27" ht="15.95" customHeight="1" x14ac:dyDescent="0.2">
      <c r="K127" s="435"/>
      <c r="N127" s="435"/>
      <c r="O127" s="435"/>
      <c r="P127" s="435"/>
      <c r="Q127" s="435"/>
      <c r="R127" s="435"/>
      <c r="S127" s="435"/>
      <c r="T127" s="435"/>
      <c r="U127" s="435"/>
      <c r="V127" s="435"/>
      <c r="W127" s="435"/>
      <c r="Z127" s="435"/>
      <c r="AA127" s="435"/>
    </row>
    <row r="128" spans="11:27" ht="15.95" customHeight="1" x14ac:dyDescent="0.2">
      <c r="K128" s="435"/>
      <c r="N128" s="435"/>
      <c r="O128" s="435"/>
      <c r="P128" s="435"/>
      <c r="Q128" s="435"/>
      <c r="R128" s="435"/>
      <c r="S128" s="435"/>
      <c r="T128" s="435"/>
      <c r="U128" s="435"/>
      <c r="V128" s="435"/>
      <c r="W128" s="435"/>
      <c r="Z128" s="435"/>
      <c r="AA128" s="435"/>
    </row>
    <row r="129" s="435" customFormat="1" ht="15.95" customHeight="1" x14ac:dyDescent="0.2"/>
    <row r="130" s="435" customFormat="1" ht="15.95" customHeight="1" x14ac:dyDescent="0.2"/>
    <row r="131" s="435" customFormat="1" ht="15.95" customHeight="1" x14ac:dyDescent="0.2"/>
    <row r="132" s="435" customFormat="1" ht="15.95" customHeight="1" x14ac:dyDescent="0.2"/>
    <row r="133" s="435" customFormat="1" ht="15.95" customHeight="1" x14ac:dyDescent="0.2"/>
    <row r="134" s="435" customFormat="1" ht="15.95" customHeight="1" x14ac:dyDescent="0.2"/>
    <row r="135" s="435" customFormat="1" ht="15.95" customHeight="1" x14ac:dyDescent="0.2"/>
    <row r="136" s="435" customFormat="1" ht="15.95" customHeight="1" x14ac:dyDescent="0.2"/>
    <row r="137" s="435" customFormat="1" ht="15.95" customHeight="1" x14ac:dyDescent="0.2"/>
    <row r="138" s="435" customFormat="1" ht="15.95" customHeight="1" x14ac:dyDescent="0.2"/>
    <row r="139" s="435" customFormat="1" ht="15.95" customHeight="1" x14ac:dyDescent="0.2"/>
    <row r="140" s="435" customFormat="1" ht="15.95" customHeight="1" x14ac:dyDescent="0.2"/>
    <row r="141" s="435" customFormat="1" ht="15.95" customHeight="1" x14ac:dyDescent="0.2"/>
    <row r="142" s="435" customFormat="1" ht="15.95" customHeight="1" x14ac:dyDescent="0.2"/>
    <row r="143" s="435" customFormat="1" ht="15.95" customHeight="1" x14ac:dyDescent="0.2"/>
    <row r="144" s="435" customFormat="1" ht="15.95" customHeight="1" x14ac:dyDescent="0.2"/>
    <row r="145" s="435" customFormat="1" ht="15.95" customHeight="1" x14ac:dyDescent="0.2"/>
    <row r="146" s="435" customFormat="1" ht="15.95" customHeight="1" x14ac:dyDescent="0.2"/>
    <row r="147" s="435" customFormat="1" ht="15.95" customHeight="1" x14ac:dyDescent="0.2"/>
    <row r="148" s="435" customFormat="1" ht="15.95" customHeight="1" x14ac:dyDescent="0.2"/>
  </sheetData>
  <sheetProtection selectLockedCells="1"/>
  <mergeCells count="87">
    <mergeCell ref="N56:N57"/>
    <mergeCell ref="N58:N59"/>
    <mergeCell ref="N63:N64"/>
    <mergeCell ref="T63:T64"/>
    <mergeCell ref="Z63:Z64"/>
    <mergeCell ref="X54:Z54"/>
    <mergeCell ref="T56:T57"/>
    <mergeCell ref="Z56:Z57"/>
    <mergeCell ref="T58:T59"/>
    <mergeCell ref="Z58:Z59"/>
    <mergeCell ref="X47:Z47"/>
    <mergeCell ref="T49:T50"/>
    <mergeCell ref="Z49:Z50"/>
    <mergeCell ref="N51:N52"/>
    <mergeCell ref="T51:T52"/>
    <mergeCell ref="Z51:Z52"/>
    <mergeCell ref="R47:T47"/>
    <mergeCell ref="N49:N50"/>
    <mergeCell ref="T44:T45"/>
    <mergeCell ref="Z44:Z45"/>
    <mergeCell ref="N37:N38"/>
    <mergeCell ref="N42:N43"/>
    <mergeCell ref="N44:N45"/>
    <mergeCell ref="T37:T38"/>
    <mergeCell ref="Z37:Z38"/>
    <mergeCell ref="X40:Z40"/>
    <mergeCell ref="T42:T43"/>
    <mergeCell ref="Z42:Z43"/>
    <mergeCell ref="L33:N33"/>
    <mergeCell ref="R33:T33"/>
    <mergeCell ref="X33:Z33"/>
    <mergeCell ref="N35:N36"/>
    <mergeCell ref="T35:T36"/>
    <mergeCell ref="Z35:Z36"/>
    <mergeCell ref="X26:Z26"/>
    <mergeCell ref="N28:N29"/>
    <mergeCell ref="T28:T29"/>
    <mergeCell ref="Z28:Z29"/>
    <mergeCell ref="N30:N31"/>
    <mergeCell ref="T30:T31"/>
    <mergeCell ref="Z30:Z31"/>
    <mergeCell ref="N23:N24"/>
    <mergeCell ref="T23:T24"/>
    <mergeCell ref="Z23:Z24"/>
    <mergeCell ref="X12:Z12"/>
    <mergeCell ref="N14:N15"/>
    <mergeCell ref="T14:T15"/>
    <mergeCell ref="Z14:Z15"/>
    <mergeCell ref="N16:N17"/>
    <mergeCell ref="T16:T17"/>
    <mergeCell ref="Z16:Z17"/>
    <mergeCell ref="R19:T19"/>
    <mergeCell ref="X19:Z19"/>
    <mergeCell ref="N21:N22"/>
    <mergeCell ref="T21:T22"/>
    <mergeCell ref="Z21:Z22"/>
    <mergeCell ref="N7:N8"/>
    <mergeCell ref="T7:T8"/>
    <mergeCell ref="Z7:Z8"/>
    <mergeCell ref="N9:N10"/>
    <mergeCell ref="T9:T10"/>
    <mergeCell ref="Z9:Z10"/>
    <mergeCell ref="K4:N4"/>
    <mergeCell ref="Q4:T4"/>
    <mergeCell ref="W4:Z4"/>
    <mergeCell ref="AH4:AJ5"/>
    <mergeCell ref="L5:N5"/>
    <mergeCell ref="R5:T5"/>
    <mergeCell ref="X5:Z5"/>
    <mergeCell ref="K1:AA1"/>
    <mergeCell ref="AF1:AJ1"/>
    <mergeCell ref="K2:Z2"/>
    <mergeCell ref="AF2:AJ2"/>
    <mergeCell ref="N3:X3"/>
    <mergeCell ref="AF3:AJ3"/>
    <mergeCell ref="N73:N74"/>
    <mergeCell ref="X77:Y77"/>
    <mergeCell ref="X78:Y78"/>
    <mergeCell ref="X79:Y79"/>
    <mergeCell ref="Y61:AA61"/>
    <mergeCell ref="Z65:Z66"/>
    <mergeCell ref="X68:Y68"/>
    <mergeCell ref="N68:N69"/>
    <mergeCell ref="T68:T69"/>
    <mergeCell ref="T70:T71"/>
    <mergeCell ref="X75:Y75"/>
    <mergeCell ref="X76:Y76"/>
  </mergeCells>
  <conditionalFormatting sqref="O7:O8">
    <cfRule type="expression" priority="170" stopIfTrue="1">
      <formula>IF(N7="",1)</formula>
    </cfRule>
    <cfRule type="expression" dxfId="1134" priority="172">
      <formula>IF(N7=N9,1,0)</formula>
    </cfRule>
  </conditionalFormatting>
  <conditionalFormatting sqref="O9">
    <cfRule type="expression" priority="169" stopIfTrue="1">
      <formula>IF(N9="",1,0)</formula>
    </cfRule>
    <cfRule type="expression" dxfId="1133" priority="171">
      <formula>IF(N7=N9,1,0)</formula>
    </cfRule>
  </conditionalFormatting>
  <conditionalFormatting sqref="S7">
    <cfRule type="expression" dxfId="1132" priority="168">
      <formula>IF(T7+U7&gt;T9+U9,1,0)</formula>
    </cfRule>
  </conditionalFormatting>
  <conditionalFormatting sqref="S9">
    <cfRule type="expression" dxfId="1131" priority="167">
      <formula>IF(T9+U9&gt;T11+U11,1,0)</formula>
    </cfRule>
  </conditionalFormatting>
  <conditionalFormatting sqref="S14">
    <cfRule type="expression" dxfId="1130" priority="166">
      <formula>IF(T14+U14&gt;T16+U16,1,0)</formula>
    </cfRule>
  </conditionalFormatting>
  <conditionalFormatting sqref="S16">
    <cfRule type="expression" dxfId="1129" priority="165">
      <formula>IF(T16+U16&gt;T18+U18,1,0)</formula>
    </cfRule>
  </conditionalFormatting>
  <conditionalFormatting sqref="S21">
    <cfRule type="expression" dxfId="1128" priority="164">
      <formula>IF(T21+U21&gt;T23+U23,1,0)</formula>
    </cfRule>
  </conditionalFormatting>
  <conditionalFormatting sqref="S23">
    <cfRule type="expression" dxfId="1127" priority="163">
      <formula>IF(T23+U23&gt;T25+U25,1,0)</formula>
    </cfRule>
  </conditionalFormatting>
  <conditionalFormatting sqref="O14:O15">
    <cfRule type="expression" priority="160" stopIfTrue="1">
      <formula>IF(N14="",1)</formula>
    </cfRule>
    <cfRule type="expression" dxfId="1126" priority="162">
      <formula>IF(N14=N16,1,0)</formula>
    </cfRule>
  </conditionalFormatting>
  <conditionalFormatting sqref="O16">
    <cfRule type="expression" priority="159" stopIfTrue="1">
      <formula>IF(N16="",1,0)</formula>
    </cfRule>
    <cfRule type="expression" dxfId="1125" priority="161">
      <formula>IF(N14=N16,1,0)</formula>
    </cfRule>
  </conditionalFormatting>
  <conditionalFormatting sqref="O21:O22">
    <cfRule type="expression" priority="156" stopIfTrue="1">
      <formula>IF(N21="",1)</formula>
    </cfRule>
    <cfRule type="expression" dxfId="1124" priority="158">
      <formula>IF(N21=N23,1,0)</formula>
    </cfRule>
  </conditionalFormatting>
  <conditionalFormatting sqref="O23">
    <cfRule type="expression" priority="155" stopIfTrue="1">
      <formula>IF(N23="",1,0)</formula>
    </cfRule>
    <cfRule type="expression" dxfId="1123" priority="157">
      <formula>IF(N21=N23,1,0)</formula>
    </cfRule>
  </conditionalFormatting>
  <conditionalFormatting sqref="O28:O29">
    <cfRule type="expression" priority="152" stopIfTrue="1">
      <formula>IF(N28="",1)</formula>
    </cfRule>
    <cfRule type="expression" dxfId="1122" priority="154">
      <formula>IF(N28=N30,1,0)</formula>
    </cfRule>
  </conditionalFormatting>
  <conditionalFormatting sqref="O30">
    <cfRule type="expression" priority="151" stopIfTrue="1">
      <formula>IF(N30="",1,0)</formula>
    </cfRule>
    <cfRule type="expression" dxfId="1121" priority="153">
      <formula>IF(N28=N30,1,0)</formula>
    </cfRule>
  </conditionalFormatting>
  <conditionalFormatting sqref="U7:U8">
    <cfRule type="expression" priority="148" stopIfTrue="1">
      <formula>IF(T7="",1)</formula>
    </cfRule>
    <cfRule type="expression" dxfId="1120" priority="150">
      <formula>IF(T7=T9,1,0)</formula>
    </cfRule>
  </conditionalFormatting>
  <conditionalFormatting sqref="U9">
    <cfRule type="expression" priority="147" stopIfTrue="1">
      <formula>IF(T9="",1,0)</formula>
    </cfRule>
    <cfRule type="expression" dxfId="1119" priority="149">
      <formula>IF(T7=T9,1,0)</formula>
    </cfRule>
  </conditionalFormatting>
  <conditionalFormatting sqref="U14:U15">
    <cfRule type="expression" priority="144" stopIfTrue="1">
      <formula>IF(T14="",1)</formula>
    </cfRule>
    <cfRule type="expression" dxfId="1118" priority="146">
      <formula>IF(T14=T16,1,0)</formula>
    </cfRule>
  </conditionalFormatting>
  <conditionalFormatting sqref="U16">
    <cfRule type="expression" priority="143" stopIfTrue="1">
      <formula>IF(T16="",1,0)</formula>
    </cfRule>
    <cfRule type="expression" dxfId="1117" priority="145">
      <formula>IF(T14=T16,1,0)</formula>
    </cfRule>
  </conditionalFormatting>
  <conditionalFormatting sqref="U21:U22">
    <cfRule type="expression" priority="140" stopIfTrue="1">
      <formula>IF(T21="",1)</formula>
    </cfRule>
    <cfRule type="expression" dxfId="1116" priority="142">
      <formula>IF(T21=T23,1,0)</formula>
    </cfRule>
  </conditionalFormatting>
  <conditionalFormatting sqref="U23">
    <cfRule type="expression" priority="139" stopIfTrue="1">
      <formula>IF(T23="",1,0)</formula>
    </cfRule>
    <cfRule type="expression" dxfId="1115" priority="141">
      <formula>IF(T21=T23,1,0)</formula>
    </cfRule>
  </conditionalFormatting>
  <conditionalFormatting sqref="U28:U29">
    <cfRule type="expression" priority="136" stopIfTrue="1">
      <formula>IF(T28="",1)</formula>
    </cfRule>
    <cfRule type="expression" dxfId="1114" priority="138">
      <formula>IF(T28=T30,1,0)</formula>
    </cfRule>
  </conditionalFormatting>
  <conditionalFormatting sqref="U30">
    <cfRule type="expression" priority="135" stopIfTrue="1">
      <formula>IF(T30="",1,0)</formula>
    </cfRule>
    <cfRule type="expression" dxfId="1113" priority="137">
      <formula>IF(T28=T30,1,0)</formula>
    </cfRule>
  </conditionalFormatting>
  <conditionalFormatting sqref="AA7:AA8">
    <cfRule type="expression" priority="132" stopIfTrue="1">
      <formula>IF(Z7="",1)</formula>
    </cfRule>
    <cfRule type="expression" dxfId="1112" priority="134">
      <formula>IF(Z7=Z9,1,0)</formula>
    </cfRule>
  </conditionalFormatting>
  <conditionalFormatting sqref="AA9">
    <cfRule type="expression" priority="131" stopIfTrue="1">
      <formula>IF(Z9="",1,0)</formula>
    </cfRule>
    <cfRule type="expression" dxfId="1111" priority="133">
      <formula>IF(Z7=Z9,1,0)</formula>
    </cfRule>
  </conditionalFormatting>
  <conditionalFormatting sqref="AA14:AA15">
    <cfRule type="expression" priority="128" stopIfTrue="1">
      <formula>IF(Z14="",1)</formula>
    </cfRule>
    <cfRule type="expression" dxfId="1110" priority="130">
      <formula>IF(Z14=Z16,1,0)</formula>
    </cfRule>
  </conditionalFormatting>
  <conditionalFormatting sqref="AA16">
    <cfRule type="expression" priority="127" stopIfTrue="1">
      <formula>IF(Z16="",1,0)</formula>
    </cfRule>
    <cfRule type="expression" dxfId="1109" priority="129">
      <formula>IF(Z14=Z16,1,0)</formula>
    </cfRule>
  </conditionalFormatting>
  <conditionalFormatting sqref="AA21:AA22">
    <cfRule type="expression" priority="124" stopIfTrue="1">
      <formula>IF(Z21="",1)</formula>
    </cfRule>
    <cfRule type="expression" dxfId="1108" priority="126">
      <formula>IF(Z21=Z23,1,0)</formula>
    </cfRule>
  </conditionalFormatting>
  <conditionalFormatting sqref="AA23">
    <cfRule type="expression" priority="123" stopIfTrue="1">
      <formula>IF(Z23="",1,0)</formula>
    </cfRule>
    <cfRule type="expression" dxfId="1107" priority="125">
      <formula>IF(Z21=Z23,1,0)</formula>
    </cfRule>
  </conditionalFormatting>
  <conditionalFormatting sqref="AA28:AA29">
    <cfRule type="expression" priority="120" stopIfTrue="1">
      <formula>IF(Z28="",1)</formula>
    </cfRule>
    <cfRule type="expression" dxfId="1106" priority="122">
      <formula>IF(Z28=Z30,1,0)</formula>
    </cfRule>
  </conditionalFormatting>
  <conditionalFormatting sqref="AA30">
    <cfRule type="expression" priority="119" stopIfTrue="1">
      <formula>IF(Z30="",1,0)</formula>
    </cfRule>
    <cfRule type="expression" dxfId="1105" priority="121">
      <formula>IF(Z28=Z30,1,0)</formula>
    </cfRule>
  </conditionalFormatting>
  <conditionalFormatting sqref="M14">
    <cfRule type="expression" dxfId="1104" priority="118">
      <formula>IF(N14+O14&gt;N16+O16,1,0)</formula>
    </cfRule>
  </conditionalFormatting>
  <conditionalFormatting sqref="M16">
    <cfRule type="expression" dxfId="1103" priority="117">
      <formula>IF(N16+O16&gt;N18+O18,1,0)</formula>
    </cfRule>
  </conditionalFormatting>
  <conditionalFormatting sqref="M21">
    <cfRule type="expression" dxfId="1102" priority="116">
      <formula>IF(N21+O21&gt;N23+O23,1,0)</formula>
    </cfRule>
  </conditionalFormatting>
  <conditionalFormatting sqref="M23">
    <cfRule type="expression" dxfId="1101" priority="115">
      <formula>IF(N23+O23&gt;N25+O25,1,0)</formula>
    </cfRule>
  </conditionalFormatting>
  <conditionalFormatting sqref="M28">
    <cfRule type="expression" dxfId="1100" priority="114">
      <formula>IF(N28+O28&gt;N30+O30,1,0)</formula>
    </cfRule>
  </conditionalFormatting>
  <conditionalFormatting sqref="M30">
    <cfRule type="expression" dxfId="1099" priority="113">
      <formula>IF(N30+O30&gt;N32+O32,1,0)</formula>
    </cfRule>
  </conditionalFormatting>
  <conditionalFormatting sqref="M7">
    <cfRule type="expression" dxfId="1098" priority="112">
      <formula>IF(N7+O7&gt;N9+O9,1,0)</formula>
    </cfRule>
  </conditionalFormatting>
  <conditionalFormatting sqref="M9">
    <cfRule type="expression" dxfId="1097" priority="111">
      <formula>IF(N9+O9&gt;N11+O11,1,0)</formula>
    </cfRule>
  </conditionalFormatting>
  <conditionalFormatting sqref="O35:O36">
    <cfRule type="expression" priority="108" stopIfTrue="1">
      <formula>IF(N35="",1)</formula>
    </cfRule>
    <cfRule type="expression" dxfId="1096" priority="110">
      <formula>IF(N35=N37,1,0)</formula>
    </cfRule>
  </conditionalFormatting>
  <conditionalFormatting sqref="O37">
    <cfRule type="expression" priority="107" stopIfTrue="1">
      <formula>IF(N37="",1,0)</formula>
    </cfRule>
    <cfRule type="expression" dxfId="1095" priority="109">
      <formula>IF(N35=N37,1,0)</formula>
    </cfRule>
  </conditionalFormatting>
  <conditionalFormatting sqref="O42:O43">
    <cfRule type="expression" priority="104" stopIfTrue="1">
      <formula>IF(N42="",1)</formula>
    </cfRule>
    <cfRule type="expression" dxfId="1094" priority="106">
      <formula>IF(N42=N44,1,0)</formula>
    </cfRule>
  </conditionalFormatting>
  <conditionalFormatting sqref="O44">
    <cfRule type="expression" priority="103" stopIfTrue="1">
      <formula>IF(N44="",1,0)</formula>
    </cfRule>
    <cfRule type="expression" dxfId="1093" priority="105">
      <formula>IF(N42=N44,1,0)</formula>
    </cfRule>
  </conditionalFormatting>
  <conditionalFormatting sqref="O49:O50">
    <cfRule type="expression" priority="100" stopIfTrue="1">
      <formula>IF(N49="",1)</formula>
    </cfRule>
    <cfRule type="expression" dxfId="1092" priority="102">
      <formula>IF(N49=N51,1,0)</formula>
    </cfRule>
  </conditionalFormatting>
  <conditionalFormatting sqref="O51">
    <cfRule type="expression" priority="99" stopIfTrue="1">
      <formula>IF(N51="",1,0)</formula>
    </cfRule>
    <cfRule type="expression" dxfId="1091" priority="101">
      <formula>IF(N49=N51,1,0)</formula>
    </cfRule>
  </conditionalFormatting>
  <conditionalFormatting sqref="O56:O57">
    <cfRule type="expression" priority="96" stopIfTrue="1">
      <formula>IF(N56="",1)</formula>
    </cfRule>
    <cfRule type="expression" dxfId="1090" priority="98">
      <formula>IF(N56=N58,1,0)</formula>
    </cfRule>
  </conditionalFormatting>
  <conditionalFormatting sqref="O58">
    <cfRule type="expression" priority="95" stopIfTrue="1">
      <formula>IF(N58="",1,0)</formula>
    </cfRule>
    <cfRule type="expression" dxfId="1089" priority="97">
      <formula>IF(N56=N58,1,0)</formula>
    </cfRule>
  </conditionalFormatting>
  <conditionalFormatting sqref="U35:U36">
    <cfRule type="expression" priority="92" stopIfTrue="1">
      <formula>IF(T35="",1)</formula>
    </cfRule>
    <cfRule type="expression" dxfId="1088" priority="94">
      <formula>IF(T35=T37,1,0)</formula>
    </cfRule>
  </conditionalFormatting>
  <conditionalFormatting sqref="U37">
    <cfRule type="expression" priority="91" stopIfTrue="1">
      <formula>IF(T37="",1,0)</formula>
    </cfRule>
    <cfRule type="expression" dxfId="1087" priority="93">
      <formula>IF(T35=T37,1,0)</formula>
    </cfRule>
  </conditionalFormatting>
  <conditionalFormatting sqref="U42:U43">
    <cfRule type="expression" priority="88" stopIfTrue="1">
      <formula>IF(T42="",1)</formula>
    </cfRule>
    <cfRule type="expression" dxfId="1086" priority="90">
      <formula>IF(T42=T44,1,0)</formula>
    </cfRule>
  </conditionalFormatting>
  <conditionalFormatting sqref="U44">
    <cfRule type="expression" priority="87" stopIfTrue="1">
      <formula>IF(T44="",1,0)</formula>
    </cfRule>
    <cfRule type="expression" dxfId="1085" priority="89">
      <formula>IF(T42=T44,1,0)</formula>
    </cfRule>
  </conditionalFormatting>
  <conditionalFormatting sqref="U49:U50">
    <cfRule type="expression" priority="84" stopIfTrue="1">
      <formula>IF(T49="",1)</formula>
    </cfRule>
    <cfRule type="expression" dxfId="1084" priority="86">
      <formula>IF(T49=T51,1,0)</formula>
    </cfRule>
  </conditionalFormatting>
  <conditionalFormatting sqref="U51">
    <cfRule type="expression" priority="83" stopIfTrue="1">
      <formula>IF(T51="",1,0)</formula>
    </cfRule>
    <cfRule type="expression" dxfId="1083" priority="85">
      <formula>IF(T49=T51,1,0)</formula>
    </cfRule>
  </conditionalFormatting>
  <conditionalFormatting sqref="U56:U57">
    <cfRule type="expression" priority="80" stopIfTrue="1">
      <formula>IF(T56="",1)</formula>
    </cfRule>
    <cfRule type="expression" dxfId="1082" priority="82">
      <formula>IF(T56=T58,1,0)</formula>
    </cfRule>
  </conditionalFormatting>
  <conditionalFormatting sqref="U58">
    <cfRule type="expression" priority="79" stopIfTrue="1">
      <formula>IF(T58="",1,0)</formula>
    </cfRule>
    <cfRule type="expression" dxfId="1081" priority="81">
      <formula>IF(T56=T58,1,0)</formula>
    </cfRule>
  </conditionalFormatting>
  <conditionalFormatting sqref="AA35:AA36">
    <cfRule type="expression" priority="76" stopIfTrue="1">
      <formula>IF(Z35="",1)</formula>
    </cfRule>
    <cfRule type="expression" dxfId="1080" priority="78">
      <formula>IF(Z35=Z37,1,0)</formula>
    </cfRule>
  </conditionalFormatting>
  <conditionalFormatting sqref="AA37">
    <cfRule type="expression" priority="75" stopIfTrue="1">
      <formula>IF(Z37="",1,0)</formula>
    </cfRule>
    <cfRule type="expression" dxfId="1079" priority="77">
      <formula>IF(Z35=Z37,1,0)</formula>
    </cfRule>
  </conditionalFormatting>
  <conditionalFormatting sqref="AA42:AA43">
    <cfRule type="expression" priority="72" stopIfTrue="1">
      <formula>IF(Z42="",1)</formula>
    </cfRule>
    <cfRule type="expression" dxfId="1078" priority="74">
      <formula>IF(Z42=Z44,1,0)</formula>
    </cfRule>
  </conditionalFormatting>
  <conditionalFormatting sqref="AA44">
    <cfRule type="expression" priority="71" stopIfTrue="1">
      <formula>IF(Z44="",1,0)</formula>
    </cfRule>
    <cfRule type="expression" dxfId="1077" priority="73">
      <formula>IF(Z42=Z44,1,0)</formula>
    </cfRule>
  </conditionalFormatting>
  <conditionalFormatting sqref="AA49:AA50">
    <cfRule type="expression" priority="68" stopIfTrue="1">
      <formula>IF(Z49="",1)</formula>
    </cfRule>
    <cfRule type="expression" dxfId="1076" priority="70">
      <formula>IF(Z49=Z51,1,0)</formula>
    </cfRule>
  </conditionalFormatting>
  <conditionalFormatting sqref="AA51">
    <cfRule type="expression" priority="67" stopIfTrue="1">
      <formula>IF(Z51="",1,0)</formula>
    </cfRule>
    <cfRule type="expression" dxfId="1075" priority="69">
      <formula>IF(Z49=Z51,1,0)</formula>
    </cfRule>
  </conditionalFormatting>
  <conditionalFormatting sqref="AA56:AA57">
    <cfRule type="expression" priority="64" stopIfTrue="1">
      <formula>IF(Z56="",1)</formula>
    </cfRule>
    <cfRule type="expression" dxfId="1074" priority="66">
      <formula>IF(Z56=Z58,1,0)</formula>
    </cfRule>
  </conditionalFormatting>
  <conditionalFormatting sqref="AA58">
    <cfRule type="expression" priority="63" stopIfTrue="1">
      <formula>IF(Z58="",1,0)</formula>
    </cfRule>
    <cfRule type="expression" dxfId="1073" priority="65">
      <formula>IF(Z56=Z58,1,0)</formula>
    </cfRule>
  </conditionalFormatting>
  <conditionalFormatting sqref="M42">
    <cfRule type="expression" dxfId="1072" priority="62">
      <formula>IF(N42+O42&gt;N44+O44,1,0)</formula>
    </cfRule>
  </conditionalFormatting>
  <conditionalFormatting sqref="M44">
    <cfRule type="expression" dxfId="1071" priority="61">
      <formula>IF(N44+O44&gt;N46+O46,1,0)</formula>
    </cfRule>
  </conditionalFormatting>
  <conditionalFormatting sqref="M49">
    <cfRule type="expression" dxfId="1070" priority="60">
      <formula>IF(N49+O49&gt;N51+O51,1,0)</formula>
    </cfRule>
  </conditionalFormatting>
  <conditionalFormatting sqref="M51">
    <cfRule type="expression" dxfId="1069" priority="59">
      <formula>IF(N51+O51&gt;N53+O53,1,0)</formula>
    </cfRule>
  </conditionalFormatting>
  <conditionalFormatting sqref="M56">
    <cfRule type="expression" dxfId="1068" priority="58">
      <formula>IF(N56+O56&gt;N58+O58,1,0)</formula>
    </cfRule>
  </conditionalFormatting>
  <conditionalFormatting sqref="M58">
    <cfRule type="expression" dxfId="1067" priority="57">
      <formula>IF(N58+O58&gt;N60+O60,1,0)</formula>
    </cfRule>
  </conditionalFormatting>
  <conditionalFormatting sqref="Y7">
    <cfRule type="expression" dxfId="1066" priority="56">
      <formula>IF(Z7+AA7&gt;Z9+AA9,1,0)</formula>
    </cfRule>
  </conditionalFormatting>
  <conditionalFormatting sqref="Y9">
    <cfRule type="expression" dxfId="1065" priority="55">
      <formula>IF(Z7+AA7&lt;Z9+AA9,1,0)</formula>
    </cfRule>
  </conditionalFormatting>
  <conditionalFormatting sqref="Y14">
    <cfRule type="expression" dxfId="1064" priority="54">
      <formula>IF(Z14+AA14&gt;Z16+AA16,1,0)</formula>
    </cfRule>
  </conditionalFormatting>
  <conditionalFormatting sqref="Y16">
    <cfRule type="expression" dxfId="1063" priority="53">
      <formula>IF(Z14+AA14&lt;Z16+AA16,1,0)</formula>
    </cfRule>
  </conditionalFormatting>
  <conditionalFormatting sqref="Y21">
    <cfRule type="expression" dxfId="1062" priority="52">
      <formula>IF(Z21+AA21&gt;Z23+AA23,1,0)</formula>
    </cfRule>
  </conditionalFormatting>
  <conditionalFormatting sqref="Y23">
    <cfRule type="expression" dxfId="1061" priority="51">
      <formula>IF(Z21+AA21&lt;Z23+AA23,1,0)</formula>
    </cfRule>
  </conditionalFormatting>
  <conditionalFormatting sqref="Y28">
    <cfRule type="expression" dxfId="1060" priority="50">
      <formula>IF(Z28+AA28&gt;Z30+AA30,1,0)</formula>
    </cfRule>
  </conditionalFormatting>
  <conditionalFormatting sqref="Y30">
    <cfRule type="expression" dxfId="1059" priority="49">
      <formula>IF(Z28+AA28&lt;Z30+AA30,1,0)</formula>
    </cfRule>
  </conditionalFormatting>
  <conditionalFormatting sqref="Y35">
    <cfRule type="expression" dxfId="1058" priority="48">
      <formula>IF(Z35+AA35&gt;Z37+AA37,1,0)</formula>
    </cfRule>
  </conditionalFormatting>
  <conditionalFormatting sqref="Y37">
    <cfRule type="expression" dxfId="1057" priority="47">
      <formula>IF(Z35+AA35&lt;Z37+AA37,1,0)</formula>
    </cfRule>
  </conditionalFormatting>
  <conditionalFormatting sqref="Y42">
    <cfRule type="expression" dxfId="1056" priority="46">
      <formula>IF(Z42+AA42&gt;Z44+AA44,1,0)</formula>
    </cfRule>
  </conditionalFormatting>
  <conditionalFormatting sqref="Y44">
    <cfRule type="expression" dxfId="1055" priority="45">
      <formula>IF(Z42+AA42&lt;Z44+AA44,1,0)</formula>
    </cfRule>
  </conditionalFormatting>
  <conditionalFormatting sqref="Y49">
    <cfRule type="expression" dxfId="1054" priority="44">
      <formula>IF(Z49+AA49&gt;Z51+AA51,1,0)</formula>
    </cfRule>
  </conditionalFormatting>
  <conditionalFormatting sqref="Y51">
    <cfRule type="expression" dxfId="1053" priority="43">
      <formula>IF(Z49+AA49&lt;Z51+AA51,1,0)</formula>
    </cfRule>
  </conditionalFormatting>
  <conditionalFormatting sqref="Y56">
    <cfRule type="expression" dxfId="1052" priority="42">
      <formula>IF(Z56+AA56&gt;Z58+AA58,1,0)</formula>
    </cfRule>
  </conditionalFormatting>
  <conditionalFormatting sqref="Y58">
    <cfRule type="expression" dxfId="1051" priority="41">
      <formula>IF(Z56+AA56&lt;Z58+AA58,1,0)</formula>
    </cfRule>
  </conditionalFormatting>
  <conditionalFormatting sqref="S56">
    <cfRule type="expression" dxfId="1050" priority="40">
      <formula>IF(T56+U56&gt;T58+U58,1,0)</formula>
    </cfRule>
  </conditionalFormatting>
  <conditionalFormatting sqref="S58">
    <cfRule type="expression" dxfId="1049" priority="39">
      <formula>IF(T56+U56&lt;T58+U58,1,0)</formula>
    </cfRule>
  </conditionalFormatting>
  <conditionalFormatting sqref="S49">
    <cfRule type="expression" dxfId="1048" priority="38">
      <formula>IF(T49+U49&gt;T51+U51,1,0)</formula>
    </cfRule>
  </conditionalFormatting>
  <conditionalFormatting sqref="S51">
    <cfRule type="expression" dxfId="1047" priority="37">
      <formula>IF(T49+U49&lt;T51+U51,1,0)</formula>
    </cfRule>
  </conditionalFormatting>
  <conditionalFormatting sqref="S42">
    <cfRule type="expression" dxfId="1046" priority="36">
      <formula>IF(T42+U42&gt;T44+U44,1,0)</formula>
    </cfRule>
  </conditionalFormatting>
  <conditionalFormatting sqref="S44">
    <cfRule type="expression" dxfId="1045" priority="35">
      <formula>IF(T42+U42&lt;T44+U44,1,0)</formula>
    </cfRule>
  </conditionalFormatting>
  <conditionalFormatting sqref="S35">
    <cfRule type="expression" dxfId="1044" priority="34">
      <formula>IF(T35+U35&gt;T37+U37,1,0)</formula>
    </cfRule>
  </conditionalFormatting>
  <conditionalFormatting sqref="S37">
    <cfRule type="expression" dxfId="1043" priority="33">
      <formula>IF(T35+U35&lt;T37+U37,1,0)</formula>
    </cfRule>
  </conditionalFormatting>
  <conditionalFormatting sqref="S28">
    <cfRule type="expression" dxfId="1042" priority="32">
      <formula>IF(T28+U28&gt;T30+U30,1,0)</formula>
    </cfRule>
  </conditionalFormatting>
  <conditionalFormatting sqref="S30">
    <cfRule type="expression" dxfId="1041" priority="31">
      <formula>IF(T28+U28&lt;T30+U30,1,0)</formula>
    </cfRule>
  </conditionalFormatting>
  <conditionalFormatting sqref="M35">
    <cfRule type="expression" dxfId="1040" priority="30">
      <formula>IF(N35+O35&gt;N37+O37,1,0)</formula>
    </cfRule>
  </conditionalFormatting>
  <conditionalFormatting sqref="M37">
    <cfRule type="expression" dxfId="1039" priority="29">
      <formula>IF(N37+O37&gt;N39+O39,1,0)</formula>
    </cfRule>
  </conditionalFormatting>
  <conditionalFormatting sqref="O63:O64">
    <cfRule type="expression" priority="25" stopIfTrue="1">
      <formula>IF(N63="",1)</formula>
    </cfRule>
    <cfRule type="expression" dxfId="1038" priority="26">
      <formula>IF(N63=N65,1,0)</formula>
    </cfRule>
  </conditionalFormatting>
  <conditionalFormatting sqref="Y72">
    <cfRule type="expression" dxfId="1037" priority="20">
      <formula>IF(Z70+AA70&lt;Z72+AA72,1,0)</formula>
    </cfRule>
  </conditionalFormatting>
  <conditionalFormatting sqref="U64">
    <cfRule type="expression" priority="18" stopIfTrue="1">
      <formula>IF(T66="",1)</formula>
    </cfRule>
    <cfRule type="expression" dxfId="1036" priority="19">
      <formula>IF(T66=#REF!,1,0)</formula>
    </cfRule>
  </conditionalFormatting>
  <conditionalFormatting sqref="AA63:AA64">
    <cfRule type="expression" priority="15" stopIfTrue="1">
      <formula>IF(Z63="",1)</formula>
    </cfRule>
    <cfRule type="expression" dxfId="1035" priority="17">
      <formula>IF(Z63=Z65,1,0)</formula>
    </cfRule>
  </conditionalFormatting>
  <conditionalFormatting sqref="AA65">
    <cfRule type="expression" priority="14" stopIfTrue="1">
      <formula>IF(Z65="",1,0)</formula>
    </cfRule>
    <cfRule type="expression" dxfId="1034" priority="16">
      <formula>IF(Z63=Z65,1,0)</formula>
    </cfRule>
  </conditionalFormatting>
  <conditionalFormatting sqref="U68:U69">
    <cfRule type="expression" priority="11" stopIfTrue="1">
      <formula>IF(T68="",1)</formula>
    </cfRule>
    <cfRule type="expression" dxfId="1033" priority="13">
      <formula>IF(T68=T70,1,0)</formula>
    </cfRule>
  </conditionalFormatting>
  <conditionalFormatting sqref="U70">
    <cfRule type="expression" priority="10" stopIfTrue="1">
      <formula>IF(T70="",1,0)</formula>
    </cfRule>
    <cfRule type="expression" dxfId="1032" priority="12">
      <formula>IF(T68=T70,1,0)</formula>
    </cfRule>
  </conditionalFormatting>
  <conditionalFormatting sqref="Y63">
    <cfRule type="expression" dxfId="1031" priority="9">
      <formula>IF(Z63+AA63&gt;Z65+AA65,1,0)</formula>
    </cfRule>
  </conditionalFormatting>
  <conditionalFormatting sqref="Y65">
    <cfRule type="expression" dxfId="1030" priority="8">
      <formula>IF(Z65+AA65&gt;Z67+AA67,1,0)</formula>
    </cfRule>
  </conditionalFormatting>
  <conditionalFormatting sqref="Y70">
    <cfRule type="expression" dxfId="1029" priority="7">
      <formula>IF(Z70+AA70&gt;Z72+AA72,1,0)</formula>
    </cfRule>
  </conditionalFormatting>
  <conditionalFormatting sqref="S63">
    <cfRule type="expression" dxfId="1028" priority="6">
      <formula>IF(T63+U63&gt;T65+U65,1,0)</formula>
    </cfRule>
  </conditionalFormatting>
  <conditionalFormatting sqref="M63">
    <cfRule type="expression" dxfId="1027" priority="5">
      <formula>IF(N63+O63&gt;N65+O65,1,0)</formula>
    </cfRule>
  </conditionalFormatting>
  <conditionalFormatting sqref="S68">
    <cfRule type="expression" dxfId="1026" priority="2">
      <formula>IF(T68+U68&gt;T70+U70,1,0)</formula>
    </cfRule>
  </conditionalFormatting>
  <conditionalFormatting sqref="S70">
    <cfRule type="expression" dxfId="1025" priority="1">
      <formula>IF(T68+U68&lt;T70+U70,1,0)</formula>
    </cfRule>
  </conditionalFormatting>
  <conditionalFormatting sqref="O70:O71">
    <cfRule type="expression" priority="1053" stopIfTrue="1">
      <formula>IF(N68="",1)</formula>
    </cfRule>
    <cfRule type="expression" dxfId="1024" priority="1054">
      <formula>IF(N68=N70,1,0)</formula>
    </cfRule>
  </conditionalFormatting>
  <conditionalFormatting sqref="M68">
    <cfRule type="expression" dxfId="1023" priority="1055">
      <formula>IF(N68+O70&gt;N70+O72,1,0)</formula>
    </cfRule>
  </conditionalFormatting>
  <conditionalFormatting sqref="M73">
    <cfRule type="expression" dxfId="1022" priority="1058">
      <formula>IF(N73+O77&gt;N79+O79,1,0)</formula>
    </cfRule>
  </conditionalFormatting>
  <conditionalFormatting sqref="U63">
    <cfRule type="expression" priority="1061" stopIfTrue="1">
      <formula>IF(T63="",1)</formula>
    </cfRule>
    <cfRule type="expression" dxfId="1021" priority="1062">
      <formula>AND(COUNTIF(T63:T70,T63)&gt;1)</formula>
    </cfRule>
  </conditionalFormatting>
  <printOptions verticalCentered="1"/>
  <pageMargins left="0.23622047244094502" right="0.23622047244094502" top="0.74803149606299202" bottom="0.74803149606299202" header="0.31496062992126" footer="0.31496062992126"/>
  <pageSetup paperSize="9" scale="44" orientation="portrait" cellComments="atEnd"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Feuil76">
    <tabColor rgb="FF00B0F0"/>
    <pageSetUpPr fitToPage="1"/>
  </sheetPr>
  <dimension ref="A1:AY148"/>
  <sheetViews>
    <sheetView topLeftCell="K1" zoomScale="87" zoomScaleNormal="60" workbookViewId="0">
      <selection activeCell="K80" sqref="K1:AA80"/>
    </sheetView>
  </sheetViews>
  <sheetFormatPr baseColWidth="10" defaultColWidth="10.85546875" defaultRowHeight="12.75" x14ac:dyDescent="0.2"/>
  <cols>
    <col min="1" max="1" width="3.7109375" style="435" hidden="1" customWidth="1"/>
    <col min="2" max="4" width="16.140625" style="435" hidden="1" customWidth="1"/>
    <col min="5" max="10" width="11.140625" style="435" hidden="1" customWidth="1"/>
    <col min="11" max="11" width="7.7109375" style="441" bestFit="1" customWidth="1"/>
    <col min="12" max="12" width="6.42578125" style="435" bestFit="1" customWidth="1"/>
    <col min="13" max="13" width="36.5703125" style="435" customWidth="1"/>
    <col min="14" max="14" width="10.85546875" style="442"/>
    <col min="15" max="15" width="4.7109375" style="441" bestFit="1" customWidth="1"/>
    <col min="16" max="16" width="15.7109375" style="441" customWidth="1"/>
    <col min="17" max="17" width="7.7109375" style="441" bestFit="1" customWidth="1"/>
    <col min="18" max="18" width="6.42578125" style="441" bestFit="1" customWidth="1"/>
    <col min="19" max="19" width="36.5703125" style="441" customWidth="1"/>
    <col min="20" max="20" width="10.85546875" style="442"/>
    <col min="21" max="21" width="4.85546875" style="441" bestFit="1" customWidth="1"/>
    <col min="22" max="22" width="15.85546875" style="441" customWidth="1"/>
    <col min="23" max="23" width="7.7109375" style="441" bestFit="1" customWidth="1"/>
    <col min="24" max="24" width="5.28515625" style="435" bestFit="1" customWidth="1"/>
    <col min="25" max="25" width="36.5703125" style="435" customWidth="1"/>
    <col min="26" max="26" width="10.85546875" style="442"/>
    <col min="27" max="27" width="4.85546875" style="441" bestFit="1" customWidth="1"/>
    <col min="28" max="28" width="6.5703125" style="435" customWidth="1"/>
    <col min="29" max="31" width="3.28515625" style="435" customWidth="1"/>
    <col min="32" max="32" width="10.85546875" style="435"/>
    <col min="33" max="33" width="6.5703125" style="435" customWidth="1"/>
    <col min="34" max="36" width="36.85546875" style="435" customWidth="1"/>
    <col min="37" max="42" width="10.85546875" style="435"/>
    <col min="43" max="43" width="1.7109375" style="435" bestFit="1" customWidth="1"/>
    <col min="44" max="46" width="10.85546875" style="435"/>
    <col min="47" max="47" width="1.7109375" style="435" bestFit="1" customWidth="1"/>
    <col min="48" max="50" width="10.85546875" style="435"/>
    <col min="51" max="51" width="1.7109375" style="435" bestFit="1" customWidth="1"/>
    <col min="52" max="16384" width="10.85546875" style="435"/>
  </cols>
  <sheetData>
    <row r="1" spans="1:51" ht="55.5" customHeight="1" x14ac:dyDescent="0.2">
      <c r="B1" s="436"/>
      <c r="C1" s="436"/>
      <c r="D1" s="436"/>
      <c r="I1" s="437"/>
      <c r="J1" s="437"/>
      <c r="K1" s="988" t="str">
        <f>Championnat</f>
        <v>Championnat de France de Tir à l'ARC</v>
      </c>
      <c r="L1" s="988"/>
      <c r="M1" s="988"/>
      <c r="N1" s="988"/>
      <c r="O1" s="988"/>
      <c r="P1" s="988"/>
      <c r="Q1" s="988"/>
      <c r="R1" s="988"/>
      <c r="S1" s="988"/>
      <c r="T1" s="988"/>
      <c r="U1" s="988"/>
      <c r="V1" s="988"/>
      <c r="W1" s="988"/>
      <c r="X1" s="988"/>
      <c r="Y1" s="988"/>
      <c r="Z1" s="988"/>
      <c r="AA1" s="988"/>
      <c r="AB1" s="439"/>
      <c r="AC1" s="439"/>
      <c r="AD1" s="439"/>
      <c r="AE1" s="439"/>
      <c r="AF1" s="988" t="str">
        <f>Championnat</f>
        <v>Championnat de France de Tir à l'ARC</v>
      </c>
      <c r="AG1" s="988"/>
      <c r="AH1" s="988"/>
      <c r="AI1" s="988"/>
      <c r="AJ1" s="988"/>
      <c r="AK1" s="491"/>
      <c r="AL1" s="491"/>
      <c r="AM1" s="491"/>
      <c r="AN1" s="491"/>
      <c r="AO1" s="491"/>
      <c r="AP1" s="491"/>
      <c r="AQ1" s="491"/>
      <c r="AR1" s="491"/>
      <c r="AS1" s="491"/>
      <c r="AT1" s="491"/>
      <c r="AU1" s="491"/>
      <c r="AV1" s="491"/>
      <c r="AW1" s="491"/>
      <c r="AY1" s="491"/>
    </row>
    <row r="2" spans="1:51" ht="61.5" customHeight="1" x14ac:dyDescent="0.2">
      <c r="A2" s="437"/>
      <c r="I2" s="437"/>
      <c r="J2" s="437"/>
      <c r="K2" s="989" t="str">
        <f>CATEG_IMPORTEE</f>
        <v>Collèges Mixtes Etablissement</v>
      </c>
      <c r="L2" s="989"/>
      <c r="M2" s="989"/>
      <c r="N2" s="989"/>
      <c r="O2" s="989"/>
      <c r="P2" s="989"/>
      <c r="Q2" s="989"/>
      <c r="R2" s="989"/>
      <c r="S2" s="989"/>
      <c r="T2" s="989"/>
      <c r="U2" s="989"/>
      <c r="V2" s="989"/>
      <c r="W2" s="989"/>
      <c r="X2" s="989"/>
      <c r="Y2" s="989"/>
      <c r="Z2" s="989"/>
      <c r="AA2" s="438"/>
      <c r="AB2" s="439"/>
      <c r="AC2" s="439"/>
      <c r="AD2" s="439"/>
      <c r="AE2" s="439"/>
      <c r="AF2" s="990" t="str">
        <f>CATEG_IMPORTEE</f>
        <v>Collèges Mixtes Etablissement</v>
      </c>
      <c r="AG2" s="990"/>
      <c r="AH2" s="990"/>
      <c r="AI2" s="990"/>
      <c r="AJ2" s="990"/>
      <c r="AK2" s="492"/>
      <c r="AL2" s="492"/>
      <c r="AM2" s="492"/>
      <c r="AN2" s="492"/>
      <c r="AO2" s="492"/>
      <c r="AP2" s="492"/>
      <c r="AQ2" s="492"/>
      <c r="AR2" s="492"/>
      <c r="AS2" s="492"/>
      <c r="AT2" s="492"/>
      <c r="AU2" s="492"/>
      <c r="AV2" s="492"/>
      <c r="AW2" s="492"/>
      <c r="AY2" s="492"/>
    </row>
    <row r="3" spans="1:51" ht="42" customHeight="1" x14ac:dyDescent="0.2">
      <c r="B3" s="440" t="s">
        <v>774</v>
      </c>
      <c r="I3" s="437"/>
      <c r="J3" s="437"/>
      <c r="N3" s="991" t="str">
        <f>LIEU&amp;" du "&amp;DATE</f>
        <v>L’Isle sur la Sorgue du 27 au 31 mars 2023</v>
      </c>
      <c r="O3" s="991"/>
      <c r="P3" s="991"/>
      <c r="Q3" s="991"/>
      <c r="R3" s="991"/>
      <c r="S3" s="991"/>
      <c r="T3" s="991"/>
      <c r="U3" s="991"/>
      <c r="V3" s="991"/>
      <c r="W3" s="991"/>
      <c r="X3" s="991"/>
      <c r="AF3" s="991" t="str">
        <f>LIEU&amp;" du "&amp;DATE</f>
        <v>L’Isle sur la Sorgue du 27 au 31 mars 2023</v>
      </c>
      <c r="AG3" s="991"/>
      <c r="AH3" s="991"/>
      <c r="AI3" s="991"/>
      <c r="AJ3" s="991"/>
      <c r="AK3" s="493"/>
      <c r="AL3" s="493"/>
      <c r="AM3" s="493"/>
      <c r="AN3" s="493"/>
      <c r="AO3" s="493"/>
      <c r="AP3" s="493"/>
      <c r="AQ3" s="493"/>
      <c r="AR3" s="493"/>
      <c r="AS3" s="493"/>
      <c r="AT3" s="493"/>
      <c r="AU3" s="493"/>
      <c r="AW3" s="442"/>
      <c r="AY3" s="493"/>
    </row>
    <row r="4" spans="1:51" ht="21" customHeight="1" x14ac:dyDescent="0.2">
      <c r="B4" s="440" t="s">
        <v>775</v>
      </c>
      <c r="C4" s="462" t="s">
        <v>375</v>
      </c>
      <c r="D4" s="462" t="s">
        <v>374</v>
      </c>
      <c r="E4" s="440" t="s">
        <v>776</v>
      </c>
      <c r="F4" s="487" t="s">
        <v>838</v>
      </c>
      <c r="G4" s="488" t="s">
        <v>837</v>
      </c>
      <c r="H4" s="898"/>
      <c r="I4" s="437"/>
      <c r="J4" s="437"/>
      <c r="K4" s="979" t="s">
        <v>815</v>
      </c>
      <c r="L4" s="979"/>
      <c r="M4" s="979"/>
      <c r="N4" s="979"/>
      <c r="O4" s="443"/>
      <c r="P4" s="443"/>
      <c r="Q4" s="979" t="s">
        <v>816</v>
      </c>
      <c r="R4" s="979"/>
      <c r="S4" s="979"/>
      <c r="T4" s="979"/>
      <c r="U4" s="443"/>
      <c r="V4" s="443"/>
      <c r="W4" s="979" t="s">
        <v>817</v>
      </c>
      <c r="X4" s="979"/>
      <c r="Y4" s="979"/>
      <c r="Z4" s="979"/>
      <c r="AA4" s="443"/>
      <c r="AH4" s="980" t="s">
        <v>778</v>
      </c>
      <c r="AI4" s="980"/>
      <c r="AJ4" s="980"/>
      <c r="AN4" s="497" t="s">
        <v>848</v>
      </c>
    </row>
    <row r="5" spans="1:51" ht="15.95" customHeight="1" thickBot="1" x14ac:dyDescent="0.25">
      <c r="A5" s="435">
        <v>1</v>
      </c>
      <c r="B5" s="444" t="str">
        <f ca="1">INDIRECT("'Imp. Qualif.'!L"&amp;INDIRECT("f"&amp;ROW()))</f>
        <v/>
      </c>
      <c r="C5" s="444" t="str">
        <f ca="1">INDIRECT("'Imp. Qualif.'!M"&amp;INDIRECT("f"&amp;ROW()))</f>
        <v/>
      </c>
      <c r="D5" s="444" t="str">
        <f ca="1">INDIRECT("'Imp. Qualif.'!N"&amp;INDIRECT("f"&amp;ROW()))</f>
        <v/>
      </c>
      <c r="E5" s="486">
        <f ca="1">INDIRECT("'Imp. Qualif.'!O"&amp;INDIRECT("f"&amp;ROW()))</f>
        <v>0</v>
      </c>
      <c r="F5" s="489">
        <v>11</v>
      </c>
      <c r="G5" s="488" t="str">
        <f ca="1">B5&amp;C5</f>
        <v/>
      </c>
      <c r="H5" s="898" t="str">
        <f ca="1">IF(B5&lt;&gt;"",B5,"")</f>
        <v/>
      </c>
      <c r="I5" s="898" t="str">
        <f t="shared" ref="I5:J20" ca="1" si="0">IF(C5&lt;&gt;"",C5,"")</f>
        <v/>
      </c>
      <c r="J5" s="898" t="str">
        <f t="shared" ca="1" si="0"/>
        <v/>
      </c>
      <c r="L5" s="979" t="s">
        <v>836</v>
      </c>
      <c r="M5" s="1247"/>
      <c r="N5" s="1247"/>
      <c r="O5" s="443"/>
      <c r="P5" s="443"/>
      <c r="R5" s="979" t="s">
        <v>818</v>
      </c>
      <c r="S5" s="1247"/>
      <c r="T5" s="1247"/>
      <c r="U5" s="443"/>
      <c r="V5" s="443"/>
      <c r="W5" s="445"/>
      <c r="X5" s="979" t="s">
        <v>777</v>
      </c>
      <c r="Y5" s="1247"/>
      <c r="Z5" s="1247"/>
      <c r="AA5" s="443"/>
      <c r="AH5" s="981"/>
      <c r="AI5" s="981"/>
      <c r="AJ5" s="981"/>
      <c r="AN5" s="494" t="s">
        <v>839</v>
      </c>
      <c r="AO5" s="494" t="s">
        <v>840</v>
      </c>
      <c r="AP5" s="494" t="s">
        <v>841</v>
      </c>
      <c r="AQ5" s="496" t="s">
        <v>793</v>
      </c>
      <c r="AR5" s="494" t="s">
        <v>842</v>
      </c>
      <c r="AS5" s="494" t="s">
        <v>843</v>
      </c>
      <c r="AT5" s="494" t="s">
        <v>844</v>
      </c>
      <c r="AU5" s="496" t="s">
        <v>793</v>
      </c>
      <c r="AV5" s="494" t="s">
        <v>845</v>
      </c>
      <c r="AW5" s="494" t="s">
        <v>846</v>
      </c>
      <c r="AX5" s="494" t="s">
        <v>847</v>
      </c>
      <c r="AY5" s="496" t="s">
        <v>793</v>
      </c>
    </row>
    <row r="6" spans="1:51" ht="15.95" customHeight="1" thickBot="1" x14ac:dyDescent="0.25">
      <c r="A6" s="435">
        <v>2</v>
      </c>
      <c r="B6" s="444" t="str">
        <f t="shared" ref="B6:B24" ca="1" si="1">INDIRECT("'Imp. Qualif.'!L"&amp;INDIRECT("f"&amp;ROW()))</f>
        <v/>
      </c>
      <c r="C6" s="444" t="str">
        <f t="shared" ref="C6:C24" ca="1" si="2">INDIRECT("'Imp. Qualif.'!M"&amp;INDIRECT("f"&amp;ROW()))</f>
        <v/>
      </c>
      <c r="D6" s="444" t="str">
        <f t="shared" ref="D6:D24" ca="1" si="3">INDIRECT("'Imp. Qualif.'!N"&amp;INDIRECT("f"&amp;ROW()))</f>
        <v/>
      </c>
      <c r="E6" s="486">
        <f t="shared" ref="E6:E24" ca="1" si="4">INDIRECT("'Imp. Qualif.'!O"&amp;INDIRECT("f"&amp;ROW()))</f>
        <v>0</v>
      </c>
      <c r="F6" s="489">
        <v>12</v>
      </c>
      <c r="G6" s="488" t="str">
        <f t="shared" ref="G6:G28" ca="1" si="5">B6&amp;C6</f>
        <v/>
      </c>
      <c r="H6" s="898" t="str">
        <f t="shared" ref="H6:J28" ca="1" si="6">IF(B6&lt;&gt;"",B6,"")</f>
        <v/>
      </c>
      <c r="I6" s="898" t="str">
        <f t="shared" ca="1" si="0"/>
        <v/>
      </c>
      <c r="J6" s="898" t="str">
        <f t="shared" ca="1" si="0"/>
        <v/>
      </c>
      <c r="K6" s="445" t="s">
        <v>779</v>
      </c>
      <c r="L6" s="779" t="s">
        <v>1083</v>
      </c>
      <c r="M6" s="456" t="s">
        <v>481</v>
      </c>
      <c r="N6" s="464" t="s">
        <v>780</v>
      </c>
      <c r="O6" s="446" t="s">
        <v>781</v>
      </c>
      <c r="P6" s="445"/>
      <c r="Q6" s="445" t="s">
        <v>779</v>
      </c>
      <c r="R6" s="779" t="s">
        <v>1083</v>
      </c>
      <c r="S6" s="456" t="s">
        <v>481</v>
      </c>
      <c r="T6" s="464" t="s">
        <v>780</v>
      </c>
      <c r="U6" s="446" t="s">
        <v>781</v>
      </c>
      <c r="V6" s="445"/>
      <c r="W6" s="445" t="s">
        <v>779</v>
      </c>
      <c r="X6" s="779" t="s">
        <v>1083</v>
      </c>
      <c r="Y6" s="456" t="s">
        <v>481</v>
      </c>
      <c r="Z6" s="464" t="s">
        <v>780</v>
      </c>
      <c r="AA6" s="446" t="s">
        <v>781</v>
      </c>
      <c r="AH6" s="483" t="s">
        <v>782</v>
      </c>
      <c r="AI6" s="484" t="s">
        <v>375</v>
      </c>
      <c r="AJ6" s="485" t="s">
        <v>783</v>
      </c>
      <c r="AN6" s="494">
        <f>K7</f>
        <v>1</v>
      </c>
      <c r="AO6" s="495" t="str">
        <f ca="1">L8</f>
        <v/>
      </c>
      <c r="AP6" s="495" t="str">
        <f ca="1">AO7</f>
        <v/>
      </c>
      <c r="AQ6" s="496" t="s">
        <v>793</v>
      </c>
      <c r="AR6" s="494">
        <f>Q7</f>
        <v>1</v>
      </c>
      <c r="AS6" s="495" t="str">
        <f>R8</f>
        <v/>
      </c>
      <c r="AT6" s="495" t="str">
        <f>AS7</f>
        <v/>
      </c>
      <c r="AU6" s="496" t="s">
        <v>793</v>
      </c>
      <c r="AV6" s="494">
        <f>W7</f>
        <v>1</v>
      </c>
      <c r="AW6" s="495" t="str">
        <f>X8</f>
        <v/>
      </c>
      <c r="AX6" s="495" t="str">
        <f>X10</f>
        <v/>
      </c>
      <c r="AY6" s="496" t="s">
        <v>793</v>
      </c>
    </row>
    <row r="7" spans="1:51" ht="15.95" customHeight="1" thickBot="1" x14ac:dyDescent="0.25">
      <c r="A7" s="435">
        <v>3</v>
      </c>
      <c r="B7" s="444" t="str">
        <f t="shared" ca="1" si="1"/>
        <v/>
      </c>
      <c r="C7" s="444" t="str">
        <f t="shared" ca="1" si="2"/>
        <v/>
      </c>
      <c r="D7" s="444" t="str">
        <f t="shared" ca="1" si="3"/>
        <v/>
      </c>
      <c r="E7" s="486">
        <f t="shared" ca="1" si="4"/>
        <v>0</v>
      </c>
      <c r="F7" s="489">
        <v>13</v>
      </c>
      <c r="G7" s="488" t="str">
        <f t="shared" ca="1" si="5"/>
        <v/>
      </c>
      <c r="H7" s="898" t="str">
        <f t="shared" ca="1" si="6"/>
        <v/>
      </c>
      <c r="I7" s="898" t="str">
        <f t="shared" ca="1" si="0"/>
        <v/>
      </c>
      <c r="J7" s="898" t="str">
        <f t="shared" ca="1" si="0"/>
        <v/>
      </c>
      <c r="K7" s="447">
        <f>Num_Cible</f>
        <v>1</v>
      </c>
      <c r="L7" s="472">
        <v>1</v>
      </c>
      <c r="M7" s="465" t="str">
        <f ca="1">IFERROR(VLOOKUP(L8,$G$5:$J$28,2,FALSE),"")</f>
        <v/>
      </c>
      <c r="N7" s="966"/>
      <c r="O7" s="780"/>
      <c r="Q7" s="447">
        <f>K7</f>
        <v>1</v>
      </c>
      <c r="R7" s="472">
        <v>1</v>
      </c>
      <c r="S7" s="465" t="str">
        <f ca="1">IFERROR(VLOOKUP(R8,$G$5:$J$28,2,FALSE),"")</f>
        <v/>
      </c>
      <c r="T7" s="966"/>
      <c r="U7" s="780"/>
      <c r="W7" s="447">
        <f>Q7</f>
        <v>1</v>
      </c>
      <c r="X7" s="472">
        <v>1</v>
      </c>
      <c r="Y7" s="465" t="str">
        <f ca="1">IFERROR(VLOOKUP(X8,$G$5:$J$28,2,FALSE),"")</f>
        <v/>
      </c>
      <c r="Z7" s="966"/>
      <c r="AA7" s="780"/>
      <c r="AF7" s="448" t="s">
        <v>784</v>
      </c>
      <c r="AG7" s="435" t="str">
        <f>IF(ISBLANK(Z7),"",IF(Z7+AA7&gt;Z9+AA9,X8,X10))</f>
        <v/>
      </c>
      <c r="AH7" s="475" t="str">
        <f t="shared" ref="AH7:AH30" ca="1" si="7">IFERROR(VLOOKUP(AG7,$G$5:$J$28,2,FALSE),"")</f>
        <v/>
      </c>
      <c r="AI7" s="476" t="str">
        <f t="shared" ref="AI7:AI30" ca="1" si="8">IFERROR(VLOOKUP(AG7,$G$5:$J$28,3,FALSE),"")</f>
        <v/>
      </c>
      <c r="AJ7" s="934" t="str">
        <f t="shared" ref="AJ7:AJ30" ca="1" si="9">IFERROR(VLOOKUP(AG7,$G$5:$J$28,4,FALSE),"")</f>
        <v/>
      </c>
      <c r="AN7" s="494">
        <f>K9</f>
        <v>2</v>
      </c>
      <c r="AO7" s="495" t="str">
        <f ca="1">L10</f>
        <v/>
      </c>
      <c r="AP7" s="495" t="str">
        <f ca="1">AO6</f>
        <v/>
      </c>
      <c r="AQ7" s="496" t="s">
        <v>793</v>
      </c>
      <c r="AR7" s="494">
        <f>Q9</f>
        <v>2</v>
      </c>
      <c r="AS7" s="495" t="str">
        <f>R10</f>
        <v/>
      </c>
      <c r="AT7" s="495" t="str">
        <f>AS6</f>
        <v/>
      </c>
      <c r="AU7" s="496" t="s">
        <v>793</v>
      </c>
      <c r="AV7" s="494">
        <f>W9</f>
        <v>2</v>
      </c>
      <c r="AW7" s="495" t="str">
        <f>X10</f>
        <v/>
      </c>
      <c r="AX7" s="495" t="str">
        <f>X8</f>
        <v/>
      </c>
      <c r="AY7" s="496" t="s">
        <v>793</v>
      </c>
    </row>
    <row r="8" spans="1:51" ht="15.95" customHeight="1" thickBot="1" x14ac:dyDescent="0.25">
      <c r="A8" s="435">
        <v>4</v>
      </c>
      <c r="B8" s="444" t="str">
        <f t="shared" ca="1" si="1"/>
        <v/>
      </c>
      <c r="C8" s="444" t="str">
        <f t="shared" ca="1" si="2"/>
        <v/>
      </c>
      <c r="D8" s="444" t="str">
        <f t="shared" ca="1" si="3"/>
        <v/>
      </c>
      <c r="E8" s="486">
        <f t="shared" ca="1" si="4"/>
        <v>0</v>
      </c>
      <c r="F8" s="489">
        <v>14</v>
      </c>
      <c r="G8" s="488" t="str">
        <f t="shared" ca="1" si="5"/>
        <v/>
      </c>
      <c r="H8" s="898" t="str">
        <f t="shared" ca="1" si="6"/>
        <v/>
      </c>
      <c r="I8" s="898" t="str">
        <f t="shared" ca="1" si="0"/>
        <v/>
      </c>
      <c r="J8" s="898" t="str">
        <f t="shared" ca="1" si="0"/>
        <v/>
      </c>
      <c r="K8" s="447"/>
      <c r="L8" s="473" t="str">
        <f ca="1">VLOOKUP(L7,$A$5:$G$24,7,FALSE)</f>
        <v/>
      </c>
      <c r="M8" s="466" t="str">
        <f ca="1">IFERROR(VLOOKUP(L8,$G$5:$J$28,3,FALSE),"")</f>
        <v/>
      </c>
      <c r="N8" s="967"/>
      <c r="Q8" s="447"/>
      <c r="R8" s="473" t="str">
        <f>IF(ISBLANK(N7),"",IF(O7+N7&gt;N9+O9,L8,L10))</f>
        <v/>
      </c>
      <c r="S8" s="466" t="str">
        <f ca="1">IFERROR(VLOOKUP(R8,$G$5:$J$28,3,FALSE),"")</f>
        <v/>
      </c>
      <c r="T8" s="967"/>
      <c r="W8" s="447"/>
      <c r="X8" s="473" t="str">
        <f>IF(ISBLANK(T7),"",IF(U7+T7&gt;T9+U9,R8,R10))</f>
        <v/>
      </c>
      <c r="Y8" s="466" t="str">
        <f ca="1">IFERROR(VLOOKUP(X8,$G$5:$J$28,3,FALSE),"")</f>
        <v/>
      </c>
      <c r="Z8" s="967"/>
      <c r="AF8" s="449" t="s">
        <v>785</v>
      </c>
      <c r="AG8" s="435" t="str">
        <f>IF(ISBLANK(Z7),"",IF(Z7+AA7&lt;Z9+AA9,X8,X10))</f>
        <v/>
      </c>
      <c r="AH8" s="478" t="str">
        <f t="shared" ca="1" si="7"/>
        <v/>
      </c>
      <c r="AI8" s="474" t="str">
        <f t="shared" ca="1" si="8"/>
        <v/>
      </c>
      <c r="AJ8" s="915" t="str">
        <f t="shared" ca="1" si="9"/>
        <v/>
      </c>
      <c r="AN8" s="494">
        <f>K14</f>
        <v>3</v>
      </c>
      <c r="AO8" s="495" t="str">
        <f ca="1">L15</f>
        <v/>
      </c>
      <c r="AP8" s="495" t="str">
        <f t="shared" ref="AP8" ca="1" si="10">AO9</f>
        <v/>
      </c>
      <c r="AQ8" s="496" t="s">
        <v>793</v>
      </c>
      <c r="AR8" s="494">
        <f>Q14</f>
        <v>3</v>
      </c>
      <c r="AS8" s="495" t="str">
        <f>R15</f>
        <v/>
      </c>
      <c r="AT8" s="495" t="str">
        <f t="shared" ref="AT8" si="11">AS9</f>
        <v/>
      </c>
      <c r="AU8" s="496" t="s">
        <v>793</v>
      </c>
      <c r="AV8" s="494">
        <f>W14</f>
        <v>3</v>
      </c>
      <c r="AW8" s="495" t="str">
        <f>X15</f>
        <v/>
      </c>
      <c r="AX8" s="495" t="str">
        <f>X17</f>
        <v/>
      </c>
      <c r="AY8" s="496" t="s">
        <v>793</v>
      </c>
    </row>
    <row r="9" spans="1:51" ht="15.95" customHeight="1" thickBot="1" x14ac:dyDescent="0.25">
      <c r="A9" s="435">
        <v>5</v>
      </c>
      <c r="B9" s="444" t="str">
        <f t="shared" ca="1" si="1"/>
        <v/>
      </c>
      <c r="C9" s="444" t="str">
        <f t="shared" ca="1" si="2"/>
        <v/>
      </c>
      <c r="D9" s="444" t="str">
        <f t="shared" ca="1" si="3"/>
        <v/>
      </c>
      <c r="E9" s="486">
        <f t="shared" ca="1" si="4"/>
        <v>0</v>
      </c>
      <c r="F9" s="489">
        <v>15</v>
      </c>
      <c r="G9" s="488" t="str">
        <f t="shared" ca="1" si="5"/>
        <v/>
      </c>
      <c r="H9" s="898" t="str">
        <f t="shared" ca="1" si="6"/>
        <v/>
      </c>
      <c r="I9" s="898" t="str">
        <f t="shared" ca="1" si="0"/>
        <v/>
      </c>
      <c r="J9" s="898" t="str">
        <f t="shared" ca="1" si="0"/>
        <v/>
      </c>
      <c r="K9" s="447">
        <f>K7+1</f>
        <v>2</v>
      </c>
      <c r="L9" s="472">
        <v>8</v>
      </c>
      <c r="M9" s="465" t="str">
        <f ca="1">IFERROR(VLOOKUP(L10,$G$5:$J$28,2,FALSE),"")</f>
        <v/>
      </c>
      <c r="N9" s="966"/>
      <c r="O9" s="780"/>
      <c r="Q9" s="447">
        <f>Q7+1</f>
        <v>2</v>
      </c>
      <c r="R9" s="472">
        <v>4</v>
      </c>
      <c r="S9" s="465" t="str">
        <f ca="1">IFERROR(VLOOKUP(R10,$G$5:$J$28,2,FALSE),"")</f>
        <v/>
      </c>
      <c r="T9" s="966"/>
      <c r="U9" s="780"/>
      <c r="W9" s="447">
        <f>W7+1</f>
        <v>2</v>
      </c>
      <c r="X9" s="472">
        <v>2</v>
      </c>
      <c r="Y9" s="465" t="str">
        <f ca="1">IFERROR(VLOOKUP(X10,$G$5:$J$28,2,FALSE),"")</f>
        <v/>
      </c>
      <c r="Z9" s="966"/>
      <c r="AA9" s="780"/>
      <c r="AF9" s="452" t="s">
        <v>786</v>
      </c>
      <c r="AG9" s="435" t="str">
        <f>IF(ISBLANK(Z14),"",IF(Z14+AA14&gt;Z16+AA16,X15,X17))</f>
        <v/>
      </c>
      <c r="AH9" s="478" t="str">
        <f t="shared" ca="1" si="7"/>
        <v/>
      </c>
      <c r="AI9" s="474" t="str">
        <f t="shared" ca="1" si="8"/>
        <v/>
      </c>
      <c r="AJ9" s="915" t="str">
        <f t="shared" ca="1" si="9"/>
        <v/>
      </c>
      <c r="AN9" s="494">
        <f>K16</f>
        <v>4</v>
      </c>
      <c r="AO9" s="495" t="str">
        <f ca="1">L17</f>
        <v/>
      </c>
      <c r="AP9" s="495" t="str">
        <f t="shared" ref="AP9" ca="1" si="12">AO8</f>
        <v/>
      </c>
      <c r="AQ9" s="496" t="s">
        <v>793</v>
      </c>
      <c r="AR9" s="494">
        <f>Q16</f>
        <v>4</v>
      </c>
      <c r="AS9" s="495" t="str">
        <f>R17</f>
        <v/>
      </c>
      <c r="AT9" s="495" t="str">
        <f t="shared" ref="AT9" si="13">AS8</f>
        <v/>
      </c>
      <c r="AU9" s="496" t="s">
        <v>793</v>
      </c>
      <c r="AV9" s="494">
        <f>W16</f>
        <v>4</v>
      </c>
      <c r="AW9" s="495" t="str">
        <f>X17</f>
        <v/>
      </c>
      <c r="AX9" s="495" t="str">
        <f>X15</f>
        <v/>
      </c>
      <c r="AY9" s="496" t="s">
        <v>793</v>
      </c>
    </row>
    <row r="10" spans="1:51" ht="15.95" customHeight="1" thickBot="1" x14ac:dyDescent="0.25">
      <c r="A10" s="435">
        <v>6</v>
      </c>
      <c r="B10" s="444" t="str">
        <f t="shared" ca="1" si="1"/>
        <v/>
      </c>
      <c r="C10" s="444" t="str">
        <f t="shared" ca="1" si="2"/>
        <v/>
      </c>
      <c r="D10" s="444" t="str">
        <f t="shared" ca="1" si="3"/>
        <v/>
      </c>
      <c r="E10" s="486">
        <f t="shared" ca="1" si="4"/>
        <v>0</v>
      </c>
      <c r="F10" s="489">
        <v>16</v>
      </c>
      <c r="G10" s="488" t="str">
        <f t="shared" ca="1" si="5"/>
        <v/>
      </c>
      <c r="H10" s="898" t="str">
        <f t="shared" ca="1" si="6"/>
        <v/>
      </c>
      <c r="I10" s="898" t="str">
        <f t="shared" ca="1" si="0"/>
        <v/>
      </c>
      <c r="J10" s="898" t="str">
        <f t="shared" ca="1" si="0"/>
        <v/>
      </c>
      <c r="K10" s="447"/>
      <c r="L10" s="473" t="str">
        <f ca="1">VLOOKUP(L9,$A$5:$G$24,7,FALSE)</f>
        <v/>
      </c>
      <c r="M10" s="466" t="str">
        <f ca="1">IFERROR(VLOOKUP(L10,$G$5:$J$28,3,FALSE),"")</f>
        <v/>
      </c>
      <c r="N10" s="967"/>
      <c r="Q10" s="447"/>
      <c r="R10" s="473" t="str">
        <f>IF(ISBLANK(N14),"",IF(O14+N14&gt;N16+O16,L15,L17))</f>
        <v/>
      </c>
      <c r="S10" s="466" t="str">
        <f ca="1">IFERROR(VLOOKUP(R10,$G$5:$J$28,3,FALSE),"")</f>
        <v/>
      </c>
      <c r="T10" s="967"/>
      <c r="W10" s="447"/>
      <c r="X10" s="473" t="str">
        <f>IF(ISBLANK(T14),"",IF(U14+T14&gt;T16+U16,R15,R17))</f>
        <v/>
      </c>
      <c r="Y10" s="466" t="str">
        <f ca="1">IFERROR(VLOOKUP(X10,$G$5:$J$28,3,FALSE),"")</f>
        <v/>
      </c>
      <c r="Z10" s="967"/>
      <c r="AF10" s="453" t="s">
        <v>788</v>
      </c>
      <c r="AG10" s="435" t="str">
        <f>IF(ISBLANK(Z14),"",IF(Z14+AA14&lt;Z16+AA16,X15,X17))</f>
        <v/>
      </c>
      <c r="AH10" s="478" t="str">
        <f t="shared" ca="1" si="7"/>
        <v/>
      </c>
      <c r="AI10" s="474" t="str">
        <f t="shared" ca="1" si="8"/>
        <v/>
      </c>
      <c r="AJ10" s="915" t="str">
        <f t="shared" ca="1" si="9"/>
        <v/>
      </c>
      <c r="AN10" s="494">
        <f>K21</f>
        <v>5</v>
      </c>
      <c r="AO10" s="495" t="str">
        <f ca="1">L22</f>
        <v/>
      </c>
      <c r="AP10" s="495" t="str">
        <f t="shared" ref="AP10" ca="1" si="14">AO11</f>
        <v/>
      </c>
      <c r="AQ10" s="496" t="s">
        <v>793</v>
      </c>
      <c r="AR10" s="494">
        <f>Q21</f>
        <v>5</v>
      </c>
      <c r="AS10" s="495" t="str">
        <f>R22</f>
        <v/>
      </c>
      <c r="AT10" s="495" t="str">
        <f t="shared" ref="AT10" si="15">AS11</f>
        <v/>
      </c>
      <c r="AU10" s="496" t="s">
        <v>793</v>
      </c>
      <c r="AV10" s="494">
        <f>W21</f>
        <v>5</v>
      </c>
      <c r="AW10" s="495" t="str">
        <f>X22</f>
        <v/>
      </c>
      <c r="AX10" s="495" t="str">
        <f>X24</f>
        <v/>
      </c>
      <c r="AY10" s="496" t="s">
        <v>793</v>
      </c>
    </row>
    <row r="11" spans="1:51" ht="15.95" customHeight="1" x14ac:dyDescent="0.2">
      <c r="A11" s="435">
        <v>7</v>
      </c>
      <c r="B11" s="444" t="str">
        <f t="shared" ca="1" si="1"/>
        <v/>
      </c>
      <c r="C11" s="444" t="str">
        <f t="shared" ca="1" si="2"/>
        <v/>
      </c>
      <c r="D11" s="444" t="str">
        <f t="shared" ca="1" si="3"/>
        <v/>
      </c>
      <c r="E11" s="486">
        <f t="shared" ca="1" si="4"/>
        <v>0</v>
      </c>
      <c r="F11" s="489">
        <v>17</v>
      </c>
      <c r="G11" s="488" t="str">
        <f t="shared" ca="1" si="5"/>
        <v/>
      </c>
      <c r="H11" s="898" t="str">
        <f t="shared" ca="1" si="6"/>
        <v/>
      </c>
      <c r="I11" s="898" t="str">
        <f t="shared" ca="1" si="0"/>
        <v/>
      </c>
      <c r="J11" s="898" t="str">
        <f t="shared" ca="1" si="0"/>
        <v/>
      </c>
      <c r="K11" s="450"/>
      <c r="L11" s="450"/>
      <c r="M11" s="450"/>
      <c r="N11" s="451"/>
      <c r="O11" s="450"/>
      <c r="P11" s="450"/>
      <c r="Q11" s="450"/>
      <c r="R11" s="437"/>
      <c r="S11" s="437"/>
      <c r="T11" s="451"/>
      <c r="U11" s="450"/>
      <c r="V11" s="450"/>
      <c r="W11" s="450"/>
      <c r="X11" s="450"/>
      <c r="Y11" s="450"/>
      <c r="Z11" s="451"/>
      <c r="AA11" s="450"/>
      <c r="AF11" s="453" t="s">
        <v>789</v>
      </c>
      <c r="AG11" s="435" t="str">
        <f>IF(ISBLANK(Z21),"",IF(Z21+AA21&gt;Z23+AA23,X22,X24))</f>
        <v/>
      </c>
      <c r="AH11" s="478" t="str">
        <f t="shared" ca="1" si="7"/>
        <v/>
      </c>
      <c r="AI11" s="474" t="str">
        <f t="shared" ca="1" si="8"/>
        <v/>
      </c>
      <c r="AJ11" s="915" t="str">
        <f t="shared" ca="1" si="9"/>
        <v/>
      </c>
      <c r="AN11" s="494">
        <f>K23</f>
        <v>6</v>
      </c>
      <c r="AO11" s="495" t="str">
        <f ca="1">L24</f>
        <v/>
      </c>
      <c r="AP11" s="495" t="str">
        <f t="shared" ref="AP11" ca="1" si="16">AO10</f>
        <v/>
      </c>
      <c r="AQ11" s="496" t="s">
        <v>793</v>
      </c>
      <c r="AR11" s="494">
        <f>Q23</f>
        <v>6</v>
      </c>
      <c r="AS11" s="495" t="str">
        <f>R24</f>
        <v/>
      </c>
      <c r="AT11" s="495" t="str">
        <f t="shared" ref="AT11" si="17">AS10</f>
        <v/>
      </c>
      <c r="AU11" s="496" t="s">
        <v>793</v>
      </c>
      <c r="AV11" s="494">
        <f>W23</f>
        <v>6</v>
      </c>
      <c r="AW11" s="495" t="str">
        <f>X24</f>
        <v/>
      </c>
      <c r="AX11" s="495" t="str">
        <f>X22</f>
        <v/>
      </c>
      <c r="AY11" s="496" t="s">
        <v>793</v>
      </c>
    </row>
    <row r="12" spans="1:51" ht="15.95" customHeight="1" thickBot="1" x14ac:dyDescent="0.25">
      <c r="A12" s="435">
        <v>8</v>
      </c>
      <c r="B12" s="444" t="str">
        <f t="shared" ca="1" si="1"/>
        <v/>
      </c>
      <c r="C12" s="444" t="str">
        <f t="shared" ca="1" si="2"/>
        <v/>
      </c>
      <c r="D12" s="444" t="str">
        <f t="shared" ca="1" si="3"/>
        <v/>
      </c>
      <c r="E12" s="486">
        <f t="shared" ca="1" si="4"/>
        <v>0</v>
      </c>
      <c r="F12" s="489">
        <v>18</v>
      </c>
      <c r="G12" s="488" t="str">
        <f t="shared" ca="1" si="5"/>
        <v/>
      </c>
      <c r="H12" s="898" t="str">
        <f t="shared" ca="1" si="6"/>
        <v/>
      </c>
      <c r="I12" s="898" t="str">
        <f t="shared" ca="1" si="0"/>
        <v/>
      </c>
      <c r="J12" s="898" t="str">
        <f t="shared" ca="1" si="0"/>
        <v/>
      </c>
      <c r="K12" s="450"/>
      <c r="L12" s="450"/>
      <c r="M12" s="450"/>
      <c r="N12" s="451"/>
      <c r="O12" s="450"/>
      <c r="P12" s="450"/>
      <c r="Q12" s="450"/>
      <c r="R12" s="437"/>
      <c r="S12" s="437"/>
      <c r="T12" s="451"/>
      <c r="U12" s="450"/>
      <c r="V12" s="450"/>
      <c r="W12" s="450"/>
      <c r="X12" s="979" t="s">
        <v>787</v>
      </c>
      <c r="Y12" s="1247"/>
      <c r="Z12" s="1247"/>
      <c r="AA12" s="450"/>
      <c r="AF12" s="453" t="s">
        <v>790</v>
      </c>
      <c r="AG12" s="435" t="str">
        <f>IF(ISBLANK(Z21),"",IF(Z21+AA21&lt;Z23+AA23,X22,X24))</f>
        <v/>
      </c>
      <c r="AH12" s="478" t="str">
        <f t="shared" ca="1" si="7"/>
        <v/>
      </c>
      <c r="AI12" s="474" t="str">
        <f t="shared" ca="1" si="8"/>
        <v/>
      </c>
      <c r="AJ12" s="915" t="str">
        <f t="shared" ca="1" si="9"/>
        <v/>
      </c>
      <c r="AN12" s="494">
        <f>K28</f>
        <v>7</v>
      </c>
      <c r="AO12" s="495" t="str">
        <f ca="1">L29</f>
        <v/>
      </c>
      <c r="AP12" s="495" t="str">
        <f t="shared" ref="AP12" ca="1" si="18">AO13</f>
        <v/>
      </c>
      <c r="AQ12" s="496" t="s">
        <v>793</v>
      </c>
      <c r="AR12" s="494">
        <f>Q28</f>
        <v>7</v>
      </c>
      <c r="AS12" s="495" t="str">
        <f>R29</f>
        <v/>
      </c>
      <c r="AT12" s="495" t="str">
        <f t="shared" ref="AT12" si="19">AS13</f>
        <v/>
      </c>
      <c r="AU12" s="496" t="s">
        <v>793</v>
      </c>
      <c r="AV12" s="494">
        <f>W28</f>
        <v>7</v>
      </c>
      <c r="AW12" s="495" t="str">
        <f>X29</f>
        <v/>
      </c>
      <c r="AX12" s="495" t="str">
        <f>X31</f>
        <v/>
      </c>
      <c r="AY12" s="496" t="s">
        <v>793</v>
      </c>
    </row>
    <row r="13" spans="1:51" ht="15.95" customHeight="1" thickBot="1" x14ac:dyDescent="0.25">
      <c r="A13" s="435">
        <v>9</v>
      </c>
      <c r="B13" s="444" t="str">
        <f t="shared" ca="1" si="1"/>
        <v/>
      </c>
      <c r="C13" s="444" t="str">
        <f t="shared" ca="1" si="2"/>
        <v/>
      </c>
      <c r="D13" s="444" t="str">
        <f t="shared" ca="1" si="3"/>
        <v/>
      </c>
      <c r="E13" s="486">
        <f t="shared" ca="1" si="4"/>
        <v>0</v>
      </c>
      <c r="F13" s="489">
        <v>19</v>
      </c>
      <c r="G13" s="488" t="str">
        <f t="shared" ca="1" si="5"/>
        <v/>
      </c>
      <c r="H13" s="898" t="str">
        <f t="shared" ca="1" si="6"/>
        <v/>
      </c>
      <c r="I13" s="898" t="str">
        <f t="shared" ca="1" si="0"/>
        <v/>
      </c>
      <c r="J13" s="898" t="str">
        <f t="shared" ca="1" si="0"/>
        <v/>
      </c>
      <c r="K13" s="445" t="s">
        <v>779</v>
      </c>
      <c r="L13" s="779" t="s">
        <v>1083</v>
      </c>
      <c r="M13" s="456" t="s">
        <v>481</v>
      </c>
      <c r="N13" s="464" t="s">
        <v>780</v>
      </c>
      <c r="O13" s="446" t="s">
        <v>781</v>
      </c>
      <c r="P13" s="445"/>
      <c r="Q13" s="445" t="s">
        <v>779</v>
      </c>
      <c r="R13" s="779" t="s">
        <v>1083</v>
      </c>
      <c r="S13" s="456" t="s">
        <v>481</v>
      </c>
      <c r="T13" s="464" t="s">
        <v>780</v>
      </c>
      <c r="U13" s="446" t="s">
        <v>781</v>
      </c>
      <c r="V13" s="445"/>
      <c r="W13" s="445" t="s">
        <v>779</v>
      </c>
      <c r="X13" s="779" t="s">
        <v>1083</v>
      </c>
      <c r="Y13" s="456" t="s">
        <v>481</v>
      </c>
      <c r="Z13" s="464" t="s">
        <v>780</v>
      </c>
      <c r="AA13" s="446" t="s">
        <v>781</v>
      </c>
      <c r="AF13" s="453" t="s">
        <v>791</v>
      </c>
      <c r="AG13" s="435" t="str">
        <f>IF(ISBLANK(Z28),"",IF(Z28+AA28&gt;Z30+AA30,X29,X31))</f>
        <v/>
      </c>
      <c r="AH13" s="478" t="str">
        <f t="shared" ca="1" si="7"/>
        <v/>
      </c>
      <c r="AI13" s="474" t="str">
        <f t="shared" ca="1" si="8"/>
        <v/>
      </c>
      <c r="AJ13" s="915" t="str">
        <f t="shared" ca="1" si="9"/>
        <v/>
      </c>
      <c r="AN13" s="494">
        <f>K30</f>
        <v>8</v>
      </c>
      <c r="AO13" s="495" t="str">
        <f ca="1">L31</f>
        <v/>
      </c>
      <c r="AP13" s="495" t="str">
        <f t="shared" ref="AP13" ca="1" si="20">AO12</f>
        <v/>
      </c>
      <c r="AQ13" s="496" t="s">
        <v>793</v>
      </c>
      <c r="AR13" s="494">
        <f>Q30</f>
        <v>8</v>
      </c>
      <c r="AS13" s="495" t="str">
        <f>R31</f>
        <v/>
      </c>
      <c r="AT13" s="495" t="str">
        <f t="shared" ref="AT13" si="21">AS12</f>
        <v/>
      </c>
      <c r="AU13" s="496" t="s">
        <v>793</v>
      </c>
      <c r="AV13" s="494">
        <f>W30</f>
        <v>8</v>
      </c>
      <c r="AW13" s="495" t="str">
        <f>X31</f>
        <v/>
      </c>
      <c r="AX13" s="495" t="str">
        <f>X29</f>
        <v/>
      </c>
      <c r="AY13" s="496" t="s">
        <v>793</v>
      </c>
    </row>
    <row r="14" spans="1:51" ht="15.95" customHeight="1" thickBot="1" x14ac:dyDescent="0.25">
      <c r="A14" s="435">
        <v>10</v>
      </c>
      <c r="B14" s="444" t="str">
        <f t="shared" ca="1" si="1"/>
        <v/>
      </c>
      <c r="C14" s="444" t="str">
        <f t="shared" ca="1" si="2"/>
        <v/>
      </c>
      <c r="D14" s="444" t="str">
        <f t="shared" ca="1" si="3"/>
        <v/>
      </c>
      <c r="E14" s="486">
        <f t="shared" ca="1" si="4"/>
        <v>0</v>
      </c>
      <c r="F14" s="489">
        <v>20</v>
      </c>
      <c r="G14" s="488" t="str">
        <f t="shared" ca="1" si="5"/>
        <v/>
      </c>
      <c r="H14" s="898" t="str">
        <f t="shared" ca="1" si="6"/>
        <v/>
      </c>
      <c r="I14" s="898" t="str">
        <f t="shared" ca="1" si="0"/>
        <v/>
      </c>
      <c r="J14" s="898" t="str">
        <f t="shared" ca="1" si="0"/>
        <v/>
      </c>
      <c r="K14" s="447">
        <f>K9+1</f>
        <v>3</v>
      </c>
      <c r="L14" s="472">
        <v>4</v>
      </c>
      <c r="M14" s="465" t="str">
        <f ca="1">IFERROR(VLOOKUP(L15,$G$5:$J$28,2,FALSE),"")</f>
        <v/>
      </c>
      <c r="N14" s="966"/>
      <c r="O14" s="780"/>
      <c r="Q14" s="447">
        <f>Q9+1</f>
        <v>3</v>
      </c>
      <c r="R14" s="472">
        <v>3</v>
      </c>
      <c r="S14" s="465" t="str">
        <f ca="1">IFERROR(VLOOKUP(R15,$G$5:$J$28,2,FALSE),"")</f>
        <v/>
      </c>
      <c r="T14" s="966"/>
      <c r="U14" s="780"/>
      <c r="W14" s="447">
        <f>W9+1</f>
        <v>3</v>
      </c>
      <c r="X14" s="472">
        <v>4</v>
      </c>
      <c r="Y14" s="465" t="str">
        <f ca="1">IFERROR(VLOOKUP(X15,$G$5:$J$28,2,FALSE),"")</f>
        <v/>
      </c>
      <c r="Z14" s="966"/>
      <c r="AA14" s="780"/>
      <c r="AF14" s="453" t="s">
        <v>792</v>
      </c>
      <c r="AG14" s="435" t="str">
        <f>IF(ISBLANK(Z28),"",IF(Z28+AA28&lt;Z30+AA30,X29,X31))</f>
        <v/>
      </c>
      <c r="AH14" s="478" t="str">
        <f t="shared" ca="1" si="7"/>
        <v/>
      </c>
      <c r="AI14" s="474" t="str">
        <f t="shared" ca="1" si="8"/>
        <v/>
      </c>
      <c r="AJ14" s="915" t="str">
        <f t="shared" ca="1" si="9"/>
        <v/>
      </c>
      <c r="AN14" s="494">
        <f>K35</f>
        <v>9</v>
      </c>
      <c r="AO14" s="495" t="str">
        <f ca="1">L36</f>
        <v/>
      </c>
      <c r="AP14" s="495" t="str">
        <f t="shared" ref="AP14" ca="1" si="22">AO15</f>
        <v/>
      </c>
      <c r="AQ14" s="496" t="s">
        <v>793</v>
      </c>
      <c r="AR14" s="494">
        <f>Q35</f>
        <v>9</v>
      </c>
      <c r="AS14" s="495" t="str">
        <f>R36</f>
        <v/>
      </c>
      <c r="AT14" s="495" t="str">
        <f t="shared" ref="AT14" si="23">AS15</f>
        <v/>
      </c>
      <c r="AU14" s="496" t="s">
        <v>793</v>
      </c>
      <c r="AV14" s="494">
        <f>W35</f>
        <v>9</v>
      </c>
      <c r="AW14" s="495" t="str">
        <f>X36</f>
        <v/>
      </c>
      <c r="AX14" s="495" t="str">
        <f>X38</f>
        <v/>
      </c>
      <c r="AY14" s="496" t="s">
        <v>793</v>
      </c>
    </row>
    <row r="15" spans="1:51" ht="15.95" customHeight="1" thickBot="1" x14ac:dyDescent="0.25">
      <c r="A15" s="435">
        <v>11</v>
      </c>
      <c r="B15" s="444" t="str">
        <f t="shared" ca="1" si="1"/>
        <v/>
      </c>
      <c r="C15" s="444" t="str">
        <f t="shared" ca="1" si="2"/>
        <v/>
      </c>
      <c r="D15" s="444" t="str">
        <f t="shared" ca="1" si="3"/>
        <v/>
      </c>
      <c r="E15" s="486">
        <f t="shared" ca="1" si="4"/>
        <v>0</v>
      </c>
      <c r="F15" s="489">
        <v>21</v>
      </c>
      <c r="G15" s="488" t="str">
        <f t="shared" ca="1" si="5"/>
        <v/>
      </c>
      <c r="H15" s="898" t="str">
        <f t="shared" ca="1" si="6"/>
        <v/>
      </c>
      <c r="I15" s="898" t="str">
        <f t="shared" ca="1" si="0"/>
        <v/>
      </c>
      <c r="J15" s="898" t="str">
        <f t="shared" ca="1" si="0"/>
        <v/>
      </c>
      <c r="K15" s="447"/>
      <c r="L15" s="473" t="str">
        <f ca="1">VLOOKUP(L14,$A$5:$G$24,7,FALSE)</f>
        <v/>
      </c>
      <c r="M15" s="466" t="str">
        <f ca="1">IFERROR(VLOOKUP(L15,$G$5:$J$28,3,FALSE),"")</f>
        <v/>
      </c>
      <c r="N15" s="967"/>
      <c r="Q15" s="447"/>
      <c r="R15" s="473" t="str">
        <f>IF(ISBLANK(N21),"",IF(N21+O21&gt;N23+O23,L22,L24))</f>
        <v/>
      </c>
      <c r="S15" s="466" t="str">
        <f ca="1">IFERROR(VLOOKUP(R15,$G$5:$J$28,3,FALSE),"")</f>
        <v/>
      </c>
      <c r="T15" s="967"/>
      <c r="W15" s="447"/>
      <c r="X15" s="473" t="str">
        <f>IF(ISBLANK(T7),"",IF(U7+T7&lt;T9+U9,R8,R10))</f>
        <v/>
      </c>
      <c r="Y15" s="466" t="str">
        <f ca="1">IFERROR(VLOOKUP(X15,$G$5:$J$28,3,FALSE),"")</f>
        <v/>
      </c>
      <c r="Z15" s="967"/>
      <c r="AF15" s="453" t="s">
        <v>794</v>
      </c>
      <c r="AG15" s="435" t="str">
        <f>IF(ISBLANK(Z35),"",IF(Z35+AA35&gt;Z37+AA37,X36,X38))</f>
        <v/>
      </c>
      <c r="AH15" s="478" t="str">
        <f t="shared" ca="1" si="7"/>
        <v/>
      </c>
      <c r="AI15" s="474" t="str">
        <f t="shared" ca="1" si="8"/>
        <v/>
      </c>
      <c r="AJ15" s="915" t="str">
        <f t="shared" ca="1" si="9"/>
        <v/>
      </c>
      <c r="AN15" s="494">
        <f>K37</f>
        <v>10</v>
      </c>
      <c r="AO15" s="495" t="str">
        <f ca="1">L38</f>
        <v/>
      </c>
      <c r="AP15" s="495" t="str">
        <f t="shared" ref="AP15" ca="1" si="24">AO14</f>
        <v/>
      </c>
      <c r="AQ15" s="496" t="s">
        <v>793</v>
      </c>
      <c r="AR15" s="494">
        <f>Q37</f>
        <v>10</v>
      </c>
      <c r="AS15" s="495" t="str">
        <f>R38</f>
        <v/>
      </c>
      <c r="AT15" s="495" t="str">
        <f t="shared" ref="AT15" si="25">AS14</f>
        <v/>
      </c>
      <c r="AU15" s="496" t="s">
        <v>793</v>
      </c>
      <c r="AV15" s="494">
        <f>W37</f>
        <v>10</v>
      </c>
      <c r="AW15" s="495" t="str">
        <f>X38</f>
        <v/>
      </c>
      <c r="AX15" s="495" t="str">
        <f>X36</f>
        <v/>
      </c>
      <c r="AY15" s="496" t="s">
        <v>793</v>
      </c>
    </row>
    <row r="16" spans="1:51" ht="15.95" customHeight="1" thickBot="1" x14ac:dyDescent="0.25">
      <c r="A16" s="435">
        <v>12</v>
      </c>
      <c r="B16" s="444" t="str">
        <f t="shared" ca="1" si="1"/>
        <v/>
      </c>
      <c r="C16" s="444" t="str">
        <f t="shared" ca="1" si="2"/>
        <v/>
      </c>
      <c r="D16" s="444" t="str">
        <f t="shared" ca="1" si="3"/>
        <v/>
      </c>
      <c r="E16" s="486">
        <f t="shared" ca="1" si="4"/>
        <v>0</v>
      </c>
      <c r="F16" s="489">
        <v>22</v>
      </c>
      <c r="G16" s="488" t="str">
        <f t="shared" ca="1" si="5"/>
        <v/>
      </c>
      <c r="H16" s="898" t="str">
        <f t="shared" ca="1" si="6"/>
        <v/>
      </c>
      <c r="I16" s="898" t="str">
        <f t="shared" ca="1" si="0"/>
        <v/>
      </c>
      <c r="J16" s="898" t="str">
        <f t="shared" ca="1" si="0"/>
        <v/>
      </c>
      <c r="K16" s="447">
        <f>K14+1</f>
        <v>4</v>
      </c>
      <c r="L16" s="472">
        <v>5</v>
      </c>
      <c r="M16" s="465" t="str">
        <f ca="1">IFERROR(VLOOKUP(L17,$G$5:$J$28,2,FALSE),"")</f>
        <v/>
      </c>
      <c r="N16" s="966"/>
      <c r="O16" s="780"/>
      <c r="Q16" s="447">
        <f>Q14+1</f>
        <v>4</v>
      </c>
      <c r="R16" s="472">
        <v>2</v>
      </c>
      <c r="S16" s="465" t="str">
        <f ca="1">IFERROR(VLOOKUP(R17,$G$5:$J$28,2,FALSE),"")</f>
        <v/>
      </c>
      <c r="T16" s="966"/>
      <c r="U16" s="780"/>
      <c r="W16" s="447">
        <f>W14+1</f>
        <v>4</v>
      </c>
      <c r="X16" s="472">
        <v>3</v>
      </c>
      <c r="Y16" s="465" t="str">
        <f ca="1">IFERROR(VLOOKUP(X17,$G$5:$J$28,2,FALSE),"")</f>
        <v/>
      </c>
      <c r="Z16" s="966"/>
      <c r="AA16" s="780"/>
      <c r="AF16" s="453" t="s">
        <v>795</v>
      </c>
      <c r="AG16" s="435" t="str">
        <f>IF(ISBLANK(Z35),"",IF(Z35+AA35&lt;Z37+AA37,X36,X38))</f>
        <v/>
      </c>
      <c r="AH16" s="478" t="str">
        <f t="shared" ca="1" si="7"/>
        <v/>
      </c>
      <c r="AI16" s="474" t="str">
        <f t="shared" ca="1" si="8"/>
        <v/>
      </c>
      <c r="AJ16" s="915" t="str">
        <f t="shared" ca="1" si="9"/>
        <v/>
      </c>
      <c r="AN16" s="494">
        <f>K42</f>
        <v>11</v>
      </c>
      <c r="AO16" s="495" t="str">
        <f ca="1">L43</f>
        <v/>
      </c>
      <c r="AP16" s="495" t="str">
        <f t="shared" ref="AP16" ca="1" si="26">AO17</f>
        <v/>
      </c>
      <c r="AQ16" s="496" t="s">
        <v>793</v>
      </c>
      <c r="AR16" s="494">
        <f>Q42</f>
        <v>11</v>
      </c>
      <c r="AS16" s="495" t="str">
        <f>R43</f>
        <v/>
      </c>
      <c r="AT16" s="495" t="str">
        <f t="shared" ref="AT16" si="27">AS17</f>
        <v/>
      </c>
      <c r="AU16" s="496" t="s">
        <v>793</v>
      </c>
      <c r="AV16" s="494">
        <f>W42</f>
        <v>11</v>
      </c>
      <c r="AW16" s="495" t="str">
        <f>X43</f>
        <v/>
      </c>
      <c r="AX16" s="495" t="str">
        <f>X45</f>
        <v/>
      </c>
      <c r="AY16" s="496" t="s">
        <v>793</v>
      </c>
    </row>
    <row r="17" spans="1:51" ht="15.95" customHeight="1" thickBot="1" x14ac:dyDescent="0.25">
      <c r="A17" s="435">
        <v>13</v>
      </c>
      <c r="B17" s="444" t="str">
        <f t="shared" ca="1" si="1"/>
        <v/>
      </c>
      <c r="C17" s="444" t="str">
        <f t="shared" ca="1" si="2"/>
        <v/>
      </c>
      <c r="D17" s="444" t="str">
        <f t="shared" ca="1" si="3"/>
        <v/>
      </c>
      <c r="E17" s="486">
        <f t="shared" ca="1" si="4"/>
        <v>0</v>
      </c>
      <c r="F17" s="489">
        <v>23</v>
      </c>
      <c r="G17" s="488" t="str">
        <f t="shared" ca="1" si="5"/>
        <v/>
      </c>
      <c r="H17" s="898" t="str">
        <f t="shared" ca="1" si="6"/>
        <v/>
      </c>
      <c r="I17" s="898" t="str">
        <f t="shared" ca="1" si="0"/>
        <v/>
      </c>
      <c r="J17" s="898" t="str">
        <f t="shared" ca="1" si="0"/>
        <v/>
      </c>
      <c r="K17" s="447"/>
      <c r="L17" s="473" t="str">
        <f ca="1">VLOOKUP(L16,$A$5:$G$24,7,FALSE)</f>
        <v/>
      </c>
      <c r="M17" s="466" t="str">
        <f ca="1">IFERROR(VLOOKUP(L17,$G$5:$J$28,3,FALSE),"")</f>
        <v/>
      </c>
      <c r="N17" s="967"/>
      <c r="Q17" s="447"/>
      <c r="R17" s="473" t="str">
        <f>IF(ISBLANK(N28),"",IF(N28+O28&gt;N30+O30,L29,L31))</f>
        <v/>
      </c>
      <c r="S17" s="466" t="str">
        <f ca="1">IFERROR(VLOOKUP(R17,$G$5:$J$28,3,FALSE),"")</f>
        <v/>
      </c>
      <c r="T17" s="967"/>
      <c r="W17" s="447"/>
      <c r="X17" s="473" t="str">
        <f>IF(ISBLANK(T14),"",IF(U14+T14&lt;T16+U16,R15,R17))</f>
        <v/>
      </c>
      <c r="Y17" s="466" t="str">
        <f ca="1">IFERROR(VLOOKUP(X17,$G$5:$J$28,3,FALSE),"")</f>
        <v/>
      </c>
      <c r="Z17" s="967"/>
      <c r="AF17" s="453" t="s">
        <v>796</v>
      </c>
      <c r="AG17" s="435" t="str">
        <f>IF(ISBLANK(Z42),"",IF(Z42+AA42&gt;Z44+AA44,X43,X45))</f>
        <v/>
      </c>
      <c r="AH17" s="478" t="str">
        <f t="shared" ca="1" si="7"/>
        <v/>
      </c>
      <c r="AI17" s="474" t="str">
        <f t="shared" ca="1" si="8"/>
        <v/>
      </c>
      <c r="AJ17" s="915" t="str">
        <f t="shared" ca="1" si="9"/>
        <v/>
      </c>
      <c r="AN17" s="494">
        <f>K44</f>
        <v>12</v>
      </c>
      <c r="AO17" s="495" t="str">
        <f ca="1">L45</f>
        <v/>
      </c>
      <c r="AP17" s="495" t="str">
        <f t="shared" ref="AP17" ca="1" si="28">AO16</f>
        <v/>
      </c>
      <c r="AQ17" s="496" t="s">
        <v>793</v>
      </c>
      <c r="AR17" s="494">
        <f>Q44</f>
        <v>12</v>
      </c>
      <c r="AS17" s="495" t="str">
        <f>R45</f>
        <v/>
      </c>
      <c r="AT17" s="495" t="str">
        <f t="shared" ref="AT17" si="29">AS16</f>
        <v/>
      </c>
      <c r="AU17" s="496" t="s">
        <v>793</v>
      </c>
      <c r="AV17" s="494">
        <f>W44</f>
        <v>12</v>
      </c>
      <c r="AW17" s="495" t="str">
        <f>X45</f>
        <v/>
      </c>
      <c r="AX17" s="495" t="str">
        <f>X43</f>
        <v/>
      </c>
      <c r="AY17" s="496" t="s">
        <v>793</v>
      </c>
    </row>
    <row r="18" spans="1:51" ht="15.95" customHeight="1" x14ac:dyDescent="0.2">
      <c r="A18" s="435">
        <v>14</v>
      </c>
      <c r="B18" s="444" t="str">
        <f t="shared" ca="1" si="1"/>
        <v/>
      </c>
      <c r="C18" s="444" t="str">
        <f t="shared" ca="1" si="2"/>
        <v/>
      </c>
      <c r="D18" s="444" t="str">
        <f t="shared" ca="1" si="3"/>
        <v/>
      </c>
      <c r="E18" s="486">
        <f t="shared" ca="1" si="4"/>
        <v>0</v>
      </c>
      <c r="F18" s="489">
        <v>24</v>
      </c>
      <c r="G18" s="488" t="str">
        <f t="shared" ca="1" si="5"/>
        <v/>
      </c>
      <c r="H18" s="898" t="str">
        <f t="shared" ca="1" si="6"/>
        <v/>
      </c>
      <c r="I18" s="898" t="str">
        <f t="shared" ca="1" si="0"/>
        <v/>
      </c>
      <c r="J18" s="898" t="str">
        <f t="shared" ca="1" si="0"/>
        <v/>
      </c>
      <c r="K18" s="450"/>
      <c r="L18" s="450"/>
      <c r="M18" s="450"/>
      <c r="N18" s="451"/>
      <c r="O18" s="450"/>
      <c r="P18" s="450"/>
      <c r="Q18" s="450"/>
      <c r="R18" s="450"/>
      <c r="S18" s="450"/>
      <c r="T18" s="451"/>
      <c r="U18" s="450"/>
      <c r="V18" s="450"/>
      <c r="W18" s="450"/>
      <c r="X18" s="450"/>
      <c r="Y18" s="450"/>
      <c r="Z18" s="451"/>
      <c r="AA18" s="450"/>
      <c r="AF18" s="453" t="s">
        <v>797</v>
      </c>
      <c r="AG18" s="435" t="str">
        <f>IF(ISBLANK(Z42),"",IF(Z42+AA42&lt;Z44+AA44,X43,X45))</f>
        <v/>
      </c>
      <c r="AH18" s="478" t="str">
        <f t="shared" ca="1" si="7"/>
        <v/>
      </c>
      <c r="AI18" s="474" t="str">
        <f t="shared" ca="1" si="8"/>
        <v/>
      </c>
      <c r="AJ18" s="915" t="str">
        <f t="shared" ca="1" si="9"/>
        <v/>
      </c>
      <c r="AN18" s="494">
        <f>K49</f>
        <v>13</v>
      </c>
      <c r="AO18" s="495" t="str">
        <f ca="1">L50</f>
        <v/>
      </c>
      <c r="AP18" s="495" t="str">
        <f t="shared" ref="AP18" ca="1" si="30">AO19</f>
        <v/>
      </c>
      <c r="AQ18" s="496" t="s">
        <v>793</v>
      </c>
      <c r="AR18" s="494">
        <f>Q49</f>
        <v>13</v>
      </c>
      <c r="AS18" s="495" t="str">
        <f>R50</f>
        <v/>
      </c>
      <c r="AT18" s="495" t="str">
        <f t="shared" ref="AT18" si="31">AS19</f>
        <v/>
      </c>
      <c r="AU18" s="496" t="s">
        <v>793</v>
      </c>
      <c r="AV18" s="494">
        <f>W49</f>
        <v>13</v>
      </c>
      <c r="AW18" s="495" t="str">
        <f>X50</f>
        <v/>
      </c>
      <c r="AX18" s="495" t="str">
        <f>X52</f>
        <v/>
      </c>
      <c r="AY18" s="496" t="s">
        <v>793</v>
      </c>
    </row>
    <row r="19" spans="1:51" ht="15.95" customHeight="1" thickBot="1" x14ac:dyDescent="0.25">
      <c r="A19" s="435">
        <v>15</v>
      </c>
      <c r="B19" s="444" t="str">
        <f t="shared" ca="1" si="1"/>
        <v/>
      </c>
      <c r="C19" s="444" t="str">
        <f t="shared" ca="1" si="2"/>
        <v/>
      </c>
      <c r="D19" s="444" t="str">
        <f t="shared" ca="1" si="3"/>
        <v/>
      </c>
      <c r="E19" s="486">
        <f t="shared" ca="1" si="4"/>
        <v>0</v>
      </c>
      <c r="F19" s="489">
        <v>25</v>
      </c>
      <c r="G19" s="488" t="str">
        <f t="shared" ca="1" si="5"/>
        <v/>
      </c>
      <c r="H19" s="898" t="str">
        <f t="shared" ca="1" si="6"/>
        <v/>
      </c>
      <c r="I19" s="898" t="str">
        <f t="shared" ca="1" si="0"/>
        <v/>
      </c>
      <c r="J19" s="898" t="str">
        <f t="shared" ca="1" si="0"/>
        <v/>
      </c>
      <c r="K19" s="450"/>
      <c r="L19" s="454"/>
      <c r="M19" s="454"/>
      <c r="N19" s="455"/>
      <c r="O19" s="450"/>
      <c r="P19" s="450"/>
      <c r="Q19" s="450"/>
      <c r="R19" s="979" t="s">
        <v>819</v>
      </c>
      <c r="S19" s="1247"/>
      <c r="T19" s="1247"/>
      <c r="U19" s="450"/>
      <c r="V19" s="450"/>
      <c r="W19" s="450"/>
      <c r="X19" s="979" t="s">
        <v>820</v>
      </c>
      <c r="Y19" s="1247"/>
      <c r="Z19" s="1247"/>
      <c r="AA19" s="450"/>
      <c r="AF19" s="453" t="s">
        <v>798</v>
      </c>
      <c r="AG19" s="435" t="str">
        <f>IF(ISBLANK(Z49),"",IF(Z49+AA49&gt;Z51+AA51,X50,X52))</f>
        <v/>
      </c>
      <c r="AH19" s="478" t="str">
        <f t="shared" ca="1" si="7"/>
        <v/>
      </c>
      <c r="AI19" s="474" t="str">
        <f t="shared" ca="1" si="8"/>
        <v/>
      </c>
      <c r="AJ19" s="915" t="str">
        <f t="shared" ca="1" si="9"/>
        <v/>
      </c>
      <c r="AN19" s="494">
        <f>K51</f>
        <v>14</v>
      </c>
      <c r="AO19" s="495" t="str">
        <f ca="1">L52</f>
        <v/>
      </c>
      <c r="AP19" s="495" t="str">
        <f t="shared" ref="AP19" ca="1" si="32">AO18</f>
        <v/>
      </c>
      <c r="AQ19" s="496" t="s">
        <v>793</v>
      </c>
      <c r="AR19" s="494">
        <f>Q51</f>
        <v>14</v>
      </c>
      <c r="AS19" s="495" t="str">
        <f>R52</f>
        <v/>
      </c>
      <c r="AT19" s="495" t="str">
        <f t="shared" ref="AT19" si="33">AS18</f>
        <v/>
      </c>
      <c r="AU19" s="496" t="s">
        <v>793</v>
      </c>
      <c r="AV19" s="494">
        <f>W51</f>
        <v>14</v>
      </c>
      <c r="AW19" s="495" t="str">
        <f>X52</f>
        <v/>
      </c>
      <c r="AX19" s="495" t="str">
        <f>X50</f>
        <v/>
      </c>
      <c r="AY19" s="496" t="s">
        <v>793</v>
      </c>
    </row>
    <row r="20" spans="1:51" ht="15.95" customHeight="1" thickBot="1" x14ac:dyDescent="0.25">
      <c r="A20" s="435">
        <v>16</v>
      </c>
      <c r="B20" s="444" t="str">
        <f t="shared" ca="1" si="1"/>
        <v/>
      </c>
      <c r="C20" s="444" t="str">
        <f t="shared" ca="1" si="2"/>
        <v/>
      </c>
      <c r="D20" s="444" t="str">
        <f t="shared" ca="1" si="3"/>
        <v/>
      </c>
      <c r="E20" s="486">
        <f t="shared" ca="1" si="4"/>
        <v>0</v>
      </c>
      <c r="F20" s="489">
        <v>26</v>
      </c>
      <c r="G20" s="488" t="str">
        <f t="shared" ca="1" si="5"/>
        <v/>
      </c>
      <c r="H20" s="898" t="str">
        <f t="shared" ca="1" si="6"/>
        <v/>
      </c>
      <c r="I20" s="898" t="str">
        <f t="shared" ca="1" si="0"/>
        <v/>
      </c>
      <c r="J20" s="898" t="str">
        <f t="shared" ca="1" si="0"/>
        <v/>
      </c>
      <c r="K20" s="445" t="s">
        <v>779</v>
      </c>
      <c r="L20" s="779" t="s">
        <v>1083</v>
      </c>
      <c r="M20" s="456" t="s">
        <v>481</v>
      </c>
      <c r="N20" s="464" t="s">
        <v>780</v>
      </c>
      <c r="O20" s="446" t="s">
        <v>781</v>
      </c>
      <c r="P20" s="445"/>
      <c r="Q20" s="445" t="s">
        <v>779</v>
      </c>
      <c r="R20" s="779" t="s">
        <v>1083</v>
      </c>
      <c r="S20" s="456" t="s">
        <v>481</v>
      </c>
      <c r="T20" s="464" t="s">
        <v>780</v>
      </c>
      <c r="U20" s="446" t="s">
        <v>781</v>
      </c>
      <c r="V20" s="445"/>
      <c r="W20" s="445" t="s">
        <v>779</v>
      </c>
      <c r="X20" s="779" t="s">
        <v>1083</v>
      </c>
      <c r="Y20" s="456" t="s">
        <v>481</v>
      </c>
      <c r="Z20" s="464" t="s">
        <v>780</v>
      </c>
      <c r="AA20" s="446" t="s">
        <v>781</v>
      </c>
      <c r="AF20" s="453" t="s">
        <v>799</v>
      </c>
      <c r="AG20" s="435" t="str">
        <f>IF(ISBLANK(Z49),"",IF(Z49+AA49&lt;Z51+AA51,X50,X52))</f>
        <v/>
      </c>
      <c r="AH20" s="478" t="str">
        <f t="shared" ca="1" si="7"/>
        <v/>
      </c>
      <c r="AI20" s="474" t="str">
        <f t="shared" ca="1" si="8"/>
        <v/>
      </c>
      <c r="AJ20" s="915" t="str">
        <f t="shared" ca="1" si="9"/>
        <v/>
      </c>
      <c r="AN20" s="494">
        <f>K56</f>
        <v>15</v>
      </c>
      <c r="AO20" s="495" t="str">
        <f ca="1">L57</f>
        <v/>
      </c>
      <c r="AP20" s="495" t="str">
        <f t="shared" ref="AP20" ca="1" si="34">AO21</f>
        <v/>
      </c>
      <c r="AQ20" s="496" t="s">
        <v>793</v>
      </c>
      <c r="AR20" s="494">
        <f>Q56</f>
        <v>15</v>
      </c>
      <c r="AS20" s="495" t="str">
        <f>R57</f>
        <v/>
      </c>
      <c r="AT20" s="495" t="str">
        <f t="shared" ref="AT20" si="35">AS21</f>
        <v/>
      </c>
      <c r="AU20" s="496" t="s">
        <v>793</v>
      </c>
      <c r="AV20" s="494">
        <f>W56</f>
        <v>15</v>
      </c>
      <c r="AW20" s="495" t="str">
        <f>X57</f>
        <v/>
      </c>
      <c r="AX20" s="495" t="str">
        <f>X59</f>
        <v/>
      </c>
      <c r="AY20" s="496" t="s">
        <v>793</v>
      </c>
    </row>
    <row r="21" spans="1:51" ht="15.95" customHeight="1" thickBot="1" x14ac:dyDescent="0.25">
      <c r="A21" s="435">
        <v>17</v>
      </c>
      <c r="B21" s="444" t="str">
        <f t="shared" ca="1" si="1"/>
        <v/>
      </c>
      <c r="C21" s="444" t="str">
        <f t="shared" ca="1" si="2"/>
        <v/>
      </c>
      <c r="D21" s="444" t="str">
        <f t="shared" ca="1" si="3"/>
        <v/>
      </c>
      <c r="E21" s="486">
        <f t="shared" ca="1" si="4"/>
        <v>0</v>
      </c>
      <c r="F21" s="489">
        <v>27</v>
      </c>
      <c r="G21" s="488" t="str">
        <f t="shared" ca="1" si="5"/>
        <v/>
      </c>
      <c r="H21" s="898" t="str">
        <f t="shared" ca="1" si="6"/>
        <v/>
      </c>
      <c r="I21" s="898" t="str">
        <f t="shared" ca="1" si="6"/>
        <v/>
      </c>
      <c r="J21" s="898" t="str">
        <f t="shared" ca="1" si="6"/>
        <v/>
      </c>
      <c r="K21" s="447">
        <f>K16+1</f>
        <v>5</v>
      </c>
      <c r="L21" s="472">
        <v>3</v>
      </c>
      <c r="M21" s="465" t="str">
        <f ca="1">IFERROR(VLOOKUP(L22,$G$5:$J$28,2,FALSE),"")</f>
        <v/>
      </c>
      <c r="N21" s="966"/>
      <c r="O21" s="780"/>
      <c r="Q21" s="447">
        <f>Q16+1</f>
        <v>5</v>
      </c>
      <c r="R21" s="472">
        <v>8</v>
      </c>
      <c r="S21" s="465" t="str">
        <f ca="1">IFERROR(VLOOKUP(R22,$G$5:$J$28,2,FALSE),"")</f>
        <v/>
      </c>
      <c r="T21" s="966"/>
      <c r="U21" s="780"/>
      <c r="W21" s="447">
        <f>W16+1</f>
        <v>5</v>
      </c>
      <c r="X21" s="472">
        <v>5</v>
      </c>
      <c r="Y21" s="465" t="str">
        <f ca="1">IFERROR(VLOOKUP(X22,$G$5:$J$28,2,FALSE),"")</f>
        <v/>
      </c>
      <c r="Z21" s="966"/>
      <c r="AA21" s="780"/>
      <c r="AF21" s="453" t="s">
        <v>800</v>
      </c>
      <c r="AG21" s="435" t="str">
        <f>IF(ISBLANK(Z56),"",IF(Z56+AA56&gt;Z58+AA58,X57,X59))</f>
        <v/>
      </c>
      <c r="AH21" s="478" t="str">
        <f t="shared" ca="1" si="7"/>
        <v/>
      </c>
      <c r="AI21" s="474" t="str">
        <f t="shared" ca="1" si="8"/>
        <v/>
      </c>
      <c r="AJ21" s="915" t="str">
        <f t="shared" ca="1" si="9"/>
        <v/>
      </c>
      <c r="AN21" s="494">
        <f>K58</f>
        <v>16</v>
      </c>
      <c r="AO21" s="495" t="str">
        <f ca="1">L59</f>
        <v/>
      </c>
      <c r="AP21" s="495" t="str">
        <f t="shared" ref="AP21" ca="1" si="36">AO20</f>
        <v/>
      </c>
      <c r="AQ21" s="496" t="s">
        <v>793</v>
      </c>
      <c r="AR21" s="494">
        <f>Q58</f>
        <v>16</v>
      </c>
      <c r="AS21" s="495" t="str">
        <f>R59</f>
        <v/>
      </c>
      <c r="AT21" s="495" t="str">
        <f t="shared" ref="AT21" si="37">AS20</f>
        <v/>
      </c>
      <c r="AU21" s="496" t="s">
        <v>793</v>
      </c>
      <c r="AV21" s="494">
        <f>W58</f>
        <v>16</v>
      </c>
      <c r="AW21" s="495" t="str">
        <f>X59</f>
        <v/>
      </c>
      <c r="AX21" s="495" t="str">
        <f>X57</f>
        <v/>
      </c>
      <c r="AY21" s="496" t="s">
        <v>793</v>
      </c>
    </row>
    <row r="22" spans="1:51" ht="15.95" customHeight="1" thickBot="1" x14ac:dyDescent="0.25">
      <c r="A22" s="435">
        <v>18</v>
      </c>
      <c r="B22" s="444" t="str">
        <f t="shared" ca="1" si="1"/>
        <v/>
      </c>
      <c r="C22" s="444" t="str">
        <f t="shared" ca="1" si="2"/>
        <v/>
      </c>
      <c r="D22" s="444" t="str">
        <f t="shared" ca="1" si="3"/>
        <v/>
      </c>
      <c r="E22" s="486">
        <f t="shared" ca="1" si="4"/>
        <v>0</v>
      </c>
      <c r="F22" s="489">
        <v>28</v>
      </c>
      <c r="G22" s="488" t="str">
        <f t="shared" ca="1" si="5"/>
        <v/>
      </c>
      <c r="H22" s="898" t="str">
        <f t="shared" ca="1" si="6"/>
        <v/>
      </c>
      <c r="I22" s="898" t="str">
        <f t="shared" ca="1" si="6"/>
        <v/>
      </c>
      <c r="J22" s="898" t="str">
        <f t="shared" ca="1" si="6"/>
        <v/>
      </c>
      <c r="K22" s="447"/>
      <c r="L22" s="473" t="str">
        <f ca="1">VLOOKUP(L21,$A$5:$G$24,7,FALSE)</f>
        <v/>
      </c>
      <c r="M22" s="466" t="str">
        <f ca="1">IFERROR(VLOOKUP(L22,$G$5:$J$28,3,FALSE),"")</f>
        <v/>
      </c>
      <c r="N22" s="967"/>
      <c r="Q22" s="447"/>
      <c r="R22" s="473" t="str">
        <f>IF(ISBLANK(N7),"",IF(O7+N7&lt;N9+O9,L8,L10))</f>
        <v/>
      </c>
      <c r="S22" s="466" t="str">
        <f ca="1">IFERROR(VLOOKUP(R22,$G$5:$J$28,3,FALSE),"")</f>
        <v/>
      </c>
      <c r="T22" s="967"/>
      <c r="W22" s="447"/>
      <c r="X22" s="473" t="str">
        <f>IF(ISBLANK(T21),"",IF(U21+T21&gt;T23+U23,R22,R24))</f>
        <v/>
      </c>
      <c r="Y22" s="466" t="str">
        <f ca="1">IFERROR(VLOOKUP(X22,$G$5:$J$28,3,FALSE),"")</f>
        <v/>
      </c>
      <c r="Z22" s="967"/>
      <c r="AF22" s="453" t="s">
        <v>801</v>
      </c>
      <c r="AG22" s="435" t="str">
        <f>IF(ISBLANK(Z56),"",IF(Z56+AA56&lt;Z58+AA58,X57,X59))</f>
        <v/>
      </c>
      <c r="AH22" s="478" t="str">
        <f t="shared" ca="1" si="7"/>
        <v/>
      </c>
      <c r="AI22" s="474" t="str">
        <f t="shared" ca="1" si="8"/>
        <v/>
      </c>
      <c r="AJ22" s="915" t="str">
        <f t="shared" ca="1" si="9"/>
        <v/>
      </c>
      <c r="AN22" s="494">
        <f>K63</f>
        <v>17</v>
      </c>
      <c r="AO22" s="495" t="str">
        <f ca="1">L64</f>
        <v/>
      </c>
      <c r="AP22" s="784" t="s">
        <v>1326</v>
      </c>
      <c r="AQ22" s="496" t="s">
        <v>793</v>
      </c>
      <c r="AR22" s="494">
        <f>Q63</f>
        <v>17</v>
      </c>
      <c r="AS22" s="495" t="str">
        <f ca="1">R64</f>
        <v/>
      </c>
      <c r="AT22" s="495" t="str">
        <f t="shared" ref="AT22" ca="1" si="38">AS23</f>
        <v/>
      </c>
      <c r="AU22" s="496" t="s">
        <v>793</v>
      </c>
      <c r="AV22" s="494">
        <f>W63</f>
        <v>17</v>
      </c>
      <c r="AW22" s="495" t="str">
        <f>X64</f>
        <v/>
      </c>
      <c r="AX22" s="495" t="str">
        <f>X66</f>
        <v/>
      </c>
      <c r="AY22" s="496" t="s">
        <v>793</v>
      </c>
    </row>
    <row r="23" spans="1:51" ht="15.95" customHeight="1" thickBot="1" x14ac:dyDescent="0.25">
      <c r="A23" s="435">
        <v>19</v>
      </c>
      <c r="B23" s="444" t="str">
        <f t="shared" ca="1" si="1"/>
        <v/>
      </c>
      <c r="C23" s="444" t="str">
        <f t="shared" ca="1" si="2"/>
        <v/>
      </c>
      <c r="D23" s="444" t="str">
        <f t="shared" ca="1" si="3"/>
        <v/>
      </c>
      <c r="E23" s="486">
        <f t="shared" ca="1" si="4"/>
        <v>0</v>
      </c>
      <c r="F23" s="489">
        <v>29</v>
      </c>
      <c r="G23" s="488" t="str">
        <f t="shared" ca="1" si="5"/>
        <v/>
      </c>
      <c r="H23" s="898" t="str">
        <f t="shared" ca="1" si="6"/>
        <v/>
      </c>
      <c r="I23" s="898" t="str">
        <f t="shared" ca="1" si="6"/>
        <v/>
      </c>
      <c r="J23" s="898" t="str">
        <f t="shared" ca="1" si="6"/>
        <v/>
      </c>
      <c r="K23" s="447">
        <f>K21+1</f>
        <v>6</v>
      </c>
      <c r="L23" s="472">
        <v>6</v>
      </c>
      <c r="M23" s="465" t="str">
        <f ca="1">IFERROR(VLOOKUP(L24,$G$5:$J$28,2,FALSE),"")</f>
        <v/>
      </c>
      <c r="N23" s="966"/>
      <c r="O23" s="780"/>
      <c r="Q23" s="447">
        <f>Q21+1</f>
        <v>6</v>
      </c>
      <c r="R23" s="472">
        <v>5</v>
      </c>
      <c r="S23" s="465" t="str">
        <f ca="1">IFERROR(VLOOKUP(R24,$G$5:$J$28,2,FALSE),"")</f>
        <v/>
      </c>
      <c r="T23" s="966"/>
      <c r="U23" s="780"/>
      <c r="W23" s="447">
        <f>W21+1</f>
        <v>6</v>
      </c>
      <c r="X23" s="472">
        <v>6</v>
      </c>
      <c r="Y23" s="465" t="str">
        <f ca="1">IFERROR(VLOOKUP(X24,$G$5:$J$28,2,FALSE),"")</f>
        <v/>
      </c>
      <c r="Z23" s="966"/>
      <c r="AA23" s="780"/>
      <c r="AF23" s="453" t="s">
        <v>802</v>
      </c>
      <c r="AG23" s="435" t="str">
        <f>IF(ISBLANK(Z63),"",IF(Z63+AA63&gt;Z65+AA65,X64,X66))</f>
        <v/>
      </c>
      <c r="AH23" s="478" t="str">
        <f t="shared" ca="1" si="7"/>
        <v/>
      </c>
      <c r="AI23" s="474" t="str">
        <f t="shared" ca="1" si="8"/>
        <v/>
      </c>
      <c r="AJ23" s="915" t="str">
        <f t="shared" ca="1" si="9"/>
        <v/>
      </c>
      <c r="AN23" s="494">
        <f>K68</f>
        <v>18</v>
      </c>
      <c r="AO23" s="495" t="str">
        <f ca="1">L69</f>
        <v/>
      </c>
      <c r="AP23" s="784" t="s">
        <v>1326</v>
      </c>
      <c r="AQ23" s="496" t="s">
        <v>793</v>
      </c>
      <c r="AR23" s="494">
        <f>Q65</f>
        <v>18</v>
      </c>
      <c r="AS23" s="495" t="str">
        <f ca="1">R66</f>
        <v/>
      </c>
      <c r="AT23" s="495" t="str">
        <f t="shared" ref="AT23" ca="1" si="39">AS22</f>
        <v/>
      </c>
      <c r="AU23" s="496" t="s">
        <v>793</v>
      </c>
      <c r="AV23" s="494">
        <f>W65</f>
        <v>18</v>
      </c>
      <c r="AW23" s="495" t="str">
        <f>X66</f>
        <v/>
      </c>
      <c r="AX23" s="495" t="str">
        <f>X64</f>
        <v/>
      </c>
      <c r="AY23" s="496" t="s">
        <v>793</v>
      </c>
    </row>
    <row r="24" spans="1:51" ht="15.95" customHeight="1" thickBot="1" x14ac:dyDescent="0.25">
      <c r="A24" s="435">
        <v>20</v>
      </c>
      <c r="B24" s="444" t="str">
        <f t="shared" ca="1" si="1"/>
        <v/>
      </c>
      <c r="C24" s="444" t="str">
        <f t="shared" ca="1" si="2"/>
        <v/>
      </c>
      <c r="D24" s="444" t="str">
        <f t="shared" ca="1" si="3"/>
        <v/>
      </c>
      <c r="E24" s="486">
        <f t="shared" ca="1" si="4"/>
        <v>0</v>
      </c>
      <c r="F24" s="489">
        <v>30</v>
      </c>
      <c r="G24" s="488" t="str">
        <f t="shared" ca="1" si="5"/>
        <v/>
      </c>
      <c r="H24" s="898" t="str">
        <f t="shared" ca="1" si="6"/>
        <v/>
      </c>
      <c r="I24" s="898" t="str">
        <f t="shared" ca="1" si="6"/>
        <v/>
      </c>
      <c r="J24" s="898" t="str">
        <f t="shared" ca="1" si="6"/>
        <v/>
      </c>
      <c r="K24" s="447"/>
      <c r="L24" s="473" t="str">
        <f ca="1">VLOOKUP(L23,$A$5:$G$24,7,FALSE)</f>
        <v/>
      </c>
      <c r="M24" s="466" t="str">
        <f ca="1">IFERROR(VLOOKUP(L24,$G$5:$J$28,3,FALSE),"")</f>
        <v/>
      </c>
      <c r="N24" s="967"/>
      <c r="Q24" s="447"/>
      <c r="R24" s="473" t="str">
        <f>IF(ISBLANK(N14),"",IF(O14+N14&lt;N16+O16,L15,L17))</f>
        <v/>
      </c>
      <c r="S24" s="466" t="str">
        <f ca="1">IFERROR(VLOOKUP(R24,$G$5:$J$28,3,FALSE),"")</f>
        <v/>
      </c>
      <c r="T24" s="967"/>
      <c r="W24" s="447"/>
      <c r="X24" s="473" t="str">
        <f>IF(ISBLANK(T28),"",IF(U28+T28&gt;T30+U30,R29,R31))</f>
        <v/>
      </c>
      <c r="Y24" s="466" t="str">
        <f ca="1">IFERROR(VLOOKUP(X24,$G$5:$J$28,3,FALSE),"")</f>
        <v/>
      </c>
      <c r="Z24" s="967"/>
      <c r="AF24" s="453" t="s">
        <v>803</v>
      </c>
      <c r="AG24" s="435" t="str">
        <f>IF(ISBLANK(Z63),"",IF(Z63+AA63&lt;Z65+AA65,X64,X66))</f>
        <v/>
      </c>
      <c r="AH24" s="478" t="str">
        <f t="shared" ca="1" si="7"/>
        <v/>
      </c>
      <c r="AI24" s="474" t="str">
        <f t="shared" ca="1" si="8"/>
        <v/>
      </c>
      <c r="AJ24" s="915" t="str">
        <f t="shared" ca="1" si="9"/>
        <v/>
      </c>
      <c r="AN24" s="494">
        <f>K73</f>
        <v>19</v>
      </c>
      <c r="AO24" s="495" t="str">
        <f ca="1">L74</f>
        <v/>
      </c>
      <c r="AP24" s="784" t="s">
        <v>1326</v>
      </c>
      <c r="AQ24" s="496" t="s">
        <v>793</v>
      </c>
      <c r="AR24" s="494">
        <f>Q70</f>
        <v>19</v>
      </c>
      <c r="AS24" s="495" t="str">
        <f ca="1">R71</f>
        <v/>
      </c>
      <c r="AT24" s="495" t="str">
        <f t="shared" ref="AT24" ca="1" si="40">AS25</f>
        <v/>
      </c>
      <c r="AU24" s="496" t="s">
        <v>793</v>
      </c>
      <c r="AV24" s="494">
        <f>W70</f>
        <v>19</v>
      </c>
      <c r="AW24" s="495" t="str">
        <f>X71</f>
        <v/>
      </c>
      <c r="AX24" s="495" t="str">
        <f>X73</f>
        <v/>
      </c>
      <c r="AY24" s="496" t="s">
        <v>793</v>
      </c>
    </row>
    <row r="25" spans="1:51" ht="15.95" customHeight="1" x14ac:dyDescent="0.2">
      <c r="B25" s="444"/>
      <c r="C25" s="444"/>
      <c r="D25" s="444"/>
      <c r="E25" s="486"/>
      <c r="F25" s="489">
        <v>31</v>
      </c>
      <c r="G25" s="488" t="str">
        <f t="shared" si="5"/>
        <v/>
      </c>
      <c r="H25" s="898" t="str">
        <f t="shared" si="6"/>
        <v/>
      </c>
      <c r="I25" s="898" t="str">
        <f t="shared" si="6"/>
        <v/>
      </c>
      <c r="J25" s="898" t="str">
        <f t="shared" si="6"/>
        <v/>
      </c>
      <c r="K25" s="447"/>
      <c r="L25" s="441"/>
      <c r="M25" s="441"/>
      <c r="Q25" s="447"/>
      <c r="R25" s="437"/>
      <c r="S25" s="437"/>
      <c r="T25" s="451"/>
      <c r="W25" s="447"/>
      <c r="X25" s="441"/>
      <c r="Y25" s="441"/>
      <c r="AF25" s="453" t="s">
        <v>804</v>
      </c>
      <c r="AG25" s="435" t="str">
        <f>IF(ISBLANK(Z70),"",IF(Z70+AA70&gt;Z72+AA72,X71,X73))</f>
        <v/>
      </c>
      <c r="AH25" s="478" t="str">
        <f t="shared" ca="1" si="7"/>
        <v/>
      </c>
      <c r="AI25" s="474" t="str">
        <f t="shared" ca="1" si="8"/>
        <v/>
      </c>
      <c r="AJ25" s="915" t="str">
        <f t="shared" ca="1" si="9"/>
        <v/>
      </c>
      <c r="AN25" s="494">
        <f>K78</f>
        <v>20</v>
      </c>
      <c r="AO25" s="495" t="str">
        <f ca="1">L79</f>
        <v/>
      </c>
      <c r="AP25" s="784" t="s">
        <v>1326</v>
      </c>
      <c r="AQ25" s="496" t="s">
        <v>793</v>
      </c>
      <c r="AR25" s="494">
        <f>Q72</f>
        <v>20</v>
      </c>
      <c r="AS25" s="495" t="str">
        <f ca="1">R73</f>
        <v/>
      </c>
      <c r="AT25" s="495" t="str">
        <f t="shared" ref="AT25" ca="1" si="41">AS24</f>
        <v/>
      </c>
      <c r="AU25" s="496" t="s">
        <v>793</v>
      </c>
      <c r="AV25" s="494">
        <f>W72</f>
        <v>20</v>
      </c>
      <c r="AW25" s="495" t="str">
        <f>X73</f>
        <v/>
      </c>
      <c r="AX25" s="495" t="str">
        <f>X71</f>
        <v/>
      </c>
      <c r="AY25" s="496" t="s">
        <v>793</v>
      </c>
    </row>
    <row r="26" spans="1:51" ht="15.95" customHeight="1" thickBot="1" x14ac:dyDescent="0.25">
      <c r="B26" s="444"/>
      <c r="C26" s="444"/>
      <c r="D26" s="444"/>
      <c r="E26" s="486"/>
      <c r="F26" s="489">
        <v>32</v>
      </c>
      <c r="G26" s="488" t="str">
        <f t="shared" si="5"/>
        <v/>
      </c>
      <c r="H26" s="898" t="str">
        <f t="shared" si="6"/>
        <v/>
      </c>
      <c r="I26" s="898" t="str">
        <f t="shared" si="6"/>
        <v/>
      </c>
      <c r="J26" s="898" t="str">
        <f t="shared" si="6"/>
        <v/>
      </c>
      <c r="K26" s="450"/>
      <c r="L26" s="450"/>
      <c r="M26" s="450"/>
      <c r="N26" s="451"/>
      <c r="O26" s="450"/>
      <c r="P26" s="450"/>
      <c r="Q26" s="450"/>
      <c r="R26" s="437"/>
      <c r="S26" s="437"/>
      <c r="T26" s="451"/>
      <c r="U26" s="450"/>
      <c r="V26" s="450"/>
      <c r="W26" s="450"/>
      <c r="X26" s="979" t="s">
        <v>821</v>
      </c>
      <c r="Y26" s="1247"/>
      <c r="Z26" s="1247"/>
      <c r="AA26" s="450"/>
      <c r="AF26" s="453" t="s">
        <v>805</v>
      </c>
      <c r="AG26" s="435" t="str">
        <f>IF(ISBLANK(Z70),"",IF(Z70+AA70&lt;Z72+AA72,X71,X73))</f>
        <v/>
      </c>
      <c r="AH26" s="478" t="str">
        <f t="shared" ca="1" si="7"/>
        <v/>
      </c>
      <c r="AI26" s="474" t="str">
        <f t="shared" ca="1" si="8"/>
        <v/>
      </c>
      <c r="AJ26" s="915" t="str">
        <f t="shared" ca="1" si="9"/>
        <v/>
      </c>
      <c r="AN26" s="494"/>
      <c r="AO26" s="495"/>
      <c r="AP26" s="495"/>
      <c r="AQ26" s="496"/>
      <c r="AR26" s="494"/>
      <c r="AS26" s="495"/>
      <c r="AT26" s="495"/>
      <c r="AU26" s="496"/>
      <c r="AV26" s="494"/>
      <c r="AW26" s="495"/>
      <c r="AX26" s="495"/>
      <c r="AY26" s="496"/>
    </row>
    <row r="27" spans="1:51" ht="15.95" customHeight="1" thickBot="1" x14ac:dyDescent="0.25">
      <c r="B27" s="444"/>
      <c r="C27" s="444"/>
      <c r="D27" s="444"/>
      <c r="E27" s="486"/>
      <c r="F27" s="489">
        <v>33</v>
      </c>
      <c r="G27" s="488" t="str">
        <f t="shared" si="5"/>
        <v/>
      </c>
      <c r="H27" s="898" t="str">
        <f t="shared" si="6"/>
        <v/>
      </c>
      <c r="I27" s="898" t="str">
        <f t="shared" si="6"/>
        <v/>
      </c>
      <c r="J27" s="898" t="str">
        <f t="shared" si="6"/>
        <v/>
      </c>
      <c r="K27" s="445" t="s">
        <v>779</v>
      </c>
      <c r="L27" s="779" t="s">
        <v>1083</v>
      </c>
      <c r="M27" s="456" t="s">
        <v>481</v>
      </c>
      <c r="N27" s="464" t="s">
        <v>780</v>
      </c>
      <c r="O27" s="446" t="s">
        <v>781</v>
      </c>
      <c r="P27" s="445"/>
      <c r="Q27" s="445" t="s">
        <v>779</v>
      </c>
      <c r="R27" s="779" t="s">
        <v>1083</v>
      </c>
      <c r="S27" s="456" t="s">
        <v>481</v>
      </c>
      <c r="T27" s="464" t="s">
        <v>780</v>
      </c>
      <c r="U27" s="446" t="s">
        <v>781</v>
      </c>
      <c r="V27" s="445"/>
      <c r="W27" s="445" t="s">
        <v>779</v>
      </c>
      <c r="X27" s="779" t="s">
        <v>1083</v>
      </c>
      <c r="Y27" s="456" t="s">
        <v>481</v>
      </c>
      <c r="Z27" s="464" t="s">
        <v>780</v>
      </c>
      <c r="AA27" s="446" t="s">
        <v>781</v>
      </c>
      <c r="AF27" s="453" t="s">
        <v>806</v>
      </c>
      <c r="AG27" s="435" t="str">
        <f>IF(ISBLANK(Z77),"",IF(Z77+AA77&gt;Z79+AA79,X78,X80))</f>
        <v/>
      </c>
      <c r="AH27" s="478" t="str">
        <f t="shared" ca="1" si="7"/>
        <v/>
      </c>
      <c r="AI27" s="474" t="str">
        <f t="shared" ca="1" si="8"/>
        <v/>
      </c>
      <c r="AJ27" s="915" t="str">
        <f t="shared" ca="1" si="9"/>
        <v/>
      </c>
      <c r="AN27" s="494"/>
      <c r="AO27" s="495"/>
      <c r="AP27" s="495"/>
      <c r="AQ27" s="496"/>
      <c r="AR27" s="494"/>
      <c r="AS27" s="495"/>
      <c r="AT27" s="495"/>
      <c r="AU27" s="496"/>
      <c r="AV27" s="494"/>
      <c r="AW27" s="495"/>
      <c r="AX27" s="495"/>
      <c r="AY27" s="496"/>
    </row>
    <row r="28" spans="1:51" ht="15.95" customHeight="1" thickBot="1" x14ac:dyDescent="0.25">
      <c r="B28" s="444"/>
      <c r="C28" s="444"/>
      <c r="D28" s="444"/>
      <c r="E28" s="486"/>
      <c r="F28" s="489">
        <v>34</v>
      </c>
      <c r="G28" s="488" t="str">
        <f t="shared" si="5"/>
        <v/>
      </c>
      <c r="H28" s="898" t="str">
        <f t="shared" si="6"/>
        <v/>
      </c>
      <c r="I28" s="898" t="str">
        <f t="shared" si="6"/>
        <v/>
      </c>
      <c r="J28" s="898" t="str">
        <f t="shared" si="6"/>
        <v/>
      </c>
      <c r="K28" s="447">
        <f>K23+1</f>
        <v>7</v>
      </c>
      <c r="L28" s="472">
        <v>2</v>
      </c>
      <c r="M28" s="465" t="str">
        <f ca="1">IFERROR(VLOOKUP(L29,$G$5:$J$28,2,FALSE),"")</f>
        <v/>
      </c>
      <c r="N28" s="966"/>
      <c r="O28" s="780"/>
      <c r="Q28" s="447">
        <f>Q23+1</f>
        <v>7</v>
      </c>
      <c r="R28" s="472">
        <v>6</v>
      </c>
      <c r="S28" s="465" t="str">
        <f ca="1">IFERROR(VLOOKUP(R29,$G$5:$J$28,2,FALSE),"")</f>
        <v/>
      </c>
      <c r="T28" s="966"/>
      <c r="U28" s="780"/>
      <c r="W28" s="447">
        <f>W23+1</f>
        <v>7</v>
      </c>
      <c r="X28" s="472">
        <v>8</v>
      </c>
      <c r="Y28" s="465" t="str">
        <f ca="1">IFERROR(VLOOKUP(X29,$G$5:$J$28,2,FALSE),"")</f>
        <v/>
      </c>
      <c r="Z28" s="966"/>
      <c r="AA28" s="780"/>
      <c r="AF28" s="453" t="s">
        <v>807</v>
      </c>
      <c r="AG28" s="435" t="str">
        <f>IF(ISBLANK(Z77),"",IF(Z77+AA77&lt;Z79+AA79,X78,X80))</f>
        <v/>
      </c>
      <c r="AH28" s="478" t="str">
        <f t="shared" ca="1" si="7"/>
        <v/>
      </c>
      <c r="AI28" s="474" t="str">
        <f t="shared" ca="1" si="8"/>
        <v/>
      </c>
      <c r="AJ28" s="915" t="str">
        <f t="shared" ca="1" si="9"/>
        <v/>
      </c>
      <c r="AN28" s="494"/>
      <c r="AO28" s="495"/>
      <c r="AP28" s="495"/>
      <c r="AQ28" s="496"/>
      <c r="AR28" s="494"/>
      <c r="AS28" s="495"/>
      <c r="AT28" s="495"/>
      <c r="AU28" s="496"/>
      <c r="AV28" s="494"/>
      <c r="AW28" s="495"/>
      <c r="AX28" s="495"/>
      <c r="AY28" s="496"/>
    </row>
    <row r="29" spans="1:51" ht="15.95" customHeight="1" thickBot="1" x14ac:dyDescent="0.25">
      <c r="I29" s="437"/>
      <c r="J29" s="437"/>
      <c r="K29" s="447"/>
      <c r="L29" s="473" t="str">
        <f ca="1">VLOOKUP(L28,$A$5:$G$24,7,FALSE)</f>
        <v/>
      </c>
      <c r="M29" s="466" t="str">
        <f ca="1">IFERROR(VLOOKUP(L29,$G$5:$J$28,3,FALSE),"")</f>
        <v/>
      </c>
      <c r="N29" s="967"/>
      <c r="Q29" s="447"/>
      <c r="R29" s="473" t="str">
        <f>IF(ISBLANK(N21),"",IF(N21+O21&lt;N23+O23,L22,L24))</f>
        <v/>
      </c>
      <c r="S29" s="466" t="str">
        <f ca="1">IFERROR(VLOOKUP(R29,$G$5:$J$28,3,FALSE),"")</f>
        <v/>
      </c>
      <c r="T29" s="967"/>
      <c r="W29" s="447"/>
      <c r="X29" s="473" t="str">
        <f>IF(ISBLANK(T21),"",IF(U21+T21&lt;T23+U23,R22,R24))</f>
        <v/>
      </c>
      <c r="Y29" s="466" t="str">
        <f ca="1">IFERROR(VLOOKUP(X29,$G$5:$J$28,3,FALSE),"")</f>
        <v/>
      </c>
      <c r="Z29" s="967"/>
      <c r="AF29" s="453" t="s">
        <v>808</v>
      </c>
      <c r="AG29" s="435" t="str">
        <f>IF(ISBLANK(Z84),"",IF(Z84+AA84&gt;Z86+AA86,X85,X87))</f>
        <v/>
      </c>
      <c r="AH29" s="478" t="str">
        <f t="shared" ca="1" si="7"/>
        <v/>
      </c>
      <c r="AI29" s="474" t="str">
        <f t="shared" ca="1" si="8"/>
        <v/>
      </c>
      <c r="AJ29" s="915" t="str">
        <f t="shared" ca="1" si="9"/>
        <v/>
      </c>
      <c r="AN29" s="494"/>
      <c r="AO29" s="495"/>
      <c r="AP29" s="495"/>
      <c r="AQ29" s="496"/>
      <c r="AR29" s="494"/>
      <c r="AS29" s="495"/>
      <c r="AT29" s="495"/>
      <c r="AU29" s="496"/>
      <c r="AV29" s="494"/>
      <c r="AW29" s="495"/>
      <c r="AX29" s="495"/>
      <c r="AY29" s="496"/>
    </row>
    <row r="30" spans="1:51" ht="15.95" customHeight="1" thickBot="1" x14ac:dyDescent="0.25">
      <c r="I30" s="437"/>
      <c r="J30" s="437"/>
      <c r="K30" s="447">
        <f>K28+1</f>
        <v>8</v>
      </c>
      <c r="L30" s="472">
        <v>7</v>
      </c>
      <c r="M30" s="465" t="str">
        <f ca="1">IFERROR(VLOOKUP(L31,$G$5:$J$28,2,FALSE),"")</f>
        <v/>
      </c>
      <c r="N30" s="966"/>
      <c r="O30" s="780"/>
      <c r="Q30" s="447">
        <f>Q28+1</f>
        <v>8</v>
      </c>
      <c r="R30" s="472">
        <v>7</v>
      </c>
      <c r="S30" s="465" t="str">
        <f ca="1">IFERROR(VLOOKUP(R31,$G$5:$J$28,2,FALSE),"")</f>
        <v/>
      </c>
      <c r="T30" s="966"/>
      <c r="U30" s="780"/>
      <c r="W30" s="447">
        <f>W28+1</f>
        <v>8</v>
      </c>
      <c r="X30" s="472">
        <v>7</v>
      </c>
      <c r="Y30" s="465" t="str">
        <f ca="1">IFERROR(VLOOKUP(X31,$G$5:$J$28,2,FALSE),"")</f>
        <v/>
      </c>
      <c r="Z30" s="966"/>
      <c r="AA30" s="780"/>
      <c r="AF30" s="453" t="s">
        <v>809</v>
      </c>
      <c r="AG30" s="435" t="str">
        <f>IF(ISBLANK(Z84),"",IF(Z84+AA84&lt;Z86+AA86,X85,X87))</f>
        <v/>
      </c>
      <c r="AH30" s="480" t="str">
        <f t="shared" ca="1" si="7"/>
        <v/>
      </c>
      <c r="AI30" s="481" t="str">
        <f t="shared" ca="1" si="8"/>
        <v/>
      </c>
      <c r="AJ30" s="916" t="str">
        <f t="shared" ca="1" si="9"/>
        <v/>
      </c>
    </row>
    <row r="31" spans="1:51" ht="15.95" customHeight="1" thickBot="1" x14ac:dyDescent="0.25">
      <c r="I31" s="437"/>
      <c r="J31" s="437"/>
      <c r="K31" s="447"/>
      <c r="L31" s="473" t="str">
        <f ca="1">VLOOKUP(L30,$A$5:$G$24,7,FALSE)</f>
        <v/>
      </c>
      <c r="M31" s="466" t="str">
        <f ca="1">IFERROR(VLOOKUP(L31,$G$5:$J$28,3,FALSE),"")</f>
        <v/>
      </c>
      <c r="N31" s="967"/>
      <c r="Q31" s="447"/>
      <c r="R31" s="473" t="str">
        <f>IF(ISBLANK(N28),"",IF(N28+O28&lt;N30+O30,L29,L31))</f>
        <v/>
      </c>
      <c r="S31" s="466" t="str">
        <f ca="1">IFERROR(VLOOKUP(R31,$G$5:$J$28,3,FALSE),"")</f>
        <v/>
      </c>
      <c r="T31" s="967"/>
      <c r="W31" s="447"/>
      <c r="X31" s="473" t="str">
        <f>IF(ISBLANK(T28),"",IF(U28+T28&lt;T30+U30,R29,R31))</f>
        <v/>
      </c>
      <c r="Y31" s="466" t="str">
        <f ca="1">IFERROR(VLOOKUP(X31,$G$5:$J$28,3,FALSE),"")</f>
        <v/>
      </c>
      <c r="Z31" s="967"/>
      <c r="AF31" s="453"/>
      <c r="AG31" s="453"/>
    </row>
    <row r="32" spans="1:51" ht="15.95" customHeight="1" x14ac:dyDescent="0.2">
      <c r="I32" s="437"/>
      <c r="J32" s="437"/>
      <c r="K32" s="450"/>
      <c r="L32" s="437"/>
      <c r="M32" s="437"/>
      <c r="N32" s="451"/>
      <c r="O32" s="450"/>
      <c r="P32" s="450"/>
      <c r="Q32" s="450"/>
      <c r="R32" s="437"/>
      <c r="S32" s="437"/>
      <c r="T32" s="451"/>
      <c r="U32" s="450"/>
      <c r="V32" s="450"/>
      <c r="W32" s="450"/>
      <c r="X32" s="437"/>
      <c r="Y32" s="437"/>
      <c r="Z32" s="451"/>
      <c r="AA32" s="450"/>
      <c r="AF32" s="453"/>
      <c r="AG32" s="453"/>
    </row>
    <row r="33" spans="9:33" ht="15.95" customHeight="1" thickBot="1" x14ac:dyDescent="0.25">
      <c r="I33" s="437"/>
      <c r="J33" s="437"/>
      <c r="K33" s="450"/>
      <c r="L33" s="979" t="s">
        <v>822</v>
      </c>
      <c r="M33" s="1247"/>
      <c r="N33" s="1247"/>
      <c r="Q33" s="450"/>
      <c r="R33" s="979" t="s">
        <v>823</v>
      </c>
      <c r="S33" s="1247"/>
      <c r="T33" s="1247"/>
      <c r="U33" s="450"/>
      <c r="V33" s="450"/>
      <c r="W33" s="450"/>
      <c r="X33" s="979" t="s">
        <v>824</v>
      </c>
      <c r="Y33" s="1247"/>
      <c r="Z33" s="1247"/>
      <c r="AF33" s="453"/>
      <c r="AG33" s="453"/>
    </row>
    <row r="34" spans="9:33" ht="15.95" customHeight="1" thickBot="1" x14ac:dyDescent="0.25">
      <c r="I34" s="437"/>
      <c r="J34" s="437"/>
      <c r="K34" s="445" t="s">
        <v>779</v>
      </c>
      <c r="L34" s="779" t="s">
        <v>1083</v>
      </c>
      <c r="M34" s="456" t="s">
        <v>481</v>
      </c>
      <c r="N34" s="464" t="s">
        <v>780</v>
      </c>
      <c r="O34" s="446" t="s">
        <v>781</v>
      </c>
      <c r="P34" s="445"/>
      <c r="Q34" s="445" t="s">
        <v>779</v>
      </c>
      <c r="R34" s="779" t="s">
        <v>1083</v>
      </c>
      <c r="S34" s="456" t="s">
        <v>481</v>
      </c>
      <c r="T34" s="464" t="s">
        <v>780</v>
      </c>
      <c r="U34" s="446" t="s">
        <v>781</v>
      </c>
      <c r="V34" s="445"/>
      <c r="W34" s="445" t="s">
        <v>779</v>
      </c>
      <c r="X34" s="779" t="s">
        <v>1083</v>
      </c>
      <c r="Y34" s="456" t="s">
        <v>481</v>
      </c>
      <c r="Z34" s="464" t="s">
        <v>780</v>
      </c>
      <c r="AA34" s="446" t="s">
        <v>781</v>
      </c>
      <c r="AF34" s="453"/>
      <c r="AG34" s="453"/>
    </row>
    <row r="35" spans="9:33" ht="15.95" customHeight="1" thickBot="1" x14ac:dyDescent="0.25">
      <c r="I35" s="437"/>
      <c r="J35" s="437"/>
      <c r="K35" s="447">
        <f>K30+1</f>
        <v>9</v>
      </c>
      <c r="L35" s="472">
        <v>9</v>
      </c>
      <c r="M35" s="465" t="str">
        <f ca="1">IFERROR(VLOOKUP(L36,$G$5:$J$28,2,FALSE),"")</f>
        <v/>
      </c>
      <c r="N35" s="966"/>
      <c r="O35" s="780"/>
      <c r="Q35" s="447">
        <f>K35</f>
        <v>9</v>
      </c>
      <c r="R35" s="472">
        <v>9</v>
      </c>
      <c r="S35" s="465" t="str">
        <f ca="1">IFERROR(VLOOKUP(R36,$G$5:$J$28,2,FALSE),"")</f>
        <v/>
      </c>
      <c r="T35" s="966"/>
      <c r="U35" s="780"/>
      <c r="W35" s="447">
        <f>Q35</f>
        <v>9</v>
      </c>
      <c r="X35" s="472">
        <v>9</v>
      </c>
      <c r="Y35" s="465" t="str">
        <f ca="1">IFERROR(VLOOKUP(X36,$G$5:$J$28,2,FALSE),"")</f>
        <v/>
      </c>
      <c r="Z35" s="966"/>
      <c r="AA35" s="780"/>
      <c r="AF35" s="453"/>
      <c r="AG35" s="453"/>
    </row>
    <row r="36" spans="9:33" ht="15.95" customHeight="1" thickBot="1" x14ac:dyDescent="0.25">
      <c r="I36" s="437"/>
      <c r="J36" s="437"/>
      <c r="K36" s="447"/>
      <c r="L36" s="473" t="str">
        <f ca="1">VLOOKUP(L35,$A$5:$G$24,7,FALSE)</f>
        <v/>
      </c>
      <c r="M36" s="466" t="str">
        <f ca="1">IFERROR(VLOOKUP(L36,$G$5:$J$28,3,FALSE),"")</f>
        <v/>
      </c>
      <c r="N36" s="967"/>
      <c r="Q36" s="447"/>
      <c r="R36" s="473" t="str">
        <f>IF(ISBLANK(N35),"",IF(O35+N35&gt;N37+O37,L36,L38))</f>
        <v/>
      </c>
      <c r="S36" s="466" t="str">
        <f ca="1">IFERROR(VLOOKUP(R36,$G$5:$J$28,3,FALSE),"")</f>
        <v/>
      </c>
      <c r="T36" s="967"/>
      <c r="W36" s="447"/>
      <c r="X36" s="473" t="str">
        <f>IF(ISBLANK(T35),"",IF(U35+T35&gt;T37+U37,R36,R38))</f>
        <v/>
      </c>
      <c r="Y36" s="466" t="str">
        <f ca="1">IFERROR(VLOOKUP(X36,$G$5:$J$28,3,FALSE),"")</f>
        <v/>
      </c>
      <c r="Z36" s="967"/>
      <c r="AF36" s="453"/>
      <c r="AG36" s="453"/>
    </row>
    <row r="37" spans="9:33" ht="15.95" customHeight="1" thickBot="1" x14ac:dyDescent="0.25">
      <c r="I37" s="437"/>
      <c r="J37" s="437"/>
      <c r="K37" s="447">
        <f>K35+1</f>
        <v>10</v>
      </c>
      <c r="L37" s="472">
        <v>16</v>
      </c>
      <c r="M37" s="465" t="str">
        <f ca="1">IFERROR(VLOOKUP(L38,$G$5:$J$28,2,FALSE),"")</f>
        <v/>
      </c>
      <c r="N37" s="966"/>
      <c r="O37" s="780"/>
      <c r="Q37" s="447">
        <f>Q35+1</f>
        <v>10</v>
      </c>
      <c r="R37" s="472">
        <v>12</v>
      </c>
      <c r="S37" s="465" t="str">
        <f ca="1">IFERROR(VLOOKUP(R38,$G$5:$J$28,2,FALSE),"")</f>
        <v/>
      </c>
      <c r="T37" s="966"/>
      <c r="U37" s="780"/>
      <c r="W37" s="447">
        <f>W35+1</f>
        <v>10</v>
      </c>
      <c r="X37" s="472">
        <v>10</v>
      </c>
      <c r="Y37" s="465" t="str">
        <f ca="1">IFERROR(VLOOKUP(X38,$G$5:$J$28,2,FALSE),"")</f>
        <v/>
      </c>
      <c r="Z37" s="966"/>
      <c r="AA37" s="780"/>
      <c r="AF37" s="453"/>
      <c r="AG37" s="453"/>
    </row>
    <row r="38" spans="9:33" ht="15.95" customHeight="1" thickBot="1" x14ac:dyDescent="0.25">
      <c r="I38" s="437"/>
      <c r="J38" s="437"/>
      <c r="K38" s="447"/>
      <c r="L38" s="473" t="str">
        <f ca="1">VLOOKUP(L37,$A$5:$G$24,7,FALSE)</f>
        <v/>
      </c>
      <c r="M38" s="466" t="str">
        <f ca="1">IFERROR(VLOOKUP(L38,$G$5:$J$28,3,FALSE),"")</f>
        <v/>
      </c>
      <c r="N38" s="967"/>
      <c r="Q38" s="447"/>
      <c r="R38" s="473" t="str">
        <f>IF(ISBLANK(N42),"",IF(O42+N42&gt;N44+O44,L43,L45))</f>
        <v/>
      </c>
      <c r="S38" s="466" t="str">
        <f ca="1">IFERROR(VLOOKUP(R38,$G$5:$J$28,3,FALSE),"")</f>
        <v/>
      </c>
      <c r="T38" s="967"/>
      <c r="W38" s="447"/>
      <c r="X38" s="473" t="str">
        <f>IF(ISBLANK(T42),"",IF(U42+T42&gt;T44+U44,R43,R45))</f>
        <v/>
      </c>
      <c r="Y38" s="466" t="str">
        <f ca="1">IFERROR(VLOOKUP(X38,$G$5:$J$28,3,FALSE),"")</f>
        <v/>
      </c>
      <c r="Z38" s="967"/>
      <c r="AF38" s="453"/>
      <c r="AG38" s="453"/>
    </row>
    <row r="39" spans="9:33" ht="15.95" customHeight="1" x14ac:dyDescent="0.2">
      <c r="I39" s="437"/>
      <c r="J39" s="437"/>
      <c r="K39" s="450"/>
      <c r="L39" s="450"/>
      <c r="M39" s="450"/>
      <c r="N39" s="451"/>
      <c r="O39" s="450"/>
      <c r="P39" s="450"/>
      <c r="Q39" s="450"/>
      <c r="R39" s="437"/>
      <c r="S39" s="437"/>
      <c r="T39" s="451"/>
      <c r="U39" s="450"/>
      <c r="V39" s="450"/>
      <c r="W39" s="450"/>
      <c r="X39" s="450"/>
      <c r="Y39" s="450"/>
      <c r="Z39" s="451"/>
      <c r="AA39" s="450"/>
      <c r="AF39" s="453"/>
      <c r="AG39" s="453"/>
    </row>
    <row r="40" spans="9:33" ht="15.95" customHeight="1" thickBot="1" x14ac:dyDescent="0.25">
      <c r="I40" s="437"/>
      <c r="J40" s="437"/>
      <c r="K40" s="450"/>
      <c r="L40" s="450"/>
      <c r="M40" s="450"/>
      <c r="N40" s="451"/>
      <c r="O40" s="450"/>
      <c r="P40" s="450"/>
      <c r="Q40" s="450"/>
      <c r="R40" s="437"/>
      <c r="S40" s="437"/>
      <c r="T40" s="451"/>
      <c r="U40" s="450"/>
      <c r="V40" s="450"/>
      <c r="W40" s="450"/>
      <c r="X40" s="979" t="s">
        <v>825</v>
      </c>
      <c r="Y40" s="1247"/>
      <c r="Z40" s="1247"/>
      <c r="AA40" s="450"/>
      <c r="AF40" s="453"/>
      <c r="AG40" s="453"/>
    </row>
    <row r="41" spans="9:33" ht="15.95" customHeight="1" thickBot="1" x14ac:dyDescent="0.25">
      <c r="I41" s="437"/>
      <c r="J41" s="437"/>
      <c r="K41" s="445" t="s">
        <v>779</v>
      </c>
      <c r="L41" s="779" t="s">
        <v>1083</v>
      </c>
      <c r="M41" s="456" t="s">
        <v>481</v>
      </c>
      <c r="N41" s="464" t="s">
        <v>780</v>
      </c>
      <c r="O41" s="446" t="s">
        <v>781</v>
      </c>
      <c r="P41" s="445"/>
      <c r="Q41" s="445" t="s">
        <v>779</v>
      </c>
      <c r="R41" s="779" t="s">
        <v>1083</v>
      </c>
      <c r="S41" s="456" t="s">
        <v>481</v>
      </c>
      <c r="T41" s="464" t="s">
        <v>780</v>
      </c>
      <c r="U41" s="446" t="s">
        <v>781</v>
      </c>
      <c r="V41" s="445"/>
      <c r="W41" s="445" t="s">
        <v>779</v>
      </c>
      <c r="X41" s="779" t="s">
        <v>1083</v>
      </c>
      <c r="Y41" s="456" t="s">
        <v>481</v>
      </c>
      <c r="Z41" s="464" t="s">
        <v>780</v>
      </c>
      <c r="AA41" s="446" t="s">
        <v>781</v>
      </c>
      <c r="AF41" s="453"/>
      <c r="AG41" s="453"/>
    </row>
    <row r="42" spans="9:33" ht="15.95" customHeight="1" thickBot="1" x14ac:dyDescent="0.25">
      <c r="I42" s="437"/>
      <c r="J42" s="437"/>
      <c r="K42" s="447">
        <f>K37+1</f>
        <v>11</v>
      </c>
      <c r="L42" s="472">
        <v>12</v>
      </c>
      <c r="M42" s="465" t="str">
        <f ca="1">IFERROR(VLOOKUP(L43,$G$5:$J$28,2,FALSE),"")</f>
        <v/>
      </c>
      <c r="N42" s="966"/>
      <c r="O42" s="780"/>
      <c r="Q42" s="447">
        <f>Q37+1</f>
        <v>11</v>
      </c>
      <c r="R42" s="472">
        <v>11</v>
      </c>
      <c r="S42" s="465" t="str">
        <f ca="1">IFERROR(VLOOKUP(R43,$G$5:$J$28,2,FALSE),"")</f>
        <v/>
      </c>
      <c r="T42" s="966"/>
      <c r="U42" s="780"/>
      <c r="W42" s="447">
        <f>W37+1</f>
        <v>11</v>
      </c>
      <c r="X42" s="472">
        <v>12</v>
      </c>
      <c r="Y42" s="465" t="str">
        <f ca="1">IFERROR(VLOOKUP(X43,$G$5:$J$28,2,FALSE),"")</f>
        <v/>
      </c>
      <c r="Z42" s="966"/>
      <c r="AA42" s="780"/>
      <c r="AF42" s="453"/>
      <c r="AG42" s="453"/>
    </row>
    <row r="43" spans="9:33" ht="15.95" customHeight="1" thickBot="1" x14ac:dyDescent="0.25">
      <c r="I43" s="437"/>
      <c r="J43" s="437"/>
      <c r="K43" s="447"/>
      <c r="L43" s="473" t="str">
        <f ca="1">VLOOKUP(L42,$A$5:$G$24,7,FALSE)</f>
        <v/>
      </c>
      <c r="M43" s="466" t="str">
        <f ca="1">IFERROR(VLOOKUP(L43,$G$5:$J$28,3,FALSE),"")</f>
        <v/>
      </c>
      <c r="N43" s="967"/>
      <c r="Q43" s="447"/>
      <c r="R43" s="473" t="str">
        <f>IF(ISBLANK(N49),"",IF(N49+O49&gt;N51+O51,L50,L52))</f>
        <v/>
      </c>
      <c r="S43" s="466" t="str">
        <f ca="1">IFERROR(VLOOKUP(R43,$G$5:$J$28,3,FALSE),"")</f>
        <v/>
      </c>
      <c r="T43" s="967"/>
      <c r="W43" s="447"/>
      <c r="X43" s="473" t="str">
        <f>IF(ISBLANK(T35),"",IF(U35+T35&lt;T37+U37,R36,R38))</f>
        <v/>
      </c>
      <c r="Y43" s="466" t="str">
        <f ca="1">IFERROR(VLOOKUP(X43,$G$5:$J$28,3,FALSE),"")</f>
        <v/>
      </c>
      <c r="Z43" s="967"/>
      <c r="AF43" s="453"/>
      <c r="AG43" s="453"/>
    </row>
    <row r="44" spans="9:33" ht="15.95" customHeight="1" thickBot="1" x14ac:dyDescent="0.25">
      <c r="I44" s="437"/>
      <c r="J44" s="437"/>
      <c r="K44" s="447">
        <f>K42+1</f>
        <v>12</v>
      </c>
      <c r="L44" s="472">
        <v>13</v>
      </c>
      <c r="M44" s="465" t="str">
        <f ca="1">IFERROR(VLOOKUP(L45,$G$5:$J$28,2,FALSE),"")</f>
        <v/>
      </c>
      <c r="N44" s="966"/>
      <c r="O44" s="780"/>
      <c r="Q44" s="447">
        <f>Q42+1</f>
        <v>12</v>
      </c>
      <c r="R44" s="472">
        <v>10</v>
      </c>
      <c r="S44" s="465" t="str">
        <f ca="1">IFERROR(VLOOKUP(R45,$G$5:$J$28,2,FALSE),"")</f>
        <v/>
      </c>
      <c r="T44" s="966"/>
      <c r="U44" s="780"/>
      <c r="W44" s="447">
        <f>W42+1</f>
        <v>12</v>
      </c>
      <c r="X44" s="472">
        <v>11</v>
      </c>
      <c r="Y44" s="465" t="str">
        <f ca="1">IFERROR(VLOOKUP(X45,$G$5:$J$28,2,FALSE),"")</f>
        <v/>
      </c>
      <c r="Z44" s="966"/>
      <c r="AA44" s="780"/>
      <c r="AF44" s="453"/>
      <c r="AG44" s="453"/>
    </row>
    <row r="45" spans="9:33" ht="15.95" customHeight="1" thickBot="1" x14ac:dyDescent="0.25">
      <c r="I45" s="437"/>
      <c r="J45" s="437"/>
      <c r="K45" s="447"/>
      <c r="L45" s="473" t="str">
        <f ca="1">VLOOKUP(L44,$A$5:$G$24,7,FALSE)</f>
        <v/>
      </c>
      <c r="M45" s="466" t="str">
        <f ca="1">IFERROR(VLOOKUP(L45,$G$5:$J$28,3,FALSE),"")</f>
        <v/>
      </c>
      <c r="N45" s="967"/>
      <c r="Q45" s="447"/>
      <c r="R45" s="473" t="str">
        <f>IF(ISBLANK(N56),"",IF(N56+O56&gt;N58+O58,L57,L59))</f>
        <v/>
      </c>
      <c r="S45" s="466" t="str">
        <f ca="1">IFERROR(VLOOKUP(R45,$G$5:$J$28,3,FALSE),"")</f>
        <v/>
      </c>
      <c r="T45" s="967"/>
      <c r="W45" s="447"/>
      <c r="X45" s="473" t="str">
        <f>IF(ISBLANK(T42),"",IF(U42+T42&lt;T44+U44,R43,R45))</f>
        <v/>
      </c>
      <c r="Y45" s="466" t="str">
        <f ca="1">IFERROR(VLOOKUP(X45,$G$5:$J$28,3,FALSE),"")</f>
        <v/>
      </c>
      <c r="Z45" s="967"/>
      <c r="AF45" s="453"/>
      <c r="AG45" s="453"/>
    </row>
    <row r="46" spans="9:33" ht="15.95" customHeight="1" x14ac:dyDescent="0.2">
      <c r="I46" s="437"/>
      <c r="J46" s="437"/>
      <c r="K46" s="450"/>
      <c r="L46" s="450"/>
      <c r="M46" s="450"/>
      <c r="N46" s="451"/>
      <c r="O46" s="450"/>
      <c r="P46" s="450"/>
      <c r="Q46" s="450"/>
      <c r="R46" s="450"/>
      <c r="S46" s="450"/>
      <c r="T46" s="451"/>
      <c r="U46" s="450"/>
      <c r="V46" s="450"/>
      <c r="W46" s="450"/>
      <c r="X46" s="450"/>
      <c r="Y46" s="450"/>
      <c r="Z46" s="451"/>
      <c r="AA46" s="450"/>
      <c r="AF46" s="453"/>
      <c r="AG46" s="453"/>
    </row>
    <row r="47" spans="9:33" ht="15.95" customHeight="1" thickBot="1" x14ac:dyDescent="0.25">
      <c r="I47" s="437"/>
      <c r="J47" s="437"/>
      <c r="K47" s="450"/>
      <c r="L47" s="454"/>
      <c r="M47" s="454"/>
      <c r="N47" s="455"/>
      <c r="O47" s="450"/>
      <c r="P47" s="450"/>
      <c r="Q47" s="450"/>
      <c r="R47" s="979" t="s">
        <v>826</v>
      </c>
      <c r="S47" s="1247"/>
      <c r="T47" s="1247"/>
      <c r="U47" s="450"/>
      <c r="V47" s="450"/>
      <c r="W47" s="450"/>
      <c r="X47" s="979" t="s">
        <v>827</v>
      </c>
      <c r="Y47" s="1247"/>
      <c r="Z47" s="1247"/>
      <c r="AA47" s="450"/>
      <c r="AF47" s="453"/>
      <c r="AG47" s="453"/>
    </row>
    <row r="48" spans="9:33" ht="15.95" customHeight="1" thickBot="1" x14ac:dyDescent="0.25">
      <c r="I48" s="437"/>
      <c r="J48" s="437"/>
      <c r="K48" s="445" t="s">
        <v>779</v>
      </c>
      <c r="L48" s="779" t="s">
        <v>1083</v>
      </c>
      <c r="M48" s="456" t="s">
        <v>481</v>
      </c>
      <c r="N48" s="464" t="s">
        <v>780</v>
      </c>
      <c r="O48" s="446" t="s">
        <v>781</v>
      </c>
      <c r="P48" s="445"/>
      <c r="Q48" s="445" t="s">
        <v>779</v>
      </c>
      <c r="R48" s="779" t="s">
        <v>1083</v>
      </c>
      <c r="S48" s="456" t="s">
        <v>481</v>
      </c>
      <c r="T48" s="464" t="s">
        <v>780</v>
      </c>
      <c r="U48" s="446" t="s">
        <v>781</v>
      </c>
      <c r="V48" s="445"/>
      <c r="W48" s="445" t="s">
        <v>779</v>
      </c>
      <c r="X48" s="779" t="s">
        <v>1083</v>
      </c>
      <c r="Y48" s="456" t="s">
        <v>481</v>
      </c>
      <c r="Z48" s="464" t="s">
        <v>780</v>
      </c>
      <c r="AA48" s="446" t="s">
        <v>781</v>
      </c>
      <c r="AF48" s="453"/>
      <c r="AG48" s="453"/>
    </row>
    <row r="49" spans="9:33" ht="15.95" customHeight="1" thickBot="1" x14ac:dyDescent="0.25">
      <c r="I49" s="437"/>
      <c r="J49" s="437"/>
      <c r="K49" s="447">
        <f>K44+1</f>
        <v>13</v>
      </c>
      <c r="L49" s="472">
        <v>11</v>
      </c>
      <c r="M49" s="465" t="str">
        <f ca="1">IFERROR(VLOOKUP(L50,$G$5:$J$28,2,FALSE),"")</f>
        <v/>
      </c>
      <c r="N49" s="966"/>
      <c r="O49" s="780"/>
      <c r="Q49" s="447">
        <f>Q44+1</f>
        <v>13</v>
      </c>
      <c r="R49" s="472">
        <v>16</v>
      </c>
      <c r="S49" s="465" t="str">
        <f ca="1">IFERROR(VLOOKUP(R50,$G$5:$J$28,2,FALSE),"")</f>
        <v/>
      </c>
      <c r="T49" s="966"/>
      <c r="U49" s="780"/>
      <c r="W49" s="447">
        <f>W44+1</f>
        <v>13</v>
      </c>
      <c r="X49" s="472">
        <v>13</v>
      </c>
      <c r="Y49" s="465" t="str">
        <f ca="1">IFERROR(VLOOKUP(X50,$G$5:$J$28,2,FALSE),"")</f>
        <v/>
      </c>
      <c r="Z49" s="966"/>
      <c r="AA49" s="780"/>
      <c r="AF49" s="453"/>
      <c r="AG49" s="453"/>
    </row>
    <row r="50" spans="9:33" ht="15.95" customHeight="1" thickBot="1" x14ac:dyDescent="0.25">
      <c r="I50" s="437"/>
      <c r="J50" s="437"/>
      <c r="K50" s="447"/>
      <c r="L50" s="473" t="str">
        <f ca="1">VLOOKUP(L49,$A$5:$G$24,7,FALSE)</f>
        <v/>
      </c>
      <c r="M50" s="466" t="str">
        <f ca="1">IFERROR(VLOOKUP(L50,$G$5:$J$28,3,FALSE),"")</f>
        <v/>
      </c>
      <c r="N50" s="967"/>
      <c r="Q50" s="447"/>
      <c r="R50" s="473" t="str">
        <f>IF(ISBLANK(N35),"",IF(O35+N35&lt;N37+O37,L36,L38))</f>
        <v/>
      </c>
      <c r="S50" s="466" t="str">
        <f ca="1">IFERROR(VLOOKUP(R50,$G$5:$J$28,3,FALSE),"")</f>
        <v/>
      </c>
      <c r="T50" s="967"/>
      <c r="W50" s="447"/>
      <c r="X50" s="473" t="str">
        <f>IF(ISBLANK(T49),"",IF(U49+T49&gt;T51+U51,R50,R52))</f>
        <v/>
      </c>
      <c r="Y50" s="466" t="str">
        <f ca="1">IFERROR(VLOOKUP(X50,$G$5:$J$28,3,FALSE),"")</f>
        <v/>
      </c>
      <c r="Z50" s="967"/>
    </row>
    <row r="51" spans="9:33" ht="15.95" customHeight="1" thickBot="1" x14ac:dyDescent="0.25">
      <c r="I51" s="437"/>
      <c r="J51" s="437"/>
      <c r="K51" s="447">
        <f>K49+1</f>
        <v>14</v>
      </c>
      <c r="L51" s="472">
        <v>14</v>
      </c>
      <c r="M51" s="465" t="str">
        <f ca="1">IFERROR(VLOOKUP(L52,$G$5:$J$28,2,FALSE),"")</f>
        <v/>
      </c>
      <c r="N51" s="966"/>
      <c r="O51" s="780"/>
      <c r="Q51" s="447">
        <f>Q49+1</f>
        <v>14</v>
      </c>
      <c r="R51" s="472">
        <v>13</v>
      </c>
      <c r="S51" s="465" t="str">
        <f ca="1">IFERROR(VLOOKUP(R52,$G$5:$J$28,2,FALSE),"")</f>
        <v/>
      </c>
      <c r="T51" s="966"/>
      <c r="U51" s="780"/>
      <c r="W51" s="447">
        <f>W49+1</f>
        <v>14</v>
      </c>
      <c r="X51" s="472">
        <v>14</v>
      </c>
      <c r="Y51" s="465" t="str">
        <f ca="1">IFERROR(VLOOKUP(X52,$G$5:$J$28,2,FALSE),"")</f>
        <v/>
      </c>
      <c r="Z51" s="966"/>
      <c r="AA51" s="780"/>
    </row>
    <row r="52" spans="9:33" ht="15.95" customHeight="1" thickBot="1" x14ac:dyDescent="0.25">
      <c r="I52" s="437"/>
      <c r="J52" s="437"/>
      <c r="K52" s="447"/>
      <c r="L52" s="473" t="str">
        <f ca="1">VLOOKUP(L51,$A$5:$G$24,7,FALSE)</f>
        <v/>
      </c>
      <c r="M52" s="466" t="str">
        <f ca="1">IFERROR(VLOOKUP(L52,$G$5:$J$28,3,FALSE),"")</f>
        <v/>
      </c>
      <c r="N52" s="967"/>
      <c r="Q52" s="447"/>
      <c r="R52" s="473" t="str">
        <f>IF(ISBLANK(N42),"",IF(O42+N42&lt;N44+O44,L43,L45))</f>
        <v/>
      </c>
      <c r="S52" s="466" t="str">
        <f ca="1">IFERROR(VLOOKUP(R52,$G$5:$J$28,3,FALSE),"")</f>
        <v/>
      </c>
      <c r="T52" s="967"/>
      <c r="W52" s="447"/>
      <c r="X52" s="473" t="str">
        <f>IF(ISBLANK(T56),"",IF(U56+T56&gt;T58+U58,R57,R59))</f>
        <v/>
      </c>
      <c r="Y52" s="466" t="str">
        <f ca="1">IFERROR(VLOOKUP(X52,$G$5:$J$28,3,FALSE),"")</f>
        <v/>
      </c>
      <c r="Z52" s="967"/>
    </row>
    <row r="53" spans="9:33" ht="15.95" customHeight="1" x14ac:dyDescent="0.2">
      <c r="I53" s="437"/>
      <c r="J53" s="437"/>
      <c r="K53" s="447"/>
      <c r="L53" s="441"/>
      <c r="M53" s="441"/>
      <c r="Q53" s="447"/>
      <c r="R53" s="437"/>
      <c r="S53" s="437"/>
      <c r="T53" s="451"/>
      <c r="W53" s="447"/>
      <c r="X53" s="441"/>
      <c r="Y53" s="441"/>
    </row>
    <row r="54" spans="9:33" ht="15.95" customHeight="1" thickBot="1" x14ac:dyDescent="0.25">
      <c r="I54" s="437"/>
      <c r="J54" s="437"/>
      <c r="K54" s="450"/>
      <c r="L54" s="450"/>
      <c r="M54" s="450"/>
      <c r="N54" s="451"/>
      <c r="O54" s="450"/>
      <c r="P54" s="450"/>
      <c r="Q54" s="450"/>
      <c r="R54" s="437"/>
      <c r="S54" s="437"/>
      <c r="T54" s="451"/>
      <c r="U54" s="450"/>
      <c r="V54" s="450"/>
      <c r="W54" s="450"/>
      <c r="X54" s="979" t="s">
        <v>828</v>
      </c>
      <c r="Y54" s="1247"/>
      <c r="Z54" s="1247"/>
      <c r="AA54" s="450"/>
    </row>
    <row r="55" spans="9:33" ht="15.95" customHeight="1" thickBot="1" x14ac:dyDescent="0.25">
      <c r="I55" s="437"/>
      <c r="J55" s="437"/>
      <c r="K55" s="445" t="s">
        <v>779</v>
      </c>
      <c r="L55" s="779" t="s">
        <v>1083</v>
      </c>
      <c r="M55" s="456" t="s">
        <v>481</v>
      </c>
      <c r="N55" s="464" t="s">
        <v>780</v>
      </c>
      <c r="O55" s="446" t="s">
        <v>781</v>
      </c>
      <c r="P55" s="445"/>
      <c r="Q55" s="445" t="s">
        <v>779</v>
      </c>
      <c r="R55" s="779" t="s">
        <v>1083</v>
      </c>
      <c r="S55" s="456" t="s">
        <v>481</v>
      </c>
      <c r="T55" s="464" t="s">
        <v>780</v>
      </c>
      <c r="U55" s="446" t="s">
        <v>781</v>
      </c>
      <c r="V55" s="445"/>
      <c r="W55" s="445" t="s">
        <v>779</v>
      </c>
      <c r="X55" s="779" t="s">
        <v>1083</v>
      </c>
      <c r="Y55" s="456" t="s">
        <v>481</v>
      </c>
      <c r="Z55" s="464" t="s">
        <v>780</v>
      </c>
      <c r="AA55" s="446" t="s">
        <v>781</v>
      </c>
    </row>
    <row r="56" spans="9:33" ht="15.95" customHeight="1" thickBot="1" x14ac:dyDescent="0.25">
      <c r="I56" s="437"/>
      <c r="J56" s="437"/>
      <c r="K56" s="447">
        <f>K51+1</f>
        <v>15</v>
      </c>
      <c r="L56" s="472">
        <v>10</v>
      </c>
      <c r="M56" s="465" t="str">
        <f ca="1">IFERROR(VLOOKUP(L57,$G$5:$J$28,2,FALSE),"")</f>
        <v/>
      </c>
      <c r="N56" s="966"/>
      <c r="O56" s="780"/>
      <c r="Q56" s="447">
        <f>Q51+1</f>
        <v>15</v>
      </c>
      <c r="R56" s="472">
        <v>14</v>
      </c>
      <c r="S56" s="465" t="str">
        <f ca="1">IFERROR(VLOOKUP(R57,$G$5:$J$28,2,FALSE),"")</f>
        <v/>
      </c>
      <c r="T56" s="966"/>
      <c r="U56" s="780"/>
      <c r="W56" s="447">
        <f>W51+1</f>
        <v>15</v>
      </c>
      <c r="X56" s="472">
        <v>16</v>
      </c>
      <c r="Y56" s="465" t="str">
        <f ca="1">IFERROR(VLOOKUP(X57,$G$5:$J$28,2,FALSE),"")</f>
        <v/>
      </c>
      <c r="Z56" s="966"/>
      <c r="AA56" s="780"/>
    </row>
    <row r="57" spans="9:33" ht="15.95" customHeight="1" thickBot="1" x14ac:dyDescent="0.25">
      <c r="I57" s="437"/>
      <c r="J57" s="437"/>
      <c r="K57" s="447"/>
      <c r="L57" s="473" t="str">
        <f ca="1">VLOOKUP(L56,$A$5:$G$24,7,FALSE)</f>
        <v/>
      </c>
      <c r="M57" s="466" t="str">
        <f ca="1">IFERROR(VLOOKUP(L57,$G$5:$J$28,3,FALSE),"")</f>
        <v/>
      </c>
      <c r="N57" s="967"/>
      <c r="Q57" s="447"/>
      <c r="R57" s="473" t="str">
        <f>IF(ISBLANK(N49),"",IF(N49+O49&lt;N51+O51,L50,L52))</f>
        <v/>
      </c>
      <c r="S57" s="466" t="str">
        <f ca="1">IFERROR(VLOOKUP(R57,$G$5:$J$28,3,FALSE),"")</f>
        <v/>
      </c>
      <c r="T57" s="967"/>
      <c r="W57" s="447"/>
      <c r="X57" s="473" t="str">
        <f>IF(ISBLANK(T49),"",IF(U49+T49&lt;T51+U51,R50,R52))</f>
        <v/>
      </c>
      <c r="Y57" s="466" t="str">
        <f ca="1">IFERROR(VLOOKUP(X57,$G$5:$J$28,3,FALSE),"")</f>
        <v/>
      </c>
      <c r="Z57" s="967"/>
    </row>
    <row r="58" spans="9:33" ht="15.95" customHeight="1" thickBot="1" x14ac:dyDescent="0.25">
      <c r="I58" s="437"/>
      <c r="J58" s="437"/>
      <c r="K58" s="447">
        <f>K56+1</f>
        <v>16</v>
      </c>
      <c r="L58" s="472">
        <v>15</v>
      </c>
      <c r="M58" s="465" t="str">
        <f ca="1">IFERROR(VLOOKUP(L59,$G$5:$J$28,2,FALSE),"")</f>
        <v/>
      </c>
      <c r="N58" s="966"/>
      <c r="O58" s="780"/>
      <c r="Q58" s="447">
        <f>Q56+1</f>
        <v>16</v>
      </c>
      <c r="R58" s="472">
        <v>15</v>
      </c>
      <c r="S58" s="465" t="str">
        <f ca="1">IFERROR(VLOOKUP(R59,$G$5:$J$28,2,FALSE),"")</f>
        <v/>
      </c>
      <c r="T58" s="966"/>
      <c r="U58" s="780"/>
      <c r="W58" s="447">
        <f>W56+1</f>
        <v>16</v>
      </c>
      <c r="X58" s="472">
        <v>15</v>
      </c>
      <c r="Y58" s="465" t="str">
        <f ca="1">IFERROR(VLOOKUP(X59,$G$5:$J$28,2,FALSE),"")</f>
        <v/>
      </c>
      <c r="Z58" s="966"/>
      <c r="AA58" s="780"/>
    </row>
    <row r="59" spans="9:33" ht="15.95" customHeight="1" thickBot="1" x14ac:dyDescent="0.25">
      <c r="I59" s="437"/>
      <c r="J59" s="437"/>
      <c r="K59" s="447"/>
      <c r="L59" s="473" t="str">
        <f ca="1">VLOOKUP(L58,$A$5:$G$24,7,FALSE)</f>
        <v/>
      </c>
      <c r="M59" s="466" t="str">
        <f ca="1">IFERROR(VLOOKUP(L59,$G$5:$J$28,3,FALSE),"")</f>
        <v/>
      </c>
      <c r="N59" s="967"/>
      <c r="Q59" s="447"/>
      <c r="R59" s="473" t="str">
        <f>IF(ISBLANK(N56),"",IF(N56+O56&lt;N58+O58,L57,L59))</f>
        <v/>
      </c>
      <c r="S59" s="466" t="str">
        <f ca="1">IFERROR(VLOOKUP(R59,$G$5:$J$28,3,FALSE),"")</f>
        <v/>
      </c>
      <c r="T59" s="967"/>
      <c r="W59" s="447"/>
      <c r="X59" s="473" t="str">
        <f>IF(ISBLANK(T56),"",IF(U56+T56&lt;T58+U58,R57,R59))</f>
        <v/>
      </c>
      <c r="Y59" s="466" t="str">
        <f ca="1">IFERROR(VLOOKUP(X59,$G$5:$J$28,3,FALSE),"")</f>
        <v/>
      </c>
      <c r="Z59" s="967"/>
    </row>
    <row r="60" spans="9:33" ht="15.95" customHeight="1" x14ac:dyDescent="0.2">
      <c r="I60" s="437"/>
      <c r="J60" s="437"/>
      <c r="K60" s="447"/>
      <c r="Q60" s="447"/>
      <c r="W60" s="447"/>
    </row>
    <row r="61" spans="9:33" ht="15.95" customHeight="1" thickBot="1" x14ac:dyDescent="0.25">
      <c r="I61" s="437"/>
      <c r="J61" s="786"/>
      <c r="L61" s="979"/>
      <c r="M61" s="1247"/>
      <c r="N61" s="1247"/>
      <c r="O61" s="443"/>
      <c r="P61" s="443"/>
      <c r="R61" s="979" t="s">
        <v>830</v>
      </c>
      <c r="S61" s="1247"/>
      <c r="T61" s="1247"/>
      <c r="U61" s="443"/>
      <c r="V61" s="443"/>
      <c r="W61" s="445"/>
      <c r="X61" s="979" t="s">
        <v>831</v>
      </c>
      <c r="Y61" s="1247"/>
      <c r="Z61" s="1247"/>
      <c r="AA61" s="443"/>
    </row>
    <row r="62" spans="9:33" ht="15.95" customHeight="1" thickBot="1" x14ac:dyDescent="0.25">
      <c r="I62" s="437"/>
      <c r="J62" s="786"/>
      <c r="K62" s="445" t="s">
        <v>779</v>
      </c>
      <c r="L62" s="463"/>
      <c r="M62" s="456" t="s">
        <v>481</v>
      </c>
      <c r="N62" s="464" t="s">
        <v>780</v>
      </c>
      <c r="O62" s="443"/>
      <c r="P62" s="445"/>
      <c r="Q62" s="445" t="s">
        <v>779</v>
      </c>
      <c r="R62" s="779" t="s">
        <v>1082</v>
      </c>
      <c r="S62" s="456" t="s">
        <v>481</v>
      </c>
      <c r="T62" s="464" t="s">
        <v>780</v>
      </c>
      <c r="U62" s="446" t="s">
        <v>781</v>
      </c>
      <c r="V62" s="445"/>
      <c r="W62" s="445" t="s">
        <v>779</v>
      </c>
      <c r="X62" s="779" t="s">
        <v>1082</v>
      </c>
      <c r="Y62" s="456" t="s">
        <v>481</v>
      </c>
      <c r="Z62" s="464" t="s">
        <v>780</v>
      </c>
      <c r="AA62" s="446" t="s">
        <v>781</v>
      </c>
    </row>
    <row r="63" spans="9:33" ht="15.95" customHeight="1" thickBot="1" x14ac:dyDescent="0.25">
      <c r="I63" s="437"/>
      <c r="J63" s="786"/>
      <c r="K63" s="447">
        <f>K58+1</f>
        <v>17</v>
      </c>
      <c r="L63" s="472">
        <v>17</v>
      </c>
      <c r="M63" s="465" t="str">
        <f ca="1">IFERROR(VLOOKUP(L64,$G$5:$J$28,2,FALSE),"")</f>
        <v/>
      </c>
      <c r="N63" s="966"/>
      <c r="O63" s="443"/>
      <c r="Q63" s="447">
        <f>K63</f>
        <v>17</v>
      </c>
      <c r="R63" s="472">
        <v>17</v>
      </c>
      <c r="S63" s="465" t="str">
        <f ca="1">IFERROR(VLOOKUP(R64,$G$5:$J$28,2,FALSE),"")</f>
        <v/>
      </c>
      <c r="T63" s="966"/>
      <c r="U63" s="780"/>
      <c r="W63" s="447">
        <f>Q63</f>
        <v>17</v>
      </c>
      <c r="X63" s="472">
        <v>17</v>
      </c>
      <c r="Y63" s="465" t="str">
        <f ca="1">IFERROR(VLOOKUP(X64,$G$5:$J$28,2,FALSE),"")</f>
        <v/>
      </c>
      <c r="Z63" s="966"/>
      <c r="AA63" s="780"/>
    </row>
    <row r="64" spans="9:33" ht="15.95" customHeight="1" thickBot="1" x14ac:dyDescent="0.25">
      <c r="I64" s="437"/>
      <c r="J64" s="786"/>
      <c r="K64" s="447"/>
      <c r="L64" s="473" t="str">
        <f ca="1">VLOOKUP(L63,$A$5:$G$24,7,FALSE)</f>
        <v/>
      </c>
      <c r="M64" s="466" t="str">
        <f ca="1">IFERROR(VLOOKUP(L64,$G$5:$J$28,3,FALSE),"")</f>
        <v/>
      </c>
      <c r="N64" s="967"/>
      <c r="O64" s="443"/>
      <c r="Q64" s="447"/>
      <c r="R64" s="473" t="str">
        <f ca="1">L64</f>
        <v/>
      </c>
      <c r="S64" s="466" t="str">
        <f ca="1">IFERROR(VLOOKUP(R64,$G$5:$J$28,3,FALSE),"")</f>
        <v/>
      </c>
      <c r="T64" s="967"/>
      <c r="W64" s="447"/>
      <c r="X64" s="473" t="str">
        <f>IF(ISBLANK(T63),"",IF(U63+T63&gt;T65+U65,R64,R66))</f>
        <v/>
      </c>
      <c r="Y64" s="466" t="str">
        <f ca="1">IFERROR(VLOOKUP(X64,$G$5:$J$28,3,FALSE),"")</f>
        <v/>
      </c>
      <c r="Z64" s="967"/>
    </row>
    <row r="65" spans="9:36" ht="15.95" customHeight="1" thickBot="1" x14ac:dyDescent="0.25">
      <c r="I65" s="437"/>
      <c r="J65" s="786"/>
      <c r="K65" s="447"/>
      <c r="L65" s="516"/>
      <c r="M65" s="516"/>
      <c r="N65" s="457"/>
      <c r="O65" s="443"/>
      <c r="Q65" s="447">
        <f>Q63+1</f>
        <v>18</v>
      </c>
      <c r="R65" s="472">
        <v>20</v>
      </c>
      <c r="S65" s="465" t="str">
        <f ca="1">IFERROR(VLOOKUP(R66,$G$5:$J$28,2,FALSE),"")</f>
        <v/>
      </c>
      <c r="T65" s="966"/>
      <c r="U65" s="780"/>
      <c r="W65" s="447">
        <f>W63+1</f>
        <v>18</v>
      </c>
      <c r="X65" s="472">
        <v>18</v>
      </c>
      <c r="Y65" s="465" t="str">
        <f ca="1">IFERROR(VLOOKUP(X66,$G$5:$J$28,2,FALSE),"")</f>
        <v/>
      </c>
      <c r="Z65" s="966"/>
      <c r="AA65" s="780"/>
      <c r="AH65" s="441"/>
      <c r="AI65" s="441"/>
      <c r="AJ65" s="447"/>
    </row>
    <row r="66" spans="9:36" ht="15.95" customHeight="1" thickBot="1" x14ac:dyDescent="0.25">
      <c r="I66" s="437"/>
      <c r="J66" s="786"/>
      <c r="K66" s="447"/>
      <c r="L66" s="516"/>
      <c r="M66" s="516"/>
      <c r="N66" s="457"/>
      <c r="O66" s="443"/>
      <c r="Q66" s="447"/>
      <c r="R66" s="473" t="str">
        <f ca="1">L69</f>
        <v/>
      </c>
      <c r="S66" s="466" t="str">
        <f ca="1">IFERROR(VLOOKUP(R66,$G$5:$J$28,3,FALSE),"")</f>
        <v/>
      </c>
      <c r="T66" s="967"/>
      <c r="W66" s="447"/>
      <c r="X66" s="473" t="str">
        <f>IF(ISBLANK(T70),"",IF(U70+T70&gt;T72+U72,R71,R73))</f>
        <v/>
      </c>
      <c r="Y66" s="466" t="str">
        <f ca="1">IFERROR(VLOOKUP(X66,$G$5:$J$28,3,FALSE),"")</f>
        <v/>
      </c>
      <c r="Z66" s="967"/>
      <c r="AH66" s="441"/>
      <c r="AI66" s="441"/>
      <c r="AJ66" s="447"/>
    </row>
    <row r="67" spans="9:36" ht="15.95" customHeight="1" thickBot="1" x14ac:dyDescent="0.25">
      <c r="I67" s="437"/>
      <c r="J67" s="786"/>
      <c r="K67" s="445" t="s">
        <v>779</v>
      </c>
      <c r="L67" s="463"/>
      <c r="M67" s="456" t="s">
        <v>481</v>
      </c>
      <c r="N67" s="464" t="s">
        <v>780</v>
      </c>
      <c r="O67" s="443"/>
      <c r="P67" s="450"/>
      <c r="Q67" s="450"/>
      <c r="R67" s="437"/>
      <c r="S67" s="437"/>
      <c r="T67" s="451"/>
      <c r="U67" s="450"/>
      <c r="V67" s="450"/>
      <c r="W67" s="450"/>
      <c r="X67" s="450"/>
      <c r="Y67" s="450"/>
      <c r="Z67" s="451"/>
      <c r="AA67" s="450"/>
      <c r="AH67" s="441"/>
      <c r="AI67" s="441"/>
      <c r="AJ67" s="441"/>
    </row>
    <row r="68" spans="9:36" ht="15.95" customHeight="1" thickBot="1" x14ac:dyDescent="0.25">
      <c r="I68" s="437"/>
      <c r="J68" s="786"/>
      <c r="K68" s="447">
        <f>K63+1</f>
        <v>18</v>
      </c>
      <c r="L68" s="472">
        <v>20</v>
      </c>
      <c r="M68" s="465" t="str">
        <f ca="1">IFERROR(VLOOKUP(L69,$G$5:$J$28,2,FALSE),"")</f>
        <v/>
      </c>
      <c r="N68" s="966"/>
      <c r="O68" s="443"/>
      <c r="P68" s="450"/>
      <c r="Q68" s="450"/>
      <c r="R68" s="437"/>
      <c r="S68" s="437"/>
      <c r="T68" s="451"/>
      <c r="U68" s="450"/>
      <c r="V68" s="450"/>
      <c r="W68" s="450"/>
      <c r="X68" s="979" t="s">
        <v>832</v>
      </c>
      <c r="Y68" s="1247"/>
      <c r="Z68" s="1247"/>
      <c r="AA68" s="450"/>
      <c r="AH68" s="441"/>
      <c r="AI68" s="441"/>
      <c r="AJ68" s="441"/>
    </row>
    <row r="69" spans="9:36" ht="15.95" customHeight="1" thickBot="1" x14ac:dyDescent="0.25">
      <c r="I69" s="437"/>
      <c r="J69" s="786"/>
      <c r="K69" s="447"/>
      <c r="L69" s="473" t="str">
        <f ca="1">VLOOKUP(L68,$A$5:$G$24,7,FALSE)</f>
        <v/>
      </c>
      <c r="M69" s="466" t="str">
        <f ca="1">IFERROR(VLOOKUP(L69,$G$5:$J$28,3,FALSE),"")</f>
        <v/>
      </c>
      <c r="N69" s="967"/>
      <c r="O69" s="443"/>
      <c r="P69" s="445"/>
      <c r="Q69" s="445" t="s">
        <v>779</v>
      </c>
      <c r="R69" s="779" t="s">
        <v>1082</v>
      </c>
      <c r="S69" s="456" t="s">
        <v>481</v>
      </c>
      <c r="T69" s="464" t="s">
        <v>780</v>
      </c>
      <c r="U69" s="446" t="s">
        <v>781</v>
      </c>
      <c r="V69" s="445"/>
      <c r="W69" s="445" t="s">
        <v>779</v>
      </c>
      <c r="X69" s="779" t="s">
        <v>1082</v>
      </c>
      <c r="Y69" s="456" t="s">
        <v>481</v>
      </c>
      <c r="Z69" s="464" t="s">
        <v>780</v>
      </c>
      <c r="AA69" s="446" t="s">
        <v>781</v>
      </c>
      <c r="AH69" s="441"/>
      <c r="AI69" s="441"/>
      <c r="AJ69" s="450"/>
    </row>
    <row r="70" spans="9:36" ht="15.95" customHeight="1" thickBot="1" x14ac:dyDescent="0.25">
      <c r="I70" s="437"/>
      <c r="J70" s="786"/>
      <c r="O70" s="443"/>
      <c r="Q70" s="447">
        <f>Q65+1</f>
        <v>19</v>
      </c>
      <c r="R70" s="472">
        <v>18</v>
      </c>
      <c r="S70" s="465" t="str">
        <f ca="1">IFERROR(VLOOKUP(R71,$G$5:$J$28,2,FALSE),"")</f>
        <v/>
      </c>
      <c r="T70" s="966"/>
      <c r="U70" s="780"/>
      <c r="W70" s="447">
        <f>W65+1</f>
        <v>19</v>
      </c>
      <c r="X70" s="472">
        <v>20</v>
      </c>
      <c r="Y70" s="465" t="str">
        <f ca="1">IFERROR(VLOOKUP(X71,$G$5:$J$28,2,FALSE),"")</f>
        <v/>
      </c>
      <c r="Z70" s="966"/>
      <c r="AA70" s="780"/>
      <c r="AH70" s="441"/>
      <c r="AI70" s="441"/>
      <c r="AJ70" s="450"/>
    </row>
    <row r="71" spans="9:36" ht="15.95" customHeight="1" thickBot="1" x14ac:dyDescent="0.25">
      <c r="I71" s="437"/>
      <c r="J71" s="786"/>
      <c r="O71" s="443"/>
      <c r="Q71" s="447"/>
      <c r="R71" s="473" t="str">
        <f ca="1">L74</f>
        <v/>
      </c>
      <c r="S71" s="466" t="str">
        <f ca="1">IFERROR(VLOOKUP(R71,$G$5:$J$28,3,FALSE),"")</f>
        <v/>
      </c>
      <c r="T71" s="967"/>
      <c r="W71" s="447"/>
      <c r="X71" s="473" t="str">
        <f>IF(ISBLANK(T63),"",IF(U63+T63&lt;T65+U65,R64,R66))</f>
        <v/>
      </c>
      <c r="Y71" s="466" t="str">
        <f ca="1">IFERROR(VLOOKUP(X71,$G$5:$J$28,3,FALSE),"")</f>
        <v/>
      </c>
      <c r="Z71" s="967"/>
      <c r="AH71" s="441"/>
      <c r="AI71" s="441"/>
      <c r="AJ71" s="445"/>
    </row>
    <row r="72" spans="9:36" ht="15.95" customHeight="1" thickBot="1" x14ac:dyDescent="0.25">
      <c r="I72" s="437"/>
      <c r="J72" s="786"/>
      <c r="K72" s="445" t="s">
        <v>779</v>
      </c>
      <c r="L72" s="463"/>
      <c r="M72" s="456" t="s">
        <v>481</v>
      </c>
      <c r="N72" s="464" t="s">
        <v>780</v>
      </c>
      <c r="O72" s="443"/>
      <c r="Q72" s="447">
        <f>Q70+1</f>
        <v>20</v>
      </c>
      <c r="R72" s="472">
        <v>19</v>
      </c>
      <c r="S72" s="465" t="str">
        <f ca="1">IFERROR(VLOOKUP(R73,$G$5:$J$28,2,FALSE),"")</f>
        <v/>
      </c>
      <c r="T72" s="966"/>
      <c r="U72" s="780"/>
      <c r="W72" s="447">
        <f>W70+1</f>
        <v>20</v>
      </c>
      <c r="X72" s="472">
        <v>19</v>
      </c>
      <c r="Y72" s="465" t="str">
        <f ca="1">IFERROR(VLOOKUP(X73,$G$5:$J$28,2,FALSE),"")</f>
        <v/>
      </c>
      <c r="Z72" s="966"/>
      <c r="AA72" s="780"/>
      <c r="AH72" s="441"/>
      <c r="AI72" s="441"/>
      <c r="AJ72" s="447"/>
    </row>
    <row r="73" spans="9:36" ht="15.95" customHeight="1" thickBot="1" x14ac:dyDescent="0.25">
      <c r="I73" s="437"/>
      <c r="J73" s="786"/>
      <c r="K73" s="447">
        <f>K68+1</f>
        <v>19</v>
      </c>
      <c r="L73" s="472">
        <v>18</v>
      </c>
      <c r="M73" s="465" t="str">
        <f ca="1">IFERROR(VLOOKUP(L74,$G$5:$J$28,2,FALSE),"")</f>
        <v/>
      </c>
      <c r="N73" s="966"/>
      <c r="O73" s="443"/>
      <c r="Q73" s="447"/>
      <c r="R73" s="473" t="str">
        <f ca="1">L79</f>
        <v/>
      </c>
      <c r="S73" s="466" t="str">
        <f ca="1">IFERROR(VLOOKUP(R73,$G$5:$J$28,3,FALSE),"")</f>
        <v/>
      </c>
      <c r="T73" s="967"/>
      <c r="W73" s="447"/>
      <c r="X73" s="473" t="str">
        <f>IF(ISBLANK(T70),"",IF(U70+T70&lt;T72+U72,R71,R73))</f>
        <v/>
      </c>
      <c r="Y73" s="466" t="str">
        <f ca="1">IFERROR(VLOOKUP(X73,$G$5:$J$28,3,FALSE),"")</f>
        <v/>
      </c>
      <c r="Z73" s="967"/>
      <c r="AH73" s="441"/>
      <c r="AI73" s="441"/>
      <c r="AJ73" s="447"/>
    </row>
    <row r="74" spans="9:36" ht="15.95" customHeight="1" thickBot="1" x14ac:dyDescent="0.25">
      <c r="I74" s="437"/>
      <c r="J74" s="786"/>
      <c r="K74" s="447"/>
      <c r="L74" s="473" t="str">
        <f ca="1">VLOOKUP(L73,$A$5:$G$24,7,FALSE)</f>
        <v/>
      </c>
      <c r="M74" s="466" t="str">
        <f ca="1">IFERROR(VLOOKUP(L74,$G$5:$J$28,3,FALSE),"")</f>
        <v/>
      </c>
      <c r="N74" s="967"/>
      <c r="O74" s="443"/>
      <c r="P74" s="450"/>
      <c r="Q74" s="450"/>
      <c r="R74" s="450"/>
      <c r="S74" s="450"/>
      <c r="T74" s="451"/>
      <c r="U74" s="450"/>
      <c r="V74" s="450"/>
      <c r="W74" s="450"/>
      <c r="X74" s="450"/>
      <c r="Y74" s="450"/>
      <c r="Z74" s="451"/>
      <c r="AA74" s="450"/>
      <c r="AH74" s="441"/>
      <c r="AI74" s="441"/>
      <c r="AJ74" s="450"/>
    </row>
    <row r="75" spans="9:36" ht="15.95" customHeight="1" x14ac:dyDescent="0.2">
      <c r="I75" s="437"/>
      <c r="J75" s="437"/>
      <c r="K75" s="450"/>
      <c r="L75" s="437"/>
      <c r="M75" s="437"/>
      <c r="N75" s="451"/>
      <c r="O75" s="443"/>
      <c r="P75" s="450"/>
      <c r="V75" s="450"/>
      <c r="W75" s="450"/>
      <c r="X75" s="979"/>
      <c r="Y75" s="979"/>
      <c r="Z75" s="457"/>
      <c r="AA75" s="450"/>
      <c r="AH75" s="441"/>
      <c r="AI75" s="441"/>
      <c r="AJ75" s="450"/>
    </row>
    <row r="76" spans="9:36" ht="15.95" customHeight="1" thickBot="1" x14ac:dyDescent="0.25">
      <c r="I76" s="437"/>
      <c r="J76" s="437"/>
      <c r="O76" s="443"/>
      <c r="P76" s="445"/>
      <c r="V76" s="450"/>
      <c r="W76" s="450"/>
      <c r="X76" s="979"/>
      <c r="Y76" s="979"/>
      <c r="Z76" s="457"/>
      <c r="AA76" s="450"/>
      <c r="AH76" s="441"/>
      <c r="AI76" s="441"/>
      <c r="AJ76" s="450"/>
    </row>
    <row r="77" spans="9:36" ht="15.95" customHeight="1" thickBot="1" x14ac:dyDescent="0.25">
      <c r="I77" s="437"/>
      <c r="J77" s="437"/>
      <c r="K77" s="445" t="s">
        <v>779</v>
      </c>
      <c r="L77" s="463"/>
      <c r="M77" s="456" t="s">
        <v>481</v>
      </c>
      <c r="N77" s="464" t="s">
        <v>780</v>
      </c>
      <c r="O77" s="443"/>
      <c r="Q77" s="778"/>
      <c r="R77" s="778"/>
      <c r="S77" s="778"/>
      <c r="T77" s="815"/>
      <c r="U77" s="778"/>
      <c r="V77" s="450"/>
      <c r="W77" s="450"/>
      <c r="X77" s="979"/>
      <c r="Y77" s="979"/>
      <c r="Z77" s="457"/>
      <c r="AA77" s="450"/>
      <c r="AB77" s="816"/>
      <c r="AC77" s="816"/>
      <c r="AH77" s="441"/>
      <c r="AI77" s="441"/>
      <c r="AJ77" s="450"/>
    </row>
    <row r="78" spans="9:36" ht="15.95" customHeight="1" x14ac:dyDescent="0.2">
      <c r="I78" s="437"/>
      <c r="J78" s="437"/>
      <c r="K78" s="447">
        <f>K73+1</f>
        <v>20</v>
      </c>
      <c r="L78" s="472">
        <v>19</v>
      </c>
      <c r="M78" s="465" t="str">
        <f ca="1">IFERROR(VLOOKUP(L79,$G$5:$J$28,2,FALSE),"")</f>
        <v/>
      </c>
      <c r="N78" s="966"/>
      <c r="O78" s="443"/>
      <c r="Q78" s="778"/>
      <c r="R78" s="778"/>
      <c r="S78" s="778"/>
      <c r="T78" s="815"/>
      <c r="U78" s="778"/>
      <c r="V78" s="450"/>
      <c r="W78" s="450"/>
      <c r="X78" s="979"/>
      <c r="Y78" s="979"/>
      <c r="Z78" s="457"/>
      <c r="AA78" s="450"/>
      <c r="AB78" s="816"/>
      <c r="AC78" s="816"/>
      <c r="AH78" s="441"/>
      <c r="AI78" s="441"/>
      <c r="AJ78" s="445"/>
    </row>
    <row r="79" spans="9:36" ht="15.95" customHeight="1" thickBot="1" x14ac:dyDescent="0.25">
      <c r="I79" s="437"/>
      <c r="J79" s="437"/>
      <c r="K79" s="447"/>
      <c r="L79" s="473" t="str">
        <f ca="1">VLOOKUP(L78,$A$5:$G$24,7,FALSE)</f>
        <v/>
      </c>
      <c r="M79" s="466" t="str">
        <f ca="1">IFERROR(VLOOKUP(L79,$G$5:$J$28,3,FALSE),"")</f>
        <v/>
      </c>
      <c r="N79" s="967"/>
      <c r="O79" s="443"/>
      <c r="Q79" s="450"/>
      <c r="R79" s="516"/>
      <c r="S79" s="516"/>
      <c r="T79" s="815"/>
      <c r="U79" s="778"/>
      <c r="V79" s="450"/>
      <c r="W79" s="450"/>
      <c r="X79" s="979"/>
      <c r="Y79" s="979"/>
      <c r="Z79" s="457"/>
      <c r="AA79" s="450"/>
      <c r="AB79" s="816"/>
      <c r="AC79" s="816"/>
      <c r="AH79" s="441"/>
      <c r="AI79" s="441"/>
      <c r="AJ79" s="447"/>
    </row>
    <row r="80" spans="9:36" ht="15.95" customHeight="1" x14ac:dyDescent="0.2">
      <c r="I80" s="437"/>
      <c r="J80" s="437"/>
      <c r="K80" s="447"/>
      <c r="L80" s="516"/>
      <c r="M80" s="516"/>
      <c r="N80" s="457"/>
      <c r="O80" s="443"/>
      <c r="Q80" s="809"/>
      <c r="R80" s="809"/>
      <c r="S80" s="809"/>
      <c r="T80" s="809"/>
      <c r="U80" s="809"/>
      <c r="V80" s="809"/>
      <c r="W80" s="809"/>
      <c r="X80" s="809"/>
      <c r="Y80" s="809"/>
      <c r="Z80" s="457"/>
      <c r="AA80" s="450"/>
      <c r="AB80" s="809"/>
      <c r="AC80" s="816"/>
      <c r="AH80" s="441"/>
      <c r="AI80" s="441"/>
      <c r="AJ80" s="447"/>
    </row>
    <row r="81" spans="9:36" ht="15.95" customHeight="1" x14ac:dyDescent="0.2">
      <c r="I81" s="437"/>
      <c r="J81" s="437"/>
      <c r="K81" s="447"/>
      <c r="L81" s="441"/>
      <c r="M81" s="441"/>
      <c r="O81" s="443"/>
      <c r="Q81" s="809"/>
      <c r="R81" s="809"/>
      <c r="S81" s="809"/>
      <c r="T81" s="809"/>
      <c r="U81" s="809"/>
      <c r="V81" s="809"/>
      <c r="W81" s="809"/>
      <c r="X81" s="809"/>
      <c r="Y81" s="809"/>
      <c r="Z81" s="457"/>
      <c r="AA81" s="450"/>
      <c r="AB81" s="809"/>
      <c r="AC81" s="816"/>
      <c r="AH81" s="441"/>
      <c r="AI81" s="441"/>
      <c r="AJ81" s="447"/>
    </row>
    <row r="82" spans="9:36" ht="15.95" customHeight="1" x14ac:dyDescent="0.2">
      <c r="I82" s="437"/>
      <c r="J82" s="437"/>
      <c r="K82" s="450"/>
      <c r="L82" s="450"/>
      <c r="M82" s="450"/>
      <c r="N82" s="451"/>
      <c r="O82" s="443"/>
      <c r="P82" s="450"/>
      <c r="Q82" s="450"/>
      <c r="R82" s="437"/>
      <c r="S82" s="437"/>
      <c r="T82" s="451"/>
      <c r="U82" s="450"/>
      <c r="V82" s="450"/>
      <c r="W82" s="450"/>
      <c r="X82" s="516"/>
      <c r="Y82" s="516"/>
      <c r="Z82" s="815"/>
      <c r="AA82" s="778"/>
      <c r="AB82" s="816"/>
      <c r="AC82" s="816"/>
      <c r="AH82" s="441"/>
      <c r="AI82" s="441"/>
      <c r="AJ82" s="450"/>
    </row>
    <row r="83" spans="9:36" ht="15.95" customHeight="1" x14ac:dyDescent="0.2">
      <c r="I83" s="437"/>
      <c r="J83" s="437"/>
      <c r="O83" s="443"/>
      <c r="P83" s="445"/>
      <c r="Q83" s="450"/>
      <c r="R83" s="437"/>
      <c r="S83" s="437"/>
      <c r="T83" s="451"/>
      <c r="U83" s="450"/>
      <c r="V83" s="450"/>
      <c r="W83" s="450"/>
      <c r="X83" s="516"/>
      <c r="Y83" s="516"/>
      <c r="Z83" s="815"/>
      <c r="AA83" s="778"/>
      <c r="AB83" s="816"/>
      <c r="AC83" s="816"/>
      <c r="AH83" s="441"/>
      <c r="AI83" s="441"/>
      <c r="AJ83" s="445"/>
    </row>
    <row r="84" spans="9:36" ht="15.95" customHeight="1" x14ac:dyDescent="0.2">
      <c r="I84" s="437"/>
      <c r="J84" s="437"/>
      <c r="O84" s="443"/>
      <c r="P84" s="778"/>
      <c r="Q84" s="450"/>
      <c r="R84" s="437"/>
      <c r="S84" s="437"/>
      <c r="T84" s="451"/>
      <c r="U84" s="450"/>
      <c r="V84" s="450"/>
      <c r="W84" s="450"/>
      <c r="X84" s="516"/>
      <c r="Y84" s="516"/>
      <c r="Z84" s="815"/>
      <c r="AA84" s="778"/>
      <c r="AB84" s="816"/>
      <c r="AC84" s="816"/>
      <c r="AH84" s="441"/>
      <c r="AI84" s="441"/>
      <c r="AJ84" s="447"/>
    </row>
    <row r="85" spans="9:36" ht="15.95" customHeight="1" x14ac:dyDescent="0.2">
      <c r="I85" s="437"/>
      <c r="J85" s="437"/>
      <c r="O85" s="443"/>
      <c r="P85" s="778"/>
      <c r="Q85" s="450"/>
      <c r="R85" s="437"/>
      <c r="S85" s="437"/>
      <c r="T85" s="451"/>
      <c r="U85" s="450"/>
      <c r="V85" s="450"/>
      <c r="W85" s="450"/>
      <c r="X85" s="516"/>
      <c r="Y85" s="516"/>
      <c r="Z85" s="815"/>
      <c r="AA85" s="778"/>
      <c r="AB85" s="816"/>
      <c r="AC85" s="816"/>
      <c r="AH85" s="441"/>
      <c r="AI85" s="441"/>
      <c r="AJ85" s="447"/>
    </row>
    <row r="86" spans="9:36" ht="15.95" customHeight="1" x14ac:dyDescent="0.2">
      <c r="K86" s="447"/>
      <c r="L86" s="516"/>
      <c r="M86" s="516"/>
      <c r="N86" s="457"/>
      <c r="O86" s="443"/>
      <c r="P86" s="778"/>
      <c r="Q86" s="450"/>
      <c r="R86" s="437"/>
      <c r="S86" s="437"/>
      <c r="T86" s="451"/>
      <c r="U86" s="450"/>
      <c r="V86" s="450"/>
      <c r="W86" s="450"/>
      <c r="X86" s="516"/>
      <c r="Y86" s="516"/>
      <c r="Z86" s="815"/>
      <c r="AA86" s="778"/>
      <c r="AB86" s="816"/>
      <c r="AC86" s="816"/>
      <c r="AH86" s="441"/>
      <c r="AI86" s="441"/>
      <c r="AJ86" s="441"/>
    </row>
    <row r="87" spans="9:36" ht="15.95" customHeight="1" x14ac:dyDescent="0.2">
      <c r="K87" s="447"/>
      <c r="L87" s="516"/>
      <c r="M87" s="516"/>
      <c r="N87" s="457"/>
      <c r="P87" s="778"/>
      <c r="Q87" s="450"/>
      <c r="R87" s="516"/>
      <c r="S87" s="883"/>
      <c r="T87" s="451"/>
      <c r="U87" s="450"/>
      <c r="V87" s="450"/>
      <c r="W87" s="450"/>
      <c r="X87" s="516"/>
      <c r="Y87" s="516"/>
      <c r="Z87" s="815"/>
      <c r="AA87" s="778"/>
      <c r="AB87" s="816"/>
      <c r="AC87" s="816"/>
      <c r="AH87" s="441"/>
      <c r="AI87" s="441"/>
      <c r="AJ87" s="441"/>
    </row>
    <row r="88" spans="9:36" ht="15.95" customHeight="1" x14ac:dyDescent="0.2">
      <c r="K88" s="450"/>
      <c r="L88" s="437"/>
      <c r="M88" s="437"/>
      <c r="N88" s="451"/>
      <c r="O88" s="450"/>
      <c r="P88" s="450"/>
      <c r="Q88" s="450"/>
      <c r="R88" s="516"/>
      <c r="S88" s="883"/>
      <c r="T88" s="451"/>
      <c r="U88" s="450"/>
      <c r="V88" s="450"/>
      <c r="W88" s="450"/>
      <c r="X88" s="516"/>
      <c r="Y88" s="516"/>
      <c r="Z88" s="815"/>
      <c r="AA88" s="778"/>
      <c r="AB88" s="816"/>
      <c r="AC88" s="816"/>
    </row>
    <row r="89" spans="9:36" ht="15.95" customHeight="1" x14ac:dyDescent="0.2">
      <c r="K89" s="450"/>
      <c r="L89" s="516"/>
      <c r="M89" s="516"/>
      <c r="N89" s="457"/>
      <c r="P89" s="778"/>
      <c r="Q89" s="450"/>
      <c r="R89" s="516"/>
      <c r="S89" s="883"/>
      <c r="T89" s="457"/>
      <c r="U89" s="778"/>
      <c r="V89" s="450"/>
      <c r="W89" s="450"/>
      <c r="X89" s="516"/>
      <c r="Y89" s="516"/>
      <c r="Z89" s="457"/>
      <c r="AA89" s="778"/>
      <c r="AB89" s="816"/>
      <c r="AC89" s="816"/>
    </row>
    <row r="90" spans="9:36" ht="15.95" customHeight="1" x14ac:dyDescent="0.2">
      <c r="K90" s="445"/>
      <c r="L90" s="914"/>
      <c r="O90" s="445"/>
      <c r="P90" s="445"/>
      <c r="Q90" s="445"/>
      <c r="R90" s="914"/>
      <c r="S90" s="435"/>
      <c r="U90" s="445"/>
      <c r="V90" s="445"/>
      <c r="W90" s="445"/>
      <c r="X90" s="914"/>
      <c r="AA90" s="445"/>
    </row>
    <row r="91" spans="9:36" ht="15.95" customHeight="1" x14ac:dyDescent="0.2">
      <c r="K91" s="445"/>
      <c r="L91" s="914"/>
      <c r="O91" s="445"/>
      <c r="P91" s="445"/>
      <c r="Q91" s="445"/>
      <c r="R91" s="914"/>
      <c r="S91" s="435"/>
      <c r="U91" s="445"/>
      <c r="V91" s="445"/>
      <c r="W91" s="445"/>
      <c r="X91" s="914"/>
      <c r="AA91" s="445"/>
    </row>
    <row r="92" spans="9:36" ht="15.95" customHeight="1" x14ac:dyDescent="0.2">
      <c r="K92" s="445"/>
      <c r="L92" s="914"/>
      <c r="O92" s="445"/>
      <c r="P92" s="445"/>
      <c r="Q92" s="445"/>
      <c r="R92" s="914"/>
      <c r="S92" s="435"/>
      <c r="U92" s="445"/>
      <c r="V92" s="445"/>
      <c r="W92" s="445"/>
      <c r="X92" s="914"/>
      <c r="AA92" s="445"/>
    </row>
    <row r="93" spans="9:36" ht="15.95" customHeight="1" x14ac:dyDescent="0.2">
      <c r="K93" s="435"/>
      <c r="P93" s="778"/>
      <c r="Q93" s="778"/>
      <c r="R93" s="778"/>
      <c r="S93" s="778"/>
      <c r="T93" s="815"/>
      <c r="U93" s="778"/>
      <c r="V93" s="778"/>
    </row>
    <row r="94" spans="9:36" ht="15.95" customHeight="1" x14ac:dyDescent="0.2">
      <c r="K94" s="435"/>
      <c r="P94" s="778"/>
      <c r="Q94" s="778"/>
      <c r="R94" s="778"/>
      <c r="S94" s="778"/>
      <c r="T94" s="815"/>
      <c r="U94" s="778"/>
      <c r="V94" s="778"/>
    </row>
    <row r="95" spans="9:36" ht="15.95" customHeight="1" x14ac:dyDescent="0.2">
      <c r="K95" s="435"/>
      <c r="S95" s="450"/>
    </row>
    <row r="96" spans="9:36" ht="15.95" customHeight="1" x14ac:dyDescent="0.2">
      <c r="K96" s="435"/>
      <c r="S96" s="450"/>
    </row>
    <row r="97" ht="15.95" customHeight="1" x14ac:dyDescent="0.2"/>
    <row r="98" ht="15.95" customHeight="1" x14ac:dyDescent="0.2"/>
    <row r="99" ht="15.95" customHeight="1" x14ac:dyDescent="0.2"/>
    <row r="100" ht="15.95" customHeight="1" x14ac:dyDescent="0.2"/>
    <row r="101" ht="15.95" customHeight="1" x14ac:dyDescent="0.2"/>
    <row r="102" ht="15.95" customHeight="1" x14ac:dyDescent="0.2"/>
    <row r="103" ht="15.95" customHeight="1" x14ac:dyDescent="0.2"/>
    <row r="104" ht="15.95" customHeight="1" x14ac:dyDescent="0.2"/>
    <row r="105" ht="15.95" customHeight="1" x14ac:dyDescent="0.2"/>
    <row r="106" ht="15.95" customHeight="1" x14ac:dyDescent="0.2"/>
    <row r="107" ht="15.95" customHeight="1" x14ac:dyDescent="0.2"/>
    <row r="108" ht="15.95" customHeight="1" x14ac:dyDescent="0.2"/>
    <row r="109" ht="15.95" customHeight="1" x14ac:dyDescent="0.2"/>
    <row r="110" ht="15.95" customHeight="1" x14ac:dyDescent="0.2"/>
    <row r="111" ht="15.95" customHeight="1" x14ac:dyDescent="0.2"/>
    <row r="112" ht="15.95" customHeight="1" x14ac:dyDescent="0.2"/>
    <row r="113" ht="15.95" customHeight="1" x14ac:dyDescent="0.2"/>
    <row r="114" ht="15.95" customHeight="1" x14ac:dyDescent="0.2"/>
    <row r="115" ht="15.95" customHeight="1" x14ac:dyDescent="0.2"/>
    <row r="116" ht="15.95" customHeight="1" x14ac:dyDescent="0.2"/>
    <row r="117" ht="15.95" customHeight="1" x14ac:dyDescent="0.2"/>
    <row r="118" ht="15.95" customHeight="1" x14ac:dyDescent="0.2"/>
    <row r="119" ht="15.95" customHeight="1" x14ac:dyDescent="0.2"/>
    <row r="120" ht="15.95" customHeight="1" x14ac:dyDescent="0.2"/>
    <row r="121" ht="15.95" customHeight="1" x14ac:dyDescent="0.2"/>
    <row r="122" ht="15.95" customHeight="1" x14ac:dyDescent="0.2"/>
    <row r="123" ht="15.95" customHeight="1" x14ac:dyDescent="0.2"/>
    <row r="124" ht="15.95" customHeight="1" x14ac:dyDescent="0.2"/>
    <row r="125" ht="15.95" customHeight="1" x14ac:dyDescent="0.2"/>
    <row r="126" ht="15.95" customHeight="1" x14ac:dyDescent="0.2"/>
    <row r="127" ht="15.95" customHeight="1" x14ac:dyDescent="0.2"/>
    <row r="128" ht="15.95" customHeight="1" x14ac:dyDescent="0.2"/>
    <row r="129" ht="15.95" customHeight="1" x14ac:dyDescent="0.2"/>
    <row r="130" ht="15.95" customHeight="1" x14ac:dyDescent="0.2"/>
    <row r="131" ht="15.95" customHeight="1" x14ac:dyDescent="0.2"/>
    <row r="132" ht="15.95" customHeight="1" x14ac:dyDescent="0.2"/>
    <row r="133" ht="15.95" customHeight="1" x14ac:dyDescent="0.2"/>
    <row r="134" ht="15.95" customHeight="1" x14ac:dyDescent="0.2"/>
    <row r="135" ht="15.95" customHeight="1" x14ac:dyDescent="0.2"/>
    <row r="136" ht="15.95" customHeight="1" x14ac:dyDescent="0.2"/>
    <row r="137" ht="15.95" customHeight="1" x14ac:dyDescent="0.2"/>
    <row r="138" ht="15.95" customHeight="1" x14ac:dyDescent="0.2"/>
    <row r="139" ht="15.95" customHeight="1" x14ac:dyDescent="0.2"/>
    <row r="140" ht="15.95" customHeight="1" x14ac:dyDescent="0.2"/>
    <row r="141" ht="15.95" customHeight="1" x14ac:dyDescent="0.2"/>
    <row r="142" ht="15.95" customHeight="1" x14ac:dyDescent="0.2"/>
    <row r="143" ht="15.95" customHeight="1" x14ac:dyDescent="0.2"/>
    <row r="144" ht="15.95" customHeight="1" x14ac:dyDescent="0.2"/>
    <row r="145" ht="15.95" customHeight="1" x14ac:dyDescent="0.2"/>
    <row r="146" ht="15.95" customHeight="1" x14ac:dyDescent="0.2"/>
    <row r="147" ht="15.95" customHeight="1" x14ac:dyDescent="0.2"/>
    <row r="148" ht="15.95" customHeight="1" x14ac:dyDescent="0.2"/>
  </sheetData>
  <sheetProtection selectLockedCells="1"/>
  <mergeCells count="93">
    <mergeCell ref="N78:N79"/>
    <mergeCell ref="N68:N69"/>
    <mergeCell ref="T70:T71"/>
    <mergeCell ref="Z70:Z71"/>
    <mergeCell ref="T72:T73"/>
    <mergeCell ref="Z72:Z73"/>
    <mergeCell ref="X75:Y75"/>
    <mergeCell ref="X76:Y76"/>
    <mergeCell ref="N73:N74"/>
    <mergeCell ref="X77:Y77"/>
    <mergeCell ref="X78:Y78"/>
    <mergeCell ref="X79:Y79"/>
    <mergeCell ref="X68:Z68"/>
    <mergeCell ref="N58:N59"/>
    <mergeCell ref="T58:T59"/>
    <mergeCell ref="Z58:Z59"/>
    <mergeCell ref="L61:N61"/>
    <mergeCell ref="R61:T61"/>
    <mergeCell ref="X61:Z61"/>
    <mergeCell ref="N63:N64"/>
    <mergeCell ref="T63:T64"/>
    <mergeCell ref="Z63:Z64"/>
    <mergeCell ref="T65:T66"/>
    <mergeCell ref="Z65:Z66"/>
    <mergeCell ref="N51:N52"/>
    <mergeCell ref="T51:T52"/>
    <mergeCell ref="Z51:Z52"/>
    <mergeCell ref="X54:Z54"/>
    <mergeCell ref="N56:N57"/>
    <mergeCell ref="T56:T57"/>
    <mergeCell ref="Z56:Z57"/>
    <mergeCell ref="N49:N50"/>
    <mergeCell ref="T49:T50"/>
    <mergeCell ref="Z49:Z50"/>
    <mergeCell ref="N37:N38"/>
    <mergeCell ref="T37:T38"/>
    <mergeCell ref="Z37:Z38"/>
    <mergeCell ref="X40:Z40"/>
    <mergeCell ref="N42:N43"/>
    <mergeCell ref="T42:T43"/>
    <mergeCell ref="Z42:Z43"/>
    <mergeCell ref="N44:N45"/>
    <mergeCell ref="T44:T45"/>
    <mergeCell ref="Z44:Z45"/>
    <mergeCell ref="R47:T47"/>
    <mergeCell ref="X47:Z47"/>
    <mergeCell ref="L33:N33"/>
    <mergeCell ref="R33:T33"/>
    <mergeCell ref="X33:Z33"/>
    <mergeCell ref="N35:N36"/>
    <mergeCell ref="T35:T36"/>
    <mergeCell ref="Z35:Z36"/>
    <mergeCell ref="X26:Z26"/>
    <mergeCell ref="N28:N29"/>
    <mergeCell ref="T28:T29"/>
    <mergeCell ref="Z28:Z29"/>
    <mergeCell ref="N30:N31"/>
    <mergeCell ref="T30:T31"/>
    <mergeCell ref="Z30:Z31"/>
    <mergeCell ref="N23:N24"/>
    <mergeCell ref="T23:T24"/>
    <mergeCell ref="Z23:Z24"/>
    <mergeCell ref="X12:Z12"/>
    <mergeCell ref="N14:N15"/>
    <mergeCell ref="T14:T15"/>
    <mergeCell ref="Z14:Z15"/>
    <mergeCell ref="N16:N17"/>
    <mergeCell ref="T16:T17"/>
    <mergeCell ref="Z16:Z17"/>
    <mergeCell ref="R19:T19"/>
    <mergeCell ref="X19:Z19"/>
    <mergeCell ref="N21:N22"/>
    <mergeCell ref="T21:T22"/>
    <mergeCell ref="Z21:Z22"/>
    <mergeCell ref="N7:N8"/>
    <mergeCell ref="T7:T8"/>
    <mergeCell ref="Z7:Z8"/>
    <mergeCell ref="N9:N10"/>
    <mergeCell ref="T9:T10"/>
    <mergeCell ref="Z9:Z10"/>
    <mergeCell ref="K4:N4"/>
    <mergeCell ref="Q4:T4"/>
    <mergeCell ref="W4:Z4"/>
    <mergeCell ref="AH4:AJ5"/>
    <mergeCell ref="L5:N5"/>
    <mergeCell ref="R5:T5"/>
    <mergeCell ref="X5:Z5"/>
    <mergeCell ref="K1:AA1"/>
    <mergeCell ref="AF1:AJ1"/>
    <mergeCell ref="K2:Z2"/>
    <mergeCell ref="AF2:AJ2"/>
    <mergeCell ref="N3:X3"/>
    <mergeCell ref="AF3:AJ3"/>
  </mergeCells>
  <conditionalFormatting sqref="O7:O8">
    <cfRule type="expression" priority="170" stopIfTrue="1">
      <formula>IF(N7="",1)</formula>
    </cfRule>
    <cfRule type="expression" dxfId="1020" priority="172">
      <formula>IF(N7=N9,1,0)</formula>
    </cfRule>
  </conditionalFormatting>
  <conditionalFormatting sqref="O9">
    <cfRule type="expression" priority="169" stopIfTrue="1">
      <formula>IF(N9="",1,0)</formula>
    </cfRule>
    <cfRule type="expression" dxfId="1019" priority="171">
      <formula>IF(N7=N9,1,0)</formula>
    </cfRule>
  </conditionalFormatting>
  <conditionalFormatting sqref="S7">
    <cfRule type="expression" dxfId="1018" priority="168">
      <formula>IF(T7+U7&gt;T9+U9,1,0)</formula>
    </cfRule>
  </conditionalFormatting>
  <conditionalFormatting sqref="S9">
    <cfRule type="expression" dxfId="1017" priority="167">
      <formula>IF(T9+U9&gt;T11+U11,1,0)</formula>
    </cfRule>
  </conditionalFormatting>
  <conditionalFormatting sqref="S14">
    <cfRule type="expression" dxfId="1016" priority="166">
      <formula>IF(T14+U14&gt;T16+U16,1,0)</formula>
    </cfRule>
  </conditionalFormatting>
  <conditionalFormatting sqref="S16">
    <cfRule type="expression" dxfId="1015" priority="165">
      <formula>IF(T16+U16&gt;T18+U18,1,0)</formula>
    </cfRule>
  </conditionalFormatting>
  <conditionalFormatting sqref="S21">
    <cfRule type="expression" dxfId="1014" priority="164">
      <formula>IF(T21+U21&gt;T23+U23,1,0)</formula>
    </cfRule>
  </conditionalFormatting>
  <conditionalFormatting sqref="S23">
    <cfRule type="expression" dxfId="1013" priority="163">
      <formula>IF(T23+U23&gt;T25+U25,1,0)</formula>
    </cfRule>
  </conditionalFormatting>
  <conditionalFormatting sqref="O14:O15">
    <cfRule type="expression" priority="160" stopIfTrue="1">
      <formula>IF(N14="",1)</formula>
    </cfRule>
    <cfRule type="expression" dxfId="1012" priority="162">
      <formula>IF(N14=N16,1,0)</formula>
    </cfRule>
  </conditionalFormatting>
  <conditionalFormatting sqref="O16">
    <cfRule type="expression" priority="159" stopIfTrue="1">
      <formula>IF(N16="",1,0)</formula>
    </cfRule>
    <cfRule type="expression" dxfId="1011" priority="161">
      <formula>IF(N14=N16,1,0)</formula>
    </cfRule>
  </conditionalFormatting>
  <conditionalFormatting sqref="O21:O22">
    <cfRule type="expression" priority="156" stopIfTrue="1">
      <formula>IF(N21="",1)</formula>
    </cfRule>
    <cfRule type="expression" dxfId="1010" priority="158">
      <formula>IF(N21=N23,1,0)</formula>
    </cfRule>
  </conditionalFormatting>
  <conditionalFormatting sqref="O23">
    <cfRule type="expression" priority="155" stopIfTrue="1">
      <formula>IF(N23="",1,0)</formula>
    </cfRule>
    <cfRule type="expression" dxfId="1009" priority="157">
      <formula>IF(N21=N23,1,0)</formula>
    </cfRule>
  </conditionalFormatting>
  <conditionalFormatting sqref="O28:O29">
    <cfRule type="expression" priority="152" stopIfTrue="1">
      <formula>IF(N28="",1)</formula>
    </cfRule>
    <cfRule type="expression" dxfId="1008" priority="154">
      <formula>IF(N28=N30,1,0)</formula>
    </cfRule>
  </conditionalFormatting>
  <conditionalFormatting sqref="O30">
    <cfRule type="expression" priority="151" stopIfTrue="1">
      <formula>IF(N30="",1,0)</formula>
    </cfRule>
    <cfRule type="expression" dxfId="1007" priority="153">
      <formula>IF(N28=N30,1,0)</formula>
    </cfRule>
  </conditionalFormatting>
  <conditionalFormatting sqref="U7:U8">
    <cfRule type="expression" priority="148" stopIfTrue="1">
      <formula>IF(T7="",1)</formula>
    </cfRule>
    <cfRule type="expression" dxfId="1006" priority="150">
      <formula>IF(T7=T9,1,0)</formula>
    </cfRule>
  </conditionalFormatting>
  <conditionalFormatting sqref="U9">
    <cfRule type="expression" priority="147" stopIfTrue="1">
      <formula>IF(T9="",1,0)</formula>
    </cfRule>
    <cfRule type="expression" dxfId="1005" priority="149">
      <formula>IF(T7=T9,1,0)</formula>
    </cfRule>
  </conditionalFormatting>
  <conditionalFormatting sqref="U14:U15">
    <cfRule type="expression" priority="144" stopIfTrue="1">
      <formula>IF(T14="",1)</formula>
    </cfRule>
    <cfRule type="expression" dxfId="1004" priority="146">
      <formula>IF(T14=T16,1,0)</formula>
    </cfRule>
  </conditionalFormatting>
  <conditionalFormatting sqref="U16">
    <cfRule type="expression" priority="143" stopIfTrue="1">
      <formula>IF(T16="",1,0)</formula>
    </cfRule>
    <cfRule type="expression" dxfId="1003" priority="145">
      <formula>IF(T14=T16,1,0)</formula>
    </cfRule>
  </conditionalFormatting>
  <conditionalFormatting sqref="U21:U22">
    <cfRule type="expression" priority="140" stopIfTrue="1">
      <formula>IF(T21="",1)</formula>
    </cfRule>
    <cfRule type="expression" dxfId="1002" priority="142">
      <formula>IF(T21=T23,1,0)</formula>
    </cfRule>
  </conditionalFormatting>
  <conditionalFormatting sqref="U23">
    <cfRule type="expression" priority="139" stopIfTrue="1">
      <formula>IF(T23="",1,0)</formula>
    </cfRule>
    <cfRule type="expression" dxfId="1001" priority="141">
      <formula>IF(T21=T23,1,0)</formula>
    </cfRule>
  </conditionalFormatting>
  <conditionalFormatting sqref="U28:U29">
    <cfRule type="expression" priority="136" stopIfTrue="1">
      <formula>IF(T28="",1)</formula>
    </cfRule>
    <cfRule type="expression" dxfId="1000" priority="138">
      <formula>IF(T28=T30,1,0)</formula>
    </cfRule>
  </conditionalFormatting>
  <conditionalFormatting sqref="U30">
    <cfRule type="expression" priority="135" stopIfTrue="1">
      <formula>IF(T30="",1,0)</formula>
    </cfRule>
    <cfRule type="expression" dxfId="999" priority="137">
      <formula>IF(T28=T30,1,0)</formula>
    </cfRule>
  </conditionalFormatting>
  <conditionalFormatting sqref="AA7:AA8">
    <cfRule type="expression" priority="132" stopIfTrue="1">
      <formula>IF(Z7="",1)</formula>
    </cfRule>
    <cfRule type="expression" dxfId="998" priority="134">
      <formula>IF(Z7=Z9,1,0)</formula>
    </cfRule>
  </conditionalFormatting>
  <conditionalFormatting sqref="AA9">
    <cfRule type="expression" priority="131" stopIfTrue="1">
      <formula>IF(Z9="",1,0)</formula>
    </cfRule>
    <cfRule type="expression" dxfId="997" priority="133">
      <formula>IF(Z7=Z9,1,0)</formula>
    </cfRule>
  </conditionalFormatting>
  <conditionalFormatting sqref="AA14:AA15">
    <cfRule type="expression" priority="128" stopIfTrue="1">
      <formula>IF(Z14="",1)</formula>
    </cfRule>
    <cfRule type="expression" dxfId="996" priority="130">
      <formula>IF(Z14=Z16,1,0)</formula>
    </cfRule>
  </conditionalFormatting>
  <conditionalFormatting sqref="AA16">
    <cfRule type="expression" priority="127" stopIfTrue="1">
      <formula>IF(Z16="",1,0)</formula>
    </cfRule>
    <cfRule type="expression" dxfId="995" priority="129">
      <formula>IF(Z14=Z16,1,0)</formula>
    </cfRule>
  </conditionalFormatting>
  <conditionalFormatting sqref="AA21:AA22">
    <cfRule type="expression" priority="124" stopIfTrue="1">
      <formula>IF(Z21="",1)</formula>
    </cfRule>
    <cfRule type="expression" dxfId="994" priority="126">
      <formula>IF(Z21=Z23,1,0)</formula>
    </cfRule>
  </conditionalFormatting>
  <conditionalFormatting sqref="AA23">
    <cfRule type="expression" priority="123" stopIfTrue="1">
      <formula>IF(Z23="",1,0)</formula>
    </cfRule>
    <cfRule type="expression" dxfId="993" priority="125">
      <formula>IF(Z21=Z23,1,0)</formula>
    </cfRule>
  </conditionalFormatting>
  <conditionalFormatting sqref="AA28:AA29">
    <cfRule type="expression" priority="120" stopIfTrue="1">
      <formula>IF(Z28="",1)</formula>
    </cfRule>
    <cfRule type="expression" dxfId="992" priority="122">
      <formula>IF(Z28=Z30,1,0)</formula>
    </cfRule>
  </conditionalFormatting>
  <conditionalFormatting sqref="AA30">
    <cfRule type="expression" priority="119" stopIfTrue="1">
      <formula>IF(Z30="",1,0)</formula>
    </cfRule>
    <cfRule type="expression" dxfId="991" priority="121">
      <formula>IF(Z28=Z30,1,0)</formula>
    </cfRule>
  </conditionalFormatting>
  <conditionalFormatting sqref="M14">
    <cfRule type="expression" dxfId="990" priority="118">
      <formula>IF(N14+O14&gt;N16+O16,1,0)</formula>
    </cfRule>
  </conditionalFormatting>
  <conditionalFormatting sqref="M16">
    <cfRule type="expression" dxfId="989" priority="117">
      <formula>IF(N16+O16&gt;N18+O18,1,0)</formula>
    </cfRule>
  </conditionalFormatting>
  <conditionalFormatting sqref="M21">
    <cfRule type="expression" dxfId="988" priority="116">
      <formula>IF(N21+O21&gt;N23+O23,1,0)</formula>
    </cfRule>
  </conditionalFormatting>
  <conditionalFormatting sqref="M23">
    <cfRule type="expression" dxfId="987" priority="115">
      <formula>IF(N23+O23&gt;N25+O25,1,0)</formula>
    </cfRule>
  </conditionalFormatting>
  <conditionalFormatting sqref="M28">
    <cfRule type="expression" dxfId="986" priority="114">
      <formula>IF(N28+O28&gt;N30+O30,1,0)</formula>
    </cfRule>
  </conditionalFormatting>
  <conditionalFormatting sqref="M30">
    <cfRule type="expression" dxfId="985" priority="113">
      <formula>IF(N30+O30&gt;N32+O32,1,0)</formula>
    </cfRule>
  </conditionalFormatting>
  <conditionalFormatting sqref="M7">
    <cfRule type="expression" dxfId="984" priority="112">
      <formula>IF(N7+O7&gt;N9+O9,1,0)</formula>
    </cfRule>
  </conditionalFormatting>
  <conditionalFormatting sqref="M9">
    <cfRule type="expression" dxfId="983" priority="111">
      <formula>IF(N9+O9&gt;N11+O11,1,0)</formula>
    </cfRule>
  </conditionalFormatting>
  <conditionalFormatting sqref="O35:O36">
    <cfRule type="expression" priority="108" stopIfTrue="1">
      <formula>IF(N35="",1)</formula>
    </cfRule>
    <cfRule type="expression" dxfId="982" priority="110">
      <formula>IF(N35=N37,1,0)</formula>
    </cfRule>
  </conditionalFormatting>
  <conditionalFormatting sqref="O37">
    <cfRule type="expression" priority="107" stopIfTrue="1">
      <formula>IF(N37="",1,0)</formula>
    </cfRule>
    <cfRule type="expression" dxfId="981" priority="109">
      <formula>IF(N35=N37,1,0)</formula>
    </cfRule>
  </conditionalFormatting>
  <conditionalFormatting sqref="O42:O43">
    <cfRule type="expression" priority="104" stopIfTrue="1">
      <formula>IF(N42="",1)</formula>
    </cfRule>
    <cfRule type="expression" dxfId="980" priority="106">
      <formula>IF(N42=N44,1,0)</formula>
    </cfRule>
  </conditionalFormatting>
  <conditionalFormatting sqref="O44">
    <cfRule type="expression" priority="103" stopIfTrue="1">
      <formula>IF(N44="",1,0)</formula>
    </cfRule>
    <cfRule type="expression" dxfId="979" priority="105">
      <formula>IF(N42=N44,1,0)</formula>
    </cfRule>
  </conditionalFormatting>
  <conditionalFormatting sqref="O49:O50">
    <cfRule type="expression" priority="100" stopIfTrue="1">
      <formula>IF(N49="",1)</formula>
    </cfRule>
    <cfRule type="expression" dxfId="978" priority="102">
      <formula>IF(N49=N51,1,0)</formula>
    </cfRule>
  </conditionalFormatting>
  <conditionalFormatting sqref="O51">
    <cfRule type="expression" priority="99" stopIfTrue="1">
      <formula>IF(N51="",1,0)</formula>
    </cfRule>
    <cfRule type="expression" dxfId="977" priority="101">
      <formula>IF(N49=N51,1,0)</formula>
    </cfRule>
  </conditionalFormatting>
  <conditionalFormatting sqref="O56:O57">
    <cfRule type="expression" priority="96" stopIfTrue="1">
      <formula>IF(N56="",1)</formula>
    </cfRule>
    <cfRule type="expression" dxfId="976" priority="98">
      <formula>IF(N56=N58,1,0)</formula>
    </cfRule>
  </conditionalFormatting>
  <conditionalFormatting sqref="O58">
    <cfRule type="expression" priority="95" stopIfTrue="1">
      <formula>IF(N58="",1,0)</formula>
    </cfRule>
    <cfRule type="expression" dxfId="975" priority="97">
      <formula>IF(N56=N58,1,0)</formula>
    </cfRule>
  </conditionalFormatting>
  <conditionalFormatting sqref="U35:U36">
    <cfRule type="expression" priority="92" stopIfTrue="1">
      <formula>IF(T35="",1)</formula>
    </cfRule>
    <cfRule type="expression" dxfId="974" priority="94">
      <formula>IF(T35=T37,1,0)</formula>
    </cfRule>
  </conditionalFormatting>
  <conditionalFormatting sqref="U37">
    <cfRule type="expression" priority="91" stopIfTrue="1">
      <formula>IF(T37="",1,0)</formula>
    </cfRule>
    <cfRule type="expression" dxfId="973" priority="93">
      <formula>IF(T35=T37,1,0)</formula>
    </cfRule>
  </conditionalFormatting>
  <conditionalFormatting sqref="U42:U43">
    <cfRule type="expression" priority="88" stopIfTrue="1">
      <formula>IF(T42="",1)</formula>
    </cfRule>
    <cfRule type="expression" dxfId="972" priority="90">
      <formula>IF(T42=T44,1,0)</formula>
    </cfRule>
  </conditionalFormatting>
  <conditionalFormatting sqref="U44">
    <cfRule type="expression" priority="87" stopIfTrue="1">
      <formula>IF(T44="",1,0)</formula>
    </cfRule>
    <cfRule type="expression" dxfId="971" priority="89">
      <formula>IF(T42=T44,1,0)</formula>
    </cfRule>
  </conditionalFormatting>
  <conditionalFormatting sqref="U49:U50">
    <cfRule type="expression" priority="84" stopIfTrue="1">
      <formula>IF(T49="",1)</formula>
    </cfRule>
    <cfRule type="expression" dxfId="970" priority="86">
      <formula>IF(T49=T51,1,0)</formula>
    </cfRule>
  </conditionalFormatting>
  <conditionalFormatting sqref="U51">
    <cfRule type="expression" priority="83" stopIfTrue="1">
      <formula>IF(T51="",1,0)</formula>
    </cfRule>
    <cfRule type="expression" dxfId="969" priority="85">
      <formula>IF(T49=T51,1,0)</formula>
    </cfRule>
  </conditionalFormatting>
  <conditionalFormatting sqref="U56:U57">
    <cfRule type="expression" priority="80" stopIfTrue="1">
      <formula>IF(T56="",1)</formula>
    </cfRule>
    <cfRule type="expression" dxfId="968" priority="82">
      <formula>IF(T56=T58,1,0)</formula>
    </cfRule>
  </conditionalFormatting>
  <conditionalFormatting sqref="U58">
    <cfRule type="expression" priority="79" stopIfTrue="1">
      <formula>IF(T58="",1,0)</formula>
    </cfRule>
    <cfRule type="expression" dxfId="967" priority="81">
      <formula>IF(T56=T58,1,0)</formula>
    </cfRule>
  </conditionalFormatting>
  <conditionalFormatting sqref="AA35:AA36">
    <cfRule type="expression" priority="76" stopIfTrue="1">
      <formula>IF(Z35="",1)</formula>
    </cfRule>
    <cfRule type="expression" dxfId="966" priority="78">
      <formula>IF(Z35=Z37,1,0)</formula>
    </cfRule>
  </conditionalFormatting>
  <conditionalFormatting sqref="AA37">
    <cfRule type="expression" priority="75" stopIfTrue="1">
      <formula>IF(Z37="",1,0)</formula>
    </cfRule>
    <cfRule type="expression" dxfId="965" priority="77">
      <formula>IF(Z35=Z37,1,0)</formula>
    </cfRule>
  </conditionalFormatting>
  <conditionalFormatting sqref="AA42:AA43">
    <cfRule type="expression" priority="72" stopIfTrue="1">
      <formula>IF(Z42="",1)</formula>
    </cfRule>
    <cfRule type="expression" dxfId="964" priority="74">
      <formula>IF(Z42=Z44,1,0)</formula>
    </cfRule>
  </conditionalFormatting>
  <conditionalFormatting sqref="AA44">
    <cfRule type="expression" priority="71" stopIfTrue="1">
      <formula>IF(Z44="",1,0)</formula>
    </cfRule>
    <cfRule type="expression" dxfId="963" priority="73">
      <formula>IF(Z42=Z44,1,0)</formula>
    </cfRule>
  </conditionalFormatting>
  <conditionalFormatting sqref="AA49:AA50">
    <cfRule type="expression" priority="68" stopIfTrue="1">
      <formula>IF(Z49="",1)</formula>
    </cfRule>
    <cfRule type="expression" dxfId="962" priority="70">
      <formula>IF(Z49=Z51,1,0)</formula>
    </cfRule>
  </conditionalFormatting>
  <conditionalFormatting sqref="AA51">
    <cfRule type="expression" priority="67" stopIfTrue="1">
      <formula>IF(Z51="",1,0)</formula>
    </cfRule>
    <cfRule type="expression" dxfId="961" priority="69">
      <formula>IF(Z49=Z51,1,0)</formula>
    </cfRule>
  </conditionalFormatting>
  <conditionalFormatting sqref="AA56:AA57">
    <cfRule type="expression" priority="64" stopIfTrue="1">
      <formula>IF(Z56="",1)</formula>
    </cfRule>
    <cfRule type="expression" dxfId="960" priority="66">
      <formula>IF(Z56=Z58,1,0)</formula>
    </cfRule>
  </conditionalFormatting>
  <conditionalFormatting sqref="AA58">
    <cfRule type="expression" priority="63" stopIfTrue="1">
      <formula>IF(Z58="",1,0)</formula>
    </cfRule>
    <cfRule type="expression" dxfId="959" priority="65">
      <formula>IF(Z56=Z58,1,0)</formula>
    </cfRule>
  </conditionalFormatting>
  <conditionalFormatting sqref="M42">
    <cfRule type="expression" dxfId="958" priority="62">
      <formula>IF(N42+O42&gt;N44+O44,1,0)</formula>
    </cfRule>
  </conditionalFormatting>
  <conditionalFormatting sqref="M44">
    <cfRule type="expression" dxfId="957" priority="61">
      <formula>IF(N44+O44&gt;N46+O46,1,0)</formula>
    </cfRule>
  </conditionalFormatting>
  <conditionalFormatting sqref="M49">
    <cfRule type="expression" dxfId="956" priority="60">
      <formula>IF(N49+O49&gt;N51+O51,1,0)</formula>
    </cfRule>
  </conditionalFormatting>
  <conditionalFormatting sqref="M51">
    <cfRule type="expression" dxfId="955" priority="59">
      <formula>IF(N51+O51&gt;N53+O53,1,0)</formula>
    </cfRule>
  </conditionalFormatting>
  <conditionalFormatting sqref="M56">
    <cfRule type="expression" dxfId="954" priority="58">
      <formula>IF(N56+O56&gt;N58+O58,1,0)</formula>
    </cfRule>
  </conditionalFormatting>
  <conditionalFormatting sqref="M58">
    <cfRule type="expression" dxfId="953" priority="57">
      <formula>IF(N58+O58&gt;N60+O60,1,0)</formula>
    </cfRule>
  </conditionalFormatting>
  <conditionalFormatting sqref="Y7">
    <cfRule type="expression" dxfId="952" priority="56">
      <formula>IF(Z7+AA7&gt;Z9+AA9,1,0)</formula>
    </cfRule>
  </conditionalFormatting>
  <conditionalFormatting sqref="Y9">
    <cfRule type="expression" dxfId="951" priority="55">
      <formula>IF(Z7+AA7&lt;Z9+AA9,1,0)</formula>
    </cfRule>
  </conditionalFormatting>
  <conditionalFormatting sqref="Y14">
    <cfRule type="expression" dxfId="950" priority="54">
      <formula>IF(Z14+AA14&gt;Z16+AA16,1,0)</formula>
    </cfRule>
  </conditionalFormatting>
  <conditionalFormatting sqref="Y16">
    <cfRule type="expression" dxfId="949" priority="53">
      <formula>IF(Z14+AA14&lt;Z16+AA16,1,0)</formula>
    </cfRule>
  </conditionalFormatting>
  <conditionalFormatting sqref="Y21">
    <cfRule type="expression" dxfId="948" priority="52">
      <formula>IF(Z21+AA21&gt;Z23+AA23,1,0)</formula>
    </cfRule>
  </conditionalFormatting>
  <conditionalFormatting sqref="Y23">
    <cfRule type="expression" dxfId="947" priority="51">
      <formula>IF(Z21+AA21&lt;Z23+AA23,1,0)</formula>
    </cfRule>
  </conditionalFormatting>
  <conditionalFormatting sqref="Y28">
    <cfRule type="expression" dxfId="946" priority="50">
      <formula>IF(Z28+AA28&gt;Z30+AA30,1,0)</formula>
    </cfRule>
  </conditionalFormatting>
  <conditionalFormatting sqref="Y30">
    <cfRule type="expression" dxfId="945" priority="49">
      <formula>IF(Z28+AA28&lt;Z30+AA30,1,0)</formula>
    </cfRule>
  </conditionalFormatting>
  <conditionalFormatting sqref="Y35">
    <cfRule type="expression" dxfId="944" priority="48">
      <formula>IF(Z35+AA35&gt;Z37+AA37,1,0)</formula>
    </cfRule>
  </conditionalFormatting>
  <conditionalFormatting sqref="Y37">
    <cfRule type="expression" dxfId="943" priority="47">
      <formula>IF(Z35+AA35&lt;Z37+AA37,1,0)</formula>
    </cfRule>
  </conditionalFormatting>
  <conditionalFormatting sqref="Y42">
    <cfRule type="expression" dxfId="942" priority="46">
      <formula>IF(Z42+AA42&gt;Z44+AA44,1,0)</formula>
    </cfRule>
  </conditionalFormatting>
  <conditionalFormatting sqref="Y44">
    <cfRule type="expression" dxfId="941" priority="45">
      <formula>IF(Z42+AA42&lt;Z44+AA44,1,0)</formula>
    </cfRule>
  </conditionalFormatting>
  <conditionalFormatting sqref="Y49">
    <cfRule type="expression" dxfId="940" priority="44">
      <formula>IF(Z49+AA49&gt;Z51+AA51,1,0)</formula>
    </cfRule>
  </conditionalFormatting>
  <conditionalFormatting sqref="Y51">
    <cfRule type="expression" dxfId="939" priority="43">
      <formula>IF(Z49+AA49&lt;Z51+AA51,1,0)</formula>
    </cfRule>
  </conditionalFormatting>
  <conditionalFormatting sqref="Y56">
    <cfRule type="expression" dxfId="938" priority="42">
      <formula>IF(Z56+AA56&gt;Z58+AA58,1,0)</formula>
    </cfRule>
  </conditionalFormatting>
  <conditionalFormatting sqref="Y58">
    <cfRule type="expression" dxfId="937" priority="41">
      <formula>IF(Z56+AA56&lt;Z58+AA58,1,0)</formula>
    </cfRule>
  </conditionalFormatting>
  <conditionalFormatting sqref="S56">
    <cfRule type="expression" dxfId="936" priority="40">
      <formula>IF(T56+U56&gt;T58+U58,1,0)</formula>
    </cfRule>
  </conditionalFormatting>
  <conditionalFormatting sqref="S58">
    <cfRule type="expression" dxfId="935" priority="39">
      <formula>IF(T56+U56&lt;T58+U58,1,0)</formula>
    </cfRule>
  </conditionalFormatting>
  <conditionalFormatting sqref="S49">
    <cfRule type="expression" dxfId="934" priority="38">
      <formula>IF(T49+U49&gt;T51+U51,1,0)</formula>
    </cfRule>
  </conditionalFormatting>
  <conditionalFormatting sqref="S51">
    <cfRule type="expression" dxfId="933" priority="37">
      <formula>IF(T49+U49&lt;T51+U51,1,0)</formula>
    </cfRule>
  </conditionalFormatting>
  <conditionalFormatting sqref="S42">
    <cfRule type="expression" dxfId="932" priority="36">
      <formula>IF(T42+U42&gt;T44+U44,1,0)</formula>
    </cfRule>
  </conditionalFormatting>
  <conditionalFormatting sqref="S44">
    <cfRule type="expression" dxfId="931" priority="35">
      <formula>IF(T42+U42&lt;T44+U44,1,0)</formula>
    </cfRule>
  </conditionalFormatting>
  <conditionalFormatting sqref="S35">
    <cfRule type="expression" dxfId="930" priority="34">
      <formula>IF(T35+U35&gt;T37+U37,1,0)</formula>
    </cfRule>
  </conditionalFormatting>
  <conditionalFormatting sqref="S37">
    <cfRule type="expression" dxfId="929" priority="33">
      <formula>IF(T35+U35&lt;T37+U37,1,0)</formula>
    </cfRule>
  </conditionalFormatting>
  <conditionalFormatting sqref="S28">
    <cfRule type="expression" dxfId="928" priority="32">
      <formula>IF(T28+U28&gt;T30+U30,1,0)</formula>
    </cfRule>
  </conditionalFormatting>
  <conditionalFormatting sqref="S30">
    <cfRule type="expression" dxfId="927" priority="31">
      <formula>IF(T28+U28&lt;T30+U30,1,0)</formula>
    </cfRule>
  </conditionalFormatting>
  <conditionalFormatting sqref="M35">
    <cfRule type="expression" dxfId="926" priority="30">
      <formula>IF(N35+O35&gt;N37+O37,1,0)</formula>
    </cfRule>
  </conditionalFormatting>
  <conditionalFormatting sqref="M37">
    <cfRule type="expression" dxfId="925" priority="29">
      <formula>IF(N37+O37&gt;N39+O39,1,0)</formula>
    </cfRule>
  </conditionalFormatting>
  <conditionalFormatting sqref="U70:U71">
    <cfRule type="expression" priority="26" stopIfTrue="1">
      <formula>IF(T70="",1)</formula>
    </cfRule>
    <cfRule type="expression" dxfId="924" priority="28">
      <formula>IF(T70=T72,1,0)</formula>
    </cfRule>
  </conditionalFormatting>
  <conditionalFormatting sqref="U72">
    <cfRule type="expression" priority="25" stopIfTrue="1">
      <formula>IF(T72="",1,0)</formula>
    </cfRule>
    <cfRule type="expression" dxfId="923" priority="27">
      <formula>IF(T70=T72,1,0)</formula>
    </cfRule>
  </conditionalFormatting>
  <conditionalFormatting sqref="AA63:AA64">
    <cfRule type="expression" priority="22" stopIfTrue="1">
      <formula>IF(Z63="",1)</formula>
    </cfRule>
    <cfRule type="expression" dxfId="922" priority="24">
      <formula>IF(Z63=Z65,1,0)</formula>
    </cfRule>
  </conditionalFormatting>
  <conditionalFormatting sqref="AA65">
    <cfRule type="expression" priority="21" stopIfTrue="1">
      <formula>IF(Z65="",1,0)</formula>
    </cfRule>
    <cfRule type="expression" dxfId="921" priority="23">
      <formula>IF(Z63=Z65,1,0)</formula>
    </cfRule>
  </conditionalFormatting>
  <conditionalFormatting sqref="AA70:AA71">
    <cfRule type="expression" priority="18" stopIfTrue="1">
      <formula>IF(Z70="",1)</formula>
    </cfRule>
    <cfRule type="expression" dxfId="920" priority="20">
      <formula>IF(Z70=Z72,1,0)</formula>
    </cfRule>
  </conditionalFormatting>
  <conditionalFormatting sqref="AA72">
    <cfRule type="expression" priority="17" stopIfTrue="1">
      <formula>IF(Z72="",1,0)</formula>
    </cfRule>
    <cfRule type="expression" dxfId="919" priority="19">
      <formula>IF(Z70=Z72,1,0)</formula>
    </cfRule>
  </conditionalFormatting>
  <conditionalFormatting sqref="M63">
    <cfRule type="expression" dxfId="918" priority="16">
      <formula>IF(N63+O63&gt;N65+O65,1,0)</formula>
    </cfRule>
  </conditionalFormatting>
  <conditionalFormatting sqref="U63:U64">
    <cfRule type="expression" priority="10" stopIfTrue="1">
      <formula>IF(T63="",1)</formula>
    </cfRule>
    <cfRule type="expression" dxfId="917" priority="12">
      <formula>IF(T63=T65,1,0)</formula>
    </cfRule>
  </conditionalFormatting>
  <conditionalFormatting sqref="U65">
    <cfRule type="expression" priority="9" stopIfTrue="1">
      <formula>IF(T65="",1,0)</formula>
    </cfRule>
    <cfRule type="expression" dxfId="916" priority="11">
      <formula>IF(T63=T65,1,0)</formula>
    </cfRule>
  </conditionalFormatting>
  <conditionalFormatting sqref="S63">
    <cfRule type="expression" dxfId="915" priority="8">
      <formula>IF(T63+U63&gt;T65+U65,1,0)</formula>
    </cfRule>
  </conditionalFormatting>
  <conditionalFormatting sqref="S65">
    <cfRule type="expression" dxfId="914" priority="7">
      <formula>IF(T63+U63&lt;T65+U65,1,0)</formula>
    </cfRule>
  </conditionalFormatting>
  <conditionalFormatting sqref="S70">
    <cfRule type="expression" dxfId="913" priority="6">
      <formula>IF(T70+U70&gt;T72+U72,1,0)</formula>
    </cfRule>
  </conditionalFormatting>
  <conditionalFormatting sqref="S72">
    <cfRule type="expression" dxfId="912" priority="5">
      <formula>IF(T70+U70&lt;T72+U72,1,0)</formula>
    </cfRule>
  </conditionalFormatting>
  <conditionalFormatting sqref="Y63">
    <cfRule type="expression" dxfId="911" priority="4">
      <formula>IF(Z63+AA63&gt;Z65+AA65,1,0)</formula>
    </cfRule>
  </conditionalFormatting>
  <conditionalFormatting sqref="Y65">
    <cfRule type="expression" dxfId="910" priority="3">
      <formula>IF(Z63+AA63&lt;Z65+AA65,1,0)</formula>
    </cfRule>
  </conditionalFormatting>
  <conditionalFormatting sqref="Y70">
    <cfRule type="expression" dxfId="909" priority="2">
      <formula>IF(Z70+AA70&gt;Z72+AA72,1,0)</formula>
    </cfRule>
  </conditionalFormatting>
  <conditionalFormatting sqref="Y72">
    <cfRule type="expression" dxfId="908" priority="1">
      <formula>IF(Z70+AA70&lt;Z72+AA72,1,0)</formula>
    </cfRule>
  </conditionalFormatting>
  <conditionalFormatting sqref="M68">
    <cfRule type="expression" dxfId="907" priority="1065">
      <formula>IF(N68+O70&gt;#REF!+O72,1,0)</formula>
    </cfRule>
  </conditionalFormatting>
  <conditionalFormatting sqref="M78">
    <cfRule type="expression" dxfId="906" priority="1066">
      <formula>IF(N78+O84&gt;N86+O86,1,0)</formula>
    </cfRule>
  </conditionalFormatting>
  <conditionalFormatting sqref="M73">
    <cfRule type="expression" dxfId="905" priority="1067">
      <formula>IF(N73+O77&gt;#REF!+O79,1,0)</formula>
    </cfRule>
  </conditionalFormatting>
  <printOptions horizontalCentered="1" verticalCentered="1"/>
  <pageMargins left="0.23622047244094491" right="0.23622047244094491" top="0.74803149606299213" bottom="0.74803149606299213" header="0.31496062992125984" footer="0.31496062992125984"/>
  <pageSetup paperSize="9" scale="7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C0B05-DF9C-4B54-9E9D-F1B75B1AD7DD}">
  <sheetPr codeName="Feuil44">
    <tabColor rgb="FF6BE62E"/>
    <pageSetUpPr fitToPage="1"/>
  </sheetPr>
  <dimension ref="A1:AY148"/>
  <sheetViews>
    <sheetView topLeftCell="K1" zoomScale="67" workbookViewId="0">
      <selection activeCell="K80" sqref="K1:AA80"/>
    </sheetView>
  </sheetViews>
  <sheetFormatPr baseColWidth="10" defaultColWidth="10.85546875" defaultRowHeight="12.75" x14ac:dyDescent="0.2"/>
  <cols>
    <col min="1" max="1" width="3.7109375" style="435" hidden="1" customWidth="1"/>
    <col min="2" max="4" width="16.140625" style="435" hidden="1" customWidth="1"/>
    <col min="5" max="10" width="11.140625" style="435" hidden="1" customWidth="1"/>
    <col min="11" max="11" width="7.7109375" style="441" bestFit="1" customWidth="1"/>
    <col min="12" max="12" width="6.42578125" style="435" bestFit="1" customWidth="1"/>
    <col min="13" max="13" width="36.5703125" style="435" customWidth="1"/>
    <col min="14" max="14" width="10.85546875" style="442"/>
    <col min="15" max="15" width="4.7109375" style="441" bestFit="1" customWidth="1"/>
    <col min="16" max="16" width="15.7109375" style="441" customWidth="1"/>
    <col min="17" max="17" width="7.7109375" style="441" bestFit="1" customWidth="1"/>
    <col min="18" max="18" width="6.42578125" style="441" bestFit="1" customWidth="1"/>
    <col min="19" max="19" width="36.5703125" style="441" customWidth="1"/>
    <col min="20" max="20" width="10.85546875" style="442"/>
    <col min="21" max="21" width="4.85546875" style="441" bestFit="1" customWidth="1"/>
    <col min="22" max="22" width="15.85546875" style="441" customWidth="1"/>
    <col min="23" max="23" width="7.7109375" style="441" bestFit="1" customWidth="1"/>
    <col min="24" max="24" width="5.28515625" style="435" bestFit="1" customWidth="1"/>
    <col min="25" max="25" width="36.5703125" style="435" customWidth="1"/>
    <col min="26" max="26" width="10.85546875" style="442"/>
    <col min="27" max="27" width="4.85546875" style="441" bestFit="1" customWidth="1"/>
    <col min="28" max="28" width="6.5703125" style="435" customWidth="1"/>
    <col min="29" max="31" width="3.28515625" style="435" customWidth="1"/>
    <col min="32" max="32" width="10.85546875" style="435"/>
    <col min="33" max="33" width="6.5703125" style="435" customWidth="1"/>
    <col min="34" max="36" width="36.85546875" style="435" customWidth="1"/>
    <col min="37" max="42" width="10.85546875" style="435"/>
    <col min="43" max="43" width="1.7109375" style="435" bestFit="1" customWidth="1"/>
    <col min="44" max="46" width="10.85546875" style="435"/>
    <col min="47" max="47" width="1.7109375" style="435" bestFit="1" customWidth="1"/>
    <col min="48" max="50" width="10.85546875" style="435"/>
    <col min="51" max="51" width="1.7109375" style="435" bestFit="1" customWidth="1"/>
    <col min="52" max="16384" width="10.85546875" style="435"/>
  </cols>
  <sheetData>
    <row r="1" spans="1:51" ht="55.5" customHeight="1" x14ac:dyDescent="0.2">
      <c r="B1" s="436"/>
      <c r="C1" s="436"/>
      <c r="D1" s="436"/>
      <c r="I1" s="437"/>
      <c r="J1" s="437"/>
      <c r="K1" s="988" t="str">
        <f>Championnat</f>
        <v>Championnat de France de Tir à l'ARC</v>
      </c>
      <c r="L1" s="988"/>
      <c r="M1" s="988"/>
      <c r="N1" s="988"/>
      <c r="O1" s="988"/>
      <c r="P1" s="988"/>
      <c r="Q1" s="988"/>
      <c r="R1" s="988"/>
      <c r="S1" s="988"/>
      <c r="T1" s="988"/>
      <c r="U1" s="988"/>
      <c r="V1" s="988"/>
      <c r="W1" s="988"/>
      <c r="X1" s="988"/>
      <c r="Y1" s="988"/>
      <c r="Z1" s="988"/>
      <c r="AA1" s="988"/>
      <c r="AB1" s="439"/>
      <c r="AC1" s="439"/>
      <c r="AD1" s="439"/>
      <c r="AE1" s="439"/>
      <c r="AF1" s="988" t="str">
        <f>Championnat</f>
        <v>Championnat de France de Tir à l'ARC</v>
      </c>
      <c r="AG1" s="988"/>
      <c r="AH1" s="988"/>
      <c r="AI1" s="988"/>
      <c r="AJ1" s="988"/>
      <c r="AK1" s="491"/>
      <c r="AL1" s="491"/>
      <c r="AM1" s="491"/>
      <c r="AN1" s="491"/>
      <c r="AO1" s="491"/>
      <c r="AP1" s="491"/>
      <c r="AQ1" s="491"/>
      <c r="AR1" s="491"/>
      <c r="AS1" s="491"/>
      <c r="AT1" s="491"/>
      <c r="AU1" s="491"/>
      <c r="AV1" s="491"/>
      <c r="AW1" s="491"/>
      <c r="AY1" s="491"/>
    </row>
    <row r="2" spans="1:51" ht="61.5" customHeight="1" x14ac:dyDescent="0.2">
      <c r="A2" s="437"/>
      <c r="I2" s="437"/>
      <c r="J2" s="437"/>
      <c r="K2" s="989" t="str">
        <f>CATEG_IMPORTEE</f>
        <v>Collèges Mixtes Etablissement</v>
      </c>
      <c r="L2" s="989"/>
      <c r="M2" s="989"/>
      <c r="N2" s="989"/>
      <c r="O2" s="989"/>
      <c r="P2" s="989"/>
      <c r="Q2" s="989"/>
      <c r="R2" s="989"/>
      <c r="S2" s="989"/>
      <c r="T2" s="989"/>
      <c r="U2" s="989"/>
      <c r="V2" s="989"/>
      <c r="W2" s="989"/>
      <c r="X2" s="989"/>
      <c r="Y2" s="989"/>
      <c r="Z2" s="989"/>
      <c r="AA2" s="438"/>
      <c r="AB2" s="439"/>
      <c r="AC2" s="439"/>
      <c r="AD2" s="439"/>
      <c r="AE2" s="439"/>
      <c r="AF2" s="990" t="str">
        <f>CATEG_IMPORTEE</f>
        <v>Collèges Mixtes Etablissement</v>
      </c>
      <c r="AG2" s="990"/>
      <c r="AH2" s="990"/>
      <c r="AI2" s="990"/>
      <c r="AJ2" s="990"/>
      <c r="AK2" s="492"/>
      <c r="AL2" s="492"/>
      <c r="AM2" s="492"/>
      <c r="AN2" s="492"/>
      <c r="AO2" s="492"/>
      <c r="AP2" s="492"/>
      <c r="AQ2" s="492"/>
      <c r="AR2" s="492"/>
      <c r="AS2" s="492"/>
      <c r="AT2" s="492"/>
      <c r="AU2" s="492"/>
      <c r="AV2" s="492"/>
      <c r="AW2" s="492"/>
      <c r="AY2" s="492"/>
    </row>
    <row r="3" spans="1:51" ht="42" customHeight="1" x14ac:dyDescent="0.2">
      <c r="B3" s="440" t="s">
        <v>774</v>
      </c>
      <c r="I3" s="437"/>
      <c r="J3" s="437"/>
      <c r="N3" s="991" t="str">
        <f>LIEU&amp;" du "&amp;DATE</f>
        <v>L’Isle sur la Sorgue du 27 au 31 mars 2023</v>
      </c>
      <c r="O3" s="991"/>
      <c r="P3" s="991"/>
      <c r="Q3" s="991"/>
      <c r="R3" s="991"/>
      <c r="S3" s="991"/>
      <c r="T3" s="991"/>
      <c r="U3" s="991"/>
      <c r="V3" s="991"/>
      <c r="W3" s="991"/>
      <c r="X3" s="991"/>
      <c r="AF3" s="991" t="str">
        <f>LIEU&amp;" du "&amp;DATE</f>
        <v>L’Isle sur la Sorgue du 27 au 31 mars 2023</v>
      </c>
      <c r="AG3" s="991"/>
      <c r="AH3" s="991"/>
      <c r="AI3" s="991"/>
      <c r="AJ3" s="991"/>
      <c r="AK3" s="493"/>
      <c r="AL3" s="493"/>
      <c r="AM3" s="493"/>
      <c r="AN3" s="493"/>
      <c r="AO3" s="493"/>
      <c r="AP3" s="493"/>
      <c r="AQ3" s="493"/>
      <c r="AR3" s="493"/>
      <c r="AS3" s="493"/>
      <c r="AT3" s="493"/>
      <c r="AU3" s="493"/>
      <c r="AW3" s="442"/>
      <c r="AY3" s="493"/>
    </row>
    <row r="4" spans="1:51" ht="21" customHeight="1" x14ac:dyDescent="0.2">
      <c r="B4" s="440" t="s">
        <v>775</v>
      </c>
      <c r="C4" s="462" t="s">
        <v>375</v>
      </c>
      <c r="D4" s="462" t="s">
        <v>374</v>
      </c>
      <c r="E4" s="440" t="s">
        <v>776</v>
      </c>
      <c r="F4" s="487" t="s">
        <v>838</v>
      </c>
      <c r="G4" s="488" t="s">
        <v>837</v>
      </c>
      <c r="H4" s="898"/>
      <c r="I4" s="437"/>
      <c r="J4" s="437"/>
      <c r="K4" s="979" t="s">
        <v>815</v>
      </c>
      <c r="L4" s="979"/>
      <c r="M4" s="979"/>
      <c r="N4" s="979"/>
      <c r="O4" s="443"/>
      <c r="P4" s="443"/>
      <c r="Q4" s="979" t="s">
        <v>816</v>
      </c>
      <c r="R4" s="979"/>
      <c r="S4" s="979"/>
      <c r="T4" s="979"/>
      <c r="U4" s="443"/>
      <c r="V4" s="443"/>
      <c r="W4" s="979" t="s">
        <v>817</v>
      </c>
      <c r="X4" s="979"/>
      <c r="Y4" s="979"/>
      <c r="Z4" s="979"/>
      <c r="AA4" s="443"/>
      <c r="AH4" s="980" t="s">
        <v>778</v>
      </c>
      <c r="AI4" s="980"/>
      <c r="AJ4" s="980"/>
      <c r="AN4" s="497" t="s">
        <v>848</v>
      </c>
    </row>
    <row r="5" spans="1:51" ht="15.95" customHeight="1" thickBot="1" x14ac:dyDescent="0.25">
      <c r="A5" s="435">
        <v>1</v>
      </c>
      <c r="B5" s="444" t="str">
        <f ca="1">INDIRECT("'Imp. Qualif.'!L"&amp;INDIRECT("f"&amp;ROW()))</f>
        <v/>
      </c>
      <c r="C5" s="444" t="str">
        <f ca="1">INDIRECT("'Imp. Qualif.'!M"&amp;INDIRECT("f"&amp;ROW()))</f>
        <v/>
      </c>
      <c r="D5" s="444" t="str">
        <f ca="1">INDIRECT("'Imp. Qualif.'!N"&amp;INDIRECT("f"&amp;ROW()))</f>
        <v/>
      </c>
      <c r="E5" s="486">
        <f ca="1">INDIRECT("'Imp. Qualif.'!O"&amp;INDIRECT("f"&amp;ROW()))</f>
        <v>0</v>
      </c>
      <c r="F5" s="489">
        <v>11</v>
      </c>
      <c r="G5" s="488" t="str">
        <f ca="1">B5&amp;C5</f>
        <v/>
      </c>
      <c r="H5" s="898" t="str">
        <f ca="1">IF(B5&lt;&gt;"",B5,"")</f>
        <v/>
      </c>
      <c r="I5" s="898" t="str">
        <f t="shared" ref="I5:J20" ca="1" si="0">IF(C5&lt;&gt;"",C5,"")</f>
        <v/>
      </c>
      <c r="J5" s="898" t="str">
        <f t="shared" ca="1" si="0"/>
        <v/>
      </c>
      <c r="L5" s="979" t="s">
        <v>836</v>
      </c>
      <c r="M5" s="1247"/>
      <c r="N5" s="1247"/>
      <c r="O5" s="443"/>
      <c r="P5" s="443"/>
      <c r="R5" s="979" t="s">
        <v>818</v>
      </c>
      <c r="S5" s="1247"/>
      <c r="T5" s="1247"/>
      <c r="U5" s="443"/>
      <c r="V5" s="443"/>
      <c r="W5" s="445"/>
      <c r="X5" s="979" t="s">
        <v>777</v>
      </c>
      <c r="Y5" s="1247"/>
      <c r="Z5" s="1247"/>
      <c r="AA5" s="443"/>
      <c r="AH5" s="981"/>
      <c r="AI5" s="981"/>
      <c r="AJ5" s="981"/>
      <c r="AN5" s="494" t="s">
        <v>839</v>
      </c>
      <c r="AO5" s="494" t="s">
        <v>840</v>
      </c>
      <c r="AP5" s="494" t="s">
        <v>841</v>
      </c>
      <c r="AQ5" s="496" t="s">
        <v>793</v>
      </c>
      <c r="AR5" s="494" t="s">
        <v>842</v>
      </c>
      <c r="AS5" s="494" t="s">
        <v>843</v>
      </c>
      <c r="AT5" s="494" t="s">
        <v>844</v>
      </c>
      <c r="AU5" s="496" t="s">
        <v>793</v>
      </c>
      <c r="AV5" s="494" t="s">
        <v>845</v>
      </c>
      <c r="AW5" s="494" t="s">
        <v>846</v>
      </c>
      <c r="AX5" s="494" t="s">
        <v>847</v>
      </c>
      <c r="AY5" s="496" t="s">
        <v>793</v>
      </c>
    </row>
    <row r="6" spans="1:51" ht="15.95" customHeight="1" thickBot="1" x14ac:dyDescent="0.25">
      <c r="A6" s="435">
        <v>2</v>
      </c>
      <c r="B6" s="444" t="str">
        <f t="shared" ref="B6:B28" ca="1" si="1">INDIRECT("'Imp. Qualif.'!L"&amp;INDIRECT("f"&amp;ROW()))</f>
        <v/>
      </c>
      <c r="C6" s="444" t="str">
        <f t="shared" ref="C6:C28" ca="1" si="2">INDIRECT("'Imp. Qualif.'!M"&amp;INDIRECT("f"&amp;ROW()))</f>
        <v/>
      </c>
      <c r="D6" s="444" t="str">
        <f t="shared" ref="D6:D28" ca="1" si="3">INDIRECT("'Imp. Qualif.'!N"&amp;INDIRECT("f"&amp;ROW()))</f>
        <v/>
      </c>
      <c r="E6" s="486">
        <f t="shared" ref="E6:E28" ca="1" si="4">INDIRECT("'Imp. Qualif.'!O"&amp;INDIRECT("f"&amp;ROW()))</f>
        <v>0</v>
      </c>
      <c r="F6" s="489">
        <v>12</v>
      </c>
      <c r="G6" s="488" t="str">
        <f t="shared" ref="G6:G28" ca="1" si="5">B6&amp;C6</f>
        <v/>
      </c>
      <c r="H6" s="898" t="str">
        <f t="shared" ref="H6:J28" ca="1" si="6">IF(B6&lt;&gt;"",B6,"")</f>
        <v/>
      </c>
      <c r="I6" s="898" t="str">
        <f t="shared" ca="1" si="0"/>
        <v/>
      </c>
      <c r="J6" s="898" t="str">
        <f t="shared" ca="1" si="0"/>
        <v/>
      </c>
      <c r="K6" s="445" t="s">
        <v>779</v>
      </c>
      <c r="L6" s="779" t="s">
        <v>1083</v>
      </c>
      <c r="M6" s="456" t="s">
        <v>481</v>
      </c>
      <c r="N6" s="464" t="s">
        <v>780</v>
      </c>
      <c r="O6" s="446" t="s">
        <v>781</v>
      </c>
      <c r="P6" s="445"/>
      <c r="Q6" s="445" t="s">
        <v>779</v>
      </c>
      <c r="R6" s="779" t="s">
        <v>1083</v>
      </c>
      <c r="S6" s="456" t="s">
        <v>481</v>
      </c>
      <c r="T6" s="464" t="s">
        <v>780</v>
      </c>
      <c r="U6" s="446" t="s">
        <v>781</v>
      </c>
      <c r="V6" s="445"/>
      <c r="W6" s="445" t="s">
        <v>779</v>
      </c>
      <c r="X6" s="779" t="s">
        <v>1083</v>
      </c>
      <c r="Y6" s="456" t="s">
        <v>481</v>
      </c>
      <c r="Z6" s="464" t="s">
        <v>780</v>
      </c>
      <c r="AA6" s="446" t="s">
        <v>781</v>
      </c>
      <c r="AH6" s="483" t="s">
        <v>782</v>
      </c>
      <c r="AI6" s="484" t="s">
        <v>375</v>
      </c>
      <c r="AJ6" s="485" t="s">
        <v>783</v>
      </c>
      <c r="AN6" s="494">
        <f>K7</f>
        <v>1</v>
      </c>
      <c r="AO6" s="495" t="str">
        <f ca="1">L8</f>
        <v/>
      </c>
      <c r="AP6" s="495" t="str">
        <f ca="1">AO7</f>
        <v/>
      </c>
      <c r="AQ6" s="496" t="s">
        <v>793</v>
      </c>
      <c r="AR6" s="494">
        <f>Q7</f>
        <v>1</v>
      </c>
      <c r="AS6" s="495" t="str">
        <f>R8</f>
        <v/>
      </c>
      <c r="AT6" s="495" t="str">
        <f>AS7</f>
        <v/>
      </c>
      <c r="AU6" s="496" t="s">
        <v>793</v>
      </c>
      <c r="AV6" s="494">
        <f>W7</f>
        <v>1</v>
      </c>
      <c r="AW6" s="495" t="str">
        <f>X8</f>
        <v/>
      </c>
      <c r="AX6" s="495" t="str">
        <f>AW7</f>
        <v/>
      </c>
      <c r="AY6" s="496" t="s">
        <v>793</v>
      </c>
    </row>
    <row r="7" spans="1:51" ht="15.95" customHeight="1" thickBot="1" x14ac:dyDescent="0.25">
      <c r="A7" s="435">
        <v>3</v>
      </c>
      <c r="B7" s="444" t="str">
        <f t="shared" ca="1" si="1"/>
        <v/>
      </c>
      <c r="C7" s="444" t="str">
        <f t="shared" ca="1" si="2"/>
        <v/>
      </c>
      <c r="D7" s="444" t="str">
        <f t="shared" ca="1" si="3"/>
        <v/>
      </c>
      <c r="E7" s="486">
        <f t="shared" ca="1" si="4"/>
        <v>0</v>
      </c>
      <c r="F7" s="489">
        <v>13</v>
      </c>
      <c r="G7" s="488" t="str">
        <f t="shared" ca="1" si="5"/>
        <v/>
      </c>
      <c r="H7" s="898" t="str">
        <f t="shared" ca="1" si="6"/>
        <v/>
      </c>
      <c r="I7" s="898" t="str">
        <f t="shared" ca="1" si="0"/>
        <v/>
      </c>
      <c r="J7" s="898" t="str">
        <f t="shared" ca="1" si="0"/>
        <v/>
      </c>
      <c r="K7" s="447">
        <f>Num_Cible</f>
        <v>1</v>
      </c>
      <c r="L7" s="472">
        <v>1</v>
      </c>
      <c r="M7" s="465" t="str">
        <f ca="1">IFERROR(VLOOKUP(L8,$G$5:$J$28,2,FALSE),"")</f>
        <v/>
      </c>
      <c r="N7" s="966"/>
      <c r="O7" s="780"/>
      <c r="Q7" s="447">
        <f>K7</f>
        <v>1</v>
      </c>
      <c r="R7" s="472">
        <v>1</v>
      </c>
      <c r="S7" s="465" t="str">
        <f ca="1">IFERROR(VLOOKUP(R8,$G$5:$J$28,2,FALSE),"")</f>
        <v/>
      </c>
      <c r="T7" s="966"/>
      <c r="U7" s="780"/>
      <c r="W7" s="447">
        <f>Q7</f>
        <v>1</v>
      </c>
      <c r="X7" s="472">
        <v>1</v>
      </c>
      <c r="Y7" s="465" t="str">
        <f ca="1">IFERROR(VLOOKUP(X8,$G$5:$J$28,2,FALSE),"")</f>
        <v/>
      </c>
      <c r="Z7" s="966"/>
      <c r="AA7" s="780"/>
      <c r="AF7" s="448" t="s">
        <v>784</v>
      </c>
      <c r="AG7" s="435" t="str">
        <f>IF(ISBLANK(Z7),"",IF(Z7+AA7&gt;Z9+AA9,X8,X10))</f>
        <v/>
      </c>
      <c r="AH7" s="475" t="str">
        <f t="shared" ref="AH7:AH30" ca="1" si="7">IFERROR(VLOOKUP(AG7,$G$5:$J$28,2,FALSE),"")</f>
        <v/>
      </c>
      <c r="AI7" s="476" t="str">
        <f t="shared" ref="AI7:AI30" ca="1" si="8">IFERROR(VLOOKUP(AG7,$G$5:$J$28,3,FALSE),"")</f>
        <v/>
      </c>
      <c r="AJ7" s="934" t="str">
        <f t="shared" ref="AJ7:AJ30" ca="1" si="9">IFERROR(VLOOKUP(AG7,$G$5:$J$28,4,FALSE),"")</f>
        <v/>
      </c>
      <c r="AN7" s="494">
        <f>K9</f>
        <v>2</v>
      </c>
      <c r="AO7" s="495" t="str">
        <f ca="1">L10</f>
        <v/>
      </c>
      <c r="AP7" s="495" t="str">
        <f ca="1">AO6</f>
        <v/>
      </c>
      <c r="AQ7" s="496" t="s">
        <v>793</v>
      </c>
      <c r="AR7" s="494">
        <f>Q9</f>
        <v>2</v>
      </c>
      <c r="AS7" s="495" t="str">
        <f>R10</f>
        <v/>
      </c>
      <c r="AT7" s="495" t="str">
        <f>AS6</f>
        <v/>
      </c>
      <c r="AU7" s="496" t="s">
        <v>793</v>
      </c>
      <c r="AV7" s="494">
        <f>W9</f>
        <v>2</v>
      </c>
      <c r="AW7" s="495" t="str">
        <f>X10</f>
        <v/>
      </c>
      <c r="AX7" s="495" t="str">
        <f>AW6</f>
        <v/>
      </c>
      <c r="AY7" s="496" t="s">
        <v>793</v>
      </c>
    </row>
    <row r="8" spans="1:51" ht="15.95" customHeight="1" thickBot="1" x14ac:dyDescent="0.25">
      <c r="A8" s="435">
        <v>4</v>
      </c>
      <c r="B8" s="444" t="str">
        <f t="shared" ca="1" si="1"/>
        <v/>
      </c>
      <c r="C8" s="444" t="str">
        <f t="shared" ca="1" si="2"/>
        <v/>
      </c>
      <c r="D8" s="444" t="str">
        <f t="shared" ca="1" si="3"/>
        <v/>
      </c>
      <c r="E8" s="486">
        <f t="shared" ca="1" si="4"/>
        <v>0</v>
      </c>
      <c r="F8" s="489">
        <v>14</v>
      </c>
      <c r="G8" s="488" t="str">
        <f t="shared" ca="1" si="5"/>
        <v/>
      </c>
      <c r="H8" s="898" t="str">
        <f t="shared" ca="1" si="6"/>
        <v/>
      </c>
      <c r="I8" s="898" t="str">
        <f t="shared" ca="1" si="0"/>
        <v/>
      </c>
      <c r="J8" s="898" t="str">
        <f t="shared" ca="1" si="0"/>
        <v/>
      </c>
      <c r="K8" s="447"/>
      <c r="L8" s="473" t="str">
        <f ca="1">VLOOKUP(L7,$A$5:$G$24,7,FALSE)</f>
        <v/>
      </c>
      <c r="M8" s="466" t="str">
        <f ca="1">IFERROR(VLOOKUP(L8,$G$5:$J$28,3,FALSE),"")</f>
        <v/>
      </c>
      <c r="N8" s="967"/>
      <c r="Q8" s="447"/>
      <c r="R8" s="473" t="str">
        <f>IF(ISBLANK(N7),"",IF(O7+N7&gt;N9+O9,L8,L10))</f>
        <v/>
      </c>
      <c r="S8" s="466" t="str">
        <f ca="1">IFERROR(VLOOKUP(R8,$G$5:$J$28,3,FALSE),"")</f>
        <v/>
      </c>
      <c r="T8" s="967"/>
      <c r="W8" s="447"/>
      <c r="X8" s="473" t="str">
        <f>IF(ISBLANK(T7),"",IF(U7+T7&gt;T9+U9,R8,R10))</f>
        <v/>
      </c>
      <c r="Y8" s="466" t="str">
        <f ca="1">IFERROR(VLOOKUP(X8,$G$5:$J$28,3,FALSE),"")</f>
        <v/>
      </c>
      <c r="Z8" s="967"/>
      <c r="AF8" s="449" t="s">
        <v>785</v>
      </c>
      <c r="AG8" s="435" t="str">
        <f>IF(ISBLANK(Z7),"",IF(Z7+AA7&lt;Z9+AA9,X8,X10))</f>
        <v/>
      </c>
      <c r="AH8" s="478" t="str">
        <f t="shared" ca="1" si="7"/>
        <v/>
      </c>
      <c r="AI8" s="474" t="str">
        <f t="shared" ca="1" si="8"/>
        <v/>
      </c>
      <c r="AJ8" s="915" t="str">
        <f t="shared" ca="1" si="9"/>
        <v/>
      </c>
      <c r="AN8" s="494">
        <f>K14</f>
        <v>3</v>
      </c>
      <c r="AO8" s="495" t="str">
        <f ca="1">L15</f>
        <v/>
      </c>
      <c r="AP8" s="495" t="str">
        <f t="shared" ref="AP8" ca="1" si="10">AO9</f>
        <v/>
      </c>
      <c r="AQ8" s="496" t="s">
        <v>793</v>
      </c>
      <c r="AR8" s="494">
        <f>Q14</f>
        <v>3</v>
      </c>
      <c r="AS8" s="495" t="str">
        <f>R15</f>
        <v/>
      </c>
      <c r="AT8" s="495" t="str">
        <f t="shared" ref="AT8" si="11">AS9</f>
        <v/>
      </c>
      <c r="AU8" s="496" t="s">
        <v>793</v>
      </c>
      <c r="AV8" s="494">
        <f>W14</f>
        <v>3</v>
      </c>
      <c r="AW8" s="495" t="str">
        <f>X15</f>
        <v/>
      </c>
      <c r="AX8" s="495" t="str">
        <f t="shared" ref="AX8" si="12">AW9</f>
        <v/>
      </c>
      <c r="AY8" s="496" t="s">
        <v>793</v>
      </c>
    </row>
    <row r="9" spans="1:51" ht="15.95" customHeight="1" thickBot="1" x14ac:dyDescent="0.25">
      <c r="A9" s="435">
        <v>5</v>
      </c>
      <c r="B9" s="444" t="str">
        <f t="shared" ca="1" si="1"/>
        <v/>
      </c>
      <c r="C9" s="444" t="str">
        <f t="shared" ca="1" si="2"/>
        <v/>
      </c>
      <c r="D9" s="444" t="str">
        <f t="shared" ca="1" si="3"/>
        <v/>
      </c>
      <c r="E9" s="486">
        <f t="shared" ca="1" si="4"/>
        <v>0</v>
      </c>
      <c r="F9" s="489">
        <v>15</v>
      </c>
      <c r="G9" s="488" t="str">
        <f t="shared" ca="1" si="5"/>
        <v/>
      </c>
      <c r="H9" s="898" t="str">
        <f t="shared" ca="1" si="6"/>
        <v/>
      </c>
      <c r="I9" s="898" t="str">
        <f t="shared" ca="1" si="0"/>
        <v/>
      </c>
      <c r="J9" s="898" t="str">
        <f t="shared" ca="1" si="0"/>
        <v/>
      </c>
      <c r="K9" s="447">
        <f>K7+1</f>
        <v>2</v>
      </c>
      <c r="L9" s="472">
        <v>8</v>
      </c>
      <c r="M9" s="465" t="str">
        <f ca="1">IFERROR(VLOOKUP(L10,$G$5:$J$28,2,FALSE),"")</f>
        <v/>
      </c>
      <c r="N9" s="966"/>
      <c r="O9" s="780"/>
      <c r="Q9" s="447">
        <f>Q7+1</f>
        <v>2</v>
      </c>
      <c r="R9" s="472">
        <v>4</v>
      </c>
      <c r="S9" s="465" t="str">
        <f ca="1">IFERROR(VLOOKUP(R10,$G$5:$J$28,2,FALSE),"")</f>
        <v/>
      </c>
      <c r="T9" s="966"/>
      <c r="U9" s="780"/>
      <c r="W9" s="447">
        <f>W7+1</f>
        <v>2</v>
      </c>
      <c r="X9" s="472">
        <v>2</v>
      </c>
      <c r="Y9" s="465" t="str">
        <f ca="1">IFERROR(VLOOKUP(X10,$G$5:$J$28,2,FALSE),"")</f>
        <v/>
      </c>
      <c r="Z9" s="966"/>
      <c r="AA9" s="780"/>
      <c r="AF9" s="452" t="s">
        <v>786</v>
      </c>
      <c r="AG9" s="435" t="str">
        <f>IF(ISBLANK(Z14),"",IF(Z14+AA14&gt;Z16+AA16,X15,X17))</f>
        <v/>
      </c>
      <c r="AH9" s="478" t="str">
        <f t="shared" ca="1" si="7"/>
        <v/>
      </c>
      <c r="AI9" s="474" t="str">
        <f t="shared" ca="1" si="8"/>
        <v/>
      </c>
      <c r="AJ9" s="915" t="str">
        <f t="shared" ca="1" si="9"/>
        <v/>
      </c>
      <c r="AN9" s="494">
        <f>K16</f>
        <v>4</v>
      </c>
      <c r="AO9" s="495" t="str">
        <f ca="1">L17</f>
        <v/>
      </c>
      <c r="AP9" s="495" t="str">
        <f t="shared" ref="AP9" ca="1" si="13">AO8</f>
        <v/>
      </c>
      <c r="AQ9" s="496" t="s">
        <v>793</v>
      </c>
      <c r="AR9" s="494">
        <f>Q16</f>
        <v>4</v>
      </c>
      <c r="AS9" s="495" t="str">
        <f>R17</f>
        <v/>
      </c>
      <c r="AT9" s="495" t="str">
        <f t="shared" ref="AT9" si="14">AS8</f>
        <v/>
      </c>
      <c r="AU9" s="496" t="s">
        <v>793</v>
      </c>
      <c r="AV9" s="494">
        <f>W16</f>
        <v>4</v>
      </c>
      <c r="AW9" s="495" t="str">
        <f>X17</f>
        <v/>
      </c>
      <c r="AX9" s="495" t="str">
        <f t="shared" ref="AX9" si="15">AW8</f>
        <v/>
      </c>
      <c r="AY9" s="496" t="s">
        <v>793</v>
      </c>
    </row>
    <row r="10" spans="1:51" ht="15.95" customHeight="1" thickBot="1" x14ac:dyDescent="0.25">
      <c r="A10" s="435">
        <v>6</v>
      </c>
      <c r="B10" s="444" t="str">
        <f t="shared" ca="1" si="1"/>
        <v/>
      </c>
      <c r="C10" s="444" t="str">
        <f t="shared" ca="1" si="2"/>
        <v/>
      </c>
      <c r="D10" s="444" t="str">
        <f t="shared" ca="1" si="3"/>
        <v/>
      </c>
      <c r="E10" s="486">
        <f t="shared" ca="1" si="4"/>
        <v>0</v>
      </c>
      <c r="F10" s="489">
        <v>16</v>
      </c>
      <c r="G10" s="488" t="str">
        <f t="shared" ca="1" si="5"/>
        <v/>
      </c>
      <c r="H10" s="898" t="str">
        <f t="shared" ca="1" si="6"/>
        <v/>
      </c>
      <c r="I10" s="898" t="str">
        <f t="shared" ca="1" si="0"/>
        <v/>
      </c>
      <c r="J10" s="898" t="str">
        <f t="shared" ca="1" si="0"/>
        <v/>
      </c>
      <c r="K10" s="447"/>
      <c r="L10" s="473" t="str">
        <f ca="1">VLOOKUP(L9,$A$5:$G$24,7,FALSE)</f>
        <v/>
      </c>
      <c r="M10" s="466" t="str">
        <f ca="1">IFERROR(VLOOKUP(L10,$G$5:$J$28,3,FALSE),"")</f>
        <v/>
      </c>
      <c r="N10" s="967"/>
      <c r="Q10" s="447"/>
      <c r="R10" s="473" t="str">
        <f>IF(ISBLANK(N14),"",IF(O14+N14&gt;N16+O16,L15,L17))</f>
        <v/>
      </c>
      <c r="S10" s="466" t="str">
        <f ca="1">IFERROR(VLOOKUP(R10,$G$5:$J$28,3,FALSE),"")</f>
        <v/>
      </c>
      <c r="T10" s="967"/>
      <c r="W10" s="447"/>
      <c r="X10" s="473" t="str">
        <f>IF(ISBLANK(T14),"",IF(U14+T14&gt;T16+U16,R15,R17))</f>
        <v/>
      </c>
      <c r="Y10" s="466" t="str">
        <f ca="1">IFERROR(VLOOKUP(X10,$G$5:$J$28,3,FALSE),"")</f>
        <v/>
      </c>
      <c r="Z10" s="967"/>
      <c r="AF10" s="453" t="s">
        <v>788</v>
      </c>
      <c r="AG10" s="435" t="str">
        <f>IF(ISBLANK(Z14),"",IF(Z14+AA14&lt;Z16+AA16,X15,X17))</f>
        <v/>
      </c>
      <c r="AH10" s="478" t="str">
        <f t="shared" ca="1" si="7"/>
        <v/>
      </c>
      <c r="AI10" s="474" t="str">
        <f t="shared" ca="1" si="8"/>
        <v/>
      </c>
      <c r="AJ10" s="915" t="str">
        <f t="shared" ca="1" si="9"/>
        <v/>
      </c>
      <c r="AN10" s="494">
        <f>K21</f>
        <v>5</v>
      </c>
      <c r="AO10" s="495" t="str">
        <f ca="1">L22</f>
        <v/>
      </c>
      <c r="AP10" s="495" t="str">
        <f t="shared" ref="AP10" ca="1" si="16">AO11</f>
        <v/>
      </c>
      <c r="AQ10" s="496" t="s">
        <v>793</v>
      </c>
      <c r="AR10" s="494">
        <f>Q21</f>
        <v>5</v>
      </c>
      <c r="AS10" s="495" t="str">
        <f>R22</f>
        <v/>
      </c>
      <c r="AT10" s="495" t="str">
        <f t="shared" ref="AT10" si="17">AS11</f>
        <v/>
      </c>
      <c r="AU10" s="496" t="s">
        <v>793</v>
      </c>
      <c r="AV10" s="494">
        <f>W21</f>
        <v>5</v>
      </c>
      <c r="AW10" s="495" t="str">
        <f>X22</f>
        <v/>
      </c>
      <c r="AX10" s="495" t="str">
        <f t="shared" ref="AX10" si="18">AW11</f>
        <v/>
      </c>
      <c r="AY10" s="496" t="s">
        <v>793</v>
      </c>
    </row>
    <row r="11" spans="1:51" ht="15.95" customHeight="1" x14ac:dyDescent="0.2">
      <c r="A11" s="435">
        <v>7</v>
      </c>
      <c r="B11" s="444" t="str">
        <f t="shared" ca="1" si="1"/>
        <v/>
      </c>
      <c r="C11" s="444" t="str">
        <f t="shared" ca="1" si="2"/>
        <v/>
      </c>
      <c r="D11" s="444" t="str">
        <f t="shared" ca="1" si="3"/>
        <v/>
      </c>
      <c r="E11" s="486">
        <f t="shared" ca="1" si="4"/>
        <v>0</v>
      </c>
      <c r="F11" s="489">
        <v>17</v>
      </c>
      <c r="G11" s="488" t="str">
        <f t="shared" ca="1" si="5"/>
        <v/>
      </c>
      <c r="H11" s="898" t="str">
        <f t="shared" ca="1" si="6"/>
        <v/>
      </c>
      <c r="I11" s="898" t="str">
        <f t="shared" ca="1" si="0"/>
        <v/>
      </c>
      <c r="J11" s="898" t="str">
        <f t="shared" ca="1" si="0"/>
        <v/>
      </c>
      <c r="K11" s="450"/>
      <c r="L11" s="450"/>
      <c r="M11" s="450"/>
      <c r="N11" s="451"/>
      <c r="O11" s="450"/>
      <c r="P11" s="450"/>
      <c r="Q11" s="450"/>
      <c r="R11" s="437"/>
      <c r="S11" s="437"/>
      <c r="T11" s="451"/>
      <c r="U11" s="450"/>
      <c r="V11" s="450"/>
      <c r="W11" s="450"/>
      <c r="X11" s="450"/>
      <c r="Y11" s="450"/>
      <c r="Z11" s="451"/>
      <c r="AA11" s="450"/>
      <c r="AF11" s="453" t="s">
        <v>789</v>
      </c>
      <c r="AG11" s="435" t="str">
        <f>IF(ISBLANK(Z21),"",IF(Z21+AA21&gt;Z23+AA23,X22,X24))</f>
        <v/>
      </c>
      <c r="AH11" s="478" t="str">
        <f t="shared" ca="1" si="7"/>
        <v/>
      </c>
      <c r="AI11" s="474" t="str">
        <f t="shared" ca="1" si="8"/>
        <v/>
      </c>
      <c r="AJ11" s="915" t="str">
        <f t="shared" ca="1" si="9"/>
        <v/>
      </c>
      <c r="AN11" s="494">
        <f>K23</f>
        <v>6</v>
      </c>
      <c r="AO11" s="495" t="str">
        <f ca="1">L24</f>
        <v/>
      </c>
      <c r="AP11" s="495" t="str">
        <f t="shared" ref="AP11" ca="1" si="19">AO10</f>
        <v/>
      </c>
      <c r="AQ11" s="496" t="s">
        <v>793</v>
      </c>
      <c r="AR11" s="494">
        <f>Q23</f>
        <v>6</v>
      </c>
      <c r="AS11" s="495" t="str">
        <f>R24</f>
        <v/>
      </c>
      <c r="AT11" s="495" t="str">
        <f t="shared" ref="AT11" si="20">AS10</f>
        <v/>
      </c>
      <c r="AU11" s="496" t="s">
        <v>793</v>
      </c>
      <c r="AV11" s="494">
        <f>W23</f>
        <v>6</v>
      </c>
      <c r="AW11" s="495" t="str">
        <f>X24</f>
        <v/>
      </c>
      <c r="AX11" s="495" t="str">
        <f t="shared" ref="AX11" si="21">AW10</f>
        <v/>
      </c>
      <c r="AY11" s="496" t="s">
        <v>793</v>
      </c>
    </row>
    <row r="12" spans="1:51" ht="15.95" customHeight="1" thickBot="1" x14ac:dyDescent="0.25">
      <c r="A12" s="435">
        <v>8</v>
      </c>
      <c r="B12" s="444" t="str">
        <f t="shared" ca="1" si="1"/>
        <v/>
      </c>
      <c r="C12" s="444" t="str">
        <f t="shared" ca="1" si="2"/>
        <v/>
      </c>
      <c r="D12" s="444" t="str">
        <f t="shared" ca="1" si="3"/>
        <v/>
      </c>
      <c r="E12" s="486">
        <f t="shared" ca="1" si="4"/>
        <v>0</v>
      </c>
      <c r="F12" s="489">
        <v>18</v>
      </c>
      <c r="G12" s="488" t="str">
        <f t="shared" ca="1" si="5"/>
        <v/>
      </c>
      <c r="H12" s="898" t="str">
        <f t="shared" ca="1" si="6"/>
        <v/>
      </c>
      <c r="I12" s="898" t="str">
        <f t="shared" ca="1" si="0"/>
        <v/>
      </c>
      <c r="J12" s="898" t="str">
        <f t="shared" ca="1" si="0"/>
        <v/>
      </c>
      <c r="K12" s="450"/>
      <c r="L12" s="450"/>
      <c r="M12" s="450"/>
      <c r="N12" s="451"/>
      <c r="O12" s="450"/>
      <c r="P12" s="450"/>
      <c r="Q12" s="450"/>
      <c r="R12" s="437"/>
      <c r="S12" s="437"/>
      <c r="T12" s="451"/>
      <c r="U12" s="450"/>
      <c r="V12" s="450"/>
      <c r="W12" s="450"/>
      <c r="X12" s="979" t="s">
        <v>787</v>
      </c>
      <c r="Y12" s="1247"/>
      <c r="Z12" s="1247"/>
      <c r="AA12" s="450"/>
      <c r="AF12" s="453" t="s">
        <v>790</v>
      </c>
      <c r="AG12" s="435" t="str">
        <f>IF(ISBLANK(Z21),"",IF(Z21+AA21&lt;Z23+AA23,X22,X24))</f>
        <v/>
      </c>
      <c r="AH12" s="478" t="str">
        <f t="shared" ca="1" si="7"/>
        <v/>
      </c>
      <c r="AI12" s="474" t="str">
        <f t="shared" ca="1" si="8"/>
        <v/>
      </c>
      <c r="AJ12" s="915" t="str">
        <f t="shared" ca="1" si="9"/>
        <v/>
      </c>
      <c r="AN12" s="494">
        <f>K28</f>
        <v>7</v>
      </c>
      <c r="AO12" s="495" t="str">
        <f ca="1">L29</f>
        <v/>
      </c>
      <c r="AP12" s="495" t="str">
        <f t="shared" ref="AP12" ca="1" si="22">AO13</f>
        <v/>
      </c>
      <c r="AQ12" s="496" t="s">
        <v>793</v>
      </c>
      <c r="AR12" s="494">
        <f>Q28</f>
        <v>7</v>
      </c>
      <c r="AS12" s="495" t="str">
        <f>R29</f>
        <v/>
      </c>
      <c r="AT12" s="495" t="str">
        <f t="shared" ref="AT12" si="23">AS13</f>
        <v/>
      </c>
      <c r="AU12" s="496" t="s">
        <v>793</v>
      </c>
      <c r="AV12" s="494">
        <f>W28</f>
        <v>7</v>
      </c>
      <c r="AW12" s="495" t="str">
        <f>X29</f>
        <v/>
      </c>
      <c r="AX12" s="495" t="str">
        <f t="shared" ref="AX12" si="24">AW13</f>
        <v/>
      </c>
      <c r="AY12" s="496" t="s">
        <v>793</v>
      </c>
    </row>
    <row r="13" spans="1:51" ht="15.95" customHeight="1" thickBot="1" x14ac:dyDescent="0.25">
      <c r="A13" s="435">
        <v>9</v>
      </c>
      <c r="B13" s="444" t="str">
        <f t="shared" ca="1" si="1"/>
        <v/>
      </c>
      <c r="C13" s="444" t="str">
        <f t="shared" ca="1" si="2"/>
        <v/>
      </c>
      <c r="D13" s="444" t="str">
        <f t="shared" ca="1" si="3"/>
        <v/>
      </c>
      <c r="E13" s="486">
        <f t="shared" ca="1" si="4"/>
        <v>0</v>
      </c>
      <c r="F13" s="489">
        <v>19</v>
      </c>
      <c r="G13" s="488" t="str">
        <f t="shared" ca="1" si="5"/>
        <v/>
      </c>
      <c r="H13" s="898" t="str">
        <f t="shared" ca="1" si="6"/>
        <v/>
      </c>
      <c r="I13" s="898" t="str">
        <f t="shared" ca="1" si="0"/>
        <v/>
      </c>
      <c r="J13" s="898" t="str">
        <f t="shared" ca="1" si="0"/>
        <v/>
      </c>
      <c r="K13" s="445" t="s">
        <v>779</v>
      </c>
      <c r="L13" s="779" t="s">
        <v>1083</v>
      </c>
      <c r="M13" s="456" t="s">
        <v>481</v>
      </c>
      <c r="N13" s="464" t="s">
        <v>780</v>
      </c>
      <c r="O13" s="446" t="s">
        <v>781</v>
      </c>
      <c r="P13" s="445"/>
      <c r="Q13" s="445" t="s">
        <v>779</v>
      </c>
      <c r="R13" s="779" t="s">
        <v>1083</v>
      </c>
      <c r="S13" s="456" t="s">
        <v>481</v>
      </c>
      <c r="T13" s="464" t="s">
        <v>780</v>
      </c>
      <c r="U13" s="446" t="s">
        <v>781</v>
      </c>
      <c r="V13" s="445"/>
      <c r="W13" s="445" t="s">
        <v>779</v>
      </c>
      <c r="X13" s="779" t="s">
        <v>1083</v>
      </c>
      <c r="Y13" s="456" t="s">
        <v>481</v>
      </c>
      <c r="Z13" s="464" t="s">
        <v>780</v>
      </c>
      <c r="AA13" s="446" t="s">
        <v>781</v>
      </c>
      <c r="AF13" s="453" t="s">
        <v>791</v>
      </c>
      <c r="AG13" s="435" t="str">
        <f>IF(ISBLANK(Z28),"",IF(Z28+AA28&gt;Z30+AA30,X29,X31))</f>
        <v/>
      </c>
      <c r="AH13" s="478" t="str">
        <f t="shared" ca="1" si="7"/>
        <v/>
      </c>
      <c r="AI13" s="474" t="str">
        <f t="shared" ca="1" si="8"/>
        <v/>
      </c>
      <c r="AJ13" s="915" t="str">
        <f t="shared" ca="1" si="9"/>
        <v/>
      </c>
      <c r="AN13" s="494">
        <f>K30</f>
        <v>8</v>
      </c>
      <c r="AO13" s="495" t="str">
        <f ca="1">L31</f>
        <v/>
      </c>
      <c r="AP13" s="495" t="str">
        <f t="shared" ref="AP13" ca="1" si="25">AO12</f>
        <v/>
      </c>
      <c r="AQ13" s="496" t="s">
        <v>793</v>
      </c>
      <c r="AR13" s="494">
        <f>Q30</f>
        <v>8</v>
      </c>
      <c r="AS13" s="495" t="str">
        <f>R31</f>
        <v/>
      </c>
      <c r="AT13" s="495" t="str">
        <f t="shared" ref="AT13" si="26">AS12</f>
        <v/>
      </c>
      <c r="AU13" s="496" t="s">
        <v>793</v>
      </c>
      <c r="AV13" s="494">
        <f>W30</f>
        <v>8</v>
      </c>
      <c r="AW13" s="495" t="str">
        <f>X31</f>
        <v/>
      </c>
      <c r="AX13" s="495" t="str">
        <f t="shared" ref="AX13" si="27">AW12</f>
        <v/>
      </c>
      <c r="AY13" s="496" t="s">
        <v>793</v>
      </c>
    </row>
    <row r="14" spans="1:51" ht="15.95" customHeight="1" thickBot="1" x14ac:dyDescent="0.25">
      <c r="A14" s="435">
        <v>10</v>
      </c>
      <c r="B14" s="444" t="str">
        <f t="shared" ca="1" si="1"/>
        <v/>
      </c>
      <c r="C14" s="444" t="str">
        <f t="shared" ca="1" si="2"/>
        <v/>
      </c>
      <c r="D14" s="444" t="str">
        <f t="shared" ca="1" si="3"/>
        <v/>
      </c>
      <c r="E14" s="486">
        <f t="shared" ca="1" si="4"/>
        <v>0</v>
      </c>
      <c r="F14" s="489">
        <v>20</v>
      </c>
      <c r="G14" s="488" t="str">
        <f t="shared" ca="1" si="5"/>
        <v/>
      </c>
      <c r="H14" s="898" t="str">
        <f t="shared" ca="1" si="6"/>
        <v/>
      </c>
      <c r="I14" s="898" t="str">
        <f t="shared" ca="1" si="0"/>
        <v/>
      </c>
      <c r="J14" s="898" t="str">
        <f t="shared" ca="1" si="0"/>
        <v/>
      </c>
      <c r="K14" s="447">
        <f>K9+1</f>
        <v>3</v>
      </c>
      <c r="L14" s="472">
        <v>4</v>
      </c>
      <c r="M14" s="465" t="str">
        <f ca="1">IFERROR(VLOOKUP(L15,$G$5:$J$28,2,FALSE),"")</f>
        <v/>
      </c>
      <c r="N14" s="966"/>
      <c r="O14" s="780"/>
      <c r="Q14" s="447">
        <f>Q9+1</f>
        <v>3</v>
      </c>
      <c r="R14" s="472">
        <v>3</v>
      </c>
      <c r="S14" s="465" t="str">
        <f ca="1">IFERROR(VLOOKUP(R15,$G$5:$J$28,2,FALSE),"")</f>
        <v/>
      </c>
      <c r="T14" s="966"/>
      <c r="U14" s="780"/>
      <c r="W14" s="447">
        <f>W9+1</f>
        <v>3</v>
      </c>
      <c r="X14" s="472">
        <v>4</v>
      </c>
      <c r="Y14" s="465" t="str">
        <f ca="1">IFERROR(VLOOKUP(X15,$G$5:$J$28,2,FALSE),"")</f>
        <v/>
      </c>
      <c r="Z14" s="966"/>
      <c r="AA14" s="780"/>
      <c r="AF14" s="453" t="s">
        <v>792</v>
      </c>
      <c r="AG14" s="435" t="str">
        <f>IF(ISBLANK(Z28),"",IF(Z28+AA28&lt;Z30+AA30,X29,X31))</f>
        <v/>
      </c>
      <c r="AH14" s="478" t="str">
        <f t="shared" ca="1" si="7"/>
        <v/>
      </c>
      <c r="AI14" s="474" t="str">
        <f t="shared" ca="1" si="8"/>
        <v/>
      </c>
      <c r="AJ14" s="915" t="str">
        <f t="shared" ca="1" si="9"/>
        <v/>
      </c>
      <c r="AN14" s="494">
        <f>K35</f>
        <v>9</v>
      </c>
      <c r="AO14" s="495" t="str">
        <f ca="1">L36</f>
        <v/>
      </c>
      <c r="AP14" s="495" t="str">
        <f t="shared" ref="AP14" ca="1" si="28">AO15</f>
        <v/>
      </c>
      <c r="AQ14" s="496" t="s">
        <v>793</v>
      </c>
      <c r="AR14" s="494">
        <f>Q35</f>
        <v>9</v>
      </c>
      <c r="AS14" s="495" t="str">
        <f>R36</f>
        <v/>
      </c>
      <c r="AT14" s="495" t="str">
        <f t="shared" ref="AT14" si="29">AS15</f>
        <v/>
      </c>
      <c r="AU14" s="496" t="s">
        <v>793</v>
      </c>
      <c r="AV14" s="494">
        <f>W35</f>
        <v>9</v>
      </c>
      <c r="AW14" s="495" t="str">
        <f>X36</f>
        <v/>
      </c>
      <c r="AX14" s="495" t="str">
        <f t="shared" ref="AX14" si="30">AW15</f>
        <v/>
      </c>
      <c r="AY14" s="496" t="s">
        <v>793</v>
      </c>
    </row>
    <row r="15" spans="1:51" ht="15.95" customHeight="1" thickBot="1" x14ac:dyDescent="0.25">
      <c r="A15" s="435">
        <v>11</v>
      </c>
      <c r="B15" s="444" t="str">
        <f t="shared" ca="1" si="1"/>
        <v/>
      </c>
      <c r="C15" s="444" t="str">
        <f t="shared" ca="1" si="2"/>
        <v/>
      </c>
      <c r="D15" s="444" t="str">
        <f t="shared" ca="1" si="3"/>
        <v/>
      </c>
      <c r="E15" s="486">
        <f t="shared" ca="1" si="4"/>
        <v>0</v>
      </c>
      <c r="F15" s="489">
        <v>21</v>
      </c>
      <c r="G15" s="488" t="str">
        <f t="shared" ca="1" si="5"/>
        <v/>
      </c>
      <c r="H15" s="898" t="str">
        <f t="shared" ca="1" si="6"/>
        <v/>
      </c>
      <c r="I15" s="898" t="str">
        <f t="shared" ca="1" si="0"/>
        <v/>
      </c>
      <c r="J15" s="898" t="str">
        <f t="shared" ca="1" si="0"/>
        <v/>
      </c>
      <c r="K15" s="447"/>
      <c r="L15" s="473" t="str">
        <f ca="1">VLOOKUP(L14,$A$5:$G$24,7,FALSE)</f>
        <v/>
      </c>
      <c r="M15" s="466" t="str">
        <f ca="1">IFERROR(VLOOKUP(L15,$G$5:$J$28,3,FALSE),"")</f>
        <v/>
      </c>
      <c r="N15" s="967"/>
      <c r="Q15" s="447"/>
      <c r="R15" s="473" t="str">
        <f>IF(ISBLANK(N21),"",IF(N21+O21&gt;N23+O23,L22,L24))</f>
        <v/>
      </c>
      <c r="S15" s="466" t="str">
        <f ca="1">IFERROR(VLOOKUP(R15,$G$5:$J$28,3,FALSE),"")</f>
        <v/>
      </c>
      <c r="T15" s="967"/>
      <c r="W15" s="447"/>
      <c r="X15" s="473" t="str">
        <f>IF(ISBLANK(T7),"",IF(U7+T7&lt;T9+U9,R8,R10))</f>
        <v/>
      </c>
      <c r="Y15" s="466" t="str">
        <f ca="1">IFERROR(VLOOKUP(X15,$G$5:$J$28,3,FALSE),"")</f>
        <v/>
      </c>
      <c r="Z15" s="967"/>
      <c r="AF15" s="453" t="s">
        <v>794</v>
      </c>
      <c r="AG15" s="435" t="str">
        <f>IF(ISBLANK(Z35),"",IF(Z35+AA35&gt;Z37+AA37,X36,X38))</f>
        <v/>
      </c>
      <c r="AH15" s="478" t="str">
        <f t="shared" ca="1" si="7"/>
        <v/>
      </c>
      <c r="AI15" s="474" t="str">
        <f t="shared" ca="1" si="8"/>
        <v/>
      </c>
      <c r="AJ15" s="915" t="str">
        <f t="shared" ca="1" si="9"/>
        <v/>
      </c>
      <c r="AN15" s="494">
        <f>K37</f>
        <v>10</v>
      </c>
      <c r="AO15" s="495" t="str">
        <f ca="1">L38</f>
        <v/>
      </c>
      <c r="AP15" s="495" t="str">
        <f t="shared" ref="AP15" ca="1" si="31">AO14</f>
        <v/>
      </c>
      <c r="AQ15" s="496" t="s">
        <v>793</v>
      </c>
      <c r="AR15" s="494">
        <f>Q37</f>
        <v>10</v>
      </c>
      <c r="AS15" s="495" t="str">
        <f>R38</f>
        <v/>
      </c>
      <c r="AT15" s="495" t="str">
        <f t="shared" ref="AT15" si="32">AS14</f>
        <v/>
      </c>
      <c r="AU15" s="496" t="s">
        <v>793</v>
      </c>
      <c r="AV15" s="494">
        <f>W37</f>
        <v>10</v>
      </c>
      <c r="AW15" s="495" t="str">
        <f>X38</f>
        <v/>
      </c>
      <c r="AX15" s="495" t="str">
        <f t="shared" ref="AX15" si="33">AW14</f>
        <v/>
      </c>
      <c r="AY15" s="496" t="s">
        <v>793</v>
      </c>
    </row>
    <row r="16" spans="1:51" ht="15.95" customHeight="1" thickBot="1" x14ac:dyDescent="0.25">
      <c r="A16" s="435">
        <v>12</v>
      </c>
      <c r="B16" s="444" t="str">
        <f t="shared" ca="1" si="1"/>
        <v/>
      </c>
      <c r="C16" s="444" t="str">
        <f t="shared" ca="1" si="2"/>
        <v/>
      </c>
      <c r="D16" s="444" t="str">
        <f t="shared" ca="1" si="3"/>
        <v/>
      </c>
      <c r="E16" s="486">
        <f t="shared" ca="1" si="4"/>
        <v>0</v>
      </c>
      <c r="F16" s="489">
        <v>22</v>
      </c>
      <c r="G16" s="488" t="str">
        <f t="shared" ca="1" si="5"/>
        <v/>
      </c>
      <c r="H16" s="898" t="str">
        <f t="shared" ca="1" si="6"/>
        <v/>
      </c>
      <c r="I16" s="898" t="str">
        <f t="shared" ca="1" si="0"/>
        <v/>
      </c>
      <c r="J16" s="898" t="str">
        <f t="shared" ca="1" si="0"/>
        <v/>
      </c>
      <c r="K16" s="447">
        <f>K14+1</f>
        <v>4</v>
      </c>
      <c r="L16" s="472">
        <v>5</v>
      </c>
      <c r="M16" s="465" t="str">
        <f ca="1">IFERROR(VLOOKUP(L17,$G$5:$J$28,2,FALSE),"")</f>
        <v/>
      </c>
      <c r="N16" s="966"/>
      <c r="O16" s="780"/>
      <c r="Q16" s="447">
        <f>Q14+1</f>
        <v>4</v>
      </c>
      <c r="R16" s="472">
        <v>2</v>
      </c>
      <c r="S16" s="465" t="str">
        <f ca="1">IFERROR(VLOOKUP(R17,$G$5:$J$28,2,FALSE),"")</f>
        <v/>
      </c>
      <c r="T16" s="966"/>
      <c r="U16" s="780"/>
      <c r="W16" s="447">
        <f>W14+1</f>
        <v>4</v>
      </c>
      <c r="X16" s="472">
        <v>3</v>
      </c>
      <c r="Y16" s="465" t="str">
        <f ca="1">IFERROR(VLOOKUP(X17,$G$5:$J$28,2,FALSE),"")</f>
        <v/>
      </c>
      <c r="Z16" s="966"/>
      <c r="AA16" s="780"/>
      <c r="AF16" s="453" t="s">
        <v>795</v>
      </c>
      <c r="AG16" s="435" t="str">
        <f>IF(ISBLANK(Z35),"",IF(Z35+AA35&lt;Z37+AA37,X36,X38))</f>
        <v/>
      </c>
      <c r="AH16" s="478" t="str">
        <f t="shared" ca="1" si="7"/>
        <v/>
      </c>
      <c r="AI16" s="474" t="str">
        <f t="shared" ca="1" si="8"/>
        <v/>
      </c>
      <c r="AJ16" s="915" t="str">
        <f t="shared" ca="1" si="9"/>
        <v/>
      </c>
      <c r="AN16" s="494">
        <f>K42</f>
        <v>11</v>
      </c>
      <c r="AO16" s="495" t="str">
        <f ca="1">L43</f>
        <v/>
      </c>
      <c r="AP16" s="495" t="str">
        <f t="shared" ref="AP16" ca="1" si="34">AO17</f>
        <v/>
      </c>
      <c r="AQ16" s="496" t="s">
        <v>793</v>
      </c>
      <c r="AR16" s="494">
        <f>Q42</f>
        <v>11</v>
      </c>
      <c r="AS16" s="495" t="str">
        <f>R43</f>
        <v/>
      </c>
      <c r="AT16" s="495" t="str">
        <f t="shared" ref="AT16" si="35">AS17</f>
        <v/>
      </c>
      <c r="AU16" s="496" t="s">
        <v>793</v>
      </c>
      <c r="AV16" s="494">
        <f>W42</f>
        <v>11</v>
      </c>
      <c r="AW16" s="495" t="str">
        <f>X43</f>
        <v/>
      </c>
      <c r="AX16" s="495" t="str">
        <f t="shared" ref="AX16" si="36">AW17</f>
        <v/>
      </c>
      <c r="AY16" s="496" t="s">
        <v>793</v>
      </c>
    </row>
    <row r="17" spans="1:51" ht="15.95" customHeight="1" thickBot="1" x14ac:dyDescent="0.25">
      <c r="A17" s="435">
        <v>13</v>
      </c>
      <c r="B17" s="444" t="str">
        <f t="shared" ca="1" si="1"/>
        <v/>
      </c>
      <c r="C17" s="444" t="str">
        <f t="shared" ca="1" si="2"/>
        <v/>
      </c>
      <c r="D17" s="444" t="str">
        <f t="shared" ca="1" si="3"/>
        <v/>
      </c>
      <c r="E17" s="486">
        <f t="shared" ca="1" si="4"/>
        <v>0</v>
      </c>
      <c r="F17" s="489">
        <v>23</v>
      </c>
      <c r="G17" s="488" t="str">
        <f t="shared" ca="1" si="5"/>
        <v/>
      </c>
      <c r="H17" s="898" t="str">
        <f t="shared" ca="1" si="6"/>
        <v/>
      </c>
      <c r="I17" s="898" t="str">
        <f t="shared" ca="1" si="0"/>
        <v/>
      </c>
      <c r="J17" s="898" t="str">
        <f t="shared" ca="1" si="0"/>
        <v/>
      </c>
      <c r="K17" s="447"/>
      <c r="L17" s="473" t="str">
        <f ca="1">VLOOKUP(L16,$A$5:$G$24,7,FALSE)</f>
        <v/>
      </c>
      <c r="M17" s="466" t="str">
        <f ca="1">IFERROR(VLOOKUP(L17,$G$5:$J$28,3,FALSE),"")</f>
        <v/>
      </c>
      <c r="N17" s="967"/>
      <c r="Q17" s="447"/>
      <c r="R17" s="473" t="str">
        <f>IF(ISBLANK(N28),"",IF(N28+O28&gt;N30+O30,L29,L31))</f>
        <v/>
      </c>
      <c r="S17" s="466" t="str">
        <f ca="1">IFERROR(VLOOKUP(R17,$G$5:$J$28,3,FALSE),"")</f>
        <v/>
      </c>
      <c r="T17" s="967"/>
      <c r="W17" s="447"/>
      <c r="X17" s="473" t="str">
        <f>IF(ISBLANK(T14),"",IF(U14+T14&lt;T16+U16,R15,R17))</f>
        <v/>
      </c>
      <c r="Y17" s="466" t="str">
        <f ca="1">IFERROR(VLOOKUP(X17,$G$5:$J$28,3,FALSE),"")</f>
        <v/>
      </c>
      <c r="Z17" s="967"/>
      <c r="AF17" s="453" t="s">
        <v>796</v>
      </c>
      <c r="AG17" s="435" t="str">
        <f>IF(ISBLANK(Z42),"",IF(Z42+AA42&gt;Z44+AA44,X43,X45))</f>
        <v/>
      </c>
      <c r="AH17" s="478" t="str">
        <f t="shared" ca="1" si="7"/>
        <v/>
      </c>
      <c r="AI17" s="474" t="str">
        <f t="shared" ca="1" si="8"/>
        <v/>
      </c>
      <c r="AJ17" s="915" t="str">
        <f t="shared" ca="1" si="9"/>
        <v/>
      </c>
      <c r="AN17" s="494">
        <f>K44</f>
        <v>12</v>
      </c>
      <c r="AO17" s="495" t="str">
        <f ca="1">L45</f>
        <v/>
      </c>
      <c r="AP17" s="495" t="str">
        <f t="shared" ref="AP17" ca="1" si="37">AO16</f>
        <v/>
      </c>
      <c r="AQ17" s="496" t="s">
        <v>793</v>
      </c>
      <c r="AR17" s="494">
        <f>Q44</f>
        <v>12</v>
      </c>
      <c r="AS17" s="495" t="str">
        <f>R45</f>
        <v/>
      </c>
      <c r="AT17" s="495" t="str">
        <f t="shared" ref="AT17" si="38">AS16</f>
        <v/>
      </c>
      <c r="AU17" s="496" t="s">
        <v>793</v>
      </c>
      <c r="AV17" s="494">
        <f>W44</f>
        <v>12</v>
      </c>
      <c r="AW17" s="495" t="str">
        <f>X45</f>
        <v/>
      </c>
      <c r="AX17" s="495" t="str">
        <f t="shared" ref="AX17" si="39">AW16</f>
        <v/>
      </c>
      <c r="AY17" s="496" t="s">
        <v>793</v>
      </c>
    </row>
    <row r="18" spans="1:51" ht="15.95" customHeight="1" x14ac:dyDescent="0.2">
      <c r="A18" s="435">
        <v>14</v>
      </c>
      <c r="B18" s="444" t="str">
        <f t="shared" ca="1" si="1"/>
        <v/>
      </c>
      <c r="C18" s="444" t="str">
        <f t="shared" ca="1" si="2"/>
        <v/>
      </c>
      <c r="D18" s="444" t="str">
        <f t="shared" ca="1" si="3"/>
        <v/>
      </c>
      <c r="E18" s="486">
        <f t="shared" ca="1" si="4"/>
        <v>0</v>
      </c>
      <c r="F18" s="489">
        <v>24</v>
      </c>
      <c r="G18" s="488" t="str">
        <f t="shared" ca="1" si="5"/>
        <v/>
      </c>
      <c r="H18" s="898" t="str">
        <f t="shared" ca="1" si="6"/>
        <v/>
      </c>
      <c r="I18" s="898" t="str">
        <f t="shared" ca="1" si="0"/>
        <v/>
      </c>
      <c r="J18" s="898" t="str">
        <f t="shared" ca="1" si="0"/>
        <v/>
      </c>
      <c r="K18" s="450"/>
      <c r="L18" s="450"/>
      <c r="M18" s="450"/>
      <c r="N18" s="451"/>
      <c r="O18" s="450"/>
      <c r="P18" s="450"/>
      <c r="Q18" s="450"/>
      <c r="R18" s="450"/>
      <c r="S18" s="450"/>
      <c r="T18" s="451"/>
      <c r="U18" s="450"/>
      <c r="V18" s="450"/>
      <c r="W18" s="450"/>
      <c r="X18" s="450"/>
      <c r="Y18" s="450"/>
      <c r="Z18" s="451"/>
      <c r="AA18" s="450"/>
      <c r="AF18" s="453" t="s">
        <v>797</v>
      </c>
      <c r="AG18" s="435" t="str">
        <f>IF(ISBLANK(Z42),"",IF(Z42+AA42&lt;Z44+AA44,X43,X45))</f>
        <v/>
      </c>
      <c r="AH18" s="478" t="str">
        <f t="shared" ca="1" si="7"/>
        <v/>
      </c>
      <c r="AI18" s="474" t="str">
        <f t="shared" ca="1" si="8"/>
        <v/>
      </c>
      <c r="AJ18" s="915" t="str">
        <f t="shared" ca="1" si="9"/>
        <v/>
      </c>
      <c r="AN18" s="494">
        <f>K49</f>
        <v>13</v>
      </c>
      <c r="AO18" s="495" t="str">
        <f ca="1">L50</f>
        <v/>
      </c>
      <c r="AP18" s="495" t="str">
        <f t="shared" ref="AP18" ca="1" si="40">AO19</f>
        <v/>
      </c>
      <c r="AQ18" s="496" t="s">
        <v>793</v>
      </c>
      <c r="AR18" s="494">
        <f>Q49</f>
        <v>13</v>
      </c>
      <c r="AS18" s="495" t="str">
        <f>R50</f>
        <v/>
      </c>
      <c r="AT18" s="495" t="str">
        <f t="shared" ref="AT18" si="41">AS19</f>
        <v/>
      </c>
      <c r="AU18" s="496" t="s">
        <v>793</v>
      </c>
      <c r="AV18" s="494">
        <f>W49</f>
        <v>13</v>
      </c>
      <c r="AW18" s="495" t="str">
        <f>X50</f>
        <v/>
      </c>
      <c r="AX18" s="495" t="str">
        <f t="shared" ref="AX18" si="42">AW19</f>
        <v/>
      </c>
      <c r="AY18" s="496" t="s">
        <v>793</v>
      </c>
    </row>
    <row r="19" spans="1:51" ht="15.95" customHeight="1" thickBot="1" x14ac:dyDescent="0.25">
      <c r="A19" s="435">
        <v>15</v>
      </c>
      <c r="B19" s="444" t="str">
        <f t="shared" ca="1" si="1"/>
        <v/>
      </c>
      <c r="C19" s="444" t="str">
        <f t="shared" ca="1" si="2"/>
        <v/>
      </c>
      <c r="D19" s="444" t="str">
        <f t="shared" ca="1" si="3"/>
        <v/>
      </c>
      <c r="E19" s="486">
        <f t="shared" ca="1" si="4"/>
        <v>0</v>
      </c>
      <c r="F19" s="489">
        <v>25</v>
      </c>
      <c r="G19" s="488" t="str">
        <f t="shared" ca="1" si="5"/>
        <v/>
      </c>
      <c r="H19" s="898" t="str">
        <f t="shared" ca="1" si="6"/>
        <v/>
      </c>
      <c r="I19" s="898" t="str">
        <f t="shared" ca="1" si="0"/>
        <v/>
      </c>
      <c r="J19" s="898" t="str">
        <f t="shared" ca="1" si="0"/>
        <v/>
      </c>
      <c r="K19" s="450"/>
      <c r="L19" s="454"/>
      <c r="M19" s="454"/>
      <c r="N19" s="455"/>
      <c r="O19" s="450"/>
      <c r="P19" s="450"/>
      <c r="Q19" s="450"/>
      <c r="R19" s="979" t="s">
        <v>819</v>
      </c>
      <c r="S19" s="1247"/>
      <c r="T19" s="1247"/>
      <c r="U19" s="450"/>
      <c r="V19" s="450"/>
      <c r="W19" s="450"/>
      <c r="X19" s="979" t="s">
        <v>820</v>
      </c>
      <c r="Y19" s="1247"/>
      <c r="Z19" s="1247"/>
      <c r="AA19" s="450"/>
      <c r="AF19" s="453" t="s">
        <v>798</v>
      </c>
      <c r="AG19" s="435" t="str">
        <f>IF(ISBLANK(Z49),"",IF(Z49+AA49&gt;Z51+AA51,X50,X52))</f>
        <v/>
      </c>
      <c r="AH19" s="478" t="str">
        <f t="shared" ca="1" si="7"/>
        <v/>
      </c>
      <c r="AI19" s="474" t="str">
        <f t="shared" ca="1" si="8"/>
        <v/>
      </c>
      <c r="AJ19" s="915" t="str">
        <f t="shared" ca="1" si="9"/>
        <v/>
      </c>
      <c r="AN19" s="494">
        <f>K51</f>
        <v>14</v>
      </c>
      <c r="AO19" s="495" t="str">
        <f ca="1">L52</f>
        <v/>
      </c>
      <c r="AP19" s="495" t="str">
        <f t="shared" ref="AP19" ca="1" si="43">AO18</f>
        <v/>
      </c>
      <c r="AQ19" s="496" t="s">
        <v>793</v>
      </c>
      <c r="AR19" s="494">
        <f>Q51</f>
        <v>14</v>
      </c>
      <c r="AS19" s="495" t="str">
        <f>R52</f>
        <v/>
      </c>
      <c r="AT19" s="495" t="str">
        <f t="shared" ref="AT19" si="44">AS18</f>
        <v/>
      </c>
      <c r="AU19" s="496" t="s">
        <v>793</v>
      </c>
      <c r="AV19" s="494">
        <f>W51</f>
        <v>14</v>
      </c>
      <c r="AW19" s="495" t="str">
        <f>X52</f>
        <v/>
      </c>
      <c r="AX19" s="495" t="str">
        <f t="shared" ref="AX19" si="45">AW18</f>
        <v/>
      </c>
      <c r="AY19" s="496" t="s">
        <v>793</v>
      </c>
    </row>
    <row r="20" spans="1:51" ht="15.95" customHeight="1" thickBot="1" x14ac:dyDescent="0.25">
      <c r="A20" s="435">
        <v>16</v>
      </c>
      <c r="B20" s="444" t="str">
        <f t="shared" ca="1" si="1"/>
        <v/>
      </c>
      <c r="C20" s="444" t="str">
        <f t="shared" ca="1" si="2"/>
        <v/>
      </c>
      <c r="D20" s="444" t="str">
        <f t="shared" ca="1" si="3"/>
        <v/>
      </c>
      <c r="E20" s="486">
        <f t="shared" ca="1" si="4"/>
        <v>0</v>
      </c>
      <c r="F20" s="489">
        <v>26</v>
      </c>
      <c r="G20" s="488" t="str">
        <f t="shared" ca="1" si="5"/>
        <v/>
      </c>
      <c r="H20" s="898" t="str">
        <f t="shared" ca="1" si="6"/>
        <v/>
      </c>
      <c r="I20" s="898" t="str">
        <f t="shared" ca="1" si="0"/>
        <v/>
      </c>
      <c r="J20" s="898" t="str">
        <f t="shared" ca="1" si="0"/>
        <v/>
      </c>
      <c r="K20" s="445" t="s">
        <v>779</v>
      </c>
      <c r="L20" s="779" t="s">
        <v>1083</v>
      </c>
      <c r="M20" s="456" t="s">
        <v>481</v>
      </c>
      <c r="N20" s="464" t="s">
        <v>780</v>
      </c>
      <c r="O20" s="446" t="s">
        <v>781</v>
      </c>
      <c r="P20" s="445"/>
      <c r="Q20" s="445" t="s">
        <v>779</v>
      </c>
      <c r="R20" s="779" t="s">
        <v>1083</v>
      </c>
      <c r="S20" s="456" t="s">
        <v>481</v>
      </c>
      <c r="T20" s="464" t="s">
        <v>780</v>
      </c>
      <c r="U20" s="446" t="s">
        <v>781</v>
      </c>
      <c r="V20" s="445"/>
      <c r="W20" s="445" t="s">
        <v>779</v>
      </c>
      <c r="X20" s="779" t="s">
        <v>1083</v>
      </c>
      <c r="Y20" s="456" t="s">
        <v>481</v>
      </c>
      <c r="Z20" s="464" t="s">
        <v>780</v>
      </c>
      <c r="AA20" s="446" t="s">
        <v>781</v>
      </c>
      <c r="AF20" s="453" t="s">
        <v>799</v>
      </c>
      <c r="AG20" s="435" t="str">
        <f>IF(ISBLANK(Z49),"",IF(Z49+AA49&lt;Z51+AA51,X50,X52))</f>
        <v/>
      </c>
      <c r="AH20" s="478" t="str">
        <f t="shared" ca="1" si="7"/>
        <v/>
      </c>
      <c r="AI20" s="474" t="str">
        <f t="shared" ca="1" si="8"/>
        <v/>
      </c>
      <c r="AJ20" s="915" t="str">
        <f t="shared" ca="1" si="9"/>
        <v/>
      </c>
      <c r="AN20" s="494">
        <f>K56</f>
        <v>15</v>
      </c>
      <c r="AO20" s="495" t="str">
        <f ca="1">L57</f>
        <v/>
      </c>
      <c r="AP20" s="495" t="str">
        <f t="shared" ref="AP20" ca="1" si="46">AO21</f>
        <v/>
      </c>
      <c r="AQ20" s="496" t="s">
        <v>793</v>
      </c>
      <c r="AR20" s="494">
        <f>Q56</f>
        <v>15</v>
      </c>
      <c r="AS20" s="495" t="str">
        <f>R57</f>
        <v/>
      </c>
      <c r="AT20" s="495" t="str">
        <f t="shared" ref="AT20" si="47">AS21</f>
        <v/>
      </c>
      <c r="AU20" s="496" t="s">
        <v>793</v>
      </c>
      <c r="AV20" s="494">
        <f>W56</f>
        <v>15</v>
      </c>
      <c r="AW20" s="495" t="str">
        <f>X57</f>
        <v/>
      </c>
      <c r="AX20" s="495" t="str">
        <f t="shared" ref="AX20" si="48">AW21</f>
        <v/>
      </c>
      <c r="AY20" s="496" t="s">
        <v>793</v>
      </c>
    </row>
    <row r="21" spans="1:51" ht="15.95" customHeight="1" thickBot="1" x14ac:dyDescent="0.25">
      <c r="A21" s="435">
        <v>17</v>
      </c>
      <c r="B21" s="444" t="str">
        <f t="shared" ca="1" si="1"/>
        <v/>
      </c>
      <c r="C21" s="444" t="str">
        <f t="shared" ca="1" si="2"/>
        <v/>
      </c>
      <c r="D21" s="444" t="str">
        <f t="shared" ca="1" si="3"/>
        <v/>
      </c>
      <c r="E21" s="486">
        <f t="shared" ca="1" si="4"/>
        <v>0</v>
      </c>
      <c r="F21" s="489">
        <v>27</v>
      </c>
      <c r="G21" s="488" t="str">
        <f t="shared" ca="1" si="5"/>
        <v/>
      </c>
      <c r="H21" s="898" t="str">
        <f t="shared" ca="1" si="6"/>
        <v/>
      </c>
      <c r="I21" s="898" t="str">
        <f t="shared" ca="1" si="6"/>
        <v/>
      </c>
      <c r="J21" s="898" t="str">
        <f t="shared" ca="1" si="6"/>
        <v/>
      </c>
      <c r="K21" s="447">
        <f>K16+1</f>
        <v>5</v>
      </c>
      <c r="L21" s="472">
        <v>3</v>
      </c>
      <c r="M21" s="465" t="str">
        <f ca="1">IFERROR(VLOOKUP(L22,$G$5:$J$28,2,FALSE),"")</f>
        <v/>
      </c>
      <c r="N21" s="966"/>
      <c r="O21" s="780"/>
      <c r="Q21" s="447">
        <f>Q16+1</f>
        <v>5</v>
      </c>
      <c r="R21" s="472">
        <v>8</v>
      </c>
      <c r="S21" s="465" t="str">
        <f ca="1">IFERROR(VLOOKUP(R22,$G$5:$J$28,2,FALSE),"")</f>
        <v/>
      </c>
      <c r="T21" s="966"/>
      <c r="U21" s="780"/>
      <c r="W21" s="447">
        <f>W16+1</f>
        <v>5</v>
      </c>
      <c r="X21" s="472">
        <v>5</v>
      </c>
      <c r="Y21" s="465" t="str">
        <f ca="1">IFERROR(VLOOKUP(X22,$G$5:$J$28,2,FALSE),"")</f>
        <v/>
      </c>
      <c r="Z21" s="966"/>
      <c r="AA21" s="780"/>
      <c r="AF21" s="453" t="s">
        <v>800</v>
      </c>
      <c r="AG21" s="435" t="str">
        <f>IF(ISBLANK(Z56),"",IF(Z56+AA56&gt;Z58+AA58,X57,X59))</f>
        <v/>
      </c>
      <c r="AH21" s="478" t="str">
        <f t="shared" ca="1" si="7"/>
        <v/>
      </c>
      <c r="AI21" s="474" t="str">
        <f t="shared" ca="1" si="8"/>
        <v/>
      </c>
      <c r="AJ21" s="915" t="str">
        <f t="shared" ca="1" si="9"/>
        <v/>
      </c>
      <c r="AN21" s="494">
        <f>K58</f>
        <v>16</v>
      </c>
      <c r="AO21" s="495" t="str">
        <f ca="1">L59</f>
        <v/>
      </c>
      <c r="AP21" s="495" t="str">
        <f t="shared" ref="AP21" ca="1" si="49">AO20</f>
        <v/>
      </c>
      <c r="AQ21" s="496" t="s">
        <v>793</v>
      </c>
      <c r="AR21" s="494">
        <f>Q58</f>
        <v>16</v>
      </c>
      <c r="AS21" s="495" t="str">
        <f>R59</f>
        <v/>
      </c>
      <c r="AT21" s="495" t="str">
        <f t="shared" ref="AT21" si="50">AS20</f>
        <v/>
      </c>
      <c r="AU21" s="496" t="s">
        <v>793</v>
      </c>
      <c r="AV21" s="494">
        <f>W58</f>
        <v>16</v>
      </c>
      <c r="AW21" s="495" t="str">
        <f>X59</f>
        <v/>
      </c>
      <c r="AX21" s="495" t="str">
        <f t="shared" ref="AX21" si="51">AW20</f>
        <v/>
      </c>
      <c r="AY21" s="496" t="s">
        <v>793</v>
      </c>
    </row>
    <row r="22" spans="1:51" ht="15.95" customHeight="1" thickBot="1" x14ac:dyDescent="0.25">
      <c r="A22" s="435">
        <v>18</v>
      </c>
      <c r="B22" s="444" t="str">
        <f t="shared" ca="1" si="1"/>
        <v/>
      </c>
      <c r="C22" s="444" t="str">
        <f t="shared" ca="1" si="2"/>
        <v/>
      </c>
      <c r="D22" s="444" t="str">
        <f t="shared" ca="1" si="3"/>
        <v/>
      </c>
      <c r="E22" s="486">
        <f t="shared" ca="1" si="4"/>
        <v>0</v>
      </c>
      <c r="F22" s="489">
        <v>28</v>
      </c>
      <c r="G22" s="488" t="str">
        <f t="shared" ca="1" si="5"/>
        <v/>
      </c>
      <c r="H22" s="898" t="str">
        <f t="shared" ca="1" si="6"/>
        <v/>
      </c>
      <c r="I22" s="898" t="str">
        <f t="shared" ca="1" si="6"/>
        <v/>
      </c>
      <c r="J22" s="898" t="str">
        <f t="shared" ca="1" si="6"/>
        <v/>
      </c>
      <c r="K22" s="447"/>
      <c r="L22" s="473" t="str">
        <f ca="1">VLOOKUP(L21,$A$5:$G$24,7,FALSE)</f>
        <v/>
      </c>
      <c r="M22" s="466" t="str">
        <f ca="1">IFERROR(VLOOKUP(L22,$G$5:$J$28,3,FALSE),"")</f>
        <v/>
      </c>
      <c r="N22" s="967"/>
      <c r="Q22" s="447"/>
      <c r="R22" s="473" t="str">
        <f>IF(ISBLANK(N7),"",IF(O7+N7&lt;N9+O9,L8,L10))</f>
        <v/>
      </c>
      <c r="S22" s="466" t="str">
        <f ca="1">IFERROR(VLOOKUP(R22,$G$5:$J$28,3,FALSE),"")</f>
        <v/>
      </c>
      <c r="T22" s="967"/>
      <c r="W22" s="447"/>
      <c r="X22" s="473" t="str">
        <f>IF(ISBLANK(T21),"",IF(U21+T21&gt;T23+U23,R22,R24))</f>
        <v/>
      </c>
      <c r="Y22" s="466" t="str">
        <f ca="1">IFERROR(VLOOKUP(X22,$G$5:$J$28,3,FALSE),"")</f>
        <v/>
      </c>
      <c r="Z22" s="967"/>
      <c r="AF22" s="453" t="s">
        <v>801</v>
      </c>
      <c r="AG22" s="435" t="str">
        <f>IF(ISBLANK(Z56),"",IF(Z56+AA56&lt;Z58+AA58,X57,X59))</f>
        <v/>
      </c>
      <c r="AH22" s="478" t="str">
        <f t="shared" ca="1" si="7"/>
        <v/>
      </c>
      <c r="AI22" s="474" t="str">
        <f t="shared" ca="1" si="8"/>
        <v/>
      </c>
      <c r="AJ22" s="915" t="str">
        <f t="shared" ca="1" si="9"/>
        <v/>
      </c>
      <c r="AN22" s="494">
        <f>K63</f>
        <v>17</v>
      </c>
      <c r="AO22" s="495" t="str">
        <f ca="1">L64</f>
        <v/>
      </c>
      <c r="AP22" s="784" t="s">
        <v>1326</v>
      </c>
      <c r="AQ22" s="496" t="s">
        <v>793</v>
      </c>
      <c r="AR22" s="494">
        <f>Q63</f>
        <v>17</v>
      </c>
      <c r="AS22" s="495" t="str">
        <f ca="1">R64</f>
        <v/>
      </c>
      <c r="AT22" s="495" t="str">
        <f t="shared" ref="AT22" si="52">AS23</f>
        <v/>
      </c>
      <c r="AU22" s="496" t="s">
        <v>793</v>
      </c>
      <c r="AV22" s="494">
        <f>W63</f>
        <v>17</v>
      </c>
      <c r="AW22" s="495" t="str">
        <f>X64</f>
        <v/>
      </c>
      <c r="AX22" s="495" t="str">
        <f t="shared" ref="AX22" si="53">AW23</f>
        <v/>
      </c>
      <c r="AY22" s="496" t="s">
        <v>793</v>
      </c>
    </row>
    <row r="23" spans="1:51" ht="15.95" customHeight="1" thickBot="1" x14ac:dyDescent="0.25">
      <c r="A23" s="435">
        <v>19</v>
      </c>
      <c r="B23" s="444" t="str">
        <f t="shared" ca="1" si="1"/>
        <v/>
      </c>
      <c r="C23" s="444" t="str">
        <f t="shared" ca="1" si="2"/>
        <v/>
      </c>
      <c r="D23" s="444" t="str">
        <f t="shared" ca="1" si="3"/>
        <v/>
      </c>
      <c r="E23" s="486">
        <f t="shared" ca="1" si="4"/>
        <v>0</v>
      </c>
      <c r="F23" s="489">
        <v>29</v>
      </c>
      <c r="G23" s="488" t="str">
        <f t="shared" ca="1" si="5"/>
        <v/>
      </c>
      <c r="H23" s="898" t="str">
        <f t="shared" ca="1" si="6"/>
        <v/>
      </c>
      <c r="I23" s="898" t="str">
        <f t="shared" ca="1" si="6"/>
        <v/>
      </c>
      <c r="J23" s="898" t="str">
        <f t="shared" ca="1" si="6"/>
        <v/>
      </c>
      <c r="K23" s="447">
        <f>K21+1</f>
        <v>6</v>
      </c>
      <c r="L23" s="472">
        <v>6</v>
      </c>
      <c r="M23" s="465" t="str">
        <f ca="1">IFERROR(VLOOKUP(L24,$G$5:$J$28,2,FALSE),"")</f>
        <v/>
      </c>
      <c r="N23" s="966"/>
      <c r="O23" s="780"/>
      <c r="Q23" s="447">
        <f>Q21+1</f>
        <v>6</v>
      </c>
      <c r="R23" s="472">
        <v>5</v>
      </c>
      <c r="S23" s="465" t="str">
        <f ca="1">IFERROR(VLOOKUP(R24,$G$5:$J$28,2,FALSE),"")</f>
        <v/>
      </c>
      <c r="T23" s="966"/>
      <c r="U23" s="780"/>
      <c r="W23" s="447">
        <f>W21+1</f>
        <v>6</v>
      </c>
      <c r="X23" s="472">
        <v>6</v>
      </c>
      <c r="Y23" s="465" t="str">
        <f ca="1">IFERROR(VLOOKUP(X24,$G$5:$J$28,2,FALSE),"")</f>
        <v/>
      </c>
      <c r="Z23" s="966"/>
      <c r="AA23" s="780"/>
      <c r="AF23" s="453" t="s">
        <v>802</v>
      </c>
      <c r="AG23" s="435" t="str">
        <f>IF(ISBLANK(Z63),"",IF(Z63+AA63&gt;Z65+AA65,X64,X66))</f>
        <v/>
      </c>
      <c r="AH23" s="478" t="str">
        <f t="shared" ca="1" si="7"/>
        <v/>
      </c>
      <c r="AI23" s="474" t="str">
        <f t="shared" ca="1" si="8"/>
        <v/>
      </c>
      <c r="AJ23" s="915" t="str">
        <f t="shared" ca="1" si="9"/>
        <v/>
      </c>
      <c r="AN23" s="494">
        <f>K69</f>
        <v>18</v>
      </c>
      <c r="AO23" s="495" t="str">
        <f ca="1">L70</f>
        <v/>
      </c>
      <c r="AP23" s="784" t="str">
        <f ca="1">AO24</f>
        <v/>
      </c>
      <c r="AQ23" s="496" t="s">
        <v>793</v>
      </c>
      <c r="AR23" s="494">
        <f>Q65</f>
        <v>18</v>
      </c>
      <c r="AS23" s="495" t="str">
        <f>R66</f>
        <v/>
      </c>
      <c r="AT23" s="495" t="str">
        <f t="shared" ref="AT23" ca="1" si="54">AS22</f>
        <v/>
      </c>
      <c r="AU23" s="496" t="s">
        <v>793</v>
      </c>
      <c r="AV23" s="494">
        <f>W65</f>
        <v>18</v>
      </c>
      <c r="AW23" s="495" t="str">
        <f>X66</f>
        <v/>
      </c>
      <c r="AX23" s="495" t="str">
        <f t="shared" ref="AX23" si="55">AW22</f>
        <v/>
      </c>
      <c r="AY23" s="496" t="s">
        <v>793</v>
      </c>
    </row>
    <row r="24" spans="1:51" ht="15.95" customHeight="1" thickBot="1" x14ac:dyDescent="0.25">
      <c r="A24" s="435">
        <v>20</v>
      </c>
      <c r="B24" s="444" t="str">
        <f t="shared" ca="1" si="1"/>
        <v/>
      </c>
      <c r="C24" s="444" t="str">
        <f t="shared" ca="1" si="2"/>
        <v/>
      </c>
      <c r="D24" s="444" t="str">
        <f t="shared" ca="1" si="3"/>
        <v/>
      </c>
      <c r="E24" s="486">
        <f t="shared" ca="1" si="4"/>
        <v>0</v>
      </c>
      <c r="F24" s="489">
        <v>30</v>
      </c>
      <c r="G24" s="488" t="str">
        <f t="shared" ca="1" si="5"/>
        <v/>
      </c>
      <c r="H24" s="898" t="str">
        <f t="shared" ca="1" si="6"/>
        <v/>
      </c>
      <c r="I24" s="898" t="str">
        <f t="shared" ca="1" si="6"/>
        <v/>
      </c>
      <c r="J24" s="898" t="str">
        <f t="shared" ca="1" si="6"/>
        <v/>
      </c>
      <c r="K24" s="447"/>
      <c r="L24" s="473" t="str">
        <f ca="1">VLOOKUP(L23,$A$5:$G$24,7,FALSE)</f>
        <v/>
      </c>
      <c r="M24" s="466" t="str">
        <f ca="1">IFERROR(VLOOKUP(L24,$G$5:$J$28,3,FALSE),"")</f>
        <v/>
      </c>
      <c r="N24" s="967"/>
      <c r="Q24" s="447"/>
      <c r="R24" s="473" t="str">
        <f>IF(ISBLANK(N14),"",IF(O14+N14&lt;N16+O16,L15,L17))</f>
        <v/>
      </c>
      <c r="S24" s="466" t="str">
        <f ca="1">IFERROR(VLOOKUP(R24,$G$5:$J$28,3,FALSE),"")</f>
        <v/>
      </c>
      <c r="T24" s="967"/>
      <c r="W24" s="447"/>
      <c r="X24" s="473" t="str">
        <f>IF(ISBLANK(T28),"",IF(U28+T28&gt;T30+U30,R29,R31))</f>
        <v/>
      </c>
      <c r="Y24" s="466" t="str">
        <f ca="1">IFERROR(VLOOKUP(X24,$G$5:$J$28,3,FALSE),"")</f>
        <v/>
      </c>
      <c r="Z24" s="967"/>
      <c r="AF24" s="453" t="s">
        <v>803</v>
      </c>
      <c r="AG24" s="435" t="str">
        <f>IF(ISBLANK(Z63),"",IF(Z63+AA63&lt;Z65+AA65,X64,X66))</f>
        <v/>
      </c>
      <c r="AH24" s="478" t="str">
        <f t="shared" ca="1" si="7"/>
        <v/>
      </c>
      <c r="AI24" s="474" t="str">
        <f t="shared" ca="1" si="8"/>
        <v/>
      </c>
      <c r="AJ24" s="915" t="str">
        <f t="shared" ca="1" si="9"/>
        <v/>
      </c>
      <c r="AN24" s="494">
        <f>K71</f>
        <v>19</v>
      </c>
      <c r="AO24" s="495" t="str">
        <f ca="1">L72</f>
        <v/>
      </c>
      <c r="AP24" s="784" t="str">
        <f ca="1">AO23</f>
        <v/>
      </c>
      <c r="AQ24" s="496" t="s">
        <v>793</v>
      </c>
      <c r="AR24" s="494">
        <f>Q70</f>
        <v>19</v>
      </c>
      <c r="AS24" s="495" t="str">
        <f ca="1">R71</f>
        <v/>
      </c>
      <c r="AT24" s="495" t="str">
        <f t="shared" ref="AT24" ca="1" si="56">AS25</f>
        <v/>
      </c>
      <c r="AU24" s="496" t="s">
        <v>793</v>
      </c>
      <c r="AV24" s="494">
        <f>W72</f>
        <v>19</v>
      </c>
      <c r="AW24" s="495" t="str">
        <f>X73</f>
        <v/>
      </c>
      <c r="AX24" s="495" t="str">
        <f t="shared" ref="AX24" si="57">AW25</f>
        <v/>
      </c>
      <c r="AY24" s="496" t="s">
        <v>793</v>
      </c>
    </row>
    <row r="25" spans="1:51" ht="15.95" customHeight="1" x14ac:dyDescent="0.2">
      <c r="A25" s="435">
        <v>21</v>
      </c>
      <c r="B25" s="444" t="str">
        <f t="shared" ca="1" si="1"/>
        <v/>
      </c>
      <c r="C25" s="444" t="str">
        <f t="shared" ca="1" si="2"/>
        <v/>
      </c>
      <c r="D25" s="444" t="str">
        <f t="shared" ca="1" si="3"/>
        <v/>
      </c>
      <c r="E25" s="486">
        <f t="shared" ca="1" si="4"/>
        <v>0</v>
      </c>
      <c r="F25" s="489">
        <v>31</v>
      </c>
      <c r="G25" s="488" t="str">
        <f t="shared" ca="1" si="5"/>
        <v/>
      </c>
      <c r="H25" s="898" t="str">
        <f t="shared" ca="1" si="6"/>
        <v/>
      </c>
      <c r="I25" s="898" t="str">
        <f t="shared" ca="1" si="6"/>
        <v/>
      </c>
      <c r="J25" s="898" t="str">
        <f t="shared" ca="1" si="6"/>
        <v/>
      </c>
      <c r="K25" s="447"/>
      <c r="L25" s="441"/>
      <c r="M25" s="441"/>
      <c r="Q25" s="447"/>
      <c r="R25" s="437"/>
      <c r="S25" s="437"/>
      <c r="T25" s="451"/>
      <c r="W25" s="447"/>
      <c r="X25" s="441"/>
      <c r="Y25" s="441"/>
      <c r="AF25" s="453" t="s">
        <v>804</v>
      </c>
      <c r="AG25" s="435" t="str">
        <f>IF(ISBLANK(Z72),"",IF(Z72+AA72&gt;Z74+AA74,X73,X75))</f>
        <v/>
      </c>
      <c r="AH25" s="478" t="str">
        <f t="shared" ca="1" si="7"/>
        <v/>
      </c>
      <c r="AI25" s="474" t="str">
        <f t="shared" ca="1" si="8"/>
        <v/>
      </c>
      <c r="AJ25" s="915" t="str">
        <f t="shared" ca="1" si="9"/>
        <v/>
      </c>
      <c r="AN25" s="494">
        <f>K76</f>
        <v>20</v>
      </c>
      <c r="AO25" s="495" t="str">
        <f ca="1">L77</f>
        <v/>
      </c>
      <c r="AP25" s="784" t="str">
        <f ca="1">AO26</f>
        <v/>
      </c>
      <c r="AQ25" s="496" t="s">
        <v>793</v>
      </c>
      <c r="AR25" s="494">
        <f>Q72</f>
        <v>20</v>
      </c>
      <c r="AS25" s="495" t="str">
        <f ca="1">R73</f>
        <v/>
      </c>
      <c r="AT25" s="495" t="str">
        <f t="shared" ref="AT25" ca="1" si="58">AS24</f>
        <v/>
      </c>
      <c r="AU25" s="496" t="s">
        <v>793</v>
      </c>
      <c r="AV25" s="494">
        <f>W74</f>
        <v>20</v>
      </c>
      <c r="AW25" s="495" t="str">
        <f>X75</f>
        <v/>
      </c>
      <c r="AX25" s="495" t="str">
        <f t="shared" ref="AX25" si="59">AW24</f>
        <v/>
      </c>
      <c r="AY25" s="496" t="s">
        <v>793</v>
      </c>
    </row>
    <row r="26" spans="1:51" ht="15.95" customHeight="1" thickBot="1" x14ac:dyDescent="0.25">
      <c r="A26" s="435">
        <v>22</v>
      </c>
      <c r="B26" s="444" t="str">
        <f t="shared" ca="1" si="1"/>
        <v/>
      </c>
      <c r="C26" s="444" t="str">
        <f t="shared" ca="1" si="2"/>
        <v/>
      </c>
      <c r="D26" s="444" t="str">
        <f t="shared" ca="1" si="3"/>
        <v/>
      </c>
      <c r="E26" s="486">
        <f t="shared" ca="1" si="4"/>
        <v>0</v>
      </c>
      <c r="F26" s="489">
        <v>32</v>
      </c>
      <c r="G26" s="488" t="str">
        <f t="shared" ca="1" si="5"/>
        <v/>
      </c>
      <c r="H26" s="898" t="str">
        <f t="shared" ca="1" si="6"/>
        <v/>
      </c>
      <c r="I26" s="898" t="str">
        <f t="shared" ca="1" si="6"/>
        <v/>
      </c>
      <c r="J26" s="898" t="str">
        <f t="shared" ca="1" si="6"/>
        <v/>
      </c>
      <c r="K26" s="450"/>
      <c r="L26" s="450"/>
      <c r="M26" s="450"/>
      <c r="N26" s="451"/>
      <c r="O26" s="450"/>
      <c r="P26" s="450"/>
      <c r="Q26" s="450"/>
      <c r="R26" s="437"/>
      <c r="S26" s="437"/>
      <c r="T26" s="451"/>
      <c r="U26" s="450"/>
      <c r="V26" s="450"/>
      <c r="W26" s="450"/>
      <c r="X26" s="979" t="s">
        <v>821</v>
      </c>
      <c r="Y26" s="1247"/>
      <c r="Z26" s="1247"/>
      <c r="AA26" s="450"/>
      <c r="AF26" s="453" t="s">
        <v>805</v>
      </c>
      <c r="AG26" s="435" t="str">
        <f>IF(ISBLANK(Z72),"",IF(Z72+AA72&lt;Z74+AA74,X73,X75))</f>
        <v/>
      </c>
      <c r="AH26" s="478" t="str">
        <f t="shared" ca="1" si="7"/>
        <v/>
      </c>
      <c r="AI26" s="474" t="str">
        <f t="shared" ca="1" si="8"/>
        <v/>
      </c>
      <c r="AJ26" s="915" t="str">
        <f t="shared" ca="1" si="9"/>
        <v/>
      </c>
      <c r="AN26" s="494">
        <f>K78</f>
        <v>21</v>
      </c>
      <c r="AO26" s="495" t="str">
        <f ca="1">L79</f>
        <v/>
      </c>
      <c r="AP26" s="784" t="str">
        <f ca="1">AO25</f>
        <v/>
      </c>
      <c r="AQ26" s="496"/>
      <c r="AR26" s="494">
        <f>Q78</f>
        <v>21</v>
      </c>
      <c r="AS26" s="495" t="str">
        <f>R79</f>
        <v/>
      </c>
      <c r="AT26" s="784" t="s">
        <v>1326</v>
      </c>
      <c r="AU26" s="496"/>
      <c r="AV26" s="494"/>
      <c r="AW26" s="495"/>
      <c r="AX26" s="495"/>
      <c r="AY26" s="496"/>
    </row>
    <row r="27" spans="1:51" ht="15.95" customHeight="1" thickBot="1" x14ac:dyDescent="0.25">
      <c r="A27" s="435">
        <v>23</v>
      </c>
      <c r="B27" s="444" t="str">
        <f t="shared" ca="1" si="1"/>
        <v/>
      </c>
      <c r="C27" s="444" t="str">
        <f t="shared" ca="1" si="2"/>
        <v/>
      </c>
      <c r="D27" s="444" t="str">
        <f t="shared" ca="1" si="3"/>
        <v/>
      </c>
      <c r="E27" s="486">
        <f t="shared" ca="1" si="4"/>
        <v>0</v>
      </c>
      <c r="F27" s="489">
        <v>33</v>
      </c>
      <c r="G27" s="488" t="str">
        <f t="shared" ca="1" si="5"/>
        <v/>
      </c>
      <c r="H27" s="898" t="str">
        <f t="shared" ca="1" si="6"/>
        <v/>
      </c>
      <c r="I27" s="898" t="str">
        <f t="shared" ca="1" si="6"/>
        <v/>
      </c>
      <c r="J27" s="898" t="str">
        <f t="shared" ca="1" si="6"/>
        <v/>
      </c>
      <c r="K27" s="445" t="s">
        <v>779</v>
      </c>
      <c r="L27" s="779" t="s">
        <v>1083</v>
      </c>
      <c r="M27" s="456" t="s">
        <v>481</v>
      </c>
      <c r="N27" s="464" t="s">
        <v>780</v>
      </c>
      <c r="O27" s="446" t="s">
        <v>781</v>
      </c>
      <c r="P27" s="445"/>
      <c r="Q27" s="445" t="s">
        <v>779</v>
      </c>
      <c r="R27" s="779" t="s">
        <v>1083</v>
      </c>
      <c r="S27" s="456" t="s">
        <v>481</v>
      </c>
      <c r="T27" s="464" t="s">
        <v>780</v>
      </c>
      <c r="U27" s="446" t="s">
        <v>781</v>
      </c>
      <c r="V27" s="445"/>
      <c r="W27" s="445" t="s">
        <v>779</v>
      </c>
      <c r="X27" s="779" t="s">
        <v>1083</v>
      </c>
      <c r="Y27" s="456" t="s">
        <v>481</v>
      </c>
      <c r="Z27" s="464" t="s">
        <v>780</v>
      </c>
      <c r="AA27" s="446" t="s">
        <v>781</v>
      </c>
      <c r="AF27" s="453" t="s">
        <v>806</v>
      </c>
      <c r="AG27" s="896" t="str">
        <f>R79</f>
        <v/>
      </c>
      <c r="AH27" s="478" t="str">
        <f t="shared" ca="1" si="7"/>
        <v/>
      </c>
      <c r="AI27" s="474" t="str">
        <f t="shared" ca="1" si="8"/>
        <v/>
      </c>
      <c r="AJ27" s="915" t="str">
        <f t="shared" ca="1" si="9"/>
        <v/>
      </c>
      <c r="AN27" s="494"/>
      <c r="AO27" s="495"/>
      <c r="AP27" s="495"/>
      <c r="AQ27" s="496"/>
      <c r="AR27" s="494"/>
      <c r="AS27" s="495"/>
      <c r="AT27" s="495"/>
      <c r="AU27" s="496"/>
      <c r="AV27" s="494"/>
      <c r="AW27" s="495"/>
      <c r="AX27" s="495"/>
      <c r="AY27" s="496"/>
    </row>
    <row r="28" spans="1:51" ht="15.95" customHeight="1" thickBot="1" x14ac:dyDescent="0.25">
      <c r="A28" s="435">
        <v>24</v>
      </c>
      <c r="B28" s="444" t="str">
        <f t="shared" ca="1" si="1"/>
        <v/>
      </c>
      <c r="C28" s="444" t="str">
        <f t="shared" ca="1" si="2"/>
        <v/>
      </c>
      <c r="D28" s="444" t="str">
        <f t="shared" ca="1" si="3"/>
        <v/>
      </c>
      <c r="E28" s="486">
        <f t="shared" ca="1" si="4"/>
        <v>0</v>
      </c>
      <c r="F28" s="489">
        <v>34</v>
      </c>
      <c r="G28" s="488" t="str">
        <f t="shared" ca="1" si="5"/>
        <v/>
      </c>
      <c r="H28" s="898" t="str">
        <f t="shared" ca="1" si="6"/>
        <v/>
      </c>
      <c r="I28" s="898" t="str">
        <f t="shared" ca="1" si="6"/>
        <v/>
      </c>
      <c r="J28" s="898" t="str">
        <f t="shared" ca="1" si="6"/>
        <v/>
      </c>
      <c r="K28" s="447">
        <f>K23+1</f>
        <v>7</v>
      </c>
      <c r="L28" s="472">
        <v>2</v>
      </c>
      <c r="M28" s="465" t="str">
        <f ca="1">IFERROR(VLOOKUP(L29,$G$5:$J$28,2,FALSE),"")</f>
        <v/>
      </c>
      <c r="N28" s="966"/>
      <c r="O28" s="780"/>
      <c r="Q28" s="447">
        <f>Q23+1</f>
        <v>7</v>
      </c>
      <c r="R28" s="472">
        <v>6</v>
      </c>
      <c r="S28" s="465" t="str">
        <f ca="1">IFERROR(VLOOKUP(R29,$G$5:$J$28,2,FALSE),"")</f>
        <v/>
      </c>
      <c r="T28" s="966"/>
      <c r="U28" s="780"/>
      <c r="W28" s="447">
        <f>W23+1</f>
        <v>7</v>
      </c>
      <c r="X28" s="472">
        <v>8</v>
      </c>
      <c r="Y28" s="465" t="str">
        <f ca="1">IFERROR(VLOOKUP(X29,$G$5:$J$28,2,FALSE),"")</f>
        <v/>
      </c>
      <c r="Z28" s="966"/>
      <c r="AA28" s="780"/>
      <c r="AF28" s="453" t="s">
        <v>807</v>
      </c>
      <c r="AG28" s="435" t="str">
        <f>IF(ISBLANK(Z77),"",IF(Z77+AA77&lt;Z79+AA79,X78,X80))</f>
        <v/>
      </c>
      <c r="AH28" s="478" t="str">
        <f t="shared" ca="1" si="7"/>
        <v/>
      </c>
      <c r="AI28" s="474" t="str">
        <f t="shared" ca="1" si="8"/>
        <v/>
      </c>
      <c r="AJ28" s="915" t="str">
        <f t="shared" ca="1" si="9"/>
        <v/>
      </c>
      <c r="AN28" s="494"/>
      <c r="AO28" s="495"/>
      <c r="AP28" s="495"/>
      <c r="AQ28" s="496"/>
      <c r="AR28" s="494"/>
      <c r="AS28" s="495"/>
      <c r="AT28" s="495"/>
      <c r="AU28" s="496"/>
      <c r="AV28" s="494"/>
      <c r="AW28" s="495"/>
      <c r="AX28" s="495"/>
      <c r="AY28" s="496"/>
    </row>
    <row r="29" spans="1:51" ht="15.95" customHeight="1" thickBot="1" x14ac:dyDescent="0.25">
      <c r="I29" s="437"/>
      <c r="J29" s="437"/>
      <c r="K29" s="447"/>
      <c r="L29" s="473" t="str">
        <f ca="1">VLOOKUP(L28,$A$5:$G$24,7,FALSE)</f>
        <v/>
      </c>
      <c r="M29" s="466" t="str">
        <f ca="1">IFERROR(VLOOKUP(L29,$G$5:$J$28,3,FALSE),"")</f>
        <v/>
      </c>
      <c r="N29" s="967"/>
      <c r="Q29" s="447"/>
      <c r="R29" s="473" t="str">
        <f>IF(ISBLANK(N21),"",IF(N21+O21&lt;N23+O23,L22,L24))</f>
        <v/>
      </c>
      <c r="S29" s="466" t="str">
        <f ca="1">IFERROR(VLOOKUP(R29,$G$5:$J$28,3,FALSE),"")</f>
        <v/>
      </c>
      <c r="T29" s="967"/>
      <c r="W29" s="447"/>
      <c r="X29" s="473" t="str">
        <f>IF(ISBLANK(T21),"",IF(U21+T21&lt;T23+U23,R22,R24))</f>
        <v/>
      </c>
      <c r="Y29" s="466" t="str">
        <f ca="1">IFERROR(VLOOKUP(X29,$G$5:$J$28,3,FALSE),"")</f>
        <v/>
      </c>
      <c r="Z29" s="967"/>
      <c r="AF29" s="453" t="s">
        <v>808</v>
      </c>
      <c r="AG29" s="435" t="str">
        <f>IF(ISBLANK(Z84),"",IF(Z84+AA84&gt;Z86+AA86,X85,X87))</f>
        <v/>
      </c>
      <c r="AH29" s="478" t="str">
        <f t="shared" ca="1" si="7"/>
        <v/>
      </c>
      <c r="AI29" s="474" t="str">
        <f t="shared" ca="1" si="8"/>
        <v/>
      </c>
      <c r="AJ29" s="915" t="str">
        <f t="shared" ca="1" si="9"/>
        <v/>
      </c>
      <c r="AN29" s="494"/>
      <c r="AO29" s="495"/>
      <c r="AP29" s="495"/>
      <c r="AQ29" s="496"/>
      <c r="AR29" s="494"/>
      <c r="AS29" s="495"/>
      <c r="AT29" s="495"/>
      <c r="AU29" s="496"/>
      <c r="AV29" s="494"/>
      <c r="AW29" s="495"/>
      <c r="AX29" s="495"/>
      <c r="AY29" s="496"/>
    </row>
    <row r="30" spans="1:51" ht="15.95" customHeight="1" thickBot="1" x14ac:dyDescent="0.25">
      <c r="I30" s="437"/>
      <c r="J30" s="437"/>
      <c r="K30" s="447">
        <f>K28+1</f>
        <v>8</v>
      </c>
      <c r="L30" s="472">
        <v>7</v>
      </c>
      <c r="M30" s="465" t="str">
        <f ca="1">IFERROR(VLOOKUP(L31,$G$5:$J$28,2,FALSE),"")</f>
        <v/>
      </c>
      <c r="N30" s="966"/>
      <c r="O30" s="780"/>
      <c r="Q30" s="447">
        <f>Q28+1</f>
        <v>8</v>
      </c>
      <c r="R30" s="472">
        <v>7</v>
      </c>
      <c r="S30" s="465" t="str">
        <f ca="1">IFERROR(VLOOKUP(R31,$G$5:$J$28,2,FALSE),"")</f>
        <v/>
      </c>
      <c r="T30" s="966"/>
      <c r="U30" s="780"/>
      <c r="W30" s="447">
        <f>W28+1</f>
        <v>8</v>
      </c>
      <c r="X30" s="472">
        <v>7</v>
      </c>
      <c r="Y30" s="465" t="str">
        <f ca="1">IFERROR(VLOOKUP(X31,$G$5:$J$28,2,FALSE),"")</f>
        <v/>
      </c>
      <c r="Z30" s="966"/>
      <c r="AA30" s="780"/>
      <c r="AF30" s="453" t="s">
        <v>809</v>
      </c>
      <c r="AG30" s="435" t="str">
        <f>IF(ISBLANK(Z84),"",IF(Z84+AA84&lt;Z86+AA86,X85,X87))</f>
        <v/>
      </c>
      <c r="AH30" s="480" t="str">
        <f t="shared" ca="1" si="7"/>
        <v/>
      </c>
      <c r="AI30" s="481" t="str">
        <f t="shared" ca="1" si="8"/>
        <v/>
      </c>
      <c r="AJ30" s="916" t="str">
        <f t="shared" ca="1" si="9"/>
        <v/>
      </c>
    </row>
    <row r="31" spans="1:51" ht="15.95" customHeight="1" thickBot="1" x14ac:dyDescent="0.25">
      <c r="I31" s="437"/>
      <c r="J31" s="437"/>
      <c r="K31" s="447"/>
      <c r="L31" s="473" t="str">
        <f ca="1">VLOOKUP(L30,$A$5:$G$24,7,FALSE)</f>
        <v/>
      </c>
      <c r="M31" s="466" t="str">
        <f ca="1">IFERROR(VLOOKUP(L31,$G$5:$J$28,3,FALSE),"")</f>
        <v/>
      </c>
      <c r="N31" s="967"/>
      <c r="Q31" s="447"/>
      <c r="R31" s="473" t="str">
        <f>IF(ISBLANK(N28),"",IF(N28+O28&lt;N30+O30,L29,L31))</f>
        <v/>
      </c>
      <c r="S31" s="466" t="str">
        <f ca="1">IFERROR(VLOOKUP(R31,$G$5:$J$28,3,FALSE),"")</f>
        <v/>
      </c>
      <c r="T31" s="967"/>
      <c r="W31" s="447"/>
      <c r="X31" s="473" t="str">
        <f>IF(ISBLANK(T28),"",IF(U28+T28&lt;T30+U30,R29,R31))</f>
        <v/>
      </c>
      <c r="Y31" s="466" t="str">
        <f ca="1">IFERROR(VLOOKUP(X31,$G$5:$J$28,3,FALSE),"")</f>
        <v/>
      </c>
      <c r="Z31" s="967"/>
      <c r="AF31" s="453"/>
      <c r="AG31" s="453"/>
    </row>
    <row r="32" spans="1:51" ht="15.95" customHeight="1" x14ac:dyDescent="0.2">
      <c r="I32" s="437"/>
      <c r="J32" s="437"/>
      <c r="K32" s="450"/>
      <c r="L32" s="437"/>
      <c r="M32" s="437"/>
      <c r="N32" s="451"/>
      <c r="O32" s="450"/>
      <c r="P32" s="450"/>
      <c r="Q32" s="450"/>
      <c r="R32" s="437"/>
      <c r="S32" s="437"/>
      <c r="T32" s="451"/>
      <c r="U32" s="450"/>
      <c r="V32" s="450"/>
      <c r="W32" s="450"/>
      <c r="X32" s="437"/>
      <c r="Y32" s="437"/>
      <c r="Z32" s="451"/>
      <c r="AA32" s="450"/>
      <c r="AF32" s="453"/>
      <c r="AG32" s="453"/>
    </row>
    <row r="33" spans="9:33" ht="15.95" customHeight="1" thickBot="1" x14ac:dyDescent="0.25">
      <c r="I33" s="437"/>
      <c r="J33" s="437"/>
      <c r="K33" s="450"/>
      <c r="L33" s="979" t="s">
        <v>822</v>
      </c>
      <c r="M33" s="1247"/>
      <c r="N33" s="1247"/>
      <c r="Q33" s="450"/>
      <c r="R33" s="979" t="s">
        <v>823</v>
      </c>
      <c r="S33" s="1247"/>
      <c r="T33" s="1247"/>
      <c r="U33" s="450"/>
      <c r="V33" s="450"/>
      <c r="W33" s="450"/>
      <c r="X33" s="979" t="s">
        <v>824</v>
      </c>
      <c r="Y33" s="1247"/>
      <c r="Z33" s="1247"/>
      <c r="AF33" s="453"/>
      <c r="AG33" s="453"/>
    </row>
    <row r="34" spans="9:33" ht="15.95" customHeight="1" thickBot="1" x14ac:dyDescent="0.25">
      <c r="I34" s="437"/>
      <c r="J34" s="437"/>
      <c r="K34" s="445" t="s">
        <v>779</v>
      </c>
      <c r="L34" s="779" t="s">
        <v>1083</v>
      </c>
      <c r="M34" s="456" t="s">
        <v>481</v>
      </c>
      <c r="N34" s="464" t="s">
        <v>780</v>
      </c>
      <c r="O34" s="446" t="s">
        <v>781</v>
      </c>
      <c r="P34" s="445"/>
      <c r="Q34" s="445" t="s">
        <v>779</v>
      </c>
      <c r="R34" s="779" t="s">
        <v>1083</v>
      </c>
      <c r="S34" s="456" t="s">
        <v>481</v>
      </c>
      <c r="T34" s="464" t="s">
        <v>780</v>
      </c>
      <c r="U34" s="446" t="s">
        <v>781</v>
      </c>
      <c r="V34" s="445"/>
      <c r="W34" s="445" t="s">
        <v>779</v>
      </c>
      <c r="X34" s="779" t="s">
        <v>1083</v>
      </c>
      <c r="Y34" s="456" t="s">
        <v>481</v>
      </c>
      <c r="Z34" s="464" t="s">
        <v>780</v>
      </c>
      <c r="AA34" s="446" t="s">
        <v>781</v>
      </c>
      <c r="AF34" s="453"/>
      <c r="AG34" s="453"/>
    </row>
    <row r="35" spans="9:33" ht="15.95" customHeight="1" thickBot="1" x14ac:dyDescent="0.25">
      <c r="I35" s="437"/>
      <c r="J35" s="437"/>
      <c r="K35" s="447">
        <f>K30+1</f>
        <v>9</v>
      </c>
      <c r="L35" s="472">
        <v>9</v>
      </c>
      <c r="M35" s="465" t="str">
        <f ca="1">IFERROR(VLOOKUP(L36,$G$5:$J$28,2,FALSE),"")</f>
        <v/>
      </c>
      <c r="N35" s="966"/>
      <c r="O35" s="780"/>
      <c r="Q35" s="447">
        <f>K35</f>
        <v>9</v>
      </c>
      <c r="R35" s="472">
        <v>9</v>
      </c>
      <c r="S35" s="465" t="str">
        <f ca="1">IFERROR(VLOOKUP(R36,$G$5:$J$28,2,FALSE),"")</f>
        <v/>
      </c>
      <c r="T35" s="966"/>
      <c r="U35" s="780"/>
      <c r="W35" s="447">
        <f>Q35</f>
        <v>9</v>
      </c>
      <c r="X35" s="472">
        <v>9</v>
      </c>
      <c r="Y35" s="465" t="str">
        <f ca="1">IFERROR(VLOOKUP(X36,$G$5:$J$28,2,FALSE),"")</f>
        <v/>
      </c>
      <c r="Z35" s="966"/>
      <c r="AA35" s="780"/>
      <c r="AF35" s="453"/>
      <c r="AG35" s="453"/>
    </row>
    <row r="36" spans="9:33" ht="15.95" customHeight="1" thickBot="1" x14ac:dyDescent="0.25">
      <c r="I36" s="437"/>
      <c r="J36" s="437"/>
      <c r="K36" s="447"/>
      <c r="L36" s="473" t="str">
        <f ca="1">VLOOKUP(L35,$A$5:$G$28,7,FALSE)</f>
        <v/>
      </c>
      <c r="M36" s="466" t="str">
        <f ca="1">IFERROR(VLOOKUP(L36,$G$5:$J$28,3,FALSE),"")</f>
        <v/>
      </c>
      <c r="N36" s="967"/>
      <c r="Q36" s="447"/>
      <c r="R36" s="473" t="str">
        <f>IF(ISBLANK(N35),"",IF(O35+N35&gt;N37+O37,L36,L38))</f>
        <v/>
      </c>
      <c r="S36" s="466" t="str">
        <f ca="1">IFERROR(VLOOKUP(R36,$G$5:$J$28,3,FALSE),"")</f>
        <v/>
      </c>
      <c r="T36" s="967"/>
      <c r="W36" s="447"/>
      <c r="X36" s="473" t="str">
        <f>IF(ISBLANK(T35),"",IF(U35+T35&gt;T37+U37,R36,R38))</f>
        <v/>
      </c>
      <c r="Y36" s="466" t="str">
        <f ca="1">IFERROR(VLOOKUP(X36,$G$5:$J$28,3,FALSE),"")</f>
        <v/>
      </c>
      <c r="Z36" s="967"/>
      <c r="AF36" s="453"/>
      <c r="AG36" s="453"/>
    </row>
    <row r="37" spans="9:33" ht="15.95" customHeight="1" thickBot="1" x14ac:dyDescent="0.25">
      <c r="I37" s="437"/>
      <c r="J37" s="437"/>
      <c r="K37" s="447">
        <f>K35+1</f>
        <v>10</v>
      </c>
      <c r="L37" s="472">
        <v>16</v>
      </c>
      <c r="M37" s="465" t="str">
        <f ca="1">IFERROR(VLOOKUP(L38,$G$5:$J$28,2,FALSE),"")</f>
        <v/>
      </c>
      <c r="N37" s="966"/>
      <c r="O37" s="780"/>
      <c r="Q37" s="447">
        <f>Q35+1</f>
        <v>10</v>
      </c>
      <c r="R37" s="472">
        <v>12</v>
      </c>
      <c r="S37" s="465" t="str">
        <f ca="1">IFERROR(VLOOKUP(R38,$G$5:$J$28,2,FALSE),"")</f>
        <v/>
      </c>
      <c r="T37" s="966"/>
      <c r="U37" s="780"/>
      <c r="W37" s="447">
        <f>W35+1</f>
        <v>10</v>
      </c>
      <c r="X37" s="472">
        <v>10</v>
      </c>
      <c r="Y37" s="465" t="str">
        <f ca="1">IFERROR(VLOOKUP(X38,$G$5:$J$28,2,FALSE),"")</f>
        <v/>
      </c>
      <c r="Z37" s="966"/>
      <c r="AA37" s="780"/>
      <c r="AF37" s="453"/>
      <c r="AG37" s="453"/>
    </row>
    <row r="38" spans="9:33" ht="15.95" customHeight="1" thickBot="1" x14ac:dyDescent="0.25">
      <c r="I38" s="437"/>
      <c r="J38" s="437"/>
      <c r="K38" s="447"/>
      <c r="L38" s="473" t="str">
        <f ca="1">VLOOKUP(L37,$A$5:$G$28,7,FALSE)</f>
        <v/>
      </c>
      <c r="M38" s="466" t="str">
        <f ca="1">IFERROR(VLOOKUP(L38,$G$5:$J$28,3,FALSE),"")</f>
        <v/>
      </c>
      <c r="N38" s="967"/>
      <c r="Q38" s="447"/>
      <c r="R38" s="473" t="str">
        <f>IF(ISBLANK(N42),"",IF(O42+N42&gt;N44+O44,L43,L45))</f>
        <v/>
      </c>
      <c r="S38" s="466" t="str">
        <f ca="1">IFERROR(VLOOKUP(R38,$G$5:$J$28,3,FALSE),"")</f>
        <v/>
      </c>
      <c r="T38" s="967"/>
      <c r="W38" s="447"/>
      <c r="X38" s="473" t="str">
        <f>IF(ISBLANK(T42),"",IF(U42+T42&gt;T44+U44,R43,R45))</f>
        <v/>
      </c>
      <c r="Y38" s="466" t="str">
        <f ca="1">IFERROR(VLOOKUP(X38,$G$5:$J$28,3,FALSE),"")</f>
        <v/>
      </c>
      <c r="Z38" s="967"/>
      <c r="AF38" s="453"/>
      <c r="AG38" s="453"/>
    </row>
    <row r="39" spans="9:33" ht="15.95" customHeight="1" x14ac:dyDescent="0.2">
      <c r="I39" s="437"/>
      <c r="J39" s="437"/>
      <c r="K39" s="450"/>
      <c r="L39" s="450"/>
      <c r="M39" s="450"/>
      <c r="N39" s="451"/>
      <c r="O39" s="450"/>
      <c r="P39" s="450"/>
      <c r="Q39" s="450"/>
      <c r="R39" s="437"/>
      <c r="S39" s="437"/>
      <c r="T39" s="451"/>
      <c r="U39" s="450"/>
      <c r="V39" s="450"/>
      <c r="W39" s="450"/>
      <c r="X39" s="450"/>
      <c r="Y39" s="450"/>
      <c r="Z39" s="451"/>
      <c r="AA39" s="450"/>
      <c r="AF39" s="453"/>
      <c r="AG39" s="453"/>
    </row>
    <row r="40" spans="9:33" ht="15.95" customHeight="1" thickBot="1" x14ac:dyDescent="0.25">
      <c r="I40" s="437"/>
      <c r="J40" s="437"/>
      <c r="K40" s="450"/>
      <c r="L40" s="450"/>
      <c r="M40" s="450"/>
      <c r="N40" s="451"/>
      <c r="O40" s="450"/>
      <c r="P40" s="450"/>
      <c r="Q40" s="450"/>
      <c r="R40" s="437"/>
      <c r="S40" s="437"/>
      <c r="T40" s="451"/>
      <c r="U40" s="450"/>
      <c r="V40" s="450"/>
      <c r="W40" s="450"/>
      <c r="X40" s="979" t="s">
        <v>825</v>
      </c>
      <c r="Y40" s="1247"/>
      <c r="Z40" s="1247"/>
      <c r="AA40" s="450"/>
      <c r="AF40" s="453"/>
      <c r="AG40" s="453"/>
    </row>
    <row r="41" spans="9:33" ht="15.95" customHeight="1" thickBot="1" x14ac:dyDescent="0.25">
      <c r="I41" s="437"/>
      <c r="J41" s="437"/>
      <c r="K41" s="445" t="s">
        <v>779</v>
      </c>
      <c r="L41" s="779" t="s">
        <v>1083</v>
      </c>
      <c r="M41" s="456" t="s">
        <v>481</v>
      </c>
      <c r="N41" s="464" t="s">
        <v>780</v>
      </c>
      <c r="O41" s="446" t="s">
        <v>781</v>
      </c>
      <c r="P41" s="445"/>
      <c r="Q41" s="445" t="s">
        <v>779</v>
      </c>
      <c r="R41" s="779" t="s">
        <v>1083</v>
      </c>
      <c r="S41" s="456" t="s">
        <v>481</v>
      </c>
      <c r="T41" s="464" t="s">
        <v>780</v>
      </c>
      <c r="U41" s="446" t="s">
        <v>781</v>
      </c>
      <c r="V41" s="445"/>
      <c r="W41" s="445" t="s">
        <v>779</v>
      </c>
      <c r="X41" s="779" t="s">
        <v>1083</v>
      </c>
      <c r="Y41" s="456" t="s">
        <v>481</v>
      </c>
      <c r="Z41" s="464" t="s">
        <v>780</v>
      </c>
      <c r="AA41" s="446" t="s">
        <v>781</v>
      </c>
      <c r="AF41" s="453"/>
      <c r="AG41" s="453"/>
    </row>
    <row r="42" spans="9:33" ht="15.95" customHeight="1" thickBot="1" x14ac:dyDescent="0.25">
      <c r="I42" s="437"/>
      <c r="J42" s="437"/>
      <c r="K42" s="447">
        <f>K37+1</f>
        <v>11</v>
      </c>
      <c r="L42" s="472">
        <v>12</v>
      </c>
      <c r="M42" s="465" t="str">
        <f ca="1">IFERROR(VLOOKUP(L43,$G$5:$J$28,2,FALSE),"")</f>
        <v/>
      </c>
      <c r="N42" s="966"/>
      <c r="O42" s="780"/>
      <c r="Q42" s="447">
        <f>Q37+1</f>
        <v>11</v>
      </c>
      <c r="R42" s="472">
        <v>11</v>
      </c>
      <c r="S42" s="465" t="str">
        <f ca="1">IFERROR(VLOOKUP(R43,$G$5:$J$28,2,FALSE),"")</f>
        <v/>
      </c>
      <c r="T42" s="966"/>
      <c r="U42" s="780"/>
      <c r="W42" s="447">
        <f>W37+1</f>
        <v>11</v>
      </c>
      <c r="X42" s="472">
        <v>12</v>
      </c>
      <c r="Y42" s="465" t="str">
        <f ca="1">IFERROR(VLOOKUP(X43,$G$5:$J$28,2,FALSE),"")</f>
        <v/>
      </c>
      <c r="Z42" s="966"/>
      <c r="AA42" s="780"/>
      <c r="AF42" s="453"/>
      <c r="AG42" s="453"/>
    </row>
    <row r="43" spans="9:33" ht="15.95" customHeight="1" thickBot="1" x14ac:dyDescent="0.25">
      <c r="I43" s="437"/>
      <c r="J43" s="437"/>
      <c r="K43" s="447"/>
      <c r="L43" s="473" t="str">
        <f ca="1">VLOOKUP(L42,$A$5:$G$28,7,FALSE)</f>
        <v/>
      </c>
      <c r="M43" s="466" t="str">
        <f ca="1">IFERROR(VLOOKUP(L43,$G$5:$J$28,3,FALSE),"")</f>
        <v/>
      </c>
      <c r="N43" s="967"/>
      <c r="Q43" s="447"/>
      <c r="R43" s="473" t="str">
        <f>IF(ISBLANK(N49),"",IF(N49+O49&gt;N51+O51,L50,L52))</f>
        <v/>
      </c>
      <c r="S43" s="466" t="str">
        <f ca="1">IFERROR(VLOOKUP(R43,$G$5:$J$28,3,FALSE),"")</f>
        <v/>
      </c>
      <c r="T43" s="967"/>
      <c r="W43" s="447"/>
      <c r="X43" s="473" t="str">
        <f>IF(ISBLANK(T35),"",IF(U35+T35&lt;T37+U37,R36,R38))</f>
        <v/>
      </c>
      <c r="Y43" s="466" t="str">
        <f ca="1">IFERROR(VLOOKUP(X43,$G$5:$J$28,3,FALSE),"")</f>
        <v/>
      </c>
      <c r="Z43" s="967"/>
      <c r="AF43" s="453"/>
      <c r="AG43" s="453"/>
    </row>
    <row r="44" spans="9:33" ht="15.95" customHeight="1" thickBot="1" x14ac:dyDescent="0.25">
      <c r="I44" s="437"/>
      <c r="J44" s="437"/>
      <c r="K44" s="447">
        <f>K42+1</f>
        <v>12</v>
      </c>
      <c r="L44" s="472">
        <v>13</v>
      </c>
      <c r="M44" s="465" t="str">
        <f ca="1">IFERROR(VLOOKUP(L45,$G$5:$J$28,2,FALSE),"")</f>
        <v/>
      </c>
      <c r="N44" s="966"/>
      <c r="O44" s="780"/>
      <c r="Q44" s="447">
        <f>Q42+1</f>
        <v>12</v>
      </c>
      <c r="R44" s="472">
        <v>10</v>
      </c>
      <c r="S44" s="465" t="str">
        <f ca="1">IFERROR(VLOOKUP(R45,$G$5:$J$28,2,FALSE),"")</f>
        <v/>
      </c>
      <c r="T44" s="966"/>
      <c r="U44" s="780"/>
      <c r="W44" s="447">
        <f>W42+1</f>
        <v>12</v>
      </c>
      <c r="X44" s="472">
        <v>11</v>
      </c>
      <c r="Y44" s="465" t="str">
        <f ca="1">IFERROR(VLOOKUP(X45,$G$5:$J$28,2,FALSE),"")</f>
        <v/>
      </c>
      <c r="Z44" s="966"/>
      <c r="AA44" s="780"/>
      <c r="AF44" s="453"/>
      <c r="AG44" s="453"/>
    </row>
    <row r="45" spans="9:33" ht="15.95" customHeight="1" thickBot="1" x14ac:dyDescent="0.25">
      <c r="I45" s="437"/>
      <c r="J45" s="437"/>
      <c r="K45" s="447"/>
      <c r="L45" s="473" t="str">
        <f ca="1">VLOOKUP(L44,$A$5:$G$28,7,FALSE)</f>
        <v/>
      </c>
      <c r="M45" s="466" t="str">
        <f ca="1">IFERROR(VLOOKUP(L45,$G$5:$J$28,3,FALSE),"")</f>
        <v/>
      </c>
      <c r="N45" s="967"/>
      <c r="Q45" s="447"/>
      <c r="R45" s="473" t="str">
        <f>IF(ISBLANK(N56),"",IF(N56+O56&gt;N58+O58,L57,L59))</f>
        <v/>
      </c>
      <c r="S45" s="466" t="str">
        <f ca="1">IFERROR(VLOOKUP(R45,$G$5:$J$28,3,FALSE),"")</f>
        <v/>
      </c>
      <c r="T45" s="967"/>
      <c r="W45" s="447"/>
      <c r="X45" s="473" t="str">
        <f>IF(ISBLANK(T42),"",IF(U42+T42&lt;T44+U44,R43,R45))</f>
        <v/>
      </c>
      <c r="Y45" s="466" t="str">
        <f ca="1">IFERROR(VLOOKUP(X45,$G$5:$J$28,3,FALSE),"")</f>
        <v/>
      </c>
      <c r="Z45" s="967"/>
      <c r="AF45" s="453"/>
      <c r="AG45" s="453"/>
    </row>
    <row r="46" spans="9:33" ht="15.95" customHeight="1" x14ac:dyDescent="0.2">
      <c r="I46" s="437"/>
      <c r="J46" s="437"/>
      <c r="K46" s="450"/>
      <c r="L46" s="450"/>
      <c r="M46" s="450"/>
      <c r="N46" s="451"/>
      <c r="O46" s="450"/>
      <c r="P46" s="450"/>
      <c r="Q46" s="450"/>
      <c r="R46" s="450"/>
      <c r="S46" s="450"/>
      <c r="T46" s="451"/>
      <c r="U46" s="450"/>
      <c r="V46" s="450"/>
      <c r="W46" s="450"/>
      <c r="X46" s="450"/>
      <c r="Y46" s="450"/>
      <c r="Z46" s="451"/>
      <c r="AA46" s="450"/>
      <c r="AF46" s="453"/>
      <c r="AG46" s="453"/>
    </row>
    <row r="47" spans="9:33" ht="15.95" customHeight="1" thickBot="1" x14ac:dyDescent="0.25">
      <c r="I47" s="437"/>
      <c r="J47" s="437"/>
      <c r="K47" s="450"/>
      <c r="L47" s="454"/>
      <c r="M47" s="454"/>
      <c r="N47" s="455"/>
      <c r="O47" s="450"/>
      <c r="P47" s="450"/>
      <c r="Q47" s="450"/>
      <c r="R47" s="979" t="s">
        <v>819</v>
      </c>
      <c r="S47" s="1247"/>
      <c r="T47" s="1247"/>
      <c r="U47" s="450"/>
      <c r="V47" s="450"/>
      <c r="W47" s="450"/>
      <c r="X47" s="979" t="s">
        <v>827</v>
      </c>
      <c r="Y47" s="1247"/>
      <c r="Z47" s="1247"/>
      <c r="AA47" s="450"/>
      <c r="AF47" s="453"/>
      <c r="AG47" s="453"/>
    </row>
    <row r="48" spans="9:33" ht="15.95" customHeight="1" thickBot="1" x14ac:dyDescent="0.25">
      <c r="I48" s="437"/>
      <c r="J48" s="437"/>
      <c r="K48" s="445" t="s">
        <v>779</v>
      </c>
      <c r="L48" s="779" t="s">
        <v>1083</v>
      </c>
      <c r="M48" s="456" t="s">
        <v>481</v>
      </c>
      <c r="N48" s="464" t="s">
        <v>780</v>
      </c>
      <c r="O48" s="446" t="s">
        <v>781</v>
      </c>
      <c r="P48" s="445"/>
      <c r="Q48" s="445" t="s">
        <v>779</v>
      </c>
      <c r="R48" s="779" t="s">
        <v>1083</v>
      </c>
      <c r="S48" s="456" t="s">
        <v>481</v>
      </c>
      <c r="T48" s="464" t="s">
        <v>780</v>
      </c>
      <c r="U48" s="446" t="s">
        <v>781</v>
      </c>
      <c r="V48" s="445"/>
      <c r="W48" s="445" t="s">
        <v>779</v>
      </c>
      <c r="X48" s="779" t="s">
        <v>1083</v>
      </c>
      <c r="Y48" s="456" t="s">
        <v>481</v>
      </c>
      <c r="Z48" s="464" t="s">
        <v>780</v>
      </c>
      <c r="AA48" s="446" t="s">
        <v>781</v>
      </c>
      <c r="AF48" s="453"/>
      <c r="AG48" s="453"/>
    </row>
    <row r="49" spans="9:33" ht="15.95" customHeight="1" thickBot="1" x14ac:dyDescent="0.25">
      <c r="I49" s="437"/>
      <c r="J49" s="437"/>
      <c r="K49" s="447">
        <f>K44+1</f>
        <v>13</v>
      </c>
      <c r="L49" s="472">
        <v>11</v>
      </c>
      <c r="M49" s="465" t="str">
        <f ca="1">IFERROR(VLOOKUP(L50,$G$5:$J$28,2,FALSE),"")</f>
        <v/>
      </c>
      <c r="N49" s="966"/>
      <c r="O49" s="780"/>
      <c r="Q49" s="447">
        <f>Q44+1</f>
        <v>13</v>
      </c>
      <c r="R49" s="472">
        <v>16</v>
      </c>
      <c r="S49" s="465" t="str">
        <f ca="1">IFERROR(VLOOKUP(R50,$G$5:$J$28,2,FALSE),"")</f>
        <v/>
      </c>
      <c r="T49" s="966"/>
      <c r="U49" s="780"/>
      <c r="W49" s="447">
        <f>W44+1</f>
        <v>13</v>
      </c>
      <c r="X49" s="472">
        <v>13</v>
      </c>
      <c r="Y49" s="465" t="str">
        <f ca="1">IFERROR(VLOOKUP(X50,$G$5:$J$28,2,FALSE),"")</f>
        <v/>
      </c>
      <c r="Z49" s="966"/>
      <c r="AA49" s="780"/>
      <c r="AF49" s="453"/>
      <c r="AG49" s="453"/>
    </row>
    <row r="50" spans="9:33" ht="15.95" customHeight="1" thickBot="1" x14ac:dyDescent="0.25">
      <c r="I50" s="437"/>
      <c r="J50" s="437"/>
      <c r="K50" s="447"/>
      <c r="L50" s="473" t="str">
        <f ca="1">VLOOKUP(L49,$A$5:$G$28,7,FALSE)</f>
        <v/>
      </c>
      <c r="M50" s="466" t="str">
        <f ca="1">IFERROR(VLOOKUP(L50,$G$5:$J$28,3,FALSE),"")</f>
        <v/>
      </c>
      <c r="N50" s="967"/>
      <c r="Q50" s="447"/>
      <c r="R50" s="473" t="str">
        <f>IF(ISBLANK(N35),"",IF(O35+N35&lt;N37+O37,L36,L38))</f>
        <v/>
      </c>
      <c r="S50" s="466" t="str">
        <f ca="1">IFERROR(VLOOKUP(R50,$G$5:$J$28,3,FALSE),"")</f>
        <v/>
      </c>
      <c r="T50" s="967"/>
      <c r="W50" s="447"/>
      <c r="X50" s="473" t="str">
        <f>IF(ISBLANK(T49),"",IF(U49+T49&gt;T51+U51,R50,R52))</f>
        <v/>
      </c>
      <c r="Y50" s="466" t="str">
        <f ca="1">IFERROR(VLOOKUP(X50,$G$5:$J$28,3,FALSE),"")</f>
        <v/>
      </c>
      <c r="Z50" s="967"/>
    </row>
    <row r="51" spans="9:33" ht="15.95" customHeight="1" thickBot="1" x14ac:dyDescent="0.25">
      <c r="I51" s="437"/>
      <c r="J51" s="437"/>
      <c r="K51" s="447">
        <f>K49+1</f>
        <v>14</v>
      </c>
      <c r="L51" s="472">
        <v>14</v>
      </c>
      <c r="M51" s="465" t="str">
        <f ca="1">IFERROR(VLOOKUP(L52,$G$5:$J$28,2,FALSE),"")</f>
        <v/>
      </c>
      <c r="N51" s="966"/>
      <c r="O51" s="780"/>
      <c r="Q51" s="447">
        <f>Q49+1</f>
        <v>14</v>
      </c>
      <c r="R51" s="472">
        <v>13</v>
      </c>
      <c r="S51" s="465" t="str">
        <f ca="1">IFERROR(VLOOKUP(R52,$G$5:$J$28,2,FALSE),"")</f>
        <v/>
      </c>
      <c r="T51" s="966"/>
      <c r="U51" s="780"/>
      <c r="W51" s="447">
        <f>W49+1</f>
        <v>14</v>
      </c>
      <c r="X51" s="472">
        <v>14</v>
      </c>
      <c r="Y51" s="465" t="str">
        <f ca="1">IFERROR(VLOOKUP(X52,$G$5:$J$28,2,FALSE),"")</f>
        <v/>
      </c>
      <c r="Z51" s="966"/>
      <c r="AA51" s="780"/>
    </row>
    <row r="52" spans="9:33" ht="15.95" customHeight="1" thickBot="1" x14ac:dyDescent="0.25">
      <c r="I52" s="437"/>
      <c r="J52" s="437"/>
      <c r="K52" s="447"/>
      <c r="L52" s="473" t="str">
        <f ca="1">VLOOKUP(L51,$A$5:$G$28,7,FALSE)</f>
        <v/>
      </c>
      <c r="M52" s="466" t="str">
        <f ca="1">IFERROR(VLOOKUP(L52,$G$5:$J$28,3,FALSE),"")</f>
        <v/>
      </c>
      <c r="N52" s="967"/>
      <c r="Q52" s="447"/>
      <c r="R52" s="473" t="str">
        <f>IF(ISBLANK(N42),"",IF(O42+N42&lt;N44+O44,L43,L45))</f>
        <v/>
      </c>
      <c r="S52" s="466" t="str">
        <f ca="1">IFERROR(VLOOKUP(R52,$G$5:$J$28,3,FALSE),"")</f>
        <v/>
      </c>
      <c r="T52" s="967"/>
      <c r="W52" s="447"/>
      <c r="X52" s="473" t="str">
        <f>IF(ISBLANK(T56),"",IF(U56+T56&gt;T58+U58,R57,R59))</f>
        <v/>
      </c>
      <c r="Y52" s="466" t="str">
        <f ca="1">IFERROR(VLOOKUP(X52,$G$5:$J$28,3,FALSE),"")</f>
        <v/>
      </c>
      <c r="Z52" s="967"/>
    </row>
    <row r="53" spans="9:33" ht="15.95" customHeight="1" x14ac:dyDescent="0.2">
      <c r="I53" s="437"/>
      <c r="J53" s="437"/>
      <c r="K53" s="447"/>
      <c r="L53" s="441"/>
      <c r="M53" s="441"/>
      <c r="Q53" s="447"/>
      <c r="R53" s="437"/>
      <c r="S53" s="437"/>
      <c r="T53" s="451"/>
      <c r="W53" s="447"/>
      <c r="X53" s="441"/>
      <c r="Y53" s="441"/>
    </row>
    <row r="54" spans="9:33" ht="15.95" customHeight="1" thickBot="1" x14ac:dyDescent="0.25">
      <c r="I54" s="437"/>
      <c r="J54" s="437"/>
      <c r="K54" s="450"/>
      <c r="L54" s="450"/>
      <c r="M54" s="450"/>
      <c r="N54" s="451"/>
      <c r="O54" s="450"/>
      <c r="P54" s="450"/>
      <c r="Q54" s="450"/>
      <c r="R54" s="437"/>
      <c r="S54" s="437"/>
      <c r="T54" s="451"/>
      <c r="U54" s="450"/>
      <c r="V54" s="450"/>
      <c r="W54" s="450"/>
      <c r="X54" s="979" t="s">
        <v>828</v>
      </c>
      <c r="Y54" s="1247"/>
      <c r="Z54" s="1247"/>
      <c r="AA54" s="450"/>
    </row>
    <row r="55" spans="9:33" ht="15.95" customHeight="1" thickBot="1" x14ac:dyDescent="0.25">
      <c r="I55" s="437"/>
      <c r="J55" s="437"/>
      <c r="K55" s="445" t="s">
        <v>779</v>
      </c>
      <c r="L55" s="779" t="s">
        <v>1083</v>
      </c>
      <c r="M55" s="456" t="s">
        <v>481</v>
      </c>
      <c r="N55" s="464" t="s">
        <v>780</v>
      </c>
      <c r="O55" s="446" t="s">
        <v>781</v>
      </c>
      <c r="P55" s="445"/>
      <c r="Q55" s="445" t="s">
        <v>779</v>
      </c>
      <c r="R55" s="779" t="s">
        <v>1083</v>
      </c>
      <c r="S55" s="456" t="s">
        <v>481</v>
      </c>
      <c r="T55" s="464" t="s">
        <v>780</v>
      </c>
      <c r="U55" s="446" t="s">
        <v>781</v>
      </c>
      <c r="V55" s="445"/>
      <c r="W55" s="445" t="s">
        <v>779</v>
      </c>
      <c r="X55" s="779" t="s">
        <v>1083</v>
      </c>
      <c r="Y55" s="456" t="s">
        <v>481</v>
      </c>
      <c r="Z55" s="464" t="s">
        <v>780</v>
      </c>
      <c r="AA55" s="446" t="s">
        <v>781</v>
      </c>
    </row>
    <row r="56" spans="9:33" ht="15.95" customHeight="1" thickBot="1" x14ac:dyDescent="0.25">
      <c r="I56" s="437"/>
      <c r="J56" s="437"/>
      <c r="K56" s="447">
        <f>K51+1</f>
        <v>15</v>
      </c>
      <c r="L56" s="472">
        <v>10</v>
      </c>
      <c r="M56" s="465" t="str">
        <f ca="1">IFERROR(VLOOKUP(L57,$G$5:$J$28,2,FALSE),"")</f>
        <v/>
      </c>
      <c r="N56" s="966"/>
      <c r="O56" s="780"/>
      <c r="Q56" s="447">
        <f>Q51+1</f>
        <v>15</v>
      </c>
      <c r="R56" s="472">
        <v>14</v>
      </c>
      <c r="S56" s="465" t="str">
        <f ca="1">IFERROR(VLOOKUP(R57,$G$5:$J$28,2,FALSE),"")</f>
        <v/>
      </c>
      <c r="T56" s="966"/>
      <c r="U56" s="780"/>
      <c r="W56" s="447">
        <f>W51+1</f>
        <v>15</v>
      </c>
      <c r="X56" s="472">
        <v>16</v>
      </c>
      <c r="Y56" s="465" t="str">
        <f ca="1">IFERROR(VLOOKUP(X57,$G$5:$J$28,2,FALSE),"")</f>
        <v/>
      </c>
      <c r="Z56" s="966"/>
      <c r="AA56" s="780"/>
    </row>
    <row r="57" spans="9:33" ht="15.95" customHeight="1" thickBot="1" x14ac:dyDescent="0.25">
      <c r="I57" s="437"/>
      <c r="J57" s="437"/>
      <c r="K57" s="447"/>
      <c r="L57" s="473" t="str">
        <f ca="1">VLOOKUP(L56,$A$5:$G$28,7,FALSE)</f>
        <v/>
      </c>
      <c r="M57" s="466" t="str">
        <f ca="1">IFERROR(VLOOKUP(L57,$G$5:$J$28,3,FALSE),"")</f>
        <v/>
      </c>
      <c r="N57" s="967"/>
      <c r="Q57" s="447"/>
      <c r="R57" s="473" t="str">
        <f>IF(ISBLANK(N49),"",IF(N49+O49&lt;N51+O51,L50,L52))</f>
        <v/>
      </c>
      <c r="S57" s="466" t="str">
        <f ca="1">IFERROR(VLOOKUP(R57,$G$5:$J$28,3,FALSE),"")</f>
        <v/>
      </c>
      <c r="T57" s="967"/>
      <c r="W57" s="447"/>
      <c r="X57" s="473" t="str">
        <f>IF(ISBLANK(T49),"",IF(U49+T49&lt;T51+U51,R50,R52))</f>
        <v/>
      </c>
      <c r="Y57" s="466" t="str">
        <f ca="1">IFERROR(VLOOKUP(X57,$G$5:$J$28,3,FALSE),"")</f>
        <v/>
      </c>
      <c r="Z57" s="967"/>
    </row>
    <row r="58" spans="9:33" ht="15.95" customHeight="1" thickBot="1" x14ac:dyDescent="0.25">
      <c r="I58" s="437"/>
      <c r="J58" s="437"/>
      <c r="K58" s="447">
        <f>K56+1</f>
        <v>16</v>
      </c>
      <c r="L58" s="472">
        <v>15</v>
      </c>
      <c r="M58" s="465" t="str">
        <f ca="1">IFERROR(VLOOKUP(L59,$G$5:$J$28,2,FALSE),"")</f>
        <v/>
      </c>
      <c r="N58" s="966"/>
      <c r="O58" s="780"/>
      <c r="Q58" s="447">
        <f>Q56+1</f>
        <v>16</v>
      </c>
      <c r="R58" s="472">
        <v>15</v>
      </c>
      <c r="S58" s="465" t="str">
        <f ca="1">IFERROR(VLOOKUP(R59,$G$5:$J$28,2,FALSE),"")</f>
        <v/>
      </c>
      <c r="T58" s="966"/>
      <c r="U58" s="780"/>
      <c r="W58" s="447">
        <f>W56+1</f>
        <v>16</v>
      </c>
      <c r="X58" s="472">
        <v>15</v>
      </c>
      <c r="Y58" s="465" t="str">
        <f ca="1">IFERROR(VLOOKUP(X59,$G$5:$J$28,2,FALSE),"")</f>
        <v/>
      </c>
      <c r="Z58" s="966"/>
      <c r="AA58" s="780"/>
    </row>
    <row r="59" spans="9:33" ht="15.95" customHeight="1" thickBot="1" x14ac:dyDescent="0.25">
      <c r="I59" s="437"/>
      <c r="J59" s="437"/>
      <c r="K59" s="447"/>
      <c r="L59" s="473" t="str">
        <f ca="1">VLOOKUP(L58,$A$5:$G$28,7,FALSE)</f>
        <v/>
      </c>
      <c r="M59" s="466" t="str">
        <f ca="1">IFERROR(VLOOKUP(L59,$G$5:$J$28,3,FALSE),"")</f>
        <v/>
      </c>
      <c r="N59" s="967"/>
      <c r="Q59" s="447"/>
      <c r="R59" s="473" t="str">
        <f>IF(ISBLANK(N56),"",IF(N56+O56&lt;N58+O58,L57,L59))</f>
        <v/>
      </c>
      <c r="S59" s="466" t="str">
        <f ca="1">IFERROR(VLOOKUP(R59,$G$5:$J$28,3,FALSE),"")</f>
        <v/>
      </c>
      <c r="T59" s="967"/>
      <c r="W59" s="447"/>
      <c r="X59" s="473" t="str">
        <f>IF(ISBLANK(T56),"",IF(U56+T56&lt;T58+U58,R57,R59))</f>
        <v/>
      </c>
      <c r="Y59" s="466" t="str">
        <f ca="1">IFERROR(VLOOKUP(X59,$G$5:$J$28,3,FALSE),"")</f>
        <v/>
      </c>
      <c r="Z59" s="967"/>
    </row>
    <row r="60" spans="9:33" ht="15.95" customHeight="1" x14ac:dyDescent="0.2">
      <c r="I60" s="437"/>
      <c r="J60" s="437"/>
      <c r="K60" s="447"/>
      <c r="Q60" s="447"/>
      <c r="W60" s="447"/>
    </row>
    <row r="61" spans="9:33" ht="15.95" customHeight="1" thickBot="1" x14ac:dyDescent="0.25">
      <c r="I61" s="437"/>
      <c r="J61" s="786"/>
      <c r="L61" s="979" t="s">
        <v>1327</v>
      </c>
      <c r="M61" s="1247"/>
      <c r="N61" s="1247"/>
      <c r="O61" s="443"/>
      <c r="P61" s="443"/>
      <c r="R61" s="979" t="s">
        <v>1328</v>
      </c>
      <c r="S61" s="1247"/>
      <c r="T61" s="1247"/>
      <c r="U61" s="443"/>
      <c r="V61" s="443"/>
      <c r="W61" s="445"/>
      <c r="X61" s="979" t="s">
        <v>831</v>
      </c>
      <c r="Y61" s="1247"/>
      <c r="Z61" s="1247"/>
      <c r="AA61" s="443"/>
    </row>
    <row r="62" spans="9:33" ht="15.95" customHeight="1" thickBot="1" x14ac:dyDescent="0.25">
      <c r="I62" s="437"/>
      <c r="J62" s="786"/>
      <c r="K62" s="445" t="s">
        <v>779</v>
      </c>
      <c r="L62" s="779" t="s">
        <v>1083</v>
      </c>
      <c r="M62" s="456" t="s">
        <v>481</v>
      </c>
      <c r="N62" s="464" t="s">
        <v>780</v>
      </c>
      <c r="O62" s="817" t="s">
        <v>781</v>
      </c>
      <c r="P62" s="445"/>
      <c r="Q62" s="445" t="s">
        <v>779</v>
      </c>
      <c r="R62" s="779" t="s">
        <v>1083</v>
      </c>
      <c r="S62" s="456" t="s">
        <v>481</v>
      </c>
      <c r="T62" s="464" t="s">
        <v>780</v>
      </c>
      <c r="U62" s="817" t="s">
        <v>781</v>
      </c>
      <c r="V62" s="445"/>
      <c r="W62" s="445" t="s">
        <v>779</v>
      </c>
      <c r="X62" s="779" t="s">
        <v>1083</v>
      </c>
      <c r="Y62" s="456" t="s">
        <v>481</v>
      </c>
      <c r="Z62" s="464" t="s">
        <v>780</v>
      </c>
      <c r="AA62" s="817" t="s">
        <v>781</v>
      </c>
    </row>
    <row r="63" spans="9:33" ht="15.95" customHeight="1" thickBot="1" x14ac:dyDescent="0.25">
      <c r="I63" s="437"/>
      <c r="J63" s="786"/>
      <c r="K63" s="447">
        <f>K58+1</f>
        <v>17</v>
      </c>
      <c r="L63" s="472">
        <v>17</v>
      </c>
      <c r="M63" s="465" t="str">
        <f ca="1">IFERROR(VLOOKUP(L64,$G$5:$J$28,2,FALSE),"")</f>
        <v/>
      </c>
      <c r="N63" s="966"/>
      <c r="O63" s="780"/>
      <c r="Q63" s="447">
        <f>K63</f>
        <v>17</v>
      </c>
      <c r="R63" s="472">
        <v>17</v>
      </c>
      <c r="S63" s="465" t="str">
        <f ca="1">IFERROR(VLOOKUP(R64,$G$5:$J$28,2,FALSE),"")</f>
        <v/>
      </c>
      <c r="T63" s="966"/>
      <c r="U63" s="780"/>
      <c r="W63" s="447">
        <f>Q63</f>
        <v>17</v>
      </c>
      <c r="X63" s="472">
        <v>17</v>
      </c>
      <c r="Y63" s="465" t="str">
        <f ca="1">IFERROR(VLOOKUP(X64,$G$5:$J$28,2,FALSE),"")</f>
        <v/>
      </c>
      <c r="Z63" s="966"/>
      <c r="AA63" s="780"/>
    </row>
    <row r="64" spans="9:33" ht="15.95" customHeight="1" thickBot="1" x14ac:dyDescent="0.25">
      <c r="I64" s="437"/>
      <c r="J64" s="786"/>
      <c r="K64" s="447"/>
      <c r="L64" s="473" t="str">
        <f ca="1">VLOOKUP(L63,$A$5:$G$28,7,FALSE)</f>
        <v/>
      </c>
      <c r="M64" s="466" t="str">
        <f ca="1">IFERROR(VLOOKUP(L64,$G$5:$J$28,3,FALSE),"")</f>
        <v/>
      </c>
      <c r="N64" s="967"/>
      <c r="O64" s="783"/>
      <c r="Q64" s="447"/>
      <c r="R64" s="473" t="str">
        <f ca="1">L64</f>
        <v/>
      </c>
      <c r="S64" s="466" t="str">
        <f ca="1">IFERROR(VLOOKUP(R64,$G$5:$J$28,3,FALSE),"")</f>
        <v/>
      </c>
      <c r="T64" s="967"/>
      <c r="U64" s="441" t="str">
        <f>IF(W90=1,1,IF(W90=2,4,IF(W90=3,5,"")))</f>
        <v/>
      </c>
      <c r="W64" s="447"/>
      <c r="X64" s="473" t="str">
        <f>IF(ISBLANK(T63),"",IF(U63+T63&gt;T65+U65,R64,R66))</f>
        <v/>
      </c>
      <c r="Y64" s="466" t="str">
        <f ca="1">IFERROR(VLOOKUP(X64,$G$5:$J$28,3,FALSE),"")</f>
        <v/>
      </c>
      <c r="Z64" s="967"/>
    </row>
    <row r="65" spans="9:36" ht="15.95" customHeight="1" thickBot="1" x14ac:dyDescent="0.25">
      <c r="I65" s="437"/>
      <c r="J65" s="786"/>
      <c r="K65" s="447"/>
      <c r="L65" s="516"/>
      <c r="M65" s="516"/>
      <c r="N65" s="457"/>
      <c r="Q65" s="447">
        <f>Q63+1</f>
        <v>18</v>
      </c>
      <c r="R65" s="472">
        <v>20</v>
      </c>
      <c r="S65" s="465" t="str">
        <f ca="1">IFERROR(VLOOKUP(R66,$G$5:$J$28,2,FALSE),"")</f>
        <v/>
      </c>
      <c r="T65" s="966"/>
      <c r="U65" s="780"/>
      <c r="W65" s="447">
        <f>W63+1</f>
        <v>18</v>
      </c>
      <c r="X65" s="472">
        <v>18</v>
      </c>
      <c r="Y65" s="465" t="str">
        <f ca="1">IFERROR(VLOOKUP(X66,$G$5:$J$28,2,FALSE),"")</f>
        <v/>
      </c>
      <c r="Z65" s="966"/>
      <c r="AA65" s="780"/>
      <c r="AH65" s="441"/>
      <c r="AI65" s="441"/>
      <c r="AJ65" s="447"/>
    </row>
    <row r="66" spans="9:36" ht="15.95" customHeight="1" thickBot="1" x14ac:dyDescent="0.25">
      <c r="I66" s="437"/>
      <c r="J66" s="786"/>
      <c r="K66" s="447"/>
      <c r="L66" s="516"/>
      <c r="M66" s="516"/>
      <c r="N66" s="457"/>
      <c r="Q66" s="447"/>
      <c r="R66" s="473" t="str">
        <f>IF(ISBLANK(N69),"",IF(O69+N69&gt;N71+O71,L70,L72))</f>
        <v/>
      </c>
      <c r="S66" s="466" t="str">
        <f ca="1">IFERROR(VLOOKUP(R66,$G$5:$J$28,3,FALSE),"")</f>
        <v/>
      </c>
      <c r="T66" s="967"/>
      <c r="U66" s="441" t="str">
        <f>IF(W91=1,1,IF(W91=2,4,IF(W91=3,5,"")))</f>
        <v/>
      </c>
      <c r="W66" s="447"/>
      <c r="X66" s="473" t="str">
        <f>IF(ISBLANK(T70),"",IF(U70+T70&gt;T72+U72,R71,R73))</f>
        <v/>
      </c>
      <c r="Y66" s="466" t="str">
        <f ca="1">IFERROR(VLOOKUP(X66,$G$5:$J$28,3,FALSE),"")</f>
        <v/>
      </c>
      <c r="Z66" s="967"/>
      <c r="AH66" s="441"/>
      <c r="AI66" s="441"/>
      <c r="AJ66" s="447"/>
    </row>
    <row r="67" spans="9:36" ht="15.95" customHeight="1" thickBot="1" x14ac:dyDescent="0.25">
      <c r="I67" s="437"/>
      <c r="J67" s="786"/>
      <c r="P67" s="450"/>
      <c r="V67" s="450"/>
      <c r="W67" s="450"/>
      <c r="X67" s="450"/>
      <c r="Y67" s="450"/>
      <c r="Z67" s="451"/>
      <c r="AA67" s="450"/>
      <c r="AH67" s="441"/>
      <c r="AI67" s="441"/>
      <c r="AJ67" s="441"/>
    </row>
    <row r="68" spans="9:36" ht="15.95" customHeight="1" thickBot="1" x14ac:dyDescent="0.25">
      <c r="I68" s="437"/>
      <c r="J68" s="786"/>
      <c r="K68" s="445" t="s">
        <v>779</v>
      </c>
      <c r="L68" s="779" t="s">
        <v>1083</v>
      </c>
      <c r="M68" s="456" t="s">
        <v>481</v>
      </c>
      <c r="N68" s="464" t="s">
        <v>780</v>
      </c>
      <c r="O68" s="817" t="s">
        <v>781</v>
      </c>
      <c r="P68" s="450"/>
      <c r="V68" s="450"/>
      <c r="AH68" s="441"/>
      <c r="AI68" s="441"/>
      <c r="AJ68" s="441"/>
    </row>
    <row r="69" spans="9:36" ht="15.95" customHeight="1" thickBot="1" x14ac:dyDescent="0.25">
      <c r="I69" s="437"/>
      <c r="J69" s="786"/>
      <c r="K69" s="447">
        <f>K63+1</f>
        <v>18</v>
      </c>
      <c r="L69" s="472">
        <v>20</v>
      </c>
      <c r="M69" s="465" t="str">
        <f ca="1">IFERROR(VLOOKUP(L70,$G$5:$J$28,2,FALSE),"")</f>
        <v/>
      </c>
      <c r="N69" s="966"/>
      <c r="O69" s="780"/>
      <c r="P69" s="445"/>
      <c r="R69" s="779" t="s">
        <v>1083</v>
      </c>
      <c r="S69" s="456" t="s">
        <v>481</v>
      </c>
      <c r="T69" s="464" t="s">
        <v>780</v>
      </c>
      <c r="V69" s="445"/>
      <c r="AH69" s="441"/>
      <c r="AI69" s="441"/>
      <c r="AJ69" s="450"/>
    </row>
    <row r="70" spans="9:36" ht="15.95" customHeight="1" thickBot="1" x14ac:dyDescent="0.25">
      <c r="I70" s="437"/>
      <c r="J70" s="786"/>
      <c r="K70" s="447"/>
      <c r="L70" s="473" t="str">
        <f ca="1">VLOOKUP(L69,$A$5:$G$28,7,FALSE)</f>
        <v/>
      </c>
      <c r="M70" s="466" t="str">
        <f ca="1">IFERROR(VLOOKUP(L70,$G$5:$J$28,3,FALSE),"")</f>
        <v/>
      </c>
      <c r="N70" s="967"/>
      <c r="Q70" s="447">
        <f>Q65+1</f>
        <v>19</v>
      </c>
      <c r="R70" s="472">
        <v>18</v>
      </c>
      <c r="S70" s="465" t="str">
        <f ca="1">IFERROR(VLOOKUP(R71,$G$5:$J$28,2,FALSE),"")</f>
        <v/>
      </c>
      <c r="T70" s="966"/>
      <c r="U70" s="780"/>
      <c r="W70" s="450"/>
      <c r="X70" s="979" t="s">
        <v>832</v>
      </c>
      <c r="Y70" s="1247"/>
      <c r="Z70" s="1247"/>
      <c r="AA70" s="450"/>
      <c r="AH70" s="441"/>
      <c r="AI70" s="441"/>
      <c r="AJ70" s="450"/>
    </row>
    <row r="71" spans="9:36" ht="15.95" customHeight="1" thickBot="1" x14ac:dyDescent="0.25">
      <c r="I71" s="437"/>
      <c r="J71" s="786"/>
      <c r="K71" s="447">
        <f>K69+1</f>
        <v>19</v>
      </c>
      <c r="L71" s="472">
        <v>21</v>
      </c>
      <c r="M71" s="465" t="str">
        <f ca="1">IFERROR(VLOOKUP(L72,$G$5:$J$28,2,FALSE),"")</f>
        <v/>
      </c>
      <c r="N71" s="966"/>
      <c r="O71" s="780"/>
      <c r="Q71" s="447"/>
      <c r="R71" s="473" t="str">
        <f ca="1">L77</f>
        <v/>
      </c>
      <c r="S71" s="466" t="str">
        <f ca="1">IFERROR(VLOOKUP(R71,$G$5:$J$28,3,FALSE),"")</f>
        <v/>
      </c>
      <c r="T71" s="967"/>
      <c r="U71" s="441" t="str">
        <f>IF(W92=1,1,IF(W92=2,4,IF(W92=3,5,"")))</f>
        <v/>
      </c>
      <c r="W71" s="445" t="s">
        <v>779</v>
      </c>
      <c r="X71" s="779" t="s">
        <v>1083</v>
      </c>
      <c r="Y71" s="456" t="s">
        <v>481</v>
      </c>
      <c r="Z71" s="464" t="s">
        <v>780</v>
      </c>
      <c r="AA71" s="817" t="s">
        <v>781</v>
      </c>
      <c r="AH71" s="441"/>
      <c r="AI71" s="441"/>
      <c r="AJ71" s="445"/>
    </row>
    <row r="72" spans="9:36" ht="15.95" customHeight="1" thickBot="1" x14ac:dyDescent="0.25">
      <c r="I72" s="437"/>
      <c r="J72" s="786"/>
      <c r="K72" s="447"/>
      <c r="L72" s="473" t="str">
        <f ca="1">VLOOKUP(L71,$A$5:$G$28,7,FALSE)</f>
        <v/>
      </c>
      <c r="M72" s="466" t="str">
        <f ca="1">IFERROR(VLOOKUP(L72,$G$5:$J$28,3,FALSE),"")</f>
        <v/>
      </c>
      <c r="N72" s="967"/>
      <c r="Q72" s="447">
        <f>Q70+1</f>
        <v>20</v>
      </c>
      <c r="R72" s="472">
        <v>19</v>
      </c>
      <c r="S72" s="465" t="str">
        <f ca="1">IFERROR(VLOOKUP(R73,$G$5:$J$28,2,FALSE),"")</f>
        <v/>
      </c>
      <c r="T72" s="966"/>
      <c r="U72" s="780"/>
      <c r="W72" s="447">
        <f>W65+1</f>
        <v>19</v>
      </c>
      <c r="X72" s="472">
        <v>20</v>
      </c>
      <c r="Y72" s="465" t="str">
        <f ca="1">IFERROR(VLOOKUP(X73,$G$5:$J$28,2,FALSE),"")</f>
        <v/>
      </c>
      <c r="Z72" s="966"/>
      <c r="AA72" s="780"/>
      <c r="AH72" s="441"/>
      <c r="AI72" s="441"/>
      <c r="AJ72" s="447"/>
    </row>
    <row r="73" spans="9:36" ht="15.95" customHeight="1" thickBot="1" x14ac:dyDescent="0.25">
      <c r="I73" s="437"/>
      <c r="J73" s="786"/>
      <c r="Q73" s="447"/>
      <c r="R73" s="473" t="str">
        <f ca="1">L79</f>
        <v/>
      </c>
      <c r="S73" s="466" t="str">
        <f ca="1">IFERROR(VLOOKUP(R73,$G$5:$J$28,3,FALSE),"")</f>
        <v/>
      </c>
      <c r="T73" s="967"/>
      <c r="W73" s="447"/>
      <c r="X73" s="473" t="str">
        <f>IF(ISBLANK(T63),"",IF(U63+T63&lt;T65+U65,R64,R66))</f>
        <v/>
      </c>
      <c r="Y73" s="466" t="str">
        <f ca="1">IFERROR(VLOOKUP(X73,$G$5:$J$28,3,FALSE),"")</f>
        <v/>
      </c>
      <c r="Z73" s="967"/>
      <c r="AA73" s="781"/>
      <c r="AH73" s="441"/>
      <c r="AI73" s="441"/>
      <c r="AJ73" s="447"/>
    </row>
    <row r="74" spans="9:36" ht="15.95" customHeight="1" thickBot="1" x14ac:dyDescent="0.25">
      <c r="I74" s="437"/>
      <c r="J74" s="786"/>
      <c r="P74" s="450"/>
      <c r="T74" s="441"/>
      <c r="V74" s="450"/>
      <c r="W74" s="447">
        <f>W72+1</f>
        <v>20</v>
      </c>
      <c r="X74" s="472">
        <v>19</v>
      </c>
      <c r="Y74" s="465" t="str">
        <f ca="1">IFERROR(VLOOKUP(X75,$G$5:$J$28,2,FALSE),"")</f>
        <v/>
      </c>
      <c r="Z74" s="966"/>
      <c r="AA74" s="780"/>
      <c r="AH74" s="441"/>
      <c r="AI74" s="441"/>
      <c r="AJ74" s="450"/>
    </row>
    <row r="75" spans="9:36" ht="15.95" customHeight="1" thickBot="1" x14ac:dyDescent="0.25">
      <c r="I75" s="437"/>
      <c r="J75" s="437"/>
      <c r="K75" s="445" t="s">
        <v>779</v>
      </c>
      <c r="L75" s="779" t="s">
        <v>1083</v>
      </c>
      <c r="M75" s="456" t="s">
        <v>481</v>
      </c>
      <c r="N75" s="464" t="s">
        <v>780</v>
      </c>
      <c r="P75" s="450"/>
      <c r="V75" s="450"/>
      <c r="W75" s="447"/>
      <c r="X75" s="473" t="str">
        <f>IF(ISBLANK(T70),"",IF(U70+T70&lt;T72+U72,R71,R73))</f>
        <v/>
      </c>
      <c r="Y75" s="466" t="str">
        <f ca="1">IFERROR(VLOOKUP(X75,$G$5:$J$28,3,FALSE),"")</f>
        <v/>
      </c>
      <c r="Z75" s="967"/>
      <c r="AA75" s="781"/>
      <c r="AB75" s="435" t="s">
        <v>793</v>
      </c>
      <c r="AH75" s="441"/>
      <c r="AI75" s="441"/>
      <c r="AJ75" s="450"/>
    </row>
    <row r="76" spans="9:36" ht="15.95" customHeight="1" thickBot="1" x14ac:dyDescent="0.25">
      <c r="I76" s="437"/>
      <c r="J76" s="437"/>
      <c r="K76" s="447">
        <f>K71+1</f>
        <v>20</v>
      </c>
      <c r="L76" s="472">
        <v>18</v>
      </c>
      <c r="M76" s="465" t="str">
        <f ca="1">IFERROR(VLOOKUP(L77,$G$5:$J$28,2,FALSE),"")</f>
        <v/>
      </c>
      <c r="N76" s="966"/>
      <c r="P76" s="445"/>
      <c r="R76" s="979" t="s">
        <v>1349</v>
      </c>
      <c r="S76" s="1247" t="s">
        <v>1307</v>
      </c>
      <c r="T76" s="1247"/>
      <c r="V76" s="445"/>
      <c r="AH76" s="441"/>
      <c r="AI76" s="441"/>
      <c r="AJ76" s="450"/>
    </row>
    <row r="77" spans="9:36" ht="15.95" customHeight="1" thickBot="1" x14ac:dyDescent="0.25">
      <c r="I77" s="437"/>
      <c r="J77" s="437"/>
      <c r="K77" s="447"/>
      <c r="L77" s="473" t="str">
        <f ca="1">VLOOKUP(L76,$A$5:$G$28,7,FALSE)</f>
        <v/>
      </c>
      <c r="M77" s="466" t="str">
        <f ca="1">IFERROR(VLOOKUP(L77,$G$5:$J$28,3,FALSE),"")</f>
        <v/>
      </c>
      <c r="N77" s="967"/>
      <c r="Q77" s="445" t="s">
        <v>779</v>
      </c>
      <c r="R77" s="779" t="s">
        <v>1083</v>
      </c>
      <c r="S77" s="456" t="s">
        <v>481</v>
      </c>
      <c r="T77" s="464" t="s">
        <v>780</v>
      </c>
      <c r="U77" s="817" t="s">
        <v>781</v>
      </c>
      <c r="AH77" s="441"/>
      <c r="AI77" s="441"/>
      <c r="AJ77" s="450"/>
    </row>
    <row r="78" spans="9:36" ht="15.95" customHeight="1" thickBot="1" x14ac:dyDescent="0.25">
      <c r="I78" s="437"/>
      <c r="J78" s="437"/>
      <c r="K78" s="447">
        <f>K76+1</f>
        <v>21</v>
      </c>
      <c r="L78" s="472">
        <v>19</v>
      </c>
      <c r="M78" s="465" t="str">
        <f ca="1">IFERROR(VLOOKUP(L79,$G$5:$J$28,2,FALSE),"")</f>
        <v/>
      </c>
      <c r="N78" s="966"/>
      <c r="Q78" s="447">
        <f>Q72+1</f>
        <v>21</v>
      </c>
      <c r="R78" s="472">
        <v>21</v>
      </c>
      <c r="S78" s="465" t="str">
        <f ca="1">IFERROR(VLOOKUP(R79,$G$5:$J$28,2,FALSE),"")</f>
        <v/>
      </c>
      <c r="T78" s="966"/>
      <c r="U78" s="780"/>
      <c r="AH78" s="441"/>
      <c r="AI78" s="441"/>
      <c r="AJ78" s="445"/>
    </row>
    <row r="79" spans="9:36" ht="15.95" customHeight="1" thickBot="1" x14ac:dyDescent="0.25">
      <c r="I79" s="437"/>
      <c r="J79" s="437"/>
      <c r="K79" s="447"/>
      <c r="L79" s="473" t="str">
        <f ca="1">VLOOKUP(L78,$A$5:$G$28,7,FALSE)</f>
        <v/>
      </c>
      <c r="M79" s="466" t="str">
        <f ca="1">IFERROR(VLOOKUP(L79,$G$5:$J$28,3,FALSE),"")</f>
        <v/>
      </c>
      <c r="N79" s="967"/>
      <c r="Q79" s="447"/>
      <c r="R79" s="473" t="str">
        <f>IF(ISBLANK(N69),"",IF(O69+N69&lt;N71+O71,L70,L72))</f>
        <v/>
      </c>
      <c r="S79" s="466" t="str">
        <f ca="1">IFERROR(VLOOKUP(R79,$G$5:$J$28,3,FALSE),"")</f>
        <v/>
      </c>
      <c r="T79" s="967"/>
      <c r="V79" s="447"/>
      <c r="AH79" s="441"/>
      <c r="AI79" s="441"/>
      <c r="AJ79" s="447"/>
    </row>
    <row r="80" spans="9:36" ht="15.95" customHeight="1" x14ac:dyDescent="0.2">
      <c r="I80" s="437"/>
      <c r="J80" s="437"/>
      <c r="V80" s="447"/>
      <c r="AH80" s="441"/>
      <c r="AI80" s="441"/>
      <c r="AJ80" s="447"/>
    </row>
    <row r="81" spans="9:36" ht="15.95" customHeight="1" x14ac:dyDescent="0.2">
      <c r="I81" s="437"/>
      <c r="J81" s="437"/>
      <c r="V81" s="447"/>
      <c r="AH81" s="441"/>
      <c r="AI81" s="441"/>
      <c r="AJ81" s="447"/>
    </row>
    <row r="82" spans="9:36" ht="15.95" customHeight="1" x14ac:dyDescent="0.2">
      <c r="I82" s="437"/>
      <c r="J82" s="437"/>
      <c r="K82" s="445"/>
      <c r="L82" s="445"/>
      <c r="M82" s="445"/>
      <c r="N82" s="445"/>
      <c r="O82" s="445"/>
      <c r="P82" s="450"/>
      <c r="V82" s="450"/>
      <c r="AH82" s="441"/>
      <c r="AI82" s="441"/>
      <c r="AJ82" s="450"/>
    </row>
    <row r="83" spans="9:36" ht="15.95" customHeight="1" x14ac:dyDescent="0.2">
      <c r="I83" s="437"/>
      <c r="J83" s="437"/>
      <c r="L83" s="816"/>
      <c r="M83" s="816"/>
      <c r="N83" s="815"/>
      <c r="O83" s="778"/>
      <c r="P83" s="445"/>
      <c r="Q83" s="778"/>
      <c r="R83" s="778"/>
      <c r="S83" s="778"/>
      <c r="T83" s="815"/>
      <c r="U83" s="778"/>
      <c r="V83" s="450"/>
      <c r="W83" s="778"/>
      <c r="X83" s="816"/>
      <c r="Y83" s="816"/>
      <c r="Z83" s="815"/>
      <c r="AA83" s="778"/>
      <c r="AB83" s="816"/>
      <c r="AC83" s="816"/>
      <c r="AH83" s="441"/>
      <c r="AI83" s="441"/>
      <c r="AJ83" s="445"/>
    </row>
    <row r="84" spans="9:36" ht="15.95" customHeight="1" x14ac:dyDescent="0.2">
      <c r="I84" s="437"/>
      <c r="J84" s="437"/>
      <c r="O84" s="443"/>
      <c r="P84" s="778"/>
      <c r="Q84" s="450"/>
      <c r="R84" s="437"/>
      <c r="S84" s="437"/>
      <c r="T84" s="451"/>
      <c r="U84" s="450"/>
      <c r="V84" s="450"/>
      <c r="W84" s="450"/>
      <c r="X84" s="516"/>
      <c r="Y84" s="516"/>
      <c r="Z84" s="815"/>
      <c r="AA84" s="778"/>
      <c r="AB84" s="816"/>
      <c r="AC84" s="816"/>
      <c r="AH84" s="441"/>
      <c r="AI84" s="441"/>
      <c r="AJ84" s="447"/>
    </row>
    <row r="85" spans="9:36" ht="15.95" customHeight="1" x14ac:dyDescent="0.2">
      <c r="I85" s="437"/>
      <c r="J85" s="437"/>
      <c r="O85" s="443"/>
      <c r="P85" s="778"/>
      <c r="Q85" s="450"/>
      <c r="R85" s="437"/>
      <c r="S85" s="437"/>
      <c r="T85" s="451"/>
      <c r="U85" s="450"/>
      <c r="V85" s="450"/>
      <c r="W85" s="450"/>
      <c r="X85" s="516"/>
      <c r="Y85" s="516"/>
      <c r="Z85" s="815"/>
      <c r="AA85" s="778"/>
      <c r="AB85" s="816"/>
      <c r="AC85" s="816"/>
      <c r="AH85" s="441"/>
      <c r="AI85" s="441"/>
      <c r="AJ85" s="447"/>
    </row>
    <row r="86" spans="9:36" ht="15.95" customHeight="1" x14ac:dyDescent="0.2">
      <c r="K86" s="447"/>
      <c r="L86" s="516"/>
      <c r="M86" s="516"/>
      <c r="N86" s="457"/>
      <c r="O86" s="443"/>
      <c r="P86" s="778"/>
      <c r="Q86" s="450"/>
      <c r="R86" s="437"/>
      <c r="S86" s="437"/>
      <c r="T86" s="451"/>
      <c r="U86" s="450"/>
      <c r="V86" s="450"/>
      <c r="W86" s="450"/>
      <c r="X86" s="516"/>
      <c r="Y86" s="516"/>
      <c r="Z86" s="815"/>
      <c r="AA86" s="778"/>
      <c r="AB86" s="816"/>
      <c r="AC86" s="816"/>
      <c r="AH86" s="441"/>
      <c r="AI86" s="441"/>
      <c r="AJ86" s="441"/>
    </row>
    <row r="87" spans="9:36" ht="15.95" customHeight="1" x14ac:dyDescent="0.2">
      <c r="K87" s="447"/>
      <c r="L87" s="516"/>
      <c r="M87" s="516"/>
      <c r="N87" s="457"/>
      <c r="P87" s="778"/>
      <c r="Q87" s="450"/>
      <c r="R87" s="516"/>
      <c r="S87" s="883"/>
      <c r="T87" s="451"/>
      <c r="U87" s="450"/>
      <c r="V87" s="450"/>
      <c r="W87" s="450"/>
      <c r="X87" s="516"/>
      <c r="Y87" s="516"/>
      <c r="Z87" s="815"/>
      <c r="AA87" s="778"/>
      <c r="AB87" s="816"/>
      <c r="AC87" s="816"/>
      <c r="AH87" s="441"/>
      <c r="AI87" s="441"/>
      <c r="AJ87" s="441"/>
    </row>
    <row r="88" spans="9:36" ht="15.95" customHeight="1" x14ac:dyDescent="0.2">
      <c r="K88" s="450"/>
      <c r="L88" s="437"/>
      <c r="M88" s="437"/>
      <c r="N88" s="451"/>
      <c r="O88" s="450"/>
      <c r="P88" s="450"/>
      <c r="Q88" s="450"/>
      <c r="R88" s="516"/>
      <c r="S88" s="883"/>
      <c r="T88" s="451"/>
      <c r="U88" s="450"/>
      <c r="V88" s="450"/>
      <c r="W88" s="450"/>
      <c r="X88" s="516"/>
      <c r="Y88" s="516"/>
      <c r="Z88" s="815"/>
      <c r="AA88" s="778"/>
      <c r="AB88" s="816"/>
      <c r="AC88" s="816"/>
    </row>
    <row r="89" spans="9:36" ht="15.95" customHeight="1" x14ac:dyDescent="0.2">
      <c r="K89" s="450"/>
      <c r="L89" s="516"/>
      <c r="M89" s="516"/>
      <c r="N89" s="457"/>
      <c r="P89" s="778"/>
      <c r="Q89" s="450"/>
      <c r="R89" s="516"/>
      <c r="S89" s="883"/>
      <c r="T89" s="457"/>
      <c r="U89" s="778"/>
      <c r="V89" s="450"/>
      <c r="W89" s="450"/>
      <c r="X89" s="516"/>
      <c r="Y89" s="516"/>
      <c r="Z89" s="457"/>
      <c r="AA89" s="778"/>
      <c r="AB89" s="816"/>
      <c r="AC89" s="816"/>
    </row>
    <row r="90" spans="9:36" ht="15.95" customHeight="1" x14ac:dyDescent="0.2">
      <c r="K90" s="445"/>
      <c r="L90" s="914"/>
      <c r="O90" s="445"/>
      <c r="P90" s="445"/>
      <c r="Q90" s="445"/>
      <c r="R90" s="914"/>
      <c r="S90" s="435"/>
      <c r="U90" s="445"/>
      <c r="V90" s="445"/>
      <c r="W90" s="445"/>
      <c r="X90" s="914"/>
      <c r="AA90" s="445"/>
    </row>
    <row r="91" spans="9:36" ht="15.95" customHeight="1" x14ac:dyDescent="0.2">
      <c r="K91" s="445"/>
      <c r="L91" s="914"/>
      <c r="O91" s="445"/>
      <c r="P91" s="445"/>
      <c r="Q91" s="445"/>
      <c r="R91" s="914"/>
      <c r="S91" s="435"/>
      <c r="U91" s="445"/>
      <c r="V91" s="445"/>
      <c r="W91" s="445"/>
      <c r="X91" s="914"/>
      <c r="AA91" s="445"/>
    </row>
    <row r="92" spans="9:36" ht="15.95" customHeight="1" x14ac:dyDescent="0.2">
      <c r="K92" s="445"/>
      <c r="L92" s="914"/>
      <c r="O92" s="445"/>
      <c r="P92" s="445"/>
      <c r="Q92" s="445"/>
      <c r="R92" s="914"/>
      <c r="S92" s="435"/>
      <c r="U92" s="445"/>
      <c r="V92" s="445"/>
      <c r="W92" s="445"/>
      <c r="X92" s="914"/>
      <c r="AA92" s="445"/>
    </row>
    <row r="93" spans="9:36" ht="15.95" customHeight="1" x14ac:dyDescent="0.2">
      <c r="K93" s="435"/>
      <c r="P93" s="778"/>
      <c r="Q93" s="778"/>
      <c r="R93" s="778"/>
      <c r="S93" s="778"/>
      <c r="T93" s="815"/>
      <c r="U93" s="778"/>
      <c r="V93" s="778"/>
    </row>
    <row r="94" spans="9:36" ht="15.95" customHeight="1" x14ac:dyDescent="0.2">
      <c r="K94" s="435"/>
      <c r="P94" s="778"/>
      <c r="Q94" s="778"/>
      <c r="R94" s="778"/>
      <c r="S94" s="778"/>
      <c r="T94" s="815"/>
      <c r="U94" s="778"/>
      <c r="V94" s="778"/>
    </row>
    <row r="95" spans="9:36" ht="15.95" customHeight="1" x14ac:dyDescent="0.2">
      <c r="K95" s="435"/>
      <c r="S95" s="450"/>
    </row>
    <row r="96" spans="9:36" ht="15.95" customHeight="1" x14ac:dyDescent="0.2">
      <c r="K96" s="435"/>
      <c r="S96" s="450"/>
    </row>
    <row r="97" ht="15.95" customHeight="1" x14ac:dyDescent="0.2"/>
    <row r="98" ht="15.95" customHeight="1" x14ac:dyDescent="0.2"/>
    <row r="99" ht="15.95" customHeight="1" x14ac:dyDescent="0.2"/>
    <row r="100" ht="15.95" customHeight="1" x14ac:dyDescent="0.2"/>
    <row r="101" ht="15.95" customHeight="1" x14ac:dyDescent="0.2"/>
    <row r="102" ht="15.95" customHeight="1" x14ac:dyDescent="0.2"/>
    <row r="103" ht="15.95" customHeight="1" x14ac:dyDescent="0.2"/>
    <row r="104" ht="15.95" customHeight="1" x14ac:dyDescent="0.2"/>
    <row r="105" ht="15.95" customHeight="1" x14ac:dyDescent="0.2"/>
    <row r="106" ht="15.95" customHeight="1" x14ac:dyDescent="0.2"/>
    <row r="107" ht="15.95" customHeight="1" x14ac:dyDescent="0.2"/>
    <row r="108" ht="15.95" customHeight="1" x14ac:dyDescent="0.2"/>
    <row r="109" ht="15.95" customHeight="1" x14ac:dyDescent="0.2"/>
    <row r="110" ht="15.95" customHeight="1" x14ac:dyDescent="0.2"/>
    <row r="111" ht="15.95" customHeight="1" x14ac:dyDescent="0.2"/>
    <row r="112" ht="15.95" customHeight="1" x14ac:dyDescent="0.2"/>
    <row r="113" ht="15.95" customHeight="1" x14ac:dyDescent="0.2"/>
    <row r="114" ht="15.95" customHeight="1" x14ac:dyDescent="0.2"/>
    <row r="115" ht="15.95" customHeight="1" x14ac:dyDescent="0.2"/>
    <row r="116" ht="15.95" customHeight="1" x14ac:dyDescent="0.2"/>
    <row r="117" ht="15.95" customHeight="1" x14ac:dyDescent="0.2"/>
    <row r="118" ht="15.95" customHeight="1" x14ac:dyDescent="0.2"/>
    <row r="119" ht="15.95" customHeight="1" x14ac:dyDescent="0.2"/>
    <row r="120" ht="15.95" customHeight="1" x14ac:dyDescent="0.2"/>
    <row r="121" ht="15.95" customHeight="1" x14ac:dyDescent="0.2"/>
    <row r="122" ht="15.95" customHeight="1" x14ac:dyDescent="0.2"/>
    <row r="123" ht="15.95" customHeight="1" x14ac:dyDescent="0.2"/>
    <row r="124" ht="15.95" customHeight="1" x14ac:dyDescent="0.2"/>
    <row r="125" ht="15.95" customHeight="1" x14ac:dyDescent="0.2"/>
    <row r="126" ht="15.95" customHeight="1" x14ac:dyDescent="0.2"/>
    <row r="127" ht="15.95" customHeight="1" x14ac:dyDescent="0.2"/>
    <row r="128" ht="15.95" customHeight="1" x14ac:dyDescent="0.2"/>
    <row r="129" ht="15.95" customHeight="1" x14ac:dyDescent="0.2"/>
    <row r="130" ht="15.95" customHeight="1" x14ac:dyDescent="0.2"/>
    <row r="131" ht="15.95" customHeight="1" x14ac:dyDescent="0.2"/>
    <row r="132" ht="15.95" customHeight="1" x14ac:dyDescent="0.2"/>
    <row r="133" ht="15.95" customHeight="1" x14ac:dyDescent="0.2"/>
    <row r="134" ht="15.95" customHeight="1" x14ac:dyDescent="0.2"/>
    <row r="135" ht="15.95" customHeight="1" x14ac:dyDescent="0.2"/>
    <row r="136" ht="15.95" customHeight="1" x14ac:dyDescent="0.2"/>
    <row r="137" ht="15.95" customHeight="1" x14ac:dyDescent="0.2"/>
    <row r="138" ht="15.95" customHeight="1" x14ac:dyDescent="0.2"/>
    <row r="139" ht="15.95" customHeight="1" x14ac:dyDescent="0.2"/>
    <row r="140" ht="15.95" customHeight="1" x14ac:dyDescent="0.2"/>
    <row r="141" ht="15.95" customHeight="1" x14ac:dyDescent="0.2"/>
    <row r="142" ht="15.95" customHeight="1" x14ac:dyDescent="0.2"/>
    <row r="143" ht="15.95" customHeight="1" x14ac:dyDescent="0.2"/>
    <row r="144" ht="15.95" customHeight="1" x14ac:dyDescent="0.2"/>
    <row r="145" ht="15.95" customHeight="1" x14ac:dyDescent="0.2"/>
    <row r="146" ht="15.95" customHeight="1" x14ac:dyDescent="0.2"/>
    <row r="147" ht="15.95" customHeight="1" x14ac:dyDescent="0.2"/>
    <row r="148" ht="15.95" customHeight="1" x14ac:dyDescent="0.2"/>
  </sheetData>
  <sheetProtection selectLockedCells="1"/>
  <mergeCells count="91">
    <mergeCell ref="K1:AA1"/>
    <mergeCell ref="AF1:AJ1"/>
    <mergeCell ref="K2:Z2"/>
    <mergeCell ref="AF2:AJ2"/>
    <mergeCell ref="N3:X3"/>
    <mergeCell ref="AF3:AJ3"/>
    <mergeCell ref="K4:N4"/>
    <mergeCell ref="Q4:T4"/>
    <mergeCell ref="W4:Z4"/>
    <mergeCell ref="AH4:AJ5"/>
    <mergeCell ref="L5:N5"/>
    <mergeCell ref="R5:T5"/>
    <mergeCell ref="X5:Z5"/>
    <mergeCell ref="N7:N8"/>
    <mergeCell ref="T7:T8"/>
    <mergeCell ref="Z7:Z8"/>
    <mergeCell ref="N9:N10"/>
    <mergeCell ref="T9:T10"/>
    <mergeCell ref="Z9:Z10"/>
    <mergeCell ref="N23:N24"/>
    <mergeCell ref="T23:T24"/>
    <mergeCell ref="Z23:Z24"/>
    <mergeCell ref="X12:Z12"/>
    <mergeCell ref="N14:N15"/>
    <mergeCell ref="T14:T15"/>
    <mergeCell ref="Z14:Z15"/>
    <mergeCell ref="N16:N17"/>
    <mergeCell ref="T16:T17"/>
    <mergeCell ref="Z16:Z17"/>
    <mergeCell ref="R19:T19"/>
    <mergeCell ref="X19:Z19"/>
    <mergeCell ref="N21:N22"/>
    <mergeCell ref="T21:T22"/>
    <mergeCell ref="Z21:Z22"/>
    <mergeCell ref="X26:Z26"/>
    <mergeCell ref="N28:N29"/>
    <mergeCell ref="T28:T29"/>
    <mergeCell ref="Z28:Z29"/>
    <mergeCell ref="N30:N31"/>
    <mergeCell ref="T30:T31"/>
    <mergeCell ref="Z30:Z31"/>
    <mergeCell ref="L33:N33"/>
    <mergeCell ref="R33:T33"/>
    <mergeCell ref="X33:Z33"/>
    <mergeCell ref="N35:N36"/>
    <mergeCell ref="T35:T36"/>
    <mergeCell ref="Z35:Z36"/>
    <mergeCell ref="N49:N50"/>
    <mergeCell ref="T49:T50"/>
    <mergeCell ref="Z49:Z50"/>
    <mergeCell ref="N37:N38"/>
    <mergeCell ref="T37:T38"/>
    <mergeCell ref="Z37:Z38"/>
    <mergeCell ref="X40:Z40"/>
    <mergeCell ref="N42:N43"/>
    <mergeCell ref="T42:T43"/>
    <mergeCell ref="Z42:Z43"/>
    <mergeCell ref="N44:N45"/>
    <mergeCell ref="T44:T45"/>
    <mergeCell ref="Z44:Z45"/>
    <mergeCell ref="R47:T47"/>
    <mergeCell ref="X47:Z47"/>
    <mergeCell ref="N51:N52"/>
    <mergeCell ref="T51:T52"/>
    <mergeCell ref="Z51:Z52"/>
    <mergeCell ref="X54:Z54"/>
    <mergeCell ref="N56:N57"/>
    <mergeCell ref="T56:T57"/>
    <mergeCell ref="Z56:Z57"/>
    <mergeCell ref="N58:N59"/>
    <mergeCell ref="T58:T59"/>
    <mergeCell ref="Z58:Z59"/>
    <mergeCell ref="L61:N61"/>
    <mergeCell ref="R61:T61"/>
    <mergeCell ref="X61:Z61"/>
    <mergeCell ref="N63:N64"/>
    <mergeCell ref="T63:T64"/>
    <mergeCell ref="Z63:Z64"/>
    <mergeCell ref="T65:T66"/>
    <mergeCell ref="Z65:Z66"/>
    <mergeCell ref="R76:T76"/>
    <mergeCell ref="T78:T79"/>
    <mergeCell ref="N78:N79"/>
    <mergeCell ref="N69:N70"/>
    <mergeCell ref="X70:Z70"/>
    <mergeCell ref="N71:N72"/>
    <mergeCell ref="Z74:Z75"/>
    <mergeCell ref="N76:N77"/>
    <mergeCell ref="T70:T71"/>
    <mergeCell ref="T72:T73"/>
    <mergeCell ref="Z72:Z73"/>
  </mergeCells>
  <conditionalFormatting sqref="O7:O8">
    <cfRule type="expression" priority="289" stopIfTrue="1">
      <formula>IF(N7="",1)</formula>
    </cfRule>
    <cfRule type="expression" dxfId="904" priority="291">
      <formula>IF(N7=N9,1,0)</formula>
    </cfRule>
  </conditionalFormatting>
  <conditionalFormatting sqref="O9">
    <cfRule type="expression" priority="288" stopIfTrue="1">
      <formula>IF(N9="",1,0)</formula>
    </cfRule>
    <cfRule type="expression" dxfId="903" priority="290">
      <formula>IF(N7=N9,1,0)</formula>
    </cfRule>
  </conditionalFormatting>
  <conditionalFormatting sqref="S7">
    <cfRule type="expression" dxfId="902" priority="287">
      <formula>IF(T7+U7&gt;T9+U9,1,0)</formula>
    </cfRule>
  </conditionalFormatting>
  <conditionalFormatting sqref="S9">
    <cfRule type="expression" dxfId="901" priority="286">
      <formula>IF(T9+U9&gt;T11+U11,1,0)</formula>
    </cfRule>
  </conditionalFormatting>
  <conditionalFormatting sqref="S14">
    <cfRule type="expression" dxfId="900" priority="285">
      <formula>IF(T14+U14&gt;T16+U16,1,0)</formula>
    </cfRule>
  </conditionalFormatting>
  <conditionalFormatting sqref="S16">
    <cfRule type="expression" dxfId="899" priority="284">
      <formula>IF(T16+U16&gt;T18+U18,1,0)</formula>
    </cfRule>
  </conditionalFormatting>
  <conditionalFormatting sqref="S21">
    <cfRule type="expression" dxfId="898" priority="283">
      <formula>IF(T21+U21&gt;T23+U23,1,0)</formula>
    </cfRule>
  </conditionalFormatting>
  <conditionalFormatting sqref="S23">
    <cfRule type="expression" dxfId="897" priority="282">
      <formula>IF(T23+U23&gt;T25+U25,1,0)</formula>
    </cfRule>
  </conditionalFormatting>
  <conditionalFormatting sqref="O14:O15">
    <cfRule type="expression" priority="279" stopIfTrue="1">
      <formula>IF(N14="",1)</formula>
    </cfRule>
    <cfRule type="expression" dxfId="896" priority="281">
      <formula>IF(N14=N16,1,0)</formula>
    </cfRule>
  </conditionalFormatting>
  <conditionalFormatting sqref="O16">
    <cfRule type="expression" priority="278" stopIfTrue="1">
      <formula>IF(N16="",1,0)</formula>
    </cfRule>
    <cfRule type="expression" dxfId="895" priority="280">
      <formula>IF(N14=N16,1,0)</formula>
    </cfRule>
  </conditionalFormatting>
  <conditionalFormatting sqref="O21:O22">
    <cfRule type="expression" priority="275" stopIfTrue="1">
      <formula>IF(N21="",1)</formula>
    </cfRule>
    <cfRule type="expression" dxfId="894" priority="277">
      <formula>IF(N21=N23,1,0)</formula>
    </cfRule>
  </conditionalFormatting>
  <conditionalFormatting sqref="O23">
    <cfRule type="expression" priority="274" stopIfTrue="1">
      <formula>IF(N23="",1,0)</formula>
    </cfRule>
    <cfRule type="expression" dxfId="893" priority="276">
      <formula>IF(N21=N23,1,0)</formula>
    </cfRule>
  </conditionalFormatting>
  <conditionalFormatting sqref="O28:O29">
    <cfRule type="expression" priority="271" stopIfTrue="1">
      <formula>IF(N28="",1)</formula>
    </cfRule>
    <cfRule type="expression" dxfId="892" priority="273">
      <formula>IF(N28=N30,1,0)</formula>
    </cfRule>
  </conditionalFormatting>
  <conditionalFormatting sqref="O30">
    <cfRule type="expression" priority="270" stopIfTrue="1">
      <formula>IF(N30="",1,0)</formula>
    </cfRule>
    <cfRule type="expression" dxfId="891" priority="272">
      <formula>IF(N28=N30,1,0)</formula>
    </cfRule>
  </conditionalFormatting>
  <conditionalFormatting sqref="U7:U8">
    <cfRule type="expression" priority="267" stopIfTrue="1">
      <formula>IF(T7="",1)</formula>
    </cfRule>
    <cfRule type="expression" dxfId="890" priority="269">
      <formula>IF(T7=T9,1,0)</formula>
    </cfRule>
  </conditionalFormatting>
  <conditionalFormatting sqref="U9">
    <cfRule type="expression" priority="266" stopIfTrue="1">
      <formula>IF(T9="",1,0)</formula>
    </cfRule>
    <cfRule type="expression" dxfId="889" priority="268">
      <formula>IF(T7=T9,1,0)</formula>
    </cfRule>
  </conditionalFormatting>
  <conditionalFormatting sqref="U14:U15">
    <cfRule type="expression" priority="263" stopIfTrue="1">
      <formula>IF(T14="",1)</formula>
    </cfRule>
    <cfRule type="expression" dxfId="888" priority="265">
      <formula>IF(T14=T16,1,0)</formula>
    </cfRule>
  </conditionalFormatting>
  <conditionalFormatting sqref="U16">
    <cfRule type="expression" priority="262" stopIfTrue="1">
      <formula>IF(T16="",1,0)</formula>
    </cfRule>
    <cfRule type="expression" dxfId="887" priority="264">
      <formula>IF(T14=T16,1,0)</formula>
    </cfRule>
  </conditionalFormatting>
  <conditionalFormatting sqref="U21:U22">
    <cfRule type="expression" priority="259" stopIfTrue="1">
      <formula>IF(T21="",1)</formula>
    </cfRule>
    <cfRule type="expression" dxfId="886" priority="261">
      <formula>IF(T21=T23,1,0)</formula>
    </cfRule>
  </conditionalFormatting>
  <conditionalFormatting sqref="U23">
    <cfRule type="expression" priority="258" stopIfTrue="1">
      <formula>IF(T23="",1,0)</formula>
    </cfRule>
    <cfRule type="expression" dxfId="885" priority="260">
      <formula>IF(T21=T23,1,0)</formula>
    </cfRule>
  </conditionalFormatting>
  <conditionalFormatting sqref="U28:U29">
    <cfRule type="expression" priority="255" stopIfTrue="1">
      <formula>IF(T28="",1)</formula>
    </cfRule>
    <cfRule type="expression" dxfId="884" priority="257">
      <formula>IF(T28=T30,1,0)</formula>
    </cfRule>
  </conditionalFormatting>
  <conditionalFormatting sqref="U30">
    <cfRule type="expression" priority="254" stopIfTrue="1">
      <formula>IF(T30="",1,0)</formula>
    </cfRule>
    <cfRule type="expression" dxfId="883" priority="256">
      <formula>IF(T28=T30,1,0)</formula>
    </cfRule>
  </conditionalFormatting>
  <conditionalFormatting sqref="AA7:AA8">
    <cfRule type="expression" priority="251" stopIfTrue="1">
      <formula>IF(Z7="",1)</formula>
    </cfRule>
    <cfRule type="expression" dxfId="882" priority="253">
      <formula>IF(Z7=Z9,1,0)</formula>
    </cfRule>
  </conditionalFormatting>
  <conditionalFormatting sqref="AA9">
    <cfRule type="expression" priority="250" stopIfTrue="1">
      <formula>IF(Z9="",1,0)</formula>
    </cfRule>
    <cfRule type="expression" dxfId="881" priority="252">
      <formula>IF(Z7=Z9,1,0)</formula>
    </cfRule>
  </conditionalFormatting>
  <conditionalFormatting sqref="AA14:AA15">
    <cfRule type="expression" priority="247" stopIfTrue="1">
      <formula>IF(Z14="",1)</formula>
    </cfRule>
    <cfRule type="expression" dxfId="880" priority="249">
      <formula>IF(Z14=Z16,1,0)</formula>
    </cfRule>
  </conditionalFormatting>
  <conditionalFormatting sqref="AA16">
    <cfRule type="expression" priority="246" stopIfTrue="1">
      <formula>IF(Z16="",1,0)</formula>
    </cfRule>
    <cfRule type="expression" dxfId="879" priority="248">
      <formula>IF(Z14=Z16,1,0)</formula>
    </cfRule>
  </conditionalFormatting>
  <conditionalFormatting sqref="AA21:AA22">
    <cfRule type="expression" priority="243" stopIfTrue="1">
      <formula>IF(Z21="",1)</formula>
    </cfRule>
    <cfRule type="expression" dxfId="878" priority="245">
      <formula>IF(Z21=Z23,1,0)</formula>
    </cfRule>
  </conditionalFormatting>
  <conditionalFormatting sqref="AA23">
    <cfRule type="expression" priority="242" stopIfTrue="1">
      <formula>IF(Z23="",1,0)</formula>
    </cfRule>
    <cfRule type="expression" dxfId="877" priority="244">
      <formula>IF(Z21=Z23,1,0)</formula>
    </cfRule>
  </conditionalFormatting>
  <conditionalFormatting sqref="AA28:AA29">
    <cfRule type="expression" priority="239" stopIfTrue="1">
      <formula>IF(Z28="",1)</formula>
    </cfRule>
    <cfRule type="expression" dxfId="876" priority="241">
      <formula>IF(Z28=Z30,1,0)</formula>
    </cfRule>
  </conditionalFormatting>
  <conditionalFormatting sqref="AA30">
    <cfRule type="expression" priority="238" stopIfTrue="1">
      <formula>IF(Z30="",1,0)</formula>
    </cfRule>
    <cfRule type="expression" dxfId="875" priority="240">
      <formula>IF(Z28=Z30,1,0)</formula>
    </cfRule>
  </conditionalFormatting>
  <conditionalFormatting sqref="M14">
    <cfRule type="expression" dxfId="874" priority="237">
      <formula>IF(N14+O14&gt;N16+O16,1,0)</formula>
    </cfRule>
  </conditionalFormatting>
  <conditionalFormatting sqref="M16">
    <cfRule type="expression" dxfId="873" priority="236">
      <formula>IF(N16+O16&gt;N18+O18,1,0)</formula>
    </cfRule>
  </conditionalFormatting>
  <conditionalFormatting sqref="M21">
    <cfRule type="expression" dxfId="872" priority="235">
      <formula>IF(N21+O21&gt;N23+O23,1,0)</formula>
    </cfRule>
  </conditionalFormatting>
  <conditionalFormatting sqref="M23">
    <cfRule type="expression" dxfId="871" priority="234">
      <formula>IF(N23+O23&gt;N25+O25,1,0)</formula>
    </cfRule>
  </conditionalFormatting>
  <conditionalFormatting sqref="M28">
    <cfRule type="expression" dxfId="870" priority="233">
      <formula>IF(N28+O28&gt;N30+O30,1,0)</formula>
    </cfRule>
  </conditionalFormatting>
  <conditionalFormatting sqref="M30">
    <cfRule type="expression" dxfId="869" priority="232">
      <formula>IF(N30+O30&gt;N32+O32,1,0)</formula>
    </cfRule>
  </conditionalFormatting>
  <conditionalFormatting sqref="M7">
    <cfRule type="expression" dxfId="868" priority="231">
      <formula>IF(N7+O7&gt;N9+O9,1,0)</formula>
    </cfRule>
  </conditionalFormatting>
  <conditionalFormatting sqref="M9">
    <cfRule type="expression" dxfId="867" priority="230">
      <formula>IF(N9+O9&gt;N11+O11,1,0)</formula>
    </cfRule>
  </conditionalFormatting>
  <conditionalFormatting sqref="O35:O36">
    <cfRule type="expression" priority="227" stopIfTrue="1">
      <formula>IF(N35="",1)</formula>
    </cfRule>
    <cfRule type="expression" dxfId="866" priority="229">
      <formula>IF(N35=N37,1,0)</formula>
    </cfRule>
  </conditionalFormatting>
  <conditionalFormatting sqref="O37">
    <cfRule type="expression" priority="226" stopIfTrue="1">
      <formula>IF(N37="",1,0)</formula>
    </cfRule>
    <cfRule type="expression" dxfId="865" priority="228">
      <formula>IF(N35=N37,1,0)</formula>
    </cfRule>
  </conditionalFormatting>
  <conditionalFormatting sqref="O42:O43">
    <cfRule type="expression" priority="223" stopIfTrue="1">
      <formula>IF(N42="",1)</formula>
    </cfRule>
    <cfRule type="expression" dxfId="864" priority="225">
      <formula>IF(N42=N44,1,0)</formula>
    </cfRule>
  </conditionalFormatting>
  <conditionalFormatting sqref="O44">
    <cfRule type="expression" priority="222" stopIfTrue="1">
      <formula>IF(N44="",1,0)</formula>
    </cfRule>
    <cfRule type="expression" dxfId="863" priority="224">
      <formula>IF(N42=N44,1,0)</formula>
    </cfRule>
  </conditionalFormatting>
  <conditionalFormatting sqref="O49:O50">
    <cfRule type="expression" priority="219" stopIfTrue="1">
      <formula>IF(N49="",1)</formula>
    </cfRule>
    <cfRule type="expression" dxfId="862" priority="221">
      <formula>IF(N49=N51,1,0)</formula>
    </cfRule>
  </conditionalFormatting>
  <conditionalFormatting sqref="O51">
    <cfRule type="expression" priority="218" stopIfTrue="1">
      <formula>IF(N51="",1,0)</formula>
    </cfRule>
    <cfRule type="expression" dxfId="861" priority="220">
      <formula>IF(N49=N51,1,0)</formula>
    </cfRule>
  </conditionalFormatting>
  <conditionalFormatting sqref="O56:O57">
    <cfRule type="expression" priority="215" stopIfTrue="1">
      <formula>IF(N56="",1)</formula>
    </cfRule>
    <cfRule type="expression" dxfId="860" priority="217">
      <formula>IF(N56=N58,1,0)</formula>
    </cfRule>
  </conditionalFormatting>
  <conditionalFormatting sqref="O58">
    <cfRule type="expression" priority="214" stopIfTrue="1">
      <formula>IF(N58="",1,0)</formula>
    </cfRule>
    <cfRule type="expression" dxfId="859" priority="216">
      <formula>IF(N56=N58,1,0)</formula>
    </cfRule>
  </conditionalFormatting>
  <conditionalFormatting sqref="M42">
    <cfRule type="expression" dxfId="858" priority="181">
      <formula>IF(N42+O42&gt;N44+O44,1,0)</formula>
    </cfRule>
  </conditionalFormatting>
  <conditionalFormatting sqref="M44">
    <cfRule type="expression" dxfId="857" priority="180">
      <formula>IF(N44+O44&gt;N46+O46,1,0)</formula>
    </cfRule>
  </conditionalFormatting>
  <conditionalFormatting sqref="M49">
    <cfRule type="expression" dxfId="856" priority="179">
      <formula>IF(N49+O49&gt;N51+O51,1,0)</formula>
    </cfRule>
  </conditionalFormatting>
  <conditionalFormatting sqref="M51">
    <cfRule type="expression" dxfId="855" priority="178">
      <formula>IF(N51+O51&gt;N53+O53,1,0)</formula>
    </cfRule>
  </conditionalFormatting>
  <conditionalFormatting sqref="M56">
    <cfRule type="expression" dxfId="854" priority="177">
      <formula>IF(N56+O56&gt;N58+O58,1,0)</formula>
    </cfRule>
  </conditionalFormatting>
  <conditionalFormatting sqref="M58">
    <cfRule type="expression" dxfId="853" priority="176">
      <formula>IF(N58+O58&gt;N60+O60,1,0)</formula>
    </cfRule>
  </conditionalFormatting>
  <conditionalFormatting sqref="Y7">
    <cfRule type="expression" dxfId="852" priority="175">
      <formula>IF(Z7+AA7&gt;Z9+AA9,1,0)</formula>
    </cfRule>
  </conditionalFormatting>
  <conditionalFormatting sqref="Y9">
    <cfRule type="expression" dxfId="851" priority="174">
      <formula>IF(Z7+AA7&lt;Z9+AA9,1,0)</formula>
    </cfRule>
  </conditionalFormatting>
  <conditionalFormatting sqref="Y14">
    <cfRule type="expression" dxfId="850" priority="173">
      <formula>IF(Z14+AA14&gt;Z16+AA16,1,0)</formula>
    </cfRule>
  </conditionalFormatting>
  <conditionalFormatting sqref="Y16">
    <cfRule type="expression" dxfId="849" priority="172">
      <formula>IF(Z14+AA14&lt;Z16+AA16,1,0)</formula>
    </cfRule>
  </conditionalFormatting>
  <conditionalFormatting sqref="Y21">
    <cfRule type="expression" dxfId="848" priority="171">
      <formula>IF(Z21+AA21&gt;Z23+AA23,1,0)</formula>
    </cfRule>
  </conditionalFormatting>
  <conditionalFormatting sqref="Y23">
    <cfRule type="expression" dxfId="847" priority="170">
      <formula>IF(Z21+AA21&lt;Z23+AA23,1,0)</formula>
    </cfRule>
  </conditionalFormatting>
  <conditionalFormatting sqref="Y28">
    <cfRule type="expression" dxfId="846" priority="169">
      <formula>IF(Z28+AA28&gt;Z30+AA30,1,0)</formula>
    </cfRule>
  </conditionalFormatting>
  <conditionalFormatting sqref="Y30">
    <cfRule type="expression" dxfId="845" priority="168">
      <formula>IF(Z28+AA28&lt;Z30+AA30,1,0)</formula>
    </cfRule>
  </conditionalFormatting>
  <conditionalFormatting sqref="S28">
    <cfRule type="expression" dxfId="844" priority="151">
      <formula>IF(T28+U28&gt;T30+U30,1,0)</formula>
    </cfRule>
  </conditionalFormatting>
  <conditionalFormatting sqref="S30">
    <cfRule type="expression" dxfId="843" priority="150">
      <formula>IF(T28+U28&lt;T30+U30,1,0)</formula>
    </cfRule>
  </conditionalFormatting>
  <conditionalFormatting sqref="M35">
    <cfRule type="expression" dxfId="842" priority="149">
      <formula>IF(N35+O35&gt;N37+O37,1,0)</formula>
    </cfRule>
  </conditionalFormatting>
  <conditionalFormatting sqref="M37">
    <cfRule type="expression" dxfId="841" priority="148">
      <formula>IF(N37+O37&gt;N39+O39,1,0)</formula>
    </cfRule>
  </conditionalFormatting>
  <conditionalFormatting sqref="O63">
    <cfRule type="expression" priority="113" stopIfTrue="1">
      <formula>IF(N63="",1)</formula>
    </cfRule>
    <cfRule type="expression" dxfId="840" priority="114">
      <formula>IF(N63=N65,1,0)</formula>
    </cfRule>
  </conditionalFormatting>
  <conditionalFormatting sqref="M63">
    <cfRule type="expression" dxfId="839" priority="112">
      <formula>IF(N63&lt;&gt;0,1,0)</formula>
    </cfRule>
  </conditionalFormatting>
  <conditionalFormatting sqref="O69:O70">
    <cfRule type="expression" priority="107" stopIfTrue="1">
      <formula>IF(N69="",1)</formula>
    </cfRule>
    <cfRule type="expression" dxfId="838" priority="109">
      <formula>IF(N69=N71,1,0)</formula>
    </cfRule>
  </conditionalFormatting>
  <conditionalFormatting sqref="O71">
    <cfRule type="expression" priority="106" stopIfTrue="1">
      <formula>IF(N71="",1,0)</formula>
    </cfRule>
    <cfRule type="expression" dxfId="837" priority="108">
      <formula>IF(N69=N71,1,0)</formula>
    </cfRule>
  </conditionalFormatting>
  <conditionalFormatting sqref="M69">
    <cfRule type="expression" dxfId="836" priority="84">
      <formula>IF(N69+O69&gt;N71+O71,1,0)</formula>
    </cfRule>
  </conditionalFormatting>
  <conditionalFormatting sqref="M76">
    <cfRule type="expression" dxfId="835" priority="82">
      <formula>IF(N76+O76&gt;N78+O78,1,0)</formula>
    </cfRule>
  </conditionalFormatting>
  <conditionalFormatting sqref="M78">
    <cfRule type="expression" dxfId="834" priority="81">
      <formula>IF(N78+O78&gt;N80+O80,1,0)</formula>
    </cfRule>
  </conditionalFormatting>
  <conditionalFormatting sqref="M71">
    <cfRule type="expression" dxfId="833" priority="80">
      <formula>IF(N71+O71&gt;N73+O73,1,0)</formula>
    </cfRule>
  </conditionalFormatting>
  <conditionalFormatting sqref="U35:U36">
    <cfRule type="expression" priority="77" stopIfTrue="1">
      <formula>IF(T35="",1)</formula>
    </cfRule>
    <cfRule type="expression" dxfId="832" priority="79">
      <formula>IF(T35=T37,1,0)</formula>
    </cfRule>
  </conditionalFormatting>
  <conditionalFormatting sqref="U37">
    <cfRule type="expression" priority="76" stopIfTrue="1">
      <formula>IF(T37="",1,0)</formula>
    </cfRule>
    <cfRule type="expression" dxfId="831" priority="78">
      <formula>IF(T35=T37,1,0)</formula>
    </cfRule>
  </conditionalFormatting>
  <conditionalFormatting sqref="U42:U43">
    <cfRule type="expression" priority="73" stopIfTrue="1">
      <formula>IF(T42="",1)</formula>
    </cfRule>
    <cfRule type="expression" dxfId="830" priority="75">
      <formula>IF(T42=T44,1,0)</formula>
    </cfRule>
  </conditionalFormatting>
  <conditionalFormatting sqref="U44">
    <cfRule type="expression" priority="72" stopIfTrue="1">
      <formula>IF(T44="",1,0)</formula>
    </cfRule>
    <cfRule type="expression" dxfId="829" priority="74">
      <formula>IF(T42=T44,1,0)</formula>
    </cfRule>
  </conditionalFormatting>
  <conditionalFormatting sqref="U49:U50">
    <cfRule type="expression" priority="69" stopIfTrue="1">
      <formula>IF(T49="",1)</formula>
    </cfRule>
    <cfRule type="expression" dxfId="828" priority="71">
      <formula>IF(T49=T51,1,0)</formula>
    </cfRule>
  </conditionalFormatting>
  <conditionalFormatting sqref="U51">
    <cfRule type="expression" priority="68" stopIfTrue="1">
      <formula>IF(T51="",1,0)</formula>
    </cfRule>
    <cfRule type="expression" dxfId="827" priority="70">
      <formula>IF(T49=T51,1,0)</formula>
    </cfRule>
  </conditionalFormatting>
  <conditionalFormatting sqref="U56:U57">
    <cfRule type="expression" priority="65" stopIfTrue="1">
      <formula>IF(T56="",1)</formula>
    </cfRule>
    <cfRule type="expression" dxfId="826" priority="67">
      <formula>IF(T56=T58,1,0)</formula>
    </cfRule>
  </conditionalFormatting>
  <conditionalFormatting sqref="U58">
    <cfRule type="expression" priority="64" stopIfTrue="1">
      <formula>IF(T58="",1,0)</formula>
    </cfRule>
    <cfRule type="expression" dxfId="825" priority="66">
      <formula>IF(T56=T58,1,0)</formula>
    </cfRule>
  </conditionalFormatting>
  <conditionalFormatting sqref="S56">
    <cfRule type="expression" dxfId="824" priority="63">
      <formula>IF(T56+U56&gt;T58+U58,1,0)</formula>
    </cfRule>
  </conditionalFormatting>
  <conditionalFormatting sqref="S58">
    <cfRule type="expression" dxfId="823" priority="62">
      <formula>IF(T56+U56&lt;T58+U58,1,0)</formula>
    </cfRule>
  </conditionalFormatting>
  <conditionalFormatting sqref="S49">
    <cfRule type="expression" dxfId="822" priority="61">
      <formula>IF(T49+U49&gt;T51+U51,1,0)</formula>
    </cfRule>
  </conditionalFormatting>
  <conditionalFormatting sqref="S51">
    <cfRule type="expression" dxfId="821" priority="60">
      <formula>IF(T49+U49&lt;T51+U51,1,0)</formula>
    </cfRule>
  </conditionalFormatting>
  <conditionalFormatting sqref="S42">
    <cfRule type="expression" dxfId="820" priority="59">
      <formula>IF(T42+U42&gt;T44+U44,1,0)</formula>
    </cfRule>
  </conditionalFormatting>
  <conditionalFormatting sqref="S44">
    <cfRule type="expression" dxfId="819" priority="58">
      <formula>IF(T42+U42&lt;T44+U44,1,0)</formula>
    </cfRule>
  </conditionalFormatting>
  <conditionalFormatting sqref="S35">
    <cfRule type="expression" dxfId="818" priority="57">
      <formula>IF(T35+U35&gt;T37+U37,1,0)</formula>
    </cfRule>
  </conditionalFormatting>
  <conditionalFormatting sqref="S37">
    <cfRule type="expression" dxfId="817" priority="56">
      <formula>IF(T35+U35&lt;T37+U37,1,0)</formula>
    </cfRule>
  </conditionalFormatting>
  <conditionalFormatting sqref="AA35:AA36">
    <cfRule type="expression" priority="53" stopIfTrue="1">
      <formula>IF(Z35="",1)</formula>
    </cfRule>
    <cfRule type="expression" dxfId="816" priority="55">
      <formula>IF(Z35=Z37,1,0)</formula>
    </cfRule>
  </conditionalFormatting>
  <conditionalFormatting sqref="AA37">
    <cfRule type="expression" priority="52" stopIfTrue="1">
      <formula>IF(Z37="",1,0)</formula>
    </cfRule>
    <cfRule type="expression" dxfId="815" priority="54">
      <formula>IF(Z35=Z37,1,0)</formula>
    </cfRule>
  </conditionalFormatting>
  <conditionalFormatting sqref="AA42:AA43">
    <cfRule type="expression" priority="49" stopIfTrue="1">
      <formula>IF(Z42="",1)</formula>
    </cfRule>
    <cfRule type="expression" dxfId="814" priority="51">
      <formula>IF(Z42=Z44,1,0)</formula>
    </cfRule>
  </conditionalFormatting>
  <conditionalFormatting sqref="AA44">
    <cfRule type="expression" priority="48" stopIfTrue="1">
      <formula>IF(Z44="",1,0)</formula>
    </cfRule>
    <cfRule type="expression" dxfId="813" priority="50">
      <formula>IF(Z42=Z44,1,0)</formula>
    </cfRule>
  </conditionalFormatting>
  <conditionalFormatting sqref="AA49:AA50">
    <cfRule type="expression" priority="45" stopIfTrue="1">
      <formula>IF(Z49="",1)</formula>
    </cfRule>
    <cfRule type="expression" dxfId="812" priority="47">
      <formula>IF(Z49=Z51,1,0)</formula>
    </cfRule>
  </conditionalFormatting>
  <conditionalFormatting sqref="AA51">
    <cfRule type="expression" priority="44" stopIfTrue="1">
      <formula>IF(Z51="",1,0)</formula>
    </cfRule>
    <cfRule type="expression" dxfId="811" priority="46">
      <formula>IF(Z49=Z51,1,0)</formula>
    </cfRule>
  </conditionalFormatting>
  <conditionalFormatting sqref="AA56:AA57">
    <cfRule type="expression" priority="41" stopIfTrue="1">
      <formula>IF(Z56="",1)</formula>
    </cfRule>
    <cfRule type="expression" dxfId="810" priority="43">
      <formula>IF(Z56=Z58,1,0)</formula>
    </cfRule>
  </conditionalFormatting>
  <conditionalFormatting sqref="AA58">
    <cfRule type="expression" priority="40" stopIfTrue="1">
      <formula>IF(Z58="",1,0)</formula>
    </cfRule>
    <cfRule type="expression" dxfId="809" priority="42">
      <formula>IF(Z56=Z58,1,0)</formula>
    </cfRule>
  </conditionalFormatting>
  <conditionalFormatting sqref="Y35">
    <cfRule type="expression" dxfId="808" priority="39">
      <formula>IF(Z35+AA35&gt;Z37+AA37,1,0)</formula>
    </cfRule>
  </conditionalFormatting>
  <conditionalFormatting sqref="Y37">
    <cfRule type="expression" dxfId="807" priority="38">
      <formula>IF(Z35+AA35&lt;Z37+AA37,1,0)</formula>
    </cfRule>
  </conditionalFormatting>
  <conditionalFormatting sqref="Y42">
    <cfRule type="expression" dxfId="806" priority="37">
      <formula>IF(Z42+AA42&gt;Z44+AA44,1,0)</formula>
    </cfRule>
  </conditionalFormatting>
  <conditionalFormatting sqref="Y44">
    <cfRule type="expression" dxfId="805" priority="36">
      <formula>IF(Z42+AA42&lt;Z44+AA44,1,0)</formula>
    </cfRule>
  </conditionalFormatting>
  <conditionalFormatting sqref="Y49">
    <cfRule type="expression" dxfId="804" priority="35">
      <formula>IF(Z49+AA49&gt;Z51+AA51,1,0)</formula>
    </cfRule>
  </conditionalFormatting>
  <conditionalFormatting sqref="Y51">
    <cfRule type="expression" dxfId="803" priority="34">
      <formula>IF(Z49+AA49&lt;Z51+AA51,1,0)</formula>
    </cfRule>
  </conditionalFormatting>
  <conditionalFormatting sqref="Y56">
    <cfRule type="expression" dxfId="802" priority="33">
      <formula>IF(Z56+AA56&gt;Z58+AA58,1,0)</formula>
    </cfRule>
  </conditionalFormatting>
  <conditionalFormatting sqref="Y58">
    <cfRule type="expression" dxfId="801" priority="32">
      <formula>IF(Z56+AA56&lt;Z58+AA58,1,0)</formula>
    </cfRule>
  </conditionalFormatting>
  <conditionalFormatting sqref="U78">
    <cfRule type="expression" priority="30" stopIfTrue="1">
      <formula>IF(T78="",1,0)</formula>
    </cfRule>
    <cfRule type="expression" dxfId="800" priority="31">
      <formula>IF(T72=T78,1,0)</formula>
    </cfRule>
  </conditionalFormatting>
  <conditionalFormatting sqref="U70:U71">
    <cfRule type="expression" priority="27" stopIfTrue="1">
      <formula>IF(T70="",1)</formula>
    </cfRule>
    <cfRule type="expression" dxfId="799" priority="29">
      <formula>IF(T70=T72,1,0)</formula>
    </cfRule>
  </conditionalFormatting>
  <conditionalFormatting sqref="U72">
    <cfRule type="expression" priority="26" stopIfTrue="1">
      <formula>IF(T72="",1,0)</formula>
    </cfRule>
    <cfRule type="expression" dxfId="798" priority="28">
      <formula>IF(T70=T72,1,0)</formula>
    </cfRule>
  </conditionalFormatting>
  <conditionalFormatting sqref="U63:U64">
    <cfRule type="expression" priority="23" stopIfTrue="1">
      <formula>IF(T63="",1)</formula>
    </cfRule>
    <cfRule type="expression" dxfId="797" priority="25">
      <formula>IF(T63=T65,1,0)</formula>
    </cfRule>
  </conditionalFormatting>
  <conditionalFormatting sqref="U65">
    <cfRule type="expression" priority="22" stopIfTrue="1">
      <formula>IF(T65="",1,0)</formula>
    </cfRule>
    <cfRule type="expression" dxfId="796" priority="24">
      <formula>IF(T63=T65,1,0)</formula>
    </cfRule>
  </conditionalFormatting>
  <conditionalFormatting sqref="S63">
    <cfRule type="expression" dxfId="795" priority="21">
      <formula>IF(T63+U63&gt;T65+U65,1,0)</formula>
    </cfRule>
  </conditionalFormatting>
  <conditionalFormatting sqref="S65">
    <cfRule type="expression" dxfId="794" priority="20">
      <formula>IF(T65+U65&gt;T67+U67,1,0)</formula>
    </cfRule>
  </conditionalFormatting>
  <conditionalFormatting sqref="S70">
    <cfRule type="expression" dxfId="793" priority="19">
      <formula>IF(T70+U70&gt;T72+U72,1,0)</formula>
    </cfRule>
  </conditionalFormatting>
  <conditionalFormatting sqref="S72">
    <cfRule type="expression" dxfId="792" priority="18">
      <formula>IF(T72+U72&gt;T74+U74,1,0)</formula>
    </cfRule>
  </conditionalFormatting>
  <conditionalFormatting sqref="S78">
    <cfRule type="expression" dxfId="791" priority="17">
      <formula>IF(T78+U78&gt;T80+U80,1,0)</formula>
    </cfRule>
  </conditionalFormatting>
  <conditionalFormatting sqref="AA73">
    <cfRule type="expression" priority="9" stopIfTrue="1">
      <formula>IF(Z73="",1)</formula>
    </cfRule>
    <cfRule type="expression" dxfId="790" priority="10">
      <formula>IF(Z73=Z75,1,0)</formula>
    </cfRule>
  </conditionalFormatting>
  <conditionalFormatting sqref="AA75">
    <cfRule type="expression" priority="11" stopIfTrue="1">
      <formula>IF(Z75="",1)</formula>
    </cfRule>
    <cfRule type="expression" dxfId="789" priority="12">
      <formula>IF(Z75=Z90,1,0)</formula>
    </cfRule>
  </conditionalFormatting>
  <conditionalFormatting sqref="AA74">
    <cfRule type="expression" priority="13" stopIfTrue="1">
      <formula>IF(Z74="",1,0)</formula>
    </cfRule>
    <cfRule type="expression" dxfId="788" priority="14">
      <formula>OR(Z72=Z74,Z80=Z74)</formula>
    </cfRule>
  </conditionalFormatting>
  <conditionalFormatting sqref="AA72">
    <cfRule type="expression" priority="15" stopIfTrue="1">
      <formula>IF(Z72="",1,0)</formula>
    </cfRule>
    <cfRule type="expression" dxfId="787" priority="16">
      <formula>OR(Z80=Z72,Z74=Z72)</formula>
    </cfRule>
  </conditionalFormatting>
  <conditionalFormatting sqref="AA63:AA64">
    <cfRule type="expression" priority="6" stopIfTrue="1">
      <formula>IF(Z63="",1)</formula>
    </cfRule>
    <cfRule type="expression" dxfId="786" priority="8">
      <formula>IF(Z63=Z65,1,0)</formula>
    </cfRule>
  </conditionalFormatting>
  <conditionalFormatting sqref="AA65">
    <cfRule type="expression" priority="5" stopIfTrue="1">
      <formula>IF(Z65="",1,0)</formula>
    </cfRule>
    <cfRule type="expression" dxfId="785" priority="7">
      <formula>IF(Z63=Z65,1,0)</formula>
    </cfRule>
  </conditionalFormatting>
  <conditionalFormatting sqref="Y72">
    <cfRule type="expression" dxfId="784" priority="4">
      <formula>IF(Z72+AA72&gt;Z74+AA74,1,0)</formula>
    </cfRule>
  </conditionalFormatting>
  <conditionalFormatting sqref="Y74">
    <cfRule type="expression" dxfId="783" priority="3">
      <formula>IF(Z74+AA74&gt;Z76+AA76,1,0)</formula>
    </cfRule>
  </conditionalFormatting>
  <conditionalFormatting sqref="Y63">
    <cfRule type="expression" dxfId="782" priority="2">
      <formula>IF(Z63+AA63&gt;Z65+AA65,1,0)</formula>
    </cfRule>
  </conditionalFormatting>
  <conditionalFormatting sqref="Y65">
    <cfRule type="expression" dxfId="781" priority="1">
      <formula>IF(Z63+AA63&lt;Z65+AA65,1,0)</formula>
    </cfRule>
  </conditionalFormatting>
  <pageMargins left="0.39370078740157483" right="0.39370078740157483" top="0.39370078740157483" bottom="0.39370078740157483" header="0.39370078740157483" footer="0.39370078740157483"/>
  <pageSetup paperSize="9" scale="1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D016D-5A0B-4B1F-813A-BE518CAED55C}">
  <sheetPr codeName="Feuil46">
    <tabColor rgb="FF6BE62E"/>
    <pageSetUpPr fitToPage="1"/>
  </sheetPr>
  <dimension ref="A1:AY148"/>
  <sheetViews>
    <sheetView topLeftCell="K1" zoomScale="69" workbookViewId="0">
      <selection activeCell="K85" sqref="K1:AA85"/>
    </sheetView>
  </sheetViews>
  <sheetFormatPr baseColWidth="10" defaultColWidth="10.85546875" defaultRowHeight="12.75" x14ac:dyDescent="0.2"/>
  <cols>
    <col min="1" max="1" width="3.7109375" style="435" customWidth="1"/>
    <col min="2" max="4" width="16.140625" style="435" customWidth="1"/>
    <col min="5" max="10" width="11.140625" style="435" customWidth="1"/>
    <col min="11" max="11" width="7.7109375" style="441" bestFit="1" customWidth="1"/>
    <col min="12" max="12" width="6.42578125" style="435" bestFit="1" customWidth="1"/>
    <col min="13" max="13" width="36.5703125" style="435" customWidth="1"/>
    <col min="14" max="14" width="10.85546875" style="442"/>
    <col min="15" max="15" width="4.7109375" style="441" bestFit="1" customWidth="1"/>
    <col min="16" max="16" width="15.7109375" style="441" customWidth="1"/>
    <col min="17" max="17" width="7.7109375" style="441" bestFit="1" customWidth="1"/>
    <col min="18" max="18" width="6.42578125" style="441" bestFit="1" customWidth="1"/>
    <col min="19" max="19" width="36.5703125" style="441" customWidth="1"/>
    <col min="20" max="20" width="10.85546875" style="442"/>
    <col min="21" max="21" width="4.85546875" style="441" bestFit="1" customWidth="1"/>
    <col min="22" max="22" width="15.85546875" style="441" customWidth="1"/>
    <col min="23" max="23" width="7.7109375" style="441" bestFit="1" customWidth="1"/>
    <col min="24" max="24" width="5.28515625" style="435" bestFit="1" customWidth="1"/>
    <col min="25" max="25" width="36.5703125" style="435" customWidth="1"/>
    <col min="26" max="26" width="10.85546875" style="442"/>
    <col min="27" max="27" width="4.85546875" style="441" bestFit="1" customWidth="1"/>
    <col min="28" max="28" width="6.5703125" style="435" customWidth="1"/>
    <col min="29" max="31" width="3.28515625" style="435" customWidth="1"/>
    <col min="32" max="32" width="10.85546875" style="435"/>
    <col min="33" max="33" width="6.5703125" style="435" customWidth="1"/>
    <col min="34" max="36" width="36.85546875" style="435" customWidth="1"/>
    <col min="37" max="42" width="10.85546875" style="435"/>
    <col min="43" max="43" width="1.7109375" style="435" bestFit="1" customWidth="1"/>
    <col min="44" max="46" width="10.85546875" style="435"/>
    <col min="47" max="47" width="1.7109375" style="435" bestFit="1" customWidth="1"/>
    <col min="48" max="50" width="10.85546875" style="435"/>
    <col min="51" max="51" width="1.7109375" style="435" bestFit="1" customWidth="1"/>
    <col min="52" max="16384" width="10.85546875" style="435"/>
  </cols>
  <sheetData>
    <row r="1" spans="1:51" ht="55.5" customHeight="1" x14ac:dyDescent="0.2">
      <c r="B1" s="436"/>
      <c r="C1" s="436"/>
      <c r="D1" s="436"/>
      <c r="I1" s="437"/>
      <c r="J1" s="437"/>
      <c r="K1" s="988" t="str">
        <f>Championnat</f>
        <v>Championnat de France de Tir à l'ARC</v>
      </c>
      <c r="L1" s="988"/>
      <c r="M1" s="988"/>
      <c r="N1" s="988"/>
      <c r="O1" s="988"/>
      <c r="P1" s="988"/>
      <c r="Q1" s="988"/>
      <c r="R1" s="988"/>
      <c r="S1" s="988"/>
      <c r="T1" s="988"/>
      <c r="U1" s="988"/>
      <c r="V1" s="988"/>
      <c r="W1" s="988"/>
      <c r="X1" s="988"/>
      <c r="Y1" s="988"/>
      <c r="Z1" s="988"/>
      <c r="AA1" s="988"/>
      <c r="AB1" s="439"/>
      <c r="AC1" s="439"/>
      <c r="AD1" s="439"/>
      <c r="AE1" s="439"/>
      <c r="AF1" s="988" t="str">
        <f>Championnat</f>
        <v>Championnat de France de Tir à l'ARC</v>
      </c>
      <c r="AG1" s="988"/>
      <c r="AH1" s="988"/>
      <c r="AI1" s="988"/>
      <c r="AJ1" s="988"/>
      <c r="AK1" s="491"/>
      <c r="AL1" s="491"/>
      <c r="AM1" s="491"/>
      <c r="AN1" s="491"/>
      <c r="AO1" s="491"/>
      <c r="AP1" s="491"/>
      <c r="AQ1" s="491"/>
      <c r="AR1" s="491"/>
      <c r="AS1" s="491"/>
      <c r="AT1" s="491"/>
      <c r="AU1" s="491"/>
      <c r="AV1" s="491"/>
      <c r="AW1" s="491"/>
      <c r="AY1" s="491"/>
    </row>
    <row r="2" spans="1:51" ht="61.5" customHeight="1" x14ac:dyDescent="0.2">
      <c r="A2" s="437"/>
      <c r="I2" s="437"/>
      <c r="J2" s="437"/>
      <c r="K2" s="989" t="str">
        <f>CATEG_IMPORTEE</f>
        <v>Collèges Mixtes Etablissement</v>
      </c>
      <c r="L2" s="989"/>
      <c r="M2" s="989"/>
      <c r="N2" s="989"/>
      <c r="O2" s="989"/>
      <c r="P2" s="989"/>
      <c r="Q2" s="989"/>
      <c r="R2" s="989"/>
      <c r="S2" s="989"/>
      <c r="T2" s="989"/>
      <c r="U2" s="989"/>
      <c r="V2" s="989"/>
      <c r="W2" s="989"/>
      <c r="X2" s="989"/>
      <c r="Y2" s="989"/>
      <c r="Z2" s="989"/>
      <c r="AA2" s="438"/>
      <c r="AB2" s="439"/>
      <c r="AC2" s="439"/>
      <c r="AD2" s="439"/>
      <c r="AE2" s="439"/>
      <c r="AF2" s="990" t="str">
        <f>CATEG_IMPORTEE</f>
        <v>Collèges Mixtes Etablissement</v>
      </c>
      <c r="AG2" s="990"/>
      <c r="AH2" s="990"/>
      <c r="AI2" s="990"/>
      <c r="AJ2" s="990"/>
      <c r="AK2" s="492"/>
      <c r="AL2" s="492"/>
      <c r="AM2" s="492"/>
      <c r="AN2" s="492"/>
      <c r="AO2" s="492"/>
      <c r="AP2" s="492"/>
      <c r="AQ2" s="492"/>
      <c r="AR2" s="492"/>
      <c r="AS2" s="492"/>
      <c r="AT2" s="492"/>
      <c r="AU2" s="492"/>
      <c r="AV2" s="492"/>
      <c r="AW2" s="492"/>
      <c r="AY2" s="492"/>
    </row>
    <row r="3" spans="1:51" ht="42" customHeight="1" x14ac:dyDescent="0.2">
      <c r="B3" s="440" t="s">
        <v>774</v>
      </c>
      <c r="I3" s="437"/>
      <c r="J3" s="437"/>
      <c r="N3" s="991" t="str">
        <f>LIEU&amp;" du "&amp;DATE</f>
        <v>L’Isle sur la Sorgue du 27 au 31 mars 2023</v>
      </c>
      <c r="O3" s="991"/>
      <c r="P3" s="991"/>
      <c r="Q3" s="991"/>
      <c r="R3" s="991"/>
      <c r="S3" s="991"/>
      <c r="T3" s="991"/>
      <c r="U3" s="991"/>
      <c r="V3" s="991"/>
      <c r="W3" s="991"/>
      <c r="X3" s="991"/>
      <c r="AF3" s="991" t="str">
        <f>LIEU&amp;" du "&amp;DATE</f>
        <v>L’Isle sur la Sorgue du 27 au 31 mars 2023</v>
      </c>
      <c r="AG3" s="991"/>
      <c r="AH3" s="991"/>
      <c r="AI3" s="991"/>
      <c r="AJ3" s="991"/>
      <c r="AK3" s="493"/>
      <c r="AL3" s="493"/>
      <c r="AM3" s="493"/>
      <c r="AN3" s="493"/>
      <c r="AO3" s="493"/>
      <c r="AP3" s="493"/>
      <c r="AQ3" s="493"/>
      <c r="AR3" s="493"/>
      <c r="AS3" s="493"/>
      <c r="AT3" s="493"/>
      <c r="AU3" s="493"/>
      <c r="AW3" s="442"/>
      <c r="AY3" s="493"/>
    </row>
    <row r="4" spans="1:51" ht="21" customHeight="1" x14ac:dyDescent="0.2">
      <c r="B4" s="440" t="s">
        <v>775</v>
      </c>
      <c r="C4" s="462" t="s">
        <v>375</v>
      </c>
      <c r="D4" s="462" t="s">
        <v>374</v>
      </c>
      <c r="E4" s="440" t="s">
        <v>776</v>
      </c>
      <c r="F4" s="487" t="s">
        <v>838</v>
      </c>
      <c r="G4" s="488" t="s">
        <v>837</v>
      </c>
      <c r="H4" s="898"/>
      <c r="I4" s="437"/>
      <c r="J4" s="437"/>
      <c r="K4" s="979" t="s">
        <v>815</v>
      </c>
      <c r="L4" s="979"/>
      <c r="M4" s="979"/>
      <c r="N4" s="979"/>
      <c r="O4" s="443"/>
      <c r="P4" s="443"/>
      <c r="Q4" s="979" t="s">
        <v>816</v>
      </c>
      <c r="R4" s="979"/>
      <c r="S4" s="979"/>
      <c r="T4" s="979"/>
      <c r="U4" s="443"/>
      <c r="V4" s="443"/>
      <c r="W4" s="979" t="s">
        <v>817</v>
      </c>
      <c r="X4" s="979"/>
      <c r="Y4" s="979"/>
      <c r="Z4" s="979"/>
      <c r="AA4" s="443"/>
      <c r="AH4" s="980" t="s">
        <v>778</v>
      </c>
      <c r="AI4" s="980"/>
      <c r="AJ4" s="980"/>
      <c r="AN4" s="497" t="s">
        <v>848</v>
      </c>
    </row>
    <row r="5" spans="1:51" ht="15.95" customHeight="1" thickBot="1" x14ac:dyDescent="0.25">
      <c r="A5" s="435">
        <v>1</v>
      </c>
      <c r="B5" s="444" t="str">
        <f ca="1">INDIRECT("'Imp. Qualif.'!L"&amp;INDIRECT("f"&amp;ROW()))</f>
        <v/>
      </c>
      <c r="C5" s="444" t="str">
        <f ca="1">INDIRECT("'Imp. Qualif.'!M"&amp;INDIRECT("f"&amp;ROW()))</f>
        <v/>
      </c>
      <c r="D5" s="444" t="str">
        <f ca="1">INDIRECT("'Imp. Qualif.'!N"&amp;INDIRECT("f"&amp;ROW()))</f>
        <v/>
      </c>
      <c r="E5" s="486">
        <f ca="1">INDIRECT("'Imp. Qualif.'!O"&amp;INDIRECT("f"&amp;ROW()))</f>
        <v>0</v>
      </c>
      <c r="F5" s="489">
        <v>11</v>
      </c>
      <c r="G5" s="488" t="str">
        <f ca="1">B5&amp;C5</f>
        <v/>
      </c>
      <c r="H5" s="898" t="str">
        <f ca="1">IF(B5&lt;&gt;"",B5,"")</f>
        <v/>
      </c>
      <c r="I5" s="898" t="str">
        <f t="shared" ref="I5:J20" ca="1" si="0">IF(C5&lt;&gt;"",C5,"")</f>
        <v/>
      </c>
      <c r="J5" s="898" t="str">
        <f t="shared" ca="1" si="0"/>
        <v/>
      </c>
      <c r="L5" s="979" t="s">
        <v>836</v>
      </c>
      <c r="M5" s="1247"/>
      <c r="N5" s="1247"/>
      <c r="O5" s="443"/>
      <c r="P5" s="443"/>
      <c r="R5" s="979" t="s">
        <v>818</v>
      </c>
      <c r="S5" s="1247"/>
      <c r="T5" s="1247"/>
      <c r="U5" s="443"/>
      <c r="V5" s="443"/>
      <c r="W5" s="445"/>
      <c r="X5" s="979" t="s">
        <v>777</v>
      </c>
      <c r="Y5" s="1247"/>
      <c r="Z5" s="1247"/>
      <c r="AA5" s="443"/>
      <c r="AH5" s="981"/>
      <c r="AI5" s="981"/>
      <c r="AJ5" s="981"/>
      <c r="AN5" s="494" t="s">
        <v>839</v>
      </c>
      <c r="AO5" s="494" t="s">
        <v>840</v>
      </c>
      <c r="AP5" s="494" t="s">
        <v>841</v>
      </c>
      <c r="AQ5" s="496" t="s">
        <v>793</v>
      </c>
      <c r="AR5" s="494" t="s">
        <v>842</v>
      </c>
      <c r="AS5" s="494" t="s">
        <v>843</v>
      </c>
      <c r="AT5" s="494" t="s">
        <v>844</v>
      </c>
      <c r="AU5" s="496" t="s">
        <v>793</v>
      </c>
      <c r="AV5" s="494" t="s">
        <v>845</v>
      </c>
      <c r="AW5" s="494" t="s">
        <v>846</v>
      </c>
      <c r="AX5" s="494" t="s">
        <v>847</v>
      </c>
      <c r="AY5" s="496" t="s">
        <v>793</v>
      </c>
    </row>
    <row r="6" spans="1:51" ht="15.95" customHeight="1" thickBot="1" x14ac:dyDescent="0.25">
      <c r="A6" s="435">
        <v>2</v>
      </c>
      <c r="B6" s="444" t="str">
        <f t="shared" ref="B6:B28" ca="1" si="1">INDIRECT("'Imp. Qualif.'!L"&amp;INDIRECT("f"&amp;ROW()))</f>
        <v/>
      </c>
      <c r="C6" s="444" t="str">
        <f t="shared" ref="C6:C28" ca="1" si="2">INDIRECT("'Imp. Qualif.'!M"&amp;INDIRECT("f"&amp;ROW()))</f>
        <v/>
      </c>
      <c r="D6" s="444" t="str">
        <f t="shared" ref="D6:D28" ca="1" si="3">INDIRECT("'Imp. Qualif.'!N"&amp;INDIRECT("f"&amp;ROW()))</f>
        <v/>
      </c>
      <c r="E6" s="486">
        <f t="shared" ref="E6:E28" ca="1" si="4">INDIRECT("'Imp. Qualif.'!O"&amp;INDIRECT("f"&amp;ROW()))</f>
        <v>0</v>
      </c>
      <c r="F6" s="489">
        <v>12</v>
      </c>
      <c r="G6" s="488" t="str">
        <f t="shared" ref="G6:G28" ca="1" si="5">B6&amp;C6</f>
        <v/>
      </c>
      <c r="H6" s="898" t="str">
        <f t="shared" ref="H6:J28" ca="1" si="6">IF(B6&lt;&gt;"",B6,"")</f>
        <v/>
      </c>
      <c r="I6" s="898" t="str">
        <f t="shared" ca="1" si="0"/>
        <v/>
      </c>
      <c r="J6" s="898" t="str">
        <f t="shared" ca="1" si="0"/>
        <v/>
      </c>
      <c r="K6" s="445" t="s">
        <v>779</v>
      </c>
      <c r="L6" s="779" t="s">
        <v>1083</v>
      </c>
      <c r="M6" s="456" t="s">
        <v>481</v>
      </c>
      <c r="N6" s="464" t="s">
        <v>780</v>
      </c>
      <c r="O6" s="446" t="s">
        <v>781</v>
      </c>
      <c r="P6" s="445"/>
      <c r="Q6" s="445" t="s">
        <v>779</v>
      </c>
      <c r="R6" s="779" t="s">
        <v>1083</v>
      </c>
      <c r="S6" s="456" t="s">
        <v>481</v>
      </c>
      <c r="T6" s="464" t="s">
        <v>780</v>
      </c>
      <c r="U6" s="446" t="s">
        <v>781</v>
      </c>
      <c r="V6" s="445"/>
      <c r="W6" s="445" t="s">
        <v>779</v>
      </c>
      <c r="X6" s="779" t="s">
        <v>1083</v>
      </c>
      <c r="Y6" s="456" t="s">
        <v>481</v>
      </c>
      <c r="Z6" s="464" t="s">
        <v>780</v>
      </c>
      <c r="AA6" s="446" t="s">
        <v>781</v>
      </c>
      <c r="AH6" s="483" t="s">
        <v>782</v>
      </c>
      <c r="AI6" s="484" t="s">
        <v>375</v>
      </c>
      <c r="AJ6" s="485" t="s">
        <v>783</v>
      </c>
      <c r="AN6" s="494">
        <f>K7</f>
        <v>1</v>
      </c>
      <c r="AO6" s="495" t="str">
        <f ca="1">L8</f>
        <v/>
      </c>
      <c r="AP6" s="495" t="str">
        <f ca="1">AO7</f>
        <v/>
      </c>
      <c r="AQ6" s="496" t="s">
        <v>793</v>
      </c>
      <c r="AR6" s="494">
        <f>Q7</f>
        <v>1</v>
      </c>
      <c r="AS6" s="495" t="str">
        <f>R8</f>
        <v/>
      </c>
      <c r="AT6" s="495" t="str">
        <f>AS7</f>
        <v/>
      </c>
      <c r="AU6" s="496" t="s">
        <v>793</v>
      </c>
      <c r="AV6" s="494">
        <f>W7</f>
        <v>1</v>
      </c>
      <c r="AW6" s="495" t="str">
        <f>X8</f>
        <v/>
      </c>
      <c r="AX6" s="495" t="str">
        <f>AW7</f>
        <v/>
      </c>
      <c r="AY6" s="496" t="s">
        <v>793</v>
      </c>
    </row>
    <row r="7" spans="1:51" ht="15.95" customHeight="1" thickBot="1" x14ac:dyDescent="0.25">
      <c r="A7" s="435">
        <v>3</v>
      </c>
      <c r="B7" s="444" t="str">
        <f t="shared" ca="1" si="1"/>
        <v/>
      </c>
      <c r="C7" s="444" t="str">
        <f t="shared" ca="1" si="2"/>
        <v/>
      </c>
      <c r="D7" s="444" t="str">
        <f t="shared" ca="1" si="3"/>
        <v/>
      </c>
      <c r="E7" s="486">
        <f t="shared" ca="1" si="4"/>
        <v>0</v>
      </c>
      <c r="F7" s="489">
        <v>13</v>
      </c>
      <c r="G7" s="488" t="str">
        <f t="shared" ca="1" si="5"/>
        <v/>
      </c>
      <c r="H7" s="898" t="str">
        <f t="shared" ca="1" si="6"/>
        <v/>
      </c>
      <c r="I7" s="898" t="str">
        <f t="shared" ca="1" si="0"/>
        <v/>
      </c>
      <c r="J7" s="898" t="str">
        <f t="shared" ca="1" si="0"/>
        <v/>
      </c>
      <c r="K7" s="447">
        <f>Num_Cible</f>
        <v>1</v>
      </c>
      <c r="L7" s="472">
        <v>1</v>
      </c>
      <c r="M7" s="465" t="str">
        <f ca="1">IFERROR(VLOOKUP(L8,$G$5:$J$28,2,FALSE),"")</f>
        <v/>
      </c>
      <c r="N7" s="966"/>
      <c r="O7" s="780"/>
      <c r="Q7" s="447">
        <f>K7</f>
        <v>1</v>
      </c>
      <c r="R7" s="472">
        <v>1</v>
      </c>
      <c r="S7" s="465" t="str">
        <f ca="1">IFERROR(VLOOKUP(R8,$G$5:$J$28,2,FALSE),"")</f>
        <v/>
      </c>
      <c r="T7" s="966"/>
      <c r="U7" s="780"/>
      <c r="W7" s="447">
        <f>Q7</f>
        <v>1</v>
      </c>
      <c r="X7" s="472">
        <v>1</v>
      </c>
      <c r="Y7" s="465" t="str">
        <f ca="1">IFERROR(VLOOKUP(X8,$G$5:$J$28,2,FALSE),"")</f>
        <v/>
      </c>
      <c r="Z7" s="966"/>
      <c r="AA7" s="780"/>
      <c r="AF7" s="448" t="s">
        <v>784</v>
      </c>
      <c r="AG7" s="435" t="str">
        <f>IF(ISBLANK(Z7),"",IF(Z7+AA7&gt;Z9+AA9,X8,X10))</f>
        <v/>
      </c>
      <c r="AH7" s="475" t="str">
        <f t="shared" ref="AH7:AH30" ca="1" si="7">IFERROR(VLOOKUP(AG7,$G$5:$J$28,2,FALSE),"")</f>
        <v/>
      </c>
      <c r="AI7" s="476" t="str">
        <f t="shared" ref="AI7:AI30" ca="1" si="8">IFERROR(VLOOKUP(AG7,$G$5:$J$28,3,FALSE),"")</f>
        <v/>
      </c>
      <c r="AJ7" s="934" t="str">
        <f t="shared" ref="AJ7:AJ30" ca="1" si="9">IFERROR(VLOOKUP(AG7,$G$5:$J$28,4,FALSE),"")</f>
        <v/>
      </c>
      <c r="AN7" s="494">
        <f>K9</f>
        <v>2</v>
      </c>
      <c r="AO7" s="495" t="str">
        <f ca="1">L10</f>
        <v/>
      </c>
      <c r="AP7" s="495" t="str">
        <f ca="1">AO6</f>
        <v/>
      </c>
      <c r="AQ7" s="496" t="s">
        <v>793</v>
      </c>
      <c r="AR7" s="494">
        <f>Q9</f>
        <v>2</v>
      </c>
      <c r="AS7" s="495" t="str">
        <f>R10</f>
        <v/>
      </c>
      <c r="AT7" s="495" t="str">
        <f>AS6</f>
        <v/>
      </c>
      <c r="AU7" s="496" t="s">
        <v>793</v>
      </c>
      <c r="AV7" s="494">
        <f>W9</f>
        <v>2</v>
      </c>
      <c r="AW7" s="495" t="str">
        <f>X10</f>
        <v/>
      </c>
      <c r="AX7" s="495" t="str">
        <f>AW6</f>
        <v/>
      </c>
      <c r="AY7" s="496" t="s">
        <v>793</v>
      </c>
    </row>
    <row r="8" spans="1:51" ht="15.95" customHeight="1" thickBot="1" x14ac:dyDescent="0.25">
      <c r="A8" s="435">
        <v>4</v>
      </c>
      <c r="B8" s="444" t="str">
        <f t="shared" ca="1" si="1"/>
        <v/>
      </c>
      <c r="C8" s="444" t="str">
        <f t="shared" ca="1" si="2"/>
        <v/>
      </c>
      <c r="D8" s="444" t="str">
        <f t="shared" ca="1" si="3"/>
        <v/>
      </c>
      <c r="E8" s="486">
        <f t="shared" ca="1" si="4"/>
        <v>0</v>
      </c>
      <c r="F8" s="489">
        <v>14</v>
      </c>
      <c r="G8" s="488" t="str">
        <f t="shared" ca="1" si="5"/>
        <v/>
      </c>
      <c r="H8" s="898" t="str">
        <f t="shared" ca="1" si="6"/>
        <v/>
      </c>
      <c r="I8" s="898" t="str">
        <f t="shared" ca="1" si="0"/>
        <v/>
      </c>
      <c r="J8" s="898" t="str">
        <f t="shared" ca="1" si="0"/>
        <v/>
      </c>
      <c r="K8" s="447"/>
      <c r="L8" s="473" t="str">
        <f ca="1">VLOOKUP(L7,$A$5:$G$24,7,FALSE)</f>
        <v/>
      </c>
      <c r="M8" s="466" t="str">
        <f ca="1">IFERROR(VLOOKUP(L8,$G$5:$J$28,3,FALSE),"")</f>
        <v/>
      </c>
      <c r="N8" s="967"/>
      <c r="Q8" s="447"/>
      <c r="R8" s="473" t="str">
        <f>IF(ISBLANK(N7),"",IF(O7+N7&gt;N9+O9,L8,L10))</f>
        <v/>
      </c>
      <c r="S8" s="466" t="str">
        <f ca="1">IFERROR(VLOOKUP(R8,$G$5:$J$28,3,FALSE),"")</f>
        <v/>
      </c>
      <c r="T8" s="967"/>
      <c r="W8" s="447"/>
      <c r="X8" s="473" t="str">
        <f>IF(ISBLANK(T7),"",IF(U7+T7&gt;T9+U9,R8,R10))</f>
        <v/>
      </c>
      <c r="Y8" s="466" t="str">
        <f ca="1">IFERROR(VLOOKUP(X8,$G$5:$J$28,3,FALSE),"")</f>
        <v/>
      </c>
      <c r="Z8" s="967"/>
      <c r="AF8" s="449" t="s">
        <v>785</v>
      </c>
      <c r="AG8" s="435" t="str">
        <f>IF(ISBLANK(Z7),"",IF(Z7+AA7&lt;Z9+AA9,X8,X10))</f>
        <v/>
      </c>
      <c r="AH8" s="478" t="str">
        <f t="shared" ca="1" si="7"/>
        <v/>
      </c>
      <c r="AI8" s="474" t="str">
        <f t="shared" ca="1" si="8"/>
        <v/>
      </c>
      <c r="AJ8" s="915" t="str">
        <f t="shared" ca="1" si="9"/>
        <v/>
      </c>
      <c r="AN8" s="494">
        <f>K14</f>
        <v>3</v>
      </c>
      <c r="AO8" s="495" t="str">
        <f ca="1">L15</f>
        <v/>
      </c>
      <c r="AP8" s="495" t="str">
        <f t="shared" ref="AP8" ca="1" si="10">AO9</f>
        <v/>
      </c>
      <c r="AQ8" s="496" t="s">
        <v>793</v>
      </c>
      <c r="AR8" s="494">
        <f>Q14</f>
        <v>3</v>
      </c>
      <c r="AS8" s="495" t="str">
        <f>R15</f>
        <v/>
      </c>
      <c r="AT8" s="495" t="str">
        <f t="shared" ref="AT8" si="11">AS9</f>
        <v/>
      </c>
      <c r="AU8" s="496" t="s">
        <v>793</v>
      </c>
      <c r="AV8" s="494">
        <f>W14</f>
        <v>3</v>
      </c>
      <c r="AW8" s="495" t="str">
        <f>X15</f>
        <v/>
      </c>
      <c r="AX8" s="495" t="str">
        <f t="shared" ref="AX8" si="12">AW9</f>
        <v/>
      </c>
      <c r="AY8" s="496" t="s">
        <v>793</v>
      </c>
    </row>
    <row r="9" spans="1:51" ht="15.95" customHeight="1" thickBot="1" x14ac:dyDescent="0.25">
      <c r="A9" s="435">
        <v>5</v>
      </c>
      <c r="B9" s="444" t="str">
        <f t="shared" ca="1" si="1"/>
        <v/>
      </c>
      <c r="C9" s="444" t="str">
        <f t="shared" ca="1" si="2"/>
        <v/>
      </c>
      <c r="D9" s="444" t="str">
        <f t="shared" ca="1" si="3"/>
        <v/>
      </c>
      <c r="E9" s="486">
        <f t="shared" ca="1" si="4"/>
        <v>0</v>
      </c>
      <c r="F9" s="489">
        <v>15</v>
      </c>
      <c r="G9" s="488" t="str">
        <f t="shared" ca="1" si="5"/>
        <v/>
      </c>
      <c r="H9" s="898" t="str">
        <f t="shared" ca="1" si="6"/>
        <v/>
      </c>
      <c r="I9" s="898" t="str">
        <f t="shared" ca="1" si="0"/>
        <v/>
      </c>
      <c r="J9" s="898" t="str">
        <f t="shared" ca="1" si="0"/>
        <v/>
      </c>
      <c r="K9" s="447">
        <f>K7+1</f>
        <v>2</v>
      </c>
      <c r="L9" s="472">
        <v>8</v>
      </c>
      <c r="M9" s="465" t="str">
        <f ca="1">IFERROR(VLOOKUP(L10,$G$5:$J$28,2,FALSE),"")</f>
        <v/>
      </c>
      <c r="N9" s="966"/>
      <c r="O9" s="780"/>
      <c r="Q9" s="447">
        <f>Q7+1</f>
        <v>2</v>
      </c>
      <c r="R9" s="472">
        <v>4</v>
      </c>
      <c r="S9" s="465" t="str">
        <f ca="1">IFERROR(VLOOKUP(R10,$G$5:$J$28,2,FALSE),"")</f>
        <v/>
      </c>
      <c r="T9" s="966"/>
      <c r="U9" s="780"/>
      <c r="W9" s="447">
        <f>W7+1</f>
        <v>2</v>
      </c>
      <c r="X9" s="472">
        <v>2</v>
      </c>
      <c r="Y9" s="465" t="str">
        <f ca="1">IFERROR(VLOOKUP(X10,$G$5:$J$28,2,FALSE),"")</f>
        <v/>
      </c>
      <c r="Z9" s="966"/>
      <c r="AA9" s="780"/>
      <c r="AF9" s="452" t="s">
        <v>786</v>
      </c>
      <c r="AG9" s="435" t="str">
        <f>IF(ISBLANK(Z14),"",IF(Z14+AA14&gt;Z16+AA16,X15,X17))</f>
        <v/>
      </c>
      <c r="AH9" s="478" t="str">
        <f t="shared" ca="1" si="7"/>
        <v/>
      </c>
      <c r="AI9" s="474" t="str">
        <f t="shared" ca="1" si="8"/>
        <v/>
      </c>
      <c r="AJ9" s="915" t="str">
        <f t="shared" ca="1" si="9"/>
        <v/>
      </c>
      <c r="AN9" s="494">
        <f>K16</f>
        <v>4</v>
      </c>
      <c r="AO9" s="495" t="str">
        <f ca="1">L17</f>
        <v/>
      </c>
      <c r="AP9" s="495" t="str">
        <f t="shared" ref="AP9" ca="1" si="13">AO8</f>
        <v/>
      </c>
      <c r="AQ9" s="496" t="s">
        <v>793</v>
      </c>
      <c r="AR9" s="494">
        <f>Q16</f>
        <v>4</v>
      </c>
      <c r="AS9" s="495" t="str">
        <f>R17</f>
        <v/>
      </c>
      <c r="AT9" s="495" t="str">
        <f t="shared" ref="AT9" si="14">AS8</f>
        <v/>
      </c>
      <c r="AU9" s="496" t="s">
        <v>793</v>
      </c>
      <c r="AV9" s="494">
        <f>W16</f>
        <v>4</v>
      </c>
      <c r="AW9" s="495" t="str">
        <f>X17</f>
        <v/>
      </c>
      <c r="AX9" s="495" t="str">
        <f t="shared" ref="AX9" si="15">AW8</f>
        <v/>
      </c>
      <c r="AY9" s="496" t="s">
        <v>793</v>
      </c>
    </row>
    <row r="10" spans="1:51" ht="15.95" customHeight="1" thickBot="1" x14ac:dyDescent="0.25">
      <c r="A10" s="435">
        <v>6</v>
      </c>
      <c r="B10" s="444" t="str">
        <f t="shared" ca="1" si="1"/>
        <v/>
      </c>
      <c r="C10" s="444" t="str">
        <f t="shared" ca="1" si="2"/>
        <v/>
      </c>
      <c r="D10" s="444" t="str">
        <f t="shared" ca="1" si="3"/>
        <v/>
      </c>
      <c r="E10" s="486">
        <f t="shared" ca="1" si="4"/>
        <v>0</v>
      </c>
      <c r="F10" s="489">
        <v>16</v>
      </c>
      <c r="G10" s="488" t="str">
        <f t="shared" ca="1" si="5"/>
        <v/>
      </c>
      <c r="H10" s="898" t="str">
        <f t="shared" ca="1" si="6"/>
        <v/>
      </c>
      <c r="I10" s="898" t="str">
        <f t="shared" ca="1" si="0"/>
        <v/>
      </c>
      <c r="J10" s="898" t="str">
        <f t="shared" ca="1" si="0"/>
        <v/>
      </c>
      <c r="K10" s="447"/>
      <c r="L10" s="473" t="str">
        <f ca="1">VLOOKUP(L9,$A$5:$G$24,7,FALSE)</f>
        <v/>
      </c>
      <c r="M10" s="466" t="str">
        <f ca="1">IFERROR(VLOOKUP(L10,$G$5:$J$28,3,FALSE),"")</f>
        <v/>
      </c>
      <c r="N10" s="967"/>
      <c r="Q10" s="447"/>
      <c r="R10" s="473" t="str">
        <f>IF(ISBLANK(N14),"",IF(O14+N14&gt;N16+O16,L15,L17))</f>
        <v/>
      </c>
      <c r="S10" s="466" t="str">
        <f ca="1">IFERROR(VLOOKUP(R10,$G$5:$J$28,3,FALSE),"")</f>
        <v/>
      </c>
      <c r="T10" s="967"/>
      <c r="W10" s="447"/>
      <c r="X10" s="473" t="str">
        <f>IF(ISBLANK(T14),"",IF(U14+T14&gt;T16+U16,R15,R17))</f>
        <v/>
      </c>
      <c r="Y10" s="466" t="str">
        <f ca="1">IFERROR(VLOOKUP(X10,$G$5:$J$28,3,FALSE),"")</f>
        <v/>
      </c>
      <c r="Z10" s="967"/>
      <c r="AF10" s="453" t="s">
        <v>788</v>
      </c>
      <c r="AG10" s="435" t="str">
        <f>IF(ISBLANK(Z14),"",IF(Z14+AA14&lt;Z16+AA16,X15,X17))</f>
        <v/>
      </c>
      <c r="AH10" s="478" t="str">
        <f t="shared" ca="1" si="7"/>
        <v/>
      </c>
      <c r="AI10" s="474" t="str">
        <f t="shared" ca="1" si="8"/>
        <v/>
      </c>
      <c r="AJ10" s="915" t="str">
        <f t="shared" ca="1" si="9"/>
        <v/>
      </c>
      <c r="AN10" s="494">
        <f>K21</f>
        <v>5</v>
      </c>
      <c r="AO10" s="495" t="str">
        <f ca="1">L22</f>
        <v/>
      </c>
      <c r="AP10" s="495" t="str">
        <f t="shared" ref="AP10" ca="1" si="16">AO11</f>
        <v/>
      </c>
      <c r="AQ10" s="496" t="s">
        <v>793</v>
      </c>
      <c r="AR10" s="494">
        <f>Q21</f>
        <v>5</v>
      </c>
      <c r="AS10" s="495" t="str">
        <f>R22</f>
        <v/>
      </c>
      <c r="AT10" s="495" t="str">
        <f t="shared" ref="AT10" si="17">AS11</f>
        <v/>
      </c>
      <c r="AU10" s="496" t="s">
        <v>793</v>
      </c>
      <c r="AV10" s="494">
        <f>W21</f>
        <v>5</v>
      </c>
      <c r="AW10" s="495" t="str">
        <f>X22</f>
        <v/>
      </c>
      <c r="AX10" s="495" t="str">
        <f t="shared" ref="AX10" si="18">AW11</f>
        <v/>
      </c>
      <c r="AY10" s="496" t="s">
        <v>793</v>
      </c>
    </row>
    <row r="11" spans="1:51" ht="15.95" customHeight="1" x14ac:dyDescent="0.2">
      <c r="A11" s="435">
        <v>7</v>
      </c>
      <c r="B11" s="444" t="str">
        <f t="shared" ca="1" si="1"/>
        <v/>
      </c>
      <c r="C11" s="444" t="str">
        <f t="shared" ca="1" si="2"/>
        <v/>
      </c>
      <c r="D11" s="444" t="str">
        <f t="shared" ca="1" si="3"/>
        <v/>
      </c>
      <c r="E11" s="486">
        <f t="shared" ca="1" si="4"/>
        <v>0</v>
      </c>
      <c r="F11" s="489">
        <v>17</v>
      </c>
      <c r="G11" s="488" t="str">
        <f t="shared" ca="1" si="5"/>
        <v/>
      </c>
      <c r="H11" s="898" t="str">
        <f t="shared" ca="1" si="6"/>
        <v/>
      </c>
      <c r="I11" s="898" t="str">
        <f t="shared" ca="1" si="0"/>
        <v/>
      </c>
      <c r="J11" s="898" t="str">
        <f t="shared" ca="1" si="0"/>
        <v/>
      </c>
      <c r="K11" s="450"/>
      <c r="L11" s="450"/>
      <c r="M11" s="450"/>
      <c r="N11" s="451"/>
      <c r="O11" s="450"/>
      <c r="P11" s="450"/>
      <c r="Q11" s="450"/>
      <c r="R11" s="437"/>
      <c r="S11" s="437"/>
      <c r="T11" s="451"/>
      <c r="U11" s="450"/>
      <c r="V11" s="450"/>
      <c r="W11" s="450"/>
      <c r="X11" s="450"/>
      <c r="Y11" s="450"/>
      <c r="Z11" s="451"/>
      <c r="AA11" s="450"/>
      <c r="AF11" s="453" t="s">
        <v>789</v>
      </c>
      <c r="AG11" s="435" t="str">
        <f>IF(ISBLANK(Z21),"",IF(Z21+AA21&gt;Z23+AA23,X22,X24))</f>
        <v/>
      </c>
      <c r="AH11" s="478" t="str">
        <f t="shared" ca="1" si="7"/>
        <v/>
      </c>
      <c r="AI11" s="474" t="str">
        <f t="shared" ca="1" si="8"/>
        <v/>
      </c>
      <c r="AJ11" s="915" t="str">
        <f t="shared" ca="1" si="9"/>
        <v/>
      </c>
      <c r="AN11" s="494">
        <f>K23</f>
        <v>6</v>
      </c>
      <c r="AO11" s="495" t="str">
        <f ca="1">L24</f>
        <v/>
      </c>
      <c r="AP11" s="495" t="str">
        <f t="shared" ref="AP11" ca="1" si="19">AO10</f>
        <v/>
      </c>
      <c r="AQ11" s="496" t="s">
        <v>793</v>
      </c>
      <c r="AR11" s="494">
        <f>Q23</f>
        <v>6</v>
      </c>
      <c r="AS11" s="495" t="str">
        <f>R24</f>
        <v/>
      </c>
      <c r="AT11" s="495" t="str">
        <f t="shared" ref="AT11" si="20">AS10</f>
        <v/>
      </c>
      <c r="AU11" s="496" t="s">
        <v>793</v>
      </c>
      <c r="AV11" s="494">
        <f>W23</f>
        <v>6</v>
      </c>
      <c r="AW11" s="495" t="str">
        <f>X24</f>
        <v/>
      </c>
      <c r="AX11" s="495" t="str">
        <f t="shared" ref="AX11" si="21">AW10</f>
        <v/>
      </c>
      <c r="AY11" s="496" t="s">
        <v>793</v>
      </c>
    </row>
    <row r="12" spans="1:51" ht="15.95" customHeight="1" thickBot="1" x14ac:dyDescent="0.25">
      <c r="A12" s="435">
        <v>8</v>
      </c>
      <c r="B12" s="444" t="str">
        <f t="shared" ca="1" si="1"/>
        <v/>
      </c>
      <c r="C12" s="444" t="str">
        <f t="shared" ca="1" si="2"/>
        <v/>
      </c>
      <c r="D12" s="444" t="str">
        <f t="shared" ca="1" si="3"/>
        <v/>
      </c>
      <c r="E12" s="486">
        <f t="shared" ca="1" si="4"/>
        <v>0</v>
      </c>
      <c r="F12" s="489">
        <v>18</v>
      </c>
      <c r="G12" s="488" t="str">
        <f t="shared" ca="1" si="5"/>
        <v/>
      </c>
      <c r="H12" s="898" t="str">
        <f t="shared" ca="1" si="6"/>
        <v/>
      </c>
      <c r="I12" s="898" t="str">
        <f t="shared" ca="1" si="0"/>
        <v/>
      </c>
      <c r="J12" s="898" t="str">
        <f t="shared" ca="1" si="0"/>
        <v/>
      </c>
      <c r="K12" s="450"/>
      <c r="L12" s="450"/>
      <c r="M12" s="450"/>
      <c r="N12" s="451"/>
      <c r="O12" s="450"/>
      <c r="P12" s="450"/>
      <c r="Q12" s="450"/>
      <c r="R12" s="437"/>
      <c r="S12" s="437"/>
      <c r="T12" s="451"/>
      <c r="U12" s="450"/>
      <c r="V12" s="450"/>
      <c r="W12" s="450"/>
      <c r="X12" s="979" t="s">
        <v>787</v>
      </c>
      <c r="Y12" s="1247"/>
      <c r="Z12" s="1247"/>
      <c r="AA12" s="450"/>
      <c r="AF12" s="453" t="s">
        <v>790</v>
      </c>
      <c r="AG12" s="435" t="str">
        <f>IF(ISBLANK(Z21),"",IF(Z21+AA21&lt;Z23+AA23,X22,X24))</f>
        <v/>
      </c>
      <c r="AH12" s="478" t="str">
        <f t="shared" ca="1" si="7"/>
        <v/>
      </c>
      <c r="AI12" s="474" t="str">
        <f t="shared" ca="1" si="8"/>
        <v/>
      </c>
      <c r="AJ12" s="915" t="str">
        <f t="shared" ca="1" si="9"/>
        <v/>
      </c>
      <c r="AN12" s="494">
        <f>K28</f>
        <v>7</v>
      </c>
      <c r="AO12" s="495" t="str">
        <f ca="1">L29</f>
        <v/>
      </c>
      <c r="AP12" s="495" t="str">
        <f t="shared" ref="AP12" ca="1" si="22">AO13</f>
        <v/>
      </c>
      <c r="AQ12" s="496" t="s">
        <v>793</v>
      </c>
      <c r="AR12" s="494">
        <f>Q28</f>
        <v>7</v>
      </c>
      <c r="AS12" s="495" t="str">
        <f>R29</f>
        <v/>
      </c>
      <c r="AT12" s="495" t="str">
        <f t="shared" ref="AT12" si="23">AS13</f>
        <v/>
      </c>
      <c r="AU12" s="496" t="s">
        <v>793</v>
      </c>
      <c r="AV12" s="494">
        <f>W28</f>
        <v>7</v>
      </c>
      <c r="AW12" s="495" t="str">
        <f>X29</f>
        <v/>
      </c>
      <c r="AX12" s="495" t="str">
        <f t="shared" ref="AX12" si="24">AW13</f>
        <v/>
      </c>
      <c r="AY12" s="496" t="s">
        <v>793</v>
      </c>
    </row>
    <row r="13" spans="1:51" ht="15.95" customHeight="1" thickBot="1" x14ac:dyDescent="0.25">
      <c r="A13" s="435">
        <v>9</v>
      </c>
      <c r="B13" s="444" t="str">
        <f t="shared" ca="1" si="1"/>
        <v/>
      </c>
      <c r="C13" s="444" t="str">
        <f t="shared" ca="1" si="2"/>
        <v/>
      </c>
      <c r="D13" s="444" t="str">
        <f t="shared" ca="1" si="3"/>
        <v/>
      </c>
      <c r="E13" s="486">
        <f t="shared" ca="1" si="4"/>
        <v>0</v>
      </c>
      <c r="F13" s="489">
        <v>19</v>
      </c>
      <c r="G13" s="488" t="str">
        <f t="shared" ca="1" si="5"/>
        <v/>
      </c>
      <c r="H13" s="898" t="str">
        <f t="shared" ca="1" si="6"/>
        <v/>
      </c>
      <c r="I13" s="898" t="str">
        <f t="shared" ca="1" si="0"/>
        <v/>
      </c>
      <c r="J13" s="898" t="str">
        <f t="shared" ca="1" si="0"/>
        <v/>
      </c>
      <c r="K13" s="445" t="s">
        <v>779</v>
      </c>
      <c r="L13" s="779" t="s">
        <v>1083</v>
      </c>
      <c r="M13" s="456" t="s">
        <v>481</v>
      </c>
      <c r="N13" s="464" t="s">
        <v>780</v>
      </c>
      <c r="O13" s="446" t="s">
        <v>781</v>
      </c>
      <c r="P13" s="445"/>
      <c r="Q13" s="445" t="s">
        <v>779</v>
      </c>
      <c r="R13" s="779" t="s">
        <v>1083</v>
      </c>
      <c r="S13" s="456" t="s">
        <v>481</v>
      </c>
      <c r="T13" s="464" t="s">
        <v>780</v>
      </c>
      <c r="U13" s="446" t="s">
        <v>781</v>
      </c>
      <c r="V13" s="445"/>
      <c r="W13" s="445" t="s">
        <v>779</v>
      </c>
      <c r="X13" s="779" t="s">
        <v>1083</v>
      </c>
      <c r="Y13" s="456" t="s">
        <v>481</v>
      </c>
      <c r="Z13" s="464" t="s">
        <v>780</v>
      </c>
      <c r="AA13" s="446" t="s">
        <v>781</v>
      </c>
      <c r="AF13" s="453" t="s">
        <v>791</v>
      </c>
      <c r="AG13" s="435" t="str">
        <f>IF(ISBLANK(Z28),"",IF(Z28+AA28&gt;Z30+AA30,X29,X31))</f>
        <v/>
      </c>
      <c r="AH13" s="478" t="str">
        <f t="shared" ca="1" si="7"/>
        <v/>
      </c>
      <c r="AI13" s="474" t="str">
        <f t="shared" ca="1" si="8"/>
        <v/>
      </c>
      <c r="AJ13" s="915" t="str">
        <f t="shared" ca="1" si="9"/>
        <v/>
      </c>
      <c r="AN13" s="494">
        <f>K30</f>
        <v>8</v>
      </c>
      <c r="AO13" s="495" t="str">
        <f ca="1">L31</f>
        <v/>
      </c>
      <c r="AP13" s="495" t="str">
        <f t="shared" ref="AP13" ca="1" si="25">AO12</f>
        <v/>
      </c>
      <c r="AQ13" s="496" t="s">
        <v>793</v>
      </c>
      <c r="AR13" s="494">
        <f>Q30</f>
        <v>8</v>
      </c>
      <c r="AS13" s="495" t="str">
        <f>R31</f>
        <v/>
      </c>
      <c r="AT13" s="495" t="str">
        <f t="shared" ref="AT13" si="26">AS12</f>
        <v/>
      </c>
      <c r="AU13" s="496" t="s">
        <v>793</v>
      </c>
      <c r="AV13" s="494">
        <f>W30</f>
        <v>8</v>
      </c>
      <c r="AW13" s="495" t="str">
        <f>X31</f>
        <v/>
      </c>
      <c r="AX13" s="495" t="str">
        <f t="shared" ref="AX13" si="27">AW12</f>
        <v/>
      </c>
      <c r="AY13" s="496" t="s">
        <v>793</v>
      </c>
    </row>
    <row r="14" spans="1:51" ht="15.95" customHeight="1" thickBot="1" x14ac:dyDescent="0.25">
      <c r="A14" s="435">
        <v>10</v>
      </c>
      <c r="B14" s="444" t="str">
        <f t="shared" ca="1" si="1"/>
        <v/>
      </c>
      <c r="C14" s="444" t="str">
        <f t="shared" ca="1" si="2"/>
        <v/>
      </c>
      <c r="D14" s="444" t="str">
        <f t="shared" ca="1" si="3"/>
        <v/>
      </c>
      <c r="E14" s="486">
        <f t="shared" ca="1" si="4"/>
        <v>0</v>
      </c>
      <c r="F14" s="489">
        <v>20</v>
      </c>
      <c r="G14" s="488" t="str">
        <f t="shared" ca="1" si="5"/>
        <v/>
      </c>
      <c r="H14" s="898" t="str">
        <f t="shared" ca="1" si="6"/>
        <v/>
      </c>
      <c r="I14" s="898" t="str">
        <f t="shared" ca="1" si="0"/>
        <v/>
      </c>
      <c r="J14" s="898" t="str">
        <f t="shared" ca="1" si="0"/>
        <v/>
      </c>
      <c r="K14" s="447">
        <f>K9+1</f>
        <v>3</v>
      </c>
      <c r="L14" s="472">
        <v>4</v>
      </c>
      <c r="M14" s="465" t="str">
        <f ca="1">IFERROR(VLOOKUP(L15,$G$5:$J$28,2,FALSE),"")</f>
        <v/>
      </c>
      <c r="N14" s="966"/>
      <c r="O14" s="780"/>
      <c r="Q14" s="447">
        <f>Q9+1</f>
        <v>3</v>
      </c>
      <c r="R14" s="472">
        <v>3</v>
      </c>
      <c r="S14" s="465" t="str">
        <f ca="1">IFERROR(VLOOKUP(R15,$G$5:$J$28,2,FALSE),"")</f>
        <v/>
      </c>
      <c r="T14" s="966"/>
      <c r="U14" s="780"/>
      <c r="W14" s="447">
        <f>W9+1</f>
        <v>3</v>
      </c>
      <c r="X14" s="472">
        <v>4</v>
      </c>
      <c r="Y14" s="465" t="str">
        <f ca="1">IFERROR(VLOOKUP(X15,$G$5:$J$28,2,FALSE),"")</f>
        <v/>
      </c>
      <c r="Z14" s="966"/>
      <c r="AA14" s="780"/>
      <c r="AF14" s="453" t="s">
        <v>792</v>
      </c>
      <c r="AG14" s="435" t="str">
        <f>IF(ISBLANK(Z28),"",IF(Z28+AA28&lt;Z30+AA30,X29,X31))</f>
        <v/>
      </c>
      <c r="AH14" s="478" t="str">
        <f t="shared" ca="1" si="7"/>
        <v/>
      </c>
      <c r="AI14" s="474" t="str">
        <f t="shared" ca="1" si="8"/>
        <v/>
      </c>
      <c r="AJ14" s="915" t="str">
        <f t="shared" ca="1" si="9"/>
        <v/>
      </c>
      <c r="AN14" s="494">
        <f>K35</f>
        <v>9</v>
      </c>
      <c r="AO14" s="495" t="str">
        <f ca="1">L36</f>
        <v/>
      </c>
      <c r="AP14" s="495" t="str">
        <f t="shared" ref="AP14" ca="1" si="28">AO15</f>
        <v/>
      </c>
      <c r="AQ14" s="496" t="s">
        <v>793</v>
      </c>
      <c r="AR14" s="494">
        <f>Q35</f>
        <v>9</v>
      </c>
      <c r="AS14" s="495" t="str">
        <f>R36</f>
        <v/>
      </c>
      <c r="AT14" s="495" t="str">
        <f t="shared" ref="AT14" si="29">AS15</f>
        <v/>
      </c>
      <c r="AU14" s="496" t="s">
        <v>793</v>
      </c>
      <c r="AV14" s="494">
        <f>W35</f>
        <v>9</v>
      </c>
      <c r="AW14" s="495" t="str">
        <f>X36</f>
        <v/>
      </c>
      <c r="AX14" s="495" t="str">
        <f t="shared" ref="AX14" si="30">AW15</f>
        <v/>
      </c>
      <c r="AY14" s="496" t="s">
        <v>793</v>
      </c>
    </row>
    <row r="15" spans="1:51" ht="15.95" customHeight="1" thickBot="1" x14ac:dyDescent="0.25">
      <c r="A15" s="435">
        <v>11</v>
      </c>
      <c r="B15" s="444" t="str">
        <f t="shared" ca="1" si="1"/>
        <v/>
      </c>
      <c r="C15" s="444" t="str">
        <f t="shared" ca="1" si="2"/>
        <v/>
      </c>
      <c r="D15" s="444" t="str">
        <f t="shared" ca="1" si="3"/>
        <v/>
      </c>
      <c r="E15" s="486">
        <f t="shared" ca="1" si="4"/>
        <v>0</v>
      </c>
      <c r="F15" s="489">
        <v>21</v>
      </c>
      <c r="G15" s="488" t="str">
        <f t="shared" ca="1" si="5"/>
        <v/>
      </c>
      <c r="H15" s="898" t="str">
        <f t="shared" ca="1" si="6"/>
        <v/>
      </c>
      <c r="I15" s="898" t="str">
        <f t="shared" ca="1" si="0"/>
        <v/>
      </c>
      <c r="J15" s="898" t="str">
        <f t="shared" ca="1" si="0"/>
        <v/>
      </c>
      <c r="K15" s="447"/>
      <c r="L15" s="473" t="str">
        <f ca="1">VLOOKUP(L14,$A$5:$G$24,7,FALSE)</f>
        <v/>
      </c>
      <c r="M15" s="466" t="str">
        <f ca="1">IFERROR(VLOOKUP(L15,$G$5:$J$28,3,FALSE),"")</f>
        <v/>
      </c>
      <c r="N15" s="967"/>
      <c r="Q15" s="447"/>
      <c r="R15" s="473" t="str">
        <f>IF(ISBLANK(N21),"",IF(N21+O21&gt;N23+O23,L22,L24))</f>
        <v/>
      </c>
      <c r="S15" s="466" t="str">
        <f ca="1">IFERROR(VLOOKUP(R15,$G$5:$J$28,3,FALSE),"")</f>
        <v/>
      </c>
      <c r="T15" s="967"/>
      <c r="W15" s="447"/>
      <c r="X15" s="473" t="str">
        <f>IF(ISBLANK(T7),"",IF(U7+T7&lt;T9+U9,R8,R10))</f>
        <v/>
      </c>
      <c r="Y15" s="466" t="str">
        <f ca="1">IFERROR(VLOOKUP(X15,$G$5:$J$28,3,FALSE),"")</f>
        <v/>
      </c>
      <c r="Z15" s="967"/>
      <c r="AF15" s="453" t="s">
        <v>794</v>
      </c>
      <c r="AG15" s="435" t="str">
        <f>IF(ISBLANK(Z35),"",IF(Z35+AA35&gt;Z37+AA37,X36,X38))</f>
        <v/>
      </c>
      <c r="AH15" s="478" t="str">
        <f t="shared" ca="1" si="7"/>
        <v/>
      </c>
      <c r="AI15" s="474" t="str">
        <f t="shared" ca="1" si="8"/>
        <v/>
      </c>
      <c r="AJ15" s="915" t="str">
        <f t="shared" ca="1" si="9"/>
        <v/>
      </c>
      <c r="AN15" s="494">
        <f>K37</f>
        <v>10</v>
      </c>
      <c r="AO15" s="495" t="str">
        <f ca="1">L38</f>
        <v/>
      </c>
      <c r="AP15" s="495" t="str">
        <f t="shared" ref="AP15" ca="1" si="31">AO14</f>
        <v/>
      </c>
      <c r="AQ15" s="496" t="s">
        <v>793</v>
      </c>
      <c r="AR15" s="494">
        <f>Q37</f>
        <v>10</v>
      </c>
      <c r="AS15" s="495" t="str">
        <f>R38</f>
        <v/>
      </c>
      <c r="AT15" s="495" t="str">
        <f t="shared" ref="AT15" si="32">AS14</f>
        <v/>
      </c>
      <c r="AU15" s="496" t="s">
        <v>793</v>
      </c>
      <c r="AV15" s="494">
        <f>W37</f>
        <v>10</v>
      </c>
      <c r="AW15" s="495" t="str">
        <f>X38</f>
        <v/>
      </c>
      <c r="AX15" s="495" t="str">
        <f t="shared" ref="AX15" si="33">AW14</f>
        <v/>
      </c>
      <c r="AY15" s="496" t="s">
        <v>793</v>
      </c>
    </row>
    <row r="16" spans="1:51" ht="15.95" customHeight="1" thickBot="1" x14ac:dyDescent="0.25">
      <c r="A16" s="435">
        <v>12</v>
      </c>
      <c r="B16" s="444" t="str">
        <f t="shared" ca="1" si="1"/>
        <v/>
      </c>
      <c r="C16" s="444" t="str">
        <f t="shared" ca="1" si="2"/>
        <v/>
      </c>
      <c r="D16" s="444" t="str">
        <f t="shared" ca="1" si="3"/>
        <v/>
      </c>
      <c r="E16" s="486">
        <f t="shared" ca="1" si="4"/>
        <v>0</v>
      </c>
      <c r="F16" s="489">
        <v>22</v>
      </c>
      <c r="G16" s="488" t="str">
        <f t="shared" ca="1" si="5"/>
        <v/>
      </c>
      <c r="H16" s="898" t="str">
        <f t="shared" ca="1" si="6"/>
        <v/>
      </c>
      <c r="I16" s="898" t="str">
        <f t="shared" ca="1" si="0"/>
        <v/>
      </c>
      <c r="J16" s="898" t="str">
        <f t="shared" ca="1" si="0"/>
        <v/>
      </c>
      <c r="K16" s="447">
        <f>K14+1</f>
        <v>4</v>
      </c>
      <c r="L16" s="472">
        <v>5</v>
      </c>
      <c r="M16" s="465" t="str">
        <f ca="1">IFERROR(VLOOKUP(L17,$G$5:$J$28,2,FALSE),"")</f>
        <v/>
      </c>
      <c r="N16" s="966"/>
      <c r="O16" s="780"/>
      <c r="Q16" s="447">
        <f>Q14+1</f>
        <v>4</v>
      </c>
      <c r="R16" s="472">
        <v>2</v>
      </c>
      <c r="S16" s="465" t="str">
        <f ca="1">IFERROR(VLOOKUP(R17,$G$5:$J$28,2,FALSE),"")</f>
        <v/>
      </c>
      <c r="T16" s="966"/>
      <c r="U16" s="780"/>
      <c r="W16" s="447">
        <f>W14+1</f>
        <v>4</v>
      </c>
      <c r="X16" s="472">
        <v>3</v>
      </c>
      <c r="Y16" s="465" t="str">
        <f ca="1">IFERROR(VLOOKUP(X17,$G$5:$J$28,2,FALSE),"")</f>
        <v/>
      </c>
      <c r="Z16" s="966"/>
      <c r="AA16" s="780"/>
      <c r="AF16" s="453" t="s">
        <v>795</v>
      </c>
      <c r="AG16" s="435" t="str">
        <f>IF(ISBLANK(Z35),"",IF(Z35+AA35&lt;Z37+AA37,X36,X38))</f>
        <v/>
      </c>
      <c r="AH16" s="478" t="str">
        <f t="shared" ca="1" si="7"/>
        <v/>
      </c>
      <c r="AI16" s="474" t="str">
        <f t="shared" ca="1" si="8"/>
        <v/>
      </c>
      <c r="AJ16" s="915" t="str">
        <f t="shared" ca="1" si="9"/>
        <v/>
      </c>
      <c r="AN16" s="494">
        <f>K42</f>
        <v>11</v>
      </c>
      <c r="AO16" s="495" t="str">
        <f ca="1">L43</f>
        <v/>
      </c>
      <c r="AP16" s="495" t="str">
        <f t="shared" ref="AP16" ca="1" si="34">AO17</f>
        <v/>
      </c>
      <c r="AQ16" s="496" t="s">
        <v>793</v>
      </c>
      <c r="AR16" s="494">
        <f>Q42</f>
        <v>11</v>
      </c>
      <c r="AS16" s="495" t="str">
        <f>R43</f>
        <v/>
      </c>
      <c r="AT16" s="495" t="str">
        <f t="shared" ref="AT16" si="35">AS17</f>
        <v/>
      </c>
      <c r="AU16" s="496" t="s">
        <v>793</v>
      </c>
      <c r="AV16" s="494">
        <f>W42</f>
        <v>11</v>
      </c>
      <c r="AW16" s="495" t="str">
        <f>X43</f>
        <v/>
      </c>
      <c r="AX16" s="495" t="str">
        <f t="shared" ref="AX16" si="36">AW17</f>
        <v/>
      </c>
      <c r="AY16" s="496" t="s">
        <v>793</v>
      </c>
    </row>
    <row r="17" spans="1:51" ht="15.95" customHeight="1" thickBot="1" x14ac:dyDescent="0.25">
      <c r="A17" s="435">
        <v>13</v>
      </c>
      <c r="B17" s="444" t="str">
        <f t="shared" ca="1" si="1"/>
        <v/>
      </c>
      <c r="C17" s="444" t="str">
        <f t="shared" ca="1" si="2"/>
        <v/>
      </c>
      <c r="D17" s="444" t="str">
        <f t="shared" ca="1" si="3"/>
        <v/>
      </c>
      <c r="E17" s="486">
        <f t="shared" ca="1" si="4"/>
        <v>0</v>
      </c>
      <c r="F17" s="489">
        <v>23</v>
      </c>
      <c r="G17" s="488" t="str">
        <f t="shared" ca="1" si="5"/>
        <v/>
      </c>
      <c r="H17" s="898" t="str">
        <f t="shared" ca="1" si="6"/>
        <v/>
      </c>
      <c r="I17" s="898" t="str">
        <f t="shared" ca="1" si="0"/>
        <v/>
      </c>
      <c r="J17" s="898" t="str">
        <f t="shared" ca="1" si="0"/>
        <v/>
      </c>
      <c r="K17" s="447"/>
      <c r="L17" s="473" t="str">
        <f ca="1">VLOOKUP(L16,$A$5:$G$24,7,FALSE)</f>
        <v/>
      </c>
      <c r="M17" s="466" t="str">
        <f ca="1">IFERROR(VLOOKUP(L17,$G$5:$J$28,3,FALSE),"")</f>
        <v/>
      </c>
      <c r="N17" s="967"/>
      <c r="Q17" s="447"/>
      <c r="R17" s="473" t="str">
        <f>IF(ISBLANK(N28),"",IF(N28+O28&gt;N30+O30,L29,L31))</f>
        <v/>
      </c>
      <c r="S17" s="466" t="str">
        <f ca="1">IFERROR(VLOOKUP(R17,$G$5:$J$28,3,FALSE),"")</f>
        <v/>
      </c>
      <c r="T17" s="967"/>
      <c r="W17" s="447"/>
      <c r="X17" s="473" t="str">
        <f>IF(ISBLANK(T14),"",IF(U14+T14&lt;T16+U16,R15,R17))</f>
        <v/>
      </c>
      <c r="Y17" s="466" t="str">
        <f ca="1">IFERROR(VLOOKUP(X17,$G$5:$J$28,3,FALSE),"")</f>
        <v/>
      </c>
      <c r="Z17" s="967"/>
      <c r="AF17" s="453" t="s">
        <v>796</v>
      </c>
      <c r="AG17" s="435" t="str">
        <f>IF(ISBLANK(Z42),"",IF(Z42+AA42&gt;Z44+AA44,X43,X45))</f>
        <v/>
      </c>
      <c r="AH17" s="478" t="str">
        <f t="shared" ca="1" si="7"/>
        <v/>
      </c>
      <c r="AI17" s="474" t="str">
        <f t="shared" ca="1" si="8"/>
        <v/>
      </c>
      <c r="AJ17" s="915" t="str">
        <f t="shared" ca="1" si="9"/>
        <v/>
      </c>
      <c r="AN17" s="494">
        <f>K44</f>
        <v>12</v>
      </c>
      <c r="AO17" s="495" t="str">
        <f ca="1">L45</f>
        <v/>
      </c>
      <c r="AP17" s="495" t="str">
        <f t="shared" ref="AP17" ca="1" si="37">AO16</f>
        <v/>
      </c>
      <c r="AQ17" s="496" t="s">
        <v>793</v>
      </c>
      <c r="AR17" s="494">
        <f>Q44</f>
        <v>12</v>
      </c>
      <c r="AS17" s="495" t="str">
        <f>R45</f>
        <v/>
      </c>
      <c r="AT17" s="495" t="str">
        <f t="shared" ref="AT17" si="38">AS16</f>
        <v/>
      </c>
      <c r="AU17" s="496" t="s">
        <v>793</v>
      </c>
      <c r="AV17" s="494">
        <f>W44</f>
        <v>12</v>
      </c>
      <c r="AW17" s="495" t="str">
        <f>X45</f>
        <v/>
      </c>
      <c r="AX17" s="495" t="str">
        <f t="shared" ref="AX17" si="39">AW16</f>
        <v/>
      </c>
      <c r="AY17" s="496" t="s">
        <v>793</v>
      </c>
    </row>
    <row r="18" spans="1:51" ht="15.95" customHeight="1" x14ac:dyDescent="0.2">
      <c r="A18" s="435">
        <v>14</v>
      </c>
      <c r="B18" s="444" t="str">
        <f t="shared" ca="1" si="1"/>
        <v/>
      </c>
      <c r="C18" s="444" t="str">
        <f t="shared" ca="1" si="2"/>
        <v/>
      </c>
      <c r="D18" s="444" t="str">
        <f t="shared" ca="1" si="3"/>
        <v/>
      </c>
      <c r="E18" s="486">
        <f t="shared" ca="1" si="4"/>
        <v>0</v>
      </c>
      <c r="F18" s="489">
        <v>24</v>
      </c>
      <c r="G18" s="488" t="str">
        <f t="shared" ca="1" si="5"/>
        <v/>
      </c>
      <c r="H18" s="898" t="str">
        <f t="shared" ca="1" si="6"/>
        <v/>
      </c>
      <c r="I18" s="898" t="str">
        <f t="shared" ca="1" si="0"/>
        <v/>
      </c>
      <c r="J18" s="898" t="str">
        <f t="shared" ca="1" si="0"/>
        <v/>
      </c>
      <c r="K18" s="450"/>
      <c r="L18" s="450"/>
      <c r="M18" s="450"/>
      <c r="N18" s="451"/>
      <c r="O18" s="450"/>
      <c r="P18" s="450"/>
      <c r="Q18" s="450"/>
      <c r="R18" s="450"/>
      <c r="S18" s="450"/>
      <c r="T18" s="451"/>
      <c r="U18" s="450"/>
      <c r="V18" s="450"/>
      <c r="W18" s="450"/>
      <c r="X18" s="450"/>
      <c r="Y18" s="450"/>
      <c r="Z18" s="451"/>
      <c r="AA18" s="450"/>
      <c r="AF18" s="453" t="s">
        <v>797</v>
      </c>
      <c r="AG18" s="435" t="str">
        <f>IF(ISBLANK(Z42),"",IF(Z42+AA42&lt;Z44+AA44,X43,X45))</f>
        <v/>
      </c>
      <c r="AH18" s="478" t="str">
        <f t="shared" ca="1" si="7"/>
        <v/>
      </c>
      <c r="AI18" s="474" t="str">
        <f t="shared" ca="1" si="8"/>
        <v/>
      </c>
      <c r="AJ18" s="915" t="str">
        <f t="shared" ca="1" si="9"/>
        <v/>
      </c>
      <c r="AN18" s="494">
        <f>K49</f>
        <v>13</v>
      </c>
      <c r="AO18" s="495" t="str">
        <f ca="1">L50</f>
        <v/>
      </c>
      <c r="AP18" s="495" t="str">
        <f t="shared" ref="AP18" ca="1" si="40">AO19</f>
        <v/>
      </c>
      <c r="AQ18" s="496" t="s">
        <v>793</v>
      </c>
      <c r="AR18" s="494">
        <f>Q49</f>
        <v>13</v>
      </c>
      <c r="AS18" s="495" t="str">
        <f>R50</f>
        <v/>
      </c>
      <c r="AT18" s="495" t="str">
        <f t="shared" ref="AT18" si="41">AS19</f>
        <v/>
      </c>
      <c r="AU18" s="496" t="s">
        <v>793</v>
      </c>
      <c r="AV18" s="494">
        <f>W49</f>
        <v>13</v>
      </c>
      <c r="AW18" s="495" t="str">
        <f>X50</f>
        <v/>
      </c>
      <c r="AX18" s="495" t="str">
        <f t="shared" ref="AX18" si="42">AW19</f>
        <v/>
      </c>
      <c r="AY18" s="496" t="s">
        <v>793</v>
      </c>
    </row>
    <row r="19" spans="1:51" ht="15.95" customHeight="1" thickBot="1" x14ac:dyDescent="0.25">
      <c r="A19" s="435">
        <v>15</v>
      </c>
      <c r="B19" s="444" t="str">
        <f t="shared" ca="1" si="1"/>
        <v/>
      </c>
      <c r="C19" s="444" t="str">
        <f t="shared" ca="1" si="2"/>
        <v/>
      </c>
      <c r="D19" s="444" t="str">
        <f t="shared" ca="1" si="3"/>
        <v/>
      </c>
      <c r="E19" s="486">
        <f t="shared" ca="1" si="4"/>
        <v>0</v>
      </c>
      <c r="F19" s="489">
        <v>25</v>
      </c>
      <c r="G19" s="488" t="str">
        <f t="shared" ca="1" si="5"/>
        <v/>
      </c>
      <c r="H19" s="898" t="str">
        <f t="shared" ca="1" si="6"/>
        <v/>
      </c>
      <c r="I19" s="898" t="str">
        <f t="shared" ca="1" si="0"/>
        <v/>
      </c>
      <c r="J19" s="898" t="str">
        <f t="shared" ca="1" si="0"/>
        <v/>
      </c>
      <c r="K19" s="450"/>
      <c r="L19" s="454"/>
      <c r="M19" s="454"/>
      <c r="N19" s="455"/>
      <c r="O19" s="450"/>
      <c r="P19" s="450"/>
      <c r="Q19" s="450"/>
      <c r="R19" s="979" t="s">
        <v>819</v>
      </c>
      <c r="S19" s="1247"/>
      <c r="T19" s="1247"/>
      <c r="U19" s="450"/>
      <c r="V19" s="450"/>
      <c r="W19" s="450"/>
      <c r="X19" s="979" t="s">
        <v>820</v>
      </c>
      <c r="Y19" s="1247"/>
      <c r="Z19" s="1247"/>
      <c r="AA19" s="450"/>
      <c r="AF19" s="453" t="s">
        <v>798</v>
      </c>
      <c r="AG19" s="435" t="str">
        <f>IF(ISBLANK(Z49),"",IF(Z49+AA49&gt;Z51+AA51,X50,X52))</f>
        <v/>
      </c>
      <c r="AH19" s="478" t="str">
        <f t="shared" ca="1" si="7"/>
        <v/>
      </c>
      <c r="AI19" s="474" t="str">
        <f t="shared" ca="1" si="8"/>
        <v/>
      </c>
      <c r="AJ19" s="915" t="str">
        <f t="shared" ca="1" si="9"/>
        <v/>
      </c>
      <c r="AN19" s="494">
        <f>K51</f>
        <v>14</v>
      </c>
      <c r="AO19" s="495" t="str">
        <f ca="1">L52</f>
        <v/>
      </c>
      <c r="AP19" s="495" t="str">
        <f t="shared" ref="AP19" ca="1" si="43">AO18</f>
        <v/>
      </c>
      <c r="AQ19" s="496" t="s">
        <v>793</v>
      </c>
      <c r="AR19" s="494">
        <f>Q51</f>
        <v>14</v>
      </c>
      <c r="AS19" s="495" t="str">
        <f>R52</f>
        <v/>
      </c>
      <c r="AT19" s="495" t="str">
        <f t="shared" ref="AT19" si="44">AS18</f>
        <v/>
      </c>
      <c r="AU19" s="496" t="s">
        <v>793</v>
      </c>
      <c r="AV19" s="494">
        <f>W51</f>
        <v>14</v>
      </c>
      <c r="AW19" s="495" t="str">
        <f>X52</f>
        <v/>
      </c>
      <c r="AX19" s="495" t="str">
        <f t="shared" ref="AX19" si="45">AW18</f>
        <v/>
      </c>
      <c r="AY19" s="496" t="s">
        <v>793</v>
      </c>
    </row>
    <row r="20" spans="1:51" ht="15.95" customHeight="1" thickBot="1" x14ac:dyDescent="0.25">
      <c r="A20" s="435">
        <v>16</v>
      </c>
      <c r="B20" s="444" t="str">
        <f t="shared" ca="1" si="1"/>
        <v/>
      </c>
      <c r="C20" s="444" t="str">
        <f t="shared" ca="1" si="2"/>
        <v/>
      </c>
      <c r="D20" s="444" t="str">
        <f t="shared" ca="1" si="3"/>
        <v/>
      </c>
      <c r="E20" s="486">
        <f t="shared" ca="1" si="4"/>
        <v>0</v>
      </c>
      <c r="F20" s="489">
        <v>26</v>
      </c>
      <c r="G20" s="488" t="str">
        <f t="shared" ca="1" si="5"/>
        <v/>
      </c>
      <c r="H20" s="898" t="str">
        <f t="shared" ca="1" si="6"/>
        <v/>
      </c>
      <c r="I20" s="898" t="str">
        <f t="shared" ca="1" si="0"/>
        <v/>
      </c>
      <c r="J20" s="898" t="str">
        <f t="shared" ca="1" si="0"/>
        <v/>
      </c>
      <c r="K20" s="445" t="s">
        <v>779</v>
      </c>
      <c r="L20" s="779" t="s">
        <v>1083</v>
      </c>
      <c r="M20" s="456" t="s">
        <v>481</v>
      </c>
      <c r="N20" s="464" t="s">
        <v>780</v>
      </c>
      <c r="O20" s="446" t="s">
        <v>781</v>
      </c>
      <c r="P20" s="445"/>
      <c r="Q20" s="445" t="s">
        <v>779</v>
      </c>
      <c r="R20" s="779" t="s">
        <v>1083</v>
      </c>
      <c r="S20" s="456" t="s">
        <v>481</v>
      </c>
      <c r="T20" s="464" t="s">
        <v>780</v>
      </c>
      <c r="U20" s="446" t="s">
        <v>781</v>
      </c>
      <c r="V20" s="445"/>
      <c r="W20" s="445" t="s">
        <v>779</v>
      </c>
      <c r="X20" s="779" t="s">
        <v>1083</v>
      </c>
      <c r="Y20" s="456" t="s">
        <v>481</v>
      </c>
      <c r="Z20" s="464" t="s">
        <v>780</v>
      </c>
      <c r="AA20" s="446" t="s">
        <v>781</v>
      </c>
      <c r="AF20" s="453" t="s">
        <v>799</v>
      </c>
      <c r="AG20" s="435" t="str">
        <f>IF(ISBLANK(Z49),"",IF(Z49+AA49&lt;Z51+AA51,X50,X52))</f>
        <v/>
      </c>
      <c r="AH20" s="478" t="str">
        <f t="shared" ca="1" si="7"/>
        <v/>
      </c>
      <c r="AI20" s="474" t="str">
        <f t="shared" ca="1" si="8"/>
        <v/>
      </c>
      <c r="AJ20" s="915" t="str">
        <f t="shared" ca="1" si="9"/>
        <v/>
      </c>
      <c r="AN20" s="494">
        <f>K56</f>
        <v>15</v>
      </c>
      <c r="AO20" s="495" t="str">
        <f ca="1">L57</f>
        <v/>
      </c>
      <c r="AP20" s="495" t="str">
        <f t="shared" ref="AP20" ca="1" si="46">AO21</f>
        <v/>
      </c>
      <c r="AQ20" s="496" t="s">
        <v>793</v>
      </c>
      <c r="AR20" s="494">
        <f>Q56</f>
        <v>15</v>
      </c>
      <c r="AS20" s="495" t="str">
        <f>R57</f>
        <v/>
      </c>
      <c r="AT20" s="495" t="str">
        <f t="shared" ref="AT20" si="47">AS21</f>
        <v/>
      </c>
      <c r="AU20" s="496" t="s">
        <v>793</v>
      </c>
      <c r="AV20" s="494">
        <f>W56</f>
        <v>15</v>
      </c>
      <c r="AW20" s="495" t="str">
        <f>X57</f>
        <v/>
      </c>
      <c r="AX20" s="495" t="str">
        <f t="shared" ref="AX20" si="48">AW21</f>
        <v/>
      </c>
      <c r="AY20" s="496" t="s">
        <v>793</v>
      </c>
    </row>
    <row r="21" spans="1:51" ht="15.95" customHeight="1" thickBot="1" x14ac:dyDescent="0.25">
      <c r="A21" s="435">
        <v>17</v>
      </c>
      <c r="B21" s="444" t="str">
        <f t="shared" ca="1" si="1"/>
        <v/>
      </c>
      <c r="C21" s="444" t="str">
        <f t="shared" ca="1" si="2"/>
        <v/>
      </c>
      <c r="D21" s="444" t="str">
        <f t="shared" ca="1" si="3"/>
        <v/>
      </c>
      <c r="E21" s="486">
        <f t="shared" ca="1" si="4"/>
        <v>0</v>
      </c>
      <c r="F21" s="489">
        <v>27</v>
      </c>
      <c r="G21" s="488" t="str">
        <f t="shared" ca="1" si="5"/>
        <v/>
      </c>
      <c r="H21" s="898" t="str">
        <f t="shared" ca="1" si="6"/>
        <v/>
      </c>
      <c r="I21" s="898" t="str">
        <f t="shared" ca="1" si="6"/>
        <v/>
      </c>
      <c r="J21" s="898" t="str">
        <f t="shared" ca="1" si="6"/>
        <v/>
      </c>
      <c r="K21" s="447">
        <f>K16+1</f>
        <v>5</v>
      </c>
      <c r="L21" s="472">
        <v>3</v>
      </c>
      <c r="M21" s="465" t="str">
        <f ca="1">IFERROR(VLOOKUP(L22,$G$5:$J$28,2,FALSE),"")</f>
        <v/>
      </c>
      <c r="N21" s="966"/>
      <c r="O21" s="780"/>
      <c r="Q21" s="447">
        <f>Q16+1</f>
        <v>5</v>
      </c>
      <c r="R21" s="472">
        <v>8</v>
      </c>
      <c r="S21" s="465" t="str">
        <f ca="1">IFERROR(VLOOKUP(R22,$G$5:$J$28,2,FALSE),"")</f>
        <v/>
      </c>
      <c r="T21" s="966"/>
      <c r="U21" s="780"/>
      <c r="W21" s="447">
        <f>W16+1</f>
        <v>5</v>
      </c>
      <c r="X21" s="472">
        <v>5</v>
      </c>
      <c r="Y21" s="465" t="str">
        <f ca="1">IFERROR(VLOOKUP(X22,$G$5:$J$28,2,FALSE),"")</f>
        <v/>
      </c>
      <c r="Z21" s="966"/>
      <c r="AA21" s="780"/>
      <c r="AF21" s="453" t="s">
        <v>800</v>
      </c>
      <c r="AG21" s="435" t="str">
        <f>IF(ISBLANK(Z56),"",IF(Z56+AA56&gt;Z58+AA58,X57,X59))</f>
        <v/>
      </c>
      <c r="AH21" s="478" t="str">
        <f t="shared" ca="1" si="7"/>
        <v/>
      </c>
      <c r="AI21" s="474" t="str">
        <f t="shared" ca="1" si="8"/>
        <v/>
      </c>
      <c r="AJ21" s="915" t="str">
        <f t="shared" ca="1" si="9"/>
        <v/>
      </c>
      <c r="AN21" s="494">
        <f>K58</f>
        <v>16</v>
      </c>
      <c r="AO21" s="495" t="str">
        <f ca="1">L59</f>
        <v/>
      </c>
      <c r="AP21" s="495" t="str">
        <f t="shared" ref="AP21" ca="1" si="49">AO20</f>
        <v/>
      </c>
      <c r="AQ21" s="496" t="s">
        <v>793</v>
      </c>
      <c r="AR21" s="494">
        <f>Q58</f>
        <v>16</v>
      </c>
      <c r="AS21" s="495" t="str">
        <f>R59</f>
        <v/>
      </c>
      <c r="AT21" s="495" t="str">
        <f t="shared" ref="AT21" si="50">AS20</f>
        <v/>
      </c>
      <c r="AU21" s="496" t="s">
        <v>793</v>
      </c>
      <c r="AV21" s="494">
        <f>W58</f>
        <v>16</v>
      </c>
      <c r="AW21" s="495" t="str">
        <f>X59</f>
        <v/>
      </c>
      <c r="AX21" s="495" t="str">
        <f t="shared" ref="AX21" si="51">AW20</f>
        <v/>
      </c>
      <c r="AY21" s="496" t="s">
        <v>793</v>
      </c>
    </row>
    <row r="22" spans="1:51" ht="15.95" customHeight="1" thickBot="1" x14ac:dyDescent="0.25">
      <c r="A22" s="435">
        <v>18</v>
      </c>
      <c r="B22" s="444" t="str">
        <f t="shared" ca="1" si="1"/>
        <v/>
      </c>
      <c r="C22" s="444" t="str">
        <f t="shared" ca="1" si="2"/>
        <v/>
      </c>
      <c r="D22" s="444" t="str">
        <f t="shared" ca="1" si="3"/>
        <v/>
      </c>
      <c r="E22" s="486">
        <f t="shared" ca="1" si="4"/>
        <v>0</v>
      </c>
      <c r="F22" s="489">
        <v>28</v>
      </c>
      <c r="G22" s="488" t="str">
        <f t="shared" ca="1" si="5"/>
        <v/>
      </c>
      <c r="H22" s="898" t="str">
        <f t="shared" ca="1" si="6"/>
        <v/>
      </c>
      <c r="I22" s="898" t="str">
        <f t="shared" ca="1" si="6"/>
        <v/>
      </c>
      <c r="J22" s="898" t="str">
        <f t="shared" ca="1" si="6"/>
        <v/>
      </c>
      <c r="K22" s="447"/>
      <c r="L22" s="473" t="str">
        <f ca="1">VLOOKUP(L21,$A$5:$G$24,7,FALSE)</f>
        <v/>
      </c>
      <c r="M22" s="466" t="str">
        <f ca="1">IFERROR(VLOOKUP(L22,$G$5:$J$28,3,FALSE),"")</f>
        <v/>
      </c>
      <c r="N22" s="967"/>
      <c r="Q22" s="447"/>
      <c r="R22" s="473" t="str">
        <f>IF(ISBLANK(N7),"",IF(O7+N7&lt;N9+O9,L8,L10))</f>
        <v/>
      </c>
      <c r="S22" s="466" t="str">
        <f ca="1">IFERROR(VLOOKUP(R22,$G$5:$J$28,3,FALSE),"")</f>
        <v/>
      </c>
      <c r="T22" s="967"/>
      <c r="W22" s="447"/>
      <c r="X22" s="473" t="str">
        <f>IF(ISBLANK(T21),"",IF(U21+T21&gt;T23+U23,R22,R24))</f>
        <v/>
      </c>
      <c r="Y22" s="466" t="str">
        <f ca="1">IFERROR(VLOOKUP(X22,$G$5:$J$28,3,FALSE),"")</f>
        <v/>
      </c>
      <c r="Z22" s="967"/>
      <c r="AF22" s="453" t="s">
        <v>801</v>
      </c>
      <c r="AG22" s="435" t="str">
        <f>IF(ISBLANK(Z56),"",IF(Z56+AA56&lt;Z58+AA58,X57,X59))</f>
        <v/>
      </c>
      <c r="AH22" s="478" t="str">
        <f t="shared" ca="1" si="7"/>
        <v/>
      </c>
      <c r="AI22" s="474" t="str">
        <f t="shared" ca="1" si="8"/>
        <v/>
      </c>
      <c r="AJ22" s="915" t="str">
        <f t="shared" ca="1" si="9"/>
        <v/>
      </c>
      <c r="AN22" s="494">
        <f>K63</f>
        <v>17</v>
      </c>
      <c r="AO22" s="495" t="str">
        <f ca="1">L64</f>
        <v/>
      </c>
      <c r="AP22" s="784" t="s">
        <v>1326</v>
      </c>
      <c r="AQ22" s="496" t="s">
        <v>793</v>
      </c>
      <c r="AR22" s="494">
        <f>Q63</f>
        <v>17</v>
      </c>
      <c r="AS22" s="495" t="str">
        <f ca="1">R64</f>
        <v/>
      </c>
      <c r="AT22" s="495" t="str">
        <f t="shared" ref="AT22" si="52">AS23</f>
        <v/>
      </c>
      <c r="AU22" s="496" t="s">
        <v>793</v>
      </c>
      <c r="AV22" s="494">
        <f>W63</f>
        <v>17</v>
      </c>
      <c r="AW22" s="495" t="str">
        <f>X64</f>
        <v/>
      </c>
      <c r="AX22" s="495" t="str">
        <f t="shared" ref="AX22" si="53">AW23</f>
        <v/>
      </c>
      <c r="AY22" s="496" t="s">
        <v>793</v>
      </c>
    </row>
    <row r="23" spans="1:51" ht="15.95" customHeight="1" thickBot="1" x14ac:dyDescent="0.25">
      <c r="A23" s="435">
        <v>19</v>
      </c>
      <c r="B23" s="444" t="str">
        <f t="shared" ca="1" si="1"/>
        <v/>
      </c>
      <c r="C23" s="444" t="str">
        <f t="shared" ca="1" si="2"/>
        <v/>
      </c>
      <c r="D23" s="444" t="str">
        <f t="shared" ca="1" si="3"/>
        <v/>
      </c>
      <c r="E23" s="486">
        <f t="shared" ca="1" si="4"/>
        <v>0</v>
      </c>
      <c r="F23" s="489">
        <v>29</v>
      </c>
      <c r="G23" s="488" t="str">
        <f t="shared" ca="1" si="5"/>
        <v/>
      </c>
      <c r="H23" s="898" t="str">
        <f t="shared" ca="1" si="6"/>
        <v/>
      </c>
      <c r="I23" s="898" t="str">
        <f t="shared" ca="1" si="6"/>
        <v/>
      </c>
      <c r="J23" s="898" t="str">
        <f t="shared" ca="1" si="6"/>
        <v/>
      </c>
      <c r="K23" s="447">
        <f>K21+1</f>
        <v>6</v>
      </c>
      <c r="L23" s="472">
        <v>6</v>
      </c>
      <c r="M23" s="465" t="str">
        <f ca="1">IFERROR(VLOOKUP(L24,$G$5:$J$28,2,FALSE),"")</f>
        <v/>
      </c>
      <c r="N23" s="966"/>
      <c r="O23" s="780"/>
      <c r="Q23" s="447">
        <f>Q21+1</f>
        <v>6</v>
      </c>
      <c r="R23" s="472">
        <v>5</v>
      </c>
      <c r="S23" s="465" t="str">
        <f ca="1">IFERROR(VLOOKUP(R24,$G$5:$J$28,2,FALSE),"")</f>
        <v/>
      </c>
      <c r="T23" s="966"/>
      <c r="U23" s="780"/>
      <c r="W23" s="447">
        <f>W21+1</f>
        <v>6</v>
      </c>
      <c r="X23" s="472">
        <v>6</v>
      </c>
      <c r="Y23" s="465" t="str">
        <f ca="1">IFERROR(VLOOKUP(X24,$G$5:$J$28,2,FALSE),"")</f>
        <v/>
      </c>
      <c r="Z23" s="966"/>
      <c r="AA23" s="780"/>
      <c r="AF23" s="453" t="s">
        <v>802</v>
      </c>
      <c r="AG23" s="435" t="str">
        <f>IF(ISBLANK(Z63),"",IF(Z63+AA63&gt;Z65+AA65,X64,X66))</f>
        <v/>
      </c>
      <c r="AH23" s="478" t="str">
        <f t="shared" ca="1" si="7"/>
        <v/>
      </c>
      <c r="AI23" s="474" t="str">
        <f t="shared" ca="1" si="8"/>
        <v/>
      </c>
      <c r="AJ23" s="915" t="str">
        <f t="shared" ca="1" si="9"/>
        <v/>
      </c>
      <c r="AN23" s="494">
        <f>K68</f>
        <v>18</v>
      </c>
      <c r="AO23" s="495" t="str">
        <f ca="1">L69</f>
        <v/>
      </c>
      <c r="AP23" s="495" t="str">
        <f t="shared" ref="AP23" ca="1" si="54">AO24</f>
        <v/>
      </c>
      <c r="AQ23" s="496" t="s">
        <v>793</v>
      </c>
      <c r="AR23" s="494">
        <f>Q65</f>
        <v>18</v>
      </c>
      <c r="AS23" s="495" t="str">
        <f>R66</f>
        <v/>
      </c>
      <c r="AT23" s="495" t="str">
        <f t="shared" ref="AT23" ca="1" si="55">AS22</f>
        <v/>
      </c>
      <c r="AU23" s="496" t="s">
        <v>793</v>
      </c>
      <c r="AV23" s="494">
        <f>W65</f>
        <v>18</v>
      </c>
      <c r="AW23" s="495" t="str">
        <f>X66</f>
        <v/>
      </c>
      <c r="AX23" s="495" t="str">
        <f t="shared" ref="AX23" si="56">AW22</f>
        <v/>
      </c>
      <c r="AY23" s="496" t="s">
        <v>793</v>
      </c>
    </row>
    <row r="24" spans="1:51" ht="15.95" customHeight="1" thickBot="1" x14ac:dyDescent="0.25">
      <c r="A24" s="435">
        <v>20</v>
      </c>
      <c r="B24" s="444" t="str">
        <f t="shared" ca="1" si="1"/>
        <v/>
      </c>
      <c r="C24" s="444" t="str">
        <f t="shared" ca="1" si="2"/>
        <v/>
      </c>
      <c r="D24" s="444" t="str">
        <f t="shared" ca="1" si="3"/>
        <v/>
      </c>
      <c r="E24" s="486">
        <f t="shared" ca="1" si="4"/>
        <v>0</v>
      </c>
      <c r="F24" s="489">
        <v>30</v>
      </c>
      <c r="G24" s="488" t="str">
        <f t="shared" ca="1" si="5"/>
        <v/>
      </c>
      <c r="H24" s="898" t="str">
        <f t="shared" ca="1" si="6"/>
        <v/>
      </c>
      <c r="I24" s="898" t="str">
        <f t="shared" ca="1" si="6"/>
        <v/>
      </c>
      <c r="J24" s="898" t="str">
        <f t="shared" ca="1" si="6"/>
        <v/>
      </c>
      <c r="K24" s="447"/>
      <c r="L24" s="473" t="str">
        <f ca="1">VLOOKUP(L23,$A$5:$G$24,7,FALSE)</f>
        <v/>
      </c>
      <c r="M24" s="466" t="str">
        <f ca="1">IFERROR(VLOOKUP(L24,$G$5:$J$28,3,FALSE),"")</f>
        <v/>
      </c>
      <c r="N24" s="967"/>
      <c r="Q24" s="447"/>
      <c r="R24" s="473" t="str">
        <f>IF(ISBLANK(N14),"",IF(O14+N14&lt;N16+O16,L15,L17))</f>
        <v/>
      </c>
      <c r="S24" s="466" t="str">
        <f ca="1">IFERROR(VLOOKUP(R24,$G$5:$J$28,3,FALSE),"")</f>
        <v/>
      </c>
      <c r="T24" s="967"/>
      <c r="W24" s="447"/>
      <c r="X24" s="473" t="str">
        <f>IF(ISBLANK(T28),"",IF(U28+T28&gt;T30+U30,R29,R31))</f>
        <v/>
      </c>
      <c r="Y24" s="466" t="str">
        <f ca="1">IFERROR(VLOOKUP(X24,$G$5:$J$28,3,FALSE),"")</f>
        <v/>
      </c>
      <c r="Z24" s="967"/>
      <c r="AF24" s="453" t="s">
        <v>803</v>
      </c>
      <c r="AG24" s="435" t="str">
        <f>IF(ISBLANK(Z63),"",IF(Z63+AA63&lt;Z65+AA65,X64,X66))</f>
        <v/>
      </c>
      <c r="AH24" s="478" t="str">
        <f t="shared" ca="1" si="7"/>
        <v/>
      </c>
      <c r="AI24" s="474" t="str">
        <f t="shared" ca="1" si="8"/>
        <v/>
      </c>
      <c r="AJ24" s="915" t="str">
        <f t="shared" ca="1" si="9"/>
        <v/>
      </c>
      <c r="AN24" s="494">
        <f>K70</f>
        <v>19</v>
      </c>
      <c r="AO24" s="495" t="str">
        <f ca="1">L71</f>
        <v/>
      </c>
      <c r="AP24" s="495" t="str">
        <f t="shared" ref="AP24" ca="1" si="57">AO23</f>
        <v/>
      </c>
      <c r="AQ24" s="496" t="s">
        <v>793</v>
      </c>
      <c r="AR24" s="494">
        <f>Q70</f>
        <v>19</v>
      </c>
      <c r="AS24" s="495" t="str">
        <f ca="1">R71</f>
        <v/>
      </c>
      <c r="AT24" s="495" t="str">
        <f t="shared" ref="AT24" si="58">AS25</f>
        <v/>
      </c>
      <c r="AU24" s="496" t="s">
        <v>793</v>
      </c>
      <c r="AV24" s="494">
        <f>W70</f>
        <v>19</v>
      </c>
      <c r="AW24" s="495" t="str">
        <f>X71</f>
        <v/>
      </c>
      <c r="AX24" s="495" t="str">
        <f t="shared" ref="AX24" si="59">AW25</f>
        <v/>
      </c>
      <c r="AY24" s="496" t="s">
        <v>793</v>
      </c>
    </row>
    <row r="25" spans="1:51" ht="15.95" customHeight="1" x14ac:dyDescent="0.2">
      <c r="A25" s="435">
        <v>21</v>
      </c>
      <c r="B25" s="444" t="str">
        <f t="shared" ca="1" si="1"/>
        <v/>
      </c>
      <c r="C25" s="444" t="str">
        <f t="shared" ca="1" si="2"/>
        <v/>
      </c>
      <c r="D25" s="444" t="str">
        <f t="shared" ca="1" si="3"/>
        <v/>
      </c>
      <c r="E25" s="486">
        <f t="shared" ca="1" si="4"/>
        <v>0</v>
      </c>
      <c r="F25" s="489">
        <v>31</v>
      </c>
      <c r="G25" s="488" t="str">
        <f t="shared" ca="1" si="5"/>
        <v/>
      </c>
      <c r="H25" s="898" t="str">
        <f t="shared" ca="1" si="6"/>
        <v/>
      </c>
      <c r="I25" s="898" t="str">
        <f t="shared" ca="1" si="6"/>
        <v/>
      </c>
      <c r="J25" s="898" t="str">
        <f t="shared" ca="1" si="6"/>
        <v/>
      </c>
      <c r="K25" s="447"/>
      <c r="L25" s="441"/>
      <c r="M25" s="441"/>
      <c r="Q25" s="447"/>
      <c r="R25" s="437"/>
      <c r="S25" s="437"/>
      <c r="T25" s="451"/>
      <c r="W25" s="447"/>
      <c r="X25" s="441"/>
      <c r="Y25" s="441"/>
      <c r="AF25" s="453" t="s">
        <v>804</v>
      </c>
      <c r="AG25" s="435" t="str">
        <f>IF(ISBLANK(Z70),"",IF(Z70+AA70&gt;Z72+AA72,X71,X73))</f>
        <v/>
      </c>
      <c r="AH25" s="478" t="str">
        <f t="shared" ca="1" si="7"/>
        <v/>
      </c>
      <c r="AI25" s="474" t="str">
        <f t="shared" ca="1" si="8"/>
        <v/>
      </c>
      <c r="AJ25" s="915" t="str">
        <f t="shared" ca="1" si="9"/>
        <v/>
      </c>
      <c r="AN25" s="494">
        <f>K76</f>
        <v>20</v>
      </c>
      <c r="AO25" s="495" t="str">
        <f ca="1">L77</f>
        <v/>
      </c>
      <c r="AP25" s="784" t="s">
        <v>1326</v>
      </c>
      <c r="AQ25" s="496" t="s">
        <v>793</v>
      </c>
      <c r="AR25" s="494">
        <f>Q72</f>
        <v>20</v>
      </c>
      <c r="AS25" s="495" t="str">
        <f>R73</f>
        <v/>
      </c>
      <c r="AT25" s="495" t="str">
        <f t="shared" ref="AT25" ca="1" si="60">AS24</f>
        <v/>
      </c>
      <c r="AU25" s="496" t="s">
        <v>793</v>
      </c>
      <c r="AV25" s="494">
        <f>W72</f>
        <v>20</v>
      </c>
      <c r="AW25" s="495" t="str">
        <f>X73</f>
        <v/>
      </c>
      <c r="AX25" s="495" t="str">
        <f t="shared" ref="AX25" si="61">AW24</f>
        <v/>
      </c>
      <c r="AY25" s="496" t="s">
        <v>793</v>
      </c>
    </row>
    <row r="26" spans="1:51" ht="15.95" customHeight="1" thickBot="1" x14ac:dyDescent="0.25">
      <c r="A26" s="435">
        <v>22</v>
      </c>
      <c r="B26" s="444" t="str">
        <f t="shared" ca="1" si="1"/>
        <v/>
      </c>
      <c r="C26" s="444" t="str">
        <f t="shared" ca="1" si="2"/>
        <v/>
      </c>
      <c r="D26" s="444" t="str">
        <f t="shared" ca="1" si="3"/>
        <v/>
      </c>
      <c r="E26" s="486">
        <f t="shared" ca="1" si="4"/>
        <v>0</v>
      </c>
      <c r="F26" s="489">
        <v>32</v>
      </c>
      <c r="G26" s="488" t="str">
        <f t="shared" ca="1" si="5"/>
        <v/>
      </c>
      <c r="H26" s="898" t="str">
        <f t="shared" ca="1" si="6"/>
        <v/>
      </c>
      <c r="I26" s="898" t="str">
        <f t="shared" ca="1" si="6"/>
        <v/>
      </c>
      <c r="J26" s="898" t="str">
        <f t="shared" ca="1" si="6"/>
        <v/>
      </c>
      <c r="K26" s="450"/>
      <c r="L26" s="450"/>
      <c r="M26" s="450"/>
      <c r="N26" s="451"/>
      <c r="O26" s="450"/>
      <c r="P26" s="450"/>
      <c r="Q26" s="450"/>
      <c r="R26" s="437"/>
      <c r="S26" s="437"/>
      <c r="T26" s="451"/>
      <c r="U26" s="450"/>
      <c r="V26" s="450"/>
      <c r="W26" s="450"/>
      <c r="X26" s="979" t="s">
        <v>821</v>
      </c>
      <c r="Y26" s="1247"/>
      <c r="Z26" s="1247"/>
      <c r="AA26" s="450"/>
      <c r="AF26" s="453" t="s">
        <v>805</v>
      </c>
      <c r="AG26" s="435" t="str">
        <f>IF(ISBLANK(Z70),"",IF(Z70+AA70&lt;Z72+AA72,X71,X73))</f>
        <v/>
      </c>
      <c r="AH26" s="478" t="str">
        <f t="shared" ca="1" si="7"/>
        <v/>
      </c>
      <c r="AI26" s="474" t="str">
        <f t="shared" ca="1" si="8"/>
        <v/>
      </c>
      <c r="AJ26" s="915" t="str">
        <f t="shared" ca="1" si="9"/>
        <v/>
      </c>
      <c r="AN26" s="494">
        <f>K81</f>
        <v>21</v>
      </c>
      <c r="AO26" s="495" t="str">
        <f ca="1">L82</f>
        <v/>
      </c>
      <c r="AP26" s="495" t="str">
        <f t="shared" ref="AP26" ca="1" si="62">AO27</f>
        <v/>
      </c>
      <c r="AQ26" s="496"/>
      <c r="AR26" s="494">
        <f>Q77</f>
        <v>21</v>
      </c>
      <c r="AS26" s="495" t="str">
        <f>R78</f>
        <v/>
      </c>
      <c r="AT26" s="495" t="str">
        <f t="shared" ref="AT26" si="63">AS27</f>
        <v/>
      </c>
      <c r="AU26" s="496"/>
      <c r="AV26" s="494">
        <f>W77</f>
        <v>21</v>
      </c>
      <c r="AW26" s="495" t="str">
        <f>X78</f>
        <v/>
      </c>
      <c r="AX26" s="495" t="str">
        <f t="shared" ref="AX26" si="64">AW27</f>
        <v/>
      </c>
      <c r="AY26" s="496"/>
    </row>
    <row r="27" spans="1:51" ht="15.95" customHeight="1" thickBot="1" x14ac:dyDescent="0.25">
      <c r="A27" s="435">
        <v>23</v>
      </c>
      <c r="B27" s="444" t="str">
        <f t="shared" ca="1" si="1"/>
        <v/>
      </c>
      <c r="C27" s="444" t="str">
        <f t="shared" ca="1" si="2"/>
        <v/>
      </c>
      <c r="D27" s="444" t="str">
        <f t="shared" ca="1" si="3"/>
        <v/>
      </c>
      <c r="E27" s="486">
        <f t="shared" ca="1" si="4"/>
        <v>0</v>
      </c>
      <c r="F27" s="489">
        <v>33</v>
      </c>
      <c r="G27" s="488" t="str">
        <f t="shared" ca="1" si="5"/>
        <v/>
      </c>
      <c r="H27" s="898" t="str">
        <f t="shared" ca="1" si="6"/>
        <v/>
      </c>
      <c r="I27" s="898" t="str">
        <f t="shared" ca="1" si="6"/>
        <v/>
      </c>
      <c r="J27" s="898" t="str">
        <f t="shared" ca="1" si="6"/>
        <v/>
      </c>
      <c r="K27" s="445" t="s">
        <v>779</v>
      </c>
      <c r="L27" s="779" t="s">
        <v>1083</v>
      </c>
      <c r="M27" s="456" t="s">
        <v>481</v>
      </c>
      <c r="N27" s="464" t="s">
        <v>780</v>
      </c>
      <c r="O27" s="446" t="s">
        <v>781</v>
      </c>
      <c r="P27" s="445"/>
      <c r="Q27" s="445" t="s">
        <v>779</v>
      </c>
      <c r="R27" s="779" t="s">
        <v>1083</v>
      </c>
      <c r="S27" s="456" t="s">
        <v>481</v>
      </c>
      <c r="T27" s="464" t="s">
        <v>780</v>
      </c>
      <c r="U27" s="446" t="s">
        <v>781</v>
      </c>
      <c r="V27" s="445"/>
      <c r="W27" s="445" t="s">
        <v>779</v>
      </c>
      <c r="X27" s="779" t="s">
        <v>1083</v>
      </c>
      <c r="Y27" s="456" t="s">
        <v>481</v>
      </c>
      <c r="Z27" s="464" t="s">
        <v>780</v>
      </c>
      <c r="AA27" s="446" t="s">
        <v>781</v>
      </c>
      <c r="AF27" s="453" t="s">
        <v>806</v>
      </c>
      <c r="AG27" s="435" t="str">
        <f>IF(ISBLANK(Z77),"",IF(Z77+AA77&gt;Z79+AA79,X78,X80))</f>
        <v/>
      </c>
      <c r="AH27" s="478" t="str">
        <f t="shared" ca="1" si="7"/>
        <v/>
      </c>
      <c r="AI27" s="474" t="str">
        <f t="shared" ca="1" si="8"/>
        <v/>
      </c>
      <c r="AJ27" s="915" t="str">
        <f t="shared" ca="1" si="9"/>
        <v/>
      </c>
      <c r="AN27" s="494">
        <f>K83</f>
        <v>22</v>
      </c>
      <c r="AO27" s="495" t="str">
        <f ca="1">L84</f>
        <v/>
      </c>
      <c r="AP27" s="495" t="str">
        <f t="shared" ref="AP27" ca="1" si="65">AO26</f>
        <v/>
      </c>
      <c r="AQ27" s="496"/>
      <c r="AR27" s="494">
        <f>Q79</f>
        <v>22</v>
      </c>
      <c r="AS27" s="495" t="str">
        <f>R80</f>
        <v/>
      </c>
      <c r="AT27" s="495" t="str">
        <f t="shared" ref="AT27" si="66">AS26</f>
        <v/>
      </c>
      <c r="AU27" s="496"/>
      <c r="AV27" s="494">
        <f>W79</f>
        <v>22</v>
      </c>
      <c r="AW27" s="495" t="str">
        <f>X80</f>
        <v/>
      </c>
      <c r="AX27" s="495" t="str">
        <f t="shared" ref="AX27" si="67">AW26</f>
        <v/>
      </c>
      <c r="AY27" s="496"/>
    </row>
    <row r="28" spans="1:51" ht="15.95" customHeight="1" thickBot="1" x14ac:dyDescent="0.25">
      <c r="A28" s="435">
        <v>24</v>
      </c>
      <c r="B28" s="444" t="str">
        <f t="shared" ca="1" si="1"/>
        <v/>
      </c>
      <c r="C28" s="444" t="str">
        <f t="shared" ca="1" si="2"/>
        <v/>
      </c>
      <c r="D28" s="444" t="str">
        <f t="shared" ca="1" si="3"/>
        <v/>
      </c>
      <c r="E28" s="486">
        <f t="shared" ca="1" si="4"/>
        <v>0</v>
      </c>
      <c r="F28" s="489">
        <v>34</v>
      </c>
      <c r="G28" s="488" t="str">
        <f t="shared" ca="1" si="5"/>
        <v/>
      </c>
      <c r="H28" s="898" t="str">
        <f t="shared" ca="1" si="6"/>
        <v/>
      </c>
      <c r="I28" s="898" t="str">
        <f t="shared" ca="1" si="6"/>
        <v/>
      </c>
      <c r="J28" s="898" t="str">
        <f t="shared" ca="1" si="6"/>
        <v/>
      </c>
      <c r="K28" s="447">
        <f>K23+1</f>
        <v>7</v>
      </c>
      <c r="L28" s="472">
        <v>2</v>
      </c>
      <c r="M28" s="465" t="str">
        <f ca="1">IFERROR(VLOOKUP(L29,$G$5:$J$28,2,FALSE),"")</f>
        <v/>
      </c>
      <c r="N28" s="966"/>
      <c r="O28" s="780"/>
      <c r="Q28" s="447">
        <f>Q23+1</f>
        <v>7</v>
      </c>
      <c r="R28" s="472">
        <v>6</v>
      </c>
      <c r="S28" s="465" t="str">
        <f ca="1">IFERROR(VLOOKUP(R29,$G$5:$J$28,2,FALSE),"")</f>
        <v/>
      </c>
      <c r="T28" s="966"/>
      <c r="U28" s="780"/>
      <c r="W28" s="447">
        <f>W23+1</f>
        <v>7</v>
      </c>
      <c r="X28" s="472">
        <v>8</v>
      </c>
      <c r="Y28" s="465" t="str">
        <f ca="1">IFERROR(VLOOKUP(X29,$G$5:$J$28,2,FALSE),"")</f>
        <v/>
      </c>
      <c r="Z28" s="966"/>
      <c r="AA28" s="780"/>
      <c r="AF28" s="453" t="s">
        <v>807</v>
      </c>
      <c r="AG28" s="435" t="str">
        <f>IF(ISBLANK(Z77),"",IF(Z77+AA77&lt;Z79+AA79,X78,X80))</f>
        <v/>
      </c>
      <c r="AH28" s="478" t="str">
        <f t="shared" ca="1" si="7"/>
        <v/>
      </c>
      <c r="AI28" s="474" t="str">
        <f t="shared" ca="1" si="8"/>
        <v/>
      </c>
      <c r="AJ28" s="915" t="str">
        <f t="shared" ca="1" si="9"/>
        <v/>
      </c>
      <c r="AN28" s="494"/>
      <c r="AO28" s="495"/>
      <c r="AP28" s="495"/>
      <c r="AQ28" s="496"/>
      <c r="AR28" s="494"/>
      <c r="AS28" s="495"/>
      <c r="AT28" s="495"/>
      <c r="AU28" s="496"/>
      <c r="AV28" s="494"/>
      <c r="AW28" s="495"/>
      <c r="AX28" s="495"/>
      <c r="AY28" s="496"/>
    </row>
    <row r="29" spans="1:51" ht="15.95" customHeight="1" thickBot="1" x14ac:dyDescent="0.25">
      <c r="I29" s="437"/>
      <c r="J29" s="437"/>
      <c r="K29" s="447"/>
      <c r="L29" s="473" t="str">
        <f ca="1">VLOOKUP(L28,$A$5:$G$24,7,FALSE)</f>
        <v/>
      </c>
      <c r="M29" s="466" t="str">
        <f ca="1">IFERROR(VLOOKUP(L29,$G$5:$J$28,3,FALSE),"")</f>
        <v/>
      </c>
      <c r="N29" s="967"/>
      <c r="Q29" s="447"/>
      <c r="R29" s="473" t="str">
        <f>IF(ISBLANK(N21),"",IF(N21+O21&lt;N23+O23,L22,L24))</f>
        <v/>
      </c>
      <c r="S29" s="466" t="str">
        <f ca="1">IFERROR(VLOOKUP(R29,$G$5:$J$28,3,FALSE),"")</f>
        <v/>
      </c>
      <c r="T29" s="967"/>
      <c r="W29" s="447"/>
      <c r="X29" s="473" t="str">
        <f>IF(ISBLANK(T21),"",IF(U21+T21&lt;T23+U23,R22,R24))</f>
        <v/>
      </c>
      <c r="Y29" s="466" t="str">
        <f ca="1">IFERROR(VLOOKUP(X29,$G$5:$J$28,3,FALSE),"")</f>
        <v/>
      </c>
      <c r="Z29" s="967"/>
      <c r="AF29" s="453" t="s">
        <v>808</v>
      </c>
      <c r="AG29" s="435" t="str">
        <f>IF(ISBLANK(Z84),"",IF(Z84+AA84&gt;Z86+AA86,X85,X87))</f>
        <v/>
      </c>
      <c r="AH29" s="478" t="str">
        <f t="shared" ca="1" si="7"/>
        <v/>
      </c>
      <c r="AI29" s="474" t="str">
        <f t="shared" ca="1" si="8"/>
        <v/>
      </c>
      <c r="AJ29" s="915" t="str">
        <f t="shared" ca="1" si="9"/>
        <v/>
      </c>
      <c r="AN29" s="494"/>
      <c r="AO29" s="495"/>
      <c r="AP29" s="495"/>
      <c r="AQ29" s="496"/>
      <c r="AR29" s="494"/>
      <c r="AS29" s="495"/>
      <c r="AT29" s="495"/>
      <c r="AU29" s="496"/>
      <c r="AV29" s="494"/>
      <c r="AW29" s="495"/>
      <c r="AX29" s="495"/>
      <c r="AY29" s="496"/>
    </row>
    <row r="30" spans="1:51" ht="15.95" customHeight="1" thickBot="1" x14ac:dyDescent="0.25">
      <c r="I30" s="437"/>
      <c r="J30" s="437"/>
      <c r="K30" s="447">
        <f>K28+1</f>
        <v>8</v>
      </c>
      <c r="L30" s="472">
        <v>7</v>
      </c>
      <c r="M30" s="465" t="str">
        <f ca="1">IFERROR(VLOOKUP(L31,$G$5:$J$28,2,FALSE),"")</f>
        <v/>
      </c>
      <c r="N30" s="966"/>
      <c r="O30" s="780"/>
      <c r="Q30" s="447">
        <f>Q28+1</f>
        <v>8</v>
      </c>
      <c r="R30" s="472">
        <v>7</v>
      </c>
      <c r="S30" s="465" t="str">
        <f ca="1">IFERROR(VLOOKUP(R31,$G$5:$J$28,2,FALSE),"")</f>
        <v/>
      </c>
      <c r="T30" s="966"/>
      <c r="U30" s="780"/>
      <c r="W30" s="447">
        <f>W28+1</f>
        <v>8</v>
      </c>
      <c r="X30" s="472">
        <v>7</v>
      </c>
      <c r="Y30" s="465" t="str">
        <f ca="1">IFERROR(VLOOKUP(X31,$G$5:$J$28,2,FALSE),"")</f>
        <v/>
      </c>
      <c r="Z30" s="966"/>
      <c r="AA30" s="780"/>
      <c r="AF30" s="453" t="s">
        <v>809</v>
      </c>
      <c r="AG30" s="435" t="str">
        <f>IF(ISBLANK(Z84),"",IF(Z84+AA84&lt;Z86+AA86,X85,X87))</f>
        <v/>
      </c>
      <c r="AH30" s="480" t="str">
        <f t="shared" ca="1" si="7"/>
        <v/>
      </c>
      <c r="AI30" s="481" t="str">
        <f t="shared" ca="1" si="8"/>
        <v/>
      </c>
      <c r="AJ30" s="916" t="str">
        <f t="shared" ca="1" si="9"/>
        <v/>
      </c>
    </row>
    <row r="31" spans="1:51" ht="15.95" customHeight="1" thickBot="1" x14ac:dyDescent="0.25">
      <c r="I31" s="437"/>
      <c r="J31" s="437"/>
      <c r="K31" s="447"/>
      <c r="L31" s="473" t="str">
        <f ca="1">VLOOKUP(L30,$A$5:$G$24,7,FALSE)</f>
        <v/>
      </c>
      <c r="M31" s="466" t="str">
        <f ca="1">IFERROR(VLOOKUP(L31,$G$5:$J$28,3,FALSE),"")</f>
        <v/>
      </c>
      <c r="N31" s="967"/>
      <c r="Q31" s="447"/>
      <c r="R31" s="473" t="str">
        <f>IF(ISBLANK(N28),"",IF(N28+O28&lt;N30+O30,L29,L31))</f>
        <v/>
      </c>
      <c r="S31" s="466" t="str">
        <f ca="1">IFERROR(VLOOKUP(R31,$G$5:$J$28,3,FALSE),"")</f>
        <v/>
      </c>
      <c r="T31" s="967"/>
      <c r="W31" s="447"/>
      <c r="X31" s="473" t="str">
        <f>IF(ISBLANK(T28),"",IF(U28+T28&lt;T30+U30,R29,R31))</f>
        <v/>
      </c>
      <c r="Y31" s="466" t="str">
        <f ca="1">IFERROR(VLOOKUP(X31,$G$5:$J$28,3,FALSE),"")</f>
        <v/>
      </c>
      <c r="Z31" s="967"/>
      <c r="AF31" s="453"/>
      <c r="AG31" s="453"/>
    </row>
    <row r="32" spans="1:51" ht="15.95" customHeight="1" x14ac:dyDescent="0.2">
      <c r="I32" s="437"/>
      <c r="J32" s="437"/>
      <c r="K32" s="450"/>
      <c r="L32" s="437"/>
      <c r="M32" s="437"/>
      <c r="N32" s="451"/>
      <c r="O32" s="450"/>
      <c r="P32" s="450"/>
      <c r="Q32" s="450"/>
      <c r="R32" s="437"/>
      <c r="S32" s="437"/>
      <c r="T32" s="451"/>
      <c r="U32" s="450"/>
      <c r="V32" s="450"/>
      <c r="W32" s="450"/>
      <c r="X32" s="437"/>
      <c r="Y32" s="437"/>
      <c r="Z32" s="451"/>
      <c r="AA32" s="450"/>
      <c r="AF32" s="453"/>
      <c r="AG32" s="453"/>
    </row>
    <row r="33" spans="9:33" ht="15.95" customHeight="1" thickBot="1" x14ac:dyDescent="0.25">
      <c r="I33" s="437"/>
      <c r="J33" s="437"/>
      <c r="K33" s="450"/>
      <c r="L33" s="979" t="s">
        <v>822</v>
      </c>
      <c r="M33" s="1247"/>
      <c r="N33" s="1247"/>
      <c r="Q33" s="450"/>
      <c r="R33" s="979" t="s">
        <v>823</v>
      </c>
      <c r="S33" s="1247"/>
      <c r="T33" s="1247"/>
      <c r="U33" s="450"/>
      <c r="V33" s="450"/>
      <c r="W33" s="450"/>
      <c r="X33" s="979" t="s">
        <v>824</v>
      </c>
      <c r="Y33" s="1247"/>
      <c r="Z33" s="1247"/>
      <c r="AF33" s="453"/>
      <c r="AG33" s="453"/>
    </row>
    <row r="34" spans="9:33" ht="15.95" customHeight="1" thickBot="1" x14ac:dyDescent="0.25">
      <c r="I34" s="437"/>
      <c r="J34" s="437"/>
      <c r="K34" s="445" t="s">
        <v>779</v>
      </c>
      <c r="L34" s="779" t="s">
        <v>1083</v>
      </c>
      <c r="M34" s="456" t="s">
        <v>481</v>
      </c>
      <c r="N34" s="464" t="s">
        <v>780</v>
      </c>
      <c r="O34" s="446" t="s">
        <v>781</v>
      </c>
      <c r="P34" s="445"/>
      <c r="Q34" s="445" t="s">
        <v>779</v>
      </c>
      <c r="R34" s="779" t="s">
        <v>1083</v>
      </c>
      <c r="S34" s="456" t="s">
        <v>481</v>
      </c>
      <c r="T34" s="464" t="s">
        <v>780</v>
      </c>
      <c r="U34" s="446" t="s">
        <v>781</v>
      </c>
      <c r="V34" s="445"/>
      <c r="W34" s="445" t="s">
        <v>779</v>
      </c>
      <c r="X34" s="779" t="s">
        <v>1083</v>
      </c>
      <c r="Y34" s="456" t="s">
        <v>481</v>
      </c>
      <c r="Z34" s="464" t="s">
        <v>780</v>
      </c>
      <c r="AA34" s="446" t="s">
        <v>781</v>
      </c>
      <c r="AF34" s="453"/>
      <c r="AG34" s="453"/>
    </row>
    <row r="35" spans="9:33" ht="15.95" customHeight="1" thickBot="1" x14ac:dyDescent="0.25">
      <c r="I35" s="437"/>
      <c r="J35" s="437"/>
      <c r="K35" s="447">
        <f>K30+1</f>
        <v>9</v>
      </c>
      <c r="L35" s="472">
        <v>9</v>
      </c>
      <c r="M35" s="465" t="str">
        <f ca="1">IFERROR(VLOOKUP(L36,$G$5:$J$28,2,FALSE),"")</f>
        <v/>
      </c>
      <c r="N35" s="966"/>
      <c r="O35" s="780"/>
      <c r="Q35" s="447">
        <f>K35</f>
        <v>9</v>
      </c>
      <c r="R35" s="472">
        <v>9</v>
      </c>
      <c r="S35" s="465" t="str">
        <f ca="1">IFERROR(VLOOKUP(R36,$G$5:$J$28,2,FALSE),"")</f>
        <v/>
      </c>
      <c r="T35" s="966"/>
      <c r="U35" s="780"/>
      <c r="W35" s="447">
        <f>Q35</f>
        <v>9</v>
      </c>
      <c r="X35" s="472">
        <v>9</v>
      </c>
      <c r="Y35" s="465" t="str">
        <f ca="1">IFERROR(VLOOKUP(X36,$G$5:$J$28,2,FALSE),"")</f>
        <v/>
      </c>
      <c r="Z35" s="966"/>
      <c r="AA35" s="780"/>
      <c r="AF35" s="453"/>
      <c r="AG35" s="453"/>
    </row>
    <row r="36" spans="9:33" ht="15.95" customHeight="1" thickBot="1" x14ac:dyDescent="0.25">
      <c r="I36" s="437"/>
      <c r="J36" s="437"/>
      <c r="K36" s="447"/>
      <c r="L36" s="473" t="str">
        <f ca="1">VLOOKUP(L35,$A$5:$G$28,7,FALSE)</f>
        <v/>
      </c>
      <c r="M36" s="466" t="str">
        <f ca="1">IFERROR(VLOOKUP(L36,$G$5:$J$28,3,FALSE),"")</f>
        <v/>
      </c>
      <c r="N36" s="967"/>
      <c r="Q36" s="447"/>
      <c r="R36" s="473" t="str">
        <f>IF(ISBLANK(N35),"",IF(O35+N35&gt;N37+O37,L36,L38))</f>
        <v/>
      </c>
      <c r="S36" s="466" t="str">
        <f ca="1">IFERROR(VLOOKUP(R36,$G$5:$J$28,3,FALSE),"")</f>
        <v/>
      </c>
      <c r="T36" s="967"/>
      <c r="W36" s="447"/>
      <c r="X36" s="473" t="str">
        <f>IF(ISBLANK(T35),"",IF(U35+T35&gt;T37+U37,R36,R38))</f>
        <v/>
      </c>
      <c r="Y36" s="466" t="str">
        <f ca="1">IFERROR(VLOOKUP(X36,$G$5:$J$28,3,FALSE),"")</f>
        <v/>
      </c>
      <c r="Z36" s="967"/>
      <c r="AF36" s="453"/>
      <c r="AG36" s="453"/>
    </row>
    <row r="37" spans="9:33" ht="15.95" customHeight="1" thickBot="1" x14ac:dyDescent="0.25">
      <c r="I37" s="437"/>
      <c r="J37" s="437"/>
      <c r="K37" s="447">
        <f>K35+1</f>
        <v>10</v>
      </c>
      <c r="L37" s="472">
        <v>16</v>
      </c>
      <c r="M37" s="465" t="str">
        <f ca="1">IFERROR(VLOOKUP(L38,$G$5:$J$28,2,FALSE),"")</f>
        <v/>
      </c>
      <c r="N37" s="966"/>
      <c r="O37" s="780"/>
      <c r="Q37" s="447">
        <f>Q35+1</f>
        <v>10</v>
      </c>
      <c r="R37" s="472">
        <v>12</v>
      </c>
      <c r="S37" s="465" t="str">
        <f ca="1">IFERROR(VLOOKUP(R38,$G$5:$J$28,2,FALSE),"")</f>
        <v/>
      </c>
      <c r="T37" s="966"/>
      <c r="U37" s="780"/>
      <c r="W37" s="447">
        <f>W35+1</f>
        <v>10</v>
      </c>
      <c r="X37" s="472">
        <v>10</v>
      </c>
      <c r="Y37" s="465" t="str">
        <f ca="1">IFERROR(VLOOKUP(X38,$G$5:$J$28,2,FALSE),"")</f>
        <v/>
      </c>
      <c r="Z37" s="966"/>
      <c r="AA37" s="780"/>
      <c r="AF37" s="453"/>
      <c r="AG37" s="453"/>
    </row>
    <row r="38" spans="9:33" ht="15.95" customHeight="1" thickBot="1" x14ac:dyDescent="0.25">
      <c r="I38" s="437"/>
      <c r="J38" s="437"/>
      <c r="K38" s="447"/>
      <c r="L38" s="473" t="str">
        <f ca="1">VLOOKUP(L37,$A$5:$G$28,7,FALSE)</f>
        <v/>
      </c>
      <c r="M38" s="466" t="str">
        <f ca="1">IFERROR(VLOOKUP(L38,$G$5:$J$28,3,FALSE),"")</f>
        <v/>
      </c>
      <c r="N38" s="967"/>
      <c r="Q38" s="447"/>
      <c r="R38" s="473" t="str">
        <f>IF(ISBLANK(N42),"",IF(O42+N42&gt;N44+O44,L43,L45))</f>
        <v/>
      </c>
      <c r="S38" s="466" t="str">
        <f ca="1">IFERROR(VLOOKUP(R38,$G$5:$J$28,3,FALSE),"")</f>
        <v/>
      </c>
      <c r="T38" s="967"/>
      <c r="W38" s="447"/>
      <c r="X38" s="473" t="str">
        <f>IF(ISBLANK(T42),"",IF(U42+T42&gt;T44+U44,R43,R45))</f>
        <v/>
      </c>
      <c r="Y38" s="466" t="str">
        <f ca="1">IFERROR(VLOOKUP(X38,$G$5:$J$28,3,FALSE),"")</f>
        <v/>
      </c>
      <c r="Z38" s="967"/>
      <c r="AF38" s="453"/>
      <c r="AG38" s="453"/>
    </row>
    <row r="39" spans="9:33" ht="15.95" customHeight="1" x14ac:dyDescent="0.2">
      <c r="I39" s="437"/>
      <c r="J39" s="437"/>
      <c r="K39" s="450"/>
      <c r="L39" s="450"/>
      <c r="M39" s="450"/>
      <c r="N39" s="451"/>
      <c r="O39" s="450"/>
      <c r="P39" s="450"/>
      <c r="Q39" s="450"/>
      <c r="R39" s="437"/>
      <c r="S39" s="437"/>
      <c r="T39" s="451"/>
      <c r="U39" s="450"/>
      <c r="V39" s="450"/>
      <c r="W39" s="450"/>
      <c r="X39" s="450"/>
      <c r="Y39" s="450"/>
      <c r="Z39" s="451"/>
      <c r="AA39" s="450"/>
      <c r="AF39" s="453"/>
      <c r="AG39" s="453"/>
    </row>
    <row r="40" spans="9:33" ht="15.95" customHeight="1" thickBot="1" x14ac:dyDescent="0.25">
      <c r="I40" s="437"/>
      <c r="J40" s="437"/>
      <c r="K40" s="450"/>
      <c r="L40" s="450"/>
      <c r="M40" s="450"/>
      <c r="N40" s="451"/>
      <c r="O40" s="450"/>
      <c r="P40" s="450"/>
      <c r="Q40" s="450"/>
      <c r="R40" s="437"/>
      <c r="S40" s="437"/>
      <c r="T40" s="451"/>
      <c r="U40" s="450"/>
      <c r="V40" s="450"/>
      <c r="W40" s="450"/>
      <c r="X40" s="979" t="s">
        <v>825</v>
      </c>
      <c r="Y40" s="1247"/>
      <c r="Z40" s="1247"/>
      <c r="AA40" s="450"/>
      <c r="AF40" s="453"/>
      <c r="AG40" s="453"/>
    </row>
    <row r="41" spans="9:33" ht="15.95" customHeight="1" thickBot="1" x14ac:dyDescent="0.25">
      <c r="I41" s="437"/>
      <c r="J41" s="437"/>
      <c r="K41" s="445" t="s">
        <v>779</v>
      </c>
      <c r="L41" s="779" t="s">
        <v>1083</v>
      </c>
      <c r="M41" s="456" t="s">
        <v>481</v>
      </c>
      <c r="N41" s="464" t="s">
        <v>780</v>
      </c>
      <c r="O41" s="446" t="s">
        <v>781</v>
      </c>
      <c r="P41" s="445"/>
      <c r="Q41" s="445" t="s">
        <v>779</v>
      </c>
      <c r="R41" s="779" t="s">
        <v>1083</v>
      </c>
      <c r="S41" s="456" t="s">
        <v>481</v>
      </c>
      <c r="T41" s="464" t="s">
        <v>780</v>
      </c>
      <c r="U41" s="446" t="s">
        <v>781</v>
      </c>
      <c r="V41" s="445"/>
      <c r="W41" s="445" t="s">
        <v>779</v>
      </c>
      <c r="X41" s="779" t="s">
        <v>1083</v>
      </c>
      <c r="Y41" s="456" t="s">
        <v>481</v>
      </c>
      <c r="Z41" s="464" t="s">
        <v>780</v>
      </c>
      <c r="AA41" s="446" t="s">
        <v>781</v>
      </c>
      <c r="AF41" s="453"/>
      <c r="AG41" s="453"/>
    </row>
    <row r="42" spans="9:33" ht="15.95" customHeight="1" thickBot="1" x14ac:dyDescent="0.25">
      <c r="I42" s="437"/>
      <c r="J42" s="437"/>
      <c r="K42" s="447">
        <f>K37+1</f>
        <v>11</v>
      </c>
      <c r="L42" s="472">
        <v>12</v>
      </c>
      <c r="M42" s="465" t="str">
        <f ca="1">IFERROR(VLOOKUP(L43,$G$5:$J$28,2,FALSE),"")</f>
        <v/>
      </c>
      <c r="N42" s="966"/>
      <c r="O42" s="780"/>
      <c r="Q42" s="447">
        <f>Q37+1</f>
        <v>11</v>
      </c>
      <c r="R42" s="472">
        <v>11</v>
      </c>
      <c r="S42" s="465" t="str">
        <f ca="1">IFERROR(VLOOKUP(R43,$G$5:$J$28,2,FALSE),"")</f>
        <v/>
      </c>
      <c r="T42" s="966"/>
      <c r="U42" s="780"/>
      <c r="W42" s="447">
        <f>W37+1</f>
        <v>11</v>
      </c>
      <c r="X42" s="472">
        <v>12</v>
      </c>
      <c r="Y42" s="465" t="str">
        <f ca="1">IFERROR(VLOOKUP(X43,$G$5:$J$28,2,FALSE),"")</f>
        <v/>
      </c>
      <c r="Z42" s="966"/>
      <c r="AA42" s="780"/>
      <c r="AF42" s="453"/>
      <c r="AG42" s="453"/>
    </row>
    <row r="43" spans="9:33" ht="15.95" customHeight="1" thickBot="1" x14ac:dyDescent="0.25">
      <c r="I43" s="437"/>
      <c r="J43" s="437"/>
      <c r="K43" s="447"/>
      <c r="L43" s="473" t="str">
        <f ca="1">VLOOKUP(L42,$A$5:$G$28,7,FALSE)</f>
        <v/>
      </c>
      <c r="M43" s="466" t="str">
        <f ca="1">IFERROR(VLOOKUP(L43,$G$5:$J$28,3,FALSE),"")</f>
        <v/>
      </c>
      <c r="N43" s="967"/>
      <c r="Q43" s="447"/>
      <c r="R43" s="473" t="str">
        <f>IF(ISBLANK(N49),"",IF(N49+O49&gt;N51+O51,L50,L52))</f>
        <v/>
      </c>
      <c r="S43" s="466" t="str">
        <f ca="1">IFERROR(VLOOKUP(R43,$G$5:$J$28,3,FALSE),"")</f>
        <v/>
      </c>
      <c r="T43" s="967"/>
      <c r="W43" s="447"/>
      <c r="X43" s="473" t="str">
        <f>IF(ISBLANK(T35),"",IF(U35+T35&lt;T37+U37,R36,R38))</f>
        <v/>
      </c>
      <c r="Y43" s="466" t="str">
        <f ca="1">IFERROR(VLOOKUP(X43,$G$5:$J$28,3,FALSE),"")</f>
        <v/>
      </c>
      <c r="Z43" s="967"/>
      <c r="AF43" s="453"/>
      <c r="AG43" s="453"/>
    </row>
    <row r="44" spans="9:33" ht="15.95" customHeight="1" thickBot="1" x14ac:dyDescent="0.25">
      <c r="I44" s="437"/>
      <c r="J44" s="437"/>
      <c r="K44" s="447">
        <f>K42+1</f>
        <v>12</v>
      </c>
      <c r="L44" s="472">
        <v>13</v>
      </c>
      <c r="M44" s="465" t="str">
        <f ca="1">IFERROR(VLOOKUP(L45,$G$5:$J$28,2,FALSE),"")</f>
        <v/>
      </c>
      <c r="N44" s="966"/>
      <c r="O44" s="780"/>
      <c r="Q44" s="447">
        <f>Q42+1</f>
        <v>12</v>
      </c>
      <c r="R44" s="472">
        <v>10</v>
      </c>
      <c r="S44" s="465" t="str">
        <f ca="1">IFERROR(VLOOKUP(R45,$G$5:$J$28,2,FALSE),"")</f>
        <v/>
      </c>
      <c r="T44" s="966"/>
      <c r="U44" s="780"/>
      <c r="W44" s="447">
        <f>W42+1</f>
        <v>12</v>
      </c>
      <c r="X44" s="472">
        <v>11</v>
      </c>
      <c r="Y44" s="465" t="str">
        <f ca="1">IFERROR(VLOOKUP(X45,$G$5:$J$28,2,FALSE),"")</f>
        <v/>
      </c>
      <c r="Z44" s="966"/>
      <c r="AA44" s="780"/>
      <c r="AF44" s="453"/>
      <c r="AG44" s="453"/>
    </row>
    <row r="45" spans="9:33" ht="15.95" customHeight="1" thickBot="1" x14ac:dyDescent="0.25">
      <c r="I45" s="437"/>
      <c r="J45" s="437"/>
      <c r="K45" s="447"/>
      <c r="L45" s="473" t="str">
        <f ca="1">VLOOKUP(L44,$A$5:$G$28,7,FALSE)</f>
        <v/>
      </c>
      <c r="M45" s="466" t="str">
        <f ca="1">IFERROR(VLOOKUP(L45,$G$5:$J$28,3,FALSE),"")</f>
        <v/>
      </c>
      <c r="N45" s="967"/>
      <c r="Q45" s="447"/>
      <c r="R45" s="473" t="str">
        <f>IF(ISBLANK(N56),"",IF(N56+O56&gt;N58+O58,L57,L59))</f>
        <v/>
      </c>
      <c r="S45" s="466" t="str">
        <f ca="1">IFERROR(VLOOKUP(R45,$G$5:$J$28,3,FALSE),"")</f>
        <v/>
      </c>
      <c r="T45" s="967"/>
      <c r="W45" s="447"/>
      <c r="X45" s="473" t="str">
        <f>IF(ISBLANK(T42),"",IF(U42+T42&lt;T44+U44,R43,R45))</f>
        <v/>
      </c>
      <c r="Y45" s="466" t="str">
        <f ca="1">IFERROR(VLOOKUP(X45,$G$5:$J$28,3,FALSE),"")</f>
        <v/>
      </c>
      <c r="Z45" s="967"/>
      <c r="AF45" s="453"/>
      <c r="AG45" s="453"/>
    </row>
    <row r="46" spans="9:33" ht="15.95" customHeight="1" x14ac:dyDescent="0.2">
      <c r="I46" s="437"/>
      <c r="J46" s="437"/>
      <c r="K46" s="450"/>
      <c r="L46" s="450"/>
      <c r="M46" s="450"/>
      <c r="N46" s="451"/>
      <c r="O46" s="450"/>
      <c r="P46" s="450"/>
      <c r="Q46" s="450"/>
      <c r="R46" s="450"/>
      <c r="S46" s="450"/>
      <c r="T46" s="451"/>
      <c r="U46" s="450"/>
      <c r="V46" s="450"/>
      <c r="W46" s="450"/>
      <c r="X46" s="450"/>
      <c r="Y46" s="450"/>
      <c r="Z46" s="451"/>
      <c r="AA46" s="450"/>
      <c r="AF46" s="453"/>
      <c r="AG46" s="453"/>
    </row>
    <row r="47" spans="9:33" ht="15.95" customHeight="1" thickBot="1" x14ac:dyDescent="0.25">
      <c r="I47" s="437"/>
      <c r="J47" s="437"/>
      <c r="K47" s="450"/>
      <c r="L47" s="454"/>
      <c r="M47" s="454"/>
      <c r="N47" s="455"/>
      <c r="O47" s="450"/>
      <c r="P47" s="450"/>
      <c r="Q47" s="450"/>
      <c r="R47" s="979" t="s">
        <v>819</v>
      </c>
      <c r="S47" s="1247"/>
      <c r="T47" s="1247"/>
      <c r="U47" s="450"/>
      <c r="V47" s="450"/>
      <c r="W47" s="450"/>
      <c r="X47" s="979" t="s">
        <v>827</v>
      </c>
      <c r="Y47" s="1247"/>
      <c r="Z47" s="1247"/>
      <c r="AA47" s="450"/>
      <c r="AF47" s="453"/>
      <c r="AG47" s="453"/>
    </row>
    <row r="48" spans="9:33" ht="15.95" customHeight="1" thickBot="1" x14ac:dyDescent="0.25">
      <c r="I48" s="437"/>
      <c r="J48" s="437"/>
      <c r="K48" s="445" t="s">
        <v>779</v>
      </c>
      <c r="L48" s="779" t="s">
        <v>1083</v>
      </c>
      <c r="M48" s="456" t="s">
        <v>481</v>
      </c>
      <c r="N48" s="464" t="s">
        <v>780</v>
      </c>
      <c r="O48" s="446" t="s">
        <v>781</v>
      </c>
      <c r="P48" s="445"/>
      <c r="Q48" s="445" t="s">
        <v>779</v>
      </c>
      <c r="R48" s="779" t="s">
        <v>1083</v>
      </c>
      <c r="S48" s="456" t="s">
        <v>481</v>
      </c>
      <c r="T48" s="464" t="s">
        <v>780</v>
      </c>
      <c r="U48" s="446" t="s">
        <v>781</v>
      </c>
      <c r="V48" s="445"/>
      <c r="W48" s="445" t="s">
        <v>779</v>
      </c>
      <c r="X48" s="779" t="s">
        <v>1083</v>
      </c>
      <c r="Y48" s="456" t="s">
        <v>481</v>
      </c>
      <c r="Z48" s="464" t="s">
        <v>780</v>
      </c>
      <c r="AA48" s="446" t="s">
        <v>781</v>
      </c>
      <c r="AF48" s="453"/>
      <c r="AG48" s="453"/>
    </row>
    <row r="49" spans="9:33" ht="15.95" customHeight="1" thickBot="1" x14ac:dyDescent="0.25">
      <c r="I49" s="437"/>
      <c r="J49" s="437"/>
      <c r="K49" s="447">
        <f>K44+1</f>
        <v>13</v>
      </c>
      <c r="L49" s="472">
        <v>11</v>
      </c>
      <c r="M49" s="465" t="str">
        <f ca="1">IFERROR(VLOOKUP(L50,$G$5:$J$28,2,FALSE),"")</f>
        <v/>
      </c>
      <c r="N49" s="966"/>
      <c r="O49" s="780"/>
      <c r="Q49" s="447">
        <f>Q44+1</f>
        <v>13</v>
      </c>
      <c r="R49" s="472">
        <v>16</v>
      </c>
      <c r="S49" s="465" t="str">
        <f ca="1">IFERROR(VLOOKUP(R50,$G$5:$J$28,2,FALSE),"")</f>
        <v/>
      </c>
      <c r="T49" s="966"/>
      <c r="U49" s="780"/>
      <c r="W49" s="447">
        <f>W44+1</f>
        <v>13</v>
      </c>
      <c r="X49" s="472">
        <v>13</v>
      </c>
      <c r="Y49" s="465" t="str">
        <f ca="1">IFERROR(VLOOKUP(X50,$G$5:$J$28,2,FALSE),"")</f>
        <v/>
      </c>
      <c r="Z49" s="966"/>
      <c r="AA49" s="780"/>
      <c r="AF49" s="453"/>
      <c r="AG49" s="453"/>
    </row>
    <row r="50" spans="9:33" ht="15.95" customHeight="1" thickBot="1" x14ac:dyDescent="0.25">
      <c r="I50" s="437"/>
      <c r="J50" s="437"/>
      <c r="K50" s="447"/>
      <c r="L50" s="473" t="str">
        <f ca="1">VLOOKUP(L49,$A$5:$G$28,7,FALSE)</f>
        <v/>
      </c>
      <c r="M50" s="466" t="str">
        <f ca="1">IFERROR(VLOOKUP(L50,$G$5:$J$28,3,FALSE),"")</f>
        <v/>
      </c>
      <c r="N50" s="967"/>
      <c r="Q50" s="447"/>
      <c r="R50" s="473" t="str">
        <f>IF(ISBLANK(N35),"",IF(O35+N35&lt;N37+O37,L36,L38))</f>
        <v/>
      </c>
      <c r="S50" s="466" t="str">
        <f ca="1">IFERROR(VLOOKUP(R50,$G$5:$J$28,3,FALSE),"")</f>
        <v/>
      </c>
      <c r="T50" s="967"/>
      <c r="W50" s="447"/>
      <c r="X50" s="473" t="str">
        <f>IF(ISBLANK(T49),"",IF(U49+T49&gt;T51+U51,R50,R52))</f>
        <v/>
      </c>
      <c r="Y50" s="466" t="str">
        <f ca="1">IFERROR(VLOOKUP(X50,$G$5:$J$28,3,FALSE),"")</f>
        <v/>
      </c>
      <c r="Z50" s="967"/>
    </row>
    <row r="51" spans="9:33" ht="15.95" customHeight="1" thickBot="1" x14ac:dyDescent="0.25">
      <c r="I51" s="437"/>
      <c r="J51" s="437"/>
      <c r="K51" s="447">
        <f>K49+1</f>
        <v>14</v>
      </c>
      <c r="L51" s="472">
        <v>14</v>
      </c>
      <c r="M51" s="465" t="str">
        <f ca="1">IFERROR(VLOOKUP(L52,$G$5:$J$28,2,FALSE),"")</f>
        <v/>
      </c>
      <c r="N51" s="966"/>
      <c r="O51" s="780"/>
      <c r="Q51" s="447">
        <f>Q49+1</f>
        <v>14</v>
      </c>
      <c r="R51" s="472">
        <v>13</v>
      </c>
      <c r="S51" s="465" t="str">
        <f ca="1">IFERROR(VLOOKUP(R52,$G$5:$J$28,2,FALSE),"")</f>
        <v/>
      </c>
      <c r="T51" s="966"/>
      <c r="U51" s="780"/>
      <c r="W51" s="447">
        <f>W49+1</f>
        <v>14</v>
      </c>
      <c r="X51" s="472">
        <v>14</v>
      </c>
      <c r="Y51" s="465" t="str">
        <f ca="1">IFERROR(VLOOKUP(X52,$G$5:$J$28,2,FALSE),"")</f>
        <v/>
      </c>
      <c r="Z51" s="966"/>
      <c r="AA51" s="780"/>
    </row>
    <row r="52" spans="9:33" ht="15.95" customHeight="1" thickBot="1" x14ac:dyDescent="0.25">
      <c r="I52" s="437"/>
      <c r="J52" s="437"/>
      <c r="K52" s="447"/>
      <c r="L52" s="473" t="str">
        <f ca="1">VLOOKUP(L51,$A$5:$G$28,7,FALSE)</f>
        <v/>
      </c>
      <c r="M52" s="466" t="str">
        <f ca="1">IFERROR(VLOOKUP(L52,$G$5:$J$28,3,FALSE),"")</f>
        <v/>
      </c>
      <c r="N52" s="967"/>
      <c r="Q52" s="447"/>
      <c r="R52" s="473" t="str">
        <f>IF(ISBLANK(N42),"",IF(O42+N42&lt;N44+O44,L43,L45))</f>
        <v/>
      </c>
      <c r="S52" s="466" t="str">
        <f ca="1">IFERROR(VLOOKUP(R52,$G$5:$J$28,3,FALSE),"")</f>
        <v/>
      </c>
      <c r="T52" s="967"/>
      <c r="W52" s="447"/>
      <c r="X52" s="473" t="str">
        <f>IF(ISBLANK(T56),"",IF(U56+T56&gt;T58+U58,R57,R59))</f>
        <v/>
      </c>
      <c r="Y52" s="466" t="str">
        <f ca="1">IFERROR(VLOOKUP(X52,$G$5:$J$28,3,FALSE),"")</f>
        <v/>
      </c>
      <c r="Z52" s="967"/>
    </row>
    <row r="53" spans="9:33" ht="15.95" customHeight="1" x14ac:dyDescent="0.2">
      <c r="I53" s="437"/>
      <c r="J53" s="437"/>
      <c r="K53" s="447"/>
      <c r="L53" s="441"/>
      <c r="M53" s="441"/>
      <c r="Q53" s="447"/>
      <c r="R53" s="437"/>
      <c r="S53" s="437"/>
      <c r="T53" s="451"/>
      <c r="W53" s="447"/>
      <c r="X53" s="441"/>
      <c r="Y53" s="441"/>
    </row>
    <row r="54" spans="9:33" ht="15.95" customHeight="1" thickBot="1" x14ac:dyDescent="0.25">
      <c r="I54" s="437"/>
      <c r="J54" s="437"/>
      <c r="K54" s="450"/>
      <c r="L54" s="450"/>
      <c r="M54" s="450"/>
      <c r="N54" s="451"/>
      <c r="O54" s="450"/>
      <c r="P54" s="450"/>
      <c r="Q54" s="450"/>
      <c r="R54" s="437"/>
      <c r="S54" s="437"/>
      <c r="T54" s="451"/>
      <c r="U54" s="450"/>
      <c r="V54" s="450"/>
      <c r="W54" s="450"/>
      <c r="X54" s="979" t="s">
        <v>828</v>
      </c>
      <c r="Y54" s="1247"/>
      <c r="Z54" s="1247"/>
      <c r="AA54" s="450"/>
    </row>
    <row r="55" spans="9:33" ht="15.95" customHeight="1" thickBot="1" x14ac:dyDescent="0.25">
      <c r="I55" s="437"/>
      <c r="J55" s="437"/>
      <c r="K55" s="445" t="s">
        <v>779</v>
      </c>
      <c r="L55" s="779" t="s">
        <v>1083</v>
      </c>
      <c r="M55" s="456" t="s">
        <v>481</v>
      </c>
      <c r="N55" s="464" t="s">
        <v>780</v>
      </c>
      <c r="O55" s="446" t="s">
        <v>781</v>
      </c>
      <c r="P55" s="445"/>
      <c r="Q55" s="445" t="s">
        <v>779</v>
      </c>
      <c r="R55" s="779" t="s">
        <v>1083</v>
      </c>
      <c r="S55" s="456" t="s">
        <v>481</v>
      </c>
      <c r="T55" s="464" t="s">
        <v>780</v>
      </c>
      <c r="U55" s="446" t="s">
        <v>781</v>
      </c>
      <c r="V55" s="445"/>
      <c r="W55" s="445" t="s">
        <v>779</v>
      </c>
      <c r="X55" s="779" t="s">
        <v>1083</v>
      </c>
      <c r="Y55" s="456" t="s">
        <v>481</v>
      </c>
      <c r="Z55" s="464" t="s">
        <v>780</v>
      </c>
      <c r="AA55" s="446" t="s">
        <v>781</v>
      </c>
    </row>
    <row r="56" spans="9:33" ht="15.95" customHeight="1" thickBot="1" x14ac:dyDescent="0.25">
      <c r="I56" s="437"/>
      <c r="J56" s="437"/>
      <c r="K56" s="447">
        <f>K51+1</f>
        <v>15</v>
      </c>
      <c r="L56" s="472">
        <v>10</v>
      </c>
      <c r="M56" s="465" t="str">
        <f ca="1">IFERROR(VLOOKUP(L57,$G$5:$J$28,2,FALSE),"")</f>
        <v/>
      </c>
      <c r="N56" s="966"/>
      <c r="O56" s="780"/>
      <c r="Q56" s="447">
        <f>Q51+1</f>
        <v>15</v>
      </c>
      <c r="R56" s="472">
        <v>14</v>
      </c>
      <c r="S56" s="465" t="str">
        <f ca="1">IFERROR(VLOOKUP(R57,$G$5:$J$28,2,FALSE),"")</f>
        <v/>
      </c>
      <c r="T56" s="966"/>
      <c r="U56" s="780"/>
      <c r="W56" s="447">
        <f>W51+1</f>
        <v>15</v>
      </c>
      <c r="X56" s="472">
        <v>16</v>
      </c>
      <c r="Y56" s="465" t="str">
        <f ca="1">IFERROR(VLOOKUP(X57,$G$5:$J$28,2,FALSE),"")</f>
        <v/>
      </c>
      <c r="Z56" s="966"/>
      <c r="AA56" s="780"/>
    </row>
    <row r="57" spans="9:33" ht="15.95" customHeight="1" thickBot="1" x14ac:dyDescent="0.25">
      <c r="I57" s="437"/>
      <c r="J57" s="437"/>
      <c r="K57" s="447"/>
      <c r="L57" s="473" t="str">
        <f ca="1">VLOOKUP(L56,$A$5:$G$28,7,FALSE)</f>
        <v/>
      </c>
      <c r="M57" s="466" t="str">
        <f ca="1">IFERROR(VLOOKUP(L57,$G$5:$J$28,3,FALSE),"")</f>
        <v/>
      </c>
      <c r="N57" s="967"/>
      <c r="Q57" s="447"/>
      <c r="R57" s="473" t="str">
        <f>IF(ISBLANK(N49),"",IF(N49+O49&lt;N51+O51,L50,L52))</f>
        <v/>
      </c>
      <c r="S57" s="466" t="str">
        <f ca="1">IFERROR(VLOOKUP(R57,$G$5:$J$28,3,FALSE),"")</f>
        <v/>
      </c>
      <c r="T57" s="967"/>
      <c r="W57" s="447"/>
      <c r="X57" s="473" t="str">
        <f>IF(ISBLANK(T49),"",IF(U49+T49&lt;T51+U51,R50,R52))</f>
        <v/>
      </c>
      <c r="Y57" s="466" t="str">
        <f ca="1">IFERROR(VLOOKUP(X57,$G$5:$J$28,3,FALSE),"")</f>
        <v/>
      </c>
      <c r="Z57" s="967"/>
    </row>
    <row r="58" spans="9:33" ht="15.95" customHeight="1" thickBot="1" x14ac:dyDescent="0.25">
      <c r="I58" s="437"/>
      <c r="J58" s="437"/>
      <c r="K58" s="447">
        <f>K56+1</f>
        <v>16</v>
      </c>
      <c r="L58" s="472">
        <v>15</v>
      </c>
      <c r="M58" s="465" t="str">
        <f ca="1">IFERROR(VLOOKUP(L59,$G$5:$J$28,2,FALSE),"")</f>
        <v/>
      </c>
      <c r="N58" s="966"/>
      <c r="O58" s="780"/>
      <c r="Q58" s="447">
        <f>Q56+1</f>
        <v>16</v>
      </c>
      <c r="R58" s="472">
        <v>15</v>
      </c>
      <c r="S58" s="465" t="str">
        <f ca="1">IFERROR(VLOOKUP(R59,$G$5:$J$28,2,FALSE),"")</f>
        <v/>
      </c>
      <c r="T58" s="966"/>
      <c r="U58" s="780"/>
      <c r="W58" s="447">
        <f>W56+1</f>
        <v>16</v>
      </c>
      <c r="X58" s="472">
        <v>15</v>
      </c>
      <c r="Y58" s="465" t="str">
        <f ca="1">IFERROR(VLOOKUP(X59,$G$5:$J$28,2,FALSE),"")</f>
        <v/>
      </c>
      <c r="Z58" s="966"/>
      <c r="AA58" s="780"/>
    </row>
    <row r="59" spans="9:33" ht="15.95" customHeight="1" thickBot="1" x14ac:dyDescent="0.25">
      <c r="I59" s="437"/>
      <c r="J59" s="437"/>
      <c r="K59" s="447"/>
      <c r="L59" s="473" t="str">
        <f ca="1">VLOOKUP(L58,$A$5:$G$28,7,FALSE)</f>
        <v/>
      </c>
      <c r="M59" s="466" t="str">
        <f ca="1">IFERROR(VLOOKUP(L59,$G$5:$J$28,3,FALSE),"")</f>
        <v/>
      </c>
      <c r="N59" s="967"/>
      <c r="Q59" s="447"/>
      <c r="R59" s="473" t="str">
        <f>IF(ISBLANK(N56),"",IF(N56+O56&lt;N58+O58,L57,L59))</f>
        <v/>
      </c>
      <c r="S59" s="466" t="str">
        <f ca="1">IFERROR(VLOOKUP(R59,$G$5:$J$28,3,FALSE),"")</f>
        <v/>
      </c>
      <c r="T59" s="967"/>
      <c r="W59" s="447"/>
      <c r="X59" s="473" t="str">
        <f>IF(ISBLANK(T56),"",IF(U56+T56&lt;T58+U58,R57,R59))</f>
        <v/>
      </c>
      <c r="Y59" s="466" t="str">
        <f ca="1">IFERROR(VLOOKUP(X59,$G$5:$J$28,3,FALSE),"")</f>
        <v/>
      </c>
      <c r="Z59" s="967"/>
    </row>
    <row r="60" spans="9:33" ht="15.95" customHeight="1" x14ac:dyDescent="0.2">
      <c r="I60" s="437"/>
      <c r="J60" s="437"/>
      <c r="K60" s="447"/>
      <c r="Q60" s="447"/>
      <c r="W60" s="447"/>
    </row>
    <row r="61" spans="9:33" ht="15.95" customHeight="1" thickBot="1" x14ac:dyDescent="0.25">
      <c r="I61" s="437"/>
      <c r="J61" s="786"/>
      <c r="L61" s="979" t="s">
        <v>1327</v>
      </c>
      <c r="M61" s="1247"/>
      <c r="N61" s="1247"/>
      <c r="O61" s="443"/>
      <c r="P61" s="443"/>
      <c r="R61" s="979" t="s">
        <v>1328</v>
      </c>
      <c r="S61" s="1247"/>
      <c r="T61" s="1247"/>
      <c r="U61" s="443"/>
      <c r="V61" s="443"/>
      <c r="W61" s="445"/>
      <c r="X61" s="979" t="s">
        <v>831</v>
      </c>
      <c r="Y61" s="1247"/>
      <c r="Z61" s="1247"/>
      <c r="AA61" s="443"/>
    </row>
    <row r="62" spans="9:33" ht="15.95" customHeight="1" thickBot="1" x14ac:dyDescent="0.25">
      <c r="I62" s="437"/>
      <c r="J62" s="786"/>
      <c r="K62" s="445" t="s">
        <v>779</v>
      </c>
      <c r="L62" s="779" t="s">
        <v>1083</v>
      </c>
      <c r="M62" s="456" t="s">
        <v>481</v>
      </c>
      <c r="N62" s="464" t="s">
        <v>780</v>
      </c>
      <c r="O62" s="446" t="s">
        <v>781</v>
      </c>
      <c r="P62" s="445"/>
      <c r="Q62" s="445" t="s">
        <v>779</v>
      </c>
      <c r="R62" s="779" t="s">
        <v>1083</v>
      </c>
      <c r="S62" s="456" t="s">
        <v>481</v>
      </c>
      <c r="T62" s="464" t="s">
        <v>780</v>
      </c>
      <c r="U62" s="446" t="s">
        <v>781</v>
      </c>
      <c r="V62" s="445"/>
      <c r="W62" s="445" t="s">
        <v>779</v>
      </c>
      <c r="X62" s="779" t="s">
        <v>1083</v>
      </c>
      <c r="Y62" s="456" t="s">
        <v>481</v>
      </c>
      <c r="Z62" s="464" t="s">
        <v>780</v>
      </c>
      <c r="AA62" s="446" t="s">
        <v>781</v>
      </c>
    </row>
    <row r="63" spans="9:33" ht="15.95" customHeight="1" thickBot="1" x14ac:dyDescent="0.25">
      <c r="I63" s="437"/>
      <c r="J63" s="786"/>
      <c r="K63" s="447">
        <f>K58+1</f>
        <v>17</v>
      </c>
      <c r="L63" s="472">
        <v>17</v>
      </c>
      <c r="M63" s="465" t="str">
        <f ca="1">IFERROR(VLOOKUP(L64,$G$5:$J$28,2,FALSE),"")</f>
        <v/>
      </c>
      <c r="N63" s="966"/>
      <c r="O63" s="780"/>
      <c r="Q63" s="447">
        <f>K63</f>
        <v>17</v>
      </c>
      <c r="R63" s="472">
        <v>17</v>
      </c>
      <c r="S63" s="465" t="str">
        <f ca="1">IFERROR(VLOOKUP(R64,$G$5:$J$28,2,FALSE),"")</f>
        <v/>
      </c>
      <c r="T63" s="966"/>
      <c r="U63" s="780"/>
      <c r="W63" s="447">
        <f>Q63</f>
        <v>17</v>
      </c>
      <c r="X63" s="472">
        <v>17</v>
      </c>
      <c r="Y63" s="465" t="str">
        <f ca="1">IFERROR(VLOOKUP(X64,$G$5:$J$28,2,FALSE),"")</f>
        <v/>
      </c>
      <c r="Z63" s="966"/>
      <c r="AA63" s="780"/>
    </row>
    <row r="64" spans="9:33" ht="15.95" customHeight="1" thickBot="1" x14ac:dyDescent="0.25">
      <c r="I64" s="437"/>
      <c r="J64" s="786"/>
      <c r="K64" s="447"/>
      <c r="L64" s="473" t="str">
        <f ca="1">VLOOKUP(L63,$A$5:$G$28,7,FALSE)</f>
        <v/>
      </c>
      <c r="M64" s="466" t="str">
        <f ca="1">IFERROR(VLOOKUP(L64,$G$5:$J$28,3,FALSE),"")</f>
        <v/>
      </c>
      <c r="N64" s="967"/>
      <c r="O64" s="781"/>
      <c r="Q64" s="447"/>
      <c r="R64" s="473" t="str">
        <f ca="1">L64</f>
        <v/>
      </c>
      <c r="S64" s="466" t="str">
        <f ca="1">IFERROR(VLOOKUP(R64,$G$5:$J$28,3,FALSE),"")</f>
        <v/>
      </c>
      <c r="T64" s="967"/>
      <c r="W64" s="447"/>
      <c r="X64" s="473" t="str">
        <f>IF(ISBLANK(T63),"",IF(U63+T63&gt;T65+U65,R64,R66))</f>
        <v/>
      </c>
      <c r="Y64" s="466" t="str">
        <f ca="1">IFERROR(VLOOKUP(X64,$G$5:$J$28,3,FALSE),"")</f>
        <v/>
      </c>
      <c r="Z64" s="967"/>
    </row>
    <row r="65" spans="9:36" ht="15.95" customHeight="1" thickBot="1" x14ac:dyDescent="0.25">
      <c r="I65" s="437"/>
      <c r="J65" s="786"/>
      <c r="K65" s="447"/>
      <c r="L65" s="516"/>
      <c r="M65" s="516"/>
      <c r="N65" s="457"/>
      <c r="Q65" s="447">
        <f>Q63+1</f>
        <v>18</v>
      </c>
      <c r="R65" s="472">
        <v>20</v>
      </c>
      <c r="S65" s="465" t="str">
        <f ca="1">IFERROR(VLOOKUP(R66,$G$5:$J$28,2,FALSE),"")</f>
        <v/>
      </c>
      <c r="T65" s="966"/>
      <c r="U65" s="780"/>
      <c r="W65" s="447">
        <f>W63+1</f>
        <v>18</v>
      </c>
      <c r="X65" s="472">
        <v>18</v>
      </c>
      <c r="Y65" s="465" t="str">
        <f ca="1">IFERROR(VLOOKUP(X66,$G$5:$J$28,2,FALSE),"")</f>
        <v/>
      </c>
      <c r="Z65" s="966"/>
      <c r="AA65" s="780"/>
      <c r="AH65" s="441"/>
      <c r="AI65" s="441"/>
      <c r="AJ65" s="447"/>
    </row>
    <row r="66" spans="9:36" ht="15.95" customHeight="1" thickBot="1" x14ac:dyDescent="0.25">
      <c r="I66" s="437"/>
      <c r="J66" s="786"/>
      <c r="K66" s="447"/>
      <c r="L66" s="516"/>
      <c r="M66" s="516"/>
      <c r="N66" s="457"/>
      <c r="Q66" s="447"/>
      <c r="R66" s="473" t="str">
        <f>IF(ISBLANK(N68),"",IF(O68+N68&gt;N70+O70,L69,L71))</f>
        <v/>
      </c>
      <c r="S66" s="466" t="str">
        <f ca="1">IFERROR(VLOOKUP(R66,$G$5:$J$28,3,FALSE),"")</f>
        <v/>
      </c>
      <c r="T66" s="967"/>
      <c r="W66" s="447"/>
      <c r="X66" s="473" t="str">
        <f>IF(ISBLANK(T70),"",IF(U70+T70&gt;T72+U72,R71,R73))</f>
        <v/>
      </c>
      <c r="Y66" s="466" t="str">
        <f ca="1">IFERROR(VLOOKUP(X66,$G$5:$J$28,3,FALSE),"")</f>
        <v/>
      </c>
      <c r="Z66" s="967"/>
      <c r="AH66" s="441"/>
      <c r="AI66" s="441"/>
      <c r="AJ66" s="447"/>
    </row>
    <row r="67" spans="9:36" ht="15.95" customHeight="1" thickBot="1" x14ac:dyDescent="0.25">
      <c r="I67" s="437"/>
      <c r="J67" s="786"/>
      <c r="K67" s="445" t="s">
        <v>779</v>
      </c>
      <c r="L67" s="779" t="s">
        <v>1083</v>
      </c>
      <c r="M67" s="456" t="s">
        <v>481</v>
      </c>
      <c r="N67" s="464" t="s">
        <v>780</v>
      </c>
      <c r="O67" s="446" t="s">
        <v>781</v>
      </c>
      <c r="P67" s="450"/>
      <c r="V67" s="450"/>
      <c r="W67" s="450"/>
      <c r="X67" s="450"/>
      <c r="Y67" s="450"/>
      <c r="Z67" s="451"/>
      <c r="AA67" s="450"/>
      <c r="AH67" s="441"/>
      <c r="AI67" s="441"/>
      <c r="AJ67" s="441"/>
    </row>
    <row r="68" spans="9:36" ht="15.95" customHeight="1" thickBot="1" x14ac:dyDescent="0.25">
      <c r="I68" s="437"/>
      <c r="J68" s="786"/>
      <c r="K68" s="447">
        <f>K63+1</f>
        <v>18</v>
      </c>
      <c r="L68" s="472">
        <v>20</v>
      </c>
      <c r="M68" s="465" t="str">
        <f ca="1">IFERROR(VLOOKUP(L69,$G$5:$J$28,2,FALSE),"")</f>
        <v/>
      </c>
      <c r="N68" s="966"/>
      <c r="O68" s="780"/>
      <c r="P68" s="450"/>
      <c r="V68" s="450"/>
      <c r="W68" s="450"/>
      <c r="X68" s="979" t="s">
        <v>832</v>
      </c>
      <c r="Y68" s="1247"/>
      <c r="Z68" s="1247"/>
      <c r="AA68" s="450"/>
      <c r="AH68" s="441"/>
      <c r="AI68" s="441"/>
      <c r="AJ68" s="441"/>
    </row>
    <row r="69" spans="9:36" ht="15.95" customHeight="1" thickBot="1" x14ac:dyDescent="0.25">
      <c r="I69" s="437"/>
      <c r="J69" s="786"/>
      <c r="K69" s="447"/>
      <c r="L69" s="473" t="str">
        <f ca="1">VLOOKUP(L68,$A$5:$G$28,7,FALSE)</f>
        <v/>
      </c>
      <c r="M69" s="466" t="str">
        <f ca="1">IFERROR(VLOOKUP(L69,$G$5:$J$28,3,FALSE),"")</f>
        <v/>
      </c>
      <c r="N69" s="967"/>
      <c r="P69" s="445"/>
      <c r="Q69" s="445" t="s">
        <v>779</v>
      </c>
      <c r="R69" s="779" t="s">
        <v>1083</v>
      </c>
      <c r="S69" s="456" t="s">
        <v>481</v>
      </c>
      <c r="T69" s="464" t="s">
        <v>780</v>
      </c>
      <c r="U69" s="446" t="s">
        <v>781</v>
      </c>
      <c r="V69" s="445"/>
      <c r="W69" s="445" t="s">
        <v>779</v>
      </c>
      <c r="X69" s="779" t="s">
        <v>1083</v>
      </c>
      <c r="Y69" s="456" t="s">
        <v>481</v>
      </c>
      <c r="Z69" s="464" t="s">
        <v>780</v>
      </c>
      <c r="AA69" s="446" t="s">
        <v>781</v>
      </c>
      <c r="AH69" s="441"/>
      <c r="AI69" s="441"/>
      <c r="AJ69" s="450"/>
    </row>
    <row r="70" spans="9:36" ht="15.95" customHeight="1" thickBot="1" x14ac:dyDescent="0.25">
      <c r="I70" s="437"/>
      <c r="J70" s="786"/>
      <c r="K70" s="447">
        <f>K68+1</f>
        <v>19</v>
      </c>
      <c r="L70" s="472">
        <v>21</v>
      </c>
      <c r="M70" s="465" t="str">
        <f ca="1">IFERROR(VLOOKUP(L71,$G$5:$J$28,2,FALSE),"")</f>
        <v/>
      </c>
      <c r="N70" s="966"/>
      <c r="O70" s="780"/>
      <c r="Q70" s="447">
        <f>Q65+1</f>
        <v>19</v>
      </c>
      <c r="R70" s="472">
        <v>18</v>
      </c>
      <c r="S70" s="465" t="str">
        <f ca="1">IFERROR(VLOOKUP(R71,$G$5:$J$28,2,FALSE),"")</f>
        <v/>
      </c>
      <c r="T70" s="966"/>
      <c r="U70" s="780"/>
      <c r="W70" s="447">
        <f>W65+1</f>
        <v>19</v>
      </c>
      <c r="X70" s="472">
        <v>19</v>
      </c>
      <c r="Y70" s="465" t="str">
        <f ca="1">IFERROR(VLOOKUP(X71,$G$5:$J$28,2,FALSE),"")</f>
        <v/>
      </c>
      <c r="Z70" s="966"/>
      <c r="AA70" s="780"/>
      <c r="AH70" s="441"/>
      <c r="AI70" s="441"/>
      <c r="AJ70" s="450"/>
    </row>
    <row r="71" spans="9:36" ht="15.95" customHeight="1" thickBot="1" x14ac:dyDescent="0.25">
      <c r="I71" s="437"/>
      <c r="J71" s="786"/>
      <c r="K71" s="447"/>
      <c r="L71" s="473" t="str">
        <f ca="1">VLOOKUP(L70,$A$5:$G$28,7,FALSE)</f>
        <v/>
      </c>
      <c r="M71" s="466" t="str">
        <f ca="1">IFERROR(VLOOKUP(L71,$G$5:$J$28,3,FALSE),"")</f>
        <v/>
      </c>
      <c r="N71" s="967"/>
      <c r="Q71" s="450"/>
      <c r="R71" s="473" t="str">
        <f ca="1">L77</f>
        <v/>
      </c>
      <c r="S71" s="466" t="str">
        <f ca="1">IFERROR(VLOOKUP(R71,$G$5:$J$28,3,FALSE),"")</f>
        <v/>
      </c>
      <c r="T71" s="967"/>
      <c r="W71" s="447"/>
      <c r="X71" s="473" t="str">
        <f>IF(ISBLANK(T70),"",IF(U70+T70&lt;T72+U72,R71,R73))</f>
        <v/>
      </c>
      <c r="Y71" s="466" t="str">
        <f ca="1">IFERROR(VLOOKUP(X71,$G$5:$J$28,3,FALSE),"")</f>
        <v/>
      </c>
      <c r="Z71" s="967"/>
      <c r="AH71" s="441"/>
      <c r="AI71" s="441"/>
      <c r="AJ71" s="445"/>
    </row>
    <row r="72" spans="9:36" ht="15.95" customHeight="1" thickBot="1" x14ac:dyDescent="0.25">
      <c r="I72" s="437"/>
      <c r="J72" s="786"/>
      <c r="K72" s="435"/>
      <c r="N72" s="435"/>
      <c r="O72" s="435"/>
      <c r="Q72" s="447">
        <f>Q70+1</f>
        <v>20</v>
      </c>
      <c r="R72" s="472">
        <v>19</v>
      </c>
      <c r="S72" s="465" t="str">
        <f ca="1">IFERROR(VLOOKUP(R73,$G$5:$J$28,2,FALSE),"")</f>
        <v/>
      </c>
      <c r="T72" s="966"/>
      <c r="U72" s="780"/>
      <c r="W72" s="447">
        <f>W70+1</f>
        <v>20</v>
      </c>
      <c r="X72" s="472">
        <v>20</v>
      </c>
      <c r="Y72" s="465" t="str">
        <f ca="1">IFERROR(VLOOKUP(X73,$G$5:$J$28,2,FALSE),"")</f>
        <v/>
      </c>
      <c r="Z72" s="966"/>
      <c r="AA72" s="780"/>
      <c r="AH72" s="441"/>
      <c r="AI72" s="441"/>
      <c r="AJ72" s="447"/>
    </row>
    <row r="73" spans="9:36" ht="15.95" customHeight="1" thickBot="1" x14ac:dyDescent="0.25">
      <c r="I73" s="437"/>
      <c r="J73" s="786"/>
      <c r="Q73" s="447"/>
      <c r="R73" s="473" t="str">
        <f>IF(ISBLANK(N81),"",IF(O81+N81&gt;N83+O83,L82,L84))</f>
        <v/>
      </c>
      <c r="S73" s="466" t="str">
        <f ca="1">IFERROR(VLOOKUP(R73,$G$5:$J$28,3,FALSE),"")</f>
        <v/>
      </c>
      <c r="T73" s="967"/>
      <c r="W73" s="447"/>
      <c r="X73" s="473" t="str">
        <f>IF(ISBLANK(T63),"",IF(U63+T63&lt;T65+U65,R64,R66))</f>
        <v/>
      </c>
      <c r="Y73" s="466" t="str">
        <f ca="1">IFERROR(VLOOKUP(X73,$G$5:$J$28,3,FALSE),"")</f>
        <v/>
      </c>
      <c r="Z73" s="967"/>
      <c r="AH73" s="441"/>
      <c r="AI73" s="441"/>
      <c r="AJ73" s="447"/>
    </row>
    <row r="74" spans="9:36" ht="15.95" customHeight="1" thickBot="1" x14ac:dyDescent="0.25">
      <c r="I74" s="437"/>
      <c r="J74" s="786"/>
      <c r="P74" s="450"/>
      <c r="V74" s="450"/>
      <c r="W74" s="450"/>
      <c r="X74" s="450"/>
      <c r="Y74" s="450"/>
      <c r="Z74" s="451"/>
      <c r="AA74" s="450"/>
      <c r="AH74" s="441"/>
      <c r="AI74" s="441"/>
      <c r="AJ74" s="450"/>
    </row>
    <row r="75" spans="9:36" ht="15.95" customHeight="1" thickBot="1" x14ac:dyDescent="0.25">
      <c r="I75" s="437"/>
      <c r="J75" s="437"/>
      <c r="K75" s="445" t="s">
        <v>779</v>
      </c>
      <c r="L75" s="779" t="s">
        <v>1083</v>
      </c>
      <c r="M75" s="456" t="s">
        <v>481</v>
      </c>
      <c r="N75" s="464" t="s">
        <v>780</v>
      </c>
      <c r="O75" s="446" t="s">
        <v>781</v>
      </c>
      <c r="P75" s="450"/>
      <c r="V75" s="450"/>
      <c r="W75" s="450"/>
      <c r="X75" s="979" t="s">
        <v>834</v>
      </c>
      <c r="Y75" s="1247"/>
      <c r="Z75" s="1247"/>
      <c r="AA75" s="450"/>
      <c r="AB75" s="435" t="s">
        <v>793</v>
      </c>
      <c r="AH75" s="441"/>
      <c r="AI75" s="441"/>
      <c r="AJ75" s="450"/>
    </row>
    <row r="76" spans="9:36" ht="15.95" customHeight="1" thickBot="1" x14ac:dyDescent="0.25">
      <c r="I76" s="437"/>
      <c r="J76" s="437"/>
      <c r="K76" s="447">
        <f>K70+1</f>
        <v>20</v>
      </c>
      <c r="L76" s="472">
        <v>18</v>
      </c>
      <c r="M76" s="465" t="str">
        <f ca="1">IFERROR(VLOOKUP(L77,$G$5:$J$28,2,FALSE),"")</f>
        <v/>
      </c>
      <c r="N76" s="966"/>
      <c r="O76" s="780"/>
      <c r="P76" s="445"/>
      <c r="Q76" s="445" t="s">
        <v>779</v>
      </c>
      <c r="R76" s="779" t="s">
        <v>1083</v>
      </c>
      <c r="S76" s="456" t="s">
        <v>481</v>
      </c>
      <c r="T76" s="464" t="s">
        <v>780</v>
      </c>
      <c r="V76" s="445"/>
      <c r="W76" s="445" t="s">
        <v>779</v>
      </c>
      <c r="X76" s="779" t="s">
        <v>1083</v>
      </c>
      <c r="Y76" s="456" t="s">
        <v>481</v>
      </c>
      <c r="Z76" s="464" t="s">
        <v>780</v>
      </c>
      <c r="AA76" s="446" t="s">
        <v>781</v>
      </c>
      <c r="AH76" s="441"/>
      <c r="AI76" s="441"/>
      <c r="AJ76" s="450"/>
    </row>
    <row r="77" spans="9:36" ht="15.95" customHeight="1" thickBot="1" x14ac:dyDescent="0.25">
      <c r="I77" s="437"/>
      <c r="J77" s="437"/>
      <c r="K77" s="447"/>
      <c r="L77" s="473" t="str">
        <f ca="1">VLOOKUP(L76,$A$5:$G$28,7,FALSE)</f>
        <v/>
      </c>
      <c r="M77" s="466" t="str">
        <f ca="1">IFERROR(VLOOKUP(L77,$G$5:$J$28,3,FALSE),"")</f>
        <v/>
      </c>
      <c r="N77" s="967"/>
      <c r="O77" s="781"/>
      <c r="Q77" s="447">
        <f>Q72+1</f>
        <v>21</v>
      </c>
      <c r="R77" s="472">
        <v>21</v>
      </c>
      <c r="S77" s="465" t="str">
        <f ca="1">IFERROR(VLOOKUP(R78,$G$5:$J$28,2,FALSE),"")</f>
        <v/>
      </c>
      <c r="T77" s="966"/>
      <c r="W77" s="447">
        <f>W72+1</f>
        <v>21</v>
      </c>
      <c r="X77" s="472">
        <v>21</v>
      </c>
      <c r="Y77" s="465" t="str">
        <f ca="1">IFERROR(VLOOKUP(X78,$G$5:$J$28,2,FALSE),"")</f>
        <v/>
      </c>
      <c r="Z77" s="966"/>
      <c r="AA77" s="780"/>
      <c r="AH77" s="441"/>
      <c r="AI77" s="441"/>
      <c r="AJ77" s="450"/>
    </row>
    <row r="78" spans="9:36" ht="15.95" customHeight="1" thickBot="1" x14ac:dyDescent="0.25">
      <c r="I78" s="437"/>
      <c r="J78" s="437"/>
      <c r="Q78" s="447"/>
      <c r="R78" s="473" t="str">
        <f>IF(ISBLANK(N68),"",IF(O68+N68&lt;N70+O70,L69,L71))</f>
        <v/>
      </c>
      <c r="S78" s="466" t="str">
        <f ca="1">IFERROR(VLOOKUP(R78,$G$5:$J$28,3,FALSE),"")</f>
        <v/>
      </c>
      <c r="T78" s="967"/>
      <c r="W78" s="447"/>
      <c r="X78" s="473" t="str">
        <f>R78</f>
        <v/>
      </c>
      <c r="Y78" s="466" t="str">
        <f ca="1">IFERROR(VLOOKUP(X78,$G$5:$J$28,3,FALSE),"")</f>
        <v/>
      </c>
      <c r="Z78" s="967"/>
      <c r="AH78" s="441"/>
      <c r="AI78" s="441"/>
      <c r="AJ78" s="445"/>
    </row>
    <row r="79" spans="9:36" ht="15.95" customHeight="1" thickBot="1" x14ac:dyDescent="0.25">
      <c r="I79" s="437"/>
      <c r="J79" s="437"/>
      <c r="Q79" s="447">
        <f>Q77+1</f>
        <v>22</v>
      </c>
      <c r="R79" s="472">
        <v>22</v>
      </c>
      <c r="S79" s="465" t="str">
        <f ca="1">IFERROR(VLOOKUP(R80,$G$5:$J$28,2,FALSE),"")</f>
        <v/>
      </c>
      <c r="T79" s="966"/>
      <c r="W79" s="447">
        <f>W77+1</f>
        <v>22</v>
      </c>
      <c r="X79" s="472">
        <v>22</v>
      </c>
      <c r="Y79" s="465" t="str">
        <f ca="1">IFERROR(VLOOKUP(X80,$G$5:$J$28,2,FALSE),"")</f>
        <v/>
      </c>
      <c r="Z79" s="966"/>
      <c r="AA79" s="780"/>
      <c r="AH79" s="441"/>
      <c r="AI79" s="441"/>
      <c r="AJ79" s="447"/>
    </row>
    <row r="80" spans="9:36" ht="15.95" customHeight="1" thickBot="1" x14ac:dyDescent="0.25">
      <c r="I80" s="437"/>
      <c r="J80" s="437"/>
      <c r="K80" s="445" t="s">
        <v>779</v>
      </c>
      <c r="L80" s="779" t="s">
        <v>1083</v>
      </c>
      <c r="M80" s="456" t="s">
        <v>481</v>
      </c>
      <c r="N80" s="464" t="s">
        <v>780</v>
      </c>
      <c r="O80" s="446" t="s">
        <v>781</v>
      </c>
      <c r="R80" s="473" t="str">
        <f>IF(ISBLANK(N81),"",IF(O81+N81&lt;N83+O83,L82,L84))</f>
        <v/>
      </c>
      <c r="S80" s="466" t="str">
        <f ca="1">IFERROR(VLOOKUP(R80,$G$5:$J$28,3,FALSE),"")</f>
        <v/>
      </c>
      <c r="T80" s="967"/>
      <c r="W80" s="447"/>
      <c r="X80" s="473" t="str">
        <f>R80</f>
        <v/>
      </c>
      <c r="Y80" s="466" t="str">
        <f ca="1">IFERROR(VLOOKUP(X80,$G$5:$J$28,3,FALSE),"")</f>
        <v/>
      </c>
      <c r="Z80" s="967"/>
      <c r="AH80" s="441"/>
      <c r="AI80" s="441"/>
      <c r="AJ80" s="447"/>
    </row>
    <row r="81" spans="9:36" ht="15.95" customHeight="1" thickBot="1" x14ac:dyDescent="0.25">
      <c r="I81" s="437"/>
      <c r="J81" s="437"/>
      <c r="K81" s="447">
        <f>K76+1</f>
        <v>21</v>
      </c>
      <c r="L81" s="472">
        <v>19</v>
      </c>
      <c r="M81" s="465" t="str">
        <f ca="1">IFERROR(VLOOKUP(L82,$G$5:$J$28,2,FALSE),"")</f>
        <v/>
      </c>
      <c r="N81" s="966"/>
      <c r="O81" s="780"/>
      <c r="Q81" s="447"/>
      <c r="R81" s="437"/>
      <c r="S81" s="437"/>
      <c r="T81" s="451"/>
      <c r="W81" s="447"/>
      <c r="X81" s="441"/>
      <c r="Y81" s="441"/>
      <c r="AH81" s="441"/>
      <c r="AI81" s="441"/>
      <c r="AJ81" s="447"/>
    </row>
    <row r="82" spans="9:36" ht="15.95" customHeight="1" thickBot="1" x14ac:dyDescent="0.25">
      <c r="I82" s="437"/>
      <c r="J82" s="437"/>
      <c r="K82" s="447"/>
      <c r="L82" s="473" t="str">
        <f ca="1">VLOOKUP(L81,$A$5:$G$28,7,FALSE)</f>
        <v/>
      </c>
      <c r="M82" s="466" t="str">
        <f ca="1">IFERROR(VLOOKUP(L82,$G$5:$J$28,3,FALSE),"")</f>
        <v/>
      </c>
      <c r="N82" s="967"/>
      <c r="P82" s="450"/>
      <c r="T82" s="451"/>
      <c r="U82" s="450"/>
      <c r="AH82" s="441"/>
      <c r="AI82" s="441"/>
      <c r="AJ82" s="450"/>
    </row>
    <row r="83" spans="9:36" ht="15.95" customHeight="1" thickBot="1" x14ac:dyDescent="0.25">
      <c r="I83" s="437"/>
      <c r="J83" s="437"/>
      <c r="K83" s="447">
        <f>K81+1</f>
        <v>22</v>
      </c>
      <c r="L83" s="472">
        <v>22</v>
      </c>
      <c r="M83" s="465" t="str">
        <f ca="1">IFERROR(VLOOKUP(L84,$G$5:$J$28,2,FALSE),"")</f>
        <v/>
      </c>
      <c r="N83" s="966"/>
      <c r="O83" s="780"/>
      <c r="P83" s="445"/>
      <c r="T83" s="451"/>
      <c r="U83" s="450"/>
      <c r="V83" s="450"/>
      <c r="AB83" s="816"/>
      <c r="AC83" s="816"/>
      <c r="AH83" s="441"/>
      <c r="AI83" s="441"/>
      <c r="AJ83" s="445"/>
    </row>
    <row r="84" spans="9:36" ht="15.95" customHeight="1" thickBot="1" x14ac:dyDescent="0.25">
      <c r="I84" s="437"/>
      <c r="J84" s="437"/>
      <c r="K84" s="447"/>
      <c r="L84" s="473" t="str">
        <f ca="1">VLOOKUP(L83,$A$5:$G$28,7,FALSE)</f>
        <v/>
      </c>
      <c r="M84" s="466" t="str">
        <f ca="1">IFERROR(VLOOKUP(L84,$G$5:$J$28,3,FALSE),"")</f>
        <v/>
      </c>
      <c r="N84" s="967"/>
      <c r="T84" s="451"/>
      <c r="U84" s="450"/>
      <c r="V84" s="450"/>
      <c r="AB84" s="816"/>
      <c r="AC84" s="816"/>
      <c r="AH84" s="441"/>
      <c r="AI84" s="441"/>
      <c r="AJ84" s="447"/>
    </row>
    <row r="85" spans="9:36" ht="15.95" customHeight="1" x14ac:dyDescent="0.2">
      <c r="I85" s="437"/>
      <c r="J85" s="437"/>
      <c r="T85" s="451"/>
      <c r="U85" s="450"/>
      <c r="V85" s="450"/>
      <c r="AB85" s="816"/>
      <c r="AC85" s="816"/>
      <c r="AH85" s="441"/>
      <c r="AI85" s="441"/>
      <c r="AJ85" s="447"/>
    </row>
    <row r="86" spans="9:36" ht="15.95" customHeight="1" x14ac:dyDescent="0.2">
      <c r="K86" s="447"/>
      <c r="L86" s="516"/>
      <c r="M86" s="516"/>
      <c r="N86" s="457"/>
      <c r="O86" s="443"/>
      <c r="P86" s="778"/>
      <c r="Q86" s="450"/>
      <c r="R86" s="437"/>
      <c r="S86" s="437"/>
      <c r="T86" s="451"/>
      <c r="U86" s="450"/>
      <c r="V86" s="450"/>
      <c r="W86" s="450"/>
      <c r="X86" s="516"/>
      <c r="Y86" s="516"/>
      <c r="Z86" s="815"/>
      <c r="AA86" s="778"/>
      <c r="AB86" s="816"/>
      <c r="AC86" s="816"/>
      <c r="AH86" s="441"/>
      <c r="AI86" s="441"/>
      <c r="AJ86" s="441"/>
    </row>
    <row r="87" spans="9:36" ht="15.95" customHeight="1" x14ac:dyDescent="0.2">
      <c r="K87" s="447"/>
      <c r="L87" s="516"/>
      <c r="M87" s="516"/>
      <c r="N87" s="457"/>
      <c r="P87" s="778"/>
      <c r="Q87" s="450"/>
      <c r="R87" s="516"/>
      <c r="S87" s="883"/>
      <c r="T87" s="451"/>
      <c r="U87" s="450"/>
      <c r="V87" s="450"/>
      <c r="W87" s="450"/>
      <c r="X87" s="516"/>
      <c r="Y87" s="516"/>
      <c r="Z87" s="815"/>
      <c r="AA87" s="778"/>
      <c r="AB87" s="816"/>
      <c r="AC87" s="816"/>
      <c r="AH87" s="441"/>
      <c r="AI87" s="441"/>
      <c r="AJ87" s="441"/>
    </row>
    <row r="88" spans="9:36" ht="15.95" customHeight="1" x14ac:dyDescent="0.2">
      <c r="K88" s="450"/>
      <c r="L88" s="437"/>
      <c r="M88" s="437"/>
      <c r="N88" s="451"/>
      <c r="O88" s="450"/>
      <c r="P88" s="450"/>
      <c r="Q88" s="450"/>
      <c r="R88" s="516"/>
      <c r="S88" s="883"/>
      <c r="T88" s="451"/>
      <c r="U88" s="450"/>
      <c r="V88" s="450"/>
      <c r="W88" s="450"/>
      <c r="X88" s="516"/>
      <c r="Y88" s="516"/>
      <c r="Z88" s="815"/>
      <c r="AA88" s="778"/>
      <c r="AB88" s="816"/>
      <c r="AC88" s="816"/>
    </row>
    <row r="89" spans="9:36" ht="15.95" customHeight="1" x14ac:dyDescent="0.2">
      <c r="K89" s="450"/>
      <c r="L89" s="516"/>
      <c r="M89" s="516"/>
      <c r="N89" s="457"/>
      <c r="P89" s="778"/>
      <c r="Q89" s="450"/>
      <c r="R89" s="516"/>
      <c r="S89" s="883"/>
      <c r="T89" s="457"/>
      <c r="U89" s="778"/>
      <c r="V89" s="450"/>
      <c r="W89" s="450"/>
      <c r="X89" s="516"/>
      <c r="Y89" s="516"/>
      <c r="Z89" s="457"/>
      <c r="AA89" s="778"/>
      <c r="AB89" s="816"/>
      <c r="AC89" s="816"/>
    </row>
    <row r="90" spans="9:36" ht="15.95" customHeight="1" x14ac:dyDescent="0.2">
      <c r="K90" s="445"/>
      <c r="L90" s="914"/>
      <c r="O90" s="445"/>
      <c r="P90" s="445"/>
      <c r="Q90" s="445"/>
      <c r="R90" s="914"/>
      <c r="S90" s="435"/>
      <c r="U90" s="445"/>
      <c r="V90" s="445"/>
      <c r="W90" s="445"/>
      <c r="X90" s="914"/>
      <c r="AA90" s="445"/>
    </row>
    <row r="91" spans="9:36" ht="15.95" customHeight="1" x14ac:dyDescent="0.2">
      <c r="K91" s="445"/>
      <c r="L91" s="914"/>
      <c r="O91" s="445"/>
      <c r="P91" s="445"/>
      <c r="Q91" s="445"/>
      <c r="R91" s="914"/>
      <c r="S91" s="435"/>
      <c r="U91" s="445"/>
      <c r="V91" s="445"/>
      <c r="W91" s="445"/>
      <c r="X91" s="914"/>
      <c r="AA91" s="445"/>
    </row>
    <row r="92" spans="9:36" ht="15.95" customHeight="1" x14ac:dyDescent="0.2">
      <c r="K92" s="445"/>
      <c r="L92" s="914"/>
      <c r="O92" s="445"/>
      <c r="P92" s="445"/>
      <c r="Q92" s="445"/>
      <c r="R92" s="914"/>
      <c r="S92" s="435"/>
      <c r="U92" s="445"/>
      <c r="V92" s="445"/>
      <c r="W92" s="445"/>
      <c r="X92" s="914"/>
      <c r="AA92" s="445"/>
    </row>
    <row r="93" spans="9:36" ht="15.95" customHeight="1" x14ac:dyDescent="0.2">
      <c r="K93" s="435"/>
      <c r="P93" s="778"/>
      <c r="Q93" s="778"/>
      <c r="R93" s="778"/>
      <c r="S93" s="778"/>
      <c r="T93" s="815"/>
      <c r="U93" s="778"/>
      <c r="V93" s="778"/>
    </row>
    <row r="94" spans="9:36" ht="15.95" customHeight="1" x14ac:dyDescent="0.2">
      <c r="K94" s="435"/>
      <c r="P94" s="778"/>
      <c r="Q94" s="778"/>
      <c r="R94" s="778"/>
      <c r="S94" s="778"/>
      <c r="T94" s="815"/>
      <c r="U94" s="778"/>
      <c r="V94" s="778"/>
    </row>
    <row r="95" spans="9:36" ht="15.95" customHeight="1" x14ac:dyDescent="0.2">
      <c r="K95" s="435"/>
      <c r="S95" s="450"/>
    </row>
    <row r="96" spans="9:36" ht="15.95" customHeight="1" x14ac:dyDescent="0.2">
      <c r="K96" s="435"/>
      <c r="S96" s="450"/>
    </row>
    <row r="97" ht="15.95" customHeight="1" x14ac:dyDescent="0.2"/>
    <row r="98" ht="15.95" customHeight="1" x14ac:dyDescent="0.2"/>
    <row r="99" ht="15.95" customHeight="1" x14ac:dyDescent="0.2"/>
    <row r="100" ht="15.95" customHeight="1" x14ac:dyDescent="0.2"/>
    <row r="101" ht="15.95" customHeight="1" x14ac:dyDescent="0.2"/>
    <row r="102" ht="15.95" customHeight="1" x14ac:dyDescent="0.2"/>
    <row r="103" ht="15.95" customHeight="1" x14ac:dyDescent="0.2"/>
    <row r="104" ht="15.95" customHeight="1" x14ac:dyDescent="0.2"/>
    <row r="105" ht="15.95" customHeight="1" x14ac:dyDescent="0.2"/>
    <row r="106" ht="15.95" customHeight="1" x14ac:dyDescent="0.2"/>
    <row r="107" ht="15.95" customHeight="1" x14ac:dyDescent="0.2"/>
    <row r="108" ht="15.95" customHeight="1" x14ac:dyDescent="0.2"/>
    <row r="109" ht="15.95" customHeight="1" x14ac:dyDescent="0.2"/>
    <row r="110" ht="15.95" customHeight="1" x14ac:dyDescent="0.2"/>
    <row r="111" ht="15.95" customHeight="1" x14ac:dyDescent="0.2"/>
    <row r="112" ht="15.95" customHeight="1" x14ac:dyDescent="0.2"/>
    <row r="113" ht="15.95" customHeight="1" x14ac:dyDescent="0.2"/>
    <row r="114" ht="15.95" customHeight="1" x14ac:dyDescent="0.2"/>
    <row r="115" ht="15.95" customHeight="1" x14ac:dyDescent="0.2"/>
    <row r="116" ht="15.95" customHeight="1" x14ac:dyDescent="0.2"/>
    <row r="117" ht="15.95" customHeight="1" x14ac:dyDescent="0.2"/>
    <row r="118" ht="15.95" customHeight="1" x14ac:dyDescent="0.2"/>
    <row r="119" ht="15.95" customHeight="1" x14ac:dyDescent="0.2"/>
    <row r="120" ht="15.95" customHeight="1" x14ac:dyDescent="0.2"/>
    <row r="121" ht="15.95" customHeight="1" x14ac:dyDescent="0.2"/>
    <row r="122" ht="15.95" customHeight="1" x14ac:dyDescent="0.2"/>
    <row r="123" ht="15.95" customHeight="1" x14ac:dyDescent="0.2"/>
    <row r="124" ht="15.95" customHeight="1" x14ac:dyDescent="0.2"/>
    <row r="125" ht="15.95" customHeight="1" x14ac:dyDescent="0.2"/>
    <row r="126" ht="15.95" customHeight="1" x14ac:dyDescent="0.2"/>
    <row r="127" ht="15.95" customHeight="1" x14ac:dyDescent="0.2"/>
    <row r="128" ht="15.95" customHeight="1" x14ac:dyDescent="0.2"/>
    <row r="129" ht="15.95" customHeight="1" x14ac:dyDescent="0.2"/>
    <row r="130" ht="15.95" customHeight="1" x14ac:dyDescent="0.2"/>
    <row r="131" ht="15.95" customHeight="1" x14ac:dyDescent="0.2"/>
    <row r="132" ht="15.95" customHeight="1" x14ac:dyDescent="0.2"/>
    <row r="133" ht="15.95" customHeight="1" x14ac:dyDescent="0.2"/>
    <row r="134" ht="15.95" customHeight="1" x14ac:dyDescent="0.2"/>
    <row r="135" ht="15.95" customHeight="1" x14ac:dyDescent="0.2"/>
    <row r="136" ht="15.95" customHeight="1" x14ac:dyDescent="0.2"/>
    <row r="137" ht="15.95" customHeight="1" x14ac:dyDescent="0.2"/>
    <row r="138" ht="15.95" customHeight="1" x14ac:dyDescent="0.2"/>
    <row r="139" ht="15.95" customHeight="1" x14ac:dyDescent="0.2"/>
    <row r="140" ht="15.95" customHeight="1" x14ac:dyDescent="0.2"/>
    <row r="141" ht="15.95" customHeight="1" x14ac:dyDescent="0.2"/>
    <row r="142" ht="15.95" customHeight="1" x14ac:dyDescent="0.2"/>
    <row r="143" ht="15.95" customHeight="1" x14ac:dyDescent="0.2"/>
    <row r="144" ht="15.95" customHeight="1" x14ac:dyDescent="0.2"/>
    <row r="145" ht="15.95" customHeight="1" x14ac:dyDescent="0.2"/>
    <row r="146" ht="15.95" customHeight="1" x14ac:dyDescent="0.2"/>
    <row r="147" ht="15.95" customHeight="1" x14ac:dyDescent="0.2"/>
    <row r="148" ht="15.95" customHeight="1" x14ac:dyDescent="0.2"/>
  </sheetData>
  <sheetProtection selectLockedCells="1"/>
  <mergeCells count="95">
    <mergeCell ref="N81:N82"/>
    <mergeCell ref="N83:N84"/>
    <mergeCell ref="N68:N69"/>
    <mergeCell ref="X68:Z68"/>
    <mergeCell ref="N70:N71"/>
    <mergeCell ref="Z70:Z71"/>
    <mergeCell ref="X75:Z75"/>
    <mergeCell ref="T77:T78"/>
    <mergeCell ref="Z77:Z78"/>
    <mergeCell ref="Z72:Z73"/>
    <mergeCell ref="N76:N77"/>
    <mergeCell ref="T79:T80"/>
    <mergeCell ref="Z79:Z80"/>
    <mergeCell ref="T70:T71"/>
    <mergeCell ref="T72:T73"/>
    <mergeCell ref="N63:N64"/>
    <mergeCell ref="T63:T64"/>
    <mergeCell ref="Z63:Z64"/>
    <mergeCell ref="T65:T66"/>
    <mergeCell ref="Z65:Z66"/>
    <mergeCell ref="N58:N59"/>
    <mergeCell ref="T58:T59"/>
    <mergeCell ref="Z58:Z59"/>
    <mergeCell ref="L61:N61"/>
    <mergeCell ref="R61:T61"/>
    <mergeCell ref="X61:Z61"/>
    <mergeCell ref="N51:N52"/>
    <mergeCell ref="T51:T52"/>
    <mergeCell ref="Z51:Z52"/>
    <mergeCell ref="X54:Z54"/>
    <mergeCell ref="N56:N57"/>
    <mergeCell ref="T56:T57"/>
    <mergeCell ref="Z56:Z57"/>
    <mergeCell ref="N49:N50"/>
    <mergeCell ref="T49:T50"/>
    <mergeCell ref="Z49:Z50"/>
    <mergeCell ref="N37:N38"/>
    <mergeCell ref="T37:T38"/>
    <mergeCell ref="Z37:Z38"/>
    <mergeCell ref="X40:Z40"/>
    <mergeCell ref="N42:N43"/>
    <mergeCell ref="T42:T43"/>
    <mergeCell ref="Z42:Z43"/>
    <mergeCell ref="N44:N45"/>
    <mergeCell ref="T44:T45"/>
    <mergeCell ref="Z44:Z45"/>
    <mergeCell ref="R47:T47"/>
    <mergeCell ref="X47:Z47"/>
    <mergeCell ref="L33:N33"/>
    <mergeCell ref="R33:T33"/>
    <mergeCell ref="X33:Z33"/>
    <mergeCell ref="N35:N36"/>
    <mergeCell ref="T35:T36"/>
    <mergeCell ref="Z35:Z36"/>
    <mergeCell ref="X26:Z26"/>
    <mergeCell ref="N28:N29"/>
    <mergeCell ref="T28:T29"/>
    <mergeCell ref="Z28:Z29"/>
    <mergeCell ref="N30:N31"/>
    <mergeCell ref="T30:T31"/>
    <mergeCell ref="Z30:Z31"/>
    <mergeCell ref="N23:N24"/>
    <mergeCell ref="T23:T24"/>
    <mergeCell ref="Z23:Z24"/>
    <mergeCell ref="X12:Z12"/>
    <mergeCell ref="N14:N15"/>
    <mergeCell ref="T14:T15"/>
    <mergeCell ref="Z14:Z15"/>
    <mergeCell ref="N16:N17"/>
    <mergeCell ref="T16:T17"/>
    <mergeCell ref="Z16:Z17"/>
    <mergeCell ref="R19:T19"/>
    <mergeCell ref="X19:Z19"/>
    <mergeCell ref="N21:N22"/>
    <mergeCell ref="T21:T22"/>
    <mergeCell ref="Z21:Z22"/>
    <mergeCell ref="N7:N8"/>
    <mergeCell ref="T7:T8"/>
    <mergeCell ref="Z7:Z8"/>
    <mergeCell ref="N9:N10"/>
    <mergeCell ref="T9:T10"/>
    <mergeCell ref="Z9:Z10"/>
    <mergeCell ref="K4:N4"/>
    <mergeCell ref="Q4:T4"/>
    <mergeCell ref="W4:Z4"/>
    <mergeCell ref="AH4:AJ5"/>
    <mergeCell ref="L5:N5"/>
    <mergeCell ref="R5:T5"/>
    <mergeCell ref="X5:Z5"/>
    <mergeCell ref="K1:AA1"/>
    <mergeCell ref="AF1:AJ1"/>
    <mergeCell ref="K2:Z2"/>
    <mergeCell ref="AF2:AJ2"/>
    <mergeCell ref="N3:X3"/>
    <mergeCell ref="AF3:AJ3"/>
  </mergeCells>
  <conditionalFormatting sqref="O7:O8">
    <cfRule type="expression" priority="296" stopIfTrue="1">
      <formula>IF(N7="",1)</formula>
    </cfRule>
    <cfRule type="expression" dxfId="780" priority="298">
      <formula>IF(N7=N9,1,0)</formula>
    </cfRule>
  </conditionalFormatting>
  <conditionalFormatting sqref="O9">
    <cfRule type="expression" priority="295" stopIfTrue="1">
      <formula>IF(N9="",1,0)</formula>
    </cfRule>
    <cfRule type="expression" dxfId="779" priority="297">
      <formula>IF(N7=N9,1,0)</formula>
    </cfRule>
  </conditionalFormatting>
  <conditionalFormatting sqref="S7">
    <cfRule type="expression" dxfId="778" priority="294">
      <formula>IF(T7+U7&gt;T9+U9,1,0)</formula>
    </cfRule>
  </conditionalFormatting>
  <conditionalFormatting sqref="S9">
    <cfRule type="expression" dxfId="777" priority="293">
      <formula>IF(T9+U9&gt;T11+U11,1,0)</formula>
    </cfRule>
  </conditionalFormatting>
  <conditionalFormatting sqref="S14">
    <cfRule type="expression" dxfId="776" priority="292">
      <formula>IF(T14+U14&gt;T16+U16,1,0)</formula>
    </cfRule>
  </conditionalFormatting>
  <conditionalFormatting sqref="S16">
    <cfRule type="expression" dxfId="775" priority="291">
      <formula>IF(T16+U16&gt;T18+U18,1,0)</formula>
    </cfRule>
  </conditionalFormatting>
  <conditionalFormatting sqref="S21">
    <cfRule type="expression" dxfId="774" priority="290">
      <formula>IF(T21+U21&gt;T23+U23,1,0)</formula>
    </cfRule>
  </conditionalFormatting>
  <conditionalFormatting sqref="S23">
    <cfRule type="expression" dxfId="773" priority="289">
      <formula>IF(T23+U23&gt;T25+U25,1,0)</formula>
    </cfRule>
  </conditionalFormatting>
  <conditionalFormatting sqref="O14:O15">
    <cfRule type="expression" priority="286" stopIfTrue="1">
      <formula>IF(N14="",1)</formula>
    </cfRule>
    <cfRule type="expression" dxfId="772" priority="288">
      <formula>IF(N14=N16,1,0)</formula>
    </cfRule>
  </conditionalFormatting>
  <conditionalFormatting sqref="O16">
    <cfRule type="expression" priority="285" stopIfTrue="1">
      <formula>IF(N16="",1,0)</formula>
    </cfRule>
    <cfRule type="expression" dxfId="771" priority="287">
      <formula>IF(N14=N16,1,0)</formula>
    </cfRule>
  </conditionalFormatting>
  <conditionalFormatting sqref="O21:O22">
    <cfRule type="expression" priority="282" stopIfTrue="1">
      <formula>IF(N21="",1)</formula>
    </cfRule>
    <cfRule type="expression" dxfId="770" priority="284">
      <formula>IF(N21=N23,1,0)</formula>
    </cfRule>
  </conditionalFormatting>
  <conditionalFormatting sqref="O23">
    <cfRule type="expression" priority="281" stopIfTrue="1">
      <formula>IF(N23="",1,0)</formula>
    </cfRule>
    <cfRule type="expression" dxfId="769" priority="283">
      <formula>IF(N21=N23,1,0)</formula>
    </cfRule>
  </conditionalFormatting>
  <conditionalFormatting sqref="O28:O29">
    <cfRule type="expression" priority="278" stopIfTrue="1">
      <formula>IF(N28="",1)</formula>
    </cfRule>
    <cfRule type="expression" dxfId="768" priority="280">
      <formula>IF(N28=N30,1,0)</formula>
    </cfRule>
  </conditionalFormatting>
  <conditionalFormatting sqref="O30">
    <cfRule type="expression" priority="277" stopIfTrue="1">
      <formula>IF(N30="",1,0)</formula>
    </cfRule>
    <cfRule type="expression" dxfId="767" priority="279">
      <formula>IF(N28=N30,1,0)</formula>
    </cfRule>
  </conditionalFormatting>
  <conditionalFormatting sqref="U7:U8">
    <cfRule type="expression" priority="274" stopIfTrue="1">
      <formula>IF(T7="",1)</formula>
    </cfRule>
    <cfRule type="expression" dxfId="766" priority="276">
      <formula>IF(T7=T9,1,0)</formula>
    </cfRule>
  </conditionalFormatting>
  <conditionalFormatting sqref="U9">
    <cfRule type="expression" priority="273" stopIfTrue="1">
      <formula>IF(T9="",1,0)</formula>
    </cfRule>
    <cfRule type="expression" dxfId="765" priority="275">
      <formula>IF(T7=T9,1,0)</formula>
    </cfRule>
  </conditionalFormatting>
  <conditionalFormatting sqref="U14:U15">
    <cfRule type="expression" priority="270" stopIfTrue="1">
      <formula>IF(T14="",1)</formula>
    </cfRule>
    <cfRule type="expression" dxfId="764" priority="272">
      <formula>IF(T14=T16,1,0)</formula>
    </cfRule>
  </conditionalFormatting>
  <conditionalFormatting sqref="U16">
    <cfRule type="expression" priority="269" stopIfTrue="1">
      <formula>IF(T16="",1,0)</formula>
    </cfRule>
    <cfRule type="expression" dxfId="763" priority="271">
      <formula>IF(T14=T16,1,0)</formula>
    </cfRule>
  </conditionalFormatting>
  <conditionalFormatting sqref="U21:U22">
    <cfRule type="expression" priority="266" stopIfTrue="1">
      <formula>IF(T21="",1)</formula>
    </cfRule>
    <cfRule type="expression" dxfId="762" priority="268">
      <formula>IF(T21=T23,1,0)</formula>
    </cfRule>
  </conditionalFormatting>
  <conditionalFormatting sqref="U23">
    <cfRule type="expression" priority="265" stopIfTrue="1">
      <formula>IF(T23="",1,0)</formula>
    </cfRule>
    <cfRule type="expression" dxfId="761" priority="267">
      <formula>IF(T21=T23,1,0)</formula>
    </cfRule>
  </conditionalFormatting>
  <conditionalFormatting sqref="U28:U29">
    <cfRule type="expression" priority="262" stopIfTrue="1">
      <formula>IF(T28="",1)</formula>
    </cfRule>
    <cfRule type="expression" dxfId="760" priority="264">
      <formula>IF(T28=T30,1,0)</formula>
    </cfRule>
  </conditionalFormatting>
  <conditionalFormatting sqref="U30">
    <cfRule type="expression" priority="261" stopIfTrue="1">
      <formula>IF(T30="",1,0)</formula>
    </cfRule>
    <cfRule type="expression" dxfId="759" priority="263">
      <formula>IF(T28=T30,1,0)</formula>
    </cfRule>
  </conditionalFormatting>
  <conditionalFormatting sqref="AA7:AA8">
    <cfRule type="expression" priority="258" stopIfTrue="1">
      <formula>IF(Z7="",1)</formula>
    </cfRule>
    <cfRule type="expression" dxfId="758" priority="260">
      <formula>IF(Z7=Z9,1,0)</formula>
    </cfRule>
  </conditionalFormatting>
  <conditionalFormatting sqref="AA9">
    <cfRule type="expression" priority="257" stopIfTrue="1">
      <formula>IF(Z9="",1,0)</formula>
    </cfRule>
    <cfRule type="expression" dxfId="757" priority="259">
      <formula>IF(Z7=Z9,1,0)</formula>
    </cfRule>
  </conditionalFormatting>
  <conditionalFormatting sqref="AA14:AA15">
    <cfRule type="expression" priority="254" stopIfTrue="1">
      <formula>IF(Z14="",1)</formula>
    </cfRule>
    <cfRule type="expression" dxfId="756" priority="256">
      <formula>IF(Z14=Z16,1,0)</formula>
    </cfRule>
  </conditionalFormatting>
  <conditionalFormatting sqref="AA16">
    <cfRule type="expression" priority="253" stopIfTrue="1">
      <formula>IF(Z16="",1,0)</formula>
    </cfRule>
    <cfRule type="expression" dxfId="755" priority="255">
      <formula>IF(Z14=Z16,1,0)</formula>
    </cfRule>
  </conditionalFormatting>
  <conditionalFormatting sqref="AA21:AA22">
    <cfRule type="expression" priority="250" stopIfTrue="1">
      <formula>IF(Z21="",1)</formula>
    </cfRule>
    <cfRule type="expression" dxfId="754" priority="252">
      <formula>IF(Z21=Z23,1,0)</formula>
    </cfRule>
  </conditionalFormatting>
  <conditionalFormatting sqref="AA23">
    <cfRule type="expression" priority="249" stopIfTrue="1">
      <formula>IF(Z23="",1,0)</formula>
    </cfRule>
    <cfRule type="expression" dxfId="753" priority="251">
      <formula>IF(Z21=Z23,1,0)</formula>
    </cfRule>
  </conditionalFormatting>
  <conditionalFormatting sqref="AA28:AA29">
    <cfRule type="expression" priority="246" stopIfTrue="1">
      <formula>IF(Z28="",1)</formula>
    </cfRule>
    <cfRule type="expression" dxfId="752" priority="248">
      <formula>IF(Z28=Z30,1,0)</formula>
    </cfRule>
  </conditionalFormatting>
  <conditionalFormatting sqref="AA30">
    <cfRule type="expression" priority="245" stopIfTrue="1">
      <formula>IF(Z30="",1,0)</formula>
    </cfRule>
    <cfRule type="expression" dxfId="751" priority="247">
      <formula>IF(Z28=Z30,1,0)</formula>
    </cfRule>
  </conditionalFormatting>
  <conditionalFormatting sqref="M14">
    <cfRule type="expression" dxfId="750" priority="244">
      <formula>IF(N14+O14&gt;N16+O16,1,0)</formula>
    </cfRule>
  </conditionalFormatting>
  <conditionalFormatting sqref="M16">
    <cfRule type="expression" dxfId="749" priority="243">
      <formula>IF(N16+O16&gt;N18+O18,1,0)</formula>
    </cfRule>
  </conditionalFormatting>
  <conditionalFormatting sqref="M21">
    <cfRule type="expression" dxfId="748" priority="242">
      <formula>IF(N21+O21&gt;N23+O23,1,0)</formula>
    </cfRule>
  </conditionalFormatting>
  <conditionalFormatting sqref="M23">
    <cfRule type="expression" dxfId="747" priority="241">
      <formula>IF(N23+O23&gt;N25+O25,1,0)</formula>
    </cfRule>
  </conditionalFormatting>
  <conditionalFormatting sqref="M28">
    <cfRule type="expression" dxfId="746" priority="240">
      <formula>IF(N28+O28&gt;N30+O30,1,0)</formula>
    </cfRule>
  </conditionalFormatting>
  <conditionalFormatting sqref="M30">
    <cfRule type="expression" dxfId="745" priority="239">
      <formula>IF(N30+O30&gt;N32+O32,1,0)</formula>
    </cfRule>
  </conditionalFormatting>
  <conditionalFormatting sqref="M7">
    <cfRule type="expression" dxfId="744" priority="238">
      <formula>IF(N7+O7&gt;N9+O9,1,0)</formula>
    </cfRule>
  </conditionalFormatting>
  <conditionalFormatting sqref="M9">
    <cfRule type="expression" dxfId="743" priority="237">
      <formula>IF(N9+O9&gt;N11+O11,1,0)</formula>
    </cfRule>
  </conditionalFormatting>
  <conditionalFormatting sqref="O35:O36">
    <cfRule type="expression" priority="234" stopIfTrue="1">
      <formula>IF(N35="",1)</formula>
    </cfRule>
    <cfRule type="expression" dxfId="742" priority="236">
      <formula>IF(N35=N37,1,0)</formula>
    </cfRule>
  </conditionalFormatting>
  <conditionalFormatting sqref="O37">
    <cfRule type="expression" priority="233" stopIfTrue="1">
      <formula>IF(N37="",1,0)</formula>
    </cfRule>
    <cfRule type="expression" dxfId="741" priority="235">
      <formula>IF(N35=N37,1,0)</formula>
    </cfRule>
  </conditionalFormatting>
  <conditionalFormatting sqref="O42:O43">
    <cfRule type="expression" priority="230" stopIfTrue="1">
      <formula>IF(N42="",1)</formula>
    </cfRule>
    <cfRule type="expression" dxfId="740" priority="232">
      <formula>IF(N42=N44,1,0)</formula>
    </cfRule>
  </conditionalFormatting>
  <conditionalFormatting sqref="O44">
    <cfRule type="expression" priority="229" stopIfTrue="1">
      <formula>IF(N44="",1,0)</formula>
    </cfRule>
    <cfRule type="expression" dxfId="739" priority="231">
      <formula>IF(N42=N44,1,0)</formula>
    </cfRule>
  </conditionalFormatting>
  <conditionalFormatting sqref="O49:O50">
    <cfRule type="expression" priority="226" stopIfTrue="1">
      <formula>IF(N49="",1)</formula>
    </cfRule>
    <cfRule type="expression" dxfId="738" priority="228">
      <formula>IF(N49=N51,1,0)</formula>
    </cfRule>
  </conditionalFormatting>
  <conditionalFormatting sqref="O51">
    <cfRule type="expression" priority="225" stopIfTrue="1">
      <formula>IF(N51="",1,0)</formula>
    </cfRule>
    <cfRule type="expression" dxfId="737" priority="227">
      <formula>IF(N49=N51,1,0)</formula>
    </cfRule>
  </conditionalFormatting>
  <conditionalFormatting sqref="O56:O57">
    <cfRule type="expression" priority="222" stopIfTrue="1">
      <formula>IF(N56="",1)</formula>
    </cfRule>
    <cfRule type="expression" dxfId="736" priority="224">
      <formula>IF(N56=N58,1,0)</formula>
    </cfRule>
  </conditionalFormatting>
  <conditionalFormatting sqref="O58">
    <cfRule type="expression" priority="221" stopIfTrue="1">
      <formula>IF(N58="",1,0)</formula>
    </cfRule>
    <cfRule type="expression" dxfId="735" priority="223">
      <formula>IF(N56=N58,1,0)</formula>
    </cfRule>
  </conditionalFormatting>
  <conditionalFormatting sqref="M42">
    <cfRule type="expression" dxfId="734" priority="188">
      <formula>IF(N42+O42&gt;N44+O44,1,0)</formula>
    </cfRule>
  </conditionalFormatting>
  <conditionalFormatting sqref="M44">
    <cfRule type="expression" dxfId="733" priority="187">
      <formula>IF(N44+O44&gt;N46+O46,1,0)</formula>
    </cfRule>
  </conditionalFormatting>
  <conditionalFormatting sqref="M49">
    <cfRule type="expression" dxfId="732" priority="186">
      <formula>IF(N49+O49&gt;N51+O51,1,0)</formula>
    </cfRule>
  </conditionalFormatting>
  <conditionalFormatting sqref="M51">
    <cfRule type="expression" dxfId="731" priority="185">
      <formula>IF(N51+O51&gt;N53+O53,1,0)</formula>
    </cfRule>
  </conditionalFormatting>
  <conditionalFormatting sqref="M56">
    <cfRule type="expression" dxfId="730" priority="184">
      <formula>IF(N56+O56&gt;N58+O58,1,0)</formula>
    </cfRule>
  </conditionalFormatting>
  <conditionalFormatting sqref="M58">
    <cfRule type="expression" dxfId="729" priority="183">
      <formula>IF(N58+O58&gt;N60+O60,1,0)</formula>
    </cfRule>
  </conditionalFormatting>
  <conditionalFormatting sqref="Y7">
    <cfRule type="expression" dxfId="728" priority="182">
      <formula>IF(Z7+AA7&gt;Z9+AA9,1,0)</formula>
    </cfRule>
  </conditionalFormatting>
  <conditionalFormatting sqref="Y9">
    <cfRule type="expression" dxfId="727" priority="181">
      <formula>IF(Z7+AA7&lt;Z9+AA9,1,0)</formula>
    </cfRule>
  </conditionalFormatting>
  <conditionalFormatting sqref="Y14">
    <cfRule type="expression" dxfId="726" priority="180">
      <formula>IF(Z14+AA14&gt;Z16+AA16,1,0)</formula>
    </cfRule>
  </conditionalFormatting>
  <conditionalFormatting sqref="Y16">
    <cfRule type="expression" dxfId="725" priority="179">
      <formula>IF(Z14+AA14&lt;Z16+AA16,1,0)</formula>
    </cfRule>
  </conditionalFormatting>
  <conditionalFormatting sqref="Y21">
    <cfRule type="expression" dxfId="724" priority="178">
      <formula>IF(Z21+AA21&gt;Z23+AA23,1,0)</formula>
    </cfRule>
  </conditionalFormatting>
  <conditionalFormatting sqref="Y23">
    <cfRule type="expression" dxfId="723" priority="177">
      <formula>IF(Z21+AA21&lt;Z23+AA23,1,0)</formula>
    </cfRule>
  </conditionalFormatting>
  <conditionalFormatting sqref="Y28">
    <cfRule type="expression" dxfId="722" priority="176">
      <formula>IF(Z28+AA28&gt;Z30+AA30,1,0)</formula>
    </cfRule>
  </conditionalFormatting>
  <conditionalFormatting sqref="Y30">
    <cfRule type="expression" dxfId="721" priority="175">
      <formula>IF(Z28+AA28&lt;Z30+AA30,1,0)</formula>
    </cfRule>
  </conditionalFormatting>
  <conditionalFormatting sqref="S28">
    <cfRule type="expression" dxfId="720" priority="158">
      <formula>IF(T28+U28&gt;T30+U30,1,0)</formula>
    </cfRule>
  </conditionalFormatting>
  <conditionalFormatting sqref="S30">
    <cfRule type="expression" dxfId="719" priority="157">
      <formula>IF(T28+U28&lt;T30+U30,1,0)</formula>
    </cfRule>
  </conditionalFormatting>
  <conditionalFormatting sqref="M35">
    <cfRule type="expression" dxfId="718" priority="156">
      <formula>IF(N35+O35&gt;N37+O37,1,0)</formula>
    </cfRule>
  </conditionalFormatting>
  <conditionalFormatting sqref="M37">
    <cfRule type="expression" dxfId="717" priority="155">
      <formula>IF(N37+O37&gt;N39+O39,1,0)</formula>
    </cfRule>
  </conditionalFormatting>
  <conditionalFormatting sqref="O63">
    <cfRule type="expression" priority="109" stopIfTrue="1">
      <formula>IF(N63="",1)</formula>
    </cfRule>
    <cfRule type="expression" dxfId="716" priority="110">
      <formula>IF(N63=N65,1,0)</formula>
    </cfRule>
  </conditionalFormatting>
  <conditionalFormatting sqref="M63">
    <cfRule type="expression" dxfId="715" priority="108">
      <formula>IF(O64=1,1,0)</formula>
    </cfRule>
  </conditionalFormatting>
  <conditionalFormatting sqref="M76">
    <cfRule type="expression" dxfId="714" priority="107">
      <formula>IF(O77=1,1,0)</formula>
    </cfRule>
  </conditionalFormatting>
  <conditionalFormatting sqref="AA78">
    <cfRule type="expression" priority="99" stopIfTrue="1">
      <formula>IF(Z78="",1)</formula>
    </cfRule>
    <cfRule type="expression" dxfId="713" priority="100">
      <formula>IF(Z78=Z80,1,0)</formula>
    </cfRule>
  </conditionalFormatting>
  <conditionalFormatting sqref="AA70">
    <cfRule type="expression" priority="103" stopIfTrue="1">
      <formula>IF(Z70="",1)</formula>
    </cfRule>
    <cfRule type="expression" dxfId="712" priority="104">
      <formula>IF(Z70=Z72,1,0)</formula>
    </cfRule>
  </conditionalFormatting>
  <conditionalFormatting sqref="AA71">
    <cfRule type="expression" priority="105" stopIfTrue="1">
      <formula>IF(Z71="",1)</formula>
    </cfRule>
    <cfRule type="expression" dxfId="711" priority="106">
      <formula>IF(Z71=Z73,1,0)</formula>
    </cfRule>
  </conditionalFormatting>
  <conditionalFormatting sqref="AA72">
    <cfRule type="expression" priority="101" stopIfTrue="1">
      <formula>IF(Z72="",1)</formula>
    </cfRule>
    <cfRule type="expression" dxfId="710" priority="102">
      <formula>IF(Z72=Z70,1,0)</formula>
    </cfRule>
  </conditionalFormatting>
  <conditionalFormatting sqref="AA77">
    <cfRule type="expression" priority="97" stopIfTrue="1">
      <formula>IF(Z77="",1)</formula>
    </cfRule>
    <cfRule type="expression" dxfId="709" priority="98">
      <formula>IF(Z77=Z79,1,0)</formula>
    </cfRule>
  </conditionalFormatting>
  <conditionalFormatting sqref="AA79">
    <cfRule type="expression" priority="95" stopIfTrue="1">
      <formula>IF(Z79="",1)</formula>
    </cfRule>
    <cfRule type="expression" dxfId="708" priority="96">
      <formula>IF(Z79=Z77,1,0)</formula>
    </cfRule>
  </conditionalFormatting>
  <conditionalFormatting sqref="AA63">
    <cfRule type="expression" priority="91" stopIfTrue="1">
      <formula>IF(Z63="",1)</formula>
    </cfRule>
    <cfRule type="expression" dxfId="707" priority="92">
      <formula>IF(Z63=Z65,1,0)</formula>
    </cfRule>
  </conditionalFormatting>
  <conditionalFormatting sqref="AA64">
    <cfRule type="expression" priority="93" stopIfTrue="1">
      <formula>IF(Z64="",1)</formula>
    </cfRule>
    <cfRule type="expression" dxfId="706" priority="94">
      <formula>IF(Z64=Z66,1,0)</formula>
    </cfRule>
  </conditionalFormatting>
  <conditionalFormatting sqref="AA65">
    <cfRule type="expression" priority="89" stopIfTrue="1">
      <formula>IF(Z65="",1)</formula>
    </cfRule>
    <cfRule type="expression" dxfId="705" priority="90">
      <formula>IF(Z65=Z63,1,0)</formula>
    </cfRule>
  </conditionalFormatting>
  <conditionalFormatting sqref="M68">
    <cfRule type="expression" dxfId="704" priority="88">
      <formula>IF(N68+O68&gt;N70+O70,1,0)</formula>
    </cfRule>
  </conditionalFormatting>
  <conditionalFormatting sqref="M70">
    <cfRule type="expression" dxfId="703" priority="87">
      <formula>IF(N68+O68&lt;N70+O70,1,0)</formula>
    </cfRule>
  </conditionalFormatting>
  <conditionalFormatting sqref="O68">
    <cfRule type="expression" priority="83" stopIfTrue="1">
      <formula>IF(N68="",1)</formula>
    </cfRule>
    <cfRule type="expression" dxfId="702" priority="84">
      <formula>IF(N68=N70,1,0)</formula>
    </cfRule>
  </conditionalFormatting>
  <conditionalFormatting sqref="O69">
    <cfRule type="expression" priority="85" stopIfTrue="1">
      <formula>IF(N69="",1)</formula>
    </cfRule>
    <cfRule type="expression" dxfId="701" priority="86">
      <formula>IF(N69=N71,1,0)</formula>
    </cfRule>
  </conditionalFormatting>
  <conditionalFormatting sqref="O70">
    <cfRule type="expression" priority="81" stopIfTrue="1">
      <formula>IF(N70="",1)</formula>
    </cfRule>
    <cfRule type="expression" dxfId="700" priority="82">
      <formula>IF(N70=N68,1,0)</formula>
    </cfRule>
  </conditionalFormatting>
  <conditionalFormatting sqref="M81">
    <cfRule type="expression" dxfId="699" priority="80">
      <formula>IF(N81+O81&gt;N83+O83,1,0)</formula>
    </cfRule>
  </conditionalFormatting>
  <conditionalFormatting sqref="M83">
    <cfRule type="expression" dxfId="698" priority="79">
      <formula>IF(N81+O81&lt;N83+O83,1,0)</formula>
    </cfRule>
  </conditionalFormatting>
  <conditionalFormatting sqref="O81">
    <cfRule type="expression" priority="75" stopIfTrue="1">
      <formula>IF(N81="",1)</formula>
    </cfRule>
    <cfRule type="expression" dxfId="697" priority="76">
      <formula>IF(N81=N83,1,0)</formula>
    </cfRule>
  </conditionalFormatting>
  <conditionalFormatting sqref="O82">
    <cfRule type="expression" priority="77" stopIfTrue="1">
      <formula>IF(N82="",1)</formula>
    </cfRule>
    <cfRule type="expression" dxfId="696" priority="78">
      <formula>IF(N82=N84,1,0)</formula>
    </cfRule>
  </conditionalFormatting>
  <conditionalFormatting sqref="O83">
    <cfRule type="expression" priority="73" stopIfTrue="1">
      <formula>IF(N83="",1)</formula>
    </cfRule>
    <cfRule type="expression" dxfId="695" priority="74">
      <formula>IF(N83=N81,1,0)</formula>
    </cfRule>
  </conditionalFormatting>
  <conditionalFormatting sqref="O76">
    <cfRule type="expression" priority="111" stopIfTrue="1">
      <formula>IF(N76="",1)</formula>
    </cfRule>
    <cfRule type="expression" dxfId="694" priority="112">
      <formula>IF(N76=#REF!,1,0)</formula>
    </cfRule>
  </conditionalFormatting>
  <conditionalFormatting sqref="U63">
    <cfRule type="expression" priority="69" stopIfTrue="1">
      <formula>IF(T63="",1)</formula>
    </cfRule>
    <cfRule type="expression" dxfId="693" priority="70">
      <formula>IF(T63=T65,1,0)</formula>
    </cfRule>
  </conditionalFormatting>
  <conditionalFormatting sqref="U64">
    <cfRule type="expression" priority="71" stopIfTrue="1">
      <formula>IF(T64="",1)</formula>
    </cfRule>
    <cfRule type="expression" dxfId="692" priority="72">
      <formula>IF(T64=T66,1,0)</formula>
    </cfRule>
  </conditionalFormatting>
  <conditionalFormatting sqref="U65">
    <cfRule type="expression" priority="67" stopIfTrue="1">
      <formula>IF(T65="",1)</formula>
    </cfRule>
    <cfRule type="expression" dxfId="691" priority="68">
      <formula>IF(T65=T63,1,0)</formula>
    </cfRule>
  </conditionalFormatting>
  <conditionalFormatting sqref="U70">
    <cfRule type="expression" priority="63" stopIfTrue="1">
      <formula>IF(T70="",1)</formula>
    </cfRule>
    <cfRule type="expression" dxfId="690" priority="64">
      <formula>IF(T70=T72,1,0)</formula>
    </cfRule>
  </conditionalFormatting>
  <conditionalFormatting sqref="U71">
    <cfRule type="expression" priority="65" stopIfTrue="1">
      <formula>IF(T71="",1)</formula>
    </cfRule>
    <cfRule type="expression" dxfId="689" priority="66">
      <formula>IF(T71=T73,1,0)</formula>
    </cfRule>
  </conditionalFormatting>
  <conditionalFormatting sqref="U72">
    <cfRule type="expression" priority="61" stopIfTrue="1">
      <formula>IF(T72="",1)</formula>
    </cfRule>
    <cfRule type="expression" dxfId="688" priority="62">
      <formula>IF(T72=T70,1,0)</formula>
    </cfRule>
  </conditionalFormatting>
  <conditionalFormatting sqref="S70">
    <cfRule type="expression" dxfId="687" priority="60">
      <formula>IF(T70+U70&gt;T72+U72,1,0)</formula>
    </cfRule>
  </conditionalFormatting>
  <conditionalFormatting sqref="S72">
    <cfRule type="expression" dxfId="686" priority="59">
      <formula>IF(T72+U72&gt;T74+U74,1,0)</formula>
    </cfRule>
  </conditionalFormatting>
  <conditionalFormatting sqref="S77">
    <cfRule type="expression" dxfId="685" priority="58">
      <formula>IF(T77+U77&gt;T79+U79,1,0)</formula>
    </cfRule>
  </conditionalFormatting>
  <conditionalFormatting sqref="S79">
    <cfRule type="expression" dxfId="684" priority="57">
      <formula>IF(T79+U79&gt;T81+U81,1,0)</formula>
    </cfRule>
  </conditionalFormatting>
  <conditionalFormatting sqref="Y63">
    <cfRule type="expression" dxfId="683" priority="56">
      <formula>IF(Z63+AA63&gt;Z65+AA65,1,0)</formula>
    </cfRule>
  </conditionalFormatting>
  <conditionalFormatting sqref="Y65">
    <cfRule type="expression" dxfId="682" priority="55">
      <formula>IF(Z65+AA65&gt;Z67+AA67,1,0)</formula>
    </cfRule>
  </conditionalFormatting>
  <conditionalFormatting sqref="S63">
    <cfRule type="expression" dxfId="681" priority="54">
      <formula>IF(T63+U63&gt;T65+U65,1,0)</formula>
    </cfRule>
  </conditionalFormatting>
  <conditionalFormatting sqref="S65">
    <cfRule type="expression" dxfId="680" priority="53">
      <formula>IF(T63+U63&lt;T65+U65,1,0)</formula>
    </cfRule>
  </conditionalFormatting>
  <conditionalFormatting sqref="Y70">
    <cfRule type="expression" dxfId="679" priority="52">
      <formula>IF(Z70+AA70&gt;Z72+AA72,1,0)</formula>
    </cfRule>
  </conditionalFormatting>
  <conditionalFormatting sqref="Y72">
    <cfRule type="expression" dxfId="678" priority="51">
      <formula>IF(Z70+AA70&lt;Z72+AA72,1,0)</formula>
    </cfRule>
  </conditionalFormatting>
  <conditionalFormatting sqref="Y77">
    <cfRule type="expression" dxfId="677" priority="50">
      <formula>IF(Z77+AA77&gt;Z79+AA79,1,0)</formula>
    </cfRule>
  </conditionalFormatting>
  <conditionalFormatting sqref="Y79">
    <cfRule type="expression" dxfId="676" priority="49">
      <formula>IF(Z77+AA77&lt;Z79+AA79,1,0)</formula>
    </cfRule>
  </conditionalFormatting>
  <conditionalFormatting sqref="AA35:AA36">
    <cfRule type="expression" priority="46" stopIfTrue="1">
      <formula>IF(Z35="",1)</formula>
    </cfRule>
    <cfRule type="expression" dxfId="675" priority="48">
      <formula>IF(Z35=Z37,1,0)</formula>
    </cfRule>
  </conditionalFormatting>
  <conditionalFormatting sqref="AA37">
    <cfRule type="expression" priority="45" stopIfTrue="1">
      <formula>IF(Z37="",1,0)</formula>
    </cfRule>
    <cfRule type="expression" dxfId="674" priority="47">
      <formula>IF(Z35=Z37,1,0)</formula>
    </cfRule>
  </conditionalFormatting>
  <conditionalFormatting sqref="AA42:AA43">
    <cfRule type="expression" priority="42" stopIfTrue="1">
      <formula>IF(Z42="",1)</formula>
    </cfRule>
    <cfRule type="expression" dxfId="673" priority="44">
      <formula>IF(Z42=Z44,1,0)</formula>
    </cfRule>
  </conditionalFormatting>
  <conditionalFormatting sqref="AA44">
    <cfRule type="expression" priority="41" stopIfTrue="1">
      <formula>IF(Z44="",1,0)</formula>
    </cfRule>
    <cfRule type="expression" dxfId="672" priority="43">
      <formula>IF(Z42=Z44,1,0)</formula>
    </cfRule>
  </conditionalFormatting>
  <conditionalFormatting sqref="AA49:AA50">
    <cfRule type="expression" priority="38" stopIfTrue="1">
      <formula>IF(Z49="",1)</formula>
    </cfRule>
    <cfRule type="expression" dxfId="671" priority="40">
      <formula>IF(Z49=Z51,1,0)</formula>
    </cfRule>
  </conditionalFormatting>
  <conditionalFormatting sqref="AA51">
    <cfRule type="expression" priority="37" stopIfTrue="1">
      <formula>IF(Z51="",1,0)</formula>
    </cfRule>
    <cfRule type="expression" dxfId="670" priority="39">
      <formula>IF(Z49=Z51,1,0)</formula>
    </cfRule>
  </conditionalFormatting>
  <conditionalFormatting sqref="AA56:AA57">
    <cfRule type="expression" priority="34" stopIfTrue="1">
      <formula>IF(Z56="",1)</formula>
    </cfRule>
    <cfRule type="expression" dxfId="669" priority="36">
      <formula>IF(Z56=Z58,1,0)</formula>
    </cfRule>
  </conditionalFormatting>
  <conditionalFormatting sqref="AA58">
    <cfRule type="expression" priority="33" stopIfTrue="1">
      <formula>IF(Z58="",1,0)</formula>
    </cfRule>
    <cfRule type="expression" dxfId="668" priority="35">
      <formula>IF(Z56=Z58,1,0)</formula>
    </cfRule>
  </conditionalFormatting>
  <conditionalFormatting sqref="Y35">
    <cfRule type="expression" dxfId="667" priority="32">
      <formula>IF(Z35+AA35&gt;Z37+AA37,1,0)</formula>
    </cfRule>
  </conditionalFormatting>
  <conditionalFormatting sqref="Y37">
    <cfRule type="expression" dxfId="666" priority="31">
      <formula>IF(Z35+AA35&lt;Z37+AA37,1,0)</formula>
    </cfRule>
  </conditionalFormatting>
  <conditionalFormatting sqref="Y42">
    <cfRule type="expression" dxfId="665" priority="30">
      <formula>IF(Z42+AA42&gt;Z44+AA44,1,0)</formula>
    </cfRule>
  </conditionalFormatting>
  <conditionalFormatting sqref="Y44">
    <cfRule type="expression" dxfId="664" priority="29">
      <formula>IF(Z42+AA42&lt;Z44+AA44,1,0)</formula>
    </cfRule>
  </conditionalFormatting>
  <conditionalFormatting sqref="Y49">
    <cfRule type="expression" dxfId="663" priority="28">
      <formula>IF(Z49+AA49&gt;Z51+AA51,1,0)</formula>
    </cfRule>
  </conditionalFormatting>
  <conditionalFormatting sqref="Y51">
    <cfRule type="expression" dxfId="662" priority="27">
      <formula>IF(Z49+AA49&lt;Z51+AA51,1,0)</formula>
    </cfRule>
  </conditionalFormatting>
  <conditionalFormatting sqref="Y56">
    <cfRule type="expression" dxfId="661" priority="26">
      <formula>IF(Z56+AA56&gt;Z58+AA58,1,0)</formula>
    </cfRule>
  </conditionalFormatting>
  <conditionalFormatting sqref="Y58">
    <cfRule type="expression" dxfId="660" priority="25">
      <formula>IF(Z56+AA56&lt;Z58+AA58,1,0)</formula>
    </cfRule>
  </conditionalFormatting>
  <conditionalFormatting sqref="U35:U36">
    <cfRule type="expression" priority="22" stopIfTrue="1">
      <formula>IF(T35="",1)</formula>
    </cfRule>
    <cfRule type="expression" dxfId="659" priority="24">
      <formula>IF(T35=T37,1,0)</formula>
    </cfRule>
  </conditionalFormatting>
  <conditionalFormatting sqref="U37">
    <cfRule type="expression" priority="21" stopIfTrue="1">
      <formula>IF(T37="",1,0)</formula>
    </cfRule>
    <cfRule type="expression" dxfId="658" priority="23">
      <formula>IF(T35=T37,1,0)</formula>
    </cfRule>
  </conditionalFormatting>
  <conditionalFormatting sqref="U42:U43">
    <cfRule type="expression" priority="18" stopIfTrue="1">
      <formula>IF(T42="",1)</formula>
    </cfRule>
    <cfRule type="expression" dxfId="657" priority="20">
      <formula>IF(T42=T44,1,0)</formula>
    </cfRule>
  </conditionalFormatting>
  <conditionalFormatting sqref="U44">
    <cfRule type="expression" priority="17" stopIfTrue="1">
      <formula>IF(T44="",1,0)</formula>
    </cfRule>
    <cfRule type="expression" dxfId="656" priority="19">
      <formula>IF(T42=T44,1,0)</formula>
    </cfRule>
  </conditionalFormatting>
  <conditionalFormatting sqref="U49:U50">
    <cfRule type="expression" priority="14" stopIfTrue="1">
      <formula>IF(T49="",1)</formula>
    </cfRule>
    <cfRule type="expression" dxfId="655" priority="16">
      <formula>IF(T49=T51,1,0)</formula>
    </cfRule>
  </conditionalFormatting>
  <conditionalFormatting sqref="U51">
    <cfRule type="expression" priority="13" stopIfTrue="1">
      <formula>IF(T51="",1,0)</formula>
    </cfRule>
    <cfRule type="expression" dxfId="654" priority="15">
      <formula>IF(T49=T51,1,0)</formula>
    </cfRule>
  </conditionalFormatting>
  <conditionalFormatting sqref="U56:U57">
    <cfRule type="expression" priority="10" stopIfTrue="1">
      <formula>IF(T56="",1)</formula>
    </cfRule>
    <cfRule type="expression" dxfId="653" priority="12">
      <formula>IF(T56=T58,1,0)</formula>
    </cfRule>
  </conditionalFormatting>
  <conditionalFormatting sqref="U58">
    <cfRule type="expression" priority="9" stopIfTrue="1">
      <formula>IF(T58="",1,0)</formula>
    </cfRule>
    <cfRule type="expression" dxfId="652" priority="11">
      <formula>IF(T56=T58,1,0)</formula>
    </cfRule>
  </conditionalFormatting>
  <conditionalFormatting sqref="S56">
    <cfRule type="expression" dxfId="651" priority="8">
      <formula>IF(T56+U56&gt;T58+U58,1,0)</formula>
    </cfRule>
  </conditionalFormatting>
  <conditionalFormatting sqref="S58">
    <cfRule type="expression" dxfId="650" priority="7">
      <formula>IF(T56+U56&lt;T58+U58,1,0)</formula>
    </cfRule>
  </conditionalFormatting>
  <conditionalFormatting sqref="S49">
    <cfRule type="expression" dxfId="649" priority="6">
      <formula>IF(T49+U49&gt;T51+U51,1,0)</formula>
    </cfRule>
  </conditionalFormatting>
  <conditionalFormatting sqref="S51">
    <cfRule type="expression" dxfId="648" priority="5">
      <formula>IF(T49+U49&lt;T51+U51,1,0)</formula>
    </cfRule>
  </conditionalFormatting>
  <conditionalFormatting sqref="S42">
    <cfRule type="expression" dxfId="647" priority="4">
      <formula>IF(T42+U42&gt;T44+U44,1,0)</formula>
    </cfRule>
  </conditionalFormatting>
  <conditionalFormatting sqref="S44">
    <cfRule type="expression" dxfId="646" priority="3">
      <formula>IF(T42+U42&lt;T44+U44,1,0)</formula>
    </cfRule>
  </conditionalFormatting>
  <conditionalFormatting sqref="S35">
    <cfRule type="expression" dxfId="645" priority="2">
      <formula>IF(T35+U35&gt;T37+U37,1,0)</formula>
    </cfRule>
  </conditionalFormatting>
  <conditionalFormatting sqref="S37">
    <cfRule type="expression" dxfId="644" priority="1">
      <formula>IF(T35+U35&lt;T37+U37,1,0)</formula>
    </cfRule>
  </conditionalFormatting>
  <pageMargins left="0.39370078740157483" right="0.39370078740157483" top="0.39370078740157483" bottom="0.39370078740157483" header="0.39370078740157483" footer="0.31496062992125984"/>
  <pageSetup paperSize="9" scale="1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9">
    <tabColor rgb="FF00B0F0"/>
    <pageSetUpPr fitToPage="1"/>
  </sheetPr>
  <dimension ref="A1:X109"/>
  <sheetViews>
    <sheetView zoomScale="85" zoomScaleNormal="85" workbookViewId="0">
      <pane ySplit="5" topLeftCell="A6" activePane="bottomLeft" state="frozenSplit"/>
      <selection pane="bottomLeft" activeCell="P3" sqref="P3"/>
    </sheetView>
  </sheetViews>
  <sheetFormatPr baseColWidth="10" defaultRowHeight="15" x14ac:dyDescent="0.25"/>
  <cols>
    <col min="1" max="1" width="3.42578125" customWidth="1"/>
    <col min="2" max="2" width="28.28515625" customWidth="1"/>
    <col min="3" max="3" width="27.140625" customWidth="1"/>
    <col min="4" max="4" width="21.7109375" customWidth="1"/>
    <col min="5" max="5" width="19" customWidth="1"/>
    <col min="6" max="6" width="15.5703125" customWidth="1"/>
    <col min="7" max="7" width="12.5703125" style="3" bestFit="1" customWidth="1"/>
    <col min="8" max="8" width="12.42578125" style="3" customWidth="1"/>
    <col min="9" max="9" width="5.7109375" style="3" customWidth="1"/>
    <col min="10" max="10" width="5.7109375" style="18" customWidth="1"/>
    <col min="11" max="11" width="6.28515625" style="5" bestFit="1" customWidth="1"/>
    <col min="12" max="12" width="11" customWidth="1"/>
    <col min="13" max="14" width="6.85546875" customWidth="1"/>
    <col min="15" max="15" width="34.42578125" bestFit="1" customWidth="1"/>
    <col min="16" max="16" width="26.85546875" bestFit="1" customWidth="1"/>
    <col min="17" max="17" width="21.7109375" bestFit="1" customWidth="1"/>
    <col min="18" max="18" width="19.140625" bestFit="1" customWidth="1"/>
    <col min="19" max="19" width="14" bestFit="1" customWidth="1"/>
    <col min="20" max="20" width="11" bestFit="1" customWidth="1"/>
    <col min="21" max="21" width="11.5703125" bestFit="1" customWidth="1"/>
    <col min="22" max="22" width="5.85546875" bestFit="1" customWidth="1"/>
    <col min="23" max="23" width="5.7109375" bestFit="1" customWidth="1"/>
    <col min="24" max="24" width="5.42578125" bestFit="1" customWidth="1"/>
  </cols>
  <sheetData>
    <row r="1" spans="1:24" ht="24" customHeight="1" x14ac:dyDescent="0.25">
      <c r="B1" s="14"/>
      <c r="C1" s="14"/>
      <c r="D1" s="14"/>
      <c r="H1" s="15"/>
    </row>
    <row r="2" spans="1:24" s="40" customFormat="1" ht="23.25" x14ac:dyDescent="0.2">
      <c r="B2" s="300" t="s">
        <v>376</v>
      </c>
      <c r="C2" s="42"/>
      <c r="D2" s="42"/>
      <c r="E2" s="43" t="s">
        <v>28</v>
      </c>
      <c r="F2" s="58" t="str">
        <f>Niveau</f>
        <v>de France de Tir à l'ARC</v>
      </c>
      <c r="G2" s="44"/>
      <c r="H2" s="45"/>
      <c r="I2" s="41" t="s">
        <v>27</v>
      </c>
      <c r="J2" s="46"/>
      <c r="K2" s="47"/>
    </row>
    <row r="3" spans="1:24" s="40" customFormat="1" ht="23.25" customHeight="1" x14ac:dyDescent="0.2">
      <c r="B3" s="964" t="str">
        <f>CATEG_IMPORTEE</f>
        <v>Collèges Mixtes Etablissement</v>
      </c>
      <c r="C3" s="964"/>
      <c r="D3" s="964"/>
      <c r="E3" s="48" t="s">
        <v>29</v>
      </c>
      <c r="F3" s="104" t="str">
        <f>LIEU</f>
        <v>L’Isle sur la Sorgue</v>
      </c>
      <c r="G3" s="154" t="s">
        <v>491</v>
      </c>
      <c r="H3" s="965" t="str">
        <f>DATE</f>
        <v>27 au 31 mars 2023</v>
      </c>
      <c r="I3" s="965"/>
      <c r="J3" s="965"/>
      <c r="K3" s="965"/>
    </row>
    <row r="4" spans="1:24" s="40" customFormat="1" ht="12.75" x14ac:dyDescent="0.2">
      <c r="G4" s="44"/>
      <c r="H4" s="49" t="s">
        <v>31</v>
      </c>
      <c r="I4" s="44"/>
      <c r="J4" s="50" t="s">
        <v>12</v>
      </c>
      <c r="K4" s="50" t="s">
        <v>14</v>
      </c>
      <c r="T4" s="44"/>
      <c r="U4" s="49" t="s">
        <v>31</v>
      </c>
      <c r="V4" s="44"/>
      <c r="W4" s="50" t="s">
        <v>12</v>
      </c>
      <c r="X4" s="50" t="s">
        <v>14</v>
      </c>
    </row>
    <row r="5" spans="1:24" s="40" customFormat="1" ht="13.5" customHeight="1" thickBot="1" x14ac:dyDescent="0.25">
      <c r="B5" s="51" t="s">
        <v>0</v>
      </c>
      <c r="C5" s="51" t="s">
        <v>375</v>
      </c>
      <c r="D5" s="51" t="s">
        <v>374</v>
      </c>
      <c r="E5" s="52" t="s">
        <v>1</v>
      </c>
      <c r="F5" s="52" t="s">
        <v>2</v>
      </c>
      <c r="G5" s="53" t="s">
        <v>33</v>
      </c>
      <c r="H5" s="52" t="s">
        <v>32</v>
      </c>
      <c r="I5" s="52" t="s">
        <v>377</v>
      </c>
      <c r="J5" s="52" t="s">
        <v>13</v>
      </c>
      <c r="K5" s="50" t="s">
        <v>13</v>
      </c>
      <c r="L5" s="748" t="s">
        <v>1026</v>
      </c>
      <c r="M5" s="748" t="s">
        <v>1027</v>
      </c>
      <c r="N5" s="748" t="s">
        <v>1034</v>
      </c>
      <c r="O5" s="51" t="s">
        <v>0</v>
      </c>
      <c r="P5" s="51" t="s">
        <v>375</v>
      </c>
      <c r="Q5" s="51" t="s">
        <v>374</v>
      </c>
      <c r="R5" s="52" t="s">
        <v>1</v>
      </c>
      <c r="S5" s="52" t="s">
        <v>2</v>
      </c>
      <c r="T5" s="53" t="s">
        <v>33</v>
      </c>
      <c r="U5" s="52" t="s">
        <v>32</v>
      </c>
      <c r="V5" s="52" t="s">
        <v>30</v>
      </c>
      <c r="W5" s="52" t="s">
        <v>13</v>
      </c>
      <c r="X5" s="50" t="s">
        <v>13</v>
      </c>
    </row>
    <row r="6" spans="1:24" s="40" customFormat="1" ht="13.9" customHeight="1" x14ac:dyDescent="0.2">
      <c r="A6" s="40">
        <v>1</v>
      </c>
      <c r="B6" s="69" t="str">
        <f>IF(ISBLANK(Listing!B6),"",Listing!B6)</f>
        <v/>
      </c>
      <c r="C6" s="69" t="str">
        <f>IF(ISBLANK(Listing!C6),"",Listing!C6)</f>
        <v/>
      </c>
      <c r="D6" s="69" t="str">
        <f>IF(ISBLANK(Listing!D6),"",Listing!D6)</f>
        <v/>
      </c>
      <c r="E6" s="69" t="str">
        <f>IF(ISBLANK(Listing!E6),"",Listing!E6)</f>
        <v/>
      </c>
      <c r="F6" s="69" t="str">
        <f>IF(ISBLANK(Listing!F6),"",Listing!F6)</f>
        <v/>
      </c>
      <c r="G6" s="71" t="str">
        <f>IF(ISBLANK(Listing!G6),"",Listing!G6)</f>
        <v/>
      </c>
      <c r="H6" s="70" t="str">
        <f>IF(ISBLANK(Listing!H6),"",Listing!H6)</f>
        <v/>
      </c>
      <c r="I6" s="64" t="str">
        <f>IF(ISBLANK(Listing!J6),"",Listing!J6)</f>
        <v/>
      </c>
      <c r="J6" s="64" t="str">
        <f>IF(ISBLANK(Listing!K6),"",Listing!K6)</f>
        <v/>
      </c>
      <c r="K6" s="57" t="str">
        <f>IF(ISBLANK(Listing!I6),"",Listing!I6)</f>
        <v/>
      </c>
      <c r="L6" s="747" t="str">
        <f>LEFT(H6,5)&amp;RIGHT(H6,4)</f>
        <v/>
      </c>
      <c r="M6" s="40" t="e">
        <f t="shared" ref="M6:M69" si="0">VLOOKUP(H6,N°LicPRO,2,FALSE)</f>
        <v>#N/A</v>
      </c>
      <c r="N6" s="960" t="e">
        <f t="shared" ref="N6" si="1">IF(AND(M6="oui",M7="oui",M8="oui",M9="oui"),"PRO","N")</f>
        <v>#N/A</v>
      </c>
      <c r="O6" s="54"/>
      <c r="P6" s="54"/>
      <c r="Q6" s="54"/>
      <c r="R6" s="54"/>
      <c r="S6" s="54"/>
      <c r="T6" s="342"/>
      <c r="U6" s="56"/>
      <c r="V6" s="54"/>
      <c r="W6" s="55"/>
      <c r="X6" s="57"/>
    </row>
    <row r="7" spans="1:24" s="40" customFormat="1" ht="13.9" customHeight="1" x14ac:dyDescent="0.2">
      <c r="A7" s="40">
        <v>2</v>
      </c>
      <c r="B7" s="69" t="str">
        <f>IF(ISBLANK(Listing!B7),"",Listing!B7)</f>
        <v/>
      </c>
      <c r="C7" s="69" t="str">
        <f>IF(ISBLANK(Listing!C7),"",Listing!C7)</f>
        <v/>
      </c>
      <c r="D7" s="69" t="str">
        <f>IF(ISBLANK(Listing!D7),"",Listing!D7)</f>
        <v/>
      </c>
      <c r="E7" s="69" t="str">
        <f>IF(ISBLANK(Listing!E7),"",Listing!E7)</f>
        <v/>
      </c>
      <c r="F7" s="69" t="str">
        <f>IF(ISBLANK(Listing!F7),"",Listing!F7)</f>
        <v/>
      </c>
      <c r="G7" s="71" t="str">
        <f>IF(ISBLANK(Listing!G7),"",Listing!G7)</f>
        <v/>
      </c>
      <c r="H7" s="70" t="str">
        <f>IF(ISBLANK(Listing!H7),"",Listing!H7)</f>
        <v/>
      </c>
      <c r="I7" s="64" t="str">
        <f>IF(ISBLANK(Listing!J7),"",Listing!J7)</f>
        <v/>
      </c>
      <c r="J7" s="64" t="str">
        <f>IF(ISBLANK(Listing!K7),"",Listing!K7)</f>
        <v/>
      </c>
      <c r="K7" s="57" t="str">
        <f>IF(ISBLANK(Listing!I7),"",Listing!I7)</f>
        <v/>
      </c>
      <c r="L7" s="747" t="str">
        <f t="shared" ref="L7:L70" si="2">LEFT(H7,5)&amp;RIGHT(H7,4)</f>
        <v/>
      </c>
      <c r="M7" s="40" t="e">
        <f t="shared" si="0"/>
        <v>#N/A</v>
      </c>
      <c r="N7" s="961"/>
      <c r="O7" s="54"/>
      <c r="P7" s="54"/>
      <c r="Q7" s="54"/>
      <c r="R7" s="54"/>
      <c r="S7" s="54"/>
      <c r="T7" s="342"/>
      <c r="U7" s="56"/>
      <c r="V7" s="54"/>
      <c r="W7" s="55"/>
      <c r="X7" s="57"/>
    </row>
    <row r="8" spans="1:24" s="40" customFormat="1" ht="13.9" customHeight="1" x14ac:dyDescent="0.2">
      <c r="A8" s="40">
        <v>3</v>
      </c>
      <c r="B8" s="69" t="str">
        <f>IF(ISBLANK(Listing!B8),"",Listing!B8)</f>
        <v/>
      </c>
      <c r="C8" s="69" t="str">
        <f>IF(ISBLANK(Listing!C8),"",Listing!C8)</f>
        <v/>
      </c>
      <c r="D8" s="69" t="str">
        <f>IF(ISBLANK(Listing!D8),"",Listing!D8)</f>
        <v/>
      </c>
      <c r="E8" s="69" t="str">
        <f>IF(ISBLANK(Listing!E8),"",Listing!E8)</f>
        <v/>
      </c>
      <c r="F8" s="69" t="str">
        <f>IF(ISBLANK(Listing!F8),"",Listing!F8)</f>
        <v/>
      </c>
      <c r="G8" s="71" t="str">
        <f>IF(ISBLANK(Listing!G8),"",Listing!G8)</f>
        <v/>
      </c>
      <c r="H8" s="70" t="str">
        <f>IF(ISBLANK(Listing!H8),"",Listing!H8)</f>
        <v/>
      </c>
      <c r="I8" s="64" t="str">
        <f>IF(ISBLANK(Listing!J8),"",Listing!J8)</f>
        <v/>
      </c>
      <c r="J8" s="64" t="str">
        <f>IF(ISBLANK(Listing!K8),"",Listing!K8)</f>
        <v/>
      </c>
      <c r="K8" s="57" t="str">
        <f>IF(ISBLANK(Listing!I8),"",Listing!I8)</f>
        <v/>
      </c>
      <c r="L8" s="747" t="str">
        <f t="shared" si="2"/>
        <v/>
      </c>
      <c r="M8" s="40" t="e">
        <f t="shared" si="0"/>
        <v>#N/A</v>
      </c>
      <c r="N8" s="961"/>
      <c r="O8" s="54"/>
      <c r="P8" s="54"/>
      <c r="Q8" s="54"/>
      <c r="R8" s="54"/>
      <c r="S8" s="54"/>
      <c r="T8" s="342"/>
      <c r="U8" s="56"/>
      <c r="V8" s="54"/>
      <c r="W8" s="55"/>
      <c r="X8" s="57"/>
    </row>
    <row r="9" spans="1:24" s="40" customFormat="1" ht="13.9" customHeight="1" thickBot="1" x14ac:dyDescent="0.25">
      <c r="A9" s="40">
        <v>4</v>
      </c>
      <c r="B9" s="69" t="str">
        <f>IF(ISBLANK(Listing!B9),"",Listing!B9)</f>
        <v/>
      </c>
      <c r="C9" s="69" t="str">
        <f>IF(ISBLANK(Listing!C9),"",Listing!C9)</f>
        <v/>
      </c>
      <c r="D9" s="69" t="str">
        <f>IF(ISBLANK(Listing!D9),"",Listing!D9)</f>
        <v/>
      </c>
      <c r="E9" s="69" t="str">
        <f>IF(ISBLANK(Listing!E9),"",Listing!E9)</f>
        <v/>
      </c>
      <c r="F9" s="69" t="str">
        <f>IF(ISBLANK(Listing!F9),"",Listing!F9)</f>
        <v/>
      </c>
      <c r="G9" s="71" t="str">
        <f>IF(ISBLANK(Listing!G9),"",Listing!G9)</f>
        <v/>
      </c>
      <c r="H9" s="70" t="str">
        <f>IF(ISBLANK(Listing!H9),"",Listing!H9)</f>
        <v/>
      </c>
      <c r="I9" s="64" t="str">
        <f>IF(ISBLANK(Listing!J9),"",Listing!J9)</f>
        <v/>
      </c>
      <c r="J9" s="64" t="str">
        <f>IF(ISBLANK(Listing!K9),"",Listing!K9)</f>
        <v/>
      </c>
      <c r="K9" s="57" t="str">
        <f>IF(ISBLANK(Listing!I9),"",Listing!I9)</f>
        <v/>
      </c>
      <c r="L9" s="747" t="str">
        <f t="shared" si="2"/>
        <v/>
      </c>
      <c r="M9" s="40" t="e">
        <f t="shared" si="0"/>
        <v>#N/A</v>
      </c>
      <c r="N9" s="962"/>
      <c r="O9" s="54"/>
      <c r="P9" s="54"/>
      <c r="Q9" s="54"/>
      <c r="R9" s="54"/>
      <c r="S9" s="54"/>
      <c r="T9" s="342"/>
      <c r="U9" s="56"/>
      <c r="V9" s="54"/>
      <c r="W9" s="55"/>
      <c r="X9" s="57"/>
    </row>
    <row r="10" spans="1:24" s="40" customFormat="1" ht="13.9" customHeight="1" x14ac:dyDescent="0.2">
      <c r="A10" s="40">
        <v>5</v>
      </c>
      <c r="B10" s="69" t="str">
        <f>IF(ISBLANK(Listing!B10),"",Listing!B10)</f>
        <v/>
      </c>
      <c r="C10" s="69" t="str">
        <f>IF(ISBLANK(Listing!C10),"",Listing!C10)</f>
        <v/>
      </c>
      <c r="D10" s="69" t="str">
        <f>IF(ISBLANK(Listing!D10),"",Listing!D10)</f>
        <v/>
      </c>
      <c r="E10" s="69" t="str">
        <f>IF(ISBLANK(Listing!E10),"",Listing!E10)</f>
        <v/>
      </c>
      <c r="F10" s="69" t="str">
        <f>IF(ISBLANK(Listing!F10),"",Listing!F10)</f>
        <v/>
      </c>
      <c r="G10" s="71" t="str">
        <f>IF(ISBLANK(Listing!G10),"",Listing!G10)</f>
        <v/>
      </c>
      <c r="H10" s="70" t="str">
        <f>IF(ISBLANK(Listing!H10),"",Listing!H10)</f>
        <v/>
      </c>
      <c r="I10" s="64" t="str">
        <f>IF(ISBLANK(Listing!J10),"",Listing!J10)</f>
        <v/>
      </c>
      <c r="J10" s="64" t="str">
        <f>IF(ISBLANK(Listing!K10),"",Listing!K10)</f>
        <v/>
      </c>
      <c r="K10" s="57" t="str">
        <f>IF(ISBLANK(Listing!I10),"",Listing!I10)</f>
        <v/>
      </c>
      <c r="L10" s="747" t="str">
        <f t="shared" si="2"/>
        <v/>
      </c>
      <c r="M10" s="40" t="e">
        <f t="shared" si="0"/>
        <v>#N/A</v>
      </c>
      <c r="N10" s="960" t="e">
        <f t="shared" ref="N10" si="3">IF(AND(M10="oui",M11="oui",M12="oui",M13="oui"),"PRO","N")</f>
        <v>#N/A</v>
      </c>
      <c r="O10" s="54"/>
      <c r="P10" s="54"/>
      <c r="Q10" s="54"/>
      <c r="R10" s="54"/>
      <c r="S10" s="54"/>
      <c r="T10" s="342"/>
      <c r="U10" s="56"/>
      <c r="V10" s="54"/>
      <c r="W10" s="55"/>
      <c r="X10" s="57"/>
    </row>
    <row r="11" spans="1:24" s="40" customFormat="1" ht="13.9" customHeight="1" x14ac:dyDescent="0.2">
      <c r="A11" s="40">
        <v>6</v>
      </c>
      <c r="B11" s="69" t="str">
        <f>IF(ISBLANK(Listing!B11),"",Listing!B11)</f>
        <v/>
      </c>
      <c r="C11" s="69" t="str">
        <f>IF(ISBLANK(Listing!C11),"",Listing!C11)</f>
        <v/>
      </c>
      <c r="D11" s="69" t="str">
        <f>IF(ISBLANK(Listing!D11),"",Listing!D11)</f>
        <v/>
      </c>
      <c r="E11" s="69" t="str">
        <f>IF(ISBLANK(Listing!E11),"",Listing!E11)</f>
        <v/>
      </c>
      <c r="F11" s="69" t="str">
        <f>IF(ISBLANK(Listing!F11),"",Listing!F11)</f>
        <v/>
      </c>
      <c r="G11" s="71" t="str">
        <f>IF(ISBLANK(Listing!G11),"",Listing!G11)</f>
        <v/>
      </c>
      <c r="H11" s="70" t="str">
        <f>IF(ISBLANK(Listing!H11),"",Listing!H11)</f>
        <v/>
      </c>
      <c r="I11" s="64" t="str">
        <f>IF(ISBLANK(Listing!J11),"",Listing!J11)</f>
        <v/>
      </c>
      <c r="J11" s="64" t="str">
        <f>IF(ISBLANK(Listing!K11),"",Listing!K11)</f>
        <v/>
      </c>
      <c r="K11" s="57" t="str">
        <f>IF(ISBLANK(Listing!I11),"",Listing!I11)</f>
        <v/>
      </c>
      <c r="L11" s="747" t="str">
        <f t="shared" si="2"/>
        <v/>
      </c>
      <c r="M11" s="40" t="e">
        <f t="shared" si="0"/>
        <v>#N/A</v>
      </c>
      <c r="N11" s="961"/>
      <c r="O11" s="54"/>
      <c r="P11" s="54"/>
      <c r="Q11" s="54"/>
      <c r="R11" s="54"/>
      <c r="S11" s="54"/>
      <c r="T11" s="342"/>
      <c r="U11" s="56"/>
      <c r="V11" s="54"/>
      <c r="W11" s="55"/>
      <c r="X11" s="57"/>
    </row>
    <row r="12" spans="1:24" s="40" customFormat="1" ht="13.9" customHeight="1" x14ac:dyDescent="0.2">
      <c r="A12" s="40">
        <v>7</v>
      </c>
      <c r="B12" s="69" t="str">
        <f>IF(ISBLANK(Listing!B12),"",Listing!B12)</f>
        <v/>
      </c>
      <c r="C12" s="69" t="str">
        <f>IF(ISBLANK(Listing!C12),"",Listing!C12)</f>
        <v/>
      </c>
      <c r="D12" s="69" t="str">
        <f>IF(ISBLANK(Listing!D12),"",Listing!D12)</f>
        <v/>
      </c>
      <c r="E12" s="69" t="str">
        <f>IF(ISBLANK(Listing!E12),"",Listing!E12)</f>
        <v/>
      </c>
      <c r="F12" s="69" t="str">
        <f>IF(ISBLANK(Listing!F12),"",Listing!F12)</f>
        <v/>
      </c>
      <c r="G12" s="71" t="str">
        <f>IF(ISBLANK(Listing!G12),"",Listing!G12)</f>
        <v/>
      </c>
      <c r="H12" s="70" t="str">
        <f>IF(ISBLANK(Listing!H12),"",Listing!H12)</f>
        <v/>
      </c>
      <c r="I12" s="64" t="str">
        <f>IF(ISBLANK(Listing!J12),"",Listing!J12)</f>
        <v/>
      </c>
      <c r="J12" s="64" t="str">
        <f>IF(ISBLANK(Listing!K12),"",Listing!K12)</f>
        <v/>
      </c>
      <c r="K12" s="57" t="str">
        <f>IF(ISBLANK(Listing!I12),"",Listing!I12)</f>
        <v/>
      </c>
      <c r="L12" s="747" t="str">
        <f t="shared" si="2"/>
        <v/>
      </c>
      <c r="M12" s="40" t="e">
        <f t="shared" si="0"/>
        <v>#N/A</v>
      </c>
      <c r="N12" s="961"/>
      <c r="O12" s="54"/>
      <c r="P12" s="54"/>
      <c r="Q12" s="54"/>
      <c r="R12" s="54"/>
      <c r="S12" s="54"/>
      <c r="T12" s="342"/>
      <c r="U12" s="56"/>
      <c r="V12" s="54"/>
      <c r="W12" s="55"/>
      <c r="X12" s="57"/>
    </row>
    <row r="13" spans="1:24" s="40" customFormat="1" ht="13.9" customHeight="1" thickBot="1" x14ac:dyDescent="0.25">
      <c r="A13" s="40">
        <v>8</v>
      </c>
      <c r="B13" s="69" t="str">
        <f>IF(ISBLANK(Listing!B13),"",Listing!B13)</f>
        <v/>
      </c>
      <c r="C13" s="69" t="str">
        <f>IF(ISBLANK(Listing!C13),"",Listing!C13)</f>
        <v/>
      </c>
      <c r="D13" s="69" t="str">
        <f>IF(ISBLANK(Listing!D13),"",Listing!D13)</f>
        <v/>
      </c>
      <c r="E13" s="69" t="str">
        <f>IF(ISBLANK(Listing!E13),"",Listing!E13)</f>
        <v/>
      </c>
      <c r="F13" s="69" t="str">
        <f>IF(ISBLANK(Listing!F13),"",Listing!F13)</f>
        <v/>
      </c>
      <c r="G13" s="71" t="str">
        <f>IF(ISBLANK(Listing!G13),"",Listing!G13)</f>
        <v/>
      </c>
      <c r="H13" s="70" t="str">
        <f>IF(ISBLANK(Listing!H13),"",Listing!H13)</f>
        <v/>
      </c>
      <c r="I13" s="64" t="str">
        <f>IF(ISBLANK(Listing!J13),"",Listing!J13)</f>
        <v/>
      </c>
      <c r="J13" s="64" t="str">
        <f>IF(ISBLANK(Listing!K13),"",Listing!K13)</f>
        <v/>
      </c>
      <c r="K13" s="57" t="str">
        <f>IF(ISBLANK(Listing!I13),"",Listing!I13)</f>
        <v/>
      </c>
      <c r="L13" s="747" t="str">
        <f t="shared" si="2"/>
        <v/>
      </c>
      <c r="M13" s="40" t="e">
        <f t="shared" si="0"/>
        <v>#N/A</v>
      </c>
      <c r="N13" s="962"/>
      <c r="O13" s="54"/>
      <c r="P13" s="54"/>
      <c r="Q13" s="54"/>
      <c r="R13" s="54"/>
      <c r="S13" s="54"/>
      <c r="T13" s="342"/>
      <c r="U13" s="56"/>
      <c r="V13" s="54"/>
      <c r="W13" s="55"/>
      <c r="X13" s="57"/>
    </row>
    <row r="14" spans="1:24" s="40" customFormat="1" ht="13.9" customHeight="1" x14ac:dyDescent="0.2">
      <c r="A14" s="40">
        <v>9</v>
      </c>
      <c r="B14" s="69" t="str">
        <f>IF(ISBLANK(Listing!B14),"",Listing!B14)</f>
        <v/>
      </c>
      <c r="C14" s="69" t="str">
        <f>IF(ISBLANK(Listing!C14),"",Listing!C14)</f>
        <v/>
      </c>
      <c r="D14" s="69" t="str">
        <f>IF(ISBLANK(Listing!D14),"",Listing!D14)</f>
        <v/>
      </c>
      <c r="E14" s="69" t="str">
        <f>IF(ISBLANK(Listing!E14),"",Listing!E14)</f>
        <v/>
      </c>
      <c r="F14" s="69" t="str">
        <f>IF(ISBLANK(Listing!F14),"",Listing!F14)</f>
        <v/>
      </c>
      <c r="G14" s="71" t="str">
        <f>IF(ISBLANK(Listing!G14),"",Listing!G14)</f>
        <v/>
      </c>
      <c r="H14" s="70" t="str">
        <f>IF(ISBLANK(Listing!H14),"",Listing!H14)</f>
        <v/>
      </c>
      <c r="I14" s="64" t="str">
        <f>IF(ISBLANK(Listing!J14),"",Listing!J14)</f>
        <v/>
      </c>
      <c r="J14" s="64" t="str">
        <f>IF(ISBLANK(Listing!K14),"",Listing!K14)</f>
        <v/>
      </c>
      <c r="K14" s="57" t="str">
        <f>IF(ISBLANK(Listing!I14),"",Listing!I14)</f>
        <v/>
      </c>
      <c r="L14" s="747" t="str">
        <f t="shared" si="2"/>
        <v/>
      </c>
      <c r="M14" s="40" t="e">
        <f t="shared" si="0"/>
        <v>#N/A</v>
      </c>
      <c r="N14" s="960" t="e">
        <f t="shared" ref="N14" si="4">IF(AND(M14="oui",M15="oui",M16="oui",M17="oui"),"PRO","N")</f>
        <v>#N/A</v>
      </c>
      <c r="O14" s="54"/>
      <c r="P14" s="54"/>
      <c r="Q14" s="54"/>
      <c r="R14" s="54"/>
      <c r="S14" s="54"/>
      <c r="T14" s="342"/>
      <c r="U14" s="56"/>
      <c r="V14" s="54"/>
      <c r="W14" s="55"/>
      <c r="X14" s="57"/>
    </row>
    <row r="15" spans="1:24" s="40" customFormat="1" ht="13.9" customHeight="1" x14ac:dyDescent="0.2">
      <c r="A15" s="40">
        <v>10</v>
      </c>
      <c r="B15" s="69" t="str">
        <f>IF(ISBLANK(Listing!B15),"",Listing!B15)</f>
        <v/>
      </c>
      <c r="C15" s="69" t="str">
        <f>IF(ISBLANK(Listing!C15),"",Listing!C15)</f>
        <v/>
      </c>
      <c r="D15" s="69" t="str">
        <f>IF(ISBLANK(Listing!D15),"",Listing!D15)</f>
        <v/>
      </c>
      <c r="E15" s="69" t="str">
        <f>IF(ISBLANK(Listing!E15),"",Listing!E15)</f>
        <v/>
      </c>
      <c r="F15" s="69" t="str">
        <f>IF(ISBLANK(Listing!F15),"",Listing!F15)</f>
        <v/>
      </c>
      <c r="G15" s="71" t="str">
        <f>IF(ISBLANK(Listing!G15),"",Listing!G15)</f>
        <v/>
      </c>
      <c r="H15" s="70" t="str">
        <f>IF(ISBLANK(Listing!H15),"",Listing!H15)</f>
        <v/>
      </c>
      <c r="I15" s="64" t="str">
        <f>IF(ISBLANK(Listing!J15),"",Listing!J15)</f>
        <v/>
      </c>
      <c r="J15" s="64" t="str">
        <f>IF(ISBLANK(Listing!K15),"",Listing!K15)</f>
        <v/>
      </c>
      <c r="K15" s="57" t="str">
        <f>IF(ISBLANK(Listing!I15),"",Listing!I15)</f>
        <v/>
      </c>
      <c r="L15" s="747" t="str">
        <f t="shared" si="2"/>
        <v/>
      </c>
      <c r="M15" s="40" t="e">
        <f t="shared" si="0"/>
        <v>#N/A</v>
      </c>
      <c r="N15" s="961"/>
      <c r="O15" s="54"/>
      <c r="P15" s="54"/>
      <c r="Q15" s="54"/>
      <c r="R15" s="54"/>
      <c r="S15" s="54"/>
      <c r="T15" s="342"/>
      <c r="U15" s="56"/>
      <c r="V15" s="54"/>
      <c r="W15" s="55"/>
      <c r="X15" s="57"/>
    </row>
    <row r="16" spans="1:24" s="40" customFormat="1" ht="13.9" customHeight="1" x14ac:dyDescent="0.2">
      <c r="A16" s="40">
        <v>11</v>
      </c>
      <c r="B16" s="69" t="str">
        <f>IF(ISBLANK(Listing!B16),"",Listing!B16)</f>
        <v/>
      </c>
      <c r="C16" s="69" t="str">
        <f>IF(ISBLANK(Listing!C16),"",Listing!C16)</f>
        <v/>
      </c>
      <c r="D16" s="69" t="str">
        <f>IF(ISBLANK(Listing!D16),"",Listing!D16)</f>
        <v/>
      </c>
      <c r="E16" s="69" t="str">
        <f>IF(ISBLANK(Listing!E16),"",Listing!E16)</f>
        <v/>
      </c>
      <c r="F16" s="69" t="str">
        <f>IF(ISBLANK(Listing!F16),"",Listing!F16)</f>
        <v/>
      </c>
      <c r="G16" s="71" t="str">
        <f>IF(ISBLANK(Listing!G16),"",Listing!G16)</f>
        <v/>
      </c>
      <c r="H16" s="70" t="str">
        <f>IF(ISBLANK(Listing!H16),"",Listing!H16)</f>
        <v/>
      </c>
      <c r="I16" s="64" t="str">
        <f>IF(ISBLANK(Listing!J16),"",Listing!J16)</f>
        <v/>
      </c>
      <c r="J16" s="64" t="str">
        <f>IF(ISBLANK(Listing!K16),"",Listing!K16)</f>
        <v/>
      </c>
      <c r="K16" s="57" t="str">
        <f>IF(ISBLANK(Listing!I16),"",Listing!I16)</f>
        <v/>
      </c>
      <c r="L16" s="747" t="str">
        <f t="shared" si="2"/>
        <v/>
      </c>
      <c r="M16" s="40" t="e">
        <f t="shared" si="0"/>
        <v>#N/A</v>
      </c>
      <c r="N16" s="961"/>
      <c r="O16" s="54"/>
      <c r="P16" s="54"/>
      <c r="Q16" s="54"/>
      <c r="R16" s="54"/>
      <c r="S16" s="54"/>
      <c r="T16" s="342"/>
      <c r="U16" s="56"/>
      <c r="V16" s="54"/>
      <c r="W16" s="55"/>
      <c r="X16" s="57"/>
    </row>
    <row r="17" spans="1:24" s="40" customFormat="1" ht="13.9" customHeight="1" thickBot="1" x14ac:dyDescent="0.25">
      <c r="A17" s="40">
        <v>12</v>
      </c>
      <c r="B17" s="69" t="str">
        <f>IF(ISBLANK(Listing!B17),"",Listing!B17)</f>
        <v/>
      </c>
      <c r="C17" s="69" t="str">
        <f>IF(ISBLANK(Listing!C17),"",Listing!C17)</f>
        <v/>
      </c>
      <c r="D17" s="69" t="str">
        <f>IF(ISBLANK(Listing!D17),"",Listing!D17)</f>
        <v/>
      </c>
      <c r="E17" s="69" t="str">
        <f>IF(ISBLANK(Listing!E17),"",Listing!E17)</f>
        <v/>
      </c>
      <c r="F17" s="69" t="str">
        <f>IF(ISBLANK(Listing!F17),"",Listing!F17)</f>
        <v/>
      </c>
      <c r="G17" s="71" t="str">
        <f>IF(ISBLANK(Listing!G17),"",Listing!G17)</f>
        <v/>
      </c>
      <c r="H17" s="70" t="str">
        <f>IF(ISBLANK(Listing!H17),"",Listing!H17)</f>
        <v/>
      </c>
      <c r="I17" s="64" t="str">
        <f>IF(ISBLANK(Listing!J17),"",Listing!J17)</f>
        <v/>
      </c>
      <c r="J17" s="64" t="str">
        <f>IF(ISBLANK(Listing!K17),"",Listing!K17)</f>
        <v/>
      </c>
      <c r="K17" s="57" t="str">
        <f>IF(ISBLANK(Listing!I17),"",Listing!I17)</f>
        <v/>
      </c>
      <c r="L17" s="747" t="str">
        <f t="shared" si="2"/>
        <v/>
      </c>
      <c r="M17" s="40" t="e">
        <f t="shared" si="0"/>
        <v>#N/A</v>
      </c>
      <c r="N17" s="962"/>
      <c r="O17" s="54"/>
      <c r="P17" s="54"/>
      <c r="Q17" s="54"/>
      <c r="R17" s="54"/>
      <c r="S17" s="54"/>
      <c r="T17" s="342"/>
      <c r="U17" s="56"/>
      <c r="V17" s="54"/>
      <c r="W17" s="55"/>
      <c r="X17" s="57"/>
    </row>
    <row r="18" spans="1:24" s="40" customFormat="1" ht="13.9" customHeight="1" x14ac:dyDescent="0.2">
      <c r="A18" s="40">
        <v>13</v>
      </c>
      <c r="B18" s="69" t="str">
        <f>IF(ISBLANK(Listing!B18),"",Listing!B18)</f>
        <v/>
      </c>
      <c r="C18" s="69" t="str">
        <f>IF(ISBLANK(Listing!C18),"",Listing!C18)</f>
        <v/>
      </c>
      <c r="D18" s="69" t="str">
        <f>IF(ISBLANK(Listing!D18),"",Listing!D18)</f>
        <v/>
      </c>
      <c r="E18" s="69" t="str">
        <f>IF(ISBLANK(Listing!E18),"",Listing!E18)</f>
        <v/>
      </c>
      <c r="F18" s="69" t="str">
        <f>IF(ISBLANK(Listing!F18),"",Listing!F18)</f>
        <v/>
      </c>
      <c r="G18" s="71" t="str">
        <f>IF(ISBLANK(Listing!G18),"",Listing!G18)</f>
        <v/>
      </c>
      <c r="H18" s="70" t="str">
        <f>IF(ISBLANK(Listing!H18),"",Listing!H18)</f>
        <v/>
      </c>
      <c r="I18" s="64" t="str">
        <f>IF(ISBLANK(Listing!J18),"",Listing!J18)</f>
        <v/>
      </c>
      <c r="J18" s="64" t="str">
        <f>IF(ISBLANK(Listing!K18),"",Listing!K18)</f>
        <v/>
      </c>
      <c r="K18" s="57" t="str">
        <f>IF(ISBLANK(Listing!I18),"",Listing!I18)</f>
        <v/>
      </c>
      <c r="L18" s="747" t="str">
        <f t="shared" si="2"/>
        <v/>
      </c>
      <c r="M18" s="40" t="e">
        <f t="shared" si="0"/>
        <v>#N/A</v>
      </c>
      <c r="N18" s="960" t="e">
        <f t="shared" ref="N18" si="5">IF(AND(M18="oui",M19="oui",M20="oui",M21="oui"),"PRO","N")</f>
        <v>#N/A</v>
      </c>
      <c r="O18" s="54"/>
      <c r="P18" s="54"/>
      <c r="Q18" s="54"/>
      <c r="R18" s="54"/>
      <c r="S18" s="54"/>
      <c r="T18" s="342"/>
      <c r="U18" s="56"/>
      <c r="V18" s="54"/>
      <c r="W18" s="55"/>
      <c r="X18" s="57"/>
    </row>
    <row r="19" spans="1:24" s="40" customFormat="1" ht="13.9" customHeight="1" x14ac:dyDescent="0.2">
      <c r="A19" s="40">
        <v>14</v>
      </c>
      <c r="B19" s="69" t="str">
        <f>IF(ISBLANK(Listing!B19),"",Listing!B19)</f>
        <v/>
      </c>
      <c r="C19" s="69" t="str">
        <f>IF(ISBLANK(Listing!C19),"",Listing!C19)</f>
        <v/>
      </c>
      <c r="D19" s="69" t="str">
        <f>IF(ISBLANK(Listing!D19),"",Listing!D19)</f>
        <v/>
      </c>
      <c r="E19" s="69" t="str">
        <f>IF(ISBLANK(Listing!E19),"",Listing!E19)</f>
        <v/>
      </c>
      <c r="F19" s="69" t="str">
        <f>IF(ISBLANK(Listing!F19),"",Listing!F19)</f>
        <v/>
      </c>
      <c r="G19" s="71" t="str">
        <f>IF(ISBLANK(Listing!G19),"",Listing!G19)</f>
        <v/>
      </c>
      <c r="H19" s="70" t="str">
        <f>IF(ISBLANK(Listing!H19),"",Listing!H19)</f>
        <v/>
      </c>
      <c r="I19" s="64" t="str">
        <f>IF(ISBLANK(Listing!J19),"",Listing!J19)</f>
        <v/>
      </c>
      <c r="J19" s="64" t="str">
        <f>IF(ISBLANK(Listing!K19),"",Listing!K19)</f>
        <v/>
      </c>
      <c r="K19" s="57" t="str">
        <f>IF(ISBLANK(Listing!I19),"",Listing!I19)</f>
        <v/>
      </c>
      <c r="L19" s="747" t="str">
        <f t="shared" si="2"/>
        <v/>
      </c>
      <c r="M19" s="40" t="e">
        <f t="shared" si="0"/>
        <v>#N/A</v>
      </c>
      <c r="N19" s="961"/>
      <c r="O19" s="54"/>
      <c r="P19" s="54"/>
      <c r="Q19" s="54"/>
      <c r="R19" s="54"/>
      <c r="S19" s="54"/>
      <c r="T19" s="342"/>
      <c r="U19" s="56"/>
      <c r="V19" s="54"/>
      <c r="W19" s="55"/>
      <c r="X19" s="57"/>
    </row>
    <row r="20" spans="1:24" s="40" customFormat="1" ht="13.9" customHeight="1" x14ac:dyDescent="0.2">
      <c r="A20" s="40">
        <v>15</v>
      </c>
      <c r="B20" s="69" t="str">
        <f>IF(ISBLANK(Listing!B20),"",Listing!B20)</f>
        <v/>
      </c>
      <c r="C20" s="69" t="str">
        <f>IF(ISBLANK(Listing!C20),"",Listing!C20)</f>
        <v/>
      </c>
      <c r="D20" s="69" t="str">
        <f>IF(ISBLANK(Listing!D20),"",Listing!D20)</f>
        <v/>
      </c>
      <c r="E20" s="69" t="str">
        <f>IF(ISBLANK(Listing!E20),"",Listing!E20)</f>
        <v/>
      </c>
      <c r="F20" s="69" t="str">
        <f>IF(ISBLANK(Listing!F20),"",Listing!F20)</f>
        <v/>
      </c>
      <c r="G20" s="71" t="str">
        <f>IF(ISBLANK(Listing!G20),"",Listing!G20)</f>
        <v/>
      </c>
      <c r="H20" s="70" t="str">
        <f>IF(ISBLANK(Listing!H20),"",Listing!H20)</f>
        <v/>
      </c>
      <c r="I20" s="64" t="str">
        <f>IF(ISBLANK(Listing!J20),"",Listing!J20)</f>
        <v/>
      </c>
      <c r="J20" s="64" t="str">
        <f>IF(ISBLANK(Listing!K20),"",Listing!K20)</f>
        <v/>
      </c>
      <c r="K20" s="57" t="str">
        <f>IF(ISBLANK(Listing!I20),"",Listing!I20)</f>
        <v/>
      </c>
      <c r="L20" s="747" t="str">
        <f t="shared" si="2"/>
        <v/>
      </c>
      <c r="M20" s="40" t="e">
        <f t="shared" si="0"/>
        <v>#N/A</v>
      </c>
      <c r="N20" s="961"/>
      <c r="O20" s="54"/>
      <c r="P20" s="54"/>
      <c r="Q20" s="54"/>
      <c r="R20" s="54"/>
      <c r="S20" s="54"/>
      <c r="T20" s="342"/>
      <c r="U20" s="56"/>
      <c r="V20" s="54"/>
      <c r="W20" s="55"/>
      <c r="X20" s="57"/>
    </row>
    <row r="21" spans="1:24" s="40" customFormat="1" ht="13.9" customHeight="1" thickBot="1" x14ac:dyDescent="0.25">
      <c r="A21" s="40">
        <v>16</v>
      </c>
      <c r="B21" s="69" t="str">
        <f>IF(ISBLANK(Listing!B21),"",Listing!B21)</f>
        <v/>
      </c>
      <c r="C21" s="69" t="str">
        <f>IF(ISBLANK(Listing!C21),"",Listing!C21)</f>
        <v/>
      </c>
      <c r="D21" s="69" t="str">
        <f>IF(ISBLANK(Listing!D21),"",Listing!D21)</f>
        <v/>
      </c>
      <c r="E21" s="69" t="str">
        <f>IF(ISBLANK(Listing!E21),"",Listing!E21)</f>
        <v/>
      </c>
      <c r="F21" s="69" t="str">
        <f>IF(ISBLANK(Listing!F21),"",Listing!F21)</f>
        <v/>
      </c>
      <c r="G21" s="71" t="str">
        <f>IF(ISBLANK(Listing!G21),"",Listing!G21)</f>
        <v/>
      </c>
      <c r="H21" s="70" t="str">
        <f>IF(ISBLANK(Listing!H21),"",Listing!H21)</f>
        <v/>
      </c>
      <c r="I21" s="64" t="str">
        <f>IF(ISBLANK(Listing!J21),"",Listing!J21)</f>
        <v/>
      </c>
      <c r="J21" s="64" t="str">
        <f>IF(ISBLANK(Listing!K21),"",Listing!K21)</f>
        <v/>
      </c>
      <c r="K21" s="57" t="str">
        <f>IF(ISBLANK(Listing!I21),"",Listing!I21)</f>
        <v/>
      </c>
      <c r="L21" s="747" t="str">
        <f t="shared" si="2"/>
        <v/>
      </c>
      <c r="M21" s="40" t="e">
        <f t="shared" si="0"/>
        <v>#N/A</v>
      </c>
      <c r="N21" s="962"/>
      <c r="O21" s="54"/>
      <c r="P21" s="54"/>
      <c r="Q21" s="54"/>
      <c r="R21" s="54"/>
      <c r="S21" s="54"/>
      <c r="T21" s="342"/>
      <c r="U21" s="56"/>
      <c r="V21" s="54"/>
      <c r="W21" s="55"/>
      <c r="X21" s="57"/>
    </row>
    <row r="22" spans="1:24" s="40" customFormat="1" ht="13.9" customHeight="1" x14ac:dyDescent="0.2">
      <c r="A22" s="40">
        <v>17</v>
      </c>
      <c r="B22" s="69" t="str">
        <f>IF(ISBLANK(Listing!B22),"",Listing!B22)</f>
        <v/>
      </c>
      <c r="C22" s="69" t="str">
        <f>IF(ISBLANK(Listing!C22),"",Listing!C22)</f>
        <v/>
      </c>
      <c r="D22" s="69" t="str">
        <f>IF(ISBLANK(Listing!D22),"",Listing!D22)</f>
        <v/>
      </c>
      <c r="E22" s="69" t="str">
        <f>IF(ISBLANK(Listing!E22),"",Listing!E22)</f>
        <v/>
      </c>
      <c r="F22" s="69" t="str">
        <f>IF(ISBLANK(Listing!F22),"",Listing!F22)</f>
        <v/>
      </c>
      <c r="G22" s="71" t="str">
        <f>IF(ISBLANK(Listing!G22),"",Listing!G22)</f>
        <v/>
      </c>
      <c r="H22" s="70" t="str">
        <f>IF(ISBLANK(Listing!H22),"",Listing!H22)</f>
        <v/>
      </c>
      <c r="I22" s="64" t="str">
        <f>IF(ISBLANK(Listing!J22),"",Listing!J22)</f>
        <v/>
      </c>
      <c r="J22" s="64" t="str">
        <f>IF(ISBLANK(Listing!K22),"",Listing!K22)</f>
        <v/>
      </c>
      <c r="K22" s="57" t="str">
        <f>IF(ISBLANK(Listing!I22),"",Listing!I22)</f>
        <v/>
      </c>
      <c r="L22" s="747" t="str">
        <f t="shared" si="2"/>
        <v/>
      </c>
      <c r="M22" s="40" t="e">
        <f t="shared" si="0"/>
        <v>#N/A</v>
      </c>
      <c r="N22" s="960" t="e">
        <f t="shared" ref="N22" si="6">IF(AND(M22="oui",M23="oui",M24="oui",M25="oui"),"PRO","N")</f>
        <v>#N/A</v>
      </c>
      <c r="O22" s="54"/>
      <c r="P22" s="54"/>
      <c r="Q22" s="54"/>
      <c r="R22" s="54"/>
      <c r="S22" s="54"/>
      <c r="T22" s="342"/>
      <c r="U22" s="56"/>
      <c r="V22" s="54"/>
      <c r="W22" s="55"/>
      <c r="X22" s="57"/>
    </row>
    <row r="23" spans="1:24" s="40" customFormat="1" ht="13.9" customHeight="1" x14ac:dyDescent="0.2">
      <c r="A23" s="40">
        <v>18</v>
      </c>
      <c r="B23" s="69" t="str">
        <f>IF(ISBLANK(Listing!B23),"",Listing!B23)</f>
        <v/>
      </c>
      <c r="C23" s="69" t="str">
        <f>IF(ISBLANK(Listing!C23),"",Listing!C23)</f>
        <v/>
      </c>
      <c r="D23" s="69" t="str">
        <f>IF(ISBLANK(Listing!D23),"",Listing!D23)</f>
        <v/>
      </c>
      <c r="E23" s="69" t="str">
        <f>IF(ISBLANK(Listing!E23),"",Listing!E23)</f>
        <v/>
      </c>
      <c r="F23" s="69" t="str">
        <f>IF(ISBLANK(Listing!F23),"",Listing!F23)</f>
        <v/>
      </c>
      <c r="G23" s="71" t="str">
        <f>IF(ISBLANK(Listing!G23),"",Listing!G23)</f>
        <v/>
      </c>
      <c r="H23" s="70" t="str">
        <f>IF(ISBLANK(Listing!H23),"",Listing!H23)</f>
        <v/>
      </c>
      <c r="I23" s="64" t="str">
        <f>IF(ISBLANK(Listing!J23),"",Listing!J23)</f>
        <v/>
      </c>
      <c r="J23" s="64" t="str">
        <f>IF(ISBLANK(Listing!K23),"",Listing!K23)</f>
        <v/>
      </c>
      <c r="K23" s="57" t="str">
        <f>IF(ISBLANK(Listing!I23),"",Listing!I23)</f>
        <v/>
      </c>
      <c r="L23" s="747" t="str">
        <f t="shared" si="2"/>
        <v/>
      </c>
      <c r="M23" s="40" t="e">
        <f t="shared" si="0"/>
        <v>#N/A</v>
      </c>
      <c r="N23" s="961"/>
      <c r="O23" s="54"/>
      <c r="P23" s="54"/>
      <c r="Q23" s="54"/>
      <c r="R23" s="54"/>
      <c r="S23" s="54"/>
      <c r="T23" s="342"/>
      <c r="U23" s="56"/>
      <c r="V23" s="54"/>
      <c r="W23" s="55"/>
      <c r="X23" s="57"/>
    </row>
    <row r="24" spans="1:24" s="40" customFormat="1" ht="13.9" customHeight="1" x14ac:dyDescent="0.2">
      <c r="A24" s="40">
        <v>19</v>
      </c>
      <c r="B24" s="69" t="str">
        <f>IF(ISBLANK(Listing!B24),"",Listing!B24)</f>
        <v/>
      </c>
      <c r="C24" s="69" t="str">
        <f>IF(ISBLANK(Listing!C24),"",Listing!C24)</f>
        <v/>
      </c>
      <c r="D24" s="69" t="str">
        <f>IF(ISBLANK(Listing!D24),"",Listing!D24)</f>
        <v/>
      </c>
      <c r="E24" s="69" t="str">
        <f>IF(ISBLANK(Listing!E24),"",Listing!E24)</f>
        <v/>
      </c>
      <c r="F24" s="69" t="str">
        <f>IF(ISBLANK(Listing!F24),"",Listing!F24)</f>
        <v/>
      </c>
      <c r="G24" s="71" t="str">
        <f>IF(ISBLANK(Listing!G24),"",Listing!G24)</f>
        <v/>
      </c>
      <c r="H24" s="70" t="str">
        <f>IF(ISBLANK(Listing!H24),"",Listing!H24)</f>
        <v/>
      </c>
      <c r="I24" s="64" t="str">
        <f>IF(ISBLANK(Listing!J24),"",Listing!J24)</f>
        <v/>
      </c>
      <c r="J24" s="64" t="str">
        <f>IF(ISBLANK(Listing!K24),"",Listing!K24)</f>
        <v/>
      </c>
      <c r="K24" s="57" t="str">
        <f>IF(ISBLANK(Listing!I24),"",Listing!I24)</f>
        <v/>
      </c>
      <c r="L24" s="747" t="str">
        <f t="shared" si="2"/>
        <v/>
      </c>
      <c r="M24" s="40" t="e">
        <f t="shared" si="0"/>
        <v>#N/A</v>
      </c>
      <c r="N24" s="961"/>
      <c r="O24" s="54"/>
      <c r="P24" s="54"/>
      <c r="Q24" s="54"/>
      <c r="R24" s="54"/>
      <c r="S24" s="54"/>
      <c r="T24" s="342"/>
      <c r="U24" s="56"/>
      <c r="V24" s="54"/>
      <c r="W24" s="55"/>
      <c r="X24" s="57"/>
    </row>
    <row r="25" spans="1:24" s="40" customFormat="1" ht="13.9" customHeight="1" thickBot="1" x14ac:dyDescent="0.25">
      <c r="A25" s="40">
        <v>20</v>
      </c>
      <c r="B25" s="69" t="str">
        <f>IF(ISBLANK(Listing!B25),"",Listing!B25)</f>
        <v/>
      </c>
      <c r="C25" s="69" t="str">
        <f>IF(ISBLANK(Listing!C25),"",Listing!C25)</f>
        <v/>
      </c>
      <c r="D25" s="69" t="str">
        <f>IF(ISBLANK(Listing!D25),"",Listing!D25)</f>
        <v/>
      </c>
      <c r="E25" s="69" t="str">
        <f>IF(ISBLANK(Listing!E25),"",Listing!E25)</f>
        <v/>
      </c>
      <c r="F25" s="69" t="str">
        <f>IF(ISBLANK(Listing!F25),"",Listing!F25)</f>
        <v/>
      </c>
      <c r="G25" s="71" t="str">
        <f>IF(ISBLANK(Listing!G25),"",Listing!G25)</f>
        <v/>
      </c>
      <c r="H25" s="70" t="str">
        <f>IF(ISBLANK(Listing!H25),"",Listing!H25)</f>
        <v/>
      </c>
      <c r="I25" s="64" t="str">
        <f>IF(ISBLANK(Listing!J25),"",Listing!J25)</f>
        <v/>
      </c>
      <c r="J25" s="64" t="str">
        <f>IF(ISBLANK(Listing!K25),"",Listing!K25)</f>
        <v/>
      </c>
      <c r="K25" s="57" t="str">
        <f>IF(ISBLANK(Listing!I25),"",Listing!I25)</f>
        <v/>
      </c>
      <c r="L25" s="747" t="str">
        <f t="shared" si="2"/>
        <v/>
      </c>
      <c r="M25" s="40" t="e">
        <f t="shared" si="0"/>
        <v>#N/A</v>
      </c>
      <c r="N25" s="962"/>
      <c r="O25" s="54"/>
      <c r="P25" s="54"/>
      <c r="Q25" s="54"/>
      <c r="R25" s="54"/>
      <c r="S25" s="54"/>
      <c r="T25" s="342"/>
      <c r="U25" s="56"/>
      <c r="V25" s="54"/>
      <c r="W25" s="55"/>
      <c r="X25" s="57"/>
    </row>
    <row r="26" spans="1:24" s="40" customFormat="1" ht="13.9" customHeight="1" x14ac:dyDescent="0.2">
      <c r="A26" s="40">
        <v>21</v>
      </c>
      <c r="B26" s="69" t="str">
        <f>IF(ISBLANK(Listing!B26),"",Listing!B26)</f>
        <v/>
      </c>
      <c r="C26" s="69" t="str">
        <f>IF(ISBLANK(Listing!C26),"",Listing!C26)</f>
        <v/>
      </c>
      <c r="D26" s="69" t="str">
        <f>IF(ISBLANK(Listing!D26),"",Listing!D26)</f>
        <v/>
      </c>
      <c r="E26" s="69" t="str">
        <f>IF(ISBLANK(Listing!E26),"",Listing!E26)</f>
        <v/>
      </c>
      <c r="F26" s="69" t="str">
        <f>IF(ISBLANK(Listing!F26),"",Listing!F26)</f>
        <v/>
      </c>
      <c r="G26" s="71" t="str">
        <f>IF(ISBLANK(Listing!G26),"",Listing!G26)</f>
        <v/>
      </c>
      <c r="H26" s="70" t="str">
        <f>IF(ISBLANK(Listing!H26),"",Listing!H26)</f>
        <v/>
      </c>
      <c r="I26" s="64" t="str">
        <f>IF(ISBLANK(Listing!J26),"",Listing!J26)</f>
        <v/>
      </c>
      <c r="J26" s="64" t="str">
        <f>IF(ISBLANK(Listing!K26),"",Listing!K26)</f>
        <v/>
      </c>
      <c r="K26" s="57" t="str">
        <f>IF(ISBLANK(Listing!I26),"",Listing!I26)</f>
        <v/>
      </c>
      <c r="L26" s="747" t="str">
        <f t="shared" si="2"/>
        <v/>
      </c>
      <c r="M26" s="40" t="e">
        <f t="shared" si="0"/>
        <v>#N/A</v>
      </c>
      <c r="N26" s="960" t="e">
        <f t="shared" ref="N26" si="7">IF(AND(M26="oui",M27="oui",M28="oui",M29="oui"),"PRO","N")</f>
        <v>#N/A</v>
      </c>
      <c r="O26" s="54"/>
      <c r="P26" s="54"/>
      <c r="Q26" s="54"/>
      <c r="R26" s="54"/>
      <c r="S26" s="54"/>
      <c r="T26" s="342"/>
      <c r="U26" s="56"/>
      <c r="V26" s="54"/>
      <c r="W26" s="55"/>
      <c r="X26" s="57"/>
    </row>
    <row r="27" spans="1:24" s="40" customFormat="1" ht="13.9" customHeight="1" x14ac:dyDescent="0.2">
      <c r="A27" s="40">
        <v>22</v>
      </c>
      <c r="B27" s="69" t="str">
        <f>IF(ISBLANK(Listing!B27),"",Listing!B27)</f>
        <v/>
      </c>
      <c r="C27" s="69" t="str">
        <f>IF(ISBLANK(Listing!C27),"",Listing!C27)</f>
        <v/>
      </c>
      <c r="D27" s="69" t="str">
        <f>IF(ISBLANK(Listing!D27),"",Listing!D27)</f>
        <v/>
      </c>
      <c r="E27" s="69" t="str">
        <f>IF(ISBLANK(Listing!E27),"",Listing!E27)</f>
        <v/>
      </c>
      <c r="F27" s="69" t="str">
        <f>IF(ISBLANK(Listing!F27),"",Listing!F27)</f>
        <v/>
      </c>
      <c r="G27" s="71" t="str">
        <f>IF(ISBLANK(Listing!G27),"",Listing!G27)</f>
        <v/>
      </c>
      <c r="H27" s="70" t="str">
        <f>IF(ISBLANK(Listing!H27),"",Listing!H27)</f>
        <v/>
      </c>
      <c r="I27" s="64" t="str">
        <f>IF(ISBLANK(Listing!J27),"",Listing!J27)</f>
        <v/>
      </c>
      <c r="J27" s="64" t="str">
        <f>IF(ISBLANK(Listing!K27),"",Listing!K27)</f>
        <v/>
      </c>
      <c r="K27" s="57" t="str">
        <f>IF(ISBLANK(Listing!I27),"",Listing!I27)</f>
        <v/>
      </c>
      <c r="L27" s="747" t="str">
        <f t="shared" si="2"/>
        <v/>
      </c>
      <c r="M27" s="40" t="e">
        <f t="shared" si="0"/>
        <v>#N/A</v>
      </c>
      <c r="N27" s="961"/>
      <c r="O27" s="54"/>
      <c r="P27" s="54"/>
      <c r="Q27" s="54"/>
      <c r="R27" s="54"/>
      <c r="S27" s="54"/>
      <c r="T27" s="342"/>
      <c r="U27" s="56"/>
      <c r="V27" s="54"/>
      <c r="W27" s="55"/>
      <c r="X27" s="57"/>
    </row>
    <row r="28" spans="1:24" s="40" customFormat="1" ht="13.9" customHeight="1" x14ac:dyDescent="0.2">
      <c r="A28" s="40">
        <v>23</v>
      </c>
      <c r="B28" s="69" t="str">
        <f>IF(ISBLANK(Listing!B28),"",Listing!B28)</f>
        <v/>
      </c>
      <c r="C28" s="69" t="str">
        <f>IF(ISBLANK(Listing!C28),"",Listing!C28)</f>
        <v/>
      </c>
      <c r="D28" s="69" t="str">
        <f>IF(ISBLANK(Listing!D28),"",Listing!D28)</f>
        <v/>
      </c>
      <c r="E28" s="69" t="str">
        <f>IF(ISBLANK(Listing!E28),"",Listing!E28)</f>
        <v/>
      </c>
      <c r="F28" s="69" t="str">
        <f>IF(ISBLANK(Listing!F28),"",Listing!F28)</f>
        <v/>
      </c>
      <c r="G28" s="71" t="str">
        <f>IF(ISBLANK(Listing!G28),"",Listing!G28)</f>
        <v/>
      </c>
      <c r="H28" s="70" t="str">
        <f>IF(ISBLANK(Listing!H28),"",Listing!H28)</f>
        <v/>
      </c>
      <c r="I28" s="64" t="str">
        <f>IF(ISBLANK(Listing!J28),"",Listing!J28)</f>
        <v/>
      </c>
      <c r="J28" s="64" t="str">
        <f>IF(ISBLANK(Listing!K28),"",Listing!K28)</f>
        <v/>
      </c>
      <c r="K28" s="57" t="str">
        <f>IF(ISBLANK(Listing!I28),"",Listing!I28)</f>
        <v/>
      </c>
      <c r="L28" s="747" t="str">
        <f t="shared" si="2"/>
        <v/>
      </c>
      <c r="M28" s="40" t="e">
        <f t="shared" si="0"/>
        <v>#N/A</v>
      </c>
      <c r="N28" s="961"/>
      <c r="O28" s="54"/>
      <c r="P28" s="54"/>
      <c r="Q28" s="54"/>
      <c r="R28" s="54"/>
      <c r="S28" s="54"/>
      <c r="T28" s="342"/>
      <c r="U28" s="56"/>
      <c r="V28" s="54"/>
      <c r="W28" s="55"/>
      <c r="X28" s="57"/>
    </row>
    <row r="29" spans="1:24" s="40" customFormat="1" ht="13.9" customHeight="1" thickBot="1" x14ac:dyDescent="0.25">
      <c r="A29" s="40">
        <v>24</v>
      </c>
      <c r="B29" s="69" t="str">
        <f>IF(ISBLANK(Listing!B29),"",Listing!B29)</f>
        <v/>
      </c>
      <c r="C29" s="69" t="str">
        <f>IF(ISBLANK(Listing!C29),"",Listing!C29)</f>
        <v/>
      </c>
      <c r="D29" s="69" t="str">
        <f>IF(ISBLANK(Listing!D29),"",Listing!D29)</f>
        <v/>
      </c>
      <c r="E29" s="69" t="str">
        <f>IF(ISBLANK(Listing!E29),"",Listing!E29)</f>
        <v/>
      </c>
      <c r="F29" s="69" t="str">
        <f>IF(ISBLANK(Listing!F29),"",Listing!F29)</f>
        <v/>
      </c>
      <c r="G29" s="71" t="str">
        <f>IF(ISBLANK(Listing!G29),"",Listing!G29)</f>
        <v/>
      </c>
      <c r="H29" s="70" t="str">
        <f>IF(ISBLANK(Listing!H29),"",Listing!H29)</f>
        <v/>
      </c>
      <c r="I29" s="64" t="str">
        <f>IF(ISBLANK(Listing!J29),"",Listing!J29)</f>
        <v/>
      </c>
      <c r="J29" s="64" t="str">
        <f>IF(ISBLANK(Listing!K29),"",Listing!K29)</f>
        <v/>
      </c>
      <c r="K29" s="57" t="str">
        <f>IF(ISBLANK(Listing!I29),"",Listing!I29)</f>
        <v/>
      </c>
      <c r="L29" s="747" t="str">
        <f t="shared" si="2"/>
        <v/>
      </c>
      <c r="M29" s="40" t="e">
        <f t="shared" si="0"/>
        <v>#N/A</v>
      </c>
      <c r="N29" s="962"/>
      <c r="O29" s="54"/>
      <c r="P29" s="54"/>
      <c r="Q29" s="54"/>
      <c r="R29" s="54"/>
      <c r="S29" s="54"/>
      <c r="T29" s="342"/>
      <c r="U29" s="56"/>
      <c r="V29" s="54"/>
      <c r="W29" s="55"/>
      <c r="X29" s="57"/>
    </row>
    <row r="30" spans="1:24" s="40" customFormat="1" ht="13.9" customHeight="1" x14ac:dyDescent="0.2">
      <c r="A30" s="40">
        <v>25</v>
      </c>
      <c r="B30" s="69" t="str">
        <f>IF(ISBLANK(Listing!B30),"",Listing!B30)</f>
        <v/>
      </c>
      <c r="C30" s="69" t="str">
        <f>IF(ISBLANK(Listing!C30),"",Listing!C30)</f>
        <v/>
      </c>
      <c r="D30" s="69" t="str">
        <f>IF(ISBLANK(Listing!D30),"",Listing!D30)</f>
        <v/>
      </c>
      <c r="E30" s="69" t="str">
        <f>IF(ISBLANK(Listing!E30),"",Listing!E30)</f>
        <v/>
      </c>
      <c r="F30" s="69" t="str">
        <f>IF(ISBLANK(Listing!F30),"",Listing!F30)</f>
        <v/>
      </c>
      <c r="G30" s="71" t="str">
        <f>IF(ISBLANK(Listing!G30),"",Listing!G30)</f>
        <v/>
      </c>
      <c r="H30" s="70" t="str">
        <f>IF(ISBLANK(Listing!H30),"",Listing!H30)</f>
        <v/>
      </c>
      <c r="I30" s="64" t="str">
        <f>IF(ISBLANK(Listing!J30),"",Listing!J30)</f>
        <v/>
      </c>
      <c r="J30" s="64" t="str">
        <f>IF(ISBLANK(Listing!K30),"",Listing!K30)</f>
        <v/>
      </c>
      <c r="K30" s="57" t="str">
        <f>IF(ISBLANK(Listing!I30),"",Listing!I30)</f>
        <v/>
      </c>
      <c r="L30" s="747" t="str">
        <f t="shared" si="2"/>
        <v/>
      </c>
      <c r="M30" s="40" t="e">
        <f t="shared" si="0"/>
        <v>#N/A</v>
      </c>
      <c r="N30" s="960" t="e">
        <f t="shared" ref="N30" si="8">IF(AND(M30="oui",M31="oui",M32="oui",M33="oui"),"PRO","N")</f>
        <v>#N/A</v>
      </c>
      <c r="O30" s="54"/>
      <c r="P30" s="54"/>
      <c r="Q30" s="54"/>
      <c r="R30" s="54"/>
      <c r="S30" s="54"/>
      <c r="T30" s="342"/>
      <c r="U30" s="56"/>
      <c r="V30" s="54"/>
      <c r="W30" s="55"/>
      <c r="X30" s="57"/>
    </row>
    <row r="31" spans="1:24" s="40" customFormat="1" ht="13.9" customHeight="1" x14ac:dyDescent="0.2">
      <c r="A31" s="40">
        <v>26</v>
      </c>
      <c r="B31" s="69" t="str">
        <f>IF(ISBLANK(Listing!B31),"",Listing!B31)</f>
        <v/>
      </c>
      <c r="C31" s="69" t="str">
        <f>IF(ISBLANK(Listing!C31),"",Listing!C31)</f>
        <v/>
      </c>
      <c r="D31" s="69" t="str">
        <f>IF(ISBLANK(Listing!D31),"",Listing!D31)</f>
        <v/>
      </c>
      <c r="E31" s="69" t="str">
        <f>IF(ISBLANK(Listing!E31),"",Listing!E31)</f>
        <v/>
      </c>
      <c r="F31" s="69" t="str">
        <f>IF(ISBLANK(Listing!F31),"",Listing!F31)</f>
        <v/>
      </c>
      <c r="G31" s="71" t="str">
        <f>IF(ISBLANK(Listing!G31),"",Listing!G31)</f>
        <v/>
      </c>
      <c r="H31" s="70" t="str">
        <f>IF(ISBLANK(Listing!H31),"",Listing!H31)</f>
        <v/>
      </c>
      <c r="I31" s="64" t="str">
        <f>IF(ISBLANK(Listing!J31),"",Listing!J31)</f>
        <v/>
      </c>
      <c r="J31" s="64" t="str">
        <f>IF(ISBLANK(Listing!K31),"",Listing!K31)</f>
        <v/>
      </c>
      <c r="K31" s="57" t="str">
        <f>IF(ISBLANK(Listing!I31),"",Listing!I31)</f>
        <v/>
      </c>
      <c r="L31" s="747" t="str">
        <f t="shared" si="2"/>
        <v/>
      </c>
      <c r="M31" s="40" t="e">
        <f t="shared" si="0"/>
        <v>#N/A</v>
      </c>
      <c r="N31" s="961"/>
      <c r="O31" s="54"/>
      <c r="P31" s="54"/>
      <c r="Q31" s="54"/>
      <c r="R31" s="54"/>
      <c r="S31" s="54"/>
      <c r="T31" s="342"/>
      <c r="U31" s="56"/>
      <c r="V31" s="54"/>
      <c r="W31" s="55"/>
      <c r="X31" s="57"/>
    </row>
    <row r="32" spans="1:24" s="40" customFormat="1" ht="13.9" customHeight="1" x14ac:dyDescent="0.2">
      <c r="A32" s="40">
        <v>27</v>
      </c>
      <c r="B32" s="69" t="str">
        <f>IF(ISBLANK(Listing!B32),"",Listing!B32)</f>
        <v/>
      </c>
      <c r="C32" s="69" t="str">
        <f>IF(ISBLANK(Listing!C32),"",Listing!C32)</f>
        <v/>
      </c>
      <c r="D32" s="69" t="str">
        <f>IF(ISBLANK(Listing!D32),"",Listing!D32)</f>
        <v/>
      </c>
      <c r="E32" s="69" t="str">
        <f>IF(ISBLANK(Listing!E32),"",Listing!E32)</f>
        <v/>
      </c>
      <c r="F32" s="69" t="str">
        <f>IF(ISBLANK(Listing!F32),"",Listing!F32)</f>
        <v/>
      </c>
      <c r="G32" s="71" t="str">
        <f>IF(ISBLANK(Listing!G32),"",Listing!G32)</f>
        <v/>
      </c>
      <c r="H32" s="70" t="str">
        <f>IF(ISBLANK(Listing!H32),"",Listing!H32)</f>
        <v/>
      </c>
      <c r="I32" s="64" t="str">
        <f>IF(ISBLANK(Listing!J32),"",Listing!J32)</f>
        <v/>
      </c>
      <c r="J32" s="64" t="str">
        <f>IF(ISBLANK(Listing!K32),"",Listing!K32)</f>
        <v/>
      </c>
      <c r="K32" s="57" t="str">
        <f>IF(ISBLANK(Listing!I32),"",Listing!I32)</f>
        <v/>
      </c>
      <c r="L32" s="747" t="str">
        <f t="shared" si="2"/>
        <v/>
      </c>
      <c r="M32" s="40" t="e">
        <f t="shared" si="0"/>
        <v>#N/A</v>
      </c>
      <c r="N32" s="961"/>
      <c r="O32" s="54"/>
      <c r="P32" s="54"/>
      <c r="Q32" s="54"/>
      <c r="R32" s="54"/>
      <c r="S32" s="54"/>
      <c r="T32" s="342"/>
      <c r="U32" s="56"/>
      <c r="V32" s="54"/>
      <c r="W32" s="55"/>
      <c r="X32" s="57"/>
    </row>
    <row r="33" spans="1:24" s="40" customFormat="1" ht="13.9" customHeight="1" thickBot="1" x14ac:dyDescent="0.25">
      <c r="A33" s="40">
        <v>28</v>
      </c>
      <c r="B33" s="69" t="str">
        <f>IF(ISBLANK(Listing!B33),"",Listing!B33)</f>
        <v/>
      </c>
      <c r="C33" s="69" t="str">
        <f>IF(ISBLANK(Listing!C33),"",Listing!C33)</f>
        <v/>
      </c>
      <c r="D33" s="69" t="str">
        <f>IF(ISBLANK(Listing!D33),"",Listing!D33)</f>
        <v/>
      </c>
      <c r="E33" s="69" t="str">
        <f>IF(ISBLANK(Listing!E33),"",Listing!E33)</f>
        <v/>
      </c>
      <c r="F33" s="69" t="str">
        <f>IF(ISBLANK(Listing!F33),"",Listing!F33)</f>
        <v/>
      </c>
      <c r="G33" s="71" t="str">
        <f>IF(ISBLANK(Listing!G33),"",Listing!G33)</f>
        <v/>
      </c>
      <c r="H33" s="70" t="str">
        <f>IF(ISBLANK(Listing!H33),"",Listing!H33)</f>
        <v/>
      </c>
      <c r="I33" s="64" t="str">
        <f>IF(ISBLANK(Listing!J33),"",Listing!J33)</f>
        <v/>
      </c>
      <c r="J33" s="64" t="str">
        <f>IF(ISBLANK(Listing!K33),"",Listing!K33)</f>
        <v/>
      </c>
      <c r="K33" s="57" t="str">
        <f>IF(ISBLANK(Listing!I33),"",Listing!I33)</f>
        <v/>
      </c>
      <c r="L33" s="747" t="str">
        <f t="shared" si="2"/>
        <v/>
      </c>
      <c r="M33" s="40" t="e">
        <f t="shared" si="0"/>
        <v>#N/A</v>
      </c>
      <c r="N33" s="962"/>
      <c r="O33" s="54"/>
      <c r="P33" s="54"/>
      <c r="Q33" s="54"/>
      <c r="R33" s="54"/>
      <c r="S33" s="54"/>
      <c r="T33" s="342"/>
      <c r="U33" s="56"/>
      <c r="V33" s="54"/>
      <c r="W33" s="55"/>
      <c r="X33" s="57"/>
    </row>
    <row r="34" spans="1:24" s="40" customFormat="1" ht="13.9" customHeight="1" x14ac:dyDescent="0.2">
      <c r="A34" s="40">
        <v>29</v>
      </c>
      <c r="B34" s="69" t="str">
        <f>IF(ISBLANK(Listing!B34),"",Listing!B34)</f>
        <v/>
      </c>
      <c r="C34" s="69" t="str">
        <f>IF(ISBLANK(Listing!C34),"",Listing!C34)</f>
        <v/>
      </c>
      <c r="D34" s="69" t="str">
        <f>IF(ISBLANK(Listing!D34),"",Listing!D34)</f>
        <v/>
      </c>
      <c r="E34" s="69" t="str">
        <f>IF(ISBLANK(Listing!E34),"",Listing!E34)</f>
        <v/>
      </c>
      <c r="F34" s="69" t="str">
        <f>IF(ISBLANK(Listing!F34),"",Listing!F34)</f>
        <v/>
      </c>
      <c r="G34" s="71" t="str">
        <f>IF(ISBLANK(Listing!G34),"",Listing!G34)</f>
        <v/>
      </c>
      <c r="H34" s="70" t="str">
        <f>IF(ISBLANK(Listing!H34),"",Listing!H34)</f>
        <v/>
      </c>
      <c r="I34" s="64" t="str">
        <f>IF(ISBLANK(Listing!J34),"",Listing!J34)</f>
        <v/>
      </c>
      <c r="J34" s="64" t="str">
        <f>IF(ISBLANK(Listing!K34),"",Listing!K34)</f>
        <v/>
      </c>
      <c r="K34" s="57" t="str">
        <f>IF(ISBLANK(Listing!I34),"",Listing!I34)</f>
        <v/>
      </c>
      <c r="L34" s="747" t="str">
        <f t="shared" si="2"/>
        <v/>
      </c>
      <c r="M34" s="40" t="e">
        <f t="shared" si="0"/>
        <v>#N/A</v>
      </c>
      <c r="N34" s="960" t="e">
        <f t="shared" ref="N34" si="9">IF(AND(M34="oui",M35="oui",M36="oui",M37="oui"),"PRO","N")</f>
        <v>#N/A</v>
      </c>
      <c r="O34" s="54"/>
      <c r="P34" s="54"/>
      <c r="Q34" s="54"/>
      <c r="R34" s="54"/>
      <c r="S34" s="54"/>
      <c r="T34" s="342"/>
      <c r="U34" s="56"/>
      <c r="V34" s="54"/>
      <c r="W34" s="55"/>
      <c r="X34" s="57"/>
    </row>
    <row r="35" spans="1:24" s="40" customFormat="1" ht="13.9" customHeight="1" x14ac:dyDescent="0.2">
      <c r="A35" s="40">
        <v>30</v>
      </c>
      <c r="B35" s="69" t="str">
        <f>IF(ISBLANK(Listing!B35),"",Listing!B35)</f>
        <v/>
      </c>
      <c r="C35" s="69" t="str">
        <f>IF(ISBLANK(Listing!C35),"",Listing!C35)</f>
        <v/>
      </c>
      <c r="D35" s="69" t="str">
        <f>IF(ISBLANK(Listing!D35),"",Listing!D35)</f>
        <v/>
      </c>
      <c r="E35" s="69" t="str">
        <f>IF(ISBLANK(Listing!E35),"",Listing!E35)</f>
        <v/>
      </c>
      <c r="F35" s="69" t="str">
        <f>IF(ISBLANK(Listing!F35),"",Listing!F35)</f>
        <v/>
      </c>
      <c r="G35" s="71" t="str">
        <f>IF(ISBLANK(Listing!G35),"",Listing!G35)</f>
        <v/>
      </c>
      <c r="H35" s="70" t="str">
        <f>IF(ISBLANK(Listing!H35),"",Listing!H35)</f>
        <v/>
      </c>
      <c r="I35" s="64" t="str">
        <f>IF(ISBLANK(Listing!J35),"",Listing!J35)</f>
        <v/>
      </c>
      <c r="J35" s="64" t="str">
        <f>IF(ISBLANK(Listing!K35),"",Listing!K35)</f>
        <v/>
      </c>
      <c r="K35" s="57" t="str">
        <f>IF(ISBLANK(Listing!I35),"",Listing!I35)</f>
        <v/>
      </c>
      <c r="L35" s="747" t="str">
        <f t="shared" si="2"/>
        <v/>
      </c>
      <c r="M35" s="40" t="e">
        <f t="shared" si="0"/>
        <v>#N/A</v>
      </c>
      <c r="N35" s="961"/>
      <c r="O35" s="54"/>
      <c r="P35" s="54"/>
      <c r="Q35" s="54"/>
      <c r="R35" s="54"/>
      <c r="S35" s="54"/>
      <c r="T35" s="342"/>
      <c r="U35" s="56"/>
      <c r="V35" s="54"/>
      <c r="W35" s="55"/>
      <c r="X35" s="57"/>
    </row>
    <row r="36" spans="1:24" s="40" customFormat="1" ht="13.9" customHeight="1" x14ac:dyDescent="0.2">
      <c r="A36" s="40">
        <v>31</v>
      </c>
      <c r="B36" s="69" t="str">
        <f>IF(ISBLANK(Listing!B36),"",Listing!B36)</f>
        <v/>
      </c>
      <c r="C36" s="69" t="str">
        <f>IF(ISBLANK(Listing!C36),"",Listing!C36)</f>
        <v/>
      </c>
      <c r="D36" s="69" t="str">
        <f>IF(ISBLANK(Listing!D36),"",Listing!D36)</f>
        <v/>
      </c>
      <c r="E36" s="69" t="str">
        <f>IF(ISBLANK(Listing!E36),"",Listing!E36)</f>
        <v/>
      </c>
      <c r="F36" s="69" t="str">
        <f>IF(ISBLANK(Listing!F36),"",Listing!F36)</f>
        <v/>
      </c>
      <c r="G36" s="71" t="str">
        <f>IF(ISBLANK(Listing!G36),"",Listing!G36)</f>
        <v/>
      </c>
      <c r="H36" s="70" t="str">
        <f>IF(ISBLANK(Listing!H36),"",Listing!H36)</f>
        <v/>
      </c>
      <c r="I36" s="64" t="str">
        <f>IF(ISBLANK(Listing!J36),"",Listing!J36)</f>
        <v/>
      </c>
      <c r="J36" s="64" t="str">
        <f>IF(ISBLANK(Listing!K36),"",Listing!K36)</f>
        <v/>
      </c>
      <c r="K36" s="57" t="str">
        <f>IF(ISBLANK(Listing!I36),"",Listing!I36)</f>
        <v/>
      </c>
      <c r="L36" s="747" t="str">
        <f t="shared" si="2"/>
        <v/>
      </c>
      <c r="M36" s="40" t="e">
        <f t="shared" si="0"/>
        <v>#N/A</v>
      </c>
      <c r="N36" s="961"/>
      <c r="O36" s="54"/>
      <c r="P36" s="54"/>
      <c r="Q36" s="54"/>
      <c r="R36" s="54"/>
      <c r="S36" s="54"/>
      <c r="T36" s="342"/>
      <c r="U36" s="56"/>
      <c r="V36" s="54"/>
      <c r="W36" s="55"/>
      <c r="X36" s="57"/>
    </row>
    <row r="37" spans="1:24" s="40" customFormat="1" ht="13.9" customHeight="1" thickBot="1" x14ac:dyDescent="0.25">
      <c r="A37" s="40">
        <v>32</v>
      </c>
      <c r="B37" s="69" t="str">
        <f>IF(ISBLANK(Listing!B37),"",Listing!B37)</f>
        <v/>
      </c>
      <c r="C37" s="69" t="str">
        <f>IF(ISBLANK(Listing!C37),"",Listing!C37)</f>
        <v/>
      </c>
      <c r="D37" s="69" t="str">
        <f>IF(ISBLANK(Listing!D37),"",Listing!D37)</f>
        <v/>
      </c>
      <c r="E37" s="69" t="str">
        <f>IF(ISBLANK(Listing!E37),"",Listing!E37)</f>
        <v/>
      </c>
      <c r="F37" s="69" t="str">
        <f>IF(ISBLANK(Listing!F37),"",Listing!F37)</f>
        <v/>
      </c>
      <c r="G37" s="71" t="str">
        <f>IF(ISBLANK(Listing!G37),"",Listing!G37)</f>
        <v/>
      </c>
      <c r="H37" s="70" t="str">
        <f>IF(ISBLANK(Listing!H37),"",Listing!H37)</f>
        <v/>
      </c>
      <c r="I37" s="64" t="str">
        <f>IF(ISBLANK(Listing!J37),"",Listing!J37)</f>
        <v/>
      </c>
      <c r="J37" s="64" t="str">
        <f>IF(ISBLANK(Listing!K37),"",Listing!K37)</f>
        <v/>
      </c>
      <c r="K37" s="57" t="str">
        <f>IF(ISBLANK(Listing!I37),"",Listing!I37)</f>
        <v/>
      </c>
      <c r="L37" s="747" t="str">
        <f t="shared" si="2"/>
        <v/>
      </c>
      <c r="M37" s="40" t="e">
        <f t="shared" si="0"/>
        <v>#N/A</v>
      </c>
      <c r="N37" s="962"/>
      <c r="O37" s="54"/>
      <c r="P37" s="54"/>
      <c r="Q37" s="54"/>
      <c r="R37" s="54"/>
      <c r="S37" s="54"/>
      <c r="T37" s="342"/>
      <c r="U37" s="56"/>
      <c r="V37" s="54"/>
      <c r="W37" s="55"/>
      <c r="X37" s="57"/>
    </row>
    <row r="38" spans="1:24" s="40" customFormat="1" ht="13.9" customHeight="1" x14ac:dyDescent="0.2">
      <c r="A38" s="40">
        <v>33</v>
      </c>
      <c r="B38" s="69" t="str">
        <f>IF(ISBLANK(Listing!B38),"",Listing!B38)</f>
        <v/>
      </c>
      <c r="C38" s="69" t="str">
        <f>IF(ISBLANK(Listing!C38),"",Listing!C38)</f>
        <v/>
      </c>
      <c r="D38" s="69" t="str">
        <f>IF(ISBLANK(Listing!D38),"",Listing!D38)</f>
        <v/>
      </c>
      <c r="E38" s="69" t="str">
        <f>IF(ISBLANK(Listing!E38),"",Listing!E38)</f>
        <v/>
      </c>
      <c r="F38" s="69" t="str">
        <f>IF(ISBLANK(Listing!F38),"",Listing!F38)</f>
        <v/>
      </c>
      <c r="G38" s="71" t="str">
        <f>IF(ISBLANK(Listing!G38),"",Listing!G38)</f>
        <v/>
      </c>
      <c r="H38" s="70" t="str">
        <f>IF(ISBLANK(Listing!H38),"",Listing!H38)</f>
        <v/>
      </c>
      <c r="I38" s="64" t="str">
        <f>IF(ISBLANK(Listing!J38),"",Listing!J38)</f>
        <v/>
      </c>
      <c r="J38" s="64" t="str">
        <f>IF(ISBLANK(Listing!K38),"",Listing!K38)</f>
        <v/>
      </c>
      <c r="K38" s="57" t="str">
        <f>IF(ISBLANK(Listing!I38),"",Listing!I38)</f>
        <v/>
      </c>
      <c r="L38" s="747" t="str">
        <f t="shared" si="2"/>
        <v/>
      </c>
      <c r="M38" s="40" t="e">
        <f t="shared" si="0"/>
        <v>#N/A</v>
      </c>
      <c r="N38" s="960" t="e">
        <f t="shared" ref="N38" si="10">IF(AND(M38="oui",M39="oui",M40="oui",M41="oui"),"PRO","N")</f>
        <v>#N/A</v>
      </c>
      <c r="O38" s="54"/>
      <c r="P38" s="54"/>
      <c r="Q38" s="54"/>
      <c r="R38" s="54"/>
      <c r="S38" s="54"/>
      <c r="T38" s="342"/>
      <c r="U38" s="56"/>
      <c r="V38" s="54"/>
      <c r="W38" s="55"/>
      <c r="X38" s="57"/>
    </row>
    <row r="39" spans="1:24" s="40" customFormat="1" ht="13.9" customHeight="1" x14ac:dyDescent="0.2">
      <c r="A39" s="40">
        <v>34</v>
      </c>
      <c r="B39" s="69" t="str">
        <f>IF(ISBLANK(Listing!B39),"",Listing!B39)</f>
        <v/>
      </c>
      <c r="C39" s="69" t="str">
        <f>IF(ISBLANK(Listing!C39),"",Listing!C39)</f>
        <v/>
      </c>
      <c r="D39" s="69" t="str">
        <f>IF(ISBLANK(Listing!D39),"",Listing!D39)</f>
        <v/>
      </c>
      <c r="E39" s="69" t="str">
        <f>IF(ISBLANK(Listing!E39),"",Listing!E39)</f>
        <v/>
      </c>
      <c r="F39" s="69" t="str">
        <f>IF(ISBLANK(Listing!F39),"",Listing!F39)</f>
        <v/>
      </c>
      <c r="G39" s="71" t="str">
        <f>IF(ISBLANK(Listing!G39),"",Listing!G39)</f>
        <v/>
      </c>
      <c r="H39" s="70" t="str">
        <f>IF(ISBLANK(Listing!H39),"",Listing!H39)</f>
        <v/>
      </c>
      <c r="I39" s="64" t="str">
        <f>IF(ISBLANK(Listing!J39),"",Listing!J39)</f>
        <v/>
      </c>
      <c r="J39" s="64" t="str">
        <f>IF(ISBLANK(Listing!K39),"",Listing!K39)</f>
        <v/>
      </c>
      <c r="K39" s="57" t="str">
        <f>IF(ISBLANK(Listing!I39),"",Listing!I39)</f>
        <v/>
      </c>
      <c r="L39" s="747" t="str">
        <f t="shared" si="2"/>
        <v/>
      </c>
      <c r="M39" s="40" t="e">
        <f t="shared" si="0"/>
        <v>#N/A</v>
      </c>
      <c r="N39" s="961"/>
      <c r="O39" s="54"/>
      <c r="P39" s="54"/>
      <c r="Q39" s="54"/>
      <c r="R39" s="54"/>
      <c r="S39" s="54"/>
      <c r="T39" s="342"/>
      <c r="U39" s="56"/>
      <c r="V39" s="54"/>
      <c r="W39" s="55"/>
      <c r="X39" s="57"/>
    </row>
    <row r="40" spans="1:24" s="40" customFormat="1" ht="13.9" customHeight="1" x14ac:dyDescent="0.2">
      <c r="A40" s="40">
        <v>35</v>
      </c>
      <c r="B40" s="69" t="str">
        <f>IF(ISBLANK(Listing!B40),"",Listing!B40)</f>
        <v/>
      </c>
      <c r="C40" s="69" t="str">
        <f>IF(ISBLANK(Listing!C40),"",Listing!C40)</f>
        <v/>
      </c>
      <c r="D40" s="69" t="str">
        <f>IF(ISBLANK(Listing!D40),"",Listing!D40)</f>
        <v/>
      </c>
      <c r="E40" s="69" t="str">
        <f>IF(ISBLANK(Listing!E40),"",Listing!E40)</f>
        <v/>
      </c>
      <c r="F40" s="69" t="str">
        <f>IF(ISBLANK(Listing!F40),"",Listing!F40)</f>
        <v/>
      </c>
      <c r="G40" s="71" t="str">
        <f>IF(ISBLANK(Listing!G40),"",Listing!G40)</f>
        <v/>
      </c>
      <c r="H40" s="70" t="str">
        <f>IF(ISBLANK(Listing!H40),"",Listing!H40)</f>
        <v/>
      </c>
      <c r="I40" s="64" t="str">
        <f>IF(ISBLANK(Listing!J40),"",Listing!J40)</f>
        <v/>
      </c>
      <c r="J40" s="64" t="str">
        <f>IF(ISBLANK(Listing!K40),"",Listing!K40)</f>
        <v/>
      </c>
      <c r="K40" s="57" t="str">
        <f>IF(ISBLANK(Listing!I40),"",Listing!I40)</f>
        <v/>
      </c>
      <c r="L40" s="747" t="str">
        <f t="shared" si="2"/>
        <v/>
      </c>
      <c r="M40" s="40" t="e">
        <f t="shared" si="0"/>
        <v>#N/A</v>
      </c>
      <c r="N40" s="961"/>
      <c r="O40" s="54"/>
      <c r="P40" s="54"/>
      <c r="Q40" s="54"/>
      <c r="R40" s="54"/>
      <c r="S40" s="54"/>
      <c r="T40" s="342"/>
      <c r="U40" s="56"/>
      <c r="V40" s="54"/>
      <c r="W40" s="55"/>
      <c r="X40" s="57"/>
    </row>
    <row r="41" spans="1:24" s="40" customFormat="1" ht="13.9" customHeight="1" thickBot="1" x14ac:dyDescent="0.25">
      <c r="A41" s="40">
        <v>36</v>
      </c>
      <c r="B41" s="69" t="str">
        <f>IF(ISBLANK(Listing!B41),"",Listing!B41)</f>
        <v/>
      </c>
      <c r="C41" s="69" t="str">
        <f>IF(ISBLANK(Listing!C41),"",Listing!C41)</f>
        <v/>
      </c>
      <c r="D41" s="69" t="str">
        <f>IF(ISBLANK(Listing!D41),"",Listing!D41)</f>
        <v/>
      </c>
      <c r="E41" s="69" t="str">
        <f>IF(ISBLANK(Listing!E41),"",Listing!E41)</f>
        <v/>
      </c>
      <c r="F41" s="69" t="str">
        <f>IF(ISBLANK(Listing!F41),"",Listing!F41)</f>
        <v/>
      </c>
      <c r="G41" s="71" t="str">
        <f>IF(ISBLANK(Listing!G41),"",Listing!G41)</f>
        <v/>
      </c>
      <c r="H41" s="70" t="str">
        <f>IF(ISBLANK(Listing!H41),"",Listing!H41)</f>
        <v/>
      </c>
      <c r="I41" s="64" t="str">
        <f>IF(ISBLANK(Listing!J41),"",Listing!J41)</f>
        <v/>
      </c>
      <c r="J41" s="64" t="str">
        <f>IF(ISBLANK(Listing!K41),"",Listing!K41)</f>
        <v/>
      </c>
      <c r="K41" s="57" t="str">
        <f>IF(ISBLANK(Listing!I41),"",Listing!I41)</f>
        <v/>
      </c>
      <c r="L41" s="747" t="str">
        <f t="shared" si="2"/>
        <v/>
      </c>
      <c r="M41" s="40" t="e">
        <f t="shared" si="0"/>
        <v>#N/A</v>
      </c>
      <c r="N41" s="962"/>
      <c r="O41" s="54"/>
      <c r="P41" s="54"/>
      <c r="Q41" s="54"/>
      <c r="R41" s="54"/>
      <c r="S41" s="54"/>
      <c r="T41" s="342"/>
      <c r="U41" s="56"/>
      <c r="V41" s="54"/>
      <c r="W41" s="55"/>
      <c r="X41" s="57"/>
    </row>
    <row r="42" spans="1:24" s="40" customFormat="1" ht="13.9" customHeight="1" x14ac:dyDescent="0.2">
      <c r="A42" s="40">
        <v>37</v>
      </c>
      <c r="B42" s="69" t="str">
        <f>IF(ISBLANK(Listing!B42),"",Listing!B42)</f>
        <v/>
      </c>
      <c r="C42" s="69" t="str">
        <f>IF(ISBLANK(Listing!C42),"",Listing!C42)</f>
        <v/>
      </c>
      <c r="D42" s="69" t="str">
        <f>IF(ISBLANK(Listing!D42),"",Listing!D42)</f>
        <v/>
      </c>
      <c r="E42" s="69" t="str">
        <f>IF(ISBLANK(Listing!E42),"",Listing!E42)</f>
        <v/>
      </c>
      <c r="F42" s="69" t="str">
        <f>IF(ISBLANK(Listing!F42),"",Listing!F42)</f>
        <v/>
      </c>
      <c r="G42" s="71" t="str">
        <f>IF(ISBLANK(Listing!G42),"",Listing!G42)</f>
        <v/>
      </c>
      <c r="H42" s="70" t="str">
        <f>IF(ISBLANK(Listing!H42),"",Listing!H42)</f>
        <v/>
      </c>
      <c r="I42" s="64" t="str">
        <f>IF(ISBLANK(Listing!J42),"",Listing!J42)</f>
        <v/>
      </c>
      <c r="J42" s="64" t="str">
        <f>IF(ISBLANK(Listing!K42),"",Listing!K42)</f>
        <v/>
      </c>
      <c r="K42" s="57" t="str">
        <f>IF(ISBLANK(Listing!I42),"",Listing!I42)</f>
        <v/>
      </c>
      <c r="L42" s="747" t="str">
        <f t="shared" si="2"/>
        <v/>
      </c>
      <c r="M42" s="40" t="e">
        <f t="shared" si="0"/>
        <v>#N/A</v>
      </c>
      <c r="N42" s="960" t="e">
        <f t="shared" ref="N42" si="11">IF(AND(M42="oui",M43="oui",M44="oui",M45="oui"),"PRO","N")</f>
        <v>#N/A</v>
      </c>
      <c r="O42" s="54"/>
      <c r="P42" s="54"/>
      <c r="Q42" s="54"/>
      <c r="R42" s="54"/>
      <c r="S42" s="54"/>
      <c r="T42" s="342"/>
      <c r="U42" s="56"/>
      <c r="V42" s="54"/>
      <c r="W42" s="55"/>
      <c r="X42" s="57"/>
    </row>
    <row r="43" spans="1:24" s="40" customFormat="1" ht="13.9" customHeight="1" x14ac:dyDescent="0.2">
      <c r="A43" s="40">
        <v>38</v>
      </c>
      <c r="B43" s="69" t="str">
        <f>IF(ISBLANK(Listing!B43),"",Listing!B43)</f>
        <v/>
      </c>
      <c r="C43" s="69" t="str">
        <f>IF(ISBLANK(Listing!C43),"",Listing!C43)</f>
        <v/>
      </c>
      <c r="D43" s="69" t="str">
        <f>IF(ISBLANK(Listing!D43),"",Listing!D43)</f>
        <v/>
      </c>
      <c r="E43" s="69" t="str">
        <f>IF(ISBLANK(Listing!E43),"",Listing!E43)</f>
        <v/>
      </c>
      <c r="F43" s="69" t="str">
        <f>IF(ISBLANK(Listing!F43),"",Listing!F43)</f>
        <v/>
      </c>
      <c r="G43" s="71" t="str">
        <f>IF(ISBLANK(Listing!G43),"",Listing!G43)</f>
        <v/>
      </c>
      <c r="H43" s="70" t="str">
        <f>IF(ISBLANK(Listing!H43),"",Listing!H43)</f>
        <v/>
      </c>
      <c r="I43" s="64" t="str">
        <f>IF(ISBLANK(Listing!J43),"",Listing!J43)</f>
        <v/>
      </c>
      <c r="J43" s="64" t="str">
        <f>IF(ISBLANK(Listing!K43),"",Listing!K43)</f>
        <v/>
      </c>
      <c r="K43" s="57" t="str">
        <f>IF(ISBLANK(Listing!I43),"",Listing!I43)</f>
        <v/>
      </c>
      <c r="L43" s="747" t="str">
        <f t="shared" si="2"/>
        <v/>
      </c>
      <c r="M43" s="40" t="e">
        <f t="shared" si="0"/>
        <v>#N/A</v>
      </c>
      <c r="N43" s="961"/>
      <c r="O43" s="54"/>
      <c r="P43" s="54"/>
      <c r="Q43" s="54"/>
      <c r="R43" s="54"/>
      <c r="S43" s="54"/>
      <c r="T43" s="342"/>
      <c r="U43" s="56"/>
      <c r="V43" s="54"/>
      <c r="W43" s="55"/>
      <c r="X43" s="57"/>
    </row>
    <row r="44" spans="1:24" s="40" customFormat="1" ht="13.9" customHeight="1" x14ac:dyDescent="0.2">
      <c r="A44" s="40">
        <v>39</v>
      </c>
      <c r="B44" s="69" t="str">
        <f>IF(ISBLANK(Listing!B44),"",Listing!B44)</f>
        <v/>
      </c>
      <c r="C44" s="69" t="str">
        <f>IF(ISBLANK(Listing!C44),"",Listing!C44)</f>
        <v/>
      </c>
      <c r="D44" s="69" t="str">
        <f>IF(ISBLANK(Listing!D44),"",Listing!D44)</f>
        <v/>
      </c>
      <c r="E44" s="69" t="str">
        <f>IF(ISBLANK(Listing!E44),"",Listing!E44)</f>
        <v/>
      </c>
      <c r="F44" s="69" t="str">
        <f>IF(ISBLANK(Listing!F44),"",Listing!F44)</f>
        <v/>
      </c>
      <c r="G44" s="71" t="str">
        <f>IF(ISBLANK(Listing!G44),"",Listing!G44)</f>
        <v/>
      </c>
      <c r="H44" s="70" t="str">
        <f>IF(ISBLANK(Listing!H44),"",Listing!H44)</f>
        <v/>
      </c>
      <c r="I44" s="64" t="str">
        <f>IF(ISBLANK(Listing!J44),"",Listing!J44)</f>
        <v/>
      </c>
      <c r="J44" s="64" t="str">
        <f>IF(ISBLANK(Listing!K44),"",Listing!K44)</f>
        <v/>
      </c>
      <c r="K44" s="57" t="str">
        <f>IF(ISBLANK(Listing!I44),"",Listing!I44)</f>
        <v/>
      </c>
      <c r="L44" s="747" t="str">
        <f t="shared" si="2"/>
        <v/>
      </c>
      <c r="M44" s="40" t="e">
        <f t="shared" si="0"/>
        <v>#N/A</v>
      </c>
      <c r="N44" s="961"/>
      <c r="O44" s="54"/>
      <c r="P44" s="54"/>
      <c r="Q44" s="54"/>
      <c r="R44" s="54"/>
      <c r="S44" s="54"/>
      <c r="T44" s="342"/>
      <c r="U44" s="56"/>
      <c r="V44" s="54"/>
      <c r="W44" s="55"/>
      <c r="X44" s="57"/>
    </row>
    <row r="45" spans="1:24" s="40" customFormat="1" ht="13.9" customHeight="1" thickBot="1" x14ac:dyDescent="0.25">
      <c r="A45" s="40">
        <v>40</v>
      </c>
      <c r="B45" s="69" t="str">
        <f>IF(ISBLANK(Listing!B45),"",Listing!B45)</f>
        <v/>
      </c>
      <c r="C45" s="69" t="str">
        <f>IF(ISBLANK(Listing!C45),"",Listing!C45)</f>
        <v/>
      </c>
      <c r="D45" s="69" t="str">
        <f>IF(ISBLANK(Listing!D45),"",Listing!D45)</f>
        <v/>
      </c>
      <c r="E45" s="69" t="str">
        <f>IF(ISBLANK(Listing!E45),"",Listing!E45)</f>
        <v/>
      </c>
      <c r="F45" s="69" t="str">
        <f>IF(ISBLANK(Listing!F45),"",Listing!F45)</f>
        <v/>
      </c>
      <c r="G45" s="71" t="str">
        <f>IF(ISBLANK(Listing!G45),"",Listing!G45)</f>
        <v/>
      </c>
      <c r="H45" s="70" t="str">
        <f>IF(ISBLANK(Listing!H45),"",Listing!H45)</f>
        <v/>
      </c>
      <c r="I45" s="64" t="str">
        <f>IF(ISBLANK(Listing!J45),"",Listing!J45)</f>
        <v/>
      </c>
      <c r="J45" s="64" t="str">
        <f>IF(ISBLANK(Listing!K45),"",Listing!K45)</f>
        <v/>
      </c>
      <c r="K45" s="57" t="str">
        <f>IF(ISBLANK(Listing!I45),"",Listing!I45)</f>
        <v/>
      </c>
      <c r="L45" s="747" t="str">
        <f t="shared" si="2"/>
        <v/>
      </c>
      <c r="M45" s="40" t="e">
        <f t="shared" si="0"/>
        <v>#N/A</v>
      </c>
      <c r="N45" s="962"/>
      <c r="O45" s="54"/>
      <c r="P45" s="54"/>
      <c r="Q45" s="54"/>
      <c r="R45" s="54"/>
      <c r="S45" s="54"/>
      <c r="T45" s="342"/>
      <c r="U45" s="56"/>
      <c r="V45" s="54"/>
      <c r="W45" s="55"/>
      <c r="X45" s="57"/>
    </row>
    <row r="46" spans="1:24" s="40" customFormat="1" ht="13.9" customHeight="1" x14ac:dyDescent="0.2">
      <c r="A46" s="40">
        <v>41</v>
      </c>
      <c r="B46" s="69" t="str">
        <f>IF(ISBLANK(Listing!B46),"",Listing!B46)</f>
        <v/>
      </c>
      <c r="C46" s="69" t="str">
        <f>IF(ISBLANK(Listing!C46),"",Listing!C46)</f>
        <v/>
      </c>
      <c r="D46" s="69" t="str">
        <f>IF(ISBLANK(Listing!D46),"",Listing!D46)</f>
        <v/>
      </c>
      <c r="E46" s="69" t="str">
        <f>IF(ISBLANK(Listing!E46),"",Listing!E46)</f>
        <v/>
      </c>
      <c r="F46" s="69" t="str">
        <f>IF(ISBLANK(Listing!F46),"",Listing!F46)</f>
        <v/>
      </c>
      <c r="G46" s="71" t="str">
        <f>IF(ISBLANK(Listing!G46),"",Listing!G46)</f>
        <v/>
      </c>
      <c r="H46" s="70" t="str">
        <f>IF(ISBLANK(Listing!H46),"",Listing!H46)</f>
        <v/>
      </c>
      <c r="I46" s="64" t="str">
        <f>IF(ISBLANK(Listing!J46),"",Listing!J46)</f>
        <v/>
      </c>
      <c r="J46" s="64" t="str">
        <f>IF(ISBLANK(Listing!K46),"",Listing!K46)</f>
        <v/>
      </c>
      <c r="K46" s="57" t="str">
        <f>IF(ISBLANK(Listing!I46),"",Listing!I46)</f>
        <v/>
      </c>
      <c r="L46" s="747" t="str">
        <f t="shared" si="2"/>
        <v/>
      </c>
      <c r="M46" s="40" t="e">
        <f t="shared" si="0"/>
        <v>#N/A</v>
      </c>
      <c r="N46" s="960" t="e">
        <f t="shared" ref="N46" si="12">IF(AND(M46="oui",M47="oui",M48="oui",M49="oui"),"PRO","N")</f>
        <v>#N/A</v>
      </c>
      <c r="O46" s="54"/>
      <c r="P46" s="54"/>
      <c r="Q46" s="54"/>
      <c r="R46" s="54"/>
      <c r="S46" s="54"/>
      <c r="T46" s="342"/>
      <c r="U46" s="56"/>
      <c r="V46" s="54"/>
      <c r="W46" s="55"/>
      <c r="X46" s="57"/>
    </row>
    <row r="47" spans="1:24" s="40" customFormat="1" ht="13.9" customHeight="1" x14ac:dyDescent="0.2">
      <c r="A47" s="40">
        <v>42</v>
      </c>
      <c r="B47" s="69" t="str">
        <f>IF(ISBLANK(Listing!B47),"",Listing!B47)</f>
        <v/>
      </c>
      <c r="C47" s="69" t="str">
        <f>IF(ISBLANK(Listing!C47),"",Listing!C47)</f>
        <v/>
      </c>
      <c r="D47" s="69" t="str">
        <f>IF(ISBLANK(Listing!D47),"",Listing!D47)</f>
        <v/>
      </c>
      <c r="E47" s="69" t="str">
        <f>IF(ISBLANK(Listing!E47),"",Listing!E47)</f>
        <v/>
      </c>
      <c r="F47" s="69" t="str">
        <f>IF(ISBLANK(Listing!F47),"",Listing!F47)</f>
        <v/>
      </c>
      <c r="G47" s="71" t="str">
        <f>IF(ISBLANK(Listing!G47),"",Listing!G47)</f>
        <v/>
      </c>
      <c r="H47" s="70" t="str">
        <f>IF(ISBLANK(Listing!H47),"",Listing!H47)</f>
        <v/>
      </c>
      <c r="I47" s="64" t="str">
        <f>IF(ISBLANK(Listing!J47),"",Listing!J47)</f>
        <v/>
      </c>
      <c r="J47" s="64" t="str">
        <f>IF(ISBLANK(Listing!K47),"",Listing!K47)</f>
        <v/>
      </c>
      <c r="K47" s="57" t="str">
        <f>IF(ISBLANK(Listing!I47),"",Listing!I47)</f>
        <v/>
      </c>
      <c r="L47" s="747" t="str">
        <f t="shared" si="2"/>
        <v/>
      </c>
      <c r="M47" s="40" t="e">
        <f t="shared" si="0"/>
        <v>#N/A</v>
      </c>
      <c r="N47" s="961"/>
      <c r="O47" s="54"/>
      <c r="P47" s="54"/>
      <c r="Q47" s="54"/>
      <c r="R47" s="54"/>
      <c r="S47" s="54"/>
      <c r="T47" s="342"/>
      <c r="U47" s="56"/>
      <c r="V47" s="54"/>
      <c r="W47" s="55"/>
      <c r="X47" s="57"/>
    </row>
    <row r="48" spans="1:24" s="40" customFormat="1" ht="13.9" customHeight="1" x14ac:dyDescent="0.2">
      <c r="A48" s="40">
        <v>43</v>
      </c>
      <c r="B48" s="69" t="str">
        <f>IF(ISBLANK(Listing!B48),"",Listing!B48)</f>
        <v/>
      </c>
      <c r="C48" s="69" t="str">
        <f>IF(ISBLANK(Listing!C48),"",Listing!C48)</f>
        <v/>
      </c>
      <c r="D48" s="69" t="str">
        <f>IF(ISBLANK(Listing!D48),"",Listing!D48)</f>
        <v/>
      </c>
      <c r="E48" s="69" t="str">
        <f>IF(ISBLANK(Listing!E48),"",Listing!E48)</f>
        <v/>
      </c>
      <c r="F48" s="69" t="str">
        <f>IF(ISBLANK(Listing!F48),"",Listing!F48)</f>
        <v/>
      </c>
      <c r="G48" s="71" t="str">
        <f>IF(ISBLANK(Listing!G48),"",Listing!G48)</f>
        <v/>
      </c>
      <c r="H48" s="70" t="str">
        <f>IF(ISBLANK(Listing!H48),"",Listing!H48)</f>
        <v/>
      </c>
      <c r="I48" s="64" t="str">
        <f>IF(ISBLANK(Listing!J48),"",Listing!J48)</f>
        <v/>
      </c>
      <c r="J48" s="64" t="str">
        <f>IF(ISBLANK(Listing!K48),"",Listing!K48)</f>
        <v/>
      </c>
      <c r="K48" s="57" t="str">
        <f>IF(ISBLANK(Listing!I48),"",Listing!I48)</f>
        <v/>
      </c>
      <c r="L48" s="747" t="str">
        <f t="shared" si="2"/>
        <v/>
      </c>
      <c r="M48" s="40" t="e">
        <f t="shared" si="0"/>
        <v>#N/A</v>
      </c>
      <c r="N48" s="961"/>
      <c r="O48" s="54"/>
      <c r="P48" s="54"/>
      <c r="Q48" s="54"/>
      <c r="R48" s="54"/>
      <c r="S48" s="54"/>
      <c r="T48" s="342"/>
      <c r="U48" s="56"/>
      <c r="V48" s="54"/>
      <c r="W48" s="55"/>
      <c r="X48" s="57"/>
    </row>
    <row r="49" spans="1:24" s="40" customFormat="1" ht="13.9" customHeight="1" thickBot="1" x14ac:dyDescent="0.25">
      <c r="A49" s="40">
        <v>44</v>
      </c>
      <c r="B49" s="69" t="str">
        <f>IF(ISBLANK(Listing!B49),"",Listing!B49)</f>
        <v/>
      </c>
      <c r="C49" s="69" t="str">
        <f>IF(ISBLANK(Listing!C49),"",Listing!C49)</f>
        <v/>
      </c>
      <c r="D49" s="69" t="str">
        <f>IF(ISBLANK(Listing!D49),"",Listing!D49)</f>
        <v/>
      </c>
      <c r="E49" s="69" t="str">
        <f>IF(ISBLANK(Listing!E49),"",Listing!E49)</f>
        <v/>
      </c>
      <c r="F49" s="69" t="str">
        <f>IF(ISBLANK(Listing!F49),"",Listing!F49)</f>
        <v/>
      </c>
      <c r="G49" s="71" t="str">
        <f>IF(ISBLANK(Listing!G49),"",Listing!G49)</f>
        <v/>
      </c>
      <c r="H49" s="70" t="str">
        <f>IF(ISBLANK(Listing!H49),"",Listing!H49)</f>
        <v/>
      </c>
      <c r="I49" s="64" t="str">
        <f>IF(ISBLANK(Listing!J49),"",Listing!J49)</f>
        <v/>
      </c>
      <c r="J49" s="64" t="str">
        <f>IF(ISBLANK(Listing!K49),"",Listing!K49)</f>
        <v/>
      </c>
      <c r="K49" s="57" t="str">
        <f>IF(ISBLANK(Listing!I49),"",Listing!I49)</f>
        <v/>
      </c>
      <c r="L49" s="747" t="str">
        <f t="shared" si="2"/>
        <v/>
      </c>
      <c r="M49" s="40" t="e">
        <f t="shared" si="0"/>
        <v>#N/A</v>
      </c>
      <c r="N49" s="962"/>
      <c r="O49" s="54"/>
      <c r="P49" s="54"/>
      <c r="Q49" s="54"/>
      <c r="R49" s="54"/>
      <c r="S49" s="54"/>
      <c r="T49" s="342"/>
      <c r="U49" s="56"/>
      <c r="V49" s="54"/>
      <c r="W49" s="55"/>
      <c r="X49" s="57"/>
    </row>
    <row r="50" spans="1:24" s="40" customFormat="1" ht="13.9" customHeight="1" x14ac:dyDescent="0.2">
      <c r="A50" s="40">
        <v>45</v>
      </c>
      <c r="B50" s="69" t="str">
        <f>IF(ISBLANK(Listing!B50),"",Listing!B50)</f>
        <v/>
      </c>
      <c r="C50" s="69" t="str">
        <f>IF(ISBLANK(Listing!C50),"",Listing!C50)</f>
        <v/>
      </c>
      <c r="D50" s="69" t="str">
        <f>IF(ISBLANK(Listing!D50),"",Listing!D50)</f>
        <v/>
      </c>
      <c r="E50" s="69" t="str">
        <f>IF(ISBLANK(Listing!E50),"",Listing!E50)</f>
        <v/>
      </c>
      <c r="F50" s="69" t="str">
        <f>IF(ISBLANK(Listing!F50),"",Listing!F50)</f>
        <v/>
      </c>
      <c r="G50" s="71" t="str">
        <f>IF(ISBLANK(Listing!G50),"",Listing!G50)</f>
        <v/>
      </c>
      <c r="H50" s="70" t="str">
        <f>IF(ISBLANK(Listing!H50),"",Listing!H50)</f>
        <v/>
      </c>
      <c r="I50" s="64" t="str">
        <f>IF(ISBLANK(Listing!J50),"",Listing!J50)</f>
        <v/>
      </c>
      <c r="J50" s="64" t="str">
        <f>IF(ISBLANK(Listing!K50),"",Listing!K50)</f>
        <v/>
      </c>
      <c r="K50" s="57" t="str">
        <f>IF(ISBLANK(Listing!I50),"",Listing!I50)</f>
        <v/>
      </c>
      <c r="L50" s="747" t="str">
        <f t="shared" si="2"/>
        <v/>
      </c>
      <c r="M50" s="40" t="e">
        <f t="shared" si="0"/>
        <v>#N/A</v>
      </c>
      <c r="N50" s="960" t="e">
        <f t="shared" ref="N50" si="13">IF(AND(M50="oui",M51="oui",M52="oui",M53="oui"),"PRO","N")</f>
        <v>#N/A</v>
      </c>
      <c r="O50" s="54"/>
      <c r="P50" s="54"/>
      <c r="Q50" s="54"/>
      <c r="R50" s="54"/>
      <c r="S50" s="54"/>
      <c r="T50" s="342"/>
      <c r="U50" s="56"/>
      <c r="V50" s="54"/>
      <c r="W50" s="55"/>
      <c r="X50" s="57"/>
    </row>
    <row r="51" spans="1:24" s="40" customFormat="1" ht="13.9" customHeight="1" x14ac:dyDescent="0.2">
      <c r="A51" s="40">
        <v>46</v>
      </c>
      <c r="B51" s="69" t="str">
        <f>IF(ISBLANK(Listing!B51),"",Listing!B51)</f>
        <v/>
      </c>
      <c r="C51" s="69" t="str">
        <f>IF(ISBLANK(Listing!C51),"",Listing!C51)</f>
        <v/>
      </c>
      <c r="D51" s="69" t="str">
        <f>IF(ISBLANK(Listing!D51),"",Listing!D51)</f>
        <v/>
      </c>
      <c r="E51" s="69" t="str">
        <f>IF(ISBLANK(Listing!E51),"",Listing!E51)</f>
        <v/>
      </c>
      <c r="F51" s="69" t="str">
        <f>IF(ISBLANK(Listing!F51),"",Listing!F51)</f>
        <v/>
      </c>
      <c r="G51" s="71" t="str">
        <f>IF(ISBLANK(Listing!G51),"",Listing!G51)</f>
        <v/>
      </c>
      <c r="H51" s="70" t="str">
        <f>IF(ISBLANK(Listing!H51),"",Listing!H51)</f>
        <v/>
      </c>
      <c r="I51" s="64" t="str">
        <f>IF(ISBLANK(Listing!J51),"",Listing!J51)</f>
        <v/>
      </c>
      <c r="J51" s="64" t="str">
        <f>IF(ISBLANK(Listing!K51),"",Listing!K51)</f>
        <v/>
      </c>
      <c r="K51" s="57" t="str">
        <f>IF(ISBLANK(Listing!I51),"",Listing!I51)</f>
        <v/>
      </c>
      <c r="L51" s="747" t="str">
        <f t="shared" si="2"/>
        <v/>
      </c>
      <c r="M51" s="40" t="e">
        <f t="shared" si="0"/>
        <v>#N/A</v>
      </c>
      <c r="N51" s="961"/>
      <c r="O51" s="54"/>
      <c r="P51" s="54"/>
      <c r="Q51" s="54"/>
      <c r="R51" s="54"/>
      <c r="S51" s="54"/>
      <c r="T51" s="342"/>
      <c r="U51" s="56"/>
      <c r="V51" s="54"/>
      <c r="W51" s="55"/>
      <c r="X51" s="57"/>
    </row>
    <row r="52" spans="1:24" s="40" customFormat="1" ht="13.9" customHeight="1" x14ac:dyDescent="0.2">
      <c r="A52" s="40">
        <v>47</v>
      </c>
      <c r="B52" s="69" t="str">
        <f>IF(ISBLANK(Listing!B52),"",Listing!B52)</f>
        <v/>
      </c>
      <c r="C52" s="69" t="str">
        <f>IF(ISBLANK(Listing!C52),"",Listing!C52)</f>
        <v/>
      </c>
      <c r="D52" s="69" t="str">
        <f>IF(ISBLANK(Listing!D52),"",Listing!D52)</f>
        <v/>
      </c>
      <c r="E52" s="69" t="str">
        <f>IF(ISBLANK(Listing!E52),"",Listing!E52)</f>
        <v/>
      </c>
      <c r="F52" s="69" t="str">
        <f>IF(ISBLANK(Listing!F52),"",Listing!F52)</f>
        <v/>
      </c>
      <c r="G52" s="71" t="str">
        <f>IF(ISBLANK(Listing!G52),"",Listing!G52)</f>
        <v/>
      </c>
      <c r="H52" s="70" t="str">
        <f>IF(ISBLANK(Listing!H52),"",Listing!H52)</f>
        <v/>
      </c>
      <c r="I52" s="64" t="str">
        <f>IF(ISBLANK(Listing!J52),"",Listing!J52)</f>
        <v/>
      </c>
      <c r="J52" s="64" t="str">
        <f>IF(ISBLANK(Listing!K52),"",Listing!K52)</f>
        <v/>
      </c>
      <c r="K52" s="57" t="str">
        <f>IF(ISBLANK(Listing!I52),"",Listing!I52)</f>
        <v/>
      </c>
      <c r="L52" s="747" t="str">
        <f t="shared" si="2"/>
        <v/>
      </c>
      <c r="M52" s="40" t="e">
        <f t="shared" si="0"/>
        <v>#N/A</v>
      </c>
      <c r="N52" s="961"/>
      <c r="O52" s="54"/>
      <c r="P52" s="54"/>
      <c r="Q52" s="54"/>
      <c r="R52" s="54"/>
      <c r="S52" s="54"/>
      <c r="T52" s="342"/>
      <c r="U52" s="56"/>
      <c r="V52" s="54"/>
      <c r="W52" s="55"/>
      <c r="X52" s="57"/>
    </row>
    <row r="53" spans="1:24" s="40" customFormat="1" ht="13.9" customHeight="1" thickBot="1" x14ac:dyDescent="0.25">
      <c r="A53" s="40">
        <v>48</v>
      </c>
      <c r="B53" s="69" t="str">
        <f>IF(ISBLANK(Listing!B53),"",Listing!B53)</f>
        <v/>
      </c>
      <c r="C53" s="69" t="str">
        <f>IF(ISBLANK(Listing!C53),"",Listing!C53)</f>
        <v/>
      </c>
      <c r="D53" s="69" t="str">
        <f>IF(ISBLANK(Listing!D53),"",Listing!D53)</f>
        <v/>
      </c>
      <c r="E53" s="69" t="str">
        <f>IF(ISBLANK(Listing!E53),"",Listing!E53)</f>
        <v/>
      </c>
      <c r="F53" s="69" t="str">
        <f>IF(ISBLANK(Listing!F53),"",Listing!F53)</f>
        <v/>
      </c>
      <c r="G53" s="71" t="str">
        <f>IF(ISBLANK(Listing!G53),"",Listing!G53)</f>
        <v/>
      </c>
      <c r="H53" s="70" t="str">
        <f>IF(ISBLANK(Listing!H53),"",Listing!H53)</f>
        <v/>
      </c>
      <c r="I53" s="64" t="str">
        <f>IF(ISBLANK(Listing!J53),"",Listing!J53)</f>
        <v/>
      </c>
      <c r="J53" s="64" t="str">
        <f>IF(ISBLANK(Listing!K53),"",Listing!K53)</f>
        <v/>
      </c>
      <c r="K53" s="57" t="str">
        <f>IF(ISBLANK(Listing!I53),"",Listing!I53)</f>
        <v/>
      </c>
      <c r="L53" s="747" t="str">
        <f t="shared" si="2"/>
        <v/>
      </c>
      <c r="M53" s="40" t="e">
        <f t="shared" si="0"/>
        <v>#N/A</v>
      </c>
      <c r="N53" s="962"/>
      <c r="O53" s="54"/>
      <c r="P53" s="54"/>
      <c r="Q53" s="54"/>
      <c r="R53" s="54"/>
      <c r="S53" s="54"/>
      <c r="T53" s="342"/>
      <c r="U53" s="56"/>
      <c r="V53" s="54"/>
      <c r="W53" s="55"/>
      <c r="X53" s="57"/>
    </row>
    <row r="54" spans="1:24" s="40" customFormat="1" ht="13.9" customHeight="1" x14ac:dyDescent="0.2">
      <c r="A54" s="40">
        <v>49</v>
      </c>
      <c r="B54" s="69" t="str">
        <f>IF(ISBLANK(Listing!B54),"",Listing!B54)</f>
        <v/>
      </c>
      <c r="C54" s="69" t="str">
        <f>IF(ISBLANK(Listing!C54),"",Listing!C54)</f>
        <v/>
      </c>
      <c r="D54" s="69" t="str">
        <f>IF(ISBLANK(Listing!D54),"",Listing!D54)</f>
        <v/>
      </c>
      <c r="E54" s="69" t="str">
        <f>IF(ISBLANK(Listing!E54),"",Listing!E54)</f>
        <v/>
      </c>
      <c r="F54" s="69" t="str">
        <f>IF(ISBLANK(Listing!F54),"",Listing!F54)</f>
        <v/>
      </c>
      <c r="G54" s="71" t="str">
        <f>IF(ISBLANK(Listing!G54),"",Listing!G54)</f>
        <v/>
      </c>
      <c r="H54" s="70" t="str">
        <f>IF(ISBLANK(Listing!H54),"",Listing!H54)</f>
        <v/>
      </c>
      <c r="I54" s="64" t="str">
        <f>IF(ISBLANK(Listing!J54),"",Listing!J54)</f>
        <v/>
      </c>
      <c r="J54" s="64" t="str">
        <f>IF(ISBLANK(Listing!K54),"",Listing!K54)</f>
        <v/>
      </c>
      <c r="K54" s="57" t="str">
        <f>IF(ISBLANK(Listing!I54),"",Listing!I54)</f>
        <v/>
      </c>
      <c r="L54" s="747" t="str">
        <f t="shared" si="2"/>
        <v/>
      </c>
      <c r="M54" s="40" t="e">
        <f t="shared" si="0"/>
        <v>#N/A</v>
      </c>
      <c r="N54" s="960" t="e">
        <f t="shared" ref="N54" si="14">IF(AND(M54="oui",M55="oui",M56="oui",M57="oui"),"PRO","N")</f>
        <v>#N/A</v>
      </c>
      <c r="O54" s="54"/>
      <c r="P54" s="54"/>
      <c r="Q54" s="54"/>
      <c r="R54" s="54"/>
      <c r="S54" s="54"/>
      <c r="T54" s="342"/>
      <c r="U54" s="56"/>
      <c r="V54" s="54"/>
      <c r="W54" s="55"/>
      <c r="X54" s="57"/>
    </row>
    <row r="55" spans="1:24" s="40" customFormat="1" ht="13.9" customHeight="1" x14ac:dyDescent="0.2">
      <c r="A55" s="40">
        <v>50</v>
      </c>
      <c r="B55" s="69" t="str">
        <f>IF(ISBLANK(Listing!B55),"",Listing!B55)</f>
        <v/>
      </c>
      <c r="C55" s="69" t="str">
        <f>IF(ISBLANK(Listing!C55),"",Listing!C55)</f>
        <v/>
      </c>
      <c r="D55" s="69" t="str">
        <f>IF(ISBLANK(Listing!D55),"",Listing!D55)</f>
        <v/>
      </c>
      <c r="E55" s="69" t="str">
        <f>IF(ISBLANK(Listing!E55),"",Listing!E55)</f>
        <v/>
      </c>
      <c r="F55" s="69" t="str">
        <f>IF(ISBLANK(Listing!F55),"",Listing!F55)</f>
        <v/>
      </c>
      <c r="G55" s="71" t="str">
        <f>IF(ISBLANK(Listing!G55),"",Listing!G55)</f>
        <v/>
      </c>
      <c r="H55" s="70" t="str">
        <f>IF(ISBLANK(Listing!H55),"",Listing!H55)</f>
        <v/>
      </c>
      <c r="I55" s="64" t="str">
        <f>IF(ISBLANK(Listing!J55),"",Listing!J55)</f>
        <v/>
      </c>
      <c r="J55" s="64" t="str">
        <f>IF(ISBLANK(Listing!K55),"",Listing!K55)</f>
        <v/>
      </c>
      <c r="K55" s="57" t="str">
        <f>IF(ISBLANK(Listing!I55),"",Listing!I55)</f>
        <v/>
      </c>
      <c r="L55" s="747" t="str">
        <f t="shared" si="2"/>
        <v/>
      </c>
      <c r="M55" s="40" t="e">
        <f t="shared" si="0"/>
        <v>#N/A</v>
      </c>
      <c r="N55" s="961"/>
      <c r="O55" s="54"/>
      <c r="P55" s="54"/>
      <c r="Q55" s="54"/>
      <c r="R55" s="54"/>
      <c r="S55" s="54"/>
      <c r="T55" s="342"/>
      <c r="U55" s="56"/>
      <c r="V55" s="54"/>
      <c r="W55" s="55"/>
      <c r="X55" s="57"/>
    </row>
    <row r="56" spans="1:24" s="40" customFormat="1" ht="13.9" customHeight="1" x14ac:dyDescent="0.2">
      <c r="A56" s="40">
        <v>51</v>
      </c>
      <c r="B56" s="69" t="str">
        <f>IF(ISBLANK(Listing!B56),"",Listing!B56)</f>
        <v/>
      </c>
      <c r="C56" s="69" t="str">
        <f>IF(ISBLANK(Listing!C56),"",Listing!C56)</f>
        <v/>
      </c>
      <c r="D56" s="69" t="str">
        <f>IF(ISBLANK(Listing!D56),"",Listing!D56)</f>
        <v/>
      </c>
      <c r="E56" s="69" t="str">
        <f>IF(ISBLANK(Listing!E56),"",Listing!E56)</f>
        <v/>
      </c>
      <c r="F56" s="69" t="str">
        <f>IF(ISBLANK(Listing!F56),"",Listing!F56)</f>
        <v/>
      </c>
      <c r="G56" s="71" t="str">
        <f>IF(ISBLANK(Listing!G56),"",Listing!G56)</f>
        <v/>
      </c>
      <c r="H56" s="70" t="str">
        <f>IF(ISBLANK(Listing!H56),"",Listing!H56)</f>
        <v/>
      </c>
      <c r="I56" s="64" t="str">
        <f>IF(ISBLANK(Listing!J56),"",Listing!J56)</f>
        <v/>
      </c>
      <c r="J56" s="64" t="str">
        <f>IF(ISBLANK(Listing!K56),"",Listing!K56)</f>
        <v/>
      </c>
      <c r="K56" s="57" t="str">
        <f>IF(ISBLANK(Listing!I56),"",Listing!I56)</f>
        <v/>
      </c>
      <c r="L56" s="747" t="str">
        <f t="shared" si="2"/>
        <v/>
      </c>
      <c r="M56" s="40" t="e">
        <f t="shared" si="0"/>
        <v>#N/A</v>
      </c>
      <c r="N56" s="961"/>
      <c r="O56" s="54"/>
      <c r="P56" s="54"/>
      <c r="Q56" s="54"/>
      <c r="R56" s="54"/>
      <c r="S56" s="54"/>
      <c r="T56" s="342"/>
      <c r="U56" s="56"/>
      <c r="V56" s="54"/>
      <c r="W56" s="55"/>
      <c r="X56" s="57"/>
    </row>
    <row r="57" spans="1:24" s="40" customFormat="1" ht="13.9" customHeight="1" thickBot="1" x14ac:dyDescent="0.25">
      <c r="A57" s="40">
        <v>52</v>
      </c>
      <c r="B57" s="69" t="str">
        <f>IF(ISBLANK(Listing!B57),"",Listing!B57)</f>
        <v/>
      </c>
      <c r="C57" s="69" t="str">
        <f>IF(ISBLANK(Listing!C57),"",Listing!C57)</f>
        <v/>
      </c>
      <c r="D57" s="69" t="str">
        <f>IF(ISBLANK(Listing!D57),"",Listing!D57)</f>
        <v/>
      </c>
      <c r="E57" s="69" t="str">
        <f>IF(ISBLANK(Listing!E57),"",Listing!E57)</f>
        <v/>
      </c>
      <c r="F57" s="69" t="str">
        <f>IF(ISBLANK(Listing!F57),"",Listing!F57)</f>
        <v/>
      </c>
      <c r="G57" s="71" t="str">
        <f>IF(ISBLANK(Listing!G57),"",Listing!G57)</f>
        <v/>
      </c>
      <c r="H57" s="70" t="str">
        <f>IF(ISBLANK(Listing!H57),"",Listing!H57)</f>
        <v/>
      </c>
      <c r="I57" s="64" t="str">
        <f>IF(ISBLANK(Listing!J57),"",Listing!J57)</f>
        <v/>
      </c>
      <c r="J57" s="64" t="str">
        <f>IF(ISBLANK(Listing!K57),"",Listing!K57)</f>
        <v/>
      </c>
      <c r="K57" s="57" t="str">
        <f>IF(ISBLANK(Listing!I57),"",Listing!I57)</f>
        <v/>
      </c>
      <c r="L57" s="747" t="str">
        <f t="shared" si="2"/>
        <v/>
      </c>
      <c r="M57" s="40" t="e">
        <f t="shared" si="0"/>
        <v>#N/A</v>
      </c>
      <c r="N57" s="962"/>
      <c r="O57" s="54"/>
      <c r="P57" s="54"/>
      <c r="Q57" s="54"/>
      <c r="R57" s="54"/>
      <c r="S57" s="54"/>
      <c r="T57" s="342"/>
      <c r="U57" s="56"/>
      <c r="V57" s="54"/>
      <c r="W57" s="55"/>
      <c r="X57" s="57"/>
    </row>
    <row r="58" spans="1:24" s="40" customFormat="1" ht="13.9" customHeight="1" x14ac:dyDescent="0.2">
      <c r="A58" s="40">
        <v>53</v>
      </c>
      <c r="B58" s="69" t="str">
        <f>IF(ISBLANK(Listing!B58),"",Listing!B58)</f>
        <v/>
      </c>
      <c r="C58" s="69" t="str">
        <f>IF(ISBLANK(Listing!C58),"",Listing!C58)</f>
        <v/>
      </c>
      <c r="D58" s="69" t="str">
        <f>IF(ISBLANK(Listing!D58),"",Listing!D58)</f>
        <v/>
      </c>
      <c r="E58" s="69" t="str">
        <f>IF(ISBLANK(Listing!E58),"",Listing!E58)</f>
        <v/>
      </c>
      <c r="F58" s="69" t="str">
        <f>IF(ISBLANK(Listing!F58),"",Listing!F58)</f>
        <v/>
      </c>
      <c r="G58" s="71" t="str">
        <f>IF(ISBLANK(Listing!G58),"",Listing!G58)</f>
        <v/>
      </c>
      <c r="H58" s="70" t="str">
        <f>IF(ISBLANK(Listing!H58),"",Listing!H58)</f>
        <v/>
      </c>
      <c r="I58" s="64" t="str">
        <f>IF(ISBLANK(Listing!J58),"",Listing!J58)</f>
        <v/>
      </c>
      <c r="J58" s="64" t="str">
        <f>IF(ISBLANK(Listing!K58),"",Listing!K58)</f>
        <v/>
      </c>
      <c r="K58" s="57" t="str">
        <f>IF(ISBLANK(Listing!I58),"",Listing!I58)</f>
        <v/>
      </c>
      <c r="L58" s="747" t="str">
        <f t="shared" si="2"/>
        <v/>
      </c>
      <c r="M58" s="40" t="e">
        <f t="shared" si="0"/>
        <v>#N/A</v>
      </c>
      <c r="N58" s="960" t="e">
        <f t="shared" ref="N58" si="15">IF(AND(M58="oui",M59="oui",M60="oui",M61="oui"),"PRO","N")</f>
        <v>#N/A</v>
      </c>
      <c r="O58" s="54"/>
      <c r="P58" s="54"/>
      <c r="Q58" s="54"/>
      <c r="R58" s="54"/>
      <c r="S58" s="54"/>
      <c r="T58" s="342"/>
      <c r="U58" s="56"/>
      <c r="V58" s="54"/>
      <c r="W58" s="55"/>
      <c r="X58" s="57"/>
    </row>
    <row r="59" spans="1:24" s="40" customFormat="1" ht="13.9" customHeight="1" x14ac:dyDescent="0.2">
      <c r="A59" s="40">
        <v>54</v>
      </c>
      <c r="B59" s="69" t="str">
        <f>IF(ISBLANK(Listing!B59),"",Listing!B59)</f>
        <v/>
      </c>
      <c r="C59" s="69" t="str">
        <f>IF(ISBLANK(Listing!C59),"",Listing!C59)</f>
        <v/>
      </c>
      <c r="D59" s="69" t="str">
        <f>IF(ISBLANK(Listing!D59),"",Listing!D59)</f>
        <v/>
      </c>
      <c r="E59" s="69" t="str">
        <f>IF(ISBLANK(Listing!E59),"",Listing!E59)</f>
        <v/>
      </c>
      <c r="F59" s="69" t="str">
        <f>IF(ISBLANK(Listing!F59),"",Listing!F59)</f>
        <v/>
      </c>
      <c r="G59" s="71" t="str">
        <f>IF(ISBLANK(Listing!G59),"",Listing!G59)</f>
        <v/>
      </c>
      <c r="H59" s="70" t="str">
        <f>IF(ISBLANK(Listing!H59),"",Listing!H59)</f>
        <v/>
      </c>
      <c r="I59" s="64" t="str">
        <f>IF(ISBLANK(Listing!J59),"",Listing!J59)</f>
        <v/>
      </c>
      <c r="J59" s="64" t="str">
        <f>IF(ISBLANK(Listing!K59),"",Listing!K59)</f>
        <v/>
      </c>
      <c r="K59" s="57" t="str">
        <f>IF(ISBLANK(Listing!I59),"",Listing!I59)</f>
        <v/>
      </c>
      <c r="L59" s="747" t="str">
        <f t="shared" si="2"/>
        <v/>
      </c>
      <c r="M59" s="40" t="e">
        <f t="shared" si="0"/>
        <v>#N/A</v>
      </c>
      <c r="N59" s="961"/>
      <c r="O59" s="54"/>
      <c r="P59" s="54"/>
      <c r="Q59" s="54"/>
      <c r="R59" s="54"/>
      <c r="S59" s="54"/>
      <c r="T59" s="342"/>
      <c r="U59" s="56"/>
      <c r="V59" s="54"/>
      <c r="W59" s="55"/>
      <c r="X59" s="57"/>
    </row>
    <row r="60" spans="1:24" s="40" customFormat="1" ht="13.9" customHeight="1" x14ac:dyDescent="0.2">
      <c r="A60" s="40">
        <v>55</v>
      </c>
      <c r="B60" s="69" t="str">
        <f>IF(ISBLANK(Listing!B60),"",Listing!B60)</f>
        <v/>
      </c>
      <c r="C60" s="69" t="str">
        <f>IF(ISBLANK(Listing!C60),"",Listing!C60)</f>
        <v/>
      </c>
      <c r="D60" s="69" t="str">
        <f>IF(ISBLANK(Listing!D60),"",Listing!D60)</f>
        <v/>
      </c>
      <c r="E60" s="69" t="str">
        <f>IF(ISBLANK(Listing!E60),"",Listing!E60)</f>
        <v/>
      </c>
      <c r="F60" s="69" t="str">
        <f>IF(ISBLANK(Listing!F60),"",Listing!F60)</f>
        <v/>
      </c>
      <c r="G60" s="71" t="str">
        <f>IF(ISBLANK(Listing!G60),"",Listing!G60)</f>
        <v/>
      </c>
      <c r="H60" s="70" t="str">
        <f>IF(ISBLANK(Listing!H60),"",Listing!H60)</f>
        <v/>
      </c>
      <c r="I60" s="64" t="str">
        <f>IF(ISBLANK(Listing!J60),"",Listing!J60)</f>
        <v/>
      </c>
      <c r="J60" s="64" t="str">
        <f>IF(ISBLANK(Listing!K60),"",Listing!K60)</f>
        <v/>
      </c>
      <c r="K60" s="57" t="str">
        <f>IF(ISBLANK(Listing!I60),"",Listing!I60)</f>
        <v/>
      </c>
      <c r="L60" s="747" t="str">
        <f t="shared" si="2"/>
        <v/>
      </c>
      <c r="M60" s="40" t="e">
        <f t="shared" si="0"/>
        <v>#N/A</v>
      </c>
      <c r="N60" s="961"/>
      <c r="O60" s="54"/>
      <c r="P60" s="54"/>
      <c r="Q60" s="54"/>
      <c r="R60" s="54"/>
      <c r="S60" s="54"/>
      <c r="T60" s="342"/>
      <c r="U60" s="56"/>
      <c r="V60" s="54"/>
      <c r="W60" s="55"/>
      <c r="X60" s="57"/>
    </row>
    <row r="61" spans="1:24" s="40" customFormat="1" ht="13.9" customHeight="1" thickBot="1" x14ac:dyDescent="0.25">
      <c r="A61" s="40">
        <v>56</v>
      </c>
      <c r="B61" s="69" t="str">
        <f>IF(ISBLANK(Listing!B61),"",Listing!B61)</f>
        <v/>
      </c>
      <c r="C61" s="69" t="str">
        <f>IF(ISBLANK(Listing!C61),"",Listing!C61)</f>
        <v/>
      </c>
      <c r="D61" s="69" t="str">
        <f>IF(ISBLANK(Listing!D61),"",Listing!D61)</f>
        <v/>
      </c>
      <c r="E61" s="69" t="str">
        <f>IF(ISBLANK(Listing!E61),"",Listing!E61)</f>
        <v/>
      </c>
      <c r="F61" s="69" t="str">
        <f>IF(ISBLANK(Listing!F61),"",Listing!F61)</f>
        <v/>
      </c>
      <c r="G61" s="71" t="str">
        <f>IF(ISBLANK(Listing!G61),"",Listing!G61)</f>
        <v/>
      </c>
      <c r="H61" s="70" t="str">
        <f>IF(ISBLANK(Listing!H61),"",Listing!H61)</f>
        <v/>
      </c>
      <c r="I61" s="64" t="str">
        <f>IF(ISBLANK(Listing!J61),"",Listing!J61)</f>
        <v/>
      </c>
      <c r="J61" s="64" t="str">
        <f>IF(ISBLANK(Listing!K61),"",Listing!K61)</f>
        <v/>
      </c>
      <c r="K61" s="57" t="str">
        <f>IF(ISBLANK(Listing!I61),"",Listing!I61)</f>
        <v/>
      </c>
      <c r="L61" s="747" t="str">
        <f t="shared" si="2"/>
        <v/>
      </c>
      <c r="M61" s="40" t="e">
        <f t="shared" si="0"/>
        <v>#N/A</v>
      </c>
      <c r="N61" s="962"/>
      <c r="O61" s="54"/>
      <c r="P61" s="54"/>
      <c r="Q61" s="54"/>
      <c r="R61" s="54"/>
      <c r="S61" s="54"/>
      <c r="T61" s="342"/>
      <c r="U61" s="56"/>
      <c r="V61" s="54"/>
      <c r="W61" s="55"/>
      <c r="X61" s="57"/>
    </row>
    <row r="62" spans="1:24" s="40" customFormat="1" ht="13.9" customHeight="1" x14ac:dyDescent="0.2">
      <c r="A62" s="40">
        <v>57</v>
      </c>
      <c r="B62" s="69" t="str">
        <f>IF(ISBLANK(Listing!B62),"",Listing!B62)</f>
        <v/>
      </c>
      <c r="C62" s="69" t="str">
        <f>IF(ISBLANK(Listing!C62),"",Listing!C62)</f>
        <v/>
      </c>
      <c r="D62" s="69" t="str">
        <f>IF(ISBLANK(Listing!D62),"",Listing!D62)</f>
        <v/>
      </c>
      <c r="E62" s="69" t="str">
        <f>IF(ISBLANK(Listing!E62),"",Listing!E62)</f>
        <v/>
      </c>
      <c r="F62" s="69" t="str">
        <f>IF(ISBLANK(Listing!F62),"",Listing!F62)</f>
        <v/>
      </c>
      <c r="G62" s="71" t="str">
        <f>IF(ISBLANK(Listing!G62),"",Listing!G62)</f>
        <v/>
      </c>
      <c r="H62" s="70" t="str">
        <f>IF(ISBLANK(Listing!H62),"",Listing!H62)</f>
        <v/>
      </c>
      <c r="I62" s="64" t="str">
        <f>IF(ISBLANK(Listing!J62),"",Listing!J62)</f>
        <v/>
      </c>
      <c r="J62" s="64" t="str">
        <f>IF(ISBLANK(Listing!K62),"",Listing!K62)</f>
        <v/>
      </c>
      <c r="K62" s="57" t="str">
        <f>IF(ISBLANK(Listing!I62),"",Listing!I62)</f>
        <v/>
      </c>
      <c r="L62" s="747" t="str">
        <f t="shared" si="2"/>
        <v/>
      </c>
      <c r="M62" s="40" t="e">
        <f t="shared" si="0"/>
        <v>#N/A</v>
      </c>
      <c r="N62" s="960" t="e">
        <f t="shared" ref="N62" si="16">IF(AND(M62="oui",M63="oui",M64="oui",M65="oui"),"PRO","N")</f>
        <v>#N/A</v>
      </c>
      <c r="O62" s="54"/>
      <c r="P62" s="54"/>
      <c r="Q62" s="54"/>
      <c r="R62" s="54"/>
      <c r="S62" s="54"/>
      <c r="T62" s="342"/>
      <c r="U62" s="56"/>
      <c r="V62" s="54"/>
      <c r="W62" s="55"/>
      <c r="X62" s="57"/>
    </row>
    <row r="63" spans="1:24" s="40" customFormat="1" ht="13.9" customHeight="1" x14ac:dyDescent="0.2">
      <c r="A63" s="40">
        <v>58</v>
      </c>
      <c r="B63" s="69" t="str">
        <f>IF(ISBLANK(Listing!B63),"",Listing!B63)</f>
        <v/>
      </c>
      <c r="C63" s="69" t="str">
        <f>IF(ISBLANK(Listing!C63),"",Listing!C63)</f>
        <v/>
      </c>
      <c r="D63" s="69" t="str">
        <f>IF(ISBLANK(Listing!D63),"",Listing!D63)</f>
        <v/>
      </c>
      <c r="E63" s="69" t="str">
        <f>IF(ISBLANK(Listing!E63),"",Listing!E63)</f>
        <v/>
      </c>
      <c r="F63" s="69" t="str">
        <f>IF(ISBLANK(Listing!F63),"",Listing!F63)</f>
        <v/>
      </c>
      <c r="G63" s="71" t="str">
        <f>IF(ISBLANK(Listing!G63),"",Listing!G63)</f>
        <v/>
      </c>
      <c r="H63" s="70" t="str">
        <f>IF(ISBLANK(Listing!H63),"",Listing!H63)</f>
        <v/>
      </c>
      <c r="I63" s="64" t="str">
        <f>IF(ISBLANK(Listing!J63),"",Listing!J63)</f>
        <v/>
      </c>
      <c r="J63" s="64" t="str">
        <f>IF(ISBLANK(Listing!K63),"",Listing!K63)</f>
        <v/>
      </c>
      <c r="K63" s="57" t="str">
        <f>IF(ISBLANK(Listing!I63),"",Listing!I63)</f>
        <v/>
      </c>
      <c r="L63" s="747" t="str">
        <f t="shared" si="2"/>
        <v/>
      </c>
      <c r="M63" s="40" t="e">
        <f t="shared" si="0"/>
        <v>#N/A</v>
      </c>
      <c r="N63" s="961"/>
      <c r="O63" s="54"/>
      <c r="P63" s="54"/>
      <c r="Q63" s="54"/>
      <c r="R63" s="54"/>
      <c r="S63" s="54"/>
      <c r="T63" s="342"/>
      <c r="U63" s="56"/>
      <c r="V63" s="54"/>
      <c r="W63" s="55"/>
      <c r="X63" s="57"/>
    </row>
    <row r="64" spans="1:24" s="40" customFormat="1" ht="13.9" customHeight="1" x14ac:dyDescent="0.2">
      <c r="A64" s="40">
        <v>59</v>
      </c>
      <c r="B64" s="69" t="str">
        <f>IF(ISBLANK(Listing!B64),"",Listing!B64)</f>
        <v/>
      </c>
      <c r="C64" s="69" t="str">
        <f>IF(ISBLANK(Listing!C64),"",Listing!C64)</f>
        <v/>
      </c>
      <c r="D64" s="69" t="str">
        <f>IF(ISBLANK(Listing!D64),"",Listing!D64)</f>
        <v/>
      </c>
      <c r="E64" s="69" t="str">
        <f>IF(ISBLANK(Listing!E64),"",Listing!E64)</f>
        <v/>
      </c>
      <c r="F64" s="69" t="str">
        <f>IF(ISBLANK(Listing!F64),"",Listing!F64)</f>
        <v/>
      </c>
      <c r="G64" s="71" t="str">
        <f>IF(ISBLANK(Listing!G64),"",Listing!G64)</f>
        <v/>
      </c>
      <c r="H64" s="70" t="str">
        <f>IF(ISBLANK(Listing!H64),"",Listing!H64)</f>
        <v/>
      </c>
      <c r="I64" s="64" t="str">
        <f>IF(ISBLANK(Listing!J64),"",Listing!J64)</f>
        <v/>
      </c>
      <c r="J64" s="64" t="str">
        <f>IF(ISBLANK(Listing!K64),"",Listing!K64)</f>
        <v/>
      </c>
      <c r="K64" s="57" t="str">
        <f>IF(ISBLANK(Listing!I64),"",Listing!I64)</f>
        <v/>
      </c>
      <c r="L64" s="747" t="str">
        <f t="shared" si="2"/>
        <v/>
      </c>
      <c r="M64" s="40" t="e">
        <f t="shared" si="0"/>
        <v>#N/A</v>
      </c>
      <c r="N64" s="961"/>
      <c r="O64" s="54"/>
      <c r="P64" s="54"/>
      <c r="Q64" s="54"/>
      <c r="R64" s="54"/>
      <c r="S64" s="54"/>
      <c r="T64" s="342"/>
      <c r="U64" s="56"/>
      <c r="V64" s="54"/>
      <c r="W64" s="55"/>
      <c r="X64" s="57"/>
    </row>
    <row r="65" spans="1:24" s="40" customFormat="1" ht="13.9" customHeight="1" thickBot="1" x14ac:dyDescent="0.25">
      <c r="A65" s="40">
        <v>60</v>
      </c>
      <c r="B65" s="69" t="str">
        <f>IF(ISBLANK(Listing!B65),"",Listing!B65)</f>
        <v/>
      </c>
      <c r="C65" s="69" t="str">
        <f>IF(ISBLANK(Listing!C65),"",Listing!C65)</f>
        <v/>
      </c>
      <c r="D65" s="69" t="str">
        <f>IF(ISBLANK(Listing!D65),"",Listing!D65)</f>
        <v/>
      </c>
      <c r="E65" s="69" t="str">
        <f>IF(ISBLANK(Listing!E65),"",Listing!E65)</f>
        <v/>
      </c>
      <c r="F65" s="69" t="str">
        <f>IF(ISBLANK(Listing!F65),"",Listing!F65)</f>
        <v/>
      </c>
      <c r="G65" s="71" t="str">
        <f>IF(ISBLANK(Listing!G65),"",Listing!G65)</f>
        <v/>
      </c>
      <c r="H65" s="70" t="str">
        <f>IF(ISBLANK(Listing!H65),"",Listing!H65)</f>
        <v/>
      </c>
      <c r="I65" s="64" t="str">
        <f>IF(ISBLANK(Listing!J65),"",Listing!J65)</f>
        <v/>
      </c>
      <c r="J65" s="64" t="str">
        <f>IF(ISBLANK(Listing!K65),"",Listing!K65)</f>
        <v/>
      </c>
      <c r="K65" s="57" t="str">
        <f>IF(ISBLANK(Listing!I65),"",Listing!I65)</f>
        <v/>
      </c>
      <c r="L65" s="747" t="str">
        <f t="shared" si="2"/>
        <v/>
      </c>
      <c r="M65" s="40" t="e">
        <f t="shared" si="0"/>
        <v>#N/A</v>
      </c>
      <c r="N65" s="962"/>
      <c r="O65" s="54"/>
      <c r="P65" s="54"/>
      <c r="Q65" s="54"/>
      <c r="R65" s="54"/>
      <c r="S65" s="54"/>
      <c r="T65" s="342"/>
      <c r="U65" s="56"/>
      <c r="V65" s="54"/>
      <c r="W65" s="55"/>
      <c r="X65" s="57"/>
    </row>
    <row r="66" spans="1:24" s="40" customFormat="1" ht="13.9" customHeight="1" x14ac:dyDescent="0.2">
      <c r="A66" s="40">
        <v>61</v>
      </c>
      <c r="B66" s="69" t="str">
        <f>IF(ISBLANK(Listing!B66),"",Listing!B66)</f>
        <v/>
      </c>
      <c r="C66" s="69" t="str">
        <f>IF(ISBLANK(Listing!C66),"",Listing!C66)</f>
        <v/>
      </c>
      <c r="D66" s="69" t="str">
        <f>IF(ISBLANK(Listing!D66),"",Listing!D66)</f>
        <v/>
      </c>
      <c r="E66" s="69" t="str">
        <f>IF(ISBLANK(Listing!E66),"",Listing!E66)</f>
        <v/>
      </c>
      <c r="F66" s="69" t="str">
        <f>IF(ISBLANK(Listing!F66),"",Listing!F66)</f>
        <v/>
      </c>
      <c r="G66" s="71" t="str">
        <f>IF(ISBLANK(Listing!G66),"",Listing!G66)</f>
        <v/>
      </c>
      <c r="H66" s="70" t="str">
        <f>IF(ISBLANK(Listing!H66),"",Listing!H66)</f>
        <v/>
      </c>
      <c r="I66" s="64" t="str">
        <f>IF(ISBLANK(Listing!J66),"",Listing!J66)</f>
        <v/>
      </c>
      <c r="J66" s="64" t="str">
        <f>IF(ISBLANK(Listing!K66),"",Listing!K66)</f>
        <v/>
      </c>
      <c r="K66" s="57" t="str">
        <f>IF(ISBLANK(Listing!I66),"",Listing!I66)</f>
        <v/>
      </c>
      <c r="L66" s="747" t="str">
        <f t="shared" si="2"/>
        <v/>
      </c>
      <c r="M66" s="40" t="e">
        <f t="shared" si="0"/>
        <v>#N/A</v>
      </c>
      <c r="N66" s="960" t="e">
        <f t="shared" ref="N66" si="17">IF(AND(M66="oui",M67="oui",M68="oui",M69="oui"),"PRO","N")</f>
        <v>#N/A</v>
      </c>
      <c r="O66" s="54"/>
      <c r="P66" s="54"/>
      <c r="Q66" s="54"/>
      <c r="R66" s="54"/>
      <c r="S66" s="54"/>
      <c r="T66" s="342"/>
      <c r="U66" s="56"/>
      <c r="V66" s="54"/>
      <c r="W66" s="55"/>
      <c r="X66" s="57"/>
    </row>
    <row r="67" spans="1:24" s="40" customFormat="1" ht="13.9" customHeight="1" x14ac:dyDescent="0.2">
      <c r="A67" s="40">
        <v>62</v>
      </c>
      <c r="B67" s="69" t="str">
        <f>IF(ISBLANK(Listing!B67),"",Listing!B67)</f>
        <v/>
      </c>
      <c r="C67" s="69" t="str">
        <f>IF(ISBLANK(Listing!C67),"",Listing!C67)</f>
        <v/>
      </c>
      <c r="D67" s="69" t="str">
        <f>IF(ISBLANK(Listing!D67),"",Listing!D67)</f>
        <v/>
      </c>
      <c r="E67" s="69" t="str">
        <f>IF(ISBLANK(Listing!E67),"",Listing!E67)</f>
        <v/>
      </c>
      <c r="F67" s="69" t="str">
        <f>IF(ISBLANK(Listing!F67),"",Listing!F67)</f>
        <v/>
      </c>
      <c r="G67" s="71" t="str">
        <f>IF(ISBLANK(Listing!G67),"",Listing!G67)</f>
        <v/>
      </c>
      <c r="H67" s="70" t="str">
        <f>IF(ISBLANK(Listing!H67),"",Listing!H67)</f>
        <v/>
      </c>
      <c r="I67" s="64" t="str">
        <f>IF(ISBLANK(Listing!J67),"",Listing!J67)</f>
        <v/>
      </c>
      <c r="J67" s="64" t="str">
        <f>IF(ISBLANK(Listing!K67),"",Listing!K67)</f>
        <v/>
      </c>
      <c r="K67" s="57" t="str">
        <f>IF(ISBLANK(Listing!I67),"",Listing!I67)</f>
        <v/>
      </c>
      <c r="L67" s="747" t="str">
        <f t="shared" si="2"/>
        <v/>
      </c>
      <c r="M67" s="40" t="e">
        <f t="shared" si="0"/>
        <v>#N/A</v>
      </c>
      <c r="N67" s="961"/>
      <c r="O67" s="54"/>
      <c r="P67" s="54"/>
      <c r="Q67" s="54"/>
      <c r="R67" s="54"/>
      <c r="S67" s="54"/>
      <c r="T67" s="342"/>
      <c r="U67" s="56"/>
      <c r="V67" s="54"/>
      <c r="W67" s="55"/>
      <c r="X67" s="57"/>
    </row>
    <row r="68" spans="1:24" s="40" customFormat="1" ht="13.9" customHeight="1" x14ac:dyDescent="0.2">
      <c r="A68" s="40">
        <v>63</v>
      </c>
      <c r="B68" s="69" t="str">
        <f>IF(ISBLANK(Listing!B68),"",Listing!B68)</f>
        <v/>
      </c>
      <c r="C68" s="69" t="str">
        <f>IF(ISBLANK(Listing!C68),"",Listing!C68)</f>
        <v/>
      </c>
      <c r="D68" s="69" t="str">
        <f>IF(ISBLANK(Listing!D68),"",Listing!D68)</f>
        <v/>
      </c>
      <c r="E68" s="69" t="str">
        <f>IF(ISBLANK(Listing!E68),"",Listing!E68)</f>
        <v/>
      </c>
      <c r="F68" s="69" t="str">
        <f>IF(ISBLANK(Listing!F68),"",Listing!F68)</f>
        <v/>
      </c>
      <c r="G68" s="71" t="str">
        <f>IF(ISBLANK(Listing!G68),"",Listing!G68)</f>
        <v/>
      </c>
      <c r="H68" s="70" t="str">
        <f>IF(ISBLANK(Listing!H68),"",Listing!H68)</f>
        <v/>
      </c>
      <c r="I68" s="64" t="str">
        <f>IF(ISBLANK(Listing!J68),"",Listing!J68)</f>
        <v/>
      </c>
      <c r="J68" s="64" t="str">
        <f>IF(ISBLANK(Listing!K68),"",Listing!K68)</f>
        <v/>
      </c>
      <c r="K68" s="57" t="str">
        <f>IF(ISBLANK(Listing!I68),"",Listing!I68)</f>
        <v/>
      </c>
      <c r="L68" s="747" t="str">
        <f t="shared" si="2"/>
        <v/>
      </c>
      <c r="M68" s="40" t="e">
        <f t="shared" si="0"/>
        <v>#N/A</v>
      </c>
      <c r="N68" s="961"/>
      <c r="O68" s="54"/>
      <c r="P68" s="54"/>
      <c r="Q68" s="54"/>
      <c r="R68" s="54"/>
      <c r="S68" s="54"/>
      <c r="T68" s="342"/>
      <c r="U68" s="56"/>
      <c r="V68" s="54"/>
      <c r="W68" s="55"/>
      <c r="X68" s="57"/>
    </row>
    <row r="69" spans="1:24" s="40" customFormat="1" ht="13.9" customHeight="1" thickBot="1" x14ac:dyDescent="0.25">
      <c r="A69" s="40">
        <v>64</v>
      </c>
      <c r="B69" s="69" t="str">
        <f>IF(ISBLANK(Listing!B69),"",Listing!B69)</f>
        <v/>
      </c>
      <c r="C69" s="69" t="str">
        <f>IF(ISBLANK(Listing!C69),"",Listing!C69)</f>
        <v/>
      </c>
      <c r="D69" s="69" t="str">
        <f>IF(ISBLANK(Listing!D69),"",Listing!D69)</f>
        <v/>
      </c>
      <c r="E69" s="69" t="str">
        <f>IF(ISBLANK(Listing!E69),"",Listing!E69)</f>
        <v/>
      </c>
      <c r="F69" s="69" t="str">
        <f>IF(ISBLANK(Listing!F69),"",Listing!F69)</f>
        <v/>
      </c>
      <c r="G69" s="71" t="str">
        <f>IF(ISBLANK(Listing!G69),"",Listing!G69)</f>
        <v/>
      </c>
      <c r="H69" s="70" t="str">
        <f>IF(ISBLANK(Listing!H69),"",Listing!H69)</f>
        <v/>
      </c>
      <c r="I69" s="64" t="str">
        <f>IF(ISBLANK(Listing!J69),"",Listing!J69)</f>
        <v/>
      </c>
      <c r="J69" s="64" t="str">
        <f>IF(ISBLANK(Listing!K69),"",Listing!K69)</f>
        <v/>
      </c>
      <c r="K69" s="57" t="str">
        <f>IF(ISBLANK(Listing!I69),"",Listing!I69)</f>
        <v/>
      </c>
      <c r="L69" s="747" t="str">
        <f t="shared" si="2"/>
        <v/>
      </c>
      <c r="M69" s="40" t="e">
        <f t="shared" si="0"/>
        <v>#N/A</v>
      </c>
      <c r="N69" s="962"/>
      <c r="O69" s="54"/>
      <c r="P69" s="54"/>
      <c r="Q69" s="54"/>
      <c r="R69" s="54"/>
      <c r="S69" s="54"/>
      <c r="T69" s="342"/>
      <c r="U69" s="54"/>
      <c r="V69" s="54"/>
      <c r="W69" s="55"/>
      <c r="X69" s="57"/>
    </row>
    <row r="70" spans="1:24" s="40" customFormat="1" ht="13.9" customHeight="1" x14ac:dyDescent="0.2">
      <c r="A70" s="40">
        <v>65</v>
      </c>
      <c r="B70" s="69" t="str">
        <f>IF(ISBLANK(Listing!B70),"",Listing!B70)</f>
        <v/>
      </c>
      <c r="C70" s="69" t="str">
        <f>IF(ISBLANK(Listing!C70),"",Listing!C70)</f>
        <v/>
      </c>
      <c r="D70" s="69" t="str">
        <f>IF(ISBLANK(Listing!D70),"",Listing!D70)</f>
        <v/>
      </c>
      <c r="E70" s="69" t="str">
        <f>IF(ISBLANK(Listing!E70),"",Listing!E70)</f>
        <v/>
      </c>
      <c r="F70" s="69" t="str">
        <f>IF(ISBLANK(Listing!F70),"",Listing!F70)</f>
        <v/>
      </c>
      <c r="G70" s="71" t="str">
        <f>IF(ISBLANK(Listing!G70),"",Listing!G70)</f>
        <v/>
      </c>
      <c r="H70" s="70" t="str">
        <f>IF(ISBLANK(Listing!H70),"",Listing!H70)</f>
        <v/>
      </c>
      <c r="I70" s="64" t="str">
        <f>IF(ISBLANK(Listing!J70),"",Listing!J70)</f>
        <v/>
      </c>
      <c r="J70" s="64" t="str">
        <f>IF(ISBLANK(Listing!K70),"",Listing!K70)</f>
        <v/>
      </c>
      <c r="K70" s="57" t="str">
        <f>IF(ISBLANK(Listing!I70),"",Listing!I70)</f>
        <v/>
      </c>
      <c r="L70" s="747" t="str">
        <f t="shared" si="2"/>
        <v/>
      </c>
      <c r="M70" s="40" t="e">
        <f t="shared" ref="M70:M101" si="18">VLOOKUP(H70,N°LicPRO,2,FALSE)</f>
        <v>#N/A</v>
      </c>
      <c r="N70" s="960" t="e">
        <f t="shared" ref="N70" si="19">IF(AND(M70="oui",M71="oui",M72="oui",M73="oui"),"PRO","N")</f>
        <v>#N/A</v>
      </c>
      <c r="O70" s="54"/>
      <c r="P70" s="54"/>
      <c r="Q70" s="54"/>
      <c r="R70" s="54"/>
      <c r="S70" s="54"/>
      <c r="T70" s="342"/>
      <c r="U70" s="56"/>
      <c r="V70" s="54"/>
      <c r="W70" s="55"/>
      <c r="X70" s="57"/>
    </row>
    <row r="71" spans="1:24" s="40" customFormat="1" ht="13.9" customHeight="1" x14ac:dyDescent="0.2">
      <c r="A71" s="40">
        <v>66</v>
      </c>
      <c r="B71" s="69" t="str">
        <f>IF(ISBLANK(Listing!B71),"",Listing!B71)</f>
        <v/>
      </c>
      <c r="C71" s="69" t="str">
        <f>IF(ISBLANK(Listing!C71),"",Listing!C71)</f>
        <v/>
      </c>
      <c r="D71" s="69" t="str">
        <f>IF(ISBLANK(Listing!D71),"",Listing!D71)</f>
        <v/>
      </c>
      <c r="E71" s="69" t="str">
        <f>IF(ISBLANK(Listing!E71),"",Listing!E71)</f>
        <v/>
      </c>
      <c r="F71" s="69" t="str">
        <f>IF(ISBLANK(Listing!F71),"",Listing!F71)</f>
        <v/>
      </c>
      <c r="G71" s="71" t="str">
        <f>IF(ISBLANK(Listing!G71),"",Listing!G71)</f>
        <v/>
      </c>
      <c r="H71" s="70" t="str">
        <f>IF(ISBLANK(Listing!H71),"",Listing!H71)</f>
        <v/>
      </c>
      <c r="I71" s="64" t="str">
        <f>IF(ISBLANK(Listing!J71),"",Listing!J71)</f>
        <v/>
      </c>
      <c r="J71" s="64" t="str">
        <f>IF(ISBLANK(Listing!K71),"",Listing!K71)</f>
        <v/>
      </c>
      <c r="K71" s="57" t="str">
        <f>IF(ISBLANK(Listing!I71),"",Listing!I71)</f>
        <v/>
      </c>
      <c r="L71" s="747" t="str">
        <f t="shared" ref="L71:L101" si="20">LEFT(H71,5)&amp;RIGHT(H71,4)</f>
        <v/>
      </c>
      <c r="M71" s="40" t="e">
        <f t="shared" si="18"/>
        <v>#N/A</v>
      </c>
      <c r="N71" s="961"/>
      <c r="O71" s="54"/>
      <c r="P71" s="54"/>
      <c r="Q71" s="54"/>
      <c r="R71" s="54"/>
      <c r="S71" s="54"/>
      <c r="T71" s="342"/>
      <c r="U71" s="54"/>
      <c r="V71" s="54"/>
      <c r="W71" s="55"/>
      <c r="X71" s="57"/>
    </row>
    <row r="72" spans="1:24" s="40" customFormat="1" ht="13.9" customHeight="1" x14ac:dyDescent="0.2">
      <c r="A72" s="40">
        <v>67</v>
      </c>
      <c r="B72" s="69" t="str">
        <f>IF(ISBLANK(Listing!B72),"",Listing!B72)</f>
        <v/>
      </c>
      <c r="C72" s="69" t="str">
        <f>IF(ISBLANK(Listing!C72),"",Listing!C72)</f>
        <v/>
      </c>
      <c r="D72" s="69" t="str">
        <f>IF(ISBLANK(Listing!D72),"",Listing!D72)</f>
        <v/>
      </c>
      <c r="E72" s="69" t="str">
        <f>IF(ISBLANK(Listing!E72),"",Listing!E72)</f>
        <v/>
      </c>
      <c r="F72" s="69" t="str">
        <f>IF(ISBLANK(Listing!F72),"",Listing!F72)</f>
        <v/>
      </c>
      <c r="G72" s="71" t="str">
        <f>IF(ISBLANK(Listing!G72),"",Listing!G72)</f>
        <v/>
      </c>
      <c r="H72" s="70" t="str">
        <f>IF(ISBLANK(Listing!H72),"",Listing!H72)</f>
        <v/>
      </c>
      <c r="I72" s="64" t="str">
        <f>IF(ISBLANK(Listing!J72),"",Listing!J72)</f>
        <v/>
      </c>
      <c r="J72" s="64" t="str">
        <f>IF(ISBLANK(Listing!K72),"",Listing!K72)</f>
        <v/>
      </c>
      <c r="K72" s="57" t="str">
        <f>IF(ISBLANK(Listing!I72),"",Listing!I72)</f>
        <v/>
      </c>
      <c r="L72" s="747" t="str">
        <f t="shared" si="20"/>
        <v/>
      </c>
      <c r="M72" s="40" t="e">
        <f t="shared" si="18"/>
        <v>#N/A</v>
      </c>
      <c r="N72" s="961"/>
      <c r="O72" s="54"/>
      <c r="P72" s="54"/>
      <c r="Q72" s="54"/>
      <c r="R72" s="54"/>
      <c r="S72" s="54"/>
      <c r="T72" s="342"/>
      <c r="U72" s="56"/>
      <c r="V72" s="54"/>
      <c r="W72" s="55"/>
      <c r="X72" s="57"/>
    </row>
    <row r="73" spans="1:24" s="40" customFormat="1" ht="13.9" customHeight="1" thickBot="1" x14ac:dyDescent="0.25">
      <c r="A73" s="40">
        <v>68</v>
      </c>
      <c r="B73" s="69" t="str">
        <f>IF(ISBLANK(Listing!B73),"",Listing!B73)</f>
        <v/>
      </c>
      <c r="C73" s="69" t="str">
        <f>IF(ISBLANK(Listing!C73),"",Listing!C73)</f>
        <v/>
      </c>
      <c r="D73" s="69" t="str">
        <f>IF(ISBLANK(Listing!D73),"",Listing!D73)</f>
        <v/>
      </c>
      <c r="E73" s="69" t="str">
        <f>IF(ISBLANK(Listing!E73),"",Listing!E73)</f>
        <v/>
      </c>
      <c r="F73" s="69" t="str">
        <f>IF(ISBLANK(Listing!F73),"",Listing!F73)</f>
        <v/>
      </c>
      <c r="G73" s="71" t="str">
        <f>IF(ISBLANK(Listing!G73),"",Listing!G73)</f>
        <v/>
      </c>
      <c r="H73" s="70" t="str">
        <f>IF(ISBLANK(Listing!H73),"",Listing!H73)</f>
        <v/>
      </c>
      <c r="I73" s="64" t="str">
        <f>IF(ISBLANK(Listing!J73),"",Listing!J73)</f>
        <v/>
      </c>
      <c r="J73" s="64" t="str">
        <f>IF(ISBLANK(Listing!K73),"",Listing!K73)</f>
        <v/>
      </c>
      <c r="K73" s="57" t="str">
        <f>IF(ISBLANK(Listing!I73),"",Listing!I73)</f>
        <v/>
      </c>
      <c r="L73" s="747" t="str">
        <f t="shared" si="20"/>
        <v/>
      </c>
      <c r="M73" s="40" t="e">
        <f t="shared" si="18"/>
        <v>#N/A</v>
      </c>
      <c r="N73" s="962"/>
      <c r="O73" s="54"/>
      <c r="P73" s="54"/>
      <c r="Q73" s="54"/>
      <c r="R73" s="54"/>
      <c r="S73" s="54"/>
      <c r="T73" s="342"/>
      <c r="U73" s="54"/>
      <c r="V73" s="54"/>
      <c r="W73" s="55"/>
      <c r="X73" s="57"/>
    </row>
    <row r="74" spans="1:24" s="40" customFormat="1" ht="13.9" customHeight="1" x14ac:dyDescent="0.2">
      <c r="A74" s="40">
        <v>69</v>
      </c>
      <c r="B74" s="69" t="str">
        <f>IF(ISBLANK(Listing!B74),"",Listing!B74)</f>
        <v/>
      </c>
      <c r="C74" s="69" t="str">
        <f>IF(ISBLANK(Listing!C74),"",Listing!C74)</f>
        <v/>
      </c>
      <c r="D74" s="69" t="str">
        <f>IF(ISBLANK(Listing!D74),"",Listing!D74)</f>
        <v/>
      </c>
      <c r="E74" s="69" t="str">
        <f>IF(ISBLANK(Listing!E74),"",Listing!E74)</f>
        <v/>
      </c>
      <c r="F74" s="69" t="str">
        <f>IF(ISBLANK(Listing!F74),"",Listing!F74)</f>
        <v/>
      </c>
      <c r="G74" s="71" t="str">
        <f>IF(ISBLANK(Listing!G74),"",Listing!G74)</f>
        <v/>
      </c>
      <c r="H74" s="70" t="str">
        <f>IF(ISBLANK(Listing!H74),"",Listing!H74)</f>
        <v/>
      </c>
      <c r="I74" s="64" t="str">
        <f>IF(ISBLANK(Listing!J74),"",Listing!J74)</f>
        <v/>
      </c>
      <c r="J74" s="64" t="str">
        <f>IF(ISBLANK(Listing!K74),"",Listing!K74)</f>
        <v/>
      </c>
      <c r="K74" s="57" t="str">
        <f>IF(ISBLANK(Listing!I74),"",Listing!I74)</f>
        <v/>
      </c>
      <c r="L74" s="747" t="str">
        <f t="shared" si="20"/>
        <v/>
      </c>
      <c r="M74" s="40" t="e">
        <f t="shared" si="18"/>
        <v>#N/A</v>
      </c>
      <c r="N74" s="960" t="e">
        <f t="shared" ref="N74" si="21">IF(AND(M74="oui",M75="oui",M76="oui",M77="oui"),"PRO","N")</f>
        <v>#N/A</v>
      </c>
      <c r="O74" s="54"/>
      <c r="P74" s="54"/>
      <c r="Q74" s="54"/>
      <c r="R74" s="54"/>
      <c r="S74" s="54"/>
      <c r="T74" s="342"/>
      <c r="U74" s="56"/>
      <c r="V74" s="54"/>
      <c r="W74" s="55"/>
      <c r="X74" s="57"/>
    </row>
    <row r="75" spans="1:24" s="40" customFormat="1" ht="13.9" customHeight="1" x14ac:dyDescent="0.2">
      <c r="A75" s="40">
        <v>70</v>
      </c>
      <c r="B75" s="69" t="str">
        <f>IF(ISBLANK(Listing!B75),"",Listing!B75)</f>
        <v/>
      </c>
      <c r="C75" s="69" t="str">
        <f>IF(ISBLANK(Listing!C75),"",Listing!C75)</f>
        <v/>
      </c>
      <c r="D75" s="69" t="str">
        <f>IF(ISBLANK(Listing!D75),"",Listing!D75)</f>
        <v/>
      </c>
      <c r="E75" s="69" t="str">
        <f>IF(ISBLANK(Listing!E75),"",Listing!E75)</f>
        <v/>
      </c>
      <c r="F75" s="69" t="str">
        <f>IF(ISBLANK(Listing!F75),"",Listing!F75)</f>
        <v/>
      </c>
      <c r="G75" s="71" t="str">
        <f>IF(ISBLANK(Listing!G75),"",Listing!G75)</f>
        <v/>
      </c>
      <c r="H75" s="70" t="str">
        <f>IF(ISBLANK(Listing!H75),"",Listing!H75)</f>
        <v/>
      </c>
      <c r="I75" s="64" t="str">
        <f>IF(ISBLANK(Listing!J75),"",Listing!J75)</f>
        <v/>
      </c>
      <c r="J75" s="64" t="str">
        <f>IF(ISBLANK(Listing!K75),"",Listing!K75)</f>
        <v/>
      </c>
      <c r="K75" s="57" t="str">
        <f>IF(ISBLANK(Listing!I75),"",Listing!I75)</f>
        <v/>
      </c>
      <c r="L75" s="747" t="str">
        <f t="shared" si="20"/>
        <v/>
      </c>
      <c r="M75" s="40" t="e">
        <f t="shared" si="18"/>
        <v>#N/A</v>
      </c>
      <c r="N75" s="961"/>
      <c r="O75" s="54"/>
      <c r="P75" s="54"/>
      <c r="Q75" s="54"/>
      <c r="R75" s="54"/>
      <c r="S75" s="54"/>
      <c r="T75" s="342"/>
      <c r="U75" s="54"/>
      <c r="V75" s="54"/>
      <c r="W75" s="55"/>
      <c r="X75" s="57"/>
    </row>
    <row r="76" spans="1:24" s="40" customFormat="1" ht="13.9" customHeight="1" x14ac:dyDescent="0.2">
      <c r="A76" s="40">
        <v>71</v>
      </c>
      <c r="B76" s="69" t="str">
        <f>IF(ISBLANK(Listing!B76),"",Listing!B76)</f>
        <v/>
      </c>
      <c r="C76" s="69" t="str">
        <f>IF(ISBLANK(Listing!C76),"",Listing!C76)</f>
        <v/>
      </c>
      <c r="D76" s="69" t="str">
        <f>IF(ISBLANK(Listing!D76),"",Listing!D76)</f>
        <v/>
      </c>
      <c r="E76" s="69" t="str">
        <f>IF(ISBLANK(Listing!E76),"",Listing!E76)</f>
        <v/>
      </c>
      <c r="F76" s="69" t="str">
        <f>IF(ISBLANK(Listing!F76),"",Listing!F76)</f>
        <v/>
      </c>
      <c r="G76" s="71" t="str">
        <f>IF(ISBLANK(Listing!G76),"",Listing!G76)</f>
        <v/>
      </c>
      <c r="H76" s="70" t="str">
        <f>IF(ISBLANK(Listing!H76),"",Listing!H76)</f>
        <v/>
      </c>
      <c r="I76" s="64" t="str">
        <f>IF(ISBLANK(Listing!J76),"",Listing!J76)</f>
        <v/>
      </c>
      <c r="J76" s="64" t="str">
        <f>IF(ISBLANK(Listing!K76),"",Listing!K76)</f>
        <v/>
      </c>
      <c r="K76" s="57" t="str">
        <f>IF(ISBLANK(Listing!I76),"",Listing!I76)</f>
        <v/>
      </c>
      <c r="L76" s="747" t="str">
        <f t="shared" si="20"/>
        <v/>
      </c>
      <c r="M76" s="40" t="e">
        <f t="shared" si="18"/>
        <v>#N/A</v>
      </c>
      <c r="N76" s="961"/>
      <c r="O76" s="54"/>
      <c r="P76" s="54"/>
      <c r="Q76" s="54"/>
      <c r="R76" s="54"/>
      <c r="S76" s="54"/>
      <c r="T76" s="342"/>
      <c r="U76" s="56"/>
      <c r="V76" s="54"/>
      <c r="W76" s="55"/>
      <c r="X76" s="57"/>
    </row>
    <row r="77" spans="1:24" s="40" customFormat="1" ht="13.9" customHeight="1" thickBot="1" x14ac:dyDescent="0.25">
      <c r="A77" s="40">
        <v>72</v>
      </c>
      <c r="B77" s="69" t="str">
        <f>IF(ISBLANK(Listing!B77),"",Listing!B77)</f>
        <v/>
      </c>
      <c r="C77" s="69" t="str">
        <f>IF(ISBLANK(Listing!C77),"",Listing!C77)</f>
        <v/>
      </c>
      <c r="D77" s="69" t="str">
        <f>IF(ISBLANK(Listing!D77),"",Listing!D77)</f>
        <v/>
      </c>
      <c r="E77" s="69" t="str">
        <f>IF(ISBLANK(Listing!E77),"",Listing!E77)</f>
        <v/>
      </c>
      <c r="F77" s="69" t="str">
        <f>IF(ISBLANK(Listing!F77),"",Listing!F77)</f>
        <v/>
      </c>
      <c r="G77" s="71" t="str">
        <f>IF(ISBLANK(Listing!G77),"",Listing!G77)</f>
        <v/>
      </c>
      <c r="H77" s="70" t="str">
        <f>IF(ISBLANK(Listing!H77),"",Listing!H77)</f>
        <v/>
      </c>
      <c r="I77" s="64" t="str">
        <f>IF(ISBLANK(Listing!J77),"",Listing!J77)</f>
        <v/>
      </c>
      <c r="J77" s="64" t="str">
        <f>IF(ISBLANK(Listing!K77),"",Listing!K77)</f>
        <v/>
      </c>
      <c r="K77" s="57" t="str">
        <f>IF(ISBLANK(Listing!I77),"",Listing!I77)</f>
        <v/>
      </c>
      <c r="L77" s="747" t="str">
        <f t="shared" si="20"/>
        <v/>
      </c>
      <c r="M77" s="40" t="e">
        <f t="shared" si="18"/>
        <v>#N/A</v>
      </c>
      <c r="N77" s="962"/>
      <c r="O77" s="54"/>
      <c r="P77" s="54"/>
      <c r="Q77" s="54"/>
      <c r="R77" s="54"/>
      <c r="S77" s="54"/>
      <c r="T77" s="342"/>
      <c r="U77" s="54"/>
      <c r="V77" s="54"/>
      <c r="W77" s="55"/>
      <c r="X77" s="57"/>
    </row>
    <row r="78" spans="1:24" s="40" customFormat="1" ht="13.9" customHeight="1" x14ac:dyDescent="0.2">
      <c r="A78" s="40">
        <v>73</v>
      </c>
      <c r="B78" s="69" t="str">
        <f>IF(ISBLANK(Listing!B78),"",Listing!B78)</f>
        <v/>
      </c>
      <c r="C78" s="69" t="str">
        <f>IF(ISBLANK(Listing!C78),"",Listing!C78)</f>
        <v/>
      </c>
      <c r="D78" s="69" t="str">
        <f>IF(ISBLANK(Listing!D78),"",Listing!D78)</f>
        <v/>
      </c>
      <c r="E78" s="69" t="str">
        <f>IF(ISBLANK(Listing!E78),"",Listing!E78)</f>
        <v/>
      </c>
      <c r="F78" s="69" t="str">
        <f>IF(ISBLANK(Listing!F78),"",Listing!F78)</f>
        <v/>
      </c>
      <c r="G78" s="71" t="str">
        <f>IF(ISBLANK(Listing!G78),"",Listing!G78)</f>
        <v/>
      </c>
      <c r="H78" s="70" t="str">
        <f>IF(ISBLANK(Listing!H78),"",Listing!H78)</f>
        <v/>
      </c>
      <c r="I78" s="64" t="str">
        <f>IF(ISBLANK(Listing!J78),"",Listing!J78)</f>
        <v/>
      </c>
      <c r="J78" s="64" t="str">
        <f>IF(ISBLANK(Listing!K78),"",Listing!K78)</f>
        <v/>
      </c>
      <c r="K78" s="57" t="str">
        <f>IF(ISBLANK(Listing!I78),"",Listing!I78)</f>
        <v/>
      </c>
      <c r="L78" s="747" t="str">
        <f t="shared" si="20"/>
        <v/>
      </c>
      <c r="M78" s="40" t="e">
        <f t="shared" si="18"/>
        <v>#N/A</v>
      </c>
      <c r="N78" s="960" t="e">
        <f t="shared" ref="N78" si="22">IF(AND(M78="oui",M79="oui",M80="oui",M81="oui"),"PRO","N")</f>
        <v>#N/A</v>
      </c>
      <c r="O78" s="54"/>
      <c r="P78" s="54"/>
      <c r="Q78" s="54"/>
      <c r="R78" s="54"/>
      <c r="S78" s="54"/>
      <c r="T78" s="342"/>
      <c r="U78" s="56"/>
      <c r="V78" s="54"/>
      <c r="W78" s="55"/>
      <c r="X78" s="57"/>
    </row>
    <row r="79" spans="1:24" s="40" customFormat="1" ht="13.9" customHeight="1" x14ac:dyDescent="0.2">
      <c r="A79" s="40">
        <v>74</v>
      </c>
      <c r="B79" s="69" t="str">
        <f>IF(ISBLANK(Listing!B79),"",Listing!B79)</f>
        <v/>
      </c>
      <c r="C79" s="69" t="str">
        <f>IF(ISBLANK(Listing!C79),"",Listing!C79)</f>
        <v/>
      </c>
      <c r="D79" s="69" t="str">
        <f>IF(ISBLANK(Listing!D79),"",Listing!D79)</f>
        <v/>
      </c>
      <c r="E79" s="69" t="str">
        <f>IF(ISBLANK(Listing!E79),"",Listing!E79)</f>
        <v/>
      </c>
      <c r="F79" s="69" t="str">
        <f>IF(ISBLANK(Listing!F79),"",Listing!F79)</f>
        <v/>
      </c>
      <c r="G79" s="71" t="str">
        <f>IF(ISBLANK(Listing!G79),"",Listing!G79)</f>
        <v/>
      </c>
      <c r="H79" s="70" t="str">
        <f>IF(ISBLANK(Listing!H79),"",Listing!H79)</f>
        <v/>
      </c>
      <c r="I79" s="64" t="str">
        <f>IF(ISBLANK(Listing!J79),"",Listing!J79)</f>
        <v/>
      </c>
      <c r="J79" s="64" t="str">
        <f>IF(ISBLANK(Listing!K79),"",Listing!K79)</f>
        <v/>
      </c>
      <c r="K79" s="57" t="str">
        <f>IF(ISBLANK(Listing!I79),"",Listing!I79)</f>
        <v/>
      </c>
      <c r="L79" s="747" t="str">
        <f t="shared" si="20"/>
        <v/>
      </c>
      <c r="M79" s="40" t="e">
        <f t="shared" si="18"/>
        <v>#N/A</v>
      </c>
      <c r="N79" s="961"/>
      <c r="O79" s="54"/>
      <c r="P79" s="54"/>
      <c r="Q79" s="54"/>
      <c r="R79" s="54"/>
      <c r="S79" s="54"/>
      <c r="T79" s="342"/>
      <c r="U79" s="54"/>
      <c r="V79" s="54"/>
      <c r="W79" s="55"/>
      <c r="X79" s="57"/>
    </row>
    <row r="80" spans="1:24" s="40" customFormat="1" ht="13.9" customHeight="1" x14ac:dyDescent="0.2">
      <c r="A80" s="40">
        <v>75</v>
      </c>
      <c r="B80" s="69" t="str">
        <f>IF(ISBLANK(Listing!B80),"",Listing!B80)</f>
        <v/>
      </c>
      <c r="C80" s="69" t="str">
        <f>IF(ISBLANK(Listing!C80),"",Listing!C80)</f>
        <v/>
      </c>
      <c r="D80" s="69" t="str">
        <f>IF(ISBLANK(Listing!D80),"",Listing!D80)</f>
        <v/>
      </c>
      <c r="E80" s="69" t="str">
        <f>IF(ISBLANK(Listing!E80),"",Listing!E80)</f>
        <v/>
      </c>
      <c r="F80" s="69" t="str">
        <f>IF(ISBLANK(Listing!F80),"",Listing!F80)</f>
        <v/>
      </c>
      <c r="G80" s="71" t="str">
        <f>IF(ISBLANK(Listing!G80),"",Listing!G80)</f>
        <v/>
      </c>
      <c r="H80" s="70" t="str">
        <f>IF(ISBLANK(Listing!H80),"",Listing!H80)</f>
        <v/>
      </c>
      <c r="I80" s="64" t="str">
        <f>IF(ISBLANK(Listing!J80),"",Listing!J80)</f>
        <v/>
      </c>
      <c r="J80" s="64" t="str">
        <f>IF(ISBLANK(Listing!K80),"",Listing!K80)</f>
        <v/>
      </c>
      <c r="K80" s="57" t="str">
        <f>IF(ISBLANK(Listing!I80),"",Listing!I80)</f>
        <v/>
      </c>
      <c r="L80" s="747" t="str">
        <f t="shared" si="20"/>
        <v/>
      </c>
      <c r="M80" s="40" t="e">
        <f t="shared" si="18"/>
        <v>#N/A</v>
      </c>
      <c r="N80" s="961"/>
      <c r="O80" s="54"/>
      <c r="P80" s="54"/>
      <c r="Q80" s="54"/>
      <c r="R80" s="54"/>
      <c r="S80" s="54"/>
      <c r="T80" s="342"/>
      <c r="U80" s="56"/>
      <c r="V80" s="54"/>
      <c r="W80" s="55"/>
      <c r="X80" s="57"/>
    </row>
    <row r="81" spans="1:24" s="40" customFormat="1" ht="13.9" customHeight="1" thickBot="1" x14ac:dyDescent="0.25">
      <c r="A81" s="40">
        <v>76</v>
      </c>
      <c r="B81" s="69" t="str">
        <f>IF(ISBLANK(Listing!B81),"",Listing!B81)</f>
        <v/>
      </c>
      <c r="C81" s="69" t="str">
        <f>IF(ISBLANK(Listing!C81),"",Listing!C81)</f>
        <v/>
      </c>
      <c r="D81" s="69" t="str">
        <f>IF(ISBLANK(Listing!D81),"",Listing!D81)</f>
        <v/>
      </c>
      <c r="E81" s="69" t="str">
        <f>IF(ISBLANK(Listing!E81),"",Listing!E81)</f>
        <v/>
      </c>
      <c r="F81" s="69" t="str">
        <f>IF(ISBLANK(Listing!F81),"",Listing!F81)</f>
        <v/>
      </c>
      <c r="G81" s="71" t="str">
        <f>IF(ISBLANK(Listing!G81),"",Listing!G81)</f>
        <v/>
      </c>
      <c r="H81" s="70" t="str">
        <f>IF(ISBLANK(Listing!H81),"",Listing!H81)</f>
        <v/>
      </c>
      <c r="I81" s="64" t="str">
        <f>IF(ISBLANK(Listing!J81),"",Listing!J81)</f>
        <v/>
      </c>
      <c r="J81" s="64" t="str">
        <f>IF(ISBLANK(Listing!K81),"",Listing!K81)</f>
        <v/>
      </c>
      <c r="K81" s="57" t="str">
        <f>IF(ISBLANK(Listing!I81),"",Listing!I81)</f>
        <v/>
      </c>
      <c r="L81" s="747" t="str">
        <f t="shared" si="20"/>
        <v/>
      </c>
      <c r="M81" s="40" t="e">
        <f t="shared" si="18"/>
        <v>#N/A</v>
      </c>
      <c r="N81" s="962"/>
      <c r="O81" s="54"/>
      <c r="P81" s="54"/>
      <c r="Q81" s="54"/>
      <c r="R81" s="54"/>
      <c r="S81" s="54"/>
      <c r="T81" s="342"/>
      <c r="U81" s="54"/>
      <c r="V81" s="54"/>
      <c r="W81" s="55"/>
      <c r="X81" s="57"/>
    </row>
    <row r="82" spans="1:24" s="40" customFormat="1" ht="13.9" customHeight="1" x14ac:dyDescent="0.2">
      <c r="A82" s="40">
        <v>77</v>
      </c>
      <c r="B82" s="69" t="str">
        <f>IF(ISBLANK(Listing!B82),"",Listing!B82)</f>
        <v/>
      </c>
      <c r="C82" s="69" t="str">
        <f>IF(ISBLANK(Listing!C82),"",Listing!C82)</f>
        <v/>
      </c>
      <c r="D82" s="69" t="str">
        <f>IF(ISBLANK(Listing!D82),"",Listing!D82)</f>
        <v/>
      </c>
      <c r="E82" s="69" t="str">
        <f>IF(ISBLANK(Listing!E82),"",Listing!E82)</f>
        <v/>
      </c>
      <c r="F82" s="69" t="str">
        <f>IF(ISBLANK(Listing!F82),"",Listing!F82)</f>
        <v/>
      </c>
      <c r="G82" s="71" t="str">
        <f>IF(ISBLANK(Listing!G82),"",Listing!G82)</f>
        <v/>
      </c>
      <c r="H82" s="70" t="str">
        <f>IF(ISBLANK(Listing!H82),"",Listing!H82)</f>
        <v/>
      </c>
      <c r="I82" s="64" t="str">
        <f>IF(ISBLANK(Listing!J82),"",Listing!J82)</f>
        <v/>
      </c>
      <c r="J82" s="64" t="str">
        <f>IF(ISBLANK(Listing!K82),"",Listing!K82)</f>
        <v/>
      </c>
      <c r="K82" s="57" t="str">
        <f>IF(ISBLANK(Listing!I82),"",Listing!I82)</f>
        <v/>
      </c>
      <c r="L82" s="747" t="str">
        <f t="shared" si="20"/>
        <v/>
      </c>
      <c r="M82" s="40" t="e">
        <f t="shared" si="18"/>
        <v>#N/A</v>
      </c>
      <c r="N82" s="960" t="e">
        <f t="shared" ref="N82" si="23">IF(AND(M82="oui",M83="oui",M84="oui",M85="oui"),"PRO","N")</f>
        <v>#N/A</v>
      </c>
      <c r="O82" s="54"/>
      <c r="P82" s="54"/>
      <c r="Q82" s="54"/>
      <c r="R82" s="54"/>
      <c r="S82" s="54"/>
      <c r="T82" s="342"/>
      <c r="U82" s="56"/>
      <c r="V82" s="54"/>
      <c r="W82" s="55"/>
      <c r="X82" s="57"/>
    </row>
    <row r="83" spans="1:24" s="40" customFormat="1" ht="13.9" customHeight="1" x14ac:dyDescent="0.2">
      <c r="A83" s="40">
        <v>78</v>
      </c>
      <c r="B83" s="69" t="str">
        <f>IF(ISBLANK(Listing!B83),"",Listing!B83)</f>
        <v/>
      </c>
      <c r="C83" s="69" t="str">
        <f>IF(ISBLANK(Listing!C83),"",Listing!C83)</f>
        <v/>
      </c>
      <c r="D83" s="69" t="str">
        <f>IF(ISBLANK(Listing!D83),"",Listing!D83)</f>
        <v/>
      </c>
      <c r="E83" s="69" t="str">
        <f>IF(ISBLANK(Listing!E83),"",Listing!E83)</f>
        <v/>
      </c>
      <c r="F83" s="69" t="str">
        <f>IF(ISBLANK(Listing!F83),"",Listing!F83)</f>
        <v/>
      </c>
      <c r="G83" s="71" t="str">
        <f>IF(ISBLANK(Listing!G83),"",Listing!G83)</f>
        <v/>
      </c>
      <c r="H83" s="70" t="str">
        <f>IF(ISBLANK(Listing!H83),"",Listing!H83)</f>
        <v/>
      </c>
      <c r="I83" s="64" t="str">
        <f>IF(ISBLANK(Listing!J83),"",Listing!J83)</f>
        <v/>
      </c>
      <c r="J83" s="64" t="str">
        <f>IF(ISBLANK(Listing!K83),"",Listing!K83)</f>
        <v/>
      </c>
      <c r="K83" s="57" t="str">
        <f>IF(ISBLANK(Listing!I83),"",Listing!I83)</f>
        <v/>
      </c>
      <c r="L83" s="747" t="str">
        <f t="shared" si="20"/>
        <v/>
      </c>
      <c r="M83" s="40" t="e">
        <f t="shared" si="18"/>
        <v>#N/A</v>
      </c>
      <c r="N83" s="961"/>
      <c r="O83" s="54"/>
      <c r="P83" s="54"/>
      <c r="Q83" s="54"/>
      <c r="R83" s="54"/>
      <c r="S83" s="54"/>
      <c r="T83" s="342"/>
      <c r="U83" s="54"/>
      <c r="V83" s="54"/>
      <c r="W83" s="55"/>
      <c r="X83" s="57"/>
    </row>
    <row r="84" spans="1:24" s="40" customFormat="1" ht="13.9" customHeight="1" x14ac:dyDescent="0.2">
      <c r="A84" s="40">
        <v>79</v>
      </c>
      <c r="B84" s="69" t="str">
        <f>IF(ISBLANK(Listing!B84),"",Listing!B84)</f>
        <v/>
      </c>
      <c r="C84" s="69" t="str">
        <f>IF(ISBLANK(Listing!C84),"",Listing!C84)</f>
        <v/>
      </c>
      <c r="D84" s="69" t="str">
        <f>IF(ISBLANK(Listing!D84),"",Listing!D84)</f>
        <v/>
      </c>
      <c r="E84" s="69" t="str">
        <f>IF(ISBLANK(Listing!E84),"",Listing!E84)</f>
        <v/>
      </c>
      <c r="F84" s="69" t="str">
        <f>IF(ISBLANK(Listing!F84),"",Listing!F84)</f>
        <v/>
      </c>
      <c r="G84" s="71" t="str">
        <f>IF(ISBLANK(Listing!G84),"",Listing!G84)</f>
        <v/>
      </c>
      <c r="H84" s="70" t="str">
        <f>IF(ISBLANK(Listing!H84),"",Listing!H84)</f>
        <v/>
      </c>
      <c r="I84" s="64" t="str">
        <f>IF(ISBLANK(Listing!J84),"",Listing!J84)</f>
        <v/>
      </c>
      <c r="J84" s="64" t="str">
        <f>IF(ISBLANK(Listing!K84),"",Listing!K84)</f>
        <v/>
      </c>
      <c r="K84" s="57" t="str">
        <f>IF(ISBLANK(Listing!I84),"",Listing!I84)</f>
        <v/>
      </c>
      <c r="L84" s="747" t="str">
        <f t="shared" si="20"/>
        <v/>
      </c>
      <c r="M84" s="40" t="e">
        <f t="shared" si="18"/>
        <v>#N/A</v>
      </c>
      <c r="N84" s="961"/>
      <c r="O84" s="54"/>
      <c r="P84" s="54"/>
      <c r="Q84" s="54"/>
      <c r="R84" s="54"/>
      <c r="S84" s="54"/>
      <c r="T84" s="342"/>
      <c r="U84" s="56"/>
      <c r="V84" s="54"/>
      <c r="W84" s="55"/>
      <c r="X84" s="57"/>
    </row>
    <row r="85" spans="1:24" s="40" customFormat="1" ht="13.9" customHeight="1" thickBot="1" x14ac:dyDescent="0.25">
      <c r="A85" s="40">
        <v>80</v>
      </c>
      <c r="B85" s="69" t="str">
        <f>IF(ISBLANK(Listing!B85),"",Listing!B85)</f>
        <v/>
      </c>
      <c r="C85" s="69" t="str">
        <f>IF(ISBLANK(Listing!C85),"",Listing!C85)</f>
        <v/>
      </c>
      <c r="D85" s="69" t="str">
        <f>IF(ISBLANK(Listing!D85),"",Listing!D85)</f>
        <v/>
      </c>
      <c r="E85" s="69" t="str">
        <f>IF(ISBLANK(Listing!E85),"",Listing!E85)</f>
        <v/>
      </c>
      <c r="F85" s="69" t="str">
        <f>IF(ISBLANK(Listing!F85),"",Listing!F85)</f>
        <v/>
      </c>
      <c r="G85" s="71" t="str">
        <f>IF(ISBLANK(Listing!G85),"",Listing!G85)</f>
        <v/>
      </c>
      <c r="H85" s="70" t="str">
        <f>IF(ISBLANK(Listing!H85),"",Listing!H85)</f>
        <v/>
      </c>
      <c r="I85" s="64" t="str">
        <f>IF(ISBLANK(Listing!J85),"",Listing!J85)</f>
        <v/>
      </c>
      <c r="J85" s="64" t="str">
        <f>IF(ISBLANK(Listing!K85),"",Listing!K85)</f>
        <v/>
      </c>
      <c r="K85" s="57" t="str">
        <f>IF(ISBLANK(Listing!I85),"",Listing!I85)</f>
        <v/>
      </c>
      <c r="L85" s="747" t="str">
        <f t="shared" si="20"/>
        <v/>
      </c>
      <c r="M85" s="40" t="e">
        <f t="shared" si="18"/>
        <v>#N/A</v>
      </c>
      <c r="N85" s="962"/>
      <c r="O85" s="54"/>
      <c r="P85" s="54"/>
      <c r="Q85" s="54"/>
      <c r="R85" s="54"/>
      <c r="S85" s="54"/>
      <c r="T85" s="342"/>
      <c r="U85" s="54"/>
      <c r="V85" s="54"/>
      <c r="W85" s="55"/>
      <c r="X85" s="57"/>
    </row>
    <row r="86" spans="1:24" ht="12.75" x14ac:dyDescent="0.2">
      <c r="A86" s="40">
        <v>81</v>
      </c>
      <c r="B86" s="69" t="str">
        <f>IF(ISBLANK(Listing!B86),"",Listing!B86)</f>
        <v/>
      </c>
      <c r="C86" s="69" t="str">
        <f>IF(ISBLANK(Listing!C86),"",Listing!C86)</f>
        <v/>
      </c>
      <c r="D86" s="69" t="str">
        <f>IF(ISBLANK(Listing!D86),"",Listing!D86)</f>
        <v/>
      </c>
      <c r="E86" s="69" t="str">
        <f>IF(ISBLANK(Listing!E86),"",Listing!E86)</f>
        <v/>
      </c>
      <c r="F86" s="69" t="str">
        <f>IF(ISBLANK(Listing!F86),"",Listing!F86)</f>
        <v/>
      </c>
      <c r="G86" s="71" t="str">
        <f>IF(ISBLANK(Listing!G86),"",Listing!G86)</f>
        <v/>
      </c>
      <c r="H86" s="70" t="str">
        <f>IF(ISBLANK(Listing!H86),"",Listing!H86)</f>
        <v/>
      </c>
      <c r="I86" s="64" t="str">
        <f>IF(ISBLANK(Listing!J86),"",Listing!J86)</f>
        <v/>
      </c>
      <c r="J86" s="64" t="str">
        <f>IF(ISBLANK(Listing!K86),"",Listing!K86)</f>
        <v/>
      </c>
      <c r="K86" s="57" t="str">
        <f>IF(ISBLANK(Listing!I86),"",Listing!I86)</f>
        <v/>
      </c>
      <c r="L86" s="747" t="str">
        <f t="shared" si="20"/>
        <v/>
      </c>
      <c r="M86" s="40" t="e">
        <f t="shared" si="18"/>
        <v>#N/A</v>
      </c>
      <c r="N86" s="960" t="e">
        <f t="shared" ref="N86" si="24">IF(AND(M86="oui",M87="oui",M88="oui",M89="oui"),"PRO","N")</f>
        <v>#N/A</v>
      </c>
      <c r="O86" s="54"/>
      <c r="P86" s="54"/>
      <c r="Q86" s="54"/>
      <c r="R86" s="54"/>
      <c r="S86" s="54"/>
      <c r="T86" s="342"/>
      <c r="U86" s="54"/>
      <c r="V86" s="54"/>
      <c r="W86" s="55"/>
      <c r="X86" s="57"/>
    </row>
    <row r="87" spans="1:24" ht="12.75" x14ac:dyDescent="0.2">
      <c r="A87" s="40">
        <v>82</v>
      </c>
      <c r="B87" s="69" t="str">
        <f>IF(ISBLANK(Listing!B87),"",Listing!B87)</f>
        <v/>
      </c>
      <c r="C87" s="69" t="str">
        <f>IF(ISBLANK(Listing!C87),"",Listing!C87)</f>
        <v/>
      </c>
      <c r="D87" s="69" t="str">
        <f>IF(ISBLANK(Listing!D87),"",Listing!D87)</f>
        <v/>
      </c>
      <c r="E87" s="69" t="str">
        <f>IF(ISBLANK(Listing!E87),"",Listing!E87)</f>
        <v/>
      </c>
      <c r="F87" s="69" t="str">
        <f>IF(ISBLANK(Listing!F87),"",Listing!F87)</f>
        <v/>
      </c>
      <c r="G87" s="71" t="str">
        <f>IF(ISBLANK(Listing!G87),"",Listing!G87)</f>
        <v/>
      </c>
      <c r="H87" s="70" t="str">
        <f>IF(ISBLANK(Listing!H87),"",Listing!H87)</f>
        <v/>
      </c>
      <c r="I87" s="64" t="str">
        <f>IF(ISBLANK(Listing!J87),"",Listing!J87)</f>
        <v/>
      </c>
      <c r="J87" s="64" t="str">
        <f>IF(ISBLANK(Listing!K87),"",Listing!K87)</f>
        <v/>
      </c>
      <c r="K87" s="57" t="str">
        <f>IF(ISBLANK(Listing!I87),"",Listing!I87)</f>
        <v/>
      </c>
      <c r="L87" s="747" t="str">
        <f t="shared" si="20"/>
        <v/>
      </c>
      <c r="M87" s="40" t="e">
        <f t="shared" si="18"/>
        <v>#N/A</v>
      </c>
      <c r="N87" s="961"/>
      <c r="O87" s="54"/>
      <c r="P87" s="54"/>
      <c r="Q87" s="54"/>
      <c r="R87" s="54"/>
      <c r="S87" s="54"/>
      <c r="T87" s="342"/>
      <c r="U87" s="54"/>
      <c r="V87" s="54"/>
      <c r="W87" s="55"/>
      <c r="X87" s="57"/>
    </row>
    <row r="88" spans="1:24" ht="12.75" x14ac:dyDescent="0.2">
      <c r="A88" s="40">
        <v>83</v>
      </c>
      <c r="B88" s="69" t="str">
        <f>IF(ISBLANK(Listing!B88),"",Listing!B88)</f>
        <v/>
      </c>
      <c r="C88" s="69" t="str">
        <f>IF(ISBLANK(Listing!C88),"",Listing!C88)</f>
        <v/>
      </c>
      <c r="D88" s="69" t="str">
        <f>IF(ISBLANK(Listing!D88),"",Listing!D88)</f>
        <v/>
      </c>
      <c r="E88" s="69" t="str">
        <f>IF(ISBLANK(Listing!E88),"",Listing!E88)</f>
        <v/>
      </c>
      <c r="F88" s="69" t="str">
        <f>IF(ISBLANK(Listing!F88),"",Listing!F88)</f>
        <v/>
      </c>
      <c r="G88" s="71" t="str">
        <f>IF(ISBLANK(Listing!G88),"",Listing!G88)</f>
        <v/>
      </c>
      <c r="H88" s="70" t="str">
        <f>IF(ISBLANK(Listing!H88),"",Listing!H88)</f>
        <v/>
      </c>
      <c r="I88" s="64" t="str">
        <f>IF(ISBLANK(Listing!J88),"",Listing!J88)</f>
        <v/>
      </c>
      <c r="J88" s="64" t="str">
        <f>IF(ISBLANK(Listing!K88),"",Listing!K88)</f>
        <v/>
      </c>
      <c r="K88" s="57" t="str">
        <f>IF(ISBLANK(Listing!I88),"",Listing!I88)</f>
        <v/>
      </c>
      <c r="L88" s="747" t="str">
        <f t="shared" si="20"/>
        <v/>
      </c>
      <c r="M88" s="40" t="e">
        <f t="shared" si="18"/>
        <v>#N/A</v>
      </c>
      <c r="N88" s="961"/>
      <c r="O88" s="54"/>
      <c r="P88" s="54"/>
      <c r="Q88" s="54"/>
      <c r="R88" s="54"/>
      <c r="S88" s="54"/>
      <c r="T88" s="342"/>
      <c r="U88" s="54"/>
      <c r="V88" s="54"/>
      <c r="W88" s="55"/>
      <c r="X88" s="57"/>
    </row>
    <row r="89" spans="1:24" ht="13.5" thickBot="1" x14ac:dyDescent="0.25">
      <c r="A89" s="40">
        <v>84</v>
      </c>
      <c r="B89" s="69" t="str">
        <f>IF(ISBLANK(Listing!B89),"",Listing!B89)</f>
        <v/>
      </c>
      <c r="C89" s="69" t="str">
        <f>IF(ISBLANK(Listing!C89),"",Listing!C89)</f>
        <v/>
      </c>
      <c r="D89" s="69" t="str">
        <f>IF(ISBLANK(Listing!D89),"",Listing!D89)</f>
        <v/>
      </c>
      <c r="E89" s="69" t="str">
        <f>IF(ISBLANK(Listing!E89),"",Listing!E89)</f>
        <v/>
      </c>
      <c r="F89" s="69" t="str">
        <f>IF(ISBLANK(Listing!F89),"",Listing!F89)</f>
        <v/>
      </c>
      <c r="G89" s="71" t="str">
        <f>IF(ISBLANK(Listing!G89),"",Listing!G89)</f>
        <v/>
      </c>
      <c r="H89" s="70" t="str">
        <f>IF(ISBLANK(Listing!H89),"",Listing!H89)</f>
        <v/>
      </c>
      <c r="I89" s="64" t="str">
        <f>IF(ISBLANK(Listing!J89),"",Listing!J89)</f>
        <v/>
      </c>
      <c r="J89" s="64" t="str">
        <f>IF(ISBLANK(Listing!K89),"",Listing!K89)</f>
        <v/>
      </c>
      <c r="K89" s="57" t="str">
        <f>IF(ISBLANK(Listing!I89),"",Listing!I89)</f>
        <v/>
      </c>
      <c r="L89" s="747" t="str">
        <f t="shared" si="20"/>
        <v/>
      </c>
      <c r="M89" s="40" t="e">
        <f t="shared" si="18"/>
        <v>#N/A</v>
      </c>
      <c r="N89" s="962"/>
      <c r="O89" s="54"/>
      <c r="P89" s="54"/>
      <c r="Q89" s="54"/>
      <c r="R89" s="54"/>
      <c r="S89" s="54"/>
      <c r="T89" s="342"/>
      <c r="U89" s="54"/>
      <c r="V89" s="54"/>
      <c r="W89" s="55"/>
      <c r="X89" s="57"/>
    </row>
    <row r="90" spans="1:24" ht="12.75" x14ac:dyDescent="0.2">
      <c r="A90" s="40">
        <v>85</v>
      </c>
      <c r="B90" s="69" t="str">
        <f>IF(ISBLANK(Listing!B90),"",Listing!B90)</f>
        <v/>
      </c>
      <c r="C90" s="69" t="str">
        <f>IF(ISBLANK(Listing!C90),"",Listing!C90)</f>
        <v/>
      </c>
      <c r="D90" s="69" t="str">
        <f>IF(ISBLANK(Listing!D90),"",Listing!D90)</f>
        <v/>
      </c>
      <c r="E90" s="69" t="str">
        <f>IF(ISBLANK(Listing!E90),"",Listing!E90)</f>
        <v/>
      </c>
      <c r="F90" s="69" t="str">
        <f>IF(ISBLANK(Listing!F90),"",Listing!F90)</f>
        <v/>
      </c>
      <c r="G90" s="71" t="str">
        <f>IF(ISBLANK(Listing!G90),"",Listing!G90)</f>
        <v/>
      </c>
      <c r="H90" s="70" t="str">
        <f>IF(ISBLANK(Listing!H90),"",Listing!H90)</f>
        <v/>
      </c>
      <c r="I90" s="64" t="str">
        <f>IF(ISBLANK(Listing!J90),"",Listing!J90)</f>
        <v/>
      </c>
      <c r="J90" s="64" t="str">
        <f>IF(ISBLANK(Listing!K90),"",Listing!K90)</f>
        <v/>
      </c>
      <c r="K90" s="57" t="str">
        <f>IF(ISBLANK(Listing!I90),"",Listing!I90)</f>
        <v/>
      </c>
      <c r="L90" s="747" t="str">
        <f t="shared" si="20"/>
        <v/>
      </c>
      <c r="M90" s="40" t="e">
        <f t="shared" si="18"/>
        <v>#N/A</v>
      </c>
      <c r="N90" s="960" t="e">
        <f t="shared" ref="N90" si="25">IF(AND(M90="oui",M91="oui",M92="oui",M93="oui"),"PRO","N")</f>
        <v>#N/A</v>
      </c>
      <c r="O90" s="54"/>
      <c r="P90" s="54"/>
      <c r="Q90" s="54"/>
      <c r="R90" s="54"/>
      <c r="S90" s="54"/>
      <c r="T90" s="342"/>
      <c r="U90" s="54"/>
      <c r="V90" s="54"/>
      <c r="W90" s="55"/>
      <c r="X90" s="57"/>
    </row>
    <row r="91" spans="1:24" ht="12.75" x14ac:dyDescent="0.2">
      <c r="A91" s="40">
        <v>86</v>
      </c>
      <c r="B91" s="69" t="str">
        <f>IF(ISBLANK(Listing!B91),"",Listing!B91)</f>
        <v/>
      </c>
      <c r="C91" s="69" t="str">
        <f>IF(ISBLANK(Listing!C91),"",Listing!C91)</f>
        <v/>
      </c>
      <c r="D91" s="69" t="str">
        <f>IF(ISBLANK(Listing!D91),"",Listing!D91)</f>
        <v/>
      </c>
      <c r="E91" s="69" t="str">
        <f>IF(ISBLANK(Listing!E91),"",Listing!E91)</f>
        <v/>
      </c>
      <c r="F91" s="69" t="str">
        <f>IF(ISBLANK(Listing!F91),"",Listing!F91)</f>
        <v/>
      </c>
      <c r="G91" s="71" t="str">
        <f>IF(ISBLANK(Listing!G91),"",Listing!G91)</f>
        <v/>
      </c>
      <c r="H91" s="70" t="str">
        <f>IF(ISBLANK(Listing!H91),"",Listing!H91)</f>
        <v/>
      </c>
      <c r="I91" s="64" t="str">
        <f>IF(ISBLANK(Listing!J91),"",Listing!J91)</f>
        <v/>
      </c>
      <c r="J91" s="64" t="str">
        <f>IF(ISBLANK(Listing!K91),"",Listing!K91)</f>
        <v/>
      </c>
      <c r="K91" s="57" t="str">
        <f>IF(ISBLANK(Listing!I91),"",Listing!I91)</f>
        <v/>
      </c>
      <c r="L91" s="747" t="str">
        <f t="shared" si="20"/>
        <v/>
      </c>
      <c r="M91" s="40" t="e">
        <f t="shared" si="18"/>
        <v>#N/A</v>
      </c>
      <c r="N91" s="961"/>
      <c r="O91" s="54"/>
      <c r="P91" s="54"/>
      <c r="Q91" s="54"/>
      <c r="R91" s="54"/>
      <c r="S91" s="54"/>
      <c r="T91" s="342"/>
      <c r="U91" s="54"/>
      <c r="V91" s="54"/>
      <c r="W91" s="55"/>
      <c r="X91" s="57"/>
    </row>
    <row r="92" spans="1:24" ht="12.75" x14ac:dyDescent="0.2">
      <c r="A92" s="40">
        <v>87</v>
      </c>
      <c r="B92" s="69" t="str">
        <f>IF(ISBLANK(Listing!B92),"",Listing!B92)</f>
        <v/>
      </c>
      <c r="C92" s="69" t="str">
        <f>IF(ISBLANK(Listing!C92),"",Listing!C92)</f>
        <v/>
      </c>
      <c r="D92" s="69" t="str">
        <f>IF(ISBLANK(Listing!D92),"",Listing!D92)</f>
        <v/>
      </c>
      <c r="E92" s="69" t="str">
        <f>IF(ISBLANK(Listing!E92),"",Listing!E92)</f>
        <v/>
      </c>
      <c r="F92" s="69" t="str">
        <f>IF(ISBLANK(Listing!F92),"",Listing!F92)</f>
        <v/>
      </c>
      <c r="G92" s="71" t="str">
        <f>IF(ISBLANK(Listing!G92),"",Listing!G92)</f>
        <v/>
      </c>
      <c r="H92" s="70" t="str">
        <f>IF(ISBLANK(Listing!H92),"",Listing!H92)</f>
        <v/>
      </c>
      <c r="I92" s="64" t="str">
        <f>IF(ISBLANK(Listing!J92),"",Listing!J92)</f>
        <v/>
      </c>
      <c r="J92" s="64" t="str">
        <f>IF(ISBLANK(Listing!K92),"",Listing!K92)</f>
        <v/>
      </c>
      <c r="K92" s="57" t="str">
        <f>IF(ISBLANK(Listing!I92),"",Listing!I92)</f>
        <v/>
      </c>
      <c r="L92" s="747" t="str">
        <f t="shared" si="20"/>
        <v/>
      </c>
      <c r="M92" s="40" t="e">
        <f t="shared" si="18"/>
        <v>#N/A</v>
      </c>
      <c r="N92" s="961"/>
      <c r="O92" s="54"/>
      <c r="P92" s="54"/>
      <c r="Q92" s="54"/>
      <c r="R92" s="54"/>
      <c r="S92" s="54"/>
      <c r="T92" s="342"/>
      <c r="U92" s="54"/>
      <c r="V92" s="54"/>
      <c r="W92" s="55"/>
      <c r="X92" s="57"/>
    </row>
    <row r="93" spans="1:24" ht="13.5" thickBot="1" x14ac:dyDescent="0.25">
      <c r="A93" s="40">
        <v>88</v>
      </c>
      <c r="B93" s="69" t="str">
        <f>IF(ISBLANK(Listing!B93),"",Listing!B93)</f>
        <v/>
      </c>
      <c r="C93" s="69" t="str">
        <f>IF(ISBLANK(Listing!C93),"",Listing!C93)</f>
        <v/>
      </c>
      <c r="D93" s="69" t="str">
        <f>IF(ISBLANK(Listing!D93),"",Listing!D93)</f>
        <v/>
      </c>
      <c r="E93" s="69" t="str">
        <f>IF(ISBLANK(Listing!E93),"",Listing!E93)</f>
        <v/>
      </c>
      <c r="F93" s="69" t="str">
        <f>IF(ISBLANK(Listing!F93),"",Listing!F93)</f>
        <v/>
      </c>
      <c r="G93" s="71" t="str">
        <f>IF(ISBLANK(Listing!G93),"",Listing!G93)</f>
        <v/>
      </c>
      <c r="H93" s="70" t="str">
        <f>IF(ISBLANK(Listing!H93),"",Listing!H93)</f>
        <v/>
      </c>
      <c r="I93" s="64" t="str">
        <f>IF(ISBLANK(Listing!J93),"",Listing!J93)</f>
        <v/>
      </c>
      <c r="J93" s="64" t="str">
        <f>IF(ISBLANK(Listing!K93),"",Listing!K93)</f>
        <v/>
      </c>
      <c r="K93" s="57" t="str">
        <f>IF(ISBLANK(Listing!I93),"",Listing!I93)</f>
        <v/>
      </c>
      <c r="L93" s="747" t="str">
        <f t="shared" si="20"/>
        <v/>
      </c>
      <c r="M93" s="40" t="e">
        <f t="shared" si="18"/>
        <v>#N/A</v>
      </c>
      <c r="N93" s="962"/>
      <c r="O93" s="54"/>
      <c r="P93" s="54"/>
      <c r="Q93" s="54"/>
      <c r="R93" s="54"/>
      <c r="S93" s="54"/>
      <c r="T93" s="342"/>
      <c r="U93" s="54"/>
      <c r="V93" s="54"/>
      <c r="W93" s="55"/>
      <c r="X93" s="57"/>
    </row>
    <row r="94" spans="1:24" ht="12.75" x14ac:dyDescent="0.2">
      <c r="A94" s="40">
        <v>89</v>
      </c>
      <c r="B94" s="69" t="str">
        <f>IF(ISBLANK(Listing!B94),"",Listing!B94)</f>
        <v/>
      </c>
      <c r="C94" s="69" t="str">
        <f>IF(ISBLANK(Listing!C94),"",Listing!C94)</f>
        <v/>
      </c>
      <c r="D94" s="69" t="str">
        <f>IF(ISBLANK(Listing!D94),"",Listing!D94)</f>
        <v/>
      </c>
      <c r="E94" s="69" t="str">
        <f>IF(ISBLANK(Listing!E94),"",Listing!E94)</f>
        <v/>
      </c>
      <c r="F94" s="69" t="str">
        <f>IF(ISBLANK(Listing!F94),"",Listing!F94)</f>
        <v/>
      </c>
      <c r="G94" s="71" t="str">
        <f>IF(ISBLANK(Listing!G94),"",Listing!G94)</f>
        <v/>
      </c>
      <c r="H94" s="70" t="str">
        <f>IF(ISBLANK(Listing!H94),"",Listing!H94)</f>
        <v/>
      </c>
      <c r="I94" s="64" t="str">
        <f>IF(ISBLANK(Listing!J94),"",Listing!J94)</f>
        <v/>
      </c>
      <c r="J94" s="64" t="str">
        <f>IF(ISBLANK(Listing!K94),"",Listing!K94)</f>
        <v/>
      </c>
      <c r="K94" s="57" t="str">
        <f>IF(ISBLANK(Listing!I94),"",Listing!I94)</f>
        <v/>
      </c>
      <c r="L94" s="747" t="str">
        <f t="shared" si="20"/>
        <v/>
      </c>
      <c r="M94" s="40" t="e">
        <f t="shared" si="18"/>
        <v>#N/A</v>
      </c>
      <c r="N94" s="960" t="e">
        <f t="shared" ref="N94" si="26">IF(AND(M94="oui",M95="oui",M96="oui",M97="oui"),"PRO","N")</f>
        <v>#N/A</v>
      </c>
    </row>
    <row r="95" spans="1:24" ht="12.75" x14ac:dyDescent="0.2">
      <c r="A95" s="40">
        <v>90</v>
      </c>
      <c r="B95" s="69" t="str">
        <f>IF(ISBLANK(Listing!B95),"",Listing!B95)</f>
        <v/>
      </c>
      <c r="C95" s="69" t="str">
        <f>IF(ISBLANK(Listing!C95),"",Listing!C95)</f>
        <v/>
      </c>
      <c r="D95" s="69" t="str">
        <f>IF(ISBLANK(Listing!D95),"",Listing!D95)</f>
        <v/>
      </c>
      <c r="E95" s="69" t="str">
        <f>IF(ISBLANK(Listing!E95),"",Listing!E95)</f>
        <v/>
      </c>
      <c r="F95" s="69" t="str">
        <f>IF(ISBLANK(Listing!F95),"",Listing!F95)</f>
        <v/>
      </c>
      <c r="G95" s="71" t="str">
        <f>IF(ISBLANK(Listing!G95),"",Listing!G95)</f>
        <v/>
      </c>
      <c r="H95" s="70" t="str">
        <f>IF(ISBLANK(Listing!H95),"",Listing!H95)</f>
        <v/>
      </c>
      <c r="I95" s="64" t="str">
        <f>IF(ISBLANK(Listing!J95),"",Listing!J95)</f>
        <v/>
      </c>
      <c r="J95" s="64" t="str">
        <f>IF(ISBLANK(Listing!K95),"",Listing!K95)</f>
        <v/>
      </c>
      <c r="K95" s="57" t="str">
        <f>IF(ISBLANK(Listing!I95),"",Listing!I95)</f>
        <v/>
      </c>
      <c r="L95" s="747" t="str">
        <f t="shared" si="20"/>
        <v/>
      </c>
      <c r="M95" s="40" t="e">
        <f t="shared" si="18"/>
        <v>#N/A</v>
      </c>
      <c r="N95" s="961"/>
    </row>
    <row r="96" spans="1:24" ht="12.75" x14ac:dyDescent="0.2">
      <c r="A96" s="40">
        <v>91</v>
      </c>
      <c r="B96" s="69" t="str">
        <f>IF(ISBLANK(Listing!B96),"",Listing!B96)</f>
        <v/>
      </c>
      <c r="C96" s="69" t="str">
        <f>IF(ISBLANK(Listing!C96),"",Listing!C96)</f>
        <v/>
      </c>
      <c r="D96" s="69" t="str">
        <f>IF(ISBLANK(Listing!D96),"",Listing!D96)</f>
        <v/>
      </c>
      <c r="E96" s="69" t="str">
        <f>IF(ISBLANK(Listing!E96),"",Listing!E96)</f>
        <v/>
      </c>
      <c r="F96" s="69" t="str">
        <f>IF(ISBLANK(Listing!F96),"",Listing!F96)</f>
        <v/>
      </c>
      <c r="G96" s="71" t="str">
        <f>IF(ISBLANK(Listing!G96),"",Listing!G96)</f>
        <v/>
      </c>
      <c r="H96" s="70" t="str">
        <f>IF(ISBLANK(Listing!H96),"",Listing!H96)</f>
        <v/>
      </c>
      <c r="I96" s="64" t="str">
        <f>IF(ISBLANK(Listing!J96),"",Listing!J96)</f>
        <v/>
      </c>
      <c r="J96" s="64" t="str">
        <f>IF(ISBLANK(Listing!K96),"",Listing!K96)</f>
        <v/>
      </c>
      <c r="K96" s="57" t="str">
        <f>IF(ISBLANK(Listing!I96),"",Listing!I96)</f>
        <v/>
      </c>
      <c r="L96" s="747" t="str">
        <f t="shared" si="20"/>
        <v/>
      </c>
      <c r="M96" s="40" t="e">
        <f t="shared" si="18"/>
        <v>#N/A</v>
      </c>
      <c r="N96" s="961"/>
    </row>
    <row r="97" spans="1:14" ht="13.5" thickBot="1" x14ac:dyDescent="0.25">
      <c r="A97" s="40">
        <v>92</v>
      </c>
      <c r="B97" s="69" t="str">
        <f>IF(ISBLANK(Listing!B97),"",Listing!B97)</f>
        <v/>
      </c>
      <c r="C97" s="69" t="str">
        <f>IF(ISBLANK(Listing!C97),"",Listing!C97)</f>
        <v/>
      </c>
      <c r="D97" s="69" t="str">
        <f>IF(ISBLANK(Listing!D97),"",Listing!D97)</f>
        <v/>
      </c>
      <c r="E97" s="69" t="str">
        <f>IF(ISBLANK(Listing!E97),"",Listing!E97)</f>
        <v/>
      </c>
      <c r="F97" s="69" t="str">
        <f>IF(ISBLANK(Listing!F97),"",Listing!F97)</f>
        <v/>
      </c>
      <c r="G97" s="71" t="str">
        <f>IF(ISBLANK(Listing!G97),"",Listing!G97)</f>
        <v/>
      </c>
      <c r="H97" s="70" t="str">
        <f>IF(ISBLANK(Listing!H97),"",Listing!H97)</f>
        <v/>
      </c>
      <c r="I97" s="64" t="str">
        <f>IF(ISBLANK(Listing!J97),"",Listing!J97)</f>
        <v/>
      </c>
      <c r="J97" s="64" t="str">
        <f>IF(ISBLANK(Listing!K97),"",Listing!K97)</f>
        <v/>
      </c>
      <c r="K97" s="57" t="str">
        <f>IF(ISBLANK(Listing!I97),"",Listing!I97)</f>
        <v/>
      </c>
      <c r="L97" s="747" t="str">
        <f t="shared" si="20"/>
        <v/>
      </c>
      <c r="M97" s="40" t="e">
        <f t="shared" si="18"/>
        <v>#N/A</v>
      </c>
      <c r="N97" s="962"/>
    </row>
    <row r="98" spans="1:14" ht="12.75" x14ac:dyDescent="0.2">
      <c r="A98" s="40">
        <v>93</v>
      </c>
      <c r="B98" s="69" t="str">
        <f>IF(ISBLANK(Listing!B98),"",Listing!B98)</f>
        <v/>
      </c>
      <c r="C98" s="69" t="str">
        <f>IF(ISBLANK(Listing!C98),"",Listing!C98)</f>
        <v/>
      </c>
      <c r="D98" s="69" t="str">
        <f>IF(ISBLANK(Listing!D98),"",Listing!D98)</f>
        <v/>
      </c>
      <c r="E98" s="69" t="str">
        <f>IF(ISBLANK(Listing!E98),"",Listing!E98)</f>
        <v/>
      </c>
      <c r="F98" s="69" t="str">
        <f>IF(ISBLANK(Listing!F98),"",Listing!F98)</f>
        <v/>
      </c>
      <c r="G98" s="71" t="str">
        <f>IF(ISBLANK(Listing!G98),"",Listing!G98)</f>
        <v/>
      </c>
      <c r="H98" s="70" t="str">
        <f>IF(ISBLANK(Listing!H98),"",Listing!H98)</f>
        <v/>
      </c>
      <c r="I98" s="64" t="str">
        <f>IF(ISBLANK(Listing!J98),"",Listing!J98)</f>
        <v/>
      </c>
      <c r="J98" s="64" t="str">
        <f>IF(ISBLANK(Listing!K98),"",Listing!K98)</f>
        <v/>
      </c>
      <c r="K98" s="57" t="str">
        <f>IF(ISBLANK(Listing!I98),"",Listing!I98)</f>
        <v/>
      </c>
      <c r="L98" s="747" t="str">
        <f t="shared" si="20"/>
        <v/>
      </c>
      <c r="M98" s="40" t="e">
        <f t="shared" si="18"/>
        <v>#N/A</v>
      </c>
      <c r="N98" s="960" t="e">
        <f t="shared" ref="N98" si="27">IF(AND(M98="oui",M99="oui",M100="oui",M101="oui"),"PRO","N")</f>
        <v>#N/A</v>
      </c>
    </row>
    <row r="99" spans="1:14" ht="12.75" x14ac:dyDescent="0.2">
      <c r="A99" s="40">
        <v>94</v>
      </c>
      <c r="B99" s="69" t="str">
        <f>IF(ISBLANK(Listing!B99),"",Listing!B99)</f>
        <v/>
      </c>
      <c r="C99" s="69" t="str">
        <f>IF(ISBLANK(Listing!C99),"",Listing!C99)</f>
        <v/>
      </c>
      <c r="D99" s="69" t="str">
        <f>IF(ISBLANK(Listing!D99),"",Listing!D99)</f>
        <v/>
      </c>
      <c r="E99" s="69" t="str">
        <f>IF(ISBLANK(Listing!E99),"",Listing!E99)</f>
        <v/>
      </c>
      <c r="F99" s="69" t="str">
        <f>IF(ISBLANK(Listing!F99),"",Listing!F99)</f>
        <v/>
      </c>
      <c r="G99" s="71" t="str">
        <f>IF(ISBLANK(Listing!G99),"",Listing!G99)</f>
        <v/>
      </c>
      <c r="H99" s="70" t="str">
        <f>IF(ISBLANK(Listing!H99),"",Listing!H99)</f>
        <v/>
      </c>
      <c r="I99" s="64" t="str">
        <f>IF(ISBLANK(Listing!J99),"",Listing!J99)</f>
        <v/>
      </c>
      <c r="J99" s="64" t="str">
        <f>IF(ISBLANK(Listing!K99),"",Listing!K99)</f>
        <v/>
      </c>
      <c r="K99" s="57" t="str">
        <f>IF(ISBLANK(Listing!I99),"",Listing!I99)</f>
        <v/>
      </c>
      <c r="L99" s="747" t="str">
        <f t="shared" si="20"/>
        <v/>
      </c>
      <c r="M99" s="40" t="e">
        <f t="shared" si="18"/>
        <v>#N/A</v>
      </c>
      <c r="N99" s="961"/>
    </row>
    <row r="100" spans="1:14" ht="12.75" x14ac:dyDescent="0.2">
      <c r="A100" s="40">
        <v>95</v>
      </c>
      <c r="B100" s="69" t="str">
        <f>IF(ISBLANK(Listing!B100),"",Listing!B100)</f>
        <v/>
      </c>
      <c r="C100" s="69" t="str">
        <f>IF(ISBLANK(Listing!C100),"",Listing!C100)</f>
        <v/>
      </c>
      <c r="D100" s="69" t="str">
        <f>IF(ISBLANK(Listing!D100),"",Listing!D100)</f>
        <v/>
      </c>
      <c r="E100" s="69" t="str">
        <f>IF(ISBLANK(Listing!E100),"",Listing!E100)</f>
        <v/>
      </c>
      <c r="F100" s="69" t="str">
        <f>IF(ISBLANK(Listing!F100),"",Listing!F100)</f>
        <v/>
      </c>
      <c r="G100" s="71" t="str">
        <f>IF(ISBLANK(Listing!G100),"",Listing!G100)</f>
        <v/>
      </c>
      <c r="H100" s="70" t="str">
        <f>IF(ISBLANK(Listing!H100),"",Listing!H100)</f>
        <v/>
      </c>
      <c r="I100" s="64" t="str">
        <f>IF(ISBLANK(Listing!J100),"",Listing!J100)</f>
        <v/>
      </c>
      <c r="J100" s="64" t="str">
        <f>IF(ISBLANK(Listing!K100),"",Listing!K100)</f>
        <v/>
      </c>
      <c r="K100" s="57" t="str">
        <f>IF(ISBLANK(Listing!I100),"",Listing!I100)</f>
        <v/>
      </c>
      <c r="L100" s="747" t="str">
        <f t="shared" si="20"/>
        <v/>
      </c>
      <c r="M100" s="40" t="e">
        <f t="shared" si="18"/>
        <v>#N/A</v>
      </c>
      <c r="N100" s="961"/>
    </row>
    <row r="101" spans="1:14" ht="13.5" thickBot="1" x14ac:dyDescent="0.25">
      <c r="A101" s="40">
        <v>96</v>
      </c>
      <c r="B101" s="69" t="str">
        <f>IF(ISBLANK(Listing!B101),"",Listing!B101)</f>
        <v/>
      </c>
      <c r="C101" s="69" t="str">
        <f>IF(ISBLANK(Listing!C101),"",Listing!C101)</f>
        <v/>
      </c>
      <c r="D101" s="69" t="str">
        <f>IF(ISBLANK(Listing!D101),"",Listing!D101)</f>
        <v/>
      </c>
      <c r="E101" s="69" t="str">
        <f>IF(ISBLANK(Listing!E101),"",Listing!E101)</f>
        <v/>
      </c>
      <c r="F101" s="69" t="str">
        <f>IF(ISBLANK(Listing!F101),"",Listing!F101)</f>
        <v/>
      </c>
      <c r="G101" s="71" t="str">
        <f>IF(ISBLANK(Listing!G101),"",Listing!G101)</f>
        <v/>
      </c>
      <c r="H101" s="70" t="str">
        <f>IF(ISBLANK(Listing!H101),"",Listing!H101)</f>
        <v/>
      </c>
      <c r="I101" s="64" t="str">
        <f>IF(ISBLANK(Listing!J101),"",Listing!J101)</f>
        <v/>
      </c>
      <c r="J101" s="64" t="str">
        <f>IF(ISBLANK(Listing!K101),"",Listing!K101)</f>
        <v/>
      </c>
      <c r="K101" s="57" t="str">
        <f>IF(ISBLANK(Listing!I101),"",Listing!I101)</f>
        <v/>
      </c>
      <c r="L101" s="747" t="str">
        <f t="shared" si="20"/>
        <v/>
      </c>
      <c r="M101" s="40" t="e">
        <f t="shared" si="18"/>
        <v>#N/A</v>
      </c>
      <c r="N101" s="962"/>
    </row>
    <row r="102" spans="1:14" ht="12.75" x14ac:dyDescent="0.2">
      <c r="H102"/>
      <c r="J102" s="3"/>
    </row>
    <row r="103" spans="1:14" ht="12.75" x14ac:dyDescent="0.2">
      <c r="H103"/>
      <c r="J103" s="3"/>
    </row>
    <row r="104" spans="1:14" ht="12.75" x14ac:dyDescent="0.2">
      <c r="H104"/>
      <c r="J104" s="3"/>
    </row>
    <row r="105" spans="1:14" ht="12.75" x14ac:dyDescent="0.2">
      <c r="H105"/>
      <c r="J105" s="3"/>
    </row>
    <row r="106" spans="1:14" ht="12.75" x14ac:dyDescent="0.2">
      <c r="H106"/>
      <c r="J106" s="3"/>
    </row>
    <row r="107" spans="1:14" ht="12.75" x14ac:dyDescent="0.2">
      <c r="H107"/>
      <c r="J107" s="3"/>
    </row>
    <row r="108" spans="1:14" ht="12.75" x14ac:dyDescent="0.2">
      <c r="H108"/>
      <c r="J108" s="3"/>
    </row>
    <row r="109" spans="1:14" ht="12.75" x14ac:dyDescent="0.2">
      <c r="H109"/>
      <c r="J109" s="3"/>
    </row>
  </sheetData>
  <mergeCells count="26">
    <mergeCell ref="B3:D3"/>
    <mergeCell ref="H3:K3"/>
    <mergeCell ref="N10:N13"/>
    <mergeCell ref="N14:N17"/>
    <mergeCell ref="N18:N21"/>
    <mergeCell ref="N6:N9"/>
    <mergeCell ref="N22:N25"/>
    <mergeCell ref="N26:N29"/>
    <mergeCell ref="N30:N33"/>
    <mergeCell ref="N34:N37"/>
    <mergeCell ref="N38:N41"/>
    <mergeCell ref="N42:N45"/>
    <mergeCell ref="N46:N49"/>
    <mergeCell ref="N50:N53"/>
    <mergeCell ref="N54:N57"/>
    <mergeCell ref="N58:N61"/>
    <mergeCell ref="N62:N65"/>
    <mergeCell ref="N66:N69"/>
    <mergeCell ref="N70:N73"/>
    <mergeCell ref="N74:N77"/>
    <mergeCell ref="N98:N101"/>
    <mergeCell ref="N78:N81"/>
    <mergeCell ref="N82:N85"/>
    <mergeCell ref="N86:N89"/>
    <mergeCell ref="N90:N93"/>
    <mergeCell ref="N94:N97"/>
  </mergeCells>
  <phoneticPr fontId="0" type="noConversion"/>
  <conditionalFormatting sqref="N6:N101">
    <cfRule type="cellIs" dxfId="2217" priority="1" operator="equal">
      <formula>"PRO"</formula>
    </cfRule>
  </conditionalFormatting>
  <pageMargins left="0.25" right="0.25" top="0.75" bottom="0.75" header="0.3" footer="0.3"/>
  <pageSetup paperSize="9" scale="53" fitToWidth="0"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A810A-25F9-4E24-AB76-D9BD0543FA8E}">
  <sheetPr codeName="Feuil47">
    <tabColor rgb="FF6BE62E"/>
    <pageSetUpPr fitToPage="1"/>
  </sheetPr>
  <dimension ref="A1:AY148"/>
  <sheetViews>
    <sheetView topLeftCell="K1" zoomScale="83" workbookViewId="0">
      <selection activeCell="AD3" sqref="AD3"/>
    </sheetView>
  </sheetViews>
  <sheetFormatPr baseColWidth="10" defaultColWidth="10.85546875" defaultRowHeight="12.75" x14ac:dyDescent="0.2"/>
  <cols>
    <col min="1" max="1" width="3.7109375" style="435" hidden="1" customWidth="1"/>
    <col min="2" max="4" width="16.140625" style="435" hidden="1" customWidth="1"/>
    <col min="5" max="10" width="11.140625" style="435" hidden="1" customWidth="1"/>
    <col min="11" max="11" width="7.7109375" style="441" bestFit="1" customWidth="1"/>
    <col min="12" max="12" width="6.42578125" style="435" bestFit="1" customWidth="1"/>
    <col min="13" max="13" width="36.5703125" style="435" customWidth="1"/>
    <col min="14" max="14" width="10.85546875" style="442"/>
    <col min="15" max="15" width="4.7109375" style="441" bestFit="1" customWidth="1"/>
    <col min="16" max="16" width="15.7109375" style="441" customWidth="1"/>
    <col min="17" max="17" width="7.7109375" style="441" bestFit="1" customWidth="1"/>
    <col min="18" max="18" width="6.42578125" style="441" bestFit="1" customWidth="1"/>
    <col min="19" max="19" width="36.5703125" style="441" customWidth="1"/>
    <col min="20" max="20" width="10.85546875" style="442"/>
    <col min="21" max="21" width="4.85546875" style="441" bestFit="1" customWidth="1"/>
    <col min="22" max="22" width="15.85546875" style="441" customWidth="1"/>
    <col min="23" max="23" width="7.7109375" style="441" bestFit="1" customWidth="1"/>
    <col min="24" max="24" width="5.28515625" style="435" bestFit="1" customWidth="1"/>
    <col min="25" max="25" width="36.5703125" style="435" customWidth="1"/>
    <col min="26" max="26" width="10.85546875" style="442"/>
    <col min="27" max="27" width="4.85546875" style="441" bestFit="1" customWidth="1"/>
    <col min="28" max="28" width="6.5703125" style="435" customWidth="1"/>
    <col min="29" max="31" width="3.28515625" style="435" customWidth="1"/>
    <col min="32" max="32" width="10.85546875" style="435"/>
    <col min="33" max="33" width="24.140625" style="435" customWidth="1"/>
    <col min="34" max="36" width="36.85546875" style="435" customWidth="1"/>
    <col min="37" max="42" width="10.85546875" style="435"/>
    <col min="43" max="43" width="1.7109375" style="435" bestFit="1" customWidth="1"/>
    <col min="44" max="46" width="10.85546875" style="435"/>
    <col min="47" max="47" width="1.7109375" style="435" bestFit="1" customWidth="1"/>
    <col min="48" max="50" width="10.85546875" style="435"/>
    <col min="51" max="51" width="1.7109375" style="435" bestFit="1" customWidth="1"/>
    <col min="52" max="16384" width="10.85546875" style="435"/>
  </cols>
  <sheetData>
    <row r="1" spans="1:51" ht="55.5" customHeight="1" x14ac:dyDescent="0.2">
      <c r="B1" s="436"/>
      <c r="C1" s="436"/>
      <c r="D1" s="436"/>
      <c r="I1" s="437"/>
      <c r="J1" s="437"/>
      <c r="K1" s="988" t="str">
        <f>Championnat</f>
        <v>Championnat de France de Tir à l'ARC</v>
      </c>
      <c r="L1" s="988"/>
      <c r="M1" s="988"/>
      <c r="N1" s="988"/>
      <c r="O1" s="988"/>
      <c r="P1" s="988"/>
      <c r="Q1" s="988"/>
      <c r="R1" s="988"/>
      <c r="S1" s="988"/>
      <c r="T1" s="988"/>
      <c r="U1" s="988"/>
      <c r="V1" s="988"/>
      <c r="W1" s="988"/>
      <c r="X1" s="988"/>
      <c r="Y1" s="988"/>
      <c r="Z1" s="988"/>
      <c r="AA1" s="988"/>
      <c r="AB1" s="439"/>
      <c r="AC1" s="439"/>
      <c r="AD1" s="439"/>
      <c r="AE1" s="439"/>
      <c r="AF1" s="988" t="str">
        <f>Championnat</f>
        <v>Championnat de France de Tir à l'ARC</v>
      </c>
      <c r="AG1" s="988"/>
      <c r="AH1" s="988"/>
      <c r="AI1" s="988"/>
      <c r="AJ1" s="988"/>
      <c r="AK1" s="491"/>
      <c r="AL1" s="491"/>
      <c r="AM1" s="491"/>
      <c r="AN1" s="491"/>
      <c r="AO1" s="491"/>
      <c r="AP1" s="491"/>
      <c r="AQ1" s="491"/>
      <c r="AR1" s="491"/>
      <c r="AS1" s="491"/>
      <c r="AT1" s="491"/>
      <c r="AU1" s="491"/>
      <c r="AV1" s="491"/>
      <c r="AW1" s="491"/>
      <c r="AY1" s="491"/>
    </row>
    <row r="2" spans="1:51" ht="61.5" customHeight="1" x14ac:dyDescent="0.2">
      <c r="A2" s="437"/>
      <c r="I2" s="437"/>
      <c r="J2" s="437"/>
      <c r="K2" s="989" t="str">
        <f>CATEG_IMPORTEE</f>
        <v>Collèges Mixtes Etablissement</v>
      </c>
      <c r="L2" s="989"/>
      <c r="M2" s="989"/>
      <c r="N2" s="989"/>
      <c r="O2" s="989"/>
      <c r="P2" s="989"/>
      <c r="Q2" s="989"/>
      <c r="R2" s="989"/>
      <c r="S2" s="989"/>
      <c r="T2" s="989"/>
      <c r="U2" s="989"/>
      <c r="V2" s="989"/>
      <c r="W2" s="989"/>
      <c r="X2" s="989"/>
      <c r="Y2" s="989"/>
      <c r="Z2" s="989"/>
      <c r="AA2" s="438"/>
      <c r="AB2" s="439"/>
      <c r="AC2" s="439"/>
      <c r="AD2" s="439"/>
      <c r="AE2" s="439"/>
      <c r="AF2" s="990" t="str">
        <f>CATEG_IMPORTEE</f>
        <v>Collèges Mixtes Etablissement</v>
      </c>
      <c r="AG2" s="990"/>
      <c r="AH2" s="990"/>
      <c r="AI2" s="990"/>
      <c r="AJ2" s="990"/>
      <c r="AK2" s="492"/>
      <c r="AL2" s="492"/>
      <c r="AM2" s="492"/>
      <c r="AN2" s="492"/>
      <c r="AO2" s="492"/>
      <c r="AP2" s="492"/>
      <c r="AQ2" s="492"/>
      <c r="AR2" s="492"/>
      <c r="AS2" s="492"/>
      <c r="AT2" s="492"/>
      <c r="AU2" s="492"/>
      <c r="AV2" s="492"/>
      <c r="AW2" s="492"/>
      <c r="AY2" s="492"/>
    </row>
    <row r="3" spans="1:51" ht="42" customHeight="1" x14ac:dyDescent="0.2">
      <c r="B3" s="440" t="s">
        <v>774</v>
      </c>
      <c r="I3" s="437"/>
      <c r="J3" s="437"/>
      <c r="N3" s="991" t="str">
        <f>LIEU&amp;" du "&amp;DATE</f>
        <v>L’Isle sur la Sorgue du 27 au 31 mars 2023</v>
      </c>
      <c r="O3" s="991"/>
      <c r="P3" s="991"/>
      <c r="Q3" s="991"/>
      <c r="R3" s="991"/>
      <c r="S3" s="991"/>
      <c r="T3" s="991"/>
      <c r="U3" s="991"/>
      <c r="V3" s="991"/>
      <c r="W3" s="991"/>
      <c r="X3" s="991"/>
      <c r="AF3" s="991" t="str">
        <f>LIEU&amp;" du "&amp;DATE</f>
        <v>L’Isle sur la Sorgue du 27 au 31 mars 2023</v>
      </c>
      <c r="AG3" s="991"/>
      <c r="AH3" s="991"/>
      <c r="AI3" s="991"/>
      <c r="AJ3" s="991"/>
      <c r="AK3" s="493"/>
      <c r="AL3" s="493"/>
      <c r="AM3" s="493"/>
      <c r="AN3" s="493"/>
      <c r="AO3" s="493"/>
      <c r="AP3" s="493"/>
      <c r="AQ3" s="493"/>
      <c r="AR3" s="493"/>
      <c r="AS3" s="493"/>
      <c r="AT3" s="493"/>
      <c r="AU3" s="493"/>
      <c r="AW3" s="442"/>
      <c r="AY3" s="493"/>
    </row>
    <row r="4" spans="1:51" ht="21" customHeight="1" x14ac:dyDescent="0.2">
      <c r="B4" s="440" t="s">
        <v>775</v>
      </c>
      <c r="C4" s="462" t="s">
        <v>375</v>
      </c>
      <c r="D4" s="462" t="s">
        <v>374</v>
      </c>
      <c r="E4" s="440" t="s">
        <v>776</v>
      </c>
      <c r="F4" s="487" t="s">
        <v>838</v>
      </c>
      <c r="G4" s="488" t="s">
        <v>837</v>
      </c>
      <c r="H4" s="898"/>
      <c r="I4" s="437"/>
      <c r="J4" s="437"/>
      <c r="K4" s="979" t="s">
        <v>815</v>
      </c>
      <c r="L4" s="979"/>
      <c r="M4" s="979"/>
      <c r="N4" s="979"/>
      <c r="O4" s="443"/>
      <c r="P4" s="443"/>
      <c r="Q4" s="979" t="s">
        <v>816</v>
      </c>
      <c r="R4" s="979"/>
      <c r="S4" s="979"/>
      <c r="T4" s="979"/>
      <c r="U4" s="443"/>
      <c r="V4" s="443"/>
      <c r="W4" s="979" t="s">
        <v>817</v>
      </c>
      <c r="X4" s="979"/>
      <c r="Y4" s="979"/>
      <c r="Z4" s="979"/>
      <c r="AA4" s="443"/>
      <c r="AH4" s="980" t="s">
        <v>778</v>
      </c>
      <c r="AI4" s="980"/>
      <c r="AJ4" s="980"/>
      <c r="AN4" s="497" t="s">
        <v>848</v>
      </c>
    </row>
    <row r="5" spans="1:51" ht="15.95" customHeight="1" thickBot="1" x14ac:dyDescent="0.25">
      <c r="A5" s="435">
        <v>1</v>
      </c>
      <c r="B5" s="444" t="str">
        <f ca="1">INDIRECT("'Imp. Qualif.'!L"&amp;INDIRECT("f"&amp;ROW()))</f>
        <v/>
      </c>
      <c r="C5" s="444" t="str">
        <f ca="1">INDIRECT("'Imp. Qualif.'!M"&amp;INDIRECT("f"&amp;ROW()))</f>
        <v/>
      </c>
      <c r="D5" s="444" t="str">
        <f ca="1">INDIRECT("'Imp. Qualif.'!N"&amp;INDIRECT("f"&amp;ROW()))</f>
        <v/>
      </c>
      <c r="E5" s="486">
        <f ca="1">INDIRECT("'Imp. Qualif.'!O"&amp;INDIRECT("f"&amp;ROW()))</f>
        <v>0</v>
      </c>
      <c r="F5" s="489">
        <v>11</v>
      </c>
      <c r="G5" s="488" t="str">
        <f ca="1">B5&amp;C5</f>
        <v/>
      </c>
      <c r="H5" s="898" t="str">
        <f ca="1">IF(B5&lt;&gt;"",B5,"")</f>
        <v/>
      </c>
      <c r="I5" s="898" t="str">
        <f t="shared" ref="I5:J20" ca="1" si="0">IF(C5&lt;&gt;"",C5,"")</f>
        <v/>
      </c>
      <c r="J5" s="898" t="str">
        <f t="shared" ca="1" si="0"/>
        <v/>
      </c>
      <c r="L5" s="979" t="s">
        <v>836</v>
      </c>
      <c r="M5" s="1247"/>
      <c r="N5" s="1247"/>
      <c r="O5" s="443"/>
      <c r="P5" s="443"/>
      <c r="R5" s="979" t="s">
        <v>818</v>
      </c>
      <c r="S5" s="1247"/>
      <c r="T5" s="1247"/>
      <c r="U5" s="443"/>
      <c r="V5" s="443"/>
      <c r="W5" s="445"/>
      <c r="X5" s="979" t="s">
        <v>777</v>
      </c>
      <c r="Y5" s="1247"/>
      <c r="Z5" s="1247"/>
      <c r="AA5" s="443"/>
      <c r="AH5" s="981"/>
      <c r="AI5" s="981"/>
      <c r="AJ5" s="981"/>
      <c r="AN5" s="494" t="s">
        <v>839</v>
      </c>
      <c r="AO5" s="494" t="s">
        <v>840</v>
      </c>
      <c r="AP5" s="494" t="s">
        <v>841</v>
      </c>
      <c r="AQ5" s="496" t="s">
        <v>793</v>
      </c>
      <c r="AR5" s="494" t="s">
        <v>842</v>
      </c>
      <c r="AS5" s="494" t="s">
        <v>843</v>
      </c>
      <c r="AT5" s="494" t="s">
        <v>844</v>
      </c>
      <c r="AU5" s="496" t="s">
        <v>793</v>
      </c>
      <c r="AV5" s="494" t="s">
        <v>845</v>
      </c>
      <c r="AW5" s="494" t="s">
        <v>846</v>
      </c>
      <c r="AX5" s="494" t="s">
        <v>847</v>
      </c>
      <c r="AY5" s="496" t="s">
        <v>793</v>
      </c>
    </row>
    <row r="6" spans="1:51" ht="15.95" customHeight="1" thickBot="1" x14ac:dyDescent="0.25">
      <c r="A6" s="435">
        <v>2</v>
      </c>
      <c r="B6" s="444" t="str">
        <f t="shared" ref="B6:B28" ca="1" si="1">INDIRECT("'Imp. Qualif.'!L"&amp;INDIRECT("f"&amp;ROW()))</f>
        <v/>
      </c>
      <c r="C6" s="444" t="str">
        <f t="shared" ref="C6:C28" ca="1" si="2">INDIRECT("'Imp. Qualif.'!M"&amp;INDIRECT("f"&amp;ROW()))</f>
        <v/>
      </c>
      <c r="D6" s="444" t="str">
        <f t="shared" ref="D6:D28" ca="1" si="3">INDIRECT("'Imp. Qualif.'!N"&amp;INDIRECT("f"&amp;ROW()))</f>
        <v/>
      </c>
      <c r="E6" s="486">
        <f t="shared" ref="E6:E28" ca="1" si="4">INDIRECT("'Imp. Qualif.'!O"&amp;INDIRECT("f"&amp;ROW()))</f>
        <v>0</v>
      </c>
      <c r="F6" s="489">
        <v>12</v>
      </c>
      <c r="G6" s="488" t="str">
        <f t="shared" ref="G6:G28" ca="1" si="5">B6&amp;C6</f>
        <v/>
      </c>
      <c r="H6" s="898" t="str">
        <f t="shared" ref="H6:J28" ca="1" si="6">IF(B6&lt;&gt;"",B6,"")</f>
        <v/>
      </c>
      <c r="I6" s="898" t="str">
        <f t="shared" ca="1" si="0"/>
        <v/>
      </c>
      <c r="J6" s="898" t="str">
        <f t="shared" ca="1" si="0"/>
        <v/>
      </c>
      <c r="K6" s="445" t="s">
        <v>779</v>
      </c>
      <c r="L6" s="779" t="s">
        <v>1083</v>
      </c>
      <c r="M6" s="456" t="s">
        <v>481</v>
      </c>
      <c r="N6" s="464" t="s">
        <v>780</v>
      </c>
      <c r="O6" s="446" t="s">
        <v>781</v>
      </c>
      <c r="P6" s="445"/>
      <c r="Q6" s="445" t="s">
        <v>779</v>
      </c>
      <c r="R6" s="779" t="s">
        <v>1083</v>
      </c>
      <c r="S6" s="456" t="s">
        <v>481</v>
      </c>
      <c r="T6" s="464" t="s">
        <v>780</v>
      </c>
      <c r="U6" s="446" t="s">
        <v>781</v>
      </c>
      <c r="V6" s="445"/>
      <c r="W6" s="445" t="s">
        <v>779</v>
      </c>
      <c r="X6" s="779" t="s">
        <v>1083</v>
      </c>
      <c r="Y6" s="456" t="s">
        <v>481</v>
      </c>
      <c r="Z6" s="464" t="s">
        <v>780</v>
      </c>
      <c r="AA6" s="446" t="s">
        <v>781</v>
      </c>
      <c r="AH6" s="483" t="s">
        <v>782</v>
      </c>
      <c r="AI6" s="484" t="s">
        <v>375</v>
      </c>
      <c r="AJ6" s="485" t="s">
        <v>783</v>
      </c>
      <c r="AN6" s="494">
        <f>K7</f>
        <v>1</v>
      </c>
      <c r="AO6" s="495" t="str">
        <f ca="1">L8</f>
        <v/>
      </c>
      <c r="AP6" s="495" t="str">
        <f ca="1">AO7</f>
        <v/>
      </c>
      <c r="AQ6" s="496" t="s">
        <v>793</v>
      </c>
      <c r="AR6" s="494">
        <f>Q7</f>
        <v>1</v>
      </c>
      <c r="AS6" s="495" t="str">
        <f>R8</f>
        <v/>
      </c>
      <c r="AT6" s="495" t="str">
        <f>AS7</f>
        <v/>
      </c>
      <c r="AU6" s="496" t="s">
        <v>793</v>
      </c>
      <c r="AV6" s="494">
        <f>W7</f>
        <v>1</v>
      </c>
      <c r="AW6" s="495" t="str">
        <f>X8</f>
        <v/>
      </c>
      <c r="AX6" s="495" t="str">
        <f>AW7</f>
        <v/>
      </c>
      <c r="AY6" s="496" t="s">
        <v>793</v>
      </c>
    </row>
    <row r="7" spans="1:51" ht="15.95" customHeight="1" thickBot="1" x14ac:dyDescent="0.25">
      <c r="A7" s="435">
        <v>3</v>
      </c>
      <c r="B7" s="444" t="str">
        <f t="shared" ca="1" si="1"/>
        <v/>
      </c>
      <c r="C7" s="444" t="str">
        <f t="shared" ca="1" si="2"/>
        <v/>
      </c>
      <c r="D7" s="444" t="str">
        <f t="shared" ca="1" si="3"/>
        <v/>
      </c>
      <c r="E7" s="486">
        <f t="shared" ca="1" si="4"/>
        <v>0</v>
      </c>
      <c r="F7" s="489">
        <v>13</v>
      </c>
      <c r="G7" s="488" t="str">
        <f t="shared" ca="1" si="5"/>
        <v/>
      </c>
      <c r="H7" s="898" t="str">
        <f t="shared" ca="1" si="6"/>
        <v/>
      </c>
      <c r="I7" s="898" t="str">
        <f t="shared" ca="1" si="0"/>
        <v/>
      </c>
      <c r="J7" s="898" t="str">
        <f t="shared" ca="1" si="0"/>
        <v/>
      </c>
      <c r="K7" s="447">
        <f>Num_Cible</f>
        <v>1</v>
      </c>
      <c r="L7" s="472">
        <v>1</v>
      </c>
      <c r="M7" s="465" t="str">
        <f ca="1">IFERROR(VLOOKUP(L8,$G$5:$J$28,2,FALSE),"")</f>
        <v/>
      </c>
      <c r="N7" s="966"/>
      <c r="O7" s="780"/>
      <c r="Q7" s="447">
        <f>K7</f>
        <v>1</v>
      </c>
      <c r="R7" s="472">
        <v>1</v>
      </c>
      <c r="S7" s="465" t="str">
        <f ca="1">IFERROR(VLOOKUP(R8,$G$5:$J$28,2,FALSE),"")</f>
        <v/>
      </c>
      <c r="T7" s="966"/>
      <c r="U7" s="780"/>
      <c r="W7" s="447">
        <f>Q7</f>
        <v>1</v>
      </c>
      <c r="X7" s="472">
        <v>1</v>
      </c>
      <c r="Y7" s="465" t="str">
        <f ca="1">IFERROR(VLOOKUP(X8,$G$5:$J$28,2,FALSE),"")</f>
        <v/>
      </c>
      <c r="Z7" s="966"/>
      <c r="AA7" s="780"/>
      <c r="AF7" s="448" t="s">
        <v>784</v>
      </c>
      <c r="AG7" s="435" t="str">
        <f>IF(ISBLANK(Z7),"",IF(Z7+AA7&gt;Z9+AA9,X8,X10))</f>
        <v/>
      </c>
      <c r="AH7" s="475" t="str">
        <f t="shared" ref="AH7:AH30" ca="1" si="7">IFERROR(VLOOKUP(AG7,$G$5:$J$28,2,FALSE),"")</f>
        <v/>
      </c>
      <c r="AI7" s="476" t="str">
        <f t="shared" ref="AI7:AI30" ca="1" si="8">IFERROR(VLOOKUP(AG7,$G$5:$J$28,3,FALSE),"")</f>
        <v/>
      </c>
      <c r="AJ7" s="934" t="str">
        <f t="shared" ref="AJ7:AJ30" ca="1" si="9">IFERROR(VLOOKUP(AG7,$G$5:$J$28,4,FALSE),"")</f>
        <v/>
      </c>
      <c r="AN7" s="494">
        <f>K9</f>
        <v>2</v>
      </c>
      <c r="AO7" s="495" t="str">
        <f ca="1">L10</f>
        <v/>
      </c>
      <c r="AP7" s="495" t="str">
        <f ca="1">AO6</f>
        <v/>
      </c>
      <c r="AQ7" s="496" t="s">
        <v>793</v>
      </c>
      <c r="AR7" s="494">
        <f>Q9</f>
        <v>2</v>
      </c>
      <c r="AS7" s="495" t="str">
        <f>R10</f>
        <v/>
      </c>
      <c r="AT7" s="495" t="str">
        <f>AS6</f>
        <v/>
      </c>
      <c r="AU7" s="496" t="s">
        <v>793</v>
      </c>
      <c r="AV7" s="494">
        <f>W9</f>
        <v>2</v>
      </c>
      <c r="AW7" s="495" t="str">
        <f>X10</f>
        <v/>
      </c>
      <c r="AX7" s="495" t="str">
        <f>AW6</f>
        <v/>
      </c>
      <c r="AY7" s="496" t="s">
        <v>793</v>
      </c>
    </row>
    <row r="8" spans="1:51" ht="15.95" customHeight="1" thickBot="1" x14ac:dyDescent="0.25">
      <c r="A8" s="435">
        <v>4</v>
      </c>
      <c r="B8" s="444" t="str">
        <f t="shared" ca="1" si="1"/>
        <v/>
      </c>
      <c r="C8" s="444" t="str">
        <f t="shared" ca="1" si="2"/>
        <v/>
      </c>
      <c r="D8" s="444" t="str">
        <f t="shared" ca="1" si="3"/>
        <v/>
      </c>
      <c r="E8" s="486">
        <f t="shared" ca="1" si="4"/>
        <v>0</v>
      </c>
      <c r="F8" s="489">
        <v>14</v>
      </c>
      <c r="G8" s="488" t="str">
        <f t="shared" ca="1" si="5"/>
        <v/>
      </c>
      <c r="H8" s="898" t="str">
        <f t="shared" ca="1" si="6"/>
        <v/>
      </c>
      <c r="I8" s="898" t="str">
        <f t="shared" ca="1" si="0"/>
        <v/>
      </c>
      <c r="J8" s="898" t="str">
        <f t="shared" ca="1" si="0"/>
        <v/>
      </c>
      <c r="K8" s="447"/>
      <c r="L8" s="473" t="str">
        <f ca="1">VLOOKUP(L7,$A$5:$G$24,7,FALSE)</f>
        <v/>
      </c>
      <c r="M8" s="466" t="str">
        <f ca="1">IFERROR(VLOOKUP(L8,$G$5:$J$28,3,FALSE),"")</f>
        <v/>
      </c>
      <c r="N8" s="967"/>
      <c r="Q8" s="447"/>
      <c r="R8" s="473" t="str">
        <f>IF(ISBLANK(N7),"",IF(O7+N7&gt;N9+O9,L8,L10))</f>
        <v/>
      </c>
      <c r="S8" s="466" t="str">
        <f ca="1">IFERROR(VLOOKUP(R8,$G$5:$J$28,3,FALSE),"")</f>
        <v/>
      </c>
      <c r="T8" s="967"/>
      <c r="W8" s="447"/>
      <c r="X8" s="473" t="str">
        <f>IF(ISBLANK(T7),"",IF(U7+T7&gt;T9+U9,R8,R10))</f>
        <v/>
      </c>
      <c r="Y8" s="466" t="str">
        <f ca="1">IFERROR(VLOOKUP(X8,$G$5:$J$28,3,FALSE),"")</f>
        <v/>
      </c>
      <c r="Z8" s="967"/>
      <c r="AF8" s="449" t="s">
        <v>785</v>
      </c>
      <c r="AG8" s="435" t="str">
        <f>IF(ISBLANK(Z7),"",IF(Z7+AA7&lt;Z9+AA9,X8,X10))</f>
        <v/>
      </c>
      <c r="AH8" s="478" t="str">
        <f t="shared" ca="1" si="7"/>
        <v/>
      </c>
      <c r="AI8" s="474" t="str">
        <f t="shared" ca="1" si="8"/>
        <v/>
      </c>
      <c r="AJ8" s="915" t="str">
        <f t="shared" ca="1" si="9"/>
        <v/>
      </c>
      <c r="AN8" s="494">
        <f>K14</f>
        <v>3</v>
      </c>
      <c r="AO8" s="495" t="str">
        <f ca="1">L15</f>
        <v/>
      </c>
      <c r="AP8" s="495" t="str">
        <f t="shared" ref="AP8" ca="1" si="10">AO9</f>
        <v/>
      </c>
      <c r="AQ8" s="496" t="s">
        <v>793</v>
      </c>
      <c r="AR8" s="494">
        <f>Q14</f>
        <v>3</v>
      </c>
      <c r="AS8" s="495" t="str">
        <f>R15</f>
        <v/>
      </c>
      <c r="AT8" s="495" t="str">
        <f t="shared" ref="AT8" si="11">AS9</f>
        <v/>
      </c>
      <c r="AU8" s="496" t="s">
        <v>793</v>
      </c>
      <c r="AV8" s="494">
        <f>W14</f>
        <v>3</v>
      </c>
      <c r="AW8" s="495" t="str">
        <f>X15</f>
        <v/>
      </c>
      <c r="AX8" s="495" t="str">
        <f t="shared" ref="AX8" si="12">AW9</f>
        <v/>
      </c>
      <c r="AY8" s="496" t="s">
        <v>793</v>
      </c>
    </row>
    <row r="9" spans="1:51" ht="15.95" customHeight="1" thickBot="1" x14ac:dyDescent="0.25">
      <c r="A9" s="435">
        <v>5</v>
      </c>
      <c r="B9" s="444" t="str">
        <f t="shared" ca="1" si="1"/>
        <v/>
      </c>
      <c r="C9" s="444" t="str">
        <f t="shared" ca="1" si="2"/>
        <v/>
      </c>
      <c r="D9" s="444" t="str">
        <f t="shared" ca="1" si="3"/>
        <v/>
      </c>
      <c r="E9" s="486">
        <f t="shared" ca="1" si="4"/>
        <v>0</v>
      </c>
      <c r="F9" s="489">
        <v>15</v>
      </c>
      <c r="G9" s="488" t="str">
        <f t="shared" ca="1" si="5"/>
        <v/>
      </c>
      <c r="H9" s="898" t="str">
        <f t="shared" ca="1" si="6"/>
        <v/>
      </c>
      <c r="I9" s="898" t="str">
        <f t="shared" ca="1" si="0"/>
        <v/>
      </c>
      <c r="J9" s="898" t="str">
        <f t="shared" ca="1" si="0"/>
        <v/>
      </c>
      <c r="K9" s="447">
        <f>K7+1</f>
        <v>2</v>
      </c>
      <c r="L9" s="472">
        <v>8</v>
      </c>
      <c r="M9" s="465" t="str">
        <f ca="1">IFERROR(VLOOKUP(L10,$G$5:$J$28,2,FALSE),"")</f>
        <v/>
      </c>
      <c r="N9" s="966"/>
      <c r="O9" s="780"/>
      <c r="Q9" s="447">
        <f>Q7+1</f>
        <v>2</v>
      </c>
      <c r="R9" s="472">
        <v>4</v>
      </c>
      <c r="S9" s="465" t="str">
        <f ca="1">IFERROR(VLOOKUP(R10,$G$5:$J$28,2,FALSE),"")</f>
        <v/>
      </c>
      <c r="T9" s="966"/>
      <c r="U9" s="780"/>
      <c r="W9" s="447">
        <f>W7+1</f>
        <v>2</v>
      </c>
      <c r="X9" s="472">
        <v>2</v>
      </c>
      <c r="Y9" s="465" t="str">
        <f ca="1">IFERROR(VLOOKUP(X10,$G$5:$J$28,2,FALSE),"")</f>
        <v/>
      </c>
      <c r="Z9" s="966"/>
      <c r="AA9" s="780"/>
      <c r="AF9" s="452" t="s">
        <v>786</v>
      </c>
      <c r="AG9" s="435" t="str">
        <f>IF(ISBLANK(Z14),"",IF(Z14+AA14&gt;Z16+AA16,X15,X17))</f>
        <v/>
      </c>
      <c r="AH9" s="478" t="str">
        <f t="shared" ca="1" si="7"/>
        <v/>
      </c>
      <c r="AI9" s="474" t="str">
        <f t="shared" ca="1" si="8"/>
        <v/>
      </c>
      <c r="AJ9" s="915" t="str">
        <f t="shared" ca="1" si="9"/>
        <v/>
      </c>
      <c r="AN9" s="494">
        <f>K16</f>
        <v>4</v>
      </c>
      <c r="AO9" s="495" t="str">
        <f ca="1">L17</f>
        <v/>
      </c>
      <c r="AP9" s="495" t="str">
        <f t="shared" ref="AP9" ca="1" si="13">AO8</f>
        <v/>
      </c>
      <c r="AQ9" s="496" t="s">
        <v>793</v>
      </c>
      <c r="AR9" s="494">
        <f>Q16</f>
        <v>4</v>
      </c>
      <c r="AS9" s="495" t="str">
        <f>R17</f>
        <v/>
      </c>
      <c r="AT9" s="495" t="str">
        <f t="shared" ref="AT9" si="14">AS8</f>
        <v/>
      </c>
      <c r="AU9" s="496" t="s">
        <v>793</v>
      </c>
      <c r="AV9" s="494">
        <f>W16</f>
        <v>4</v>
      </c>
      <c r="AW9" s="495" t="str">
        <f>X17</f>
        <v/>
      </c>
      <c r="AX9" s="495" t="str">
        <f t="shared" ref="AX9" si="15">AW8</f>
        <v/>
      </c>
      <c r="AY9" s="496" t="s">
        <v>793</v>
      </c>
    </row>
    <row r="10" spans="1:51" ht="15.95" customHeight="1" thickBot="1" x14ac:dyDescent="0.25">
      <c r="A10" s="435">
        <v>6</v>
      </c>
      <c r="B10" s="444" t="str">
        <f t="shared" ca="1" si="1"/>
        <v/>
      </c>
      <c r="C10" s="444" t="str">
        <f t="shared" ca="1" si="2"/>
        <v/>
      </c>
      <c r="D10" s="444" t="str">
        <f t="shared" ca="1" si="3"/>
        <v/>
      </c>
      <c r="E10" s="486">
        <f t="shared" ca="1" si="4"/>
        <v>0</v>
      </c>
      <c r="F10" s="489">
        <v>16</v>
      </c>
      <c r="G10" s="488" t="str">
        <f t="shared" ca="1" si="5"/>
        <v/>
      </c>
      <c r="H10" s="898" t="str">
        <f t="shared" ca="1" si="6"/>
        <v/>
      </c>
      <c r="I10" s="898" t="str">
        <f t="shared" ca="1" si="0"/>
        <v/>
      </c>
      <c r="J10" s="898" t="str">
        <f t="shared" ca="1" si="0"/>
        <v/>
      </c>
      <c r="K10" s="447"/>
      <c r="L10" s="473" t="str">
        <f ca="1">VLOOKUP(L9,$A$5:$G$24,7,FALSE)</f>
        <v/>
      </c>
      <c r="M10" s="466" t="str">
        <f ca="1">IFERROR(VLOOKUP(L10,$G$5:$J$28,3,FALSE),"")</f>
        <v/>
      </c>
      <c r="N10" s="967"/>
      <c r="Q10" s="447"/>
      <c r="R10" s="473" t="str">
        <f>IF(ISBLANK(N14),"",IF(O14+N14&gt;N16+O16,L15,L17))</f>
        <v/>
      </c>
      <c r="S10" s="466" t="str">
        <f ca="1">IFERROR(VLOOKUP(R10,$G$5:$J$28,3,FALSE),"")</f>
        <v/>
      </c>
      <c r="T10" s="967"/>
      <c r="W10" s="447"/>
      <c r="X10" s="473" t="str">
        <f>IF(ISBLANK(T14),"",IF(U14+T14&gt;T16+U16,R15,R17))</f>
        <v/>
      </c>
      <c r="Y10" s="466" t="str">
        <f ca="1">IFERROR(VLOOKUP(X10,$G$5:$J$28,3,FALSE),"")</f>
        <v/>
      </c>
      <c r="Z10" s="967"/>
      <c r="AF10" s="453" t="s">
        <v>788</v>
      </c>
      <c r="AG10" s="435" t="str">
        <f>IF(ISBLANK(Z14),"",IF(Z14+AA14&lt;Z16+AA16,X15,X17))</f>
        <v/>
      </c>
      <c r="AH10" s="478" t="str">
        <f t="shared" ca="1" si="7"/>
        <v/>
      </c>
      <c r="AI10" s="474" t="str">
        <f t="shared" ca="1" si="8"/>
        <v/>
      </c>
      <c r="AJ10" s="915" t="str">
        <f t="shared" ca="1" si="9"/>
        <v/>
      </c>
      <c r="AN10" s="494">
        <f>K21</f>
        <v>5</v>
      </c>
      <c r="AO10" s="495" t="str">
        <f ca="1">L22</f>
        <v/>
      </c>
      <c r="AP10" s="495" t="str">
        <f t="shared" ref="AP10" ca="1" si="16">AO11</f>
        <v/>
      </c>
      <c r="AQ10" s="496" t="s">
        <v>793</v>
      </c>
      <c r="AR10" s="494">
        <f>Q21</f>
        <v>5</v>
      </c>
      <c r="AS10" s="495" t="str">
        <f>R22</f>
        <v/>
      </c>
      <c r="AT10" s="495" t="str">
        <f t="shared" ref="AT10" si="17">AS11</f>
        <v/>
      </c>
      <c r="AU10" s="496" t="s">
        <v>793</v>
      </c>
      <c r="AV10" s="494">
        <f>W21</f>
        <v>5</v>
      </c>
      <c r="AW10" s="495" t="str">
        <f>X22</f>
        <v/>
      </c>
      <c r="AX10" s="495" t="str">
        <f t="shared" ref="AX10" si="18">AW11</f>
        <v/>
      </c>
      <c r="AY10" s="496" t="s">
        <v>793</v>
      </c>
    </row>
    <row r="11" spans="1:51" ht="15.95" customHeight="1" x14ac:dyDescent="0.2">
      <c r="A11" s="435">
        <v>7</v>
      </c>
      <c r="B11" s="444" t="str">
        <f t="shared" ca="1" si="1"/>
        <v/>
      </c>
      <c r="C11" s="444" t="str">
        <f t="shared" ca="1" si="2"/>
        <v/>
      </c>
      <c r="D11" s="444" t="str">
        <f t="shared" ca="1" si="3"/>
        <v/>
      </c>
      <c r="E11" s="486">
        <f t="shared" ca="1" si="4"/>
        <v>0</v>
      </c>
      <c r="F11" s="489">
        <v>17</v>
      </c>
      <c r="G11" s="488" t="str">
        <f t="shared" ca="1" si="5"/>
        <v/>
      </c>
      <c r="H11" s="898" t="str">
        <f t="shared" ca="1" si="6"/>
        <v/>
      </c>
      <c r="I11" s="898" t="str">
        <f t="shared" ca="1" si="0"/>
        <v/>
      </c>
      <c r="J11" s="898" t="str">
        <f t="shared" ca="1" si="0"/>
        <v/>
      </c>
      <c r="K11" s="450"/>
      <c r="L11" s="450"/>
      <c r="M11" s="450"/>
      <c r="N11" s="451"/>
      <c r="O11" s="450"/>
      <c r="P11" s="450"/>
      <c r="Q11" s="450"/>
      <c r="R11" s="437"/>
      <c r="S11" s="437"/>
      <c r="T11" s="451"/>
      <c r="U11" s="450"/>
      <c r="V11" s="450"/>
      <c r="W11" s="450"/>
      <c r="X11" s="450"/>
      <c r="Y11" s="450"/>
      <c r="Z11" s="451"/>
      <c r="AA11" s="450"/>
      <c r="AF11" s="453" t="s">
        <v>789</v>
      </c>
      <c r="AG11" s="435" t="str">
        <f>IF(ISBLANK(Z21),"",IF(Z21+AA21&gt;Z23+AA23,X22,X24))</f>
        <v/>
      </c>
      <c r="AH11" s="478" t="str">
        <f t="shared" ca="1" si="7"/>
        <v/>
      </c>
      <c r="AI11" s="474" t="str">
        <f t="shared" ca="1" si="8"/>
        <v/>
      </c>
      <c r="AJ11" s="915" t="str">
        <f t="shared" ca="1" si="9"/>
        <v/>
      </c>
      <c r="AN11" s="494">
        <f>K23</f>
        <v>6</v>
      </c>
      <c r="AO11" s="495" t="str">
        <f ca="1">L24</f>
        <v/>
      </c>
      <c r="AP11" s="495" t="str">
        <f t="shared" ref="AP11" ca="1" si="19">AO10</f>
        <v/>
      </c>
      <c r="AQ11" s="496" t="s">
        <v>793</v>
      </c>
      <c r="AR11" s="494">
        <f>Q23</f>
        <v>6</v>
      </c>
      <c r="AS11" s="495" t="str">
        <f>R24</f>
        <v/>
      </c>
      <c r="AT11" s="495" t="str">
        <f t="shared" ref="AT11" si="20">AS10</f>
        <v/>
      </c>
      <c r="AU11" s="496" t="s">
        <v>793</v>
      </c>
      <c r="AV11" s="494">
        <f>W23</f>
        <v>6</v>
      </c>
      <c r="AW11" s="495" t="str">
        <f>X24</f>
        <v/>
      </c>
      <c r="AX11" s="495" t="str">
        <f t="shared" ref="AX11" si="21">AW10</f>
        <v/>
      </c>
      <c r="AY11" s="496" t="s">
        <v>793</v>
      </c>
    </row>
    <row r="12" spans="1:51" ht="15.95" customHeight="1" thickBot="1" x14ac:dyDescent="0.25">
      <c r="A12" s="435">
        <v>8</v>
      </c>
      <c r="B12" s="444" t="str">
        <f t="shared" ca="1" si="1"/>
        <v/>
      </c>
      <c r="C12" s="444" t="str">
        <f t="shared" ca="1" si="2"/>
        <v/>
      </c>
      <c r="D12" s="444" t="str">
        <f t="shared" ca="1" si="3"/>
        <v/>
      </c>
      <c r="E12" s="486">
        <f t="shared" ca="1" si="4"/>
        <v>0</v>
      </c>
      <c r="F12" s="489">
        <v>18</v>
      </c>
      <c r="G12" s="488" t="str">
        <f t="shared" ca="1" si="5"/>
        <v/>
      </c>
      <c r="H12" s="898" t="str">
        <f t="shared" ca="1" si="6"/>
        <v/>
      </c>
      <c r="I12" s="898" t="str">
        <f t="shared" ca="1" si="0"/>
        <v/>
      </c>
      <c r="J12" s="898" t="str">
        <f t="shared" ca="1" si="0"/>
        <v/>
      </c>
      <c r="K12" s="450"/>
      <c r="L12" s="450"/>
      <c r="M12" s="450"/>
      <c r="N12" s="451"/>
      <c r="O12" s="450"/>
      <c r="P12" s="450"/>
      <c r="Q12" s="450"/>
      <c r="R12" s="437"/>
      <c r="S12" s="437"/>
      <c r="T12" s="451"/>
      <c r="U12" s="450"/>
      <c r="V12" s="450"/>
      <c r="W12" s="450"/>
      <c r="X12" s="979" t="s">
        <v>787</v>
      </c>
      <c r="Y12" s="1247"/>
      <c r="Z12" s="1247"/>
      <c r="AA12" s="450"/>
      <c r="AF12" s="453" t="s">
        <v>790</v>
      </c>
      <c r="AG12" s="435" t="str">
        <f>IF(ISBLANK(Z21),"",IF(Z21+AA21&lt;Z23+AA23,X22,X24))</f>
        <v/>
      </c>
      <c r="AH12" s="478" t="str">
        <f t="shared" ca="1" si="7"/>
        <v/>
      </c>
      <c r="AI12" s="474" t="str">
        <f t="shared" ca="1" si="8"/>
        <v/>
      </c>
      <c r="AJ12" s="915" t="str">
        <f t="shared" ca="1" si="9"/>
        <v/>
      </c>
      <c r="AN12" s="494">
        <f>K28</f>
        <v>7</v>
      </c>
      <c r="AO12" s="495" t="str">
        <f ca="1">L29</f>
        <v/>
      </c>
      <c r="AP12" s="495" t="str">
        <f t="shared" ref="AP12" ca="1" si="22">AO13</f>
        <v/>
      </c>
      <c r="AQ12" s="496" t="s">
        <v>793</v>
      </c>
      <c r="AR12" s="494">
        <f>Q28</f>
        <v>7</v>
      </c>
      <c r="AS12" s="495" t="str">
        <f>R29</f>
        <v/>
      </c>
      <c r="AT12" s="495" t="str">
        <f t="shared" ref="AT12" si="23">AS13</f>
        <v/>
      </c>
      <c r="AU12" s="496" t="s">
        <v>793</v>
      </c>
      <c r="AV12" s="494">
        <f>W28</f>
        <v>7</v>
      </c>
      <c r="AW12" s="495" t="str">
        <f>X29</f>
        <v/>
      </c>
      <c r="AX12" s="495" t="str">
        <f t="shared" ref="AX12" si="24">AW13</f>
        <v/>
      </c>
      <c r="AY12" s="496" t="s">
        <v>793</v>
      </c>
    </row>
    <row r="13" spans="1:51" ht="15.95" customHeight="1" thickBot="1" x14ac:dyDescent="0.25">
      <c r="A13" s="435">
        <v>9</v>
      </c>
      <c r="B13" s="444" t="str">
        <f t="shared" ca="1" si="1"/>
        <v/>
      </c>
      <c r="C13" s="444" t="str">
        <f t="shared" ca="1" si="2"/>
        <v/>
      </c>
      <c r="D13" s="444" t="str">
        <f t="shared" ca="1" si="3"/>
        <v/>
      </c>
      <c r="E13" s="486">
        <f t="shared" ca="1" si="4"/>
        <v>0</v>
      </c>
      <c r="F13" s="489">
        <v>19</v>
      </c>
      <c r="G13" s="488" t="str">
        <f t="shared" ca="1" si="5"/>
        <v/>
      </c>
      <c r="H13" s="898" t="str">
        <f t="shared" ca="1" si="6"/>
        <v/>
      </c>
      <c r="I13" s="898" t="str">
        <f t="shared" ca="1" si="0"/>
        <v/>
      </c>
      <c r="J13" s="898" t="str">
        <f t="shared" ca="1" si="0"/>
        <v/>
      </c>
      <c r="K13" s="445" t="s">
        <v>779</v>
      </c>
      <c r="L13" s="779" t="s">
        <v>1083</v>
      </c>
      <c r="M13" s="456" t="s">
        <v>481</v>
      </c>
      <c r="N13" s="464" t="s">
        <v>780</v>
      </c>
      <c r="O13" s="446" t="s">
        <v>781</v>
      </c>
      <c r="P13" s="445"/>
      <c r="Q13" s="445" t="s">
        <v>779</v>
      </c>
      <c r="R13" s="779" t="s">
        <v>1083</v>
      </c>
      <c r="S13" s="456" t="s">
        <v>481</v>
      </c>
      <c r="T13" s="464" t="s">
        <v>780</v>
      </c>
      <c r="U13" s="446" t="s">
        <v>781</v>
      </c>
      <c r="V13" s="445"/>
      <c r="W13" s="445" t="s">
        <v>779</v>
      </c>
      <c r="X13" s="779" t="s">
        <v>1083</v>
      </c>
      <c r="Y13" s="456" t="s">
        <v>481</v>
      </c>
      <c r="Z13" s="464" t="s">
        <v>780</v>
      </c>
      <c r="AA13" s="446" t="s">
        <v>781</v>
      </c>
      <c r="AF13" s="453" t="s">
        <v>791</v>
      </c>
      <c r="AG13" s="435" t="str">
        <f>IF(ISBLANK(Z28),"",IF(Z28+AA28&gt;Z30+AA30,X29,X31))</f>
        <v/>
      </c>
      <c r="AH13" s="478" t="str">
        <f t="shared" ca="1" si="7"/>
        <v/>
      </c>
      <c r="AI13" s="474" t="str">
        <f t="shared" ca="1" si="8"/>
        <v/>
      </c>
      <c r="AJ13" s="915" t="str">
        <f t="shared" ca="1" si="9"/>
        <v/>
      </c>
      <c r="AN13" s="494">
        <f>K30</f>
        <v>8</v>
      </c>
      <c r="AO13" s="495" t="str">
        <f ca="1">L31</f>
        <v/>
      </c>
      <c r="AP13" s="495" t="str">
        <f t="shared" ref="AP13" ca="1" si="25">AO12</f>
        <v/>
      </c>
      <c r="AQ13" s="496" t="s">
        <v>793</v>
      </c>
      <c r="AR13" s="494">
        <f>Q30</f>
        <v>8</v>
      </c>
      <c r="AS13" s="495" t="str">
        <f>R31</f>
        <v/>
      </c>
      <c r="AT13" s="495" t="str">
        <f t="shared" ref="AT13" si="26">AS12</f>
        <v/>
      </c>
      <c r="AU13" s="496" t="s">
        <v>793</v>
      </c>
      <c r="AV13" s="494">
        <f>W30</f>
        <v>8</v>
      </c>
      <c r="AW13" s="495" t="str">
        <f>X31</f>
        <v/>
      </c>
      <c r="AX13" s="495" t="str">
        <f t="shared" ref="AX13" si="27">AW12</f>
        <v/>
      </c>
      <c r="AY13" s="496" t="s">
        <v>793</v>
      </c>
    </row>
    <row r="14" spans="1:51" ht="15.95" customHeight="1" thickBot="1" x14ac:dyDescent="0.25">
      <c r="A14" s="435">
        <v>10</v>
      </c>
      <c r="B14" s="444" t="str">
        <f t="shared" ca="1" si="1"/>
        <v/>
      </c>
      <c r="C14" s="444" t="str">
        <f t="shared" ca="1" si="2"/>
        <v/>
      </c>
      <c r="D14" s="444" t="str">
        <f t="shared" ca="1" si="3"/>
        <v/>
      </c>
      <c r="E14" s="486">
        <f t="shared" ca="1" si="4"/>
        <v>0</v>
      </c>
      <c r="F14" s="489">
        <v>20</v>
      </c>
      <c r="G14" s="488" t="str">
        <f t="shared" ca="1" si="5"/>
        <v/>
      </c>
      <c r="H14" s="898" t="str">
        <f t="shared" ca="1" si="6"/>
        <v/>
      </c>
      <c r="I14" s="898" t="str">
        <f t="shared" ca="1" si="0"/>
        <v/>
      </c>
      <c r="J14" s="898" t="str">
        <f t="shared" ca="1" si="0"/>
        <v/>
      </c>
      <c r="K14" s="447">
        <f>K9+1</f>
        <v>3</v>
      </c>
      <c r="L14" s="472">
        <v>4</v>
      </c>
      <c r="M14" s="465" t="str">
        <f ca="1">IFERROR(VLOOKUP(L15,$G$5:$J$28,2,FALSE),"")</f>
        <v/>
      </c>
      <c r="N14" s="966"/>
      <c r="O14" s="780"/>
      <c r="Q14" s="447">
        <f>Q9+1</f>
        <v>3</v>
      </c>
      <c r="R14" s="472">
        <v>3</v>
      </c>
      <c r="S14" s="465" t="str">
        <f ca="1">IFERROR(VLOOKUP(R15,$G$5:$J$28,2,FALSE),"")</f>
        <v/>
      </c>
      <c r="T14" s="966"/>
      <c r="U14" s="780"/>
      <c r="W14" s="447">
        <f>W9+1</f>
        <v>3</v>
      </c>
      <c r="X14" s="472">
        <v>4</v>
      </c>
      <c r="Y14" s="465" t="str">
        <f ca="1">IFERROR(VLOOKUP(X15,$G$5:$J$28,2,FALSE),"")</f>
        <v/>
      </c>
      <c r="Z14" s="966"/>
      <c r="AA14" s="780"/>
      <c r="AF14" s="453" t="s">
        <v>792</v>
      </c>
      <c r="AG14" s="435" t="str">
        <f>IF(ISBLANK(Z28),"",IF(Z28+AA28&lt;Z30+AA30,X29,X31))</f>
        <v/>
      </c>
      <c r="AH14" s="478" t="str">
        <f t="shared" ca="1" si="7"/>
        <v/>
      </c>
      <c r="AI14" s="474" t="str">
        <f t="shared" ca="1" si="8"/>
        <v/>
      </c>
      <c r="AJ14" s="915" t="str">
        <f t="shared" ca="1" si="9"/>
        <v/>
      </c>
      <c r="AN14" s="494">
        <f>K35</f>
        <v>9</v>
      </c>
      <c r="AO14" s="495" t="str">
        <f ca="1">L36</f>
        <v/>
      </c>
      <c r="AP14" s="495" t="str">
        <f t="shared" ref="AP14" ca="1" si="28">AO15</f>
        <v/>
      </c>
      <c r="AQ14" s="496" t="s">
        <v>793</v>
      </c>
      <c r="AR14" s="494">
        <f>Q35</f>
        <v>9</v>
      </c>
      <c r="AS14" s="495" t="str">
        <f>R36</f>
        <v/>
      </c>
      <c r="AT14" s="495" t="str">
        <f t="shared" ref="AT14" si="29">AS15</f>
        <v/>
      </c>
      <c r="AU14" s="496" t="s">
        <v>793</v>
      </c>
      <c r="AV14" s="494">
        <f>W35</f>
        <v>9</v>
      </c>
      <c r="AW14" s="495" t="str">
        <f>X36</f>
        <v/>
      </c>
      <c r="AX14" s="495" t="str">
        <f t="shared" ref="AX14" si="30">AW15</f>
        <v/>
      </c>
      <c r="AY14" s="496" t="s">
        <v>793</v>
      </c>
    </row>
    <row r="15" spans="1:51" ht="15.95" customHeight="1" thickBot="1" x14ac:dyDescent="0.25">
      <c r="A15" s="435">
        <v>11</v>
      </c>
      <c r="B15" s="444" t="str">
        <f t="shared" ca="1" si="1"/>
        <v/>
      </c>
      <c r="C15" s="444" t="str">
        <f t="shared" ca="1" si="2"/>
        <v/>
      </c>
      <c r="D15" s="444" t="str">
        <f t="shared" ca="1" si="3"/>
        <v/>
      </c>
      <c r="E15" s="486">
        <f t="shared" ca="1" si="4"/>
        <v>0</v>
      </c>
      <c r="F15" s="489">
        <v>21</v>
      </c>
      <c r="G15" s="488" t="str">
        <f t="shared" ca="1" si="5"/>
        <v/>
      </c>
      <c r="H15" s="898" t="str">
        <f t="shared" ca="1" si="6"/>
        <v/>
      </c>
      <c r="I15" s="898" t="str">
        <f t="shared" ca="1" si="0"/>
        <v/>
      </c>
      <c r="J15" s="898" t="str">
        <f t="shared" ca="1" si="0"/>
        <v/>
      </c>
      <c r="K15" s="447"/>
      <c r="L15" s="473" t="str">
        <f ca="1">VLOOKUP(L14,$A$5:$G$24,7,FALSE)</f>
        <v/>
      </c>
      <c r="M15" s="466" t="str">
        <f ca="1">IFERROR(VLOOKUP(L15,$G$5:$J$28,3,FALSE),"")</f>
        <v/>
      </c>
      <c r="N15" s="967"/>
      <c r="Q15" s="447"/>
      <c r="R15" s="473" t="str">
        <f>IF(ISBLANK(N21),"",IF(N21+O21&gt;N23+O23,L22,L24))</f>
        <v/>
      </c>
      <c r="S15" s="466" t="str">
        <f ca="1">IFERROR(VLOOKUP(R15,$G$5:$J$28,3,FALSE),"")</f>
        <v/>
      </c>
      <c r="T15" s="967"/>
      <c r="W15" s="447"/>
      <c r="X15" s="473" t="str">
        <f>IF(ISBLANK(T7),"",IF(U7+T7&lt;T9+U9,R8,R10))</f>
        <v/>
      </c>
      <c r="Y15" s="466" t="str">
        <f ca="1">IFERROR(VLOOKUP(X15,$G$5:$J$28,3,FALSE),"")</f>
        <v/>
      </c>
      <c r="Z15" s="967"/>
      <c r="AF15" s="453" t="s">
        <v>794</v>
      </c>
      <c r="AG15" s="435" t="str">
        <f>IF(ISBLANK(Z35),"",IF(Z35+AA35&gt;Z37+AA37,X36,X38))</f>
        <v/>
      </c>
      <c r="AH15" s="478" t="str">
        <f t="shared" ca="1" si="7"/>
        <v/>
      </c>
      <c r="AI15" s="474" t="str">
        <f t="shared" ca="1" si="8"/>
        <v/>
      </c>
      <c r="AJ15" s="915" t="str">
        <f t="shared" ca="1" si="9"/>
        <v/>
      </c>
      <c r="AN15" s="494">
        <f>K37</f>
        <v>10</v>
      </c>
      <c r="AO15" s="495" t="str">
        <f ca="1">L38</f>
        <v/>
      </c>
      <c r="AP15" s="495" t="str">
        <f t="shared" ref="AP15" ca="1" si="31">AO14</f>
        <v/>
      </c>
      <c r="AQ15" s="496" t="s">
        <v>793</v>
      </c>
      <c r="AR15" s="494">
        <f>Q37</f>
        <v>10</v>
      </c>
      <c r="AS15" s="495" t="str">
        <f>R38</f>
        <v/>
      </c>
      <c r="AT15" s="495" t="str">
        <f t="shared" ref="AT15" si="32">AS14</f>
        <v/>
      </c>
      <c r="AU15" s="496" t="s">
        <v>793</v>
      </c>
      <c r="AV15" s="494">
        <f>W37</f>
        <v>10</v>
      </c>
      <c r="AW15" s="495" t="str">
        <f>X38</f>
        <v/>
      </c>
      <c r="AX15" s="495" t="str">
        <f t="shared" ref="AX15" si="33">AW14</f>
        <v/>
      </c>
      <c r="AY15" s="496" t="s">
        <v>793</v>
      </c>
    </row>
    <row r="16" spans="1:51" ht="15.95" customHeight="1" thickBot="1" x14ac:dyDescent="0.25">
      <c r="A16" s="435">
        <v>12</v>
      </c>
      <c r="B16" s="444" t="str">
        <f t="shared" ca="1" si="1"/>
        <v/>
      </c>
      <c r="C16" s="444" t="str">
        <f t="shared" ca="1" si="2"/>
        <v/>
      </c>
      <c r="D16" s="444" t="str">
        <f t="shared" ca="1" si="3"/>
        <v/>
      </c>
      <c r="E16" s="486">
        <f t="shared" ca="1" si="4"/>
        <v>0</v>
      </c>
      <c r="F16" s="489">
        <v>22</v>
      </c>
      <c r="G16" s="488" t="str">
        <f t="shared" ca="1" si="5"/>
        <v/>
      </c>
      <c r="H16" s="898" t="str">
        <f t="shared" ca="1" si="6"/>
        <v/>
      </c>
      <c r="I16" s="898" t="str">
        <f t="shared" ca="1" si="0"/>
        <v/>
      </c>
      <c r="J16" s="898" t="str">
        <f t="shared" ca="1" si="0"/>
        <v/>
      </c>
      <c r="K16" s="447">
        <f>K14+1</f>
        <v>4</v>
      </c>
      <c r="L16" s="472">
        <v>5</v>
      </c>
      <c r="M16" s="465" t="str">
        <f ca="1">IFERROR(VLOOKUP(L17,$G$5:$J$28,2,FALSE),"")</f>
        <v/>
      </c>
      <c r="N16" s="966"/>
      <c r="O16" s="780"/>
      <c r="Q16" s="447">
        <f>Q14+1</f>
        <v>4</v>
      </c>
      <c r="R16" s="472">
        <v>2</v>
      </c>
      <c r="S16" s="465" t="str">
        <f ca="1">IFERROR(VLOOKUP(R17,$G$5:$J$28,2,FALSE),"")</f>
        <v/>
      </c>
      <c r="T16" s="966"/>
      <c r="U16" s="780"/>
      <c r="W16" s="447">
        <f>W14+1</f>
        <v>4</v>
      </c>
      <c r="X16" s="472">
        <v>3</v>
      </c>
      <c r="Y16" s="465" t="str">
        <f ca="1">IFERROR(VLOOKUP(X17,$G$5:$J$28,2,FALSE),"")</f>
        <v/>
      </c>
      <c r="Z16" s="966"/>
      <c r="AA16" s="780"/>
      <c r="AF16" s="453" t="s">
        <v>795</v>
      </c>
      <c r="AG16" s="435" t="str">
        <f>IF(ISBLANK(Z35),"",IF(Z35+AA35&lt;Z37+AA37,X36,X38))</f>
        <v/>
      </c>
      <c r="AH16" s="478" t="str">
        <f t="shared" ca="1" si="7"/>
        <v/>
      </c>
      <c r="AI16" s="474" t="str">
        <f t="shared" ca="1" si="8"/>
        <v/>
      </c>
      <c r="AJ16" s="915" t="str">
        <f t="shared" ca="1" si="9"/>
        <v/>
      </c>
      <c r="AN16" s="494">
        <f>K42</f>
        <v>11</v>
      </c>
      <c r="AO16" s="495" t="str">
        <f ca="1">L43</f>
        <v/>
      </c>
      <c r="AP16" s="495" t="str">
        <f t="shared" ref="AP16" ca="1" si="34">AO17</f>
        <v/>
      </c>
      <c r="AQ16" s="496" t="s">
        <v>793</v>
      </c>
      <c r="AR16" s="494">
        <f>Q42</f>
        <v>11</v>
      </c>
      <c r="AS16" s="495" t="str">
        <f>R43</f>
        <v/>
      </c>
      <c r="AT16" s="495" t="str">
        <f t="shared" ref="AT16" si="35">AS17</f>
        <v/>
      </c>
      <c r="AU16" s="496" t="s">
        <v>793</v>
      </c>
      <c r="AV16" s="494">
        <f>W42</f>
        <v>11</v>
      </c>
      <c r="AW16" s="495" t="str">
        <f>X43</f>
        <v/>
      </c>
      <c r="AX16" s="495" t="str">
        <f t="shared" ref="AX16" si="36">AW17</f>
        <v/>
      </c>
      <c r="AY16" s="496" t="s">
        <v>793</v>
      </c>
    </row>
    <row r="17" spans="1:51" ht="15.95" customHeight="1" thickBot="1" x14ac:dyDescent="0.25">
      <c r="A17" s="435">
        <v>13</v>
      </c>
      <c r="B17" s="444" t="str">
        <f t="shared" ca="1" si="1"/>
        <v/>
      </c>
      <c r="C17" s="444" t="str">
        <f t="shared" ca="1" si="2"/>
        <v/>
      </c>
      <c r="D17" s="444" t="str">
        <f t="shared" ca="1" si="3"/>
        <v/>
      </c>
      <c r="E17" s="486">
        <f t="shared" ca="1" si="4"/>
        <v>0</v>
      </c>
      <c r="F17" s="489">
        <v>23</v>
      </c>
      <c r="G17" s="488" t="str">
        <f t="shared" ca="1" si="5"/>
        <v/>
      </c>
      <c r="H17" s="898" t="str">
        <f t="shared" ca="1" si="6"/>
        <v/>
      </c>
      <c r="I17" s="898" t="str">
        <f t="shared" ca="1" si="0"/>
        <v/>
      </c>
      <c r="J17" s="898" t="str">
        <f t="shared" ca="1" si="0"/>
        <v/>
      </c>
      <c r="K17" s="447"/>
      <c r="L17" s="473" t="str">
        <f ca="1">VLOOKUP(L16,$A$5:$G$24,7,FALSE)</f>
        <v/>
      </c>
      <c r="M17" s="466" t="str">
        <f ca="1">IFERROR(VLOOKUP(L17,$G$5:$J$28,3,FALSE),"")</f>
        <v/>
      </c>
      <c r="N17" s="967"/>
      <c r="Q17" s="447"/>
      <c r="R17" s="473" t="str">
        <f>IF(ISBLANK(N28),"",IF(N28+O28&gt;N30+O30,L29,L31))</f>
        <v/>
      </c>
      <c r="S17" s="466" t="str">
        <f ca="1">IFERROR(VLOOKUP(R17,$G$5:$J$28,3,FALSE),"")</f>
        <v/>
      </c>
      <c r="T17" s="967"/>
      <c r="W17" s="447"/>
      <c r="X17" s="473" t="str">
        <f>IF(ISBLANK(T14),"",IF(U14+T14&lt;T16+U16,R15,R17))</f>
        <v/>
      </c>
      <c r="Y17" s="466" t="str">
        <f ca="1">IFERROR(VLOOKUP(X17,$G$5:$J$28,3,FALSE),"")</f>
        <v/>
      </c>
      <c r="Z17" s="967"/>
      <c r="AF17" s="453" t="s">
        <v>796</v>
      </c>
      <c r="AG17" s="435" t="str">
        <f>IF(ISBLANK(Z42),"",IF(Z42+AA42&gt;Z44+AA44,X43,X45))</f>
        <v/>
      </c>
      <c r="AH17" s="478" t="str">
        <f t="shared" ca="1" si="7"/>
        <v/>
      </c>
      <c r="AI17" s="474" t="str">
        <f t="shared" ca="1" si="8"/>
        <v/>
      </c>
      <c r="AJ17" s="915" t="str">
        <f t="shared" ca="1" si="9"/>
        <v/>
      </c>
      <c r="AN17" s="494">
        <f>K44</f>
        <v>12</v>
      </c>
      <c r="AO17" s="495" t="str">
        <f ca="1">L45</f>
        <v/>
      </c>
      <c r="AP17" s="495" t="str">
        <f t="shared" ref="AP17" ca="1" si="37">AO16</f>
        <v/>
      </c>
      <c r="AQ17" s="496" t="s">
        <v>793</v>
      </c>
      <c r="AR17" s="494">
        <f>Q44</f>
        <v>12</v>
      </c>
      <c r="AS17" s="495" t="str">
        <f>R45</f>
        <v/>
      </c>
      <c r="AT17" s="495" t="str">
        <f t="shared" ref="AT17" si="38">AS16</f>
        <v/>
      </c>
      <c r="AU17" s="496" t="s">
        <v>793</v>
      </c>
      <c r="AV17" s="494">
        <f>W44</f>
        <v>12</v>
      </c>
      <c r="AW17" s="495" t="str">
        <f>X45</f>
        <v/>
      </c>
      <c r="AX17" s="495" t="str">
        <f t="shared" ref="AX17" si="39">AW16</f>
        <v/>
      </c>
      <c r="AY17" s="496" t="s">
        <v>793</v>
      </c>
    </row>
    <row r="18" spans="1:51" ht="15.95" customHeight="1" x14ac:dyDescent="0.2">
      <c r="A18" s="435">
        <v>14</v>
      </c>
      <c r="B18" s="444" t="str">
        <f t="shared" ca="1" si="1"/>
        <v/>
      </c>
      <c r="C18" s="444" t="str">
        <f t="shared" ca="1" si="2"/>
        <v/>
      </c>
      <c r="D18" s="444" t="str">
        <f t="shared" ca="1" si="3"/>
        <v/>
      </c>
      <c r="E18" s="486">
        <f t="shared" ca="1" si="4"/>
        <v>0</v>
      </c>
      <c r="F18" s="489">
        <v>24</v>
      </c>
      <c r="G18" s="488" t="str">
        <f t="shared" ca="1" si="5"/>
        <v/>
      </c>
      <c r="H18" s="898" t="str">
        <f t="shared" ca="1" si="6"/>
        <v/>
      </c>
      <c r="I18" s="898" t="str">
        <f t="shared" ca="1" si="0"/>
        <v/>
      </c>
      <c r="J18" s="898" t="str">
        <f t="shared" ca="1" si="0"/>
        <v/>
      </c>
      <c r="K18" s="450"/>
      <c r="L18" s="450"/>
      <c r="M18" s="450"/>
      <c r="N18" s="451"/>
      <c r="O18" s="450"/>
      <c r="P18" s="450"/>
      <c r="Q18" s="450"/>
      <c r="R18" s="450"/>
      <c r="S18" s="450"/>
      <c r="T18" s="451"/>
      <c r="U18" s="450"/>
      <c r="V18" s="450"/>
      <c r="W18" s="450"/>
      <c r="X18" s="450"/>
      <c r="Y18" s="450"/>
      <c r="Z18" s="451"/>
      <c r="AA18" s="450"/>
      <c r="AF18" s="453" t="s">
        <v>797</v>
      </c>
      <c r="AG18" s="435" t="str">
        <f>IF(ISBLANK(Z42),"",IF(Z42+AA42&lt;Z44+AA44,X43,X45))</f>
        <v/>
      </c>
      <c r="AH18" s="478" t="str">
        <f t="shared" ca="1" si="7"/>
        <v/>
      </c>
      <c r="AI18" s="474" t="str">
        <f t="shared" ca="1" si="8"/>
        <v/>
      </c>
      <c r="AJ18" s="915" t="str">
        <f t="shared" ca="1" si="9"/>
        <v/>
      </c>
      <c r="AN18" s="494">
        <f>K49</f>
        <v>13</v>
      </c>
      <c r="AO18" s="495" t="str">
        <f ca="1">L50</f>
        <v/>
      </c>
      <c r="AP18" s="495" t="str">
        <f t="shared" ref="AP18" ca="1" si="40">AO19</f>
        <v/>
      </c>
      <c r="AQ18" s="496" t="s">
        <v>793</v>
      </c>
      <c r="AR18" s="494">
        <f>Q49</f>
        <v>13</v>
      </c>
      <c r="AS18" s="495" t="str">
        <f>R50</f>
        <v/>
      </c>
      <c r="AT18" s="495" t="str">
        <f t="shared" ref="AT18" si="41">AS19</f>
        <v/>
      </c>
      <c r="AU18" s="496" t="s">
        <v>793</v>
      </c>
      <c r="AV18" s="494">
        <f>W49</f>
        <v>13</v>
      </c>
      <c r="AW18" s="495" t="str">
        <f>X50</f>
        <v/>
      </c>
      <c r="AX18" s="495" t="str">
        <f t="shared" ref="AX18" si="42">AW19</f>
        <v/>
      </c>
      <c r="AY18" s="496" t="s">
        <v>793</v>
      </c>
    </row>
    <row r="19" spans="1:51" ht="15.95" customHeight="1" thickBot="1" x14ac:dyDescent="0.25">
      <c r="A19" s="435">
        <v>15</v>
      </c>
      <c r="B19" s="444" t="str">
        <f t="shared" ca="1" si="1"/>
        <v/>
      </c>
      <c r="C19" s="444" t="str">
        <f t="shared" ca="1" si="2"/>
        <v/>
      </c>
      <c r="D19" s="444" t="str">
        <f t="shared" ca="1" si="3"/>
        <v/>
      </c>
      <c r="E19" s="486">
        <f t="shared" ca="1" si="4"/>
        <v>0</v>
      </c>
      <c r="F19" s="489">
        <v>25</v>
      </c>
      <c r="G19" s="488" t="str">
        <f t="shared" ca="1" si="5"/>
        <v/>
      </c>
      <c r="H19" s="898" t="str">
        <f t="shared" ca="1" si="6"/>
        <v/>
      </c>
      <c r="I19" s="898" t="str">
        <f t="shared" ca="1" si="0"/>
        <v/>
      </c>
      <c r="J19" s="898" t="str">
        <f t="shared" ca="1" si="0"/>
        <v/>
      </c>
      <c r="K19" s="450"/>
      <c r="L19" s="454"/>
      <c r="M19" s="454"/>
      <c r="N19" s="455"/>
      <c r="O19" s="450"/>
      <c r="P19" s="450"/>
      <c r="Q19" s="450"/>
      <c r="R19" s="979" t="s">
        <v>819</v>
      </c>
      <c r="S19" s="1247"/>
      <c r="T19" s="1247"/>
      <c r="U19" s="450"/>
      <c r="V19" s="450"/>
      <c r="W19" s="450"/>
      <c r="X19" s="979" t="s">
        <v>820</v>
      </c>
      <c r="Y19" s="1247"/>
      <c r="Z19" s="1247"/>
      <c r="AA19" s="450"/>
      <c r="AF19" s="453" t="s">
        <v>798</v>
      </c>
      <c r="AG19" s="435" t="str">
        <f>IF(ISBLANK(Z49),"",IF(Z49+AA49&gt;Z51+AA51,X50,X52))</f>
        <v/>
      </c>
      <c r="AH19" s="478" t="str">
        <f t="shared" ca="1" si="7"/>
        <v/>
      </c>
      <c r="AI19" s="474" t="str">
        <f t="shared" ca="1" si="8"/>
        <v/>
      </c>
      <c r="AJ19" s="915" t="str">
        <f t="shared" ca="1" si="9"/>
        <v/>
      </c>
      <c r="AN19" s="494">
        <f>K51</f>
        <v>14</v>
      </c>
      <c r="AO19" s="495" t="str">
        <f ca="1">L52</f>
        <v/>
      </c>
      <c r="AP19" s="495" t="str">
        <f t="shared" ref="AP19" ca="1" si="43">AO18</f>
        <v/>
      </c>
      <c r="AQ19" s="496" t="s">
        <v>793</v>
      </c>
      <c r="AR19" s="494">
        <f>Q51</f>
        <v>14</v>
      </c>
      <c r="AS19" s="495" t="str">
        <f>R52</f>
        <v/>
      </c>
      <c r="AT19" s="495" t="str">
        <f t="shared" ref="AT19" si="44">AS18</f>
        <v/>
      </c>
      <c r="AU19" s="496" t="s">
        <v>793</v>
      </c>
      <c r="AV19" s="494">
        <f>W51</f>
        <v>14</v>
      </c>
      <c r="AW19" s="495" t="str">
        <f>X52</f>
        <v/>
      </c>
      <c r="AX19" s="495" t="str">
        <f t="shared" ref="AX19" si="45">AW18</f>
        <v/>
      </c>
      <c r="AY19" s="496" t="s">
        <v>793</v>
      </c>
    </row>
    <row r="20" spans="1:51" ht="15.95" customHeight="1" thickBot="1" x14ac:dyDescent="0.25">
      <c r="A20" s="435">
        <v>16</v>
      </c>
      <c r="B20" s="444" t="str">
        <f t="shared" ca="1" si="1"/>
        <v/>
      </c>
      <c r="C20" s="444" t="str">
        <f t="shared" ca="1" si="2"/>
        <v/>
      </c>
      <c r="D20" s="444" t="str">
        <f t="shared" ca="1" si="3"/>
        <v/>
      </c>
      <c r="E20" s="486">
        <f t="shared" ca="1" si="4"/>
        <v>0</v>
      </c>
      <c r="F20" s="489">
        <v>26</v>
      </c>
      <c r="G20" s="488" t="str">
        <f t="shared" ca="1" si="5"/>
        <v/>
      </c>
      <c r="H20" s="898" t="str">
        <f t="shared" ca="1" si="6"/>
        <v/>
      </c>
      <c r="I20" s="898" t="str">
        <f t="shared" ca="1" si="0"/>
        <v/>
      </c>
      <c r="J20" s="898" t="str">
        <f t="shared" ca="1" si="0"/>
        <v/>
      </c>
      <c r="K20" s="445" t="s">
        <v>779</v>
      </c>
      <c r="L20" s="779" t="s">
        <v>1083</v>
      </c>
      <c r="M20" s="456" t="s">
        <v>481</v>
      </c>
      <c r="N20" s="464" t="s">
        <v>780</v>
      </c>
      <c r="O20" s="446" t="s">
        <v>781</v>
      </c>
      <c r="P20" s="445"/>
      <c r="Q20" s="445" t="s">
        <v>779</v>
      </c>
      <c r="R20" s="779" t="s">
        <v>1083</v>
      </c>
      <c r="S20" s="456" t="s">
        <v>481</v>
      </c>
      <c r="T20" s="464" t="s">
        <v>780</v>
      </c>
      <c r="U20" s="446" t="s">
        <v>781</v>
      </c>
      <c r="V20" s="445"/>
      <c r="W20" s="445" t="s">
        <v>779</v>
      </c>
      <c r="X20" s="779" t="s">
        <v>1083</v>
      </c>
      <c r="Y20" s="456" t="s">
        <v>481</v>
      </c>
      <c r="Z20" s="464" t="s">
        <v>780</v>
      </c>
      <c r="AA20" s="446" t="s">
        <v>781</v>
      </c>
      <c r="AF20" s="453" t="s">
        <v>799</v>
      </c>
      <c r="AG20" s="435" t="str">
        <f>IF(ISBLANK(Z49),"",IF(Z49+AA49&lt;Z51+AA51,X50,X52))</f>
        <v/>
      </c>
      <c r="AH20" s="478" t="str">
        <f t="shared" ca="1" si="7"/>
        <v/>
      </c>
      <c r="AI20" s="474" t="str">
        <f t="shared" ca="1" si="8"/>
        <v/>
      </c>
      <c r="AJ20" s="915" t="str">
        <f t="shared" ca="1" si="9"/>
        <v/>
      </c>
      <c r="AN20" s="494">
        <f>K56</f>
        <v>15</v>
      </c>
      <c r="AO20" s="495" t="str">
        <f ca="1">L57</f>
        <v/>
      </c>
      <c r="AP20" s="495" t="str">
        <f t="shared" ref="AP20" ca="1" si="46">AO21</f>
        <v/>
      </c>
      <c r="AQ20" s="496" t="s">
        <v>793</v>
      </c>
      <c r="AR20" s="494">
        <f>Q56</f>
        <v>15</v>
      </c>
      <c r="AS20" s="495" t="str">
        <f>R57</f>
        <v/>
      </c>
      <c r="AT20" s="495" t="str">
        <f t="shared" ref="AT20" si="47">AS21</f>
        <v/>
      </c>
      <c r="AU20" s="496" t="s">
        <v>793</v>
      </c>
      <c r="AV20" s="494">
        <f>W56</f>
        <v>15</v>
      </c>
      <c r="AW20" s="495" t="str">
        <f>X57</f>
        <v/>
      </c>
      <c r="AX20" s="495" t="str">
        <f t="shared" ref="AX20" si="48">AW21</f>
        <v/>
      </c>
      <c r="AY20" s="496" t="s">
        <v>793</v>
      </c>
    </row>
    <row r="21" spans="1:51" ht="15.95" customHeight="1" thickBot="1" x14ac:dyDescent="0.25">
      <c r="A21" s="435">
        <v>17</v>
      </c>
      <c r="B21" s="444" t="str">
        <f t="shared" ca="1" si="1"/>
        <v/>
      </c>
      <c r="C21" s="444" t="str">
        <f t="shared" ca="1" si="2"/>
        <v/>
      </c>
      <c r="D21" s="444" t="str">
        <f t="shared" ca="1" si="3"/>
        <v/>
      </c>
      <c r="E21" s="486">
        <f t="shared" ca="1" si="4"/>
        <v>0</v>
      </c>
      <c r="F21" s="489">
        <v>27</v>
      </c>
      <c r="G21" s="488" t="str">
        <f t="shared" ca="1" si="5"/>
        <v/>
      </c>
      <c r="H21" s="898" t="str">
        <f t="shared" ca="1" si="6"/>
        <v/>
      </c>
      <c r="I21" s="898" t="str">
        <f t="shared" ca="1" si="6"/>
        <v/>
      </c>
      <c r="J21" s="898" t="str">
        <f t="shared" ca="1" si="6"/>
        <v/>
      </c>
      <c r="K21" s="447">
        <f>K16+1</f>
        <v>5</v>
      </c>
      <c r="L21" s="472">
        <v>3</v>
      </c>
      <c r="M21" s="465" t="str">
        <f ca="1">IFERROR(VLOOKUP(L22,$G$5:$J$28,2,FALSE),"")</f>
        <v/>
      </c>
      <c r="N21" s="966"/>
      <c r="O21" s="780"/>
      <c r="Q21" s="447">
        <f>Q16+1</f>
        <v>5</v>
      </c>
      <c r="R21" s="472">
        <v>8</v>
      </c>
      <c r="S21" s="465" t="str">
        <f ca="1">IFERROR(VLOOKUP(R22,$G$5:$J$28,2,FALSE),"")</f>
        <v/>
      </c>
      <c r="T21" s="966"/>
      <c r="U21" s="780"/>
      <c r="W21" s="447">
        <f>W16+1</f>
        <v>5</v>
      </c>
      <c r="X21" s="472">
        <v>5</v>
      </c>
      <c r="Y21" s="465" t="str">
        <f ca="1">IFERROR(VLOOKUP(X22,$G$5:$J$28,2,FALSE),"")</f>
        <v/>
      </c>
      <c r="Z21" s="966"/>
      <c r="AA21" s="780"/>
      <c r="AF21" s="453" t="s">
        <v>800</v>
      </c>
      <c r="AG21" s="435" t="str">
        <f>IF(ISBLANK(Z56),"",IF(Z56+AA56&gt;Z58+AA58,X57,X59))</f>
        <v/>
      </c>
      <c r="AH21" s="478" t="str">
        <f t="shared" ca="1" si="7"/>
        <v/>
      </c>
      <c r="AI21" s="474" t="str">
        <f t="shared" ca="1" si="8"/>
        <v/>
      </c>
      <c r="AJ21" s="915" t="str">
        <f t="shared" ca="1" si="9"/>
        <v/>
      </c>
      <c r="AN21" s="494">
        <f>K58</f>
        <v>16</v>
      </c>
      <c r="AO21" s="495" t="str">
        <f ca="1">L59</f>
        <v/>
      </c>
      <c r="AP21" s="495" t="str">
        <f t="shared" ref="AP21" ca="1" si="49">AO20</f>
        <v/>
      </c>
      <c r="AQ21" s="496" t="s">
        <v>793</v>
      </c>
      <c r="AR21" s="494">
        <f>Q58</f>
        <v>16</v>
      </c>
      <c r="AS21" s="495" t="str">
        <f>R59</f>
        <v/>
      </c>
      <c r="AT21" s="495" t="str">
        <f t="shared" ref="AT21" si="50">AS20</f>
        <v/>
      </c>
      <c r="AU21" s="496" t="s">
        <v>793</v>
      </c>
      <c r="AV21" s="494">
        <f>W58</f>
        <v>16</v>
      </c>
      <c r="AW21" s="495" t="str">
        <f>X59</f>
        <v/>
      </c>
      <c r="AX21" s="495" t="str">
        <f t="shared" ref="AX21" si="51">AW20</f>
        <v/>
      </c>
      <c r="AY21" s="496" t="s">
        <v>793</v>
      </c>
    </row>
    <row r="22" spans="1:51" ht="15.95" customHeight="1" thickBot="1" x14ac:dyDescent="0.25">
      <c r="A22" s="435">
        <v>18</v>
      </c>
      <c r="B22" s="444" t="str">
        <f t="shared" ca="1" si="1"/>
        <v/>
      </c>
      <c r="C22" s="444" t="str">
        <f t="shared" ca="1" si="2"/>
        <v/>
      </c>
      <c r="D22" s="444" t="str">
        <f t="shared" ca="1" si="3"/>
        <v/>
      </c>
      <c r="E22" s="486">
        <f t="shared" ca="1" si="4"/>
        <v>0</v>
      </c>
      <c r="F22" s="489">
        <v>28</v>
      </c>
      <c r="G22" s="488" t="str">
        <f t="shared" ca="1" si="5"/>
        <v/>
      </c>
      <c r="H22" s="898" t="str">
        <f t="shared" ca="1" si="6"/>
        <v/>
      </c>
      <c r="I22" s="898" t="str">
        <f t="shared" ca="1" si="6"/>
        <v/>
      </c>
      <c r="J22" s="898" t="str">
        <f t="shared" ca="1" si="6"/>
        <v/>
      </c>
      <c r="K22" s="447"/>
      <c r="L22" s="473" t="str">
        <f ca="1">VLOOKUP(L21,$A$5:$G$24,7,FALSE)</f>
        <v/>
      </c>
      <c r="M22" s="466" t="str">
        <f ca="1">IFERROR(VLOOKUP(L22,$G$5:$J$28,3,FALSE),"")</f>
        <v/>
      </c>
      <c r="N22" s="967"/>
      <c r="Q22" s="447"/>
      <c r="R22" s="473" t="str">
        <f>IF(ISBLANK(N7),"",IF(O7+N7&lt;N9+O9,L8,L10))</f>
        <v/>
      </c>
      <c r="S22" s="466" t="str">
        <f ca="1">IFERROR(VLOOKUP(R22,$G$5:$J$28,3,FALSE),"")</f>
        <v/>
      </c>
      <c r="T22" s="967"/>
      <c r="W22" s="447"/>
      <c r="X22" s="473" t="str">
        <f>IF(ISBLANK(T21),"",IF(U21+T21&gt;T23+U23,R22,R24))</f>
        <v/>
      </c>
      <c r="Y22" s="466" t="str">
        <f ca="1">IFERROR(VLOOKUP(X22,$G$5:$J$28,3,FALSE),"")</f>
        <v/>
      </c>
      <c r="Z22" s="967"/>
      <c r="AF22" s="453" t="s">
        <v>801</v>
      </c>
      <c r="AG22" s="435" t="str">
        <f>IF(ISBLANK(Z56),"",IF(Z56+AA56&lt;Z58+AA58,X57,X59))</f>
        <v/>
      </c>
      <c r="AH22" s="478" t="str">
        <f t="shared" ca="1" si="7"/>
        <v/>
      </c>
      <c r="AI22" s="474" t="str">
        <f t="shared" ca="1" si="8"/>
        <v/>
      </c>
      <c r="AJ22" s="915" t="str">
        <f t="shared" ca="1" si="9"/>
        <v/>
      </c>
      <c r="AN22" s="494">
        <f>K63</f>
        <v>17</v>
      </c>
      <c r="AO22" s="495" t="str">
        <f ca="1">L64</f>
        <v/>
      </c>
      <c r="AP22" s="784" t="s">
        <v>1326</v>
      </c>
      <c r="AQ22" s="496" t="s">
        <v>793</v>
      </c>
      <c r="AR22" s="494">
        <f>Q63</f>
        <v>17</v>
      </c>
      <c r="AS22" s="495" t="str">
        <f ca="1">R64</f>
        <v/>
      </c>
      <c r="AT22" s="495" t="str">
        <f>AS23</f>
        <v/>
      </c>
      <c r="AU22" s="496" t="s">
        <v>793</v>
      </c>
      <c r="AV22" s="494">
        <f>W63</f>
        <v>1</v>
      </c>
      <c r="AW22" s="495" t="str">
        <f>X64</f>
        <v/>
      </c>
      <c r="AX22" s="495" t="str">
        <f t="shared" ref="AX22" si="52">AW23</f>
        <v/>
      </c>
      <c r="AY22" s="496" t="s">
        <v>793</v>
      </c>
    </row>
    <row r="23" spans="1:51" ht="15.95" customHeight="1" thickBot="1" x14ac:dyDescent="0.25">
      <c r="A23" s="435">
        <v>19</v>
      </c>
      <c r="B23" s="444" t="str">
        <f t="shared" ca="1" si="1"/>
        <v/>
      </c>
      <c r="C23" s="444" t="str">
        <f t="shared" ca="1" si="2"/>
        <v/>
      </c>
      <c r="D23" s="444" t="str">
        <f t="shared" ca="1" si="3"/>
        <v/>
      </c>
      <c r="E23" s="486">
        <f t="shared" ca="1" si="4"/>
        <v>0</v>
      </c>
      <c r="F23" s="489">
        <v>29</v>
      </c>
      <c r="G23" s="488" t="str">
        <f t="shared" ca="1" si="5"/>
        <v/>
      </c>
      <c r="H23" s="898" t="str">
        <f t="shared" ca="1" si="6"/>
        <v/>
      </c>
      <c r="I23" s="898" t="str">
        <f t="shared" ca="1" si="6"/>
        <v/>
      </c>
      <c r="J23" s="898" t="str">
        <f t="shared" ca="1" si="6"/>
        <v/>
      </c>
      <c r="K23" s="447">
        <f>K21+1</f>
        <v>6</v>
      </c>
      <c r="L23" s="472">
        <v>6</v>
      </c>
      <c r="M23" s="465" t="str">
        <f ca="1">IFERROR(VLOOKUP(L24,$G$5:$J$28,2,FALSE),"")</f>
        <v/>
      </c>
      <c r="N23" s="966"/>
      <c r="O23" s="780"/>
      <c r="Q23" s="447">
        <f>Q21+1</f>
        <v>6</v>
      </c>
      <c r="R23" s="472">
        <v>5</v>
      </c>
      <c r="S23" s="465" t="str">
        <f ca="1">IFERROR(VLOOKUP(R24,$G$5:$J$28,2,FALSE),"")</f>
        <v/>
      </c>
      <c r="T23" s="966"/>
      <c r="U23" s="780"/>
      <c r="W23" s="447">
        <f>W21+1</f>
        <v>6</v>
      </c>
      <c r="X23" s="472">
        <v>6</v>
      </c>
      <c r="Y23" s="465" t="str">
        <f ca="1">IFERROR(VLOOKUP(X24,$G$5:$J$28,2,FALSE),"")</f>
        <v/>
      </c>
      <c r="Z23" s="966"/>
      <c r="AA23" s="780"/>
      <c r="AF23" s="453" t="s">
        <v>802</v>
      </c>
      <c r="AG23" s="435" t="str">
        <f>IF(ISBLANK(Z63),"",IF(Z63+AA63&gt;Z65+AA65,X64,X66))</f>
        <v/>
      </c>
      <c r="AH23" s="478" t="str">
        <f t="shared" ca="1" si="7"/>
        <v/>
      </c>
      <c r="AI23" s="474" t="str">
        <f t="shared" ca="1" si="8"/>
        <v/>
      </c>
      <c r="AJ23" s="915" t="str">
        <f t="shared" ca="1" si="9"/>
        <v/>
      </c>
      <c r="AN23" s="494">
        <f>K68</f>
        <v>18</v>
      </c>
      <c r="AO23" s="495" t="str">
        <f ca="1">L69</f>
        <v/>
      </c>
      <c r="AP23" s="495" t="str">
        <f ca="1">AO24</f>
        <v/>
      </c>
      <c r="AQ23" s="496" t="s">
        <v>793</v>
      </c>
      <c r="AR23" s="494">
        <f>Q65</f>
        <v>18</v>
      </c>
      <c r="AS23" s="495" t="str">
        <f>R66</f>
        <v/>
      </c>
      <c r="AT23" s="495" t="str">
        <f ca="1">AS22</f>
        <v/>
      </c>
      <c r="AU23" s="496" t="s">
        <v>793</v>
      </c>
      <c r="AV23" s="494">
        <f>W65</f>
        <v>2</v>
      </c>
      <c r="AW23" s="495" t="str">
        <f>X66</f>
        <v/>
      </c>
      <c r="AX23" s="495" t="str">
        <f t="shared" ref="AX23" si="53">AW22</f>
        <v/>
      </c>
      <c r="AY23" s="496" t="s">
        <v>793</v>
      </c>
    </row>
    <row r="24" spans="1:51" ht="15.95" customHeight="1" thickBot="1" x14ac:dyDescent="0.25">
      <c r="A24" s="435">
        <v>20</v>
      </c>
      <c r="B24" s="444" t="str">
        <f t="shared" ca="1" si="1"/>
        <v/>
      </c>
      <c r="C24" s="444" t="str">
        <f t="shared" ca="1" si="2"/>
        <v/>
      </c>
      <c r="D24" s="444" t="str">
        <f t="shared" ca="1" si="3"/>
        <v/>
      </c>
      <c r="E24" s="486">
        <f t="shared" ca="1" si="4"/>
        <v>0</v>
      </c>
      <c r="F24" s="489">
        <v>30</v>
      </c>
      <c r="G24" s="488" t="str">
        <f t="shared" ca="1" si="5"/>
        <v/>
      </c>
      <c r="H24" s="898" t="str">
        <f t="shared" ca="1" si="6"/>
        <v/>
      </c>
      <c r="I24" s="898" t="str">
        <f t="shared" ca="1" si="6"/>
        <v/>
      </c>
      <c r="J24" s="898" t="str">
        <f t="shared" ca="1" si="6"/>
        <v/>
      </c>
      <c r="K24" s="447"/>
      <c r="L24" s="473" t="str">
        <f ca="1">VLOOKUP(L23,$A$5:$G$24,7,FALSE)</f>
        <v/>
      </c>
      <c r="M24" s="466" t="str">
        <f ca="1">IFERROR(VLOOKUP(L24,$G$5:$J$28,3,FALSE),"")</f>
        <v/>
      </c>
      <c r="N24" s="967"/>
      <c r="Q24" s="447"/>
      <c r="R24" s="473" t="str">
        <f>IF(ISBLANK(N14),"",IF(O14+N14&lt;N16+O16,L15,L17))</f>
        <v/>
      </c>
      <c r="S24" s="466" t="str">
        <f ca="1">IFERROR(VLOOKUP(R24,$G$5:$J$28,3,FALSE),"")</f>
        <v/>
      </c>
      <c r="T24" s="967"/>
      <c r="W24" s="447"/>
      <c r="X24" s="473" t="str">
        <f>IF(ISBLANK(T28),"",IF(U28+T28&gt;T30+U30,R29,R31))</f>
        <v/>
      </c>
      <c r="Y24" s="466" t="str">
        <f ca="1">IFERROR(VLOOKUP(X24,$G$5:$J$28,3,FALSE),"")</f>
        <v/>
      </c>
      <c r="Z24" s="967"/>
      <c r="AF24" s="453" t="s">
        <v>803</v>
      </c>
      <c r="AG24" s="435" t="str">
        <f>IF(ISBLANK(Z63),"",IF(Z63+AA63&lt;Z65+AA65,X64,X66))</f>
        <v/>
      </c>
      <c r="AH24" s="478" t="str">
        <f t="shared" ca="1" si="7"/>
        <v/>
      </c>
      <c r="AI24" s="474" t="str">
        <f t="shared" ca="1" si="8"/>
        <v/>
      </c>
      <c r="AJ24" s="915" t="str">
        <f t="shared" ca="1" si="9"/>
        <v/>
      </c>
      <c r="AN24" s="494">
        <f>K70</f>
        <v>19</v>
      </c>
      <c r="AO24" s="495" t="str">
        <f ca="1">L71</f>
        <v/>
      </c>
      <c r="AP24" s="495" t="str">
        <f ca="1">AO23</f>
        <v/>
      </c>
      <c r="AQ24" s="496" t="s">
        <v>793</v>
      </c>
      <c r="AR24" s="494">
        <f>Q69</f>
        <v>19</v>
      </c>
      <c r="AS24" s="495" t="str">
        <f>R70</f>
        <v/>
      </c>
      <c r="AT24" s="495" t="str">
        <f>AS25</f>
        <v/>
      </c>
      <c r="AU24" s="496" t="s">
        <v>793</v>
      </c>
      <c r="AV24" s="494">
        <f>W70</f>
        <v>3</v>
      </c>
      <c r="AW24" s="495" t="str">
        <f>X71</f>
        <v/>
      </c>
      <c r="AX24" s="495" t="str">
        <f t="shared" ref="AX24" si="54">AW25</f>
        <v/>
      </c>
      <c r="AY24" s="496" t="s">
        <v>793</v>
      </c>
    </row>
    <row r="25" spans="1:51" ht="15.95" customHeight="1" x14ac:dyDescent="0.2">
      <c r="A25" s="435">
        <v>21</v>
      </c>
      <c r="B25" s="444" t="str">
        <f t="shared" ca="1" si="1"/>
        <v/>
      </c>
      <c r="C25" s="444" t="str">
        <f t="shared" ca="1" si="2"/>
        <v/>
      </c>
      <c r="D25" s="444" t="str">
        <f t="shared" ca="1" si="3"/>
        <v/>
      </c>
      <c r="E25" s="486">
        <f t="shared" ca="1" si="4"/>
        <v>0</v>
      </c>
      <c r="F25" s="489">
        <v>31</v>
      </c>
      <c r="G25" s="488" t="str">
        <f t="shared" ca="1" si="5"/>
        <v/>
      </c>
      <c r="H25" s="898" t="str">
        <f t="shared" ca="1" si="6"/>
        <v/>
      </c>
      <c r="I25" s="898" t="str">
        <f t="shared" ca="1" si="6"/>
        <v/>
      </c>
      <c r="J25" s="898" t="str">
        <f t="shared" ca="1" si="6"/>
        <v/>
      </c>
      <c r="K25" s="447"/>
      <c r="L25" s="441"/>
      <c r="M25" s="441"/>
      <c r="Q25" s="447"/>
      <c r="R25" s="437"/>
      <c r="S25" s="437"/>
      <c r="T25" s="451"/>
      <c r="W25" s="447"/>
      <c r="X25" s="441"/>
      <c r="Y25" s="441"/>
      <c r="AF25" s="453" t="s">
        <v>804</v>
      </c>
      <c r="AG25" s="435" t="str">
        <f>IF(ISBLANK(Z70),"",IF(Z70+AA70&gt;Z72+AA72,X71,X73))</f>
        <v/>
      </c>
      <c r="AH25" s="478" t="str">
        <f t="shared" ca="1" si="7"/>
        <v/>
      </c>
      <c r="AI25" s="474" t="str">
        <f t="shared" ca="1" si="8"/>
        <v/>
      </c>
      <c r="AJ25" s="915" t="str">
        <f t="shared" ca="1" si="9"/>
        <v/>
      </c>
      <c r="AN25" s="494">
        <f>K75</f>
        <v>20</v>
      </c>
      <c r="AO25" s="495" t="str">
        <f ca="1">L76</f>
        <v/>
      </c>
      <c r="AP25" s="495" t="str">
        <f ca="1">AO26</f>
        <v/>
      </c>
      <c r="AQ25" s="496" t="s">
        <v>793</v>
      </c>
      <c r="AR25" s="494">
        <f>Q71</f>
        <v>20</v>
      </c>
      <c r="AS25" s="495" t="str">
        <f>R72</f>
        <v/>
      </c>
      <c r="AT25" s="495" t="str">
        <f>AS24</f>
        <v/>
      </c>
      <c r="AU25" s="496" t="s">
        <v>793</v>
      </c>
      <c r="AV25" s="494">
        <f>W72</f>
        <v>4</v>
      </c>
      <c r="AW25" s="495" t="str">
        <f>X73</f>
        <v/>
      </c>
      <c r="AX25" s="495" t="str">
        <f t="shared" ref="AX25" si="55">AW24</f>
        <v/>
      </c>
      <c r="AY25" s="496" t="s">
        <v>793</v>
      </c>
    </row>
    <row r="26" spans="1:51" ht="15.95" customHeight="1" thickBot="1" x14ac:dyDescent="0.25">
      <c r="A26" s="435">
        <v>22</v>
      </c>
      <c r="B26" s="444" t="str">
        <f t="shared" ca="1" si="1"/>
        <v/>
      </c>
      <c r="C26" s="444" t="str">
        <f t="shared" ca="1" si="2"/>
        <v/>
      </c>
      <c r="D26" s="444" t="str">
        <f t="shared" ca="1" si="3"/>
        <v/>
      </c>
      <c r="E26" s="486">
        <f t="shared" ca="1" si="4"/>
        <v>0</v>
      </c>
      <c r="F26" s="489">
        <v>32</v>
      </c>
      <c r="G26" s="488" t="str">
        <f t="shared" ca="1" si="5"/>
        <v/>
      </c>
      <c r="H26" s="898" t="str">
        <f t="shared" ca="1" si="6"/>
        <v/>
      </c>
      <c r="I26" s="898" t="str">
        <f t="shared" ca="1" si="6"/>
        <v/>
      </c>
      <c r="J26" s="898" t="str">
        <f t="shared" ca="1" si="6"/>
        <v/>
      </c>
      <c r="K26" s="450"/>
      <c r="L26" s="450"/>
      <c r="M26" s="450"/>
      <c r="N26" s="451"/>
      <c r="O26" s="450"/>
      <c r="P26" s="450"/>
      <c r="Q26" s="450"/>
      <c r="R26" s="437"/>
      <c r="S26" s="437"/>
      <c r="T26" s="451"/>
      <c r="U26" s="450"/>
      <c r="V26" s="450"/>
      <c r="W26" s="450"/>
      <c r="X26" s="979" t="s">
        <v>821</v>
      </c>
      <c r="Y26" s="1247"/>
      <c r="Z26" s="1247"/>
      <c r="AA26" s="450"/>
      <c r="AF26" s="453" t="s">
        <v>805</v>
      </c>
      <c r="AG26" s="435" t="str">
        <f>IF(ISBLANK(Z70),"",IF(Z70+AA70&lt;Z72+AA72,X71,X73))</f>
        <v/>
      </c>
      <c r="AH26" s="478" t="str">
        <f t="shared" ca="1" si="7"/>
        <v/>
      </c>
      <c r="AI26" s="474" t="str">
        <f t="shared" ca="1" si="8"/>
        <v/>
      </c>
      <c r="AJ26" s="915" t="str">
        <f t="shared" ca="1" si="9"/>
        <v/>
      </c>
      <c r="AN26" s="494">
        <f>K77</f>
        <v>21</v>
      </c>
      <c r="AO26" s="495" t="str">
        <f ca="1">L78</f>
        <v/>
      </c>
      <c r="AP26" s="495" t="str">
        <f ca="1">AO25</f>
        <v/>
      </c>
      <c r="AQ26" s="496"/>
      <c r="AR26" s="494">
        <f>Q76</f>
        <v>21</v>
      </c>
      <c r="AS26" s="495" t="str">
        <f>R77</f>
        <v/>
      </c>
      <c r="AT26" s="784" t="s">
        <v>1326</v>
      </c>
      <c r="AU26" s="496"/>
      <c r="AV26" s="494">
        <f>W77</f>
        <v>5</v>
      </c>
      <c r="AW26" s="495" t="str">
        <f>X78</f>
        <v/>
      </c>
      <c r="AX26" s="495" t="str">
        <f t="shared" ref="AX26" si="56">AW27</f>
        <v/>
      </c>
      <c r="AY26" s="496"/>
    </row>
    <row r="27" spans="1:51" ht="15.95" customHeight="1" thickBot="1" x14ac:dyDescent="0.25">
      <c r="A27" s="435">
        <v>23</v>
      </c>
      <c r="B27" s="444" t="str">
        <f t="shared" ca="1" si="1"/>
        <v/>
      </c>
      <c r="C27" s="444" t="str">
        <f t="shared" ca="1" si="2"/>
        <v/>
      </c>
      <c r="D27" s="444" t="str">
        <f t="shared" ca="1" si="3"/>
        <v/>
      </c>
      <c r="E27" s="486">
        <f t="shared" ca="1" si="4"/>
        <v>0</v>
      </c>
      <c r="F27" s="489">
        <v>33</v>
      </c>
      <c r="G27" s="488" t="str">
        <f t="shared" ca="1" si="5"/>
        <v/>
      </c>
      <c r="H27" s="898" t="str">
        <f t="shared" ca="1" si="6"/>
        <v/>
      </c>
      <c r="I27" s="898" t="str">
        <f t="shared" ca="1" si="6"/>
        <v/>
      </c>
      <c r="J27" s="898" t="str">
        <f t="shared" ca="1" si="6"/>
        <v/>
      </c>
      <c r="K27" s="445" t="s">
        <v>779</v>
      </c>
      <c r="L27" s="779" t="s">
        <v>1083</v>
      </c>
      <c r="M27" s="456" t="s">
        <v>481</v>
      </c>
      <c r="N27" s="464" t="s">
        <v>780</v>
      </c>
      <c r="O27" s="446" t="s">
        <v>781</v>
      </c>
      <c r="P27" s="445"/>
      <c r="Q27" s="445" t="s">
        <v>779</v>
      </c>
      <c r="R27" s="779" t="s">
        <v>1083</v>
      </c>
      <c r="S27" s="456" t="s">
        <v>481</v>
      </c>
      <c r="T27" s="464" t="s">
        <v>780</v>
      </c>
      <c r="U27" s="446" t="s">
        <v>781</v>
      </c>
      <c r="V27" s="445"/>
      <c r="W27" s="445" t="s">
        <v>779</v>
      </c>
      <c r="X27" s="779" t="s">
        <v>1083</v>
      </c>
      <c r="Y27" s="456" t="s">
        <v>481</v>
      </c>
      <c r="Z27" s="464" t="s">
        <v>780</v>
      </c>
      <c r="AA27" s="446" t="s">
        <v>781</v>
      </c>
      <c r="AF27" s="453" t="s">
        <v>806</v>
      </c>
      <c r="AG27" s="435" t="str">
        <f>IF(ISBLANK(Z77),"",IF(Z77+AA77&gt;Z79+AA79,X78,X80))</f>
        <v/>
      </c>
      <c r="AH27" s="478" t="str">
        <f t="shared" ca="1" si="7"/>
        <v/>
      </c>
      <c r="AI27" s="474" t="str">
        <f t="shared" ca="1" si="8"/>
        <v/>
      </c>
      <c r="AJ27" s="915" t="str">
        <f t="shared" ca="1" si="9"/>
        <v/>
      </c>
      <c r="AN27" s="494">
        <f>K82</f>
        <v>22</v>
      </c>
      <c r="AO27" s="495" t="str">
        <f ca="1">L83</f>
        <v/>
      </c>
      <c r="AP27" s="495" t="str">
        <f ca="1">AO28</f>
        <v/>
      </c>
      <c r="AQ27" s="496"/>
      <c r="AR27" s="494">
        <f>Q81</f>
        <v>22</v>
      </c>
      <c r="AS27" s="495" t="str">
        <f>R82</f>
        <v/>
      </c>
      <c r="AT27" s="495" t="str">
        <f>AS28</f>
        <v/>
      </c>
      <c r="AU27" s="496"/>
      <c r="AV27" s="494">
        <f>W79</f>
        <v>6</v>
      </c>
      <c r="AW27" s="495" t="str">
        <f>X80</f>
        <v/>
      </c>
      <c r="AX27" s="495" t="str">
        <f t="shared" ref="AX27" si="57">AW26</f>
        <v/>
      </c>
      <c r="AY27" s="496"/>
    </row>
    <row r="28" spans="1:51" ht="15.95" customHeight="1" thickBot="1" x14ac:dyDescent="0.25">
      <c r="A28" s="435">
        <v>24</v>
      </c>
      <c r="B28" s="444" t="str">
        <f t="shared" ca="1" si="1"/>
        <v/>
      </c>
      <c r="C28" s="444" t="str">
        <f t="shared" ca="1" si="2"/>
        <v/>
      </c>
      <c r="D28" s="444" t="str">
        <f t="shared" ca="1" si="3"/>
        <v/>
      </c>
      <c r="E28" s="486">
        <f t="shared" ca="1" si="4"/>
        <v>0</v>
      </c>
      <c r="F28" s="489">
        <v>34</v>
      </c>
      <c r="G28" s="488" t="str">
        <f t="shared" ca="1" si="5"/>
        <v/>
      </c>
      <c r="H28" s="898" t="str">
        <f t="shared" ca="1" si="6"/>
        <v/>
      </c>
      <c r="I28" s="898" t="str">
        <f t="shared" ca="1" si="6"/>
        <v/>
      </c>
      <c r="J28" s="898" t="str">
        <f t="shared" ca="1" si="6"/>
        <v/>
      </c>
      <c r="K28" s="447">
        <f>K23+1</f>
        <v>7</v>
      </c>
      <c r="L28" s="472">
        <v>2</v>
      </c>
      <c r="M28" s="465" t="str">
        <f ca="1">IFERROR(VLOOKUP(L29,$G$5:$J$28,2,FALSE),"")</f>
        <v/>
      </c>
      <c r="N28" s="966"/>
      <c r="O28" s="780"/>
      <c r="Q28" s="447">
        <f>Q23+1</f>
        <v>7</v>
      </c>
      <c r="R28" s="472">
        <v>6</v>
      </c>
      <c r="S28" s="465" t="str">
        <f ca="1">IFERROR(VLOOKUP(R29,$G$5:$J$28,2,FALSE),"")</f>
        <v/>
      </c>
      <c r="T28" s="966"/>
      <c r="U28" s="780"/>
      <c r="W28" s="447">
        <f>W23+1</f>
        <v>7</v>
      </c>
      <c r="X28" s="472">
        <v>8</v>
      </c>
      <c r="Y28" s="465" t="str">
        <f ca="1">IFERROR(VLOOKUP(X29,$G$5:$J$28,2,FALSE),"")</f>
        <v/>
      </c>
      <c r="Z28" s="966"/>
      <c r="AA28" s="780"/>
      <c r="AF28" s="453" t="s">
        <v>807</v>
      </c>
      <c r="AG28" s="435" t="str">
        <f>IF(ISBLANK(Z77),"",IF(Z77+AA77&lt;Z79+AA79,X78,X80))</f>
        <v/>
      </c>
      <c r="AH28" s="478" t="str">
        <f t="shared" ca="1" si="7"/>
        <v/>
      </c>
      <c r="AI28" s="474" t="str">
        <f t="shared" ca="1" si="8"/>
        <v/>
      </c>
      <c r="AJ28" s="915" t="str">
        <f t="shared" ca="1" si="9"/>
        <v/>
      </c>
      <c r="AN28" s="494">
        <f>K84</f>
        <v>23</v>
      </c>
      <c r="AO28" s="495" t="str">
        <f ca="1">L85</f>
        <v/>
      </c>
      <c r="AP28" s="495" t="str">
        <f ca="1">AO27</f>
        <v/>
      </c>
      <c r="AQ28" s="496"/>
      <c r="AR28" s="494">
        <f>Q83</f>
        <v>23</v>
      </c>
      <c r="AS28" s="495" t="str">
        <f>R84</f>
        <v/>
      </c>
      <c r="AT28" s="495" t="str">
        <f>AS27</f>
        <v/>
      </c>
      <c r="AU28" s="496"/>
      <c r="AV28" s="494">
        <f>W83</f>
        <v>7</v>
      </c>
      <c r="AW28" s="495" t="str">
        <f>X84</f>
        <v/>
      </c>
      <c r="AX28" s="784" t="s">
        <v>1346</v>
      </c>
      <c r="AY28" s="496"/>
    </row>
    <row r="29" spans="1:51" ht="15.95" customHeight="1" thickBot="1" x14ac:dyDescent="0.25">
      <c r="I29" s="437"/>
      <c r="J29" s="437"/>
      <c r="K29" s="447"/>
      <c r="L29" s="473" t="str">
        <f ca="1">VLOOKUP(L28,$A$5:$G$24,7,FALSE)</f>
        <v/>
      </c>
      <c r="M29" s="466" t="str">
        <f ca="1">IFERROR(VLOOKUP(L29,$G$5:$J$28,3,FALSE),"")</f>
        <v/>
      </c>
      <c r="N29" s="967"/>
      <c r="Q29" s="447"/>
      <c r="R29" s="473" t="str">
        <f>IF(ISBLANK(N21),"",IF(N21+O21&lt;N23+O23,L22,L24))</f>
        <v/>
      </c>
      <c r="S29" s="466" t="str">
        <f ca="1">IFERROR(VLOOKUP(R29,$G$5:$J$28,3,FALSE),"")</f>
        <v/>
      </c>
      <c r="T29" s="967"/>
      <c r="W29" s="447"/>
      <c r="X29" s="473" t="str">
        <f>IF(ISBLANK(T21),"",IF(U21+T21&lt;T23+U23,R22,R24))</f>
        <v/>
      </c>
      <c r="Y29" s="466" t="str">
        <f ca="1">IFERROR(VLOOKUP(X29,$G$5:$J$28,3,FALSE),"")</f>
        <v/>
      </c>
      <c r="Z29" s="967"/>
      <c r="AF29" s="453" t="s">
        <v>808</v>
      </c>
      <c r="AG29" s="896" t="str">
        <f>X84</f>
        <v/>
      </c>
      <c r="AH29" s="478" t="str">
        <f t="shared" ca="1" si="7"/>
        <v/>
      </c>
      <c r="AI29" s="474" t="str">
        <f t="shared" ca="1" si="8"/>
        <v/>
      </c>
      <c r="AJ29" s="915" t="str">
        <f t="shared" ca="1" si="9"/>
        <v/>
      </c>
      <c r="AN29" s="494"/>
      <c r="AO29" s="495"/>
      <c r="AP29" s="495"/>
      <c r="AQ29" s="496"/>
      <c r="AR29" s="494"/>
      <c r="AS29" s="495"/>
      <c r="AT29" s="495"/>
      <c r="AU29" s="496"/>
      <c r="AV29" s="494"/>
      <c r="AW29" s="495"/>
      <c r="AX29" s="495"/>
      <c r="AY29" s="496"/>
    </row>
    <row r="30" spans="1:51" ht="15.95" customHeight="1" thickBot="1" x14ac:dyDescent="0.25">
      <c r="I30" s="437"/>
      <c r="J30" s="437"/>
      <c r="K30" s="447">
        <f>K28+1</f>
        <v>8</v>
      </c>
      <c r="L30" s="472">
        <v>7</v>
      </c>
      <c r="M30" s="465" t="str">
        <f ca="1">IFERROR(VLOOKUP(L31,$G$5:$J$28,2,FALSE),"")</f>
        <v/>
      </c>
      <c r="N30" s="966"/>
      <c r="O30" s="780"/>
      <c r="Q30" s="447">
        <f>Q28+1</f>
        <v>8</v>
      </c>
      <c r="R30" s="472">
        <v>7</v>
      </c>
      <c r="S30" s="465" t="str">
        <f ca="1">IFERROR(VLOOKUP(R31,$G$5:$J$28,2,FALSE),"")</f>
        <v/>
      </c>
      <c r="T30" s="966"/>
      <c r="U30" s="780"/>
      <c r="W30" s="447">
        <f>W28+1</f>
        <v>8</v>
      </c>
      <c r="X30" s="472">
        <v>7</v>
      </c>
      <c r="Y30" s="465" t="str">
        <f ca="1">IFERROR(VLOOKUP(X31,$G$5:$J$28,2,FALSE),"")</f>
        <v/>
      </c>
      <c r="Z30" s="966"/>
      <c r="AA30" s="780"/>
      <c r="AF30" s="453" t="s">
        <v>809</v>
      </c>
      <c r="AG30" s="435" t="str">
        <f>IF(ISBLANK(Z84),"",IF(Z84+AA84&lt;Z86+AA86,X85,X87))</f>
        <v/>
      </c>
      <c r="AH30" s="480" t="str">
        <f t="shared" ca="1" si="7"/>
        <v/>
      </c>
      <c r="AI30" s="481" t="str">
        <f t="shared" ca="1" si="8"/>
        <v/>
      </c>
      <c r="AJ30" s="916" t="str">
        <f t="shared" ca="1" si="9"/>
        <v/>
      </c>
    </row>
    <row r="31" spans="1:51" ht="15.95" customHeight="1" thickBot="1" x14ac:dyDescent="0.25">
      <c r="I31" s="437"/>
      <c r="J31" s="437"/>
      <c r="K31" s="447"/>
      <c r="L31" s="473" t="str">
        <f ca="1">VLOOKUP(L30,$A$5:$G$24,7,FALSE)</f>
        <v/>
      </c>
      <c r="M31" s="466" t="str">
        <f ca="1">IFERROR(VLOOKUP(L31,$G$5:$J$28,3,FALSE),"")</f>
        <v/>
      </c>
      <c r="N31" s="967"/>
      <c r="Q31" s="447"/>
      <c r="R31" s="473" t="str">
        <f>IF(ISBLANK(N28),"",IF(N28+O28&lt;N30+O30,L29,L31))</f>
        <v/>
      </c>
      <c r="S31" s="466" t="str">
        <f ca="1">IFERROR(VLOOKUP(R31,$G$5:$J$28,3,FALSE),"")</f>
        <v/>
      </c>
      <c r="T31" s="967"/>
      <c r="W31" s="447"/>
      <c r="X31" s="473" t="str">
        <f>IF(ISBLANK(T28),"",IF(U28+T28&lt;T30+U30,R29,R31))</f>
        <v/>
      </c>
      <c r="Y31" s="466" t="str">
        <f ca="1">IFERROR(VLOOKUP(X31,$G$5:$J$28,3,FALSE),"")</f>
        <v/>
      </c>
      <c r="Z31" s="967"/>
      <c r="AF31" s="453"/>
      <c r="AG31" s="453"/>
    </row>
    <row r="32" spans="1:51" ht="15.95" customHeight="1" x14ac:dyDescent="0.2">
      <c r="I32" s="437"/>
      <c r="J32" s="437"/>
      <c r="K32" s="450"/>
      <c r="L32" s="437"/>
      <c r="M32" s="437"/>
      <c r="N32" s="451"/>
      <c r="O32" s="450"/>
      <c r="P32" s="450"/>
      <c r="Q32" s="450"/>
      <c r="R32" s="437"/>
      <c r="S32" s="437"/>
      <c r="T32" s="451"/>
      <c r="U32" s="450"/>
      <c r="V32" s="450"/>
      <c r="W32" s="450"/>
      <c r="X32" s="437"/>
      <c r="Y32" s="437"/>
      <c r="Z32" s="451"/>
      <c r="AA32" s="450"/>
      <c r="AF32" s="453"/>
      <c r="AG32" s="453"/>
    </row>
    <row r="33" spans="9:33" ht="15.95" customHeight="1" thickBot="1" x14ac:dyDescent="0.25">
      <c r="I33" s="437"/>
      <c r="J33" s="437"/>
      <c r="K33" s="450"/>
      <c r="L33" s="979" t="s">
        <v>822</v>
      </c>
      <c r="M33" s="1247"/>
      <c r="N33" s="1247"/>
      <c r="Q33" s="450"/>
      <c r="R33" s="979" t="s">
        <v>823</v>
      </c>
      <c r="S33" s="1247"/>
      <c r="T33" s="1247"/>
      <c r="U33" s="450"/>
      <c r="V33" s="450"/>
      <c r="W33" s="450"/>
      <c r="X33" s="979" t="s">
        <v>824</v>
      </c>
      <c r="Y33" s="1247"/>
      <c r="Z33" s="1247"/>
      <c r="AF33" s="453"/>
      <c r="AG33" s="453"/>
    </row>
    <row r="34" spans="9:33" ht="15.95" customHeight="1" thickBot="1" x14ac:dyDescent="0.25">
      <c r="I34" s="437"/>
      <c r="J34" s="437"/>
      <c r="K34" s="445" t="s">
        <v>779</v>
      </c>
      <c r="L34" s="779" t="s">
        <v>1083</v>
      </c>
      <c r="M34" s="456" t="s">
        <v>481</v>
      </c>
      <c r="N34" s="464" t="s">
        <v>780</v>
      </c>
      <c r="O34" s="446" t="s">
        <v>781</v>
      </c>
      <c r="P34" s="445"/>
      <c r="Q34" s="445" t="s">
        <v>779</v>
      </c>
      <c r="R34" s="779" t="s">
        <v>1083</v>
      </c>
      <c r="S34" s="456" t="s">
        <v>481</v>
      </c>
      <c r="T34" s="464" t="s">
        <v>780</v>
      </c>
      <c r="U34" s="446" t="s">
        <v>781</v>
      </c>
      <c r="V34" s="445"/>
      <c r="W34" s="445" t="s">
        <v>779</v>
      </c>
      <c r="X34" s="779" t="s">
        <v>1083</v>
      </c>
      <c r="Y34" s="456" t="s">
        <v>481</v>
      </c>
      <c r="Z34" s="464" t="s">
        <v>780</v>
      </c>
      <c r="AA34" s="446" t="s">
        <v>781</v>
      </c>
      <c r="AF34" s="453"/>
      <c r="AG34" s="453"/>
    </row>
    <row r="35" spans="9:33" ht="15.95" customHeight="1" thickBot="1" x14ac:dyDescent="0.25">
      <c r="I35" s="437"/>
      <c r="J35" s="437"/>
      <c r="K35" s="447">
        <f>K30+1</f>
        <v>9</v>
      </c>
      <c r="L35" s="472">
        <v>9</v>
      </c>
      <c r="M35" s="465" t="str">
        <f ca="1">IFERROR(VLOOKUP(L36,$G$5:$J$28,2,FALSE),"")</f>
        <v/>
      </c>
      <c r="N35" s="966"/>
      <c r="O35" s="780"/>
      <c r="Q35" s="447">
        <f>K35</f>
        <v>9</v>
      </c>
      <c r="R35" s="472">
        <v>9</v>
      </c>
      <c r="S35" s="465" t="str">
        <f ca="1">IFERROR(VLOOKUP(R36,$G$5:$J$28,2,FALSE),"")</f>
        <v/>
      </c>
      <c r="T35" s="966"/>
      <c r="U35" s="780"/>
      <c r="W35" s="447">
        <f>Q35</f>
        <v>9</v>
      </c>
      <c r="X35" s="472">
        <v>9</v>
      </c>
      <c r="Y35" s="465" t="str">
        <f ca="1">IFERROR(VLOOKUP(X36,$G$5:$J$28,2,FALSE),"")</f>
        <v/>
      </c>
      <c r="Z35" s="966"/>
      <c r="AA35" s="780"/>
      <c r="AF35" s="453"/>
      <c r="AG35" s="453"/>
    </row>
    <row r="36" spans="9:33" ht="15.95" customHeight="1" thickBot="1" x14ac:dyDescent="0.25">
      <c r="I36" s="437"/>
      <c r="J36" s="437"/>
      <c r="K36" s="447"/>
      <c r="L36" s="473" t="str">
        <f ca="1">VLOOKUP(L35,$A$5:$G$28,7,FALSE)</f>
        <v/>
      </c>
      <c r="M36" s="466" t="str">
        <f ca="1">IFERROR(VLOOKUP(L36,$G$5:$J$28,3,FALSE),"")</f>
        <v/>
      </c>
      <c r="N36" s="967"/>
      <c r="Q36" s="447"/>
      <c r="R36" s="473" t="str">
        <f>IF(ISBLANK(N35),"",IF(O35+N35&gt;N37+O37,L36,L38))</f>
        <v/>
      </c>
      <c r="S36" s="466" t="str">
        <f ca="1">IFERROR(VLOOKUP(R36,$G$5:$J$28,3,FALSE),"")</f>
        <v/>
      </c>
      <c r="T36" s="967"/>
      <c r="W36" s="447"/>
      <c r="X36" s="473" t="str">
        <f>IF(ISBLANK(T35),"",IF(U35+T35&gt;T37+U37,R36,R38))</f>
        <v/>
      </c>
      <c r="Y36" s="466" t="str">
        <f ca="1">IFERROR(VLOOKUP(X36,$G$5:$J$28,3,FALSE),"")</f>
        <v/>
      </c>
      <c r="Z36" s="967"/>
      <c r="AF36" s="453"/>
      <c r="AG36" s="453"/>
    </row>
    <row r="37" spans="9:33" ht="15.95" customHeight="1" thickBot="1" x14ac:dyDescent="0.25">
      <c r="I37" s="437"/>
      <c r="J37" s="437"/>
      <c r="K37" s="447">
        <f>K35+1</f>
        <v>10</v>
      </c>
      <c r="L37" s="472">
        <v>16</v>
      </c>
      <c r="M37" s="465" t="str">
        <f ca="1">IFERROR(VLOOKUP(L38,$G$5:$J$28,2,FALSE),"")</f>
        <v/>
      </c>
      <c r="N37" s="966"/>
      <c r="O37" s="780"/>
      <c r="Q37" s="447">
        <f>Q35+1</f>
        <v>10</v>
      </c>
      <c r="R37" s="472">
        <v>12</v>
      </c>
      <c r="S37" s="465" t="str">
        <f ca="1">IFERROR(VLOOKUP(R38,$G$5:$J$28,2,FALSE),"")</f>
        <v/>
      </c>
      <c r="T37" s="966"/>
      <c r="U37" s="780"/>
      <c r="W37" s="447">
        <f>W35+1</f>
        <v>10</v>
      </c>
      <c r="X37" s="472">
        <v>10</v>
      </c>
      <c r="Y37" s="465" t="str">
        <f ca="1">IFERROR(VLOOKUP(X38,$G$5:$J$28,2,FALSE),"")</f>
        <v/>
      </c>
      <c r="Z37" s="966"/>
      <c r="AA37" s="780"/>
      <c r="AF37" s="453"/>
      <c r="AG37" s="453"/>
    </row>
    <row r="38" spans="9:33" ht="15.95" customHeight="1" thickBot="1" x14ac:dyDescent="0.25">
      <c r="I38" s="437"/>
      <c r="J38" s="437"/>
      <c r="K38" s="447"/>
      <c r="L38" s="473" t="str">
        <f ca="1">VLOOKUP(L37,$A$5:$G$28,7,FALSE)</f>
        <v/>
      </c>
      <c r="M38" s="466" t="str">
        <f ca="1">IFERROR(VLOOKUP(L38,$G$5:$J$28,3,FALSE),"")</f>
        <v/>
      </c>
      <c r="N38" s="967"/>
      <c r="Q38" s="447"/>
      <c r="R38" s="473" t="str">
        <f>IF(ISBLANK(N42),"",IF(O42+N42&gt;N44+O44,L43,L45))</f>
        <v/>
      </c>
      <c r="S38" s="466" t="str">
        <f ca="1">IFERROR(VLOOKUP(R38,$G$5:$J$28,3,FALSE),"")</f>
        <v/>
      </c>
      <c r="T38" s="967"/>
      <c r="W38" s="447"/>
      <c r="X38" s="473" t="str">
        <f>IF(ISBLANK(T42),"",IF(U42+T42&gt;T44+U44,R43,R45))</f>
        <v/>
      </c>
      <c r="Y38" s="466" t="str">
        <f ca="1">IFERROR(VLOOKUP(X38,$G$5:$J$28,3,FALSE),"")</f>
        <v/>
      </c>
      <c r="Z38" s="967"/>
      <c r="AF38" s="453"/>
      <c r="AG38" s="453"/>
    </row>
    <row r="39" spans="9:33" ht="15.95" customHeight="1" x14ac:dyDescent="0.2">
      <c r="I39" s="437"/>
      <c r="J39" s="437"/>
      <c r="K39" s="450"/>
      <c r="L39" s="450"/>
      <c r="M39" s="450"/>
      <c r="N39" s="451"/>
      <c r="O39" s="450"/>
      <c r="P39" s="450"/>
      <c r="Q39" s="450"/>
      <c r="R39" s="437"/>
      <c r="S39" s="437"/>
      <c r="T39" s="451"/>
      <c r="U39" s="450"/>
      <c r="V39" s="450"/>
      <c r="W39" s="450"/>
      <c r="X39" s="450"/>
      <c r="Y39" s="450"/>
      <c r="Z39" s="451"/>
      <c r="AA39" s="450"/>
      <c r="AF39" s="453"/>
      <c r="AG39" s="453"/>
    </row>
    <row r="40" spans="9:33" ht="15.95" customHeight="1" thickBot="1" x14ac:dyDescent="0.25">
      <c r="I40" s="437"/>
      <c r="J40" s="437"/>
      <c r="K40" s="450"/>
      <c r="L40" s="450"/>
      <c r="M40" s="450"/>
      <c r="N40" s="451"/>
      <c r="O40" s="450"/>
      <c r="P40" s="450"/>
      <c r="Q40" s="450"/>
      <c r="R40" s="437"/>
      <c r="S40" s="437"/>
      <c r="T40" s="451"/>
      <c r="U40" s="450"/>
      <c r="V40" s="450"/>
      <c r="W40" s="450"/>
      <c r="X40" s="979" t="s">
        <v>825</v>
      </c>
      <c r="Y40" s="1247"/>
      <c r="Z40" s="1247"/>
      <c r="AA40" s="450"/>
      <c r="AF40" s="453"/>
      <c r="AG40" s="453"/>
    </row>
    <row r="41" spans="9:33" ht="15.95" customHeight="1" thickBot="1" x14ac:dyDescent="0.25">
      <c r="I41" s="437"/>
      <c r="J41" s="437"/>
      <c r="K41" s="445" t="s">
        <v>779</v>
      </c>
      <c r="L41" s="779" t="s">
        <v>1083</v>
      </c>
      <c r="M41" s="456" t="s">
        <v>481</v>
      </c>
      <c r="N41" s="464" t="s">
        <v>780</v>
      </c>
      <c r="O41" s="446" t="s">
        <v>781</v>
      </c>
      <c r="P41" s="445"/>
      <c r="Q41" s="445" t="s">
        <v>779</v>
      </c>
      <c r="R41" s="779" t="s">
        <v>1083</v>
      </c>
      <c r="S41" s="456" t="s">
        <v>481</v>
      </c>
      <c r="T41" s="464" t="s">
        <v>780</v>
      </c>
      <c r="U41" s="446" t="s">
        <v>781</v>
      </c>
      <c r="V41" s="445"/>
      <c r="W41" s="445" t="s">
        <v>779</v>
      </c>
      <c r="X41" s="779" t="s">
        <v>1083</v>
      </c>
      <c r="Y41" s="456" t="s">
        <v>481</v>
      </c>
      <c r="Z41" s="464" t="s">
        <v>780</v>
      </c>
      <c r="AA41" s="446" t="s">
        <v>781</v>
      </c>
      <c r="AF41" s="453"/>
      <c r="AG41" s="453"/>
    </row>
    <row r="42" spans="9:33" ht="15.95" customHeight="1" thickBot="1" x14ac:dyDescent="0.25">
      <c r="I42" s="437"/>
      <c r="J42" s="437"/>
      <c r="K42" s="447">
        <f>K37+1</f>
        <v>11</v>
      </c>
      <c r="L42" s="472">
        <v>12</v>
      </c>
      <c r="M42" s="465" t="str">
        <f ca="1">IFERROR(VLOOKUP(L43,$G$5:$J$28,2,FALSE),"")</f>
        <v/>
      </c>
      <c r="N42" s="966"/>
      <c r="O42" s="780"/>
      <c r="Q42" s="447">
        <f>Q37+1</f>
        <v>11</v>
      </c>
      <c r="R42" s="472">
        <v>11</v>
      </c>
      <c r="S42" s="465" t="str">
        <f ca="1">IFERROR(VLOOKUP(R43,$G$5:$J$28,2,FALSE),"")</f>
        <v/>
      </c>
      <c r="T42" s="966"/>
      <c r="U42" s="780"/>
      <c r="W42" s="447">
        <f>W37+1</f>
        <v>11</v>
      </c>
      <c r="X42" s="472">
        <v>12</v>
      </c>
      <c r="Y42" s="465" t="str">
        <f ca="1">IFERROR(VLOOKUP(X43,$G$5:$J$28,2,FALSE),"")</f>
        <v/>
      </c>
      <c r="Z42" s="966"/>
      <c r="AA42" s="780"/>
      <c r="AF42" s="453"/>
      <c r="AG42" s="453"/>
    </row>
    <row r="43" spans="9:33" ht="15.95" customHeight="1" thickBot="1" x14ac:dyDescent="0.25">
      <c r="I43" s="437"/>
      <c r="J43" s="437"/>
      <c r="K43" s="447"/>
      <c r="L43" s="473" t="str">
        <f ca="1">VLOOKUP(L42,$A$5:$G$28,7,FALSE)</f>
        <v/>
      </c>
      <c r="M43" s="466" t="str">
        <f ca="1">IFERROR(VLOOKUP(L43,$G$5:$J$28,3,FALSE),"")</f>
        <v/>
      </c>
      <c r="N43" s="967"/>
      <c r="Q43" s="447"/>
      <c r="R43" s="473" t="str">
        <f>IF(ISBLANK(N49),"",IF(N49+O49&gt;N51+O51,L50,L52))</f>
        <v/>
      </c>
      <c r="S43" s="466" t="str">
        <f ca="1">IFERROR(VLOOKUP(R43,$G$5:$J$28,3,FALSE),"")</f>
        <v/>
      </c>
      <c r="T43" s="967"/>
      <c r="W43" s="447"/>
      <c r="X43" s="473" t="str">
        <f>IF(ISBLANK(T35),"",IF(U35+T35&lt;T37+U37,R36,R38))</f>
        <v/>
      </c>
      <c r="Y43" s="466" t="str">
        <f ca="1">IFERROR(VLOOKUP(X43,$G$5:$J$28,3,FALSE),"")</f>
        <v/>
      </c>
      <c r="Z43" s="967"/>
      <c r="AF43" s="453"/>
      <c r="AG43" s="453"/>
    </row>
    <row r="44" spans="9:33" ht="15.95" customHeight="1" thickBot="1" x14ac:dyDescent="0.25">
      <c r="I44" s="437"/>
      <c r="J44" s="437"/>
      <c r="K44" s="447">
        <f>K42+1</f>
        <v>12</v>
      </c>
      <c r="L44" s="472">
        <v>13</v>
      </c>
      <c r="M44" s="465" t="str">
        <f ca="1">IFERROR(VLOOKUP(L45,$G$5:$J$28,2,FALSE),"")</f>
        <v/>
      </c>
      <c r="N44" s="966"/>
      <c r="O44" s="780"/>
      <c r="Q44" s="447">
        <f>Q42+1</f>
        <v>12</v>
      </c>
      <c r="R44" s="472">
        <v>10</v>
      </c>
      <c r="S44" s="465" t="str">
        <f ca="1">IFERROR(VLOOKUP(R45,$G$5:$J$28,2,FALSE),"")</f>
        <v/>
      </c>
      <c r="T44" s="966"/>
      <c r="U44" s="780"/>
      <c r="W44" s="447">
        <f>W42+1</f>
        <v>12</v>
      </c>
      <c r="X44" s="472">
        <v>11</v>
      </c>
      <c r="Y44" s="465" t="str">
        <f ca="1">IFERROR(VLOOKUP(X45,$G$5:$J$28,2,FALSE),"")</f>
        <v/>
      </c>
      <c r="Z44" s="966"/>
      <c r="AA44" s="780"/>
      <c r="AF44" s="453"/>
      <c r="AG44" s="453"/>
    </row>
    <row r="45" spans="9:33" ht="15.95" customHeight="1" thickBot="1" x14ac:dyDescent="0.25">
      <c r="I45" s="437"/>
      <c r="J45" s="437"/>
      <c r="K45" s="447"/>
      <c r="L45" s="473" t="str">
        <f ca="1">VLOOKUP(L44,$A$5:$G$28,7,FALSE)</f>
        <v/>
      </c>
      <c r="M45" s="466" t="str">
        <f ca="1">IFERROR(VLOOKUP(L45,$G$5:$J$28,3,FALSE),"")</f>
        <v/>
      </c>
      <c r="N45" s="967"/>
      <c r="Q45" s="447"/>
      <c r="R45" s="473" t="str">
        <f>IF(ISBLANK(N56),"",IF(N56+O56&gt;N58+O58,L57,L59))</f>
        <v/>
      </c>
      <c r="S45" s="466" t="str">
        <f ca="1">IFERROR(VLOOKUP(R45,$G$5:$J$28,3,FALSE),"")</f>
        <v/>
      </c>
      <c r="T45" s="967"/>
      <c r="W45" s="447"/>
      <c r="X45" s="473" t="str">
        <f>IF(ISBLANK(T42),"",IF(U42+T42&lt;T44+U44,R43,R45))</f>
        <v/>
      </c>
      <c r="Y45" s="466" t="str">
        <f ca="1">IFERROR(VLOOKUP(X45,$G$5:$J$28,3,FALSE),"")</f>
        <v/>
      </c>
      <c r="Z45" s="967"/>
      <c r="AF45" s="453"/>
      <c r="AG45" s="453"/>
    </row>
    <row r="46" spans="9:33" ht="15.95" customHeight="1" x14ac:dyDescent="0.2">
      <c r="I46" s="437"/>
      <c r="J46" s="437"/>
      <c r="K46" s="450"/>
      <c r="L46" s="450"/>
      <c r="M46" s="450"/>
      <c r="N46" s="451"/>
      <c r="O46" s="450"/>
      <c r="P46" s="450"/>
      <c r="Q46" s="450"/>
      <c r="R46" s="450"/>
      <c r="S46" s="450"/>
      <c r="T46" s="451"/>
      <c r="U46" s="450"/>
      <c r="V46" s="450"/>
      <c r="W46" s="450"/>
      <c r="X46" s="450"/>
      <c r="Y46" s="450"/>
      <c r="Z46" s="451"/>
      <c r="AA46" s="450"/>
      <c r="AF46" s="453"/>
      <c r="AG46" s="453"/>
    </row>
    <row r="47" spans="9:33" ht="15.95" customHeight="1" thickBot="1" x14ac:dyDescent="0.25">
      <c r="I47" s="437"/>
      <c r="J47" s="437"/>
      <c r="K47" s="450"/>
      <c r="L47" s="454"/>
      <c r="M47" s="454"/>
      <c r="N47" s="455"/>
      <c r="O47" s="450"/>
      <c r="P47" s="450"/>
      <c r="Q47" s="450"/>
      <c r="R47" s="979" t="s">
        <v>819</v>
      </c>
      <c r="S47" s="1247"/>
      <c r="T47" s="1247"/>
      <c r="U47" s="450"/>
      <c r="V47" s="450"/>
      <c r="W47" s="450"/>
      <c r="X47" s="979" t="s">
        <v>827</v>
      </c>
      <c r="Y47" s="1247"/>
      <c r="Z47" s="1247"/>
      <c r="AA47" s="450"/>
      <c r="AF47" s="453"/>
      <c r="AG47" s="453"/>
    </row>
    <row r="48" spans="9:33" ht="15.95" customHeight="1" thickBot="1" x14ac:dyDescent="0.25">
      <c r="I48" s="437"/>
      <c r="J48" s="437"/>
      <c r="K48" s="445" t="s">
        <v>779</v>
      </c>
      <c r="L48" s="779" t="s">
        <v>1083</v>
      </c>
      <c r="M48" s="456" t="s">
        <v>481</v>
      </c>
      <c r="N48" s="464" t="s">
        <v>780</v>
      </c>
      <c r="O48" s="446" t="s">
        <v>781</v>
      </c>
      <c r="P48" s="445"/>
      <c r="Q48" s="445" t="s">
        <v>779</v>
      </c>
      <c r="R48" s="779" t="s">
        <v>1083</v>
      </c>
      <c r="S48" s="456" t="s">
        <v>481</v>
      </c>
      <c r="T48" s="464" t="s">
        <v>780</v>
      </c>
      <c r="U48" s="446" t="s">
        <v>781</v>
      </c>
      <c r="V48" s="445"/>
      <c r="W48" s="445" t="s">
        <v>779</v>
      </c>
      <c r="X48" s="779" t="s">
        <v>1083</v>
      </c>
      <c r="Y48" s="456" t="s">
        <v>481</v>
      </c>
      <c r="Z48" s="464" t="s">
        <v>780</v>
      </c>
      <c r="AA48" s="446" t="s">
        <v>781</v>
      </c>
      <c r="AF48" s="453"/>
      <c r="AG48" s="453"/>
    </row>
    <row r="49" spans="9:33" ht="15.95" customHeight="1" thickBot="1" x14ac:dyDescent="0.25">
      <c r="I49" s="437"/>
      <c r="J49" s="437"/>
      <c r="K49" s="447">
        <f>K44+1</f>
        <v>13</v>
      </c>
      <c r="L49" s="472">
        <v>11</v>
      </c>
      <c r="M49" s="465" t="str">
        <f ca="1">IFERROR(VLOOKUP(L50,$G$5:$J$28,2,FALSE),"")</f>
        <v/>
      </c>
      <c r="N49" s="966"/>
      <c r="O49" s="780"/>
      <c r="Q49" s="447">
        <f>Q44+1</f>
        <v>13</v>
      </c>
      <c r="R49" s="472">
        <v>16</v>
      </c>
      <c r="S49" s="465" t="str">
        <f ca="1">IFERROR(VLOOKUP(R50,$G$5:$J$28,2,FALSE),"")</f>
        <v/>
      </c>
      <c r="T49" s="966"/>
      <c r="U49" s="780"/>
      <c r="W49" s="447">
        <f>W44+1</f>
        <v>13</v>
      </c>
      <c r="X49" s="472">
        <v>13</v>
      </c>
      <c r="Y49" s="465" t="str">
        <f ca="1">IFERROR(VLOOKUP(X50,$G$5:$J$28,2,FALSE),"")</f>
        <v/>
      </c>
      <c r="Z49" s="966"/>
      <c r="AA49" s="780"/>
      <c r="AF49" s="453"/>
      <c r="AG49" s="453"/>
    </row>
    <row r="50" spans="9:33" ht="15.95" customHeight="1" thickBot="1" x14ac:dyDescent="0.25">
      <c r="I50" s="437"/>
      <c r="J50" s="437"/>
      <c r="K50" s="447"/>
      <c r="L50" s="473" t="str">
        <f ca="1">VLOOKUP(L49,$A$5:$G$28,7,FALSE)</f>
        <v/>
      </c>
      <c r="M50" s="466" t="str">
        <f ca="1">IFERROR(VLOOKUP(L50,$G$5:$J$28,3,FALSE),"")</f>
        <v/>
      </c>
      <c r="N50" s="967"/>
      <c r="Q50" s="447"/>
      <c r="R50" s="473" t="str">
        <f>IF(ISBLANK(N35),"",IF(O35+N35&lt;N37+O37,L36,L38))</f>
        <v/>
      </c>
      <c r="S50" s="466" t="str">
        <f ca="1">IFERROR(VLOOKUP(R50,$G$5:$J$28,3,FALSE),"")</f>
        <v/>
      </c>
      <c r="T50" s="967"/>
      <c r="W50" s="447"/>
      <c r="X50" s="473" t="str">
        <f>IF(ISBLANK(T49),"",IF(U49+T49&gt;T51+U51,R50,R52))</f>
        <v/>
      </c>
      <c r="Y50" s="466" t="str">
        <f ca="1">IFERROR(VLOOKUP(X50,$G$5:$J$28,3,FALSE),"")</f>
        <v/>
      </c>
      <c r="Z50" s="967"/>
    </row>
    <row r="51" spans="9:33" ht="15.95" customHeight="1" thickBot="1" x14ac:dyDescent="0.25">
      <c r="I51" s="437"/>
      <c r="J51" s="437"/>
      <c r="K51" s="447">
        <f>K49+1</f>
        <v>14</v>
      </c>
      <c r="L51" s="472">
        <v>14</v>
      </c>
      <c r="M51" s="465" t="str">
        <f ca="1">IFERROR(VLOOKUP(L52,$G$5:$J$28,2,FALSE),"")</f>
        <v/>
      </c>
      <c r="N51" s="966"/>
      <c r="O51" s="780"/>
      <c r="Q51" s="447">
        <f>Q49+1</f>
        <v>14</v>
      </c>
      <c r="R51" s="472">
        <v>13</v>
      </c>
      <c r="S51" s="465" t="str">
        <f ca="1">IFERROR(VLOOKUP(R52,$G$5:$J$28,2,FALSE),"")</f>
        <v/>
      </c>
      <c r="T51" s="966"/>
      <c r="U51" s="780"/>
      <c r="W51" s="447">
        <f>W49+1</f>
        <v>14</v>
      </c>
      <c r="X51" s="472">
        <v>14</v>
      </c>
      <c r="Y51" s="465" t="str">
        <f ca="1">IFERROR(VLOOKUP(X52,$G$5:$J$28,2,FALSE),"")</f>
        <v/>
      </c>
      <c r="Z51" s="966"/>
      <c r="AA51" s="780"/>
    </row>
    <row r="52" spans="9:33" ht="15.95" customHeight="1" thickBot="1" x14ac:dyDescent="0.25">
      <c r="I52" s="437"/>
      <c r="J52" s="437"/>
      <c r="K52" s="447"/>
      <c r="L52" s="473" t="str">
        <f ca="1">VLOOKUP(L51,$A$5:$G$28,7,FALSE)</f>
        <v/>
      </c>
      <c r="M52" s="466" t="str">
        <f ca="1">IFERROR(VLOOKUP(L52,$G$5:$J$28,3,FALSE),"")</f>
        <v/>
      </c>
      <c r="N52" s="967"/>
      <c r="Q52" s="447"/>
      <c r="R52" s="473" t="str">
        <f>IF(ISBLANK(N42),"",IF(O42+N42&lt;N44+O44,L43,L45))</f>
        <v/>
      </c>
      <c r="S52" s="466" t="str">
        <f ca="1">IFERROR(VLOOKUP(R52,$G$5:$J$28,3,FALSE),"")</f>
        <v/>
      </c>
      <c r="T52" s="967"/>
      <c r="W52" s="447"/>
      <c r="X52" s="473" t="str">
        <f>IF(ISBLANK(T56),"",IF(U56+T56&gt;T58+U58,R57,R59))</f>
        <v/>
      </c>
      <c r="Y52" s="466" t="str">
        <f ca="1">IFERROR(VLOOKUP(X52,$G$5:$J$28,3,FALSE),"")</f>
        <v/>
      </c>
      <c r="Z52" s="967"/>
    </row>
    <row r="53" spans="9:33" ht="15.95" customHeight="1" x14ac:dyDescent="0.2">
      <c r="I53" s="437"/>
      <c r="J53" s="437"/>
      <c r="K53" s="447"/>
      <c r="L53" s="441"/>
      <c r="M53" s="441"/>
      <c r="Q53" s="447"/>
      <c r="R53" s="437"/>
      <c r="S53" s="437"/>
      <c r="T53" s="451"/>
      <c r="W53" s="447"/>
      <c r="X53" s="441"/>
      <c r="Y53" s="441"/>
    </row>
    <row r="54" spans="9:33" ht="15.95" customHeight="1" thickBot="1" x14ac:dyDescent="0.25">
      <c r="I54" s="437"/>
      <c r="J54" s="437"/>
      <c r="K54" s="450"/>
      <c r="L54" s="450"/>
      <c r="M54" s="450"/>
      <c r="N54" s="451"/>
      <c r="O54" s="450"/>
      <c r="P54" s="450"/>
      <c r="Q54" s="450"/>
      <c r="R54" s="437"/>
      <c r="S54" s="437"/>
      <c r="T54" s="451"/>
      <c r="U54" s="450"/>
      <c r="V54" s="450"/>
      <c r="W54" s="450"/>
      <c r="X54" s="979" t="s">
        <v>828</v>
      </c>
      <c r="Y54" s="1247"/>
      <c r="Z54" s="1247"/>
      <c r="AA54" s="450"/>
    </row>
    <row r="55" spans="9:33" ht="15.95" customHeight="1" thickBot="1" x14ac:dyDescent="0.25">
      <c r="I55" s="437"/>
      <c r="J55" s="437"/>
      <c r="K55" s="445" t="s">
        <v>779</v>
      </c>
      <c r="L55" s="779" t="s">
        <v>1083</v>
      </c>
      <c r="M55" s="456" t="s">
        <v>481</v>
      </c>
      <c r="N55" s="464" t="s">
        <v>780</v>
      </c>
      <c r="O55" s="446" t="s">
        <v>781</v>
      </c>
      <c r="P55" s="445"/>
      <c r="Q55" s="445" t="s">
        <v>779</v>
      </c>
      <c r="R55" s="779" t="s">
        <v>1083</v>
      </c>
      <c r="S55" s="456" t="s">
        <v>481</v>
      </c>
      <c r="T55" s="464" t="s">
        <v>780</v>
      </c>
      <c r="U55" s="446" t="s">
        <v>781</v>
      </c>
      <c r="V55" s="445"/>
      <c r="W55" s="445" t="s">
        <v>779</v>
      </c>
      <c r="X55" s="779" t="s">
        <v>1083</v>
      </c>
      <c r="Y55" s="456" t="s">
        <v>481</v>
      </c>
      <c r="Z55" s="464" t="s">
        <v>780</v>
      </c>
      <c r="AA55" s="446" t="s">
        <v>781</v>
      </c>
    </row>
    <row r="56" spans="9:33" ht="15.95" customHeight="1" thickBot="1" x14ac:dyDescent="0.25">
      <c r="I56" s="437"/>
      <c r="J56" s="437"/>
      <c r="K56" s="447">
        <f>K51+1</f>
        <v>15</v>
      </c>
      <c r="L56" s="472">
        <v>10</v>
      </c>
      <c r="M56" s="465" t="str">
        <f ca="1">IFERROR(VLOOKUP(L57,$G$5:$J$28,2,FALSE),"")</f>
        <v/>
      </c>
      <c r="N56" s="966"/>
      <c r="O56" s="780"/>
      <c r="Q56" s="447">
        <f>Q51+1</f>
        <v>15</v>
      </c>
      <c r="R56" s="472">
        <v>14</v>
      </c>
      <c r="S56" s="465" t="str">
        <f ca="1">IFERROR(VLOOKUP(R57,$G$5:$J$28,2,FALSE),"")</f>
        <v/>
      </c>
      <c r="T56" s="966"/>
      <c r="U56" s="780"/>
      <c r="W56" s="447">
        <f>W51+1</f>
        <v>15</v>
      </c>
      <c r="X56" s="472">
        <v>16</v>
      </c>
      <c r="Y56" s="465" t="str">
        <f ca="1">IFERROR(VLOOKUP(X57,$G$5:$J$28,2,FALSE),"")</f>
        <v/>
      </c>
      <c r="Z56" s="966"/>
      <c r="AA56" s="780"/>
    </row>
    <row r="57" spans="9:33" ht="15.95" customHeight="1" thickBot="1" x14ac:dyDescent="0.25">
      <c r="I57" s="437"/>
      <c r="J57" s="437"/>
      <c r="K57" s="447"/>
      <c r="L57" s="473" t="str">
        <f ca="1">VLOOKUP(L56,$A$5:$G$28,7,FALSE)</f>
        <v/>
      </c>
      <c r="M57" s="466" t="str">
        <f ca="1">IFERROR(VLOOKUP(L57,$G$5:$J$28,3,FALSE),"")</f>
        <v/>
      </c>
      <c r="N57" s="967"/>
      <c r="Q57" s="447"/>
      <c r="R57" s="473" t="str">
        <f>IF(ISBLANK(N49),"",IF(N49+O49&lt;N51+O51,L50,L52))</f>
        <v/>
      </c>
      <c r="S57" s="466" t="str">
        <f ca="1">IFERROR(VLOOKUP(R57,$G$5:$J$28,3,FALSE),"")</f>
        <v/>
      </c>
      <c r="T57" s="967"/>
      <c r="W57" s="447"/>
      <c r="X57" s="473" t="str">
        <f>IF(ISBLANK(T49),"",IF(U49+T49&lt;T51+U51,R50,R52))</f>
        <v/>
      </c>
      <c r="Y57" s="466" t="str">
        <f ca="1">IFERROR(VLOOKUP(X57,$G$5:$J$28,3,FALSE),"")</f>
        <v/>
      </c>
      <c r="Z57" s="967"/>
    </row>
    <row r="58" spans="9:33" ht="15.95" customHeight="1" thickBot="1" x14ac:dyDescent="0.25">
      <c r="I58" s="437"/>
      <c r="J58" s="437"/>
      <c r="K58" s="447">
        <f>K56+1</f>
        <v>16</v>
      </c>
      <c r="L58" s="472">
        <v>15</v>
      </c>
      <c r="M58" s="465" t="str">
        <f ca="1">IFERROR(VLOOKUP(L59,$G$5:$J$28,2,FALSE),"")</f>
        <v/>
      </c>
      <c r="N58" s="966"/>
      <c r="O58" s="780"/>
      <c r="Q58" s="447">
        <f>Q56+1</f>
        <v>16</v>
      </c>
      <c r="R58" s="472">
        <v>15</v>
      </c>
      <c r="S58" s="465" t="str">
        <f ca="1">IFERROR(VLOOKUP(R59,$G$5:$J$28,2,FALSE),"")</f>
        <v/>
      </c>
      <c r="T58" s="966"/>
      <c r="U58" s="780"/>
      <c r="W58" s="447">
        <f>W56+1</f>
        <v>16</v>
      </c>
      <c r="X58" s="472">
        <v>15</v>
      </c>
      <c r="Y58" s="465" t="str">
        <f ca="1">IFERROR(VLOOKUP(X59,$G$5:$J$28,2,FALSE),"")</f>
        <v/>
      </c>
      <c r="Z58" s="966"/>
      <c r="AA58" s="780"/>
    </row>
    <row r="59" spans="9:33" ht="15.95" customHeight="1" thickBot="1" x14ac:dyDescent="0.25">
      <c r="I59" s="437"/>
      <c r="J59" s="437"/>
      <c r="K59" s="447"/>
      <c r="L59" s="473" t="str">
        <f ca="1">VLOOKUP(L58,$A$5:$G$28,7,FALSE)</f>
        <v/>
      </c>
      <c r="M59" s="466" t="str">
        <f ca="1">IFERROR(VLOOKUP(L59,$G$5:$J$28,3,FALSE),"")</f>
        <v/>
      </c>
      <c r="N59" s="967"/>
      <c r="Q59" s="447"/>
      <c r="R59" s="473" t="str">
        <f>IF(ISBLANK(N56),"",IF(N56+O56&lt;N58+O58,L57,L59))</f>
        <v/>
      </c>
      <c r="S59" s="466" t="str">
        <f ca="1">IFERROR(VLOOKUP(R59,$G$5:$J$28,3,FALSE),"")</f>
        <v/>
      </c>
      <c r="T59" s="967"/>
      <c r="W59" s="447"/>
      <c r="X59" s="473" t="str">
        <f>IF(ISBLANK(T56),"",IF(U56+T56&lt;T58+U58,R57,R59))</f>
        <v/>
      </c>
      <c r="Y59" s="466" t="str">
        <f ca="1">IFERROR(VLOOKUP(X59,$G$5:$J$28,3,FALSE),"")</f>
        <v/>
      </c>
      <c r="Z59" s="967"/>
    </row>
    <row r="60" spans="9:33" ht="15.95" customHeight="1" x14ac:dyDescent="0.2">
      <c r="I60" s="437"/>
      <c r="J60" s="437"/>
      <c r="K60" s="447"/>
      <c r="Q60" s="447"/>
      <c r="W60" s="447"/>
    </row>
    <row r="61" spans="9:33" ht="15.95" customHeight="1" thickBot="1" x14ac:dyDescent="0.25">
      <c r="I61" s="437"/>
      <c r="J61" s="786"/>
      <c r="L61" s="979" t="s">
        <v>1327</v>
      </c>
      <c r="M61" s="1247"/>
      <c r="N61" s="1247"/>
      <c r="O61" s="443"/>
      <c r="P61" s="443"/>
      <c r="R61" s="979" t="s">
        <v>1328</v>
      </c>
      <c r="S61" s="1247"/>
      <c r="T61" s="1247"/>
      <c r="U61" s="443"/>
      <c r="V61" s="443"/>
      <c r="W61" s="445"/>
      <c r="X61" s="979" t="s">
        <v>831</v>
      </c>
      <c r="Y61" s="1247"/>
      <c r="Z61" s="1247"/>
      <c r="AA61" s="443"/>
    </row>
    <row r="62" spans="9:33" ht="15.95" customHeight="1" thickBot="1" x14ac:dyDescent="0.25">
      <c r="I62" s="437"/>
      <c r="J62" s="786"/>
      <c r="K62" s="445" t="s">
        <v>779</v>
      </c>
      <c r="L62" s="779" t="s">
        <v>1083</v>
      </c>
      <c r="M62" s="456" t="s">
        <v>481</v>
      </c>
      <c r="N62" s="464" t="s">
        <v>780</v>
      </c>
      <c r="O62" s="446" t="s">
        <v>781</v>
      </c>
      <c r="P62" s="445"/>
      <c r="Q62" s="445" t="s">
        <v>779</v>
      </c>
      <c r="R62" s="779" t="s">
        <v>1083</v>
      </c>
      <c r="S62" s="456" t="s">
        <v>481</v>
      </c>
      <c r="T62" s="464" t="s">
        <v>780</v>
      </c>
      <c r="U62" s="446" t="s">
        <v>781</v>
      </c>
      <c r="V62" s="445"/>
      <c r="W62" s="445" t="s">
        <v>779</v>
      </c>
      <c r="X62" s="779" t="s">
        <v>1083</v>
      </c>
      <c r="Y62" s="456" t="s">
        <v>481</v>
      </c>
      <c r="Z62" s="464" t="s">
        <v>780</v>
      </c>
      <c r="AA62" s="446" t="s">
        <v>781</v>
      </c>
    </row>
    <row r="63" spans="9:33" ht="15.95" customHeight="1" thickBot="1" x14ac:dyDescent="0.25">
      <c r="I63" s="437"/>
      <c r="J63" s="786"/>
      <c r="K63" s="809">
        <f>K58+1</f>
        <v>17</v>
      </c>
      <c r="L63" s="472">
        <v>17</v>
      </c>
      <c r="M63" s="465" t="str">
        <f ca="1">IFERROR(VLOOKUP(L64,$G$5:$J$28,2,FALSE),"")</f>
        <v/>
      </c>
      <c r="N63" s="966"/>
      <c r="O63" s="780"/>
      <c r="Q63" s="809">
        <f>K63</f>
        <v>17</v>
      </c>
      <c r="R63" s="472">
        <v>17</v>
      </c>
      <c r="S63" s="465" t="str">
        <f ca="1">IFERROR(VLOOKUP(R64,$G$5:$J$28,2,FALSE),"")</f>
        <v/>
      </c>
      <c r="T63" s="966"/>
      <c r="U63" s="780"/>
      <c r="W63" s="809">
        <f>Num_Cible</f>
        <v>1</v>
      </c>
      <c r="X63" s="472">
        <v>17</v>
      </c>
      <c r="Y63" s="465" t="str">
        <f ca="1">IFERROR(VLOOKUP(X64,$G$5:$J$28,2,FALSE),"")</f>
        <v/>
      </c>
      <c r="Z63" s="966"/>
      <c r="AA63" s="780"/>
    </row>
    <row r="64" spans="9:33" ht="15.95" customHeight="1" thickBot="1" x14ac:dyDescent="0.25">
      <c r="I64" s="437"/>
      <c r="J64" s="786"/>
      <c r="K64" s="809"/>
      <c r="L64" s="473" t="str">
        <f ca="1">VLOOKUP(L63,$A$5:$G$28,7,FALSE)</f>
        <v/>
      </c>
      <c r="M64" s="466" t="str">
        <f ca="1">IFERROR(VLOOKUP(L64,$G$5:$J$28,3,FALSE),"")</f>
        <v/>
      </c>
      <c r="N64" s="967"/>
      <c r="O64" s="781"/>
      <c r="Q64" s="809"/>
      <c r="R64" s="473" t="str">
        <f ca="1">L64</f>
        <v/>
      </c>
      <c r="S64" s="466" t="str">
        <f ca="1">IFERROR(VLOOKUP(R64,$G$5:$J$28,3,FALSE),"")</f>
        <v/>
      </c>
      <c r="T64" s="967"/>
      <c r="U64" s="781"/>
      <c r="W64" s="809"/>
      <c r="X64" s="473" t="str">
        <f>IF(ISBLANK(T63),"",IF(U63+T63&gt;T65+U65,R64,R66))</f>
        <v/>
      </c>
      <c r="Y64" s="466" t="str">
        <f ca="1">IFERROR(VLOOKUP(X64,$G$5:$J$28,3,FALSE),"")</f>
        <v/>
      </c>
      <c r="Z64" s="967"/>
    </row>
    <row r="65" spans="9:36" ht="15.95" customHeight="1" thickBot="1" x14ac:dyDescent="0.25">
      <c r="I65" s="437"/>
      <c r="J65" s="786"/>
      <c r="K65" s="450"/>
      <c r="L65" s="516"/>
      <c r="M65" s="516"/>
      <c r="N65" s="457"/>
      <c r="Q65" s="809">
        <f>Q63+1</f>
        <v>18</v>
      </c>
      <c r="R65" s="472">
        <v>21</v>
      </c>
      <c r="S65" s="465" t="str">
        <f ca="1">IFERROR(VLOOKUP(R66,$G$5:$J$28,2,FALSE),"")</f>
        <v/>
      </c>
      <c r="T65" s="966"/>
      <c r="U65" s="780"/>
      <c r="W65" s="809">
        <f>W63+1</f>
        <v>2</v>
      </c>
      <c r="X65" s="472">
        <v>18</v>
      </c>
      <c r="Y65" s="465" t="str">
        <f ca="1">IFERROR(VLOOKUP(X66,$G$5:$J$28,2,FALSE),"")</f>
        <v/>
      </c>
      <c r="Z65" s="966"/>
      <c r="AA65" s="780"/>
      <c r="AH65" s="441"/>
      <c r="AI65" s="441"/>
      <c r="AJ65" s="447"/>
    </row>
    <row r="66" spans="9:36" ht="15.95" customHeight="1" thickBot="1" x14ac:dyDescent="0.25">
      <c r="I66" s="437"/>
      <c r="J66" s="786"/>
      <c r="Q66" s="809"/>
      <c r="R66" s="473" t="str">
        <f>IF(ISBLANK(N68),"",IF(O68+N68&gt;N70+O70,L69,L71))</f>
        <v/>
      </c>
      <c r="S66" s="466" t="str">
        <f ca="1">IFERROR(VLOOKUP(R66,$G$5:$J$28,3,FALSE),"")</f>
        <v/>
      </c>
      <c r="T66" s="967"/>
      <c r="U66" s="781"/>
      <c r="W66" s="809"/>
      <c r="X66" s="473" t="str">
        <f>IF(ISBLANK(T69),"",IF(U69+T69&gt;T71+U71,R70,R72))</f>
        <v/>
      </c>
      <c r="Y66" s="466" t="str">
        <f ca="1">IFERROR(VLOOKUP(X66,$G$5:$J$28,3,FALSE),"")</f>
        <v/>
      </c>
      <c r="Z66" s="967"/>
      <c r="AH66" s="441"/>
      <c r="AI66" s="441"/>
      <c r="AJ66" s="447"/>
    </row>
    <row r="67" spans="9:36" ht="15.95" customHeight="1" thickBot="1" x14ac:dyDescent="0.25">
      <c r="I67" s="437"/>
      <c r="J67" s="786"/>
      <c r="K67" s="445" t="s">
        <v>779</v>
      </c>
      <c r="L67" s="779" t="s">
        <v>1083</v>
      </c>
      <c r="M67" s="456" t="s">
        <v>481</v>
      </c>
      <c r="N67" s="464" t="s">
        <v>780</v>
      </c>
      <c r="O67" s="446" t="s">
        <v>781</v>
      </c>
      <c r="P67" s="450"/>
      <c r="Q67" s="809"/>
      <c r="R67" s="442"/>
      <c r="S67" s="442"/>
      <c r="U67" s="442"/>
      <c r="V67" s="450"/>
      <c r="W67" s="450"/>
      <c r="X67" s="450"/>
      <c r="Y67" s="450"/>
      <c r="Z67" s="451"/>
      <c r="AA67" s="450"/>
      <c r="AH67" s="441"/>
      <c r="AI67" s="441"/>
      <c r="AJ67" s="441"/>
    </row>
    <row r="68" spans="9:36" ht="15.95" customHeight="1" thickBot="1" x14ac:dyDescent="0.25">
      <c r="I68" s="437"/>
      <c r="J68" s="786"/>
      <c r="K68" s="809">
        <f>K63+1</f>
        <v>18</v>
      </c>
      <c r="L68" s="472">
        <v>20</v>
      </c>
      <c r="M68" s="465" t="str">
        <f ca="1">IFERROR(VLOOKUP(L69,$G$5:$J$28,2,FALSE),"")</f>
        <v/>
      </c>
      <c r="N68" s="966"/>
      <c r="O68" s="780"/>
      <c r="P68" s="450"/>
      <c r="Q68" s="445" t="s">
        <v>779</v>
      </c>
      <c r="R68" s="779" t="s">
        <v>1083</v>
      </c>
      <c r="S68" s="456" t="s">
        <v>481</v>
      </c>
      <c r="T68" s="464" t="s">
        <v>780</v>
      </c>
      <c r="U68" s="446" t="s">
        <v>781</v>
      </c>
      <c r="V68" s="450"/>
      <c r="W68" s="450"/>
      <c r="X68" s="979" t="s">
        <v>832</v>
      </c>
      <c r="Y68" s="1247"/>
      <c r="Z68" s="1247"/>
      <c r="AA68" s="450"/>
      <c r="AH68" s="441"/>
      <c r="AI68" s="441"/>
      <c r="AJ68" s="441"/>
    </row>
    <row r="69" spans="9:36" ht="15.95" customHeight="1" thickBot="1" x14ac:dyDescent="0.25">
      <c r="I69" s="437"/>
      <c r="J69" s="786"/>
      <c r="K69" s="809"/>
      <c r="L69" s="473" t="str">
        <f ca="1">VLOOKUP(L68,$A$5:$G$28,7,FALSE)</f>
        <v/>
      </c>
      <c r="M69" s="466" t="str">
        <f ca="1">IFERROR(VLOOKUP(L69,$G$5:$J$28,3,FALSE),"")</f>
        <v/>
      </c>
      <c r="N69" s="967"/>
      <c r="P69" s="445"/>
      <c r="Q69" s="809">
        <f>Q65+1</f>
        <v>19</v>
      </c>
      <c r="R69" s="472">
        <v>18</v>
      </c>
      <c r="S69" s="465" t="str">
        <f ca="1">IFERROR(VLOOKUP(R70,$G$5:$J$28,2,FALSE),"")</f>
        <v/>
      </c>
      <c r="T69" s="966"/>
      <c r="U69" s="780"/>
      <c r="V69" s="445"/>
      <c r="W69" s="445" t="s">
        <v>779</v>
      </c>
      <c r="X69" s="779" t="s">
        <v>1083</v>
      </c>
      <c r="Y69" s="456" t="s">
        <v>481</v>
      </c>
      <c r="Z69" s="464" t="s">
        <v>780</v>
      </c>
      <c r="AA69" s="446" t="s">
        <v>781</v>
      </c>
      <c r="AH69" s="441"/>
      <c r="AI69" s="441"/>
      <c r="AJ69" s="450"/>
    </row>
    <row r="70" spans="9:36" ht="15.95" customHeight="1" thickBot="1" x14ac:dyDescent="0.25">
      <c r="I70" s="437"/>
      <c r="J70" s="786"/>
      <c r="K70" s="809">
        <f>K68+1</f>
        <v>19</v>
      </c>
      <c r="L70" s="472">
        <v>21</v>
      </c>
      <c r="M70" s="465" t="str">
        <f ca="1">IFERROR(VLOOKUP(L71,$G$5:$J$28,2,FALSE),"")</f>
        <v/>
      </c>
      <c r="N70" s="966"/>
      <c r="O70" s="780"/>
      <c r="Q70" s="809"/>
      <c r="R70" s="473" t="str">
        <f>IF(ISBLANK(N82),"",IF(O82+N82&gt;N84+O84,L83,L85))</f>
        <v/>
      </c>
      <c r="S70" s="466" t="str">
        <f ca="1">IFERROR(VLOOKUP(R70,$G$5:$J$28,3,FALSE),"")</f>
        <v/>
      </c>
      <c r="T70" s="967"/>
      <c r="U70" s="781"/>
      <c r="W70" s="809">
        <f>W65+1</f>
        <v>3</v>
      </c>
      <c r="X70" s="472">
        <v>19</v>
      </c>
      <c r="Y70" s="465" t="str">
        <f ca="1">IFERROR(VLOOKUP(X71,$G$5:$J$28,2,FALSE),"")</f>
        <v/>
      </c>
      <c r="Z70" s="966"/>
      <c r="AA70" s="780"/>
      <c r="AH70" s="441"/>
      <c r="AI70" s="441"/>
      <c r="AJ70" s="450"/>
    </row>
    <row r="71" spans="9:36" ht="15.95" customHeight="1" thickBot="1" x14ac:dyDescent="0.25">
      <c r="I71" s="437"/>
      <c r="J71" s="786"/>
      <c r="K71" s="809"/>
      <c r="L71" s="473" t="str">
        <f ca="1">VLOOKUP(L70,$A$5:$G$28,7,FALSE)</f>
        <v/>
      </c>
      <c r="M71" s="466" t="str">
        <f ca="1">IFERROR(VLOOKUP(L71,$G$5:$J$28,3,FALSE),"")</f>
        <v/>
      </c>
      <c r="N71" s="967"/>
      <c r="Q71" s="809">
        <f>Q69+1</f>
        <v>20</v>
      </c>
      <c r="R71" s="472">
        <v>19</v>
      </c>
      <c r="S71" s="465" t="str">
        <f ca="1">IFERROR(VLOOKUP(R72,$G$5:$J$28,2,FALSE),"")</f>
        <v/>
      </c>
      <c r="T71" s="966"/>
      <c r="U71" s="780"/>
      <c r="W71" s="809"/>
      <c r="X71" s="473" t="str">
        <f>IF(ISBLANK(T69),"",IF(U69+T69&lt;T71+U71,R70,R72))</f>
        <v/>
      </c>
      <c r="Y71" s="466" t="str">
        <f ca="1">IFERROR(VLOOKUP(X71,$G$5:$J$28,3,FALSE),"")</f>
        <v/>
      </c>
      <c r="Z71" s="967"/>
      <c r="AH71" s="441"/>
      <c r="AI71" s="441"/>
      <c r="AJ71" s="445"/>
    </row>
    <row r="72" spans="9:36" ht="15.95" customHeight="1" thickBot="1" x14ac:dyDescent="0.25">
      <c r="I72" s="437"/>
      <c r="J72" s="786"/>
      <c r="Q72" s="809"/>
      <c r="R72" s="473" t="str">
        <f>IF(ISBLANK(N75),"",IF(O75+N75&gt;N77+O77,L76,L78))</f>
        <v/>
      </c>
      <c r="S72" s="466" t="str">
        <f ca="1">IFERROR(VLOOKUP(R72,$G$5:$J$28,3,FALSE),"")</f>
        <v/>
      </c>
      <c r="T72" s="967"/>
      <c r="U72" s="781"/>
      <c r="W72" s="809">
        <f>W70+1</f>
        <v>4</v>
      </c>
      <c r="X72" s="472">
        <v>20</v>
      </c>
      <c r="Y72" s="465" t="str">
        <f ca="1">IFERROR(VLOOKUP(X73,$G$5:$J$28,2,FALSE),"")</f>
        <v/>
      </c>
      <c r="Z72" s="966"/>
      <c r="AA72" s="780"/>
      <c r="AH72" s="441"/>
      <c r="AI72" s="441"/>
      <c r="AJ72" s="447"/>
    </row>
    <row r="73" spans="9:36" ht="15.95" customHeight="1" thickBot="1" x14ac:dyDescent="0.25">
      <c r="I73" s="437"/>
      <c r="J73" s="786"/>
      <c r="K73" s="450"/>
      <c r="L73" s="516"/>
      <c r="M73" s="516"/>
      <c r="N73" s="457"/>
      <c r="W73" s="809"/>
      <c r="X73" s="473" t="str">
        <f>IF(ISBLANK(T63),"",IF(U63+T63&lt;T65+U65,R64,R66))</f>
        <v/>
      </c>
      <c r="Y73" s="466" t="str">
        <f ca="1">IFERROR(VLOOKUP(X73,$G$5:$J$28,3,FALSE),"")</f>
        <v/>
      </c>
      <c r="Z73" s="967"/>
      <c r="AH73" s="441"/>
      <c r="AI73" s="441"/>
      <c r="AJ73" s="447"/>
    </row>
    <row r="74" spans="9:36" ht="15.95" customHeight="1" thickBot="1" x14ac:dyDescent="0.25">
      <c r="I74" s="437"/>
      <c r="J74" s="786"/>
      <c r="K74" s="445" t="s">
        <v>779</v>
      </c>
      <c r="L74" s="779" t="s">
        <v>1083</v>
      </c>
      <c r="M74" s="456" t="s">
        <v>481</v>
      </c>
      <c r="N74" s="464" t="s">
        <v>780</v>
      </c>
      <c r="O74" s="446" t="s">
        <v>781</v>
      </c>
      <c r="P74" s="450"/>
      <c r="R74" s="1250" t="s">
        <v>1347</v>
      </c>
      <c r="S74" s="1250"/>
      <c r="T74" s="1250"/>
      <c r="V74" s="450"/>
      <c r="W74" s="450"/>
      <c r="X74" s="450"/>
      <c r="Y74" s="450"/>
      <c r="Z74" s="451"/>
      <c r="AA74" s="450"/>
      <c r="AH74" s="441"/>
      <c r="AI74" s="441"/>
      <c r="AJ74" s="450"/>
    </row>
    <row r="75" spans="9:36" ht="15.95" customHeight="1" thickBot="1" x14ac:dyDescent="0.25">
      <c r="I75" s="437"/>
      <c r="J75" s="437"/>
      <c r="K75" s="809">
        <f>K70+1</f>
        <v>20</v>
      </c>
      <c r="L75" s="472">
        <v>19</v>
      </c>
      <c r="M75" s="465" t="str">
        <f ca="1">IFERROR(VLOOKUP(L76,$G$5:$J$28,2,FALSE),"")</f>
        <v/>
      </c>
      <c r="N75" s="966"/>
      <c r="O75" s="780"/>
      <c r="P75" s="450"/>
      <c r="Q75" s="445" t="s">
        <v>779</v>
      </c>
      <c r="R75" s="779" t="s">
        <v>1083</v>
      </c>
      <c r="S75" s="456" t="s">
        <v>481</v>
      </c>
      <c r="T75" s="464" t="s">
        <v>780</v>
      </c>
      <c r="U75" s="446" t="s">
        <v>781</v>
      </c>
      <c r="V75" s="450"/>
      <c r="W75" s="450"/>
      <c r="X75" s="979" t="s">
        <v>834</v>
      </c>
      <c r="Y75" s="1247"/>
      <c r="Z75" s="1247"/>
      <c r="AA75" s="450"/>
      <c r="AB75" s="435" t="s">
        <v>793</v>
      </c>
      <c r="AC75" s="435" t="s">
        <v>793</v>
      </c>
      <c r="AH75" s="441"/>
      <c r="AI75" s="441"/>
      <c r="AJ75" s="450"/>
    </row>
    <row r="76" spans="9:36" ht="15.95" customHeight="1" thickBot="1" x14ac:dyDescent="0.25">
      <c r="I76" s="437"/>
      <c r="J76" s="437"/>
      <c r="K76" s="809"/>
      <c r="L76" s="473" t="str">
        <f ca="1">VLOOKUP(L75,$A$5:$G$24,7,FALSE)</f>
        <v/>
      </c>
      <c r="M76" s="466" t="str">
        <f ca="1">IFERROR(VLOOKUP(L76,$G$5:$J$28,3,FALSE),"")</f>
        <v/>
      </c>
      <c r="N76" s="967"/>
      <c r="P76" s="445"/>
      <c r="Q76" s="809">
        <f>Q71+1</f>
        <v>21</v>
      </c>
      <c r="R76" s="472">
        <v>22</v>
      </c>
      <c r="S76" s="465" t="str">
        <f ca="1">IFERROR(VLOOKUP(R77,$G$5:$J$28,2,FALSE),"")</f>
        <v/>
      </c>
      <c r="T76" s="966"/>
      <c r="U76" s="780"/>
      <c r="V76" s="445"/>
      <c r="W76" s="445" t="s">
        <v>779</v>
      </c>
      <c r="X76" s="779" t="s">
        <v>1083</v>
      </c>
      <c r="Y76" s="456" t="s">
        <v>481</v>
      </c>
      <c r="Z76" s="464" t="s">
        <v>780</v>
      </c>
      <c r="AA76" s="446" t="s">
        <v>781</v>
      </c>
      <c r="AB76" s="435" t="s">
        <v>793</v>
      </c>
      <c r="AC76" s="435" t="s">
        <v>793</v>
      </c>
      <c r="AH76" s="441"/>
      <c r="AI76" s="441"/>
      <c r="AJ76" s="450"/>
    </row>
    <row r="77" spans="9:36" ht="15.95" customHeight="1" thickBot="1" x14ac:dyDescent="0.25">
      <c r="I77" s="437"/>
      <c r="J77" s="437"/>
      <c r="K77" s="809">
        <f>K75+1</f>
        <v>21</v>
      </c>
      <c r="L77" s="472">
        <v>22</v>
      </c>
      <c r="M77" s="465" t="str">
        <f ca="1">IFERROR(VLOOKUP(L78,$G$5:$J$28,2,FALSE),"")</f>
        <v/>
      </c>
      <c r="N77" s="966"/>
      <c r="O77" s="780"/>
      <c r="Q77" s="809"/>
      <c r="R77" s="473" t="str">
        <f>IF(ISBLANK(N68),"",IF(O68+N68&lt;N70+O70,L69,L71))</f>
        <v/>
      </c>
      <c r="S77" s="466" t="str">
        <f ca="1">IFERROR(VLOOKUP(R77,$G$5:$J$28,3,FALSE),"")</f>
        <v/>
      </c>
      <c r="T77" s="967"/>
      <c r="W77" s="809">
        <f>W72+1</f>
        <v>5</v>
      </c>
      <c r="X77" s="472">
        <v>21</v>
      </c>
      <c r="Y77" s="465" t="str">
        <f ca="1">IFERROR(VLOOKUP(X78,$G$5:$J$28,2,FALSE),"")</f>
        <v/>
      </c>
      <c r="Z77" s="966"/>
      <c r="AA77" s="780"/>
      <c r="AB77" s="435" t="s">
        <v>793</v>
      </c>
      <c r="AC77" s="435" t="s">
        <v>793</v>
      </c>
      <c r="AH77" s="441"/>
      <c r="AI77" s="441"/>
      <c r="AJ77" s="450"/>
    </row>
    <row r="78" spans="9:36" ht="15.95" customHeight="1" thickBot="1" x14ac:dyDescent="0.25">
      <c r="I78" s="437"/>
      <c r="J78" s="437"/>
      <c r="K78" s="809"/>
      <c r="L78" s="473" t="str">
        <f ca="1">VLOOKUP(L77,$A$5:$G$28,7,FALSE)</f>
        <v/>
      </c>
      <c r="M78" s="466" t="str">
        <f ca="1">IFERROR(VLOOKUP(L78,$G$5:$J$28,3,FALSE),"")</f>
        <v/>
      </c>
      <c r="N78" s="967"/>
      <c r="S78" s="465" t="str">
        <f ca="1">IFERROR(VLOOKUP(R79,$G$5:$J$28,2,FALSE),"")</f>
        <v/>
      </c>
      <c r="W78" s="809"/>
      <c r="X78" s="473" t="str">
        <f>R77</f>
        <v/>
      </c>
      <c r="Y78" s="466" t="str">
        <f ca="1">IFERROR(VLOOKUP(X78,$G$5:$J$28,3,FALSE),"")</f>
        <v/>
      </c>
      <c r="Z78" s="967"/>
      <c r="AB78" s="435" t="s">
        <v>793</v>
      </c>
      <c r="AC78" s="435" t="s">
        <v>793</v>
      </c>
      <c r="AH78" s="441"/>
      <c r="AI78" s="441"/>
      <c r="AJ78" s="445"/>
    </row>
    <row r="79" spans="9:36" ht="15.95" customHeight="1" thickBot="1" x14ac:dyDescent="0.25">
      <c r="I79" s="437"/>
      <c r="J79" s="437"/>
      <c r="S79" s="466" t="str">
        <f ca="1">IFERROR(VLOOKUP(R79,$G$5:$J$28,3,FALSE),"")</f>
        <v/>
      </c>
      <c r="W79" s="809">
        <f>W77+1</f>
        <v>6</v>
      </c>
      <c r="X79" s="472">
        <v>22</v>
      </c>
      <c r="Y79" s="465" t="str">
        <f ca="1">IFERROR(VLOOKUP(X80,$G$5:$J$28,2,FALSE),"")</f>
        <v/>
      </c>
      <c r="Z79" s="966"/>
      <c r="AA79" s="780"/>
      <c r="AB79" s="435" t="s">
        <v>793</v>
      </c>
      <c r="AC79" s="435" t="s">
        <v>793</v>
      </c>
      <c r="AH79" s="441"/>
      <c r="AI79" s="441"/>
      <c r="AJ79" s="447"/>
    </row>
    <row r="80" spans="9:36" ht="15.95" customHeight="1" thickBot="1" x14ac:dyDescent="0.25">
      <c r="I80" s="437"/>
      <c r="J80" s="437"/>
      <c r="Q80" s="445" t="s">
        <v>779</v>
      </c>
      <c r="R80" s="779" t="s">
        <v>1083</v>
      </c>
      <c r="S80" s="456" t="s">
        <v>481</v>
      </c>
      <c r="T80" s="464" t="s">
        <v>780</v>
      </c>
      <c r="U80" s="446" t="s">
        <v>781</v>
      </c>
      <c r="W80" s="809"/>
      <c r="X80" s="473" t="str">
        <f>IF(ISBLANK(T81),"",IF(U81+T81&gt;T83+U83,R82,R84))</f>
        <v/>
      </c>
      <c r="Y80" s="466" t="str">
        <f ca="1">IFERROR(VLOOKUP(X80,$G$5:$J$28,3,FALSE),"")</f>
        <v/>
      </c>
      <c r="Z80" s="967"/>
      <c r="AB80" s="435" t="s">
        <v>793</v>
      </c>
      <c r="AC80" s="435" t="s">
        <v>793</v>
      </c>
      <c r="AH80" s="441"/>
      <c r="AI80" s="441"/>
      <c r="AJ80" s="447"/>
    </row>
    <row r="81" spans="9:36" ht="15.95" customHeight="1" thickBot="1" x14ac:dyDescent="0.25">
      <c r="I81" s="437"/>
      <c r="J81" s="437"/>
      <c r="K81" s="445" t="s">
        <v>779</v>
      </c>
      <c r="L81" s="779" t="s">
        <v>1083</v>
      </c>
      <c r="M81" s="456" t="s">
        <v>481</v>
      </c>
      <c r="N81" s="464" t="s">
        <v>780</v>
      </c>
      <c r="O81" s="446" t="s">
        <v>781</v>
      </c>
      <c r="Q81" s="809">
        <f>Q76+1</f>
        <v>22</v>
      </c>
      <c r="R81" s="472">
        <v>22</v>
      </c>
      <c r="S81" s="465" t="str">
        <f ca="1">IFERROR(VLOOKUP(R82,$G$5:$J$28,2,FALSE),"")</f>
        <v/>
      </c>
      <c r="T81" s="966"/>
      <c r="U81" s="780"/>
      <c r="AB81" s="435" t="s">
        <v>793</v>
      </c>
      <c r="AC81" s="435" t="s">
        <v>793</v>
      </c>
      <c r="AH81" s="441"/>
      <c r="AI81" s="441"/>
      <c r="AJ81" s="447"/>
    </row>
    <row r="82" spans="9:36" ht="15.95" customHeight="1" thickBot="1" x14ac:dyDescent="0.25">
      <c r="I82" s="437"/>
      <c r="J82" s="437"/>
      <c r="K82" s="809">
        <f>K77+1</f>
        <v>22</v>
      </c>
      <c r="L82" s="472">
        <v>18</v>
      </c>
      <c r="M82" s="465" t="str">
        <f ca="1">IFERROR(VLOOKUP(L83,$G$5:$J$28,2,FALSE),"")</f>
        <v/>
      </c>
      <c r="N82" s="966"/>
      <c r="O82" s="780"/>
      <c r="P82" s="450"/>
      <c r="Q82" s="809"/>
      <c r="R82" s="473" t="str">
        <f>IF(ISBLANK(N75),"",IF(O75+N75&lt;N77+O77,L76,L78))</f>
        <v/>
      </c>
      <c r="S82" s="466" t="str">
        <f ca="1">IFERROR(VLOOKUP(R82,$G$5:$J$28,3,FALSE),"")</f>
        <v/>
      </c>
      <c r="T82" s="967"/>
      <c r="V82" s="450"/>
      <c r="X82" s="979" t="s">
        <v>1348</v>
      </c>
      <c r="Y82" s="1247"/>
      <c r="Z82" s="1247"/>
      <c r="AB82" s="435" t="s">
        <v>793</v>
      </c>
      <c r="AC82" s="435" t="s">
        <v>793</v>
      </c>
      <c r="AH82" s="441"/>
      <c r="AI82" s="441"/>
      <c r="AJ82" s="450"/>
    </row>
    <row r="83" spans="9:36" ht="15.95" customHeight="1" thickBot="1" x14ac:dyDescent="0.25">
      <c r="I83" s="437"/>
      <c r="J83" s="437"/>
      <c r="K83" s="809"/>
      <c r="L83" s="473" t="str">
        <f ca="1">VLOOKUP(L82,$A$5:$G$28,7,FALSE)</f>
        <v/>
      </c>
      <c r="M83" s="466" t="str">
        <f ca="1">IFERROR(VLOOKUP(L83,$G$5:$J$28,3,FALSE),"")</f>
        <v/>
      </c>
      <c r="N83" s="967"/>
      <c r="P83" s="445"/>
      <c r="Q83" s="809">
        <f>Q81+1</f>
        <v>23</v>
      </c>
      <c r="R83" s="472">
        <v>23</v>
      </c>
      <c r="S83" s="465" t="str">
        <f ca="1">IFERROR(VLOOKUP(R84,$G$5:$J$28,2,FALSE),"")</f>
        <v/>
      </c>
      <c r="T83" s="966"/>
      <c r="U83" s="780"/>
      <c r="V83" s="445"/>
      <c r="W83" s="809">
        <f>W79+1</f>
        <v>7</v>
      </c>
      <c r="X83" s="472">
        <v>23</v>
      </c>
      <c r="Y83" s="465" t="str">
        <f ca="1">IFERROR(VLOOKUP(X84,$G$5:$J$28,2,FALSE),"")</f>
        <v/>
      </c>
      <c r="Z83" s="886" t="str">
        <f>IF(AA83="","",AA83-T83)</f>
        <v/>
      </c>
      <c r="AB83" s="435" t="s">
        <v>793</v>
      </c>
      <c r="AC83" s="435" t="s">
        <v>793</v>
      </c>
      <c r="AH83" s="441"/>
      <c r="AI83" s="441"/>
      <c r="AJ83" s="445"/>
    </row>
    <row r="84" spans="9:36" ht="15.95" customHeight="1" thickBot="1" x14ac:dyDescent="0.25">
      <c r="I84" s="437"/>
      <c r="J84" s="437"/>
      <c r="K84" s="809">
        <f>K82+1</f>
        <v>23</v>
      </c>
      <c r="L84" s="472">
        <v>23</v>
      </c>
      <c r="M84" s="465" t="str">
        <f ca="1">IFERROR(VLOOKUP(L85,$G$5:$J$28,2,FALSE),"")</f>
        <v/>
      </c>
      <c r="N84" s="966"/>
      <c r="O84" s="780"/>
      <c r="R84" s="473" t="str">
        <f>IF(ISBLANK(N82),"",IF(O82+N82&lt;N84+O84,L83,L85))</f>
        <v/>
      </c>
      <c r="S84" s="466" t="str">
        <f ca="1">IFERROR(VLOOKUP(R84,$G$5:$J$28,3,FALSE),"")</f>
        <v/>
      </c>
      <c r="T84" s="967"/>
      <c r="W84" s="450"/>
      <c r="X84" s="473" t="str">
        <f>IF(ISBLANK(T81),"",IF(U81+T81&lt;T83+U83,R82,R84))</f>
        <v/>
      </c>
      <c r="Y84" s="466" t="str">
        <f ca="1">IFERROR(VLOOKUP(X84,$G$5:$J$28,3,FALSE),"")</f>
        <v/>
      </c>
      <c r="Z84" s="887"/>
      <c r="AB84" s="435" t="s">
        <v>793</v>
      </c>
      <c r="AC84" s="435" t="s">
        <v>793</v>
      </c>
      <c r="AH84" s="441"/>
      <c r="AI84" s="441"/>
      <c r="AJ84" s="447"/>
    </row>
    <row r="85" spans="9:36" ht="15.95" customHeight="1" thickBot="1" x14ac:dyDescent="0.25">
      <c r="I85" s="437"/>
      <c r="J85" s="437"/>
      <c r="K85" s="809"/>
      <c r="L85" s="473" t="str">
        <f ca="1">VLOOKUP(L84,$A$5:$G$28,7,FALSE)</f>
        <v/>
      </c>
      <c r="M85" s="466" t="str">
        <f ca="1">IFERROR(VLOOKUP(L85,$G$5:$J$28,3,FALSE),"")</f>
        <v/>
      </c>
      <c r="N85" s="967"/>
      <c r="AH85" s="441"/>
      <c r="AI85" s="441"/>
      <c r="AJ85" s="447"/>
    </row>
    <row r="86" spans="9:36" ht="15.95" customHeight="1" x14ac:dyDescent="0.2">
      <c r="AA86" s="450"/>
      <c r="AB86" s="809"/>
      <c r="AH86" s="441"/>
      <c r="AI86" s="441"/>
      <c r="AJ86" s="441"/>
    </row>
    <row r="87" spans="9:36" ht="15.95" customHeight="1" x14ac:dyDescent="0.2">
      <c r="S87" s="778"/>
      <c r="T87" s="815"/>
      <c r="U87" s="778"/>
      <c r="V87" s="778"/>
      <c r="W87" s="778"/>
      <c r="X87" s="816"/>
      <c r="Y87" s="816"/>
      <c r="AB87" s="809"/>
      <c r="AH87" s="441"/>
      <c r="AI87" s="441"/>
      <c r="AJ87" s="441"/>
    </row>
    <row r="88" spans="9:36" ht="15.95" customHeight="1" x14ac:dyDescent="0.2">
      <c r="P88" s="450"/>
      <c r="Q88" s="778"/>
      <c r="R88" s="778"/>
      <c r="S88" s="778"/>
      <c r="T88" s="815"/>
      <c r="U88" s="778"/>
      <c r="V88" s="778"/>
      <c r="W88" s="778"/>
      <c r="X88" s="816"/>
      <c r="Y88" s="816"/>
      <c r="Z88" s="815"/>
      <c r="AA88" s="450"/>
      <c r="AB88" s="450"/>
      <c r="AC88" s="816"/>
    </row>
    <row r="89" spans="9:36" ht="15.95" customHeight="1" x14ac:dyDescent="0.2">
      <c r="P89" s="778"/>
      <c r="Q89" s="778"/>
      <c r="R89" s="778"/>
      <c r="S89" s="778"/>
      <c r="T89" s="815"/>
      <c r="U89" s="778"/>
      <c r="V89" s="778"/>
      <c r="W89" s="778"/>
      <c r="X89" s="816"/>
      <c r="Y89" s="816"/>
      <c r="Z89" s="815"/>
      <c r="AA89" s="778"/>
      <c r="AB89" s="816"/>
      <c r="AC89" s="816"/>
    </row>
    <row r="90" spans="9:36" ht="15.95" customHeight="1" x14ac:dyDescent="0.2">
      <c r="K90" s="450"/>
      <c r="L90" s="516"/>
      <c r="M90" s="516"/>
      <c r="N90" s="457"/>
      <c r="P90" s="778"/>
      <c r="Q90" s="778"/>
      <c r="R90" s="778"/>
      <c r="S90" s="778"/>
      <c r="T90" s="815"/>
      <c r="U90" s="778"/>
      <c r="V90" s="778"/>
      <c r="W90" s="778"/>
      <c r="X90" s="816"/>
      <c r="Y90" s="816"/>
      <c r="Z90" s="815"/>
      <c r="AA90" s="778"/>
      <c r="AB90" s="816"/>
      <c r="AC90" s="816"/>
    </row>
    <row r="91" spans="9:36" ht="15.95" customHeight="1" x14ac:dyDescent="0.2">
      <c r="K91" s="445"/>
      <c r="L91" s="782"/>
      <c r="O91" s="445"/>
      <c r="P91" s="445"/>
      <c r="Q91" s="445"/>
      <c r="R91" s="782"/>
      <c r="S91" s="435"/>
      <c r="U91" s="445"/>
      <c r="V91" s="445"/>
      <c r="W91" s="445"/>
      <c r="X91" s="782"/>
      <c r="AA91" s="445"/>
    </row>
    <row r="92" spans="9:36" ht="15.95" customHeight="1" x14ac:dyDescent="0.2">
      <c r="K92" s="445"/>
      <c r="L92" s="914"/>
      <c r="O92" s="445"/>
      <c r="P92" s="445"/>
      <c r="Q92" s="445"/>
      <c r="R92" s="914"/>
      <c r="S92" s="435"/>
      <c r="U92" s="445"/>
      <c r="V92" s="445"/>
      <c r="W92" s="445"/>
      <c r="X92" s="914"/>
      <c r="AA92" s="445"/>
    </row>
    <row r="93" spans="9:36" ht="15.95" customHeight="1" x14ac:dyDescent="0.2">
      <c r="K93" s="435"/>
      <c r="P93" s="778"/>
      <c r="Q93" s="778"/>
      <c r="R93" s="778"/>
      <c r="S93" s="778"/>
      <c r="T93" s="815"/>
      <c r="U93" s="778"/>
      <c r="V93" s="778"/>
    </row>
    <row r="94" spans="9:36" ht="15.95" customHeight="1" x14ac:dyDescent="0.2">
      <c r="K94" s="435"/>
      <c r="P94" s="778"/>
      <c r="Q94" s="778"/>
      <c r="R94" s="778"/>
      <c r="S94" s="778"/>
      <c r="T94" s="815"/>
      <c r="U94" s="778"/>
      <c r="V94" s="778"/>
    </row>
    <row r="95" spans="9:36" ht="15.95" customHeight="1" x14ac:dyDescent="0.2">
      <c r="K95" s="435"/>
      <c r="S95" s="450"/>
    </row>
    <row r="96" spans="9:36" ht="15.95" customHeight="1" x14ac:dyDescent="0.2">
      <c r="K96" s="435"/>
      <c r="S96" s="450"/>
    </row>
    <row r="97" ht="15.95" customHeight="1" x14ac:dyDescent="0.2"/>
    <row r="98" ht="15.95" customHeight="1" x14ac:dyDescent="0.2"/>
    <row r="99" ht="15.95" customHeight="1" x14ac:dyDescent="0.2"/>
    <row r="100" ht="15.95" customHeight="1" x14ac:dyDescent="0.2"/>
    <row r="101" ht="15.95" customHeight="1" x14ac:dyDescent="0.2"/>
    <row r="102" ht="15.95" customHeight="1" x14ac:dyDescent="0.2"/>
    <row r="103" ht="15.95" customHeight="1" x14ac:dyDescent="0.2"/>
    <row r="104" ht="15.95" customHeight="1" x14ac:dyDescent="0.2"/>
    <row r="105" ht="15.95" customHeight="1" x14ac:dyDescent="0.2"/>
    <row r="106" ht="15.95" customHeight="1" x14ac:dyDescent="0.2"/>
    <row r="107" ht="15.95" customHeight="1" x14ac:dyDescent="0.2"/>
    <row r="108" ht="15.95" customHeight="1" x14ac:dyDescent="0.2"/>
    <row r="109" ht="15.95" customHeight="1" x14ac:dyDescent="0.2"/>
    <row r="110" ht="15.95" customHeight="1" x14ac:dyDescent="0.2"/>
    <row r="111" ht="15.95" customHeight="1" x14ac:dyDescent="0.2"/>
    <row r="112" ht="15.95" customHeight="1" x14ac:dyDescent="0.2"/>
    <row r="113" ht="15.95" customHeight="1" x14ac:dyDescent="0.2"/>
    <row r="114" ht="15.95" customHeight="1" x14ac:dyDescent="0.2"/>
    <row r="115" ht="15.95" customHeight="1" x14ac:dyDescent="0.2"/>
    <row r="116" ht="15.95" customHeight="1" x14ac:dyDescent="0.2"/>
    <row r="117" ht="15.95" customHeight="1" x14ac:dyDescent="0.2"/>
    <row r="118" ht="15.95" customHeight="1" x14ac:dyDescent="0.2"/>
    <row r="119" ht="15.95" customHeight="1" x14ac:dyDescent="0.2"/>
    <row r="120" ht="15.95" customHeight="1" x14ac:dyDescent="0.2"/>
    <row r="121" ht="15.95" customHeight="1" x14ac:dyDescent="0.2"/>
    <row r="122" ht="15.95" customHeight="1" x14ac:dyDescent="0.2"/>
    <row r="123" ht="15.95" customHeight="1" x14ac:dyDescent="0.2"/>
    <row r="124" ht="15.95" customHeight="1" x14ac:dyDescent="0.2"/>
    <row r="125" ht="15.95" customHeight="1" x14ac:dyDescent="0.2"/>
    <row r="126" ht="15.95" customHeight="1" x14ac:dyDescent="0.2"/>
    <row r="127" ht="15.95" customHeight="1" x14ac:dyDescent="0.2"/>
    <row r="128" ht="15.95" customHeight="1" x14ac:dyDescent="0.2"/>
    <row r="129" ht="15.95" customHeight="1" x14ac:dyDescent="0.2"/>
    <row r="130" ht="15.95" customHeight="1" x14ac:dyDescent="0.2"/>
    <row r="131" ht="15.95" customHeight="1" x14ac:dyDescent="0.2"/>
    <row r="132" ht="15.95" customHeight="1" x14ac:dyDescent="0.2"/>
    <row r="133" ht="15.95" customHeight="1" x14ac:dyDescent="0.2"/>
    <row r="134" ht="15.95" customHeight="1" x14ac:dyDescent="0.2"/>
    <row r="135" ht="15.95" customHeight="1" x14ac:dyDescent="0.2"/>
    <row r="136" ht="15.95" customHeight="1" x14ac:dyDescent="0.2"/>
    <row r="137" ht="15.95" customHeight="1" x14ac:dyDescent="0.2"/>
    <row r="138" ht="15.95" customHeight="1" x14ac:dyDescent="0.2"/>
    <row r="139" ht="15.95" customHeight="1" x14ac:dyDescent="0.2"/>
    <row r="140" ht="15.95" customHeight="1" x14ac:dyDescent="0.2"/>
    <row r="141" ht="15.95" customHeight="1" x14ac:dyDescent="0.2"/>
    <row r="142" ht="15.95" customHeight="1" x14ac:dyDescent="0.2"/>
    <row r="143" ht="15.95" customHeight="1" x14ac:dyDescent="0.2"/>
    <row r="144" ht="15.95" customHeight="1" x14ac:dyDescent="0.2"/>
    <row r="145" ht="15.95" customHeight="1" x14ac:dyDescent="0.2"/>
    <row r="146" ht="15.95" customHeight="1" x14ac:dyDescent="0.2"/>
    <row r="147" ht="15.95" customHeight="1" x14ac:dyDescent="0.2"/>
    <row r="148" ht="15.95" customHeight="1" x14ac:dyDescent="0.2"/>
  </sheetData>
  <sheetProtection selectLockedCells="1"/>
  <mergeCells count="99">
    <mergeCell ref="N84:N85"/>
    <mergeCell ref="X82:Z82"/>
    <mergeCell ref="T69:T70"/>
    <mergeCell ref="T71:T72"/>
    <mergeCell ref="R74:T74"/>
    <mergeCell ref="N75:N76"/>
    <mergeCell ref="T76:T77"/>
    <mergeCell ref="N77:N78"/>
    <mergeCell ref="T81:T82"/>
    <mergeCell ref="N82:N83"/>
    <mergeCell ref="T83:T84"/>
    <mergeCell ref="Z77:Z78"/>
    <mergeCell ref="Z79:Z80"/>
    <mergeCell ref="N70:N71"/>
    <mergeCell ref="Z70:Z71"/>
    <mergeCell ref="Z72:Z73"/>
    <mergeCell ref="X75:Z75"/>
    <mergeCell ref="N63:N64"/>
    <mergeCell ref="T63:T64"/>
    <mergeCell ref="Z63:Z64"/>
    <mergeCell ref="T65:T66"/>
    <mergeCell ref="Z65:Z66"/>
    <mergeCell ref="N68:N69"/>
    <mergeCell ref="X68:Z68"/>
    <mergeCell ref="N58:N59"/>
    <mergeCell ref="T58:T59"/>
    <mergeCell ref="Z58:Z59"/>
    <mergeCell ref="L61:N61"/>
    <mergeCell ref="R61:T61"/>
    <mergeCell ref="X61:Z61"/>
    <mergeCell ref="N51:N52"/>
    <mergeCell ref="T51:T52"/>
    <mergeCell ref="Z51:Z52"/>
    <mergeCell ref="X54:Z54"/>
    <mergeCell ref="N56:N57"/>
    <mergeCell ref="T56:T57"/>
    <mergeCell ref="Z56:Z57"/>
    <mergeCell ref="N49:N50"/>
    <mergeCell ref="T49:T50"/>
    <mergeCell ref="Z49:Z50"/>
    <mergeCell ref="N37:N38"/>
    <mergeCell ref="T37:T38"/>
    <mergeCell ref="Z37:Z38"/>
    <mergeCell ref="X40:Z40"/>
    <mergeCell ref="N42:N43"/>
    <mergeCell ref="T42:T43"/>
    <mergeCell ref="Z42:Z43"/>
    <mergeCell ref="N44:N45"/>
    <mergeCell ref="T44:T45"/>
    <mergeCell ref="Z44:Z45"/>
    <mergeCell ref="R47:T47"/>
    <mergeCell ref="X47:Z47"/>
    <mergeCell ref="L33:N33"/>
    <mergeCell ref="R33:T33"/>
    <mergeCell ref="X33:Z33"/>
    <mergeCell ref="N35:N36"/>
    <mergeCell ref="T35:T36"/>
    <mergeCell ref="Z35:Z36"/>
    <mergeCell ref="X26:Z26"/>
    <mergeCell ref="N28:N29"/>
    <mergeCell ref="T28:T29"/>
    <mergeCell ref="Z28:Z29"/>
    <mergeCell ref="N30:N31"/>
    <mergeCell ref="T30:T31"/>
    <mergeCell ref="Z30:Z31"/>
    <mergeCell ref="N23:N24"/>
    <mergeCell ref="T23:T24"/>
    <mergeCell ref="Z23:Z24"/>
    <mergeCell ref="X12:Z12"/>
    <mergeCell ref="N14:N15"/>
    <mergeCell ref="T14:T15"/>
    <mergeCell ref="Z14:Z15"/>
    <mergeCell ref="N16:N17"/>
    <mergeCell ref="T16:T17"/>
    <mergeCell ref="Z16:Z17"/>
    <mergeCell ref="R19:T19"/>
    <mergeCell ref="X19:Z19"/>
    <mergeCell ref="N21:N22"/>
    <mergeCell ref="T21:T22"/>
    <mergeCell ref="Z21:Z22"/>
    <mergeCell ref="N7:N8"/>
    <mergeCell ref="T7:T8"/>
    <mergeCell ref="Z7:Z8"/>
    <mergeCell ref="N9:N10"/>
    <mergeCell ref="T9:T10"/>
    <mergeCell ref="Z9:Z10"/>
    <mergeCell ref="K4:N4"/>
    <mergeCell ref="Q4:T4"/>
    <mergeCell ref="W4:Z4"/>
    <mergeCell ref="AH4:AJ5"/>
    <mergeCell ref="L5:N5"/>
    <mergeCell ref="R5:T5"/>
    <mergeCell ref="X5:Z5"/>
    <mergeCell ref="K1:AA1"/>
    <mergeCell ref="AF1:AJ1"/>
    <mergeCell ref="K2:Z2"/>
    <mergeCell ref="AF2:AJ2"/>
    <mergeCell ref="N3:X3"/>
    <mergeCell ref="AF3:AJ3"/>
  </mergeCells>
  <conditionalFormatting sqref="O7:O8">
    <cfRule type="expression" priority="380" stopIfTrue="1">
      <formula>IF(N7="",1)</formula>
    </cfRule>
    <cfRule type="expression" dxfId="643" priority="382">
      <formula>IF(N7=N9,1,0)</formula>
    </cfRule>
  </conditionalFormatting>
  <conditionalFormatting sqref="O9">
    <cfRule type="expression" priority="379" stopIfTrue="1">
      <formula>IF(N9="",1,0)</formula>
    </cfRule>
    <cfRule type="expression" dxfId="642" priority="381">
      <formula>IF(N7=N9,1,0)</formula>
    </cfRule>
  </conditionalFormatting>
  <conditionalFormatting sqref="S7">
    <cfRule type="expression" dxfId="641" priority="378">
      <formula>IF(T7+U7&gt;T9+U9,1,0)</formula>
    </cfRule>
  </conditionalFormatting>
  <conditionalFormatting sqref="S9">
    <cfRule type="expression" dxfId="640" priority="377">
      <formula>IF(T9+U9&gt;T11+U11,1,0)</formula>
    </cfRule>
  </conditionalFormatting>
  <conditionalFormatting sqref="S14">
    <cfRule type="expression" dxfId="639" priority="376">
      <formula>IF(T14+U14&gt;T16+U16,1,0)</formula>
    </cfRule>
  </conditionalFormatting>
  <conditionalFormatting sqref="S16">
    <cfRule type="expression" dxfId="638" priority="375">
      <formula>IF(T16+U16&gt;T18+U18,1,0)</formula>
    </cfRule>
  </conditionalFormatting>
  <conditionalFormatting sqref="S21">
    <cfRule type="expression" dxfId="637" priority="374">
      <formula>IF(T21+U21&gt;T23+U23,1,0)</formula>
    </cfRule>
  </conditionalFormatting>
  <conditionalFormatting sqref="S23">
    <cfRule type="expression" dxfId="636" priority="373">
      <formula>IF(T23+U23&gt;T25+U25,1,0)</formula>
    </cfRule>
  </conditionalFormatting>
  <conditionalFormatting sqref="O14:O15">
    <cfRule type="expression" priority="370" stopIfTrue="1">
      <formula>IF(N14="",1)</formula>
    </cfRule>
    <cfRule type="expression" dxfId="635" priority="372">
      <formula>IF(N14=N16,1,0)</formula>
    </cfRule>
  </conditionalFormatting>
  <conditionalFormatting sqref="O16">
    <cfRule type="expression" priority="369" stopIfTrue="1">
      <formula>IF(N16="",1,0)</formula>
    </cfRule>
    <cfRule type="expression" dxfId="634" priority="371">
      <formula>IF(N14=N16,1,0)</formula>
    </cfRule>
  </conditionalFormatting>
  <conditionalFormatting sqref="O21:O22">
    <cfRule type="expression" priority="366" stopIfTrue="1">
      <formula>IF(N21="",1)</formula>
    </cfRule>
    <cfRule type="expression" dxfId="633" priority="368">
      <formula>IF(N21=N23,1,0)</formula>
    </cfRule>
  </conditionalFormatting>
  <conditionalFormatting sqref="O23">
    <cfRule type="expression" priority="365" stopIfTrue="1">
      <formula>IF(N23="",1,0)</formula>
    </cfRule>
    <cfRule type="expression" dxfId="632" priority="367">
      <formula>IF(N21=N23,1,0)</formula>
    </cfRule>
  </conditionalFormatting>
  <conditionalFormatting sqref="O28:O29">
    <cfRule type="expression" priority="362" stopIfTrue="1">
      <formula>IF(N28="",1)</formula>
    </cfRule>
    <cfRule type="expression" dxfId="631" priority="364">
      <formula>IF(N28=N30,1,0)</formula>
    </cfRule>
  </conditionalFormatting>
  <conditionalFormatting sqref="O30">
    <cfRule type="expression" priority="361" stopIfTrue="1">
      <formula>IF(N30="",1,0)</formula>
    </cfRule>
    <cfRule type="expression" dxfId="630" priority="363">
      <formula>IF(N28=N30,1,0)</formula>
    </cfRule>
  </conditionalFormatting>
  <conditionalFormatting sqref="U7:U8">
    <cfRule type="expression" priority="358" stopIfTrue="1">
      <formula>IF(T7="",1)</formula>
    </cfRule>
    <cfRule type="expression" dxfId="629" priority="360">
      <formula>IF(T7=T9,1,0)</formula>
    </cfRule>
  </conditionalFormatting>
  <conditionalFormatting sqref="U9">
    <cfRule type="expression" priority="357" stopIfTrue="1">
      <formula>IF(T9="",1,0)</formula>
    </cfRule>
    <cfRule type="expression" dxfId="628" priority="359">
      <formula>IF(T7=T9,1,0)</formula>
    </cfRule>
  </conditionalFormatting>
  <conditionalFormatting sqref="U14:U15">
    <cfRule type="expression" priority="354" stopIfTrue="1">
      <formula>IF(T14="",1)</formula>
    </cfRule>
    <cfRule type="expression" dxfId="627" priority="356">
      <formula>IF(T14=T16,1,0)</formula>
    </cfRule>
  </conditionalFormatting>
  <conditionalFormatting sqref="U16">
    <cfRule type="expression" priority="353" stopIfTrue="1">
      <formula>IF(T16="",1,0)</formula>
    </cfRule>
    <cfRule type="expression" dxfId="626" priority="355">
      <formula>IF(T14=T16,1,0)</formula>
    </cfRule>
  </conditionalFormatting>
  <conditionalFormatting sqref="U21:U22">
    <cfRule type="expression" priority="350" stopIfTrue="1">
      <formula>IF(T21="",1)</formula>
    </cfRule>
    <cfRule type="expression" dxfId="625" priority="352">
      <formula>IF(T21=T23,1,0)</formula>
    </cfRule>
  </conditionalFormatting>
  <conditionalFormatting sqref="U23">
    <cfRule type="expression" priority="349" stopIfTrue="1">
      <formula>IF(T23="",1,0)</formula>
    </cfRule>
    <cfRule type="expression" dxfId="624" priority="351">
      <formula>IF(T21=T23,1,0)</formula>
    </cfRule>
  </conditionalFormatting>
  <conditionalFormatting sqref="U28:U29">
    <cfRule type="expression" priority="346" stopIfTrue="1">
      <formula>IF(T28="",1)</formula>
    </cfRule>
    <cfRule type="expression" dxfId="623" priority="348">
      <formula>IF(T28=T30,1,0)</formula>
    </cfRule>
  </conditionalFormatting>
  <conditionalFormatting sqref="U30">
    <cfRule type="expression" priority="345" stopIfTrue="1">
      <formula>IF(T30="",1,0)</formula>
    </cfRule>
    <cfRule type="expression" dxfId="622" priority="347">
      <formula>IF(T28=T30,1,0)</formula>
    </cfRule>
  </conditionalFormatting>
  <conditionalFormatting sqref="AA7:AA8">
    <cfRule type="expression" priority="342" stopIfTrue="1">
      <formula>IF(Z7="",1)</formula>
    </cfRule>
    <cfRule type="expression" dxfId="621" priority="344">
      <formula>IF(Z7=Z9,1,0)</formula>
    </cfRule>
  </conditionalFormatting>
  <conditionalFormatting sqref="AA9">
    <cfRule type="expression" priority="341" stopIfTrue="1">
      <formula>IF(Z9="",1,0)</formula>
    </cfRule>
    <cfRule type="expression" dxfId="620" priority="343">
      <formula>IF(Z7=Z9,1,0)</formula>
    </cfRule>
  </conditionalFormatting>
  <conditionalFormatting sqref="AA14:AA15">
    <cfRule type="expression" priority="338" stopIfTrue="1">
      <formula>IF(Z14="",1)</formula>
    </cfRule>
    <cfRule type="expression" dxfId="619" priority="340">
      <formula>IF(Z14=Z16,1,0)</formula>
    </cfRule>
  </conditionalFormatting>
  <conditionalFormatting sqref="AA16">
    <cfRule type="expression" priority="337" stopIfTrue="1">
      <formula>IF(Z16="",1,0)</formula>
    </cfRule>
    <cfRule type="expression" dxfId="618" priority="339">
      <formula>IF(Z14=Z16,1,0)</formula>
    </cfRule>
  </conditionalFormatting>
  <conditionalFormatting sqref="AA21:AA22">
    <cfRule type="expression" priority="334" stopIfTrue="1">
      <formula>IF(Z21="",1)</formula>
    </cfRule>
    <cfRule type="expression" dxfId="617" priority="336">
      <formula>IF(Z21=Z23,1,0)</formula>
    </cfRule>
  </conditionalFormatting>
  <conditionalFormatting sqref="AA23">
    <cfRule type="expression" priority="333" stopIfTrue="1">
      <formula>IF(Z23="",1,0)</formula>
    </cfRule>
    <cfRule type="expression" dxfId="616" priority="335">
      <formula>IF(Z21=Z23,1,0)</formula>
    </cfRule>
  </conditionalFormatting>
  <conditionalFormatting sqref="AA28:AA29">
    <cfRule type="expression" priority="330" stopIfTrue="1">
      <formula>IF(Z28="",1)</formula>
    </cfRule>
    <cfRule type="expression" dxfId="615" priority="332">
      <formula>IF(Z28=Z30,1,0)</formula>
    </cfRule>
  </conditionalFormatting>
  <conditionalFormatting sqref="AA30">
    <cfRule type="expression" priority="329" stopIfTrue="1">
      <formula>IF(Z30="",1,0)</formula>
    </cfRule>
    <cfRule type="expression" dxfId="614" priority="331">
      <formula>IF(Z28=Z30,1,0)</formula>
    </cfRule>
  </conditionalFormatting>
  <conditionalFormatting sqref="M14">
    <cfRule type="expression" dxfId="613" priority="328">
      <formula>IF(N14+O14&gt;N16+O16,1,0)</formula>
    </cfRule>
  </conditionalFormatting>
  <conditionalFormatting sqref="M16">
    <cfRule type="expression" dxfId="612" priority="327">
      <formula>IF(N16+O16&gt;N18+O18,1,0)</formula>
    </cfRule>
  </conditionalFormatting>
  <conditionalFormatting sqref="M21">
    <cfRule type="expression" dxfId="611" priority="326">
      <formula>IF(N21+O21&gt;N23+O23,1,0)</formula>
    </cfRule>
  </conditionalFormatting>
  <conditionalFormatting sqref="M23">
    <cfRule type="expression" dxfId="610" priority="325">
      <formula>IF(N23+O23&gt;N25+O25,1,0)</formula>
    </cfRule>
  </conditionalFormatting>
  <conditionalFormatting sqref="M28">
    <cfRule type="expression" dxfId="609" priority="324">
      <formula>IF(N28+O28&gt;N30+O30,1,0)</formula>
    </cfRule>
  </conditionalFormatting>
  <conditionalFormatting sqref="M30">
    <cfRule type="expression" dxfId="608" priority="323">
      <formula>IF(N30+O30&gt;N32+O32,1,0)</formula>
    </cfRule>
  </conditionalFormatting>
  <conditionalFormatting sqref="M7">
    <cfRule type="expression" dxfId="607" priority="322">
      <formula>IF(N7+O7&gt;N9+O9,1,0)</formula>
    </cfRule>
  </conditionalFormatting>
  <conditionalFormatting sqref="M9">
    <cfRule type="expression" dxfId="606" priority="321">
      <formula>IF(N9+O9&gt;N11+O11,1,0)</formula>
    </cfRule>
  </conditionalFormatting>
  <conditionalFormatting sqref="O35:O36">
    <cfRule type="expression" priority="318" stopIfTrue="1">
      <formula>IF(N35="",1)</formula>
    </cfRule>
    <cfRule type="expression" dxfId="605" priority="320">
      <formula>IF(N35=N37,1,0)</formula>
    </cfRule>
  </conditionalFormatting>
  <conditionalFormatting sqref="O37">
    <cfRule type="expression" priority="317" stopIfTrue="1">
      <formula>IF(N37="",1,0)</formula>
    </cfRule>
    <cfRule type="expression" dxfId="604" priority="319">
      <formula>IF(N35=N37,1,0)</formula>
    </cfRule>
  </conditionalFormatting>
  <conditionalFormatting sqref="O42:O43">
    <cfRule type="expression" priority="314" stopIfTrue="1">
      <formula>IF(N42="",1)</formula>
    </cfRule>
    <cfRule type="expression" dxfId="603" priority="316">
      <formula>IF(N42=N44,1,0)</formula>
    </cfRule>
  </conditionalFormatting>
  <conditionalFormatting sqref="O44">
    <cfRule type="expression" priority="313" stopIfTrue="1">
      <formula>IF(N44="",1,0)</formula>
    </cfRule>
    <cfRule type="expression" dxfId="602" priority="315">
      <formula>IF(N42=N44,1,0)</formula>
    </cfRule>
  </conditionalFormatting>
  <conditionalFormatting sqref="O49:O50">
    <cfRule type="expression" priority="310" stopIfTrue="1">
      <formula>IF(N49="",1)</formula>
    </cfRule>
    <cfRule type="expression" dxfId="601" priority="312">
      <formula>IF(N49=N51,1,0)</formula>
    </cfRule>
  </conditionalFormatting>
  <conditionalFormatting sqref="O51">
    <cfRule type="expression" priority="309" stopIfTrue="1">
      <formula>IF(N51="",1,0)</formula>
    </cfRule>
    <cfRule type="expression" dxfId="600" priority="311">
      <formula>IF(N49=N51,1,0)</formula>
    </cfRule>
  </conditionalFormatting>
  <conditionalFormatting sqref="O56:O57">
    <cfRule type="expression" priority="306" stopIfTrue="1">
      <formula>IF(N56="",1)</formula>
    </cfRule>
    <cfRule type="expression" dxfId="599" priority="308">
      <formula>IF(N56=N58,1,0)</formula>
    </cfRule>
  </conditionalFormatting>
  <conditionalFormatting sqref="O58">
    <cfRule type="expression" priority="305" stopIfTrue="1">
      <formula>IF(N58="",1,0)</formula>
    </cfRule>
    <cfRule type="expression" dxfId="598" priority="307">
      <formula>IF(N56=N58,1,0)</formula>
    </cfRule>
  </conditionalFormatting>
  <conditionalFormatting sqref="M42">
    <cfRule type="expression" dxfId="597" priority="272">
      <formula>IF(N42+O42&gt;N44+O44,1,0)</formula>
    </cfRule>
  </conditionalFormatting>
  <conditionalFormatting sqref="M44">
    <cfRule type="expression" dxfId="596" priority="271">
      <formula>IF(N44+O44&gt;N46+O46,1,0)</formula>
    </cfRule>
  </conditionalFormatting>
  <conditionalFormatting sqref="M49">
    <cfRule type="expression" dxfId="595" priority="270">
      <formula>IF(N49+O49&gt;N51+O51,1,0)</formula>
    </cfRule>
  </conditionalFormatting>
  <conditionalFormatting sqref="M51">
    <cfRule type="expression" dxfId="594" priority="269">
      <formula>IF(N51+O51&gt;N53+O53,1,0)</formula>
    </cfRule>
  </conditionalFormatting>
  <conditionalFormatting sqref="M56">
    <cfRule type="expression" dxfId="593" priority="268">
      <formula>IF(N56+O56&gt;N58+O58,1,0)</formula>
    </cfRule>
  </conditionalFormatting>
  <conditionalFormatting sqref="M58">
    <cfRule type="expression" dxfId="592" priority="267">
      <formula>IF(N58+O58&gt;N60+O60,1,0)</formula>
    </cfRule>
  </conditionalFormatting>
  <conditionalFormatting sqref="Y7">
    <cfRule type="expression" dxfId="591" priority="266">
      <formula>IF(Z7+AA7&gt;Z9+AA9,1,0)</formula>
    </cfRule>
  </conditionalFormatting>
  <conditionalFormatting sqref="Y9">
    <cfRule type="expression" dxfId="590" priority="265">
      <formula>IF(Z7+AA7&lt;Z9+AA9,1,0)</formula>
    </cfRule>
  </conditionalFormatting>
  <conditionalFormatting sqref="Y14">
    <cfRule type="expression" dxfId="589" priority="264">
      <formula>IF(Z14+AA14&gt;Z16+AA16,1,0)</formula>
    </cfRule>
  </conditionalFormatting>
  <conditionalFormatting sqref="Y16">
    <cfRule type="expression" dxfId="588" priority="263">
      <formula>IF(Z14+AA14&lt;Z16+AA16,1,0)</formula>
    </cfRule>
  </conditionalFormatting>
  <conditionalFormatting sqref="Y21">
    <cfRule type="expression" dxfId="587" priority="262">
      <formula>IF(Z21+AA21&gt;Z23+AA23,1,0)</formula>
    </cfRule>
  </conditionalFormatting>
  <conditionalFormatting sqref="Y23">
    <cfRule type="expression" dxfId="586" priority="261">
      <formula>IF(Z21+AA21&lt;Z23+AA23,1,0)</formula>
    </cfRule>
  </conditionalFormatting>
  <conditionalFormatting sqref="Y28">
    <cfRule type="expression" dxfId="585" priority="260">
      <formula>IF(Z28+AA28&gt;Z30+AA30,1,0)</formula>
    </cfRule>
  </conditionalFormatting>
  <conditionalFormatting sqref="Y30">
    <cfRule type="expression" dxfId="584" priority="259">
      <formula>IF(Z28+AA28&lt;Z30+AA30,1,0)</formula>
    </cfRule>
  </conditionalFormatting>
  <conditionalFormatting sqref="S28">
    <cfRule type="expression" dxfId="583" priority="242">
      <formula>IF(T28+U28&gt;T30+U30,1,0)</formula>
    </cfRule>
  </conditionalFormatting>
  <conditionalFormatting sqref="S30">
    <cfRule type="expression" dxfId="582" priority="241">
      <formula>IF(T28+U28&lt;T30+U30,1,0)</formula>
    </cfRule>
  </conditionalFormatting>
  <conditionalFormatting sqref="M35">
    <cfRule type="expression" dxfId="581" priority="240">
      <formula>IF(N35+O35&gt;N37+O37,1,0)</formula>
    </cfRule>
  </conditionalFormatting>
  <conditionalFormatting sqref="M37">
    <cfRule type="expression" dxfId="580" priority="239">
      <formula>IF(N37+O37&gt;N39+O39,1,0)</formula>
    </cfRule>
  </conditionalFormatting>
  <conditionalFormatting sqref="O64">
    <cfRule type="expression" priority="160" stopIfTrue="1">
      <formula>IF(N64="",1)</formula>
    </cfRule>
  </conditionalFormatting>
  <conditionalFormatting sqref="O63">
    <cfRule type="expression" priority="169" stopIfTrue="1">
      <formula>IF(N63="",1)</formula>
    </cfRule>
    <cfRule type="expression" dxfId="579" priority="170">
      <formula>OR(N63=N68,N63=N70,N63=N75,N63=N77,N63=N82,N63=N84)</formula>
    </cfRule>
  </conditionalFormatting>
  <conditionalFormatting sqref="O68">
    <cfRule type="expression" priority="140" stopIfTrue="1">
      <formula>IF(N68="",1)</formula>
    </cfRule>
    <cfRule type="expression" dxfId="578" priority="141">
      <formula>IF(N68=N70,1,0)</formula>
    </cfRule>
  </conditionalFormatting>
  <conditionalFormatting sqref="O69">
    <cfRule type="expression" priority="142" stopIfTrue="1">
      <formula>IF(N69="",1)</formula>
    </cfRule>
    <cfRule type="expression" dxfId="577" priority="143">
      <formula>IF(N69=N71,1,0)</formula>
    </cfRule>
  </conditionalFormatting>
  <conditionalFormatting sqref="O70">
    <cfRule type="expression" priority="138" stopIfTrue="1">
      <formula>IF(N70="",1)</formula>
    </cfRule>
    <cfRule type="expression" dxfId="576" priority="139">
      <formula>IF(N70=N68,1,0)</formula>
    </cfRule>
  </conditionalFormatting>
  <conditionalFormatting sqref="O75">
    <cfRule type="expression" priority="134" stopIfTrue="1">
      <formula>IF(N75="",1)</formula>
    </cfRule>
    <cfRule type="expression" dxfId="575" priority="135">
      <formula>IF(N75=N77,1,0)</formula>
    </cfRule>
  </conditionalFormatting>
  <conditionalFormatting sqref="O76">
    <cfRule type="expression" priority="136" stopIfTrue="1">
      <formula>IF(N76="",1)</formula>
    </cfRule>
    <cfRule type="expression" dxfId="574" priority="137">
      <formula>IF(N76=N78,1,0)</formula>
    </cfRule>
  </conditionalFormatting>
  <conditionalFormatting sqref="O77">
    <cfRule type="expression" priority="132" stopIfTrue="1">
      <formula>IF(N77="",1)</formula>
    </cfRule>
    <cfRule type="expression" dxfId="573" priority="133">
      <formula>IF(N77=N75,1,0)</formula>
    </cfRule>
  </conditionalFormatting>
  <conditionalFormatting sqref="O82">
    <cfRule type="expression" priority="128" stopIfTrue="1">
      <formula>IF(N82="",1)</formula>
    </cfRule>
    <cfRule type="expression" dxfId="572" priority="129">
      <formula>IF(N82=N84,1,0)</formula>
    </cfRule>
  </conditionalFormatting>
  <conditionalFormatting sqref="O83">
    <cfRule type="expression" priority="130" stopIfTrue="1">
      <formula>IF(N83="",1)</formula>
    </cfRule>
    <cfRule type="expression" dxfId="571" priority="131">
      <formula>IF(N83=N85,1,0)</formula>
    </cfRule>
  </conditionalFormatting>
  <conditionalFormatting sqref="O84">
    <cfRule type="expression" priority="126" stopIfTrue="1">
      <formula>IF(N84="",1)</formula>
    </cfRule>
    <cfRule type="expression" dxfId="570" priority="127">
      <formula>IF(N84=N82,1,0)</formula>
    </cfRule>
  </conditionalFormatting>
  <conditionalFormatting sqref="M63">
    <cfRule type="expression" dxfId="569" priority="117">
      <formula>IF(N63+O63&gt;N65+O65,1,0)</formula>
    </cfRule>
  </conditionalFormatting>
  <conditionalFormatting sqref="M68">
    <cfRule type="expression" dxfId="568" priority="104">
      <formula>IF(N68+O68&gt;N70+O70,1,0)</formula>
    </cfRule>
  </conditionalFormatting>
  <conditionalFormatting sqref="M70">
    <cfRule type="expression" dxfId="567" priority="103">
      <formula>IF(N70+O70&gt;N72+O72,1,0)</formula>
    </cfRule>
  </conditionalFormatting>
  <conditionalFormatting sqref="M75">
    <cfRule type="expression" dxfId="566" priority="102">
      <formula>IF(N75+O75&gt;N77+O77,1,0)</formula>
    </cfRule>
  </conditionalFormatting>
  <conditionalFormatting sqref="M77">
    <cfRule type="expression" dxfId="565" priority="101">
      <formula>IF(N77+O77&gt;N79+O79,1,0)</formula>
    </cfRule>
  </conditionalFormatting>
  <conditionalFormatting sqref="M82">
    <cfRule type="expression" dxfId="564" priority="100">
      <formula>IF(N82+O82&gt;N84+O84,1,0)</formula>
    </cfRule>
  </conditionalFormatting>
  <conditionalFormatting sqref="M84">
    <cfRule type="expression" dxfId="563" priority="99">
      <formula>IF(N84+O84&gt;N86+O86,1,0)</formula>
    </cfRule>
  </conditionalFormatting>
  <conditionalFormatting sqref="U35:U36">
    <cfRule type="expression" priority="95" stopIfTrue="1">
      <formula>IF(T35="",1)</formula>
    </cfRule>
    <cfRule type="expression" dxfId="562" priority="97">
      <formula>IF(T35=T37,1,0)</formula>
    </cfRule>
  </conditionalFormatting>
  <conditionalFormatting sqref="U37">
    <cfRule type="expression" priority="94" stopIfTrue="1">
      <formula>IF(T37="",1,0)</formula>
    </cfRule>
    <cfRule type="expression" dxfId="561" priority="96">
      <formula>IF(T35=T37,1,0)</formula>
    </cfRule>
  </conditionalFormatting>
  <conditionalFormatting sqref="U42:U43">
    <cfRule type="expression" priority="91" stopIfTrue="1">
      <formula>IF(T42="",1)</formula>
    </cfRule>
    <cfRule type="expression" dxfId="560" priority="93">
      <formula>IF(T42=T44,1,0)</formula>
    </cfRule>
  </conditionalFormatting>
  <conditionalFormatting sqref="U44">
    <cfRule type="expression" priority="90" stopIfTrue="1">
      <formula>IF(T44="",1,0)</formula>
    </cfRule>
    <cfRule type="expression" dxfId="559" priority="92">
      <formula>IF(T42=T44,1,0)</formula>
    </cfRule>
  </conditionalFormatting>
  <conditionalFormatting sqref="U49:U50">
    <cfRule type="expression" priority="87" stopIfTrue="1">
      <formula>IF(T49="",1)</formula>
    </cfRule>
    <cfRule type="expression" dxfId="558" priority="89">
      <formula>IF(T49=T51,1,0)</formula>
    </cfRule>
  </conditionalFormatting>
  <conditionalFormatting sqref="U51">
    <cfRule type="expression" priority="86" stopIfTrue="1">
      <formula>IF(T51="",1,0)</formula>
    </cfRule>
    <cfRule type="expression" dxfId="557" priority="88">
      <formula>IF(T49=T51,1,0)</formula>
    </cfRule>
  </conditionalFormatting>
  <conditionalFormatting sqref="U56:U57">
    <cfRule type="expression" priority="83" stopIfTrue="1">
      <formula>IF(T56="",1)</formula>
    </cfRule>
    <cfRule type="expression" dxfId="556" priority="85">
      <formula>IF(T56=T58,1,0)</formula>
    </cfRule>
  </conditionalFormatting>
  <conditionalFormatting sqref="U58">
    <cfRule type="expression" priority="82" stopIfTrue="1">
      <formula>IF(T58="",1,0)</formula>
    </cfRule>
    <cfRule type="expression" dxfId="555" priority="84">
      <formula>IF(T56=T58,1,0)</formula>
    </cfRule>
  </conditionalFormatting>
  <conditionalFormatting sqref="S56">
    <cfRule type="expression" dxfId="554" priority="81">
      <formula>IF(T56+U56&gt;T58+U58,1,0)</formula>
    </cfRule>
  </conditionalFormatting>
  <conditionalFormatting sqref="S58">
    <cfRule type="expression" dxfId="553" priority="80">
      <formula>IF(T56+U56&lt;T58+U58,1,0)</formula>
    </cfRule>
  </conditionalFormatting>
  <conditionalFormatting sqref="S49">
    <cfRule type="expression" dxfId="552" priority="79">
      <formula>IF(T49+U49&gt;T51+U51,1,0)</formula>
    </cfRule>
  </conditionalFormatting>
  <conditionalFormatting sqref="S51">
    <cfRule type="expression" dxfId="551" priority="78">
      <formula>IF(T49+U49&lt;T51+U51,1,0)</formula>
    </cfRule>
  </conditionalFormatting>
  <conditionalFormatting sqref="S42">
    <cfRule type="expression" dxfId="550" priority="77">
      <formula>IF(T42+U42&gt;T44+U44,1,0)</formula>
    </cfRule>
  </conditionalFormatting>
  <conditionalFormatting sqref="S44">
    <cfRule type="expression" dxfId="549" priority="76">
      <formula>IF(T42+U42&lt;T44+U44,1,0)</formula>
    </cfRule>
  </conditionalFormatting>
  <conditionalFormatting sqref="S35">
    <cfRule type="expression" dxfId="548" priority="75">
      <formula>IF(T35+U35&gt;T37+U37,1,0)</formula>
    </cfRule>
  </conditionalFormatting>
  <conditionalFormatting sqref="S37">
    <cfRule type="expression" dxfId="547" priority="74">
      <formula>IF(T35+U35&lt;T37+U37,1,0)</formula>
    </cfRule>
  </conditionalFormatting>
  <conditionalFormatting sqref="AA35:AA36">
    <cfRule type="expression" priority="71" stopIfTrue="1">
      <formula>IF(Z35="",1)</formula>
    </cfRule>
    <cfRule type="expression" dxfId="546" priority="73">
      <formula>IF(Z35=Z37,1,0)</formula>
    </cfRule>
  </conditionalFormatting>
  <conditionalFormatting sqref="AA37">
    <cfRule type="expression" priority="70" stopIfTrue="1">
      <formula>IF(Z37="",1,0)</formula>
    </cfRule>
    <cfRule type="expression" dxfId="545" priority="72">
      <formula>IF(Z35=Z37,1,0)</formula>
    </cfRule>
  </conditionalFormatting>
  <conditionalFormatting sqref="AA42:AA43">
    <cfRule type="expression" priority="67" stopIfTrue="1">
      <formula>IF(Z42="",1)</formula>
    </cfRule>
    <cfRule type="expression" dxfId="544" priority="69">
      <formula>IF(Z42=Z44,1,0)</formula>
    </cfRule>
  </conditionalFormatting>
  <conditionalFormatting sqref="AA44">
    <cfRule type="expression" priority="66" stopIfTrue="1">
      <formula>IF(Z44="",1,0)</formula>
    </cfRule>
    <cfRule type="expression" dxfId="543" priority="68">
      <formula>IF(Z42=Z44,1,0)</formula>
    </cfRule>
  </conditionalFormatting>
  <conditionalFormatting sqref="AA49:AA50">
    <cfRule type="expression" priority="63" stopIfTrue="1">
      <formula>IF(Z49="",1)</formula>
    </cfRule>
    <cfRule type="expression" dxfId="542" priority="65">
      <formula>IF(Z49=Z51,1,0)</formula>
    </cfRule>
  </conditionalFormatting>
  <conditionalFormatting sqref="AA51">
    <cfRule type="expression" priority="62" stopIfTrue="1">
      <formula>IF(Z51="",1,0)</formula>
    </cfRule>
    <cfRule type="expression" dxfId="541" priority="64">
      <formula>IF(Z49=Z51,1,0)</formula>
    </cfRule>
  </conditionalFormatting>
  <conditionalFormatting sqref="AA56:AA57">
    <cfRule type="expression" priority="59" stopIfTrue="1">
      <formula>IF(Z56="",1)</formula>
    </cfRule>
    <cfRule type="expression" dxfId="540" priority="61">
      <formula>IF(Z56=Z58,1,0)</formula>
    </cfRule>
  </conditionalFormatting>
  <conditionalFormatting sqref="AA58">
    <cfRule type="expression" priority="58" stopIfTrue="1">
      <formula>IF(Z58="",1,0)</formula>
    </cfRule>
    <cfRule type="expression" dxfId="539" priority="60">
      <formula>IF(Z56=Z58,1,0)</formula>
    </cfRule>
  </conditionalFormatting>
  <conditionalFormatting sqref="Y35">
    <cfRule type="expression" dxfId="538" priority="57">
      <formula>IF(Z35+AA35&gt;Z37+AA37,1,0)</formula>
    </cfRule>
  </conditionalFormatting>
  <conditionalFormatting sqref="Y37">
    <cfRule type="expression" dxfId="537" priority="56">
      <formula>IF(Z35+AA35&lt;Z37+AA37,1,0)</formula>
    </cfRule>
  </conditionalFormatting>
  <conditionalFormatting sqref="Y42">
    <cfRule type="expression" dxfId="536" priority="55">
      <formula>IF(Z42+AA42&gt;Z44+AA44,1,0)</formula>
    </cfRule>
  </conditionalFormatting>
  <conditionalFormatting sqref="Y44">
    <cfRule type="expression" dxfId="535" priority="54">
      <formula>IF(Z42+AA42&lt;Z44+AA44,1,0)</formula>
    </cfRule>
  </conditionalFormatting>
  <conditionalFormatting sqref="Y49">
    <cfRule type="expression" dxfId="534" priority="53">
      <formula>IF(Z49+AA49&gt;Z51+AA51,1,0)</formula>
    </cfRule>
  </conditionalFormatting>
  <conditionalFormatting sqref="Y51">
    <cfRule type="expression" dxfId="533" priority="52">
      <formula>IF(Z49+AA49&lt;Z51+AA51,1,0)</formula>
    </cfRule>
  </conditionalFormatting>
  <conditionalFormatting sqref="Y56">
    <cfRule type="expression" dxfId="532" priority="51">
      <formula>IF(Z56+AA56&gt;Z58+AA58,1,0)</formula>
    </cfRule>
  </conditionalFormatting>
  <conditionalFormatting sqref="Y58">
    <cfRule type="expression" dxfId="531" priority="50">
      <formula>IF(Z56+AA56&lt;Z58+AA58,1,0)</formula>
    </cfRule>
  </conditionalFormatting>
  <conditionalFormatting sqref="U63">
    <cfRule type="expression" priority="44" stopIfTrue="1">
      <formula>IF(T63="",1)</formula>
    </cfRule>
    <cfRule type="expression" dxfId="530" priority="45">
      <formula>OR(T63=T65,T63=T67)</formula>
    </cfRule>
  </conditionalFormatting>
  <conditionalFormatting sqref="U66">
    <cfRule type="expression" priority="42" stopIfTrue="1">
      <formula>IF(T66="",1)</formula>
    </cfRule>
    <cfRule type="expression" dxfId="529" priority="43">
      <formula>IF(T66=#REF!,1,0)</formula>
    </cfRule>
  </conditionalFormatting>
  <conditionalFormatting sqref="U65">
    <cfRule type="expression" priority="40" stopIfTrue="1">
      <formula>IF(T65="",1)</formula>
    </cfRule>
    <cfRule type="expression" dxfId="528" priority="41">
      <formula>OR(T65=T67,T65=T63)</formula>
    </cfRule>
  </conditionalFormatting>
  <conditionalFormatting sqref="U64">
    <cfRule type="expression" priority="38" stopIfTrue="1">
      <formula>IF(T64="",1)</formula>
    </cfRule>
    <cfRule type="expression" dxfId="527" priority="39">
      <formula>IF(T64=#REF!,1,0)</formula>
    </cfRule>
  </conditionalFormatting>
  <conditionalFormatting sqref="U83">
    <cfRule type="expression" priority="36" stopIfTrue="1">
      <formula>IF(T83="",1,0)</formula>
    </cfRule>
    <cfRule type="expression" dxfId="526" priority="37">
      <formula>IF(T81=T83,1,0)</formula>
    </cfRule>
  </conditionalFormatting>
  <conditionalFormatting sqref="U76">
    <cfRule type="expression" priority="46" stopIfTrue="1">
      <formula>IF(T76="",1)</formula>
    </cfRule>
    <cfRule type="expression" dxfId="525" priority="47">
      <formula>IF(T76=T81,1,0)</formula>
    </cfRule>
  </conditionalFormatting>
  <conditionalFormatting sqref="U81">
    <cfRule type="expression" priority="48" stopIfTrue="1">
      <formula>IF(T81="",1,0)</formula>
    </cfRule>
    <cfRule type="expression" dxfId="524" priority="49">
      <formula>IF(T76=T81,1,0)</formula>
    </cfRule>
  </conditionalFormatting>
  <conditionalFormatting sqref="S76">
    <cfRule type="expression" dxfId="523" priority="35">
      <formula>IF(T76+U76&gt;T78+U78,1,0)</formula>
    </cfRule>
  </conditionalFormatting>
  <conditionalFormatting sqref="S78">
    <cfRule type="expression" dxfId="522" priority="34">
      <formula>IF(T78+U78&gt;T80+U80,1,0)</formula>
    </cfRule>
  </conditionalFormatting>
  <conditionalFormatting sqref="U69">
    <cfRule type="expression" priority="32" stopIfTrue="1">
      <formula>IF(T69="",1)</formula>
    </cfRule>
    <cfRule type="expression" dxfId="521" priority="33">
      <formula>OR(T69=T71,T69=T73)</formula>
    </cfRule>
  </conditionalFormatting>
  <conditionalFormatting sqref="U72">
    <cfRule type="expression" priority="30" stopIfTrue="1">
      <formula>IF(T72="",1)</formula>
    </cfRule>
    <cfRule type="expression" dxfId="520" priority="31">
      <formula>IF(T72=#REF!,1,0)</formula>
    </cfRule>
  </conditionalFormatting>
  <conditionalFormatting sqref="U71">
    <cfRule type="expression" priority="28" stopIfTrue="1">
      <formula>IF(T71="",1)</formula>
    </cfRule>
    <cfRule type="expression" dxfId="519" priority="29">
      <formula>OR(T71=T73,T71=T69)</formula>
    </cfRule>
  </conditionalFormatting>
  <conditionalFormatting sqref="U70">
    <cfRule type="expression" priority="26" stopIfTrue="1">
      <formula>IF(T70="",1)</formula>
    </cfRule>
    <cfRule type="expression" dxfId="518" priority="27">
      <formula>IF(T70=#REF!,1,0)</formula>
    </cfRule>
  </conditionalFormatting>
  <conditionalFormatting sqref="S63">
    <cfRule type="expression" dxfId="517" priority="25">
      <formula>IF(T63+U63&gt;T65+U65,1,0)</formula>
    </cfRule>
  </conditionalFormatting>
  <conditionalFormatting sqref="S65">
    <cfRule type="expression" dxfId="516" priority="24">
      <formula>IF(T63+U63&lt;T65+U65,1,0)</formula>
    </cfRule>
  </conditionalFormatting>
  <conditionalFormatting sqref="S69">
    <cfRule type="expression" dxfId="515" priority="23">
      <formula>IF(T69+U69&gt;T71+U71,1,0)</formula>
    </cfRule>
  </conditionalFormatting>
  <conditionalFormatting sqref="S71">
    <cfRule type="expression" dxfId="514" priority="22">
      <formula>IF(T69+U69&lt;T71+U71,1,0)</formula>
    </cfRule>
  </conditionalFormatting>
  <conditionalFormatting sqref="S81">
    <cfRule type="expression" dxfId="513" priority="21">
      <formula>IF(T81+U81&gt;T83+U83,1,0)</formula>
    </cfRule>
  </conditionalFormatting>
  <conditionalFormatting sqref="S83">
    <cfRule type="expression" dxfId="512" priority="20">
      <formula>IF(T81+U81&lt;T83+U83,1,0)</formula>
    </cfRule>
  </conditionalFormatting>
  <conditionalFormatting sqref="AA63:AA64">
    <cfRule type="expression" priority="17" stopIfTrue="1">
      <formula>IF(Z63="",1)</formula>
    </cfRule>
    <cfRule type="expression" dxfId="511" priority="19">
      <formula>IF(Z63=Z65,1,0)</formula>
    </cfRule>
  </conditionalFormatting>
  <conditionalFormatting sqref="AA65">
    <cfRule type="expression" priority="16" stopIfTrue="1">
      <formula>IF(Z65="",1,0)</formula>
    </cfRule>
    <cfRule type="expression" dxfId="510" priority="18">
      <formula>IF(Z63=Z65,1,0)</formula>
    </cfRule>
  </conditionalFormatting>
  <conditionalFormatting sqref="AA70:AA71">
    <cfRule type="expression" priority="13" stopIfTrue="1">
      <formula>IF(Z70="",1)</formula>
    </cfRule>
    <cfRule type="expression" dxfId="509" priority="15">
      <formula>IF(Z70=Z72,1,0)</formula>
    </cfRule>
  </conditionalFormatting>
  <conditionalFormatting sqref="AA72">
    <cfRule type="expression" priority="12" stopIfTrue="1">
      <formula>IF(Z72="",1,0)</formula>
    </cfRule>
    <cfRule type="expression" dxfId="508" priority="14">
      <formula>IF(Z70=Z72,1,0)</formula>
    </cfRule>
  </conditionalFormatting>
  <conditionalFormatting sqref="AA77:AA78">
    <cfRule type="expression" priority="9" stopIfTrue="1">
      <formula>IF(Z77="",1)</formula>
    </cfRule>
    <cfRule type="expression" dxfId="507" priority="11">
      <formula>IF(Z77=Z79,1,0)</formula>
    </cfRule>
  </conditionalFormatting>
  <conditionalFormatting sqref="AA79">
    <cfRule type="expression" priority="8" stopIfTrue="1">
      <formula>IF(Z79="",1,0)</formula>
    </cfRule>
    <cfRule type="expression" dxfId="506" priority="10">
      <formula>IF(Z77=Z79,1,0)</formula>
    </cfRule>
  </conditionalFormatting>
  <conditionalFormatting sqref="Y63">
    <cfRule type="expression" dxfId="505" priority="7">
      <formula>IF(Z63+AA63&gt;Z65+AA65,1,0)</formula>
    </cfRule>
  </conditionalFormatting>
  <conditionalFormatting sqref="Y65">
    <cfRule type="expression" dxfId="504" priority="6">
      <formula>IF(Z63+AA63&lt;Z65+AA65,1,0)</formula>
    </cfRule>
  </conditionalFormatting>
  <conditionalFormatting sqref="Y70">
    <cfRule type="expression" dxfId="503" priority="5">
      <formula>IF(Z70+AA70&gt;Z72+AA72,1,0)</formula>
    </cfRule>
  </conditionalFormatting>
  <conditionalFormatting sqref="Y72">
    <cfRule type="expression" dxfId="502" priority="4">
      <formula>IF(Z70+AA70&lt;Z72+AA72,1,0)</formula>
    </cfRule>
  </conditionalFormatting>
  <conditionalFormatting sqref="Y77">
    <cfRule type="expression" dxfId="501" priority="3">
      <formula>IF(Z77+AA77&gt;Z79+AA79,1,0)</formula>
    </cfRule>
  </conditionalFormatting>
  <conditionalFormatting sqref="Y79">
    <cfRule type="expression" dxfId="500" priority="2">
      <formula>IF(Z77+AA77&lt;Z79+AA79,1,0)</formula>
    </cfRule>
  </conditionalFormatting>
  <conditionalFormatting sqref="Y83">
    <cfRule type="expression" dxfId="499" priority="1">
      <formula>IF(Z83+AA83&gt;Z85+AA85,1,0)</formula>
    </cfRule>
  </conditionalFormatting>
  <pageMargins left="0.39370078740157483" right="0.39370078740157483" top="0.39370078740157483" bottom="0.39370078740157483" header="0.31496062992125984" footer="0.31496062992125984"/>
  <pageSetup paperSize="9" scale="18"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ECCC8-3A75-4B52-BA71-1E33E437338F}">
  <sheetPr codeName="Feuil48">
    <pageSetUpPr fitToPage="1"/>
  </sheetPr>
  <dimension ref="A1:AY148"/>
  <sheetViews>
    <sheetView topLeftCell="K1" zoomScale="75" workbookViewId="0">
      <selection activeCell="K88" sqref="K1:AA88"/>
    </sheetView>
  </sheetViews>
  <sheetFormatPr baseColWidth="10" defaultColWidth="10.85546875" defaultRowHeight="12.75" x14ac:dyDescent="0.2"/>
  <cols>
    <col min="1" max="1" width="3.7109375" style="435" hidden="1" customWidth="1"/>
    <col min="2" max="4" width="16.140625" style="435" hidden="1" customWidth="1"/>
    <col min="5" max="10" width="11.140625" style="435" hidden="1" customWidth="1"/>
    <col min="11" max="11" width="7.7109375" style="441" bestFit="1" customWidth="1"/>
    <col min="12" max="12" width="6.42578125" style="435" bestFit="1" customWidth="1"/>
    <col min="13" max="13" width="36.5703125" style="435" customWidth="1"/>
    <col min="14" max="14" width="10.85546875" style="442"/>
    <col min="15" max="15" width="4.7109375" style="441" bestFit="1" customWidth="1"/>
    <col min="16" max="16" width="15.7109375" style="441" customWidth="1"/>
    <col min="17" max="17" width="7.7109375" style="441" bestFit="1" customWidth="1"/>
    <col min="18" max="18" width="6.42578125" style="441" bestFit="1" customWidth="1"/>
    <col min="19" max="19" width="36.5703125" style="441" customWidth="1"/>
    <col min="20" max="20" width="10.85546875" style="442"/>
    <col min="21" max="21" width="4.85546875" style="441" bestFit="1" customWidth="1"/>
    <col min="22" max="22" width="15.85546875" style="441" customWidth="1"/>
    <col min="23" max="23" width="7.7109375" style="441" bestFit="1" customWidth="1"/>
    <col min="24" max="24" width="5.28515625" style="435" bestFit="1" customWidth="1"/>
    <col min="25" max="25" width="36.5703125" style="435" customWidth="1"/>
    <col min="26" max="26" width="10.85546875" style="442"/>
    <col min="27" max="27" width="4.85546875" style="441" bestFit="1" customWidth="1"/>
    <col min="28" max="28" width="6.5703125" style="435" customWidth="1"/>
    <col min="29" max="31" width="3.28515625" style="435" customWidth="1"/>
    <col min="32" max="32" width="10.85546875" style="435"/>
    <col min="33" max="33" width="24.140625" style="435" hidden="1" customWidth="1"/>
    <col min="34" max="36" width="36.85546875" style="435" customWidth="1"/>
    <col min="37" max="42" width="10.85546875" style="435"/>
    <col min="43" max="43" width="1.7109375" style="435" bestFit="1" customWidth="1"/>
    <col min="44" max="46" width="10.85546875" style="435"/>
    <col min="47" max="47" width="1.7109375" style="435" bestFit="1" customWidth="1"/>
    <col min="48" max="50" width="10.85546875" style="435"/>
    <col min="51" max="51" width="1.7109375" style="435" bestFit="1" customWidth="1"/>
    <col min="52" max="16384" width="10.85546875" style="435"/>
  </cols>
  <sheetData>
    <row r="1" spans="1:51" ht="55.5" customHeight="1" x14ac:dyDescent="0.2">
      <c r="B1" s="436"/>
      <c r="C1" s="436"/>
      <c r="D1" s="436"/>
      <c r="I1" s="437"/>
      <c r="J1" s="437"/>
      <c r="K1" s="988" t="str">
        <f>Championnat</f>
        <v>Championnat de France de Tir à l'ARC</v>
      </c>
      <c r="L1" s="988"/>
      <c r="M1" s="988"/>
      <c r="N1" s="988"/>
      <c r="O1" s="988"/>
      <c r="P1" s="988"/>
      <c r="Q1" s="988"/>
      <c r="R1" s="988"/>
      <c r="S1" s="988"/>
      <c r="T1" s="988"/>
      <c r="U1" s="988"/>
      <c r="V1" s="988"/>
      <c r="W1" s="988"/>
      <c r="X1" s="988"/>
      <c r="Y1" s="988"/>
      <c r="Z1" s="988"/>
      <c r="AA1" s="988"/>
      <c r="AB1" s="439"/>
      <c r="AC1" s="439"/>
      <c r="AD1" s="439"/>
      <c r="AE1" s="439"/>
      <c r="AF1" s="988" t="str">
        <f>Championnat</f>
        <v>Championnat de France de Tir à l'ARC</v>
      </c>
      <c r="AG1" s="988"/>
      <c r="AH1" s="988"/>
      <c r="AI1" s="988"/>
      <c r="AJ1" s="988"/>
      <c r="AK1" s="491"/>
      <c r="AL1" s="491"/>
      <c r="AM1" s="491"/>
      <c r="AN1" s="491"/>
      <c r="AO1" s="491"/>
      <c r="AP1" s="491"/>
      <c r="AQ1" s="491"/>
      <c r="AR1" s="491"/>
      <c r="AS1" s="491"/>
      <c r="AT1" s="491"/>
      <c r="AU1" s="491"/>
      <c r="AV1" s="491"/>
      <c r="AW1" s="491"/>
      <c r="AY1" s="491"/>
    </row>
    <row r="2" spans="1:51" ht="61.5" customHeight="1" x14ac:dyDescent="0.2">
      <c r="A2" s="437"/>
      <c r="I2" s="437"/>
      <c r="J2" s="437"/>
      <c r="K2" s="989" t="str">
        <f>CATEG_IMPORTEE</f>
        <v>Collèges Mixtes Etablissement</v>
      </c>
      <c r="L2" s="989"/>
      <c r="M2" s="989"/>
      <c r="N2" s="989"/>
      <c r="O2" s="989"/>
      <c r="P2" s="989"/>
      <c r="Q2" s="989"/>
      <c r="R2" s="989"/>
      <c r="S2" s="989"/>
      <c r="T2" s="989"/>
      <c r="U2" s="989"/>
      <c r="V2" s="989"/>
      <c r="W2" s="989"/>
      <c r="X2" s="989"/>
      <c r="Y2" s="989"/>
      <c r="Z2" s="989"/>
      <c r="AA2" s="438"/>
      <c r="AB2" s="439"/>
      <c r="AC2" s="439"/>
      <c r="AD2" s="439"/>
      <c r="AE2" s="439"/>
      <c r="AF2" s="990" t="str">
        <f>CATEG_IMPORTEE</f>
        <v>Collèges Mixtes Etablissement</v>
      </c>
      <c r="AG2" s="990"/>
      <c r="AH2" s="990"/>
      <c r="AI2" s="990"/>
      <c r="AJ2" s="990"/>
      <c r="AK2" s="492"/>
      <c r="AL2" s="492"/>
      <c r="AM2" s="492"/>
      <c r="AN2" s="492"/>
      <c r="AO2" s="492"/>
      <c r="AP2" s="492"/>
      <c r="AQ2" s="492"/>
      <c r="AR2" s="492"/>
      <c r="AS2" s="492"/>
      <c r="AT2" s="492"/>
      <c r="AU2" s="492"/>
      <c r="AV2" s="492"/>
      <c r="AW2" s="492"/>
      <c r="AY2" s="492"/>
    </row>
    <row r="3" spans="1:51" ht="42" customHeight="1" x14ac:dyDescent="0.2">
      <c r="B3" s="440" t="s">
        <v>774</v>
      </c>
      <c r="I3" s="437"/>
      <c r="J3" s="437"/>
      <c r="N3" s="991" t="str">
        <f>LIEU&amp;" du "&amp;DATE</f>
        <v>L’Isle sur la Sorgue du 27 au 31 mars 2023</v>
      </c>
      <c r="O3" s="991"/>
      <c r="P3" s="991"/>
      <c r="Q3" s="991"/>
      <c r="R3" s="991"/>
      <c r="S3" s="991"/>
      <c r="T3" s="991"/>
      <c r="U3" s="991"/>
      <c r="V3" s="991"/>
      <c r="W3" s="991"/>
      <c r="X3" s="991"/>
      <c r="AF3" s="991" t="str">
        <f>LIEU&amp;" du "&amp;DATE</f>
        <v>L’Isle sur la Sorgue du 27 au 31 mars 2023</v>
      </c>
      <c r="AG3" s="991"/>
      <c r="AH3" s="991"/>
      <c r="AI3" s="991"/>
      <c r="AJ3" s="991"/>
      <c r="AK3" s="493"/>
      <c r="AL3" s="493"/>
      <c r="AM3" s="493"/>
      <c r="AN3" s="493"/>
      <c r="AO3" s="493"/>
      <c r="AP3" s="493"/>
      <c r="AQ3" s="493"/>
      <c r="AR3" s="493"/>
      <c r="AS3" s="493"/>
      <c r="AT3" s="493"/>
      <c r="AU3" s="493"/>
      <c r="AW3" s="442"/>
      <c r="AY3" s="493"/>
    </row>
    <row r="4" spans="1:51" ht="21" customHeight="1" x14ac:dyDescent="0.2">
      <c r="B4" s="440" t="s">
        <v>775</v>
      </c>
      <c r="C4" s="462" t="s">
        <v>375</v>
      </c>
      <c r="D4" s="462" t="s">
        <v>374</v>
      </c>
      <c r="E4" s="440" t="s">
        <v>776</v>
      </c>
      <c r="F4" s="487" t="s">
        <v>838</v>
      </c>
      <c r="G4" s="488" t="s">
        <v>837</v>
      </c>
      <c r="H4" s="898"/>
      <c r="I4" s="437"/>
      <c r="J4" s="437"/>
      <c r="K4" s="979" t="s">
        <v>815</v>
      </c>
      <c r="L4" s="979"/>
      <c r="M4" s="979"/>
      <c r="N4" s="979"/>
      <c r="O4" s="443"/>
      <c r="P4" s="443"/>
      <c r="Q4" s="979" t="s">
        <v>816</v>
      </c>
      <c r="R4" s="979"/>
      <c r="S4" s="979"/>
      <c r="T4" s="979"/>
      <c r="U4" s="443"/>
      <c r="V4" s="443"/>
      <c r="W4" s="979" t="s">
        <v>817</v>
      </c>
      <c r="X4" s="979"/>
      <c r="Y4" s="979"/>
      <c r="Z4" s="979"/>
      <c r="AA4" s="443"/>
      <c r="AH4" s="980" t="s">
        <v>778</v>
      </c>
      <c r="AI4" s="980"/>
      <c r="AJ4" s="980"/>
      <c r="AN4" s="497" t="s">
        <v>848</v>
      </c>
    </row>
    <row r="5" spans="1:51" ht="15.95" customHeight="1" thickBot="1" x14ac:dyDescent="0.25">
      <c r="A5" s="435">
        <v>1</v>
      </c>
      <c r="B5" s="444" t="str">
        <f ca="1">INDIRECT("'Imp. Qualif.'!L"&amp;INDIRECT("f"&amp;ROW()))</f>
        <v/>
      </c>
      <c r="C5" s="444" t="str">
        <f ca="1">INDIRECT("'Imp. Qualif.'!M"&amp;INDIRECT("f"&amp;ROW()))</f>
        <v/>
      </c>
      <c r="D5" s="444" t="str">
        <f ca="1">INDIRECT("'Imp. Qualif.'!N"&amp;INDIRECT("f"&amp;ROW()))</f>
        <v/>
      </c>
      <c r="E5" s="486">
        <f ca="1">INDIRECT("'Imp. Qualif.'!O"&amp;INDIRECT("f"&amp;ROW()))</f>
        <v>0</v>
      </c>
      <c r="F5" s="489">
        <v>11</v>
      </c>
      <c r="G5" s="488" t="str">
        <f ca="1">B5&amp;C5</f>
        <v/>
      </c>
      <c r="H5" s="898" t="str">
        <f ca="1">IF(B5&lt;&gt;"",B5,"")</f>
        <v/>
      </c>
      <c r="I5" s="898" t="str">
        <f t="shared" ref="I5:J20" ca="1" si="0">IF(C5&lt;&gt;"",C5,"")</f>
        <v/>
      </c>
      <c r="J5" s="898" t="str">
        <f t="shared" ca="1" si="0"/>
        <v/>
      </c>
      <c r="L5" s="979" t="s">
        <v>836</v>
      </c>
      <c r="M5" s="1247"/>
      <c r="N5" s="1247"/>
      <c r="O5" s="443"/>
      <c r="P5" s="443"/>
      <c r="R5" s="979" t="s">
        <v>818</v>
      </c>
      <c r="S5" s="1247"/>
      <c r="T5" s="1247"/>
      <c r="U5" s="443"/>
      <c r="V5" s="443"/>
      <c r="W5" s="445"/>
      <c r="X5" s="979" t="s">
        <v>777</v>
      </c>
      <c r="Y5" s="1247"/>
      <c r="Z5" s="1247"/>
      <c r="AA5" s="443"/>
      <c r="AH5" s="981"/>
      <c r="AI5" s="981"/>
      <c r="AJ5" s="981"/>
      <c r="AN5" s="494" t="s">
        <v>839</v>
      </c>
      <c r="AO5" s="494" t="s">
        <v>840</v>
      </c>
      <c r="AP5" s="494" t="s">
        <v>841</v>
      </c>
      <c r="AQ5" s="496" t="s">
        <v>793</v>
      </c>
      <c r="AR5" s="494" t="s">
        <v>842</v>
      </c>
      <c r="AS5" s="494" t="s">
        <v>843</v>
      </c>
      <c r="AT5" s="494" t="s">
        <v>844</v>
      </c>
      <c r="AU5" s="496" t="s">
        <v>793</v>
      </c>
      <c r="AV5" s="494" t="s">
        <v>845</v>
      </c>
      <c r="AW5" s="494" t="s">
        <v>846</v>
      </c>
      <c r="AX5" s="494" t="s">
        <v>847</v>
      </c>
      <c r="AY5" s="496" t="s">
        <v>793</v>
      </c>
    </row>
    <row r="6" spans="1:51" ht="15.95" customHeight="1" thickBot="1" x14ac:dyDescent="0.25">
      <c r="A6" s="435">
        <v>2</v>
      </c>
      <c r="B6" s="444" t="str">
        <f t="shared" ref="B6:B28" ca="1" si="1">INDIRECT("'Imp. Qualif.'!L"&amp;INDIRECT("f"&amp;ROW()))</f>
        <v/>
      </c>
      <c r="C6" s="444" t="str">
        <f t="shared" ref="C6:C28" ca="1" si="2">INDIRECT("'Imp. Qualif.'!M"&amp;INDIRECT("f"&amp;ROW()))</f>
        <v/>
      </c>
      <c r="D6" s="444" t="str">
        <f t="shared" ref="D6:D28" ca="1" si="3">INDIRECT("'Imp. Qualif.'!N"&amp;INDIRECT("f"&amp;ROW()))</f>
        <v/>
      </c>
      <c r="E6" s="486">
        <f t="shared" ref="E6:E28" ca="1" si="4">INDIRECT("'Imp. Qualif.'!O"&amp;INDIRECT("f"&amp;ROW()))</f>
        <v>0</v>
      </c>
      <c r="F6" s="489">
        <v>12</v>
      </c>
      <c r="G6" s="488" t="str">
        <f t="shared" ref="G6:G28" ca="1" si="5">B6&amp;C6</f>
        <v/>
      </c>
      <c r="H6" s="898" t="str">
        <f t="shared" ref="H6:J28" ca="1" si="6">IF(B6&lt;&gt;"",B6,"")</f>
        <v/>
      </c>
      <c r="I6" s="898" t="str">
        <f t="shared" ca="1" si="0"/>
        <v/>
      </c>
      <c r="J6" s="898" t="str">
        <f t="shared" ca="1" si="0"/>
        <v/>
      </c>
      <c r="K6" s="445" t="s">
        <v>779</v>
      </c>
      <c r="L6" s="779" t="s">
        <v>1083</v>
      </c>
      <c r="M6" s="456" t="s">
        <v>481</v>
      </c>
      <c r="N6" s="464" t="s">
        <v>780</v>
      </c>
      <c r="O6" s="446" t="s">
        <v>781</v>
      </c>
      <c r="P6" s="445"/>
      <c r="Q6" s="445" t="s">
        <v>779</v>
      </c>
      <c r="R6" s="779" t="s">
        <v>1083</v>
      </c>
      <c r="S6" s="456" t="s">
        <v>481</v>
      </c>
      <c r="T6" s="464" t="s">
        <v>780</v>
      </c>
      <c r="U6" s="446" t="s">
        <v>781</v>
      </c>
      <c r="V6" s="445"/>
      <c r="W6" s="445" t="s">
        <v>779</v>
      </c>
      <c r="X6" s="779" t="s">
        <v>1083</v>
      </c>
      <c r="Y6" s="456" t="s">
        <v>481</v>
      </c>
      <c r="Z6" s="464" t="s">
        <v>780</v>
      </c>
      <c r="AA6" s="446" t="s">
        <v>781</v>
      </c>
      <c r="AH6" s="483" t="s">
        <v>782</v>
      </c>
      <c r="AI6" s="484" t="s">
        <v>375</v>
      </c>
      <c r="AJ6" s="485" t="s">
        <v>783</v>
      </c>
      <c r="AN6" s="494">
        <f>K7</f>
        <v>1</v>
      </c>
      <c r="AO6" s="495" t="str">
        <f ca="1">L8</f>
        <v/>
      </c>
      <c r="AP6" s="495" t="str">
        <f ca="1">AO7</f>
        <v/>
      </c>
      <c r="AQ6" s="496" t="s">
        <v>793</v>
      </c>
      <c r="AR6" s="494">
        <f>Q7</f>
        <v>1</v>
      </c>
      <c r="AS6" s="495" t="str">
        <f>R8</f>
        <v/>
      </c>
      <c r="AT6" s="495" t="str">
        <f>AS7</f>
        <v/>
      </c>
      <c r="AU6" s="496" t="s">
        <v>793</v>
      </c>
      <c r="AV6" s="494">
        <f>W7</f>
        <v>1</v>
      </c>
      <c r="AW6" s="495" t="str">
        <f>X8</f>
        <v/>
      </c>
      <c r="AX6" s="495" t="str">
        <f>AW7</f>
        <v/>
      </c>
      <c r="AY6" s="496" t="s">
        <v>793</v>
      </c>
    </row>
    <row r="7" spans="1:51" ht="15.95" customHeight="1" thickBot="1" x14ac:dyDescent="0.25">
      <c r="A7" s="435">
        <v>3</v>
      </c>
      <c r="B7" s="444" t="str">
        <f t="shared" ca="1" si="1"/>
        <v/>
      </c>
      <c r="C7" s="444" t="str">
        <f t="shared" ca="1" si="2"/>
        <v/>
      </c>
      <c r="D7" s="444" t="str">
        <f t="shared" ca="1" si="3"/>
        <v/>
      </c>
      <c r="E7" s="486">
        <f t="shared" ca="1" si="4"/>
        <v>0</v>
      </c>
      <c r="F7" s="489">
        <v>13</v>
      </c>
      <c r="G7" s="488" t="str">
        <f t="shared" ca="1" si="5"/>
        <v/>
      </c>
      <c r="H7" s="898" t="str">
        <f t="shared" ca="1" si="6"/>
        <v/>
      </c>
      <c r="I7" s="898" t="str">
        <f t="shared" ca="1" si="0"/>
        <v/>
      </c>
      <c r="J7" s="898" t="str">
        <f t="shared" ca="1" si="0"/>
        <v/>
      </c>
      <c r="K7" s="447">
        <f>Num_Cible</f>
        <v>1</v>
      </c>
      <c r="L7" s="472">
        <v>1</v>
      </c>
      <c r="M7" s="465" t="str">
        <f ca="1">IFERROR(VLOOKUP(L8,$G$5:$J$28,2,FALSE),"")</f>
        <v/>
      </c>
      <c r="N7" s="966"/>
      <c r="O7" s="780"/>
      <c r="Q7" s="447">
        <f>K7</f>
        <v>1</v>
      </c>
      <c r="R7" s="472">
        <v>1</v>
      </c>
      <c r="S7" s="465" t="str">
        <f ca="1">IFERROR(VLOOKUP(R8,$G$5:$J$28,2,FALSE),"")</f>
        <v/>
      </c>
      <c r="T7" s="966"/>
      <c r="U7" s="780"/>
      <c r="W7" s="447">
        <f>Q7</f>
        <v>1</v>
      </c>
      <c r="X7" s="472">
        <v>1</v>
      </c>
      <c r="Y7" s="465" t="str">
        <f ca="1">IFERROR(VLOOKUP(X8,$G$5:$J$28,2,FALSE),"")</f>
        <v/>
      </c>
      <c r="Z7" s="966"/>
      <c r="AA7" s="780"/>
      <c r="AF7" s="448" t="s">
        <v>784</v>
      </c>
      <c r="AG7" s="435" t="str">
        <f>IF(ISBLANK(Z7),"",IF(Z7+AA7&gt;Z9+AA9,X8,X10))</f>
        <v/>
      </c>
      <c r="AH7" s="475" t="str">
        <f t="shared" ref="AH7:AH30" ca="1" si="7">IFERROR(VLOOKUP(AG7,$G$5:$J$28,2,FALSE),"")</f>
        <v/>
      </c>
      <c r="AI7" s="476" t="str">
        <f t="shared" ref="AI7:AI30" ca="1" si="8">IFERROR(VLOOKUP(AG7,$G$5:$J$28,3,FALSE),"")</f>
        <v/>
      </c>
      <c r="AJ7" s="934" t="str">
        <f t="shared" ref="AJ7:AJ30" ca="1" si="9">IFERROR(VLOOKUP(AG7,$G$5:$J$28,4,FALSE),"")</f>
        <v/>
      </c>
      <c r="AN7" s="494">
        <f>K9</f>
        <v>2</v>
      </c>
      <c r="AO7" s="495" t="str">
        <f ca="1">L10</f>
        <v/>
      </c>
      <c r="AP7" s="495" t="str">
        <f ca="1">AO6</f>
        <v/>
      </c>
      <c r="AQ7" s="496" t="s">
        <v>793</v>
      </c>
      <c r="AR7" s="494">
        <f>Q9</f>
        <v>2</v>
      </c>
      <c r="AS7" s="495" t="str">
        <f>R10</f>
        <v/>
      </c>
      <c r="AT7" s="495" t="str">
        <f>AS6</f>
        <v/>
      </c>
      <c r="AU7" s="496" t="s">
        <v>793</v>
      </c>
      <c r="AV7" s="494">
        <f>W9</f>
        <v>2</v>
      </c>
      <c r="AW7" s="495" t="str">
        <f>X10</f>
        <v/>
      </c>
      <c r="AX7" s="495" t="str">
        <f>AW6</f>
        <v/>
      </c>
      <c r="AY7" s="496" t="s">
        <v>793</v>
      </c>
    </row>
    <row r="8" spans="1:51" ht="15.95" customHeight="1" thickBot="1" x14ac:dyDescent="0.25">
      <c r="A8" s="435">
        <v>4</v>
      </c>
      <c r="B8" s="444" t="str">
        <f t="shared" ca="1" si="1"/>
        <v/>
      </c>
      <c r="C8" s="444" t="str">
        <f t="shared" ca="1" si="2"/>
        <v/>
      </c>
      <c r="D8" s="444" t="str">
        <f t="shared" ca="1" si="3"/>
        <v/>
      </c>
      <c r="E8" s="486">
        <f t="shared" ca="1" si="4"/>
        <v>0</v>
      </c>
      <c r="F8" s="489">
        <v>14</v>
      </c>
      <c r="G8" s="488" t="str">
        <f t="shared" ca="1" si="5"/>
        <v/>
      </c>
      <c r="H8" s="898" t="str">
        <f t="shared" ca="1" si="6"/>
        <v/>
      </c>
      <c r="I8" s="898" t="str">
        <f t="shared" ca="1" si="0"/>
        <v/>
      </c>
      <c r="J8" s="898" t="str">
        <f t="shared" ca="1" si="0"/>
        <v/>
      </c>
      <c r="K8" s="447"/>
      <c r="L8" s="473" t="str">
        <f ca="1">VLOOKUP(L7,$A$5:$G$24,7,FALSE)</f>
        <v/>
      </c>
      <c r="M8" s="466" t="str">
        <f ca="1">IFERROR(VLOOKUP(L8,$G$5:$J$28,3,FALSE),"")</f>
        <v/>
      </c>
      <c r="N8" s="967"/>
      <c r="Q8" s="447"/>
      <c r="R8" s="473" t="str">
        <f>IF(ISBLANK(N7),"",IF(O7+N7&gt;N9+O9,L8,L10))</f>
        <v/>
      </c>
      <c r="S8" s="466" t="str">
        <f ca="1">IFERROR(VLOOKUP(R8,$G$5:$J$28,3,FALSE),"")</f>
        <v/>
      </c>
      <c r="T8" s="967"/>
      <c r="W8" s="447"/>
      <c r="X8" s="473" t="str">
        <f>IF(ISBLANK(T7),"",IF(U7+T7&gt;T9+U9,R8,R10))</f>
        <v/>
      </c>
      <c r="Y8" s="466" t="str">
        <f ca="1">IFERROR(VLOOKUP(X8,$G$5:$J$28,3,FALSE),"")</f>
        <v/>
      </c>
      <c r="Z8" s="967"/>
      <c r="AF8" s="449" t="s">
        <v>785</v>
      </c>
      <c r="AG8" s="435" t="str">
        <f>IF(ISBLANK(Z7),"",IF(Z7+AA7&lt;Z9+AA9,X8,X10))</f>
        <v/>
      </c>
      <c r="AH8" s="478" t="str">
        <f t="shared" ca="1" si="7"/>
        <v/>
      </c>
      <c r="AI8" s="474" t="str">
        <f t="shared" ca="1" si="8"/>
        <v/>
      </c>
      <c r="AJ8" s="915" t="str">
        <f t="shared" ca="1" si="9"/>
        <v/>
      </c>
      <c r="AN8" s="494">
        <f>K14</f>
        <v>3</v>
      </c>
      <c r="AO8" s="495" t="str">
        <f ca="1">L15</f>
        <v/>
      </c>
      <c r="AP8" s="495" t="str">
        <f t="shared" ref="AP8" ca="1" si="10">AO9</f>
        <v/>
      </c>
      <c r="AQ8" s="496" t="s">
        <v>793</v>
      </c>
      <c r="AR8" s="494">
        <f>Q14</f>
        <v>3</v>
      </c>
      <c r="AS8" s="495" t="str">
        <f>R15</f>
        <v/>
      </c>
      <c r="AT8" s="495" t="str">
        <f t="shared" ref="AT8" si="11">AS9</f>
        <v/>
      </c>
      <c r="AU8" s="496" t="s">
        <v>793</v>
      </c>
      <c r="AV8" s="494">
        <f>W14</f>
        <v>3</v>
      </c>
      <c r="AW8" s="495" t="str">
        <f>X15</f>
        <v/>
      </c>
      <c r="AX8" s="495" t="str">
        <f t="shared" ref="AX8" si="12">AW9</f>
        <v/>
      </c>
      <c r="AY8" s="496" t="s">
        <v>793</v>
      </c>
    </row>
    <row r="9" spans="1:51" ht="15.95" customHeight="1" thickBot="1" x14ac:dyDescent="0.25">
      <c r="A9" s="435">
        <v>5</v>
      </c>
      <c r="B9" s="444" t="str">
        <f t="shared" ca="1" si="1"/>
        <v/>
      </c>
      <c r="C9" s="444" t="str">
        <f t="shared" ca="1" si="2"/>
        <v/>
      </c>
      <c r="D9" s="444" t="str">
        <f t="shared" ca="1" si="3"/>
        <v/>
      </c>
      <c r="E9" s="486">
        <f t="shared" ca="1" si="4"/>
        <v>0</v>
      </c>
      <c r="F9" s="489">
        <v>15</v>
      </c>
      <c r="G9" s="488" t="str">
        <f t="shared" ca="1" si="5"/>
        <v/>
      </c>
      <c r="H9" s="898" t="str">
        <f t="shared" ca="1" si="6"/>
        <v/>
      </c>
      <c r="I9" s="898" t="str">
        <f t="shared" ca="1" si="0"/>
        <v/>
      </c>
      <c r="J9" s="898" t="str">
        <f t="shared" ca="1" si="0"/>
        <v/>
      </c>
      <c r="K9" s="447">
        <f>K7+1</f>
        <v>2</v>
      </c>
      <c r="L9" s="472">
        <v>8</v>
      </c>
      <c r="M9" s="465" t="str">
        <f ca="1">IFERROR(VLOOKUP(L10,$G$5:$J$28,2,FALSE),"")</f>
        <v/>
      </c>
      <c r="N9" s="966"/>
      <c r="O9" s="780"/>
      <c r="Q9" s="447">
        <f>Q7+1</f>
        <v>2</v>
      </c>
      <c r="R9" s="472">
        <v>4</v>
      </c>
      <c r="S9" s="465" t="str">
        <f ca="1">IFERROR(VLOOKUP(R10,$G$5:$J$28,2,FALSE),"")</f>
        <v/>
      </c>
      <c r="T9" s="966"/>
      <c r="U9" s="780"/>
      <c r="W9" s="447">
        <f>W7+1</f>
        <v>2</v>
      </c>
      <c r="X9" s="472">
        <v>2</v>
      </c>
      <c r="Y9" s="465" t="str">
        <f ca="1">IFERROR(VLOOKUP(X10,$G$5:$J$28,2,FALSE),"")</f>
        <v/>
      </c>
      <c r="Z9" s="966"/>
      <c r="AA9" s="780"/>
      <c r="AF9" s="452" t="s">
        <v>786</v>
      </c>
      <c r="AG9" s="435" t="str">
        <f>IF(ISBLANK(Z14),"",IF(Z14+AA14&gt;Z16+AA16,X15,X17))</f>
        <v/>
      </c>
      <c r="AH9" s="478" t="str">
        <f t="shared" ca="1" si="7"/>
        <v/>
      </c>
      <c r="AI9" s="474" t="str">
        <f t="shared" ca="1" si="8"/>
        <v/>
      </c>
      <c r="AJ9" s="915" t="str">
        <f t="shared" ca="1" si="9"/>
        <v/>
      </c>
      <c r="AN9" s="494">
        <f>K16</f>
        <v>4</v>
      </c>
      <c r="AO9" s="495" t="str">
        <f ca="1">L17</f>
        <v/>
      </c>
      <c r="AP9" s="495" t="str">
        <f t="shared" ref="AP9" ca="1" si="13">AO8</f>
        <v/>
      </c>
      <c r="AQ9" s="496" t="s">
        <v>793</v>
      </c>
      <c r="AR9" s="494">
        <f>Q16</f>
        <v>4</v>
      </c>
      <c r="AS9" s="495" t="str">
        <f>R17</f>
        <v/>
      </c>
      <c r="AT9" s="495" t="str">
        <f t="shared" ref="AT9" si="14">AS8</f>
        <v/>
      </c>
      <c r="AU9" s="496" t="s">
        <v>793</v>
      </c>
      <c r="AV9" s="494">
        <f>W16</f>
        <v>4</v>
      </c>
      <c r="AW9" s="495" t="str">
        <f>X17</f>
        <v/>
      </c>
      <c r="AX9" s="495" t="str">
        <f t="shared" ref="AX9" si="15">AW8</f>
        <v/>
      </c>
      <c r="AY9" s="496" t="s">
        <v>793</v>
      </c>
    </row>
    <row r="10" spans="1:51" ht="15.95" customHeight="1" thickBot="1" x14ac:dyDescent="0.25">
      <c r="A10" s="435">
        <v>6</v>
      </c>
      <c r="B10" s="444" t="str">
        <f t="shared" ca="1" si="1"/>
        <v/>
      </c>
      <c r="C10" s="444" t="str">
        <f t="shared" ca="1" si="2"/>
        <v/>
      </c>
      <c r="D10" s="444" t="str">
        <f t="shared" ca="1" si="3"/>
        <v/>
      </c>
      <c r="E10" s="486">
        <f t="shared" ca="1" si="4"/>
        <v>0</v>
      </c>
      <c r="F10" s="489">
        <v>16</v>
      </c>
      <c r="G10" s="488" t="str">
        <f t="shared" ca="1" si="5"/>
        <v/>
      </c>
      <c r="H10" s="898" t="str">
        <f t="shared" ca="1" si="6"/>
        <v/>
      </c>
      <c r="I10" s="898" t="str">
        <f t="shared" ca="1" si="0"/>
        <v/>
      </c>
      <c r="J10" s="898" t="str">
        <f t="shared" ca="1" si="0"/>
        <v/>
      </c>
      <c r="K10" s="447"/>
      <c r="L10" s="473" t="str">
        <f ca="1">VLOOKUP(L9,$A$5:$G$24,7,FALSE)</f>
        <v/>
      </c>
      <c r="M10" s="466" t="str">
        <f ca="1">IFERROR(VLOOKUP(L10,$G$5:$J$28,3,FALSE),"")</f>
        <v/>
      </c>
      <c r="N10" s="967"/>
      <c r="Q10" s="447"/>
      <c r="R10" s="473" t="str">
        <f>IF(ISBLANK(N14),"",IF(O14+N14&gt;N16+O16,L15,L17))</f>
        <v/>
      </c>
      <c r="S10" s="466" t="str">
        <f ca="1">IFERROR(VLOOKUP(R10,$G$5:$J$28,3,FALSE),"")</f>
        <v/>
      </c>
      <c r="T10" s="967"/>
      <c r="W10" s="447"/>
      <c r="X10" s="473" t="str">
        <f>IF(ISBLANK(T14),"",IF(U14+T14&gt;T16+U16,R15,R17))</f>
        <v/>
      </c>
      <c r="Y10" s="466" t="str">
        <f ca="1">IFERROR(VLOOKUP(X10,$G$5:$J$28,3,FALSE),"")</f>
        <v/>
      </c>
      <c r="Z10" s="967"/>
      <c r="AF10" s="453" t="s">
        <v>788</v>
      </c>
      <c r="AG10" s="435" t="str">
        <f>IF(ISBLANK(Z14),"",IF(Z14+AA14&lt;Z16+AA16,X15,X17))</f>
        <v/>
      </c>
      <c r="AH10" s="478" t="str">
        <f t="shared" ca="1" si="7"/>
        <v/>
      </c>
      <c r="AI10" s="474" t="str">
        <f t="shared" ca="1" si="8"/>
        <v/>
      </c>
      <c r="AJ10" s="915" t="str">
        <f t="shared" ca="1" si="9"/>
        <v/>
      </c>
      <c r="AN10" s="494">
        <f>K21</f>
        <v>5</v>
      </c>
      <c r="AO10" s="495" t="str">
        <f ca="1">L22</f>
        <v/>
      </c>
      <c r="AP10" s="495" t="str">
        <f t="shared" ref="AP10" ca="1" si="16">AO11</f>
        <v/>
      </c>
      <c r="AQ10" s="496" t="s">
        <v>793</v>
      </c>
      <c r="AR10" s="494">
        <f>Q21</f>
        <v>5</v>
      </c>
      <c r="AS10" s="495" t="str">
        <f>R22</f>
        <v/>
      </c>
      <c r="AT10" s="495" t="str">
        <f t="shared" ref="AT10" si="17">AS11</f>
        <v/>
      </c>
      <c r="AU10" s="496" t="s">
        <v>793</v>
      </c>
      <c r="AV10" s="494">
        <f>W21</f>
        <v>5</v>
      </c>
      <c r="AW10" s="495" t="str">
        <f>X22</f>
        <v/>
      </c>
      <c r="AX10" s="495" t="str">
        <f t="shared" ref="AX10" si="18">AW11</f>
        <v/>
      </c>
      <c r="AY10" s="496" t="s">
        <v>793</v>
      </c>
    </row>
    <row r="11" spans="1:51" ht="15.95" customHeight="1" x14ac:dyDescent="0.2">
      <c r="A11" s="435">
        <v>7</v>
      </c>
      <c r="B11" s="444" t="str">
        <f t="shared" ca="1" si="1"/>
        <v/>
      </c>
      <c r="C11" s="444" t="str">
        <f t="shared" ca="1" si="2"/>
        <v/>
      </c>
      <c r="D11" s="444" t="str">
        <f t="shared" ca="1" si="3"/>
        <v/>
      </c>
      <c r="E11" s="486">
        <f t="shared" ca="1" si="4"/>
        <v>0</v>
      </c>
      <c r="F11" s="489">
        <v>17</v>
      </c>
      <c r="G11" s="488" t="str">
        <f t="shared" ca="1" si="5"/>
        <v/>
      </c>
      <c r="H11" s="898" t="str">
        <f t="shared" ca="1" si="6"/>
        <v/>
      </c>
      <c r="I11" s="898" t="str">
        <f t="shared" ca="1" si="0"/>
        <v/>
      </c>
      <c r="J11" s="898" t="str">
        <f t="shared" ca="1" si="0"/>
        <v/>
      </c>
      <c r="K11" s="450"/>
      <c r="L11" s="450"/>
      <c r="M11" s="450"/>
      <c r="N11" s="451"/>
      <c r="O11" s="450"/>
      <c r="P11" s="450"/>
      <c r="Q11" s="450"/>
      <c r="R11" s="437"/>
      <c r="S11" s="437"/>
      <c r="T11" s="451"/>
      <c r="U11" s="450"/>
      <c r="V11" s="450"/>
      <c r="W11" s="450"/>
      <c r="X11" s="450"/>
      <c r="Y11" s="450"/>
      <c r="Z11" s="451"/>
      <c r="AA11" s="450"/>
      <c r="AF11" s="453" t="s">
        <v>789</v>
      </c>
      <c r="AG11" s="435" t="str">
        <f>IF(ISBLANK(Z21),"",IF(Z21+AA21&gt;Z23+AA23,X22,X24))</f>
        <v/>
      </c>
      <c r="AH11" s="478" t="str">
        <f t="shared" ca="1" si="7"/>
        <v/>
      </c>
      <c r="AI11" s="474" t="str">
        <f t="shared" ca="1" si="8"/>
        <v/>
      </c>
      <c r="AJ11" s="915" t="str">
        <f t="shared" ca="1" si="9"/>
        <v/>
      </c>
      <c r="AN11" s="494">
        <f>K23</f>
        <v>6</v>
      </c>
      <c r="AO11" s="495" t="str">
        <f ca="1">L24</f>
        <v/>
      </c>
      <c r="AP11" s="495" t="str">
        <f t="shared" ref="AP11" ca="1" si="19">AO10</f>
        <v/>
      </c>
      <c r="AQ11" s="496" t="s">
        <v>793</v>
      </c>
      <c r="AR11" s="494">
        <f>Q23</f>
        <v>6</v>
      </c>
      <c r="AS11" s="495" t="str">
        <f>R24</f>
        <v/>
      </c>
      <c r="AT11" s="495" t="str">
        <f t="shared" ref="AT11" si="20">AS10</f>
        <v/>
      </c>
      <c r="AU11" s="496" t="s">
        <v>793</v>
      </c>
      <c r="AV11" s="494">
        <f>W23</f>
        <v>6</v>
      </c>
      <c r="AW11" s="495" t="str">
        <f>X24</f>
        <v/>
      </c>
      <c r="AX11" s="495" t="str">
        <f t="shared" ref="AX11" si="21">AW10</f>
        <v/>
      </c>
      <c r="AY11" s="496" t="s">
        <v>793</v>
      </c>
    </row>
    <row r="12" spans="1:51" ht="15.95" customHeight="1" thickBot="1" x14ac:dyDescent="0.25">
      <c r="A12" s="435">
        <v>8</v>
      </c>
      <c r="B12" s="444" t="str">
        <f t="shared" ca="1" si="1"/>
        <v/>
      </c>
      <c r="C12" s="444" t="str">
        <f t="shared" ca="1" si="2"/>
        <v/>
      </c>
      <c r="D12" s="444" t="str">
        <f t="shared" ca="1" si="3"/>
        <v/>
      </c>
      <c r="E12" s="486">
        <f t="shared" ca="1" si="4"/>
        <v>0</v>
      </c>
      <c r="F12" s="489">
        <v>18</v>
      </c>
      <c r="G12" s="488" t="str">
        <f t="shared" ca="1" si="5"/>
        <v/>
      </c>
      <c r="H12" s="898" t="str">
        <f t="shared" ca="1" si="6"/>
        <v/>
      </c>
      <c r="I12" s="898" t="str">
        <f t="shared" ca="1" si="0"/>
        <v/>
      </c>
      <c r="J12" s="898" t="str">
        <f t="shared" ca="1" si="0"/>
        <v/>
      </c>
      <c r="K12" s="450"/>
      <c r="L12" s="450"/>
      <c r="M12" s="450"/>
      <c r="N12" s="451"/>
      <c r="O12" s="450"/>
      <c r="P12" s="450"/>
      <c r="Q12" s="450"/>
      <c r="R12" s="437"/>
      <c r="S12" s="437"/>
      <c r="T12" s="451"/>
      <c r="U12" s="450"/>
      <c r="V12" s="450"/>
      <c r="W12" s="450"/>
      <c r="X12" s="979" t="s">
        <v>787</v>
      </c>
      <c r="Y12" s="1247"/>
      <c r="Z12" s="1247"/>
      <c r="AA12" s="450"/>
      <c r="AF12" s="453" t="s">
        <v>790</v>
      </c>
      <c r="AG12" s="435" t="str">
        <f>IF(ISBLANK(Z21),"",IF(Z21+AA21&lt;Z23+AA23,X22,X24))</f>
        <v/>
      </c>
      <c r="AH12" s="478" t="str">
        <f t="shared" ca="1" si="7"/>
        <v/>
      </c>
      <c r="AI12" s="474" t="str">
        <f t="shared" ca="1" si="8"/>
        <v/>
      </c>
      <c r="AJ12" s="915" t="str">
        <f t="shared" ca="1" si="9"/>
        <v/>
      </c>
      <c r="AN12" s="494">
        <f>K28</f>
        <v>7</v>
      </c>
      <c r="AO12" s="495" t="str">
        <f ca="1">L29</f>
        <v/>
      </c>
      <c r="AP12" s="495" t="str">
        <f t="shared" ref="AP12" ca="1" si="22">AO13</f>
        <v/>
      </c>
      <c r="AQ12" s="496" t="s">
        <v>793</v>
      </c>
      <c r="AR12" s="494">
        <f>Q28</f>
        <v>7</v>
      </c>
      <c r="AS12" s="495" t="str">
        <f>R29</f>
        <v/>
      </c>
      <c r="AT12" s="495" t="str">
        <f t="shared" ref="AT12" si="23">AS13</f>
        <v/>
      </c>
      <c r="AU12" s="496" t="s">
        <v>793</v>
      </c>
      <c r="AV12" s="494">
        <f>W28</f>
        <v>7</v>
      </c>
      <c r="AW12" s="495" t="str">
        <f>X29</f>
        <v/>
      </c>
      <c r="AX12" s="495" t="str">
        <f t="shared" ref="AX12" si="24">AW13</f>
        <v/>
      </c>
      <c r="AY12" s="496" t="s">
        <v>793</v>
      </c>
    </row>
    <row r="13" spans="1:51" ht="15.95" customHeight="1" thickBot="1" x14ac:dyDescent="0.25">
      <c r="A13" s="435">
        <v>9</v>
      </c>
      <c r="B13" s="444" t="str">
        <f t="shared" ca="1" si="1"/>
        <v/>
      </c>
      <c r="C13" s="444" t="str">
        <f t="shared" ca="1" si="2"/>
        <v/>
      </c>
      <c r="D13" s="444" t="str">
        <f t="shared" ca="1" si="3"/>
        <v/>
      </c>
      <c r="E13" s="486">
        <f t="shared" ca="1" si="4"/>
        <v>0</v>
      </c>
      <c r="F13" s="489">
        <v>19</v>
      </c>
      <c r="G13" s="488" t="str">
        <f t="shared" ca="1" si="5"/>
        <v/>
      </c>
      <c r="H13" s="898" t="str">
        <f t="shared" ca="1" si="6"/>
        <v/>
      </c>
      <c r="I13" s="898" t="str">
        <f t="shared" ca="1" si="0"/>
        <v/>
      </c>
      <c r="J13" s="898" t="str">
        <f t="shared" ca="1" si="0"/>
        <v/>
      </c>
      <c r="K13" s="445" t="s">
        <v>779</v>
      </c>
      <c r="L13" s="779" t="s">
        <v>1083</v>
      </c>
      <c r="M13" s="456" t="s">
        <v>481</v>
      </c>
      <c r="N13" s="464" t="s">
        <v>780</v>
      </c>
      <c r="O13" s="446" t="s">
        <v>781</v>
      </c>
      <c r="P13" s="445"/>
      <c r="Q13" s="445" t="s">
        <v>779</v>
      </c>
      <c r="R13" s="779" t="s">
        <v>1083</v>
      </c>
      <c r="S13" s="456" t="s">
        <v>481</v>
      </c>
      <c r="T13" s="464" t="s">
        <v>780</v>
      </c>
      <c r="U13" s="446" t="s">
        <v>781</v>
      </c>
      <c r="V13" s="445"/>
      <c r="W13" s="445" t="s">
        <v>779</v>
      </c>
      <c r="X13" s="779" t="s">
        <v>1083</v>
      </c>
      <c r="Y13" s="456" t="s">
        <v>481</v>
      </c>
      <c r="Z13" s="464" t="s">
        <v>780</v>
      </c>
      <c r="AA13" s="446" t="s">
        <v>781</v>
      </c>
      <c r="AF13" s="453" t="s">
        <v>791</v>
      </c>
      <c r="AG13" s="435" t="str">
        <f>IF(ISBLANK(Z28),"",IF(Z28+AA28&gt;Z30+AA30,X29,X31))</f>
        <v/>
      </c>
      <c r="AH13" s="478" t="str">
        <f t="shared" ca="1" si="7"/>
        <v/>
      </c>
      <c r="AI13" s="474" t="str">
        <f t="shared" ca="1" si="8"/>
        <v/>
      </c>
      <c r="AJ13" s="915" t="str">
        <f t="shared" ca="1" si="9"/>
        <v/>
      </c>
      <c r="AN13" s="494">
        <f>K30</f>
        <v>8</v>
      </c>
      <c r="AO13" s="495" t="str">
        <f ca="1">L31</f>
        <v/>
      </c>
      <c r="AP13" s="495" t="str">
        <f t="shared" ref="AP13" ca="1" si="25">AO12</f>
        <v/>
      </c>
      <c r="AQ13" s="496" t="s">
        <v>793</v>
      </c>
      <c r="AR13" s="494">
        <f>Q30</f>
        <v>8</v>
      </c>
      <c r="AS13" s="495" t="str">
        <f>R31</f>
        <v/>
      </c>
      <c r="AT13" s="495" t="str">
        <f t="shared" ref="AT13" si="26">AS12</f>
        <v/>
      </c>
      <c r="AU13" s="496" t="s">
        <v>793</v>
      </c>
      <c r="AV13" s="494">
        <f>W30</f>
        <v>8</v>
      </c>
      <c r="AW13" s="495" t="str">
        <f>X31</f>
        <v/>
      </c>
      <c r="AX13" s="495" t="str">
        <f t="shared" ref="AX13" si="27">AW12</f>
        <v/>
      </c>
      <c r="AY13" s="496" t="s">
        <v>793</v>
      </c>
    </row>
    <row r="14" spans="1:51" ht="15.95" customHeight="1" thickBot="1" x14ac:dyDescent="0.25">
      <c r="A14" s="435">
        <v>10</v>
      </c>
      <c r="B14" s="444" t="str">
        <f t="shared" ca="1" si="1"/>
        <v/>
      </c>
      <c r="C14" s="444" t="str">
        <f t="shared" ca="1" si="2"/>
        <v/>
      </c>
      <c r="D14" s="444" t="str">
        <f t="shared" ca="1" si="3"/>
        <v/>
      </c>
      <c r="E14" s="486">
        <f t="shared" ca="1" si="4"/>
        <v>0</v>
      </c>
      <c r="F14" s="489">
        <v>20</v>
      </c>
      <c r="G14" s="488" t="str">
        <f t="shared" ca="1" si="5"/>
        <v/>
      </c>
      <c r="H14" s="898" t="str">
        <f t="shared" ca="1" si="6"/>
        <v/>
      </c>
      <c r="I14" s="898" t="str">
        <f t="shared" ca="1" si="0"/>
        <v/>
      </c>
      <c r="J14" s="898" t="str">
        <f t="shared" ca="1" si="0"/>
        <v/>
      </c>
      <c r="K14" s="447">
        <f>K9+1</f>
        <v>3</v>
      </c>
      <c r="L14" s="472">
        <v>4</v>
      </c>
      <c r="M14" s="465" t="str">
        <f ca="1">IFERROR(VLOOKUP(L15,$G$5:$J$28,2,FALSE),"")</f>
        <v/>
      </c>
      <c r="N14" s="966"/>
      <c r="O14" s="780"/>
      <c r="Q14" s="447">
        <f>Q9+1</f>
        <v>3</v>
      </c>
      <c r="R14" s="472">
        <v>3</v>
      </c>
      <c r="S14" s="465" t="str">
        <f ca="1">IFERROR(VLOOKUP(R15,$G$5:$J$28,2,FALSE),"")</f>
        <v/>
      </c>
      <c r="T14" s="966"/>
      <c r="U14" s="780"/>
      <c r="W14" s="447">
        <f>W9+1</f>
        <v>3</v>
      </c>
      <c r="X14" s="472">
        <v>4</v>
      </c>
      <c r="Y14" s="465" t="str">
        <f ca="1">IFERROR(VLOOKUP(X15,$G$5:$J$28,2,FALSE),"")</f>
        <v/>
      </c>
      <c r="Z14" s="966"/>
      <c r="AA14" s="780"/>
      <c r="AF14" s="453" t="s">
        <v>792</v>
      </c>
      <c r="AG14" s="435" t="str">
        <f>IF(ISBLANK(Z28),"",IF(Z28+AA28&lt;Z30+AA30,X29,X31))</f>
        <v/>
      </c>
      <c r="AH14" s="478" t="str">
        <f t="shared" ca="1" si="7"/>
        <v/>
      </c>
      <c r="AI14" s="474" t="str">
        <f t="shared" ca="1" si="8"/>
        <v/>
      </c>
      <c r="AJ14" s="915" t="str">
        <f t="shared" ca="1" si="9"/>
        <v/>
      </c>
      <c r="AN14" s="494">
        <f>K35</f>
        <v>9</v>
      </c>
      <c r="AO14" s="495" t="str">
        <f ca="1">L36</f>
        <v/>
      </c>
      <c r="AP14" s="495" t="str">
        <f t="shared" ref="AP14" ca="1" si="28">AO15</f>
        <v/>
      </c>
      <c r="AQ14" s="496" t="s">
        <v>793</v>
      </c>
      <c r="AR14" s="494">
        <f>Q35</f>
        <v>9</v>
      </c>
      <c r="AS14" s="495" t="str">
        <f>R36</f>
        <v/>
      </c>
      <c r="AT14" s="495" t="str">
        <f t="shared" ref="AT14" si="29">AS15</f>
        <v/>
      </c>
      <c r="AU14" s="496" t="s">
        <v>793</v>
      </c>
      <c r="AV14" s="494">
        <f>W35</f>
        <v>9</v>
      </c>
      <c r="AW14" s="495" t="str">
        <f>X36</f>
        <v/>
      </c>
      <c r="AX14" s="495" t="str">
        <f t="shared" ref="AX14" si="30">AW15</f>
        <v/>
      </c>
      <c r="AY14" s="496" t="s">
        <v>793</v>
      </c>
    </row>
    <row r="15" spans="1:51" ht="15.95" customHeight="1" thickBot="1" x14ac:dyDescent="0.25">
      <c r="A15" s="435">
        <v>11</v>
      </c>
      <c r="B15" s="444" t="str">
        <f t="shared" ca="1" si="1"/>
        <v/>
      </c>
      <c r="C15" s="444" t="str">
        <f t="shared" ca="1" si="2"/>
        <v/>
      </c>
      <c r="D15" s="444" t="str">
        <f t="shared" ca="1" si="3"/>
        <v/>
      </c>
      <c r="E15" s="486">
        <f t="shared" ca="1" si="4"/>
        <v>0</v>
      </c>
      <c r="F15" s="489">
        <v>21</v>
      </c>
      <c r="G15" s="488" t="str">
        <f t="shared" ca="1" si="5"/>
        <v/>
      </c>
      <c r="H15" s="898" t="str">
        <f t="shared" ca="1" si="6"/>
        <v/>
      </c>
      <c r="I15" s="898" t="str">
        <f t="shared" ca="1" si="0"/>
        <v/>
      </c>
      <c r="J15" s="898" t="str">
        <f t="shared" ca="1" si="0"/>
        <v/>
      </c>
      <c r="K15" s="447"/>
      <c r="L15" s="473" t="str">
        <f ca="1">VLOOKUP(L14,$A$5:$G$24,7,FALSE)</f>
        <v/>
      </c>
      <c r="M15" s="466" t="str">
        <f ca="1">IFERROR(VLOOKUP(L15,$G$5:$J$28,3,FALSE),"")</f>
        <v/>
      </c>
      <c r="N15" s="967"/>
      <c r="Q15" s="447"/>
      <c r="R15" s="473" t="str">
        <f>IF(ISBLANK(N21),"",IF(N21+O21&gt;N23+O23,L22,L24))</f>
        <v/>
      </c>
      <c r="S15" s="466" t="str">
        <f ca="1">IFERROR(VLOOKUP(R15,$G$5:$J$28,3,FALSE),"")</f>
        <v/>
      </c>
      <c r="T15" s="967"/>
      <c r="W15" s="447"/>
      <c r="X15" s="473" t="str">
        <f>IF(ISBLANK(T7),"",IF(U7+T7&lt;T9+U9,R8,R10))</f>
        <v/>
      </c>
      <c r="Y15" s="466" t="str">
        <f ca="1">IFERROR(VLOOKUP(X15,$G$5:$J$28,3,FALSE),"")</f>
        <v/>
      </c>
      <c r="Z15" s="967"/>
      <c r="AF15" s="453" t="s">
        <v>794</v>
      </c>
      <c r="AG15" s="435" t="str">
        <f>IF(ISBLANK(Z35),"",IF(Z35+AA35&gt;Z37+AA37,X36,X38))</f>
        <v/>
      </c>
      <c r="AH15" s="478" t="str">
        <f t="shared" ca="1" si="7"/>
        <v/>
      </c>
      <c r="AI15" s="474" t="str">
        <f t="shared" ca="1" si="8"/>
        <v/>
      </c>
      <c r="AJ15" s="915" t="str">
        <f t="shared" ca="1" si="9"/>
        <v/>
      </c>
      <c r="AN15" s="494">
        <f>K37</f>
        <v>10</v>
      </c>
      <c r="AO15" s="495" t="str">
        <f ca="1">L38</f>
        <v/>
      </c>
      <c r="AP15" s="495" t="str">
        <f t="shared" ref="AP15" ca="1" si="31">AO14</f>
        <v/>
      </c>
      <c r="AQ15" s="496" t="s">
        <v>793</v>
      </c>
      <c r="AR15" s="494">
        <f>Q37</f>
        <v>10</v>
      </c>
      <c r="AS15" s="495" t="str">
        <f>R38</f>
        <v/>
      </c>
      <c r="AT15" s="495" t="str">
        <f t="shared" ref="AT15" si="32">AS14</f>
        <v/>
      </c>
      <c r="AU15" s="496" t="s">
        <v>793</v>
      </c>
      <c r="AV15" s="494">
        <f>W37</f>
        <v>10</v>
      </c>
      <c r="AW15" s="495" t="str">
        <f>X38</f>
        <v/>
      </c>
      <c r="AX15" s="495" t="str">
        <f t="shared" ref="AX15" si="33">AW14</f>
        <v/>
      </c>
      <c r="AY15" s="496" t="s">
        <v>793</v>
      </c>
    </row>
    <row r="16" spans="1:51" ht="15.95" customHeight="1" thickBot="1" x14ac:dyDescent="0.25">
      <c r="A16" s="435">
        <v>12</v>
      </c>
      <c r="B16" s="444" t="str">
        <f t="shared" ca="1" si="1"/>
        <v/>
      </c>
      <c r="C16" s="444" t="str">
        <f t="shared" ca="1" si="2"/>
        <v/>
      </c>
      <c r="D16" s="444" t="str">
        <f t="shared" ca="1" si="3"/>
        <v/>
      </c>
      <c r="E16" s="486">
        <f t="shared" ca="1" si="4"/>
        <v>0</v>
      </c>
      <c r="F16" s="489">
        <v>22</v>
      </c>
      <c r="G16" s="488" t="str">
        <f t="shared" ca="1" si="5"/>
        <v/>
      </c>
      <c r="H16" s="898" t="str">
        <f t="shared" ca="1" si="6"/>
        <v/>
      </c>
      <c r="I16" s="898" t="str">
        <f t="shared" ca="1" si="0"/>
        <v/>
      </c>
      <c r="J16" s="898" t="str">
        <f t="shared" ca="1" si="0"/>
        <v/>
      </c>
      <c r="K16" s="447">
        <f>K14+1</f>
        <v>4</v>
      </c>
      <c r="L16" s="472">
        <v>5</v>
      </c>
      <c r="M16" s="465" t="str">
        <f ca="1">IFERROR(VLOOKUP(L17,$G$5:$J$28,2,FALSE),"")</f>
        <v/>
      </c>
      <c r="N16" s="966"/>
      <c r="O16" s="780"/>
      <c r="Q16" s="447">
        <f>Q14+1</f>
        <v>4</v>
      </c>
      <c r="R16" s="472">
        <v>2</v>
      </c>
      <c r="S16" s="465" t="str">
        <f ca="1">IFERROR(VLOOKUP(R17,$G$5:$J$28,2,FALSE),"")</f>
        <v/>
      </c>
      <c r="T16" s="966"/>
      <c r="U16" s="780"/>
      <c r="W16" s="447">
        <f>W14+1</f>
        <v>4</v>
      </c>
      <c r="X16" s="472">
        <v>3</v>
      </c>
      <c r="Y16" s="465" t="str">
        <f ca="1">IFERROR(VLOOKUP(X17,$G$5:$J$28,2,FALSE),"")</f>
        <v/>
      </c>
      <c r="Z16" s="966"/>
      <c r="AA16" s="780"/>
      <c r="AF16" s="453" t="s">
        <v>795</v>
      </c>
      <c r="AG16" s="435" t="str">
        <f>IF(ISBLANK(Z35),"",IF(Z35+AA35&lt;Z37+AA37,X36,X38))</f>
        <v/>
      </c>
      <c r="AH16" s="478" t="str">
        <f t="shared" ca="1" si="7"/>
        <v/>
      </c>
      <c r="AI16" s="474" t="str">
        <f t="shared" ca="1" si="8"/>
        <v/>
      </c>
      <c r="AJ16" s="915" t="str">
        <f t="shared" ca="1" si="9"/>
        <v/>
      </c>
      <c r="AN16" s="494">
        <f>K42</f>
        <v>11</v>
      </c>
      <c r="AO16" s="495" t="str">
        <f ca="1">L43</f>
        <v/>
      </c>
      <c r="AP16" s="495" t="str">
        <f t="shared" ref="AP16" ca="1" si="34">AO17</f>
        <v/>
      </c>
      <c r="AQ16" s="496" t="s">
        <v>793</v>
      </c>
      <c r="AR16" s="494">
        <f>Q42</f>
        <v>11</v>
      </c>
      <c r="AS16" s="495" t="str">
        <f>R43</f>
        <v/>
      </c>
      <c r="AT16" s="495" t="str">
        <f t="shared" ref="AT16" si="35">AS17</f>
        <v/>
      </c>
      <c r="AU16" s="496" t="s">
        <v>793</v>
      </c>
      <c r="AV16" s="494">
        <f>W42</f>
        <v>11</v>
      </c>
      <c r="AW16" s="495" t="str">
        <f>X43</f>
        <v/>
      </c>
      <c r="AX16" s="495" t="str">
        <f t="shared" ref="AX16" si="36">AW17</f>
        <v/>
      </c>
      <c r="AY16" s="496" t="s">
        <v>793</v>
      </c>
    </row>
    <row r="17" spans="1:51" ht="15.95" customHeight="1" thickBot="1" x14ac:dyDescent="0.25">
      <c r="A17" s="435">
        <v>13</v>
      </c>
      <c r="B17" s="444" t="str">
        <f t="shared" ca="1" si="1"/>
        <v/>
      </c>
      <c r="C17" s="444" t="str">
        <f t="shared" ca="1" si="2"/>
        <v/>
      </c>
      <c r="D17" s="444" t="str">
        <f t="shared" ca="1" si="3"/>
        <v/>
      </c>
      <c r="E17" s="486">
        <f t="shared" ca="1" si="4"/>
        <v>0</v>
      </c>
      <c r="F17" s="489">
        <v>23</v>
      </c>
      <c r="G17" s="488" t="str">
        <f t="shared" ca="1" si="5"/>
        <v/>
      </c>
      <c r="H17" s="898" t="str">
        <f t="shared" ca="1" si="6"/>
        <v/>
      </c>
      <c r="I17" s="898" t="str">
        <f t="shared" ca="1" si="0"/>
        <v/>
      </c>
      <c r="J17" s="898" t="str">
        <f t="shared" ca="1" si="0"/>
        <v/>
      </c>
      <c r="K17" s="447"/>
      <c r="L17" s="473" t="str">
        <f ca="1">VLOOKUP(L16,$A$5:$G$24,7,FALSE)</f>
        <v/>
      </c>
      <c r="M17" s="466" t="str">
        <f ca="1">IFERROR(VLOOKUP(L17,$G$5:$J$28,3,FALSE),"")</f>
        <v/>
      </c>
      <c r="N17" s="967"/>
      <c r="Q17" s="447"/>
      <c r="R17" s="473" t="str">
        <f>IF(ISBLANK(N28),"",IF(N28+O28&gt;N30+O30,L29,L31))</f>
        <v/>
      </c>
      <c r="S17" s="466" t="str">
        <f ca="1">IFERROR(VLOOKUP(R17,$G$5:$J$28,3,FALSE),"")</f>
        <v/>
      </c>
      <c r="T17" s="967"/>
      <c r="W17" s="447"/>
      <c r="X17" s="473" t="str">
        <f>IF(ISBLANK(T14),"",IF(U14+T14&lt;T16+U16,R15,R17))</f>
        <v/>
      </c>
      <c r="Y17" s="466" t="str">
        <f ca="1">IFERROR(VLOOKUP(X17,$G$5:$J$28,3,FALSE),"")</f>
        <v/>
      </c>
      <c r="Z17" s="967"/>
      <c r="AF17" s="453" t="s">
        <v>796</v>
      </c>
      <c r="AG17" s="435" t="str">
        <f>IF(ISBLANK(Z42),"",IF(Z42+AA42&gt;Z44+AA44,X43,X45))</f>
        <v/>
      </c>
      <c r="AH17" s="478" t="str">
        <f t="shared" ca="1" si="7"/>
        <v/>
      </c>
      <c r="AI17" s="474" t="str">
        <f t="shared" ca="1" si="8"/>
        <v/>
      </c>
      <c r="AJ17" s="915" t="str">
        <f t="shared" ca="1" si="9"/>
        <v/>
      </c>
      <c r="AN17" s="494">
        <f>K44</f>
        <v>12</v>
      </c>
      <c r="AO17" s="495" t="str">
        <f ca="1">L45</f>
        <v/>
      </c>
      <c r="AP17" s="495" t="str">
        <f t="shared" ref="AP17" ca="1" si="37">AO16</f>
        <v/>
      </c>
      <c r="AQ17" s="496" t="s">
        <v>793</v>
      </c>
      <c r="AR17" s="494">
        <f>Q44</f>
        <v>12</v>
      </c>
      <c r="AS17" s="495" t="str">
        <f>R45</f>
        <v/>
      </c>
      <c r="AT17" s="495" t="str">
        <f t="shared" ref="AT17" si="38">AS16</f>
        <v/>
      </c>
      <c r="AU17" s="496" t="s">
        <v>793</v>
      </c>
      <c r="AV17" s="494">
        <f>W44</f>
        <v>12</v>
      </c>
      <c r="AW17" s="495" t="str">
        <f>X45</f>
        <v/>
      </c>
      <c r="AX17" s="495" t="str">
        <f t="shared" ref="AX17" si="39">AW16</f>
        <v/>
      </c>
      <c r="AY17" s="496" t="s">
        <v>793</v>
      </c>
    </row>
    <row r="18" spans="1:51" ht="15.95" customHeight="1" x14ac:dyDescent="0.2">
      <c r="A18" s="435">
        <v>14</v>
      </c>
      <c r="B18" s="444" t="str">
        <f t="shared" ca="1" si="1"/>
        <v/>
      </c>
      <c r="C18" s="444" t="str">
        <f t="shared" ca="1" si="2"/>
        <v/>
      </c>
      <c r="D18" s="444" t="str">
        <f t="shared" ca="1" si="3"/>
        <v/>
      </c>
      <c r="E18" s="486">
        <f t="shared" ca="1" si="4"/>
        <v>0</v>
      </c>
      <c r="F18" s="489">
        <v>24</v>
      </c>
      <c r="G18" s="488" t="str">
        <f t="shared" ca="1" si="5"/>
        <v/>
      </c>
      <c r="H18" s="898" t="str">
        <f t="shared" ca="1" si="6"/>
        <v/>
      </c>
      <c r="I18" s="898" t="str">
        <f t="shared" ca="1" si="0"/>
        <v/>
      </c>
      <c r="J18" s="898" t="str">
        <f t="shared" ca="1" si="0"/>
        <v/>
      </c>
      <c r="K18" s="450"/>
      <c r="L18" s="450"/>
      <c r="M18" s="450"/>
      <c r="N18" s="451"/>
      <c r="O18" s="450"/>
      <c r="P18" s="450"/>
      <c r="Q18" s="450"/>
      <c r="R18" s="450"/>
      <c r="S18" s="450"/>
      <c r="T18" s="451"/>
      <c r="U18" s="450"/>
      <c r="V18" s="450"/>
      <c r="W18" s="450"/>
      <c r="X18" s="450"/>
      <c r="Y18" s="450"/>
      <c r="Z18" s="451"/>
      <c r="AA18" s="450"/>
      <c r="AF18" s="453" t="s">
        <v>797</v>
      </c>
      <c r="AG18" s="435" t="str">
        <f>IF(ISBLANK(Z42),"",IF(Z42+AA42&lt;Z44+AA44,X43,X45))</f>
        <v/>
      </c>
      <c r="AH18" s="478" t="str">
        <f t="shared" ca="1" si="7"/>
        <v/>
      </c>
      <c r="AI18" s="474" t="str">
        <f t="shared" ca="1" si="8"/>
        <v/>
      </c>
      <c r="AJ18" s="915" t="str">
        <f t="shared" ca="1" si="9"/>
        <v/>
      </c>
      <c r="AN18" s="494">
        <f>K49</f>
        <v>13</v>
      </c>
      <c r="AO18" s="495" t="str">
        <f ca="1">L50</f>
        <v/>
      </c>
      <c r="AP18" s="495" t="str">
        <f t="shared" ref="AP18" ca="1" si="40">AO19</f>
        <v/>
      </c>
      <c r="AQ18" s="496" t="s">
        <v>793</v>
      </c>
      <c r="AR18" s="494">
        <f>Q49</f>
        <v>13</v>
      </c>
      <c r="AS18" s="495" t="str">
        <f>R50</f>
        <v/>
      </c>
      <c r="AT18" s="495" t="str">
        <f t="shared" ref="AT18" si="41">AS19</f>
        <v/>
      </c>
      <c r="AU18" s="496" t="s">
        <v>793</v>
      </c>
      <c r="AV18" s="494">
        <f>W49</f>
        <v>13</v>
      </c>
      <c r="AW18" s="495" t="str">
        <f>X50</f>
        <v/>
      </c>
      <c r="AX18" s="495" t="str">
        <f t="shared" ref="AX18" si="42">AW19</f>
        <v/>
      </c>
      <c r="AY18" s="496" t="s">
        <v>793</v>
      </c>
    </row>
    <row r="19" spans="1:51" ht="15.95" customHeight="1" thickBot="1" x14ac:dyDescent="0.25">
      <c r="A19" s="435">
        <v>15</v>
      </c>
      <c r="B19" s="444" t="str">
        <f t="shared" ca="1" si="1"/>
        <v/>
      </c>
      <c r="C19" s="444" t="str">
        <f t="shared" ca="1" si="2"/>
        <v/>
      </c>
      <c r="D19" s="444" t="str">
        <f t="shared" ca="1" si="3"/>
        <v/>
      </c>
      <c r="E19" s="486">
        <f t="shared" ca="1" si="4"/>
        <v>0</v>
      </c>
      <c r="F19" s="489">
        <v>25</v>
      </c>
      <c r="G19" s="488" t="str">
        <f t="shared" ca="1" si="5"/>
        <v/>
      </c>
      <c r="H19" s="898" t="str">
        <f t="shared" ca="1" si="6"/>
        <v/>
      </c>
      <c r="I19" s="898" t="str">
        <f t="shared" ca="1" si="0"/>
        <v/>
      </c>
      <c r="J19" s="898" t="str">
        <f t="shared" ca="1" si="0"/>
        <v/>
      </c>
      <c r="K19" s="450"/>
      <c r="L19" s="454"/>
      <c r="M19" s="454"/>
      <c r="N19" s="455"/>
      <c r="O19" s="450"/>
      <c r="P19" s="450"/>
      <c r="Q19" s="450"/>
      <c r="R19" s="979" t="s">
        <v>819</v>
      </c>
      <c r="S19" s="1247"/>
      <c r="T19" s="1247"/>
      <c r="U19" s="450"/>
      <c r="V19" s="450"/>
      <c r="W19" s="450"/>
      <c r="X19" s="979" t="s">
        <v>820</v>
      </c>
      <c r="Y19" s="1247"/>
      <c r="Z19" s="1247"/>
      <c r="AA19" s="450"/>
      <c r="AF19" s="453" t="s">
        <v>798</v>
      </c>
      <c r="AG19" s="435" t="str">
        <f>IF(ISBLANK(Z49),"",IF(Z49+AA49&gt;Z51+AA51,X50,X52))</f>
        <v/>
      </c>
      <c r="AH19" s="478" t="str">
        <f t="shared" ca="1" si="7"/>
        <v/>
      </c>
      <c r="AI19" s="474" t="str">
        <f t="shared" ca="1" si="8"/>
        <v/>
      </c>
      <c r="AJ19" s="915" t="str">
        <f t="shared" ca="1" si="9"/>
        <v/>
      </c>
      <c r="AN19" s="494">
        <f>K51</f>
        <v>14</v>
      </c>
      <c r="AO19" s="495" t="str">
        <f ca="1">L52</f>
        <v/>
      </c>
      <c r="AP19" s="495" t="str">
        <f t="shared" ref="AP19" ca="1" si="43">AO18</f>
        <v/>
      </c>
      <c r="AQ19" s="496" t="s">
        <v>793</v>
      </c>
      <c r="AR19" s="494">
        <f>Q51</f>
        <v>14</v>
      </c>
      <c r="AS19" s="495" t="str">
        <f>R52</f>
        <v/>
      </c>
      <c r="AT19" s="495" t="str">
        <f t="shared" ref="AT19" si="44">AS18</f>
        <v/>
      </c>
      <c r="AU19" s="496" t="s">
        <v>793</v>
      </c>
      <c r="AV19" s="494">
        <f>W51</f>
        <v>14</v>
      </c>
      <c r="AW19" s="495" t="str">
        <f>X52</f>
        <v/>
      </c>
      <c r="AX19" s="495" t="str">
        <f t="shared" ref="AX19" si="45">AW18</f>
        <v/>
      </c>
      <c r="AY19" s="496" t="s">
        <v>793</v>
      </c>
    </row>
    <row r="20" spans="1:51" ht="15.95" customHeight="1" thickBot="1" x14ac:dyDescent="0.25">
      <c r="A20" s="435">
        <v>16</v>
      </c>
      <c r="B20" s="444" t="str">
        <f t="shared" ca="1" si="1"/>
        <v/>
      </c>
      <c r="C20" s="444" t="str">
        <f t="shared" ca="1" si="2"/>
        <v/>
      </c>
      <c r="D20" s="444" t="str">
        <f t="shared" ca="1" si="3"/>
        <v/>
      </c>
      <c r="E20" s="486">
        <f t="shared" ca="1" si="4"/>
        <v>0</v>
      </c>
      <c r="F20" s="489">
        <v>26</v>
      </c>
      <c r="G20" s="488" t="str">
        <f t="shared" ca="1" si="5"/>
        <v/>
      </c>
      <c r="H20" s="898" t="str">
        <f t="shared" ca="1" si="6"/>
        <v/>
      </c>
      <c r="I20" s="898" t="str">
        <f t="shared" ca="1" si="0"/>
        <v/>
      </c>
      <c r="J20" s="898" t="str">
        <f t="shared" ca="1" si="0"/>
        <v/>
      </c>
      <c r="K20" s="445" t="s">
        <v>779</v>
      </c>
      <c r="L20" s="779" t="s">
        <v>1083</v>
      </c>
      <c r="M20" s="456" t="s">
        <v>481</v>
      </c>
      <c r="N20" s="464" t="s">
        <v>780</v>
      </c>
      <c r="O20" s="446" t="s">
        <v>781</v>
      </c>
      <c r="P20" s="445"/>
      <c r="Q20" s="445" t="s">
        <v>779</v>
      </c>
      <c r="R20" s="779" t="s">
        <v>1083</v>
      </c>
      <c r="S20" s="456" t="s">
        <v>481</v>
      </c>
      <c r="T20" s="464" t="s">
        <v>780</v>
      </c>
      <c r="U20" s="446" t="s">
        <v>781</v>
      </c>
      <c r="V20" s="445"/>
      <c r="W20" s="445" t="s">
        <v>779</v>
      </c>
      <c r="X20" s="779" t="s">
        <v>1083</v>
      </c>
      <c r="Y20" s="456" t="s">
        <v>481</v>
      </c>
      <c r="Z20" s="464" t="s">
        <v>780</v>
      </c>
      <c r="AA20" s="446" t="s">
        <v>781</v>
      </c>
      <c r="AF20" s="453" t="s">
        <v>799</v>
      </c>
      <c r="AG20" s="435" t="str">
        <f>IF(ISBLANK(Z49),"",IF(Z49+AA49&lt;Z51+AA51,X50,X52))</f>
        <v/>
      </c>
      <c r="AH20" s="478" t="str">
        <f t="shared" ca="1" si="7"/>
        <v/>
      </c>
      <c r="AI20" s="474" t="str">
        <f t="shared" ca="1" si="8"/>
        <v/>
      </c>
      <c r="AJ20" s="915" t="str">
        <f t="shared" ca="1" si="9"/>
        <v/>
      </c>
      <c r="AN20" s="494">
        <f>K56</f>
        <v>15</v>
      </c>
      <c r="AO20" s="495" t="str">
        <f ca="1">L57</f>
        <v/>
      </c>
      <c r="AP20" s="495" t="str">
        <f t="shared" ref="AP20" ca="1" si="46">AO21</f>
        <v/>
      </c>
      <c r="AQ20" s="496" t="s">
        <v>793</v>
      </c>
      <c r="AR20" s="494">
        <f>Q56</f>
        <v>15</v>
      </c>
      <c r="AS20" s="495" t="str">
        <f>R57</f>
        <v/>
      </c>
      <c r="AT20" s="495" t="str">
        <f t="shared" ref="AT20" si="47">AS21</f>
        <v/>
      </c>
      <c r="AU20" s="496" t="s">
        <v>793</v>
      </c>
      <c r="AV20" s="494">
        <f>W56</f>
        <v>15</v>
      </c>
      <c r="AW20" s="495" t="str">
        <f>X57</f>
        <v/>
      </c>
      <c r="AX20" s="495" t="str">
        <f t="shared" ref="AX20" si="48">AW21</f>
        <v/>
      </c>
      <c r="AY20" s="496" t="s">
        <v>793</v>
      </c>
    </row>
    <row r="21" spans="1:51" ht="15.95" customHeight="1" thickBot="1" x14ac:dyDescent="0.25">
      <c r="A21" s="435">
        <v>17</v>
      </c>
      <c r="B21" s="444" t="str">
        <f t="shared" ca="1" si="1"/>
        <v/>
      </c>
      <c r="C21" s="444" t="str">
        <f t="shared" ca="1" si="2"/>
        <v/>
      </c>
      <c r="D21" s="444" t="str">
        <f t="shared" ca="1" si="3"/>
        <v/>
      </c>
      <c r="E21" s="486">
        <f t="shared" ca="1" si="4"/>
        <v>0</v>
      </c>
      <c r="F21" s="489">
        <v>27</v>
      </c>
      <c r="G21" s="488" t="str">
        <f t="shared" ca="1" si="5"/>
        <v/>
      </c>
      <c r="H21" s="898" t="str">
        <f t="shared" ca="1" si="6"/>
        <v/>
      </c>
      <c r="I21" s="898" t="str">
        <f t="shared" ca="1" si="6"/>
        <v/>
      </c>
      <c r="J21" s="898" t="str">
        <f t="shared" ca="1" si="6"/>
        <v/>
      </c>
      <c r="K21" s="447">
        <f>K16+1</f>
        <v>5</v>
      </c>
      <c r="L21" s="472">
        <v>3</v>
      </c>
      <c r="M21" s="465" t="str">
        <f ca="1">IFERROR(VLOOKUP(L22,$G$5:$J$28,2,FALSE),"")</f>
        <v/>
      </c>
      <c r="N21" s="966"/>
      <c r="O21" s="780"/>
      <c r="Q21" s="447">
        <f>Q16+1</f>
        <v>5</v>
      </c>
      <c r="R21" s="472">
        <v>8</v>
      </c>
      <c r="S21" s="465" t="str">
        <f ca="1">IFERROR(VLOOKUP(R22,$G$5:$J$28,2,FALSE),"")</f>
        <v/>
      </c>
      <c r="T21" s="966"/>
      <c r="U21" s="780"/>
      <c r="W21" s="447">
        <f>W16+1</f>
        <v>5</v>
      </c>
      <c r="X21" s="472">
        <v>5</v>
      </c>
      <c r="Y21" s="465" t="str">
        <f ca="1">IFERROR(VLOOKUP(X22,$G$5:$J$28,2,FALSE),"")</f>
        <v/>
      </c>
      <c r="Z21" s="966"/>
      <c r="AA21" s="780"/>
      <c r="AF21" s="453" t="s">
        <v>800</v>
      </c>
      <c r="AG21" s="435" t="str">
        <f>IF(ISBLANK(Z56),"",IF(Z56+AA56&gt;Z58+AA58,X57,X59))</f>
        <v/>
      </c>
      <c r="AH21" s="478" t="str">
        <f t="shared" ca="1" si="7"/>
        <v/>
      </c>
      <c r="AI21" s="474" t="str">
        <f t="shared" ca="1" si="8"/>
        <v/>
      </c>
      <c r="AJ21" s="915" t="str">
        <f t="shared" ca="1" si="9"/>
        <v/>
      </c>
      <c r="AN21" s="494">
        <f>K58</f>
        <v>16</v>
      </c>
      <c r="AO21" s="495" t="str">
        <f ca="1">L59</f>
        <v/>
      </c>
      <c r="AP21" s="495" t="str">
        <f t="shared" ref="AP21" ca="1" si="49">AO20</f>
        <v/>
      </c>
      <c r="AQ21" s="496" t="s">
        <v>793</v>
      </c>
      <c r="AR21" s="494">
        <f>Q58</f>
        <v>16</v>
      </c>
      <c r="AS21" s="495" t="str">
        <f>R59</f>
        <v/>
      </c>
      <c r="AT21" s="495" t="str">
        <f t="shared" ref="AT21" si="50">AS20</f>
        <v/>
      </c>
      <c r="AU21" s="496" t="s">
        <v>793</v>
      </c>
      <c r="AV21" s="494">
        <f>W58</f>
        <v>16</v>
      </c>
      <c r="AW21" s="495" t="str">
        <f>X59</f>
        <v/>
      </c>
      <c r="AX21" s="495" t="str">
        <f t="shared" ref="AX21" si="51">AW20</f>
        <v/>
      </c>
      <c r="AY21" s="496" t="s">
        <v>793</v>
      </c>
    </row>
    <row r="22" spans="1:51" ht="15.95" customHeight="1" thickBot="1" x14ac:dyDescent="0.25">
      <c r="A22" s="435">
        <v>18</v>
      </c>
      <c r="B22" s="444" t="str">
        <f t="shared" ca="1" si="1"/>
        <v/>
      </c>
      <c r="C22" s="444" t="str">
        <f t="shared" ca="1" si="2"/>
        <v/>
      </c>
      <c r="D22" s="444" t="str">
        <f t="shared" ca="1" si="3"/>
        <v/>
      </c>
      <c r="E22" s="486">
        <f t="shared" ca="1" si="4"/>
        <v>0</v>
      </c>
      <c r="F22" s="489">
        <v>28</v>
      </c>
      <c r="G22" s="488" t="str">
        <f t="shared" ca="1" si="5"/>
        <v/>
      </c>
      <c r="H22" s="898" t="str">
        <f t="shared" ca="1" si="6"/>
        <v/>
      </c>
      <c r="I22" s="898" t="str">
        <f t="shared" ca="1" si="6"/>
        <v/>
      </c>
      <c r="J22" s="898" t="str">
        <f t="shared" ca="1" si="6"/>
        <v/>
      </c>
      <c r="K22" s="447"/>
      <c r="L22" s="473" t="str">
        <f ca="1">VLOOKUP(L21,$A$5:$G$24,7,FALSE)</f>
        <v/>
      </c>
      <c r="M22" s="466" t="str">
        <f ca="1">IFERROR(VLOOKUP(L22,$G$5:$J$28,3,FALSE),"")</f>
        <v/>
      </c>
      <c r="N22" s="967"/>
      <c r="Q22" s="447"/>
      <c r="R22" s="473" t="str">
        <f>IF(ISBLANK(N7),"",IF(O7+N7&lt;N9+O9,L8,L10))</f>
        <v/>
      </c>
      <c r="S22" s="466" t="str">
        <f ca="1">IFERROR(VLOOKUP(R22,$G$5:$J$28,3,FALSE),"")</f>
        <v/>
      </c>
      <c r="T22" s="967"/>
      <c r="W22" s="447"/>
      <c r="X22" s="473" t="str">
        <f>IF(ISBLANK(T21),"",IF(U21+T21&gt;T23+U23,R22,R24))</f>
        <v/>
      </c>
      <c r="Y22" s="466" t="str">
        <f ca="1">IFERROR(VLOOKUP(X22,$G$5:$J$28,3,FALSE),"")</f>
        <v/>
      </c>
      <c r="Z22" s="967"/>
      <c r="AF22" s="453" t="s">
        <v>801</v>
      </c>
      <c r="AG22" s="435" t="str">
        <f>IF(ISBLANK(Z56),"",IF(Z56+AA56&lt;Z58+AA58,X57,X59))</f>
        <v/>
      </c>
      <c r="AH22" s="478" t="str">
        <f t="shared" ca="1" si="7"/>
        <v/>
      </c>
      <c r="AI22" s="474" t="str">
        <f t="shared" ca="1" si="8"/>
        <v/>
      </c>
      <c r="AJ22" s="915" t="str">
        <f t="shared" ca="1" si="9"/>
        <v/>
      </c>
      <c r="AN22" s="494">
        <f>K63</f>
        <v>17</v>
      </c>
      <c r="AO22" s="495" t="str">
        <f ca="1">L64</f>
        <v/>
      </c>
      <c r="AP22" s="784" t="s">
        <v>1326</v>
      </c>
      <c r="AQ22" s="496" t="s">
        <v>793</v>
      </c>
      <c r="AR22" s="494">
        <f>Q63</f>
        <v>17</v>
      </c>
      <c r="AS22" s="495" t="str">
        <f>R64</f>
        <v/>
      </c>
      <c r="AT22" s="495" t="str">
        <f>AS23</f>
        <v/>
      </c>
      <c r="AU22" s="496" t="s">
        <v>793</v>
      </c>
      <c r="AV22" s="494">
        <f>W63</f>
        <v>17</v>
      </c>
      <c r="AW22" s="495" t="str">
        <f>X64</f>
        <v/>
      </c>
      <c r="AX22" s="495" t="str">
        <f t="shared" ref="AX22" si="52">AW23</f>
        <v/>
      </c>
      <c r="AY22" s="496" t="s">
        <v>793</v>
      </c>
    </row>
    <row r="23" spans="1:51" ht="15.95" customHeight="1" thickBot="1" x14ac:dyDescent="0.25">
      <c r="A23" s="435">
        <v>19</v>
      </c>
      <c r="B23" s="444" t="str">
        <f t="shared" ca="1" si="1"/>
        <v/>
      </c>
      <c r="C23" s="444" t="str">
        <f t="shared" ca="1" si="2"/>
        <v/>
      </c>
      <c r="D23" s="444" t="str">
        <f t="shared" ca="1" si="3"/>
        <v/>
      </c>
      <c r="E23" s="486">
        <f t="shared" ca="1" si="4"/>
        <v>0</v>
      </c>
      <c r="F23" s="489">
        <v>29</v>
      </c>
      <c r="G23" s="488" t="str">
        <f t="shared" ca="1" si="5"/>
        <v/>
      </c>
      <c r="H23" s="898" t="str">
        <f t="shared" ca="1" si="6"/>
        <v/>
      </c>
      <c r="I23" s="898" t="str">
        <f t="shared" ca="1" si="6"/>
        <v/>
      </c>
      <c r="J23" s="898" t="str">
        <f t="shared" ca="1" si="6"/>
        <v/>
      </c>
      <c r="K23" s="447">
        <f>K21+1</f>
        <v>6</v>
      </c>
      <c r="L23" s="472">
        <v>6</v>
      </c>
      <c r="M23" s="465" t="str">
        <f ca="1">IFERROR(VLOOKUP(L24,$G$5:$J$28,2,FALSE),"")</f>
        <v/>
      </c>
      <c r="N23" s="966"/>
      <c r="O23" s="780"/>
      <c r="Q23" s="447">
        <f>Q21+1</f>
        <v>6</v>
      </c>
      <c r="R23" s="472">
        <v>5</v>
      </c>
      <c r="S23" s="465" t="str">
        <f ca="1">IFERROR(VLOOKUP(R24,$G$5:$J$28,2,FALSE),"")</f>
        <v/>
      </c>
      <c r="T23" s="966"/>
      <c r="U23" s="780"/>
      <c r="W23" s="447">
        <f>W21+1</f>
        <v>6</v>
      </c>
      <c r="X23" s="472">
        <v>6</v>
      </c>
      <c r="Y23" s="465" t="str">
        <f ca="1">IFERROR(VLOOKUP(X24,$G$5:$J$28,2,FALSE),"")</f>
        <v/>
      </c>
      <c r="Z23" s="966"/>
      <c r="AA23" s="780"/>
      <c r="AF23" s="453" t="s">
        <v>802</v>
      </c>
      <c r="AG23" s="435" t="str">
        <f>IF(ISBLANK(Z63),"",IF(Z63+AA63&gt;Z65+AA65,X64,X66))</f>
        <v/>
      </c>
      <c r="AH23" s="478" t="str">
        <f t="shared" ca="1" si="7"/>
        <v/>
      </c>
      <c r="AI23" s="474" t="str">
        <f t="shared" ca="1" si="8"/>
        <v/>
      </c>
      <c r="AJ23" s="915" t="str">
        <f t="shared" ca="1" si="9"/>
        <v/>
      </c>
      <c r="AN23" s="494">
        <f>K65</f>
        <v>18</v>
      </c>
      <c r="AO23" s="495" t="str">
        <f ca="1">L66</f>
        <v/>
      </c>
      <c r="AP23" s="495" t="str">
        <f ca="1">AO24</f>
        <v/>
      </c>
      <c r="AQ23" s="496" t="s">
        <v>793</v>
      </c>
      <c r="AR23" s="494">
        <f>Q65</f>
        <v>18</v>
      </c>
      <c r="AS23" s="495" t="str">
        <f>R66</f>
        <v/>
      </c>
      <c r="AT23" s="495" t="str">
        <f>AS22</f>
        <v/>
      </c>
      <c r="AU23" s="496" t="s">
        <v>793</v>
      </c>
      <c r="AV23" s="494">
        <f>W65</f>
        <v>18</v>
      </c>
      <c r="AW23" s="495" t="str">
        <f>X66</f>
        <v/>
      </c>
      <c r="AX23" s="495" t="str">
        <f t="shared" ref="AX23" si="53">AW22</f>
        <v/>
      </c>
      <c r="AY23" s="496" t="s">
        <v>793</v>
      </c>
    </row>
    <row r="24" spans="1:51" ht="15.95" customHeight="1" thickBot="1" x14ac:dyDescent="0.25">
      <c r="A24" s="435">
        <v>20</v>
      </c>
      <c r="B24" s="444" t="str">
        <f t="shared" ca="1" si="1"/>
        <v/>
      </c>
      <c r="C24" s="444" t="str">
        <f t="shared" ca="1" si="2"/>
        <v/>
      </c>
      <c r="D24" s="444" t="str">
        <f t="shared" ca="1" si="3"/>
        <v/>
      </c>
      <c r="E24" s="486">
        <f t="shared" ca="1" si="4"/>
        <v>0</v>
      </c>
      <c r="F24" s="489">
        <v>30</v>
      </c>
      <c r="G24" s="488" t="str">
        <f t="shared" ca="1" si="5"/>
        <v/>
      </c>
      <c r="H24" s="898" t="str">
        <f t="shared" ca="1" si="6"/>
        <v/>
      </c>
      <c r="I24" s="898" t="str">
        <f t="shared" ca="1" si="6"/>
        <v/>
      </c>
      <c r="J24" s="898" t="str">
        <f t="shared" ca="1" si="6"/>
        <v/>
      </c>
      <c r="K24" s="447"/>
      <c r="L24" s="473" t="str">
        <f ca="1">VLOOKUP(L23,$A$5:$G$24,7,FALSE)</f>
        <v/>
      </c>
      <c r="M24" s="466" t="str">
        <f ca="1">IFERROR(VLOOKUP(L24,$G$5:$J$28,3,FALSE),"")</f>
        <v/>
      </c>
      <c r="N24" s="967"/>
      <c r="Q24" s="447"/>
      <c r="R24" s="473" t="str">
        <f>IF(ISBLANK(N14),"",IF(O14+N14&lt;N16+O16,L15,L17))</f>
        <v/>
      </c>
      <c r="S24" s="466" t="str">
        <f ca="1">IFERROR(VLOOKUP(R24,$G$5:$J$28,3,FALSE),"")</f>
        <v/>
      </c>
      <c r="T24" s="967"/>
      <c r="W24" s="447"/>
      <c r="X24" s="473" t="str">
        <f>IF(ISBLANK(T28),"",IF(U28+T28&gt;T30+U30,R29,R31))</f>
        <v/>
      </c>
      <c r="Y24" s="466" t="str">
        <f ca="1">IFERROR(VLOOKUP(X24,$G$5:$J$28,3,FALSE),"")</f>
        <v/>
      </c>
      <c r="Z24" s="967"/>
      <c r="AF24" s="453" t="s">
        <v>803</v>
      </c>
      <c r="AG24" s="435" t="str">
        <f>IF(ISBLANK(Z63),"",IF(Z63+AA63&lt;Z65+AA65,X64,X66))</f>
        <v/>
      </c>
      <c r="AH24" s="478" t="str">
        <f t="shared" ca="1" si="7"/>
        <v/>
      </c>
      <c r="AI24" s="474" t="str">
        <f t="shared" ca="1" si="8"/>
        <v/>
      </c>
      <c r="AJ24" s="915" t="str">
        <f t="shared" ca="1" si="9"/>
        <v/>
      </c>
      <c r="AN24" s="494">
        <f>K70</f>
        <v>19</v>
      </c>
      <c r="AO24" s="495" t="str">
        <f ca="1">L71</f>
        <v/>
      </c>
      <c r="AP24" s="495" t="str">
        <f ca="1">AO23</f>
        <v/>
      </c>
      <c r="AQ24" s="496" t="s">
        <v>793</v>
      </c>
      <c r="AR24" s="494">
        <f>Q70</f>
        <v>19</v>
      </c>
      <c r="AS24" s="495" t="str">
        <f>R71</f>
        <v/>
      </c>
      <c r="AT24" s="495" t="str">
        <f>AS25</f>
        <v/>
      </c>
      <c r="AU24" s="496" t="s">
        <v>793</v>
      </c>
      <c r="AV24" s="494">
        <f>W70</f>
        <v>19</v>
      </c>
      <c r="AW24" s="495" t="str">
        <f>X71</f>
        <v/>
      </c>
      <c r="AX24" s="495" t="str">
        <f t="shared" ref="AX24" si="54">AW25</f>
        <v/>
      </c>
      <c r="AY24" s="496" t="s">
        <v>793</v>
      </c>
    </row>
    <row r="25" spans="1:51" ht="15.95" customHeight="1" x14ac:dyDescent="0.2">
      <c r="A25" s="435">
        <v>21</v>
      </c>
      <c r="B25" s="444" t="str">
        <f t="shared" ca="1" si="1"/>
        <v/>
      </c>
      <c r="C25" s="444" t="str">
        <f t="shared" ca="1" si="2"/>
        <v/>
      </c>
      <c r="D25" s="444" t="str">
        <f t="shared" ca="1" si="3"/>
        <v/>
      </c>
      <c r="E25" s="486">
        <f t="shared" ca="1" si="4"/>
        <v>0</v>
      </c>
      <c r="F25" s="489">
        <v>31</v>
      </c>
      <c r="G25" s="488" t="str">
        <f t="shared" ca="1" si="5"/>
        <v/>
      </c>
      <c r="H25" s="898" t="str">
        <f t="shared" ca="1" si="6"/>
        <v/>
      </c>
      <c r="I25" s="898" t="str">
        <f t="shared" ca="1" si="6"/>
        <v/>
      </c>
      <c r="J25" s="898" t="str">
        <f t="shared" ca="1" si="6"/>
        <v/>
      </c>
      <c r="K25" s="447"/>
      <c r="L25" s="441"/>
      <c r="M25" s="441"/>
      <c r="Q25" s="447"/>
      <c r="R25" s="437"/>
      <c r="S25" s="437"/>
      <c r="T25" s="451"/>
      <c r="W25" s="447"/>
      <c r="X25" s="441"/>
      <c r="Y25" s="441"/>
      <c r="AF25" s="453" t="s">
        <v>804</v>
      </c>
      <c r="AG25" s="435" t="str">
        <f>IF(ISBLANK(Z70),"",IF(Z70+AA70&gt;Z72+AA72,X71,X73))</f>
        <v/>
      </c>
      <c r="AH25" s="478" t="str">
        <f t="shared" ca="1" si="7"/>
        <v/>
      </c>
      <c r="AI25" s="474" t="str">
        <f t="shared" ca="1" si="8"/>
        <v/>
      </c>
      <c r="AJ25" s="915" t="str">
        <f t="shared" ca="1" si="9"/>
        <v/>
      </c>
      <c r="AN25" s="494">
        <f>K72</f>
        <v>20</v>
      </c>
      <c r="AO25" s="495" t="str">
        <f ca="1">L73</f>
        <v/>
      </c>
      <c r="AP25" s="495" t="str">
        <f ca="1">AO26</f>
        <v/>
      </c>
      <c r="AQ25" s="496" t="s">
        <v>793</v>
      </c>
      <c r="AR25" s="494">
        <f>Q72</f>
        <v>20</v>
      </c>
      <c r="AS25" s="495" t="str">
        <f>R73</f>
        <v/>
      </c>
      <c r="AT25" s="495" t="str">
        <f>AS24</f>
        <v/>
      </c>
      <c r="AU25" s="496" t="s">
        <v>793</v>
      </c>
      <c r="AV25" s="494">
        <f>W72</f>
        <v>20</v>
      </c>
      <c r="AW25" s="495" t="str">
        <f>X73</f>
        <v/>
      </c>
      <c r="AX25" s="495" t="str">
        <f t="shared" ref="AX25" si="55">AW24</f>
        <v/>
      </c>
      <c r="AY25" s="496" t="s">
        <v>793</v>
      </c>
    </row>
    <row r="26" spans="1:51" ht="15.95" customHeight="1" thickBot="1" x14ac:dyDescent="0.25">
      <c r="A26" s="435">
        <v>22</v>
      </c>
      <c r="B26" s="444" t="str">
        <f t="shared" ca="1" si="1"/>
        <v/>
      </c>
      <c r="C26" s="444" t="str">
        <f t="shared" ca="1" si="2"/>
        <v/>
      </c>
      <c r="D26" s="444" t="str">
        <f t="shared" ca="1" si="3"/>
        <v/>
      </c>
      <c r="E26" s="486">
        <f t="shared" ca="1" si="4"/>
        <v>0</v>
      </c>
      <c r="F26" s="489">
        <v>32</v>
      </c>
      <c r="G26" s="488" t="str">
        <f t="shared" ca="1" si="5"/>
        <v/>
      </c>
      <c r="H26" s="898" t="str">
        <f t="shared" ca="1" si="6"/>
        <v/>
      </c>
      <c r="I26" s="898" t="str">
        <f t="shared" ca="1" si="6"/>
        <v/>
      </c>
      <c r="J26" s="898" t="str">
        <f t="shared" ca="1" si="6"/>
        <v/>
      </c>
      <c r="K26" s="450"/>
      <c r="L26" s="450"/>
      <c r="M26" s="450"/>
      <c r="N26" s="451"/>
      <c r="O26" s="450"/>
      <c r="P26" s="450"/>
      <c r="Q26" s="450"/>
      <c r="R26" s="437"/>
      <c r="S26" s="437"/>
      <c r="T26" s="451"/>
      <c r="U26" s="450"/>
      <c r="V26" s="450"/>
      <c r="W26" s="450"/>
      <c r="X26" s="979" t="s">
        <v>821</v>
      </c>
      <c r="Y26" s="1247"/>
      <c r="Z26" s="1247"/>
      <c r="AA26" s="450"/>
      <c r="AF26" s="453" t="s">
        <v>805</v>
      </c>
      <c r="AG26" s="435" t="str">
        <f>IF(ISBLANK(Z70),"",IF(Z70+AA70&lt;Z72+AA72,X71,X73))</f>
        <v/>
      </c>
      <c r="AH26" s="478" t="str">
        <f t="shared" ca="1" si="7"/>
        <v/>
      </c>
      <c r="AI26" s="474" t="str">
        <f t="shared" ca="1" si="8"/>
        <v/>
      </c>
      <c r="AJ26" s="915" t="str">
        <f t="shared" ca="1" si="9"/>
        <v/>
      </c>
      <c r="AN26" s="494">
        <f>K77</f>
        <v>21</v>
      </c>
      <c r="AO26" s="495" t="str">
        <f ca="1">L78</f>
        <v/>
      </c>
      <c r="AP26" s="495" t="str">
        <f ca="1">AO25</f>
        <v/>
      </c>
      <c r="AQ26" s="496"/>
      <c r="AR26" s="494">
        <f>Q77</f>
        <v>21</v>
      </c>
      <c r="AS26" s="495" t="str">
        <f>R78</f>
        <v/>
      </c>
      <c r="AT26" s="784" t="s">
        <v>1326</v>
      </c>
      <c r="AU26" s="496"/>
      <c r="AV26" s="494">
        <f>W77</f>
        <v>21</v>
      </c>
      <c r="AW26" s="495" t="str">
        <f>X78</f>
        <v/>
      </c>
      <c r="AX26" s="495" t="str">
        <f t="shared" ref="AX26" si="56">AW27</f>
        <v/>
      </c>
      <c r="AY26" s="496"/>
    </row>
    <row r="27" spans="1:51" ht="15.95" customHeight="1" thickBot="1" x14ac:dyDescent="0.25">
      <c r="A27" s="435">
        <v>23</v>
      </c>
      <c r="B27" s="444" t="str">
        <f t="shared" ca="1" si="1"/>
        <v/>
      </c>
      <c r="C27" s="444" t="str">
        <f t="shared" ca="1" si="2"/>
        <v/>
      </c>
      <c r="D27" s="444" t="str">
        <f t="shared" ca="1" si="3"/>
        <v/>
      </c>
      <c r="E27" s="486">
        <f t="shared" ca="1" si="4"/>
        <v>0</v>
      </c>
      <c r="F27" s="489">
        <v>33</v>
      </c>
      <c r="G27" s="488" t="str">
        <f t="shared" ca="1" si="5"/>
        <v/>
      </c>
      <c r="H27" s="898" t="str">
        <f t="shared" ca="1" si="6"/>
        <v/>
      </c>
      <c r="I27" s="898" t="str">
        <f t="shared" ca="1" si="6"/>
        <v/>
      </c>
      <c r="J27" s="898" t="str">
        <f t="shared" ca="1" si="6"/>
        <v/>
      </c>
      <c r="K27" s="445" t="s">
        <v>779</v>
      </c>
      <c r="L27" s="779" t="s">
        <v>1083</v>
      </c>
      <c r="M27" s="456" t="s">
        <v>481</v>
      </c>
      <c r="N27" s="464" t="s">
        <v>780</v>
      </c>
      <c r="O27" s="446" t="s">
        <v>781</v>
      </c>
      <c r="P27" s="445"/>
      <c r="Q27" s="445" t="s">
        <v>779</v>
      </c>
      <c r="R27" s="779" t="s">
        <v>1083</v>
      </c>
      <c r="S27" s="456" t="s">
        <v>481</v>
      </c>
      <c r="T27" s="464" t="s">
        <v>780</v>
      </c>
      <c r="U27" s="446" t="s">
        <v>781</v>
      </c>
      <c r="V27" s="445"/>
      <c r="W27" s="445" t="s">
        <v>779</v>
      </c>
      <c r="X27" s="779" t="s">
        <v>1083</v>
      </c>
      <c r="Y27" s="456" t="s">
        <v>481</v>
      </c>
      <c r="Z27" s="464" t="s">
        <v>780</v>
      </c>
      <c r="AA27" s="446" t="s">
        <v>781</v>
      </c>
      <c r="AF27" s="453" t="s">
        <v>806</v>
      </c>
      <c r="AG27" s="435" t="str">
        <f>IF(ISBLANK(Z77),"",IF(Z77+AA77&gt;Z79+AA79,X78,X80))</f>
        <v/>
      </c>
      <c r="AH27" s="478" t="str">
        <f t="shared" ca="1" si="7"/>
        <v/>
      </c>
      <c r="AI27" s="474" t="str">
        <f t="shared" ca="1" si="8"/>
        <v/>
      </c>
      <c r="AJ27" s="915" t="str">
        <f t="shared" ca="1" si="9"/>
        <v/>
      </c>
      <c r="AN27" s="494">
        <f>K79</f>
        <v>22</v>
      </c>
      <c r="AO27" s="495" t="str">
        <f ca="1">L80</f>
        <v/>
      </c>
      <c r="AP27" s="495" t="str">
        <f ca="1">AO28</f>
        <v/>
      </c>
      <c r="AQ27" s="496"/>
      <c r="AR27" s="494">
        <f>Q79</f>
        <v>22</v>
      </c>
      <c r="AS27" s="495" t="str">
        <f>R80</f>
        <v/>
      </c>
      <c r="AT27" s="495" t="str">
        <f>AS28</f>
        <v/>
      </c>
      <c r="AU27" s="496"/>
      <c r="AV27" s="494">
        <f>W79</f>
        <v>22</v>
      </c>
      <c r="AW27" s="495" t="str">
        <f>X80</f>
        <v/>
      </c>
      <c r="AX27" s="495" t="str">
        <f t="shared" ref="AX27" si="57">AW26</f>
        <v/>
      </c>
      <c r="AY27" s="496"/>
    </row>
    <row r="28" spans="1:51" ht="15.95" customHeight="1" thickBot="1" x14ac:dyDescent="0.25">
      <c r="A28" s="435">
        <v>24</v>
      </c>
      <c r="B28" s="444" t="str">
        <f t="shared" ca="1" si="1"/>
        <v/>
      </c>
      <c r="C28" s="444" t="str">
        <f t="shared" ca="1" si="2"/>
        <v/>
      </c>
      <c r="D28" s="444" t="str">
        <f t="shared" ca="1" si="3"/>
        <v/>
      </c>
      <c r="E28" s="486">
        <f t="shared" ca="1" si="4"/>
        <v>0</v>
      </c>
      <c r="F28" s="489">
        <v>34</v>
      </c>
      <c r="G28" s="488" t="str">
        <f t="shared" ca="1" si="5"/>
        <v/>
      </c>
      <c r="H28" s="898" t="str">
        <f t="shared" ca="1" si="6"/>
        <v/>
      </c>
      <c r="I28" s="898" t="str">
        <f t="shared" ca="1" si="6"/>
        <v/>
      </c>
      <c r="J28" s="898" t="str">
        <f t="shared" ca="1" si="6"/>
        <v/>
      </c>
      <c r="K28" s="447">
        <f>K23+1</f>
        <v>7</v>
      </c>
      <c r="L28" s="472">
        <v>2</v>
      </c>
      <c r="M28" s="465" t="str">
        <f ca="1">IFERROR(VLOOKUP(L29,$G$5:$J$28,2,FALSE),"")</f>
        <v/>
      </c>
      <c r="N28" s="966"/>
      <c r="O28" s="780"/>
      <c r="Q28" s="447">
        <f>Q23+1</f>
        <v>7</v>
      </c>
      <c r="R28" s="472">
        <v>6</v>
      </c>
      <c r="S28" s="465" t="str">
        <f ca="1">IFERROR(VLOOKUP(R29,$G$5:$J$28,2,FALSE),"")</f>
        <v/>
      </c>
      <c r="T28" s="966"/>
      <c r="U28" s="780"/>
      <c r="W28" s="447">
        <f>W23+1</f>
        <v>7</v>
      </c>
      <c r="X28" s="472">
        <v>8</v>
      </c>
      <c r="Y28" s="465" t="str">
        <f ca="1">IFERROR(VLOOKUP(X29,$G$5:$J$28,2,FALSE),"")</f>
        <v/>
      </c>
      <c r="Z28" s="966"/>
      <c r="AA28" s="780"/>
      <c r="AF28" s="453" t="s">
        <v>807</v>
      </c>
      <c r="AG28" s="435" t="str">
        <f>IF(ISBLANK(Z77),"",IF(Z77+AA77&lt;Z79+AA79,X78,X80))</f>
        <v/>
      </c>
      <c r="AH28" s="478" t="str">
        <f t="shared" ca="1" si="7"/>
        <v/>
      </c>
      <c r="AI28" s="474" t="str">
        <f t="shared" ca="1" si="8"/>
        <v/>
      </c>
      <c r="AJ28" s="915" t="str">
        <f t="shared" ca="1" si="9"/>
        <v/>
      </c>
      <c r="AN28" s="494">
        <f>K84</f>
        <v>23</v>
      </c>
      <c r="AO28" s="495" t="str">
        <f ca="1">L85</f>
        <v/>
      </c>
      <c r="AP28" s="495" t="str">
        <f ca="1">AO27</f>
        <v/>
      </c>
      <c r="AQ28" s="496"/>
      <c r="AR28" s="494">
        <f>Q84</f>
        <v>23</v>
      </c>
      <c r="AS28" s="495" t="str">
        <f>R85</f>
        <v/>
      </c>
      <c r="AT28" s="495" t="str">
        <f>AS27</f>
        <v/>
      </c>
      <c r="AU28" s="496"/>
      <c r="AV28" s="494">
        <f>W84</f>
        <v>23</v>
      </c>
      <c r="AW28" s="495" t="str">
        <f>X85</f>
        <v/>
      </c>
      <c r="AX28" s="495" t="str">
        <f t="shared" ref="AX28" si="58">AW29</f>
        <v/>
      </c>
      <c r="AY28" s="496"/>
    </row>
    <row r="29" spans="1:51" ht="15.95" customHeight="1" thickBot="1" x14ac:dyDescent="0.25">
      <c r="I29" s="437"/>
      <c r="J29" s="437"/>
      <c r="K29" s="447"/>
      <c r="L29" s="473" t="str">
        <f ca="1">VLOOKUP(L28,$A$5:$G$24,7,FALSE)</f>
        <v/>
      </c>
      <c r="M29" s="466" t="str">
        <f ca="1">IFERROR(VLOOKUP(L29,$G$5:$J$28,3,FALSE),"")</f>
        <v/>
      </c>
      <c r="N29" s="967"/>
      <c r="Q29" s="447"/>
      <c r="R29" s="473" t="str">
        <f>IF(ISBLANK(N21),"",IF(N21+O21&lt;N23+O23,L22,L24))</f>
        <v/>
      </c>
      <c r="S29" s="466" t="str">
        <f ca="1">IFERROR(VLOOKUP(R29,$G$5:$J$28,3,FALSE),"")</f>
        <v/>
      </c>
      <c r="T29" s="967"/>
      <c r="W29" s="447"/>
      <c r="X29" s="473" t="str">
        <f>IF(ISBLANK(T21),"",IF(U21+T21&lt;T23+U23,R22,R24))</f>
        <v/>
      </c>
      <c r="Y29" s="466" t="str">
        <f ca="1">IFERROR(VLOOKUP(X29,$G$5:$J$28,3,FALSE),"")</f>
        <v/>
      </c>
      <c r="Z29" s="967"/>
      <c r="AF29" s="453" t="s">
        <v>808</v>
      </c>
      <c r="AG29" s="435" t="str">
        <f>IF(ISBLANK(Z84),"",IF(Z84+AA84&gt;Z86+AA86,X85,X87))</f>
        <v/>
      </c>
      <c r="AH29" s="478" t="str">
        <f t="shared" ca="1" si="7"/>
        <v/>
      </c>
      <c r="AI29" s="474" t="str">
        <f t="shared" ca="1" si="8"/>
        <v/>
      </c>
      <c r="AJ29" s="915" t="str">
        <f t="shared" ca="1" si="9"/>
        <v/>
      </c>
      <c r="AN29" s="494">
        <f>K86</f>
        <v>24</v>
      </c>
      <c r="AO29" s="495" t="str">
        <f ca="1">L87</f>
        <v/>
      </c>
      <c r="AP29" s="495"/>
      <c r="AQ29" s="496"/>
      <c r="AR29" s="494">
        <f>Q86</f>
        <v>24</v>
      </c>
      <c r="AS29" s="495" t="str">
        <f>R87</f>
        <v/>
      </c>
      <c r="AT29" s="495"/>
      <c r="AU29" s="496"/>
      <c r="AV29" s="495">
        <f>X86</f>
        <v>23</v>
      </c>
      <c r="AW29" s="495" t="str">
        <f>X87</f>
        <v/>
      </c>
      <c r="AX29" s="495" t="str">
        <f t="shared" ref="AX29" si="59">AW28</f>
        <v/>
      </c>
      <c r="AY29" s="496"/>
    </row>
    <row r="30" spans="1:51" ht="15.95" customHeight="1" thickBot="1" x14ac:dyDescent="0.25">
      <c r="I30" s="437"/>
      <c r="J30" s="437"/>
      <c r="K30" s="447">
        <f>K28+1</f>
        <v>8</v>
      </c>
      <c r="L30" s="472">
        <v>7</v>
      </c>
      <c r="M30" s="465" t="str">
        <f ca="1">IFERROR(VLOOKUP(L31,$G$5:$J$28,2,FALSE),"")</f>
        <v/>
      </c>
      <c r="N30" s="966"/>
      <c r="O30" s="780"/>
      <c r="Q30" s="447">
        <f>Q28+1</f>
        <v>8</v>
      </c>
      <c r="R30" s="472">
        <v>7</v>
      </c>
      <c r="S30" s="465" t="str">
        <f ca="1">IFERROR(VLOOKUP(R31,$G$5:$J$28,2,FALSE),"")</f>
        <v/>
      </c>
      <c r="T30" s="966"/>
      <c r="U30" s="780"/>
      <c r="W30" s="447">
        <f>W28+1</f>
        <v>8</v>
      </c>
      <c r="X30" s="472">
        <v>7</v>
      </c>
      <c r="Y30" s="465" t="str">
        <f ca="1">IFERROR(VLOOKUP(X31,$G$5:$J$28,2,FALSE),"")</f>
        <v/>
      </c>
      <c r="Z30" s="966"/>
      <c r="AA30" s="780"/>
      <c r="AF30" s="453" t="s">
        <v>809</v>
      </c>
      <c r="AG30" s="435" t="str">
        <f>IF(ISBLANK(Z84),"",IF(Z84+AA84&lt;Z86+AA86,X85,X87))</f>
        <v/>
      </c>
      <c r="AH30" s="480" t="str">
        <f t="shared" ca="1" si="7"/>
        <v/>
      </c>
      <c r="AI30" s="481" t="str">
        <f t="shared" ca="1" si="8"/>
        <v/>
      </c>
      <c r="AJ30" s="916" t="str">
        <f t="shared" ca="1" si="9"/>
        <v/>
      </c>
    </row>
    <row r="31" spans="1:51" ht="15.95" customHeight="1" thickBot="1" x14ac:dyDescent="0.25">
      <c r="I31" s="437"/>
      <c r="J31" s="437"/>
      <c r="K31" s="447"/>
      <c r="L31" s="473" t="str">
        <f ca="1">VLOOKUP(L30,$A$5:$G$24,7,FALSE)</f>
        <v/>
      </c>
      <c r="M31" s="466" t="str">
        <f ca="1">IFERROR(VLOOKUP(L31,$G$5:$J$28,3,FALSE),"")</f>
        <v/>
      </c>
      <c r="N31" s="967"/>
      <c r="Q31" s="447"/>
      <c r="R31" s="473" t="str">
        <f>IF(ISBLANK(N28),"",IF(N28+O28&lt;N30+O30,L29,L31))</f>
        <v/>
      </c>
      <c r="S31" s="466" t="str">
        <f ca="1">IFERROR(VLOOKUP(R31,$G$5:$J$28,3,FALSE),"")</f>
        <v/>
      </c>
      <c r="T31" s="967"/>
      <c r="W31" s="447"/>
      <c r="X31" s="473" t="str">
        <f>IF(ISBLANK(T28),"",IF(U28+T28&lt;T30+U30,R29,R31))</f>
        <v/>
      </c>
      <c r="Y31" s="466" t="str">
        <f ca="1">IFERROR(VLOOKUP(X31,$G$5:$J$28,3,FALSE),"")</f>
        <v/>
      </c>
      <c r="Z31" s="967"/>
      <c r="AF31" s="453"/>
      <c r="AG31" s="453"/>
    </row>
    <row r="32" spans="1:51" ht="15.95" customHeight="1" x14ac:dyDescent="0.2">
      <c r="I32" s="437"/>
      <c r="J32" s="437"/>
      <c r="K32" s="450"/>
      <c r="L32" s="437"/>
      <c r="M32" s="437"/>
      <c r="N32" s="451"/>
      <c r="O32" s="450"/>
      <c r="P32" s="450"/>
      <c r="Q32" s="450"/>
      <c r="R32" s="437"/>
      <c r="S32" s="437"/>
      <c r="T32" s="451"/>
      <c r="U32" s="450"/>
      <c r="V32" s="450"/>
      <c r="W32" s="450"/>
      <c r="X32" s="437"/>
      <c r="Y32" s="437"/>
      <c r="Z32" s="451"/>
      <c r="AA32" s="450"/>
      <c r="AF32" s="453"/>
      <c r="AG32" s="453"/>
    </row>
    <row r="33" spans="9:33" ht="15.95" customHeight="1" thickBot="1" x14ac:dyDescent="0.25">
      <c r="I33" s="437"/>
      <c r="J33" s="437"/>
      <c r="K33" s="450"/>
      <c r="L33" s="979" t="s">
        <v>822</v>
      </c>
      <c r="M33" s="1247"/>
      <c r="N33" s="1247"/>
      <c r="Q33" s="450"/>
      <c r="R33" s="979" t="s">
        <v>823</v>
      </c>
      <c r="S33" s="1247"/>
      <c r="T33" s="1247"/>
      <c r="U33" s="450"/>
      <c r="V33" s="450"/>
      <c r="W33" s="450"/>
      <c r="X33" s="979" t="s">
        <v>824</v>
      </c>
      <c r="Y33" s="1247"/>
      <c r="Z33" s="1247"/>
      <c r="AF33" s="453"/>
      <c r="AG33" s="453"/>
    </row>
    <row r="34" spans="9:33" ht="15.95" customHeight="1" thickBot="1" x14ac:dyDescent="0.25">
      <c r="I34" s="437"/>
      <c r="J34" s="437"/>
      <c r="K34" s="445" t="s">
        <v>779</v>
      </c>
      <c r="L34" s="779" t="s">
        <v>1083</v>
      </c>
      <c r="M34" s="456" t="s">
        <v>481</v>
      </c>
      <c r="N34" s="464" t="s">
        <v>780</v>
      </c>
      <c r="O34" s="446" t="s">
        <v>781</v>
      </c>
      <c r="P34" s="445"/>
      <c r="Q34" s="445" t="s">
        <v>779</v>
      </c>
      <c r="R34" s="779" t="s">
        <v>1083</v>
      </c>
      <c r="S34" s="456" t="s">
        <v>481</v>
      </c>
      <c r="T34" s="464" t="s">
        <v>780</v>
      </c>
      <c r="U34" s="446" t="s">
        <v>781</v>
      </c>
      <c r="V34" s="445"/>
      <c r="W34" s="445" t="s">
        <v>779</v>
      </c>
      <c r="X34" s="779" t="s">
        <v>1083</v>
      </c>
      <c r="Y34" s="456" t="s">
        <v>481</v>
      </c>
      <c r="Z34" s="464" t="s">
        <v>780</v>
      </c>
      <c r="AA34" s="446" t="s">
        <v>781</v>
      </c>
      <c r="AF34" s="453"/>
      <c r="AG34" s="453"/>
    </row>
    <row r="35" spans="9:33" ht="15.95" customHeight="1" thickBot="1" x14ac:dyDescent="0.25">
      <c r="I35" s="437"/>
      <c r="J35" s="437"/>
      <c r="K35" s="447">
        <f>K30+1</f>
        <v>9</v>
      </c>
      <c r="L35" s="472">
        <v>9</v>
      </c>
      <c r="M35" s="465" t="str">
        <f ca="1">IFERROR(VLOOKUP(L36,$G$5:$J$28,2,FALSE),"")</f>
        <v/>
      </c>
      <c r="N35" s="966"/>
      <c r="O35" s="780"/>
      <c r="Q35" s="447">
        <f>K35</f>
        <v>9</v>
      </c>
      <c r="R35" s="472">
        <v>9</v>
      </c>
      <c r="S35" s="465" t="str">
        <f ca="1">IFERROR(VLOOKUP(R36,$G$5:$J$28,2,FALSE),"")</f>
        <v/>
      </c>
      <c r="T35" s="966"/>
      <c r="U35" s="780"/>
      <c r="W35" s="447">
        <f>Q35</f>
        <v>9</v>
      </c>
      <c r="X35" s="472">
        <v>9</v>
      </c>
      <c r="Y35" s="465" t="str">
        <f ca="1">IFERROR(VLOOKUP(X36,$G$5:$J$28,2,FALSE),"")</f>
        <v/>
      </c>
      <c r="Z35" s="966"/>
      <c r="AA35" s="780"/>
      <c r="AF35" s="453"/>
      <c r="AG35" s="453"/>
    </row>
    <row r="36" spans="9:33" ht="15.95" customHeight="1" thickBot="1" x14ac:dyDescent="0.25">
      <c r="I36" s="437"/>
      <c r="J36" s="437"/>
      <c r="K36" s="447"/>
      <c r="L36" s="473" t="str">
        <f ca="1">VLOOKUP(L35,$A$5:$G$28,7,FALSE)</f>
        <v/>
      </c>
      <c r="M36" s="466" t="str">
        <f ca="1">IFERROR(VLOOKUP(L36,$G$5:$J$28,3,FALSE),"")</f>
        <v/>
      </c>
      <c r="N36" s="967"/>
      <c r="Q36" s="447"/>
      <c r="R36" s="473" t="str">
        <f>IF(ISBLANK(N35),"",IF(O35+N35&gt;N37+O37,L36,L38))</f>
        <v/>
      </c>
      <c r="S36" s="466" t="str">
        <f ca="1">IFERROR(VLOOKUP(R36,$G$5:$J$28,3,FALSE),"")</f>
        <v/>
      </c>
      <c r="T36" s="967"/>
      <c r="W36" s="447"/>
      <c r="X36" s="473" t="str">
        <f>IF(ISBLANK(T35),"",IF(U35+T35&gt;T37+U37,R36,R38))</f>
        <v/>
      </c>
      <c r="Y36" s="466" t="str">
        <f ca="1">IFERROR(VLOOKUP(X36,$G$5:$J$28,3,FALSE),"")</f>
        <v/>
      </c>
      <c r="Z36" s="967"/>
      <c r="AF36" s="453"/>
      <c r="AG36" s="453"/>
    </row>
    <row r="37" spans="9:33" ht="15.95" customHeight="1" thickBot="1" x14ac:dyDescent="0.25">
      <c r="I37" s="437"/>
      <c r="J37" s="437"/>
      <c r="K37" s="447">
        <f>K35+1</f>
        <v>10</v>
      </c>
      <c r="L37" s="472">
        <v>16</v>
      </c>
      <c r="M37" s="465" t="str">
        <f ca="1">IFERROR(VLOOKUP(L38,$G$5:$J$28,2,FALSE),"")</f>
        <v/>
      </c>
      <c r="N37" s="966"/>
      <c r="O37" s="780"/>
      <c r="Q37" s="447">
        <f>Q35+1</f>
        <v>10</v>
      </c>
      <c r="R37" s="472">
        <v>12</v>
      </c>
      <c r="S37" s="465" t="str">
        <f ca="1">IFERROR(VLOOKUP(R38,$G$5:$J$28,2,FALSE),"")</f>
        <v/>
      </c>
      <c r="T37" s="966"/>
      <c r="U37" s="780"/>
      <c r="W37" s="447">
        <f>W35+1</f>
        <v>10</v>
      </c>
      <c r="X37" s="472">
        <v>10</v>
      </c>
      <c r="Y37" s="465" t="str">
        <f ca="1">IFERROR(VLOOKUP(X38,$G$5:$J$28,2,FALSE),"")</f>
        <v/>
      </c>
      <c r="Z37" s="966"/>
      <c r="AA37" s="780"/>
      <c r="AF37" s="453"/>
      <c r="AG37" s="453"/>
    </row>
    <row r="38" spans="9:33" ht="15.95" customHeight="1" thickBot="1" x14ac:dyDescent="0.25">
      <c r="I38" s="437"/>
      <c r="J38" s="437"/>
      <c r="K38" s="447"/>
      <c r="L38" s="473" t="str">
        <f ca="1">VLOOKUP(L37,$A$5:$G$28,7,FALSE)</f>
        <v/>
      </c>
      <c r="M38" s="466" t="str">
        <f ca="1">IFERROR(VLOOKUP(L38,$G$5:$J$28,3,FALSE),"")</f>
        <v/>
      </c>
      <c r="N38" s="967"/>
      <c r="Q38" s="447"/>
      <c r="R38" s="473" t="str">
        <f>IF(ISBLANK(N42),"",IF(O42+N42&gt;N44+O44,L43,L45))</f>
        <v/>
      </c>
      <c r="S38" s="466" t="str">
        <f ca="1">IFERROR(VLOOKUP(R38,$G$5:$J$28,3,FALSE),"")</f>
        <v/>
      </c>
      <c r="T38" s="967"/>
      <c r="W38" s="447"/>
      <c r="X38" s="473" t="str">
        <f>IF(ISBLANK(T42),"",IF(U42+T42&gt;T44+U44,R43,R45))</f>
        <v/>
      </c>
      <c r="Y38" s="466" t="str">
        <f ca="1">IFERROR(VLOOKUP(X38,$G$5:$J$28,3,FALSE),"")</f>
        <v/>
      </c>
      <c r="Z38" s="967"/>
      <c r="AF38" s="453"/>
      <c r="AG38" s="453"/>
    </row>
    <row r="39" spans="9:33" ht="15.95" customHeight="1" x14ac:dyDescent="0.2">
      <c r="I39" s="437"/>
      <c r="J39" s="437"/>
      <c r="K39" s="450"/>
      <c r="L39" s="450"/>
      <c r="M39" s="450"/>
      <c r="N39" s="451"/>
      <c r="O39" s="450"/>
      <c r="P39" s="450"/>
      <c r="Q39" s="450"/>
      <c r="R39" s="437"/>
      <c r="S39" s="437"/>
      <c r="T39" s="451"/>
      <c r="U39" s="450"/>
      <c r="V39" s="450"/>
      <c r="W39" s="450"/>
      <c r="X39" s="450"/>
      <c r="Y39" s="450"/>
      <c r="Z39" s="451"/>
      <c r="AA39" s="450"/>
      <c r="AF39" s="453"/>
      <c r="AG39" s="453"/>
    </row>
    <row r="40" spans="9:33" ht="15.95" customHeight="1" thickBot="1" x14ac:dyDescent="0.25">
      <c r="I40" s="437"/>
      <c r="J40" s="437"/>
      <c r="K40" s="450"/>
      <c r="L40" s="450"/>
      <c r="M40" s="450"/>
      <c r="N40" s="451"/>
      <c r="O40" s="450"/>
      <c r="P40" s="450"/>
      <c r="Q40" s="450"/>
      <c r="R40" s="437"/>
      <c r="S40" s="437"/>
      <c r="T40" s="451"/>
      <c r="U40" s="450"/>
      <c r="V40" s="450"/>
      <c r="W40" s="450"/>
      <c r="X40" s="979" t="s">
        <v>825</v>
      </c>
      <c r="Y40" s="1247"/>
      <c r="Z40" s="1247"/>
      <c r="AA40" s="450"/>
      <c r="AF40" s="453"/>
      <c r="AG40" s="453"/>
    </row>
    <row r="41" spans="9:33" ht="15.95" customHeight="1" thickBot="1" x14ac:dyDescent="0.25">
      <c r="I41" s="437"/>
      <c r="J41" s="437"/>
      <c r="K41" s="445" t="s">
        <v>779</v>
      </c>
      <c r="L41" s="779" t="s">
        <v>1083</v>
      </c>
      <c r="M41" s="456" t="s">
        <v>481</v>
      </c>
      <c r="N41" s="464" t="s">
        <v>780</v>
      </c>
      <c r="O41" s="446" t="s">
        <v>781</v>
      </c>
      <c r="P41" s="445"/>
      <c r="Q41" s="445" t="s">
        <v>779</v>
      </c>
      <c r="R41" s="779" t="s">
        <v>1083</v>
      </c>
      <c r="S41" s="456" t="s">
        <v>481</v>
      </c>
      <c r="T41" s="464" t="s">
        <v>780</v>
      </c>
      <c r="U41" s="446" t="s">
        <v>781</v>
      </c>
      <c r="V41" s="445"/>
      <c r="W41" s="445" t="s">
        <v>779</v>
      </c>
      <c r="X41" s="779" t="s">
        <v>1083</v>
      </c>
      <c r="Y41" s="456" t="s">
        <v>481</v>
      </c>
      <c r="Z41" s="464" t="s">
        <v>780</v>
      </c>
      <c r="AA41" s="446" t="s">
        <v>781</v>
      </c>
      <c r="AF41" s="453"/>
      <c r="AG41" s="453"/>
    </row>
    <row r="42" spans="9:33" ht="15.95" customHeight="1" thickBot="1" x14ac:dyDescent="0.25">
      <c r="I42" s="437"/>
      <c r="J42" s="437"/>
      <c r="K42" s="447">
        <f>K37+1</f>
        <v>11</v>
      </c>
      <c r="L42" s="472">
        <v>12</v>
      </c>
      <c r="M42" s="465" t="str">
        <f ca="1">IFERROR(VLOOKUP(L43,$G$5:$J$28,2,FALSE),"")</f>
        <v/>
      </c>
      <c r="N42" s="966"/>
      <c r="O42" s="780"/>
      <c r="Q42" s="447">
        <f>Q37+1</f>
        <v>11</v>
      </c>
      <c r="R42" s="472">
        <v>11</v>
      </c>
      <c r="S42" s="465" t="str">
        <f ca="1">IFERROR(VLOOKUP(R43,$G$5:$J$28,2,FALSE),"")</f>
        <v/>
      </c>
      <c r="T42" s="966"/>
      <c r="U42" s="780"/>
      <c r="W42" s="447">
        <f>W37+1</f>
        <v>11</v>
      </c>
      <c r="X42" s="472">
        <v>12</v>
      </c>
      <c r="Y42" s="465" t="str">
        <f ca="1">IFERROR(VLOOKUP(X43,$G$5:$J$28,2,FALSE),"")</f>
        <v/>
      </c>
      <c r="Z42" s="966"/>
      <c r="AA42" s="780"/>
      <c r="AF42" s="453"/>
      <c r="AG42" s="453"/>
    </row>
    <row r="43" spans="9:33" ht="15.95" customHeight="1" thickBot="1" x14ac:dyDescent="0.25">
      <c r="I43" s="437"/>
      <c r="J43" s="437"/>
      <c r="K43" s="447"/>
      <c r="L43" s="473" t="str">
        <f ca="1">VLOOKUP(L42,$A$5:$G$28,7,FALSE)</f>
        <v/>
      </c>
      <c r="M43" s="466" t="str">
        <f ca="1">IFERROR(VLOOKUP(L43,$G$5:$J$28,3,FALSE),"")</f>
        <v/>
      </c>
      <c r="N43" s="967"/>
      <c r="Q43" s="447"/>
      <c r="R43" s="473" t="str">
        <f>IF(ISBLANK(N49),"",IF(N49+O49&gt;N51+O51,L50,L52))</f>
        <v/>
      </c>
      <c r="S43" s="466" t="str">
        <f ca="1">IFERROR(VLOOKUP(R43,$G$5:$J$28,3,FALSE),"")</f>
        <v/>
      </c>
      <c r="T43" s="967"/>
      <c r="W43" s="447"/>
      <c r="X43" s="473" t="str">
        <f>IF(ISBLANK(T35),"",IF(U35+T35&lt;T37+U37,R36,R38))</f>
        <v/>
      </c>
      <c r="Y43" s="466" t="str">
        <f ca="1">IFERROR(VLOOKUP(X43,$G$5:$J$28,3,FALSE),"")</f>
        <v/>
      </c>
      <c r="Z43" s="967"/>
      <c r="AF43" s="453"/>
      <c r="AG43" s="453"/>
    </row>
    <row r="44" spans="9:33" ht="15.95" customHeight="1" thickBot="1" x14ac:dyDescent="0.25">
      <c r="I44" s="437"/>
      <c r="J44" s="437"/>
      <c r="K44" s="447">
        <f>K42+1</f>
        <v>12</v>
      </c>
      <c r="L44" s="472">
        <v>13</v>
      </c>
      <c r="M44" s="465" t="str">
        <f ca="1">IFERROR(VLOOKUP(L45,$G$5:$J$28,2,FALSE),"")</f>
        <v/>
      </c>
      <c r="N44" s="966"/>
      <c r="O44" s="780"/>
      <c r="Q44" s="447">
        <f>Q42+1</f>
        <v>12</v>
      </c>
      <c r="R44" s="472">
        <v>10</v>
      </c>
      <c r="S44" s="465" t="str">
        <f ca="1">IFERROR(VLOOKUP(R45,$G$5:$J$28,2,FALSE),"")</f>
        <v/>
      </c>
      <c r="T44" s="966"/>
      <c r="U44" s="780"/>
      <c r="W44" s="447">
        <f>W42+1</f>
        <v>12</v>
      </c>
      <c r="X44" s="472">
        <v>11</v>
      </c>
      <c r="Y44" s="465" t="str">
        <f ca="1">IFERROR(VLOOKUP(X45,$G$5:$J$28,2,FALSE),"")</f>
        <v/>
      </c>
      <c r="Z44" s="966"/>
      <c r="AA44" s="780"/>
      <c r="AF44" s="453"/>
      <c r="AG44" s="453"/>
    </row>
    <row r="45" spans="9:33" ht="15.95" customHeight="1" thickBot="1" x14ac:dyDescent="0.25">
      <c r="I45" s="437"/>
      <c r="J45" s="437"/>
      <c r="K45" s="447"/>
      <c r="L45" s="473" t="str">
        <f ca="1">VLOOKUP(L44,$A$5:$G$28,7,FALSE)</f>
        <v/>
      </c>
      <c r="M45" s="466" t="str">
        <f ca="1">IFERROR(VLOOKUP(L45,$G$5:$J$28,3,FALSE),"")</f>
        <v/>
      </c>
      <c r="N45" s="967"/>
      <c r="Q45" s="447"/>
      <c r="R45" s="473" t="str">
        <f>IF(ISBLANK(N56),"",IF(N56+O56&gt;N58+O58,L57,L59))</f>
        <v/>
      </c>
      <c r="S45" s="466" t="str">
        <f ca="1">IFERROR(VLOOKUP(R45,$G$5:$J$28,3,FALSE),"")</f>
        <v/>
      </c>
      <c r="T45" s="967"/>
      <c r="W45" s="447"/>
      <c r="X45" s="473" t="str">
        <f>IF(ISBLANK(T42),"",IF(U42+T42&lt;T44+U44,R43,R45))</f>
        <v/>
      </c>
      <c r="Y45" s="466" t="str">
        <f ca="1">IFERROR(VLOOKUP(X45,$G$5:$J$28,3,FALSE),"")</f>
        <v/>
      </c>
      <c r="Z45" s="967"/>
      <c r="AF45" s="453"/>
      <c r="AG45" s="453"/>
    </row>
    <row r="46" spans="9:33" ht="15.95" customHeight="1" x14ac:dyDescent="0.2">
      <c r="I46" s="437"/>
      <c r="J46" s="437"/>
      <c r="K46" s="450"/>
      <c r="L46" s="450"/>
      <c r="M46" s="450"/>
      <c r="N46" s="451"/>
      <c r="O46" s="450"/>
      <c r="P46" s="450"/>
      <c r="Q46" s="450"/>
      <c r="R46" s="450"/>
      <c r="S46" s="450"/>
      <c r="T46" s="451"/>
      <c r="U46" s="450"/>
      <c r="V46" s="450"/>
      <c r="W46" s="450"/>
      <c r="X46" s="450"/>
      <c r="Y46" s="450"/>
      <c r="Z46" s="451"/>
      <c r="AA46" s="450"/>
      <c r="AF46" s="453"/>
      <c r="AG46" s="453"/>
    </row>
    <row r="47" spans="9:33" ht="15.95" customHeight="1" thickBot="1" x14ac:dyDescent="0.25">
      <c r="I47" s="437"/>
      <c r="J47" s="437"/>
      <c r="K47" s="450"/>
      <c r="L47" s="454"/>
      <c r="M47" s="454"/>
      <c r="N47" s="455"/>
      <c r="O47" s="450"/>
      <c r="P47" s="450"/>
      <c r="Q47" s="450"/>
      <c r="R47" s="979" t="s">
        <v>826</v>
      </c>
      <c r="S47" s="1247"/>
      <c r="T47" s="1247"/>
      <c r="U47" s="450"/>
      <c r="V47" s="450"/>
      <c r="W47" s="450"/>
      <c r="X47" s="979" t="s">
        <v>827</v>
      </c>
      <c r="Y47" s="1247"/>
      <c r="Z47" s="1247"/>
      <c r="AA47" s="450"/>
      <c r="AF47" s="453"/>
      <c r="AG47" s="453"/>
    </row>
    <row r="48" spans="9:33" ht="15.95" customHeight="1" thickBot="1" x14ac:dyDescent="0.25">
      <c r="I48" s="437"/>
      <c r="J48" s="437"/>
      <c r="K48" s="445" t="s">
        <v>779</v>
      </c>
      <c r="L48" s="779" t="s">
        <v>1083</v>
      </c>
      <c r="M48" s="456" t="s">
        <v>481</v>
      </c>
      <c r="N48" s="464" t="s">
        <v>780</v>
      </c>
      <c r="O48" s="446" t="s">
        <v>781</v>
      </c>
      <c r="P48" s="445"/>
      <c r="Q48" s="445" t="s">
        <v>779</v>
      </c>
      <c r="R48" s="779" t="s">
        <v>1083</v>
      </c>
      <c r="S48" s="456" t="s">
        <v>481</v>
      </c>
      <c r="T48" s="464" t="s">
        <v>780</v>
      </c>
      <c r="U48" s="446" t="s">
        <v>781</v>
      </c>
      <c r="V48" s="445"/>
      <c r="W48" s="445" t="s">
        <v>779</v>
      </c>
      <c r="X48" s="779" t="s">
        <v>1083</v>
      </c>
      <c r="Y48" s="456" t="s">
        <v>481</v>
      </c>
      <c r="Z48" s="464" t="s">
        <v>780</v>
      </c>
      <c r="AA48" s="446" t="s">
        <v>781</v>
      </c>
      <c r="AF48" s="453"/>
      <c r="AG48" s="453"/>
    </row>
    <row r="49" spans="9:33" ht="15.95" customHeight="1" thickBot="1" x14ac:dyDescent="0.25">
      <c r="I49" s="437"/>
      <c r="J49" s="437"/>
      <c r="K49" s="447">
        <f>K44+1</f>
        <v>13</v>
      </c>
      <c r="L49" s="472">
        <v>11</v>
      </c>
      <c r="M49" s="465" t="str">
        <f ca="1">IFERROR(VLOOKUP(L50,$G$5:$J$28,2,FALSE),"")</f>
        <v/>
      </c>
      <c r="N49" s="966"/>
      <c r="O49" s="780"/>
      <c r="Q49" s="447">
        <f>Q44+1</f>
        <v>13</v>
      </c>
      <c r="R49" s="472">
        <v>16</v>
      </c>
      <c r="S49" s="465" t="str">
        <f ca="1">IFERROR(VLOOKUP(R50,$G$5:$J$28,2,FALSE),"")</f>
        <v/>
      </c>
      <c r="T49" s="966"/>
      <c r="U49" s="780"/>
      <c r="W49" s="447">
        <f>W44+1</f>
        <v>13</v>
      </c>
      <c r="X49" s="472">
        <v>13</v>
      </c>
      <c r="Y49" s="465" t="str">
        <f ca="1">IFERROR(VLOOKUP(X50,$G$5:$J$28,2,FALSE),"")</f>
        <v/>
      </c>
      <c r="Z49" s="966"/>
      <c r="AA49" s="780"/>
      <c r="AF49" s="453"/>
      <c r="AG49" s="453"/>
    </row>
    <row r="50" spans="9:33" ht="15.95" customHeight="1" thickBot="1" x14ac:dyDescent="0.25">
      <c r="I50" s="437"/>
      <c r="J50" s="437"/>
      <c r="K50" s="447"/>
      <c r="L50" s="473" t="str">
        <f ca="1">VLOOKUP(L49,$A$5:$G$28,7,FALSE)</f>
        <v/>
      </c>
      <c r="M50" s="466" t="str">
        <f ca="1">IFERROR(VLOOKUP(L50,$G$5:$J$28,3,FALSE),"")</f>
        <v/>
      </c>
      <c r="N50" s="967"/>
      <c r="Q50" s="447"/>
      <c r="R50" s="473" t="str">
        <f>IF(ISBLANK(N35),"",IF(O35+N35&lt;N37+O37,L36,L38))</f>
        <v/>
      </c>
      <c r="S50" s="466" t="str">
        <f ca="1">IFERROR(VLOOKUP(R50,$G$5:$J$28,3,FALSE),"")</f>
        <v/>
      </c>
      <c r="T50" s="967"/>
      <c r="W50" s="447"/>
      <c r="X50" s="473" t="str">
        <f>IF(ISBLANK(T49),"",IF(U49+T49&gt;T51+U51,R50,R52))</f>
        <v/>
      </c>
      <c r="Y50" s="466" t="str">
        <f ca="1">IFERROR(VLOOKUP(X50,$G$5:$J$28,3,FALSE),"")</f>
        <v/>
      </c>
      <c r="Z50" s="967"/>
    </row>
    <row r="51" spans="9:33" ht="15.95" customHeight="1" thickBot="1" x14ac:dyDescent="0.25">
      <c r="I51" s="437"/>
      <c r="J51" s="437"/>
      <c r="K51" s="447">
        <f>K49+1</f>
        <v>14</v>
      </c>
      <c r="L51" s="472">
        <v>14</v>
      </c>
      <c r="M51" s="465" t="str">
        <f ca="1">IFERROR(VLOOKUP(L52,$G$5:$J$28,2,FALSE),"")</f>
        <v/>
      </c>
      <c r="N51" s="966"/>
      <c r="O51" s="780"/>
      <c r="Q51" s="447">
        <f>Q49+1</f>
        <v>14</v>
      </c>
      <c r="R51" s="472">
        <v>13</v>
      </c>
      <c r="S51" s="465" t="str">
        <f ca="1">IFERROR(VLOOKUP(R52,$G$5:$J$28,2,FALSE),"")</f>
        <v/>
      </c>
      <c r="T51" s="966"/>
      <c r="U51" s="780"/>
      <c r="W51" s="447">
        <f>W49+1</f>
        <v>14</v>
      </c>
      <c r="X51" s="472">
        <v>14</v>
      </c>
      <c r="Y51" s="465" t="str">
        <f ca="1">IFERROR(VLOOKUP(X52,$G$5:$J$28,2,FALSE),"")</f>
        <v/>
      </c>
      <c r="Z51" s="966"/>
      <c r="AA51" s="780"/>
    </row>
    <row r="52" spans="9:33" ht="15.95" customHeight="1" thickBot="1" x14ac:dyDescent="0.25">
      <c r="I52" s="437"/>
      <c r="J52" s="437"/>
      <c r="K52" s="447"/>
      <c r="L52" s="473" t="str">
        <f ca="1">VLOOKUP(L51,$A$5:$G$28,7,FALSE)</f>
        <v/>
      </c>
      <c r="M52" s="466" t="str">
        <f ca="1">IFERROR(VLOOKUP(L52,$G$5:$J$28,3,FALSE),"")</f>
        <v/>
      </c>
      <c r="N52" s="967"/>
      <c r="Q52" s="447"/>
      <c r="R52" s="473" t="str">
        <f>IF(ISBLANK(N42),"",IF(O42+N42&lt;N44+O44,L43,L45))</f>
        <v/>
      </c>
      <c r="S52" s="466" t="str">
        <f ca="1">IFERROR(VLOOKUP(R52,$G$5:$J$28,3,FALSE),"")</f>
        <v/>
      </c>
      <c r="T52" s="967"/>
      <c r="W52" s="447"/>
      <c r="X52" s="473" t="str">
        <f>IF(ISBLANK(T56),"",IF(U56+T56&gt;T58+U58,R57,R59))</f>
        <v/>
      </c>
      <c r="Y52" s="466" t="str">
        <f ca="1">IFERROR(VLOOKUP(X52,$G$5:$J$28,3,FALSE),"")</f>
        <v/>
      </c>
      <c r="Z52" s="967"/>
    </row>
    <row r="53" spans="9:33" ht="15.95" customHeight="1" x14ac:dyDescent="0.2">
      <c r="I53" s="437"/>
      <c r="J53" s="437"/>
      <c r="K53" s="447"/>
      <c r="L53" s="441"/>
      <c r="M53" s="441"/>
      <c r="Q53" s="447"/>
      <c r="R53" s="437"/>
      <c r="S53" s="437"/>
      <c r="T53" s="451"/>
      <c r="W53" s="447"/>
      <c r="X53" s="441"/>
      <c r="Y53" s="441"/>
    </row>
    <row r="54" spans="9:33" ht="15.95" customHeight="1" thickBot="1" x14ac:dyDescent="0.25">
      <c r="I54" s="437"/>
      <c r="J54" s="437"/>
      <c r="K54" s="450"/>
      <c r="L54" s="450"/>
      <c r="M54" s="450"/>
      <c r="N54" s="451"/>
      <c r="O54" s="450"/>
      <c r="P54" s="450"/>
      <c r="Q54" s="450"/>
      <c r="R54" s="437"/>
      <c r="S54" s="437"/>
      <c r="T54" s="451"/>
      <c r="U54" s="450"/>
      <c r="V54" s="450"/>
      <c r="W54" s="450"/>
      <c r="X54" s="979" t="s">
        <v>828</v>
      </c>
      <c r="Y54" s="1247"/>
      <c r="Z54" s="1247"/>
      <c r="AA54" s="450"/>
    </row>
    <row r="55" spans="9:33" ht="15.95" customHeight="1" thickBot="1" x14ac:dyDescent="0.25">
      <c r="I55" s="437"/>
      <c r="J55" s="437"/>
      <c r="K55" s="445" t="s">
        <v>779</v>
      </c>
      <c r="L55" s="779" t="s">
        <v>1083</v>
      </c>
      <c r="M55" s="456" t="s">
        <v>481</v>
      </c>
      <c r="N55" s="464" t="s">
        <v>780</v>
      </c>
      <c r="O55" s="446" t="s">
        <v>781</v>
      </c>
      <c r="P55" s="445"/>
      <c r="Q55" s="445" t="s">
        <v>779</v>
      </c>
      <c r="R55" s="779" t="s">
        <v>1083</v>
      </c>
      <c r="S55" s="456" t="s">
        <v>481</v>
      </c>
      <c r="T55" s="464" t="s">
        <v>780</v>
      </c>
      <c r="U55" s="446" t="s">
        <v>781</v>
      </c>
      <c r="V55" s="445"/>
      <c r="W55" s="445" t="s">
        <v>779</v>
      </c>
      <c r="X55" s="779" t="s">
        <v>1083</v>
      </c>
      <c r="Y55" s="456" t="s">
        <v>481</v>
      </c>
      <c r="Z55" s="464" t="s">
        <v>780</v>
      </c>
      <c r="AA55" s="446" t="s">
        <v>781</v>
      </c>
    </row>
    <row r="56" spans="9:33" ht="15.95" customHeight="1" thickBot="1" x14ac:dyDescent="0.25">
      <c r="I56" s="437"/>
      <c r="J56" s="437"/>
      <c r="K56" s="447">
        <f>K51+1</f>
        <v>15</v>
      </c>
      <c r="L56" s="472">
        <v>10</v>
      </c>
      <c r="M56" s="465" t="str">
        <f ca="1">IFERROR(VLOOKUP(L57,$G$5:$J$28,2,FALSE),"")</f>
        <v/>
      </c>
      <c r="N56" s="966"/>
      <c r="O56" s="780"/>
      <c r="Q56" s="447">
        <f>Q51+1</f>
        <v>15</v>
      </c>
      <c r="R56" s="472">
        <v>14</v>
      </c>
      <c r="S56" s="465" t="str">
        <f ca="1">IFERROR(VLOOKUP(R57,$G$5:$J$28,2,FALSE),"")</f>
        <v/>
      </c>
      <c r="T56" s="966"/>
      <c r="U56" s="780"/>
      <c r="W56" s="447">
        <f>W51+1</f>
        <v>15</v>
      </c>
      <c r="X56" s="472">
        <v>16</v>
      </c>
      <c r="Y56" s="465" t="str">
        <f ca="1">IFERROR(VLOOKUP(X57,$G$5:$J$28,2,FALSE),"")</f>
        <v/>
      </c>
      <c r="Z56" s="966"/>
      <c r="AA56" s="780"/>
    </row>
    <row r="57" spans="9:33" ht="15.95" customHeight="1" thickBot="1" x14ac:dyDescent="0.25">
      <c r="I57" s="437"/>
      <c r="J57" s="437"/>
      <c r="K57" s="447"/>
      <c r="L57" s="473" t="str">
        <f ca="1">VLOOKUP(L56,$A$5:$G$28,7,FALSE)</f>
        <v/>
      </c>
      <c r="M57" s="466" t="str">
        <f ca="1">IFERROR(VLOOKUP(L57,$G$5:$J$28,3,FALSE),"")</f>
        <v/>
      </c>
      <c r="N57" s="967"/>
      <c r="Q57" s="447"/>
      <c r="R57" s="473" t="str">
        <f>IF(ISBLANK(N49),"",IF(N49+O49&lt;N51+O51,L50,L52))</f>
        <v/>
      </c>
      <c r="S57" s="466" t="str">
        <f ca="1">IFERROR(VLOOKUP(R57,$G$5:$J$28,3,FALSE),"")</f>
        <v/>
      </c>
      <c r="T57" s="967"/>
      <c r="W57" s="447"/>
      <c r="X57" s="473" t="str">
        <f>IF(ISBLANK(T49),"",IF(U49+T49&lt;T51+U51,R50,R52))</f>
        <v/>
      </c>
      <c r="Y57" s="466" t="str">
        <f ca="1">IFERROR(VLOOKUP(X57,$G$5:$J$28,3,FALSE),"")</f>
        <v/>
      </c>
      <c r="Z57" s="967"/>
    </row>
    <row r="58" spans="9:33" ht="15.95" customHeight="1" thickBot="1" x14ac:dyDescent="0.25">
      <c r="I58" s="437"/>
      <c r="J58" s="437"/>
      <c r="K58" s="447">
        <f>K56+1</f>
        <v>16</v>
      </c>
      <c r="L58" s="472">
        <v>15</v>
      </c>
      <c r="M58" s="465" t="str">
        <f ca="1">IFERROR(VLOOKUP(L59,$G$5:$J$28,2,FALSE),"")</f>
        <v/>
      </c>
      <c r="N58" s="966"/>
      <c r="O58" s="780"/>
      <c r="Q58" s="447">
        <f>Q56+1</f>
        <v>16</v>
      </c>
      <c r="R58" s="472">
        <v>15</v>
      </c>
      <c r="S58" s="465" t="str">
        <f ca="1">IFERROR(VLOOKUP(R59,$G$5:$J$28,2,FALSE),"")</f>
        <v/>
      </c>
      <c r="T58" s="966"/>
      <c r="U58" s="780"/>
      <c r="W58" s="447">
        <f>W56+1</f>
        <v>16</v>
      </c>
      <c r="X58" s="472">
        <v>15</v>
      </c>
      <c r="Y58" s="465" t="str">
        <f ca="1">IFERROR(VLOOKUP(X59,$G$5:$J$28,2,FALSE),"")</f>
        <v/>
      </c>
      <c r="Z58" s="966"/>
      <c r="AA58" s="780"/>
    </row>
    <row r="59" spans="9:33" ht="15.95" customHeight="1" thickBot="1" x14ac:dyDescent="0.25">
      <c r="I59" s="437"/>
      <c r="J59" s="437"/>
      <c r="K59" s="447"/>
      <c r="L59" s="473" t="str">
        <f ca="1">VLOOKUP(L58,$A$5:$G$28,7,FALSE)</f>
        <v/>
      </c>
      <c r="M59" s="466" t="str">
        <f ca="1">IFERROR(VLOOKUP(L59,$G$5:$J$28,3,FALSE),"")</f>
        <v/>
      </c>
      <c r="N59" s="967"/>
      <c r="Q59" s="447"/>
      <c r="R59" s="473" t="str">
        <f>IF(ISBLANK(N56),"",IF(N56+O56&lt;N58+O58,L57,L59))</f>
        <v/>
      </c>
      <c r="S59" s="466" t="str">
        <f ca="1">IFERROR(VLOOKUP(R59,$G$5:$J$28,3,FALSE),"")</f>
        <v/>
      </c>
      <c r="T59" s="967"/>
      <c r="W59" s="447"/>
      <c r="X59" s="473" t="str">
        <f>IF(ISBLANK(T56),"",IF(U56+T56&lt;T58+U58,R57,R59))</f>
        <v/>
      </c>
      <c r="Y59" s="466" t="str">
        <f ca="1">IFERROR(VLOOKUP(X59,$G$5:$J$28,3,FALSE),"")</f>
        <v/>
      </c>
      <c r="Z59" s="967"/>
    </row>
    <row r="60" spans="9:33" ht="15.95" customHeight="1" x14ac:dyDescent="0.2">
      <c r="I60" s="437"/>
      <c r="J60" s="437"/>
      <c r="K60" s="447"/>
      <c r="Q60" s="447"/>
      <c r="W60" s="447"/>
    </row>
    <row r="61" spans="9:33" ht="15.95" customHeight="1" thickBot="1" x14ac:dyDescent="0.25">
      <c r="I61" s="437"/>
      <c r="J61" s="786"/>
      <c r="L61" s="979" t="s">
        <v>829</v>
      </c>
      <c r="M61" s="1247"/>
      <c r="N61" s="1247"/>
      <c r="O61" s="443"/>
      <c r="P61" s="443"/>
      <c r="R61" s="979" t="s">
        <v>1328</v>
      </c>
      <c r="S61" s="1247"/>
      <c r="T61" s="1247"/>
      <c r="U61" s="443"/>
      <c r="V61" s="443"/>
      <c r="W61" s="445"/>
      <c r="X61" s="979" t="s">
        <v>831</v>
      </c>
      <c r="Y61" s="1247"/>
      <c r="Z61" s="1247"/>
      <c r="AA61" s="443"/>
    </row>
    <row r="62" spans="9:33" ht="15.95" customHeight="1" thickBot="1" x14ac:dyDescent="0.25">
      <c r="I62" s="437"/>
      <c r="J62" s="786"/>
      <c r="K62" s="445" t="s">
        <v>779</v>
      </c>
      <c r="L62" s="463"/>
      <c r="M62" s="456" t="s">
        <v>481</v>
      </c>
      <c r="N62" s="464" t="s">
        <v>780</v>
      </c>
      <c r="O62" s="446" t="s">
        <v>781</v>
      </c>
      <c r="P62" s="445"/>
      <c r="Q62" s="445" t="s">
        <v>779</v>
      </c>
      <c r="R62" s="463"/>
      <c r="S62" s="456" t="s">
        <v>481</v>
      </c>
      <c r="T62" s="464" t="s">
        <v>780</v>
      </c>
      <c r="U62" s="446" t="s">
        <v>781</v>
      </c>
      <c r="V62" s="445"/>
      <c r="W62" s="445" t="s">
        <v>779</v>
      </c>
      <c r="X62" s="463">
        <v>1</v>
      </c>
      <c r="Y62" s="456" t="s">
        <v>481</v>
      </c>
      <c r="Z62" s="464" t="s">
        <v>780</v>
      </c>
      <c r="AA62" s="446" t="s">
        <v>781</v>
      </c>
      <c r="AC62" s="445"/>
    </row>
    <row r="63" spans="9:33" ht="15.95" customHeight="1" thickBot="1" x14ac:dyDescent="0.25">
      <c r="I63" s="437"/>
      <c r="J63" s="786"/>
      <c r="K63" s="447">
        <f>K58+1</f>
        <v>17</v>
      </c>
      <c r="L63" s="472">
        <v>17</v>
      </c>
      <c r="M63" s="465" t="str">
        <f ca="1">IFERROR(VLOOKUP(L64,$G$5:$J$28,2,FALSE),"")</f>
        <v/>
      </c>
      <c r="N63" s="966"/>
      <c r="O63" s="780"/>
      <c r="Q63" s="447">
        <f>K63</f>
        <v>17</v>
      </c>
      <c r="R63" s="472">
        <v>17</v>
      </c>
      <c r="S63" s="465" t="str">
        <f ca="1">IFERROR(VLOOKUP(R64,$G$5:$J$28,2,FALSE),"")</f>
        <v/>
      </c>
      <c r="T63" s="966"/>
      <c r="U63" s="780"/>
      <c r="W63" s="447">
        <f>Q63</f>
        <v>17</v>
      </c>
      <c r="X63" s="472">
        <v>17</v>
      </c>
      <c r="Y63" s="465" t="str">
        <f ca="1">IFERROR(VLOOKUP(X64,$G$5:$J$28,2,FALSE),"")</f>
        <v/>
      </c>
      <c r="Z63" s="966"/>
      <c r="AA63" s="780"/>
      <c r="AC63" s="445"/>
    </row>
    <row r="64" spans="9:33" ht="15.95" customHeight="1" thickBot="1" x14ac:dyDescent="0.25">
      <c r="I64" s="437"/>
      <c r="J64" s="786"/>
      <c r="K64" s="447"/>
      <c r="L64" s="473" t="str">
        <f ca="1">VLOOKUP(L63,$A$5:$G$28,7,FALSE)</f>
        <v/>
      </c>
      <c r="M64" s="466" t="str">
        <f ca="1">IFERROR(VLOOKUP(L64,$G$5:$J$28,3,FALSE),"")</f>
        <v/>
      </c>
      <c r="N64" s="967"/>
      <c r="Q64" s="447"/>
      <c r="R64" s="473" t="str">
        <f>IF(ISBLANK(N63),"",IF(O63+N63&gt;N65+O65,L64,L66))</f>
        <v/>
      </c>
      <c r="S64" s="466" t="str">
        <f ca="1">IFERROR(VLOOKUP(R64,$G$5:$J$28,3,FALSE),"")</f>
        <v/>
      </c>
      <c r="T64" s="967"/>
      <c r="W64" s="447"/>
      <c r="X64" s="473" t="str">
        <f>IF(ISBLANK(T63),"",IF(U63+T63&gt;T65+U65,R64,R66))</f>
        <v/>
      </c>
      <c r="Y64" s="466" t="str">
        <f ca="1">IFERROR(VLOOKUP(X64,$G$5:$J$28,3,FALSE),"")</f>
        <v/>
      </c>
      <c r="Z64" s="967"/>
      <c r="AC64" s="445"/>
    </row>
    <row r="65" spans="9:36" ht="15.95" customHeight="1" thickBot="1" x14ac:dyDescent="0.25">
      <c r="I65" s="437"/>
      <c r="J65" s="786"/>
      <c r="K65" s="447">
        <f>K63+1</f>
        <v>18</v>
      </c>
      <c r="L65" s="472">
        <v>24</v>
      </c>
      <c r="M65" s="465" t="str">
        <f ca="1">IFERROR(VLOOKUP(L66,$G$5:$J$28,2,FALSE),"")</f>
        <v/>
      </c>
      <c r="N65" s="966"/>
      <c r="O65" s="780"/>
      <c r="Q65" s="447">
        <f>Q63+1</f>
        <v>18</v>
      </c>
      <c r="R65" s="472">
        <v>20</v>
      </c>
      <c r="S65" s="465" t="str">
        <f ca="1">IFERROR(VLOOKUP(R66,$G$5:$J$28,2,FALSE),"")</f>
        <v/>
      </c>
      <c r="T65" s="966"/>
      <c r="U65" s="780"/>
      <c r="W65" s="447">
        <f>W63+1</f>
        <v>18</v>
      </c>
      <c r="X65" s="472">
        <v>18</v>
      </c>
      <c r="Y65" s="465" t="str">
        <f ca="1">IFERROR(VLOOKUP(X66,$G$5:$J$28,2,FALSE),"")</f>
        <v/>
      </c>
      <c r="Z65" s="966"/>
      <c r="AA65" s="780"/>
      <c r="AC65" s="445"/>
      <c r="AH65" s="441"/>
      <c r="AI65" s="441"/>
      <c r="AJ65" s="447"/>
    </row>
    <row r="66" spans="9:36" ht="15.95" customHeight="1" thickBot="1" x14ac:dyDescent="0.25">
      <c r="I66" s="437"/>
      <c r="J66" s="786"/>
      <c r="K66" s="447"/>
      <c r="L66" s="473" t="str">
        <f ca="1">VLOOKUP(L65,$A$5:$G$28,7,FALSE)</f>
        <v/>
      </c>
      <c r="M66" s="466" t="str">
        <f ca="1">IFERROR(VLOOKUP(L66,$G$5:$J$28,3,FALSE),"")</f>
        <v/>
      </c>
      <c r="N66" s="967"/>
      <c r="Q66" s="447"/>
      <c r="R66" s="473" t="str">
        <f>IF(ISBLANK(N70),"",IF(O70+N70&gt;N72+O72,L71,L73))</f>
        <v/>
      </c>
      <c r="S66" s="466" t="str">
        <f ca="1">IFERROR(VLOOKUP(R66,$G$5:$J$28,3,FALSE),"")</f>
        <v/>
      </c>
      <c r="T66" s="967"/>
      <c r="W66" s="447"/>
      <c r="X66" s="473" t="str">
        <f>IF(ISBLANK(T70),"",IF(U70+T70&gt;T72+U72,R71,R73))</f>
        <v/>
      </c>
      <c r="Y66" s="466" t="str">
        <f ca="1">IFERROR(VLOOKUP(X66,$G$5:$J$28,3,FALSE),"")</f>
        <v/>
      </c>
      <c r="Z66" s="967"/>
      <c r="AC66" s="445"/>
      <c r="AH66" s="441"/>
      <c r="AI66" s="441"/>
      <c r="AJ66" s="447"/>
    </row>
    <row r="67" spans="9:36" ht="15.95" customHeight="1" x14ac:dyDescent="0.2">
      <c r="I67" s="437"/>
      <c r="J67" s="786"/>
      <c r="K67" s="450"/>
      <c r="L67" s="450"/>
      <c r="M67" s="450"/>
      <c r="N67" s="451"/>
      <c r="O67" s="450"/>
      <c r="P67" s="450"/>
      <c r="Q67" s="450"/>
      <c r="R67" s="437"/>
      <c r="S67" s="437"/>
      <c r="T67" s="451"/>
      <c r="U67" s="450"/>
      <c r="V67" s="450"/>
      <c r="W67" s="450"/>
      <c r="X67" s="450"/>
      <c r="Y67" s="450"/>
      <c r="Z67" s="451"/>
      <c r="AA67" s="450"/>
      <c r="AC67" s="445"/>
      <c r="AH67" s="441"/>
      <c r="AI67" s="441"/>
      <c r="AJ67" s="441"/>
    </row>
    <row r="68" spans="9:36" ht="15.95" customHeight="1" thickBot="1" x14ac:dyDescent="0.25">
      <c r="I68" s="437"/>
      <c r="J68" s="786"/>
      <c r="K68" s="450"/>
      <c r="L68" s="450"/>
      <c r="M68" s="450"/>
      <c r="N68" s="451"/>
      <c r="O68" s="450"/>
      <c r="P68" s="450"/>
      <c r="Q68" s="450"/>
      <c r="R68" s="437"/>
      <c r="S68" s="437"/>
      <c r="T68" s="451"/>
      <c r="U68" s="450"/>
      <c r="V68" s="450"/>
      <c r="W68" s="450"/>
      <c r="X68" s="979" t="s">
        <v>832</v>
      </c>
      <c r="Y68" s="1247"/>
      <c r="Z68" s="1247"/>
      <c r="AA68" s="450"/>
      <c r="AC68" s="445"/>
      <c r="AH68" s="441"/>
      <c r="AI68" s="441"/>
      <c r="AJ68" s="441"/>
    </row>
    <row r="69" spans="9:36" ht="15.95" customHeight="1" thickBot="1" x14ac:dyDescent="0.25">
      <c r="I69" s="437"/>
      <c r="J69" s="786"/>
      <c r="K69" s="445" t="s">
        <v>779</v>
      </c>
      <c r="L69" s="463"/>
      <c r="M69" s="456" t="s">
        <v>481</v>
      </c>
      <c r="N69" s="464" t="s">
        <v>780</v>
      </c>
      <c r="O69" s="446" t="s">
        <v>781</v>
      </c>
      <c r="P69" s="445"/>
      <c r="Q69" s="445" t="s">
        <v>779</v>
      </c>
      <c r="R69" s="463"/>
      <c r="S69" s="456" t="s">
        <v>481</v>
      </c>
      <c r="T69" s="464" t="s">
        <v>780</v>
      </c>
      <c r="U69" s="446" t="s">
        <v>781</v>
      </c>
      <c r="V69" s="445"/>
      <c r="W69" s="445" t="s">
        <v>779</v>
      </c>
      <c r="X69" s="463">
        <v>3</v>
      </c>
      <c r="Y69" s="456" t="s">
        <v>481</v>
      </c>
      <c r="Z69" s="464" t="s">
        <v>780</v>
      </c>
      <c r="AA69" s="446" t="s">
        <v>781</v>
      </c>
      <c r="AC69" s="445"/>
      <c r="AH69" s="441"/>
      <c r="AI69" s="441"/>
      <c r="AJ69" s="450"/>
    </row>
    <row r="70" spans="9:36" ht="15.95" customHeight="1" thickBot="1" x14ac:dyDescent="0.25">
      <c r="I70" s="437"/>
      <c r="J70" s="786"/>
      <c r="K70" s="447">
        <f>K65+1</f>
        <v>19</v>
      </c>
      <c r="L70" s="472">
        <v>20</v>
      </c>
      <c r="M70" s="465" t="str">
        <f ca="1">IFERROR(VLOOKUP(L71,$G$5:$J$28,2,FALSE),"")</f>
        <v/>
      </c>
      <c r="N70" s="966"/>
      <c r="O70" s="780"/>
      <c r="Q70" s="447">
        <f>Q65+1</f>
        <v>19</v>
      </c>
      <c r="R70" s="472">
        <v>19</v>
      </c>
      <c r="S70" s="465" t="str">
        <f ca="1">IFERROR(VLOOKUP(R71,$G$5:$J$28,2,FALSE),"")</f>
        <v/>
      </c>
      <c r="T70" s="966"/>
      <c r="U70" s="780"/>
      <c r="W70" s="447">
        <f>W65+1</f>
        <v>19</v>
      </c>
      <c r="X70" s="472">
        <v>20</v>
      </c>
      <c r="Y70" s="465" t="str">
        <f ca="1">IFERROR(VLOOKUP(X71,$G$5:$J$28,2,FALSE),"")</f>
        <v/>
      </c>
      <c r="Z70" s="966"/>
      <c r="AA70" s="780"/>
      <c r="AC70" s="445"/>
      <c r="AH70" s="441"/>
      <c r="AI70" s="441"/>
      <c r="AJ70" s="450"/>
    </row>
    <row r="71" spans="9:36" ht="15.95" customHeight="1" thickBot="1" x14ac:dyDescent="0.25">
      <c r="I71" s="437"/>
      <c r="J71" s="786"/>
      <c r="K71" s="447"/>
      <c r="L71" s="473" t="str">
        <f ca="1">VLOOKUP(L70,$A$5:$G$28,7,FALSE)</f>
        <v/>
      </c>
      <c r="M71" s="466" t="str">
        <f ca="1">IFERROR(VLOOKUP(L71,$G$5:$J$28,3,FALSE),"")</f>
        <v/>
      </c>
      <c r="N71" s="967"/>
      <c r="Q71" s="447"/>
      <c r="R71" s="473" t="str">
        <f>IF(ISBLANK(N77),"",IF(N77+O77&gt;N79+O79,L78,L80))</f>
        <v/>
      </c>
      <c r="S71" s="466" t="str">
        <f ca="1">IFERROR(VLOOKUP(R71,$G$5:$J$28,3,FALSE),"")</f>
        <v/>
      </c>
      <c r="T71" s="967"/>
      <c r="W71" s="447"/>
      <c r="X71" s="473" t="str">
        <f>IF(ISBLANK(T63),"",IF(U63+T63&lt;T65+U65,R64,R66))</f>
        <v/>
      </c>
      <c r="Y71" s="466" t="str">
        <f ca="1">IFERROR(VLOOKUP(X71,$G$5:$J$28,3,FALSE),"")</f>
        <v/>
      </c>
      <c r="Z71" s="967"/>
      <c r="AC71" s="445"/>
      <c r="AH71" s="441"/>
      <c r="AI71" s="441"/>
      <c r="AJ71" s="445"/>
    </row>
    <row r="72" spans="9:36" ht="15.95" customHeight="1" thickBot="1" x14ac:dyDescent="0.25">
      <c r="I72" s="437"/>
      <c r="J72" s="786"/>
      <c r="K72" s="447">
        <f>K70+1</f>
        <v>20</v>
      </c>
      <c r="L72" s="472">
        <v>21</v>
      </c>
      <c r="M72" s="465" t="str">
        <f ca="1">IFERROR(VLOOKUP(L73,$G$5:$J$28,2,FALSE),"")</f>
        <v/>
      </c>
      <c r="N72" s="966"/>
      <c r="O72" s="780"/>
      <c r="Q72" s="447">
        <f>Q70+1</f>
        <v>20</v>
      </c>
      <c r="R72" s="472">
        <v>18</v>
      </c>
      <c r="S72" s="465" t="str">
        <f ca="1">IFERROR(VLOOKUP(R73,$G$5:$J$28,2,FALSE),"")</f>
        <v/>
      </c>
      <c r="T72" s="966"/>
      <c r="U72" s="780"/>
      <c r="W72" s="447">
        <f>W70+1</f>
        <v>20</v>
      </c>
      <c r="X72" s="472">
        <v>19</v>
      </c>
      <c r="Y72" s="465" t="str">
        <f ca="1">IFERROR(VLOOKUP(X73,$G$5:$J$28,2,FALSE),"")</f>
        <v/>
      </c>
      <c r="Z72" s="966"/>
      <c r="AA72" s="780"/>
      <c r="AC72" s="445"/>
      <c r="AH72" s="441"/>
      <c r="AI72" s="441"/>
      <c r="AJ72" s="447"/>
    </row>
    <row r="73" spans="9:36" ht="15.95" customHeight="1" thickBot="1" x14ac:dyDescent="0.25">
      <c r="I73" s="437"/>
      <c r="J73" s="786"/>
      <c r="K73" s="447"/>
      <c r="L73" s="473" t="str">
        <f ca="1">VLOOKUP(L72,$A$5:$G$28,7,FALSE)</f>
        <v/>
      </c>
      <c r="M73" s="466" t="str">
        <f ca="1">IFERROR(VLOOKUP(L73,$G$5:$J$28,3,FALSE),"")</f>
        <v/>
      </c>
      <c r="N73" s="967"/>
      <c r="Q73" s="447"/>
      <c r="R73" s="473" t="str">
        <f>IF(ISBLANK(N84),"",IF(N84+O84&gt;N86+O86,L85,L87))</f>
        <v/>
      </c>
      <c r="S73" s="466" t="str">
        <f ca="1">IFERROR(VLOOKUP(R73,$G$5:$J$28,3,FALSE),"")</f>
        <v/>
      </c>
      <c r="T73" s="967"/>
      <c r="W73" s="447"/>
      <c r="X73" s="473" t="str">
        <f>IF(ISBLANK(T70),"",IF(U70+T70&lt;T72+U72,R71,R73))</f>
        <v/>
      </c>
      <c r="Y73" s="466" t="str">
        <f ca="1">IFERROR(VLOOKUP(X73,$G$5:$J$28,3,FALSE),"")</f>
        <v/>
      </c>
      <c r="Z73" s="967"/>
      <c r="AC73" s="445"/>
      <c r="AH73" s="441"/>
      <c r="AI73" s="441"/>
      <c r="AJ73" s="447"/>
    </row>
    <row r="74" spans="9:36" ht="15.95" customHeight="1" x14ac:dyDescent="0.2">
      <c r="I74" s="437"/>
      <c r="J74" s="786"/>
      <c r="K74" s="450"/>
      <c r="L74" s="450"/>
      <c r="M74" s="450"/>
      <c r="N74" s="451"/>
      <c r="O74" s="450"/>
      <c r="P74" s="450"/>
      <c r="Q74" s="450"/>
      <c r="R74" s="450"/>
      <c r="S74" s="450"/>
      <c r="T74" s="451"/>
      <c r="U74" s="450"/>
      <c r="V74" s="450"/>
      <c r="W74" s="450"/>
      <c r="X74" s="450"/>
      <c r="Y74" s="450"/>
      <c r="Z74" s="451"/>
      <c r="AA74" s="450"/>
      <c r="AC74" s="445"/>
      <c r="AH74" s="441"/>
      <c r="AI74" s="441"/>
      <c r="AJ74" s="450"/>
    </row>
    <row r="75" spans="9:36" ht="15.95" customHeight="1" thickBot="1" x14ac:dyDescent="0.25">
      <c r="I75" s="437"/>
      <c r="J75" s="437"/>
      <c r="K75" s="450"/>
      <c r="L75" s="454"/>
      <c r="M75" s="454"/>
      <c r="N75" s="455"/>
      <c r="O75" s="450"/>
      <c r="P75" s="450"/>
      <c r="Q75" s="450"/>
      <c r="R75" s="979" t="s">
        <v>833</v>
      </c>
      <c r="S75" s="1247"/>
      <c r="T75" s="1247"/>
      <c r="U75" s="450"/>
      <c r="V75" s="450"/>
      <c r="W75" s="450"/>
      <c r="X75" s="979" t="s">
        <v>834</v>
      </c>
      <c r="Y75" s="1247"/>
      <c r="Z75" s="1247"/>
      <c r="AA75" s="450"/>
      <c r="AB75" s="435" t="s">
        <v>793</v>
      </c>
      <c r="AC75" s="445" t="s">
        <v>793</v>
      </c>
      <c r="AH75" s="441"/>
      <c r="AI75" s="441"/>
      <c r="AJ75" s="450"/>
    </row>
    <row r="76" spans="9:36" ht="15.95" customHeight="1" thickBot="1" x14ac:dyDescent="0.25">
      <c r="I76" s="437"/>
      <c r="J76" s="437"/>
      <c r="K76" s="445" t="s">
        <v>779</v>
      </c>
      <c r="L76" s="463"/>
      <c r="M76" s="456" t="s">
        <v>481</v>
      </c>
      <c r="N76" s="464" t="s">
        <v>780</v>
      </c>
      <c r="O76" s="446" t="s">
        <v>781</v>
      </c>
      <c r="P76" s="445"/>
      <c r="Q76" s="445" t="s">
        <v>779</v>
      </c>
      <c r="R76" s="463"/>
      <c r="S76" s="456" t="s">
        <v>481</v>
      </c>
      <c r="T76" s="464" t="s">
        <v>780</v>
      </c>
      <c r="U76" s="446" t="s">
        <v>781</v>
      </c>
      <c r="V76" s="445"/>
      <c r="W76" s="445" t="s">
        <v>779</v>
      </c>
      <c r="X76" s="463">
        <v>5</v>
      </c>
      <c r="Y76" s="456" t="s">
        <v>481</v>
      </c>
      <c r="Z76" s="464" t="s">
        <v>780</v>
      </c>
      <c r="AA76" s="446" t="s">
        <v>781</v>
      </c>
      <c r="AC76" s="445" t="s">
        <v>793</v>
      </c>
      <c r="AH76" s="441"/>
      <c r="AI76" s="441"/>
      <c r="AJ76" s="450"/>
    </row>
    <row r="77" spans="9:36" ht="15.95" customHeight="1" thickBot="1" x14ac:dyDescent="0.25">
      <c r="I77" s="437"/>
      <c r="J77" s="437"/>
      <c r="K77" s="447">
        <f>K72+1</f>
        <v>21</v>
      </c>
      <c r="L77" s="472">
        <v>19</v>
      </c>
      <c r="M77" s="465" t="str">
        <f ca="1">IFERROR(VLOOKUP(L78,$G$5:$J$28,2,FALSE),"")</f>
        <v/>
      </c>
      <c r="N77" s="966"/>
      <c r="O77" s="780"/>
      <c r="Q77" s="447">
        <f>Q72+1</f>
        <v>21</v>
      </c>
      <c r="R77" s="472">
        <v>24</v>
      </c>
      <c r="S77" s="465" t="str">
        <f ca="1">IFERROR(VLOOKUP(R78,$G$5:$J$28,2,FALSE),"")</f>
        <v/>
      </c>
      <c r="T77" s="966"/>
      <c r="U77" s="780"/>
      <c r="W77" s="447">
        <f>W72+1</f>
        <v>21</v>
      </c>
      <c r="X77" s="472">
        <v>21</v>
      </c>
      <c r="Y77" s="465" t="str">
        <f ca="1">IFERROR(VLOOKUP(X78,$G$5:$J$28,2,FALSE),"")</f>
        <v/>
      </c>
      <c r="Z77" s="966"/>
      <c r="AA77" s="780"/>
      <c r="AC77" s="445" t="s">
        <v>793</v>
      </c>
      <c r="AH77" s="441"/>
      <c r="AI77" s="441"/>
      <c r="AJ77" s="450"/>
    </row>
    <row r="78" spans="9:36" ht="15.95" customHeight="1" thickBot="1" x14ac:dyDescent="0.25">
      <c r="I78" s="437"/>
      <c r="J78" s="437"/>
      <c r="K78" s="447"/>
      <c r="L78" s="473" t="str">
        <f ca="1">VLOOKUP(L77,$A$5:$G$28,7,FALSE)</f>
        <v/>
      </c>
      <c r="M78" s="466" t="str">
        <f ca="1">IFERROR(VLOOKUP(L78,$G$5:$J$28,3,FALSE),"")</f>
        <v/>
      </c>
      <c r="N78" s="967"/>
      <c r="Q78" s="447"/>
      <c r="R78" s="473" t="str">
        <f>IF(ISBLANK(N63),"",IF(O63+N63&lt;N65+O65,L64,L66))</f>
        <v/>
      </c>
      <c r="S78" s="466" t="str">
        <f ca="1">IFERROR(VLOOKUP(R78,$G$5:$J$28,3,FALSE),"")</f>
        <v/>
      </c>
      <c r="T78" s="967"/>
      <c r="W78" s="447"/>
      <c r="X78" s="473" t="str">
        <f>IF(ISBLANK(T77),"",IF(U77+T77&gt;T79+U79,R78,R80))</f>
        <v/>
      </c>
      <c r="Y78" s="466" t="str">
        <f ca="1">IFERROR(VLOOKUP(X78,$G$5:$J$28,3,FALSE),"")</f>
        <v/>
      </c>
      <c r="Z78" s="967"/>
      <c r="AC78" s="445" t="s">
        <v>793</v>
      </c>
      <c r="AH78" s="441"/>
      <c r="AI78" s="441"/>
      <c r="AJ78" s="445"/>
    </row>
    <row r="79" spans="9:36" ht="15.95" customHeight="1" thickBot="1" x14ac:dyDescent="0.25">
      <c r="I79" s="437"/>
      <c r="J79" s="437"/>
      <c r="K79" s="447">
        <f>K77+1</f>
        <v>22</v>
      </c>
      <c r="L79" s="472">
        <v>22</v>
      </c>
      <c r="M79" s="465" t="str">
        <f ca="1">IFERROR(VLOOKUP(L80,$G$5:$J$28,2,FALSE),"")</f>
        <v/>
      </c>
      <c r="N79" s="966"/>
      <c r="O79" s="780"/>
      <c r="Q79" s="447">
        <f>Q77+1</f>
        <v>22</v>
      </c>
      <c r="R79" s="472">
        <v>21</v>
      </c>
      <c r="S79" s="465" t="str">
        <f ca="1">IFERROR(VLOOKUP(R80,$G$5:$J$28,2,FALSE),"")</f>
        <v/>
      </c>
      <c r="T79" s="966"/>
      <c r="U79" s="780"/>
      <c r="W79" s="447">
        <f>W77+1</f>
        <v>22</v>
      </c>
      <c r="X79" s="472">
        <v>22</v>
      </c>
      <c r="Y79" s="465" t="str">
        <f ca="1">IFERROR(VLOOKUP(X80,$G$5:$J$28,2,FALSE),"")</f>
        <v/>
      </c>
      <c r="Z79" s="966"/>
      <c r="AA79" s="780"/>
      <c r="AC79" s="445" t="s">
        <v>793</v>
      </c>
      <c r="AH79" s="441"/>
      <c r="AI79" s="441"/>
      <c r="AJ79" s="447"/>
    </row>
    <row r="80" spans="9:36" ht="15.95" customHeight="1" thickBot="1" x14ac:dyDescent="0.25">
      <c r="I80" s="437"/>
      <c r="J80" s="437"/>
      <c r="K80" s="447"/>
      <c r="L80" s="473" t="str">
        <f ca="1">VLOOKUP(L79,$A$5:$G$28,7,FALSE)</f>
        <v/>
      </c>
      <c r="M80" s="466" t="str">
        <f ca="1">IFERROR(VLOOKUP(L80,$G$5:$J$28,3,FALSE),"")</f>
        <v/>
      </c>
      <c r="N80" s="967"/>
      <c r="Q80" s="447"/>
      <c r="R80" s="473" t="str">
        <f>IF(ISBLANK(N70),"",IF(O70+N70&lt;N72+O72,L71,L73))</f>
        <v/>
      </c>
      <c r="S80" s="466" t="str">
        <f ca="1">IFERROR(VLOOKUP(R80,$G$5:$J$28,3,FALSE),"")</f>
        <v/>
      </c>
      <c r="T80" s="967"/>
      <c r="W80" s="447"/>
      <c r="X80" s="473" t="str">
        <f>IF(ISBLANK(T84),"",IF(U84+T84&gt;T86+U86,R85,R87))</f>
        <v/>
      </c>
      <c r="Y80" s="466" t="str">
        <f ca="1">IFERROR(VLOOKUP(X80,$G$5:$J$28,3,FALSE),"")</f>
        <v/>
      </c>
      <c r="Z80" s="967"/>
      <c r="AC80" s="445" t="s">
        <v>793</v>
      </c>
      <c r="AH80" s="441"/>
      <c r="AI80" s="441"/>
      <c r="AJ80" s="447"/>
    </row>
    <row r="81" spans="9:36" ht="15.95" customHeight="1" x14ac:dyDescent="0.2">
      <c r="I81" s="437"/>
      <c r="J81" s="437"/>
      <c r="K81" s="447"/>
      <c r="L81" s="441"/>
      <c r="M81" s="441"/>
      <c r="Q81" s="447"/>
      <c r="R81" s="437"/>
      <c r="S81" s="437"/>
      <c r="T81" s="451"/>
      <c r="W81" s="447"/>
      <c r="X81" s="441"/>
      <c r="Y81" s="441"/>
      <c r="AC81" s="445" t="s">
        <v>793</v>
      </c>
      <c r="AH81" s="441"/>
      <c r="AI81" s="441"/>
      <c r="AJ81" s="447"/>
    </row>
    <row r="82" spans="9:36" ht="15.95" customHeight="1" thickBot="1" x14ac:dyDescent="0.25">
      <c r="I82" s="437"/>
      <c r="J82" s="437"/>
      <c r="K82" s="450"/>
      <c r="L82" s="450"/>
      <c r="M82" s="450"/>
      <c r="N82" s="451"/>
      <c r="O82" s="450"/>
      <c r="P82" s="450"/>
      <c r="Q82" s="450"/>
      <c r="R82" s="437"/>
      <c r="S82" s="437"/>
      <c r="T82" s="451"/>
      <c r="U82" s="450"/>
      <c r="V82" s="450"/>
      <c r="W82" s="450"/>
      <c r="X82" s="979" t="s">
        <v>835</v>
      </c>
      <c r="Y82" s="1247"/>
      <c r="Z82" s="1247"/>
      <c r="AA82" s="450"/>
      <c r="AC82" s="445" t="s">
        <v>793</v>
      </c>
      <c r="AH82" s="441"/>
      <c r="AI82" s="441"/>
      <c r="AJ82" s="450"/>
    </row>
    <row r="83" spans="9:36" ht="15.95" customHeight="1" thickBot="1" x14ac:dyDescent="0.25">
      <c r="I83" s="437"/>
      <c r="J83" s="437"/>
      <c r="K83" s="445" t="s">
        <v>779</v>
      </c>
      <c r="L83" s="463"/>
      <c r="M83" s="456" t="s">
        <v>481</v>
      </c>
      <c r="N83" s="464" t="s">
        <v>780</v>
      </c>
      <c r="O83" s="446" t="s">
        <v>781</v>
      </c>
      <c r="P83" s="445"/>
      <c r="Q83" s="445" t="s">
        <v>779</v>
      </c>
      <c r="R83" s="463"/>
      <c r="S83" s="456" t="s">
        <v>481</v>
      </c>
      <c r="T83" s="464" t="s">
        <v>780</v>
      </c>
      <c r="U83" s="446" t="s">
        <v>781</v>
      </c>
      <c r="V83" s="445"/>
      <c r="W83" s="445" t="s">
        <v>779</v>
      </c>
      <c r="X83" s="463">
        <v>7</v>
      </c>
      <c r="Y83" s="456" t="s">
        <v>481</v>
      </c>
      <c r="Z83" s="464" t="s">
        <v>780</v>
      </c>
      <c r="AA83" s="446" t="s">
        <v>781</v>
      </c>
      <c r="AC83" s="445" t="s">
        <v>793</v>
      </c>
      <c r="AH83" s="441"/>
      <c r="AI83" s="441"/>
      <c r="AJ83" s="445"/>
    </row>
    <row r="84" spans="9:36" ht="15.95" customHeight="1" thickBot="1" x14ac:dyDescent="0.25">
      <c r="I84" s="437"/>
      <c r="J84" s="437"/>
      <c r="K84" s="447">
        <f>K79+1</f>
        <v>23</v>
      </c>
      <c r="L84" s="472">
        <v>18</v>
      </c>
      <c r="M84" s="465" t="str">
        <f ca="1">IFERROR(VLOOKUP(L85,$G$5:$J$28,2,FALSE),"")</f>
        <v/>
      </c>
      <c r="N84" s="966"/>
      <c r="O84" s="780"/>
      <c r="Q84" s="447">
        <f>Q79+1</f>
        <v>23</v>
      </c>
      <c r="R84" s="472">
        <v>22</v>
      </c>
      <c r="S84" s="465" t="str">
        <f ca="1">IFERROR(VLOOKUP(R85,$G$5:$J$28,2,FALSE),"")</f>
        <v/>
      </c>
      <c r="T84" s="966"/>
      <c r="U84" s="780"/>
      <c r="W84" s="447">
        <f>W79+1</f>
        <v>23</v>
      </c>
      <c r="X84" s="472">
        <v>24</v>
      </c>
      <c r="Y84" s="465" t="str">
        <f ca="1">IFERROR(VLOOKUP(X85,$G$5:$J$28,2,FALSE),"")</f>
        <v/>
      </c>
      <c r="Z84" s="966"/>
      <c r="AA84" s="780"/>
      <c r="AC84" s="445" t="s">
        <v>793</v>
      </c>
      <c r="AH84" s="441"/>
      <c r="AI84" s="441"/>
      <c r="AJ84" s="447"/>
    </row>
    <row r="85" spans="9:36" ht="15.95" customHeight="1" thickBot="1" x14ac:dyDescent="0.25">
      <c r="I85" s="437"/>
      <c r="J85" s="437"/>
      <c r="K85" s="447"/>
      <c r="L85" s="473" t="str">
        <f ca="1">VLOOKUP(L84,$A$5:$G$24,7,FALSE)</f>
        <v/>
      </c>
      <c r="M85" s="466" t="str">
        <f ca="1">IFERROR(VLOOKUP(L85,$G$5:$J$28,3,FALSE),"")</f>
        <v/>
      </c>
      <c r="N85" s="967"/>
      <c r="Q85" s="447"/>
      <c r="R85" s="473" t="str">
        <f>IF(ISBLANK(N77),"",IF(N77+O77&lt;N79+O79,L78,L80))</f>
        <v/>
      </c>
      <c r="S85" s="466" t="str">
        <f ca="1">IFERROR(VLOOKUP(R85,$G$5:$J$28,3,FALSE),"")</f>
        <v/>
      </c>
      <c r="T85" s="967"/>
      <c r="W85" s="447"/>
      <c r="X85" s="473" t="str">
        <f>IF(ISBLANK(T77),"",IF(U77+T77&lt;T79+U79,R78,R80))</f>
        <v/>
      </c>
      <c r="Y85" s="466" t="str">
        <f ca="1">IFERROR(VLOOKUP(X85,$G$5:$J$28,3,FALSE),"")</f>
        <v/>
      </c>
      <c r="Z85" s="967"/>
      <c r="AC85" s="445"/>
      <c r="AH85" s="441"/>
      <c r="AI85" s="441"/>
      <c r="AJ85" s="447"/>
    </row>
    <row r="86" spans="9:36" ht="15.95" customHeight="1" thickBot="1" x14ac:dyDescent="0.25">
      <c r="K86" s="447">
        <f>K84+1</f>
        <v>24</v>
      </c>
      <c r="L86" s="472">
        <v>23</v>
      </c>
      <c r="M86" s="465" t="str">
        <f ca="1">IFERROR(VLOOKUP(L87,$G$5:$J$28,2,FALSE),"")</f>
        <v/>
      </c>
      <c r="N86" s="966"/>
      <c r="O86" s="780"/>
      <c r="Q86" s="447">
        <f>Q84+1</f>
        <v>24</v>
      </c>
      <c r="R86" s="472">
        <v>23</v>
      </c>
      <c r="S86" s="465" t="str">
        <f ca="1">IFERROR(VLOOKUP(R87,$G$5:$J$28,2,FALSE),"")</f>
        <v/>
      </c>
      <c r="T86" s="966"/>
      <c r="U86" s="780"/>
      <c r="W86" s="447">
        <f>W84+1</f>
        <v>24</v>
      </c>
      <c r="X86" s="472">
        <v>23</v>
      </c>
      <c r="Y86" s="465" t="str">
        <f ca="1">IFERROR(VLOOKUP(X87,$G$5:$J$28,2,FALSE),"")</f>
        <v/>
      </c>
      <c r="Z86" s="966"/>
      <c r="AA86" s="780"/>
      <c r="AC86" s="445"/>
      <c r="AH86" s="441"/>
      <c r="AI86" s="441"/>
      <c r="AJ86" s="441"/>
    </row>
    <row r="87" spans="9:36" ht="15.95" customHeight="1" thickBot="1" x14ac:dyDescent="0.25">
      <c r="K87" s="447"/>
      <c r="L87" s="473" t="str">
        <f ca="1">VLOOKUP(L86,$A$5:$G$28,7,FALSE)</f>
        <v/>
      </c>
      <c r="M87" s="466" t="str">
        <f ca="1">IFERROR(VLOOKUP(L87,$G$5:$J$28,3,FALSE),"")</f>
        <v/>
      </c>
      <c r="N87" s="967"/>
      <c r="Q87" s="447"/>
      <c r="R87" s="473" t="str">
        <f>IF(ISBLANK(N84),"",IF(N84+O84&lt;N86+O86,L85,L87))</f>
        <v/>
      </c>
      <c r="S87" s="466" t="str">
        <f ca="1">IFERROR(VLOOKUP(R87,$G$5:$J$28,3,FALSE),"")</f>
        <v/>
      </c>
      <c r="T87" s="967"/>
      <c r="W87" s="447"/>
      <c r="X87" s="473" t="str">
        <f>IF(ISBLANK(T84),"",IF(U84+T84&lt;T86+U86,R85,R87))</f>
        <v/>
      </c>
      <c r="Y87" s="466" t="str">
        <f ca="1">IFERROR(VLOOKUP(X87,$G$5:$J$28,3,FALSE),"")</f>
        <v/>
      </c>
      <c r="Z87" s="967"/>
      <c r="AC87" s="445"/>
      <c r="AH87" s="441"/>
      <c r="AI87" s="441"/>
      <c r="AJ87" s="441"/>
    </row>
    <row r="88" spans="9:36" ht="15.95" customHeight="1" x14ac:dyDescent="0.2">
      <c r="K88" s="450"/>
      <c r="L88" s="437"/>
      <c r="M88" s="437"/>
      <c r="N88" s="451"/>
      <c r="O88" s="450"/>
      <c r="P88" s="450"/>
      <c r="Q88" s="450"/>
      <c r="R88" s="437"/>
      <c r="S88" s="437"/>
      <c r="T88" s="451"/>
      <c r="U88" s="450"/>
      <c r="V88" s="450"/>
      <c r="W88" s="450"/>
      <c r="X88" s="437"/>
      <c r="Y88" s="437"/>
      <c r="Z88" s="451"/>
      <c r="AA88" s="450"/>
      <c r="AC88" s="445"/>
    </row>
    <row r="89" spans="9:36" ht="15.95" customHeight="1" x14ac:dyDescent="0.2">
      <c r="K89" s="450"/>
      <c r="L89" s="516"/>
      <c r="M89" s="516"/>
      <c r="N89" s="457"/>
      <c r="Q89" s="450"/>
      <c r="R89" s="516"/>
      <c r="S89" s="516"/>
      <c r="T89" s="457"/>
      <c r="V89" s="450"/>
      <c r="W89" s="450"/>
      <c r="X89" s="516"/>
      <c r="Y89" s="516"/>
      <c r="Z89" s="457"/>
      <c r="AC89" s="445"/>
    </row>
    <row r="90" spans="9:36" ht="15.95" customHeight="1" x14ac:dyDescent="0.2">
      <c r="K90" s="450"/>
      <c r="L90" s="516"/>
      <c r="M90" s="516"/>
      <c r="N90" s="457"/>
      <c r="Q90" s="450"/>
      <c r="R90" s="516"/>
      <c r="S90" s="516"/>
      <c r="T90" s="457"/>
      <c r="V90" s="450"/>
      <c r="W90" s="450"/>
      <c r="X90" s="516"/>
      <c r="Y90" s="516"/>
      <c r="Z90" s="457"/>
      <c r="AC90" s="445"/>
    </row>
    <row r="91" spans="9:36" ht="15.95" customHeight="1" x14ac:dyDescent="0.2">
      <c r="K91" s="450"/>
      <c r="L91" s="516"/>
      <c r="M91" s="516"/>
      <c r="N91" s="457"/>
      <c r="Q91" s="450"/>
      <c r="R91" s="516"/>
      <c r="S91" s="516"/>
      <c r="T91" s="457"/>
      <c r="V91" s="450"/>
      <c r="W91" s="450"/>
      <c r="X91" s="516"/>
      <c r="Y91" s="516"/>
      <c r="Z91" s="457"/>
      <c r="AC91" s="445"/>
    </row>
    <row r="92" spans="9:36" ht="15.95" customHeight="1" x14ac:dyDescent="0.2">
      <c r="K92" s="445"/>
      <c r="L92" s="782"/>
      <c r="M92" s="445"/>
      <c r="N92" s="782"/>
      <c r="O92" s="435"/>
      <c r="P92" s="442"/>
      <c r="Q92" s="445"/>
      <c r="R92" s="445"/>
      <c r="S92" s="445"/>
      <c r="T92" s="782"/>
      <c r="U92" s="435"/>
      <c r="V92" s="442"/>
      <c r="W92" s="445"/>
      <c r="X92" s="445"/>
      <c r="Y92" s="445"/>
      <c r="Z92" s="782"/>
      <c r="AA92" s="435"/>
      <c r="AB92" s="442"/>
      <c r="AC92" s="445"/>
    </row>
    <row r="93" spans="9:36" ht="15.95" customHeight="1" x14ac:dyDescent="0.2">
      <c r="K93" s="445"/>
      <c r="L93" s="782"/>
      <c r="M93" s="445"/>
      <c r="N93" s="782"/>
      <c r="O93" s="435"/>
      <c r="P93" s="442"/>
      <c r="Q93" s="445"/>
      <c r="R93" s="445"/>
      <c r="S93" s="445"/>
      <c r="T93" s="782"/>
      <c r="U93" s="435"/>
      <c r="V93" s="442"/>
      <c r="W93" s="445"/>
      <c r="X93" s="445"/>
      <c r="Y93" s="445"/>
      <c r="Z93" s="782"/>
      <c r="AA93" s="435"/>
      <c r="AB93" s="442"/>
      <c r="AC93" s="445"/>
    </row>
    <row r="94" spans="9:36" ht="15.95" customHeight="1" x14ac:dyDescent="0.2">
      <c r="K94" s="445"/>
      <c r="L94" s="782"/>
      <c r="M94" s="445"/>
      <c r="N94" s="782"/>
      <c r="O94" s="435"/>
      <c r="P94" s="442"/>
      <c r="Q94" s="445"/>
      <c r="R94" s="445"/>
      <c r="S94" s="445"/>
      <c r="T94" s="782"/>
      <c r="U94" s="435"/>
      <c r="V94" s="442"/>
      <c r="W94" s="445"/>
      <c r="X94" s="445"/>
      <c r="Y94" s="445"/>
      <c r="Z94" s="782"/>
      <c r="AA94" s="435"/>
      <c r="AB94" s="442"/>
      <c r="AC94" s="445"/>
    </row>
    <row r="95" spans="9:36" ht="15.95" customHeight="1" x14ac:dyDescent="0.2">
      <c r="K95" s="445"/>
      <c r="L95" s="782"/>
      <c r="M95" s="445"/>
      <c r="N95" s="782"/>
      <c r="O95" s="435"/>
      <c r="P95" s="442"/>
      <c r="Q95" s="445"/>
      <c r="R95" s="445"/>
      <c r="S95" s="445"/>
      <c r="T95" s="782"/>
      <c r="U95" s="435"/>
      <c r="V95" s="442"/>
      <c r="W95" s="445"/>
      <c r="X95" s="445"/>
      <c r="Y95" s="445"/>
      <c r="Z95" s="782"/>
      <c r="AA95" s="435"/>
      <c r="AB95" s="442"/>
      <c r="AC95" s="445"/>
    </row>
    <row r="96" spans="9:36" ht="15.95" customHeight="1" x14ac:dyDescent="0.2">
      <c r="K96" s="445"/>
      <c r="L96" s="782"/>
      <c r="M96" s="445"/>
      <c r="N96" s="782"/>
      <c r="O96" s="435"/>
      <c r="P96" s="442"/>
      <c r="Q96" s="445"/>
      <c r="R96" s="445"/>
      <c r="S96" s="445"/>
      <c r="T96" s="782"/>
      <c r="U96" s="435"/>
      <c r="V96" s="442"/>
      <c r="W96" s="445"/>
      <c r="X96" s="445"/>
      <c r="Y96" s="445"/>
      <c r="Z96" s="782"/>
      <c r="AA96" s="435"/>
      <c r="AB96" s="442"/>
      <c r="AC96" s="445"/>
    </row>
    <row r="97" ht="15.95" customHeight="1" x14ac:dyDescent="0.2"/>
    <row r="98" ht="15.95" customHeight="1" x14ac:dyDescent="0.2"/>
    <row r="99" ht="15.95" customHeight="1" x14ac:dyDescent="0.2"/>
    <row r="100" ht="15.95" customHeight="1" x14ac:dyDescent="0.2"/>
    <row r="101" ht="15.95" customHeight="1" x14ac:dyDescent="0.2"/>
    <row r="102" ht="15.95" customHeight="1" x14ac:dyDescent="0.2"/>
    <row r="103" ht="15.95" customHeight="1" x14ac:dyDescent="0.2"/>
    <row r="104" ht="15.95" customHeight="1" x14ac:dyDescent="0.2"/>
    <row r="105" ht="15.95" customHeight="1" x14ac:dyDescent="0.2"/>
    <row r="106" ht="15.95" customHeight="1" x14ac:dyDescent="0.2"/>
    <row r="107" ht="15.95" customHeight="1" x14ac:dyDescent="0.2"/>
    <row r="108" ht="15.95" customHeight="1" x14ac:dyDescent="0.2"/>
    <row r="109" ht="15.95" customHeight="1" x14ac:dyDescent="0.2"/>
    <row r="110" ht="15.95" customHeight="1" x14ac:dyDescent="0.2"/>
    <row r="111" ht="15.95" customHeight="1" x14ac:dyDescent="0.2"/>
    <row r="112" ht="15.95" customHeight="1" x14ac:dyDescent="0.2"/>
    <row r="113" ht="15.95" customHeight="1" x14ac:dyDescent="0.2"/>
    <row r="114" ht="15.95" customHeight="1" x14ac:dyDescent="0.2"/>
    <row r="115" ht="15.95" customHeight="1" x14ac:dyDescent="0.2"/>
    <row r="116" ht="15.95" customHeight="1" x14ac:dyDescent="0.2"/>
    <row r="117" ht="15.95" customHeight="1" x14ac:dyDescent="0.2"/>
    <row r="118" ht="15.95" customHeight="1" x14ac:dyDescent="0.2"/>
    <row r="119" ht="15.95" customHeight="1" x14ac:dyDescent="0.2"/>
    <row r="120" ht="15.95" customHeight="1" x14ac:dyDescent="0.2"/>
    <row r="121" ht="15.95" customHeight="1" x14ac:dyDescent="0.2"/>
    <row r="122" ht="15.95" customHeight="1" x14ac:dyDescent="0.2"/>
    <row r="123" ht="15.95" customHeight="1" x14ac:dyDescent="0.2"/>
    <row r="124" ht="15.95" customHeight="1" x14ac:dyDescent="0.2"/>
    <row r="125" ht="15.95" customHeight="1" x14ac:dyDescent="0.2"/>
    <row r="126" ht="15.95" customHeight="1" x14ac:dyDescent="0.2"/>
    <row r="127" ht="15.95" customHeight="1" x14ac:dyDescent="0.2"/>
    <row r="128" ht="15.95" customHeight="1" x14ac:dyDescent="0.2"/>
    <row r="129" ht="15.95" customHeight="1" x14ac:dyDescent="0.2"/>
    <row r="130" ht="15.95" customHeight="1" x14ac:dyDescent="0.2"/>
    <row r="131" ht="15.95" customHeight="1" x14ac:dyDescent="0.2"/>
    <row r="132" ht="15.95" customHeight="1" x14ac:dyDescent="0.2"/>
    <row r="133" ht="15.95" customHeight="1" x14ac:dyDescent="0.2"/>
    <row r="134" ht="15.95" customHeight="1" x14ac:dyDescent="0.2"/>
    <row r="135" ht="15.95" customHeight="1" x14ac:dyDescent="0.2"/>
    <row r="136" ht="15.95" customHeight="1" x14ac:dyDescent="0.2"/>
    <row r="137" ht="15.95" customHeight="1" x14ac:dyDescent="0.2"/>
    <row r="138" ht="15.95" customHeight="1" x14ac:dyDescent="0.2"/>
    <row r="139" ht="15.95" customHeight="1" x14ac:dyDescent="0.2"/>
    <row r="140" ht="15.95" customHeight="1" x14ac:dyDescent="0.2"/>
    <row r="141" ht="15.95" customHeight="1" x14ac:dyDescent="0.2"/>
    <row r="142" ht="15.95" customHeight="1" x14ac:dyDescent="0.2"/>
    <row r="143" ht="15.95" customHeight="1" x14ac:dyDescent="0.2"/>
    <row r="144" ht="15.95" customHeight="1" x14ac:dyDescent="0.2"/>
    <row r="145" ht="15.95" customHeight="1" x14ac:dyDescent="0.2"/>
    <row r="146" ht="15.95" customHeight="1" x14ac:dyDescent="0.2"/>
    <row r="147" ht="15.95" customHeight="1" x14ac:dyDescent="0.2"/>
    <row r="148" ht="15.95" customHeight="1" x14ac:dyDescent="0.2"/>
  </sheetData>
  <sheetProtection selectLockedCells="1"/>
  <mergeCells count="103">
    <mergeCell ref="X82:Z82"/>
    <mergeCell ref="T84:T85"/>
    <mergeCell ref="Z84:Z85"/>
    <mergeCell ref="N86:N87"/>
    <mergeCell ref="T86:T87"/>
    <mergeCell ref="Z86:Z87"/>
    <mergeCell ref="Z79:Z80"/>
    <mergeCell ref="N84:N85"/>
    <mergeCell ref="N72:N73"/>
    <mergeCell ref="T72:T73"/>
    <mergeCell ref="R75:T75"/>
    <mergeCell ref="Z72:Z73"/>
    <mergeCell ref="X75:Z75"/>
    <mergeCell ref="N77:N78"/>
    <mergeCell ref="Z77:Z78"/>
    <mergeCell ref="T77:T78"/>
    <mergeCell ref="N79:N80"/>
    <mergeCell ref="T79:T80"/>
    <mergeCell ref="N63:N64"/>
    <mergeCell ref="T63:T64"/>
    <mergeCell ref="Z63:Z64"/>
    <mergeCell ref="T65:T66"/>
    <mergeCell ref="Z65:Z66"/>
    <mergeCell ref="X68:Z68"/>
    <mergeCell ref="N70:N71"/>
    <mergeCell ref="Z70:Z71"/>
    <mergeCell ref="N58:N59"/>
    <mergeCell ref="T58:T59"/>
    <mergeCell ref="Z58:Z59"/>
    <mergeCell ref="L61:N61"/>
    <mergeCell ref="R61:T61"/>
    <mergeCell ref="X61:Z61"/>
    <mergeCell ref="N65:N66"/>
    <mergeCell ref="T70:T71"/>
    <mergeCell ref="N51:N52"/>
    <mergeCell ref="T51:T52"/>
    <mergeCell ref="Z51:Z52"/>
    <mergeCell ref="X54:Z54"/>
    <mergeCell ref="N56:N57"/>
    <mergeCell ref="T56:T57"/>
    <mergeCell ref="Z56:Z57"/>
    <mergeCell ref="N44:N45"/>
    <mergeCell ref="T44:T45"/>
    <mergeCell ref="Z44:Z45"/>
    <mergeCell ref="R47:T47"/>
    <mergeCell ref="X47:Z47"/>
    <mergeCell ref="N49:N50"/>
    <mergeCell ref="T49:T50"/>
    <mergeCell ref="Z49:Z50"/>
    <mergeCell ref="N37:N38"/>
    <mergeCell ref="T37:T38"/>
    <mergeCell ref="Z37:Z38"/>
    <mergeCell ref="X40:Z40"/>
    <mergeCell ref="N42:N43"/>
    <mergeCell ref="T42:T43"/>
    <mergeCell ref="Z42:Z43"/>
    <mergeCell ref="L33:N33"/>
    <mergeCell ref="R33:T33"/>
    <mergeCell ref="X33:Z33"/>
    <mergeCell ref="N35:N36"/>
    <mergeCell ref="T35:T36"/>
    <mergeCell ref="Z35:Z36"/>
    <mergeCell ref="X26:Z26"/>
    <mergeCell ref="N28:N29"/>
    <mergeCell ref="T28:T29"/>
    <mergeCell ref="Z28:Z29"/>
    <mergeCell ref="N30:N31"/>
    <mergeCell ref="T30:T31"/>
    <mergeCell ref="Z30:Z31"/>
    <mergeCell ref="R19:T19"/>
    <mergeCell ref="X19:Z19"/>
    <mergeCell ref="N21:N22"/>
    <mergeCell ref="T21:T22"/>
    <mergeCell ref="Z21:Z22"/>
    <mergeCell ref="N23:N24"/>
    <mergeCell ref="T23:T24"/>
    <mergeCell ref="Z23:Z24"/>
    <mergeCell ref="X12:Z12"/>
    <mergeCell ref="N14:N15"/>
    <mergeCell ref="T14:T15"/>
    <mergeCell ref="Z14:Z15"/>
    <mergeCell ref="N16:N17"/>
    <mergeCell ref="T16:T17"/>
    <mergeCell ref="Z16:Z17"/>
    <mergeCell ref="N7:N8"/>
    <mergeCell ref="T7:T8"/>
    <mergeCell ref="Z7:Z8"/>
    <mergeCell ref="N9:N10"/>
    <mergeCell ref="T9:T10"/>
    <mergeCell ref="Z9:Z10"/>
    <mergeCell ref="K4:N4"/>
    <mergeCell ref="Q4:T4"/>
    <mergeCell ref="W4:Z4"/>
    <mergeCell ref="AH4:AJ5"/>
    <mergeCell ref="L5:N5"/>
    <mergeCell ref="R5:T5"/>
    <mergeCell ref="X5:Z5"/>
    <mergeCell ref="K1:AA1"/>
    <mergeCell ref="AF1:AJ1"/>
    <mergeCell ref="K2:Z2"/>
    <mergeCell ref="AF2:AJ2"/>
    <mergeCell ref="N3:X3"/>
    <mergeCell ref="AF3:AJ3"/>
  </mergeCells>
  <conditionalFormatting sqref="O7:O8">
    <cfRule type="expression" priority="387" stopIfTrue="1">
      <formula>IF(N7="",1)</formula>
    </cfRule>
    <cfRule type="expression" dxfId="498" priority="389">
      <formula>IF(N7=N9,1,0)</formula>
    </cfRule>
  </conditionalFormatting>
  <conditionalFormatting sqref="O9">
    <cfRule type="expression" priority="386" stopIfTrue="1">
      <formula>IF(N9="",1,0)</formula>
    </cfRule>
    <cfRule type="expression" dxfId="497" priority="388">
      <formula>IF(N7=N9,1,0)</formula>
    </cfRule>
  </conditionalFormatting>
  <conditionalFormatting sqref="S7">
    <cfRule type="expression" dxfId="496" priority="385">
      <formula>IF(T7+U7&gt;T9+U9,1,0)</formula>
    </cfRule>
  </conditionalFormatting>
  <conditionalFormatting sqref="S9">
    <cfRule type="expression" dxfId="495" priority="384">
      <formula>IF(T9+U9&gt;T11+U11,1,0)</formula>
    </cfRule>
  </conditionalFormatting>
  <conditionalFormatting sqref="S14">
    <cfRule type="expression" dxfId="494" priority="383">
      <formula>IF(T14+U14&gt;T16+U16,1,0)</formula>
    </cfRule>
  </conditionalFormatting>
  <conditionalFormatting sqref="S16">
    <cfRule type="expression" dxfId="493" priority="382">
      <formula>IF(T16+U16&gt;T18+U18,1,0)</formula>
    </cfRule>
  </conditionalFormatting>
  <conditionalFormatting sqref="S21">
    <cfRule type="expression" dxfId="492" priority="381">
      <formula>IF(T21+U21&gt;T23+U23,1,0)</formula>
    </cfRule>
  </conditionalFormatting>
  <conditionalFormatting sqref="S23">
    <cfRule type="expression" dxfId="491" priority="380">
      <formula>IF(T23+U23&gt;T25+U25,1,0)</formula>
    </cfRule>
  </conditionalFormatting>
  <conditionalFormatting sqref="O14:O15">
    <cfRule type="expression" priority="377" stopIfTrue="1">
      <formula>IF(N14="",1)</formula>
    </cfRule>
    <cfRule type="expression" dxfId="490" priority="379">
      <formula>IF(N14=N16,1,0)</formula>
    </cfRule>
  </conditionalFormatting>
  <conditionalFormatting sqref="O16">
    <cfRule type="expression" priority="376" stopIfTrue="1">
      <formula>IF(N16="",1,0)</formula>
    </cfRule>
    <cfRule type="expression" dxfId="489" priority="378">
      <formula>IF(N14=N16,1,0)</formula>
    </cfRule>
  </conditionalFormatting>
  <conditionalFormatting sqref="O21:O22">
    <cfRule type="expression" priority="373" stopIfTrue="1">
      <formula>IF(N21="",1)</formula>
    </cfRule>
    <cfRule type="expression" dxfId="488" priority="375">
      <formula>IF(N21=N23,1,0)</formula>
    </cfRule>
  </conditionalFormatting>
  <conditionalFormatting sqref="O23">
    <cfRule type="expression" priority="372" stopIfTrue="1">
      <formula>IF(N23="",1,0)</formula>
    </cfRule>
    <cfRule type="expression" dxfId="487" priority="374">
      <formula>IF(N21=N23,1,0)</formula>
    </cfRule>
  </conditionalFormatting>
  <conditionalFormatting sqref="O28:O29">
    <cfRule type="expression" priority="369" stopIfTrue="1">
      <formula>IF(N28="",1)</formula>
    </cfRule>
    <cfRule type="expression" dxfId="486" priority="371">
      <formula>IF(N28=N30,1,0)</formula>
    </cfRule>
  </conditionalFormatting>
  <conditionalFormatting sqref="O30">
    <cfRule type="expression" priority="368" stopIfTrue="1">
      <formula>IF(N30="",1,0)</formula>
    </cfRule>
    <cfRule type="expression" dxfId="485" priority="370">
      <formula>IF(N28=N30,1,0)</formula>
    </cfRule>
  </conditionalFormatting>
  <conditionalFormatting sqref="U7:U8">
    <cfRule type="expression" priority="365" stopIfTrue="1">
      <formula>IF(T7="",1)</formula>
    </cfRule>
    <cfRule type="expression" dxfId="484" priority="367">
      <formula>IF(T7=T9,1,0)</formula>
    </cfRule>
  </conditionalFormatting>
  <conditionalFormatting sqref="U9">
    <cfRule type="expression" priority="364" stopIfTrue="1">
      <formula>IF(T9="",1,0)</formula>
    </cfRule>
    <cfRule type="expression" dxfId="483" priority="366">
      <formula>IF(T7=T9,1,0)</formula>
    </cfRule>
  </conditionalFormatting>
  <conditionalFormatting sqref="U14:U15">
    <cfRule type="expression" priority="361" stopIfTrue="1">
      <formula>IF(T14="",1)</formula>
    </cfRule>
    <cfRule type="expression" dxfId="482" priority="363">
      <formula>IF(T14=T16,1,0)</formula>
    </cfRule>
  </conditionalFormatting>
  <conditionalFormatting sqref="U16">
    <cfRule type="expression" priority="360" stopIfTrue="1">
      <formula>IF(T16="",1,0)</formula>
    </cfRule>
    <cfRule type="expression" dxfId="481" priority="362">
      <formula>IF(T14=T16,1,0)</formula>
    </cfRule>
  </conditionalFormatting>
  <conditionalFormatting sqref="U21:U22">
    <cfRule type="expression" priority="357" stopIfTrue="1">
      <formula>IF(T21="",1)</formula>
    </cfRule>
    <cfRule type="expression" dxfId="480" priority="359">
      <formula>IF(T21=T23,1,0)</formula>
    </cfRule>
  </conditionalFormatting>
  <conditionalFormatting sqref="U23">
    <cfRule type="expression" priority="356" stopIfTrue="1">
      <formula>IF(T23="",1,0)</formula>
    </cfRule>
    <cfRule type="expression" dxfId="479" priority="358">
      <formula>IF(T21=T23,1,0)</formula>
    </cfRule>
  </conditionalFormatting>
  <conditionalFormatting sqref="U28:U29">
    <cfRule type="expression" priority="353" stopIfTrue="1">
      <formula>IF(T28="",1)</formula>
    </cfRule>
    <cfRule type="expression" dxfId="478" priority="355">
      <formula>IF(T28=T30,1,0)</formula>
    </cfRule>
  </conditionalFormatting>
  <conditionalFormatting sqref="U30">
    <cfRule type="expression" priority="352" stopIfTrue="1">
      <formula>IF(T30="",1,0)</formula>
    </cfRule>
    <cfRule type="expression" dxfId="477" priority="354">
      <formula>IF(T28=T30,1,0)</formula>
    </cfRule>
  </conditionalFormatting>
  <conditionalFormatting sqref="AA7:AA8">
    <cfRule type="expression" priority="349" stopIfTrue="1">
      <formula>IF(Z7="",1)</formula>
    </cfRule>
    <cfRule type="expression" dxfId="476" priority="351">
      <formula>IF(Z7=Z9,1,0)</formula>
    </cfRule>
  </conditionalFormatting>
  <conditionalFormatting sqref="AA9">
    <cfRule type="expression" priority="348" stopIfTrue="1">
      <formula>IF(Z9="",1,0)</formula>
    </cfRule>
    <cfRule type="expression" dxfId="475" priority="350">
      <formula>IF(Z7=Z9,1,0)</formula>
    </cfRule>
  </conditionalFormatting>
  <conditionalFormatting sqref="AA14:AA15">
    <cfRule type="expression" priority="345" stopIfTrue="1">
      <formula>IF(Z14="",1)</formula>
    </cfRule>
    <cfRule type="expression" dxfId="474" priority="347">
      <formula>IF(Z14=Z16,1,0)</formula>
    </cfRule>
  </conditionalFormatting>
  <conditionalFormatting sqref="AA16">
    <cfRule type="expression" priority="344" stopIfTrue="1">
      <formula>IF(Z16="",1,0)</formula>
    </cfRule>
    <cfRule type="expression" dxfId="473" priority="346">
      <formula>IF(Z14=Z16,1,0)</formula>
    </cfRule>
  </conditionalFormatting>
  <conditionalFormatting sqref="AA21:AA22">
    <cfRule type="expression" priority="341" stopIfTrue="1">
      <formula>IF(Z21="",1)</formula>
    </cfRule>
    <cfRule type="expression" dxfId="472" priority="343">
      <formula>IF(Z21=Z23,1,0)</formula>
    </cfRule>
  </conditionalFormatting>
  <conditionalFormatting sqref="AA23">
    <cfRule type="expression" priority="340" stopIfTrue="1">
      <formula>IF(Z23="",1,0)</formula>
    </cfRule>
    <cfRule type="expression" dxfId="471" priority="342">
      <formula>IF(Z21=Z23,1,0)</formula>
    </cfRule>
  </conditionalFormatting>
  <conditionalFormatting sqref="AA28:AA29">
    <cfRule type="expression" priority="337" stopIfTrue="1">
      <formula>IF(Z28="",1)</formula>
    </cfRule>
    <cfRule type="expression" dxfId="470" priority="339">
      <formula>IF(Z28=Z30,1,0)</formula>
    </cfRule>
  </conditionalFormatting>
  <conditionalFormatting sqref="AA30">
    <cfRule type="expression" priority="336" stopIfTrue="1">
      <formula>IF(Z30="",1,0)</formula>
    </cfRule>
    <cfRule type="expression" dxfId="469" priority="338">
      <formula>IF(Z28=Z30,1,0)</formula>
    </cfRule>
  </conditionalFormatting>
  <conditionalFormatting sqref="M14">
    <cfRule type="expression" dxfId="468" priority="335">
      <formula>IF(N14+O14&gt;N16+O16,1,0)</formula>
    </cfRule>
  </conditionalFormatting>
  <conditionalFormatting sqref="M16">
    <cfRule type="expression" dxfId="467" priority="334">
      <formula>IF(N16+O16&gt;N18+O18,1,0)</formula>
    </cfRule>
  </conditionalFormatting>
  <conditionalFormatting sqref="M21">
    <cfRule type="expression" dxfId="466" priority="333">
      <formula>IF(N21+O21&gt;N23+O23,1,0)</formula>
    </cfRule>
  </conditionalFormatting>
  <conditionalFormatting sqref="M23">
    <cfRule type="expression" dxfId="465" priority="332">
      <formula>IF(N23+O23&gt;N25+O25,1,0)</formula>
    </cfRule>
  </conditionalFormatting>
  <conditionalFormatting sqref="M28">
    <cfRule type="expression" dxfId="464" priority="331">
      <formula>IF(N28+O28&gt;N30+O30,1,0)</formula>
    </cfRule>
  </conditionalFormatting>
  <conditionalFormatting sqref="M30">
    <cfRule type="expression" dxfId="463" priority="330">
      <formula>IF(N30+O30&gt;N32+O32,1,0)</formula>
    </cfRule>
  </conditionalFormatting>
  <conditionalFormatting sqref="M7">
    <cfRule type="expression" dxfId="462" priority="329">
      <formula>IF(N7+O7&gt;N9+O9,1,0)</formula>
    </cfRule>
  </conditionalFormatting>
  <conditionalFormatting sqref="M9">
    <cfRule type="expression" dxfId="461" priority="328">
      <formula>IF(N9+O9&gt;N11+O11,1,0)</formula>
    </cfRule>
  </conditionalFormatting>
  <conditionalFormatting sqref="O35:O36">
    <cfRule type="expression" priority="325" stopIfTrue="1">
      <formula>IF(N35="",1)</formula>
    </cfRule>
    <cfRule type="expression" dxfId="460" priority="327">
      <formula>IF(N35=N37,1,0)</formula>
    </cfRule>
  </conditionalFormatting>
  <conditionalFormatting sqref="O37">
    <cfRule type="expression" priority="324" stopIfTrue="1">
      <formula>IF(N37="",1,0)</formula>
    </cfRule>
    <cfRule type="expression" dxfId="459" priority="326">
      <formula>IF(N35=N37,1,0)</formula>
    </cfRule>
  </conditionalFormatting>
  <conditionalFormatting sqref="O42:O43">
    <cfRule type="expression" priority="321" stopIfTrue="1">
      <formula>IF(N42="",1)</formula>
    </cfRule>
    <cfRule type="expression" dxfId="458" priority="323">
      <formula>IF(N42=N44,1,0)</formula>
    </cfRule>
  </conditionalFormatting>
  <conditionalFormatting sqref="O44">
    <cfRule type="expression" priority="320" stopIfTrue="1">
      <formula>IF(N44="",1,0)</formula>
    </cfRule>
    <cfRule type="expression" dxfId="457" priority="322">
      <formula>IF(N42=N44,1,0)</formula>
    </cfRule>
  </conditionalFormatting>
  <conditionalFormatting sqref="O49:O50">
    <cfRule type="expression" priority="317" stopIfTrue="1">
      <formula>IF(N49="",1)</formula>
    </cfRule>
    <cfRule type="expression" dxfId="456" priority="319">
      <formula>IF(N49=N51,1,0)</formula>
    </cfRule>
  </conditionalFormatting>
  <conditionalFormatting sqref="O51">
    <cfRule type="expression" priority="316" stopIfTrue="1">
      <formula>IF(N51="",1,0)</formula>
    </cfRule>
    <cfRule type="expression" dxfId="455" priority="318">
      <formula>IF(N49=N51,1,0)</formula>
    </cfRule>
  </conditionalFormatting>
  <conditionalFormatting sqref="O56:O57">
    <cfRule type="expression" priority="313" stopIfTrue="1">
      <formula>IF(N56="",1)</formula>
    </cfRule>
    <cfRule type="expression" dxfId="454" priority="315">
      <formula>IF(N56=N58,1,0)</formula>
    </cfRule>
  </conditionalFormatting>
  <conditionalFormatting sqref="O58">
    <cfRule type="expression" priority="312" stopIfTrue="1">
      <formula>IF(N58="",1,0)</formula>
    </cfRule>
    <cfRule type="expression" dxfId="453" priority="314">
      <formula>IF(N56=N58,1,0)</formula>
    </cfRule>
  </conditionalFormatting>
  <conditionalFormatting sqref="M42">
    <cfRule type="expression" dxfId="452" priority="279">
      <formula>IF(N42+O42&gt;N44+O44,1,0)</formula>
    </cfRule>
  </conditionalFormatting>
  <conditionalFormatting sqref="M44">
    <cfRule type="expression" dxfId="451" priority="278">
      <formula>IF(N44+O44&gt;N46+O46,1,0)</formula>
    </cfRule>
  </conditionalFormatting>
  <conditionalFormatting sqref="M49">
    <cfRule type="expression" dxfId="450" priority="277">
      <formula>IF(N49+O49&gt;N51+O51,1,0)</formula>
    </cfRule>
  </conditionalFormatting>
  <conditionalFormatting sqref="M51">
    <cfRule type="expression" dxfId="449" priority="276">
      <formula>IF(N51+O51&gt;N53+O53,1,0)</formula>
    </cfRule>
  </conditionalFormatting>
  <conditionalFormatting sqref="M56">
    <cfRule type="expression" dxfId="448" priority="275">
      <formula>IF(N56+O56&gt;N58+O58,1,0)</formula>
    </cfRule>
  </conditionalFormatting>
  <conditionalFormatting sqref="M58">
    <cfRule type="expression" dxfId="447" priority="274">
      <formula>IF(N58+O58&gt;N60+O60,1,0)</formula>
    </cfRule>
  </conditionalFormatting>
  <conditionalFormatting sqref="Y7">
    <cfRule type="expression" dxfId="446" priority="273">
      <formula>IF(Z7+AA7&gt;Z9+AA9,1,0)</formula>
    </cfRule>
  </conditionalFormatting>
  <conditionalFormatting sqref="Y9">
    <cfRule type="expression" dxfId="445" priority="272">
      <formula>IF(Z7+AA7&lt;Z9+AA9,1,0)</formula>
    </cfRule>
  </conditionalFormatting>
  <conditionalFormatting sqref="Y14">
    <cfRule type="expression" dxfId="444" priority="271">
      <formula>IF(Z14+AA14&gt;Z16+AA16,1,0)</formula>
    </cfRule>
  </conditionalFormatting>
  <conditionalFormatting sqref="Y16">
    <cfRule type="expression" dxfId="443" priority="270">
      <formula>IF(Z14+AA14&lt;Z16+AA16,1,0)</formula>
    </cfRule>
  </conditionalFormatting>
  <conditionalFormatting sqref="Y21">
    <cfRule type="expression" dxfId="442" priority="269">
      <formula>IF(Z21+AA21&gt;Z23+AA23,1,0)</formula>
    </cfRule>
  </conditionalFormatting>
  <conditionalFormatting sqref="Y23">
    <cfRule type="expression" dxfId="441" priority="268">
      <formula>IF(Z21+AA21&lt;Z23+AA23,1,0)</formula>
    </cfRule>
  </conditionalFormatting>
  <conditionalFormatting sqref="Y28">
    <cfRule type="expression" dxfId="440" priority="267">
      <formula>IF(Z28+AA28&gt;Z30+AA30,1,0)</formula>
    </cfRule>
  </conditionalFormatting>
  <conditionalFormatting sqref="Y30">
    <cfRule type="expression" dxfId="439" priority="266">
      <formula>IF(Z28+AA28&lt;Z30+AA30,1,0)</formula>
    </cfRule>
  </conditionalFormatting>
  <conditionalFormatting sqref="S28">
    <cfRule type="expression" dxfId="438" priority="249">
      <formula>IF(T28+U28&gt;T30+U30,1,0)</formula>
    </cfRule>
  </conditionalFormatting>
  <conditionalFormatting sqref="S30">
    <cfRule type="expression" dxfId="437" priority="248">
      <formula>IF(T28+U28&lt;T30+U30,1,0)</formula>
    </cfRule>
  </conditionalFormatting>
  <conditionalFormatting sqref="M35">
    <cfRule type="expression" dxfId="436" priority="247">
      <formula>IF(N35+O35&gt;N37+O37,1,0)</formula>
    </cfRule>
  </conditionalFormatting>
  <conditionalFormatting sqref="M37">
    <cfRule type="expression" dxfId="435" priority="246">
      <formula>IF(N37+O37&gt;N39+O39,1,0)</formula>
    </cfRule>
  </conditionalFormatting>
  <conditionalFormatting sqref="O63:O64">
    <cfRule type="expression" priority="166" stopIfTrue="1">
      <formula>IF(N63="",1)</formula>
    </cfRule>
    <cfRule type="expression" dxfId="434" priority="168">
      <formula>IF(N63=N65,1,0)</formula>
    </cfRule>
  </conditionalFormatting>
  <conditionalFormatting sqref="O65">
    <cfRule type="expression" priority="165" stopIfTrue="1">
      <formula>IF(N65="",1,0)</formula>
    </cfRule>
    <cfRule type="expression" dxfId="433" priority="167">
      <formula>IF(N63=N65,1,0)</formula>
    </cfRule>
  </conditionalFormatting>
  <conditionalFormatting sqref="O70:O71">
    <cfRule type="expression" priority="146" stopIfTrue="1">
      <formula>IF(N70="",1)</formula>
    </cfRule>
    <cfRule type="expression" dxfId="432" priority="148">
      <formula>IF(N70=N72,1,0)</formula>
    </cfRule>
  </conditionalFormatting>
  <conditionalFormatting sqref="O72">
    <cfRule type="expression" priority="145" stopIfTrue="1">
      <formula>IF(N72="",1,0)</formula>
    </cfRule>
    <cfRule type="expression" dxfId="431" priority="147">
      <formula>IF(N70=N72,1,0)</formula>
    </cfRule>
  </conditionalFormatting>
  <conditionalFormatting sqref="O77:O78">
    <cfRule type="expression" priority="142" stopIfTrue="1">
      <formula>IF(N77="",1)</formula>
    </cfRule>
    <cfRule type="expression" dxfId="430" priority="144">
      <formula>IF(N77=N79,1,0)</formula>
    </cfRule>
  </conditionalFormatting>
  <conditionalFormatting sqref="O79">
    <cfRule type="expression" priority="141" stopIfTrue="1">
      <formula>IF(N79="",1,0)</formula>
    </cfRule>
    <cfRule type="expression" dxfId="429" priority="143">
      <formula>IF(N77=N79,1,0)</formula>
    </cfRule>
  </conditionalFormatting>
  <conditionalFormatting sqref="O84:O85">
    <cfRule type="expression" priority="138" stopIfTrue="1">
      <formula>IF(N84="",1)</formula>
    </cfRule>
    <cfRule type="expression" dxfId="428" priority="140">
      <formula>IF(N84=N86,1,0)</formula>
    </cfRule>
  </conditionalFormatting>
  <conditionalFormatting sqref="O86">
    <cfRule type="expression" priority="137" stopIfTrue="1">
      <formula>IF(N86="",1,0)</formula>
    </cfRule>
    <cfRule type="expression" dxfId="427" priority="139">
      <formula>IF(N84=N86,1,0)</formula>
    </cfRule>
  </conditionalFormatting>
  <conditionalFormatting sqref="M63">
    <cfRule type="expression" dxfId="426" priority="104">
      <formula>IF(N63+O63&gt;N65+O65,1,0)</formula>
    </cfRule>
  </conditionalFormatting>
  <conditionalFormatting sqref="M65">
    <cfRule type="expression" dxfId="425" priority="103">
      <formula>IF(N63+O63&lt;N65+O65,1,0)</formula>
    </cfRule>
  </conditionalFormatting>
  <conditionalFormatting sqref="M70">
    <cfRule type="expression" dxfId="424" priority="102">
      <formula>IF(N70+O70&gt;N72+O72,1,0)</formula>
    </cfRule>
  </conditionalFormatting>
  <conditionalFormatting sqref="M72">
    <cfRule type="expression" dxfId="423" priority="101">
      <formula>IF(N70+O70&lt;N72+O72,1,0)</formula>
    </cfRule>
  </conditionalFormatting>
  <conditionalFormatting sqref="M77">
    <cfRule type="expression" dxfId="422" priority="100">
      <formula>IF(N77+O77&gt;N79+O79,1,0)</formula>
    </cfRule>
  </conditionalFormatting>
  <conditionalFormatting sqref="M79">
    <cfRule type="expression" dxfId="421" priority="99">
      <formula>IF(N77+O77&lt;N79+O79,1,0)</formula>
    </cfRule>
  </conditionalFormatting>
  <conditionalFormatting sqref="M84">
    <cfRule type="expression" dxfId="420" priority="98">
      <formula>IF(N84+O84&gt;N86+O86,1,0)</formula>
    </cfRule>
  </conditionalFormatting>
  <conditionalFormatting sqref="M86">
    <cfRule type="expression" dxfId="419" priority="97">
      <formula>IF(N84+O84&lt;N86+O86,1,0)</formula>
    </cfRule>
  </conditionalFormatting>
  <conditionalFormatting sqref="AA35:AA36">
    <cfRule type="expression" priority="94" stopIfTrue="1">
      <formula>IF(Z35="",1)</formula>
    </cfRule>
    <cfRule type="expression" dxfId="418" priority="96">
      <formula>IF(Z35=Z37,1,0)</formula>
    </cfRule>
  </conditionalFormatting>
  <conditionalFormatting sqref="AA37">
    <cfRule type="expression" priority="93" stopIfTrue="1">
      <formula>IF(Z37="",1,0)</formula>
    </cfRule>
    <cfRule type="expression" dxfId="417" priority="95">
      <formula>IF(Z35=Z37,1,0)</formula>
    </cfRule>
  </conditionalFormatting>
  <conditionalFormatting sqref="AA42:AA43">
    <cfRule type="expression" priority="90" stopIfTrue="1">
      <formula>IF(Z42="",1)</formula>
    </cfRule>
    <cfRule type="expression" dxfId="416" priority="92">
      <formula>IF(Z42=Z44,1,0)</formula>
    </cfRule>
  </conditionalFormatting>
  <conditionalFormatting sqref="AA44">
    <cfRule type="expression" priority="89" stopIfTrue="1">
      <formula>IF(Z44="",1,0)</formula>
    </cfRule>
    <cfRule type="expression" dxfId="415" priority="91">
      <formula>IF(Z42=Z44,1,0)</formula>
    </cfRule>
  </conditionalFormatting>
  <conditionalFormatting sqref="AA49:AA50">
    <cfRule type="expression" priority="86" stopIfTrue="1">
      <formula>IF(Z49="",1)</formula>
    </cfRule>
    <cfRule type="expression" dxfId="414" priority="88">
      <formula>IF(Z49=Z51,1,0)</formula>
    </cfRule>
  </conditionalFormatting>
  <conditionalFormatting sqref="AA51">
    <cfRule type="expression" priority="85" stopIfTrue="1">
      <formula>IF(Z51="",1,0)</formula>
    </cfRule>
    <cfRule type="expression" dxfId="413" priority="87">
      <formula>IF(Z49=Z51,1,0)</formula>
    </cfRule>
  </conditionalFormatting>
  <conditionalFormatting sqref="AA56:AA57">
    <cfRule type="expression" priority="82" stopIfTrue="1">
      <formula>IF(Z56="",1)</formula>
    </cfRule>
    <cfRule type="expression" dxfId="412" priority="84">
      <formula>IF(Z56=Z58,1,0)</formula>
    </cfRule>
  </conditionalFormatting>
  <conditionalFormatting sqref="AA58">
    <cfRule type="expression" priority="81" stopIfTrue="1">
      <formula>IF(Z58="",1,0)</formula>
    </cfRule>
    <cfRule type="expression" dxfId="411" priority="83">
      <formula>IF(Z56=Z58,1,0)</formula>
    </cfRule>
  </conditionalFormatting>
  <conditionalFormatting sqref="Y35">
    <cfRule type="expression" dxfId="410" priority="80">
      <formula>IF(Z35+AA35&gt;Z37+AA37,1,0)</formula>
    </cfRule>
  </conditionalFormatting>
  <conditionalFormatting sqref="Y37">
    <cfRule type="expression" dxfId="409" priority="79">
      <formula>IF(Z35+AA35&lt;Z37+AA37,1,0)</formula>
    </cfRule>
  </conditionalFormatting>
  <conditionalFormatting sqref="Y42">
    <cfRule type="expression" dxfId="408" priority="78">
      <formula>IF(Z42+AA42&gt;Z44+AA44,1,0)</formula>
    </cfRule>
  </conditionalFormatting>
  <conditionalFormatting sqref="Y44">
    <cfRule type="expression" dxfId="407" priority="77">
      <formula>IF(Z42+AA42&lt;Z44+AA44,1,0)</formula>
    </cfRule>
  </conditionalFormatting>
  <conditionalFormatting sqref="Y49">
    <cfRule type="expression" dxfId="406" priority="76">
      <formula>IF(Z49+AA49&gt;Z51+AA51,1,0)</formula>
    </cfRule>
  </conditionalFormatting>
  <conditionalFormatting sqref="Y51">
    <cfRule type="expression" dxfId="405" priority="75">
      <formula>IF(Z49+AA49&lt;Z51+AA51,1,0)</formula>
    </cfRule>
  </conditionalFormatting>
  <conditionalFormatting sqref="Y56">
    <cfRule type="expression" dxfId="404" priority="74">
      <formula>IF(Z56+AA56&gt;Z58+AA58,1,0)</formula>
    </cfRule>
  </conditionalFormatting>
  <conditionalFormatting sqref="Y58">
    <cfRule type="expression" dxfId="403" priority="73">
      <formula>IF(Z56+AA56&lt;Z58+AA58,1,0)</formula>
    </cfRule>
  </conditionalFormatting>
  <conditionalFormatting sqref="U35:U36">
    <cfRule type="expression" priority="70" stopIfTrue="1">
      <formula>IF(T35="",1)</formula>
    </cfRule>
    <cfRule type="expression" dxfId="402" priority="72">
      <formula>IF(T35=T37,1,0)</formula>
    </cfRule>
  </conditionalFormatting>
  <conditionalFormatting sqref="U37">
    <cfRule type="expression" priority="69" stopIfTrue="1">
      <formula>IF(T37="",1,0)</formula>
    </cfRule>
    <cfRule type="expression" dxfId="401" priority="71">
      <formula>IF(T35=T37,1,0)</formula>
    </cfRule>
  </conditionalFormatting>
  <conditionalFormatting sqref="U42:U43">
    <cfRule type="expression" priority="66" stopIfTrue="1">
      <formula>IF(T42="",1)</formula>
    </cfRule>
    <cfRule type="expression" dxfId="400" priority="68">
      <formula>IF(T42=T44,1,0)</formula>
    </cfRule>
  </conditionalFormatting>
  <conditionalFormatting sqref="U44">
    <cfRule type="expression" priority="65" stopIfTrue="1">
      <formula>IF(T44="",1,0)</formula>
    </cfRule>
    <cfRule type="expression" dxfId="399" priority="67">
      <formula>IF(T42=T44,1,0)</formula>
    </cfRule>
  </conditionalFormatting>
  <conditionalFormatting sqref="U49:U50">
    <cfRule type="expression" priority="62" stopIfTrue="1">
      <formula>IF(T49="",1)</formula>
    </cfRule>
    <cfRule type="expression" dxfId="398" priority="64">
      <formula>IF(T49=T51,1,0)</formula>
    </cfRule>
  </conditionalFormatting>
  <conditionalFormatting sqref="U51">
    <cfRule type="expression" priority="61" stopIfTrue="1">
      <formula>IF(T51="",1,0)</formula>
    </cfRule>
    <cfRule type="expression" dxfId="397" priority="63">
      <formula>IF(T49=T51,1,0)</formula>
    </cfRule>
  </conditionalFormatting>
  <conditionalFormatting sqref="U56:U57">
    <cfRule type="expression" priority="58" stopIfTrue="1">
      <formula>IF(T56="",1)</formula>
    </cfRule>
    <cfRule type="expression" dxfId="396" priority="60">
      <formula>IF(T56=T58,1,0)</formula>
    </cfRule>
  </conditionalFormatting>
  <conditionalFormatting sqref="U58">
    <cfRule type="expression" priority="57" stopIfTrue="1">
      <formula>IF(T58="",1,0)</formula>
    </cfRule>
    <cfRule type="expression" dxfId="395" priority="59">
      <formula>IF(T56=T58,1,0)</formula>
    </cfRule>
  </conditionalFormatting>
  <conditionalFormatting sqref="S56">
    <cfRule type="expression" dxfId="394" priority="56">
      <formula>IF(T56+U56&gt;T58+U58,1,0)</formula>
    </cfRule>
  </conditionalFormatting>
  <conditionalFormatting sqref="S58">
    <cfRule type="expression" dxfId="393" priority="55">
      <formula>IF(T56+U56&lt;T58+U58,1,0)</formula>
    </cfRule>
  </conditionalFormatting>
  <conditionalFormatting sqref="S49">
    <cfRule type="expression" dxfId="392" priority="54">
      <formula>IF(T49+U49&gt;T51+U51,1,0)</formula>
    </cfRule>
  </conditionalFormatting>
  <conditionalFormatting sqref="S51">
    <cfRule type="expression" dxfId="391" priority="53">
      <formula>IF(T49+U49&lt;T51+U51,1,0)</formula>
    </cfRule>
  </conditionalFormatting>
  <conditionalFormatting sqref="S42">
    <cfRule type="expression" dxfId="390" priority="52">
      <formula>IF(T42+U42&gt;T44+U44,1,0)</formula>
    </cfRule>
  </conditionalFormatting>
  <conditionalFormatting sqref="S44">
    <cfRule type="expression" dxfId="389" priority="51">
      <formula>IF(T42+U42&lt;T44+U44,1,0)</formula>
    </cfRule>
  </conditionalFormatting>
  <conditionalFormatting sqref="S35">
    <cfRule type="expression" dxfId="388" priority="50">
      <formula>IF(T35+U35&gt;T37+U37,1,0)</formula>
    </cfRule>
  </conditionalFormatting>
  <conditionalFormatting sqref="S37">
    <cfRule type="expression" dxfId="387" priority="49">
      <formula>IF(T35+U35&lt;T37+U37,1,0)</formula>
    </cfRule>
  </conditionalFormatting>
  <conditionalFormatting sqref="S63">
    <cfRule type="expression" dxfId="386" priority="48">
      <formula>IF(T63+U63&gt;T65+U65,1,0)</formula>
    </cfRule>
  </conditionalFormatting>
  <conditionalFormatting sqref="S65">
    <cfRule type="expression" dxfId="385" priority="47">
      <formula>IF(T65+U65&gt;T67+U67,1,0)</formula>
    </cfRule>
  </conditionalFormatting>
  <conditionalFormatting sqref="S70">
    <cfRule type="expression" dxfId="384" priority="46">
      <formula>IF(T70+U70&gt;T72+U72,1,0)</formula>
    </cfRule>
  </conditionalFormatting>
  <conditionalFormatting sqref="S72">
    <cfRule type="expression" dxfId="383" priority="45">
      <formula>IF(T72+U72&gt;T74+U74,1,0)</formula>
    </cfRule>
  </conditionalFormatting>
  <conditionalFormatting sqref="S77">
    <cfRule type="expression" dxfId="382" priority="44">
      <formula>IF(T77+U77&gt;T79+U79,1,0)</formula>
    </cfRule>
  </conditionalFormatting>
  <conditionalFormatting sqref="S79">
    <cfRule type="expression" dxfId="381" priority="43">
      <formula>IF(T79+U79&gt;T81+U81,1,0)</formula>
    </cfRule>
  </conditionalFormatting>
  <conditionalFormatting sqref="S84">
    <cfRule type="expression" dxfId="380" priority="42">
      <formula>IF(T84+U84&gt;T86+U86,1,0)</formula>
    </cfRule>
  </conditionalFormatting>
  <conditionalFormatting sqref="S86">
    <cfRule type="expression" dxfId="379" priority="41">
      <formula>IF(T86+U86&gt;T88+U88,1,0)</formula>
    </cfRule>
  </conditionalFormatting>
  <conditionalFormatting sqref="U63:U64">
    <cfRule type="expression" priority="38" stopIfTrue="1">
      <formula>IF(T63="",1)</formula>
    </cfRule>
    <cfRule type="expression" dxfId="378" priority="40">
      <formula>IF(T63=T65,1,0)</formula>
    </cfRule>
  </conditionalFormatting>
  <conditionalFormatting sqref="U65">
    <cfRule type="expression" priority="37" stopIfTrue="1">
      <formula>IF(T65="",1,0)</formula>
    </cfRule>
    <cfRule type="expression" dxfId="377" priority="39">
      <formula>IF(T63=T65,1,0)</formula>
    </cfRule>
  </conditionalFormatting>
  <conditionalFormatting sqref="U70:U71">
    <cfRule type="expression" priority="34" stopIfTrue="1">
      <formula>IF(T70="",1)</formula>
    </cfRule>
    <cfRule type="expression" dxfId="376" priority="36">
      <formula>IF(T70=T72,1,0)</formula>
    </cfRule>
  </conditionalFormatting>
  <conditionalFormatting sqref="U72">
    <cfRule type="expression" priority="33" stopIfTrue="1">
      <formula>IF(T72="",1,0)</formula>
    </cfRule>
    <cfRule type="expression" dxfId="375" priority="35">
      <formula>IF(T70=T72,1,0)</formula>
    </cfRule>
  </conditionalFormatting>
  <conditionalFormatting sqref="U77:U78">
    <cfRule type="expression" priority="30" stopIfTrue="1">
      <formula>IF(T77="",1)</formula>
    </cfRule>
    <cfRule type="expression" dxfId="374" priority="32">
      <formula>IF(T77=T79,1,0)</formula>
    </cfRule>
  </conditionalFormatting>
  <conditionalFormatting sqref="U79">
    <cfRule type="expression" priority="29" stopIfTrue="1">
      <formula>IF(T79="",1,0)</formula>
    </cfRule>
    <cfRule type="expression" dxfId="373" priority="31">
      <formula>IF(T77=T79,1,0)</formula>
    </cfRule>
  </conditionalFormatting>
  <conditionalFormatting sqref="U84:U85">
    <cfRule type="expression" priority="26" stopIfTrue="1">
      <formula>IF(T84="",1)</formula>
    </cfRule>
    <cfRule type="expression" dxfId="372" priority="28">
      <formula>IF(T84=T86,1,0)</formula>
    </cfRule>
  </conditionalFormatting>
  <conditionalFormatting sqref="U86">
    <cfRule type="expression" priority="25" stopIfTrue="1">
      <formula>IF(T86="",1,0)</formula>
    </cfRule>
    <cfRule type="expression" dxfId="371" priority="27">
      <formula>IF(T84=T86,1,0)</formula>
    </cfRule>
  </conditionalFormatting>
  <conditionalFormatting sqref="Y63">
    <cfRule type="expression" dxfId="370" priority="24">
      <formula>IF(Z63+AA63&gt;Z65+AA65,1,0)</formula>
    </cfRule>
  </conditionalFormatting>
  <conditionalFormatting sqref="Y65">
    <cfRule type="expression" dxfId="369" priority="23">
      <formula>IF(Z65+AA65&gt;Z67+AA67,1,0)</formula>
    </cfRule>
  </conditionalFormatting>
  <conditionalFormatting sqref="Y70">
    <cfRule type="expression" dxfId="368" priority="22">
      <formula>IF(Z70+AA70&gt;Z72+AA72,1,0)</formula>
    </cfRule>
  </conditionalFormatting>
  <conditionalFormatting sqref="Y72">
    <cfRule type="expression" dxfId="367" priority="21">
      <formula>IF(Z72+AA72&gt;Z74+AA74,1,0)</formula>
    </cfRule>
  </conditionalFormatting>
  <conditionalFormatting sqref="Y77">
    <cfRule type="expression" dxfId="366" priority="20">
      <formula>IF(Z77+AA77&gt;Z79+AA79,1,0)</formula>
    </cfRule>
  </conditionalFormatting>
  <conditionalFormatting sqref="Y79">
    <cfRule type="expression" dxfId="365" priority="19">
      <formula>IF(Z79+AA79&gt;Z81+AA81,1,0)</formula>
    </cfRule>
  </conditionalFormatting>
  <conditionalFormatting sqref="Y84">
    <cfRule type="expression" dxfId="364" priority="18">
      <formula>IF(Z84+AA84&gt;Z86+AA86,1,0)</formula>
    </cfRule>
  </conditionalFormatting>
  <conditionalFormatting sqref="Y86">
    <cfRule type="expression" dxfId="363" priority="17">
      <formula>IF(Z86+AA86&gt;Z88+AA88,1,0)</formula>
    </cfRule>
  </conditionalFormatting>
  <conditionalFormatting sqref="AA63:AA64">
    <cfRule type="expression" priority="14" stopIfTrue="1">
      <formula>IF(Z63="",1)</formula>
    </cfRule>
    <cfRule type="expression" dxfId="362" priority="16">
      <formula>IF(Z63=Z65,1,0)</formula>
    </cfRule>
  </conditionalFormatting>
  <conditionalFormatting sqref="AA65">
    <cfRule type="expression" priority="13" stopIfTrue="1">
      <formula>IF(Z65="",1,0)</formula>
    </cfRule>
    <cfRule type="expression" dxfId="361" priority="15">
      <formula>IF(Z63=Z65,1,0)</formula>
    </cfRule>
  </conditionalFormatting>
  <conditionalFormatting sqref="AA70:AA71">
    <cfRule type="expression" priority="10" stopIfTrue="1">
      <formula>IF(Z70="",1)</formula>
    </cfRule>
    <cfRule type="expression" dxfId="360" priority="12">
      <formula>IF(Z70=Z72,1,0)</formula>
    </cfRule>
  </conditionalFormatting>
  <conditionalFormatting sqref="AA72">
    <cfRule type="expression" priority="9" stopIfTrue="1">
      <formula>IF(Z72="",1,0)</formula>
    </cfRule>
    <cfRule type="expression" dxfId="359" priority="11">
      <formula>IF(Z70=Z72,1,0)</formula>
    </cfRule>
  </conditionalFormatting>
  <conditionalFormatting sqref="AA77:AA78">
    <cfRule type="expression" priority="6" stopIfTrue="1">
      <formula>IF(Z77="",1)</formula>
    </cfRule>
    <cfRule type="expression" dxfId="358" priority="8">
      <formula>IF(Z77=Z79,1,0)</formula>
    </cfRule>
  </conditionalFormatting>
  <conditionalFormatting sqref="AA79">
    <cfRule type="expression" priority="5" stopIfTrue="1">
      <formula>IF(Z79="",1,0)</formula>
    </cfRule>
    <cfRule type="expression" dxfId="357" priority="7">
      <formula>IF(Z77=Z79,1,0)</formula>
    </cfRule>
  </conditionalFormatting>
  <conditionalFormatting sqref="AA84:AA85">
    <cfRule type="expression" priority="2" stopIfTrue="1">
      <formula>IF(Z84="",1)</formula>
    </cfRule>
    <cfRule type="expression" dxfId="356" priority="4">
      <formula>IF(Z84=Z86,1,0)</formula>
    </cfRule>
  </conditionalFormatting>
  <conditionalFormatting sqref="AA86">
    <cfRule type="expression" priority="1" stopIfTrue="1">
      <formula>IF(Z86="",1,0)</formula>
    </cfRule>
    <cfRule type="expression" dxfId="355" priority="3">
      <formula>IF(Z84=Z86,1,0)</formula>
    </cfRule>
  </conditionalFormatting>
  <pageMargins left="0.19685039370078741" right="0.19685039370078741" top="0.19685039370078741" bottom="0.19685039370078741" header="0.31496062992125984" footer="0.31496062992125984"/>
  <pageSetup paperSize="9" scale="20"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Feuil31">
    <pageSetUpPr fitToPage="1"/>
  </sheetPr>
  <dimension ref="A1:AQ43"/>
  <sheetViews>
    <sheetView topLeftCell="C5" workbookViewId="0">
      <selection activeCell="C5" sqref="C5"/>
    </sheetView>
  </sheetViews>
  <sheetFormatPr baseColWidth="10" defaultRowHeight="12.75" x14ac:dyDescent="0.2"/>
  <cols>
    <col min="1" max="2" width="13" hidden="1" customWidth="1"/>
    <col min="3" max="3" width="13" customWidth="1"/>
    <col min="4" max="4" width="11.42578125" customWidth="1"/>
    <col min="5" max="5" width="20.140625" customWidth="1"/>
    <col min="6" max="6" width="10.85546875" customWidth="1"/>
    <col min="7" max="7" width="42.7109375" customWidth="1"/>
    <col min="8" max="8" width="26.42578125" customWidth="1"/>
    <col min="9" max="9" width="22.28515625" customWidth="1"/>
    <col min="10" max="11" width="4" customWidth="1"/>
    <col min="12" max="12" width="15.42578125" customWidth="1"/>
    <col min="13" max="13" width="3" hidden="1" customWidth="1"/>
    <col min="14" max="14" width="8.140625" hidden="1" customWidth="1"/>
    <col min="15" max="15" width="7.42578125" customWidth="1"/>
    <col min="16" max="16" width="47" customWidth="1"/>
    <col min="17" max="17" width="38.7109375" customWidth="1"/>
    <col min="18" max="18" width="29.140625" customWidth="1"/>
    <col min="19" max="25" width="3" customWidth="1"/>
    <col min="26" max="45" width="18.140625" customWidth="1"/>
  </cols>
  <sheetData>
    <row r="1" spans="1:43" ht="48" hidden="1" customHeight="1" x14ac:dyDescent="0.2">
      <c r="A1" s="471" t="s">
        <v>890</v>
      </c>
      <c r="B1" s="471" t="s">
        <v>24</v>
      </c>
      <c r="C1" s="471" t="s">
        <v>891</v>
      </c>
      <c r="D1" s="471" t="s">
        <v>0</v>
      </c>
      <c r="E1" s="471" t="s">
        <v>375</v>
      </c>
      <c r="F1" s="471" t="s">
        <v>814</v>
      </c>
    </row>
    <row r="2" spans="1:43" ht="48" hidden="1" customHeight="1" x14ac:dyDescent="0.2">
      <c r="A2" s="565" t="e">
        <f>#REF!</f>
        <v>#REF!</v>
      </c>
      <c r="B2">
        <v>1</v>
      </c>
      <c r="C2" s="557" t="e">
        <f>VLOOKUP(A2,Table_Podium,6,FALSE)</f>
        <v>#REF!</v>
      </c>
      <c r="D2" t="e">
        <f>VLOOKUP(A2,Table_Podium,3,FALSE)</f>
        <v>#REF!</v>
      </c>
      <c r="E2" t="e">
        <f>VLOOKUP(A2,Table_Podium,4,FALSE)</f>
        <v>#REF!</v>
      </c>
      <c r="F2" t="e">
        <f>VLOOKUP(A2,Table_Podium,5,FALSE)</f>
        <v>#REF!</v>
      </c>
      <c r="K2" t="str">
        <f>L2&amp;M2</f>
        <v xml:space="preserve">LP MICHELET NANTES </v>
      </c>
      <c r="L2" t="s">
        <v>1067</v>
      </c>
      <c r="M2" t="s">
        <v>1041</v>
      </c>
      <c r="N2" t="s">
        <v>868</v>
      </c>
    </row>
    <row r="3" spans="1:43" ht="48" hidden="1" customHeight="1" x14ac:dyDescent="0.2">
      <c r="A3" s="565" t="e">
        <f>#REF!</f>
        <v>#REF!</v>
      </c>
      <c r="B3">
        <v>2</v>
      </c>
      <c r="C3" s="557" t="e">
        <f>VLOOKUP(A3,Table_Podium,6,FALSE)</f>
        <v>#REF!</v>
      </c>
      <c r="D3" t="e">
        <f>VLOOKUP(A3,Table_Podium,3,FALSE)</f>
        <v>#REF!</v>
      </c>
      <c r="E3" t="e">
        <f>VLOOKUP(A3,Table_Podium,4,FALSE)</f>
        <v>#REF!</v>
      </c>
      <c r="F3" t="e">
        <f>VLOOKUP(A3,Table_Podium,5,FALSE)</f>
        <v>#REF!</v>
      </c>
      <c r="K3" t="str">
        <f t="shared" ref="K3:K4" si="0">L3&amp;M3</f>
        <v>LP RAMIRO ARRUE SAINT JEAN DE LUZ</v>
      </c>
      <c r="L3" s="755" t="s">
        <v>1024</v>
      </c>
      <c r="M3" s="756" t="s">
        <v>1021</v>
      </c>
      <c r="N3" s="757" t="s">
        <v>857</v>
      </c>
    </row>
    <row r="4" spans="1:43" ht="48" hidden="1" customHeight="1" x14ac:dyDescent="0.2">
      <c r="A4" s="565" t="e">
        <f>#REF!</f>
        <v>#REF!</v>
      </c>
      <c r="B4">
        <v>3</v>
      </c>
      <c r="C4" s="557" t="e">
        <f>VLOOKUP(A4,Table_Podium,6,FALSE)</f>
        <v>#REF!</v>
      </c>
      <c r="D4" t="e">
        <f>VLOOKUP(A4,Table_Podium,3,FALSE)</f>
        <v>#REF!</v>
      </c>
      <c r="E4" t="e">
        <f>VLOOKUP(A4,Table_Podium,4,FALSE)</f>
        <v>#REF!</v>
      </c>
      <c r="F4" t="e">
        <f>VLOOKUP(A4,Table_Podium,5,FALSE)</f>
        <v>#REF!</v>
      </c>
      <c r="K4" t="str">
        <f t="shared" si="0"/>
        <v>EEA EREA FLAVIGNY SUR MOSELLE</v>
      </c>
      <c r="L4" t="s">
        <v>1066</v>
      </c>
      <c r="M4" t="s">
        <v>1038</v>
      </c>
      <c r="N4" t="s">
        <v>867</v>
      </c>
    </row>
    <row r="5" spans="1:43" ht="48" customHeight="1" x14ac:dyDescent="0.2">
      <c r="P5" s="988" t="str">
        <f>Championnat</f>
        <v>Championnat de France de Tir à l'ARC</v>
      </c>
      <c r="Q5" s="988"/>
      <c r="R5" s="988"/>
    </row>
    <row r="6" spans="1:43" ht="30" x14ac:dyDescent="0.3">
      <c r="C6" s="562" t="str">
        <f>Championnat</f>
        <v>Championnat de France de Tir à l'ARC</v>
      </c>
      <c r="P6" s="1251" t="str">
        <f>CATEG_IMPORTEE</f>
        <v>Collèges Mixtes Etablissement</v>
      </c>
      <c r="Q6" s="1251"/>
      <c r="R6" s="1251"/>
      <c r="AB6" s="562" t="str">
        <f>Championnat</f>
        <v>Championnat de France de Tir à l'ARC</v>
      </c>
      <c r="AM6" t="str">
        <f>AB6</f>
        <v>Championnat de France de Tir à l'ARC</v>
      </c>
    </row>
    <row r="7" spans="1:43" ht="27.75" x14ac:dyDescent="0.25">
      <c r="C7" s="146" t="str">
        <f>CATEG_IMPORTEE</f>
        <v>Collèges Mixtes Etablissement</v>
      </c>
      <c r="P7" s="1252" t="str">
        <f>LIEU&amp;" du "&amp;DATE</f>
        <v>L’Isle sur la Sorgue du 27 au 31 mars 2023</v>
      </c>
      <c r="Q7" s="1252"/>
      <c r="R7" s="1252"/>
      <c r="AB7" s="146" t="str">
        <f>CATEG_IMPORTEE</f>
        <v>Collèges Mixtes Etablissement</v>
      </c>
      <c r="AM7" t="str">
        <f t="shared" ref="AM7:AM9" si="1">AB7</f>
        <v>Collèges Mixtes Etablissement</v>
      </c>
    </row>
    <row r="8" spans="1:43" ht="27" x14ac:dyDescent="0.2">
      <c r="C8" s="561" t="str">
        <f>DATE</f>
        <v>27 au 31 mars 2023</v>
      </c>
      <c r="F8" s="561" t="str">
        <f>LIEU</f>
        <v>L’Isle sur la Sorgue</v>
      </c>
      <c r="P8" s="991"/>
      <c r="Q8" s="991"/>
      <c r="R8" s="991"/>
      <c r="AB8" s="561" t="str">
        <f>DATE</f>
        <v>27 au 31 mars 2023</v>
      </c>
      <c r="AM8" t="str">
        <f t="shared" si="1"/>
        <v>27 au 31 mars 2023</v>
      </c>
    </row>
    <row r="9" spans="1:43" ht="30" x14ac:dyDescent="0.2">
      <c r="C9" s="561"/>
      <c r="F9" s="561"/>
      <c r="P9" s="1253" t="s">
        <v>1076</v>
      </c>
      <c r="Q9" s="1253"/>
      <c r="R9" s="1253"/>
      <c r="AB9" s="561" t="str">
        <f>LIEU</f>
        <v>L’Isle sur la Sorgue</v>
      </c>
      <c r="AM9" t="str">
        <f t="shared" si="1"/>
        <v>L’Isle sur la Sorgue</v>
      </c>
    </row>
    <row r="10" spans="1:43" ht="13.5" thickBot="1" x14ac:dyDescent="0.25">
      <c r="B10" s="471" t="s">
        <v>892</v>
      </c>
      <c r="C10" t="s">
        <v>889</v>
      </c>
      <c r="D10" t="s">
        <v>24</v>
      </c>
      <c r="E10" t="s">
        <v>481</v>
      </c>
      <c r="F10" t="s">
        <v>2</v>
      </c>
      <c r="G10" t="s">
        <v>813</v>
      </c>
      <c r="H10" s="471" t="s">
        <v>375</v>
      </c>
      <c r="I10" s="471" t="s">
        <v>814</v>
      </c>
      <c r="AM10" s="471" t="s">
        <v>1076</v>
      </c>
    </row>
    <row r="11" spans="1:43" x14ac:dyDescent="0.2">
      <c r="A11" t="e">
        <f>A2</f>
        <v>#REF!</v>
      </c>
      <c r="B11" t="e">
        <f>VLOOKUP(A11,Table_Podium,10,)</f>
        <v>#REF!</v>
      </c>
      <c r="C11" s="406" t="e">
        <f>LEFT(B11,5)&amp;RIGHT(B11,4)</f>
        <v>#REF!</v>
      </c>
      <c r="D11" s="105">
        <v>1</v>
      </c>
      <c r="E11" s="105" t="e">
        <f>VLOOKUP(A11,Table_Podium,7,FALSE)</f>
        <v>#REF!</v>
      </c>
      <c r="F11" s="105" t="e">
        <f>VLOOKUP(A11,Table_Podium,8,FALSE)</f>
        <v>#REF!</v>
      </c>
      <c r="G11" s="105" t="e">
        <f t="shared" ref="G11:G22" si="2">VLOOKUP(A11,Table_Podium,3,FALSE)</f>
        <v>#REF!</v>
      </c>
      <c r="H11" s="105" t="e">
        <f t="shared" ref="H11:H22" si="3">VLOOKUP(A11,Table_Podium,4,FALSE)</f>
        <v>#REF!</v>
      </c>
      <c r="I11" s="106" t="e">
        <f t="shared" ref="I11:I22" si="4">VLOOKUP(A11,Table_Podium,5,FALSE)</f>
        <v>#REF!</v>
      </c>
      <c r="P11" s="758" t="s">
        <v>0</v>
      </c>
      <c r="Q11" s="758" t="s">
        <v>375</v>
      </c>
      <c r="R11" s="758" t="s">
        <v>814</v>
      </c>
      <c r="AA11" t="s">
        <v>890</v>
      </c>
      <c r="AB11" t="s">
        <v>24</v>
      </c>
      <c r="AC11" t="s">
        <v>891</v>
      </c>
      <c r="AD11" t="s">
        <v>0</v>
      </c>
      <c r="AE11" t="s">
        <v>375</v>
      </c>
      <c r="AF11" t="s">
        <v>814</v>
      </c>
      <c r="AG11" s="471" t="s">
        <v>1072</v>
      </c>
      <c r="AH11" s="471" t="s">
        <v>1073</v>
      </c>
      <c r="AI11" s="471" t="s">
        <v>1075</v>
      </c>
      <c r="AJ11" s="471" t="s">
        <v>1074</v>
      </c>
      <c r="AM11" t="str">
        <f>AB11</f>
        <v>Place</v>
      </c>
      <c r="AN11" t="str">
        <f t="shared" ref="AN11:AQ11" si="5">AC11</f>
        <v>Num AS</v>
      </c>
      <c r="AO11" t="str">
        <f t="shared" si="5"/>
        <v>Etablissement</v>
      </c>
      <c r="AP11" t="str">
        <f t="shared" si="5"/>
        <v>Ville</v>
      </c>
      <c r="AQ11" t="str">
        <f t="shared" si="5"/>
        <v>Acad</v>
      </c>
    </row>
    <row r="12" spans="1:43" ht="14.25" x14ac:dyDescent="0.2">
      <c r="A12" t="e">
        <f>A2</f>
        <v>#REF!</v>
      </c>
      <c r="B12" t="e">
        <f>VLOOKUP(A12,Table_Podium,16,FALSE)</f>
        <v>#REF!</v>
      </c>
      <c r="C12" s="407" t="e">
        <f t="shared" ref="C12:C22" si="6">LEFT(B12,5)&amp;RIGHT(B12,4)</f>
        <v>#REF!</v>
      </c>
      <c r="D12">
        <v>1</v>
      </c>
      <c r="E12" t="e">
        <f>VLOOKUP(A12,Table_Podium,13,FALSE)</f>
        <v>#REF!</v>
      </c>
      <c r="F12" t="e">
        <f>VLOOKUP(A12,Table_Podium,14,FALSE)</f>
        <v>#REF!</v>
      </c>
      <c r="G12" t="e">
        <f t="shared" si="2"/>
        <v>#REF!</v>
      </c>
      <c r="H12" t="e">
        <f t="shared" si="3"/>
        <v>#REF!</v>
      </c>
      <c r="I12" s="408" t="e">
        <f t="shared" si="4"/>
        <v>#REF!</v>
      </c>
      <c r="M12">
        <v>1</v>
      </c>
      <c r="N12" t="str">
        <f t="shared" ref="N12:N35" si="7">IFERROR(VLOOKUP(M12,PRO_Rang,2,FALSE),"")</f>
        <v/>
      </c>
      <c r="O12" s="761" t="s">
        <v>784</v>
      </c>
      <c r="P12" s="759" t="str">
        <f t="shared" ref="P12:P35" si="8">IFERROR(VLOOKUP(N12,Table_Podium,3,FALSE),"")</f>
        <v/>
      </c>
      <c r="Q12" s="760" t="str">
        <f t="shared" ref="Q12:Q35" si="9">IFERROR(VLOOKUP(N12,Table_Podium,4,FALSE),"")</f>
        <v/>
      </c>
      <c r="R12" s="760" t="str">
        <f t="shared" ref="R12:R35" si="10">IFERROR(VLOOKUP(N12,Table_Podium,5,FALSE),"")</f>
        <v/>
      </c>
      <c r="AA12" t="e">
        <f>#REF!</f>
        <v>#REF!</v>
      </c>
      <c r="AB12">
        <v>1</v>
      </c>
      <c r="AC12" t="str">
        <f t="shared" ref="AC12:AC35" si="11">IFERROR(VLOOKUP(AA12,Table_Podium,6,FALSE),"")</f>
        <v/>
      </c>
      <c r="AD12" t="str">
        <f t="shared" ref="AD12:AD35" si="12">IFERROR(VLOOKUP(AA12,Table_Podium,3,FALSE),"")</f>
        <v/>
      </c>
      <c r="AE12" t="str">
        <f t="shared" ref="AE12:AE35" si="13">IFERROR(VLOOKUP(AA12,Table_Podium,4,FALSE),"")</f>
        <v/>
      </c>
      <c r="AF12" t="str">
        <f t="shared" ref="AF12:AF35" si="14">IFERROR(VLOOKUP(AA12,Table_Podium,5,FALSE),"")</f>
        <v/>
      </c>
      <c r="AG12" t="str">
        <f t="shared" ref="AG12:AG35" si="15">IFERROR(VLOOKUP(AA12,Table_Podium,32,FALSE),"")</f>
        <v/>
      </c>
      <c r="AH12" t="str">
        <f>IF(AG12="PRO",AB12,"")</f>
        <v/>
      </c>
      <c r="AI12" t="str">
        <f>IFERROR(RANK(AH12,$AH$12:$AH$35,1),"")</f>
        <v/>
      </c>
      <c r="AJ12" t="str">
        <f>IF(AI12&lt;&gt;"",AA12,"")</f>
        <v/>
      </c>
      <c r="AL12" t="str">
        <f>N12</f>
        <v/>
      </c>
      <c r="AM12" t="str">
        <f>O12</f>
        <v>1er</v>
      </c>
      <c r="AN12" t="str">
        <f t="shared" ref="AN12" si="16">IFERROR(VLOOKUP(AL12,Table_Podium,6,FALSE),"")</f>
        <v/>
      </c>
      <c r="AO12" t="str">
        <f>P12</f>
        <v/>
      </c>
      <c r="AP12" t="str">
        <f>Q12</f>
        <v/>
      </c>
      <c r="AQ12" t="str">
        <f>R12</f>
        <v/>
      </c>
    </row>
    <row r="13" spans="1:43" ht="15.75" customHeight="1" x14ac:dyDescent="0.2">
      <c r="A13" t="e">
        <f>A2</f>
        <v>#REF!</v>
      </c>
      <c r="B13" t="e">
        <f>VLOOKUP(A13,Table_Podium,22,FALSE)</f>
        <v>#REF!</v>
      </c>
      <c r="C13" s="407" t="e">
        <f t="shared" si="6"/>
        <v>#REF!</v>
      </c>
      <c r="D13">
        <v>1</v>
      </c>
      <c r="E13" t="e">
        <f>VLOOKUP(A13,Table_Podium,19,FALSE)</f>
        <v>#REF!</v>
      </c>
      <c r="F13" t="e">
        <f>VLOOKUP(A13,Table_Podium,20,FALSE)</f>
        <v>#REF!</v>
      </c>
      <c r="G13" t="e">
        <f t="shared" si="2"/>
        <v>#REF!</v>
      </c>
      <c r="H13" t="e">
        <f t="shared" si="3"/>
        <v>#REF!</v>
      </c>
      <c r="I13" s="408" t="e">
        <f t="shared" si="4"/>
        <v>#REF!</v>
      </c>
      <c r="M13">
        <v>2</v>
      </c>
      <c r="N13" t="str">
        <f t="shared" si="7"/>
        <v/>
      </c>
      <c r="O13" s="762" t="s">
        <v>785</v>
      </c>
      <c r="P13" s="759" t="str">
        <f t="shared" si="8"/>
        <v/>
      </c>
      <c r="Q13" s="760" t="str">
        <f t="shared" si="9"/>
        <v/>
      </c>
      <c r="R13" s="760" t="str">
        <f t="shared" si="10"/>
        <v/>
      </c>
      <c r="AA13" t="e">
        <f>#REF!</f>
        <v>#REF!</v>
      </c>
      <c r="AB13">
        <v>2</v>
      </c>
      <c r="AC13" t="str">
        <f t="shared" si="11"/>
        <v/>
      </c>
      <c r="AD13" t="str">
        <f t="shared" si="12"/>
        <v/>
      </c>
      <c r="AE13" t="str">
        <f t="shared" si="13"/>
        <v/>
      </c>
      <c r="AF13" t="str">
        <f t="shared" si="14"/>
        <v/>
      </c>
      <c r="AG13" t="str">
        <f t="shared" si="15"/>
        <v/>
      </c>
      <c r="AH13" t="str">
        <f t="shared" ref="AH13:AH35" si="17">IF(AG13="PRO",AB13,"")</f>
        <v/>
      </c>
      <c r="AI13" t="str">
        <f t="shared" ref="AI13:AI35" si="18">IFERROR(RANK(AH13,$AH$12:$AH$35,1),"")</f>
        <v/>
      </c>
      <c r="AJ13" t="str">
        <f t="shared" ref="AJ13:AJ35" si="19">IF(AI13&lt;&gt;"",AA13,"")</f>
        <v/>
      </c>
      <c r="AL13" t="str">
        <f t="shared" ref="AL13:AL35" si="20">N13</f>
        <v/>
      </c>
      <c r="AM13" t="str">
        <f t="shared" ref="AM13:AM35" si="21">O13</f>
        <v>2ème</v>
      </c>
      <c r="AN13" t="str">
        <f t="shared" ref="AN13:AN35" si="22">IFERROR(VLOOKUP(AL13,Table_Podium,6,FALSE),"")</f>
        <v/>
      </c>
      <c r="AO13" t="str">
        <f t="shared" ref="AO13:AO35" si="23">P13</f>
        <v/>
      </c>
      <c r="AP13" t="str">
        <f t="shared" ref="AP13:AP35" si="24">Q13</f>
        <v/>
      </c>
      <c r="AQ13" t="str">
        <f t="shared" ref="AQ13:AQ35" si="25">R13</f>
        <v/>
      </c>
    </row>
    <row r="14" spans="1:43" ht="15" thickBot="1" x14ac:dyDescent="0.25">
      <c r="A14" t="e">
        <f>A2</f>
        <v>#REF!</v>
      </c>
      <c r="B14" t="e">
        <f>VLOOKUP(A14,Table_Podium,28,FALSE)</f>
        <v>#REF!</v>
      </c>
      <c r="C14" s="558" t="e">
        <f t="shared" si="6"/>
        <v>#REF!</v>
      </c>
      <c r="D14" s="559">
        <v>1</v>
      </c>
      <c r="E14" s="559" t="e">
        <f>VLOOKUP(A14,Table_Podium,25,FALSE)</f>
        <v>#REF!</v>
      </c>
      <c r="F14" s="559" t="e">
        <f>VLOOKUP(A14,Table_Podium,26,FALSE)</f>
        <v>#REF!</v>
      </c>
      <c r="G14" s="559" t="e">
        <f t="shared" si="2"/>
        <v>#REF!</v>
      </c>
      <c r="H14" s="559" t="e">
        <f t="shared" si="3"/>
        <v>#REF!</v>
      </c>
      <c r="I14" s="560" t="e">
        <f t="shared" si="4"/>
        <v>#REF!</v>
      </c>
      <c r="M14">
        <v>3</v>
      </c>
      <c r="N14" t="str">
        <f t="shared" si="7"/>
        <v/>
      </c>
      <c r="O14" s="763" t="s">
        <v>786</v>
      </c>
      <c r="P14" s="759" t="str">
        <f t="shared" si="8"/>
        <v/>
      </c>
      <c r="Q14" s="760" t="str">
        <f t="shared" si="9"/>
        <v/>
      </c>
      <c r="R14" s="760" t="str">
        <f t="shared" si="10"/>
        <v/>
      </c>
      <c r="AA14" t="e">
        <f>#REF!</f>
        <v>#REF!</v>
      </c>
      <c r="AB14">
        <v>3</v>
      </c>
      <c r="AC14" t="str">
        <f t="shared" si="11"/>
        <v/>
      </c>
      <c r="AD14" t="str">
        <f t="shared" si="12"/>
        <v/>
      </c>
      <c r="AE14" t="str">
        <f t="shared" si="13"/>
        <v/>
      </c>
      <c r="AF14" t="str">
        <f t="shared" si="14"/>
        <v/>
      </c>
      <c r="AG14" t="str">
        <f t="shared" si="15"/>
        <v/>
      </c>
      <c r="AH14" t="str">
        <f t="shared" si="17"/>
        <v/>
      </c>
      <c r="AI14" t="str">
        <f t="shared" si="18"/>
        <v/>
      </c>
      <c r="AJ14" t="str">
        <f t="shared" si="19"/>
        <v/>
      </c>
      <c r="AL14" t="str">
        <f t="shared" si="20"/>
        <v/>
      </c>
      <c r="AM14" t="str">
        <f t="shared" si="21"/>
        <v>3ème</v>
      </c>
      <c r="AN14" t="str">
        <f t="shared" si="22"/>
        <v/>
      </c>
      <c r="AO14" t="str">
        <f t="shared" si="23"/>
        <v/>
      </c>
      <c r="AP14" t="str">
        <f t="shared" si="24"/>
        <v/>
      </c>
      <c r="AQ14" t="str">
        <f t="shared" si="25"/>
        <v/>
      </c>
    </row>
    <row r="15" spans="1:43" ht="14.25" x14ac:dyDescent="0.2">
      <c r="A15" t="e">
        <f>A3</f>
        <v>#REF!</v>
      </c>
      <c r="B15" t="e">
        <f>VLOOKUP(A15,Table_Podium,10,FALSE)</f>
        <v>#REF!</v>
      </c>
      <c r="C15" s="406" t="e">
        <f t="shared" si="6"/>
        <v>#REF!</v>
      </c>
      <c r="D15" s="105">
        <v>2</v>
      </c>
      <c r="E15" s="105" t="e">
        <f>VLOOKUP(A15,Table_Podium,7,FALSE)</f>
        <v>#REF!</v>
      </c>
      <c r="F15" s="105" t="e">
        <f>VLOOKUP(A15,Table_Podium,8,FALSE)</f>
        <v>#REF!</v>
      </c>
      <c r="G15" s="105" t="e">
        <f t="shared" si="2"/>
        <v>#REF!</v>
      </c>
      <c r="H15" s="105" t="e">
        <f t="shared" si="3"/>
        <v>#REF!</v>
      </c>
      <c r="I15" s="106" t="e">
        <f t="shared" si="4"/>
        <v>#REF!</v>
      </c>
      <c r="M15">
        <v>4</v>
      </c>
      <c r="N15" t="str">
        <f t="shared" si="7"/>
        <v/>
      </c>
      <c r="O15" s="764" t="s">
        <v>1077</v>
      </c>
      <c r="P15" s="759" t="str">
        <f t="shared" si="8"/>
        <v/>
      </c>
      <c r="Q15" s="760" t="str">
        <f t="shared" si="9"/>
        <v/>
      </c>
      <c r="R15" s="760" t="str">
        <f t="shared" si="10"/>
        <v/>
      </c>
      <c r="AA15" t="e">
        <f>#REF!</f>
        <v>#REF!</v>
      </c>
      <c r="AB15">
        <v>4</v>
      </c>
      <c r="AC15" t="str">
        <f t="shared" si="11"/>
        <v/>
      </c>
      <c r="AD15" t="str">
        <f t="shared" si="12"/>
        <v/>
      </c>
      <c r="AE15" t="str">
        <f t="shared" si="13"/>
        <v/>
      </c>
      <c r="AF15" t="str">
        <f t="shared" si="14"/>
        <v/>
      </c>
      <c r="AG15" t="str">
        <f t="shared" si="15"/>
        <v/>
      </c>
      <c r="AH15" t="str">
        <f t="shared" si="17"/>
        <v/>
      </c>
      <c r="AI15" t="str">
        <f t="shared" si="18"/>
        <v/>
      </c>
      <c r="AJ15" t="str">
        <f t="shared" si="19"/>
        <v/>
      </c>
      <c r="AL15" t="str">
        <f t="shared" si="20"/>
        <v/>
      </c>
      <c r="AM15" t="str">
        <f t="shared" si="21"/>
        <v>4ème</v>
      </c>
      <c r="AN15" t="str">
        <f t="shared" si="22"/>
        <v/>
      </c>
      <c r="AO15" t="str">
        <f t="shared" si="23"/>
        <v/>
      </c>
      <c r="AP15" t="str">
        <f t="shared" si="24"/>
        <v/>
      </c>
      <c r="AQ15" t="str">
        <f t="shared" si="25"/>
        <v/>
      </c>
    </row>
    <row r="16" spans="1:43" ht="14.25" x14ac:dyDescent="0.2">
      <c r="A16" t="e">
        <f>A3</f>
        <v>#REF!</v>
      </c>
      <c r="B16" t="e">
        <f>VLOOKUP(A16,Table_Podium,16,FALSE)</f>
        <v>#REF!</v>
      </c>
      <c r="C16" s="407" t="e">
        <f t="shared" si="6"/>
        <v>#REF!</v>
      </c>
      <c r="D16">
        <v>2</v>
      </c>
      <c r="E16" t="e">
        <f>VLOOKUP(A16,Table_Podium,13,FALSE)</f>
        <v>#REF!</v>
      </c>
      <c r="F16" t="e">
        <f>VLOOKUP(A16,Table_Podium,14,FALSE)</f>
        <v>#REF!</v>
      </c>
      <c r="G16" t="e">
        <f t="shared" si="2"/>
        <v>#REF!</v>
      </c>
      <c r="H16" t="e">
        <f t="shared" si="3"/>
        <v>#REF!</v>
      </c>
      <c r="I16" s="408" t="e">
        <f t="shared" si="4"/>
        <v>#REF!</v>
      </c>
      <c r="M16">
        <v>5</v>
      </c>
      <c r="N16" t="str">
        <f t="shared" si="7"/>
        <v/>
      </c>
      <c r="O16" s="764" t="s">
        <v>789</v>
      </c>
      <c r="P16" s="759" t="str">
        <f t="shared" si="8"/>
        <v/>
      </c>
      <c r="Q16" s="760" t="str">
        <f t="shared" si="9"/>
        <v/>
      </c>
      <c r="R16" s="760" t="str">
        <f t="shared" si="10"/>
        <v/>
      </c>
      <c r="AA16" t="e">
        <f>#REF!</f>
        <v>#REF!</v>
      </c>
      <c r="AB16">
        <v>5</v>
      </c>
      <c r="AC16" t="str">
        <f t="shared" si="11"/>
        <v/>
      </c>
      <c r="AD16" t="str">
        <f t="shared" si="12"/>
        <v/>
      </c>
      <c r="AE16" t="str">
        <f t="shared" si="13"/>
        <v/>
      </c>
      <c r="AF16" t="str">
        <f t="shared" si="14"/>
        <v/>
      </c>
      <c r="AG16" t="str">
        <f t="shared" si="15"/>
        <v/>
      </c>
      <c r="AH16" t="str">
        <f t="shared" si="17"/>
        <v/>
      </c>
      <c r="AI16" t="str">
        <f t="shared" si="18"/>
        <v/>
      </c>
      <c r="AJ16" t="str">
        <f t="shared" si="19"/>
        <v/>
      </c>
      <c r="AL16" t="str">
        <f t="shared" si="20"/>
        <v/>
      </c>
      <c r="AM16" t="str">
        <f t="shared" si="21"/>
        <v>5ème</v>
      </c>
      <c r="AN16" t="str">
        <f t="shared" si="22"/>
        <v/>
      </c>
      <c r="AO16" t="str">
        <f t="shared" si="23"/>
        <v/>
      </c>
      <c r="AP16" t="str">
        <f t="shared" si="24"/>
        <v/>
      </c>
      <c r="AQ16" t="str">
        <f t="shared" si="25"/>
        <v/>
      </c>
    </row>
    <row r="17" spans="1:43" ht="14.25" x14ac:dyDescent="0.2">
      <c r="A17" t="e">
        <f>A3</f>
        <v>#REF!</v>
      </c>
      <c r="B17" t="e">
        <f>VLOOKUP(A17,Table_Podium,22,FALSE)</f>
        <v>#REF!</v>
      </c>
      <c r="C17" s="407" t="e">
        <f t="shared" si="6"/>
        <v>#REF!</v>
      </c>
      <c r="D17">
        <v>2</v>
      </c>
      <c r="E17" t="e">
        <f>VLOOKUP(A17,Table_Podium,19,FALSE)</f>
        <v>#REF!</v>
      </c>
      <c r="F17" t="e">
        <f>VLOOKUP(A17,Table_Podium,20,FALSE)</f>
        <v>#REF!</v>
      </c>
      <c r="G17" t="e">
        <f t="shared" si="2"/>
        <v>#REF!</v>
      </c>
      <c r="H17" t="e">
        <f t="shared" si="3"/>
        <v>#REF!</v>
      </c>
      <c r="I17" s="408" t="e">
        <f t="shared" si="4"/>
        <v>#REF!</v>
      </c>
      <c r="M17">
        <v>6</v>
      </c>
      <c r="N17" t="str">
        <f t="shared" si="7"/>
        <v/>
      </c>
      <c r="O17" s="764" t="s">
        <v>790</v>
      </c>
      <c r="P17" s="759" t="str">
        <f t="shared" si="8"/>
        <v/>
      </c>
      <c r="Q17" s="760" t="str">
        <f t="shared" si="9"/>
        <v/>
      </c>
      <c r="R17" s="760" t="str">
        <f t="shared" si="10"/>
        <v/>
      </c>
      <c r="AA17" t="e">
        <f>#REF!</f>
        <v>#REF!</v>
      </c>
      <c r="AB17">
        <v>6</v>
      </c>
      <c r="AC17" t="str">
        <f t="shared" si="11"/>
        <v/>
      </c>
      <c r="AD17" t="str">
        <f t="shared" si="12"/>
        <v/>
      </c>
      <c r="AE17" t="str">
        <f t="shared" si="13"/>
        <v/>
      </c>
      <c r="AF17" t="str">
        <f t="shared" si="14"/>
        <v/>
      </c>
      <c r="AG17" t="str">
        <f t="shared" si="15"/>
        <v/>
      </c>
      <c r="AH17" t="str">
        <f t="shared" si="17"/>
        <v/>
      </c>
      <c r="AI17" t="str">
        <f t="shared" si="18"/>
        <v/>
      </c>
      <c r="AJ17" t="str">
        <f t="shared" si="19"/>
        <v/>
      </c>
      <c r="AL17" t="str">
        <f t="shared" si="20"/>
        <v/>
      </c>
      <c r="AM17" t="str">
        <f t="shared" si="21"/>
        <v>6ème</v>
      </c>
      <c r="AN17" t="str">
        <f t="shared" si="22"/>
        <v/>
      </c>
      <c r="AO17" t="str">
        <f t="shared" si="23"/>
        <v/>
      </c>
      <c r="AP17" t="str">
        <f t="shared" si="24"/>
        <v/>
      </c>
      <c r="AQ17" t="str">
        <f t="shared" si="25"/>
        <v/>
      </c>
    </row>
    <row r="18" spans="1:43" ht="15" thickBot="1" x14ac:dyDescent="0.25">
      <c r="A18" t="e">
        <f>A3</f>
        <v>#REF!</v>
      </c>
      <c r="B18" t="e">
        <f>VLOOKUP(A18,Table_Podium,28,FALSE)</f>
        <v>#REF!</v>
      </c>
      <c r="C18" s="558" t="e">
        <f t="shared" si="6"/>
        <v>#REF!</v>
      </c>
      <c r="D18" s="559">
        <v>2</v>
      </c>
      <c r="E18" s="559" t="e">
        <f>VLOOKUP(A18,Table_Podium,25,FALSE)</f>
        <v>#REF!</v>
      </c>
      <c r="F18" s="559" t="e">
        <f>VLOOKUP(A18,Table_Podium,26,FALSE)</f>
        <v>#REF!</v>
      </c>
      <c r="G18" s="559" t="e">
        <f t="shared" si="2"/>
        <v>#REF!</v>
      </c>
      <c r="H18" s="559" t="e">
        <f t="shared" si="3"/>
        <v>#REF!</v>
      </c>
      <c r="I18" s="560" t="e">
        <f t="shared" si="4"/>
        <v>#REF!</v>
      </c>
      <c r="M18">
        <v>7</v>
      </c>
      <c r="N18" t="str">
        <f t="shared" si="7"/>
        <v/>
      </c>
      <c r="O18" s="764" t="s">
        <v>791</v>
      </c>
      <c r="P18" s="759" t="str">
        <f t="shared" si="8"/>
        <v/>
      </c>
      <c r="Q18" s="760" t="str">
        <f t="shared" si="9"/>
        <v/>
      </c>
      <c r="R18" s="760" t="str">
        <f t="shared" si="10"/>
        <v/>
      </c>
      <c r="AA18" t="e">
        <f>#REF!</f>
        <v>#REF!</v>
      </c>
      <c r="AB18">
        <v>7</v>
      </c>
      <c r="AC18" t="str">
        <f t="shared" si="11"/>
        <v/>
      </c>
      <c r="AD18" t="str">
        <f t="shared" si="12"/>
        <v/>
      </c>
      <c r="AE18" t="str">
        <f t="shared" si="13"/>
        <v/>
      </c>
      <c r="AF18" t="str">
        <f t="shared" si="14"/>
        <v/>
      </c>
      <c r="AG18" t="str">
        <f t="shared" si="15"/>
        <v/>
      </c>
      <c r="AH18" t="str">
        <f t="shared" si="17"/>
        <v/>
      </c>
      <c r="AI18" t="str">
        <f t="shared" si="18"/>
        <v/>
      </c>
      <c r="AJ18" t="str">
        <f t="shared" si="19"/>
        <v/>
      </c>
      <c r="AL18" t="str">
        <f t="shared" si="20"/>
        <v/>
      </c>
      <c r="AM18" t="str">
        <f t="shared" si="21"/>
        <v>7ème</v>
      </c>
      <c r="AN18" t="str">
        <f t="shared" si="22"/>
        <v/>
      </c>
      <c r="AO18" t="str">
        <f t="shared" si="23"/>
        <v/>
      </c>
      <c r="AP18" t="str">
        <f t="shared" si="24"/>
        <v/>
      </c>
      <c r="AQ18" t="str">
        <f t="shared" si="25"/>
        <v/>
      </c>
    </row>
    <row r="19" spans="1:43" ht="14.25" x14ac:dyDescent="0.2">
      <c r="A19" t="e">
        <f>A4</f>
        <v>#REF!</v>
      </c>
      <c r="B19" t="e">
        <f>VLOOKUP(A19,Table_Podium,10,FALSE)</f>
        <v>#REF!</v>
      </c>
      <c r="C19" s="406" t="e">
        <f t="shared" si="6"/>
        <v>#REF!</v>
      </c>
      <c r="D19" s="105">
        <v>3</v>
      </c>
      <c r="E19" s="105" t="e">
        <f>VLOOKUP(A19,Table_Podium,7,FALSE)</f>
        <v>#REF!</v>
      </c>
      <c r="F19" s="105" t="e">
        <f>VLOOKUP(A19,Table_Podium,8,FALSE)</f>
        <v>#REF!</v>
      </c>
      <c r="G19" s="105" t="e">
        <f t="shared" si="2"/>
        <v>#REF!</v>
      </c>
      <c r="H19" s="105" t="e">
        <f t="shared" si="3"/>
        <v>#REF!</v>
      </c>
      <c r="I19" s="106" t="e">
        <f t="shared" si="4"/>
        <v>#REF!</v>
      </c>
      <c r="M19">
        <v>8</v>
      </c>
      <c r="N19" t="str">
        <f t="shared" si="7"/>
        <v/>
      </c>
      <c r="O19" s="764" t="s">
        <v>792</v>
      </c>
      <c r="P19" s="759" t="str">
        <f t="shared" si="8"/>
        <v/>
      </c>
      <c r="Q19" s="760" t="str">
        <f t="shared" si="9"/>
        <v/>
      </c>
      <c r="R19" s="760" t="str">
        <f t="shared" si="10"/>
        <v/>
      </c>
      <c r="AA19" t="e">
        <f>#REF!</f>
        <v>#REF!</v>
      </c>
      <c r="AB19">
        <v>8</v>
      </c>
      <c r="AC19" t="str">
        <f t="shared" si="11"/>
        <v/>
      </c>
      <c r="AD19" t="str">
        <f t="shared" si="12"/>
        <v/>
      </c>
      <c r="AE19" t="str">
        <f t="shared" si="13"/>
        <v/>
      </c>
      <c r="AF19" t="str">
        <f t="shared" si="14"/>
        <v/>
      </c>
      <c r="AG19" t="str">
        <f t="shared" si="15"/>
        <v/>
      </c>
      <c r="AH19" t="str">
        <f t="shared" si="17"/>
        <v/>
      </c>
      <c r="AI19" t="str">
        <f t="shared" si="18"/>
        <v/>
      </c>
      <c r="AJ19" t="str">
        <f t="shared" si="19"/>
        <v/>
      </c>
      <c r="AL19" t="str">
        <f t="shared" si="20"/>
        <v/>
      </c>
      <c r="AM19" t="str">
        <f t="shared" si="21"/>
        <v>8ème</v>
      </c>
      <c r="AN19" t="str">
        <f t="shared" si="22"/>
        <v/>
      </c>
      <c r="AO19" t="str">
        <f t="shared" si="23"/>
        <v/>
      </c>
      <c r="AP19" t="str">
        <f t="shared" si="24"/>
        <v/>
      </c>
      <c r="AQ19" t="str">
        <f t="shared" si="25"/>
        <v/>
      </c>
    </row>
    <row r="20" spans="1:43" ht="14.25" x14ac:dyDescent="0.2">
      <c r="A20" t="e">
        <f>A4</f>
        <v>#REF!</v>
      </c>
      <c r="B20" t="e">
        <f>VLOOKUP(A20,Table_Podium,16,FALSE)</f>
        <v>#REF!</v>
      </c>
      <c r="C20" s="407" t="e">
        <f t="shared" si="6"/>
        <v>#REF!</v>
      </c>
      <c r="D20">
        <v>3</v>
      </c>
      <c r="E20" t="e">
        <f>VLOOKUP(A20,Table_Podium,13,FALSE)</f>
        <v>#REF!</v>
      </c>
      <c r="F20" t="e">
        <f>VLOOKUP(A20,Table_Podium,14,FALSE)</f>
        <v>#REF!</v>
      </c>
      <c r="G20" t="e">
        <f t="shared" si="2"/>
        <v>#REF!</v>
      </c>
      <c r="H20" t="e">
        <f t="shared" si="3"/>
        <v>#REF!</v>
      </c>
      <c r="I20" s="408" t="e">
        <f t="shared" si="4"/>
        <v>#REF!</v>
      </c>
      <c r="M20">
        <v>9</v>
      </c>
      <c r="N20" t="str">
        <f t="shared" si="7"/>
        <v/>
      </c>
      <c r="O20" s="764" t="s">
        <v>794</v>
      </c>
      <c r="P20" s="759" t="str">
        <f t="shared" si="8"/>
        <v/>
      </c>
      <c r="Q20" s="760" t="str">
        <f t="shared" si="9"/>
        <v/>
      </c>
      <c r="R20" s="760" t="str">
        <f t="shared" si="10"/>
        <v/>
      </c>
      <c r="AA20" t="e">
        <f>#REF!</f>
        <v>#REF!</v>
      </c>
      <c r="AB20">
        <v>9</v>
      </c>
      <c r="AC20" t="str">
        <f t="shared" si="11"/>
        <v/>
      </c>
      <c r="AD20" t="str">
        <f t="shared" si="12"/>
        <v/>
      </c>
      <c r="AE20" t="str">
        <f t="shared" si="13"/>
        <v/>
      </c>
      <c r="AF20" t="str">
        <f t="shared" si="14"/>
        <v/>
      </c>
      <c r="AG20" t="str">
        <f t="shared" si="15"/>
        <v/>
      </c>
      <c r="AH20" t="str">
        <f t="shared" si="17"/>
        <v/>
      </c>
      <c r="AI20" t="str">
        <f t="shared" si="18"/>
        <v/>
      </c>
      <c r="AJ20" t="str">
        <f t="shared" si="19"/>
        <v/>
      </c>
      <c r="AL20" t="str">
        <f t="shared" si="20"/>
        <v/>
      </c>
      <c r="AM20" t="str">
        <f t="shared" si="21"/>
        <v>9ème</v>
      </c>
      <c r="AN20" t="str">
        <f t="shared" si="22"/>
        <v/>
      </c>
      <c r="AO20" t="str">
        <f t="shared" si="23"/>
        <v/>
      </c>
      <c r="AP20" t="str">
        <f t="shared" si="24"/>
        <v/>
      </c>
      <c r="AQ20" t="str">
        <f t="shared" si="25"/>
        <v/>
      </c>
    </row>
    <row r="21" spans="1:43" ht="14.25" x14ac:dyDescent="0.2">
      <c r="A21" t="e">
        <f>A4</f>
        <v>#REF!</v>
      </c>
      <c r="B21" t="e">
        <f>VLOOKUP(A21,Table_Podium,22,FALSE)</f>
        <v>#REF!</v>
      </c>
      <c r="C21" s="407" t="e">
        <f t="shared" si="6"/>
        <v>#REF!</v>
      </c>
      <c r="D21">
        <v>3</v>
      </c>
      <c r="E21" t="e">
        <f>VLOOKUP(A21,Table_Podium,19,FALSE)</f>
        <v>#REF!</v>
      </c>
      <c r="F21" t="e">
        <f>VLOOKUP(A21,Table_Podium,20,FALSE)</f>
        <v>#REF!</v>
      </c>
      <c r="G21" t="e">
        <f t="shared" si="2"/>
        <v>#REF!</v>
      </c>
      <c r="H21" t="e">
        <f t="shared" si="3"/>
        <v>#REF!</v>
      </c>
      <c r="I21" s="408" t="e">
        <f t="shared" si="4"/>
        <v>#REF!</v>
      </c>
      <c r="M21">
        <v>10</v>
      </c>
      <c r="N21" t="str">
        <f t="shared" si="7"/>
        <v/>
      </c>
      <c r="O21" s="764" t="s">
        <v>795</v>
      </c>
      <c r="P21" s="759" t="str">
        <f t="shared" si="8"/>
        <v/>
      </c>
      <c r="Q21" s="760" t="str">
        <f t="shared" si="9"/>
        <v/>
      </c>
      <c r="R21" s="760" t="str">
        <f t="shared" si="10"/>
        <v/>
      </c>
      <c r="AA21" t="e">
        <f>#REF!</f>
        <v>#REF!</v>
      </c>
      <c r="AB21">
        <v>10</v>
      </c>
      <c r="AC21" t="str">
        <f t="shared" si="11"/>
        <v/>
      </c>
      <c r="AD21" t="str">
        <f t="shared" si="12"/>
        <v/>
      </c>
      <c r="AE21" t="str">
        <f t="shared" si="13"/>
        <v/>
      </c>
      <c r="AF21" t="str">
        <f t="shared" si="14"/>
        <v/>
      </c>
      <c r="AG21" t="str">
        <f t="shared" si="15"/>
        <v/>
      </c>
      <c r="AH21" t="str">
        <f t="shared" si="17"/>
        <v/>
      </c>
      <c r="AI21" t="str">
        <f t="shared" si="18"/>
        <v/>
      </c>
      <c r="AJ21" t="str">
        <f t="shared" si="19"/>
        <v/>
      </c>
      <c r="AL21" t="str">
        <f t="shared" si="20"/>
        <v/>
      </c>
      <c r="AM21" t="str">
        <f t="shared" si="21"/>
        <v>10ème</v>
      </c>
      <c r="AN21" t="str">
        <f t="shared" si="22"/>
        <v/>
      </c>
      <c r="AO21" t="str">
        <f t="shared" si="23"/>
        <v/>
      </c>
      <c r="AP21" t="str">
        <f t="shared" si="24"/>
        <v/>
      </c>
      <c r="AQ21" t="str">
        <f t="shared" si="25"/>
        <v/>
      </c>
    </row>
    <row r="22" spans="1:43" ht="15" thickBot="1" x14ac:dyDescent="0.25">
      <c r="A22" t="e">
        <f>A4</f>
        <v>#REF!</v>
      </c>
      <c r="B22" t="e">
        <f>VLOOKUP(A22,Table_Podium,28,FALSE)</f>
        <v>#REF!</v>
      </c>
      <c r="C22" s="558" t="e">
        <f t="shared" si="6"/>
        <v>#REF!</v>
      </c>
      <c r="D22" s="559">
        <v>3</v>
      </c>
      <c r="E22" s="559" t="e">
        <f>VLOOKUP(A22,Table_Podium,25,FALSE)</f>
        <v>#REF!</v>
      </c>
      <c r="F22" s="559" t="e">
        <f>VLOOKUP(A22,Table_Podium,26,FALSE)</f>
        <v>#REF!</v>
      </c>
      <c r="G22" s="559" t="e">
        <f t="shared" si="2"/>
        <v>#REF!</v>
      </c>
      <c r="H22" s="559" t="e">
        <f t="shared" si="3"/>
        <v>#REF!</v>
      </c>
      <c r="I22" s="560" t="e">
        <f t="shared" si="4"/>
        <v>#REF!</v>
      </c>
      <c r="M22">
        <v>11</v>
      </c>
      <c r="N22" t="str">
        <f t="shared" si="7"/>
        <v/>
      </c>
      <c r="O22" s="764" t="s">
        <v>796</v>
      </c>
      <c r="P22" s="759" t="str">
        <f t="shared" si="8"/>
        <v/>
      </c>
      <c r="Q22" s="760" t="str">
        <f t="shared" si="9"/>
        <v/>
      </c>
      <c r="R22" s="760" t="str">
        <f t="shared" si="10"/>
        <v/>
      </c>
      <c r="AA22" t="e">
        <f>#REF!</f>
        <v>#REF!</v>
      </c>
      <c r="AB22">
        <v>11</v>
      </c>
      <c r="AC22" t="str">
        <f t="shared" si="11"/>
        <v/>
      </c>
      <c r="AD22" t="str">
        <f t="shared" si="12"/>
        <v/>
      </c>
      <c r="AE22" t="str">
        <f t="shared" si="13"/>
        <v/>
      </c>
      <c r="AF22" t="str">
        <f t="shared" si="14"/>
        <v/>
      </c>
      <c r="AG22" t="str">
        <f t="shared" si="15"/>
        <v/>
      </c>
      <c r="AH22" t="str">
        <f t="shared" si="17"/>
        <v/>
      </c>
      <c r="AI22" t="str">
        <f t="shared" si="18"/>
        <v/>
      </c>
      <c r="AJ22" t="str">
        <f t="shared" si="19"/>
        <v/>
      </c>
      <c r="AL22" t="str">
        <f t="shared" si="20"/>
        <v/>
      </c>
      <c r="AM22" t="str">
        <f t="shared" si="21"/>
        <v>11ème</v>
      </c>
      <c r="AN22" t="str">
        <f t="shared" si="22"/>
        <v/>
      </c>
      <c r="AO22" t="str">
        <f t="shared" si="23"/>
        <v/>
      </c>
      <c r="AP22" t="str">
        <f t="shared" si="24"/>
        <v/>
      </c>
      <c r="AQ22" t="str">
        <f t="shared" si="25"/>
        <v/>
      </c>
    </row>
    <row r="23" spans="1:43" ht="14.25" x14ac:dyDescent="0.2">
      <c r="M23">
        <v>12</v>
      </c>
      <c r="N23" t="str">
        <f t="shared" si="7"/>
        <v/>
      </c>
      <c r="O23" s="764" t="s">
        <v>797</v>
      </c>
      <c r="P23" s="759" t="str">
        <f t="shared" si="8"/>
        <v/>
      </c>
      <c r="Q23" s="760" t="str">
        <f t="shared" si="9"/>
        <v/>
      </c>
      <c r="R23" s="760" t="str">
        <f t="shared" si="10"/>
        <v/>
      </c>
      <c r="AA23" t="e">
        <f>#REF!</f>
        <v>#REF!</v>
      </c>
      <c r="AB23">
        <v>12</v>
      </c>
      <c r="AC23" t="str">
        <f t="shared" si="11"/>
        <v/>
      </c>
      <c r="AD23" t="str">
        <f t="shared" si="12"/>
        <v/>
      </c>
      <c r="AE23" t="str">
        <f t="shared" si="13"/>
        <v/>
      </c>
      <c r="AF23" t="str">
        <f t="shared" si="14"/>
        <v/>
      </c>
      <c r="AG23" t="str">
        <f t="shared" si="15"/>
        <v/>
      </c>
      <c r="AH23" t="str">
        <f t="shared" si="17"/>
        <v/>
      </c>
      <c r="AI23" t="str">
        <f t="shared" si="18"/>
        <v/>
      </c>
      <c r="AJ23" t="str">
        <f t="shared" si="19"/>
        <v/>
      </c>
      <c r="AL23" t="str">
        <f t="shared" si="20"/>
        <v/>
      </c>
      <c r="AM23" t="str">
        <f t="shared" si="21"/>
        <v>12ème</v>
      </c>
      <c r="AN23" t="str">
        <f t="shared" si="22"/>
        <v/>
      </c>
      <c r="AO23" t="str">
        <f t="shared" si="23"/>
        <v/>
      </c>
      <c r="AP23" t="str">
        <f t="shared" si="24"/>
        <v/>
      </c>
      <c r="AQ23" t="str">
        <f t="shared" si="25"/>
        <v/>
      </c>
    </row>
    <row r="24" spans="1:43" ht="14.25" x14ac:dyDescent="0.2">
      <c r="M24">
        <v>13</v>
      </c>
      <c r="N24" t="str">
        <f t="shared" si="7"/>
        <v/>
      </c>
      <c r="O24" s="764" t="s">
        <v>798</v>
      </c>
      <c r="P24" s="759" t="str">
        <f t="shared" si="8"/>
        <v/>
      </c>
      <c r="Q24" s="760" t="str">
        <f t="shared" si="9"/>
        <v/>
      </c>
      <c r="R24" s="760" t="str">
        <f t="shared" si="10"/>
        <v/>
      </c>
      <c r="AA24" t="e">
        <f>#REF!</f>
        <v>#REF!</v>
      </c>
      <c r="AB24">
        <v>13</v>
      </c>
      <c r="AC24" t="str">
        <f t="shared" si="11"/>
        <v/>
      </c>
      <c r="AD24" t="str">
        <f t="shared" si="12"/>
        <v/>
      </c>
      <c r="AE24" t="str">
        <f t="shared" si="13"/>
        <v/>
      </c>
      <c r="AF24" t="str">
        <f t="shared" si="14"/>
        <v/>
      </c>
      <c r="AG24" t="str">
        <f t="shared" si="15"/>
        <v/>
      </c>
      <c r="AH24" t="str">
        <f t="shared" si="17"/>
        <v/>
      </c>
      <c r="AI24" t="str">
        <f t="shared" si="18"/>
        <v/>
      </c>
      <c r="AJ24" t="str">
        <f t="shared" si="19"/>
        <v/>
      </c>
      <c r="AL24" t="str">
        <f t="shared" si="20"/>
        <v/>
      </c>
      <c r="AM24" t="str">
        <f t="shared" si="21"/>
        <v>13ème</v>
      </c>
      <c r="AN24" t="str">
        <f t="shared" si="22"/>
        <v/>
      </c>
      <c r="AO24" t="str">
        <f t="shared" si="23"/>
        <v/>
      </c>
      <c r="AP24" t="str">
        <f t="shared" si="24"/>
        <v/>
      </c>
      <c r="AQ24" t="str">
        <f t="shared" si="25"/>
        <v/>
      </c>
    </row>
    <row r="25" spans="1:43" ht="14.25" x14ac:dyDescent="0.2">
      <c r="M25">
        <v>14</v>
      </c>
      <c r="N25" t="str">
        <f t="shared" si="7"/>
        <v/>
      </c>
      <c r="O25" s="764" t="s">
        <v>799</v>
      </c>
      <c r="P25" s="759" t="str">
        <f t="shared" si="8"/>
        <v/>
      </c>
      <c r="Q25" s="760" t="str">
        <f t="shared" si="9"/>
        <v/>
      </c>
      <c r="R25" s="760" t="str">
        <f t="shared" si="10"/>
        <v/>
      </c>
      <c r="AA25" t="e">
        <f>#REF!</f>
        <v>#REF!</v>
      </c>
      <c r="AB25">
        <v>14</v>
      </c>
      <c r="AC25" t="str">
        <f t="shared" si="11"/>
        <v/>
      </c>
      <c r="AD25" t="str">
        <f t="shared" si="12"/>
        <v/>
      </c>
      <c r="AE25" t="str">
        <f t="shared" si="13"/>
        <v/>
      </c>
      <c r="AF25" t="str">
        <f t="shared" si="14"/>
        <v/>
      </c>
      <c r="AG25" t="str">
        <f t="shared" si="15"/>
        <v/>
      </c>
      <c r="AH25" t="str">
        <f t="shared" si="17"/>
        <v/>
      </c>
      <c r="AI25" t="str">
        <f t="shared" si="18"/>
        <v/>
      </c>
      <c r="AJ25" t="str">
        <f t="shared" si="19"/>
        <v/>
      </c>
      <c r="AL25" t="str">
        <f t="shared" si="20"/>
        <v/>
      </c>
      <c r="AM25" t="str">
        <f t="shared" si="21"/>
        <v>14ème</v>
      </c>
      <c r="AN25" t="str">
        <f t="shared" si="22"/>
        <v/>
      </c>
      <c r="AO25" t="str">
        <f t="shared" si="23"/>
        <v/>
      </c>
      <c r="AP25" t="str">
        <f t="shared" si="24"/>
        <v/>
      </c>
      <c r="AQ25" t="str">
        <f t="shared" si="25"/>
        <v/>
      </c>
    </row>
    <row r="26" spans="1:43" ht="14.25" x14ac:dyDescent="0.2">
      <c r="M26">
        <v>15</v>
      </c>
      <c r="N26" t="str">
        <f t="shared" si="7"/>
        <v/>
      </c>
      <c r="O26" s="764" t="s">
        <v>800</v>
      </c>
      <c r="P26" s="759" t="str">
        <f t="shared" si="8"/>
        <v/>
      </c>
      <c r="Q26" s="760" t="str">
        <f t="shared" si="9"/>
        <v/>
      </c>
      <c r="R26" s="760" t="str">
        <f t="shared" si="10"/>
        <v/>
      </c>
      <c r="AA26" t="e">
        <f>#REF!</f>
        <v>#REF!</v>
      </c>
      <c r="AB26">
        <v>15</v>
      </c>
      <c r="AC26" t="str">
        <f t="shared" si="11"/>
        <v/>
      </c>
      <c r="AD26" t="str">
        <f t="shared" si="12"/>
        <v/>
      </c>
      <c r="AE26" t="str">
        <f t="shared" si="13"/>
        <v/>
      </c>
      <c r="AF26" t="str">
        <f t="shared" si="14"/>
        <v/>
      </c>
      <c r="AG26" t="str">
        <f t="shared" si="15"/>
        <v/>
      </c>
      <c r="AH26" t="str">
        <f t="shared" si="17"/>
        <v/>
      </c>
      <c r="AI26" t="str">
        <f t="shared" si="18"/>
        <v/>
      </c>
      <c r="AJ26" t="str">
        <f t="shared" si="19"/>
        <v/>
      </c>
      <c r="AL26" t="str">
        <f t="shared" si="20"/>
        <v/>
      </c>
      <c r="AM26" t="str">
        <f t="shared" si="21"/>
        <v>15ème</v>
      </c>
      <c r="AN26" t="str">
        <f t="shared" si="22"/>
        <v/>
      </c>
      <c r="AO26" t="str">
        <f t="shared" si="23"/>
        <v/>
      </c>
      <c r="AP26" t="str">
        <f t="shared" si="24"/>
        <v/>
      </c>
      <c r="AQ26" t="str">
        <f t="shared" si="25"/>
        <v/>
      </c>
    </row>
    <row r="27" spans="1:43" ht="20.25" x14ac:dyDescent="0.3">
      <c r="C27" s="562" t="str">
        <f>Championnat</f>
        <v>Championnat de France de Tir à l'ARC</v>
      </c>
      <c r="M27">
        <v>16</v>
      </c>
      <c r="N27" t="str">
        <f t="shared" si="7"/>
        <v/>
      </c>
      <c r="O27" s="764" t="s">
        <v>801</v>
      </c>
      <c r="P27" s="759" t="str">
        <f t="shared" si="8"/>
        <v/>
      </c>
      <c r="Q27" s="760" t="str">
        <f t="shared" si="9"/>
        <v/>
      </c>
      <c r="R27" s="760" t="str">
        <f t="shared" si="10"/>
        <v/>
      </c>
      <c r="AA27" t="e">
        <f>#REF!</f>
        <v>#REF!</v>
      </c>
      <c r="AB27">
        <v>16</v>
      </c>
      <c r="AC27" t="str">
        <f t="shared" si="11"/>
        <v/>
      </c>
      <c r="AD27" t="str">
        <f t="shared" si="12"/>
        <v/>
      </c>
      <c r="AE27" t="str">
        <f t="shared" si="13"/>
        <v/>
      </c>
      <c r="AF27" t="str">
        <f t="shared" si="14"/>
        <v/>
      </c>
      <c r="AG27" t="str">
        <f t="shared" si="15"/>
        <v/>
      </c>
      <c r="AH27" t="str">
        <f t="shared" si="17"/>
        <v/>
      </c>
      <c r="AI27" t="str">
        <f t="shared" si="18"/>
        <v/>
      </c>
      <c r="AJ27" t="str">
        <f t="shared" si="19"/>
        <v/>
      </c>
      <c r="AL27" t="str">
        <f t="shared" si="20"/>
        <v/>
      </c>
      <c r="AM27" t="str">
        <f t="shared" si="21"/>
        <v>16ème</v>
      </c>
      <c r="AN27" t="str">
        <f t="shared" si="22"/>
        <v/>
      </c>
      <c r="AO27" t="str">
        <f t="shared" si="23"/>
        <v/>
      </c>
      <c r="AP27" t="str">
        <f t="shared" si="24"/>
        <v/>
      </c>
      <c r="AQ27" t="str">
        <f t="shared" si="25"/>
        <v/>
      </c>
    </row>
    <row r="28" spans="1:43" ht="18" x14ac:dyDescent="0.25">
      <c r="C28" s="146" t="s">
        <v>979</v>
      </c>
      <c r="M28">
        <v>17</v>
      </c>
      <c r="N28" t="str">
        <f t="shared" si="7"/>
        <v/>
      </c>
      <c r="O28" s="764" t="s">
        <v>802</v>
      </c>
      <c r="P28" s="759" t="str">
        <f t="shared" si="8"/>
        <v/>
      </c>
      <c r="Q28" s="760" t="str">
        <f t="shared" si="9"/>
        <v/>
      </c>
      <c r="R28" s="760" t="str">
        <f t="shared" si="10"/>
        <v/>
      </c>
      <c r="AA28" t="e">
        <f>#REF!</f>
        <v>#REF!</v>
      </c>
      <c r="AB28">
        <v>17</v>
      </c>
      <c r="AC28" t="str">
        <f t="shared" si="11"/>
        <v/>
      </c>
      <c r="AD28" t="str">
        <f t="shared" si="12"/>
        <v/>
      </c>
      <c r="AE28" t="str">
        <f t="shared" si="13"/>
        <v/>
      </c>
      <c r="AF28" t="str">
        <f t="shared" si="14"/>
        <v/>
      </c>
      <c r="AG28" t="str">
        <f t="shared" si="15"/>
        <v/>
      </c>
      <c r="AH28" t="str">
        <f t="shared" si="17"/>
        <v/>
      </c>
      <c r="AI28" t="str">
        <f t="shared" si="18"/>
        <v/>
      </c>
      <c r="AJ28" t="str">
        <f t="shared" si="19"/>
        <v/>
      </c>
      <c r="AL28" t="str">
        <f t="shared" si="20"/>
        <v/>
      </c>
      <c r="AM28" t="str">
        <f t="shared" si="21"/>
        <v>17ème</v>
      </c>
      <c r="AN28" t="str">
        <f t="shared" si="22"/>
        <v/>
      </c>
      <c r="AO28" t="str">
        <f t="shared" si="23"/>
        <v/>
      </c>
      <c r="AP28" t="str">
        <f t="shared" si="24"/>
        <v/>
      </c>
      <c r="AQ28" t="str">
        <f t="shared" si="25"/>
        <v/>
      </c>
    </row>
    <row r="29" spans="1:43" ht="14.25" x14ac:dyDescent="0.2">
      <c r="C29" s="561" t="str">
        <f>DATE</f>
        <v>27 au 31 mars 2023</v>
      </c>
      <c r="F29" s="561" t="str">
        <f>LIEU</f>
        <v>L’Isle sur la Sorgue</v>
      </c>
      <c r="M29">
        <v>18</v>
      </c>
      <c r="N29" t="str">
        <f t="shared" si="7"/>
        <v/>
      </c>
      <c r="O29" s="764" t="s">
        <v>803</v>
      </c>
      <c r="P29" s="759" t="str">
        <f t="shared" si="8"/>
        <v/>
      </c>
      <c r="Q29" s="760" t="str">
        <f t="shared" si="9"/>
        <v/>
      </c>
      <c r="R29" s="760" t="str">
        <f t="shared" si="10"/>
        <v/>
      </c>
      <c r="AA29" t="e">
        <f>#REF!</f>
        <v>#REF!</v>
      </c>
      <c r="AB29">
        <v>18</v>
      </c>
      <c r="AC29" t="str">
        <f t="shared" si="11"/>
        <v/>
      </c>
      <c r="AD29" t="str">
        <f t="shared" si="12"/>
        <v/>
      </c>
      <c r="AE29" t="str">
        <f t="shared" si="13"/>
        <v/>
      </c>
      <c r="AF29" t="str">
        <f t="shared" si="14"/>
        <v/>
      </c>
      <c r="AG29" t="str">
        <f t="shared" si="15"/>
        <v/>
      </c>
      <c r="AH29" t="str">
        <f t="shared" si="17"/>
        <v/>
      </c>
      <c r="AI29" t="str">
        <f t="shared" si="18"/>
        <v/>
      </c>
      <c r="AJ29" t="str">
        <f t="shared" si="19"/>
        <v/>
      </c>
      <c r="AL29" t="str">
        <f t="shared" si="20"/>
        <v/>
      </c>
      <c r="AM29" t="str">
        <f t="shared" si="21"/>
        <v>18ème</v>
      </c>
      <c r="AN29" t="str">
        <f t="shared" si="22"/>
        <v/>
      </c>
      <c r="AO29" t="str">
        <f t="shared" si="23"/>
        <v/>
      </c>
      <c r="AP29" t="str">
        <f t="shared" si="24"/>
        <v/>
      </c>
      <c r="AQ29" t="str">
        <f t="shared" si="25"/>
        <v/>
      </c>
    </row>
    <row r="30" spans="1:43" ht="14.25" x14ac:dyDescent="0.2">
      <c r="C30" s="561"/>
      <c r="F30" s="561"/>
      <c r="M30">
        <v>19</v>
      </c>
      <c r="N30" t="str">
        <f t="shared" si="7"/>
        <v/>
      </c>
      <c r="O30" s="764" t="s">
        <v>804</v>
      </c>
      <c r="P30" s="759" t="str">
        <f t="shared" si="8"/>
        <v/>
      </c>
      <c r="Q30" s="760" t="str">
        <f t="shared" si="9"/>
        <v/>
      </c>
      <c r="R30" s="760" t="str">
        <f t="shared" si="10"/>
        <v/>
      </c>
      <c r="AA30" t="e">
        <f>#REF!</f>
        <v>#REF!</v>
      </c>
      <c r="AB30">
        <v>19</v>
      </c>
      <c r="AC30" t="str">
        <f t="shared" si="11"/>
        <v/>
      </c>
      <c r="AD30" t="str">
        <f t="shared" si="12"/>
        <v/>
      </c>
      <c r="AE30" t="str">
        <f t="shared" si="13"/>
        <v/>
      </c>
      <c r="AF30" t="str">
        <f t="shared" si="14"/>
        <v/>
      </c>
      <c r="AG30" t="str">
        <f t="shared" si="15"/>
        <v/>
      </c>
      <c r="AH30" t="str">
        <f t="shared" si="17"/>
        <v/>
      </c>
      <c r="AI30" t="str">
        <f t="shared" si="18"/>
        <v/>
      </c>
      <c r="AJ30" t="str">
        <f t="shared" si="19"/>
        <v/>
      </c>
      <c r="AL30" t="str">
        <f t="shared" si="20"/>
        <v/>
      </c>
      <c r="AM30" t="str">
        <f t="shared" si="21"/>
        <v>19ème</v>
      </c>
      <c r="AN30" t="str">
        <f t="shared" si="22"/>
        <v/>
      </c>
      <c r="AO30" t="str">
        <f t="shared" si="23"/>
        <v/>
      </c>
      <c r="AP30" t="str">
        <f t="shared" si="24"/>
        <v/>
      </c>
      <c r="AQ30" t="str">
        <f t="shared" si="25"/>
        <v/>
      </c>
    </row>
    <row r="31" spans="1:43" ht="15" thickBot="1" x14ac:dyDescent="0.25">
      <c r="B31" s="471" t="s">
        <v>892</v>
      </c>
      <c r="C31" t="s">
        <v>889</v>
      </c>
      <c r="D31" t="s">
        <v>24</v>
      </c>
      <c r="E31" t="s">
        <v>481</v>
      </c>
      <c r="F31" t="s">
        <v>2</v>
      </c>
      <c r="G31" t="s">
        <v>813</v>
      </c>
      <c r="H31" s="471" t="s">
        <v>375</v>
      </c>
      <c r="I31" s="471" t="s">
        <v>814</v>
      </c>
      <c r="M31">
        <v>20</v>
      </c>
      <c r="N31" t="str">
        <f t="shared" si="7"/>
        <v/>
      </c>
      <c r="O31" s="764" t="s">
        <v>805</v>
      </c>
      <c r="P31" s="759" t="str">
        <f t="shared" si="8"/>
        <v/>
      </c>
      <c r="Q31" s="760" t="str">
        <f t="shared" si="9"/>
        <v/>
      </c>
      <c r="R31" s="760" t="str">
        <f t="shared" si="10"/>
        <v/>
      </c>
      <c r="AA31" t="e">
        <f>#REF!</f>
        <v>#REF!</v>
      </c>
      <c r="AB31">
        <v>20</v>
      </c>
      <c r="AC31" t="str">
        <f t="shared" si="11"/>
        <v/>
      </c>
      <c r="AD31" t="str">
        <f t="shared" si="12"/>
        <v/>
      </c>
      <c r="AE31" t="str">
        <f t="shared" si="13"/>
        <v/>
      </c>
      <c r="AF31" t="str">
        <f t="shared" si="14"/>
        <v/>
      </c>
      <c r="AG31" t="str">
        <f t="shared" si="15"/>
        <v/>
      </c>
      <c r="AH31" t="str">
        <f t="shared" si="17"/>
        <v/>
      </c>
      <c r="AI31" t="str">
        <f t="shared" si="18"/>
        <v/>
      </c>
      <c r="AJ31" t="str">
        <f t="shared" si="19"/>
        <v/>
      </c>
      <c r="AL31" t="str">
        <f t="shared" si="20"/>
        <v/>
      </c>
      <c r="AM31" t="str">
        <f t="shared" si="21"/>
        <v>20ème</v>
      </c>
      <c r="AN31" t="str">
        <f t="shared" si="22"/>
        <v/>
      </c>
      <c r="AO31" t="str">
        <f t="shared" si="23"/>
        <v/>
      </c>
      <c r="AP31" t="str">
        <f t="shared" si="24"/>
        <v/>
      </c>
      <c r="AQ31" t="str">
        <f t="shared" si="25"/>
        <v/>
      </c>
    </row>
    <row r="32" spans="1:43" ht="14.25" x14ac:dyDescent="0.2">
      <c r="A32" t="str">
        <f>IFERROR(VLOOKUP(1,PRO_Rang,2,FALSE),"")</f>
        <v/>
      </c>
      <c r="B32" t="str">
        <f>VLOOKUP(A32,Table_Podium,10,)</f>
        <v/>
      </c>
      <c r="C32" s="406" t="str">
        <f>IFERROR(LEFT(B32,5)&amp;RIGHT(B32,4),"")</f>
        <v/>
      </c>
      <c r="D32" s="105">
        <v>1</v>
      </c>
      <c r="E32" s="105" t="str">
        <f t="shared" ref="E32:E43" si="26">IFERROR(VLOOKUP(A32,Table_Podium,7,FALSE),"")</f>
        <v/>
      </c>
      <c r="F32" s="105" t="str">
        <f t="shared" ref="F32:F43" si="27">IFERROR(VLOOKUP(A32,Table_Podium,8,FALSE),"")</f>
        <v/>
      </c>
      <c r="G32" s="105" t="str">
        <f t="shared" ref="G32:G43" si="28">IFERROR(VLOOKUP(A32,Table_Podium,3,FALSE),"")</f>
        <v/>
      </c>
      <c r="H32" s="105" t="str">
        <f t="shared" ref="H32:H43" si="29">IFERROR(VLOOKUP(A32,Table_Podium,4,FALSE),"")</f>
        <v/>
      </c>
      <c r="I32" s="106" t="str">
        <f t="shared" ref="I32:I43" si="30">IFERROR(VLOOKUP(A32,Table_Podium,5,FALSE),"")</f>
        <v/>
      </c>
      <c r="M32">
        <v>21</v>
      </c>
      <c r="N32" t="str">
        <f t="shared" si="7"/>
        <v/>
      </c>
      <c r="O32" s="764" t="s">
        <v>806</v>
      </c>
      <c r="P32" s="759" t="str">
        <f t="shared" si="8"/>
        <v/>
      </c>
      <c r="Q32" s="760" t="str">
        <f t="shared" si="9"/>
        <v/>
      </c>
      <c r="R32" s="760" t="str">
        <f t="shared" si="10"/>
        <v/>
      </c>
      <c r="AA32" t="e">
        <f>#REF!</f>
        <v>#REF!</v>
      </c>
      <c r="AB32">
        <v>21</v>
      </c>
      <c r="AC32" t="str">
        <f t="shared" si="11"/>
        <v/>
      </c>
      <c r="AD32" t="str">
        <f t="shared" si="12"/>
        <v/>
      </c>
      <c r="AE32" t="str">
        <f t="shared" si="13"/>
        <v/>
      </c>
      <c r="AF32" t="str">
        <f t="shared" si="14"/>
        <v/>
      </c>
      <c r="AG32" t="str">
        <f t="shared" si="15"/>
        <v/>
      </c>
      <c r="AH32" t="str">
        <f t="shared" si="17"/>
        <v/>
      </c>
      <c r="AI32" t="str">
        <f t="shared" si="18"/>
        <v/>
      </c>
      <c r="AJ32" t="str">
        <f t="shared" si="19"/>
        <v/>
      </c>
      <c r="AL32" t="str">
        <f t="shared" si="20"/>
        <v/>
      </c>
      <c r="AM32" t="str">
        <f t="shared" si="21"/>
        <v>21ème</v>
      </c>
      <c r="AN32" t="str">
        <f t="shared" si="22"/>
        <v/>
      </c>
      <c r="AO32" t="str">
        <f t="shared" si="23"/>
        <v/>
      </c>
      <c r="AP32" t="str">
        <f t="shared" si="24"/>
        <v/>
      </c>
      <c r="AQ32" t="str">
        <f t="shared" si="25"/>
        <v/>
      </c>
    </row>
    <row r="33" spans="1:43" ht="14.25" x14ac:dyDescent="0.2">
      <c r="A33" t="str">
        <f>A32</f>
        <v/>
      </c>
      <c r="B33" t="str">
        <f>VLOOKUP(A33,Table_Podium,16,FALSE)</f>
        <v/>
      </c>
      <c r="C33" s="407" t="str">
        <f t="shared" ref="C33:C35" si="31">IFERROR(LEFT(B33,5)&amp;RIGHT(B33,4),"")</f>
        <v/>
      </c>
      <c r="D33">
        <v>1</v>
      </c>
      <c r="E33" t="str">
        <f t="shared" si="26"/>
        <v/>
      </c>
      <c r="F33" t="str">
        <f t="shared" si="27"/>
        <v/>
      </c>
      <c r="G33" t="str">
        <f t="shared" si="28"/>
        <v/>
      </c>
      <c r="H33" t="str">
        <f t="shared" si="29"/>
        <v/>
      </c>
      <c r="I33" s="408" t="str">
        <f t="shared" si="30"/>
        <v/>
      </c>
      <c r="M33">
        <v>22</v>
      </c>
      <c r="N33" t="str">
        <f t="shared" si="7"/>
        <v/>
      </c>
      <c r="O33" s="764" t="s">
        <v>807</v>
      </c>
      <c r="P33" s="759" t="str">
        <f t="shared" si="8"/>
        <v/>
      </c>
      <c r="Q33" s="760" t="str">
        <f t="shared" si="9"/>
        <v/>
      </c>
      <c r="R33" s="760" t="str">
        <f t="shared" si="10"/>
        <v/>
      </c>
      <c r="AA33" t="e">
        <f>#REF!</f>
        <v>#REF!</v>
      </c>
      <c r="AB33">
        <v>22</v>
      </c>
      <c r="AC33" t="str">
        <f t="shared" si="11"/>
        <v/>
      </c>
      <c r="AD33" t="str">
        <f t="shared" si="12"/>
        <v/>
      </c>
      <c r="AE33" t="str">
        <f t="shared" si="13"/>
        <v/>
      </c>
      <c r="AF33" t="str">
        <f t="shared" si="14"/>
        <v/>
      </c>
      <c r="AG33" t="str">
        <f t="shared" si="15"/>
        <v/>
      </c>
      <c r="AH33" t="str">
        <f t="shared" si="17"/>
        <v/>
      </c>
      <c r="AI33" t="str">
        <f t="shared" si="18"/>
        <v/>
      </c>
      <c r="AJ33" t="str">
        <f t="shared" si="19"/>
        <v/>
      </c>
      <c r="AL33" t="str">
        <f t="shared" si="20"/>
        <v/>
      </c>
      <c r="AM33" t="str">
        <f t="shared" si="21"/>
        <v>22ème</v>
      </c>
      <c r="AN33" t="str">
        <f t="shared" si="22"/>
        <v/>
      </c>
      <c r="AO33" t="str">
        <f t="shared" si="23"/>
        <v/>
      </c>
      <c r="AP33" t="str">
        <f t="shared" si="24"/>
        <v/>
      </c>
      <c r="AQ33" t="str">
        <f t="shared" si="25"/>
        <v/>
      </c>
    </row>
    <row r="34" spans="1:43" ht="15.75" customHeight="1" x14ac:dyDescent="0.2">
      <c r="A34" t="str">
        <f t="shared" ref="A34:A35" si="32">A33</f>
        <v/>
      </c>
      <c r="B34" t="str">
        <f>VLOOKUP(A34,Table_Podium,22,FALSE)</f>
        <v/>
      </c>
      <c r="C34" s="407" t="str">
        <f t="shared" si="31"/>
        <v/>
      </c>
      <c r="D34">
        <v>1</v>
      </c>
      <c r="E34" t="str">
        <f t="shared" si="26"/>
        <v/>
      </c>
      <c r="F34" t="str">
        <f t="shared" si="27"/>
        <v/>
      </c>
      <c r="G34" t="str">
        <f t="shared" si="28"/>
        <v/>
      </c>
      <c r="H34" t="str">
        <f t="shared" si="29"/>
        <v/>
      </c>
      <c r="I34" s="408" t="str">
        <f t="shared" si="30"/>
        <v/>
      </c>
      <c r="M34">
        <v>23</v>
      </c>
      <c r="N34" t="str">
        <f t="shared" si="7"/>
        <v/>
      </c>
      <c r="O34" s="764" t="s">
        <v>808</v>
      </c>
      <c r="P34" s="759" t="str">
        <f t="shared" si="8"/>
        <v/>
      </c>
      <c r="Q34" s="760" t="str">
        <f t="shared" si="9"/>
        <v/>
      </c>
      <c r="R34" s="760" t="str">
        <f t="shared" si="10"/>
        <v/>
      </c>
      <c r="AA34" t="e">
        <f>#REF!</f>
        <v>#REF!</v>
      </c>
      <c r="AB34">
        <v>23</v>
      </c>
      <c r="AC34" t="str">
        <f t="shared" si="11"/>
        <v/>
      </c>
      <c r="AD34" t="str">
        <f t="shared" si="12"/>
        <v/>
      </c>
      <c r="AE34" t="str">
        <f t="shared" si="13"/>
        <v/>
      </c>
      <c r="AF34" t="str">
        <f t="shared" si="14"/>
        <v/>
      </c>
      <c r="AG34" t="str">
        <f t="shared" si="15"/>
        <v/>
      </c>
      <c r="AH34" t="str">
        <f t="shared" si="17"/>
        <v/>
      </c>
      <c r="AI34" t="str">
        <f t="shared" si="18"/>
        <v/>
      </c>
      <c r="AJ34" t="str">
        <f t="shared" si="19"/>
        <v/>
      </c>
      <c r="AL34" t="str">
        <f t="shared" si="20"/>
        <v/>
      </c>
      <c r="AM34" t="str">
        <f t="shared" si="21"/>
        <v>23ème</v>
      </c>
      <c r="AN34" t="str">
        <f t="shared" si="22"/>
        <v/>
      </c>
      <c r="AO34" t="str">
        <f t="shared" si="23"/>
        <v/>
      </c>
      <c r="AP34" t="str">
        <f t="shared" si="24"/>
        <v/>
      </c>
      <c r="AQ34" t="str">
        <f t="shared" si="25"/>
        <v/>
      </c>
    </row>
    <row r="35" spans="1:43" ht="15" thickBot="1" x14ac:dyDescent="0.25">
      <c r="A35" t="str">
        <f t="shared" si="32"/>
        <v/>
      </c>
      <c r="B35" t="str">
        <f>VLOOKUP(A35,Table_Podium,28,FALSE)</f>
        <v/>
      </c>
      <c r="C35" s="558" t="str">
        <f t="shared" si="31"/>
        <v/>
      </c>
      <c r="D35" s="559">
        <v>1</v>
      </c>
      <c r="E35" s="559" t="str">
        <f t="shared" si="26"/>
        <v/>
      </c>
      <c r="F35" s="559" t="str">
        <f t="shared" si="27"/>
        <v/>
      </c>
      <c r="G35" s="559" t="str">
        <f t="shared" si="28"/>
        <v/>
      </c>
      <c r="H35" s="559" t="str">
        <f t="shared" si="29"/>
        <v/>
      </c>
      <c r="I35" s="560" t="str">
        <f t="shared" si="30"/>
        <v/>
      </c>
      <c r="M35">
        <v>24</v>
      </c>
      <c r="N35" t="str">
        <f t="shared" si="7"/>
        <v/>
      </c>
      <c r="O35" s="764" t="s">
        <v>809</v>
      </c>
      <c r="P35" s="759" t="str">
        <f t="shared" si="8"/>
        <v/>
      </c>
      <c r="Q35" s="760" t="str">
        <f t="shared" si="9"/>
        <v/>
      </c>
      <c r="R35" s="760" t="str">
        <f t="shared" si="10"/>
        <v/>
      </c>
      <c r="AA35" t="e">
        <f>#REF!</f>
        <v>#REF!</v>
      </c>
      <c r="AB35">
        <v>24</v>
      </c>
      <c r="AC35" t="str">
        <f t="shared" si="11"/>
        <v/>
      </c>
      <c r="AD35" t="str">
        <f t="shared" si="12"/>
        <v/>
      </c>
      <c r="AE35" t="str">
        <f t="shared" si="13"/>
        <v/>
      </c>
      <c r="AF35" t="str">
        <f t="shared" si="14"/>
        <v/>
      </c>
      <c r="AG35" t="str">
        <f t="shared" si="15"/>
        <v/>
      </c>
      <c r="AH35" t="str">
        <f t="shared" si="17"/>
        <v/>
      </c>
      <c r="AI35" t="str">
        <f t="shared" si="18"/>
        <v/>
      </c>
      <c r="AJ35" t="str">
        <f t="shared" si="19"/>
        <v/>
      </c>
      <c r="AL35" t="str">
        <f t="shared" si="20"/>
        <v/>
      </c>
      <c r="AM35" t="str">
        <f t="shared" si="21"/>
        <v>24ème</v>
      </c>
      <c r="AN35" t="str">
        <f t="shared" si="22"/>
        <v/>
      </c>
      <c r="AO35" t="str">
        <f t="shared" si="23"/>
        <v/>
      </c>
      <c r="AP35" t="str">
        <f t="shared" si="24"/>
        <v/>
      </c>
      <c r="AQ35" t="str">
        <f t="shared" si="25"/>
        <v/>
      </c>
    </row>
    <row r="36" spans="1:43" x14ac:dyDescent="0.2">
      <c r="A36" t="str">
        <f>IFERROR(VLOOKUP(2,PRO_Rang,2,FALSE),"")</f>
        <v/>
      </c>
      <c r="B36" t="str">
        <f>VLOOKUP(A36,Table_Podium,10,FALSE)</f>
        <v/>
      </c>
      <c r="C36" s="406" t="str">
        <f>IFERROR(LEFT(B36,5)&amp;RIGHT(B36,4),"")</f>
        <v/>
      </c>
      <c r="D36" s="105">
        <v>2</v>
      </c>
      <c r="E36" s="105" t="str">
        <f t="shared" si="26"/>
        <v/>
      </c>
      <c r="F36" s="105" t="str">
        <f t="shared" si="27"/>
        <v/>
      </c>
      <c r="G36" s="105" t="str">
        <f t="shared" si="28"/>
        <v/>
      </c>
      <c r="H36" s="105" t="str">
        <f t="shared" si="29"/>
        <v/>
      </c>
      <c r="I36" s="106" t="str">
        <f t="shared" si="30"/>
        <v/>
      </c>
    </row>
    <row r="37" spans="1:43" x14ac:dyDescent="0.2">
      <c r="A37" t="str">
        <f>A36</f>
        <v/>
      </c>
      <c r="B37" t="str">
        <f>VLOOKUP(A37,Table_Podium,16,FALSE)</f>
        <v/>
      </c>
      <c r="C37" s="407" t="str">
        <f t="shared" ref="C37:C39" si="33">IFERROR(LEFT(B37,5)&amp;RIGHT(B37,4),"")</f>
        <v/>
      </c>
      <c r="D37">
        <v>2</v>
      </c>
      <c r="E37" t="str">
        <f t="shared" si="26"/>
        <v/>
      </c>
      <c r="F37" t="str">
        <f t="shared" si="27"/>
        <v/>
      </c>
      <c r="G37" t="str">
        <f t="shared" si="28"/>
        <v/>
      </c>
      <c r="H37" t="str">
        <f t="shared" si="29"/>
        <v/>
      </c>
      <c r="I37" s="408" t="str">
        <f t="shared" si="30"/>
        <v/>
      </c>
    </row>
    <row r="38" spans="1:43" x14ac:dyDescent="0.2">
      <c r="A38" t="str">
        <f t="shared" ref="A38:A39" si="34">A37</f>
        <v/>
      </c>
      <c r="B38" t="str">
        <f>VLOOKUP(A38,Table_Podium,22,FALSE)</f>
        <v/>
      </c>
      <c r="C38" s="407" t="str">
        <f t="shared" si="33"/>
        <v/>
      </c>
      <c r="D38">
        <v>2</v>
      </c>
      <c r="E38" t="str">
        <f t="shared" si="26"/>
        <v/>
      </c>
      <c r="F38" t="str">
        <f t="shared" si="27"/>
        <v/>
      </c>
      <c r="G38" t="str">
        <f t="shared" si="28"/>
        <v/>
      </c>
      <c r="H38" t="str">
        <f t="shared" si="29"/>
        <v/>
      </c>
      <c r="I38" s="408" t="str">
        <f t="shared" si="30"/>
        <v/>
      </c>
    </row>
    <row r="39" spans="1:43" ht="13.5" thickBot="1" x14ac:dyDescent="0.25">
      <c r="A39" t="str">
        <f t="shared" si="34"/>
        <v/>
      </c>
      <c r="B39" t="str">
        <f>VLOOKUP(A39,Table_Podium,28,FALSE)</f>
        <v/>
      </c>
      <c r="C39" s="558" t="str">
        <f t="shared" si="33"/>
        <v/>
      </c>
      <c r="D39" s="559">
        <v>2</v>
      </c>
      <c r="E39" s="559" t="str">
        <f t="shared" si="26"/>
        <v/>
      </c>
      <c r="F39" s="559" t="str">
        <f t="shared" si="27"/>
        <v/>
      </c>
      <c r="G39" s="559" t="str">
        <f t="shared" si="28"/>
        <v/>
      </c>
      <c r="H39" s="559" t="str">
        <f t="shared" si="29"/>
        <v/>
      </c>
      <c r="I39" s="560" t="str">
        <f t="shared" si="30"/>
        <v/>
      </c>
    </row>
    <row r="40" spans="1:43" x14ac:dyDescent="0.2">
      <c r="A40" t="str">
        <f>IFERROR(VLOOKUP(3,PRO_Rang,2,FALSE),"")</f>
        <v/>
      </c>
      <c r="B40" t="str">
        <f>VLOOKUP(A40,Table_Podium,10,FALSE)</f>
        <v/>
      </c>
      <c r="C40" s="406" t="str">
        <f>IFERROR(LEFT(B40,5)&amp;RIGHT(B40,4),"")</f>
        <v/>
      </c>
      <c r="D40" s="105">
        <v>3</v>
      </c>
      <c r="E40" s="105" t="str">
        <f t="shared" si="26"/>
        <v/>
      </c>
      <c r="F40" s="105" t="str">
        <f t="shared" si="27"/>
        <v/>
      </c>
      <c r="G40" s="105" t="str">
        <f t="shared" si="28"/>
        <v/>
      </c>
      <c r="H40" s="105" t="str">
        <f t="shared" si="29"/>
        <v/>
      </c>
      <c r="I40" s="106" t="str">
        <f t="shared" si="30"/>
        <v/>
      </c>
    </row>
    <row r="41" spans="1:43" x14ac:dyDescent="0.2">
      <c r="A41" t="str">
        <f>A40</f>
        <v/>
      </c>
      <c r="B41" t="str">
        <f>VLOOKUP(A41,Table_Podium,16,FALSE)</f>
        <v/>
      </c>
      <c r="C41" s="407" t="str">
        <f t="shared" ref="C41:C43" si="35">IFERROR(LEFT(B41,5)&amp;RIGHT(B41,4),"")</f>
        <v/>
      </c>
      <c r="D41">
        <v>3</v>
      </c>
      <c r="E41" t="str">
        <f t="shared" si="26"/>
        <v/>
      </c>
      <c r="F41" t="str">
        <f t="shared" si="27"/>
        <v/>
      </c>
      <c r="G41" t="str">
        <f t="shared" si="28"/>
        <v/>
      </c>
      <c r="H41" t="str">
        <f t="shared" si="29"/>
        <v/>
      </c>
      <c r="I41" s="408" t="str">
        <f t="shared" si="30"/>
        <v/>
      </c>
    </row>
    <row r="42" spans="1:43" x14ac:dyDescent="0.2">
      <c r="A42" t="str">
        <f t="shared" ref="A42:A43" si="36">A41</f>
        <v/>
      </c>
      <c r="B42" t="str">
        <f>VLOOKUP(A42,Table_Podium,22,FALSE)</f>
        <v/>
      </c>
      <c r="C42" s="407" t="str">
        <f t="shared" si="35"/>
        <v/>
      </c>
      <c r="D42">
        <v>3</v>
      </c>
      <c r="E42" t="str">
        <f t="shared" si="26"/>
        <v/>
      </c>
      <c r="F42" t="str">
        <f t="shared" si="27"/>
        <v/>
      </c>
      <c r="G42" t="str">
        <f t="shared" si="28"/>
        <v/>
      </c>
      <c r="H42" t="str">
        <f t="shared" si="29"/>
        <v/>
      </c>
      <c r="I42" s="408" t="str">
        <f t="shared" si="30"/>
        <v/>
      </c>
    </row>
    <row r="43" spans="1:43" ht="13.5" thickBot="1" x14ac:dyDescent="0.25">
      <c r="A43" t="str">
        <f t="shared" si="36"/>
        <v/>
      </c>
      <c r="B43" t="str">
        <f>VLOOKUP(A43,Table_Podium,28,FALSE)</f>
        <v/>
      </c>
      <c r="C43" s="558" t="str">
        <f t="shared" si="35"/>
        <v/>
      </c>
      <c r="D43" s="559">
        <v>3</v>
      </c>
      <c r="E43" s="559" t="str">
        <f t="shared" si="26"/>
        <v/>
      </c>
      <c r="F43" s="559" t="str">
        <f t="shared" si="27"/>
        <v/>
      </c>
      <c r="G43" s="559" t="str">
        <f t="shared" si="28"/>
        <v/>
      </c>
      <c r="H43" s="559" t="str">
        <f t="shared" si="29"/>
        <v/>
      </c>
      <c r="I43" s="560" t="str">
        <f t="shared" si="30"/>
        <v/>
      </c>
    </row>
  </sheetData>
  <mergeCells count="5">
    <mergeCell ref="P6:R6"/>
    <mergeCell ref="P7:R7"/>
    <mergeCell ref="P8:R8"/>
    <mergeCell ref="P9:R9"/>
    <mergeCell ref="P5:R5"/>
  </mergeCells>
  <conditionalFormatting sqref="N15 P15:R15">
    <cfRule type="expression" dxfId="354" priority="6">
      <formula>IF(N15="",TRUE,FALSE)</formula>
    </cfRule>
  </conditionalFormatting>
  <conditionalFormatting sqref="N16:N35 P16:R35">
    <cfRule type="expression" dxfId="353" priority="5">
      <formula>IF(N16="",TRUE,FALSE)</formula>
    </cfRule>
  </conditionalFormatting>
  <conditionalFormatting sqref="O15">
    <cfRule type="expression" dxfId="352" priority="4">
      <formula>IF(P15="",TRUE,FALSE)</formula>
    </cfRule>
  </conditionalFormatting>
  <conditionalFormatting sqref="O16:O35">
    <cfRule type="expression" dxfId="351" priority="1">
      <formula>IF(P16="",TRUE,FALSE)</formula>
    </cfRule>
  </conditionalFormatting>
  <pageMargins left="0.7" right="0.7" top="0.75" bottom="0.75" header="0.3" footer="0.3"/>
  <pageSetup paperSize="9" scale="20"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Feuil35">
    <pageSetUpPr fitToPage="1"/>
  </sheetPr>
  <dimension ref="A1:AK768"/>
  <sheetViews>
    <sheetView view="pageBreakPreview" topLeftCell="B1" zoomScale="80" zoomScaleNormal="100" zoomScaleSheetLayoutView="80" workbookViewId="0">
      <selection activeCell="AP12" sqref="AP12"/>
    </sheetView>
  </sheetViews>
  <sheetFormatPr baseColWidth="10" defaultRowHeight="12.75" x14ac:dyDescent="0.2"/>
  <cols>
    <col min="1" max="1" width="5.85546875" style="217" customWidth="1"/>
    <col min="2" max="3" width="5.28515625" style="217" customWidth="1"/>
    <col min="4" max="5" width="2.28515625" style="217" customWidth="1"/>
    <col min="6" max="9" width="7.140625" style="217" customWidth="1"/>
    <col min="10" max="10" width="8.5703125" style="217" customWidth="1"/>
    <col min="11" max="11" width="9.140625" style="217" customWidth="1"/>
    <col min="12" max="12" width="6.85546875" style="217" customWidth="1"/>
    <col min="13" max="13" width="10.28515625" style="217" customWidth="1"/>
    <col min="14" max="14" width="9.140625" style="217" customWidth="1"/>
    <col min="15" max="15" width="7.140625" style="217" customWidth="1"/>
    <col min="16" max="16" width="5.42578125" style="217" customWidth="1"/>
    <col min="17" max="17" width="2.7109375" style="217" customWidth="1"/>
    <col min="18" max="18" width="4.7109375" style="217" customWidth="1"/>
    <col min="19" max="19" width="4.28515625" style="249" customWidth="1"/>
    <col min="20" max="20" width="5.85546875" style="217" customWidth="1"/>
    <col min="21" max="22" width="5.28515625" style="217" customWidth="1"/>
    <col min="23" max="24" width="2.28515625" style="217" customWidth="1"/>
    <col min="25" max="28" width="7.140625" style="217" customWidth="1"/>
    <col min="29" max="29" width="8.5703125" style="217" customWidth="1"/>
    <col min="30" max="30" width="9.140625" style="217" customWidth="1"/>
    <col min="31" max="31" width="6.85546875" style="217" customWidth="1"/>
    <col min="32" max="32" width="10.28515625" style="217" customWidth="1"/>
    <col min="33" max="33" width="9.140625" style="217" customWidth="1"/>
    <col min="34" max="34" width="7.140625" style="217" customWidth="1"/>
    <col min="35" max="35" width="5.42578125" style="217" customWidth="1"/>
    <col min="36" max="36" width="2.7109375" style="217" customWidth="1"/>
    <col min="37" max="37" width="4.7109375" style="217" customWidth="1"/>
    <col min="38" max="16384" width="11.42578125" style="217"/>
  </cols>
  <sheetData>
    <row r="1" spans="1:37" x14ac:dyDescent="0.2">
      <c r="S1" s="571"/>
    </row>
    <row r="2" spans="1:37" ht="30" x14ac:dyDescent="0.2">
      <c r="A2" s="1262" t="str">
        <f>Championnat</f>
        <v>Championnat de France de Tir à l'ARC</v>
      </c>
      <c r="B2" s="1262"/>
      <c r="C2" s="1262"/>
      <c r="D2" s="1262"/>
      <c r="E2" s="1262"/>
      <c r="F2" s="1262"/>
      <c r="G2" s="1262"/>
      <c r="H2" s="1262"/>
      <c r="I2" s="1262"/>
      <c r="J2" s="1262"/>
      <c r="K2" s="1262"/>
      <c r="L2" s="1262"/>
      <c r="M2" s="1262"/>
      <c r="N2" s="1262"/>
      <c r="O2" s="1262"/>
      <c r="P2" s="1262"/>
      <c r="Q2" s="1262"/>
      <c r="R2" s="1262"/>
      <c r="S2" s="571" t="s">
        <v>994</v>
      </c>
      <c r="T2" s="1262" t="str">
        <f>Championnat</f>
        <v>Championnat de France de Tir à l'ARC</v>
      </c>
      <c r="U2" s="1262"/>
      <c r="V2" s="1262"/>
      <c r="W2" s="1262"/>
      <c r="X2" s="1262"/>
      <c r="Y2" s="1262"/>
      <c r="Z2" s="1262"/>
      <c r="AA2" s="1262"/>
      <c r="AB2" s="1262"/>
      <c r="AC2" s="1262"/>
      <c r="AD2" s="1262"/>
      <c r="AE2" s="1262"/>
      <c r="AF2" s="1262"/>
      <c r="AG2" s="1262"/>
      <c r="AH2" s="1262"/>
      <c r="AI2" s="1262"/>
      <c r="AJ2" s="1262"/>
      <c r="AK2" s="1262"/>
    </row>
    <row r="3" spans="1:37" ht="24.75" customHeight="1" x14ac:dyDescent="0.2">
      <c r="A3" s="1184" t="str">
        <f>LIEU&amp;" du "&amp;DATE</f>
        <v>L’Isle sur la Sorgue du 27 au 31 mars 2023</v>
      </c>
      <c r="B3" s="1184"/>
      <c r="C3" s="1184"/>
      <c r="D3" s="1184"/>
      <c r="E3" s="1184"/>
      <c r="F3" s="1184"/>
      <c r="G3" s="1184"/>
      <c r="H3" s="1184"/>
      <c r="I3" s="1184"/>
      <c r="J3" s="1184"/>
      <c r="K3" s="1184"/>
      <c r="L3" s="1184"/>
      <c r="M3" s="1184"/>
      <c r="N3" s="1184"/>
      <c r="O3" s="1184"/>
      <c r="P3" s="1184"/>
      <c r="Q3" s="1184"/>
      <c r="R3" s="1184"/>
      <c r="S3" s="571" t="s">
        <v>994</v>
      </c>
      <c r="T3" s="1184" t="str">
        <f>LIEU&amp;" du "&amp;DATE</f>
        <v>L’Isle sur la Sorgue du 27 au 31 mars 2023</v>
      </c>
      <c r="U3" s="1184"/>
      <c r="V3" s="1184"/>
      <c r="W3" s="1184"/>
      <c r="X3" s="1184"/>
      <c r="Y3" s="1184"/>
      <c r="Z3" s="1184"/>
      <c r="AA3" s="1184"/>
      <c r="AB3" s="1184"/>
      <c r="AC3" s="1184"/>
      <c r="AD3" s="1184"/>
      <c r="AE3" s="1184"/>
      <c r="AF3" s="1184"/>
      <c r="AG3" s="1184"/>
      <c r="AH3" s="1184"/>
      <c r="AI3" s="1184"/>
      <c r="AJ3" s="1184"/>
      <c r="AK3" s="1184"/>
    </row>
    <row r="4" spans="1:37" s="218" customFormat="1" ht="40.5" customHeight="1" x14ac:dyDescent="0.2">
      <c r="A4" s="1268" t="str">
        <f>CATEG_IMPORTEE</f>
        <v>Collèges Mixtes Etablissement</v>
      </c>
      <c r="B4" s="1268"/>
      <c r="C4" s="1268"/>
      <c r="D4" s="1268"/>
      <c r="E4" s="1268"/>
      <c r="F4" s="1268"/>
      <c r="G4" s="1268"/>
      <c r="H4" s="1268"/>
      <c r="I4" s="1268"/>
      <c r="J4" s="1268"/>
      <c r="K4" s="1268"/>
      <c r="L4" s="1268"/>
      <c r="M4" s="1268"/>
      <c r="N4" s="1268"/>
      <c r="O4" s="1268"/>
      <c r="P4" s="1268"/>
      <c r="Q4" s="1268"/>
      <c r="R4" s="1268"/>
      <c r="S4" s="646" t="s">
        <v>995</v>
      </c>
      <c r="T4" s="1268" t="str">
        <f>CATEG_IMPORTEE</f>
        <v>Collèges Mixtes Etablissement</v>
      </c>
      <c r="U4" s="1268"/>
      <c r="V4" s="1268"/>
      <c r="W4" s="1268"/>
      <c r="X4" s="1268"/>
      <c r="Y4" s="1268"/>
      <c r="Z4" s="1268"/>
      <c r="AA4" s="1268"/>
      <c r="AB4" s="1268"/>
      <c r="AC4" s="1268"/>
      <c r="AD4" s="1268"/>
      <c r="AE4" s="1268"/>
      <c r="AF4" s="1268"/>
      <c r="AG4" s="1268"/>
      <c r="AH4" s="1268"/>
      <c r="AI4" s="1268"/>
      <c r="AJ4" s="1268"/>
      <c r="AK4" s="1268"/>
    </row>
    <row r="5" spans="1:37" s="218" customFormat="1" ht="19.5" customHeight="1" x14ac:dyDescent="0.2">
      <c r="A5" s="625"/>
      <c r="B5" s="625"/>
      <c r="C5" s="625"/>
      <c r="D5" s="625"/>
      <c r="E5" s="625"/>
      <c r="F5" s="625"/>
      <c r="G5" s="625"/>
      <c r="H5" s="625"/>
      <c r="I5" s="625"/>
      <c r="J5" s="625"/>
      <c r="K5" s="625"/>
      <c r="L5" s="625"/>
      <c r="M5" s="625"/>
      <c r="N5" s="625"/>
      <c r="O5" s="625"/>
      <c r="P5" s="625"/>
      <c r="Q5" s="625"/>
      <c r="R5" s="625"/>
      <c r="S5" s="571" t="s">
        <v>994</v>
      </c>
      <c r="T5" s="625"/>
      <c r="U5" s="625"/>
      <c r="V5" s="625"/>
      <c r="W5" s="625"/>
      <c r="X5" s="625"/>
      <c r="Y5" s="625"/>
      <c r="Z5" s="625"/>
      <c r="AA5" s="625"/>
      <c r="AB5" s="625"/>
      <c r="AC5" s="625"/>
      <c r="AD5" s="625"/>
      <c r="AE5" s="625"/>
      <c r="AF5" s="625"/>
      <c r="AG5" s="625"/>
      <c r="AH5" s="625"/>
      <c r="AI5" s="625"/>
      <c r="AJ5" s="625"/>
      <c r="AK5" s="625"/>
    </row>
    <row r="6" spans="1:37" ht="47.25" customHeight="1" x14ac:dyDescent="0.2">
      <c r="A6" s="620"/>
      <c r="B6" s="620"/>
      <c r="C6" s="620"/>
      <c r="D6" s="620"/>
      <c r="E6" s="620"/>
      <c r="F6" s="620"/>
      <c r="G6" s="620"/>
      <c r="H6" s="620"/>
      <c r="I6" s="620"/>
      <c r="J6" s="620"/>
      <c r="K6" s="620"/>
      <c r="L6" s="620"/>
      <c r="M6" s="620"/>
      <c r="N6" s="1072" t="s">
        <v>628</v>
      </c>
      <c r="O6" s="1073"/>
      <c r="P6" s="1271">
        <f>Num_Cible</f>
        <v>1</v>
      </c>
      <c r="Q6" s="1271"/>
      <c r="R6" s="1271"/>
      <c r="S6" s="571" t="s">
        <v>994</v>
      </c>
      <c r="T6" s="620"/>
      <c r="U6" s="620"/>
      <c r="V6" s="620"/>
      <c r="W6" s="620"/>
      <c r="X6" s="620"/>
      <c r="Y6" s="620"/>
      <c r="Z6" s="620"/>
      <c r="AA6" s="620"/>
      <c r="AB6" s="620"/>
      <c r="AC6" s="620"/>
      <c r="AD6" s="620"/>
      <c r="AE6" s="620"/>
      <c r="AF6" s="620"/>
      <c r="AG6" s="1072" t="s">
        <v>628</v>
      </c>
      <c r="AH6" s="1073"/>
      <c r="AI6" s="1271">
        <f>Num_Cible</f>
        <v>1</v>
      </c>
      <c r="AJ6" s="1271"/>
      <c r="AK6" s="1271"/>
    </row>
    <row r="7" spans="1:37" ht="36.75" customHeight="1" x14ac:dyDescent="0.2">
      <c r="A7" s="1272" t="e">
        <f>VLOOKUP(J14,ID_archer_cible,2,FALSE)</f>
        <v>#N/A</v>
      </c>
      <c r="B7" s="1272"/>
      <c r="C7" s="1272"/>
      <c r="D7" s="1272"/>
      <c r="E7" s="1272"/>
      <c r="F7" s="1272"/>
      <c r="G7" s="1272"/>
      <c r="H7" s="1272"/>
      <c r="I7" s="1272"/>
      <c r="J7" s="1272"/>
      <c r="K7" s="1272"/>
      <c r="L7" s="1272"/>
      <c r="M7" s="1272"/>
      <c r="N7" s="1272"/>
      <c r="O7" s="1272"/>
      <c r="P7" s="1272"/>
      <c r="Q7" s="1272"/>
      <c r="R7" s="1272"/>
      <c r="S7" s="646" t="s">
        <v>995</v>
      </c>
      <c r="T7" s="1272" t="e">
        <f>VLOOKUP(AC14,ID_archer_cible,2,FALSE)</f>
        <v>#N/A</v>
      </c>
      <c r="U7" s="1272"/>
      <c r="V7" s="1272"/>
      <c r="W7" s="1272"/>
      <c r="X7" s="1272"/>
      <c r="Y7" s="1272"/>
      <c r="Z7" s="1272"/>
      <c r="AA7" s="1272"/>
      <c r="AB7" s="1272"/>
      <c r="AC7" s="1272"/>
      <c r="AD7" s="1272"/>
      <c r="AE7" s="1272"/>
      <c r="AF7" s="1272"/>
      <c r="AG7" s="1272"/>
      <c r="AH7" s="1272"/>
      <c r="AI7" s="1272"/>
      <c r="AJ7" s="1272"/>
      <c r="AK7" s="1272"/>
    </row>
    <row r="8" spans="1:37" ht="21.75" customHeight="1" x14ac:dyDescent="0.2">
      <c r="I8" s="621"/>
      <c r="J8" s="621"/>
      <c r="K8" s="621"/>
      <c r="L8" s="621"/>
      <c r="M8" s="621"/>
      <c r="N8" s="621"/>
      <c r="P8" s="619"/>
      <c r="Q8" s="619"/>
      <c r="R8" s="619"/>
      <c r="S8" s="571" t="s">
        <v>994</v>
      </c>
      <c r="AB8" s="621"/>
      <c r="AC8" s="621"/>
      <c r="AD8" s="621"/>
      <c r="AE8" s="621"/>
      <c r="AF8" s="621"/>
      <c r="AG8" s="621"/>
      <c r="AI8" s="619"/>
      <c r="AJ8" s="619"/>
      <c r="AK8" s="619"/>
    </row>
    <row r="9" spans="1:37" ht="17.25" customHeight="1" x14ac:dyDescent="0.2">
      <c r="A9" s="1125"/>
      <c r="B9" s="1125"/>
      <c r="C9" s="1125"/>
      <c r="D9" s="1125"/>
      <c r="E9" s="1125"/>
      <c r="F9" s="1125"/>
      <c r="G9" s="1125"/>
      <c r="H9" s="1125"/>
      <c r="I9" s="1125"/>
      <c r="J9" s="1125"/>
      <c r="K9" s="1125"/>
      <c r="L9" s="1125" t="s">
        <v>374</v>
      </c>
      <c r="M9" s="1125"/>
      <c r="N9" s="1125"/>
      <c r="O9" s="1125"/>
      <c r="P9" s="1125"/>
      <c r="Q9" s="1125"/>
      <c r="R9" s="1125"/>
      <c r="S9" s="571" t="s">
        <v>994</v>
      </c>
      <c r="T9" s="1125"/>
      <c r="U9" s="1125"/>
      <c r="V9" s="1125"/>
      <c r="W9" s="1125"/>
      <c r="X9" s="1125"/>
      <c r="Y9" s="1125"/>
      <c r="Z9" s="1125"/>
      <c r="AA9" s="1125"/>
      <c r="AB9" s="1125"/>
      <c r="AC9" s="1125"/>
      <c r="AD9" s="1125"/>
      <c r="AE9" s="1125" t="s">
        <v>374</v>
      </c>
      <c r="AF9" s="1125"/>
      <c r="AG9" s="1125"/>
      <c r="AH9" s="1125"/>
      <c r="AI9" s="1125"/>
      <c r="AJ9" s="1125"/>
      <c r="AK9" s="1125"/>
    </row>
    <row r="10" spans="1:37" ht="32.25" customHeight="1" x14ac:dyDescent="0.2">
      <c r="A10" s="1269" t="e">
        <f>VLOOKUP(J14,ID_archer_cible,3,FALSE)</f>
        <v>#N/A</v>
      </c>
      <c r="B10" s="1269"/>
      <c r="C10" s="1269"/>
      <c r="D10" s="1269"/>
      <c r="E10" s="1269"/>
      <c r="F10" s="1269"/>
      <c r="G10" s="1269"/>
      <c r="H10" s="1269"/>
      <c r="I10" s="1269"/>
      <c r="J10" s="1269"/>
      <c r="K10" s="1269"/>
      <c r="L10" s="1270" t="e">
        <f>VLOOKUP(J14,ID_archer_cible,4,FALSE)</f>
        <v>#N/A</v>
      </c>
      <c r="M10" s="1270"/>
      <c r="N10" s="1270"/>
      <c r="O10" s="1270"/>
      <c r="P10" s="1270"/>
      <c r="Q10" s="1270"/>
      <c r="R10" s="1270"/>
      <c r="S10" s="646" t="s">
        <v>995</v>
      </c>
      <c r="T10" s="1269" t="e">
        <f>VLOOKUP(AC14,ID_archer_cible,3,FALSE)</f>
        <v>#N/A</v>
      </c>
      <c r="U10" s="1269"/>
      <c r="V10" s="1269"/>
      <c r="W10" s="1269"/>
      <c r="X10" s="1269"/>
      <c r="Y10" s="1269"/>
      <c r="Z10" s="1269"/>
      <c r="AA10" s="1269"/>
      <c r="AB10" s="1269"/>
      <c r="AC10" s="1269"/>
      <c r="AD10" s="1269"/>
      <c r="AE10" s="1270" t="e">
        <f>VLOOKUP(AC14,ID_archer_cible,4,FALSE)</f>
        <v>#N/A</v>
      </c>
      <c r="AF10" s="1270"/>
      <c r="AG10" s="1270"/>
      <c r="AH10" s="1270"/>
      <c r="AI10" s="1270"/>
      <c r="AJ10" s="1270"/>
      <c r="AK10" s="1270"/>
    </row>
    <row r="11" spans="1:37" ht="17.25" customHeight="1" x14ac:dyDescent="0.2">
      <c r="E11" s="584"/>
      <c r="F11" s="584"/>
      <c r="G11" s="584"/>
      <c r="H11" s="584"/>
      <c r="I11" s="618"/>
      <c r="J11" s="618"/>
      <c r="K11" s="618"/>
      <c r="L11" s="618"/>
      <c r="M11" s="618"/>
      <c r="N11" s="618"/>
      <c r="P11" s="1266" t="str">
        <f>IFERROR(IF(AND(R14="oui",R15="oui",R16="oui",R17="oui"),"PRO",""),"")</f>
        <v/>
      </c>
      <c r="Q11" s="1266"/>
      <c r="R11" s="1266"/>
      <c r="S11" s="571" t="s">
        <v>994</v>
      </c>
      <c r="X11" s="584"/>
      <c r="Y11" s="584"/>
      <c r="Z11" s="584"/>
      <c r="AA11" s="584"/>
      <c r="AB11" s="618"/>
      <c r="AC11" s="618"/>
      <c r="AD11" s="618"/>
      <c r="AE11" s="618"/>
      <c r="AF11" s="618"/>
      <c r="AG11" s="618"/>
      <c r="AI11" s="1266" t="str">
        <f>IFERROR(IF(AND(AK14="oui",AK15="oui",AK16="oui",AK17="oui"),"PRO",""),"")</f>
        <v/>
      </c>
      <c r="AJ11" s="1266"/>
      <c r="AK11" s="1266"/>
    </row>
    <row r="12" spans="1:37" ht="20.25" customHeight="1" x14ac:dyDescent="0.2">
      <c r="P12" s="1267"/>
      <c r="Q12" s="1267"/>
      <c r="R12" s="1267"/>
      <c r="S12" s="571" t="s">
        <v>994</v>
      </c>
      <c r="AI12" s="1267"/>
      <c r="AJ12" s="1267"/>
      <c r="AK12" s="1267"/>
    </row>
    <row r="13" spans="1:37" ht="25.5" customHeight="1" x14ac:dyDescent="0.2">
      <c r="B13" s="1273" t="s">
        <v>906</v>
      </c>
      <c r="C13" s="1273"/>
      <c r="D13" s="1273"/>
      <c r="E13" s="1273"/>
      <c r="F13" s="1273"/>
      <c r="G13" s="1273"/>
      <c r="H13" s="1273"/>
      <c r="I13" s="1273"/>
      <c r="J13" s="622" t="s">
        <v>552</v>
      </c>
      <c r="K13" s="623" t="s">
        <v>893</v>
      </c>
      <c r="L13" s="1275" t="s">
        <v>550</v>
      </c>
      <c r="M13" s="1276"/>
      <c r="N13" s="1274" t="s">
        <v>905</v>
      </c>
      <c r="O13" s="1274"/>
      <c r="P13" s="1254" t="s">
        <v>551</v>
      </c>
      <c r="Q13" s="1254"/>
      <c r="R13" s="752" t="s">
        <v>1027</v>
      </c>
      <c r="S13" s="646" t="s">
        <v>995</v>
      </c>
      <c r="U13" s="1273" t="s">
        <v>906</v>
      </c>
      <c r="V13" s="1273"/>
      <c r="W13" s="1273"/>
      <c r="X13" s="1273"/>
      <c r="Y13" s="1273"/>
      <c r="Z13" s="1273"/>
      <c r="AA13" s="1273"/>
      <c r="AB13" s="1273"/>
      <c r="AC13" s="622" t="s">
        <v>552</v>
      </c>
      <c r="AD13" s="623" t="s">
        <v>893</v>
      </c>
      <c r="AE13" s="1275" t="s">
        <v>550</v>
      </c>
      <c r="AF13" s="1276"/>
      <c r="AG13" s="1274" t="s">
        <v>905</v>
      </c>
      <c r="AH13" s="1274"/>
      <c r="AI13" s="1254" t="s">
        <v>551</v>
      </c>
      <c r="AJ13" s="1254"/>
      <c r="AK13" s="752" t="s">
        <v>1027</v>
      </c>
    </row>
    <row r="14" spans="1:37" ht="45" customHeight="1" x14ac:dyDescent="0.2">
      <c r="B14" s="1255" t="e">
        <f>VLOOKUP(J14,ID_archer_cible,5,FALSE)&amp;"    "&amp;VLOOKUP(J14,ID_archer_cible,6,FALSE)</f>
        <v>#N/A</v>
      </c>
      <c r="C14" s="1255"/>
      <c r="D14" s="1255"/>
      <c r="E14" s="1255"/>
      <c r="F14" s="1255"/>
      <c r="G14" s="1255"/>
      <c r="H14" s="1255"/>
      <c r="I14" s="1255"/>
      <c r="J14" s="624" t="str">
        <f>P6&amp;"A"</f>
        <v>1A</v>
      </c>
      <c r="K14" s="574" t="e">
        <f>VLOOKUP(J14,ID_archer_cible,9,FALSE)</f>
        <v>#N/A</v>
      </c>
      <c r="L14" s="1256" t="e">
        <f>VLOOKUP(J14,ID_archer_cible,8,FALSE)</f>
        <v>#N/A</v>
      </c>
      <c r="M14" s="1257"/>
      <c r="N14" s="1260" t="e">
        <f>VLOOKUP(J14,ID_archer_cible,7,FALSE)</f>
        <v>#N/A</v>
      </c>
      <c r="O14" s="1261"/>
      <c r="P14" s="828" t="e">
        <f>VLOOKUP(J14,ID_archer_cible,10,FALSE)</f>
        <v>#N/A</v>
      </c>
      <c r="Q14" s="829" t="e">
        <f>IF(VLOOKUP(L14,N°LicPRO,3,FALSE)="oui","COACH","")</f>
        <v>#N/A</v>
      </c>
      <c r="R14" s="742" t="str">
        <f>IFERROR(VLOOKUP(L14,N°LicPRO,2,FALSE),"")</f>
        <v/>
      </c>
      <c r="S14" s="571" t="s">
        <v>994</v>
      </c>
      <c r="U14" s="1255" t="e">
        <f>VLOOKUP(AC14,ID_archer_cible,5,FALSE)&amp;"    "&amp;VLOOKUP(AC14,ID_archer_cible,6,FALSE)</f>
        <v>#N/A</v>
      </c>
      <c r="V14" s="1255"/>
      <c r="W14" s="1255"/>
      <c r="X14" s="1255"/>
      <c r="Y14" s="1255"/>
      <c r="Z14" s="1255"/>
      <c r="AA14" s="1255"/>
      <c r="AB14" s="1255"/>
      <c r="AC14" s="624" t="str">
        <f>AI6&amp;"A"</f>
        <v>1A</v>
      </c>
      <c r="AD14" s="574" t="e">
        <f>VLOOKUP(AC14,ID_archer_cible,9,FALSE)</f>
        <v>#N/A</v>
      </c>
      <c r="AE14" s="1256" t="e">
        <f>VLOOKUP(AC14,ID_archer_cible,8,FALSE)</f>
        <v>#N/A</v>
      </c>
      <c r="AF14" s="1257"/>
      <c r="AG14" s="1260" t="e">
        <f>VLOOKUP(AC14,ID_archer_cible,7,FALSE)</f>
        <v>#N/A</v>
      </c>
      <c r="AH14" s="1261"/>
      <c r="AI14" s="828" t="e">
        <f>VLOOKUP(AC14,ID_archer_cible,10,FALSE)</f>
        <v>#N/A</v>
      </c>
      <c r="AJ14" s="829" t="e">
        <f>IF(VLOOKUP(AE14,N°LicPRO,3,FALSE)="oui","COACH","")</f>
        <v>#N/A</v>
      </c>
      <c r="AK14" s="742" t="str">
        <f>IFERROR(VLOOKUP(AE14,N°LicPRO,2,FALSE),"")</f>
        <v/>
      </c>
    </row>
    <row r="15" spans="1:37" ht="45" customHeight="1" x14ac:dyDescent="0.2">
      <c r="B15" s="1255" t="e">
        <f>VLOOKUP(J15,ID_archer_cible,5,FALSE)&amp;"    "&amp;VLOOKUP(J15,ID_archer_cible,6,FALSE)</f>
        <v>#N/A</v>
      </c>
      <c r="C15" s="1255"/>
      <c r="D15" s="1255"/>
      <c r="E15" s="1255"/>
      <c r="F15" s="1255"/>
      <c r="G15" s="1255"/>
      <c r="H15" s="1255"/>
      <c r="I15" s="1255"/>
      <c r="J15" s="624" t="str">
        <f>P6&amp;"B"</f>
        <v>1B</v>
      </c>
      <c r="K15" s="574" t="e">
        <f>VLOOKUP(J15,ID_archer_cible,9,FALSE)</f>
        <v>#N/A</v>
      </c>
      <c r="L15" s="1256" t="e">
        <f>VLOOKUP(J15,ID_archer_cible,8,FALSE)</f>
        <v>#N/A</v>
      </c>
      <c r="M15" s="1257"/>
      <c r="N15" s="1260" t="e">
        <f>VLOOKUP(J15,ID_archer_cible,7,FALSE)</f>
        <v>#N/A</v>
      </c>
      <c r="O15" s="1261"/>
      <c r="P15" s="828" t="e">
        <f>VLOOKUP(J15,ID_archer_cible,10,FALSE)</f>
        <v>#N/A</v>
      </c>
      <c r="Q15" s="829" t="e">
        <f>IF(VLOOKUP(L15,N°LicPRO,3,FALSE)="oui","COACH","")</f>
        <v>#N/A</v>
      </c>
      <c r="R15" s="742" t="str">
        <f>IFERROR(VLOOKUP(L15,N°LicPRO,2,FALSE),"")</f>
        <v/>
      </c>
      <c r="S15" s="571" t="s">
        <v>994</v>
      </c>
      <c r="U15" s="1255" t="e">
        <f>VLOOKUP(AC15,ID_archer_cible,5,FALSE)&amp;"    "&amp;VLOOKUP(AC15,ID_archer_cible,6,FALSE)</f>
        <v>#N/A</v>
      </c>
      <c r="V15" s="1255"/>
      <c r="W15" s="1255"/>
      <c r="X15" s="1255"/>
      <c r="Y15" s="1255"/>
      <c r="Z15" s="1255"/>
      <c r="AA15" s="1255"/>
      <c r="AB15" s="1255"/>
      <c r="AC15" s="624" t="str">
        <f>AI6&amp;"B"</f>
        <v>1B</v>
      </c>
      <c r="AD15" s="574" t="e">
        <f>VLOOKUP(AC15,ID_archer_cible,9,FALSE)</f>
        <v>#N/A</v>
      </c>
      <c r="AE15" s="1256" t="e">
        <f>VLOOKUP(AC15,ID_archer_cible,8,FALSE)</f>
        <v>#N/A</v>
      </c>
      <c r="AF15" s="1257"/>
      <c r="AG15" s="1260" t="e">
        <f>VLOOKUP(AC15,ID_archer_cible,7,FALSE)</f>
        <v>#N/A</v>
      </c>
      <c r="AH15" s="1261"/>
      <c r="AI15" s="828" t="e">
        <f>VLOOKUP(AC15,ID_archer_cible,10,FALSE)</f>
        <v>#N/A</v>
      </c>
      <c r="AJ15" s="829" t="e">
        <f>IF(VLOOKUP(AE15,N°LicPRO,3,FALSE)="oui","COACH","")</f>
        <v>#N/A</v>
      </c>
      <c r="AK15" s="742" t="str">
        <f>IFERROR(VLOOKUP(AE15,N°LicPRO,2,FALSE),"")</f>
        <v/>
      </c>
    </row>
    <row r="16" spans="1:37" ht="45" customHeight="1" x14ac:dyDescent="0.2">
      <c r="B16" s="1255" t="e">
        <f>VLOOKUP(J16,ID_archer_cible,5,FALSE)&amp;"    "&amp;VLOOKUP(J16,ID_archer_cible,6,FALSE)</f>
        <v>#N/A</v>
      </c>
      <c r="C16" s="1255"/>
      <c r="D16" s="1255"/>
      <c r="E16" s="1255"/>
      <c r="F16" s="1255"/>
      <c r="G16" s="1255"/>
      <c r="H16" s="1255"/>
      <c r="I16" s="1255"/>
      <c r="J16" s="624" t="str">
        <f>P6&amp;"C"</f>
        <v>1C</v>
      </c>
      <c r="K16" s="574" t="e">
        <f>VLOOKUP(J16,ID_archer_cible,9,FALSE)</f>
        <v>#N/A</v>
      </c>
      <c r="L16" s="1256" t="e">
        <f>VLOOKUP(J16,ID_archer_cible,8,FALSE)</f>
        <v>#N/A</v>
      </c>
      <c r="M16" s="1257"/>
      <c r="N16" s="1260" t="e">
        <f>VLOOKUP(J16,ID_archer_cible,7,FALSE)</f>
        <v>#N/A</v>
      </c>
      <c r="O16" s="1261"/>
      <c r="P16" s="828" t="e">
        <f>VLOOKUP(J16,ID_archer_cible,10,FALSE)</f>
        <v>#N/A</v>
      </c>
      <c r="Q16" s="829" t="e">
        <f>IF(VLOOKUP(L16,N°LicPRO,3,FALSE)="oui","COACH","")</f>
        <v>#N/A</v>
      </c>
      <c r="R16" s="742" t="str">
        <f>IFERROR(VLOOKUP(L16,N°LicPRO,2,FALSE),"")</f>
        <v/>
      </c>
      <c r="S16" s="646" t="s">
        <v>995</v>
      </c>
      <c r="U16" s="1255" t="e">
        <f>VLOOKUP(AC16,ID_archer_cible,5,FALSE)&amp;"    "&amp;VLOOKUP(AC16,ID_archer_cible,6,FALSE)</f>
        <v>#N/A</v>
      </c>
      <c r="V16" s="1255"/>
      <c r="W16" s="1255"/>
      <c r="X16" s="1255"/>
      <c r="Y16" s="1255"/>
      <c r="Z16" s="1255"/>
      <c r="AA16" s="1255"/>
      <c r="AB16" s="1255"/>
      <c r="AC16" s="624" t="str">
        <f>AI6&amp;"C"</f>
        <v>1C</v>
      </c>
      <c r="AD16" s="574" t="e">
        <f>VLOOKUP(AC16,ID_archer_cible,9,FALSE)</f>
        <v>#N/A</v>
      </c>
      <c r="AE16" s="1256" t="e">
        <f>VLOOKUP(AC16,ID_archer_cible,8,FALSE)</f>
        <v>#N/A</v>
      </c>
      <c r="AF16" s="1257"/>
      <c r="AG16" s="1260" t="e">
        <f>VLOOKUP(AC16,ID_archer_cible,7,FALSE)</f>
        <v>#N/A</v>
      </c>
      <c r="AH16" s="1261"/>
      <c r="AI16" s="828" t="e">
        <f>VLOOKUP(AC16,ID_archer_cible,10,FALSE)</f>
        <v>#N/A</v>
      </c>
      <c r="AJ16" s="829" t="e">
        <f>IF(VLOOKUP(AE16,N°LicPRO,3,FALSE)="oui","COACH","")</f>
        <v>#N/A</v>
      </c>
      <c r="AK16" s="742" t="str">
        <f>IFERROR(VLOOKUP(AE16,N°LicPRO,2,FALSE),"")</f>
        <v/>
      </c>
    </row>
    <row r="17" spans="2:37" ht="45" customHeight="1" x14ac:dyDescent="0.2">
      <c r="B17" s="1255" t="e">
        <f>VLOOKUP(J17,ID_archer_cible,5,FALSE)&amp;"    "&amp;VLOOKUP(J17,ID_archer_cible,6,FALSE)</f>
        <v>#N/A</v>
      </c>
      <c r="C17" s="1255"/>
      <c r="D17" s="1255"/>
      <c r="E17" s="1255"/>
      <c r="F17" s="1255"/>
      <c r="G17" s="1255"/>
      <c r="H17" s="1255"/>
      <c r="I17" s="1255"/>
      <c r="J17" s="624" t="str">
        <f>P6&amp;"D"</f>
        <v>1D</v>
      </c>
      <c r="K17" s="574" t="e">
        <f>VLOOKUP(J17,ID_archer_cible,9,FALSE)</f>
        <v>#N/A</v>
      </c>
      <c r="L17" s="1256" t="e">
        <f>VLOOKUP(J17,ID_archer_cible,8,FALSE)</f>
        <v>#N/A</v>
      </c>
      <c r="M17" s="1257"/>
      <c r="N17" s="1260" t="e">
        <f>VLOOKUP(J17,ID_archer_cible,7,FALSE)</f>
        <v>#N/A</v>
      </c>
      <c r="O17" s="1261"/>
      <c r="P17" s="828" t="e">
        <f>VLOOKUP(J17,ID_archer_cible,10,FALSE)</f>
        <v>#N/A</v>
      </c>
      <c r="Q17" s="829" t="e">
        <f>IF(VLOOKUP(L17,N°LicPRO,3,FALSE)="oui","COACH","")</f>
        <v>#N/A</v>
      </c>
      <c r="R17" s="742" t="str">
        <f>IFERROR(VLOOKUP(L17,N°LicPRO,2,FALSE),"")</f>
        <v/>
      </c>
      <c r="S17" s="571" t="s">
        <v>994</v>
      </c>
      <c r="U17" s="1255" t="e">
        <f>VLOOKUP(AC17,ID_archer_cible,5,FALSE)&amp;"    "&amp;VLOOKUP(AC17,ID_archer_cible,6,FALSE)</f>
        <v>#N/A</v>
      </c>
      <c r="V17" s="1255"/>
      <c r="W17" s="1255"/>
      <c r="X17" s="1255"/>
      <c r="Y17" s="1255"/>
      <c r="Z17" s="1255"/>
      <c r="AA17" s="1255"/>
      <c r="AB17" s="1255"/>
      <c r="AC17" s="624" t="str">
        <f>AI6&amp;"D"</f>
        <v>1D</v>
      </c>
      <c r="AD17" s="574" t="e">
        <f>VLOOKUP(AC17,ID_archer_cible,9,FALSE)</f>
        <v>#N/A</v>
      </c>
      <c r="AE17" s="1256" t="e">
        <f>VLOOKUP(AC17,ID_archer_cible,8,FALSE)</f>
        <v>#N/A</v>
      </c>
      <c r="AF17" s="1257"/>
      <c r="AG17" s="1260" t="e">
        <f>VLOOKUP(AC17,ID_archer_cible,7,FALSE)</f>
        <v>#N/A</v>
      </c>
      <c r="AH17" s="1261"/>
      <c r="AI17" s="828" t="e">
        <f>VLOOKUP(AC17,ID_archer_cible,10,FALSE)</f>
        <v>#N/A</v>
      </c>
      <c r="AJ17" s="829" t="e">
        <f>IF(VLOOKUP(AE17,N°LicPRO,3,FALSE)="oui","COACH","")</f>
        <v>#N/A</v>
      </c>
      <c r="AK17" s="742" t="str">
        <f>IFERROR(VLOOKUP(AE17,N°LicPRO,2,FALSE),"")</f>
        <v/>
      </c>
    </row>
    <row r="18" spans="2:37" ht="15" customHeight="1" x14ac:dyDescent="0.2">
      <c r="S18" s="571" t="s">
        <v>994</v>
      </c>
    </row>
    <row r="19" spans="2:37" ht="15" customHeight="1" x14ac:dyDescent="0.2">
      <c r="B19" s="508" t="s">
        <v>975</v>
      </c>
      <c r="S19" s="646" t="s">
        <v>995</v>
      </c>
      <c r="U19" s="508" t="s">
        <v>975</v>
      </c>
    </row>
    <row r="20" spans="2:37" ht="15" customHeight="1" x14ac:dyDescent="0.2">
      <c r="B20" s="1259" t="s">
        <v>974</v>
      </c>
      <c r="C20" s="1259"/>
      <c r="D20" s="1259"/>
      <c r="E20" s="1259"/>
      <c r="F20" s="1199" t="str">
        <f>Info_TirQ</f>
        <v>J2 8:30-9:00 Ent. 9:00-10:30 Tirs Qual.</v>
      </c>
      <c r="G20" s="1199"/>
      <c r="H20" s="1199"/>
      <c r="I20" s="1199"/>
      <c r="J20" s="1199"/>
      <c r="K20" s="1258" t="s">
        <v>978</v>
      </c>
      <c r="L20" s="1258"/>
      <c r="M20" s="1258"/>
      <c r="N20" s="1258"/>
      <c r="O20" s="1258"/>
      <c r="S20" s="571" t="s">
        <v>994</v>
      </c>
      <c r="U20" s="1259" t="s">
        <v>974</v>
      </c>
      <c r="V20" s="1259"/>
      <c r="W20" s="1259"/>
      <c r="X20" s="1259"/>
      <c r="Y20" s="1199" t="str">
        <f>Info_TirQ</f>
        <v>J2 8:30-9:00 Ent. 9:00-10:30 Tirs Qual.</v>
      </c>
      <c r="Z20" s="1199"/>
      <c r="AA20" s="1199"/>
      <c r="AB20" s="1199"/>
      <c r="AC20" s="1199"/>
      <c r="AD20" s="1258" t="s">
        <v>978</v>
      </c>
      <c r="AE20" s="1258"/>
      <c r="AF20" s="1258"/>
      <c r="AG20" s="1258"/>
      <c r="AH20" s="1258"/>
    </row>
    <row r="21" spans="2:37" ht="15" customHeight="1" x14ac:dyDescent="0.2">
      <c r="B21" s="1259" t="s">
        <v>484</v>
      </c>
      <c r="C21" s="1259"/>
      <c r="D21" s="1259"/>
      <c r="E21" s="1259"/>
      <c r="F21" s="1199" t="str">
        <f>Info_D1</f>
        <v>J2 13:30-14:20  1er DUEL</v>
      </c>
      <c r="G21" s="1199"/>
      <c r="H21" s="1199"/>
      <c r="I21" s="1199"/>
      <c r="J21" s="1199"/>
      <c r="K21" s="1258"/>
      <c r="L21" s="1258"/>
      <c r="M21" s="1258"/>
      <c r="N21" s="1258"/>
      <c r="O21" s="1258"/>
      <c r="S21" s="571" t="s">
        <v>994</v>
      </c>
      <c r="U21" s="1259" t="s">
        <v>484</v>
      </c>
      <c r="V21" s="1259"/>
      <c r="W21" s="1259"/>
      <c r="X21" s="1259"/>
      <c r="Y21" s="1199" t="str">
        <f>Info_D1</f>
        <v>J2 13:30-14:20  1er DUEL</v>
      </c>
      <c r="Z21" s="1199"/>
      <c r="AA21" s="1199"/>
      <c r="AB21" s="1199"/>
      <c r="AC21" s="1199"/>
      <c r="AD21" s="1258"/>
      <c r="AE21" s="1258"/>
      <c r="AF21" s="1258"/>
      <c r="AG21" s="1258"/>
      <c r="AH21" s="1258"/>
    </row>
    <row r="22" spans="2:37" ht="15" customHeight="1" x14ac:dyDescent="0.2">
      <c r="B22" s="1259" t="s">
        <v>972</v>
      </c>
      <c r="C22" s="1259"/>
      <c r="D22" s="1259"/>
      <c r="E22" s="1259"/>
      <c r="F22" s="1199" t="str">
        <f>Info_D2</f>
        <v>J2 14:30-15:20 2ème DUEL</v>
      </c>
      <c r="G22" s="1199"/>
      <c r="H22" s="1199"/>
      <c r="I22" s="1199"/>
      <c r="J22" s="1199"/>
      <c r="K22" s="1258"/>
      <c r="L22" s="1258"/>
      <c r="M22" s="1258"/>
      <c r="N22" s="1258"/>
      <c r="O22" s="1258"/>
      <c r="S22" s="646" t="s">
        <v>995</v>
      </c>
      <c r="U22" s="1259" t="s">
        <v>972</v>
      </c>
      <c r="V22" s="1259"/>
      <c r="W22" s="1259"/>
      <c r="X22" s="1259"/>
      <c r="Y22" s="1199" t="str">
        <f>Info_D2</f>
        <v>J2 14:30-15:20 2ème DUEL</v>
      </c>
      <c r="Z22" s="1199"/>
      <c r="AA22" s="1199"/>
      <c r="AB22" s="1199"/>
      <c r="AC22" s="1199"/>
      <c r="AD22" s="1258"/>
      <c r="AE22" s="1258"/>
      <c r="AF22" s="1258"/>
      <c r="AG22" s="1258"/>
      <c r="AH22" s="1258"/>
    </row>
    <row r="23" spans="2:37" ht="15" customHeight="1" x14ac:dyDescent="0.2">
      <c r="B23" s="1259" t="s">
        <v>973</v>
      </c>
      <c r="C23" s="1259"/>
      <c r="D23" s="1259"/>
      <c r="E23" s="1259"/>
      <c r="F23" s="1199" t="str">
        <f>Info_D3</f>
        <v>J3 10-10:50 Match pl. 5 à +  ETAB - EX</v>
      </c>
      <c r="G23" s="1199"/>
      <c r="H23" s="1199"/>
      <c r="I23" s="1199"/>
      <c r="J23" s="1199"/>
      <c r="K23" s="1258"/>
      <c r="L23" s="1258"/>
      <c r="M23" s="1258"/>
      <c r="N23" s="1258"/>
      <c r="O23" s="1258"/>
      <c r="S23" s="571" t="s">
        <v>994</v>
      </c>
      <c r="U23" s="1259" t="s">
        <v>973</v>
      </c>
      <c r="V23" s="1259"/>
      <c r="W23" s="1259"/>
      <c r="X23" s="1259"/>
      <c r="Y23" s="1199" t="str">
        <f>Info_D3</f>
        <v>J3 10-10:50 Match pl. 5 à +  ETAB - EX</v>
      </c>
      <c r="Z23" s="1199"/>
      <c r="AA23" s="1199"/>
      <c r="AB23" s="1199"/>
      <c r="AC23" s="1199"/>
      <c r="AD23" s="1258"/>
      <c r="AE23" s="1258"/>
      <c r="AF23" s="1258"/>
      <c r="AG23" s="1258"/>
      <c r="AH23" s="1258"/>
    </row>
    <row r="24" spans="2:37" ht="24.75" customHeight="1" x14ac:dyDescent="0.2">
      <c r="B24" s="626" t="s">
        <v>976</v>
      </c>
      <c r="S24" s="571" t="s">
        <v>994</v>
      </c>
      <c r="U24" s="626" t="s">
        <v>976</v>
      </c>
    </row>
    <row r="25" spans="2:37" ht="134.25" customHeight="1" x14ac:dyDescent="0.2">
      <c r="B25"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C25" s="1264"/>
      <c r="D25" s="1264"/>
      <c r="E25" s="1264"/>
      <c r="F25" s="1264"/>
      <c r="G25" s="1264"/>
      <c r="H25" s="1264"/>
      <c r="I25" s="1264"/>
      <c r="J25" s="1264"/>
      <c r="K25" s="1264"/>
      <c r="L25" s="1264"/>
      <c r="M25" s="1264"/>
      <c r="N25" s="1264"/>
      <c r="O25" s="1264"/>
      <c r="P25" s="1265"/>
      <c r="S25" s="646" t="s">
        <v>995</v>
      </c>
      <c r="U25"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V25" s="1264"/>
      <c r="W25" s="1264"/>
      <c r="X25" s="1264"/>
      <c r="Y25" s="1264"/>
      <c r="Z25" s="1264"/>
      <c r="AA25" s="1264"/>
      <c r="AB25" s="1264"/>
      <c r="AC25" s="1264"/>
      <c r="AD25" s="1264"/>
      <c r="AE25" s="1264"/>
      <c r="AF25" s="1264"/>
      <c r="AG25" s="1264"/>
      <c r="AH25" s="1264"/>
      <c r="AI25" s="1265"/>
    </row>
    <row r="26" spans="2:37" ht="15" customHeight="1" x14ac:dyDescent="0.2">
      <c r="C26" s="508" t="s">
        <v>964</v>
      </c>
      <c r="K26" s="508" t="s">
        <v>965</v>
      </c>
      <c r="O26" s="508" t="s">
        <v>966</v>
      </c>
      <c r="S26" s="571" t="s">
        <v>994</v>
      </c>
      <c r="V26" s="508" t="s">
        <v>964</v>
      </c>
      <c r="AD26" s="508" t="s">
        <v>965</v>
      </c>
      <c r="AH26" s="508" t="s">
        <v>966</v>
      </c>
    </row>
    <row r="27" spans="2:37" ht="15" customHeight="1" x14ac:dyDescent="0.2">
      <c r="S27" s="571" t="s">
        <v>994</v>
      </c>
    </row>
    <row r="28" spans="2:37" ht="15" customHeight="1" x14ac:dyDescent="0.2">
      <c r="S28" s="646" t="s">
        <v>995</v>
      </c>
    </row>
    <row r="29" spans="2:37" ht="15" customHeight="1" x14ac:dyDescent="0.2">
      <c r="S29" s="571" t="s">
        <v>994</v>
      </c>
    </row>
    <row r="30" spans="2:37" ht="15" customHeight="1" x14ac:dyDescent="0.2">
      <c r="S30" s="571" t="s">
        <v>994</v>
      </c>
    </row>
    <row r="31" spans="2:37" ht="15" customHeight="1" x14ac:dyDescent="0.2">
      <c r="S31" s="646" t="s">
        <v>995</v>
      </c>
    </row>
    <row r="32" spans="2:37" x14ac:dyDescent="0.2">
      <c r="S32" s="571" t="s">
        <v>994</v>
      </c>
    </row>
    <row r="33" spans="1:37" x14ac:dyDescent="0.2">
      <c r="S33" s="571" t="s">
        <v>994</v>
      </c>
    </row>
    <row r="34" spans="1:37" ht="30" x14ac:dyDescent="0.2">
      <c r="A34" s="1262" t="str">
        <f>Championnat</f>
        <v>Championnat de France de Tir à l'ARC</v>
      </c>
      <c r="B34" s="1262"/>
      <c r="C34" s="1262"/>
      <c r="D34" s="1262"/>
      <c r="E34" s="1262"/>
      <c r="F34" s="1262"/>
      <c r="G34" s="1262"/>
      <c r="H34" s="1262"/>
      <c r="I34" s="1262"/>
      <c r="J34" s="1262"/>
      <c r="K34" s="1262"/>
      <c r="L34" s="1262"/>
      <c r="M34" s="1262"/>
      <c r="N34" s="1262"/>
      <c r="O34" s="1262"/>
      <c r="P34" s="1262"/>
      <c r="Q34" s="1262"/>
      <c r="R34" s="1262"/>
      <c r="S34" s="646" t="s">
        <v>995</v>
      </c>
      <c r="T34" s="1262" t="str">
        <f>Championnat</f>
        <v>Championnat de France de Tir à l'ARC</v>
      </c>
      <c r="U34" s="1262"/>
      <c r="V34" s="1262"/>
      <c r="W34" s="1262"/>
      <c r="X34" s="1262"/>
      <c r="Y34" s="1262"/>
      <c r="Z34" s="1262"/>
      <c r="AA34" s="1262"/>
      <c r="AB34" s="1262"/>
      <c r="AC34" s="1262"/>
      <c r="AD34" s="1262"/>
      <c r="AE34" s="1262"/>
      <c r="AF34" s="1262"/>
      <c r="AG34" s="1262"/>
      <c r="AH34" s="1262"/>
      <c r="AI34" s="1262"/>
      <c r="AJ34" s="1262"/>
      <c r="AK34" s="1262"/>
    </row>
    <row r="35" spans="1:37" ht="24.75" customHeight="1" x14ac:dyDescent="0.2">
      <c r="A35" s="1184" t="str">
        <f>LIEU&amp;" du "&amp;DATE</f>
        <v>L’Isle sur la Sorgue du 27 au 31 mars 2023</v>
      </c>
      <c r="B35" s="1184"/>
      <c r="C35" s="1184"/>
      <c r="D35" s="1184"/>
      <c r="E35" s="1184"/>
      <c r="F35" s="1184"/>
      <c r="G35" s="1184"/>
      <c r="H35" s="1184"/>
      <c r="I35" s="1184"/>
      <c r="J35" s="1184"/>
      <c r="K35" s="1184"/>
      <c r="L35" s="1184"/>
      <c r="M35" s="1184"/>
      <c r="N35" s="1184"/>
      <c r="O35" s="1184"/>
      <c r="P35" s="1184"/>
      <c r="Q35" s="1184"/>
      <c r="R35" s="1184"/>
      <c r="S35" s="571" t="s">
        <v>994</v>
      </c>
      <c r="T35" s="1184" t="str">
        <f>LIEU&amp;" du "&amp;DATE</f>
        <v>L’Isle sur la Sorgue du 27 au 31 mars 2023</v>
      </c>
      <c r="U35" s="1184"/>
      <c r="V35" s="1184"/>
      <c r="W35" s="1184"/>
      <c r="X35" s="1184"/>
      <c r="Y35" s="1184"/>
      <c r="Z35" s="1184"/>
      <c r="AA35" s="1184"/>
      <c r="AB35" s="1184"/>
      <c r="AC35" s="1184"/>
      <c r="AD35" s="1184"/>
      <c r="AE35" s="1184"/>
      <c r="AF35" s="1184"/>
      <c r="AG35" s="1184"/>
      <c r="AH35" s="1184"/>
      <c r="AI35" s="1184"/>
      <c r="AJ35" s="1184"/>
      <c r="AK35" s="1184"/>
    </row>
    <row r="36" spans="1:37" s="218" customFormat="1" ht="40.5" customHeight="1" x14ac:dyDescent="0.2">
      <c r="A36" s="1268" t="str">
        <f>CATEG_IMPORTEE</f>
        <v>Collèges Mixtes Etablissement</v>
      </c>
      <c r="B36" s="1268"/>
      <c r="C36" s="1268"/>
      <c r="D36" s="1268"/>
      <c r="E36" s="1268"/>
      <c r="F36" s="1268"/>
      <c r="G36" s="1268"/>
      <c r="H36" s="1268"/>
      <c r="I36" s="1268"/>
      <c r="J36" s="1268"/>
      <c r="K36" s="1268"/>
      <c r="L36" s="1268"/>
      <c r="M36" s="1268"/>
      <c r="N36" s="1268"/>
      <c r="O36" s="1268"/>
      <c r="P36" s="1268"/>
      <c r="Q36" s="1268"/>
      <c r="R36" s="1268"/>
      <c r="S36" s="571" t="s">
        <v>994</v>
      </c>
      <c r="T36" s="1268" t="str">
        <f>CATEG_IMPORTEE</f>
        <v>Collèges Mixtes Etablissement</v>
      </c>
      <c r="U36" s="1268"/>
      <c r="V36" s="1268"/>
      <c r="W36" s="1268"/>
      <c r="X36" s="1268"/>
      <c r="Y36" s="1268"/>
      <c r="Z36" s="1268"/>
      <c r="AA36" s="1268"/>
      <c r="AB36" s="1268"/>
      <c r="AC36" s="1268"/>
      <c r="AD36" s="1268"/>
      <c r="AE36" s="1268"/>
      <c r="AF36" s="1268"/>
      <c r="AG36" s="1268"/>
      <c r="AH36" s="1268"/>
      <c r="AI36" s="1268"/>
      <c r="AJ36" s="1268"/>
      <c r="AK36" s="1268"/>
    </row>
    <row r="37" spans="1:37" s="218" customFormat="1" ht="19.5" customHeight="1" x14ac:dyDescent="0.2">
      <c r="A37" s="625"/>
      <c r="B37" s="625"/>
      <c r="C37" s="625"/>
      <c r="D37" s="625"/>
      <c r="E37" s="625"/>
      <c r="F37" s="625"/>
      <c r="G37" s="625"/>
      <c r="H37" s="625"/>
      <c r="I37" s="625"/>
      <c r="J37" s="625"/>
      <c r="K37" s="625"/>
      <c r="L37" s="625"/>
      <c r="M37" s="625"/>
      <c r="N37" s="625"/>
      <c r="O37" s="625"/>
      <c r="P37" s="625"/>
      <c r="Q37" s="625"/>
      <c r="R37" s="625"/>
      <c r="S37" s="646" t="s">
        <v>995</v>
      </c>
      <c r="T37" s="625"/>
      <c r="U37" s="625"/>
      <c r="V37" s="625"/>
      <c r="W37" s="625"/>
      <c r="X37" s="625"/>
      <c r="Y37" s="625"/>
      <c r="Z37" s="625"/>
      <c r="AA37" s="625"/>
      <c r="AB37" s="625"/>
      <c r="AC37" s="625"/>
      <c r="AD37" s="625"/>
      <c r="AE37" s="625"/>
      <c r="AF37" s="625"/>
      <c r="AG37" s="625"/>
      <c r="AH37" s="625"/>
      <c r="AI37" s="625"/>
      <c r="AJ37" s="625"/>
      <c r="AK37" s="625"/>
    </row>
    <row r="38" spans="1:37" ht="47.25" customHeight="1" x14ac:dyDescent="0.2">
      <c r="A38" s="620"/>
      <c r="B38" s="620"/>
      <c r="C38" s="620"/>
      <c r="D38" s="620"/>
      <c r="E38" s="620"/>
      <c r="F38" s="620"/>
      <c r="G38" s="620"/>
      <c r="H38" s="620"/>
      <c r="I38" s="620"/>
      <c r="J38" s="620"/>
      <c r="K38" s="620"/>
      <c r="L38" s="620"/>
      <c r="M38" s="620"/>
      <c r="N38" s="1072" t="s">
        <v>628</v>
      </c>
      <c r="O38" s="1073"/>
      <c r="P38" s="1271">
        <f>P6+1</f>
        <v>2</v>
      </c>
      <c r="Q38" s="1271"/>
      <c r="R38" s="1271"/>
      <c r="S38" s="571" t="s">
        <v>994</v>
      </c>
      <c r="T38" s="620"/>
      <c r="U38" s="620"/>
      <c r="V38" s="620"/>
      <c r="W38" s="620"/>
      <c r="X38" s="620"/>
      <c r="Y38" s="620"/>
      <c r="Z38" s="620"/>
      <c r="AA38" s="620"/>
      <c r="AB38" s="620"/>
      <c r="AC38" s="620"/>
      <c r="AD38" s="620"/>
      <c r="AE38" s="620"/>
      <c r="AF38" s="620"/>
      <c r="AG38" s="1072" t="s">
        <v>628</v>
      </c>
      <c r="AH38" s="1073"/>
      <c r="AI38" s="1271">
        <f>AI6+1</f>
        <v>2</v>
      </c>
      <c r="AJ38" s="1271"/>
      <c r="AK38" s="1271"/>
    </row>
    <row r="39" spans="1:37" ht="36.75" customHeight="1" x14ac:dyDescent="0.2">
      <c r="A39" s="1272" t="e">
        <f>VLOOKUP(J46,ID_archer_cible,2,FALSE)</f>
        <v>#N/A</v>
      </c>
      <c r="B39" s="1272"/>
      <c r="C39" s="1272"/>
      <c r="D39" s="1272"/>
      <c r="E39" s="1272"/>
      <c r="F39" s="1272"/>
      <c r="G39" s="1272"/>
      <c r="H39" s="1272"/>
      <c r="I39" s="1272"/>
      <c r="J39" s="1272"/>
      <c r="K39" s="1272"/>
      <c r="L39" s="1272"/>
      <c r="M39" s="1272"/>
      <c r="N39" s="1272"/>
      <c r="O39" s="1272"/>
      <c r="P39" s="1272"/>
      <c r="Q39" s="1272"/>
      <c r="R39" s="1272"/>
      <c r="S39" s="571" t="s">
        <v>994</v>
      </c>
      <c r="T39" s="1272" t="e">
        <f>VLOOKUP(AC46,ID_archer_cible,2,FALSE)</f>
        <v>#N/A</v>
      </c>
      <c r="U39" s="1272"/>
      <c r="V39" s="1272"/>
      <c r="W39" s="1272"/>
      <c r="X39" s="1272"/>
      <c r="Y39" s="1272"/>
      <c r="Z39" s="1272"/>
      <c r="AA39" s="1272"/>
      <c r="AB39" s="1272"/>
      <c r="AC39" s="1272"/>
      <c r="AD39" s="1272"/>
      <c r="AE39" s="1272"/>
      <c r="AF39" s="1272"/>
      <c r="AG39" s="1272"/>
      <c r="AH39" s="1272"/>
      <c r="AI39" s="1272"/>
      <c r="AJ39" s="1272"/>
      <c r="AK39" s="1272"/>
    </row>
    <row r="40" spans="1:37" ht="21.75" customHeight="1" x14ac:dyDescent="0.2">
      <c r="I40" s="621"/>
      <c r="J40" s="621"/>
      <c r="K40" s="621"/>
      <c r="L40" s="621"/>
      <c r="M40" s="621"/>
      <c r="N40" s="621"/>
      <c r="P40" s="619"/>
      <c r="Q40" s="619"/>
      <c r="R40" s="619"/>
      <c r="S40" s="646" t="s">
        <v>995</v>
      </c>
      <c r="AB40" s="621"/>
      <c r="AC40" s="621"/>
      <c r="AD40" s="621"/>
      <c r="AE40" s="621"/>
      <c r="AF40" s="621"/>
      <c r="AG40" s="621"/>
      <c r="AI40" s="619"/>
      <c r="AJ40" s="619"/>
      <c r="AK40" s="619"/>
    </row>
    <row r="41" spans="1:37" ht="17.25" customHeight="1" x14ac:dyDescent="0.2">
      <c r="A41" s="1125"/>
      <c r="B41" s="1125"/>
      <c r="C41" s="1125"/>
      <c r="D41" s="1125"/>
      <c r="E41" s="1125"/>
      <c r="F41" s="1125"/>
      <c r="G41" s="1125"/>
      <c r="H41" s="1125"/>
      <c r="I41" s="1125"/>
      <c r="J41" s="1125"/>
      <c r="K41" s="1125"/>
      <c r="L41" s="1125" t="s">
        <v>374</v>
      </c>
      <c r="M41" s="1125"/>
      <c r="N41" s="1125"/>
      <c r="O41" s="1125"/>
      <c r="P41" s="1125"/>
      <c r="Q41" s="1125"/>
      <c r="R41" s="1125"/>
      <c r="S41" s="571" t="s">
        <v>994</v>
      </c>
      <c r="T41" s="1125"/>
      <c r="U41" s="1125"/>
      <c r="V41" s="1125"/>
      <c r="W41" s="1125"/>
      <c r="X41" s="1125"/>
      <c r="Y41" s="1125"/>
      <c r="Z41" s="1125"/>
      <c r="AA41" s="1125"/>
      <c r="AB41" s="1125"/>
      <c r="AC41" s="1125"/>
      <c r="AD41" s="1125"/>
      <c r="AE41" s="1125" t="s">
        <v>374</v>
      </c>
      <c r="AF41" s="1125"/>
      <c r="AG41" s="1125"/>
      <c r="AH41" s="1125"/>
      <c r="AI41" s="1125"/>
      <c r="AJ41" s="1125"/>
      <c r="AK41" s="1125"/>
    </row>
    <row r="42" spans="1:37" ht="32.25" customHeight="1" x14ac:dyDescent="0.2">
      <c r="A42" s="1269" t="e">
        <f>VLOOKUP(J46,ID_archer_cible,3,FALSE)</f>
        <v>#N/A</v>
      </c>
      <c r="B42" s="1269"/>
      <c r="C42" s="1269"/>
      <c r="D42" s="1269"/>
      <c r="E42" s="1269"/>
      <c r="F42" s="1269"/>
      <c r="G42" s="1269"/>
      <c r="H42" s="1269"/>
      <c r="I42" s="1269"/>
      <c r="J42" s="1269"/>
      <c r="K42" s="1269"/>
      <c r="L42" s="1270" t="e">
        <f>VLOOKUP(J46,ID_archer_cible,4,FALSE)</f>
        <v>#N/A</v>
      </c>
      <c r="M42" s="1270"/>
      <c r="N42" s="1270"/>
      <c r="O42" s="1270"/>
      <c r="P42" s="1270"/>
      <c r="Q42" s="1270"/>
      <c r="R42" s="1270"/>
      <c r="S42" s="571" t="s">
        <v>994</v>
      </c>
      <c r="T42" s="1269" t="e">
        <f>VLOOKUP(AC46,ID_archer_cible,3,FALSE)</f>
        <v>#N/A</v>
      </c>
      <c r="U42" s="1269"/>
      <c r="V42" s="1269"/>
      <c r="W42" s="1269"/>
      <c r="X42" s="1269"/>
      <c r="Y42" s="1269"/>
      <c r="Z42" s="1269"/>
      <c r="AA42" s="1269"/>
      <c r="AB42" s="1269"/>
      <c r="AC42" s="1269"/>
      <c r="AD42" s="1269"/>
      <c r="AE42" s="1270" t="e">
        <f>VLOOKUP(AC46,ID_archer_cible,4,FALSE)</f>
        <v>#N/A</v>
      </c>
      <c r="AF42" s="1270"/>
      <c r="AG42" s="1270"/>
      <c r="AH42" s="1270"/>
      <c r="AI42" s="1270"/>
      <c r="AJ42" s="1270"/>
      <c r="AK42" s="1270"/>
    </row>
    <row r="43" spans="1:37" ht="17.25" customHeight="1" x14ac:dyDescent="0.2">
      <c r="E43" s="584"/>
      <c r="F43" s="584"/>
      <c r="G43" s="584"/>
      <c r="H43" s="584"/>
      <c r="I43" s="618"/>
      <c r="J43" s="618"/>
      <c r="K43" s="618"/>
      <c r="L43" s="618"/>
      <c r="M43" s="618"/>
      <c r="N43" s="618"/>
      <c r="P43" s="1266" t="str">
        <f>IFERROR(IF(AND(R46="oui",R47="oui",R48="oui",R49="oui"),"PRO",""),"")</f>
        <v/>
      </c>
      <c r="Q43" s="1266"/>
      <c r="R43" s="1266"/>
      <c r="S43" s="646" t="s">
        <v>995</v>
      </c>
      <c r="X43" s="584"/>
      <c r="Y43" s="584"/>
      <c r="Z43" s="584"/>
      <c r="AA43" s="584"/>
      <c r="AB43" s="618"/>
      <c r="AC43" s="618"/>
      <c r="AD43" s="618"/>
      <c r="AE43" s="618"/>
      <c r="AF43" s="618"/>
      <c r="AG43" s="618"/>
      <c r="AI43" s="1266" t="str">
        <f>IFERROR(IF(AND(AK46="oui",AK47="oui",AK48="oui",AK49="oui"),"PRO",""),"")</f>
        <v/>
      </c>
      <c r="AJ43" s="1266"/>
      <c r="AK43" s="1266"/>
    </row>
    <row r="44" spans="1:37" ht="20.25" customHeight="1" x14ac:dyDescent="0.2">
      <c r="P44" s="1267"/>
      <c r="Q44" s="1267"/>
      <c r="R44" s="1267"/>
      <c r="S44" s="571" t="s">
        <v>994</v>
      </c>
      <c r="AI44" s="1267"/>
      <c r="AJ44" s="1267"/>
      <c r="AK44" s="1267"/>
    </row>
    <row r="45" spans="1:37" ht="25.5" customHeight="1" x14ac:dyDescent="0.2">
      <c r="B45" s="1273" t="s">
        <v>906</v>
      </c>
      <c r="C45" s="1273"/>
      <c r="D45" s="1273"/>
      <c r="E45" s="1273"/>
      <c r="F45" s="1273"/>
      <c r="G45" s="1273"/>
      <c r="H45" s="1273"/>
      <c r="I45" s="1273"/>
      <c r="J45" s="622" t="s">
        <v>552</v>
      </c>
      <c r="K45" s="623" t="s">
        <v>893</v>
      </c>
      <c r="L45" s="1275" t="s">
        <v>550</v>
      </c>
      <c r="M45" s="1276"/>
      <c r="N45" s="1274" t="s">
        <v>905</v>
      </c>
      <c r="O45" s="1274"/>
      <c r="P45" s="1254" t="s">
        <v>551</v>
      </c>
      <c r="Q45" s="1254"/>
      <c r="R45" s="752" t="s">
        <v>1027</v>
      </c>
      <c r="S45" s="571" t="s">
        <v>994</v>
      </c>
      <c r="U45" s="1273" t="s">
        <v>906</v>
      </c>
      <c r="V45" s="1273"/>
      <c r="W45" s="1273"/>
      <c r="X45" s="1273"/>
      <c r="Y45" s="1273"/>
      <c r="Z45" s="1273"/>
      <c r="AA45" s="1273"/>
      <c r="AB45" s="1273"/>
      <c r="AC45" s="622" t="s">
        <v>552</v>
      </c>
      <c r="AD45" s="623" t="s">
        <v>893</v>
      </c>
      <c r="AE45" s="1275" t="s">
        <v>550</v>
      </c>
      <c r="AF45" s="1276"/>
      <c r="AG45" s="1274" t="s">
        <v>905</v>
      </c>
      <c r="AH45" s="1274"/>
      <c r="AI45" s="1254" t="s">
        <v>551</v>
      </c>
      <c r="AJ45" s="1254"/>
      <c r="AK45" s="752" t="s">
        <v>1027</v>
      </c>
    </row>
    <row r="46" spans="1:37" ht="45" customHeight="1" x14ac:dyDescent="0.2">
      <c r="B46" s="1255" t="e">
        <f>VLOOKUP(J46,ID_archer_cible,5,FALSE)&amp;"    "&amp;VLOOKUP(J46,ID_archer_cible,6,FALSE)</f>
        <v>#N/A</v>
      </c>
      <c r="C46" s="1255"/>
      <c r="D46" s="1255"/>
      <c r="E46" s="1255"/>
      <c r="F46" s="1255"/>
      <c r="G46" s="1255"/>
      <c r="H46" s="1255"/>
      <c r="I46" s="1255"/>
      <c r="J46" s="624" t="str">
        <f>P38&amp;"A"</f>
        <v>2A</v>
      </c>
      <c r="K46" s="574" t="e">
        <f>VLOOKUP(J46,ID_archer_cible,9,FALSE)</f>
        <v>#N/A</v>
      </c>
      <c r="L46" s="1256" t="e">
        <f>VLOOKUP(J46,ID_archer_cible,8,FALSE)</f>
        <v>#N/A</v>
      </c>
      <c r="M46" s="1257"/>
      <c r="N46" s="1260" t="e">
        <f>VLOOKUP(J46,ID_archer_cible,7,FALSE)</f>
        <v>#N/A</v>
      </c>
      <c r="O46" s="1261"/>
      <c r="P46" s="828" t="e">
        <f>VLOOKUP(J46,ID_archer_cible,10,FALSE)</f>
        <v>#N/A</v>
      </c>
      <c r="Q46" s="829" t="e">
        <f>IF(VLOOKUP(L46,N°LicPRO,3,FALSE)="oui","COACH","")</f>
        <v>#N/A</v>
      </c>
      <c r="R46" s="742" t="str">
        <f>IFERROR(VLOOKUP(L46,N°LicPRO,2,FALSE),"")</f>
        <v/>
      </c>
      <c r="S46" s="646" t="s">
        <v>995</v>
      </c>
      <c r="U46" s="1255" t="e">
        <f>VLOOKUP(AC46,ID_archer_cible,5,FALSE)&amp;"    "&amp;VLOOKUP(AC46,ID_archer_cible,6,FALSE)</f>
        <v>#N/A</v>
      </c>
      <c r="V46" s="1255"/>
      <c r="W46" s="1255"/>
      <c r="X46" s="1255"/>
      <c r="Y46" s="1255"/>
      <c r="Z46" s="1255"/>
      <c r="AA46" s="1255"/>
      <c r="AB46" s="1255"/>
      <c r="AC46" s="624" t="str">
        <f>AI38&amp;"A"</f>
        <v>2A</v>
      </c>
      <c r="AD46" s="574" t="e">
        <f>VLOOKUP(AC46,ID_archer_cible,9,FALSE)</f>
        <v>#N/A</v>
      </c>
      <c r="AE46" s="1256" t="e">
        <f>VLOOKUP(AC46,ID_archer_cible,8,FALSE)</f>
        <v>#N/A</v>
      </c>
      <c r="AF46" s="1257"/>
      <c r="AG46" s="1260" t="e">
        <f>VLOOKUP(AC46,ID_archer_cible,7,FALSE)</f>
        <v>#N/A</v>
      </c>
      <c r="AH46" s="1261"/>
      <c r="AI46" s="828" t="e">
        <f>VLOOKUP(AC46,ID_archer_cible,10,FALSE)</f>
        <v>#N/A</v>
      </c>
      <c r="AJ46" s="829" t="e">
        <f>IF(VLOOKUP(AE46,N°LicPRO,3,FALSE)="oui","COACH","")</f>
        <v>#N/A</v>
      </c>
      <c r="AK46" s="742" t="str">
        <f>IFERROR(VLOOKUP(AE46,N°LicPRO,2,FALSE),"")</f>
        <v/>
      </c>
    </row>
    <row r="47" spans="1:37" ht="45" customHeight="1" x14ac:dyDescent="0.2">
      <c r="B47" s="1255" t="e">
        <f>VLOOKUP(J47,ID_archer_cible,5,FALSE)&amp;"    "&amp;VLOOKUP(J47,ID_archer_cible,6,FALSE)</f>
        <v>#N/A</v>
      </c>
      <c r="C47" s="1255"/>
      <c r="D47" s="1255"/>
      <c r="E47" s="1255"/>
      <c r="F47" s="1255"/>
      <c r="G47" s="1255"/>
      <c r="H47" s="1255"/>
      <c r="I47" s="1255"/>
      <c r="J47" s="624" t="str">
        <f>P38&amp;"B"</f>
        <v>2B</v>
      </c>
      <c r="K47" s="574" t="e">
        <f>VLOOKUP(J47,ID_archer_cible,9,FALSE)</f>
        <v>#N/A</v>
      </c>
      <c r="L47" s="1256" t="e">
        <f>VLOOKUP(J47,ID_archer_cible,8,FALSE)</f>
        <v>#N/A</v>
      </c>
      <c r="M47" s="1257"/>
      <c r="N47" s="1260" t="e">
        <f>VLOOKUP(J47,ID_archer_cible,7,FALSE)</f>
        <v>#N/A</v>
      </c>
      <c r="O47" s="1261"/>
      <c r="P47" s="828" t="e">
        <f>VLOOKUP(J47,ID_archer_cible,10,FALSE)</f>
        <v>#N/A</v>
      </c>
      <c r="Q47" s="829" t="e">
        <f>IF(VLOOKUP(L47,N°LicPRO,3,FALSE)="oui","COACH","")</f>
        <v>#N/A</v>
      </c>
      <c r="R47" s="742" t="str">
        <f>IFERROR(VLOOKUP(L47,N°LicPRO,2,FALSE),"")</f>
        <v/>
      </c>
      <c r="S47" s="571" t="s">
        <v>994</v>
      </c>
      <c r="U47" s="1255" t="e">
        <f>VLOOKUP(AC47,ID_archer_cible,5,FALSE)&amp;"    "&amp;VLOOKUP(AC47,ID_archer_cible,6,FALSE)</f>
        <v>#N/A</v>
      </c>
      <c r="V47" s="1255"/>
      <c r="W47" s="1255"/>
      <c r="X47" s="1255"/>
      <c r="Y47" s="1255"/>
      <c r="Z47" s="1255"/>
      <c r="AA47" s="1255"/>
      <c r="AB47" s="1255"/>
      <c r="AC47" s="624" t="str">
        <f>AI38&amp;"B"</f>
        <v>2B</v>
      </c>
      <c r="AD47" s="574" t="e">
        <f>VLOOKUP(AC47,ID_archer_cible,9,FALSE)</f>
        <v>#N/A</v>
      </c>
      <c r="AE47" s="1256" t="e">
        <f>VLOOKUP(AC47,ID_archer_cible,8,FALSE)</f>
        <v>#N/A</v>
      </c>
      <c r="AF47" s="1257"/>
      <c r="AG47" s="1260" t="e">
        <f>VLOOKUP(AC47,ID_archer_cible,7,FALSE)</f>
        <v>#N/A</v>
      </c>
      <c r="AH47" s="1261"/>
      <c r="AI47" s="828" t="e">
        <f>VLOOKUP(AC47,ID_archer_cible,10,FALSE)</f>
        <v>#N/A</v>
      </c>
      <c r="AJ47" s="829" t="e">
        <f>IF(VLOOKUP(AE47,N°LicPRO,3,FALSE)="oui","COACH","")</f>
        <v>#N/A</v>
      </c>
      <c r="AK47" s="742" t="str">
        <f>IFERROR(VLOOKUP(AE47,N°LicPRO,2,FALSE),"")</f>
        <v/>
      </c>
    </row>
    <row r="48" spans="1:37" ht="45" customHeight="1" x14ac:dyDescent="0.2">
      <c r="B48" s="1255" t="e">
        <f>VLOOKUP(J48,ID_archer_cible,5,FALSE)&amp;"    "&amp;VLOOKUP(J48,ID_archer_cible,6,FALSE)</f>
        <v>#N/A</v>
      </c>
      <c r="C48" s="1255"/>
      <c r="D48" s="1255"/>
      <c r="E48" s="1255"/>
      <c r="F48" s="1255"/>
      <c r="G48" s="1255"/>
      <c r="H48" s="1255"/>
      <c r="I48" s="1255"/>
      <c r="J48" s="624" t="str">
        <f>P38&amp;"C"</f>
        <v>2C</v>
      </c>
      <c r="K48" s="574" t="e">
        <f>VLOOKUP(J48,ID_archer_cible,9,FALSE)</f>
        <v>#N/A</v>
      </c>
      <c r="L48" s="1256" t="e">
        <f>VLOOKUP(J48,ID_archer_cible,8,FALSE)</f>
        <v>#N/A</v>
      </c>
      <c r="M48" s="1257"/>
      <c r="N48" s="1260" t="e">
        <f>VLOOKUP(J48,ID_archer_cible,7,FALSE)</f>
        <v>#N/A</v>
      </c>
      <c r="O48" s="1261"/>
      <c r="P48" s="828" t="e">
        <f>VLOOKUP(J48,ID_archer_cible,10,FALSE)</f>
        <v>#N/A</v>
      </c>
      <c r="Q48" s="829" t="e">
        <f>IF(VLOOKUP(L48,N°LicPRO,3,FALSE)="oui","COACH","")</f>
        <v>#N/A</v>
      </c>
      <c r="R48" s="742" t="str">
        <f>IFERROR(VLOOKUP(L48,N°LicPRO,2,FALSE),"")</f>
        <v/>
      </c>
      <c r="S48" s="571" t="s">
        <v>994</v>
      </c>
      <c r="U48" s="1255" t="e">
        <f>VLOOKUP(AC48,ID_archer_cible,5,FALSE)&amp;"    "&amp;VLOOKUP(AC48,ID_archer_cible,6,FALSE)</f>
        <v>#N/A</v>
      </c>
      <c r="V48" s="1255"/>
      <c r="W48" s="1255"/>
      <c r="X48" s="1255"/>
      <c r="Y48" s="1255"/>
      <c r="Z48" s="1255"/>
      <c r="AA48" s="1255"/>
      <c r="AB48" s="1255"/>
      <c r="AC48" s="624" t="str">
        <f>AI38&amp;"C"</f>
        <v>2C</v>
      </c>
      <c r="AD48" s="574" t="e">
        <f>VLOOKUP(AC48,ID_archer_cible,9,FALSE)</f>
        <v>#N/A</v>
      </c>
      <c r="AE48" s="1256" t="e">
        <f>VLOOKUP(AC48,ID_archer_cible,8,FALSE)</f>
        <v>#N/A</v>
      </c>
      <c r="AF48" s="1257"/>
      <c r="AG48" s="1260" t="e">
        <f>VLOOKUP(AC48,ID_archer_cible,7,FALSE)</f>
        <v>#N/A</v>
      </c>
      <c r="AH48" s="1261"/>
      <c r="AI48" s="828" t="e">
        <f>VLOOKUP(AC48,ID_archer_cible,10,FALSE)</f>
        <v>#N/A</v>
      </c>
      <c r="AJ48" s="829" t="e">
        <f>IF(VLOOKUP(AE48,N°LicPRO,3,FALSE)="oui","COACH","")</f>
        <v>#N/A</v>
      </c>
      <c r="AK48" s="742" t="str">
        <f>IFERROR(VLOOKUP(AE48,N°LicPRO,2,FALSE),"")</f>
        <v/>
      </c>
    </row>
    <row r="49" spans="2:37" ht="45" customHeight="1" x14ac:dyDescent="0.2">
      <c r="B49" s="1255" t="e">
        <f>VLOOKUP(J49,ID_archer_cible,5,FALSE)&amp;"    "&amp;VLOOKUP(J49,ID_archer_cible,6,FALSE)</f>
        <v>#N/A</v>
      </c>
      <c r="C49" s="1255"/>
      <c r="D49" s="1255"/>
      <c r="E49" s="1255"/>
      <c r="F49" s="1255"/>
      <c r="G49" s="1255"/>
      <c r="H49" s="1255"/>
      <c r="I49" s="1255"/>
      <c r="J49" s="624" t="str">
        <f>P38&amp;"D"</f>
        <v>2D</v>
      </c>
      <c r="K49" s="574" t="e">
        <f>VLOOKUP(J49,ID_archer_cible,9,FALSE)</f>
        <v>#N/A</v>
      </c>
      <c r="L49" s="1256" t="e">
        <f>VLOOKUP(J49,ID_archer_cible,8,FALSE)</f>
        <v>#N/A</v>
      </c>
      <c r="M49" s="1257"/>
      <c r="N49" s="1260" t="e">
        <f>VLOOKUP(J49,ID_archer_cible,7,FALSE)</f>
        <v>#N/A</v>
      </c>
      <c r="O49" s="1261"/>
      <c r="P49" s="828" t="e">
        <f>VLOOKUP(J49,ID_archer_cible,10,FALSE)</f>
        <v>#N/A</v>
      </c>
      <c r="Q49" s="829" t="e">
        <f>IF(VLOOKUP(L49,N°LicPRO,3,FALSE)="oui","COACH","")</f>
        <v>#N/A</v>
      </c>
      <c r="R49" s="742" t="str">
        <f>IFERROR(VLOOKUP(L49,N°LicPRO,2,FALSE),"")</f>
        <v/>
      </c>
      <c r="S49" s="646" t="s">
        <v>995</v>
      </c>
      <c r="U49" s="1255" t="e">
        <f>VLOOKUP(AC49,ID_archer_cible,5,FALSE)&amp;"    "&amp;VLOOKUP(AC49,ID_archer_cible,6,FALSE)</f>
        <v>#N/A</v>
      </c>
      <c r="V49" s="1255"/>
      <c r="W49" s="1255"/>
      <c r="X49" s="1255"/>
      <c r="Y49" s="1255"/>
      <c r="Z49" s="1255"/>
      <c r="AA49" s="1255"/>
      <c r="AB49" s="1255"/>
      <c r="AC49" s="624" t="str">
        <f>AI38&amp;"D"</f>
        <v>2D</v>
      </c>
      <c r="AD49" s="574" t="e">
        <f>VLOOKUP(AC49,ID_archer_cible,9,FALSE)</f>
        <v>#N/A</v>
      </c>
      <c r="AE49" s="1256" t="e">
        <f>VLOOKUP(AC49,ID_archer_cible,8,FALSE)</f>
        <v>#N/A</v>
      </c>
      <c r="AF49" s="1257"/>
      <c r="AG49" s="1260" t="e">
        <f>VLOOKUP(AC49,ID_archer_cible,7,FALSE)</f>
        <v>#N/A</v>
      </c>
      <c r="AH49" s="1261"/>
      <c r="AI49" s="828" t="e">
        <f>VLOOKUP(AC49,ID_archer_cible,10,FALSE)</f>
        <v>#N/A</v>
      </c>
      <c r="AJ49" s="829" t="e">
        <f>IF(VLOOKUP(AE49,N°LicPRO,3,FALSE)="oui","COACH","")</f>
        <v>#N/A</v>
      </c>
      <c r="AK49" s="742" t="str">
        <f>IFERROR(VLOOKUP(AE49,N°LicPRO,2,FALSE),"")</f>
        <v/>
      </c>
    </row>
    <row r="50" spans="2:37" ht="15" customHeight="1" x14ac:dyDescent="0.2">
      <c r="S50" s="571" t="s">
        <v>994</v>
      </c>
    </row>
    <row r="51" spans="2:37" ht="15" customHeight="1" x14ac:dyDescent="0.2">
      <c r="B51" s="508" t="s">
        <v>975</v>
      </c>
      <c r="S51" s="571" t="s">
        <v>994</v>
      </c>
      <c r="U51" s="508" t="s">
        <v>975</v>
      </c>
    </row>
    <row r="52" spans="2:37" ht="15" customHeight="1" x14ac:dyDescent="0.2">
      <c r="B52" s="1259" t="s">
        <v>974</v>
      </c>
      <c r="C52" s="1259"/>
      <c r="D52" s="1259"/>
      <c r="E52" s="1259"/>
      <c r="F52" s="1199" t="str">
        <f>Info_TirQ</f>
        <v>J2 8:30-9:00 Ent. 9:00-10:30 Tirs Qual.</v>
      </c>
      <c r="G52" s="1199"/>
      <c r="H52" s="1199"/>
      <c r="I52" s="1199"/>
      <c r="J52" s="1199"/>
      <c r="K52" s="1258" t="s">
        <v>978</v>
      </c>
      <c r="L52" s="1258"/>
      <c r="M52" s="1258"/>
      <c r="N52" s="1258"/>
      <c r="O52" s="1258"/>
      <c r="S52" s="646" t="s">
        <v>995</v>
      </c>
      <c r="U52" s="1259" t="s">
        <v>974</v>
      </c>
      <c r="V52" s="1259"/>
      <c r="W52" s="1259"/>
      <c r="X52" s="1259"/>
      <c r="Y52" s="1199" t="str">
        <f>Info_TirQ</f>
        <v>J2 8:30-9:00 Ent. 9:00-10:30 Tirs Qual.</v>
      </c>
      <c r="Z52" s="1199"/>
      <c r="AA52" s="1199"/>
      <c r="AB52" s="1199"/>
      <c r="AC52" s="1199"/>
      <c r="AD52" s="1258" t="s">
        <v>978</v>
      </c>
      <c r="AE52" s="1258"/>
      <c r="AF52" s="1258"/>
      <c r="AG52" s="1258"/>
      <c r="AH52" s="1258"/>
    </row>
    <row r="53" spans="2:37" ht="15" customHeight="1" x14ac:dyDescent="0.2">
      <c r="B53" s="1259" t="s">
        <v>484</v>
      </c>
      <c r="C53" s="1259"/>
      <c r="D53" s="1259"/>
      <c r="E53" s="1259"/>
      <c r="F53" s="1199" t="str">
        <f>Info_D1</f>
        <v>J2 13:30-14:20  1er DUEL</v>
      </c>
      <c r="G53" s="1199"/>
      <c r="H53" s="1199"/>
      <c r="I53" s="1199"/>
      <c r="J53" s="1199"/>
      <c r="K53" s="1258"/>
      <c r="L53" s="1258"/>
      <c r="M53" s="1258"/>
      <c r="N53" s="1258"/>
      <c r="O53" s="1258"/>
      <c r="S53" s="571" t="s">
        <v>994</v>
      </c>
      <c r="U53" s="1259" t="s">
        <v>484</v>
      </c>
      <c r="V53" s="1259"/>
      <c r="W53" s="1259"/>
      <c r="X53" s="1259"/>
      <c r="Y53" s="1199" t="str">
        <f>Info_D1</f>
        <v>J2 13:30-14:20  1er DUEL</v>
      </c>
      <c r="Z53" s="1199"/>
      <c r="AA53" s="1199"/>
      <c r="AB53" s="1199"/>
      <c r="AC53" s="1199"/>
      <c r="AD53" s="1258"/>
      <c r="AE53" s="1258"/>
      <c r="AF53" s="1258"/>
      <c r="AG53" s="1258"/>
      <c r="AH53" s="1258"/>
    </row>
    <row r="54" spans="2:37" ht="15" customHeight="1" x14ac:dyDescent="0.2">
      <c r="B54" s="1259" t="s">
        <v>972</v>
      </c>
      <c r="C54" s="1259"/>
      <c r="D54" s="1259"/>
      <c r="E54" s="1259"/>
      <c r="F54" s="1199" t="str">
        <f>Info_D2</f>
        <v>J2 14:30-15:20 2ème DUEL</v>
      </c>
      <c r="G54" s="1199"/>
      <c r="H54" s="1199"/>
      <c r="I54" s="1199"/>
      <c r="J54" s="1199"/>
      <c r="K54" s="1258"/>
      <c r="L54" s="1258"/>
      <c r="M54" s="1258"/>
      <c r="N54" s="1258"/>
      <c r="O54" s="1258"/>
      <c r="S54" s="571" t="s">
        <v>994</v>
      </c>
      <c r="U54" s="1259" t="s">
        <v>972</v>
      </c>
      <c r="V54" s="1259"/>
      <c r="W54" s="1259"/>
      <c r="X54" s="1259"/>
      <c r="Y54" s="1199" t="str">
        <f>Info_D2</f>
        <v>J2 14:30-15:20 2ème DUEL</v>
      </c>
      <c r="Z54" s="1199"/>
      <c r="AA54" s="1199"/>
      <c r="AB54" s="1199"/>
      <c r="AC54" s="1199"/>
      <c r="AD54" s="1258"/>
      <c r="AE54" s="1258"/>
      <c r="AF54" s="1258"/>
      <c r="AG54" s="1258"/>
      <c r="AH54" s="1258"/>
    </row>
    <row r="55" spans="2:37" ht="15" customHeight="1" x14ac:dyDescent="0.2">
      <c r="B55" s="1259" t="s">
        <v>973</v>
      </c>
      <c r="C55" s="1259"/>
      <c r="D55" s="1259"/>
      <c r="E55" s="1259"/>
      <c r="F55" s="1199" t="str">
        <f>Info_D3</f>
        <v>J3 10-10:50 Match pl. 5 à +  ETAB - EX</v>
      </c>
      <c r="G55" s="1199"/>
      <c r="H55" s="1199"/>
      <c r="I55" s="1199"/>
      <c r="J55" s="1199"/>
      <c r="K55" s="1258"/>
      <c r="L55" s="1258"/>
      <c r="M55" s="1258"/>
      <c r="N55" s="1258"/>
      <c r="O55" s="1258"/>
      <c r="S55" s="646" t="s">
        <v>995</v>
      </c>
      <c r="U55" s="1259" t="s">
        <v>973</v>
      </c>
      <c r="V55" s="1259"/>
      <c r="W55" s="1259"/>
      <c r="X55" s="1259"/>
      <c r="Y55" s="1199" t="str">
        <f>Info_D3</f>
        <v>J3 10-10:50 Match pl. 5 à +  ETAB - EX</v>
      </c>
      <c r="Z55" s="1199"/>
      <c r="AA55" s="1199"/>
      <c r="AB55" s="1199"/>
      <c r="AC55" s="1199"/>
      <c r="AD55" s="1258"/>
      <c r="AE55" s="1258"/>
      <c r="AF55" s="1258"/>
      <c r="AG55" s="1258"/>
      <c r="AH55" s="1258"/>
    </row>
    <row r="56" spans="2:37" ht="24.75" customHeight="1" x14ac:dyDescent="0.2">
      <c r="B56" s="626" t="s">
        <v>976</v>
      </c>
      <c r="S56" s="571" t="s">
        <v>994</v>
      </c>
      <c r="U56" s="626" t="s">
        <v>976</v>
      </c>
    </row>
    <row r="57" spans="2:37" ht="134.25" customHeight="1" x14ac:dyDescent="0.2">
      <c r="B57"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C57" s="1264"/>
      <c r="D57" s="1264"/>
      <c r="E57" s="1264"/>
      <c r="F57" s="1264"/>
      <c r="G57" s="1264"/>
      <c r="H57" s="1264"/>
      <c r="I57" s="1264"/>
      <c r="J57" s="1264"/>
      <c r="K57" s="1264"/>
      <c r="L57" s="1264"/>
      <c r="M57" s="1264"/>
      <c r="N57" s="1264"/>
      <c r="O57" s="1264"/>
      <c r="P57" s="1265"/>
      <c r="S57" s="571" t="s">
        <v>994</v>
      </c>
      <c r="U57"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V57" s="1264"/>
      <c r="W57" s="1264"/>
      <c r="X57" s="1264"/>
      <c r="Y57" s="1264"/>
      <c r="Z57" s="1264"/>
      <c r="AA57" s="1264"/>
      <c r="AB57" s="1264"/>
      <c r="AC57" s="1264"/>
      <c r="AD57" s="1264"/>
      <c r="AE57" s="1264"/>
      <c r="AF57" s="1264"/>
      <c r="AG57" s="1264"/>
      <c r="AH57" s="1264"/>
      <c r="AI57" s="1265"/>
    </row>
    <row r="58" spans="2:37" ht="15" customHeight="1" x14ac:dyDescent="0.2">
      <c r="C58" s="508" t="s">
        <v>964</v>
      </c>
      <c r="K58" s="508" t="s">
        <v>965</v>
      </c>
      <c r="O58" s="508" t="s">
        <v>966</v>
      </c>
      <c r="S58" s="646" t="s">
        <v>995</v>
      </c>
      <c r="V58" s="508" t="s">
        <v>964</v>
      </c>
      <c r="AD58" s="508" t="s">
        <v>965</v>
      </c>
      <c r="AH58" s="508" t="s">
        <v>966</v>
      </c>
    </row>
    <row r="59" spans="2:37" ht="15" customHeight="1" x14ac:dyDescent="0.2">
      <c r="S59" s="571" t="s">
        <v>994</v>
      </c>
    </row>
    <row r="60" spans="2:37" ht="15" customHeight="1" x14ac:dyDescent="0.2">
      <c r="S60" s="571" t="s">
        <v>994</v>
      </c>
    </row>
    <row r="61" spans="2:37" ht="15" customHeight="1" x14ac:dyDescent="0.2">
      <c r="S61" s="646" t="s">
        <v>995</v>
      </c>
    </row>
    <row r="62" spans="2:37" ht="15" customHeight="1" x14ac:dyDescent="0.2">
      <c r="S62" s="571" t="s">
        <v>994</v>
      </c>
    </row>
    <row r="63" spans="2:37" ht="15" customHeight="1" x14ac:dyDescent="0.2">
      <c r="S63" s="571" t="s">
        <v>994</v>
      </c>
    </row>
    <row r="64" spans="2:37" ht="21.75" x14ac:dyDescent="0.2">
      <c r="S64" s="646" t="s">
        <v>995</v>
      </c>
    </row>
    <row r="65" spans="1:37" x14ac:dyDescent="0.2">
      <c r="S65" s="571" t="s">
        <v>994</v>
      </c>
    </row>
    <row r="66" spans="1:37" ht="30" x14ac:dyDescent="0.2">
      <c r="A66" s="1262" t="str">
        <f>Championnat</f>
        <v>Championnat de France de Tir à l'ARC</v>
      </c>
      <c r="B66" s="1262"/>
      <c r="C66" s="1262"/>
      <c r="D66" s="1262"/>
      <c r="E66" s="1262"/>
      <c r="F66" s="1262"/>
      <c r="G66" s="1262"/>
      <c r="H66" s="1262"/>
      <c r="I66" s="1262"/>
      <c r="J66" s="1262"/>
      <c r="K66" s="1262"/>
      <c r="L66" s="1262"/>
      <c r="M66" s="1262"/>
      <c r="N66" s="1262"/>
      <c r="O66" s="1262"/>
      <c r="P66" s="1262"/>
      <c r="Q66" s="1262"/>
      <c r="R66" s="1262"/>
      <c r="S66" s="571" t="s">
        <v>994</v>
      </c>
      <c r="T66" s="1262" t="str">
        <f>Championnat</f>
        <v>Championnat de France de Tir à l'ARC</v>
      </c>
      <c r="U66" s="1262"/>
      <c r="V66" s="1262"/>
      <c r="W66" s="1262"/>
      <c r="X66" s="1262"/>
      <c r="Y66" s="1262"/>
      <c r="Z66" s="1262"/>
      <c r="AA66" s="1262"/>
      <c r="AB66" s="1262"/>
      <c r="AC66" s="1262"/>
      <c r="AD66" s="1262"/>
      <c r="AE66" s="1262"/>
      <c r="AF66" s="1262"/>
      <c r="AG66" s="1262"/>
      <c r="AH66" s="1262"/>
      <c r="AI66" s="1262"/>
      <c r="AJ66" s="1262"/>
      <c r="AK66" s="1262"/>
    </row>
    <row r="67" spans="1:37" ht="24.75" customHeight="1" x14ac:dyDescent="0.2">
      <c r="A67" s="1184" t="str">
        <f>LIEU&amp;" du "&amp;DATE</f>
        <v>L’Isle sur la Sorgue du 27 au 31 mars 2023</v>
      </c>
      <c r="B67" s="1184"/>
      <c r="C67" s="1184"/>
      <c r="D67" s="1184"/>
      <c r="E67" s="1184"/>
      <c r="F67" s="1184"/>
      <c r="G67" s="1184"/>
      <c r="H67" s="1184"/>
      <c r="I67" s="1184"/>
      <c r="J67" s="1184"/>
      <c r="K67" s="1184"/>
      <c r="L67" s="1184"/>
      <c r="M67" s="1184"/>
      <c r="N67" s="1184"/>
      <c r="O67" s="1184"/>
      <c r="P67" s="1184"/>
      <c r="Q67" s="1184"/>
      <c r="R67" s="1184"/>
      <c r="S67" s="646" t="s">
        <v>995</v>
      </c>
      <c r="T67" s="1184" t="str">
        <f>LIEU&amp;" du "&amp;DATE</f>
        <v>L’Isle sur la Sorgue du 27 au 31 mars 2023</v>
      </c>
      <c r="U67" s="1184"/>
      <c r="V67" s="1184"/>
      <c r="W67" s="1184"/>
      <c r="X67" s="1184"/>
      <c r="Y67" s="1184"/>
      <c r="Z67" s="1184"/>
      <c r="AA67" s="1184"/>
      <c r="AB67" s="1184"/>
      <c r="AC67" s="1184"/>
      <c r="AD67" s="1184"/>
      <c r="AE67" s="1184"/>
      <c r="AF67" s="1184"/>
      <c r="AG67" s="1184"/>
      <c r="AH67" s="1184"/>
      <c r="AI67" s="1184"/>
      <c r="AJ67" s="1184"/>
      <c r="AK67" s="1184"/>
    </row>
    <row r="68" spans="1:37" s="218" customFormat="1" ht="40.5" customHeight="1" x14ac:dyDescent="0.2">
      <c r="A68" s="1268" t="str">
        <f>CATEG_IMPORTEE</f>
        <v>Collèges Mixtes Etablissement</v>
      </c>
      <c r="B68" s="1268"/>
      <c r="C68" s="1268"/>
      <c r="D68" s="1268"/>
      <c r="E68" s="1268"/>
      <c r="F68" s="1268"/>
      <c r="G68" s="1268"/>
      <c r="H68" s="1268"/>
      <c r="I68" s="1268"/>
      <c r="J68" s="1268"/>
      <c r="K68" s="1268"/>
      <c r="L68" s="1268"/>
      <c r="M68" s="1268"/>
      <c r="N68" s="1268"/>
      <c r="O68" s="1268"/>
      <c r="P68" s="1268"/>
      <c r="Q68" s="1268"/>
      <c r="R68" s="1268"/>
      <c r="S68" s="571" t="s">
        <v>994</v>
      </c>
      <c r="T68" s="1268" t="str">
        <f>CATEG_IMPORTEE</f>
        <v>Collèges Mixtes Etablissement</v>
      </c>
      <c r="U68" s="1268"/>
      <c r="V68" s="1268"/>
      <c r="W68" s="1268"/>
      <c r="X68" s="1268"/>
      <c r="Y68" s="1268"/>
      <c r="Z68" s="1268"/>
      <c r="AA68" s="1268"/>
      <c r="AB68" s="1268"/>
      <c r="AC68" s="1268"/>
      <c r="AD68" s="1268"/>
      <c r="AE68" s="1268"/>
      <c r="AF68" s="1268"/>
      <c r="AG68" s="1268"/>
      <c r="AH68" s="1268"/>
      <c r="AI68" s="1268"/>
      <c r="AJ68" s="1268"/>
      <c r="AK68" s="1268"/>
    </row>
    <row r="69" spans="1:37" s="218" customFormat="1" ht="19.5" customHeight="1" x14ac:dyDescent="0.2">
      <c r="A69" s="625"/>
      <c r="B69" s="625"/>
      <c r="C69" s="625"/>
      <c r="D69" s="625"/>
      <c r="E69" s="625"/>
      <c r="F69" s="625"/>
      <c r="G69" s="625"/>
      <c r="H69" s="625"/>
      <c r="I69" s="625"/>
      <c r="J69" s="625"/>
      <c r="K69" s="625"/>
      <c r="L69" s="625"/>
      <c r="M69" s="625"/>
      <c r="N69" s="625"/>
      <c r="O69" s="625"/>
      <c r="P69" s="625"/>
      <c r="Q69" s="625"/>
      <c r="R69" s="625"/>
      <c r="S69" s="571" t="s">
        <v>994</v>
      </c>
      <c r="T69" s="625"/>
      <c r="U69" s="625"/>
      <c r="V69" s="625"/>
      <c r="W69" s="625"/>
      <c r="X69" s="625"/>
      <c r="Y69" s="625"/>
      <c r="Z69" s="625"/>
      <c r="AA69" s="625"/>
      <c r="AB69" s="625"/>
      <c r="AC69" s="625"/>
      <c r="AD69" s="625"/>
      <c r="AE69" s="625"/>
      <c r="AF69" s="625"/>
      <c r="AG69" s="625"/>
      <c r="AH69" s="625"/>
      <c r="AI69" s="625"/>
      <c r="AJ69" s="625"/>
      <c r="AK69" s="625"/>
    </row>
    <row r="70" spans="1:37" ht="47.25" customHeight="1" x14ac:dyDescent="0.2">
      <c r="A70" s="620"/>
      <c r="B70" s="620"/>
      <c r="C70" s="620"/>
      <c r="D70" s="620"/>
      <c r="E70" s="620"/>
      <c r="F70" s="620"/>
      <c r="G70" s="620"/>
      <c r="H70" s="620"/>
      <c r="I70" s="620"/>
      <c r="J70" s="620"/>
      <c r="K70" s="620"/>
      <c r="L70" s="620"/>
      <c r="M70" s="620"/>
      <c r="N70" s="1072" t="s">
        <v>628</v>
      </c>
      <c r="O70" s="1073"/>
      <c r="P70" s="1271">
        <f>P38+1</f>
        <v>3</v>
      </c>
      <c r="Q70" s="1271"/>
      <c r="R70" s="1271"/>
      <c r="S70" s="646" t="s">
        <v>995</v>
      </c>
      <c r="T70" s="620"/>
      <c r="U70" s="620"/>
      <c r="V70" s="620"/>
      <c r="W70" s="620"/>
      <c r="X70" s="620"/>
      <c r="Y70" s="620"/>
      <c r="Z70" s="620"/>
      <c r="AA70" s="620"/>
      <c r="AB70" s="620"/>
      <c r="AC70" s="620"/>
      <c r="AD70" s="620"/>
      <c r="AE70" s="620"/>
      <c r="AF70" s="620"/>
      <c r="AG70" s="1072" t="s">
        <v>628</v>
      </c>
      <c r="AH70" s="1073"/>
      <c r="AI70" s="1271">
        <f>AI38+1</f>
        <v>3</v>
      </c>
      <c r="AJ70" s="1271"/>
      <c r="AK70" s="1271"/>
    </row>
    <row r="71" spans="1:37" ht="36.75" customHeight="1" x14ac:dyDescent="0.2">
      <c r="A71" s="1272" t="e">
        <f>VLOOKUP(J78,ID_archer_cible,2,FALSE)</f>
        <v>#N/A</v>
      </c>
      <c r="B71" s="1272"/>
      <c r="C71" s="1272"/>
      <c r="D71" s="1272"/>
      <c r="E71" s="1272"/>
      <c r="F71" s="1272"/>
      <c r="G71" s="1272"/>
      <c r="H71" s="1272"/>
      <c r="I71" s="1272"/>
      <c r="J71" s="1272"/>
      <c r="K71" s="1272"/>
      <c r="L71" s="1272"/>
      <c r="M71" s="1272"/>
      <c r="N71" s="1272"/>
      <c r="O71" s="1272"/>
      <c r="P71" s="1272"/>
      <c r="Q71" s="1272"/>
      <c r="R71" s="1272"/>
      <c r="S71" s="571" t="s">
        <v>994</v>
      </c>
      <c r="T71" s="1272" t="e">
        <f>VLOOKUP(AC78,ID_archer_cible,2,FALSE)</f>
        <v>#N/A</v>
      </c>
      <c r="U71" s="1272"/>
      <c r="V71" s="1272"/>
      <c r="W71" s="1272"/>
      <c r="X71" s="1272"/>
      <c r="Y71" s="1272"/>
      <c r="Z71" s="1272"/>
      <c r="AA71" s="1272"/>
      <c r="AB71" s="1272"/>
      <c r="AC71" s="1272"/>
      <c r="AD71" s="1272"/>
      <c r="AE71" s="1272"/>
      <c r="AF71" s="1272"/>
      <c r="AG71" s="1272"/>
      <c r="AH71" s="1272"/>
      <c r="AI71" s="1272"/>
      <c r="AJ71" s="1272"/>
      <c r="AK71" s="1272"/>
    </row>
    <row r="72" spans="1:37" ht="21.75" customHeight="1" x14ac:dyDescent="0.2">
      <c r="I72" s="621"/>
      <c r="J72" s="621"/>
      <c r="K72" s="621"/>
      <c r="L72" s="621"/>
      <c r="M72" s="621"/>
      <c r="N72" s="621"/>
      <c r="P72" s="619"/>
      <c r="Q72" s="619"/>
      <c r="R72" s="619"/>
      <c r="S72" s="571" t="s">
        <v>994</v>
      </c>
      <c r="AB72" s="621"/>
      <c r="AC72" s="621"/>
      <c r="AD72" s="621"/>
      <c r="AE72" s="621"/>
      <c r="AF72" s="621"/>
      <c r="AG72" s="621"/>
      <c r="AI72" s="619"/>
      <c r="AJ72" s="619"/>
      <c r="AK72" s="619"/>
    </row>
    <row r="73" spans="1:37" ht="17.25" customHeight="1" x14ac:dyDescent="0.2">
      <c r="A73" s="1125"/>
      <c r="B73" s="1125"/>
      <c r="C73" s="1125"/>
      <c r="D73" s="1125"/>
      <c r="E73" s="1125"/>
      <c r="F73" s="1125"/>
      <c r="G73" s="1125"/>
      <c r="H73" s="1125"/>
      <c r="I73" s="1125"/>
      <c r="J73" s="1125"/>
      <c r="K73" s="1125"/>
      <c r="L73" s="1125" t="s">
        <v>374</v>
      </c>
      <c r="M73" s="1125"/>
      <c r="N73" s="1125"/>
      <c r="O73" s="1125"/>
      <c r="P73" s="1125"/>
      <c r="Q73" s="1125"/>
      <c r="R73" s="1125"/>
      <c r="S73" s="646" t="s">
        <v>995</v>
      </c>
      <c r="T73" s="1125"/>
      <c r="U73" s="1125"/>
      <c r="V73" s="1125"/>
      <c r="W73" s="1125"/>
      <c r="X73" s="1125"/>
      <c r="Y73" s="1125"/>
      <c r="Z73" s="1125"/>
      <c r="AA73" s="1125"/>
      <c r="AB73" s="1125"/>
      <c r="AC73" s="1125"/>
      <c r="AD73" s="1125"/>
      <c r="AE73" s="1125" t="s">
        <v>374</v>
      </c>
      <c r="AF73" s="1125"/>
      <c r="AG73" s="1125"/>
      <c r="AH73" s="1125"/>
      <c r="AI73" s="1125"/>
      <c r="AJ73" s="1125"/>
      <c r="AK73" s="1125"/>
    </row>
    <row r="74" spans="1:37" ht="32.25" customHeight="1" x14ac:dyDescent="0.2">
      <c r="A74" s="1269" t="e">
        <f>VLOOKUP(J78,ID_archer_cible,3,FALSE)</f>
        <v>#N/A</v>
      </c>
      <c r="B74" s="1269"/>
      <c r="C74" s="1269"/>
      <c r="D74" s="1269"/>
      <c r="E74" s="1269"/>
      <c r="F74" s="1269"/>
      <c r="G74" s="1269"/>
      <c r="H74" s="1269"/>
      <c r="I74" s="1269"/>
      <c r="J74" s="1269"/>
      <c r="K74" s="1269"/>
      <c r="L74" s="1270" t="e">
        <f>VLOOKUP(J78,ID_archer_cible,4,FALSE)</f>
        <v>#N/A</v>
      </c>
      <c r="M74" s="1270"/>
      <c r="N74" s="1270"/>
      <c r="O74" s="1270"/>
      <c r="P74" s="1270"/>
      <c r="Q74" s="1270"/>
      <c r="R74" s="1270"/>
      <c r="S74" s="571" t="s">
        <v>994</v>
      </c>
      <c r="T74" s="1269" t="e">
        <f>VLOOKUP(AC78,ID_archer_cible,3,FALSE)</f>
        <v>#N/A</v>
      </c>
      <c r="U74" s="1269"/>
      <c r="V74" s="1269"/>
      <c r="W74" s="1269"/>
      <c r="X74" s="1269"/>
      <c r="Y74" s="1269"/>
      <c r="Z74" s="1269"/>
      <c r="AA74" s="1269"/>
      <c r="AB74" s="1269"/>
      <c r="AC74" s="1269"/>
      <c r="AD74" s="1269"/>
      <c r="AE74" s="1270" t="e">
        <f>VLOOKUP(AC78,ID_archer_cible,4,FALSE)</f>
        <v>#N/A</v>
      </c>
      <c r="AF74" s="1270"/>
      <c r="AG74" s="1270"/>
      <c r="AH74" s="1270"/>
      <c r="AI74" s="1270"/>
      <c r="AJ74" s="1270"/>
      <c r="AK74" s="1270"/>
    </row>
    <row r="75" spans="1:37" ht="17.25" customHeight="1" x14ac:dyDescent="0.2">
      <c r="E75" s="584"/>
      <c r="F75" s="584"/>
      <c r="G75" s="584"/>
      <c r="H75" s="584"/>
      <c r="I75" s="618"/>
      <c r="J75" s="618"/>
      <c r="K75" s="618"/>
      <c r="L75" s="618"/>
      <c r="M75" s="618"/>
      <c r="N75" s="618"/>
      <c r="P75" s="1266" t="str">
        <f>IFERROR(IF(AND(R78="oui",R79="oui",R80="oui",R81="oui"),"PRO",""),"")</f>
        <v/>
      </c>
      <c r="Q75" s="1266"/>
      <c r="R75" s="1266"/>
      <c r="S75" s="571" t="s">
        <v>994</v>
      </c>
      <c r="X75" s="584"/>
      <c r="Y75" s="584"/>
      <c r="Z75" s="584"/>
      <c r="AA75" s="584"/>
      <c r="AB75" s="618"/>
      <c r="AC75" s="618"/>
      <c r="AD75" s="618"/>
      <c r="AE75" s="618"/>
      <c r="AF75" s="618"/>
      <c r="AG75" s="618"/>
      <c r="AI75" s="1266" t="str">
        <f>IFERROR(IF(AND(AK78="oui",AK79="oui",AK80="oui",AK81="oui"),"PRO",""),"")</f>
        <v/>
      </c>
      <c r="AJ75" s="1266"/>
      <c r="AK75" s="1266"/>
    </row>
    <row r="76" spans="1:37" ht="20.25" customHeight="1" x14ac:dyDescent="0.2">
      <c r="P76" s="1267"/>
      <c r="Q76" s="1267"/>
      <c r="R76" s="1267"/>
      <c r="S76" s="646" t="s">
        <v>995</v>
      </c>
      <c r="AI76" s="1267"/>
      <c r="AJ76" s="1267"/>
      <c r="AK76" s="1267"/>
    </row>
    <row r="77" spans="1:37" ht="25.5" customHeight="1" x14ac:dyDescent="0.2">
      <c r="B77" s="1273" t="s">
        <v>906</v>
      </c>
      <c r="C77" s="1273"/>
      <c r="D77" s="1273"/>
      <c r="E77" s="1273"/>
      <c r="F77" s="1273"/>
      <c r="G77" s="1273"/>
      <c r="H77" s="1273"/>
      <c r="I77" s="1273"/>
      <c r="J77" s="622" t="s">
        <v>552</v>
      </c>
      <c r="K77" s="623" t="s">
        <v>893</v>
      </c>
      <c r="L77" s="1275" t="s">
        <v>550</v>
      </c>
      <c r="M77" s="1276"/>
      <c r="N77" s="1274" t="s">
        <v>905</v>
      </c>
      <c r="O77" s="1274"/>
      <c r="P77" s="1254" t="s">
        <v>551</v>
      </c>
      <c r="Q77" s="1254"/>
      <c r="R77" s="752" t="s">
        <v>1027</v>
      </c>
      <c r="S77" s="571" t="s">
        <v>994</v>
      </c>
      <c r="U77" s="1273" t="s">
        <v>906</v>
      </c>
      <c r="V77" s="1273"/>
      <c r="W77" s="1273"/>
      <c r="X77" s="1273"/>
      <c r="Y77" s="1273"/>
      <c r="Z77" s="1273"/>
      <c r="AA77" s="1273"/>
      <c r="AB77" s="1273"/>
      <c r="AC77" s="622" t="s">
        <v>552</v>
      </c>
      <c r="AD77" s="623" t="s">
        <v>893</v>
      </c>
      <c r="AE77" s="1275" t="s">
        <v>550</v>
      </c>
      <c r="AF77" s="1276"/>
      <c r="AG77" s="1274" t="s">
        <v>905</v>
      </c>
      <c r="AH77" s="1274"/>
      <c r="AI77" s="1254" t="s">
        <v>551</v>
      </c>
      <c r="AJ77" s="1254"/>
      <c r="AK77" s="752" t="s">
        <v>1027</v>
      </c>
    </row>
    <row r="78" spans="1:37" ht="45" customHeight="1" x14ac:dyDescent="0.2">
      <c r="B78" s="1255" t="e">
        <f>VLOOKUP(J78,ID_archer_cible,5,FALSE)&amp;"    "&amp;VLOOKUP(J78,ID_archer_cible,6,FALSE)</f>
        <v>#N/A</v>
      </c>
      <c r="C78" s="1255"/>
      <c r="D78" s="1255"/>
      <c r="E78" s="1255"/>
      <c r="F78" s="1255"/>
      <c r="G78" s="1255"/>
      <c r="H78" s="1255"/>
      <c r="I78" s="1255"/>
      <c r="J78" s="624" t="str">
        <f>P70&amp;"A"</f>
        <v>3A</v>
      </c>
      <c r="K78" s="574" t="e">
        <f>VLOOKUP(J78,ID_archer_cible,9,FALSE)</f>
        <v>#N/A</v>
      </c>
      <c r="L78" s="1256" t="e">
        <f>VLOOKUP(J78,ID_archer_cible,8,FALSE)</f>
        <v>#N/A</v>
      </c>
      <c r="M78" s="1257"/>
      <c r="N78" s="1260" t="e">
        <f>VLOOKUP(J78,ID_archer_cible,7,FALSE)</f>
        <v>#N/A</v>
      </c>
      <c r="O78" s="1261"/>
      <c r="P78" s="828" t="e">
        <f>VLOOKUP(J78,ID_archer_cible,10,FALSE)</f>
        <v>#N/A</v>
      </c>
      <c r="Q78" s="829" t="e">
        <f>IF(VLOOKUP(L78,N°LicPRO,3,FALSE)="oui","COACH","")</f>
        <v>#N/A</v>
      </c>
      <c r="R78" s="742" t="str">
        <f>IFERROR(VLOOKUP(L78,N°LicPRO,2,FALSE),"")</f>
        <v/>
      </c>
      <c r="S78" s="571" t="s">
        <v>994</v>
      </c>
      <c r="U78" s="1255" t="e">
        <f>VLOOKUP(AC78,ID_archer_cible,5,FALSE)&amp;"    "&amp;VLOOKUP(AC78,ID_archer_cible,6,FALSE)</f>
        <v>#N/A</v>
      </c>
      <c r="V78" s="1255"/>
      <c r="W78" s="1255"/>
      <c r="X78" s="1255"/>
      <c r="Y78" s="1255"/>
      <c r="Z78" s="1255"/>
      <c r="AA78" s="1255"/>
      <c r="AB78" s="1255"/>
      <c r="AC78" s="624" t="str">
        <f>AI70&amp;"A"</f>
        <v>3A</v>
      </c>
      <c r="AD78" s="574" t="e">
        <f>VLOOKUP(AC78,ID_archer_cible,9,FALSE)</f>
        <v>#N/A</v>
      </c>
      <c r="AE78" s="1256" t="e">
        <f>VLOOKUP(AC78,ID_archer_cible,8,FALSE)</f>
        <v>#N/A</v>
      </c>
      <c r="AF78" s="1257"/>
      <c r="AG78" s="1260" t="e">
        <f>VLOOKUP(AC78,ID_archer_cible,7,FALSE)</f>
        <v>#N/A</v>
      </c>
      <c r="AH78" s="1261"/>
      <c r="AI78" s="828" t="e">
        <f>VLOOKUP(AC78,ID_archer_cible,10,FALSE)</f>
        <v>#N/A</v>
      </c>
      <c r="AJ78" s="829" t="e">
        <f>IF(VLOOKUP(AE78,N°LicPRO,3,FALSE)="oui","COACH","")</f>
        <v>#N/A</v>
      </c>
      <c r="AK78" s="742" t="str">
        <f>IFERROR(VLOOKUP(AE78,N°LicPRO,2,FALSE),"")</f>
        <v/>
      </c>
    </row>
    <row r="79" spans="1:37" ht="45" customHeight="1" x14ac:dyDescent="0.2">
      <c r="B79" s="1255" t="e">
        <f>VLOOKUP(J79,ID_archer_cible,5,FALSE)&amp;"    "&amp;VLOOKUP(J79,ID_archer_cible,6,FALSE)</f>
        <v>#N/A</v>
      </c>
      <c r="C79" s="1255"/>
      <c r="D79" s="1255"/>
      <c r="E79" s="1255"/>
      <c r="F79" s="1255"/>
      <c r="G79" s="1255"/>
      <c r="H79" s="1255"/>
      <c r="I79" s="1255"/>
      <c r="J79" s="624" t="str">
        <f>P70&amp;"B"</f>
        <v>3B</v>
      </c>
      <c r="K79" s="574" t="e">
        <f>VLOOKUP(J79,ID_archer_cible,9,FALSE)</f>
        <v>#N/A</v>
      </c>
      <c r="L79" s="1256" t="e">
        <f>VLOOKUP(J79,ID_archer_cible,8,FALSE)</f>
        <v>#N/A</v>
      </c>
      <c r="M79" s="1257"/>
      <c r="N79" s="1260" t="e">
        <f>VLOOKUP(J79,ID_archer_cible,7,FALSE)</f>
        <v>#N/A</v>
      </c>
      <c r="O79" s="1261"/>
      <c r="P79" s="828" t="e">
        <f>VLOOKUP(J79,ID_archer_cible,10,FALSE)</f>
        <v>#N/A</v>
      </c>
      <c r="Q79" s="829" t="e">
        <f>IF(VLOOKUP(L79,N°LicPRO,3,FALSE)="oui","COACH","")</f>
        <v>#N/A</v>
      </c>
      <c r="R79" s="742" t="str">
        <f>IFERROR(VLOOKUP(L79,N°LicPRO,2,FALSE),"")</f>
        <v/>
      </c>
      <c r="S79" s="646" t="s">
        <v>995</v>
      </c>
      <c r="U79" s="1255" t="e">
        <f>VLOOKUP(AC79,ID_archer_cible,5,FALSE)&amp;"    "&amp;VLOOKUP(AC79,ID_archer_cible,6,FALSE)</f>
        <v>#N/A</v>
      </c>
      <c r="V79" s="1255"/>
      <c r="W79" s="1255"/>
      <c r="X79" s="1255"/>
      <c r="Y79" s="1255"/>
      <c r="Z79" s="1255"/>
      <c r="AA79" s="1255"/>
      <c r="AB79" s="1255"/>
      <c r="AC79" s="624" t="str">
        <f>AI70&amp;"B"</f>
        <v>3B</v>
      </c>
      <c r="AD79" s="574" t="e">
        <f>VLOOKUP(AC79,ID_archer_cible,9,FALSE)</f>
        <v>#N/A</v>
      </c>
      <c r="AE79" s="1256" t="e">
        <f>VLOOKUP(AC79,ID_archer_cible,8,FALSE)</f>
        <v>#N/A</v>
      </c>
      <c r="AF79" s="1257"/>
      <c r="AG79" s="1260" t="e">
        <f>VLOOKUP(AC79,ID_archer_cible,7,FALSE)</f>
        <v>#N/A</v>
      </c>
      <c r="AH79" s="1261"/>
      <c r="AI79" s="828" t="e">
        <f>VLOOKUP(AC79,ID_archer_cible,10,FALSE)</f>
        <v>#N/A</v>
      </c>
      <c r="AJ79" s="829" t="e">
        <f>IF(VLOOKUP(AE79,N°LicPRO,3,FALSE)="oui","COACH","")</f>
        <v>#N/A</v>
      </c>
      <c r="AK79" s="742" t="str">
        <f>IFERROR(VLOOKUP(AE79,N°LicPRO,2,FALSE),"")</f>
        <v/>
      </c>
    </row>
    <row r="80" spans="1:37" ht="45" customHeight="1" x14ac:dyDescent="0.2">
      <c r="B80" s="1255" t="e">
        <f>VLOOKUP(J80,ID_archer_cible,5,FALSE)&amp;"    "&amp;VLOOKUP(J80,ID_archer_cible,6,FALSE)</f>
        <v>#N/A</v>
      </c>
      <c r="C80" s="1255"/>
      <c r="D80" s="1255"/>
      <c r="E80" s="1255"/>
      <c r="F80" s="1255"/>
      <c r="G80" s="1255"/>
      <c r="H80" s="1255"/>
      <c r="I80" s="1255"/>
      <c r="J80" s="624" t="str">
        <f>P70&amp;"C"</f>
        <v>3C</v>
      </c>
      <c r="K80" s="574" t="e">
        <f>VLOOKUP(J80,ID_archer_cible,9,FALSE)</f>
        <v>#N/A</v>
      </c>
      <c r="L80" s="1256" t="e">
        <f>VLOOKUP(J80,ID_archer_cible,8,FALSE)</f>
        <v>#N/A</v>
      </c>
      <c r="M80" s="1257"/>
      <c r="N80" s="1260" t="e">
        <f>VLOOKUP(J80,ID_archer_cible,7,FALSE)</f>
        <v>#N/A</v>
      </c>
      <c r="O80" s="1261"/>
      <c r="P80" s="828" t="e">
        <f>VLOOKUP(J80,ID_archer_cible,10,FALSE)</f>
        <v>#N/A</v>
      </c>
      <c r="Q80" s="829" t="e">
        <f>IF(VLOOKUP(L80,N°LicPRO,3,FALSE)="oui","COACH","")</f>
        <v>#N/A</v>
      </c>
      <c r="R80" s="742" t="str">
        <f>IFERROR(VLOOKUP(L80,N°LicPRO,2,FALSE),"")</f>
        <v/>
      </c>
      <c r="S80" s="571" t="s">
        <v>994</v>
      </c>
      <c r="U80" s="1255" t="e">
        <f>VLOOKUP(AC80,ID_archer_cible,5,FALSE)&amp;"    "&amp;VLOOKUP(AC80,ID_archer_cible,6,FALSE)</f>
        <v>#N/A</v>
      </c>
      <c r="V80" s="1255"/>
      <c r="W80" s="1255"/>
      <c r="X80" s="1255"/>
      <c r="Y80" s="1255"/>
      <c r="Z80" s="1255"/>
      <c r="AA80" s="1255"/>
      <c r="AB80" s="1255"/>
      <c r="AC80" s="624" t="str">
        <f>AI70&amp;"C"</f>
        <v>3C</v>
      </c>
      <c r="AD80" s="574" t="e">
        <f>VLOOKUP(AC80,ID_archer_cible,9,FALSE)</f>
        <v>#N/A</v>
      </c>
      <c r="AE80" s="1256" t="e">
        <f>VLOOKUP(AC80,ID_archer_cible,8,FALSE)</f>
        <v>#N/A</v>
      </c>
      <c r="AF80" s="1257"/>
      <c r="AG80" s="1260" t="e">
        <f>VLOOKUP(AC80,ID_archer_cible,7,FALSE)</f>
        <v>#N/A</v>
      </c>
      <c r="AH80" s="1261"/>
      <c r="AI80" s="828" t="e">
        <f>VLOOKUP(AC80,ID_archer_cible,10,FALSE)</f>
        <v>#N/A</v>
      </c>
      <c r="AJ80" s="829" t="e">
        <f>IF(VLOOKUP(AE80,N°LicPRO,3,FALSE)="oui","COACH","")</f>
        <v>#N/A</v>
      </c>
      <c r="AK80" s="742" t="str">
        <f>IFERROR(VLOOKUP(AE80,N°LicPRO,2,FALSE),"")</f>
        <v/>
      </c>
    </row>
    <row r="81" spans="2:37" ht="45" customHeight="1" x14ac:dyDescent="0.2">
      <c r="B81" s="1255" t="e">
        <f>VLOOKUP(J81,ID_archer_cible,5,FALSE)&amp;"    "&amp;VLOOKUP(J81,ID_archer_cible,6,FALSE)</f>
        <v>#N/A</v>
      </c>
      <c r="C81" s="1255"/>
      <c r="D81" s="1255"/>
      <c r="E81" s="1255"/>
      <c r="F81" s="1255"/>
      <c r="G81" s="1255"/>
      <c r="H81" s="1255"/>
      <c r="I81" s="1255"/>
      <c r="J81" s="624" t="str">
        <f>P70&amp;"D"</f>
        <v>3D</v>
      </c>
      <c r="K81" s="574" t="e">
        <f>VLOOKUP(J81,ID_archer_cible,9,FALSE)</f>
        <v>#N/A</v>
      </c>
      <c r="L81" s="1256" t="e">
        <f>VLOOKUP(J81,ID_archer_cible,8,FALSE)</f>
        <v>#N/A</v>
      </c>
      <c r="M81" s="1257"/>
      <c r="N81" s="1260" t="e">
        <f>VLOOKUP(J81,ID_archer_cible,7,FALSE)</f>
        <v>#N/A</v>
      </c>
      <c r="O81" s="1261"/>
      <c r="P81" s="828" t="e">
        <f>VLOOKUP(J81,ID_archer_cible,10,FALSE)</f>
        <v>#N/A</v>
      </c>
      <c r="Q81" s="829" t="e">
        <f>IF(VLOOKUP(L81,N°LicPRO,3,FALSE)="oui","COACH","")</f>
        <v>#N/A</v>
      </c>
      <c r="R81" s="742" t="str">
        <f>IFERROR(VLOOKUP(L81,N°LicPRO,2,FALSE),"")</f>
        <v/>
      </c>
      <c r="S81" s="571" t="s">
        <v>994</v>
      </c>
      <c r="U81" s="1255" t="e">
        <f>VLOOKUP(AC81,ID_archer_cible,5,FALSE)&amp;"    "&amp;VLOOKUP(AC81,ID_archer_cible,6,FALSE)</f>
        <v>#N/A</v>
      </c>
      <c r="V81" s="1255"/>
      <c r="W81" s="1255"/>
      <c r="X81" s="1255"/>
      <c r="Y81" s="1255"/>
      <c r="Z81" s="1255"/>
      <c r="AA81" s="1255"/>
      <c r="AB81" s="1255"/>
      <c r="AC81" s="624" t="str">
        <f>AI70&amp;"D"</f>
        <v>3D</v>
      </c>
      <c r="AD81" s="574" t="e">
        <f>VLOOKUP(AC81,ID_archer_cible,9,FALSE)</f>
        <v>#N/A</v>
      </c>
      <c r="AE81" s="1256" t="e">
        <f>VLOOKUP(AC81,ID_archer_cible,8,FALSE)</f>
        <v>#N/A</v>
      </c>
      <c r="AF81" s="1257"/>
      <c r="AG81" s="1260" t="e">
        <f>VLOOKUP(AC81,ID_archer_cible,7,FALSE)</f>
        <v>#N/A</v>
      </c>
      <c r="AH81" s="1261"/>
      <c r="AI81" s="828" t="e">
        <f>VLOOKUP(AC81,ID_archer_cible,10,FALSE)</f>
        <v>#N/A</v>
      </c>
      <c r="AJ81" s="829" t="e">
        <f>IF(VLOOKUP(AE81,N°LicPRO,3,FALSE)="oui","COACH","")</f>
        <v>#N/A</v>
      </c>
      <c r="AK81" s="742" t="str">
        <f>IFERROR(VLOOKUP(AE81,N°LicPRO,2,FALSE),"")</f>
        <v/>
      </c>
    </row>
    <row r="82" spans="2:37" ht="15" customHeight="1" x14ac:dyDescent="0.2">
      <c r="S82" s="646" t="s">
        <v>995</v>
      </c>
    </row>
    <row r="83" spans="2:37" ht="15" customHeight="1" x14ac:dyDescent="0.2">
      <c r="B83" s="508" t="s">
        <v>975</v>
      </c>
      <c r="S83" s="571" t="s">
        <v>994</v>
      </c>
      <c r="U83" s="508" t="s">
        <v>975</v>
      </c>
    </row>
    <row r="84" spans="2:37" ht="15" customHeight="1" x14ac:dyDescent="0.2">
      <c r="B84" s="1259" t="s">
        <v>974</v>
      </c>
      <c r="C84" s="1259"/>
      <c r="D84" s="1259"/>
      <c r="E84" s="1259"/>
      <c r="F84" s="1199" t="str">
        <f>Info_TirQ</f>
        <v>J2 8:30-9:00 Ent. 9:00-10:30 Tirs Qual.</v>
      </c>
      <c r="G84" s="1199"/>
      <c r="H84" s="1199"/>
      <c r="I84" s="1199"/>
      <c r="J84" s="1199"/>
      <c r="K84" s="1258" t="s">
        <v>978</v>
      </c>
      <c r="L84" s="1258"/>
      <c r="M84" s="1258"/>
      <c r="N84" s="1258"/>
      <c r="O84" s="1258"/>
      <c r="S84" s="571" t="s">
        <v>994</v>
      </c>
      <c r="U84" s="1259" t="s">
        <v>974</v>
      </c>
      <c r="V84" s="1259"/>
      <c r="W84" s="1259"/>
      <c r="X84" s="1259"/>
      <c r="Y84" s="1199" t="str">
        <f>Info_TirQ</f>
        <v>J2 8:30-9:00 Ent. 9:00-10:30 Tirs Qual.</v>
      </c>
      <c r="Z84" s="1199"/>
      <c r="AA84" s="1199"/>
      <c r="AB84" s="1199"/>
      <c r="AC84" s="1199"/>
      <c r="AD84" s="1258" t="s">
        <v>978</v>
      </c>
      <c r="AE84" s="1258"/>
      <c r="AF84" s="1258"/>
      <c r="AG84" s="1258"/>
      <c r="AH84" s="1258"/>
    </row>
    <row r="85" spans="2:37" ht="15" customHeight="1" x14ac:dyDescent="0.2">
      <c r="B85" s="1259" t="s">
        <v>484</v>
      </c>
      <c r="C85" s="1259"/>
      <c r="D85" s="1259"/>
      <c r="E85" s="1259"/>
      <c r="F85" s="1199" t="str">
        <f>Info_D1</f>
        <v>J2 13:30-14:20  1er DUEL</v>
      </c>
      <c r="G85" s="1199"/>
      <c r="H85" s="1199"/>
      <c r="I85" s="1199"/>
      <c r="J85" s="1199"/>
      <c r="K85" s="1258"/>
      <c r="L85" s="1258"/>
      <c r="M85" s="1258"/>
      <c r="N85" s="1258"/>
      <c r="O85" s="1258"/>
      <c r="S85" s="646" t="s">
        <v>995</v>
      </c>
      <c r="U85" s="1259" t="s">
        <v>484</v>
      </c>
      <c r="V85" s="1259"/>
      <c r="W85" s="1259"/>
      <c r="X85" s="1259"/>
      <c r="Y85" s="1199" t="str">
        <f>Info_D1</f>
        <v>J2 13:30-14:20  1er DUEL</v>
      </c>
      <c r="Z85" s="1199"/>
      <c r="AA85" s="1199"/>
      <c r="AB85" s="1199"/>
      <c r="AC85" s="1199"/>
      <c r="AD85" s="1258"/>
      <c r="AE85" s="1258"/>
      <c r="AF85" s="1258"/>
      <c r="AG85" s="1258"/>
      <c r="AH85" s="1258"/>
    </row>
    <row r="86" spans="2:37" ht="15" customHeight="1" x14ac:dyDescent="0.2">
      <c r="B86" s="1259" t="s">
        <v>972</v>
      </c>
      <c r="C86" s="1259"/>
      <c r="D86" s="1259"/>
      <c r="E86" s="1259"/>
      <c r="F86" s="1199" t="str">
        <f>Info_D2</f>
        <v>J2 14:30-15:20 2ème DUEL</v>
      </c>
      <c r="G86" s="1199"/>
      <c r="H86" s="1199"/>
      <c r="I86" s="1199"/>
      <c r="J86" s="1199"/>
      <c r="K86" s="1258"/>
      <c r="L86" s="1258"/>
      <c r="M86" s="1258"/>
      <c r="N86" s="1258"/>
      <c r="O86" s="1258"/>
      <c r="S86" s="571" t="s">
        <v>994</v>
      </c>
      <c r="U86" s="1259" t="s">
        <v>972</v>
      </c>
      <c r="V86" s="1259"/>
      <c r="W86" s="1259"/>
      <c r="X86" s="1259"/>
      <c r="Y86" s="1199" t="str">
        <f>Info_D2</f>
        <v>J2 14:30-15:20 2ème DUEL</v>
      </c>
      <c r="Z86" s="1199"/>
      <c r="AA86" s="1199"/>
      <c r="AB86" s="1199"/>
      <c r="AC86" s="1199"/>
      <c r="AD86" s="1258"/>
      <c r="AE86" s="1258"/>
      <c r="AF86" s="1258"/>
      <c r="AG86" s="1258"/>
      <c r="AH86" s="1258"/>
    </row>
    <row r="87" spans="2:37" ht="15" customHeight="1" x14ac:dyDescent="0.2">
      <c r="B87" s="1259" t="s">
        <v>973</v>
      </c>
      <c r="C87" s="1259"/>
      <c r="D87" s="1259"/>
      <c r="E87" s="1259"/>
      <c r="F87" s="1199" t="str">
        <f>Info_D3</f>
        <v>J3 10-10:50 Match pl. 5 à +  ETAB - EX</v>
      </c>
      <c r="G87" s="1199"/>
      <c r="H87" s="1199"/>
      <c r="I87" s="1199"/>
      <c r="J87" s="1199"/>
      <c r="K87" s="1258"/>
      <c r="L87" s="1258"/>
      <c r="M87" s="1258"/>
      <c r="N87" s="1258"/>
      <c r="O87" s="1258"/>
      <c r="S87" s="571" t="s">
        <v>994</v>
      </c>
      <c r="U87" s="1259" t="s">
        <v>973</v>
      </c>
      <c r="V87" s="1259"/>
      <c r="W87" s="1259"/>
      <c r="X87" s="1259"/>
      <c r="Y87" s="1199" t="str">
        <f>Info_D3</f>
        <v>J3 10-10:50 Match pl. 5 à +  ETAB - EX</v>
      </c>
      <c r="Z87" s="1199"/>
      <c r="AA87" s="1199"/>
      <c r="AB87" s="1199"/>
      <c r="AC87" s="1199"/>
      <c r="AD87" s="1258"/>
      <c r="AE87" s="1258"/>
      <c r="AF87" s="1258"/>
      <c r="AG87" s="1258"/>
      <c r="AH87" s="1258"/>
    </row>
    <row r="88" spans="2:37" ht="24.75" customHeight="1" x14ac:dyDescent="0.2">
      <c r="B88" s="626" t="s">
        <v>976</v>
      </c>
      <c r="S88" s="646" t="s">
        <v>995</v>
      </c>
      <c r="U88" s="626" t="s">
        <v>976</v>
      </c>
    </row>
    <row r="89" spans="2:37" ht="134.25" customHeight="1" x14ac:dyDescent="0.2">
      <c r="B89"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C89" s="1264"/>
      <c r="D89" s="1264"/>
      <c r="E89" s="1264"/>
      <c r="F89" s="1264"/>
      <c r="G89" s="1264"/>
      <c r="H89" s="1264"/>
      <c r="I89" s="1264"/>
      <c r="J89" s="1264"/>
      <c r="K89" s="1264"/>
      <c r="L89" s="1264"/>
      <c r="M89" s="1264"/>
      <c r="N89" s="1264"/>
      <c r="O89" s="1264"/>
      <c r="P89" s="1265"/>
      <c r="S89" s="571" t="s">
        <v>994</v>
      </c>
      <c r="U89"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V89" s="1264"/>
      <c r="W89" s="1264"/>
      <c r="X89" s="1264"/>
      <c r="Y89" s="1264"/>
      <c r="Z89" s="1264"/>
      <c r="AA89" s="1264"/>
      <c r="AB89" s="1264"/>
      <c r="AC89" s="1264"/>
      <c r="AD89" s="1264"/>
      <c r="AE89" s="1264"/>
      <c r="AF89" s="1264"/>
      <c r="AG89" s="1264"/>
      <c r="AH89" s="1264"/>
      <c r="AI89" s="1265"/>
    </row>
    <row r="90" spans="2:37" ht="15" customHeight="1" x14ac:dyDescent="0.2">
      <c r="C90" s="508" t="s">
        <v>964</v>
      </c>
      <c r="K90" s="508" t="s">
        <v>965</v>
      </c>
      <c r="O90" s="508" t="s">
        <v>966</v>
      </c>
      <c r="S90" s="571" t="s">
        <v>994</v>
      </c>
      <c r="V90" s="508" t="s">
        <v>964</v>
      </c>
      <c r="AD90" s="508" t="s">
        <v>965</v>
      </c>
      <c r="AH90" s="508" t="s">
        <v>966</v>
      </c>
    </row>
    <row r="91" spans="2:37" ht="15" customHeight="1" x14ac:dyDescent="0.2">
      <c r="S91" s="646" t="s">
        <v>995</v>
      </c>
    </row>
    <row r="92" spans="2:37" ht="15" customHeight="1" x14ac:dyDescent="0.2">
      <c r="S92" s="571" t="s">
        <v>994</v>
      </c>
    </row>
    <row r="93" spans="2:37" ht="15" customHeight="1" x14ac:dyDescent="0.2">
      <c r="S93" s="571" t="s">
        <v>994</v>
      </c>
    </row>
    <row r="94" spans="2:37" ht="15" customHeight="1" x14ac:dyDescent="0.2">
      <c r="S94" s="646" t="s">
        <v>995</v>
      </c>
    </row>
    <row r="95" spans="2:37" ht="15" customHeight="1" x14ac:dyDescent="0.2">
      <c r="S95" s="571" t="s">
        <v>994</v>
      </c>
    </row>
    <row r="96" spans="2:37" x14ac:dyDescent="0.2">
      <c r="S96" s="571" t="s">
        <v>994</v>
      </c>
    </row>
    <row r="97" spans="1:37" ht="21.75" x14ac:dyDescent="0.2">
      <c r="S97" s="646" t="s">
        <v>995</v>
      </c>
    </row>
    <row r="98" spans="1:37" ht="30" x14ac:dyDescent="0.2">
      <c r="A98" s="1262" t="str">
        <f>Championnat</f>
        <v>Championnat de France de Tir à l'ARC</v>
      </c>
      <c r="B98" s="1262"/>
      <c r="C98" s="1262"/>
      <c r="D98" s="1262"/>
      <c r="E98" s="1262"/>
      <c r="F98" s="1262"/>
      <c r="G98" s="1262"/>
      <c r="H98" s="1262"/>
      <c r="I98" s="1262"/>
      <c r="J98" s="1262"/>
      <c r="K98" s="1262"/>
      <c r="L98" s="1262"/>
      <c r="M98" s="1262"/>
      <c r="N98" s="1262"/>
      <c r="O98" s="1262"/>
      <c r="P98" s="1262"/>
      <c r="Q98" s="1262"/>
      <c r="R98" s="1262"/>
      <c r="S98" s="571" t="s">
        <v>994</v>
      </c>
      <c r="T98" s="1262" t="str">
        <f>Championnat</f>
        <v>Championnat de France de Tir à l'ARC</v>
      </c>
      <c r="U98" s="1262"/>
      <c r="V98" s="1262"/>
      <c r="W98" s="1262"/>
      <c r="X98" s="1262"/>
      <c r="Y98" s="1262"/>
      <c r="Z98" s="1262"/>
      <c r="AA98" s="1262"/>
      <c r="AB98" s="1262"/>
      <c r="AC98" s="1262"/>
      <c r="AD98" s="1262"/>
      <c r="AE98" s="1262"/>
      <c r="AF98" s="1262"/>
      <c r="AG98" s="1262"/>
      <c r="AH98" s="1262"/>
      <c r="AI98" s="1262"/>
      <c r="AJ98" s="1262"/>
      <c r="AK98" s="1262"/>
    </row>
    <row r="99" spans="1:37" ht="24.75" customHeight="1" x14ac:dyDescent="0.2">
      <c r="A99" s="1184" t="str">
        <f>LIEU&amp;" du "&amp;DATE</f>
        <v>L’Isle sur la Sorgue du 27 au 31 mars 2023</v>
      </c>
      <c r="B99" s="1184"/>
      <c r="C99" s="1184"/>
      <c r="D99" s="1184"/>
      <c r="E99" s="1184"/>
      <c r="F99" s="1184"/>
      <c r="G99" s="1184"/>
      <c r="H99" s="1184"/>
      <c r="I99" s="1184"/>
      <c r="J99" s="1184"/>
      <c r="K99" s="1184"/>
      <c r="L99" s="1184"/>
      <c r="M99" s="1184"/>
      <c r="N99" s="1184"/>
      <c r="O99" s="1184"/>
      <c r="P99" s="1184"/>
      <c r="Q99" s="1184"/>
      <c r="R99" s="1184"/>
      <c r="S99" s="571" t="s">
        <v>994</v>
      </c>
      <c r="T99" s="1184" t="str">
        <f>LIEU&amp;" du "&amp;DATE</f>
        <v>L’Isle sur la Sorgue du 27 au 31 mars 2023</v>
      </c>
      <c r="U99" s="1184"/>
      <c r="V99" s="1184"/>
      <c r="W99" s="1184"/>
      <c r="X99" s="1184"/>
      <c r="Y99" s="1184"/>
      <c r="Z99" s="1184"/>
      <c r="AA99" s="1184"/>
      <c r="AB99" s="1184"/>
      <c r="AC99" s="1184"/>
      <c r="AD99" s="1184"/>
      <c r="AE99" s="1184"/>
      <c r="AF99" s="1184"/>
      <c r="AG99" s="1184"/>
      <c r="AH99" s="1184"/>
      <c r="AI99" s="1184"/>
      <c r="AJ99" s="1184"/>
      <c r="AK99" s="1184"/>
    </row>
    <row r="100" spans="1:37" s="218" customFormat="1" ht="40.5" customHeight="1" x14ac:dyDescent="0.2">
      <c r="A100" s="1268" t="str">
        <f>CATEG_IMPORTEE</f>
        <v>Collèges Mixtes Etablissement</v>
      </c>
      <c r="B100" s="1268"/>
      <c r="C100" s="1268"/>
      <c r="D100" s="1268"/>
      <c r="E100" s="1268"/>
      <c r="F100" s="1268"/>
      <c r="G100" s="1268"/>
      <c r="H100" s="1268"/>
      <c r="I100" s="1268"/>
      <c r="J100" s="1268"/>
      <c r="K100" s="1268"/>
      <c r="L100" s="1268"/>
      <c r="M100" s="1268"/>
      <c r="N100" s="1268"/>
      <c r="O100" s="1268"/>
      <c r="P100" s="1268"/>
      <c r="Q100" s="1268"/>
      <c r="R100" s="1268"/>
      <c r="S100" s="646" t="s">
        <v>995</v>
      </c>
      <c r="T100" s="1268" t="str">
        <f>CATEG_IMPORTEE</f>
        <v>Collèges Mixtes Etablissement</v>
      </c>
      <c r="U100" s="1268"/>
      <c r="V100" s="1268"/>
      <c r="W100" s="1268"/>
      <c r="X100" s="1268"/>
      <c r="Y100" s="1268"/>
      <c r="Z100" s="1268"/>
      <c r="AA100" s="1268"/>
      <c r="AB100" s="1268"/>
      <c r="AC100" s="1268"/>
      <c r="AD100" s="1268"/>
      <c r="AE100" s="1268"/>
      <c r="AF100" s="1268"/>
      <c r="AG100" s="1268"/>
      <c r="AH100" s="1268"/>
      <c r="AI100" s="1268"/>
      <c r="AJ100" s="1268"/>
      <c r="AK100" s="1268"/>
    </row>
    <row r="101" spans="1:37" s="218" customFormat="1" ht="19.5" customHeight="1" x14ac:dyDescent="0.2">
      <c r="A101" s="625"/>
      <c r="B101" s="625"/>
      <c r="C101" s="625"/>
      <c r="D101" s="625"/>
      <c r="E101" s="625"/>
      <c r="F101" s="625"/>
      <c r="G101" s="625"/>
      <c r="H101" s="625"/>
      <c r="I101" s="625"/>
      <c r="J101" s="625"/>
      <c r="K101" s="625"/>
      <c r="L101" s="625"/>
      <c r="M101" s="625"/>
      <c r="N101" s="625"/>
      <c r="O101" s="625"/>
      <c r="P101" s="625"/>
      <c r="Q101" s="625"/>
      <c r="R101" s="625"/>
      <c r="S101" s="571" t="s">
        <v>994</v>
      </c>
      <c r="T101" s="625"/>
      <c r="U101" s="625"/>
      <c r="V101" s="625"/>
      <c r="W101" s="625"/>
      <c r="X101" s="625"/>
      <c r="Y101" s="625"/>
      <c r="Z101" s="625"/>
      <c r="AA101" s="625"/>
      <c r="AB101" s="625"/>
      <c r="AC101" s="625"/>
      <c r="AD101" s="625"/>
      <c r="AE101" s="625"/>
      <c r="AF101" s="625"/>
      <c r="AG101" s="625"/>
      <c r="AH101" s="625"/>
      <c r="AI101" s="625"/>
      <c r="AJ101" s="625"/>
      <c r="AK101" s="625"/>
    </row>
    <row r="102" spans="1:37" ht="47.25" customHeight="1" x14ac:dyDescent="0.2">
      <c r="A102" s="620"/>
      <c r="B102" s="620"/>
      <c r="C102" s="620"/>
      <c r="D102" s="620"/>
      <c r="E102" s="620"/>
      <c r="F102" s="620"/>
      <c r="G102" s="620"/>
      <c r="H102" s="620"/>
      <c r="I102" s="620"/>
      <c r="J102" s="620"/>
      <c r="K102" s="620"/>
      <c r="L102" s="620"/>
      <c r="M102" s="620"/>
      <c r="N102" s="1072" t="s">
        <v>628</v>
      </c>
      <c r="O102" s="1073"/>
      <c r="P102" s="1271">
        <f>P70+1</f>
        <v>4</v>
      </c>
      <c r="Q102" s="1271"/>
      <c r="R102" s="1271"/>
      <c r="S102" s="571" t="s">
        <v>994</v>
      </c>
      <c r="T102" s="620"/>
      <c r="U102" s="620"/>
      <c r="V102" s="620"/>
      <c r="W102" s="620"/>
      <c r="X102" s="620"/>
      <c r="Y102" s="620"/>
      <c r="Z102" s="620"/>
      <c r="AA102" s="620"/>
      <c r="AB102" s="620"/>
      <c r="AC102" s="620"/>
      <c r="AD102" s="620"/>
      <c r="AE102" s="620"/>
      <c r="AF102" s="620"/>
      <c r="AG102" s="1072" t="s">
        <v>628</v>
      </c>
      <c r="AH102" s="1073"/>
      <c r="AI102" s="1271">
        <f>AI70+1</f>
        <v>4</v>
      </c>
      <c r="AJ102" s="1271"/>
      <c r="AK102" s="1271"/>
    </row>
    <row r="103" spans="1:37" ht="36.75" customHeight="1" x14ac:dyDescent="0.2">
      <c r="A103" s="1272" t="e">
        <f>VLOOKUP(J110,ID_archer_cible,2,FALSE)</f>
        <v>#N/A</v>
      </c>
      <c r="B103" s="1272"/>
      <c r="C103" s="1272"/>
      <c r="D103" s="1272"/>
      <c r="E103" s="1272"/>
      <c r="F103" s="1272"/>
      <c r="G103" s="1272"/>
      <c r="H103" s="1272"/>
      <c r="I103" s="1272"/>
      <c r="J103" s="1272"/>
      <c r="K103" s="1272"/>
      <c r="L103" s="1272"/>
      <c r="M103" s="1272"/>
      <c r="N103" s="1272"/>
      <c r="O103" s="1272"/>
      <c r="P103" s="1272"/>
      <c r="Q103" s="1272"/>
      <c r="R103" s="1272"/>
      <c r="S103" s="646" t="s">
        <v>995</v>
      </c>
      <c r="T103" s="1272" t="e">
        <f>VLOOKUP(AC110,ID_archer_cible,2,FALSE)</f>
        <v>#N/A</v>
      </c>
      <c r="U103" s="1272"/>
      <c r="V103" s="1272"/>
      <c r="W103" s="1272"/>
      <c r="X103" s="1272"/>
      <c r="Y103" s="1272"/>
      <c r="Z103" s="1272"/>
      <c r="AA103" s="1272"/>
      <c r="AB103" s="1272"/>
      <c r="AC103" s="1272"/>
      <c r="AD103" s="1272"/>
      <c r="AE103" s="1272"/>
      <c r="AF103" s="1272"/>
      <c r="AG103" s="1272"/>
      <c r="AH103" s="1272"/>
      <c r="AI103" s="1272"/>
      <c r="AJ103" s="1272"/>
      <c r="AK103" s="1272"/>
    </row>
    <row r="104" spans="1:37" ht="21.75" customHeight="1" x14ac:dyDescent="0.2">
      <c r="I104" s="621"/>
      <c r="J104" s="621"/>
      <c r="K104" s="621"/>
      <c r="L104" s="621"/>
      <c r="M104" s="621"/>
      <c r="N104" s="621"/>
      <c r="P104" s="619"/>
      <c r="Q104" s="619"/>
      <c r="R104" s="619"/>
      <c r="S104" s="571" t="s">
        <v>994</v>
      </c>
      <c r="AB104" s="621"/>
      <c r="AC104" s="621"/>
      <c r="AD104" s="621"/>
      <c r="AE104" s="621"/>
      <c r="AF104" s="621"/>
      <c r="AG104" s="621"/>
      <c r="AI104" s="619"/>
      <c r="AJ104" s="619"/>
      <c r="AK104" s="619"/>
    </row>
    <row r="105" spans="1:37" ht="17.25" customHeight="1" x14ac:dyDescent="0.2">
      <c r="A105" s="1125"/>
      <c r="B105" s="1125"/>
      <c r="C105" s="1125"/>
      <c r="D105" s="1125"/>
      <c r="E105" s="1125"/>
      <c r="F105" s="1125"/>
      <c r="G105" s="1125"/>
      <c r="H105" s="1125"/>
      <c r="I105" s="1125"/>
      <c r="J105" s="1125"/>
      <c r="K105" s="1125"/>
      <c r="L105" s="1125" t="s">
        <v>374</v>
      </c>
      <c r="M105" s="1125"/>
      <c r="N105" s="1125"/>
      <c r="O105" s="1125"/>
      <c r="P105" s="1125"/>
      <c r="Q105" s="1125"/>
      <c r="R105" s="1125"/>
      <c r="S105" s="571" t="s">
        <v>994</v>
      </c>
      <c r="T105" s="1125"/>
      <c r="U105" s="1125"/>
      <c r="V105" s="1125"/>
      <c r="W105" s="1125"/>
      <c r="X105" s="1125"/>
      <c r="Y105" s="1125"/>
      <c r="Z105" s="1125"/>
      <c r="AA105" s="1125"/>
      <c r="AB105" s="1125"/>
      <c r="AC105" s="1125"/>
      <c r="AD105" s="1125"/>
      <c r="AE105" s="1125" t="s">
        <v>374</v>
      </c>
      <c r="AF105" s="1125"/>
      <c r="AG105" s="1125"/>
      <c r="AH105" s="1125"/>
      <c r="AI105" s="1125"/>
      <c r="AJ105" s="1125"/>
      <c r="AK105" s="1125"/>
    </row>
    <row r="106" spans="1:37" ht="32.25" customHeight="1" x14ac:dyDescent="0.2">
      <c r="A106" s="1269" t="e">
        <f>VLOOKUP(J110,ID_archer_cible,3,FALSE)</f>
        <v>#N/A</v>
      </c>
      <c r="B106" s="1269"/>
      <c r="C106" s="1269"/>
      <c r="D106" s="1269"/>
      <c r="E106" s="1269"/>
      <c r="F106" s="1269"/>
      <c r="G106" s="1269"/>
      <c r="H106" s="1269"/>
      <c r="I106" s="1269"/>
      <c r="J106" s="1269"/>
      <c r="K106" s="1269"/>
      <c r="L106" s="1270" t="e">
        <f>VLOOKUP(J110,ID_archer_cible,4,FALSE)</f>
        <v>#N/A</v>
      </c>
      <c r="M106" s="1270"/>
      <c r="N106" s="1270"/>
      <c r="O106" s="1270"/>
      <c r="P106" s="1270"/>
      <c r="Q106" s="1270"/>
      <c r="R106" s="1270"/>
      <c r="S106" s="646" t="s">
        <v>995</v>
      </c>
      <c r="T106" s="1269" t="e">
        <f>VLOOKUP(AC110,ID_archer_cible,3,FALSE)</f>
        <v>#N/A</v>
      </c>
      <c r="U106" s="1269"/>
      <c r="V106" s="1269"/>
      <c r="W106" s="1269"/>
      <c r="X106" s="1269"/>
      <c r="Y106" s="1269"/>
      <c r="Z106" s="1269"/>
      <c r="AA106" s="1269"/>
      <c r="AB106" s="1269"/>
      <c r="AC106" s="1269"/>
      <c r="AD106" s="1269"/>
      <c r="AE106" s="1270" t="e">
        <f>VLOOKUP(AC110,ID_archer_cible,4,FALSE)</f>
        <v>#N/A</v>
      </c>
      <c r="AF106" s="1270"/>
      <c r="AG106" s="1270"/>
      <c r="AH106" s="1270"/>
      <c r="AI106" s="1270"/>
      <c r="AJ106" s="1270"/>
      <c r="AK106" s="1270"/>
    </row>
    <row r="107" spans="1:37" ht="17.25" customHeight="1" x14ac:dyDescent="0.2">
      <c r="E107" s="584"/>
      <c r="F107" s="584"/>
      <c r="G107" s="584"/>
      <c r="H107" s="584"/>
      <c r="I107" s="618"/>
      <c r="J107" s="618"/>
      <c r="K107" s="618"/>
      <c r="L107" s="618"/>
      <c r="M107" s="618"/>
      <c r="N107" s="618"/>
      <c r="P107" s="1266" t="str">
        <f>IFERROR(IF(AND(R110="oui",R111="oui",R112="oui",R113="oui"),"PRO",""),"")</f>
        <v/>
      </c>
      <c r="Q107" s="1266"/>
      <c r="R107" s="1266"/>
      <c r="S107" s="571" t="s">
        <v>994</v>
      </c>
      <c r="X107" s="584"/>
      <c r="Y107" s="584"/>
      <c r="Z107" s="584"/>
      <c r="AA107" s="584"/>
      <c r="AB107" s="618"/>
      <c r="AC107" s="618"/>
      <c r="AD107" s="618"/>
      <c r="AE107" s="618"/>
      <c r="AF107" s="618"/>
      <c r="AG107" s="618"/>
      <c r="AI107" s="1266" t="str">
        <f>IFERROR(IF(AND(AK110="oui",AK111="oui",AK112="oui",AK113="oui"),"PRO",""),"")</f>
        <v/>
      </c>
      <c r="AJ107" s="1266"/>
      <c r="AK107" s="1266"/>
    </row>
    <row r="108" spans="1:37" ht="20.25" customHeight="1" x14ac:dyDescent="0.2">
      <c r="P108" s="1267"/>
      <c r="Q108" s="1267"/>
      <c r="R108" s="1267"/>
      <c r="S108" s="571" t="s">
        <v>994</v>
      </c>
      <c r="AI108" s="1267"/>
      <c r="AJ108" s="1267"/>
      <c r="AK108" s="1267"/>
    </row>
    <row r="109" spans="1:37" ht="25.5" customHeight="1" x14ac:dyDescent="0.2">
      <c r="B109" s="1273" t="s">
        <v>906</v>
      </c>
      <c r="C109" s="1273"/>
      <c r="D109" s="1273"/>
      <c r="E109" s="1273"/>
      <c r="F109" s="1273"/>
      <c r="G109" s="1273"/>
      <c r="H109" s="1273"/>
      <c r="I109" s="1273"/>
      <c r="J109" s="622" t="s">
        <v>552</v>
      </c>
      <c r="K109" s="623" t="s">
        <v>893</v>
      </c>
      <c r="L109" s="1275" t="s">
        <v>550</v>
      </c>
      <c r="M109" s="1276"/>
      <c r="N109" s="1274" t="s">
        <v>905</v>
      </c>
      <c r="O109" s="1274"/>
      <c r="P109" s="1254" t="s">
        <v>551</v>
      </c>
      <c r="Q109" s="1254"/>
      <c r="R109" s="752" t="s">
        <v>1027</v>
      </c>
      <c r="S109" s="646" t="s">
        <v>995</v>
      </c>
      <c r="U109" s="1273" t="s">
        <v>906</v>
      </c>
      <c r="V109" s="1273"/>
      <c r="W109" s="1273"/>
      <c r="X109" s="1273"/>
      <c r="Y109" s="1273"/>
      <c r="Z109" s="1273"/>
      <c r="AA109" s="1273"/>
      <c r="AB109" s="1273"/>
      <c r="AC109" s="622" t="s">
        <v>552</v>
      </c>
      <c r="AD109" s="623" t="s">
        <v>893</v>
      </c>
      <c r="AE109" s="1275" t="s">
        <v>550</v>
      </c>
      <c r="AF109" s="1276"/>
      <c r="AG109" s="1274" t="s">
        <v>905</v>
      </c>
      <c r="AH109" s="1274"/>
      <c r="AI109" s="1254" t="s">
        <v>551</v>
      </c>
      <c r="AJ109" s="1254"/>
      <c r="AK109" s="752" t="s">
        <v>1027</v>
      </c>
    </row>
    <row r="110" spans="1:37" ht="45" customHeight="1" x14ac:dyDescent="0.2">
      <c r="B110" s="1255" t="e">
        <f>VLOOKUP(J110,ID_archer_cible,5,FALSE)&amp;"    "&amp;VLOOKUP(J110,ID_archer_cible,6,FALSE)</f>
        <v>#N/A</v>
      </c>
      <c r="C110" s="1255"/>
      <c r="D110" s="1255"/>
      <c r="E110" s="1255"/>
      <c r="F110" s="1255"/>
      <c r="G110" s="1255"/>
      <c r="H110" s="1255"/>
      <c r="I110" s="1255"/>
      <c r="J110" s="624" t="str">
        <f>P102&amp;"A"</f>
        <v>4A</v>
      </c>
      <c r="K110" s="574" t="e">
        <f>VLOOKUP(J110,ID_archer_cible,9,FALSE)</f>
        <v>#N/A</v>
      </c>
      <c r="L110" s="1256" t="e">
        <f>VLOOKUP(J110,ID_archer_cible,8,FALSE)</f>
        <v>#N/A</v>
      </c>
      <c r="M110" s="1257"/>
      <c r="N110" s="1260" t="e">
        <f>VLOOKUP(J110,ID_archer_cible,7,FALSE)</f>
        <v>#N/A</v>
      </c>
      <c r="O110" s="1261"/>
      <c r="P110" s="828" t="e">
        <f>VLOOKUP(J110,ID_archer_cible,10,FALSE)</f>
        <v>#N/A</v>
      </c>
      <c r="Q110" s="829" t="e">
        <f>IF(VLOOKUP(L110,N°LicPRO,3,FALSE)="oui","COACH","")</f>
        <v>#N/A</v>
      </c>
      <c r="R110" s="742" t="str">
        <f>IFERROR(VLOOKUP(L110,N°LicPRO,2,FALSE),"")</f>
        <v/>
      </c>
      <c r="S110" s="571" t="s">
        <v>994</v>
      </c>
      <c r="U110" s="1255" t="e">
        <f>VLOOKUP(AC110,ID_archer_cible,5,FALSE)&amp;"    "&amp;VLOOKUP(AC110,ID_archer_cible,6,FALSE)</f>
        <v>#N/A</v>
      </c>
      <c r="V110" s="1255"/>
      <c r="W110" s="1255"/>
      <c r="X110" s="1255"/>
      <c r="Y110" s="1255"/>
      <c r="Z110" s="1255"/>
      <c r="AA110" s="1255"/>
      <c r="AB110" s="1255"/>
      <c r="AC110" s="624" t="str">
        <f>AI102&amp;"A"</f>
        <v>4A</v>
      </c>
      <c r="AD110" s="574" t="e">
        <f>VLOOKUP(AC110,ID_archer_cible,9,FALSE)</f>
        <v>#N/A</v>
      </c>
      <c r="AE110" s="1256" t="e">
        <f>VLOOKUP(AC110,ID_archer_cible,8,FALSE)</f>
        <v>#N/A</v>
      </c>
      <c r="AF110" s="1257"/>
      <c r="AG110" s="1260" t="e">
        <f>VLOOKUP(AC110,ID_archer_cible,7,FALSE)</f>
        <v>#N/A</v>
      </c>
      <c r="AH110" s="1261"/>
      <c r="AI110" s="828" t="e">
        <f>VLOOKUP(AC110,ID_archer_cible,10,FALSE)</f>
        <v>#N/A</v>
      </c>
      <c r="AJ110" s="829" t="e">
        <f>IF(VLOOKUP(AE110,N°LicPRO,3,FALSE)="oui","COACH","")</f>
        <v>#N/A</v>
      </c>
      <c r="AK110" s="742" t="str">
        <f>IFERROR(VLOOKUP(AE110,N°LicPRO,2,FALSE),"")</f>
        <v/>
      </c>
    </row>
    <row r="111" spans="1:37" ht="45" customHeight="1" x14ac:dyDescent="0.2">
      <c r="B111" s="1255" t="e">
        <f>VLOOKUP(J111,ID_archer_cible,5,FALSE)&amp;"    "&amp;VLOOKUP(J111,ID_archer_cible,6,FALSE)</f>
        <v>#N/A</v>
      </c>
      <c r="C111" s="1255"/>
      <c r="D111" s="1255"/>
      <c r="E111" s="1255"/>
      <c r="F111" s="1255"/>
      <c r="G111" s="1255"/>
      <c r="H111" s="1255"/>
      <c r="I111" s="1255"/>
      <c r="J111" s="624" t="str">
        <f>P102&amp;"B"</f>
        <v>4B</v>
      </c>
      <c r="K111" s="574" t="e">
        <f>VLOOKUP(J111,ID_archer_cible,9,FALSE)</f>
        <v>#N/A</v>
      </c>
      <c r="L111" s="1256" t="e">
        <f>VLOOKUP(J111,ID_archer_cible,8,FALSE)</f>
        <v>#N/A</v>
      </c>
      <c r="M111" s="1257"/>
      <c r="N111" s="1260" t="e">
        <f>VLOOKUP(J111,ID_archer_cible,7,FALSE)</f>
        <v>#N/A</v>
      </c>
      <c r="O111" s="1261"/>
      <c r="P111" s="828" t="e">
        <f>VLOOKUP(J111,ID_archer_cible,10,FALSE)</f>
        <v>#N/A</v>
      </c>
      <c r="Q111" s="829" t="e">
        <f>IF(VLOOKUP(L111,N°LicPRO,3,FALSE)="oui","COACH","")</f>
        <v>#N/A</v>
      </c>
      <c r="R111" s="742" t="str">
        <f>IFERROR(VLOOKUP(L111,N°LicPRO,2,FALSE),"")</f>
        <v/>
      </c>
      <c r="S111" s="571" t="s">
        <v>994</v>
      </c>
      <c r="U111" s="1255" t="e">
        <f>VLOOKUP(AC111,ID_archer_cible,5,FALSE)&amp;"    "&amp;VLOOKUP(AC111,ID_archer_cible,6,FALSE)</f>
        <v>#N/A</v>
      </c>
      <c r="V111" s="1255"/>
      <c r="W111" s="1255"/>
      <c r="X111" s="1255"/>
      <c r="Y111" s="1255"/>
      <c r="Z111" s="1255"/>
      <c r="AA111" s="1255"/>
      <c r="AB111" s="1255"/>
      <c r="AC111" s="624" t="str">
        <f>AI102&amp;"B"</f>
        <v>4B</v>
      </c>
      <c r="AD111" s="574" t="e">
        <f>VLOOKUP(AC111,ID_archer_cible,9,FALSE)</f>
        <v>#N/A</v>
      </c>
      <c r="AE111" s="1256" t="e">
        <f>VLOOKUP(AC111,ID_archer_cible,8,FALSE)</f>
        <v>#N/A</v>
      </c>
      <c r="AF111" s="1257"/>
      <c r="AG111" s="1260" t="e">
        <f>VLOOKUP(AC111,ID_archer_cible,7,FALSE)</f>
        <v>#N/A</v>
      </c>
      <c r="AH111" s="1261"/>
      <c r="AI111" s="828" t="e">
        <f>VLOOKUP(AC111,ID_archer_cible,10,FALSE)</f>
        <v>#N/A</v>
      </c>
      <c r="AJ111" s="829" t="e">
        <f>IF(VLOOKUP(AE111,N°LicPRO,3,FALSE)="oui","COACH","")</f>
        <v>#N/A</v>
      </c>
      <c r="AK111" s="742" t="str">
        <f>IFERROR(VLOOKUP(AE111,N°LicPRO,2,FALSE),"")</f>
        <v/>
      </c>
    </row>
    <row r="112" spans="1:37" ht="45" customHeight="1" x14ac:dyDescent="0.2">
      <c r="B112" s="1255" t="e">
        <f>VLOOKUP(J112,ID_archer_cible,5,FALSE)&amp;"    "&amp;VLOOKUP(J112,ID_archer_cible,6,FALSE)</f>
        <v>#N/A</v>
      </c>
      <c r="C112" s="1255"/>
      <c r="D112" s="1255"/>
      <c r="E112" s="1255"/>
      <c r="F112" s="1255"/>
      <c r="G112" s="1255"/>
      <c r="H112" s="1255"/>
      <c r="I112" s="1255"/>
      <c r="J112" s="624" t="str">
        <f>P102&amp;"C"</f>
        <v>4C</v>
      </c>
      <c r="K112" s="574" t="e">
        <f>VLOOKUP(J112,ID_archer_cible,9,FALSE)</f>
        <v>#N/A</v>
      </c>
      <c r="L112" s="1256" t="e">
        <f>VLOOKUP(J112,ID_archer_cible,8,FALSE)</f>
        <v>#N/A</v>
      </c>
      <c r="M112" s="1257"/>
      <c r="N112" s="1260" t="e">
        <f>VLOOKUP(J112,ID_archer_cible,7,FALSE)</f>
        <v>#N/A</v>
      </c>
      <c r="O112" s="1261"/>
      <c r="P112" s="828" t="e">
        <f>VLOOKUP(J112,ID_archer_cible,10,FALSE)</f>
        <v>#N/A</v>
      </c>
      <c r="Q112" s="829" t="e">
        <f>IF(VLOOKUP(L112,N°LicPRO,3,FALSE)="oui","COACH","")</f>
        <v>#N/A</v>
      </c>
      <c r="R112" s="742" t="str">
        <f>IFERROR(VLOOKUP(L112,N°LicPRO,2,FALSE),"")</f>
        <v/>
      </c>
      <c r="S112" s="646" t="s">
        <v>995</v>
      </c>
      <c r="U112" s="1255" t="e">
        <f>VLOOKUP(AC112,ID_archer_cible,5,FALSE)&amp;"    "&amp;VLOOKUP(AC112,ID_archer_cible,6,FALSE)</f>
        <v>#N/A</v>
      </c>
      <c r="V112" s="1255"/>
      <c r="W112" s="1255"/>
      <c r="X112" s="1255"/>
      <c r="Y112" s="1255"/>
      <c r="Z112" s="1255"/>
      <c r="AA112" s="1255"/>
      <c r="AB112" s="1255"/>
      <c r="AC112" s="624" t="str">
        <f>AI102&amp;"C"</f>
        <v>4C</v>
      </c>
      <c r="AD112" s="574" t="e">
        <f>VLOOKUP(AC112,ID_archer_cible,9,FALSE)</f>
        <v>#N/A</v>
      </c>
      <c r="AE112" s="1256" t="e">
        <f>VLOOKUP(AC112,ID_archer_cible,8,FALSE)</f>
        <v>#N/A</v>
      </c>
      <c r="AF112" s="1257"/>
      <c r="AG112" s="1260" t="e">
        <f>VLOOKUP(AC112,ID_archer_cible,7,FALSE)</f>
        <v>#N/A</v>
      </c>
      <c r="AH112" s="1261"/>
      <c r="AI112" s="828" t="e">
        <f>VLOOKUP(AC112,ID_archer_cible,10,FALSE)</f>
        <v>#N/A</v>
      </c>
      <c r="AJ112" s="829" t="e">
        <f>IF(VLOOKUP(AE112,N°LicPRO,3,FALSE)="oui","COACH","")</f>
        <v>#N/A</v>
      </c>
      <c r="AK112" s="742" t="str">
        <f>IFERROR(VLOOKUP(AE112,N°LicPRO,2,FALSE),"")</f>
        <v/>
      </c>
    </row>
    <row r="113" spans="2:37" ht="45" customHeight="1" x14ac:dyDescent="0.2">
      <c r="B113" s="1255" t="e">
        <f>VLOOKUP(J113,ID_archer_cible,5,FALSE)&amp;"    "&amp;VLOOKUP(J113,ID_archer_cible,6,FALSE)</f>
        <v>#N/A</v>
      </c>
      <c r="C113" s="1255"/>
      <c r="D113" s="1255"/>
      <c r="E113" s="1255"/>
      <c r="F113" s="1255"/>
      <c r="G113" s="1255"/>
      <c r="H113" s="1255"/>
      <c r="I113" s="1255"/>
      <c r="J113" s="624" t="str">
        <f>P102&amp;"D"</f>
        <v>4D</v>
      </c>
      <c r="K113" s="574" t="e">
        <f>VLOOKUP(J113,ID_archer_cible,9,FALSE)</f>
        <v>#N/A</v>
      </c>
      <c r="L113" s="1256" t="e">
        <f>VLOOKUP(J113,ID_archer_cible,8,FALSE)</f>
        <v>#N/A</v>
      </c>
      <c r="M113" s="1257"/>
      <c r="N113" s="1260" t="e">
        <f>VLOOKUP(J113,ID_archer_cible,7,FALSE)</f>
        <v>#N/A</v>
      </c>
      <c r="O113" s="1261"/>
      <c r="P113" s="828" t="e">
        <f>VLOOKUP(J113,ID_archer_cible,10,FALSE)</f>
        <v>#N/A</v>
      </c>
      <c r="Q113" s="829" t="e">
        <f>IF(VLOOKUP(L113,N°LicPRO,3,FALSE)="oui","COACH","")</f>
        <v>#N/A</v>
      </c>
      <c r="R113" s="742" t="str">
        <f>IFERROR(VLOOKUP(L113,N°LicPRO,2,FALSE),"")</f>
        <v/>
      </c>
      <c r="S113" s="571" t="s">
        <v>994</v>
      </c>
      <c r="U113" s="1255" t="e">
        <f>VLOOKUP(AC113,ID_archer_cible,5,FALSE)&amp;"    "&amp;VLOOKUP(AC113,ID_archer_cible,6,FALSE)</f>
        <v>#N/A</v>
      </c>
      <c r="V113" s="1255"/>
      <c r="W113" s="1255"/>
      <c r="X113" s="1255"/>
      <c r="Y113" s="1255"/>
      <c r="Z113" s="1255"/>
      <c r="AA113" s="1255"/>
      <c r="AB113" s="1255"/>
      <c r="AC113" s="624" t="str">
        <f>AI102&amp;"D"</f>
        <v>4D</v>
      </c>
      <c r="AD113" s="574" t="e">
        <f>VLOOKUP(AC113,ID_archer_cible,9,FALSE)</f>
        <v>#N/A</v>
      </c>
      <c r="AE113" s="1256" t="e">
        <f>VLOOKUP(AC113,ID_archer_cible,8,FALSE)</f>
        <v>#N/A</v>
      </c>
      <c r="AF113" s="1257"/>
      <c r="AG113" s="1260" t="e">
        <f>VLOOKUP(AC113,ID_archer_cible,7,FALSE)</f>
        <v>#N/A</v>
      </c>
      <c r="AH113" s="1261"/>
      <c r="AI113" s="828" t="e">
        <f>VLOOKUP(AC113,ID_archer_cible,10,FALSE)</f>
        <v>#N/A</v>
      </c>
      <c r="AJ113" s="829" t="e">
        <f>IF(VLOOKUP(AE113,N°LicPRO,3,FALSE)="oui","COACH","")</f>
        <v>#N/A</v>
      </c>
      <c r="AK113" s="742" t="str">
        <f>IFERROR(VLOOKUP(AE113,N°LicPRO,2,FALSE),"")</f>
        <v/>
      </c>
    </row>
    <row r="114" spans="2:37" ht="15" customHeight="1" x14ac:dyDescent="0.2">
      <c r="S114" s="571" t="s">
        <v>994</v>
      </c>
    </row>
    <row r="115" spans="2:37" ht="15" customHeight="1" x14ac:dyDescent="0.2">
      <c r="B115" s="508" t="s">
        <v>975</v>
      </c>
      <c r="S115" s="646" t="s">
        <v>995</v>
      </c>
      <c r="U115" s="508" t="s">
        <v>975</v>
      </c>
    </row>
    <row r="116" spans="2:37" ht="15" customHeight="1" x14ac:dyDescent="0.2">
      <c r="B116" s="1259" t="s">
        <v>974</v>
      </c>
      <c r="C116" s="1259"/>
      <c r="D116" s="1259"/>
      <c r="E116" s="1259"/>
      <c r="F116" s="1199" t="str">
        <f>Info_TirQ</f>
        <v>J2 8:30-9:00 Ent. 9:00-10:30 Tirs Qual.</v>
      </c>
      <c r="G116" s="1199"/>
      <c r="H116" s="1199"/>
      <c r="I116" s="1199"/>
      <c r="J116" s="1199"/>
      <c r="K116" s="1258" t="s">
        <v>978</v>
      </c>
      <c r="L116" s="1258"/>
      <c r="M116" s="1258"/>
      <c r="N116" s="1258"/>
      <c r="O116" s="1258"/>
      <c r="S116" s="571" t="s">
        <v>994</v>
      </c>
      <c r="U116" s="1259" t="s">
        <v>974</v>
      </c>
      <c r="V116" s="1259"/>
      <c r="W116" s="1259"/>
      <c r="X116" s="1259"/>
      <c r="Y116" s="1199" t="str">
        <f>Info_TirQ</f>
        <v>J2 8:30-9:00 Ent. 9:00-10:30 Tirs Qual.</v>
      </c>
      <c r="Z116" s="1199"/>
      <c r="AA116" s="1199"/>
      <c r="AB116" s="1199"/>
      <c r="AC116" s="1199"/>
      <c r="AD116" s="1258" t="s">
        <v>978</v>
      </c>
      <c r="AE116" s="1258"/>
      <c r="AF116" s="1258"/>
      <c r="AG116" s="1258"/>
      <c r="AH116" s="1258"/>
    </row>
    <row r="117" spans="2:37" ht="15" customHeight="1" x14ac:dyDescent="0.2">
      <c r="B117" s="1259" t="s">
        <v>484</v>
      </c>
      <c r="C117" s="1259"/>
      <c r="D117" s="1259"/>
      <c r="E117" s="1259"/>
      <c r="F117" s="1199" t="str">
        <f>Info_D1</f>
        <v>J2 13:30-14:20  1er DUEL</v>
      </c>
      <c r="G117" s="1199"/>
      <c r="H117" s="1199"/>
      <c r="I117" s="1199"/>
      <c r="J117" s="1199"/>
      <c r="K117" s="1258"/>
      <c r="L117" s="1258"/>
      <c r="M117" s="1258"/>
      <c r="N117" s="1258"/>
      <c r="O117" s="1258"/>
      <c r="S117" s="571" t="s">
        <v>994</v>
      </c>
      <c r="U117" s="1259" t="s">
        <v>484</v>
      </c>
      <c r="V117" s="1259"/>
      <c r="W117" s="1259"/>
      <c r="X117" s="1259"/>
      <c r="Y117" s="1199" t="str">
        <f>Info_D1</f>
        <v>J2 13:30-14:20  1er DUEL</v>
      </c>
      <c r="Z117" s="1199"/>
      <c r="AA117" s="1199"/>
      <c r="AB117" s="1199"/>
      <c r="AC117" s="1199"/>
      <c r="AD117" s="1258"/>
      <c r="AE117" s="1258"/>
      <c r="AF117" s="1258"/>
      <c r="AG117" s="1258"/>
      <c r="AH117" s="1258"/>
    </row>
    <row r="118" spans="2:37" ht="15" customHeight="1" x14ac:dyDescent="0.2">
      <c r="B118" s="1259" t="s">
        <v>972</v>
      </c>
      <c r="C118" s="1259"/>
      <c r="D118" s="1259"/>
      <c r="E118" s="1259"/>
      <c r="F118" s="1199" t="str">
        <f>Info_D2</f>
        <v>J2 14:30-15:20 2ème DUEL</v>
      </c>
      <c r="G118" s="1199"/>
      <c r="H118" s="1199"/>
      <c r="I118" s="1199"/>
      <c r="J118" s="1199"/>
      <c r="K118" s="1258"/>
      <c r="L118" s="1258"/>
      <c r="M118" s="1258"/>
      <c r="N118" s="1258"/>
      <c r="O118" s="1258"/>
      <c r="S118" s="646" t="s">
        <v>995</v>
      </c>
      <c r="U118" s="1259" t="s">
        <v>972</v>
      </c>
      <c r="V118" s="1259"/>
      <c r="W118" s="1259"/>
      <c r="X118" s="1259"/>
      <c r="Y118" s="1199" t="str">
        <f>Info_D2</f>
        <v>J2 14:30-15:20 2ème DUEL</v>
      </c>
      <c r="Z118" s="1199"/>
      <c r="AA118" s="1199"/>
      <c r="AB118" s="1199"/>
      <c r="AC118" s="1199"/>
      <c r="AD118" s="1258"/>
      <c r="AE118" s="1258"/>
      <c r="AF118" s="1258"/>
      <c r="AG118" s="1258"/>
      <c r="AH118" s="1258"/>
    </row>
    <row r="119" spans="2:37" ht="15" customHeight="1" x14ac:dyDescent="0.2">
      <c r="B119" s="1259" t="s">
        <v>973</v>
      </c>
      <c r="C119" s="1259"/>
      <c r="D119" s="1259"/>
      <c r="E119" s="1259"/>
      <c r="F119" s="1199" t="str">
        <f>Info_D3</f>
        <v>J3 10-10:50 Match pl. 5 à +  ETAB - EX</v>
      </c>
      <c r="G119" s="1199"/>
      <c r="H119" s="1199"/>
      <c r="I119" s="1199"/>
      <c r="J119" s="1199"/>
      <c r="K119" s="1258"/>
      <c r="L119" s="1258"/>
      <c r="M119" s="1258"/>
      <c r="N119" s="1258"/>
      <c r="O119" s="1258"/>
      <c r="S119" s="571" t="s">
        <v>994</v>
      </c>
      <c r="U119" s="1259" t="s">
        <v>973</v>
      </c>
      <c r="V119" s="1259"/>
      <c r="W119" s="1259"/>
      <c r="X119" s="1259"/>
      <c r="Y119" s="1199" t="str">
        <f>Info_D3</f>
        <v>J3 10-10:50 Match pl. 5 à +  ETAB - EX</v>
      </c>
      <c r="Z119" s="1199"/>
      <c r="AA119" s="1199"/>
      <c r="AB119" s="1199"/>
      <c r="AC119" s="1199"/>
      <c r="AD119" s="1258"/>
      <c r="AE119" s="1258"/>
      <c r="AF119" s="1258"/>
      <c r="AG119" s="1258"/>
      <c r="AH119" s="1258"/>
    </row>
    <row r="120" spans="2:37" ht="24.75" customHeight="1" x14ac:dyDescent="0.2">
      <c r="B120" s="626" t="s">
        <v>976</v>
      </c>
      <c r="S120" s="571" t="s">
        <v>994</v>
      </c>
      <c r="U120" s="626" t="s">
        <v>976</v>
      </c>
    </row>
    <row r="121" spans="2:37" ht="134.25" customHeight="1" x14ac:dyDescent="0.2">
      <c r="B121"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C121" s="1264"/>
      <c r="D121" s="1264"/>
      <c r="E121" s="1264"/>
      <c r="F121" s="1264"/>
      <c r="G121" s="1264"/>
      <c r="H121" s="1264"/>
      <c r="I121" s="1264"/>
      <c r="J121" s="1264"/>
      <c r="K121" s="1264"/>
      <c r="L121" s="1264"/>
      <c r="M121" s="1264"/>
      <c r="N121" s="1264"/>
      <c r="O121" s="1264"/>
      <c r="P121" s="1265"/>
      <c r="S121" s="646" t="s">
        <v>995</v>
      </c>
      <c r="U121"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V121" s="1264"/>
      <c r="W121" s="1264"/>
      <c r="X121" s="1264"/>
      <c r="Y121" s="1264"/>
      <c r="Z121" s="1264"/>
      <c r="AA121" s="1264"/>
      <c r="AB121" s="1264"/>
      <c r="AC121" s="1264"/>
      <c r="AD121" s="1264"/>
      <c r="AE121" s="1264"/>
      <c r="AF121" s="1264"/>
      <c r="AG121" s="1264"/>
      <c r="AH121" s="1264"/>
      <c r="AI121" s="1265"/>
    </row>
    <row r="122" spans="2:37" ht="15" customHeight="1" x14ac:dyDescent="0.2">
      <c r="C122" s="508" t="s">
        <v>964</v>
      </c>
      <c r="K122" s="508" t="s">
        <v>965</v>
      </c>
      <c r="O122" s="508" t="s">
        <v>966</v>
      </c>
      <c r="S122" s="571" t="s">
        <v>994</v>
      </c>
      <c r="V122" s="508" t="s">
        <v>964</v>
      </c>
      <c r="AD122" s="508" t="s">
        <v>965</v>
      </c>
      <c r="AH122" s="508" t="s">
        <v>966</v>
      </c>
    </row>
    <row r="123" spans="2:37" ht="15" customHeight="1" x14ac:dyDescent="0.2">
      <c r="S123" s="571" t="s">
        <v>994</v>
      </c>
    </row>
    <row r="124" spans="2:37" ht="15" customHeight="1" x14ac:dyDescent="0.2">
      <c r="S124" s="646" t="s">
        <v>995</v>
      </c>
    </row>
    <row r="125" spans="2:37" ht="15" customHeight="1" x14ac:dyDescent="0.2">
      <c r="S125" s="571" t="s">
        <v>994</v>
      </c>
    </row>
    <row r="126" spans="2:37" ht="15" customHeight="1" x14ac:dyDescent="0.2">
      <c r="S126" s="571" t="s">
        <v>994</v>
      </c>
    </row>
    <row r="127" spans="2:37" ht="15" customHeight="1" x14ac:dyDescent="0.2">
      <c r="S127" s="646" t="s">
        <v>995</v>
      </c>
    </row>
    <row r="128" spans="2:37" x14ac:dyDescent="0.2">
      <c r="S128" s="571" t="s">
        <v>994</v>
      </c>
    </row>
    <row r="129" spans="1:37" x14ac:dyDescent="0.2">
      <c r="S129" s="571" t="s">
        <v>994</v>
      </c>
    </row>
    <row r="130" spans="1:37" ht="30" x14ac:dyDescent="0.2">
      <c r="A130" s="1262" t="str">
        <f>Championnat</f>
        <v>Championnat de France de Tir à l'ARC</v>
      </c>
      <c r="B130" s="1262"/>
      <c r="C130" s="1262"/>
      <c r="D130" s="1262"/>
      <c r="E130" s="1262"/>
      <c r="F130" s="1262"/>
      <c r="G130" s="1262"/>
      <c r="H130" s="1262"/>
      <c r="I130" s="1262"/>
      <c r="J130" s="1262"/>
      <c r="K130" s="1262"/>
      <c r="L130" s="1262"/>
      <c r="M130" s="1262"/>
      <c r="N130" s="1262"/>
      <c r="O130" s="1262"/>
      <c r="P130" s="1262"/>
      <c r="Q130" s="1262"/>
      <c r="R130" s="1262"/>
      <c r="S130" s="646" t="s">
        <v>995</v>
      </c>
      <c r="T130" s="1262" t="str">
        <f>Championnat</f>
        <v>Championnat de France de Tir à l'ARC</v>
      </c>
      <c r="U130" s="1262"/>
      <c r="V130" s="1262"/>
      <c r="W130" s="1262"/>
      <c r="X130" s="1262"/>
      <c r="Y130" s="1262"/>
      <c r="Z130" s="1262"/>
      <c r="AA130" s="1262"/>
      <c r="AB130" s="1262"/>
      <c r="AC130" s="1262"/>
      <c r="AD130" s="1262"/>
      <c r="AE130" s="1262"/>
      <c r="AF130" s="1262"/>
      <c r="AG130" s="1262"/>
      <c r="AH130" s="1262"/>
      <c r="AI130" s="1262"/>
      <c r="AJ130" s="1262"/>
      <c r="AK130" s="1262"/>
    </row>
    <row r="131" spans="1:37" ht="24.75" customHeight="1" x14ac:dyDescent="0.2">
      <c r="A131" s="1184" t="str">
        <f>LIEU&amp;" du "&amp;DATE</f>
        <v>L’Isle sur la Sorgue du 27 au 31 mars 2023</v>
      </c>
      <c r="B131" s="1184"/>
      <c r="C131" s="1184"/>
      <c r="D131" s="1184"/>
      <c r="E131" s="1184"/>
      <c r="F131" s="1184"/>
      <c r="G131" s="1184"/>
      <c r="H131" s="1184"/>
      <c r="I131" s="1184"/>
      <c r="J131" s="1184"/>
      <c r="K131" s="1184"/>
      <c r="L131" s="1184"/>
      <c r="M131" s="1184"/>
      <c r="N131" s="1184"/>
      <c r="O131" s="1184"/>
      <c r="P131" s="1184"/>
      <c r="Q131" s="1184"/>
      <c r="R131" s="1184"/>
      <c r="S131" s="571" t="s">
        <v>994</v>
      </c>
      <c r="T131" s="1184" t="str">
        <f>LIEU&amp;" du "&amp;DATE</f>
        <v>L’Isle sur la Sorgue du 27 au 31 mars 2023</v>
      </c>
      <c r="U131" s="1184"/>
      <c r="V131" s="1184"/>
      <c r="W131" s="1184"/>
      <c r="X131" s="1184"/>
      <c r="Y131" s="1184"/>
      <c r="Z131" s="1184"/>
      <c r="AA131" s="1184"/>
      <c r="AB131" s="1184"/>
      <c r="AC131" s="1184"/>
      <c r="AD131" s="1184"/>
      <c r="AE131" s="1184"/>
      <c r="AF131" s="1184"/>
      <c r="AG131" s="1184"/>
      <c r="AH131" s="1184"/>
      <c r="AI131" s="1184"/>
      <c r="AJ131" s="1184"/>
      <c r="AK131" s="1184"/>
    </row>
    <row r="132" spans="1:37" s="218" customFormat="1" ht="40.5" customHeight="1" x14ac:dyDescent="0.2">
      <c r="A132" s="1268" t="str">
        <f>CATEG_IMPORTEE</f>
        <v>Collèges Mixtes Etablissement</v>
      </c>
      <c r="B132" s="1268"/>
      <c r="C132" s="1268"/>
      <c r="D132" s="1268"/>
      <c r="E132" s="1268"/>
      <c r="F132" s="1268"/>
      <c r="G132" s="1268"/>
      <c r="H132" s="1268"/>
      <c r="I132" s="1268"/>
      <c r="J132" s="1268"/>
      <c r="K132" s="1268"/>
      <c r="L132" s="1268"/>
      <c r="M132" s="1268"/>
      <c r="N132" s="1268"/>
      <c r="O132" s="1268"/>
      <c r="P132" s="1268"/>
      <c r="Q132" s="1268"/>
      <c r="R132" s="1268"/>
      <c r="S132" s="571" t="s">
        <v>994</v>
      </c>
      <c r="T132" s="1268" t="str">
        <f>CATEG_IMPORTEE</f>
        <v>Collèges Mixtes Etablissement</v>
      </c>
      <c r="U132" s="1268"/>
      <c r="V132" s="1268"/>
      <c r="W132" s="1268"/>
      <c r="X132" s="1268"/>
      <c r="Y132" s="1268"/>
      <c r="Z132" s="1268"/>
      <c r="AA132" s="1268"/>
      <c r="AB132" s="1268"/>
      <c r="AC132" s="1268"/>
      <c r="AD132" s="1268"/>
      <c r="AE132" s="1268"/>
      <c r="AF132" s="1268"/>
      <c r="AG132" s="1268"/>
      <c r="AH132" s="1268"/>
      <c r="AI132" s="1268"/>
      <c r="AJ132" s="1268"/>
      <c r="AK132" s="1268"/>
    </row>
    <row r="133" spans="1:37" s="218" customFormat="1" ht="19.5" customHeight="1" x14ac:dyDescent="0.2">
      <c r="A133" s="625"/>
      <c r="B133" s="625"/>
      <c r="C133" s="625"/>
      <c r="D133" s="625"/>
      <c r="E133" s="625"/>
      <c r="F133" s="625"/>
      <c r="G133" s="625"/>
      <c r="H133" s="625"/>
      <c r="I133" s="625"/>
      <c r="J133" s="625"/>
      <c r="K133" s="625"/>
      <c r="L133" s="625"/>
      <c r="M133" s="625"/>
      <c r="N133" s="625"/>
      <c r="O133" s="625"/>
      <c r="P133" s="625"/>
      <c r="Q133" s="625"/>
      <c r="R133" s="625"/>
      <c r="S133" s="646" t="s">
        <v>995</v>
      </c>
      <c r="T133" s="625"/>
      <c r="U133" s="625"/>
      <c r="V133" s="625"/>
      <c r="W133" s="625"/>
      <c r="X133" s="625"/>
      <c r="Y133" s="625"/>
      <c r="Z133" s="625"/>
      <c r="AA133" s="625"/>
      <c r="AB133" s="625"/>
      <c r="AC133" s="625"/>
      <c r="AD133" s="625"/>
      <c r="AE133" s="625"/>
      <c r="AF133" s="625"/>
      <c r="AG133" s="625"/>
      <c r="AH133" s="625"/>
      <c r="AI133" s="625"/>
      <c r="AJ133" s="625"/>
      <c r="AK133" s="625"/>
    </row>
    <row r="134" spans="1:37" ht="47.25" customHeight="1" x14ac:dyDescent="0.2">
      <c r="A134" s="620"/>
      <c r="B134" s="620"/>
      <c r="C134" s="620"/>
      <c r="D134" s="620"/>
      <c r="E134" s="620"/>
      <c r="F134" s="620"/>
      <c r="G134" s="620"/>
      <c r="H134" s="620"/>
      <c r="I134" s="620"/>
      <c r="J134" s="620"/>
      <c r="K134" s="620"/>
      <c r="L134" s="620"/>
      <c r="M134" s="620"/>
      <c r="N134" s="1072" t="s">
        <v>628</v>
      </c>
      <c r="O134" s="1073"/>
      <c r="P134" s="1271">
        <f>P102+1</f>
        <v>5</v>
      </c>
      <c r="Q134" s="1271"/>
      <c r="R134" s="1271"/>
      <c r="S134" s="571" t="s">
        <v>994</v>
      </c>
      <c r="T134" s="620"/>
      <c r="U134" s="620"/>
      <c r="V134" s="620"/>
      <c r="W134" s="620"/>
      <c r="X134" s="620"/>
      <c r="Y134" s="620"/>
      <c r="Z134" s="620"/>
      <c r="AA134" s="620"/>
      <c r="AB134" s="620"/>
      <c r="AC134" s="620"/>
      <c r="AD134" s="620"/>
      <c r="AE134" s="620"/>
      <c r="AF134" s="620"/>
      <c r="AG134" s="1072" t="s">
        <v>628</v>
      </c>
      <c r="AH134" s="1073"/>
      <c r="AI134" s="1271">
        <f>AI102+1</f>
        <v>5</v>
      </c>
      <c r="AJ134" s="1271"/>
      <c r="AK134" s="1271"/>
    </row>
    <row r="135" spans="1:37" ht="36.75" customHeight="1" x14ac:dyDescent="0.2">
      <c r="A135" s="1272" t="e">
        <f>VLOOKUP(J142,ID_archer_cible,2,FALSE)</f>
        <v>#N/A</v>
      </c>
      <c r="B135" s="1272"/>
      <c r="C135" s="1272"/>
      <c r="D135" s="1272"/>
      <c r="E135" s="1272"/>
      <c r="F135" s="1272"/>
      <c r="G135" s="1272"/>
      <c r="H135" s="1272"/>
      <c r="I135" s="1272"/>
      <c r="J135" s="1272"/>
      <c r="K135" s="1272"/>
      <c r="L135" s="1272"/>
      <c r="M135" s="1272"/>
      <c r="N135" s="1272"/>
      <c r="O135" s="1272"/>
      <c r="P135" s="1272"/>
      <c r="Q135" s="1272"/>
      <c r="R135" s="1272"/>
      <c r="S135" s="571" t="s">
        <v>994</v>
      </c>
      <c r="T135" s="1272" t="e">
        <f>VLOOKUP(AC142,ID_archer_cible,2,FALSE)</f>
        <v>#N/A</v>
      </c>
      <c r="U135" s="1272"/>
      <c r="V135" s="1272"/>
      <c r="W135" s="1272"/>
      <c r="X135" s="1272"/>
      <c r="Y135" s="1272"/>
      <c r="Z135" s="1272"/>
      <c r="AA135" s="1272"/>
      <c r="AB135" s="1272"/>
      <c r="AC135" s="1272"/>
      <c r="AD135" s="1272"/>
      <c r="AE135" s="1272"/>
      <c r="AF135" s="1272"/>
      <c r="AG135" s="1272"/>
      <c r="AH135" s="1272"/>
      <c r="AI135" s="1272"/>
      <c r="AJ135" s="1272"/>
      <c r="AK135" s="1272"/>
    </row>
    <row r="136" spans="1:37" ht="21.75" customHeight="1" x14ac:dyDescent="0.2">
      <c r="I136" s="621"/>
      <c r="J136" s="621"/>
      <c r="K136" s="621"/>
      <c r="L136" s="621"/>
      <c r="M136" s="621"/>
      <c r="N136" s="621"/>
      <c r="P136" s="619"/>
      <c r="Q136" s="619"/>
      <c r="R136" s="619"/>
      <c r="S136" s="646" t="s">
        <v>995</v>
      </c>
      <c r="AB136" s="621"/>
      <c r="AC136" s="621"/>
      <c r="AD136" s="621"/>
      <c r="AE136" s="621"/>
      <c r="AF136" s="621"/>
      <c r="AG136" s="621"/>
      <c r="AI136" s="619"/>
      <c r="AJ136" s="619"/>
      <c r="AK136" s="619"/>
    </row>
    <row r="137" spans="1:37" ht="17.25" customHeight="1" x14ac:dyDescent="0.2">
      <c r="A137" s="1125"/>
      <c r="B137" s="1125"/>
      <c r="C137" s="1125"/>
      <c r="D137" s="1125"/>
      <c r="E137" s="1125"/>
      <c r="F137" s="1125"/>
      <c r="G137" s="1125"/>
      <c r="H137" s="1125"/>
      <c r="I137" s="1125"/>
      <c r="J137" s="1125"/>
      <c r="K137" s="1125"/>
      <c r="L137" s="1125" t="s">
        <v>374</v>
      </c>
      <c r="M137" s="1125"/>
      <c r="N137" s="1125"/>
      <c r="O137" s="1125"/>
      <c r="P137" s="1125"/>
      <c r="Q137" s="1125"/>
      <c r="R137" s="1125"/>
      <c r="S137" s="571" t="s">
        <v>994</v>
      </c>
      <c r="T137" s="1125"/>
      <c r="U137" s="1125"/>
      <c r="V137" s="1125"/>
      <c r="W137" s="1125"/>
      <c r="X137" s="1125"/>
      <c r="Y137" s="1125"/>
      <c r="Z137" s="1125"/>
      <c r="AA137" s="1125"/>
      <c r="AB137" s="1125"/>
      <c r="AC137" s="1125"/>
      <c r="AD137" s="1125"/>
      <c r="AE137" s="1125" t="s">
        <v>374</v>
      </c>
      <c r="AF137" s="1125"/>
      <c r="AG137" s="1125"/>
      <c r="AH137" s="1125"/>
      <c r="AI137" s="1125"/>
      <c r="AJ137" s="1125"/>
      <c r="AK137" s="1125"/>
    </row>
    <row r="138" spans="1:37" ht="32.25" customHeight="1" x14ac:dyDescent="0.2">
      <c r="A138" s="1269" t="e">
        <f>VLOOKUP(J142,ID_archer_cible,3,FALSE)</f>
        <v>#N/A</v>
      </c>
      <c r="B138" s="1269"/>
      <c r="C138" s="1269"/>
      <c r="D138" s="1269"/>
      <c r="E138" s="1269"/>
      <c r="F138" s="1269"/>
      <c r="G138" s="1269"/>
      <c r="H138" s="1269"/>
      <c r="I138" s="1269"/>
      <c r="J138" s="1269"/>
      <c r="K138" s="1269"/>
      <c r="L138" s="1270" t="e">
        <f>VLOOKUP(J142,ID_archer_cible,4,FALSE)</f>
        <v>#N/A</v>
      </c>
      <c r="M138" s="1270"/>
      <c r="N138" s="1270"/>
      <c r="O138" s="1270"/>
      <c r="P138" s="1270"/>
      <c r="Q138" s="1270"/>
      <c r="R138" s="1270"/>
      <c r="S138" s="571" t="s">
        <v>994</v>
      </c>
      <c r="T138" s="1269" t="e">
        <f>VLOOKUP(AC142,ID_archer_cible,3,FALSE)</f>
        <v>#N/A</v>
      </c>
      <c r="U138" s="1269"/>
      <c r="V138" s="1269"/>
      <c r="W138" s="1269"/>
      <c r="X138" s="1269"/>
      <c r="Y138" s="1269"/>
      <c r="Z138" s="1269"/>
      <c r="AA138" s="1269"/>
      <c r="AB138" s="1269"/>
      <c r="AC138" s="1269"/>
      <c r="AD138" s="1269"/>
      <c r="AE138" s="1270" t="e">
        <f>VLOOKUP(AC142,ID_archer_cible,4,FALSE)</f>
        <v>#N/A</v>
      </c>
      <c r="AF138" s="1270"/>
      <c r="AG138" s="1270"/>
      <c r="AH138" s="1270"/>
      <c r="AI138" s="1270"/>
      <c r="AJ138" s="1270"/>
      <c r="AK138" s="1270"/>
    </row>
    <row r="139" spans="1:37" ht="17.25" customHeight="1" x14ac:dyDescent="0.2">
      <c r="E139" s="584"/>
      <c r="F139" s="584"/>
      <c r="G139" s="584"/>
      <c r="H139" s="584"/>
      <c r="I139" s="618"/>
      <c r="J139" s="618"/>
      <c r="K139" s="618"/>
      <c r="L139" s="618"/>
      <c r="M139" s="618"/>
      <c r="N139" s="618"/>
      <c r="P139" s="1266" t="str">
        <f>IFERROR(IF(AND(R142="oui",R143="oui",R144="oui",R145="oui"),"PRO",""),"")</f>
        <v/>
      </c>
      <c r="Q139" s="1266"/>
      <c r="R139" s="1266"/>
      <c r="S139" s="646" t="s">
        <v>995</v>
      </c>
      <c r="X139" s="584"/>
      <c r="Y139" s="584"/>
      <c r="Z139" s="584"/>
      <c r="AA139" s="584"/>
      <c r="AB139" s="618"/>
      <c r="AC139" s="618"/>
      <c r="AD139" s="618"/>
      <c r="AE139" s="618"/>
      <c r="AF139" s="618"/>
      <c r="AG139" s="618"/>
      <c r="AI139" s="1266" t="str">
        <f>IFERROR(IF(AND(AK142="oui",AK143="oui",AK144="oui",AK145="oui"),"PRO",""),"")</f>
        <v/>
      </c>
      <c r="AJ139" s="1266"/>
      <c r="AK139" s="1266"/>
    </row>
    <row r="140" spans="1:37" ht="20.25" customHeight="1" x14ac:dyDescent="0.2">
      <c r="P140" s="1267"/>
      <c r="Q140" s="1267"/>
      <c r="R140" s="1267"/>
      <c r="S140" s="571" t="s">
        <v>994</v>
      </c>
      <c r="AI140" s="1267"/>
      <c r="AJ140" s="1267"/>
      <c r="AK140" s="1267"/>
    </row>
    <row r="141" spans="1:37" ht="25.5" customHeight="1" x14ac:dyDescent="0.2">
      <c r="B141" s="1273" t="s">
        <v>906</v>
      </c>
      <c r="C141" s="1273"/>
      <c r="D141" s="1273"/>
      <c r="E141" s="1273"/>
      <c r="F141" s="1273"/>
      <c r="G141" s="1273"/>
      <c r="H141" s="1273"/>
      <c r="I141" s="1273"/>
      <c r="J141" s="622" t="s">
        <v>552</v>
      </c>
      <c r="K141" s="623" t="s">
        <v>893</v>
      </c>
      <c r="L141" s="1275" t="s">
        <v>550</v>
      </c>
      <c r="M141" s="1276"/>
      <c r="N141" s="1274" t="s">
        <v>905</v>
      </c>
      <c r="O141" s="1274"/>
      <c r="P141" s="1254" t="s">
        <v>551</v>
      </c>
      <c r="Q141" s="1254"/>
      <c r="R141" s="752" t="s">
        <v>1027</v>
      </c>
      <c r="S141" s="571" t="s">
        <v>994</v>
      </c>
      <c r="U141" s="1273" t="s">
        <v>906</v>
      </c>
      <c r="V141" s="1273"/>
      <c r="W141" s="1273"/>
      <c r="X141" s="1273"/>
      <c r="Y141" s="1273"/>
      <c r="Z141" s="1273"/>
      <c r="AA141" s="1273"/>
      <c r="AB141" s="1273"/>
      <c r="AC141" s="622" t="s">
        <v>552</v>
      </c>
      <c r="AD141" s="623" t="s">
        <v>893</v>
      </c>
      <c r="AE141" s="1275" t="s">
        <v>550</v>
      </c>
      <c r="AF141" s="1276"/>
      <c r="AG141" s="1274" t="s">
        <v>905</v>
      </c>
      <c r="AH141" s="1274"/>
      <c r="AI141" s="1254" t="s">
        <v>551</v>
      </c>
      <c r="AJ141" s="1254"/>
      <c r="AK141" s="752" t="s">
        <v>1027</v>
      </c>
    </row>
    <row r="142" spans="1:37" ht="45" customHeight="1" x14ac:dyDescent="0.2">
      <c r="B142" s="1255" t="e">
        <f>VLOOKUP(J142,ID_archer_cible,5,FALSE)&amp;"    "&amp;VLOOKUP(J142,ID_archer_cible,6,FALSE)</f>
        <v>#N/A</v>
      </c>
      <c r="C142" s="1255"/>
      <c r="D142" s="1255"/>
      <c r="E142" s="1255"/>
      <c r="F142" s="1255"/>
      <c r="G142" s="1255"/>
      <c r="H142" s="1255"/>
      <c r="I142" s="1255"/>
      <c r="J142" s="624" t="str">
        <f>P134&amp;"A"</f>
        <v>5A</v>
      </c>
      <c r="K142" s="574" t="e">
        <f>VLOOKUP(J142,ID_archer_cible,9,FALSE)</f>
        <v>#N/A</v>
      </c>
      <c r="L142" s="1256" t="e">
        <f>VLOOKUP(J142,ID_archer_cible,8,FALSE)</f>
        <v>#N/A</v>
      </c>
      <c r="M142" s="1257"/>
      <c r="N142" s="1260" t="e">
        <f>VLOOKUP(J142,ID_archer_cible,7,FALSE)</f>
        <v>#N/A</v>
      </c>
      <c r="O142" s="1261"/>
      <c r="P142" s="828" t="e">
        <f>VLOOKUP(J142,ID_archer_cible,10,FALSE)</f>
        <v>#N/A</v>
      </c>
      <c r="Q142" s="829" t="e">
        <f>IF(VLOOKUP(L142,N°LicPRO,3,FALSE)="oui","COACH","")</f>
        <v>#N/A</v>
      </c>
      <c r="R142" s="742" t="str">
        <f>IFERROR(VLOOKUP(L142,N°LicPRO,2,FALSE),"")</f>
        <v/>
      </c>
      <c r="S142" s="646" t="s">
        <v>995</v>
      </c>
      <c r="U142" s="1255" t="e">
        <f>VLOOKUP(AC142,ID_archer_cible,5,FALSE)&amp;"    "&amp;VLOOKUP(AC142,ID_archer_cible,6,FALSE)</f>
        <v>#N/A</v>
      </c>
      <c r="V142" s="1255"/>
      <c r="W142" s="1255"/>
      <c r="X142" s="1255"/>
      <c r="Y142" s="1255"/>
      <c r="Z142" s="1255"/>
      <c r="AA142" s="1255"/>
      <c r="AB142" s="1255"/>
      <c r="AC142" s="624" t="str">
        <f>AI134&amp;"A"</f>
        <v>5A</v>
      </c>
      <c r="AD142" s="574" t="e">
        <f>VLOOKUP(AC142,ID_archer_cible,9,FALSE)</f>
        <v>#N/A</v>
      </c>
      <c r="AE142" s="1256" t="e">
        <f>VLOOKUP(AC142,ID_archer_cible,8,FALSE)</f>
        <v>#N/A</v>
      </c>
      <c r="AF142" s="1257"/>
      <c r="AG142" s="1260" t="e">
        <f>VLOOKUP(AC142,ID_archer_cible,7,FALSE)</f>
        <v>#N/A</v>
      </c>
      <c r="AH142" s="1261"/>
      <c r="AI142" s="828" t="e">
        <f>VLOOKUP(AC142,ID_archer_cible,10,FALSE)</f>
        <v>#N/A</v>
      </c>
      <c r="AJ142" s="829" t="e">
        <f>IF(VLOOKUP(AE142,N°LicPRO,3,FALSE)="oui","COACH","")</f>
        <v>#N/A</v>
      </c>
      <c r="AK142" s="742" t="str">
        <f>IFERROR(VLOOKUP(AE142,N°LicPRO,2,FALSE),"")</f>
        <v/>
      </c>
    </row>
    <row r="143" spans="1:37" ht="45" customHeight="1" x14ac:dyDescent="0.2">
      <c r="B143" s="1255" t="e">
        <f>VLOOKUP(J143,ID_archer_cible,5,FALSE)&amp;"    "&amp;VLOOKUP(J143,ID_archer_cible,6,FALSE)</f>
        <v>#N/A</v>
      </c>
      <c r="C143" s="1255"/>
      <c r="D143" s="1255"/>
      <c r="E143" s="1255"/>
      <c r="F143" s="1255"/>
      <c r="G143" s="1255"/>
      <c r="H143" s="1255"/>
      <c r="I143" s="1255"/>
      <c r="J143" s="624" t="str">
        <f>P134&amp;"B"</f>
        <v>5B</v>
      </c>
      <c r="K143" s="574" t="e">
        <f>VLOOKUP(J143,ID_archer_cible,9,FALSE)</f>
        <v>#N/A</v>
      </c>
      <c r="L143" s="1256" t="e">
        <f>VLOOKUP(J143,ID_archer_cible,8,FALSE)</f>
        <v>#N/A</v>
      </c>
      <c r="M143" s="1257"/>
      <c r="N143" s="1260" t="e">
        <f>VLOOKUP(J143,ID_archer_cible,7,FALSE)</f>
        <v>#N/A</v>
      </c>
      <c r="O143" s="1261"/>
      <c r="P143" s="828" t="e">
        <f>VLOOKUP(J143,ID_archer_cible,10,FALSE)</f>
        <v>#N/A</v>
      </c>
      <c r="Q143" s="829" t="e">
        <f>IF(VLOOKUP(L143,N°LicPRO,3,FALSE)="oui","COACH","")</f>
        <v>#N/A</v>
      </c>
      <c r="R143" s="742" t="str">
        <f>IFERROR(VLOOKUP(L143,N°LicPRO,2,FALSE),"")</f>
        <v/>
      </c>
      <c r="S143" s="571" t="s">
        <v>994</v>
      </c>
      <c r="U143" s="1255" t="e">
        <f>VLOOKUP(AC143,ID_archer_cible,5,FALSE)&amp;"    "&amp;VLOOKUP(AC143,ID_archer_cible,6,FALSE)</f>
        <v>#N/A</v>
      </c>
      <c r="V143" s="1255"/>
      <c r="W143" s="1255"/>
      <c r="X143" s="1255"/>
      <c r="Y143" s="1255"/>
      <c r="Z143" s="1255"/>
      <c r="AA143" s="1255"/>
      <c r="AB143" s="1255"/>
      <c r="AC143" s="624" t="str">
        <f>AI134&amp;"B"</f>
        <v>5B</v>
      </c>
      <c r="AD143" s="574" t="e">
        <f>VLOOKUP(AC143,ID_archer_cible,9,FALSE)</f>
        <v>#N/A</v>
      </c>
      <c r="AE143" s="1256" t="e">
        <f>VLOOKUP(AC143,ID_archer_cible,8,FALSE)</f>
        <v>#N/A</v>
      </c>
      <c r="AF143" s="1257"/>
      <c r="AG143" s="1260" t="e">
        <f>VLOOKUP(AC143,ID_archer_cible,7,FALSE)</f>
        <v>#N/A</v>
      </c>
      <c r="AH143" s="1261"/>
      <c r="AI143" s="828" t="e">
        <f>VLOOKUP(AC143,ID_archer_cible,10,FALSE)</f>
        <v>#N/A</v>
      </c>
      <c r="AJ143" s="829" t="e">
        <f>IF(VLOOKUP(AE143,N°LicPRO,3,FALSE)="oui","COACH","")</f>
        <v>#N/A</v>
      </c>
      <c r="AK143" s="742" t="str">
        <f>IFERROR(VLOOKUP(AE143,N°LicPRO,2,FALSE),"")</f>
        <v/>
      </c>
    </row>
    <row r="144" spans="1:37" ht="45" customHeight="1" x14ac:dyDescent="0.2">
      <c r="B144" s="1255" t="e">
        <f>VLOOKUP(J144,ID_archer_cible,5,FALSE)&amp;"    "&amp;VLOOKUP(J144,ID_archer_cible,6,FALSE)</f>
        <v>#N/A</v>
      </c>
      <c r="C144" s="1255"/>
      <c r="D144" s="1255"/>
      <c r="E144" s="1255"/>
      <c r="F144" s="1255"/>
      <c r="G144" s="1255"/>
      <c r="H144" s="1255"/>
      <c r="I144" s="1255"/>
      <c r="J144" s="624" t="str">
        <f>P134&amp;"C"</f>
        <v>5C</v>
      </c>
      <c r="K144" s="574" t="e">
        <f>VLOOKUP(J144,ID_archer_cible,9,FALSE)</f>
        <v>#N/A</v>
      </c>
      <c r="L144" s="1256" t="e">
        <f>VLOOKUP(J144,ID_archer_cible,8,FALSE)</f>
        <v>#N/A</v>
      </c>
      <c r="M144" s="1257"/>
      <c r="N144" s="1260" t="e">
        <f>VLOOKUP(J144,ID_archer_cible,7,FALSE)</f>
        <v>#N/A</v>
      </c>
      <c r="O144" s="1261"/>
      <c r="P144" s="828" t="e">
        <f>VLOOKUP(J144,ID_archer_cible,10,FALSE)</f>
        <v>#N/A</v>
      </c>
      <c r="Q144" s="829" t="e">
        <f>IF(VLOOKUP(L144,N°LicPRO,3,FALSE)="oui","COACH","")</f>
        <v>#N/A</v>
      </c>
      <c r="R144" s="742" t="str">
        <f>IFERROR(VLOOKUP(L144,N°LicPRO,2,FALSE),"")</f>
        <v/>
      </c>
      <c r="S144" s="571" t="s">
        <v>994</v>
      </c>
      <c r="U144" s="1255" t="e">
        <f>VLOOKUP(AC144,ID_archer_cible,5,FALSE)&amp;"    "&amp;VLOOKUP(AC144,ID_archer_cible,6,FALSE)</f>
        <v>#N/A</v>
      </c>
      <c r="V144" s="1255"/>
      <c r="W144" s="1255"/>
      <c r="X144" s="1255"/>
      <c r="Y144" s="1255"/>
      <c r="Z144" s="1255"/>
      <c r="AA144" s="1255"/>
      <c r="AB144" s="1255"/>
      <c r="AC144" s="624" t="str">
        <f>AI134&amp;"C"</f>
        <v>5C</v>
      </c>
      <c r="AD144" s="574" t="e">
        <f>VLOOKUP(AC144,ID_archer_cible,9,FALSE)</f>
        <v>#N/A</v>
      </c>
      <c r="AE144" s="1256" t="e">
        <f>VLOOKUP(AC144,ID_archer_cible,8,FALSE)</f>
        <v>#N/A</v>
      </c>
      <c r="AF144" s="1257"/>
      <c r="AG144" s="1260" t="e">
        <f>VLOOKUP(AC144,ID_archer_cible,7,FALSE)</f>
        <v>#N/A</v>
      </c>
      <c r="AH144" s="1261"/>
      <c r="AI144" s="828" t="e">
        <f>VLOOKUP(AC144,ID_archer_cible,10,FALSE)</f>
        <v>#N/A</v>
      </c>
      <c r="AJ144" s="829" t="e">
        <f>IF(VLOOKUP(AE144,N°LicPRO,3,FALSE)="oui","COACH","")</f>
        <v>#N/A</v>
      </c>
      <c r="AK144" s="742" t="str">
        <f>IFERROR(VLOOKUP(AE144,N°LicPRO,2,FALSE),"")</f>
        <v/>
      </c>
    </row>
    <row r="145" spans="2:37" ht="45" customHeight="1" x14ac:dyDescent="0.2">
      <c r="B145" s="1255" t="e">
        <f>VLOOKUP(J145,ID_archer_cible,5,FALSE)&amp;"    "&amp;VLOOKUP(J145,ID_archer_cible,6,FALSE)</f>
        <v>#N/A</v>
      </c>
      <c r="C145" s="1255"/>
      <c r="D145" s="1255"/>
      <c r="E145" s="1255"/>
      <c r="F145" s="1255"/>
      <c r="G145" s="1255"/>
      <c r="H145" s="1255"/>
      <c r="I145" s="1255"/>
      <c r="J145" s="624" t="str">
        <f>P134&amp;"D"</f>
        <v>5D</v>
      </c>
      <c r="K145" s="574" t="e">
        <f>VLOOKUP(J145,ID_archer_cible,9,FALSE)</f>
        <v>#N/A</v>
      </c>
      <c r="L145" s="1256" t="e">
        <f>VLOOKUP(J145,ID_archer_cible,8,FALSE)</f>
        <v>#N/A</v>
      </c>
      <c r="M145" s="1257"/>
      <c r="N145" s="1260" t="e">
        <f>VLOOKUP(J145,ID_archer_cible,7,FALSE)</f>
        <v>#N/A</v>
      </c>
      <c r="O145" s="1261"/>
      <c r="P145" s="828" t="e">
        <f>VLOOKUP(J145,ID_archer_cible,10,FALSE)</f>
        <v>#N/A</v>
      </c>
      <c r="Q145" s="829" t="e">
        <f>IF(VLOOKUP(L145,N°LicPRO,3,FALSE)="oui","COACH","")</f>
        <v>#N/A</v>
      </c>
      <c r="R145" s="742" t="str">
        <f>IFERROR(VLOOKUP(L145,N°LicPRO,2,FALSE),"")</f>
        <v/>
      </c>
      <c r="S145" s="646" t="s">
        <v>995</v>
      </c>
      <c r="U145" s="1255" t="e">
        <f>VLOOKUP(AC145,ID_archer_cible,5,FALSE)&amp;"    "&amp;VLOOKUP(AC145,ID_archer_cible,6,FALSE)</f>
        <v>#N/A</v>
      </c>
      <c r="V145" s="1255"/>
      <c r="W145" s="1255"/>
      <c r="X145" s="1255"/>
      <c r="Y145" s="1255"/>
      <c r="Z145" s="1255"/>
      <c r="AA145" s="1255"/>
      <c r="AB145" s="1255"/>
      <c r="AC145" s="624" t="str">
        <f>AI134&amp;"D"</f>
        <v>5D</v>
      </c>
      <c r="AD145" s="574" t="e">
        <f>VLOOKUP(AC145,ID_archer_cible,9,FALSE)</f>
        <v>#N/A</v>
      </c>
      <c r="AE145" s="1256" t="e">
        <f>VLOOKUP(AC145,ID_archer_cible,8,FALSE)</f>
        <v>#N/A</v>
      </c>
      <c r="AF145" s="1257"/>
      <c r="AG145" s="1260" t="e">
        <f>VLOOKUP(AC145,ID_archer_cible,7,FALSE)</f>
        <v>#N/A</v>
      </c>
      <c r="AH145" s="1261"/>
      <c r="AI145" s="828" t="e">
        <f>VLOOKUP(AC145,ID_archer_cible,10,FALSE)</f>
        <v>#N/A</v>
      </c>
      <c r="AJ145" s="829" t="e">
        <f>IF(VLOOKUP(AE145,N°LicPRO,3,FALSE)="oui","COACH","")</f>
        <v>#N/A</v>
      </c>
      <c r="AK145" s="742" t="str">
        <f>IFERROR(VLOOKUP(AE145,N°LicPRO,2,FALSE),"")</f>
        <v/>
      </c>
    </row>
    <row r="146" spans="2:37" ht="15" customHeight="1" x14ac:dyDescent="0.2">
      <c r="S146" s="571" t="s">
        <v>994</v>
      </c>
    </row>
    <row r="147" spans="2:37" ht="15" customHeight="1" x14ac:dyDescent="0.2">
      <c r="B147" s="508" t="s">
        <v>975</v>
      </c>
      <c r="S147" s="571" t="s">
        <v>994</v>
      </c>
      <c r="U147" s="508" t="s">
        <v>975</v>
      </c>
    </row>
    <row r="148" spans="2:37" ht="15" customHeight="1" x14ac:dyDescent="0.2">
      <c r="B148" s="1259" t="s">
        <v>974</v>
      </c>
      <c r="C148" s="1259"/>
      <c r="D148" s="1259"/>
      <c r="E148" s="1259"/>
      <c r="F148" s="1199" t="str">
        <f>Info_TirQ</f>
        <v>J2 8:30-9:00 Ent. 9:00-10:30 Tirs Qual.</v>
      </c>
      <c r="G148" s="1199"/>
      <c r="H148" s="1199"/>
      <c r="I148" s="1199"/>
      <c r="J148" s="1199"/>
      <c r="K148" s="1258" t="s">
        <v>978</v>
      </c>
      <c r="L148" s="1258"/>
      <c r="M148" s="1258"/>
      <c r="N148" s="1258"/>
      <c r="O148" s="1258"/>
      <c r="S148" s="646" t="s">
        <v>995</v>
      </c>
      <c r="U148" s="1259" t="s">
        <v>974</v>
      </c>
      <c r="V148" s="1259"/>
      <c r="W148" s="1259"/>
      <c r="X148" s="1259"/>
      <c r="Y148" s="1199" t="str">
        <f>Info_TirQ</f>
        <v>J2 8:30-9:00 Ent. 9:00-10:30 Tirs Qual.</v>
      </c>
      <c r="Z148" s="1199"/>
      <c r="AA148" s="1199"/>
      <c r="AB148" s="1199"/>
      <c r="AC148" s="1199"/>
      <c r="AD148" s="1258" t="s">
        <v>978</v>
      </c>
      <c r="AE148" s="1258"/>
      <c r="AF148" s="1258"/>
      <c r="AG148" s="1258"/>
      <c r="AH148" s="1258"/>
    </row>
    <row r="149" spans="2:37" ht="15" customHeight="1" x14ac:dyDescent="0.2">
      <c r="B149" s="1259" t="s">
        <v>484</v>
      </c>
      <c r="C149" s="1259"/>
      <c r="D149" s="1259"/>
      <c r="E149" s="1259"/>
      <c r="F149" s="1199" t="str">
        <f>Info_D1</f>
        <v>J2 13:30-14:20  1er DUEL</v>
      </c>
      <c r="G149" s="1199"/>
      <c r="H149" s="1199"/>
      <c r="I149" s="1199"/>
      <c r="J149" s="1199"/>
      <c r="K149" s="1258"/>
      <c r="L149" s="1258"/>
      <c r="M149" s="1258"/>
      <c r="N149" s="1258"/>
      <c r="O149" s="1258"/>
      <c r="S149" s="571" t="s">
        <v>994</v>
      </c>
      <c r="U149" s="1259" t="s">
        <v>484</v>
      </c>
      <c r="V149" s="1259"/>
      <c r="W149" s="1259"/>
      <c r="X149" s="1259"/>
      <c r="Y149" s="1199" t="str">
        <f>Info_D1</f>
        <v>J2 13:30-14:20  1er DUEL</v>
      </c>
      <c r="Z149" s="1199"/>
      <c r="AA149" s="1199"/>
      <c r="AB149" s="1199"/>
      <c r="AC149" s="1199"/>
      <c r="AD149" s="1258"/>
      <c r="AE149" s="1258"/>
      <c r="AF149" s="1258"/>
      <c r="AG149" s="1258"/>
      <c r="AH149" s="1258"/>
    </row>
    <row r="150" spans="2:37" ht="15" customHeight="1" x14ac:dyDescent="0.2">
      <c r="B150" s="1259" t="s">
        <v>972</v>
      </c>
      <c r="C150" s="1259"/>
      <c r="D150" s="1259"/>
      <c r="E150" s="1259"/>
      <c r="F150" s="1199" t="str">
        <f>Info_D2</f>
        <v>J2 14:30-15:20 2ème DUEL</v>
      </c>
      <c r="G150" s="1199"/>
      <c r="H150" s="1199"/>
      <c r="I150" s="1199"/>
      <c r="J150" s="1199"/>
      <c r="K150" s="1258"/>
      <c r="L150" s="1258"/>
      <c r="M150" s="1258"/>
      <c r="N150" s="1258"/>
      <c r="O150" s="1258"/>
      <c r="S150" s="571" t="s">
        <v>994</v>
      </c>
      <c r="U150" s="1259" t="s">
        <v>972</v>
      </c>
      <c r="V150" s="1259"/>
      <c r="W150" s="1259"/>
      <c r="X150" s="1259"/>
      <c r="Y150" s="1199" t="str">
        <f>Info_D2</f>
        <v>J2 14:30-15:20 2ème DUEL</v>
      </c>
      <c r="Z150" s="1199"/>
      <c r="AA150" s="1199"/>
      <c r="AB150" s="1199"/>
      <c r="AC150" s="1199"/>
      <c r="AD150" s="1258"/>
      <c r="AE150" s="1258"/>
      <c r="AF150" s="1258"/>
      <c r="AG150" s="1258"/>
      <c r="AH150" s="1258"/>
    </row>
    <row r="151" spans="2:37" ht="15" customHeight="1" x14ac:dyDescent="0.2">
      <c r="B151" s="1259" t="s">
        <v>973</v>
      </c>
      <c r="C151" s="1259"/>
      <c r="D151" s="1259"/>
      <c r="E151" s="1259"/>
      <c r="F151" s="1199" t="str">
        <f>Info_D3</f>
        <v>J3 10-10:50 Match pl. 5 à +  ETAB - EX</v>
      </c>
      <c r="G151" s="1199"/>
      <c r="H151" s="1199"/>
      <c r="I151" s="1199"/>
      <c r="J151" s="1199"/>
      <c r="K151" s="1258"/>
      <c r="L151" s="1258"/>
      <c r="M151" s="1258"/>
      <c r="N151" s="1258"/>
      <c r="O151" s="1258"/>
      <c r="S151" s="646" t="s">
        <v>995</v>
      </c>
      <c r="U151" s="1259" t="s">
        <v>973</v>
      </c>
      <c r="V151" s="1259"/>
      <c r="W151" s="1259"/>
      <c r="X151" s="1259"/>
      <c r="Y151" s="1199" t="str">
        <f>Info_D3</f>
        <v>J3 10-10:50 Match pl. 5 à +  ETAB - EX</v>
      </c>
      <c r="Z151" s="1199"/>
      <c r="AA151" s="1199"/>
      <c r="AB151" s="1199"/>
      <c r="AC151" s="1199"/>
      <c r="AD151" s="1258"/>
      <c r="AE151" s="1258"/>
      <c r="AF151" s="1258"/>
      <c r="AG151" s="1258"/>
      <c r="AH151" s="1258"/>
    </row>
    <row r="152" spans="2:37" ht="24.75" customHeight="1" x14ac:dyDescent="0.2">
      <c r="B152" s="626" t="s">
        <v>976</v>
      </c>
      <c r="S152" s="571" t="s">
        <v>994</v>
      </c>
      <c r="U152" s="626" t="s">
        <v>976</v>
      </c>
    </row>
    <row r="153" spans="2:37" ht="134.25" customHeight="1" x14ac:dyDescent="0.2">
      <c r="B153"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C153" s="1264"/>
      <c r="D153" s="1264"/>
      <c r="E153" s="1264"/>
      <c r="F153" s="1264"/>
      <c r="G153" s="1264"/>
      <c r="H153" s="1264"/>
      <c r="I153" s="1264"/>
      <c r="J153" s="1264"/>
      <c r="K153" s="1264"/>
      <c r="L153" s="1264"/>
      <c r="M153" s="1264"/>
      <c r="N153" s="1264"/>
      <c r="O153" s="1264"/>
      <c r="P153" s="1265"/>
      <c r="S153" s="571" t="s">
        <v>994</v>
      </c>
      <c r="U153"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V153" s="1264"/>
      <c r="W153" s="1264"/>
      <c r="X153" s="1264"/>
      <c r="Y153" s="1264"/>
      <c r="Z153" s="1264"/>
      <c r="AA153" s="1264"/>
      <c r="AB153" s="1264"/>
      <c r="AC153" s="1264"/>
      <c r="AD153" s="1264"/>
      <c r="AE153" s="1264"/>
      <c r="AF153" s="1264"/>
      <c r="AG153" s="1264"/>
      <c r="AH153" s="1264"/>
      <c r="AI153" s="1265"/>
    </row>
    <row r="154" spans="2:37" ht="15" customHeight="1" x14ac:dyDescent="0.2">
      <c r="C154" s="508" t="s">
        <v>964</v>
      </c>
      <c r="K154" s="508" t="s">
        <v>965</v>
      </c>
      <c r="O154" s="508" t="s">
        <v>966</v>
      </c>
      <c r="S154" s="646" t="s">
        <v>995</v>
      </c>
      <c r="V154" s="508" t="s">
        <v>964</v>
      </c>
      <c r="AD154" s="508" t="s">
        <v>965</v>
      </c>
      <c r="AH154" s="508" t="s">
        <v>966</v>
      </c>
    </row>
    <row r="155" spans="2:37" ht="15" customHeight="1" x14ac:dyDescent="0.2">
      <c r="S155" s="571" t="s">
        <v>994</v>
      </c>
    </row>
    <row r="156" spans="2:37" ht="15" customHeight="1" x14ac:dyDescent="0.2">
      <c r="S156" s="571" t="s">
        <v>994</v>
      </c>
    </row>
    <row r="157" spans="2:37" ht="15" customHeight="1" x14ac:dyDescent="0.2">
      <c r="S157" s="646" t="s">
        <v>995</v>
      </c>
    </row>
    <row r="158" spans="2:37" ht="15" customHeight="1" x14ac:dyDescent="0.2">
      <c r="S158" s="571" t="s">
        <v>994</v>
      </c>
    </row>
    <row r="159" spans="2:37" ht="15" customHeight="1" x14ac:dyDescent="0.2">
      <c r="S159" s="571" t="s">
        <v>994</v>
      </c>
    </row>
    <row r="160" spans="2:37" ht="21.75" x14ac:dyDescent="0.2">
      <c r="S160" s="646" t="s">
        <v>995</v>
      </c>
    </row>
    <row r="161" spans="1:37" x14ac:dyDescent="0.2">
      <c r="S161" s="571" t="s">
        <v>994</v>
      </c>
    </row>
    <row r="162" spans="1:37" ht="30" x14ac:dyDescent="0.2">
      <c r="A162" s="1262" t="str">
        <f>Championnat</f>
        <v>Championnat de France de Tir à l'ARC</v>
      </c>
      <c r="B162" s="1262"/>
      <c r="C162" s="1262"/>
      <c r="D162" s="1262"/>
      <c r="E162" s="1262"/>
      <c r="F162" s="1262"/>
      <c r="G162" s="1262"/>
      <c r="H162" s="1262"/>
      <c r="I162" s="1262"/>
      <c r="J162" s="1262"/>
      <c r="K162" s="1262"/>
      <c r="L162" s="1262"/>
      <c r="M162" s="1262"/>
      <c r="N162" s="1262"/>
      <c r="O162" s="1262"/>
      <c r="P162" s="1262"/>
      <c r="Q162" s="1262"/>
      <c r="R162" s="1262"/>
      <c r="S162" s="571" t="s">
        <v>994</v>
      </c>
      <c r="T162" s="1262" t="str">
        <f>Championnat</f>
        <v>Championnat de France de Tir à l'ARC</v>
      </c>
      <c r="U162" s="1262"/>
      <c r="V162" s="1262"/>
      <c r="W162" s="1262"/>
      <c r="X162" s="1262"/>
      <c r="Y162" s="1262"/>
      <c r="Z162" s="1262"/>
      <c r="AA162" s="1262"/>
      <c r="AB162" s="1262"/>
      <c r="AC162" s="1262"/>
      <c r="AD162" s="1262"/>
      <c r="AE162" s="1262"/>
      <c r="AF162" s="1262"/>
      <c r="AG162" s="1262"/>
      <c r="AH162" s="1262"/>
      <c r="AI162" s="1262"/>
      <c r="AJ162" s="1262"/>
      <c r="AK162" s="1262"/>
    </row>
    <row r="163" spans="1:37" ht="24.75" customHeight="1" x14ac:dyDescent="0.2">
      <c r="A163" s="1184" t="str">
        <f>LIEU&amp;" du "&amp;DATE</f>
        <v>L’Isle sur la Sorgue du 27 au 31 mars 2023</v>
      </c>
      <c r="B163" s="1184"/>
      <c r="C163" s="1184"/>
      <c r="D163" s="1184"/>
      <c r="E163" s="1184"/>
      <c r="F163" s="1184"/>
      <c r="G163" s="1184"/>
      <c r="H163" s="1184"/>
      <c r="I163" s="1184"/>
      <c r="J163" s="1184"/>
      <c r="K163" s="1184"/>
      <c r="L163" s="1184"/>
      <c r="M163" s="1184"/>
      <c r="N163" s="1184"/>
      <c r="O163" s="1184"/>
      <c r="P163" s="1184"/>
      <c r="Q163" s="1184"/>
      <c r="R163" s="1184"/>
      <c r="S163" s="646" t="s">
        <v>995</v>
      </c>
      <c r="T163" s="1184" t="str">
        <f>LIEU&amp;" du "&amp;DATE</f>
        <v>L’Isle sur la Sorgue du 27 au 31 mars 2023</v>
      </c>
      <c r="U163" s="1184"/>
      <c r="V163" s="1184"/>
      <c r="W163" s="1184"/>
      <c r="X163" s="1184"/>
      <c r="Y163" s="1184"/>
      <c r="Z163" s="1184"/>
      <c r="AA163" s="1184"/>
      <c r="AB163" s="1184"/>
      <c r="AC163" s="1184"/>
      <c r="AD163" s="1184"/>
      <c r="AE163" s="1184"/>
      <c r="AF163" s="1184"/>
      <c r="AG163" s="1184"/>
      <c r="AH163" s="1184"/>
      <c r="AI163" s="1184"/>
      <c r="AJ163" s="1184"/>
      <c r="AK163" s="1184"/>
    </row>
    <row r="164" spans="1:37" s="218" customFormat="1" ht="40.5" customHeight="1" x14ac:dyDescent="0.2">
      <c r="A164" s="1268" t="str">
        <f>CATEG_IMPORTEE</f>
        <v>Collèges Mixtes Etablissement</v>
      </c>
      <c r="B164" s="1268"/>
      <c r="C164" s="1268"/>
      <c r="D164" s="1268"/>
      <c r="E164" s="1268"/>
      <c r="F164" s="1268"/>
      <c r="G164" s="1268"/>
      <c r="H164" s="1268"/>
      <c r="I164" s="1268"/>
      <c r="J164" s="1268"/>
      <c r="K164" s="1268"/>
      <c r="L164" s="1268"/>
      <c r="M164" s="1268"/>
      <c r="N164" s="1268"/>
      <c r="O164" s="1268"/>
      <c r="P164" s="1268"/>
      <c r="Q164" s="1268"/>
      <c r="R164" s="1268"/>
      <c r="S164" s="571" t="s">
        <v>994</v>
      </c>
      <c r="T164" s="1268" t="str">
        <f>CATEG_IMPORTEE</f>
        <v>Collèges Mixtes Etablissement</v>
      </c>
      <c r="U164" s="1268"/>
      <c r="V164" s="1268"/>
      <c r="W164" s="1268"/>
      <c r="X164" s="1268"/>
      <c r="Y164" s="1268"/>
      <c r="Z164" s="1268"/>
      <c r="AA164" s="1268"/>
      <c r="AB164" s="1268"/>
      <c r="AC164" s="1268"/>
      <c r="AD164" s="1268"/>
      <c r="AE164" s="1268"/>
      <c r="AF164" s="1268"/>
      <c r="AG164" s="1268"/>
      <c r="AH164" s="1268"/>
      <c r="AI164" s="1268"/>
      <c r="AJ164" s="1268"/>
      <c r="AK164" s="1268"/>
    </row>
    <row r="165" spans="1:37" s="218" customFormat="1" ht="19.5" customHeight="1" x14ac:dyDescent="0.2">
      <c r="A165" s="625"/>
      <c r="B165" s="625"/>
      <c r="C165" s="625"/>
      <c r="D165" s="625"/>
      <c r="E165" s="625"/>
      <c r="F165" s="625"/>
      <c r="G165" s="625"/>
      <c r="H165" s="625"/>
      <c r="I165" s="625"/>
      <c r="J165" s="625"/>
      <c r="K165" s="625"/>
      <c r="L165" s="625"/>
      <c r="M165" s="625"/>
      <c r="N165" s="625"/>
      <c r="O165" s="625"/>
      <c r="P165" s="625"/>
      <c r="Q165" s="625"/>
      <c r="R165" s="625"/>
      <c r="S165" s="571" t="s">
        <v>994</v>
      </c>
      <c r="T165" s="625"/>
      <c r="U165" s="625"/>
      <c r="V165" s="625"/>
      <c r="W165" s="625"/>
      <c r="X165" s="625"/>
      <c r="Y165" s="625"/>
      <c r="Z165" s="625"/>
      <c r="AA165" s="625"/>
      <c r="AB165" s="625"/>
      <c r="AC165" s="625"/>
      <c r="AD165" s="625"/>
      <c r="AE165" s="625"/>
      <c r="AF165" s="625"/>
      <c r="AG165" s="625"/>
      <c r="AH165" s="625"/>
      <c r="AI165" s="625"/>
      <c r="AJ165" s="625"/>
      <c r="AK165" s="625"/>
    </row>
    <row r="166" spans="1:37" ht="47.25" customHeight="1" x14ac:dyDescent="0.2">
      <c r="A166" s="620"/>
      <c r="B166" s="620"/>
      <c r="C166" s="620"/>
      <c r="D166" s="620"/>
      <c r="E166" s="620"/>
      <c r="F166" s="620"/>
      <c r="G166" s="620"/>
      <c r="H166" s="620"/>
      <c r="I166" s="620"/>
      <c r="J166" s="620"/>
      <c r="K166" s="620"/>
      <c r="L166" s="620"/>
      <c r="M166" s="620"/>
      <c r="N166" s="1072" t="s">
        <v>628</v>
      </c>
      <c r="O166" s="1073"/>
      <c r="P166" s="1271">
        <f>P134+1</f>
        <v>6</v>
      </c>
      <c r="Q166" s="1271"/>
      <c r="R166" s="1271"/>
      <c r="S166" s="646" t="s">
        <v>995</v>
      </c>
      <c r="T166" s="620"/>
      <c r="U166" s="620"/>
      <c r="V166" s="620"/>
      <c r="W166" s="620"/>
      <c r="X166" s="620"/>
      <c r="Y166" s="620"/>
      <c r="Z166" s="620"/>
      <c r="AA166" s="620"/>
      <c r="AB166" s="620"/>
      <c r="AC166" s="620"/>
      <c r="AD166" s="620"/>
      <c r="AE166" s="620"/>
      <c r="AF166" s="620"/>
      <c r="AG166" s="1072" t="s">
        <v>628</v>
      </c>
      <c r="AH166" s="1073"/>
      <c r="AI166" s="1271">
        <f>AI134+1</f>
        <v>6</v>
      </c>
      <c r="AJ166" s="1271"/>
      <c r="AK166" s="1271"/>
    </row>
    <row r="167" spans="1:37" ht="36.75" customHeight="1" x14ac:dyDescent="0.2">
      <c r="A167" s="1272" t="e">
        <f>VLOOKUP(J174,ID_archer_cible,2,FALSE)</f>
        <v>#N/A</v>
      </c>
      <c r="B167" s="1272"/>
      <c r="C167" s="1272"/>
      <c r="D167" s="1272"/>
      <c r="E167" s="1272"/>
      <c r="F167" s="1272"/>
      <c r="G167" s="1272"/>
      <c r="H167" s="1272"/>
      <c r="I167" s="1272"/>
      <c r="J167" s="1272"/>
      <c r="K167" s="1272"/>
      <c r="L167" s="1272"/>
      <c r="M167" s="1272"/>
      <c r="N167" s="1272"/>
      <c r="O167" s="1272"/>
      <c r="P167" s="1272"/>
      <c r="Q167" s="1272"/>
      <c r="R167" s="1272"/>
      <c r="S167" s="571" t="s">
        <v>994</v>
      </c>
      <c r="T167" s="1272" t="e">
        <f>VLOOKUP(AC174,ID_archer_cible,2,FALSE)</f>
        <v>#N/A</v>
      </c>
      <c r="U167" s="1272"/>
      <c r="V167" s="1272"/>
      <c r="W167" s="1272"/>
      <c r="X167" s="1272"/>
      <c r="Y167" s="1272"/>
      <c r="Z167" s="1272"/>
      <c r="AA167" s="1272"/>
      <c r="AB167" s="1272"/>
      <c r="AC167" s="1272"/>
      <c r="AD167" s="1272"/>
      <c r="AE167" s="1272"/>
      <c r="AF167" s="1272"/>
      <c r="AG167" s="1272"/>
      <c r="AH167" s="1272"/>
      <c r="AI167" s="1272"/>
      <c r="AJ167" s="1272"/>
      <c r="AK167" s="1272"/>
    </row>
    <row r="168" spans="1:37" ht="21.75" customHeight="1" x14ac:dyDescent="0.2">
      <c r="I168" s="621"/>
      <c r="J168" s="621"/>
      <c r="K168" s="621"/>
      <c r="L168" s="621"/>
      <c r="M168" s="621"/>
      <c r="N168" s="621"/>
      <c r="P168" s="619"/>
      <c r="Q168" s="619"/>
      <c r="R168" s="619"/>
      <c r="S168" s="571" t="s">
        <v>994</v>
      </c>
      <c r="AB168" s="621"/>
      <c r="AC168" s="621"/>
      <c r="AD168" s="621"/>
      <c r="AE168" s="621"/>
      <c r="AF168" s="621"/>
      <c r="AG168" s="621"/>
      <c r="AI168" s="619"/>
      <c r="AJ168" s="619"/>
      <c r="AK168" s="619"/>
    </row>
    <row r="169" spans="1:37" ht="17.25" customHeight="1" x14ac:dyDescent="0.2">
      <c r="A169" s="1125"/>
      <c r="B169" s="1125"/>
      <c r="C169" s="1125"/>
      <c r="D169" s="1125"/>
      <c r="E169" s="1125"/>
      <c r="F169" s="1125"/>
      <c r="G169" s="1125"/>
      <c r="H169" s="1125"/>
      <c r="I169" s="1125"/>
      <c r="J169" s="1125"/>
      <c r="K169" s="1125"/>
      <c r="L169" s="1125" t="s">
        <v>374</v>
      </c>
      <c r="M169" s="1125"/>
      <c r="N169" s="1125"/>
      <c r="O169" s="1125"/>
      <c r="P169" s="1125"/>
      <c r="Q169" s="1125"/>
      <c r="R169" s="1125"/>
      <c r="S169" s="646" t="s">
        <v>995</v>
      </c>
      <c r="T169" s="1125"/>
      <c r="U169" s="1125"/>
      <c r="V169" s="1125"/>
      <c r="W169" s="1125"/>
      <c r="X169" s="1125"/>
      <c r="Y169" s="1125"/>
      <c r="Z169" s="1125"/>
      <c r="AA169" s="1125"/>
      <c r="AB169" s="1125"/>
      <c r="AC169" s="1125"/>
      <c r="AD169" s="1125"/>
      <c r="AE169" s="1125" t="s">
        <v>374</v>
      </c>
      <c r="AF169" s="1125"/>
      <c r="AG169" s="1125"/>
      <c r="AH169" s="1125"/>
      <c r="AI169" s="1125"/>
      <c r="AJ169" s="1125"/>
      <c r="AK169" s="1125"/>
    </row>
    <row r="170" spans="1:37" ht="32.25" customHeight="1" x14ac:dyDescent="0.2">
      <c r="A170" s="1269" t="e">
        <f>VLOOKUP(J174,ID_archer_cible,3,FALSE)</f>
        <v>#N/A</v>
      </c>
      <c r="B170" s="1269"/>
      <c r="C170" s="1269"/>
      <c r="D170" s="1269"/>
      <c r="E170" s="1269"/>
      <c r="F170" s="1269"/>
      <c r="G170" s="1269"/>
      <c r="H170" s="1269"/>
      <c r="I170" s="1269"/>
      <c r="J170" s="1269"/>
      <c r="K170" s="1269"/>
      <c r="L170" s="1270" t="e">
        <f>VLOOKUP(J174,ID_archer_cible,4,FALSE)</f>
        <v>#N/A</v>
      </c>
      <c r="M170" s="1270"/>
      <c r="N170" s="1270"/>
      <c r="O170" s="1270"/>
      <c r="P170" s="1270"/>
      <c r="Q170" s="1270"/>
      <c r="R170" s="1270"/>
      <c r="S170" s="571" t="s">
        <v>994</v>
      </c>
      <c r="T170" s="1269" t="e">
        <f>VLOOKUP(AC174,ID_archer_cible,3,FALSE)</f>
        <v>#N/A</v>
      </c>
      <c r="U170" s="1269"/>
      <c r="V170" s="1269"/>
      <c r="W170" s="1269"/>
      <c r="X170" s="1269"/>
      <c r="Y170" s="1269"/>
      <c r="Z170" s="1269"/>
      <c r="AA170" s="1269"/>
      <c r="AB170" s="1269"/>
      <c r="AC170" s="1269"/>
      <c r="AD170" s="1269"/>
      <c r="AE170" s="1270" t="e">
        <f>VLOOKUP(AC174,ID_archer_cible,4,FALSE)</f>
        <v>#N/A</v>
      </c>
      <c r="AF170" s="1270"/>
      <c r="AG170" s="1270"/>
      <c r="AH170" s="1270"/>
      <c r="AI170" s="1270"/>
      <c r="AJ170" s="1270"/>
      <c r="AK170" s="1270"/>
    </row>
    <row r="171" spans="1:37" ht="17.25" customHeight="1" x14ac:dyDescent="0.2">
      <c r="E171" s="584"/>
      <c r="F171" s="584"/>
      <c r="G171" s="584"/>
      <c r="H171" s="584"/>
      <c r="I171" s="618"/>
      <c r="J171" s="618"/>
      <c r="K171" s="618"/>
      <c r="L171" s="618"/>
      <c r="M171" s="618"/>
      <c r="N171" s="618"/>
      <c r="O171" s="753"/>
      <c r="P171" s="1266" t="str">
        <f>IFERROR(IF(AND(R174="oui",R175="oui",R176="oui",R177="oui"),"PRO",""),"")</f>
        <v/>
      </c>
      <c r="Q171" s="1266"/>
      <c r="R171" s="1266"/>
      <c r="S171" s="571" t="s">
        <v>994</v>
      </c>
      <c r="X171" s="584"/>
      <c r="Y171" s="584"/>
      <c r="Z171" s="584"/>
      <c r="AA171" s="584"/>
      <c r="AB171" s="618"/>
      <c r="AC171" s="618"/>
      <c r="AD171" s="618"/>
      <c r="AE171" s="618"/>
      <c r="AF171" s="618"/>
      <c r="AG171" s="618"/>
      <c r="AI171" s="1266" t="str">
        <f>IFERROR(IF(AND(AK174="oui",AK175="oui",AK176="oui",AK177="oui"),"PRO",""),"")</f>
        <v/>
      </c>
      <c r="AJ171" s="1266"/>
      <c r="AK171" s="1266"/>
    </row>
    <row r="172" spans="1:37" ht="20.25" customHeight="1" x14ac:dyDescent="0.2">
      <c r="P172" s="1267"/>
      <c r="Q172" s="1267"/>
      <c r="R172" s="1267"/>
      <c r="S172" s="646" t="s">
        <v>995</v>
      </c>
      <c r="AI172" s="1267"/>
      <c r="AJ172" s="1267"/>
      <c r="AK172" s="1267"/>
    </row>
    <row r="173" spans="1:37" ht="25.5" customHeight="1" x14ac:dyDescent="0.2">
      <c r="B173" s="1273" t="s">
        <v>906</v>
      </c>
      <c r="C173" s="1273"/>
      <c r="D173" s="1273"/>
      <c r="E173" s="1273"/>
      <c r="F173" s="1273"/>
      <c r="G173" s="1273"/>
      <c r="H173" s="1273"/>
      <c r="I173" s="1273"/>
      <c r="J173" s="622" t="s">
        <v>552</v>
      </c>
      <c r="K173" s="623" t="s">
        <v>893</v>
      </c>
      <c r="L173" s="1275" t="s">
        <v>550</v>
      </c>
      <c r="M173" s="1276"/>
      <c r="N173" s="1274" t="s">
        <v>905</v>
      </c>
      <c r="O173" s="1274"/>
      <c r="P173" s="1254" t="s">
        <v>551</v>
      </c>
      <c r="Q173" s="1254"/>
      <c r="R173" s="752" t="s">
        <v>1027</v>
      </c>
      <c r="S173" s="571" t="s">
        <v>994</v>
      </c>
      <c r="U173" s="1273" t="s">
        <v>906</v>
      </c>
      <c r="V173" s="1273"/>
      <c r="W173" s="1273"/>
      <c r="X173" s="1273"/>
      <c r="Y173" s="1273"/>
      <c r="Z173" s="1273"/>
      <c r="AA173" s="1273"/>
      <c r="AB173" s="1273"/>
      <c r="AC173" s="622" t="s">
        <v>552</v>
      </c>
      <c r="AD173" s="623" t="s">
        <v>893</v>
      </c>
      <c r="AE173" s="1275" t="s">
        <v>550</v>
      </c>
      <c r="AF173" s="1276"/>
      <c r="AG173" s="1274" t="s">
        <v>905</v>
      </c>
      <c r="AH173" s="1274"/>
      <c r="AI173" s="1254" t="s">
        <v>551</v>
      </c>
      <c r="AJ173" s="1254"/>
      <c r="AK173" s="752" t="s">
        <v>1027</v>
      </c>
    </row>
    <row r="174" spans="1:37" ht="45" customHeight="1" x14ac:dyDescent="0.2">
      <c r="B174" s="1255" t="e">
        <f>VLOOKUP(J174,ID_archer_cible,5,FALSE)&amp;"    "&amp;VLOOKUP(J174,ID_archer_cible,6,FALSE)</f>
        <v>#N/A</v>
      </c>
      <c r="C174" s="1255"/>
      <c r="D174" s="1255"/>
      <c r="E174" s="1255"/>
      <c r="F174" s="1255"/>
      <c r="G174" s="1255"/>
      <c r="H174" s="1255"/>
      <c r="I174" s="1255"/>
      <c r="J174" s="624" t="str">
        <f>P166&amp;"A"</f>
        <v>6A</v>
      </c>
      <c r="K174" s="574" t="e">
        <f>VLOOKUP(J174,ID_archer_cible,9,FALSE)</f>
        <v>#N/A</v>
      </c>
      <c r="L174" s="1256" t="e">
        <f>VLOOKUP(J174,ID_archer_cible,8,FALSE)</f>
        <v>#N/A</v>
      </c>
      <c r="M174" s="1257"/>
      <c r="N174" s="1260" t="e">
        <f>VLOOKUP(J174,ID_archer_cible,7,FALSE)</f>
        <v>#N/A</v>
      </c>
      <c r="O174" s="1261"/>
      <c r="P174" s="828" t="e">
        <f>VLOOKUP(J174,ID_archer_cible,10,FALSE)</f>
        <v>#N/A</v>
      </c>
      <c r="Q174" s="829" t="e">
        <f>IF(VLOOKUP(L174,N°LicPRO,3,FALSE)="oui","COACH","")</f>
        <v>#N/A</v>
      </c>
      <c r="R174" s="742" t="str">
        <f>IFERROR(VLOOKUP(L174,N°LicPRO,2,FALSE),"")</f>
        <v/>
      </c>
      <c r="S174" s="571" t="s">
        <v>994</v>
      </c>
      <c r="U174" s="1255" t="e">
        <f>VLOOKUP(AC174,ID_archer_cible,5,FALSE)&amp;"    "&amp;VLOOKUP(AC174,ID_archer_cible,6,FALSE)</f>
        <v>#N/A</v>
      </c>
      <c r="V174" s="1255"/>
      <c r="W174" s="1255"/>
      <c r="X174" s="1255"/>
      <c r="Y174" s="1255"/>
      <c r="Z174" s="1255"/>
      <c r="AA174" s="1255"/>
      <c r="AB174" s="1255"/>
      <c r="AC174" s="624" t="str">
        <f>AI166&amp;"A"</f>
        <v>6A</v>
      </c>
      <c r="AD174" s="574" t="e">
        <f>VLOOKUP(AC174,ID_archer_cible,9,FALSE)</f>
        <v>#N/A</v>
      </c>
      <c r="AE174" s="1256" t="e">
        <f>VLOOKUP(AC174,ID_archer_cible,8,FALSE)</f>
        <v>#N/A</v>
      </c>
      <c r="AF174" s="1257"/>
      <c r="AG174" s="1260" t="e">
        <f>VLOOKUP(AC174,ID_archer_cible,7,FALSE)</f>
        <v>#N/A</v>
      </c>
      <c r="AH174" s="1261"/>
      <c r="AI174" s="828" t="e">
        <f>VLOOKUP(AC174,ID_archer_cible,10,FALSE)</f>
        <v>#N/A</v>
      </c>
      <c r="AJ174" s="829" t="e">
        <f>IF(VLOOKUP(AE174,N°LicPRO,3,FALSE)="oui","COACH","")</f>
        <v>#N/A</v>
      </c>
      <c r="AK174" s="742" t="str">
        <f>IFERROR(VLOOKUP(AE174,N°LicPRO,2,FALSE),"")</f>
        <v/>
      </c>
    </row>
    <row r="175" spans="1:37" ht="45" customHeight="1" x14ac:dyDescent="0.2">
      <c r="B175" s="1255" t="e">
        <f>VLOOKUP(J175,ID_archer_cible,5,FALSE)&amp;"    "&amp;VLOOKUP(J175,ID_archer_cible,6,FALSE)</f>
        <v>#N/A</v>
      </c>
      <c r="C175" s="1255"/>
      <c r="D175" s="1255"/>
      <c r="E175" s="1255"/>
      <c r="F175" s="1255"/>
      <c r="G175" s="1255"/>
      <c r="H175" s="1255"/>
      <c r="I175" s="1255"/>
      <c r="J175" s="624" t="str">
        <f>P166&amp;"B"</f>
        <v>6B</v>
      </c>
      <c r="K175" s="574" t="e">
        <f>VLOOKUP(J175,ID_archer_cible,9,FALSE)</f>
        <v>#N/A</v>
      </c>
      <c r="L175" s="1256" t="e">
        <f>VLOOKUP(J175,ID_archer_cible,8,FALSE)</f>
        <v>#N/A</v>
      </c>
      <c r="M175" s="1257"/>
      <c r="N175" s="1260" t="e">
        <f>VLOOKUP(J175,ID_archer_cible,7,FALSE)</f>
        <v>#N/A</v>
      </c>
      <c r="O175" s="1261"/>
      <c r="P175" s="828" t="e">
        <f>VLOOKUP(J175,ID_archer_cible,10,FALSE)</f>
        <v>#N/A</v>
      </c>
      <c r="Q175" s="829" t="e">
        <f>IF(VLOOKUP(L175,N°LicPRO,3,FALSE)="oui","COACH","")</f>
        <v>#N/A</v>
      </c>
      <c r="R175" s="742" t="str">
        <f>IFERROR(VLOOKUP(L175,N°LicPRO,2,FALSE),"")</f>
        <v/>
      </c>
      <c r="S175" s="646" t="s">
        <v>995</v>
      </c>
      <c r="U175" s="1255" t="e">
        <f>VLOOKUP(AC175,ID_archer_cible,5,FALSE)&amp;"    "&amp;VLOOKUP(AC175,ID_archer_cible,6,FALSE)</f>
        <v>#N/A</v>
      </c>
      <c r="V175" s="1255"/>
      <c r="W175" s="1255"/>
      <c r="X175" s="1255"/>
      <c r="Y175" s="1255"/>
      <c r="Z175" s="1255"/>
      <c r="AA175" s="1255"/>
      <c r="AB175" s="1255"/>
      <c r="AC175" s="624" t="str">
        <f>AI166&amp;"B"</f>
        <v>6B</v>
      </c>
      <c r="AD175" s="574" t="e">
        <f>VLOOKUP(AC175,ID_archer_cible,9,FALSE)</f>
        <v>#N/A</v>
      </c>
      <c r="AE175" s="1256" t="e">
        <f>VLOOKUP(AC175,ID_archer_cible,8,FALSE)</f>
        <v>#N/A</v>
      </c>
      <c r="AF175" s="1257"/>
      <c r="AG175" s="1260" t="e">
        <f>VLOOKUP(AC175,ID_archer_cible,7,FALSE)</f>
        <v>#N/A</v>
      </c>
      <c r="AH175" s="1261"/>
      <c r="AI175" s="828" t="e">
        <f>VLOOKUP(AC175,ID_archer_cible,10,FALSE)</f>
        <v>#N/A</v>
      </c>
      <c r="AJ175" s="829" t="e">
        <f>IF(VLOOKUP(AE175,N°LicPRO,3,FALSE)="oui","COACH","")</f>
        <v>#N/A</v>
      </c>
      <c r="AK175" s="742" t="str">
        <f>IFERROR(VLOOKUP(AE175,N°LicPRO,2,FALSE),"")</f>
        <v/>
      </c>
    </row>
    <row r="176" spans="1:37" ht="45" customHeight="1" x14ac:dyDescent="0.2">
      <c r="B176" s="1255" t="e">
        <f>VLOOKUP(J176,ID_archer_cible,5,FALSE)&amp;"    "&amp;VLOOKUP(J176,ID_archer_cible,6,FALSE)</f>
        <v>#N/A</v>
      </c>
      <c r="C176" s="1255"/>
      <c r="D176" s="1255"/>
      <c r="E176" s="1255"/>
      <c r="F176" s="1255"/>
      <c r="G176" s="1255"/>
      <c r="H176" s="1255"/>
      <c r="I176" s="1255"/>
      <c r="J176" s="624" t="str">
        <f>P166&amp;"C"</f>
        <v>6C</v>
      </c>
      <c r="K176" s="574" t="e">
        <f>VLOOKUP(J176,ID_archer_cible,9,FALSE)</f>
        <v>#N/A</v>
      </c>
      <c r="L176" s="1256" t="e">
        <f>VLOOKUP(J176,ID_archer_cible,8,FALSE)</f>
        <v>#N/A</v>
      </c>
      <c r="M176" s="1257"/>
      <c r="N176" s="1260" t="e">
        <f>VLOOKUP(J176,ID_archer_cible,7,FALSE)</f>
        <v>#N/A</v>
      </c>
      <c r="O176" s="1261"/>
      <c r="P176" s="828" t="e">
        <f>VLOOKUP(J176,ID_archer_cible,10,FALSE)</f>
        <v>#N/A</v>
      </c>
      <c r="Q176" s="829" t="e">
        <f>IF(VLOOKUP(L176,N°LicPRO,3,FALSE)="oui","COACH","")</f>
        <v>#N/A</v>
      </c>
      <c r="R176" s="742" t="str">
        <f>IFERROR(VLOOKUP(L176,N°LicPRO,2,FALSE),"")</f>
        <v/>
      </c>
      <c r="S176" s="571" t="s">
        <v>994</v>
      </c>
      <c r="U176" s="1255" t="e">
        <f>VLOOKUP(AC176,ID_archer_cible,5,FALSE)&amp;"    "&amp;VLOOKUP(AC176,ID_archer_cible,6,FALSE)</f>
        <v>#N/A</v>
      </c>
      <c r="V176" s="1255"/>
      <c r="W176" s="1255"/>
      <c r="X176" s="1255"/>
      <c r="Y176" s="1255"/>
      <c r="Z176" s="1255"/>
      <c r="AA176" s="1255"/>
      <c r="AB176" s="1255"/>
      <c r="AC176" s="624" t="str">
        <f>AI166&amp;"C"</f>
        <v>6C</v>
      </c>
      <c r="AD176" s="574" t="e">
        <f>VLOOKUP(AC176,ID_archer_cible,9,FALSE)</f>
        <v>#N/A</v>
      </c>
      <c r="AE176" s="1256" t="e">
        <f>VLOOKUP(AC176,ID_archer_cible,8,FALSE)</f>
        <v>#N/A</v>
      </c>
      <c r="AF176" s="1257"/>
      <c r="AG176" s="1260" t="e">
        <f>VLOOKUP(AC176,ID_archer_cible,7,FALSE)</f>
        <v>#N/A</v>
      </c>
      <c r="AH176" s="1261"/>
      <c r="AI176" s="828" t="e">
        <f>VLOOKUP(AC176,ID_archer_cible,10,FALSE)</f>
        <v>#N/A</v>
      </c>
      <c r="AJ176" s="829" t="e">
        <f>IF(VLOOKUP(AE176,N°LicPRO,3,FALSE)="oui","COACH","")</f>
        <v>#N/A</v>
      </c>
      <c r="AK176" s="742" t="str">
        <f>IFERROR(VLOOKUP(AE176,N°LicPRO,2,FALSE),"")</f>
        <v/>
      </c>
    </row>
    <row r="177" spans="2:37" ht="45" customHeight="1" x14ac:dyDescent="0.2">
      <c r="B177" s="1255" t="e">
        <f>VLOOKUP(J177,ID_archer_cible,5,FALSE)&amp;"    "&amp;VLOOKUP(J177,ID_archer_cible,6,FALSE)</f>
        <v>#N/A</v>
      </c>
      <c r="C177" s="1255"/>
      <c r="D177" s="1255"/>
      <c r="E177" s="1255"/>
      <c r="F177" s="1255"/>
      <c r="G177" s="1255"/>
      <c r="H177" s="1255"/>
      <c r="I177" s="1255"/>
      <c r="J177" s="624" t="str">
        <f>P166&amp;"D"</f>
        <v>6D</v>
      </c>
      <c r="K177" s="574" t="e">
        <f>VLOOKUP(J177,ID_archer_cible,9,FALSE)</f>
        <v>#N/A</v>
      </c>
      <c r="L177" s="1256" t="e">
        <f>VLOOKUP(J177,ID_archer_cible,8,FALSE)</f>
        <v>#N/A</v>
      </c>
      <c r="M177" s="1257"/>
      <c r="N177" s="1260" t="e">
        <f>VLOOKUP(J177,ID_archer_cible,7,FALSE)</f>
        <v>#N/A</v>
      </c>
      <c r="O177" s="1261"/>
      <c r="P177" s="828" t="e">
        <f>VLOOKUP(J177,ID_archer_cible,10,FALSE)</f>
        <v>#N/A</v>
      </c>
      <c r="Q177" s="829" t="e">
        <f>IF(VLOOKUP(L177,N°LicPRO,3,FALSE)="oui","COACH","")</f>
        <v>#N/A</v>
      </c>
      <c r="R177" s="742" t="str">
        <f>IFERROR(VLOOKUP(L177,N°LicPRO,2,FALSE),"")</f>
        <v/>
      </c>
      <c r="S177" s="571" t="s">
        <v>994</v>
      </c>
      <c r="U177" s="1255" t="e">
        <f>VLOOKUP(AC177,ID_archer_cible,5,FALSE)&amp;"    "&amp;VLOOKUP(AC177,ID_archer_cible,6,FALSE)</f>
        <v>#N/A</v>
      </c>
      <c r="V177" s="1255"/>
      <c r="W177" s="1255"/>
      <c r="X177" s="1255"/>
      <c r="Y177" s="1255"/>
      <c r="Z177" s="1255"/>
      <c r="AA177" s="1255"/>
      <c r="AB177" s="1255"/>
      <c r="AC177" s="624" t="str">
        <f>AI166&amp;"D"</f>
        <v>6D</v>
      </c>
      <c r="AD177" s="574" t="e">
        <f>VLOOKUP(AC177,ID_archer_cible,9,FALSE)</f>
        <v>#N/A</v>
      </c>
      <c r="AE177" s="1256" t="e">
        <f>VLOOKUP(AC177,ID_archer_cible,8,FALSE)</f>
        <v>#N/A</v>
      </c>
      <c r="AF177" s="1257"/>
      <c r="AG177" s="1260" t="e">
        <f>VLOOKUP(AC177,ID_archer_cible,7,FALSE)</f>
        <v>#N/A</v>
      </c>
      <c r="AH177" s="1261"/>
      <c r="AI177" s="828" t="e">
        <f>VLOOKUP(AC177,ID_archer_cible,10,FALSE)</f>
        <v>#N/A</v>
      </c>
      <c r="AJ177" s="829" t="e">
        <f>IF(VLOOKUP(AE177,N°LicPRO,3,FALSE)="oui","COACH","")</f>
        <v>#N/A</v>
      </c>
      <c r="AK177" s="742" t="str">
        <f>IFERROR(VLOOKUP(AE177,N°LicPRO,2,FALSE),"")</f>
        <v/>
      </c>
    </row>
    <row r="178" spans="2:37" ht="15" customHeight="1" x14ac:dyDescent="0.2">
      <c r="S178" s="646" t="s">
        <v>995</v>
      </c>
    </row>
    <row r="179" spans="2:37" ht="15" customHeight="1" x14ac:dyDescent="0.2">
      <c r="B179" s="508" t="s">
        <v>975</v>
      </c>
      <c r="S179" s="571" t="s">
        <v>994</v>
      </c>
      <c r="U179" s="508" t="s">
        <v>975</v>
      </c>
    </row>
    <row r="180" spans="2:37" ht="15" customHeight="1" x14ac:dyDescent="0.2">
      <c r="B180" s="1259" t="s">
        <v>974</v>
      </c>
      <c r="C180" s="1259"/>
      <c r="D180" s="1259"/>
      <c r="E180" s="1259"/>
      <c r="F180" s="1199" t="str">
        <f>Info_TirQ</f>
        <v>J2 8:30-9:00 Ent. 9:00-10:30 Tirs Qual.</v>
      </c>
      <c r="G180" s="1199"/>
      <c r="H180" s="1199"/>
      <c r="I180" s="1199"/>
      <c r="J180" s="1199"/>
      <c r="K180" s="1258" t="s">
        <v>978</v>
      </c>
      <c r="L180" s="1258"/>
      <c r="M180" s="1258"/>
      <c r="N180" s="1258"/>
      <c r="O180" s="1258"/>
      <c r="S180" s="571" t="s">
        <v>994</v>
      </c>
      <c r="U180" s="1259" t="s">
        <v>974</v>
      </c>
      <c r="V180" s="1259"/>
      <c r="W180" s="1259"/>
      <c r="X180" s="1259"/>
      <c r="Y180" s="1199" t="str">
        <f>Info_TirQ</f>
        <v>J2 8:30-9:00 Ent. 9:00-10:30 Tirs Qual.</v>
      </c>
      <c r="Z180" s="1199"/>
      <c r="AA180" s="1199"/>
      <c r="AB180" s="1199"/>
      <c r="AC180" s="1199"/>
      <c r="AD180" s="1258" t="s">
        <v>978</v>
      </c>
      <c r="AE180" s="1258"/>
      <c r="AF180" s="1258"/>
      <c r="AG180" s="1258"/>
      <c r="AH180" s="1258"/>
    </row>
    <row r="181" spans="2:37" ht="15" customHeight="1" x14ac:dyDescent="0.2">
      <c r="B181" s="1259" t="s">
        <v>484</v>
      </c>
      <c r="C181" s="1259"/>
      <c r="D181" s="1259"/>
      <c r="E181" s="1259"/>
      <c r="F181" s="1199" t="str">
        <f>Info_D1</f>
        <v>J2 13:30-14:20  1er DUEL</v>
      </c>
      <c r="G181" s="1199"/>
      <c r="H181" s="1199"/>
      <c r="I181" s="1199"/>
      <c r="J181" s="1199"/>
      <c r="K181" s="1258"/>
      <c r="L181" s="1258"/>
      <c r="M181" s="1258"/>
      <c r="N181" s="1258"/>
      <c r="O181" s="1258"/>
      <c r="S181" s="646" t="s">
        <v>995</v>
      </c>
      <c r="U181" s="1259" t="s">
        <v>484</v>
      </c>
      <c r="V181" s="1259"/>
      <c r="W181" s="1259"/>
      <c r="X181" s="1259"/>
      <c r="Y181" s="1199" t="str">
        <f>Info_D1</f>
        <v>J2 13:30-14:20  1er DUEL</v>
      </c>
      <c r="Z181" s="1199"/>
      <c r="AA181" s="1199"/>
      <c r="AB181" s="1199"/>
      <c r="AC181" s="1199"/>
      <c r="AD181" s="1258"/>
      <c r="AE181" s="1258"/>
      <c r="AF181" s="1258"/>
      <c r="AG181" s="1258"/>
      <c r="AH181" s="1258"/>
    </row>
    <row r="182" spans="2:37" ht="15" customHeight="1" x14ac:dyDescent="0.2">
      <c r="B182" s="1259" t="s">
        <v>972</v>
      </c>
      <c r="C182" s="1259"/>
      <c r="D182" s="1259"/>
      <c r="E182" s="1259"/>
      <c r="F182" s="1199" t="str">
        <f>Info_D2</f>
        <v>J2 14:30-15:20 2ème DUEL</v>
      </c>
      <c r="G182" s="1199"/>
      <c r="H182" s="1199"/>
      <c r="I182" s="1199"/>
      <c r="J182" s="1199"/>
      <c r="K182" s="1258"/>
      <c r="L182" s="1258"/>
      <c r="M182" s="1258"/>
      <c r="N182" s="1258"/>
      <c r="O182" s="1258"/>
      <c r="S182" s="571" t="s">
        <v>994</v>
      </c>
      <c r="U182" s="1259" t="s">
        <v>972</v>
      </c>
      <c r="V182" s="1259"/>
      <c r="W182" s="1259"/>
      <c r="X182" s="1259"/>
      <c r="Y182" s="1199" t="str">
        <f>Info_D2</f>
        <v>J2 14:30-15:20 2ème DUEL</v>
      </c>
      <c r="Z182" s="1199"/>
      <c r="AA182" s="1199"/>
      <c r="AB182" s="1199"/>
      <c r="AC182" s="1199"/>
      <c r="AD182" s="1258"/>
      <c r="AE182" s="1258"/>
      <c r="AF182" s="1258"/>
      <c r="AG182" s="1258"/>
      <c r="AH182" s="1258"/>
    </row>
    <row r="183" spans="2:37" ht="15" customHeight="1" x14ac:dyDescent="0.2">
      <c r="B183" s="1259" t="s">
        <v>973</v>
      </c>
      <c r="C183" s="1259"/>
      <c r="D183" s="1259"/>
      <c r="E183" s="1259"/>
      <c r="F183" s="1199" t="str">
        <f>Info_D3</f>
        <v>J3 10-10:50 Match pl. 5 à +  ETAB - EX</v>
      </c>
      <c r="G183" s="1199"/>
      <c r="H183" s="1199"/>
      <c r="I183" s="1199"/>
      <c r="J183" s="1199"/>
      <c r="K183" s="1258"/>
      <c r="L183" s="1258"/>
      <c r="M183" s="1258"/>
      <c r="N183" s="1258"/>
      <c r="O183" s="1258"/>
      <c r="S183" s="571" t="s">
        <v>994</v>
      </c>
      <c r="U183" s="1259" t="s">
        <v>973</v>
      </c>
      <c r="V183" s="1259"/>
      <c r="W183" s="1259"/>
      <c r="X183" s="1259"/>
      <c r="Y183" s="1199" t="str">
        <f>Info_D3</f>
        <v>J3 10-10:50 Match pl. 5 à +  ETAB - EX</v>
      </c>
      <c r="Z183" s="1199"/>
      <c r="AA183" s="1199"/>
      <c r="AB183" s="1199"/>
      <c r="AC183" s="1199"/>
      <c r="AD183" s="1258"/>
      <c r="AE183" s="1258"/>
      <c r="AF183" s="1258"/>
      <c r="AG183" s="1258"/>
      <c r="AH183" s="1258"/>
    </row>
    <row r="184" spans="2:37" ht="24.75" customHeight="1" x14ac:dyDescent="0.2">
      <c r="B184" s="626" t="s">
        <v>976</v>
      </c>
      <c r="S184" s="646" t="s">
        <v>995</v>
      </c>
      <c r="U184" s="626" t="s">
        <v>976</v>
      </c>
    </row>
    <row r="185" spans="2:37" ht="134.25" customHeight="1" x14ac:dyDescent="0.2">
      <c r="B185"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C185" s="1264"/>
      <c r="D185" s="1264"/>
      <c r="E185" s="1264"/>
      <c r="F185" s="1264"/>
      <c r="G185" s="1264"/>
      <c r="H185" s="1264"/>
      <c r="I185" s="1264"/>
      <c r="J185" s="1264"/>
      <c r="K185" s="1264"/>
      <c r="L185" s="1264"/>
      <c r="M185" s="1264"/>
      <c r="N185" s="1264"/>
      <c r="O185" s="1264"/>
      <c r="P185" s="1265"/>
      <c r="S185" s="571" t="s">
        <v>994</v>
      </c>
      <c r="U185"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V185" s="1264"/>
      <c r="W185" s="1264"/>
      <c r="X185" s="1264"/>
      <c r="Y185" s="1264"/>
      <c r="Z185" s="1264"/>
      <c r="AA185" s="1264"/>
      <c r="AB185" s="1264"/>
      <c r="AC185" s="1264"/>
      <c r="AD185" s="1264"/>
      <c r="AE185" s="1264"/>
      <c r="AF185" s="1264"/>
      <c r="AG185" s="1264"/>
      <c r="AH185" s="1264"/>
      <c r="AI185" s="1265"/>
    </row>
    <row r="186" spans="2:37" ht="15" customHeight="1" x14ac:dyDescent="0.2">
      <c r="C186" s="508" t="s">
        <v>964</v>
      </c>
      <c r="K186" s="508" t="s">
        <v>965</v>
      </c>
      <c r="O186" s="508" t="s">
        <v>966</v>
      </c>
      <c r="S186" s="571" t="s">
        <v>994</v>
      </c>
      <c r="V186" s="508" t="s">
        <v>964</v>
      </c>
      <c r="AD186" s="508" t="s">
        <v>965</v>
      </c>
      <c r="AH186" s="508" t="s">
        <v>966</v>
      </c>
    </row>
    <row r="187" spans="2:37" ht="15" customHeight="1" x14ac:dyDescent="0.2">
      <c r="S187" s="646" t="s">
        <v>995</v>
      </c>
    </row>
    <row r="188" spans="2:37" ht="15" customHeight="1" x14ac:dyDescent="0.2">
      <c r="S188" s="571" t="s">
        <v>994</v>
      </c>
    </row>
    <row r="189" spans="2:37" ht="15" customHeight="1" x14ac:dyDescent="0.2">
      <c r="S189" s="571" t="s">
        <v>994</v>
      </c>
    </row>
    <row r="190" spans="2:37" ht="15" customHeight="1" x14ac:dyDescent="0.2">
      <c r="S190" s="646" t="s">
        <v>995</v>
      </c>
    </row>
    <row r="191" spans="2:37" ht="15" customHeight="1" x14ac:dyDescent="0.2">
      <c r="S191" s="571" t="s">
        <v>994</v>
      </c>
    </row>
    <row r="192" spans="2:37" x14ac:dyDescent="0.2">
      <c r="S192" s="571" t="s">
        <v>994</v>
      </c>
    </row>
    <row r="193" spans="1:37" ht="21.75" x14ac:dyDescent="0.2">
      <c r="S193" s="646" t="s">
        <v>995</v>
      </c>
    </row>
    <row r="194" spans="1:37" ht="30" x14ac:dyDescent="0.2">
      <c r="A194" s="1262" t="str">
        <f>Championnat</f>
        <v>Championnat de France de Tir à l'ARC</v>
      </c>
      <c r="B194" s="1262"/>
      <c r="C194" s="1262"/>
      <c r="D194" s="1262"/>
      <c r="E194" s="1262"/>
      <c r="F194" s="1262"/>
      <c r="G194" s="1262"/>
      <c r="H194" s="1262"/>
      <c r="I194" s="1262"/>
      <c r="J194" s="1262"/>
      <c r="K194" s="1262"/>
      <c r="L194" s="1262"/>
      <c r="M194" s="1262"/>
      <c r="N194" s="1262"/>
      <c r="O194" s="1262"/>
      <c r="P194" s="1262"/>
      <c r="Q194" s="1262"/>
      <c r="R194" s="1262"/>
      <c r="S194" s="571" t="s">
        <v>994</v>
      </c>
      <c r="T194" s="1262" t="str">
        <f>Championnat</f>
        <v>Championnat de France de Tir à l'ARC</v>
      </c>
      <c r="U194" s="1262"/>
      <c r="V194" s="1262"/>
      <c r="W194" s="1262"/>
      <c r="X194" s="1262"/>
      <c r="Y194" s="1262"/>
      <c r="Z194" s="1262"/>
      <c r="AA194" s="1262"/>
      <c r="AB194" s="1262"/>
      <c r="AC194" s="1262"/>
      <c r="AD194" s="1262"/>
      <c r="AE194" s="1262"/>
      <c r="AF194" s="1262"/>
      <c r="AG194" s="1262"/>
      <c r="AH194" s="1262"/>
      <c r="AI194" s="1262"/>
      <c r="AJ194" s="1262"/>
      <c r="AK194" s="1262"/>
    </row>
    <row r="195" spans="1:37" ht="24.75" customHeight="1" x14ac:dyDescent="0.2">
      <c r="A195" s="1184" t="str">
        <f>LIEU&amp;" du "&amp;DATE</f>
        <v>L’Isle sur la Sorgue du 27 au 31 mars 2023</v>
      </c>
      <c r="B195" s="1184"/>
      <c r="C195" s="1184"/>
      <c r="D195" s="1184"/>
      <c r="E195" s="1184"/>
      <c r="F195" s="1184"/>
      <c r="G195" s="1184"/>
      <c r="H195" s="1184"/>
      <c r="I195" s="1184"/>
      <c r="J195" s="1184"/>
      <c r="K195" s="1184"/>
      <c r="L195" s="1184"/>
      <c r="M195" s="1184"/>
      <c r="N195" s="1184"/>
      <c r="O195" s="1184"/>
      <c r="P195" s="1184"/>
      <c r="Q195" s="1184"/>
      <c r="R195" s="1184"/>
      <c r="S195" s="571" t="s">
        <v>994</v>
      </c>
      <c r="T195" s="1184" t="str">
        <f>LIEU&amp;" du "&amp;DATE</f>
        <v>L’Isle sur la Sorgue du 27 au 31 mars 2023</v>
      </c>
      <c r="U195" s="1184"/>
      <c r="V195" s="1184"/>
      <c r="W195" s="1184"/>
      <c r="X195" s="1184"/>
      <c r="Y195" s="1184"/>
      <c r="Z195" s="1184"/>
      <c r="AA195" s="1184"/>
      <c r="AB195" s="1184"/>
      <c r="AC195" s="1184"/>
      <c r="AD195" s="1184"/>
      <c r="AE195" s="1184"/>
      <c r="AF195" s="1184"/>
      <c r="AG195" s="1184"/>
      <c r="AH195" s="1184"/>
      <c r="AI195" s="1184"/>
      <c r="AJ195" s="1184"/>
      <c r="AK195" s="1184"/>
    </row>
    <row r="196" spans="1:37" s="218" customFormat="1" ht="40.5" customHeight="1" x14ac:dyDescent="0.2">
      <c r="A196" s="1268" t="str">
        <f>CATEG_IMPORTEE</f>
        <v>Collèges Mixtes Etablissement</v>
      </c>
      <c r="B196" s="1268"/>
      <c r="C196" s="1268"/>
      <c r="D196" s="1268"/>
      <c r="E196" s="1268"/>
      <c r="F196" s="1268"/>
      <c r="G196" s="1268"/>
      <c r="H196" s="1268"/>
      <c r="I196" s="1268"/>
      <c r="J196" s="1268"/>
      <c r="K196" s="1268"/>
      <c r="L196" s="1268"/>
      <c r="M196" s="1268"/>
      <c r="N196" s="1268"/>
      <c r="O196" s="1268"/>
      <c r="P196" s="1268"/>
      <c r="Q196" s="1268"/>
      <c r="R196" s="1268"/>
      <c r="S196" s="646" t="s">
        <v>995</v>
      </c>
      <c r="T196" s="1268" t="str">
        <f>CATEG_IMPORTEE</f>
        <v>Collèges Mixtes Etablissement</v>
      </c>
      <c r="U196" s="1268"/>
      <c r="V196" s="1268"/>
      <c r="W196" s="1268"/>
      <c r="X196" s="1268"/>
      <c r="Y196" s="1268"/>
      <c r="Z196" s="1268"/>
      <c r="AA196" s="1268"/>
      <c r="AB196" s="1268"/>
      <c r="AC196" s="1268"/>
      <c r="AD196" s="1268"/>
      <c r="AE196" s="1268"/>
      <c r="AF196" s="1268"/>
      <c r="AG196" s="1268"/>
      <c r="AH196" s="1268"/>
      <c r="AI196" s="1268"/>
      <c r="AJ196" s="1268"/>
      <c r="AK196" s="1268"/>
    </row>
    <row r="197" spans="1:37" s="218" customFormat="1" ht="19.5" customHeight="1" x14ac:dyDescent="0.2">
      <c r="A197" s="625"/>
      <c r="B197" s="625"/>
      <c r="C197" s="625"/>
      <c r="D197" s="625"/>
      <c r="E197" s="625"/>
      <c r="F197" s="625"/>
      <c r="G197" s="625"/>
      <c r="H197" s="625"/>
      <c r="I197" s="625"/>
      <c r="J197" s="625"/>
      <c r="K197" s="625"/>
      <c r="L197" s="625"/>
      <c r="M197" s="625"/>
      <c r="N197" s="625"/>
      <c r="O197" s="625"/>
      <c r="P197" s="625"/>
      <c r="Q197" s="625"/>
      <c r="R197" s="625"/>
      <c r="S197" s="571" t="s">
        <v>994</v>
      </c>
      <c r="T197" s="625"/>
      <c r="U197" s="625"/>
      <c r="V197" s="625"/>
      <c r="W197" s="625"/>
      <c r="X197" s="625"/>
      <c r="Y197" s="625"/>
      <c r="Z197" s="625"/>
      <c r="AA197" s="625"/>
      <c r="AB197" s="625"/>
      <c r="AC197" s="625"/>
      <c r="AD197" s="625"/>
      <c r="AE197" s="625"/>
      <c r="AF197" s="625"/>
      <c r="AG197" s="625"/>
      <c r="AH197" s="625"/>
      <c r="AI197" s="625"/>
      <c r="AJ197" s="625"/>
      <c r="AK197" s="625"/>
    </row>
    <row r="198" spans="1:37" ht="47.25" customHeight="1" x14ac:dyDescent="0.2">
      <c r="A198" s="620"/>
      <c r="B198" s="620"/>
      <c r="C198" s="620"/>
      <c r="D198" s="620"/>
      <c r="E198" s="620"/>
      <c r="F198" s="620"/>
      <c r="G198" s="620"/>
      <c r="H198" s="620"/>
      <c r="I198" s="620"/>
      <c r="J198" s="620"/>
      <c r="K198" s="620"/>
      <c r="L198" s="620"/>
      <c r="M198" s="620"/>
      <c r="N198" s="1072" t="s">
        <v>628</v>
      </c>
      <c r="O198" s="1073"/>
      <c r="P198" s="1271">
        <f>P166+1</f>
        <v>7</v>
      </c>
      <c r="Q198" s="1271"/>
      <c r="R198" s="1271"/>
      <c r="S198" s="571" t="s">
        <v>994</v>
      </c>
      <c r="T198" s="620"/>
      <c r="U198" s="620"/>
      <c r="V198" s="620"/>
      <c r="W198" s="620"/>
      <c r="X198" s="620"/>
      <c r="Y198" s="620"/>
      <c r="Z198" s="620"/>
      <c r="AA198" s="620"/>
      <c r="AB198" s="620"/>
      <c r="AC198" s="620"/>
      <c r="AD198" s="620"/>
      <c r="AE198" s="620"/>
      <c r="AF198" s="620"/>
      <c r="AG198" s="1072" t="s">
        <v>628</v>
      </c>
      <c r="AH198" s="1073"/>
      <c r="AI198" s="1271">
        <f>AI166+1</f>
        <v>7</v>
      </c>
      <c r="AJ198" s="1271"/>
      <c r="AK198" s="1271"/>
    </row>
    <row r="199" spans="1:37" ht="36.75" customHeight="1" x14ac:dyDescent="0.2">
      <c r="A199" s="1272" t="e">
        <f>VLOOKUP(J206,ID_archer_cible,2,FALSE)</f>
        <v>#N/A</v>
      </c>
      <c r="B199" s="1272"/>
      <c r="C199" s="1272"/>
      <c r="D199" s="1272"/>
      <c r="E199" s="1272"/>
      <c r="F199" s="1272"/>
      <c r="G199" s="1272"/>
      <c r="H199" s="1272"/>
      <c r="I199" s="1272"/>
      <c r="J199" s="1272"/>
      <c r="K199" s="1272"/>
      <c r="L199" s="1272"/>
      <c r="M199" s="1272"/>
      <c r="N199" s="1272"/>
      <c r="O199" s="1272"/>
      <c r="P199" s="1272"/>
      <c r="Q199" s="1272"/>
      <c r="R199" s="1272"/>
      <c r="S199" s="646" t="s">
        <v>995</v>
      </c>
      <c r="T199" s="1272" t="e">
        <f>VLOOKUP(AC206,ID_archer_cible,2,FALSE)</f>
        <v>#N/A</v>
      </c>
      <c r="U199" s="1272"/>
      <c r="V199" s="1272"/>
      <c r="W199" s="1272"/>
      <c r="X199" s="1272"/>
      <c r="Y199" s="1272"/>
      <c r="Z199" s="1272"/>
      <c r="AA199" s="1272"/>
      <c r="AB199" s="1272"/>
      <c r="AC199" s="1272"/>
      <c r="AD199" s="1272"/>
      <c r="AE199" s="1272"/>
      <c r="AF199" s="1272"/>
      <c r="AG199" s="1272"/>
      <c r="AH199" s="1272"/>
      <c r="AI199" s="1272"/>
      <c r="AJ199" s="1272"/>
      <c r="AK199" s="1272"/>
    </row>
    <row r="200" spans="1:37" ht="21.75" customHeight="1" x14ac:dyDescent="0.2">
      <c r="I200" s="621"/>
      <c r="J200" s="621"/>
      <c r="K200" s="621"/>
      <c r="L200" s="621"/>
      <c r="M200" s="621"/>
      <c r="N200" s="621"/>
      <c r="P200" s="619"/>
      <c r="Q200" s="619"/>
      <c r="R200" s="619"/>
      <c r="S200" s="571" t="s">
        <v>994</v>
      </c>
      <c r="AB200" s="621"/>
      <c r="AC200" s="621"/>
      <c r="AD200" s="621"/>
      <c r="AE200" s="621"/>
      <c r="AF200" s="621"/>
      <c r="AG200" s="621"/>
      <c r="AI200" s="619"/>
      <c r="AJ200" s="619"/>
      <c r="AK200" s="619"/>
    </row>
    <row r="201" spans="1:37" ht="17.25" customHeight="1" x14ac:dyDescent="0.2">
      <c r="A201" s="1125"/>
      <c r="B201" s="1125"/>
      <c r="C201" s="1125"/>
      <c r="D201" s="1125"/>
      <c r="E201" s="1125"/>
      <c r="F201" s="1125"/>
      <c r="G201" s="1125"/>
      <c r="H201" s="1125"/>
      <c r="I201" s="1125"/>
      <c r="J201" s="1125"/>
      <c r="K201" s="1125"/>
      <c r="L201" s="1125" t="s">
        <v>374</v>
      </c>
      <c r="M201" s="1125"/>
      <c r="N201" s="1125"/>
      <c r="O201" s="1125"/>
      <c r="P201" s="1125"/>
      <c r="Q201" s="1125"/>
      <c r="R201" s="1125"/>
      <c r="S201" s="571" t="s">
        <v>994</v>
      </c>
      <c r="T201" s="1125"/>
      <c r="U201" s="1125"/>
      <c r="V201" s="1125"/>
      <c r="W201" s="1125"/>
      <c r="X201" s="1125"/>
      <c r="Y201" s="1125"/>
      <c r="Z201" s="1125"/>
      <c r="AA201" s="1125"/>
      <c r="AB201" s="1125"/>
      <c r="AC201" s="1125"/>
      <c r="AD201" s="1125"/>
      <c r="AE201" s="1125" t="s">
        <v>374</v>
      </c>
      <c r="AF201" s="1125"/>
      <c r="AG201" s="1125"/>
      <c r="AH201" s="1125"/>
      <c r="AI201" s="1125"/>
      <c r="AJ201" s="1125"/>
      <c r="AK201" s="1125"/>
    </row>
    <row r="202" spans="1:37" ht="32.25" customHeight="1" x14ac:dyDescent="0.2">
      <c r="A202" s="1269" t="e">
        <f>VLOOKUP(J206,ID_archer_cible,3,FALSE)</f>
        <v>#N/A</v>
      </c>
      <c r="B202" s="1269"/>
      <c r="C202" s="1269"/>
      <c r="D202" s="1269"/>
      <c r="E202" s="1269"/>
      <c r="F202" s="1269"/>
      <c r="G202" s="1269"/>
      <c r="H202" s="1269"/>
      <c r="I202" s="1269"/>
      <c r="J202" s="1269"/>
      <c r="K202" s="1269"/>
      <c r="L202" s="1270" t="e">
        <f>VLOOKUP(J206,ID_archer_cible,4,FALSE)</f>
        <v>#N/A</v>
      </c>
      <c r="M202" s="1270"/>
      <c r="N202" s="1270"/>
      <c r="O202" s="1270"/>
      <c r="P202" s="1270"/>
      <c r="Q202" s="1270"/>
      <c r="R202" s="1270"/>
      <c r="S202" s="646" t="s">
        <v>995</v>
      </c>
      <c r="T202" s="1269" t="e">
        <f>VLOOKUP(AC206,ID_archer_cible,3,FALSE)</f>
        <v>#N/A</v>
      </c>
      <c r="U202" s="1269"/>
      <c r="V202" s="1269"/>
      <c r="W202" s="1269"/>
      <c r="X202" s="1269"/>
      <c r="Y202" s="1269"/>
      <c r="Z202" s="1269"/>
      <c r="AA202" s="1269"/>
      <c r="AB202" s="1269"/>
      <c r="AC202" s="1269"/>
      <c r="AD202" s="1269"/>
      <c r="AE202" s="1270" t="e">
        <f>VLOOKUP(AC206,ID_archer_cible,4,FALSE)</f>
        <v>#N/A</v>
      </c>
      <c r="AF202" s="1270"/>
      <c r="AG202" s="1270"/>
      <c r="AH202" s="1270"/>
      <c r="AI202" s="1270"/>
      <c r="AJ202" s="1270"/>
      <c r="AK202" s="1270"/>
    </row>
    <row r="203" spans="1:37" ht="17.25" customHeight="1" x14ac:dyDescent="0.2">
      <c r="E203" s="584"/>
      <c r="F203" s="584"/>
      <c r="G203" s="584"/>
      <c r="H203" s="584"/>
      <c r="I203" s="618"/>
      <c r="J203" s="618"/>
      <c r="K203" s="618"/>
      <c r="L203" s="618"/>
      <c r="M203" s="618"/>
      <c r="N203" s="618"/>
      <c r="P203" s="1266" t="str">
        <f>IFERROR(IF(AND(R206="oui",R207="oui",R208="oui",R209="oui"),"PRO",""),"")</f>
        <v/>
      </c>
      <c r="Q203" s="1266"/>
      <c r="R203" s="1266"/>
      <c r="S203" s="571" t="s">
        <v>994</v>
      </c>
      <c r="X203" s="584"/>
      <c r="Y203" s="584"/>
      <c r="Z203" s="584"/>
      <c r="AA203" s="584"/>
      <c r="AB203" s="618"/>
      <c r="AC203" s="618"/>
      <c r="AD203" s="618"/>
      <c r="AE203" s="618"/>
      <c r="AF203" s="618"/>
      <c r="AG203" s="618"/>
      <c r="AI203" s="1266" t="str">
        <f>IFERROR(IF(AND(AK206="oui",AK207="oui",AK208="oui",AK209="oui"),"PRO",""),"")</f>
        <v/>
      </c>
      <c r="AJ203" s="1266"/>
      <c r="AK203" s="1266"/>
    </row>
    <row r="204" spans="1:37" ht="20.25" customHeight="1" x14ac:dyDescent="0.2">
      <c r="P204" s="1267"/>
      <c r="Q204" s="1267"/>
      <c r="R204" s="1267"/>
      <c r="S204" s="571" t="s">
        <v>994</v>
      </c>
      <c r="AI204" s="1267"/>
      <c r="AJ204" s="1267"/>
      <c r="AK204" s="1267"/>
    </row>
    <row r="205" spans="1:37" ht="25.5" customHeight="1" x14ac:dyDescent="0.2">
      <c r="B205" s="1273" t="s">
        <v>906</v>
      </c>
      <c r="C205" s="1273"/>
      <c r="D205" s="1273"/>
      <c r="E205" s="1273"/>
      <c r="F205" s="1273"/>
      <c r="G205" s="1273"/>
      <c r="H205" s="1273"/>
      <c r="I205" s="1273"/>
      <c r="J205" s="622" t="s">
        <v>552</v>
      </c>
      <c r="K205" s="623" t="s">
        <v>893</v>
      </c>
      <c r="L205" s="1275" t="s">
        <v>550</v>
      </c>
      <c r="M205" s="1276"/>
      <c r="N205" s="1274" t="s">
        <v>905</v>
      </c>
      <c r="O205" s="1274"/>
      <c r="P205" s="1254" t="s">
        <v>551</v>
      </c>
      <c r="Q205" s="1254"/>
      <c r="R205" s="752" t="s">
        <v>1027</v>
      </c>
      <c r="S205" s="646" t="s">
        <v>995</v>
      </c>
      <c r="U205" s="1273" t="s">
        <v>906</v>
      </c>
      <c r="V205" s="1273"/>
      <c r="W205" s="1273"/>
      <c r="X205" s="1273"/>
      <c r="Y205" s="1273"/>
      <c r="Z205" s="1273"/>
      <c r="AA205" s="1273"/>
      <c r="AB205" s="1273"/>
      <c r="AC205" s="622" t="s">
        <v>552</v>
      </c>
      <c r="AD205" s="623" t="s">
        <v>893</v>
      </c>
      <c r="AE205" s="1275" t="s">
        <v>550</v>
      </c>
      <c r="AF205" s="1276"/>
      <c r="AG205" s="1274" t="s">
        <v>905</v>
      </c>
      <c r="AH205" s="1274"/>
      <c r="AI205" s="1254" t="s">
        <v>551</v>
      </c>
      <c r="AJ205" s="1254"/>
      <c r="AK205" s="752" t="s">
        <v>1027</v>
      </c>
    </row>
    <row r="206" spans="1:37" ht="45" customHeight="1" x14ac:dyDescent="0.2">
      <c r="B206" s="1255" t="e">
        <f>VLOOKUP(J206,ID_archer_cible,5,FALSE)&amp;"    "&amp;VLOOKUP(J206,ID_archer_cible,6,FALSE)</f>
        <v>#N/A</v>
      </c>
      <c r="C206" s="1255"/>
      <c r="D206" s="1255"/>
      <c r="E206" s="1255"/>
      <c r="F206" s="1255"/>
      <c r="G206" s="1255"/>
      <c r="H206" s="1255"/>
      <c r="I206" s="1255"/>
      <c r="J206" s="624" t="str">
        <f>P198&amp;"A"</f>
        <v>7A</v>
      </c>
      <c r="K206" s="574" t="e">
        <f>VLOOKUP(J206,ID_archer_cible,9,FALSE)</f>
        <v>#N/A</v>
      </c>
      <c r="L206" s="1256" t="e">
        <f>VLOOKUP(J206,ID_archer_cible,8,FALSE)</f>
        <v>#N/A</v>
      </c>
      <c r="M206" s="1257"/>
      <c r="N206" s="1260" t="e">
        <f>VLOOKUP(J206,ID_archer_cible,7,FALSE)</f>
        <v>#N/A</v>
      </c>
      <c r="O206" s="1261"/>
      <c r="P206" s="828" t="e">
        <f>VLOOKUP(J206,ID_archer_cible,10,FALSE)</f>
        <v>#N/A</v>
      </c>
      <c r="Q206" s="829" t="e">
        <f>IF(VLOOKUP(L206,N°LicPRO,3,FALSE)="oui","COACH","")</f>
        <v>#N/A</v>
      </c>
      <c r="R206" s="742" t="str">
        <f>IFERROR(VLOOKUP(L206,N°LicPRO,2,FALSE),"")</f>
        <v/>
      </c>
      <c r="S206" s="571" t="s">
        <v>994</v>
      </c>
      <c r="U206" s="1255" t="e">
        <f>VLOOKUP(AC206,ID_archer_cible,5,FALSE)&amp;"    "&amp;VLOOKUP(AC206,ID_archer_cible,6,FALSE)</f>
        <v>#N/A</v>
      </c>
      <c r="V206" s="1255"/>
      <c r="W206" s="1255"/>
      <c r="X206" s="1255"/>
      <c r="Y206" s="1255"/>
      <c r="Z206" s="1255"/>
      <c r="AA206" s="1255"/>
      <c r="AB206" s="1255"/>
      <c r="AC206" s="624" t="str">
        <f>AI198&amp;"A"</f>
        <v>7A</v>
      </c>
      <c r="AD206" s="574" t="e">
        <f>VLOOKUP(AC206,ID_archer_cible,9,FALSE)</f>
        <v>#N/A</v>
      </c>
      <c r="AE206" s="1256" t="e">
        <f>VLOOKUP(AC206,ID_archer_cible,8,FALSE)</f>
        <v>#N/A</v>
      </c>
      <c r="AF206" s="1257"/>
      <c r="AG206" s="1260" t="e">
        <f>VLOOKUP(AC206,ID_archer_cible,7,FALSE)</f>
        <v>#N/A</v>
      </c>
      <c r="AH206" s="1261"/>
      <c r="AI206" s="828" t="e">
        <f>VLOOKUP(AC206,ID_archer_cible,10,FALSE)</f>
        <v>#N/A</v>
      </c>
      <c r="AJ206" s="829" t="e">
        <f>IF(VLOOKUP(AE206,N°LicPRO,3,FALSE)="oui","COACH","")</f>
        <v>#N/A</v>
      </c>
      <c r="AK206" s="742" t="str">
        <f>IFERROR(VLOOKUP(AE206,N°LicPRO,2,FALSE),"")</f>
        <v/>
      </c>
    </row>
    <row r="207" spans="1:37" ht="45" customHeight="1" x14ac:dyDescent="0.2">
      <c r="B207" s="1255" t="e">
        <f>VLOOKUP(J207,ID_archer_cible,5,FALSE)&amp;"    "&amp;VLOOKUP(J207,ID_archer_cible,6,FALSE)</f>
        <v>#N/A</v>
      </c>
      <c r="C207" s="1255"/>
      <c r="D207" s="1255"/>
      <c r="E207" s="1255"/>
      <c r="F207" s="1255"/>
      <c r="G207" s="1255"/>
      <c r="H207" s="1255"/>
      <c r="I207" s="1255"/>
      <c r="J207" s="624" t="str">
        <f>P198&amp;"B"</f>
        <v>7B</v>
      </c>
      <c r="K207" s="574" t="e">
        <f>VLOOKUP(J207,ID_archer_cible,9,FALSE)</f>
        <v>#N/A</v>
      </c>
      <c r="L207" s="1256" t="e">
        <f>VLOOKUP(J207,ID_archer_cible,8,FALSE)</f>
        <v>#N/A</v>
      </c>
      <c r="M207" s="1257"/>
      <c r="N207" s="1260" t="e">
        <f>VLOOKUP(J207,ID_archer_cible,7,FALSE)</f>
        <v>#N/A</v>
      </c>
      <c r="O207" s="1261"/>
      <c r="P207" s="828" t="e">
        <f>VLOOKUP(J207,ID_archer_cible,10,FALSE)</f>
        <v>#N/A</v>
      </c>
      <c r="Q207" s="829" t="e">
        <f>IF(VLOOKUP(L207,N°LicPRO,3,FALSE)="oui","COACH","")</f>
        <v>#N/A</v>
      </c>
      <c r="R207" s="742" t="str">
        <f>IFERROR(VLOOKUP(L207,N°LicPRO,2,FALSE),"")</f>
        <v/>
      </c>
      <c r="S207" s="571" t="s">
        <v>994</v>
      </c>
      <c r="U207" s="1255" t="e">
        <f>VLOOKUP(AC207,ID_archer_cible,5,FALSE)&amp;"    "&amp;VLOOKUP(AC207,ID_archer_cible,6,FALSE)</f>
        <v>#N/A</v>
      </c>
      <c r="V207" s="1255"/>
      <c r="W207" s="1255"/>
      <c r="X207" s="1255"/>
      <c r="Y207" s="1255"/>
      <c r="Z207" s="1255"/>
      <c r="AA207" s="1255"/>
      <c r="AB207" s="1255"/>
      <c r="AC207" s="624" t="str">
        <f>AI198&amp;"B"</f>
        <v>7B</v>
      </c>
      <c r="AD207" s="574" t="e">
        <f>VLOOKUP(AC207,ID_archer_cible,9,FALSE)</f>
        <v>#N/A</v>
      </c>
      <c r="AE207" s="1256" t="e">
        <f>VLOOKUP(AC207,ID_archer_cible,8,FALSE)</f>
        <v>#N/A</v>
      </c>
      <c r="AF207" s="1257"/>
      <c r="AG207" s="1260" t="e">
        <f>VLOOKUP(AC207,ID_archer_cible,7,FALSE)</f>
        <v>#N/A</v>
      </c>
      <c r="AH207" s="1261"/>
      <c r="AI207" s="828" t="e">
        <f>VLOOKUP(AC207,ID_archer_cible,10,FALSE)</f>
        <v>#N/A</v>
      </c>
      <c r="AJ207" s="829" t="e">
        <f>IF(VLOOKUP(AE207,N°LicPRO,3,FALSE)="oui","COACH","")</f>
        <v>#N/A</v>
      </c>
      <c r="AK207" s="742" t="str">
        <f>IFERROR(VLOOKUP(AE207,N°LicPRO,2,FALSE),"")</f>
        <v/>
      </c>
    </row>
    <row r="208" spans="1:37" ht="45" customHeight="1" x14ac:dyDescent="0.2">
      <c r="B208" s="1255" t="e">
        <f>VLOOKUP(J208,ID_archer_cible,5,FALSE)&amp;"    "&amp;VLOOKUP(J208,ID_archer_cible,6,FALSE)</f>
        <v>#N/A</v>
      </c>
      <c r="C208" s="1255"/>
      <c r="D208" s="1255"/>
      <c r="E208" s="1255"/>
      <c r="F208" s="1255"/>
      <c r="G208" s="1255"/>
      <c r="H208" s="1255"/>
      <c r="I208" s="1255"/>
      <c r="J208" s="624" t="str">
        <f>P198&amp;"C"</f>
        <v>7C</v>
      </c>
      <c r="K208" s="574" t="e">
        <f>VLOOKUP(J208,ID_archer_cible,9,FALSE)</f>
        <v>#N/A</v>
      </c>
      <c r="L208" s="1256" t="e">
        <f>VLOOKUP(J208,ID_archer_cible,8,FALSE)</f>
        <v>#N/A</v>
      </c>
      <c r="M208" s="1257"/>
      <c r="N208" s="1260" t="e">
        <f>VLOOKUP(J208,ID_archer_cible,7,FALSE)</f>
        <v>#N/A</v>
      </c>
      <c r="O208" s="1261"/>
      <c r="P208" s="828" t="e">
        <f>VLOOKUP(J208,ID_archer_cible,10,FALSE)</f>
        <v>#N/A</v>
      </c>
      <c r="Q208" s="829" t="e">
        <f>IF(VLOOKUP(L208,N°LicPRO,3,FALSE)="oui","COACH","")</f>
        <v>#N/A</v>
      </c>
      <c r="R208" s="742" t="str">
        <f>IFERROR(VLOOKUP(L208,N°LicPRO,2,FALSE),"")</f>
        <v/>
      </c>
      <c r="S208" s="646" t="s">
        <v>995</v>
      </c>
      <c r="U208" s="1255" t="e">
        <f>VLOOKUP(AC208,ID_archer_cible,5,FALSE)&amp;"    "&amp;VLOOKUP(AC208,ID_archer_cible,6,FALSE)</f>
        <v>#N/A</v>
      </c>
      <c r="V208" s="1255"/>
      <c r="W208" s="1255"/>
      <c r="X208" s="1255"/>
      <c r="Y208" s="1255"/>
      <c r="Z208" s="1255"/>
      <c r="AA208" s="1255"/>
      <c r="AB208" s="1255"/>
      <c r="AC208" s="624" t="str">
        <f>AI198&amp;"C"</f>
        <v>7C</v>
      </c>
      <c r="AD208" s="574" t="e">
        <f>VLOOKUP(AC208,ID_archer_cible,9,FALSE)</f>
        <v>#N/A</v>
      </c>
      <c r="AE208" s="1256" t="e">
        <f>VLOOKUP(AC208,ID_archer_cible,8,FALSE)</f>
        <v>#N/A</v>
      </c>
      <c r="AF208" s="1257"/>
      <c r="AG208" s="1260" t="e">
        <f>VLOOKUP(AC208,ID_archer_cible,7,FALSE)</f>
        <v>#N/A</v>
      </c>
      <c r="AH208" s="1261"/>
      <c r="AI208" s="828" t="e">
        <f>VLOOKUP(AC208,ID_archer_cible,10,FALSE)</f>
        <v>#N/A</v>
      </c>
      <c r="AJ208" s="829" t="e">
        <f>IF(VLOOKUP(AE208,N°LicPRO,3,FALSE)="oui","COACH","")</f>
        <v>#N/A</v>
      </c>
      <c r="AK208" s="742" t="str">
        <f>IFERROR(VLOOKUP(AE208,N°LicPRO,2,FALSE),"")</f>
        <v/>
      </c>
    </row>
    <row r="209" spans="2:37" ht="45" customHeight="1" x14ac:dyDescent="0.2">
      <c r="B209" s="1255" t="e">
        <f>VLOOKUP(J209,ID_archer_cible,5,FALSE)&amp;"    "&amp;VLOOKUP(J209,ID_archer_cible,6,FALSE)</f>
        <v>#N/A</v>
      </c>
      <c r="C209" s="1255"/>
      <c r="D209" s="1255"/>
      <c r="E209" s="1255"/>
      <c r="F209" s="1255"/>
      <c r="G209" s="1255"/>
      <c r="H209" s="1255"/>
      <c r="I209" s="1255"/>
      <c r="J209" s="624" t="str">
        <f>P198&amp;"D"</f>
        <v>7D</v>
      </c>
      <c r="K209" s="574" t="e">
        <f>VLOOKUP(J209,ID_archer_cible,9,FALSE)</f>
        <v>#N/A</v>
      </c>
      <c r="L209" s="1256" t="e">
        <f>VLOOKUP(J209,ID_archer_cible,8,FALSE)</f>
        <v>#N/A</v>
      </c>
      <c r="M209" s="1257"/>
      <c r="N209" s="1260" t="e">
        <f>VLOOKUP(J209,ID_archer_cible,7,FALSE)</f>
        <v>#N/A</v>
      </c>
      <c r="O209" s="1261"/>
      <c r="P209" s="828" t="e">
        <f>VLOOKUP(J209,ID_archer_cible,10,FALSE)</f>
        <v>#N/A</v>
      </c>
      <c r="Q209" s="829" t="e">
        <f>IF(VLOOKUP(L209,N°LicPRO,3,FALSE)="oui","COACH","")</f>
        <v>#N/A</v>
      </c>
      <c r="R209" s="742" t="str">
        <f>IFERROR(VLOOKUP(L209,N°LicPRO,2,FALSE),"")</f>
        <v/>
      </c>
      <c r="S209" s="571" t="s">
        <v>994</v>
      </c>
      <c r="U209" s="1255" t="e">
        <f>VLOOKUP(AC209,ID_archer_cible,5,FALSE)&amp;"    "&amp;VLOOKUP(AC209,ID_archer_cible,6,FALSE)</f>
        <v>#N/A</v>
      </c>
      <c r="V209" s="1255"/>
      <c r="W209" s="1255"/>
      <c r="X209" s="1255"/>
      <c r="Y209" s="1255"/>
      <c r="Z209" s="1255"/>
      <c r="AA209" s="1255"/>
      <c r="AB209" s="1255"/>
      <c r="AC209" s="624" t="str">
        <f>AI198&amp;"D"</f>
        <v>7D</v>
      </c>
      <c r="AD209" s="574" t="e">
        <f>VLOOKUP(AC209,ID_archer_cible,9,FALSE)</f>
        <v>#N/A</v>
      </c>
      <c r="AE209" s="1256" t="e">
        <f>VLOOKUP(AC209,ID_archer_cible,8,FALSE)</f>
        <v>#N/A</v>
      </c>
      <c r="AF209" s="1257"/>
      <c r="AG209" s="1260" t="e">
        <f>VLOOKUP(AC209,ID_archer_cible,7,FALSE)</f>
        <v>#N/A</v>
      </c>
      <c r="AH209" s="1261"/>
      <c r="AI209" s="828" t="e">
        <f>VLOOKUP(AC209,ID_archer_cible,10,FALSE)</f>
        <v>#N/A</v>
      </c>
      <c r="AJ209" s="829" t="e">
        <f>IF(VLOOKUP(AE209,N°LicPRO,3,FALSE)="oui","COACH","")</f>
        <v>#N/A</v>
      </c>
      <c r="AK209" s="742" t="str">
        <f>IFERROR(VLOOKUP(AE209,N°LicPRO,2,FALSE),"")</f>
        <v/>
      </c>
    </row>
    <row r="210" spans="2:37" ht="15" customHeight="1" x14ac:dyDescent="0.2">
      <c r="S210" s="571" t="s">
        <v>994</v>
      </c>
    </row>
    <row r="211" spans="2:37" ht="15" customHeight="1" x14ac:dyDescent="0.2">
      <c r="B211" s="508" t="s">
        <v>975</v>
      </c>
      <c r="S211" s="646" t="s">
        <v>995</v>
      </c>
      <c r="U211" s="508" t="s">
        <v>975</v>
      </c>
    </row>
    <row r="212" spans="2:37" ht="15" customHeight="1" x14ac:dyDescent="0.2">
      <c r="B212" s="1259" t="s">
        <v>974</v>
      </c>
      <c r="C212" s="1259"/>
      <c r="D212" s="1259"/>
      <c r="E212" s="1259"/>
      <c r="F212" s="1199" t="str">
        <f>Info_TirQ</f>
        <v>J2 8:30-9:00 Ent. 9:00-10:30 Tirs Qual.</v>
      </c>
      <c r="G212" s="1199"/>
      <c r="H212" s="1199"/>
      <c r="I212" s="1199"/>
      <c r="J212" s="1199"/>
      <c r="K212" s="1258" t="s">
        <v>978</v>
      </c>
      <c r="L212" s="1258"/>
      <c r="M212" s="1258"/>
      <c r="N212" s="1258"/>
      <c r="O212" s="1258"/>
      <c r="S212" s="571" t="s">
        <v>994</v>
      </c>
      <c r="U212" s="1259" t="s">
        <v>974</v>
      </c>
      <c r="V212" s="1259"/>
      <c r="W212" s="1259"/>
      <c r="X212" s="1259"/>
      <c r="Y212" s="1199" t="str">
        <f>Info_TirQ</f>
        <v>J2 8:30-9:00 Ent. 9:00-10:30 Tirs Qual.</v>
      </c>
      <c r="Z212" s="1199"/>
      <c r="AA212" s="1199"/>
      <c r="AB212" s="1199"/>
      <c r="AC212" s="1199"/>
      <c r="AD212" s="1258" t="s">
        <v>978</v>
      </c>
      <c r="AE212" s="1258"/>
      <c r="AF212" s="1258"/>
      <c r="AG212" s="1258"/>
      <c r="AH212" s="1258"/>
    </row>
    <row r="213" spans="2:37" ht="15" customHeight="1" x14ac:dyDescent="0.2">
      <c r="B213" s="1259" t="s">
        <v>484</v>
      </c>
      <c r="C213" s="1259"/>
      <c r="D213" s="1259"/>
      <c r="E213" s="1259"/>
      <c r="F213" s="1199" t="str">
        <f>Info_D1</f>
        <v>J2 13:30-14:20  1er DUEL</v>
      </c>
      <c r="G213" s="1199"/>
      <c r="H213" s="1199"/>
      <c r="I213" s="1199"/>
      <c r="J213" s="1199"/>
      <c r="K213" s="1258"/>
      <c r="L213" s="1258"/>
      <c r="M213" s="1258"/>
      <c r="N213" s="1258"/>
      <c r="O213" s="1258"/>
      <c r="S213" s="571" t="s">
        <v>994</v>
      </c>
      <c r="U213" s="1259" t="s">
        <v>484</v>
      </c>
      <c r="V213" s="1259"/>
      <c r="W213" s="1259"/>
      <c r="X213" s="1259"/>
      <c r="Y213" s="1199" t="str">
        <f>Info_D1</f>
        <v>J2 13:30-14:20  1er DUEL</v>
      </c>
      <c r="Z213" s="1199"/>
      <c r="AA213" s="1199"/>
      <c r="AB213" s="1199"/>
      <c r="AC213" s="1199"/>
      <c r="AD213" s="1258"/>
      <c r="AE213" s="1258"/>
      <c r="AF213" s="1258"/>
      <c r="AG213" s="1258"/>
      <c r="AH213" s="1258"/>
    </row>
    <row r="214" spans="2:37" ht="15" customHeight="1" x14ac:dyDescent="0.2">
      <c r="B214" s="1259" t="s">
        <v>972</v>
      </c>
      <c r="C214" s="1259"/>
      <c r="D214" s="1259"/>
      <c r="E214" s="1259"/>
      <c r="F214" s="1199" t="str">
        <f>Info_D2</f>
        <v>J2 14:30-15:20 2ème DUEL</v>
      </c>
      <c r="G214" s="1199"/>
      <c r="H214" s="1199"/>
      <c r="I214" s="1199"/>
      <c r="J214" s="1199"/>
      <c r="K214" s="1258"/>
      <c r="L214" s="1258"/>
      <c r="M214" s="1258"/>
      <c r="N214" s="1258"/>
      <c r="O214" s="1258"/>
      <c r="S214" s="646" t="s">
        <v>995</v>
      </c>
      <c r="U214" s="1259" t="s">
        <v>972</v>
      </c>
      <c r="V214" s="1259"/>
      <c r="W214" s="1259"/>
      <c r="X214" s="1259"/>
      <c r="Y214" s="1199" t="str">
        <f>Info_D2</f>
        <v>J2 14:30-15:20 2ème DUEL</v>
      </c>
      <c r="Z214" s="1199"/>
      <c r="AA214" s="1199"/>
      <c r="AB214" s="1199"/>
      <c r="AC214" s="1199"/>
      <c r="AD214" s="1258"/>
      <c r="AE214" s="1258"/>
      <c r="AF214" s="1258"/>
      <c r="AG214" s="1258"/>
      <c r="AH214" s="1258"/>
    </row>
    <row r="215" spans="2:37" ht="15" customHeight="1" x14ac:dyDescent="0.2">
      <c r="B215" s="1259" t="s">
        <v>973</v>
      </c>
      <c r="C215" s="1259"/>
      <c r="D215" s="1259"/>
      <c r="E215" s="1259"/>
      <c r="F215" s="1199" t="str">
        <f>Info_D3</f>
        <v>J3 10-10:50 Match pl. 5 à +  ETAB - EX</v>
      </c>
      <c r="G215" s="1199"/>
      <c r="H215" s="1199"/>
      <c r="I215" s="1199"/>
      <c r="J215" s="1199"/>
      <c r="K215" s="1258"/>
      <c r="L215" s="1258"/>
      <c r="M215" s="1258"/>
      <c r="N215" s="1258"/>
      <c r="O215" s="1258"/>
      <c r="S215" s="571" t="s">
        <v>994</v>
      </c>
      <c r="U215" s="1259" t="s">
        <v>973</v>
      </c>
      <c r="V215" s="1259"/>
      <c r="W215" s="1259"/>
      <c r="X215" s="1259"/>
      <c r="Y215" s="1199" t="str">
        <f>Info_D3</f>
        <v>J3 10-10:50 Match pl. 5 à +  ETAB - EX</v>
      </c>
      <c r="Z215" s="1199"/>
      <c r="AA215" s="1199"/>
      <c r="AB215" s="1199"/>
      <c r="AC215" s="1199"/>
      <c r="AD215" s="1258"/>
      <c r="AE215" s="1258"/>
      <c r="AF215" s="1258"/>
      <c r="AG215" s="1258"/>
      <c r="AH215" s="1258"/>
    </row>
    <row r="216" spans="2:37" ht="24.75" customHeight="1" x14ac:dyDescent="0.2">
      <c r="B216" s="626" t="s">
        <v>976</v>
      </c>
      <c r="S216" s="571" t="s">
        <v>994</v>
      </c>
      <c r="U216" s="626" t="s">
        <v>976</v>
      </c>
    </row>
    <row r="217" spans="2:37" ht="134.25" customHeight="1" x14ac:dyDescent="0.2">
      <c r="B217"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C217" s="1264"/>
      <c r="D217" s="1264"/>
      <c r="E217" s="1264"/>
      <c r="F217" s="1264"/>
      <c r="G217" s="1264"/>
      <c r="H217" s="1264"/>
      <c r="I217" s="1264"/>
      <c r="J217" s="1264"/>
      <c r="K217" s="1264"/>
      <c r="L217" s="1264"/>
      <c r="M217" s="1264"/>
      <c r="N217" s="1264"/>
      <c r="O217" s="1264"/>
      <c r="P217" s="1265"/>
      <c r="S217" s="646" t="s">
        <v>995</v>
      </c>
      <c r="U217"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V217" s="1264"/>
      <c r="W217" s="1264"/>
      <c r="X217" s="1264"/>
      <c r="Y217" s="1264"/>
      <c r="Z217" s="1264"/>
      <c r="AA217" s="1264"/>
      <c r="AB217" s="1264"/>
      <c r="AC217" s="1264"/>
      <c r="AD217" s="1264"/>
      <c r="AE217" s="1264"/>
      <c r="AF217" s="1264"/>
      <c r="AG217" s="1264"/>
      <c r="AH217" s="1264"/>
      <c r="AI217" s="1265"/>
    </row>
    <row r="218" spans="2:37" ht="15" customHeight="1" x14ac:dyDescent="0.2">
      <c r="C218" s="508" t="s">
        <v>964</v>
      </c>
      <c r="K218" s="508" t="s">
        <v>965</v>
      </c>
      <c r="O218" s="508" t="s">
        <v>966</v>
      </c>
      <c r="S218" s="571" t="s">
        <v>994</v>
      </c>
      <c r="V218" s="508" t="s">
        <v>964</v>
      </c>
      <c r="AD218" s="508" t="s">
        <v>965</v>
      </c>
      <c r="AH218" s="508" t="s">
        <v>966</v>
      </c>
    </row>
    <row r="219" spans="2:37" ht="15" customHeight="1" x14ac:dyDescent="0.2">
      <c r="S219" s="571" t="s">
        <v>994</v>
      </c>
    </row>
    <row r="220" spans="2:37" ht="15" customHeight="1" x14ac:dyDescent="0.2">
      <c r="S220" s="646" t="s">
        <v>995</v>
      </c>
    </row>
    <row r="221" spans="2:37" ht="15" customHeight="1" x14ac:dyDescent="0.2">
      <c r="S221" s="571" t="s">
        <v>994</v>
      </c>
    </row>
    <row r="222" spans="2:37" ht="15" customHeight="1" x14ac:dyDescent="0.2">
      <c r="S222" s="571" t="s">
        <v>994</v>
      </c>
    </row>
    <row r="223" spans="2:37" ht="15" customHeight="1" x14ac:dyDescent="0.2">
      <c r="S223" s="646" t="s">
        <v>995</v>
      </c>
    </row>
    <row r="224" spans="2:37" x14ac:dyDescent="0.2">
      <c r="S224" s="571" t="s">
        <v>994</v>
      </c>
    </row>
    <row r="225" spans="1:37" x14ac:dyDescent="0.2">
      <c r="S225" s="571" t="s">
        <v>994</v>
      </c>
    </row>
    <row r="226" spans="1:37" ht="30" x14ac:dyDescent="0.2">
      <c r="A226" s="1262" t="str">
        <f>Championnat</f>
        <v>Championnat de France de Tir à l'ARC</v>
      </c>
      <c r="B226" s="1262"/>
      <c r="C226" s="1262"/>
      <c r="D226" s="1262"/>
      <c r="E226" s="1262"/>
      <c r="F226" s="1262"/>
      <c r="G226" s="1262"/>
      <c r="H226" s="1262"/>
      <c r="I226" s="1262"/>
      <c r="J226" s="1262"/>
      <c r="K226" s="1262"/>
      <c r="L226" s="1262"/>
      <c r="M226" s="1262"/>
      <c r="N226" s="1262"/>
      <c r="O226" s="1262"/>
      <c r="P226" s="1262"/>
      <c r="Q226" s="1262"/>
      <c r="R226" s="1262"/>
      <c r="S226" s="646" t="s">
        <v>995</v>
      </c>
      <c r="T226" s="1262" t="str">
        <f>Championnat</f>
        <v>Championnat de France de Tir à l'ARC</v>
      </c>
      <c r="U226" s="1262"/>
      <c r="V226" s="1262"/>
      <c r="W226" s="1262"/>
      <c r="X226" s="1262"/>
      <c r="Y226" s="1262"/>
      <c r="Z226" s="1262"/>
      <c r="AA226" s="1262"/>
      <c r="AB226" s="1262"/>
      <c r="AC226" s="1262"/>
      <c r="AD226" s="1262"/>
      <c r="AE226" s="1262"/>
      <c r="AF226" s="1262"/>
      <c r="AG226" s="1262"/>
      <c r="AH226" s="1262"/>
      <c r="AI226" s="1262"/>
      <c r="AJ226" s="1262"/>
      <c r="AK226" s="1262"/>
    </row>
    <row r="227" spans="1:37" ht="24.75" customHeight="1" x14ac:dyDescent="0.2">
      <c r="A227" s="1184" t="str">
        <f>LIEU&amp;" du "&amp;DATE</f>
        <v>L’Isle sur la Sorgue du 27 au 31 mars 2023</v>
      </c>
      <c r="B227" s="1184"/>
      <c r="C227" s="1184"/>
      <c r="D227" s="1184"/>
      <c r="E227" s="1184"/>
      <c r="F227" s="1184"/>
      <c r="G227" s="1184"/>
      <c r="H227" s="1184"/>
      <c r="I227" s="1184"/>
      <c r="J227" s="1184"/>
      <c r="K227" s="1184"/>
      <c r="L227" s="1184"/>
      <c r="M227" s="1184"/>
      <c r="N227" s="1184"/>
      <c r="O227" s="1184"/>
      <c r="P227" s="1184"/>
      <c r="Q227" s="1184"/>
      <c r="R227" s="1184"/>
      <c r="S227" s="571" t="s">
        <v>994</v>
      </c>
      <c r="T227" s="1184" t="str">
        <f>LIEU&amp;" du "&amp;DATE</f>
        <v>L’Isle sur la Sorgue du 27 au 31 mars 2023</v>
      </c>
      <c r="U227" s="1184"/>
      <c r="V227" s="1184"/>
      <c r="W227" s="1184"/>
      <c r="X227" s="1184"/>
      <c r="Y227" s="1184"/>
      <c r="Z227" s="1184"/>
      <c r="AA227" s="1184"/>
      <c r="AB227" s="1184"/>
      <c r="AC227" s="1184"/>
      <c r="AD227" s="1184"/>
      <c r="AE227" s="1184"/>
      <c r="AF227" s="1184"/>
      <c r="AG227" s="1184"/>
      <c r="AH227" s="1184"/>
      <c r="AI227" s="1184"/>
      <c r="AJ227" s="1184"/>
      <c r="AK227" s="1184"/>
    </row>
    <row r="228" spans="1:37" s="218" customFormat="1" ht="40.5" customHeight="1" x14ac:dyDescent="0.2">
      <c r="A228" s="1268" t="str">
        <f>CATEG_IMPORTEE</f>
        <v>Collèges Mixtes Etablissement</v>
      </c>
      <c r="B228" s="1268"/>
      <c r="C228" s="1268"/>
      <c r="D228" s="1268"/>
      <c r="E228" s="1268"/>
      <c r="F228" s="1268"/>
      <c r="G228" s="1268"/>
      <c r="H228" s="1268"/>
      <c r="I228" s="1268"/>
      <c r="J228" s="1268"/>
      <c r="K228" s="1268"/>
      <c r="L228" s="1268"/>
      <c r="M228" s="1268"/>
      <c r="N228" s="1268"/>
      <c r="O228" s="1268"/>
      <c r="P228" s="1268"/>
      <c r="Q228" s="1268"/>
      <c r="R228" s="1268"/>
      <c r="S228" s="571" t="s">
        <v>994</v>
      </c>
      <c r="T228" s="1268" t="str">
        <f>CATEG_IMPORTEE</f>
        <v>Collèges Mixtes Etablissement</v>
      </c>
      <c r="U228" s="1268"/>
      <c r="V228" s="1268"/>
      <c r="W228" s="1268"/>
      <c r="X228" s="1268"/>
      <c r="Y228" s="1268"/>
      <c r="Z228" s="1268"/>
      <c r="AA228" s="1268"/>
      <c r="AB228" s="1268"/>
      <c r="AC228" s="1268"/>
      <c r="AD228" s="1268"/>
      <c r="AE228" s="1268"/>
      <c r="AF228" s="1268"/>
      <c r="AG228" s="1268"/>
      <c r="AH228" s="1268"/>
      <c r="AI228" s="1268"/>
      <c r="AJ228" s="1268"/>
      <c r="AK228" s="1268"/>
    </row>
    <row r="229" spans="1:37" s="218" customFormat="1" ht="19.5" customHeight="1" x14ac:dyDescent="0.2">
      <c r="A229" s="625"/>
      <c r="B229" s="625"/>
      <c r="C229" s="625"/>
      <c r="D229" s="625"/>
      <c r="E229" s="625"/>
      <c r="F229" s="625"/>
      <c r="G229" s="625"/>
      <c r="H229" s="625"/>
      <c r="I229" s="625"/>
      <c r="J229" s="625"/>
      <c r="K229" s="625"/>
      <c r="L229" s="625"/>
      <c r="M229" s="625"/>
      <c r="N229" s="625"/>
      <c r="O229" s="625"/>
      <c r="P229" s="625"/>
      <c r="Q229" s="625"/>
      <c r="R229" s="625"/>
      <c r="S229" s="646" t="s">
        <v>995</v>
      </c>
      <c r="T229" s="625"/>
      <c r="U229" s="625"/>
      <c r="V229" s="625"/>
      <c r="W229" s="625"/>
      <c r="X229" s="625"/>
      <c r="Y229" s="625"/>
      <c r="Z229" s="625"/>
      <c r="AA229" s="625"/>
      <c r="AB229" s="625"/>
      <c r="AC229" s="625"/>
      <c r="AD229" s="625"/>
      <c r="AE229" s="625"/>
      <c r="AF229" s="625"/>
      <c r="AG229" s="625"/>
      <c r="AH229" s="625"/>
      <c r="AI229" s="625"/>
      <c r="AJ229" s="625"/>
      <c r="AK229" s="625"/>
    </row>
    <row r="230" spans="1:37" ht="47.25" customHeight="1" x14ac:dyDescent="0.2">
      <c r="A230" s="620"/>
      <c r="B230" s="620"/>
      <c r="C230" s="620"/>
      <c r="D230" s="620"/>
      <c r="E230" s="620"/>
      <c r="F230" s="620"/>
      <c r="G230" s="620"/>
      <c r="H230" s="620"/>
      <c r="I230" s="620"/>
      <c r="J230" s="620"/>
      <c r="K230" s="620"/>
      <c r="L230" s="620"/>
      <c r="M230" s="620"/>
      <c r="N230" s="1072" t="s">
        <v>628</v>
      </c>
      <c r="O230" s="1073"/>
      <c r="P230" s="1271">
        <f>P198+1</f>
        <v>8</v>
      </c>
      <c r="Q230" s="1271"/>
      <c r="R230" s="1271"/>
      <c r="S230" s="571" t="s">
        <v>994</v>
      </c>
      <c r="T230" s="620"/>
      <c r="U230" s="620"/>
      <c r="V230" s="620"/>
      <c r="W230" s="620"/>
      <c r="X230" s="620"/>
      <c r="Y230" s="620"/>
      <c r="Z230" s="620"/>
      <c r="AA230" s="620"/>
      <c r="AB230" s="620"/>
      <c r="AC230" s="620"/>
      <c r="AD230" s="620"/>
      <c r="AE230" s="620"/>
      <c r="AF230" s="620"/>
      <c r="AG230" s="1072" t="s">
        <v>628</v>
      </c>
      <c r="AH230" s="1073"/>
      <c r="AI230" s="1271">
        <f>AI198+1</f>
        <v>8</v>
      </c>
      <c r="AJ230" s="1271"/>
      <c r="AK230" s="1271"/>
    </row>
    <row r="231" spans="1:37" ht="36.75" customHeight="1" x14ac:dyDescent="0.2">
      <c r="A231" s="1272" t="e">
        <f>VLOOKUP(J238,ID_archer_cible,2,FALSE)</f>
        <v>#N/A</v>
      </c>
      <c r="B231" s="1272"/>
      <c r="C231" s="1272"/>
      <c r="D231" s="1272"/>
      <c r="E231" s="1272"/>
      <c r="F231" s="1272"/>
      <c r="G231" s="1272"/>
      <c r="H231" s="1272"/>
      <c r="I231" s="1272"/>
      <c r="J231" s="1272"/>
      <c r="K231" s="1272"/>
      <c r="L231" s="1272"/>
      <c r="M231" s="1272"/>
      <c r="N231" s="1272"/>
      <c r="O231" s="1272"/>
      <c r="P231" s="1272"/>
      <c r="Q231" s="1272"/>
      <c r="R231" s="1272"/>
      <c r="S231" s="571" t="s">
        <v>994</v>
      </c>
      <c r="T231" s="1272" t="e">
        <f>VLOOKUP(AC238,ID_archer_cible,2,FALSE)</f>
        <v>#N/A</v>
      </c>
      <c r="U231" s="1272"/>
      <c r="V231" s="1272"/>
      <c r="W231" s="1272"/>
      <c r="X231" s="1272"/>
      <c r="Y231" s="1272"/>
      <c r="Z231" s="1272"/>
      <c r="AA231" s="1272"/>
      <c r="AB231" s="1272"/>
      <c r="AC231" s="1272"/>
      <c r="AD231" s="1272"/>
      <c r="AE231" s="1272"/>
      <c r="AF231" s="1272"/>
      <c r="AG231" s="1272"/>
      <c r="AH231" s="1272"/>
      <c r="AI231" s="1272"/>
      <c r="AJ231" s="1272"/>
      <c r="AK231" s="1272"/>
    </row>
    <row r="232" spans="1:37" ht="21.75" customHeight="1" x14ac:dyDescent="0.2">
      <c r="I232" s="621"/>
      <c r="J232" s="621"/>
      <c r="K232" s="621"/>
      <c r="L232" s="621"/>
      <c r="M232" s="621"/>
      <c r="N232" s="621"/>
      <c r="P232" s="619"/>
      <c r="Q232" s="619"/>
      <c r="R232" s="619"/>
      <c r="S232" s="646" t="s">
        <v>995</v>
      </c>
      <c r="AB232" s="621"/>
      <c r="AC232" s="621"/>
      <c r="AD232" s="621"/>
      <c r="AE232" s="621"/>
      <c r="AF232" s="621"/>
      <c r="AG232" s="621"/>
      <c r="AI232" s="619"/>
      <c r="AJ232" s="619"/>
      <c r="AK232" s="619"/>
    </row>
    <row r="233" spans="1:37" ht="17.25" customHeight="1" x14ac:dyDescent="0.2">
      <c r="A233" s="1125"/>
      <c r="B233" s="1125"/>
      <c r="C233" s="1125"/>
      <c r="D233" s="1125"/>
      <c r="E233" s="1125"/>
      <c r="F233" s="1125"/>
      <c r="G233" s="1125"/>
      <c r="H233" s="1125"/>
      <c r="I233" s="1125"/>
      <c r="J233" s="1125"/>
      <c r="K233" s="1125"/>
      <c r="L233" s="1125" t="s">
        <v>374</v>
      </c>
      <c r="M233" s="1125"/>
      <c r="N233" s="1125"/>
      <c r="O233" s="1125"/>
      <c r="P233" s="1125"/>
      <c r="Q233" s="1125"/>
      <c r="R233" s="1125"/>
      <c r="S233" s="571" t="s">
        <v>994</v>
      </c>
      <c r="T233" s="1125"/>
      <c r="U233" s="1125"/>
      <c r="V233" s="1125"/>
      <c r="W233" s="1125"/>
      <c r="X233" s="1125"/>
      <c r="Y233" s="1125"/>
      <c r="Z233" s="1125"/>
      <c r="AA233" s="1125"/>
      <c r="AB233" s="1125"/>
      <c r="AC233" s="1125"/>
      <c r="AD233" s="1125"/>
      <c r="AE233" s="1125" t="s">
        <v>374</v>
      </c>
      <c r="AF233" s="1125"/>
      <c r="AG233" s="1125"/>
      <c r="AH233" s="1125"/>
      <c r="AI233" s="1125"/>
      <c r="AJ233" s="1125"/>
      <c r="AK233" s="1125"/>
    </row>
    <row r="234" spans="1:37" ht="32.25" customHeight="1" x14ac:dyDescent="0.2">
      <c r="A234" s="1269" t="e">
        <f>VLOOKUP(J238,ID_archer_cible,3,FALSE)</f>
        <v>#N/A</v>
      </c>
      <c r="B234" s="1269"/>
      <c r="C234" s="1269"/>
      <c r="D234" s="1269"/>
      <c r="E234" s="1269"/>
      <c r="F234" s="1269"/>
      <c r="G234" s="1269"/>
      <c r="H234" s="1269"/>
      <c r="I234" s="1269"/>
      <c r="J234" s="1269"/>
      <c r="K234" s="1269"/>
      <c r="L234" s="1270" t="e">
        <f>VLOOKUP(J238,ID_archer_cible,4,FALSE)</f>
        <v>#N/A</v>
      </c>
      <c r="M234" s="1270"/>
      <c r="N234" s="1270"/>
      <c r="O234" s="1270"/>
      <c r="P234" s="1270"/>
      <c r="Q234" s="1270"/>
      <c r="R234" s="1270"/>
      <c r="S234" s="571" t="s">
        <v>994</v>
      </c>
      <c r="T234" s="1269" t="e">
        <f>VLOOKUP(AC238,ID_archer_cible,3,FALSE)</f>
        <v>#N/A</v>
      </c>
      <c r="U234" s="1269"/>
      <c r="V234" s="1269"/>
      <c r="W234" s="1269"/>
      <c r="X234" s="1269"/>
      <c r="Y234" s="1269"/>
      <c r="Z234" s="1269"/>
      <c r="AA234" s="1269"/>
      <c r="AB234" s="1269"/>
      <c r="AC234" s="1269"/>
      <c r="AD234" s="1269"/>
      <c r="AE234" s="1270" t="e">
        <f>VLOOKUP(AC238,ID_archer_cible,4,FALSE)</f>
        <v>#N/A</v>
      </c>
      <c r="AF234" s="1270"/>
      <c r="AG234" s="1270"/>
      <c r="AH234" s="1270"/>
      <c r="AI234" s="1270"/>
      <c r="AJ234" s="1270"/>
      <c r="AK234" s="1270"/>
    </row>
    <row r="235" spans="1:37" ht="17.25" customHeight="1" x14ac:dyDescent="0.2">
      <c r="E235" s="584"/>
      <c r="F235" s="584"/>
      <c r="G235" s="584"/>
      <c r="H235" s="584"/>
      <c r="I235" s="618"/>
      <c r="J235" s="618"/>
      <c r="K235" s="618"/>
      <c r="L235" s="618"/>
      <c r="M235" s="618"/>
      <c r="N235" s="618"/>
      <c r="P235" s="1266" t="str">
        <f>IFERROR(IF(AND(R238="oui",R239="oui",R240="oui",R241="oui"),"PRO",""),"")</f>
        <v/>
      </c>
      <c r="Q235" s="1266"/>
      <c r="R235" s="1266"/>
      <c r="S235" s="646" t="s">
        <v>995</v>
      </c>
      <c r="X235" s="584"/>
      <c r="Y235" s="584"/>
      <c r="Z235" s="584"/>
      <c r="AA235" s="584"/>
      <c r="AB235" s="618"/>
      <c r="AC235" s="618"/>
      <c r="AD235" s="618"/>
      <c r="AE235" s="618"/>
      <c r="AF235" s="618"/>
      <c r="AG235" s="618"/>
      <c r="AI235" s="1266" t="str">
        <f>IFERROR(IF(AND(AK238="oui",AK239="oui",AK240="oui",AK241="oui"),"PRO",""),"")</f>
        <v/>
      </c>
      <c r="AJ235" s="1266"/>
      <c r="AK235" s="1266"/>
    </row>
    <row r="236" spans="1:37" ht="20.25" customHeight="1" x14ac:dyDescent="0.2">
      <c r="P236" s="1267"/>
      <c r="Q236" s="1267"/>
      <c r="R236" s="1267"/>
      <c r="S236" s="571" t="s">
        <v>994</v>
      </c>
      <c r="AI236" s="1267"/>
      <c r="AJ236" s="1267"/>
      <c r="AK236" s="1267"/>
    </row>
    <row r="237" spans="1:37" ht="25.5" customHeight="1" x14ac:dyDescent="0.2">
      <c r="B237" s="1273" t="s">
        <v>906</v>
      </c>
      <c r="C237" s="1273"/>
      <c r="D237" s="1273"/>
      <c r="E237" s="1273"/>
      <c r="F237" s="1273"/>
      <c r="G237" s="1273"/>
      <c r="H237" s="1273"/>
      <c r="I237" s="1273"/>
      <c r="J237" s="622" t="s">
        <v>552</v>
      </c>
      <c r="K237" s="623" t="s">
        <v>893</v>
      </c>
      <c r="L237" s="1275" t="s">
        <v>550</v>
      </c>
      <c r="M237" s="1276"/>
      <c r="N237" s="1274" t="s">
        <v>905</v>
      </c>
      <c r="O237" s="1274"/>
      <c r="P237" s="1254" t="s">
        <v>551</v>
      </c>
      <c r="Q237" s="1254"/>
      <c r="R237" s="752" t="s">
        <v>1027</v>
      </c>
      <c r="S237" s="571" t="s">
        <v>994</v>
      </c>
      <c r="U237" s="1273" t="s">
        <v>906</v>
      </c>
      <c r="V237" s="1273"/>
      <c r="W237" s="1273"/>
      <c r="X237" s="1273"/>
      <c r="Y237" s="1273"/>
      <c r="Z237" s="1273"/>
      <c r="AA237" s="1273"/>
      <c r="AB237" s="1273"/>
      <c r="AC237" s="622" t="s">
        <v>552</v>
      </c>
      <c r="AD237" s="623" t="s">
        <v>893</v>
      </c>
      <c r="AE237" s="1275" t="s">
        <v>550</v>
      </c>
      <c r="AF237" s="1276"/>
      <c r="AG237" s="1274" t="s">
        <v>905</v>
      </c>
      <c r="AH237" s="1274"/>
      <c r="AI237" s="1254" t="s">
        <v>551</v>
      </c>
      <c r="AJ237" s="1254"/>
      <c r="AK237" s="752" t="s">
        <v>1027</v>
      </c>
    </row>
    <row r="238" spans="1:37" ht="45" customHeight="1" x14ac:dyDescent="0.2">
      <c r="B238" s="1255" t="e">
        <f>VLOOKUP(J238,ID_archer_cible,5,FALSE)&amp;"    "&amp;VLOOKUP(J238,ID_archer_cible,6,FALSE)</f>
        <v>#N/A</v>
      </c>
      <c r="C238" s="1255"/>
      <c r="D238" s="1255"/>
      <c r="E238" s="1255"/>
      <c r="F238" s="1255"/>
      <c r="G238" s="1255"/>
      <c r="H238" s="1255"/>
      <c r="I238" s="1255"/>
      <c r="J238" s="624" t="str">
        <f>P230&amp;"A"</f>
        <v>8A</v>
      </c>
      <c r="K238" s="574" t="e">
        <f>VLOOKUP(J238,ID_archer_cible,9,FALSE)</f>
        <v>#N/A</v>
      </c>
      <c r="L238" s="1256" t="e">
        <f>VLOOKUP(J238,ID_archer_cible,8,FALSE)</f>
        <v>#N/A</v>
      </c>
      <c r="M238" s="1257"/>
      <c r="N238" s="1260" t="e">
        <f>VLOOKUP(J238,ID_archer_cible,7,FALSE)</f>
        <v>#N/A</v>
      </c>
      <c r="O238" s="1261"/>
      <c r="P238" s="828" t="e">
        <f>VLOOKUP(J238,ID_archer_cible,10,FALSE)</f>
        <v>#N/A</v>
      </c>
      <c r="Q238" s="829" t="e">
        <f>IF(VLOOKUP(L238,N°LicPRO,3,FALSE)="oui","COACH","")</f>
        <v>#N/A</v>
      </c>
      <c r="R238" s="742" t="str">
        <f>IFERROR(VLOOKUP(L238,N°LicPRO,2,FALSE),"")</f>
        <v/>
      </c>
      <c r="S238" s="646" t="s">
        <v>995</v>
      </c>
      <c r="U238" s="1255" t="e">
        <f>VLOOKUP(AC238,ID_archer_cible,5,FALSE)&amp;"    "&amp;VLOOKUP(AC238,ID_archer_cible,6,FALSE)</f>
        <v>#N/A</v>
      </c>
      <c r="V238" s="1255"/>
      <c r="W238" s="1255"/>
      <c r="X238" s="1255"/>
      <c r="Y238" s="1255"/>
      <c r="Z238" s="1255"/>
      <c r="AA238" s="1255"/>
      <c r="AB238" s="1255"/>
      <c r="AC238" s="624" t="str">
        <f>AI230&amp;"A"</f>
        <v>8A</v>
      </c>
      <c r="AD238" s="574" t="e">
        <f>VLOOKUP(AC238,ID_archer_cible,9,FALSE)</f>
        <v>#N/A</v>
      </c>
      <c r="AE238" s="1256" t="e">
        <f>VLOOKUP(AC238,ID_archer_cible,8,FALSE)</f>
        <v>#N/A</v>
      </c>
      <c r="AF238" s="1257"/>
      <c r="AG238" s="1260" t="e">
        <f>VLOOKUP(AC238,ID_archer_cible,7,FALSE)</f>
        <v>#N/A</v>
      </c>
      <c r="AH238" s="1261"/>
      <c r="AI238" s="828" t="e">
        <f>VLOOKUP(AC238,ID_archer_cible,10,FALSE)</f>
        <v>#N/A</v>
      </c>
      <c r="AJ238" s="829" t="e">
        <f>IF(VLOOKUP(AE238,N°LicPRO,3,FALSE)="oui","COACH","")</f>
        <v>#N/A</v>
      </c>
      <c r="AK238" s="742" t="str">
        <f>IFERROR(VLOOKUP(AE238,N°LicPRO,2,FALSE),"")</f>
        <v/>
      </c>
    </row>
    <row r="239" spans="1:37" ht="45" customHeight="1" x14ac:dyDescent="0.2">
      <c r="B239" s="1255" t="e">
        <f>VLOOKUP(J239,ID_archer_cible,5,FALSE)&amp;"    "&amp;VLOOKUP(J239,ID_archer_cible,6,FALSE)</f>
        <v>#N/A</v>
      </c>
      <c r="C239" s="1255"/>
      <c r="D239" s="1255"/>
      <c r="E239" s="1255"/>
      <c r="F239" s="1255"/>
      <c r="G239" s="1255"/>
      <c r="H239" s="1255"/>
      <c r="I239" s="1255"/>
      <c r="J239" s="624" t="str">
        <f>P230&amp;"B"</f>
        <v>8B</v>
      </c>
      <c r="K239" s="574" t="e">
        <f>VLOOKUP(J239,ID_archer_cible,9,FALSE)</f>
        <v>#N/A</v>
      </c>
      <c r="L239" s="1256" t="e">
        <f>VLOOKUP(J239,ID_archer_cible,8,FALSE)</f>
        <v>#N/A</v>
      </c>
      <c r="M239" s="1257"/>
      <c r="N239" s="1260" t="e">
        <f>VLOOKUP(J239,ID_archer_cible,7,FALSE)</f>
        <v>#N/A</v>
      </c>
      <c r="O239" s="1261"/>
      <c r="P239" s="828" t="e">
        <f>VLOOKUP(J239,ID_archer_cible,10,FALSE)</f>
        <v>#N/A</v>
      </c>
      <c r="Q239" s="829" t="e">
        <f>IF(VLOOKUP(L239,N°LicPRO,3,FALSE)="oui","COACH","")</f>
        <v>#N/A</v>
      </c>
      <c r="R239" s="742" t="str">
        <f>IFERROR(VLOOKUP(L239,N°LicPRO,2,FALSE),"")</f>
        <v/>
      </c>
      <c r="S239" s="571" t="s">
        <v>994</v>
      </c>
      <c r="U239" s="1255" t="e">
        <f>VLOOKUP(AC239,ID_archer_cible,5,FALSE)&amp;"    "&amp;VLOOKUP(AC239,ID_archer_cible,6,FALSE)</f>
        <v>#N/A</v>
      </c>
      <c r="V239" s="1255"/>
      <c r="W239" s="1255"/>
      <c r="X239" s="1255"/>
      <c r="Y239" s="1255"/>
      <c r="Z239" s="1255"/>
      <c r="AA239" s="1255"/>
      <c r="AB239" s="1255"/>
      <c r="AC239" s="624" t="str">
        <f>AI230&amp;"B"</f>
        <v>8B</v>
      </c>
      <c r="AD239" s="574" t="e">
        <f>VLOOKUP(AC239,ID_archer_cible,9,FALSE)</f>
        <v>#N/A</v>
      </c>
      <c r="AE239" s="1256" t="e">
        <f>VLOOKUP(AC239,ID_archer_cible,8,FALSE)</f>
        <v>#N/A</v>
      </c>
      <c r="AF239" s="1257"/>
      <c r="AG239" s="1260" t="e">
        <f>VLOOKUP(AC239,ID_archer_cible,7,FALSE)</f>
        <v>#N/A</v>
      </c>
      <c r="AH239" s="1261"/>
      <c r="AI239" s="828" t="e">
        <f>VLOOKUP(AC239,ID_archer_cible,10,FALSE)</f>
        <v>#N/A</v>
      </c>
      <c r="AJ239" s="829" t="e">
        <f>IF(VLOOKUP(AE239,N°LicPRO,3,FALSE)="oui","COACH","")</f>
        <v>#N/A</v>
      </c>
      <c r="AK239" s="742" t="str">
        <f>IFERROR(VLOOKUP(AE239,N°LicPRO,2,FALSE),"")</f>
        <v/>
      </c>
    </row>
    <row r="240" spans="1:37" ht="45" customHeight="1" x14ac:dyDescent="0.2">
      <c r="B240" s="1255" t="e">
        <f>VLOOKUP(J240,ID_archer_cible,5,FALSE)&amp;"    "&amp;VLOOKUP(J240,ID_archer_cible,6,FALSE)</f>
        <v>#N/A</v>
      </c>
      <c r="C240" s="1255"/>
      <c r="D240" s="1255"/>
      <c r="E240" s="1255"/>
      <c r="F240" s="1255"/>
      <c r="G240" s="1255"/>
      <c r="H240" s="1255"/>
      <c r="I240" s="1255"/>
      <c r="J240" s="624" t="str">
        <f>P230&amp;"C"</f>
        <v>8C</v>
      </c>
      <c r="K240" s="574" t="e">
        <f>VLOOKUP(J240,ID_archer_cible,9,FALSE)</f>
        <v>#N/A</v>
      </c>
      <c r="L240" s="1256" t="e">
        <f>VLOOKUP(J240,ID_archer_cible,8,FALSE)</f>
        <v>#N/A</v>
      </c>
      <c r="M240" s="1257"/>
      <c r="N240" s="1260" t="e">
        <f>VLOOKUP(J240,ID_archer_cible,7,FALSE)</f>
        <v>#N/A</v>
      </c>
      <c r="O240" s="1261"/>
      <c r="P240" s="828" t="e">
        <f>VLOOKUP(J240,ID_archer_cible,10,FALSE)</f>
        <v>#N/A</v>
      </c>
      <c r="Q240" s="829" t="e">
        <f>IF(VLOOKUP(L240,N°LicPRO,3,FALSE)="oui","COACH","")</f>
        <v>#N/A</v>
      </c>
      <c r="R240" s="742" t="str">
        <f>IFERROR(VLOOKUP(L240,N°LicPRO,2,FALSE),"")</f>
        <v/>
      </c>
      <c r="S240" s="571" t="s">
        <v>994</v>
      </c>
      <c r="U240" s="1255" t="e">
        <f>VLOOKUP(AC240,ID_archer_cible,5,FALSE)&amp;"    "&amp;VLOOKUP(AC240,ID_archer_cible,6,FALSE)</f>
        <v>#N/A</v>
      </c>
      <c r="V240" s="1255"/>
      <c r="W240" s="1255"/>
      <c r="X240" s="1255"/>
      <c r="Y240" s="1255"/>
      <c r="Z240" s="1255"/>
      <c r="AA240" s="1255"/>
      <c r="AB240" s="1255"/>
      <c r="AC240" s="624" t="str">
        <f>AI230&amp;"C"</f>
        <v>8C</v>
      </c>
      <c r="AD240" s="574" t="e">
        <f>VLOOKUP(AC240,ID_archer_cible,9,FALSE)</f>
        <v>#N/A</v>
      </c>
      <c r="AE240" s="1256" t="e">
        <f>VLOOKUP(AC240,ID_archer_cible,8,FALSE)</f>
        <v>#N/A</v>
      </c>
      <c r="AF240" s="1257"/>
      <c r="AG240" s="1260" t="e">
        <f>VLOOKUP(AC240,ID_archer_cible,7,FALSE)</f>
        <v>#N/A</v>
      </c>
      <c r="AH240" s="1261"/>
      <c r="AI240" s="828" t="e">
        <f>VLOOKUP(AC240,ID_archer_cible,10,FALSE)</f>
        <v>#N/A</v>
      </c>
      <c r="AJ240" s="829" t="e">
        <f>IF(VLOOKUP(AE240,N°LicPRO,3,FALSE)="oui","COACH","")</f>
        <v>#N/A</v>
      </c>
      <c r="AK240" s="742" t="str">
        <f>IFERROR(VLOOKUP(AE240,N°LicPRO,2,FALSE),"")</f>
        <v/>
      </c>
    </row>
    <row r="241" spans="2:37" ht="45" customHeight="1" x14ac:dyDescent="0.2">
      <c r="B241" s="1255" t="e">
        <f>VLOOKUP(J241,ID_archer_cible,5,FALSE)&amp;"    "&amp;VLOOKUP(J241,ID_archer_cible,6,FALSE)</f>
        <v>#N/A</v>
      </c>
      <c r="C241" s="1255"/>
      <c r="D241" s="1255"/>
      <c r="E241" s="1255"/>
      <c r="F241" s="1255"/>
      <c r="G241" s="1255"/>
      <c r="H241" s="1255"/>
      <c r="I241" s="1255"/>
      <c r="J241" s="624" t="str">
        <f>P230&amp;"D"</f>
        <v>8D</v>
      </c>
      <c r="K241" s="574" t="e">
        <f>VLOOKUP(J241,ID_archer_cible,9,FALSE)</f>
        <v>#N/A</v>
      </c>
      <c r="L241" s="1256" t="e">
        <f>VLOOKUP(J241,ID_archer_cible,8,FALSE)</f>
        <v>#N/A</v>
      </c>
      <c r="M241" s="1257"/>
      <c r="N241" s="1260" t="e">
        <f>VLOOKUP(J241,ID_archer_cible,7,FALSE)</f>
        <v>#N/A</v>
      </c>
      <c r="O241" s="1261"/>
      <c r="P241" s="828" t="e">
        <f>VLOOKUP(J241,ID_archer_cible,10,FALSE)</f>
        <v>#N/A</v>
      </c>
      <c r="Q241" s="829" t="e">
        <f>IF(VLOOKUP(L241,N°LicPRO,3,FALSE)="oui","COACH","")</f>
        <v>#N/A</v>
      </c>
      <c r="R241" s="742" t="str">
        <f>IFERROR(VLOOKUP(L241,N°LicPRO,2,FALSE),"")</f>
        <v/>
      </c>
      <c r="S241" s="646" t="s">
        <v>995</v>
      </c>
      <c r="U241" s="1255" t="e">
        <f>VLOOKUP(AC241,ID_archer_cible,5,FALSE)&amp;"    "&amp;VLOOKUP(AC241,ID_archer_cible,6,FALSE)</f>
        <v>#N/A</v>
      </c>
      <c r="V241" s="1255"/>
      <c r="W241" s="1255"/>
      <c r="X241" s="1255"/>
      <c r="Y241" s="1255"/>
      <c r="Z241" s="1255"/>
      <c r="AA241" s="1255"/>
      <c r="AB241" s="1255"/>
      <c r="AC241" s="624" t="str">
        <f>AI230&amp;"D"</f>
        <v>8D</v>
      </c>
      <c r="AD241" s="574" t="e">
        <f>VLOOKUP(AC241,ID_archer_cible,9,FALSE)</f>
        <v>#N/A</v>
      </c>
      <c r="AE241" s="1256" t="e">
        <f>VLOOKUP(AC241,ID_archer_cible,8,FALSE)</f>
        <v>#N/A</v>
      </c>
      <c r="AF241" s="1257"/>
      <c r="AG241" s="1260" t="e">
        <f>VLOOKUP(AC241,ID_archer_cible,7,FALSE)</f>
        <v>#N/A</v>
      </c>
      <c r="AH241" s="1261"/>
      <c r="AI241" s="828" t="e">
        <f>VLOOKUP(AC241,ID_archer_cible,10,FALSE)</f>
        <v>#N/A</v>
      </c>
      <c r="AJ241" s="829" t="e">
        <f>IF(VLOOKUP(AE241,N°LicPRO,3,FALSE)="oui","COACH","")</f>
        <v>#N/A</v>
      </c>
      <c r="AK241" s="742" t="str">
        <f>IFERROR(VLOOKUP(AE241,N°LicPRO,2,FALSE),"")</f>
        <v/>
      </c>
    </row>
    <row r="242" spans="2:37" ht="15" customHeight="1" x14ac:dyDescent="0.2">
      <c r="S242" s="571" t="s">
        <v>994</v>
      </c>
    </row>
    <row r="243" spans="2:37" ht="15" customHeight="1" x14ac:dyDescent="0.2">
      <c r="B243" s="508" t="s">
        <v>975</v>
      </c>
      <c r="S243" s="571" t="s">
        <v>994</v>
      </c>
      <c r="U243" s="508" t="s">
        <v>975</v>
      </c>
    </row>
    <row r="244" spans="2:37" ht="15" customHeight="1" x14ac:dyDescent="0.2">
      <c r="B244" s="1259" t="s">
        <v>974</v>
      </c>
      <c r="C244" s="1259"/>
      <c r="D244" s="1259"/>
      <c r="E244" s="1259"/>
      <c r="F244" s="1199" t="str">
        <f>Info_TirQ</f>
        <v>J2 8:30-9:00 Ent. 9:00-10:30 Tirs Qual.</v>
      </c>
      <c r="G244" s="1199"/>
      <c r="H244" s="1199"/>
      <c r="I244" s="1199"/>
      <c r="J244" s="1199"/>
      <c r="K244" s="1258" t="s">
        <v>978</v>
      </c>
      <c r="L244" s="1258"/>
      <c r="M244" s="1258"/>
      <c r="N244" s="1258"/>
      <c r="O244" s="1258"/>
      <c r="S244" s="646" t="s">
        <v>995</v>
      </c>
      <c r="U244" s="1259" t="s">
        <v>974</v>
      </c>
      <c r="V244" s="1259"/>
      <c r="W244" s="1259"/>
      <c r="X244" s="1259"/>
      <c r="Y244" s="1199" t="str">
        <f>Info_TirQ</f>
        <v>J2 8:30-9:00 Ent. 9:00-10:30 Tirs Qual.</v>
      </c>
      <c r="Z244" s="1199"/>
      <c r="AA244" s="1199"/>
      <c r="AB244" s="1199"/>
      <c r="AC244" s="1199"/>
      <c r="AD244" s="1258" t="s">
        <v>978</v>
      </c>
      <c r="AE244" s="1258"/>
      <c r="AF244" s="1258"/>
      <c r="AG244" s="1258"/>
      <c r="AH244" s="1258"/>
    </row>
    <row r="245" spans="2:37" ht="15" customHeight="1" x14ac:dyDescent="0.2">
      <c r="B245" s="1259" t="s">
        <v>484</v>
      </c>
      <c r="C245" s="1259"/>
      <c r="D245" s="1259"/>
      <c r="E245" s="1259"/>
      <c r="F245" s="1199" t="str">
        <f>Info_D1</f>
        <v>J2 13:30-14:20  1er DUEL</v>
      </c>
      <c r="G245" s="1199"/>
      <c r="H245" s="1199"/>
      <c r="I245" s="1199"/>
      <c r="J245" s="1199"/>
      <c r="K245" s="1258"/>
      <c r="L245" s="1258"/>
      <c r="M245" s="1258"/>
      <c r="N245" s="1258"/>
      <c r="O245" s="1258"/>
      <c r="S245" s="571" t="s">
        <v>994</v>
      </c>
      <c r="U245" s="1259" t="s">
        <v>484</v>
      </c>
      <c r="V245" s="1259"/>
      <c r="W245" s="1259"/>
      <c r="X245" s="1259"/>
      <c r="Y245" s="1199" t="str">
        <f>Info_D1</f>
        <v>J2 13:30-14:20  1er DUEL</v>
      </c>
      <c r="Z245" s="1199"/>
      <c r="AA245" s="1199"/>
      <c r="AB245" s="1199"/>
      <c r="AC245" s="1199"/>
      <c r="AD245" s="1258"/>
      <c r="AE245" s="1258"/>
      <c r="AF245" s="1258"/>
      <c r="AG245" s="1258"/>
      <c r="AH245" s="1258"/>
    </row>
    <row r="246" spans="2:37" ht="15" customHeight="1" x14ac:dyDescent="0.2">
      <c r="B246" s="1259" t="s">
        <v>972</v>
      </c>
      <c r="C246" s="1259"/>
      <c r="D246" s="1259"/>
      <c r="E246" s="1259"/>
      <c r="F246" s="1199" t="str">
        <f>Info_D2</f>
        <v>J2 14:30-15:20 2ème DUEL</v>
      </c>
      <c r="G246" s="1199"/>
      <c r="H246" s="1199"/>
      <c r="I246" s="1199"/>
      <c r="J246" s="1199"/>
      <c r="K246" s="1258"/>
      <c r="L246" s="1258"/>
      <c r="M246" s="1258"/>
      <c r="N246" s="1258"/>
      <c r="O246" s="1258"/>
      <c r="S246" s="571" t="s">
        <v>994</v>
      </c>
      <c r="U246" s="1259" t="s">
        <v>972</v>
      </c>
      <c r="V246" s="1259"/>
      <c r="W246" s="1259"/>
      <c r="X246" s="1259"/>
      <c r="Y246" s="1199" t="str">
        <f>Info_D2</f>
        <v>J2 14:30-15:20 2ème DUEL</v>
      </c>
      <c r="Z246" s="1199"/>
      <c r="AA246" s="1199"/>
      <c r="AB246" s="1199"/>
      <c r="AC246" s="1199"/>
      <c r="AD246" s="1258"/>
      <c r="AE246" s="1258"/>
      <c r="AF246" s="1258"/>
      <c r="AG246" s="1258"/>
      <c r="AH246" s="1258"/>
    </row>
    <row r="247" spans="2:37" ht="15" customHeight="1" x14ac:dyDescent="0.2">
      <c r="B247" s="1259" t="s">
        <v>973</v>
      </c>
      <c r="C247" s="1259"/>
      <c r="D247" s="1259"/>
      <c r="E247" s="1259"/>
      <c r="F247" s="1199" t="str">
        <f>Info_D3</f>
        <v>J3 10-10:50 Match pl. 5 à +  ETAB - EX</v>
      </c>
      <c r="G247" s="1199"/>
      <c r="H247" s="1199"/>
      <c r="I247" s="1199"/>
      <c r="J247" s="1199"/>
      <c r="K247" s="1258"/>
      <c r="L247" s="1258"/>
      <c r="M247" s="1258"/>
      <c r="N247" s="1258"/>
      <c r="O247" s="1258"/>
      <c r="S247" s="646" t="s">
        <v>995</v>
      </c>
      <c r="U247" s="1259" t="s">
        <v>973</v>
      </c>
      <c r="V247" s="1259"/>
      <c r="W247" s="1259"/>
      <c r="X247" s="1259"/>
      <c r="Y247" s="1199" t="str">
        <f>Info_D3</f>
        <v>J3 10-10:50 Match pl. 5 à +  ETAB - EX</v>
      </c>
      <c r="Z247" s="1199"/>
      <c r="AA247" s="1199"/>
      <c r="AB247" s="1199"/>
      <c r="AC247" s="1199"/>
      <c r="AD247" s="1258"/>
      <c r="AE247" s="1258"/>
      <c r="AF247" s="1258"/>
      <c r="AG247" s="1258"/>
      <c r="AH247" s="1258"/>
    </row>
    <row r="248" spans="2:37" ht="24.75" customHeight="1" x14ac:dyDescent="0.2">
      <c r="B248" s="626" t="s">
        <v>976</v>
      </c>
      <c r="S248" s="571" t="s">
        <v>994</v>
      </c>
      <c r="U248" s="626" t="s">
        <v>976</v>
      </c>
    </row>
    <row r="249" spans="2:37" ht="134.25" customHeight="1" x14ac:dyDescent="0.2">
      <c r="B249"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C249" s="1264"/>
      <c r="D249" s="1264"/>
      <c r="E249" s="1264"/>
      <c r="F249" s="1264"/>
      <c r="G249" s="1264"/>
      <c r="H249" s="1264"/>
      <c r="I249" s="1264"/>
      <c r="J249" s="1264"/>
      <c r="K249" s="1264"/>
      <c r="L249" s="1264"/>
      <c r="M249" s="1264"/>
      <c r="N249" s="1264"/>
      <c r="O249" s="1264"/>
      <c r="P249" s="1265"/>
      <c r="S249" s="571" t="s">
        <v>994</v>
      </c>
      <c r="U249"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V249" s="1264"/>
      <c r="W249" s="1264"/>
      <c r="X249" s="1264"/>
      <c r="Y249" s="1264"/>
      <c r="Z249" s="1264"/>
      <c r="AA249" s="1264"/>
      <c r="AB249" s="1264"/>
      <c r="AC249" s="1264"/>
      <c r="AD249" s="1264"/>
      <c r="AE249" s="1264"/>
      <c r="AF249" s="1264"/>
      <c r="AG249" s="1264"/>
      <c r="AH249" s="1264"/>
      <c r="AI249" s="1265"/>
    </row>
    <row r="250" spans="2:37" ht="15" customHeight="1" x14ac:dyDescent="0.2">
      <c r="C250" s="508" t="s">
        <v>964</v>
      </c>
      <c r="K250" s="508" t="s">
        <v>965</v>
      </c>
      <c r="O250" s="508" t="s">
        <v>966</v>
      </c>
      <c r="S250" s="646" t="s">
        <v>995</v>
      </c>
      <c r="V250" s="508" t="s">
        <v>964</v>
      </c>
      <c r="AD250" s="508" t="s">
        <v>965</v>
      </c>
      <c r="AH250" s="508" t="s">
        <v>966</v>
      </c>
    </row>
    <row r="251" spans="2:37" ht="15" customHeight="1" x14ac:dyDescent="0.2">
      <c r="S251" s="571" t="s">
        <v>994</v>
      </c>
    </row>
    <row r="252" spans="2:37" ht="15" customHeight="1" x14ac:dyDescent="0.2">
      <c r="S252" s="571" t="s">
        <v>994</v>
      </c>
    </row>
    <row r="253" spans="2:37" ht="15" customHeight="1" x14ac:dyDescent="0.2">
      <c r="S253" s="646" t="s">
        <v>995</v>
      </c>
    </row>
    <row r="254" spans="2:37" ht="15" customHeight="1" x14ac:dyDescent="0.2">
      <c r="S254" s="571" t="s">
        <v>994</v>
      </c>
    </row>
    <row r="255" spans="2:37" ht="15" customHeight="1" x14ac:dyDescent="0.2">
      <c r="S255" s="571" t="s">
        <v>994</v>
      </c>
    </row>
    <row r="256" spans="2:37" ht="21.75" x14ac:dyDescent="0.2">
      <c r="S256" s="646" t="s">
        <v>995</v>
      </c>
    </row>
    <row r="257" spans="1:37" x14ac:dyDescent="0.2">
      <c r="S257" s="571" t="s">
        <v>994</v>
      </c>
    </row>
    <row r="258" spans="1:37" ht="30" x14ac:dyDescent="0.2">
      <c r="A258" s="1262" t="str">
        <f>Championnat</f>
        <v>Championnat de France de Tir à l'ARC</v>
      </c>
      <c r="B258" s="1262"/>
      <c r="C258" s="1262"/>
      <c r="D258" s="1262"/>
      <c r="E258" s="1262"/>
      <c r="F258" s="1262"/>
      <c r="G258" s="1262"/>
      <c r="H258" s="1262"/>
      <c r="I258" s="1262"/>
      <c r="J258" s="1262"/>
      <c r="K258" s="1262"/>
      <c r="L258" s="1262"/>
      <c r="M258" s="1262"/>
      <c r="N258" s="1262"/>
      <c r="O258" s="1262"/>
      <c r="P258" s="1262"/>
      <c r="Q258" s="1262"/>
      <c r="R258" s="1262"/>
      <c r="S258" s="571" t="s">
        <v>994</v>
      </c>
      <c r="T258" s="1262" t="str">
        <f>Championnat</f>
        <v>Championnat de France de Tir à l'ARC</v>
      </c>
      <c r="U258" s="1262"/>
      <c r="V258" s="1262"/>
      <c r="W258" s="1262"/>
      <c r="X258" s="1262"/>
      <c r="Y258" s="1262"/>
      <c r="Z258" s="1262"/>
      <c r="AA258" s="1262"/>
      <c r="AB258" s="1262"/>
      <c r="AC258" s="1262"/>
      <c r="AD258" s="1262"/>
      <c r="AE258" s="1262"/>
      <c r="AF258" s="1262"/>
      <c r="AG258" s="1262"/>
      <c r="AH258" s="1262"/>
      <c r="AI258" s="1262"/>
      <c r="AJ258" s="1262"/>
      <c r="AK258" s="1262"/>
    </row>
    <row r="259" spans="1:37" ht="24.75" customHeight="1" x14ac:dyDescent="0.2">
      <c r="A259" s="1184" t="str">
        <f>LIEU&amp;" du "&amp;DATE</f>
        <v>L’Isle sur la Sorgue du 27 au 31 mars 2023</v>
      </c>
      <c r="B259" s="1184"/>
      <c r="C259" s="1184"/>
      <c r="D259" s="1184"/>
      <c r="E259" s="1184"/>
      <c r="F259" s="1184"/>
      <c r="G259" s="1184"/>
      <c r="H259" s="1184"/>
      <c r="I259" s="1184"/>
      <c r="J259" s="1184"/>
      <c r="K259" s="1184"/>
      <c r="L259" s="1184"/>
      <c r="M259" s="1184"/>
      <c r="N259" s="1184"/>
      <c r="O259" s="1184"/>
      <c r="P259" s="1184"/>
      <c r="Q259" s="1184"/>
      <c r="R259" s="1184"/>
      <c r="S259" s="646" t="s">
        <v>995</v>
      </c>
      <c r="T259" s="1184" t="str">
        <f>LIEU&amp;" du "&amp;DATE</f>
        <v>L’Isle sur la Sorgue du 27 au 31 mars 2023</v>
      </c>
      <c r="U259" s="1184"/>
      <c r="V259" s="1184"/>
      <c r="W259" s="1184"/>
      <c r="X259" s="1184"/>
      <c r="Y259" s="1184"/>
      <c r="Z259" s="1184"/>
      <c r="AA259" s="1184"/>
      <c r="AB259" s="1184"/>
      <c r="AC259" s="1184"/>
      <c r="AD259" s="1184"/>
      <c r="AE259" s="1184"/>
      <c r="AF259" s="1184"/>
      <c r="AG259" s="1184"/>
      <c r="AH259" s="1184"/>
      <c r="AI259" s="1184"/>
      <c r="AJ259" s="1184"/>
      <c r="AK259" s="1184"/>
    </row>
    <row r="260" spans="1:37" s="218" customFormat="1" ht="40.5" customHeight="1" x14ac:dyDescent="0.2">
      <c r="A260" s="1268" t="str">
        <f>CATEG_IMPORTEE</f>
        <v>Collèges Mixtes Etablissement</v>
      </c>
      <c r="B260" s="1268"/>
      <c r="C260" s="1268"/>
      <c r="D260" s="1268"/>
      <c r="E260" s="1268"/>
      <c r="F260" s="1268"/>
      <c r="G260" s="1268"/>
      <c r="H260" s="1268"/>
      <c r="I260" s="1268"/>
      <c r="J260" s="1268"/>
      <c r="K260" s="1268"/>
      <c r="L260" s="1268"/>
      <c r="M260" s="1268"/>
      <c r="N260" s="1268"/>
      <c r="O260" s="1268"/>
      <c r="P260" s="1268"/>
      <c r="Q260" s="1268"/>
      <c r="R260" s="1268"/>
      <c r="S260" s="571" t="s">
        <v>994</v>
      </c>
      <c r="T260" s="1268" t="str">
        <f>CATEG_IMPORTEE</f>
        <v>Collèges Mixtes Etablissement</v>
      </c>
      <c r="U260" s="1268"/>
      <c r="V260" s="1268"/>
      <c r="W260" s="1268"/>
      <c r="X260" s="1268"/>
      <c r="Y260" s="1268"/>
      <c r="Z260" s="1268"/>
      <c r="AA260" s="1268"/>
      <c r="AB260" s="1268"/>
      <c r="AC260" s="1268"/>
      <c r="AD260" s="1268"/>
      <c r="AE260" s="1268"/>
      <c r="AF260" s="1268"/>
      <c r="AG260" s="1268"/>
      <c r="AH260" s="1268"/>
      <c r="AI260" s="1268"/>
      <c r="AJ260" s="1268"/>
      <c r="AK260" s="1268"/>
    </row>
    <row r="261" spans="1:37" s="218" customFormat="1" ht="19.5" customHeight="1" x14ac:dyDescent="0.2">
      <c r="A261" s="625"/>
      <c r="B261" s="625"/>
      <c r="C261" s="625"/>
      <c r="D261" s="625"/>
      <c r="E261" s="625"/>
      <c r="F261" s="625"/>
      <c r="G261" s="625"/>
      <c r="H261" s="625"/>
      <c r="I261" s="625"/>
      <c r="J261" s="625"/>
      <c r="K261" s="625"/>
      <c r="L261" s="625"/>
      <c r="M261" s="625"/>
      <c r="N261" s="625"/>
      <c r="O261" s="625"/>
      <c r="P261" s="625"/>
      <c r="Q261" s="625"/>
      <c r="R261" s="625"/>
      <c r="S261" s="571" t="s">
        <v>994</v>
      </c>
      <c r="T261" s="625"/>
      <c r="U261" s="625"/>
      <c r="V261" s="625"/>
      <c r="W261" s="625"/>
      <c r="X261" s="625"/>
      <c r="Y261" s="625"/>
      <c r="Z261" s="625"/>
      <c r="AA261" s="625"/>
      <c r="AB261" s="625"/>
      <c r="AC261" s="625"/>
      <c r="AD261" s="625"/>
      <c r="AE261" s="625"/>
      <c r="AF261" s="625"/>
      <c r="AG261" s="625"/>
      <c r="AH261" s="625"/>
      <c r="AI261" s="625"/>
      <c r="AJ261" s="625"/>
      <c r="AK261" s="625"/>
    </row>
    <row r="262" spans="1:37" ht="47.25" customHeight="1" x14ac:dyDescent="0.2">
      <c r="A262" s="620"/>
      <c r="B262" s="620"/>
      <c r="C262" s="620"/>
      <c r="D262" s="620"/>
      <c r="E262" s="620"/>
      <c r="F262" s="620"/>
      <c r="G262" s="620"/>
      <c r="H262" s="620"/>
      <c r="I262" s="620"/>
      <c r="J262" s="620"/>
      <c r="K262" s="620"/>
      <c r="L262" s="620"/>
      <c r="M262" s="620"/>
      <c r="N262" s="1072" t="s">
        <v>628</v>
      </c>
      <c r="O262" s="1073"/>
      <c r="P262" s="1271">
        <f>P230+1</f>
        <v>9</v>
      </c>
      <c r="Q262" s="1271"/>
      <c r="R262" s="1271"/>
      <c r="S262" s="646" t="s">
        <v>995</v>
      </c>
      <c r="T262" s="620"/>
      <c r="U262" s="620"/>
      <c r="V262" s="620"/>
      <c r="W262" s="620"/>
      <c r="X262" s="620"/>
      <c r="Y262" s="620"/>
      <c r="Z262" s="620"/>
      <c r="AA262" s="620"/>
      <c r="AB262" s="620"/>
      <c r="AC262" s="620"/>
      <c r="AD262" s="620"/>
      <c r="AE262" s="620"/>
      <c r="AF262" s="620"/>
      <c r="AG262" s="1072" t="s">
        <v>628</v>
      </c>
      <c r="AH262" s="1073"/>
      <c r="AI262" s="1271">
        <f>AI230+1</f>
        <v>9</v>
      </c>
      <c r="AJ262" s="1271"/>
      <c r="AK262" s="1271"/>
    </row>
    <row r="263" spans="1:37" ht="36.75" customHeight="1" x14ac:dyDescent="0.2">
      <c r="A263" s="1272" t="e">
        <f>VLOOKUP(J270,ID_archer_cible,2,FALSE)</f>
        <v>#N/A</v>
      </c>
      <c r="B263" s="1272"/>
      <c r="C263" s="1272"/>
      <c r="D263" s="1272"/>
      <c r="E263" s="1272"/>
      <c r="F263" s="1272"/>
      <c r="G263" s="1272"/>
      <c r="H263" s="1272"/>
      <c r="I263" s="1272"/>
      <c r="J263" s="1272"/>
      <c r="K263" s="1272"/>
      <c r="L263" s="1272"/>
      <c r="M263" s="1272"/>
      <c r="N263" s="1272"/>
      <c r="O263" s="1272"/>
      <c r="P263" s="1272"/>
      <c r="Q263" s="1272"/>
      <c r="R263" s="1272"/>
      <c r="S263" s="571" t="s">
        <v>994</v>
      </c>
      <c r="T263" s="1272" t="e">
        <f>VLOOKUP(AC270,ID_archer_cible,2,FALSE)</f>
        <v>#N/A</v>
      </c>
      <c r="U263" s="1272"/>
      <c r="V263" s="1272"/>
      <c r="W263" s="1272"/>
      <c r="X263" s="1272"/>
      <c r="Y263" s="1272"/>
      <c r="Z263" s="1272"/>
      <c r="AA263" s="1272"/>
      <c r="AB263" s="1272"/>
      <c r="AC263" s="1272"/>
      <c r="AD263" s="1272"/>
      <c r="AE263" s="1272"/>
      <c r="AF263" s="1272"/>
      <c r="AG263" s="1272"/>
      <c r="AH263" s="1272"/>
      <c r="AI263" s="1272"/>
      <c r="AJ263" s="1272"/>
      <c r="AK263" s="1272"/>
    </row>
    <row r="264" spans="1:37" ht="21.75" customHeight="1" x14ac:dyDescent="0.2">
      <c r="I264" s="621"/>
      <c r="J264" s="621"/>
      <c r="K264" s="621"/>
      <c r="L264" s="621"/>
      <c r="M264" s="621"/>
      <c r="N264" s="621"/>
      <c r="P264" s="619"/>
      <c r="Q264" s="619"/>
      <c r="R264" s="619"/>
      <c r="S264" s="571" t="s">
        <v>994</v>
      </c>
      <c r="AB264" s="621"/>
      <c r="AC264" s="621"/>
      <c r="AD264" s="621"/>
      <c r="AE264" s="621"/>
      <c r="AF264" s="621"/>
      <c r="AG264" s="621"/>
      <c r="AI264" s="619"/>
      <c r="AJ264" s="619"/>
      <c r="AK264" s="619"/>
    </row>
    <row r="265" spans="1:37" ht="17.25" customHeight="1" x14ac:dyDescent="0.2">
      <c r="A265" s="1125"/>
      <c r="B265" s="1125"/>
      <c r="C265" s="1125"/>
      <c r="D265" s="1125"/>
      <c r="E265" s="1125"/>
      <c r="F265" s="1125"/>
      <c r="G265" s="1125"/>
      <c r="H265" s="1125"/>
      <c r="I265" s="1125"/>
      <c r="J265" s="1125"/>
      <c r="K265" s="1125"/>
      <c r="L265" s="1125" t="s">
        <v>374</v>
      </c>
      <c r="M265" s="1125"/>
      <c r="N265" s="1125"/>
      <c r="O265" s="1125"/>
      <c r="P265" s="1125"/>
      <c r="Q265" s="1125"/>
      <c r="R265" s="1125"/>
      <c r="S265" s="646" t="s">
        <v>995</v>
      </c>
      <c r="T265" s="1125"/>
      <c r="U265" s="1125"/>
      <c r="V265" s="1125"/>
      <c r="W265" s="1125"/>
      <c r="X265" s="1125"/>
      <c r="Y265" s="1125"/>
      <c r="Z265" s="1125"/>
      <c r="AA265" s="1125"/>
      <c r="AB265" s="1125"/>
      <c r="AC265" s="1125"/>
      <c r="AD265" s="1125"/>
      <c r="AE265" s="1125" t="s">
        <v>374</v>
      </c>
      <c r="AF265" s="1125"/>
      <c r="AG265" s="1125"/>
      <c r="AH265" s="1125"/>
      <c r="AI265" s="1125"/>
      <c r="AJ265" s="1125"/>
      <c r="AK265" s="1125"/>
    </row>
    <row r="266" spans="1:37" ht="32.25" customHeight="1" x14ac:dyDescent="0.2">
      <c r="A266" s="1269" t="e">
        <f>VLOOKUP(J270,ID_archer_cible,3,FALSE)</f>
        <v>#N/A</v>
      </c>
      <c r="B266" s="1269"/>
      <c r="C266" s="1269"/>
      <c r="D266" s="1269"/>
      <c r="E266" s="1269"/>
      <c r="F266" s="1269"/>
      <c r="G266" s="1269"/>
      <c r="H266" s="1269"/>
      <c r="I266" s="1269"/>
      <c r="J266" s="1269"/>
      <c r="K266" s="1269"/>
      <c r="L266" s="1270" t="e">
        <f>VLOOKUP(J270,ID_archer_cible,4,FALSE)</f>
        <v>#N/A</v>
      </c>
      <c r="M266" s="1270"/>
      <c r="N266" s="1270"/>
      <c r="O266" s="1270"/>
      <c r="P266" s="1270"/>
      <c r="Q266" s="1270"/>
      <c r="R266" s="1270"/>
      <c r="S266" s="571" t="s">
        <v>994</v>
      </c>
      <c r="T266" s="1269" t="e">
        <f>VLOOKUP(AC270,ID_archer_cible,3,FALSE)</f>
        <v>#N/A</v>
      </c>
      <c r="U266" s="1269"/>
      <c r="V266" s="1269"/>
      <c r="W266" s="1269"/>
      <c r="X266" s="1269"/>
      <c r="Y266" s="1269"/>
      <c r="Z266" s="1269"/>
      <c r="AA266" s="1269"/>
      <c r="AB266" s="1269"/>
      <c r="AC266" s="1269"/>
      <c r="AD266" s="1269"/>
      <c r="AE266" s="1270" t="e">
        <f>VLOOKUP(AC270,ID_archer_cible,4,FALSE)</f>
        <v>#N/A</v>
      </c>
      <c r="AF266" s="1270"/>
      <c r="AG266" s="1270"/>
      <c r="AH266" s="1270"/>
      <c r="AI266" s="1270"/>
      <c r="AJ266" s="1270"/>
      <c r="AK266" s="1270"/>
    </row>
    <row r="267" spans="1:37" ht="17.25" customHeight="1" x14ac:dyDescent="0.2">
      <c r="E267" s="584"/>
      <c r="F267" s="584"/>
      <c r="G267" s="584"/>
      <c r="H267" s="584"/>
      <c r="I267" s="618"/>
      <c r="J267" s="618"/>
      <c r="K267" s="618"/>
      <c r="L267" s="618"/>
      <c r="M267" s="618"/>
      <c r="N267" s="618"/>
      <c r="P267" s="1266" t="str">
        <f>IFERROR(IF(AND(R270="oui",R271="oui",R272="oui",R273="oui"),"PRO",""),"")</f>
        <v/>
      </c>
      <c r="Q267" s="1266"/>
      <c r="R267" s="1266"/>
      <c r="S267" s="571" t="s">
        <v>994</v>
      </c>
      <c r="X267" s="584"/>
      <c r="Y267" s="584"/>
      <c r="Z267" s="584"/>
      <c r="AA267" s="584"/>
      <c r="AB267" s="618"/>
      <c r="AC267" s="618"/>
      <c r="AD267" s="618"/>
      <c r="AE267" s="618"/>
      <c r="AF267" s="618"/>
      <c r="AG267" s="618"/>
      <c r="AI267" s="1266" t="str">
        <f>IFERROR(IF(AND(AK270="oui",AK271="oui",AK272="oui",AK273="oui"),"PRO",""),"")</f>
        <v/>
      </c>
      <c r="AJ267" s="1266"/>
      <c r="AK267" s="1266"/>
    </row>
    <row r="268" spans="1:37" ht="20.25" customHeight="1" x14ac:dyDescent="0.2">
      <c r="P268" s="1267"/>
      <c r="Q268" s="1267"/>
      <c r="R268" s="1267"/>
      <c r="S268" s="646" t="s">
        <v>995</v>
      </c>
      <c r="AI268" s="1267"/>
      <c r="AJ268" s="1267"/>
      <c r="AK268" s="1267"/>
    </row>
    <row r="269" spans="1:37" ht="25.5" customHeight="1" x14ac:dyDescent="0.2">
      <c r="B269" s="1273" t="s">
        <v>906</v>
      </c>
      <c r="C269" s="1273"/>
      <c r="D269" s="1273"/>
      <c r="E269" s="1273"/>
      <c r="F269" s="1273"/>
      <c r="G269" s="1273"/>
      <c r="H269" s="1273"/>
      <c r="I269" s="1273"/>
      <c r="J269" s="622" t="s">
        <v>552</v>
      </c>
      <c r="K269" s="623" t="s">
        <v>893</v>
      </c>
      <c r="L269" s="1275" t="s">
        <v>550</v>
      </c>
      <c r="M269" s="1276"/>
      <c r="N269" s="1274" t="s">
        <v>905</v>
      </c>
      <c r="O269" s="1274"/>
      <c r="P269" s="1254" t="s">
        <v>551</v>
      </c>
      <c r="Q269" s="1254"/>
      <c r="R269" s="752" t="s">
        <v>1027</v>
      </c>
      <c r="S269" s="571" t="s">
        <v>994</v>
      </c>
      <c r="U269" s="1273" t="s">
        <v>906</v>
      </c>
      <c r="V269" s="1273"/>
      <c r="W269" s="1273"/>
      <c r="X269" s="1273"/>
      <c r="Y269" s="1273"/>
      <c r="Z269" s="1273"/>
      <c r="AA269" s="1273"/>
      <c r="AB269" s="1273"/>
      <c r="AC269" s="622" t="s">
        <v>552</v>
      </c>
      <c r="AD269" s="623" t="s">
        <v>893</v>
      </c>
      <c r="AE269" s="1275" t="s">
        <v>550</v>
      </c>
      <c r="AF269" s="1276"/>
      <c r="AG269" s="1274" t="s">
        <v>905</v>
      </c>
      <c r="AH269" s="1274"/>
      <c r="AI269" s="1254" t="s">
        <v>551</v>
      </c>
      <c r="AJ269" s="1254"/>
      <c r="AK269" s="752" t="s">
        <v>1027</v>
      </c>
    </row>
    <row r="270" spans="1:37" ht="45" customHeight="1" x14ac:dyDescent="0.2">
      <c r="B270" s="1255" t="e">
        <f>VLOOKUP(J270,ID_archer_cible,5,FALSE)&amp;"    "&amp;VLOOKUP(J270,ID_archer_cible,6,FALSE)</f>
        <v>#N/A</v>
      </c>
      <c r="C270" s="1255"/>
      <c r="D270" s="1255"/>
      <c r="E270" s="1255"/>
      <c r="F270" s="1255"/>
      <c r="G270" s="1255"/>
      <c r="H270" s="1255"/>
      <c r="I270" s="1255"/>
      <c r="J270" s="624" t="str">
        <f>P262&amp;"A"</f>
        <v>9A</v>
      </c>
      <c r="K270" s="574" t="e">
        <f>VLOOKUP(J270,ID_archer_cible,9,FALSE)</f>
        <v>#N/A</v>
      </c>
      <c r="L270" s="1256" t="e">
        <f>VLOOKUP(J270,ID_archer_cible,8,FALSE)</f>
        <v>#N/A</v>
      </c>
      <c r="M270" s="1257"/>
      <c r="N270" s="1260" t="e">
        <f>VLOOKUP(J270,ID_archer_cible,7,FALSE)</f>
        <v>#N/A</v>
      </c>
      <c r="O270" s="1261"/>
      <c r="P270" s="828" t="e">
        <f>VLOOKUP(J270,ID_archer_cible,10,FALSE)</f>
        <v>#N/A</v>
      </c>
      <c r="Q270" s="829" t="e">
        <f>IF(VLOOKUP(L270,N°LicPRO,3,FALSE)="oui","COACH","")</f>
        <v>#N/A</v>
      </c>
      <c r="R270" s="742" t="str">
        <f>IFERROR(VLOOKUP(L270,N°LicPRO,2,FALSE),"")</f>
        <v/>
      </c>
      <c r="S270" s="571" t="s">
        <v>994</v>
      </c>
      <c r="U270" s="1255" t="e">
        <f>VLOOKUP(AC270,ID_archer_cible,5,FALSE)&amp;"    "&amp;VLOOKUP(AC270,ID_archer_cible,6,FALSE)</f>
        <v>#N/A</v>
      </c>
      <c r="V270" s="1255"/>
      <c r="W270" s="1255"/>
      <c r="X270" s="1255"/>
      <c r="Y270" s="1255"/>
      <c r="Z270" s="1255"/>
      <c r="AA270" s="1255"/>
      <c r="AB270" s="1255"/>
      <c r="AC270" s="624" t="str">
        <f>AI262&amp;"A"</f>
        <v>9A</v>
      </c>
      <c r="AD270" s="574" t="e">
        <f>VLOOKUP(AC270,ID_archer_cible,9,FALSE)</f>
        <v>#N/A</v>
      </c>
      <c r="AE270" s="1256" t="e">
        <f>VLOOKUP(AC270,ID_archer_cible,8,FALSE)</f>
        <v>#N/A</v>
      </c>
      <c r="AF270" s="1257"/>
      <c r="AG270" s="1260" t="e">
        <f>VLOOKUP(AC270,ID_archer_cible,7,FALSE)</f>
        <v>#N/A</v>
      </c>
      <c r="AH270" s="1261"/>
      <c r="AI270" s="828" t="e">
        <f>VLOOKUP(AC270,ID_archer_cible,10,FALSE)</f>
        <v>#N/A</v>
      </c>
      <c r="AJ270" s="829" t="e">
        <f>IF(VLOOKUP(AE270,N°LicPRO,3,FALSE)="oui","COACH","")</f>
        <v>#N/A</v>
      </c>
      <c r="AK270" s="742" t="str">
        <f>IFERROR(VLOOKUP(AE270,N°LicPRO,2,FALSE),"")</f>
        <v/>
      </c>
    </row>
    <row r="271" spans="1:37" ht="45" customHeight="1" x14ac:dyDescent="0.2">
      <c r="B271" s="1255" t="e">
        <f>VLOOKUP(J271,ID_archer_cible,5,FALSE)&amp;"    "&amp;VLOOKUP(J271,ID_archer_cible,6,FALSE)</f>
        <v>#N/A</v>
      </c>
      <c r="C271" s="1255"/>
      <c r="D271" s="1255"/>
      <c r="E271" s="1255"/>
      <c r="F271" s="1255"/>
      <c r="G271" s="1255"/>
      <c r="H271" s="1255"/>
      <c r="I271" s="1255"/>
      <c r="J271" s="624" t="str">
        <f>P262&amp;"B"</f>
        <v>9B</v>
      </c>
      <c r="K271" s="574" t="e">
        <f>VLOOKUP(J271,ID_archer_cible,9,FALSE)</f>
        <v>#N/A</v>
      </c>
      <c r="L271" s="1256" t="e">
        <f>VLOOKUP(J271,ID_archer_cible,8,FALSE)</f>
        <v>#N/A</v>
      </c>
      <c r="M271" s="1257"/>
      <c r="N271" s="1260" t="e">
        <f>VLOOKUP(J271,ID_archer_cible,7,FALSE)</f>
        <v>#N/A</v>
      </c>
      <c r="O271" s="1261"/>
      <c r="P271" s="828" t="e">
        <f>VLOOKUP(J271,ID_archer_cible,10,FALSE)</f>
        <v>#N/A</v>
      </c>
      <c r="Q271" s="829" t="e">
        <f>IF(VLOOKUP(L271,N°LicPRO,3,FALSE)="oui","COACH","")</f>
        <v>#N/A</v>
      </c>
      <c r="R271" s="742" t="str">
        <f>IFERROR(VLOOKUP(L271,N°LicPRO,2,FALSE),"")</f>
        <v/>
      </c>
      <c r="S271" s="646" t="s">
        <v>995</v>
      </c>
      <c r="U271" s="1255" t="e">
        <f>VLOOKUP(AC271,ID_archer_cible,5,FALSE)&amp;"    "&amp;VLOOKUP(AC271,ID_archer_cible,6,FALSE)</f>
        <v>#N/A</v>
      </c>
      <c r="V271" s="1255"/>
      <c r="W271" s="1255"/>
      <c r="X271" s="1255"/>
      <c r="Y271" s="1255"/>
      <c r="Z271" s="1255"/>
      <c r="AA271" s="1255"/>
      <c r="AB271" s="1255"/>
      <c r="AC271" s="624" t="str">
        <f>AI262&amp;"B"</f>
        <v>9B</v>
      </c>
      <c r="AD271" s="574" t="e">
        <f>VLOOKUP(AC271,ID_archer_cible,9,FALSE)</f>
        <v>#N/A</v>
      </c>
      <c r="AE271" s="1256" t="e">
        <f>VLOOKUP(AC271,ID_archer_cible,8,FALSE)</f>
        <v>#N/A</v>
      </c>
      <c r="AF271" s="1257"/>
      <c r="AG271" s="1260" t="e">
        <f>VLOOKUP(AC271,ID_archer_cible,7,FALSE)</f>
        <v>#N/A</v>
      </c>
      <c r="AH271" s="1261"/>
      <c r="AI271" s="828" t="e">
        <f>VLOOKUP(AC271,ID_archer_cible,10,FALSE)</f>
        <v>#N/A</v>
      </c>
      <c r="AJ271" s="829" t="e">
        <f>IF(VLOOKUP(AE271,N°LicPRO,3,FALSE)="oui","COACH","")</f>
        <v>#N/A</v>
      </c>
      <c r="AK271" s="742" t="str">
        <f>IFERROR(VLOOKUP(AE271,N°LicPRO,2,FALSE),"")</f>
        <v/>
      </c>
    </row>
    <row r="272" spans="1:37" ht="45" customHeight="1" x14ac:dyDescent="0.2">
      <c r="B272" s="1255" t="e">
        <f>VLOOKUP(J272,ID_archer_cible,5,FALSE)&amp;"    "&amp;VLOOKUP(J272,ID_archer_cible,6,FALSE)</f>
        <v>#N/A</v>
      </c>
      <c r="C272" s="1255"/>
      <c r="D272" s="1255"/>
      <c r="E272" s="1255"/>
      <c r="F272" s="1255"/>
      <c r="G272" s="1255"/>
      <c r="H272" s="1255"/>
      <c r="I272" s="1255"/>
      <c r="J272" s="624" t="str">
        <f>P262&amp;"C"</f>
        <v>9C</v>
      </c>
      <c r="K272" s="574" t="e">
        <f>VLOOKUP(J272,ID_archer_cible,9,FALSE)</f>
        <v>#N/A</v>
      </c>
      <c r="L272" s="1256" t="e">
        <f>VLOOKUP(J272,ID_archer_cible,8,FALSE)</f>
        <v>#N/A</v>
      </c>
      <c r="M272" s="1257"/>
      <c r="N272" s="1260" t="e">
        <f>VLOOKUP(J272,ID_archer_cible,7,FALSE)</f>
        <v>#N/A</v>
      </c>
      <c r="O272" s="1261"/>
      <c r="P272" s="828" t="e">
        <f>VLOOKUP(J272,ID_archer_cible,10,FALSE)</f>
        <v>#N/A</v>
      </c>
      <c r="Q272" s="829" t="e">
        <f>IF(VLOOKUP(L272,N°LicPRO,3,FALSE)="oui","COACH","")</f>
        <v>#N/A</v>
      </c>
      <c r="R272" s="742" t="str">
        <f>IFERROR(VLOOKUP(L272,N°LicPRO,2,FALSE),"")</f>
        <v/>
      </c>
      <c r="S272" s="571" t="s">
        <v>994</v>
      </c>
      <c r="U272" s="1255" t="e">
        <f>VLOOKUP(AC272,ID_archer_cible,5,FALSE)&amp;"    "&amp;VLOOKUP(AC272,ID_archer_cible,6,FALSE)</f>
        <v>#N/A</v>
      </c>
      <c r="V272" s="1255"/>
      <c r="W272" s="1255"/>
      <c r="X272" s="1255"/>
      <c r="Y272" s="1255"/>
      <c r="Z272" s="1255"/>
      <c r="AA272" s="1255"/>
      <c r="AB272" s="1255"/>
      <c r="AC272" s="624" t="str">
        <f>AI262&amp;"C"</f>
        <v>9C</v>
      </c>
      <c r="AD272" s="574" t="e">
        <f>VLOOKUP(AC272,ID_archer_cible,9,FALSE)</f>
        <v>#N/A</v>
      </c>
      <c r="AE272" s="1256" t="e">
        <f>VLOOKUP(AC272,ID_archer_cible,8,FALSE)</f>
        <v>#N/A</v>
      </c>
      <c r="AF272" s="1257"/>
      <c r="AG272" s="1260" t="e">
        <f>VLOOKUP(AC272,ID_archer_cible,7,FALSE)</f>
        <v>#N/A</v>
      </c>
      <c r="AH272" s="1261"/>
      <c r="AI272" s="828" t="e">
        <f>VLOOKUP(AC272,ID_archer_cible,10,FALSE)</f>
        <v>#N/A</v>
      </c>
      <c r="AJ272" s="829" t="e">
        <f>IF(VLOOKUP(AE272,N°LicPRO,3,FALSE)="oui","COACH","")</f>
        <v>#N/A</v>
      </c>
      <c r="AK272" s="742" t="str">
        <f>IFERROR(VLOOKUP(AE272,N°LicPRO,2,FALSE),"")</f>
        <v/>
      </c>
    </row>
    <row r="273" spans="2:37" ht="45" customHeight="1" x14ac:dyDescent="0.2">
      <c r="B273" s="1255" t="e">
        <f>VLOOKUP(J273,ID_archer_cible,5,FALSE)&amp;"    "&amp;VLOOKUP(J273,ID_archer_cible,6,FALSE)</f>
        <v>#N/A</v>
      </c>
      <c r="C273" s="1255"/>
      <c r="D273" s="1255"/>
      <c r="E273" s="1255"/>
      <c r="F273" s="1255"/>
      <c r="G273" s="1255"/>
      <c r="H273" s="1255"/>
      <c r="I273" s="1255"/>
      <c r="J273" s="624" t="str">
        <f>P262&amp;"D"</f>
        <v>9D</v>
      </c>
      <c r="K273" s="574" t="e">
        <f>VLOOKUP(J273,ID_archer_cible,9,FALSE)</f>
        <v>#N/A</v>
      </c>
      <c r="L273" s="1256" t="e">
        <f>VLOOKUP(J273,ID_archer_cible,8,FALSE)</f>
        <v>#N/A</v>
      </c>
      <c r="M273" s="1257"/>
      <c r="N273" s="1260" t="e">
        <f>VLOOKUP(J273,ID_archer_cible,7,FALSE)</f>
        <v>#N/A</v>
      </c>
      <c r="O273" s="1261"/>
      <c r="P273" s="828" t="e">
        <f>VLOOKUP(J273,ID_archer_cible,10,FALSE)</f>
        <v>#N/A</v>
      </c>
      <c r="Q273" s="829" t="e">
        <f>IF(VLOOKUP(L273,N°LicPRO,3,FALSE)="oui","COACH","")</f>
        <v>#N/A</v>
      </c>
      <c r="R273" s="742" t="str">
        <f>IFERROR(VLOOKUP(L273,N°LicPRO,2,FALSE),"")</f>
        <v/>
      </c>
      <c r="S273" s="571" t="s">
        <v>994</v>
      </c>
      <c r="U273" s="1255" t="e">
        <f>VLOOKUP(AC273,ID_archer_cible,5,FALSE)&amp;"    "&amp;VLOOKUP(AC273,ID_archer_cible,6,FALSE)</f>
        <v>#N/A</v>
      </c>
      <c r="V273" s="1255"/>
      <c r="W273" s="1255"/>
      <c r="X273" s="1255"/>
      <c r="Y273" s="1255"/>
      <c r="Z273" s="1255"/>
      <c r="AA273" s="1255"/>
      <c r="AB273" s="1255"/>
      <c r="AC273" s="624" t="str">
        <f>AI262&amp;"D"</f>
        <v>9D</v>
      </c>
      <c r="AD273" s="574" t="e">
        <f>VLOOKUP(AC273,ID_archer_cible,9,FALSE)</f>
        <v>#N/A</v>
      </c>
      <c r="AE273" s="1256" t="e">
        <f>VLOOKUP(AC273,ID_archer_cible,8,FALSE)</f>
        <v>#N/A</v>
      </c>
      <c r="AF273" s="1257"/>
      <c r="AG273" s="1260" t="e">
        <f>VLOOKUP(AC273,ID_archer_cible,7,FALSE)</f>
        <v>#N/A</v>
      </c>
      <c r="AH273" s="1261"/>
      <c r="AI273" s="828" t="e">
        <f>VLOOKUP(AC273,ID_archer_cible,10,FALSE)</f>
        <v>#N/A</v>
      </c>
      <c r="AJ273" s="829" t="e">
        <f>IF(VLOOKUP(AE273,N°LicPRO,3,FALSE)="oui","COACH","")</f>
        <v>#N/A</v>
      </c>
      <c r="AK273" s="742" t="str">
        <f>IFERROR(VLOOKUP(AE273,N°LicPRO,2,FALSE),"")</f>
        <v/>
      </c>
    </row>
    <row r="274" spans="2:37" ht="15" customHeight="1" x14ac:dyDescent="0.2">
      <c r="S274" s="646" t="s">
        <v>995</v>
      </c>
    </row>
    <row r="275" spans="2:37" ht="15" customHeight="1" x14ac:dyDescent="0.2">
      <c r="B275" s="508" t="s">
        <v>975</v>
      </c>
      <c r="S275" s="571" t="s">
        <v>994</v>
      </c>
      <c r="U275" s="508" t="s">
        <v>975</v>
      </c>
    </row>
    <row r="276" spans="2:37" ht="15" customHeight="1" x14ac:dyDescent="0.2">
      <c r="B276" s="1259" t="s">
        <v>974</v>
      </c>
      <c r="C276" s="1259"/>
      <c r="D276" s="1259"/>
      <c r="E276" s="1259"/>
      <c r="F276" s="1199" t="str">
        <f>Info_TirQ</f>
        <v>J2 8:30-9:00 Ent. 9:00-10:30 Tirs Qual.</v>
      </c>
      <c r="G276" s="1199"/>
      <c r="H276" s="1199"/>
      <c r="I276" s="1199"/>
      <c r="J276" s="1199"/>
      <c r="K276" s="1258" t="s">
        <v>978</v>
      </c>
      <c r="L276" s="1258"/>
      <c r="M276" s="1258"/>
      <c r="N276" s="1258"/>
      <c r="O276" s="1258"/>
      <c r="S276" s="571" t="s">
        <v>994</v>
      </c>
      <c r="U276" s="1259" t="s">
        <v>974</v>
      </c>
      <c r="V276" s="1259"/>
      <c r="W276" s="1259"/>
      <c r="X276" s="1259"/>
      <c r="Y276" s="1199" t="str">
        <f>Info_TirQ</f>
        <v>J2 8:30-9:00 Ent. 9:00-10:30 Tirs Qual.</v>
      </c>
      <c r="Z276" s="1199"/>
      <c r="AA276" s="1199"/>
      <c r="AB276" s="1199"/>
      <c r="AC276" s="1199"/>
      <c r="AD276" s="1258" t="s">
        <v>978</v>
      </c>
      <c r="AE276" s="1258"/>
      <c r="AF276" s="1258"/>
      <c r="AG276" s="1258"/>
      <c r="AH276" s="1258"/>
    </row>
    <row r="277" spans="2:37" ht="15" customHeight="1" x14ac:dyDescent="0.2">
      <c r="B277" s="1259" t="s">
        <v>484</v>
      </c>
      <c r="C277" s="1259"/>
      <c r="D277" s="1259"/>
      <c r="E277" s="1259"/>
      <c r="F277" s="1199" t="str">
        <f>Info_D1</f>
        <v>J2 13:30-14:20  1er DUEL</v>
      </c>
      <c r="G277" s="1199"/>
      <c r="H277" s="1199"/>
      <c r="I277" s="1199"/>
      <c r="J277" s="1199"/>
      <c r="K277" s="1258"/>
      <c r="L277" s="1258"/>
      <c r="M277" s="1258"/>
      <c r="N277" s="1258"/>
      <c r="O277" s="1258"/>
      <c r="S277" s="646" t="s">
        <v>995</v>
      </c>
      <c r="U277" s="1259" t="s">
        <v>484</v>
      </c>
      <c r="V277" s="1259"/>
      <c r="W277" s="1259"/>
      <c r="X277" s="1259"/>
      <c r="Y277" s="1199" t="str">
        <f>Info_D1</f>
        <v>J2 13:30-14:20  1er DUEL</v>
      </c>
      <c r="Z277" s="1199"/>
      <c r="AA277" s="1199"/>
      <c r="AB277" s="1199"/>
      <c r="AC277" s="1199"/>
      <c r="AD277" s="1258"/>
      <c r="AE277" s="1258"/>
      <c r="AF277" s="1258"/>
      <c r="AG277" s="1258"/>
      <c r="AH277" s="1258"/>
    </row>
    <row r="278" spans="2:37" ht="15" customHeight="1" x14ac:dyDescent="0.2">
      <c r="B278" s="1259" t="s">
        <v>972</v>
      </c>
      <c r="C278" s="1259"/>
      <c r="D278" s="1259"/>
      <c r="E278" s="1259"/>
      <c r="F278" s="1199" t="str">
        <f>Info_D2</f>
        <v>J2 14:30-15:20 2ème DUEL</v>
      </c>
      <c r="G278" s="1199"/>
      <c r="H278" s="1199"/>
      <c r="I278" s="1199"/>
      <c r="J278" s="1199"/>
      <c r="K278" s="1258"/>
      <c r="L278" s="1258"/>
      <c r="M278" s="1258"/>
      <c r="N278" s="1258"/>
      <c r="O278" s="1258"/>
      <c r="S278" s="571" t="s">
        <v>994</v>
      </c>
      <c r="U278" s="1259" t="s">
        <v>972</v>
      </c>
      <c r="V278" s="1259"/>
      <c r="W278" s="1259"/>
      <c r="X278" s="1259"/>
      <c r="Y278" s="1199" t="str">
        <f>Info_D2</f>
        <v>J2 14:30-15:20 2ème DUEL</v>
      </c>
      <c r="Z278" s="1199"/>
      <c r="AA278" s="1199"/>
      <c r="AB278" s="1199"/>
      <c r="AC278" s="1199"/>
      <c r="AD278" s="1258"/>
      <c r="AE278" s="1258"/>
      <c r="AF278" s="1258"/>
      <c r="AG278" s="1258"/>
      <c r="AH278" s="1258"/>
    </row>
    <row r="279" spans="2:37" ht="15" customHeight="1" x14ac:dyDescent="0.2">
      <c r="B279" s="1259" t="s">
        <v>973</v>
      </c>
      <c r="C279" s="1259"/>
      <c r="D279" s="1259"/>
      <c r="E279" s="1259"/>
      <c r="F279" s="1199" t="str">
        <f>Info_D3</f>
        <v>J3 10-10:50 Match pl. 5 à +  ETAB - EX</v>
      </c>
      <c r="G279" s="1199"/>
      <c r="H279" s="1199"/>
      <c r="I279" s="1199"/>
      <c r="J279" s="1199"/>
      <c r="K279" s="1258"/>
      <c r="L279" s="1258"/>
      <c r="M279" s="1258"/>
      <c r="N279" s="1258"/>
      <c r="O279" s="1258"/>
      <c r="S279" s="571" t="s">
        <v>994</v>
      </c>
      <c r="U279" s="1259" t="s">
        <v>973</v>
      </c>
      <c r="V279" s="1259"/>
      <c r="W279" s="1259"/>
      <c r="X279" s="1259"/>
      <c r="Y279" s="1199" t="str">
        <f>Info_D3</f>
        <v>J3 10-10:50 Match pl. 5 à +  ETAB - EX</v>
      </c>
      <c r="Z279" s="1199"/>
      <c r="AA279" s="1199"/>
      <c r="AB279" s="1199"/>
      <c r="AC279" s="1199"/>
      <c r="AD279" s="1258"/>
      <c r="AE279" s="1258"/>
      <c r="AF279" s="1258"/>
      <c r="AG279" s="1258"/>
      <c r="AH279" s="1258"/>
    </row>
    <row r="280" spans="2:37" ht="24.75" customHeight="1" x14ac:dyDescent="0.2">
      <c r="B280" s="626" t="s">
        <v>976</v>
      </c>
      <c r="S280" s="646" t="s">
        <v>995</v>
      </c>
      <c r="U280" s="626" t="s">
        <v>976</v>
      </c>
    </row>
    <row r="281" spans="2:37" ht="134.25" customHeight="1" x14ac:dyDescent="0.2">
      <c r="B281"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C281" s="1264"/>
      <c r="D281" s="1264"/>
      <c r="E281" s="1264"/>
      <c r="F281" s="1264"/>
      <c r="G281" s="1264"/>
      <c r="H281" s="1264"/>
      <c r="I281" s="1264"/>
      <c r="J281" s="1264"/>
      <c r="K281" s="1264"/>
      <c r="L281" s="1264"/>
      <c r="M281" s="1264"/>
      <c r="N281" s="1264"/>
      <c r="O281" s="1264"/>
      <c r="P281" s="1265"/>
      <c r="S281" s="571" t="s">
        <v>994</v>
      </c>
      <c r="U281"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V281" s="1264"/>
      <c r="W281" s="1264"/>
      <c r="X281" s="1264"/>
      <c r="Y281" s="1264"/>
      <c r="Z281" s="1264"/>
      <c r="AA281" s="1264"/>
      <c r="AB281" s="1264"/>
      <c r="AC281" s="1264"/>
      <c r="AD281" s="1264"/>
      <c r="AE281" s="1264"/>
      <c r="AF281" s="1264"/>
      <c r="AG281" s="1264"/>
      <c r="AH281" s="1264"/>
      <c r="AI281" s="1265"/>
    </row>
    <row r="282" spans="2:37" ht="15" customHeight="1" x14ac:dyDescent="0.2">
      <c r="C282" s="508" t="s">
        <v>964</v>
      </c>
      <c r="K282" s="508" t="s">
        <v>965</v>
      </c>
      <c r="O282" s="508" t="s">
        <v>966</v>
      </c>
      <c r="S282" s="571" t="s">
        <v>994</v>
      </c>
      <c r="V282" s="508" t="s">
        <v>964</v>
      </c>
      <c r="AD282" s="508" t="s">
        <v>965</v>
      </c>
      <c r="AH282" s="508" t="s">
        <v>966</v>
      </c>
    </row>
    <row r="283" spans="2:37" ht="15" customHeight="1" x14ac:dyDescent="0.2">
      <c r="S283" s="646" t="s">
        <v>995</v>
      </c>
    </row>
    <row r="284" spans="2:37" ht="15" customHeight="1" x14ac:dyDescent="0.2">
      <c r="S284" s="571" t="s">
        <v>994</v>
      </c>
    </row>
    <row r="285" spans="2:37" ht="15" customHeight="1" x14ac:dyDescent="0.2">
      <c r="S285" s="571" t="s">
        <v>994</v>
      </c>
    </row>
    <row r="286" spans="2:37" ht="15" customHeight="1" x14ac:dyDescent="0.2">
      <c r="S286" s="646" t="s">
        <v>995</v>
      </c>
    </row>
    <row r="287" spans="2:37" ht="15" customHeight="1" x14ac:dyDescent="0.2">
      <c r="S287" s="571" t="s">
        <v>994</v>
      </c>
    </row>
    <row r="288" spans="2:37" x14ac:dyDescent="0.2">
      <c r="S288" s="571" t="s">
        <v>994</v>
      </c>
    </row>
    <row r="289" spans="1:37" ht="21.75" x14ac:dyDescent="0.2">
      <c r="S289" s="646" t="s">
        <v>995</v>
      </c>
    </row>
    <row r="290" spans="1:37" ht="30" x14ac:dyDescent="0.2">
      <c r="A290" s="1262" t="str">
        <f>Championnat</f>
        <v>Championnat de France de Tir à l'ARC</v>
      </c>
      <c r="B290" s="1262"/>
      <c r="C290" s="1262"/>
      <c r="D290" s="1262"/>
      <c r="E290" s="1262"/>
      <c r="F290" s="1262"/>
      <c r="G290" s="1262"/>
      <c r="H290" s="1262"/>
      <c r="I290" s="1262"/>
      <c r="J290" s="1262"/>
      <c r="K290" s="1262"/>
      <c r="L290" s="1262"/>
      <c r="M290" s="1262"/>
      <c r="N290" s="1262"/>
      <c r="O290" s="1262"/>
      <c r="P290" s="1262"/>
      <c r="Q290" s="1262"/>
      <c r="R290" s="1262"/>
      <c r="S290" s="571" t="s">
        <v>994</v>
      </c>
      <c r="T290" s="1262" t="str">
        <f>Championnat</f>
        <v>Championnat de France de Tir à l'ARC</v>
      </c>
      <c r="U290" s="1262"/>
      <c r="V290" s="1262"/>
      <c r="W290" s="1262"/>
      <c r="X290" s="1262"/>
      <c r="Y290" s="1262"/>
      <c r="Z290" s="1262"/>
      <c r="AA290" s="1262"/>
      <c r="AB290" s="1262"/>
      <c r="AC290" s="1262"/>
      <c r="AD290" s="1262"/>
      <c r="AE290" s="1262"/>
      <c r="AF290" s="1262"/>
      <c r="AG290" s="1262"/>
      <c r="AH290" s="1262"/>
      <c r="AI290" s="1262"/>
      <c r="AJ290" s="1262"/>
      <c r="AK290" s="1262"/>
    </row>
    <row r="291" spans="1:37" ht="24.75" customHeight="1" x14ac:dyDescent="0.2">
      <c r="A291" s="1184" t="str">
        <f>LIEU&amp;" du "&amp;DATE</f>
        <v>L’Isle sur la Sorgue du 27 au 31 mars 2023</v>
      </c>
      <c r="B291" s="1184"/>
      <c r="C291" s="1184"/>
      <c r="D291" s="1184"/>
      <c r="E291" s="1184"/>
      <c r="F291" s="1184"/>
      <c r="G291" s="1184"/>
      <c r="H291" s="1184"/>
      <c r="I291" s="1184"/>
      <c r="J291" s="1184"/>
      <c r="K291" s="1184"/>
      <c r="L291" s="1184"/>
      <c r="M291" s="1184"/>
      <c r="N291" s="1184"/>
      <c r="O291" s="1184"/>
      <c r="P291" s="1184"/>
      <c r="Q291" s="1184"/>
      <c r="R291" s="1184"/>
      <c r="S291" s="571" t="s">
        <v>994</v>
      </c>
      <c r="T291" s="1184" t="str">
        <f>LIEU&amp;" du "&amp;DATE</f>
        <v>L’Isle sur la Sorgue du 27 au 31 mars 2023</v>
      </c>
      <c r="U291" s="1184"/>
      <c r="V291" s="1184"/>
      <c r="W291" s="1184"/>
      <c r="X291" s="1184"/>
      <c r="Y291" s="1184"/>
      <c r="Z291" s="1184"/>
      <c r="AA291" s="1184"/>
      <c r="AB291" s="1184"/>
      <c r="AC291" s="1184"/>
      <c r="AD291" s="1184"/>
      <c r="AE291" s="1184"/>
      <c r="AF291" s="1184"/>
      <c r="AG291" s="1184"/>
      <c r="AH291" s="1184"/>
      <c r="AI291" s="1184"/>
      <c r="AJ291" s="1184"/>
      <c r="AK291" s="1184"/>
    </row>
    <row r="292" spans="1:37" s="218" customFormat="1" ht="40.5" customHeight="1" x14ac:dyDescent="0.2">
      <c r="A292" s="1268" t="str">
        <f>CATEG_IMPORTEE</f>
        <v>Collèges Mixtes Etablissement</v>
      </c>
      <c r="B292" s="1268"/>
      <c r="C292" s="1268"/>
      <c r="D292" s="1268"/>
      <c r="E292" s="1268"/>
      <c r="F292" s="1268"/>
      <c r="G292" s="1268"/>
      <c r="H292" s="1268"/>
      <c r="I292" s="1268"/>
      <c r="J292" s="1268"/>
      <c r="K292" s="1268"/>
      <c r="L292" s="1268"/>
      <c r="M292" s="1268"/>
      <c r="N292" s="1268"/>
      <c r="O292" s="1268"/>
      <c r="P292" s="1268"/>
      <c r="Q292" s="1268"/>
      <c r="R292" s="1268"/>
      <c r="S292" s="646" t="s">
        <v>995</v>
      </c>
      <c r="T292" s="1268" t="str">
        <f>CATEG_IMPORTEE</f>
        <v>Collèges Mixtes Etablissement</v>
      </c>
      <c r="U292" s="1268"/>
      <c r="V292" s="1268"/>
      <c r="W292" s="1268"/>
      <c r="X292" s="1268"/>
      <c r="Y292" s="1268"/>
      <c r="Z292" s="1268"/>
      <c r="AA292" s="1268"/>
      <c r="AB292" s="1268"/>
      <c r="AC292" s="1268"/>
      <c r="AD292" s="1268"/>
      <c r="AE292" s="1268"/>
      <c r="AF292" s="1268"/>
      <c r="AG292" s="1268"/>
      <c r="AH292" s="1268"/>
      <c r="AI292" s="1268"/>
      <c r="AJ292" s="1268"/>
      <c r="AK292" s="1268"/>
    </row>
    <row r="293" spans="1:37" s="218" customFormat="1" ht="19.5" customHeight="1" x14ac:dyDescent="0.2">
      <c r="A293" s="625"/>
      <c r="B293" s="625"/>
      <c r="C293" s="625"/>
      <c r="D293" s="625"/>
      <c r="E293" s="625"/>
      <c r="F293" s="625"/>
      <c r="G293" s="625"/>
      <c r="H293" s="625"/>
      <c r="I293" s="625"/>
      <c r="J293" s="625"/>
      <c r="K293" s="625"/>
      <c r="L293" s="625"/>
      <c r="M293" s="625"/>
      <c r="N293" s="625"/>
      <c r="O293" s="625"/>
      <c r="P293" s="625"/>
      <c r="Q293" s="625"/>
      <c r="R293" s="625"/>
      <c r="S293" s="571" t="s">
        <v>994</v>
      </c>
      <c r="T293" s="625"/>
      <c r="U293" s="625"/>
      <c r="V293" s="625"/>
      <c r="W293" s="625"/>
      <c r="X293" s="625"/>
      <c r="Y293" s="625"/>
      <c r="Z293" s="625"/>
      <c r="AA293" s="625"/>
      <c r="AB293" s="625"/>
      <c r="AC293" s="625"/>
      <c r="AD293" s="625"/>
      <c r="AE293" s="625"/>
      <c r="AF293" s="625"/>
      <c r="AG293" s="625"/>
      <c r="AH293" s="625"/>
      <c r="AI293" s="625"/>
      <c r="AJ293" s="625"/>
      <c r="AK293" s="625"/>
    </row>
    <row r="294" spans="1:37" ht="47.25" customHeight="1" x14ac:dyDescent="0.2">
      <c r="A294" s="620"/>
      <c r="B294" s="620"/>
      <c r="C294" s="620"/>
      <c r="D294" s="620"/>
      <c r="E294" s="620"/>
      <c r="F294" s="620"/>
      <c r="G294" s="620"/>
      <c r="H294" s="620"/>
      <c r="I294" s="620"/>
      <c r="J294" s="620"/>
      <c r="K294" s="620"/>
      <c r="L294" s="620"/>
      <c r="M294" s="620"/>
      <c r="N294" s="1072" t="s">
        <v>628</v>
      </c>
      <c r="O294" s="1073"/>
      <c r="P294" s="1271">
        <f>P262+1</f>
        <v>10</v>
      </c>
      <c r="Q294" s="1271"/>
      <c r="R294" s="1271"/>
      <c r="S294" s="571" t="s">
        <v>994</v>
      </c>
      <c r="T294" s="620"/>
      <c r="U294" s="620"/>
      <c r="V294" s="620"/>
      <c r="W294" s="620"/>
      <c r="X294" s="620"/>
      <c r="Y294" s="620"/>
      <c r="Z294" s="620"/>
      <c r="AA294" s="620"/>
      <c r="AB294" s="620"/>
      <c r="AC294" s="620"/>
      <c r="AD294" s="620"/>
      <c r="AE294" s="620"/>
      <c r="AF294" s="620"/>
      <c r="AG294" s="1072" t="s">
        <v>628</v>
      </c>
      <c r="AH294" s="1073"/>
      <c r="AI294" s="1271">
        <f>AI262+1</f>
        <v>10</v>
      </c>
      <c r="AJ294" s="1271"/>
      <c r="AK294" s="1271"/>
    </row>
    <row r="295" spans="1:37" ht="36.75" customHeight="1" x14ac:dyDescent="0.2">
      <c r="A295" s="1272" t="e">
        <f>VLOOKUP(J302,ID_archer_cible,2,FALSE)</f>
        <v>#N/A</v>
      </c>
      <c r="B295" s="1272"/>
      <c r="C295" s="1272"/>
      <c r="D295" s="1272"/>
      <c r="E295" s="1272"/>
      <c r="F295" s="1272"/>
      <c r="G295" s="1272"/>
      <c r="H295" s="1272"/>
      <c r="I295" s="1272"/>
      <c r="J295" s="1272"/>
      <c r="K295" s="1272"/>
      <c r="L295" s="1272"/>
      <c r="M295" s="1272"/>
      <c r="N295" s="1272"/>
      <c r="O295" s="1272"/>
      <c r="P295" s="1272"/>
      <c r="Q295" s="1272"/>
      <c r="R295" s="1272"/>
      <c r="S295" s="646" t="s">
        <v>995</v>
      </c>
      <c r="T295" s="1272" t="e">
        <f>VLOOKUP(AC302,ID_archer_cible,2,FALSE)</f>
        <v>#N/A</v>
      </c>
      <c r="U295" s="1272"/>
      <c r="V295" s="1272"/>
      <c r="W295" s="1272"/>
      <c r="X295" s="1272"/>
      <c r="Y295" s="1272"/>
      <c r="Z295" s="1272"/>
      <c r="AA295" s="1272"/>
      <c r="AB295" s="1272"/>
      <c r="AC295" s="1272"/>
      <c r="AD295" s="1272"/>
      <c r="AE295" s="1272"/>
      <c r="AF295" s="1272"/>
      <c r="AG295" s="1272"/>
      <c r="AH295" s="1272"/>
      <c r="AI295" s="1272"/>
      <c r="AJ295" s="1272"/>
      <c r="AK295" s="1272"/>
    </row>
    <row r="296" spans="1:37" ht="21.75" customHeight="1" x14ac:dyDescent="0.2">
      <c r="I296" s="621"/>
      <c r="J296" s="621"/>
      <c r="K296" s="621"/>
      <c r="L296" s="621"/>
      <c r="M296" s="621"/>
      <c r="N296" s="621"/>
      <c r="P296" s="619"/>
      <c r="Q296" s="619"/>
      <c r="R296" s="619"/>
      <c r="S296" s="571" t="s">
        <v>994</v>
      </c>
      <c r="AB296" s="621"/>
      <c r="AC296" s="621"/>
      <c r="AD296" s="621"/>
      <c r="AE296" s="621"/>
      <c r="AF296" s="621"/>
      <c r="AG296" s="621"/>
      <c r="AI296" s="619"/>
      <c r="AJ296" s="619"/>
      <c r="AK296" s="619"/>
    </row>
    <row r="297" spans="1:37" ht="17.25" customHeight="1" x14ac:dyDescent="0.2">
      <c r="A297" s="1125"/>
      <c r="B297" s="1125"/>
      <c r="C297" s="1125"/>
      <c r="D297" s="1125"/>
      <c r="E297" s="1125"/>
      <c r="F297" s="1125"/>
      <c r="G297" s="1125"/>
      <c r="H297" s="1125"/>
      <c r="I297" s="1125"/>
      <c r="J297" s="1125"/>
      <c r="K297" s="1125"/>
      <c r="L297" s="1125" t="s">
        <v>374</v>
      </c>
      <c r="M297" s="1125"/>
      <c r="N297" s="1125"/>
      <c r="O297" s="1125"/>
      <c r="P297" s="1125"/>
      <c r="Q297" s="1125"/>
      <c r="R297" s="1125"/>
      <c r="S297" s="571" t="s">
        <v>994</v>
      </c>
      <c r="T297" s="1125"/>
      <c r="U297" s="1125"/>
      <c r="V297" s="1125"/>
      <c r="W297" s="1125"/>
      <c r="X297" s="1125"/>
      <c r="Y297" s="1125"/>
      <c r="Z297" s="1125"/>
      <c r="AA297" s="1125"/>
      <c r="AB297" s="1125"/>
      <c r="AC297" s="1125"/>
      <c r="AD297" s="1125"/>
      <c r="AE297" s="1125" t="s">
        <v>374</v>
      </c>
      <c r="AF297" s="1125"/>
      <c r="AG297" s="1125"/>
      <c r="AH297" s="1125"/>
      <c r="AI297" s="1125"/>
      <c r="AJ297" s="1125"/>
      <c r="AK297" s="1125"/>
    </row>
    <row r="298" spans="1:37" ht="32.25" customHeight="1" x14ac:dyDescent="0.2">
      <c r="A298" s="1269" t="e">
        <f>VLOOKUP(J302,ID_archer_cible,3,FALSE)</f>
        <v>#N/A</v>
      </c>
      <c r="B298" s="1269"/>
      <c r="C298" s="1269"/>
      <c r="D298" s="1269"/>
      <c r="E298" s="1269"/>
      <c r="F298" s="1269"/>
      <c r="G298" s="1269"/>
      <c r="H298" s="1269"/>
      <c r="I298" s="1269"/>
      <c r="J298" s="1269"/>
      <c r="K298" s="1269"/>
      <c r="L298" s="1270" t="e">
        <f>VLOOKUP(J302,ID_archer_cible,4,FALSE)</f>
        <v>#N/A</v>
      </c>
      <c r="M298" s="1270"/>
      <c r="N298" s="1270"/>
      <c r="O298" s="1270"/>
      <c r="P298" s="1270"/>
      <c r="Q298" s="1270"/>
      <c r="R298" s="1270"/>
      <c r="S298" s="646" t="s">
        <v>995</v>
      </c>
      <c r="T298" s="1269" t="e">
        <f>VLOOKUP(AC302,ID_archer_cible,3,FALSE)</f>
        <v>#N/A</v>
      </c>
      <c r="U298" s="1269"/>
      <c r="V298" s="1269"/>
      <c r="W298" s="1269"/>
      <c r="X298" s="1269"/>
      <c r="Y298" s="1269"/>
      <c r="Z298" s="1269"/>
      <c r="AA298" s="1269"/>
      <c r="AB298" s="1269"/>
      <c r="AC298" s="1269"/>
      <c r="AD298" s="1269"/>
      <c r="AE298" s="1270" t="e">
        <f>VLOOKUP(AC302,ID_archer_cible,4,FALSE)</f>
        <v>#N/A</v>
      </c>
      <c r="AF298" s="1270"/>
      <c r="AG298" s="1270"/>
      <c r="AH298" s="1270"/>
      <c r="AI298" s="1270"/>
      <c r="AJ298" s="1270"/>
      <c r="AK298" s="1270"/>
    </row>
    <row r="299" spans="1:37" ht="17.25" customHeight="1" x14ac:dyDescent="0.2">
      <c r="E299" s="584"/>
      <c r="F299" s="584"/>
      <c r="G299" s="584"/>
      <c r="H299" s="584"/>
      <c r="I299" s="618"/>
      <c r="J299" s="618"/>
      <c r="K299" s="618"/>
      <c r="L299" s="618"/>
      <c r="M299" s="618"/>
      <c r="N299" s="618"/>
      <c r="P299" s="1266" t="str">
        <f>IFERROR(IF(AND(R302="oui",R303="oui",R304="oui",R305="oui"),"PRO",""),"")</f>
        <v/>
      </c>
      <c r="Q299" s="1266"/>
      <c r="R299" s="1266"/>
      <c r="S299" s="571" t="s">
        <v>994</v>
      </c>
      <c r="X299" s="584"/>
      <c r="Y299" s="584"/>
      <c r="Z299" s="584"/>
      <c r="AA299" s="584"/>
      <c r="AB299" s="618"/>
      <c r="AC299" s="618"/>
      <c r="AD299" s="618"/>
      <c r="AE299" s="618"/>
      <c r="AF299" s="618"/>
      <c r="AG299" s="618"/>
      <c r="AI299" s="1266" t="str">
        <f>IFERROR(IF(AND(AK302="oui",AK303="oui",AK304="oui",AK305="oui"),"PRO",""),"")</f>
        <v/>
      </c>
      <c r="AJ299" s="1266"/>
      <c r="AK299" s="1266"/>
    </row>
    <row r="300" spans="1:37" ht="20.25" customHeight="1" x14ac:dyDescent="0.2">
      <c r="P300" s="1267"/>
      <c r="Q300" s="1267"/>
      <c r="R300" s="1267"/>
      <c r="S300" s="571" t="s">
        <v>994</v>
      </c>
      <c r="AI300" s="1267"/>
      <c r="AJ300" s="1267"/>
      <c r="AK300" s="1267"/>
    </row>
    <row r="301" spans="1:37" ht="25.5" customHeight="1" x14ac:dyDescent="0.2">
      <c r="B301" s="1273" t="s">
        <v>906</v>
      </c>
      <c r="C301" s="1273"/>
      <c r="D301" s="1273"/>
      <c r="E301" s="1273"/>
      <c r="F301" s="1273"/>
      <c r="G301" s="1273"/>
      <c r="H301" s="1273"/>
      <c r="I301" s="1273"/>
      <c r="J301" s="622" t="s">
        <v>552</v>
      </c>
      <c r="K301" s="623" t="s">
        <v>893</v>
      </c>
      <c r="L301" s="1275" t="s">
        <v>550</v>
      </c>
      <c r="M301" s="1276"/>
      <c r="N301" s="1274" t="s">
        <v>905</v>
      </c>
      <c r="O301" s="1274"/>
      <c r="P301" s="1254" t="s">
        <v>551</v>
      </c>
      <c r="Q301" s="1254"/>
      <c r="R301" s="752" t="s">
        <v>1027</v>
      </c>
      <c r="S301" s="646" t="s">
        <v>995</v>
      </c>
      <c r="U301" s="1273" t="s">
        <v>906</v>
      </c>
      <c r="V301" s="1273"/>
      <c r="W301" s="1273"/>
      <c r="X301" s="1273"/>
      <c r="Y301" s="1273"/>
      <c r="Z301" s="1273"/>
      <c r="AA301" s="1273"/>
      <c r="AB301" s="1273"/>
      <c r="AC301" s="622" t="s">
        <v>552</v>
      </c>
      <c r="AD301" s="623" t="s">
        <v>893</v>
      </c>
      <c r="AE301" s="1275" t="s">
        <v>550</v>
      </c>
      <c r="AF301" s="1276"/>
      <c r="AG301" s="1274" t="s">
        <v>905</v>
      </c>
      <c r="AH301" s="1274"/>
      <c r="AI301" s="1254" t="s">
        <v>551</v>
      </c>
      <c r="AJ301" s="1254"/>
      <c r="AK301" s="752" t="s">
        <v>1027</v>
      </c>
    </row>
    <row r="302" spans="1:37" ht="45" customHeight="1" x14ac:dyDescent="0.2">
      <c r="B302" s="1255" t="e">
        <f>VLOOKUP(J302,ID_archer_cible,5,FALSE)&amp;"    "&amp;VLOOKUP(J302,ID_archer_cible,6,FALSE)</f>
        <v>#N/A</v>
      </c>
      <c r="C302" s="1255"/>
      <c r="D302" s="1255"/>
      <c r="E302" s="1255"/>
      <c r="F302" s="1255"/>
      <c r="G302" s="1255"/>
      <c r="H302" s="1255"/>
      <c r="I302" s="1255"/>
      <c r="J302" s="624" t="str">
        <f>P294&amp;"A"</f>
        <v>10A</v>
      </c>
      <c r="K302" s="574" t="e">
        <f>VLOOKUP(J302,ID_archer_cible,9,FALSE)</f>
        <v>#N/A</v>
      </c>
      <c r="L302" s="1256" t="e">
        <f>VLOOKUP(J302,ID_archer_cible,8,FALSE)</f>
        <v>#N/A</v>
      </c>
      <c r="M302" s="1257"/>
      <c r="N302" s="1260" t="e">
        <f>VLOOKUP(J302,ID_archer_cible,7,FALSE)</f>
        <v>#N/A</v>
      </c>
      <c r="O302" s="1261"/>
      <c r="P302" s="828" t="e">
        <f>VLOOKUP(J302,ID_archer_cible,10,FALSE)</f>
        <v>#N/A</v>
      </c>
      <c r="Q302" s="829" t="e">
        <f>IF(VLOOKUP(L302,N°LicPRO,3,FALSE)="oui","COACH","")</f>
        <v>#N/A</v>
      </c>
      <c r="R302" s="742" t="str">
        <f>IFERROR(VLOOKUP(L302,N°LicPRO,2,FALSE),"")</f>
        <v/>
      </c>
      <c r="S302" s="571" t="s">
        <v>994</v>
      </c>
      <c r="U302" s="1255" t="e">
        <f>VLOOKUP(AC302,ID_archer_cible,5,FALSE)&amp;"    "&amp;VLOOKUP(AC302,ID_archer_cible,6,FALSE)</f>
        <v>#N/A</v>
      </c>
      <c r="V302" s="1255"/>
      <c r="W302" s="1255"/>
      <c r="X302" s="1255"/>
      <c r="Y302" s="1255"/>
      <c r="Z302" s="1255"/>
      <c r="AA302" s="1255"/>
      <c r="AB302" s="1255"/>
      <c r="AC302" s="624" t="str">
        <f>AI294&amp;"A"</f>
        <v>10A</v>
      </c>
      <c r="AD302" s="574" t="e">
        <f>VLOOKUP(AC302,ID_archer_cible,9,FALSE)</f>
        <v>#N/A</v>
      </c>
      <c r="AE302" s="1256" t="e">
        <f>VLOOKUP(AC302,ID_archer_cible,8,FALSE)</f>
        <v>#N/A</v>
      </c>
      <c r="AF302" s="1257"/>
      <c r="AG302" s="1260" t="e">
        <f>VLOOKUP(AC302,ID_archer_cible,7,FALSE)</f>
        <v>#N/A</v>
      </c>
      <c r="AH302" s="1261"/>
      <c r="AI302" s="828" t="e">
        <f>VLOOKUP(AC302,ID_archer_cible,10,FALSE)</f>
        <v>#N/A</v>
      </c>
      <c r="AJ302" s="829" t="e">
        <f>IF(VLOOKUP(AE302,N°LicPRO,3,FALSE)="oui","COACH","")</f>
        <v>#N/A</v>
      </c>
      <c r="AK302" s="742" t="str">
        <f>IFERROR(VLOOKUP(AE302,N°LicPRO,2,FALSE),"")</f>
        <v/>
      </c>
    </row>
    <row r="303" spans="1:37" ht="45" customHeight="1" x14ac:dyDescent="0.2">
      <c r="B303" s="1255" t="e">
        <f>VLOOKUP(J303,ID_archer_cible,5,FALSE)&amp;"    "&amp;VLOOKUP(J303,ID_archer_cible,6,FALSE)</f>
        <v>#N/A</v>
      </c>
      <c r="C303" s="1255"/>
      <c r="D303" s="1255"/>
      <c r="E303" s="1255"/>
      <c r="F303" s="1255"/>
      <c r="G303" s="1255"/>
      <c r="H303" s="1255"/>
      <c r="I303" s="1255"/>
      <c r="J303" s="624" t="str">
        <f>P294&amp;"B"</f>
        <v>10B</v>
      </c>
      <c r="K303" s="574" t="e">
        <f>VLOOKUP(J303,ID_archer_cible,9,FALSE)</f>
        <v>#N/A</v>
      </c>
      <c r="L303" s="1256" t="e">
        <f>VLOOKUP(J303,ID_archer_cible,8,FALSE)</f>
        <v>#N/A</v>
      </c>
      <c r="M303" s="1257"/>
      <c r="N303" s="1260" t="e">
        <f>VLOOKUP(J303,ID_archer_cible,7,FALSE)</f>
        <v>#N/A</v>
      </c>
      <c r="O303" s="1261"/>
      <c r="P303" s="828" t="e">
        <f>VLOOKUP(J303,ID_archer_cible,10,FALSE)</f>
        <v>#N/A</v>
      </c>
      <c r="Q303" s="829" t="e">
        <f>IF(VLOOKUP(L303,N°LicPRO,3,FALSE)="oui","COACH","")</f>
        <v>#N/A</v>
      </c>
      <c r="R303" s="742" t="str">
        <f>IFERROR(VLOOKUP(L303,N°LicPRO,2,FALSE),"")</f>
        <v/>
      </c>
      <c r="S303" s="571" t="s">
        <v>994</v>
      </c>
      <c r="U303" s="1255" t="e">
        <f>VLOOKUP(AC303,ID_archer_cible,5,FALSE)&amp;"    "&amp;VLOOKUP(AC303,ID_archer_cible,6,FALSE)</f>
        <v>#N/A</v>
      </c>
      <c r="V303" s="1255"/>
      <c r="W303" s="1255"/>
      <c r="X303" s="1255"/>
      <c r="Y303" s="1255"/>
      <c r="Z303" s="1255"/>
      <c r="AA303" s="1255"/>
      <c r="AB303" s="1255"/>
      <c r="AC303" s="624" t="str">
        <f>AI294&amp;"B"</f>
        <v>10B</v>
      </c>
      <c r="AD303" s="574" t="e">
        <f>VLOOKUP(AC303,ID_archer_cible,9,FALSE)</f>
        <v>#N/A</v>
      </c>
      <c r="AE303" s="1256" t="e">
        <f>VLOOKUP(AC303,ID_archer_cible,8,FALSE)</f>
        <v>#N/A</v>
      </c>
      <c r="AF303" s="1257"/>
      <c r="AG303" s="1260" t="e">
        <f>VLOOKUP(AC303,ID_archer_cible,7,FALSE)</f>
        <v>#N/A</v>
      </c>
      <c r="AH303" s="1261"/>
      <c r="AI303" s="828" t="e">
        <f>VLOOKUP(AC303,ID_archer_cible,10,FALSE)</f>
        <v>#N/A</v>
      </c>
      <c r="AJ303" s="829" t="e">
        <f>IF(VLOOKUP(AE303,N°LicPRO,3,FALSE)="oui","COACH","")</f>
        <v>#N/A</v>
      </c>
      <c r="AK303" s="742" t="str">
        <f>IFERROR(VLOOKUP(AE303,N°LicPRO,2,FALSE),"")</f>
        <v/>
      </c>
    </row>
    <row r="304" spans="1:37" ht="45" customHeight="1" x14ac:dyDescent="0.2">
      <c r="B304" s="1255" t="e">
        <f>VLOOKUP(J304,ID_archer_cible,5,FALSE)&amp;"    "&amp;VLOOKUP(J304,ID_archer_cible,6,FALSE)</f>
        <v>#N/A</v>
      </c>
      <c r="C304" s="1255"/>
      <c r="D304" s="1255"/>
      <c r="E304" s="1255"/>
      <c r="F304" s="1255"/>
      <c r="G304" s="1255"/>
      <c r="H304" s="1255"/>
      <c r="I304" s="1255"/>
      <c r="J304" s="624" t="str">
        <f>P294&amp;"C"</f>
        <v>10C</v>
      </c>
      <c r="K304" s="574" t="e">
        <f>VLOOKUP(J304,ID_archer_cible,9,FALSE)</f>
        <v>#N/A</v>
      </c>
      <c r="L304" s="1256" t="e">
        <f>VLOOKUP(J304,ID_archer_cible,8,FALSE)</f>
        <v>#N/A</v>
      </c>
      <c r="M304" s="1257"/>
      <c r="N304" s="1260" t="e">
        <f>VLOOKUP(J304,ID_archer_cible,7,FALSE)</f>
        <v>#N/A</v>
      </c>
      <c r="O304" s="1261"/>
      <c r="P304" s="828" t="e">
        <f>VLOOKUP(J304,ID_archer_cible,10,FALSE)</f>
        <v>#N/A</v>
      </c>
      <c r="Q304" s="829" t="e">
        <f>IF(VLOOKUP(L304,N°LicPRO,3,FALSE)="oui","COACH","")</f>
        <v>#N/A</v>
      </c>
      <c r="R304" s="742" t="str">
        <f>IFERROR(VLOOKUP(L304,N°LicPRO,2,FALSE),"")</f>
        <v/>
      </c>
      <c r="S304" s="646" t="s">
        <v>995</v>
      </c>
      <c r="U304" s="1255" t="e">
        <f>VLOOKUP(AC304,ID_archer_cible,5,FALSE)&amp;"    "&amp;VLOOKUP(AC304,ID_archer_cible,6,FALSE)</f>
        <v>#N/A</v>
      </c>
      <c r="V304" s="1255"/>
      <c r="W304" s="1255"/>
      <c r="X304" s="1255"/>
      <c r="Y304" s="1255"/>
      <c r="Z304" s="1255"/>
      <c r="AA304" s="1255"/>
      <c r="AB304" s="1255"/>
      <c r="AC304" s="624" t="str">
        <f>AI294&amp;"C"</f>
        <v>10C</v>
      </c>
      <c r="AD304" s="574" t="e">
        <f>VLOOKUP(AC304,ID_archer_cible,9,FALSE)</f>
        <v>#N/A</v>
      </c>
      <c r="AE304" s="1256" t="e">
        <f>VLOOKUP(AC304,ID_archer_cible,8,FALSE)</f>
        <v>#N/A</v>
      </c>
      <c r="AF304" s="1257"/>
      <c r="AG304" s="1260" t="e">
        <f>VLOOKUP(AC304,ID_archer_cible,7,FALSE)</f>
        <v>#N/A</v>
      </c>
      <c r="AH304" s="1261"/>
      <c r="AI304" s="828" t="e">
        <f>VLOOKUP(AC304,ID_archer_cible,10,FALSE)</f>
        <v>#N/A</v>
      </c>
      <c r="AJ304" s="829" t="e">
        <f>IF(VLOOKUP(AE304,N°LicPRO,3,FALSE)="oui","COACH","")</f>
        <v>#N/A</v>
      </c>
      <c r="AK304" s="742" t="str">
        <f>IFERROR(VLOOKUP(AE304,N°LicPRO,2,FALSE),"")</f>
        <v/>
      </c>
    </row>
    <row r="305" spans="2:37" ht="45" customHeight="1" x14ac:dyDescent="0.2">
      <c r="B305" s="1255" t="e">
        <f>VLOOKUP(J305,ID_archer_cible,5,FALSE)&amp;"    "&amp;VLOOKUP(J305,ID_archer_cible,6,FALSE)</f>
        <v>#N/A</v>
      </c>
      <c r="C305" s="1255"/>
      <c r="D305" s="1255"/>
      <c r="E305" s="1255"/>
      <c r="F305" s="1255"/>
      <c r="G305" s="1255"/>
      <c r="H305" s="1255"/>
      <c r="I305" s="1255"/>
      <c r="J305" s="624" t="str">
        <f>P294&amp;"D"</f>
        <v>10D</v>
      </c>
      <c r="K305" s="574" t="e">
        <f>VLOOKUP(J305,ID_archer_cible,9,FALSE)</f>
        <v>#N/A</v>
      </c>
      <c r="L305" s="1256" t="e">
        <f>VLOOKUP(J305,ID_archer_cible,8,FALSE)</f>
        <v>#N/A</v>
      </c>
      <c r="M305" s="1257"/>
      <c r="N305" s="1260" t="e">
        <f>VLOOKUP(J305,ID_archer_cible,7,FALSE)</f>
        <v>#N/A</v>
      </c>
      <c r="O305" s="1261"/>
      <c r="P305" s="828" t="e">
        <f>VLOOKUP(J305,ID_archer_cible,10,FALSE)</f>
        <v>#N/A</v>
      </c>
      <c r="Q305" s="829" t="e">
        <f>IF(VLOOKUP(L305,N°LicPRO,3,FALSE)="oui","COACH","")</f>
        <v>#N/A</v>
      </c>
      <c r="R305" s="742" t="str">
        <f>IFERROR(VLOOKUP(L305,N°LicPRO,2,FALSE),"")</f>
        <v/>
      </c>
      <c r="S305" s="571" t="s">
        <v>994</v>
      </c>
      <c r="U305" s="1255" t="e">
        <f>VLOOKUP(AC305,ID_archer_cible,5,FALSE)&amp;"    "&amp;VLOOKUP(AC305,ID_archer_cible,6,FALSE)</f>
        <v>#N/A</v>
      </c>
      <c r="V305" s="1255"/>
      <c r="W305" s="1255"/>
      <c r="X305" s="1255"/>
      <c r="Y305" s="1255"/>
      <c r="Z305" s="1255"/>
      <c r="AA305" s="1255"/>
      <c r="AB305" s="1255"/>
      <c r="AC305" s="624" t="str">
        <f>AI294&amp;"D"</f>
        <v>10D</v>
      </c>
      <c r="AD305" s="574" t="e">
        <f>VLOOKUP(AC305,ID_archer_cible,9,FALSE)</f>
        <v>#N/A</v>
      </c>
      <c r="AE305" s="1256" t="e">
        <f>VLOOKUP(AC305,ID_archer_cible,8,FALSE)</f>
        <v>#N/A</v>
      </c>
      <c r="AF305" s="1257"/>
      <c r="AG305" s="1260" t="e">
        <f>VLOOKUP(AC305,ID_archer_cible,7,FALSE)</f>
        <v>#N/A</v>
      </c>
      <c r="AH305" s="1261"/>
      <c r="AI305" s="828" t="e">
        <f>VLOOKUP(AC305,ID_archer_cible,10,FALSE)</f>
        <v>#N/A</v>
      </c>
      <c r="AJ305" s="829" t="e">
        <f>IF(VLOOKUP(AE305,N°LicPRO,3,FALSE)="oui","COACH","")</f>
        <v>#N/A</v>
      </c>
      <c r="AK305" s="742" t="str">
        <f>IFERROR(VLOOKUP(AE305,N°LicPRO,2,FALSE),"")</f>
        <v/>
      </c>
    </row>
    <row r="306" spans="2:37" ht="15" customHeight="1" x14ac:dyDescent="0.2">
      <c r="S306" s="571" t="s">
        <v>994</v>
      </c>
    </row>
    <row r="307" spans="2:37" ht="15" customHeight="1" x14ac:dyDescent="0.2">
      <c r="B307" s="508" t="s">
        <v>975</v>
      </c>
      <c r="S307" s="646" t="s">
        <v>995</v>
      </c>
      <c r="U307" s="508" t="s">
        <v>975</v>
      </c>
    </row>
    <row r="308" spans="2:37" ht="15" customHeight="1" x14ac:dyDescent="0.2">
      <c r="B308" s="1259" t="s">
        <v>974</v>
      </c>
      <c r="C308" s="1259"/>
      <c r="D308" s="1259"/>
      <c r="E308" s="1259"/>
      <c r="F308" s="1199" t="str">
        <f>Info_TirQ</f>
        <v>J2 8:30-9:00 Ent. 9:00-10:30 Tirs Qual.</v>
      </c>
      <c r="G308" s="1199"/>
      <c r="H308" s="1199"/>
      <c r="I308" s="1199"/>
      <c r="J308" s="1199"/>
      <c r="K308" s="1258" t="s">
        <v>978</v>
      </c>
      <c r="L308" s="1258"/>
      <c r="M308" s="1258"/>
      <c r="N308" s="1258"/>
      <c r="O308" s="1258"/>
      <c r="S308" s="571" t="s">
        <v>994</v>
      </c>
      <c r="U308" s="1259" t="s">
        <v>974</v>
      </c>
      <c r="V308" s="1259"/>
      <c r="W308" s="1259"/>
      <c r="X308" s="1259"/>
      <c r="Y308" s="1199" t="str">
        <f>Info_TirQ</f>
        <v>J2 8:30-9:00 Ent. 9:00-10:30 Tirs Qual.</v>
      </c>
      <c r="Z308" s="1199"/>
      <c r="AA308" s="1199"/>
      <c r="AB308" s="1199"/>
      <c r="AC308" s="1199"/>
      <c r="AD308" s="1258" t="s">
        <v>978</v>
      </c>
      <c r="AE308" s="1258"/>
      <c r="AF308" s="1258"/>
      <c r="AG308" s="1258"/>
      <c r="AH308" s="1258"/>
    </row>
    <row r="309" spans="2:37" ht="15" customHeight="1" x14ac:dyDescent="0.2">
      <c r="B309" s="1259" t="s">
        <v>484</v>
      </c>
      <c r="C309" s="1259"/>
      <c r="D309" s="1259"/>
      <c r="E309" s="1259"/>
      <c r="F309" s="1199" t="str">
        <f>Info_D1</f>
        <v>J2 13:30-14:20  1er DUEL</v>
      </c>
      <c r="G309" s="1199"/>
      <c r="H309" s="1199"/>
      <c r="I309" s="1199"/>
      <c r="J309" s="1199"/>
      <c r="K309" s="1258"/>
      <c r="L309" s="1258"/>
      <c r="M309" s="1258"/>
      <c r="N309" s="1258"/>
      <c r="O309" s="1258"/>
      <c r="S309" s="571" t="s">
        <v>994</v>
      </c>
      <c r="U309" s="1259" t="s">
        <v>484</v>
      </c>
      <c r="V309" s="1259"/>
      <c r="W309" s="1259"/>
      <c r="X309" s="1259"/>
      <c r="Y309" s="1199" t="str">
        <f>Info_D1</f>
        <v>J2 13:30-14:20  1er DUEL</v>
      </c>
      <c r="Z309" s="1199"/>
      <c r="AA309" s="1199"/>
      <c r="AB309" s="1199"/>
      <c r="AC309" s="1199"/>
      <c r="AD309" s="1258"/>
      <c r="AE309" s="1258"/>
      <c r="AF309" s="1258"/>
      <c r="AG309" s="1258"/>
      <c r="AH309" s="1258"/>
    </row>
    <row r="310" spans="2:37" ht="15" customHeight="1" x14ac:dyDescent="0.2">
      <c r="B310" s="1259" t="s">
        <v>972</v>
      </c>
      <c r="C310" s="1259"/>
      <c r="D310" s="1259"/>
      <c r="E310" s="1259"/>
      <c r="F310" s="1199" t="str">
        <f>Info_D2</f>
        <v>J2 14:30-15:20 2ème DUEL</v>
      </c>
      <c r="G310" s="1199"/>
      <c r="H310" s="1199"/>
      <c r="I310" s="1199"/>
      <c r="J310" s="1199"/>
      <c r="K310" s="1258"/>
      <c r="L310" s="1258"/>
      <c r="M310" s="1258"/>
      <c r="N310" s="1258"/>
      <c r="O310" s="1258"/>
      <c r="S310" s="646" t="s">
        <v>995</v>
      </c>
      <c r="U310" s="1259" t="s">
        <v>972</v>
      </c>
      <c r="V310" s="1259"/>
      <c r="W310" s="1259"/>
      <c r="X310" s="1259"/>
      <c r="Y310" s="1199" t="str">
        <f>Info_D2</f>
        <v>J2 14:30-15:20 2ème DUEL</v>
      </c>
      <c r="Z310" s="1199"/>
      <c r="AA310" s="1199"/>
      <c r="AB310" s="1199"/>
      <c r="AC310" s="1199"/>
      <c r="AD310" s="1258"/>
      <c r="AE310" s="1258"/>
      <c r="AF310" s="1258"/>
      <c r="AG310" s="1258"/>
      <c r="AH310" s="1258"/>
    </row>
    <row r="311" spans="2:37" ht="15" customHeight="1" x14ac:dyDescent="0.2">
      <c r="B311" s="1259" t="s">
        <v>973</v>
      </c>
      <c r="C311" s="1259"/>
      <c r="D311" s="1259"/>
      <c r="E311" s="1259"/>
      <c r="F311" s="1199" t="str">
        <f>Info_D3</f>
        <v>J3 10-10:50 Match pl. 5 à +  ETAB - EX</v>
      </c>
      <c r="G311" s="1199"/>
      <c r="H311" s="1199"/>
      <c r="I311" s="1199"/>
      <c r="J311" s="1199"/>
      <c r="K311" s="1258"/>
      <c r="L311" s="1258"/>
      <c r="M311" s="1258"/>
      <c r="N311" s="1258"/>
      <c r="O311" s="1258"/>
      <c r="S311" s="571" t="s">
        <v>994</v>
      </c>
      <c r="U311" s="1259" t="s">
        <v>973</v>
      </c>
      <c r="V311" s="1259"/>
      <c r="W311" s="1259"/>
      <c r="X311" s="1259"/>
      <c r="Y311" s="1199" t="str">
        <f>Info_D3</f>
        <v>J3 10-10:50 Match pl. 5 à +  ETAB - EX</v>
      </c>
      <c r="Z311" s="1199"/>
      <c r="AA311" s="1199"/>
      <c r="AB311" s="1199"/>
      <c r="AC311" s="1199"/>
      <c r="AD311" s="1258"/>
      <c r="AE311" s="1258"/>
      <c r="AF311" s="1258"/>
      <c r="AG311" s="1258"/>
      <c r="AH311" s="1258"/>
    </row>
    <row r="312" spans="2:37" ht="24.75" customHeight="1" x14ac:dyDescent="0.2">
      <c r="B312" s="626" t="s">
        <v>976</v>
      </c>
      <c r="S312" s="571" t="s">
        <v>994</v>
      </c>
      <c r="U312" s="626" t="s">
        <v>976</v>
      </c>
    </row>
    <row r="313" spans="2:37" ht="134.25" customHeight="1" x14ac:dyDescent="0.2">
      <c r="B313"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C313" s="1264"/>
      <c r="D313" s="1264"/>
      <c r="E313" s="1264"/>
      <c r="F313" s="1264"/>
      <c r="G313" s="1264"/>
      <c r="H313" s="1264"/>
      <c r="I313" s="1264"/>
      <c r="J313" s="1264"/>
      <c r="K313" s="1264"/>
      <c r="L313" s="1264"/>
      <c r="M313" s="1264"/>
      <c r="N313" s="1264"/>
      <c r="O313" s="1264"/>
      <c r="P313" s="1265"/>
      <c r="S313" s="646" t="s">
        <v>995</v>
      </c>
      <c r="U313"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V313" s="1264"/>
      <c r="W313" s="1264"/>
      <c r="X313" s="1264"/>
      <c r="Y313" s="1264"/>
      <c r="Z313" s="1264"/>
      <c r="AA313" s="1264"/>
      <c r="AB313" s="1264"/>
      <c r="AC313" s="1264"/>
      <c r="AD313" s="1264"/>
      <c r="AE313" s="1264"/>
      <c r="AF313" s="1264"/>
      <c r="AG313" s="1264"/>
      <c r="AH313" s="1264"/>
      <c r="AI313" s="1265"/>
    </row>
    <row r="314" spans="2:37" ht="15" customHeight="1" x14ac:dyDescent="0.2">
      <c r="C314" s="508" t="s">
        <v>964</v>
      </c>
      <c r="K314" s="508" t="s">
        <v>965</v>
      </c>
      <c r="O314" s="508" t="s">
        <v>966</v>
      </c>
      <c r="S314" s="571" t="s">
        <v>994</v>
      </c>
      <c r="V314" s="508" t="s">
        <v>964</v>
      </c>
      <c r="AD314" s="508" t="s">
        <v>965</v>
      </c>
      <c r="AH314" s="508" t="s">
        <v>966</v>
      </c>
    </row>
    <row r="315" spans="2:37" ht="15" customHeight="1" x14ac:dyDescent="0.2">
      <c r="S315" s="571" t="s">
        <v>994</v>
      </c>
    </row>
    <row r="316" spans="2:37" ht="15" customHeight="1" x14ac:dyDescent="0.2">
      <c r="S316" s="646" t="s">
        <v>995</v>
      </c>
    </row>
    <row r="317" spans="2:37" ht="15" customHeight="1" x14ac:dyDescent="0.2">
      <c r="S317" s="571" t="s">
        <v>994</v>
      </c>
    </row>
    <row r="318" spans="2:37" ht="15" customHeight="1" x14ac:dyDescent="0.2">
      <c r="S318" s="571" t="s">
        <v>994</v>
      </c>
    </row>
    <row r="319" spans="2:37" ht="15" customHeight="1" x14ac:dyDescent="0.2">
      <c r="S319" s="646" t="s">
        <v>995</v>
      </c>
    </row>
    <row r="320" spans="2:37" x14ac:dyDescent="0.2">
      <c r="S320" s="571" t="s">
        <v>994</v>
      </c>
    </row>
    <row r="321" spans="1:37" x14ac:dyDescent="0.2">
      <c r="S321" s="571" t="s">
        <v>994</v>
      </c>
    </row>
    <row r="322" spans="1:37" ht="30" x14ac:dyDescent="0.2">
      <c r="A322" s="1262" t="str">
        <f>Championnat</f>
        <v>Championnat de France de Tir à l'ARC</v>
      </c>
      <c r="B322" s="1262"/>
      <c r="C322" s="1262"/>
      <c r="D322" s="1262"/>
      <c r="E322" s="1262"/>
      <c r="F322" s="1262"/>
      <c r="G322" s="1262"/>
      <c r="H322" s="1262"/>
      <c r="I322" s="1262"/>
      <c r="J322" s="1262"/>
      <c r="K322" s="1262"/>
      <c r="L322" s="1262"/>
      <c r="M322" s="1262"/>
      <c r="N322" s="1262"/>
      <c r="O322" s="1262"/>
      <c r="P322" s="1262"/>
      <c r="Q322" s="1262"/>
      <c r="R322" s="1262"/>
      <c r="S322" s="646" t="s">
        <v>995</v>
      </c>
      <c r="T322" s="1262" t="str">
        <f>Championnat</f>
        <v>Championnat de France de Tir à l'ARC</v>
      </c>
      <c r="U322" s="1262"/>
      <c r="V322" s="1262"/>
      <c r="W322" s="1262"/>
      <c r="X322" s="1262"/>
      <c r="Y322" s="1262"/>
      <c r="Z322" s="1262"/>
      <c r="AA322" s="1262"/>
      <c r="AB322" s="1262"/>
      <c r="AC322" s="1262"/>
      <c r="AD322" s="1262"/>
      <c r="AE322" s="1262"/>
      <c r="AF322" s="1262"/>
      <c r="AG322" s="1262"/>
      <c r="AH322" s="1262"/>
      <c r="AI322" s="1262"/>
      <c r="AJ322" s="1262"/>
      <c r="AK322" s="1262"/>
    </row>
    <row r="323" spans="1:37" ht="24.75" customHeight="1" x14ac:dyDescent="0.2">
      <c r="A323" s="1184" t="str">
        <f>LIEU&amp;" du "&amp;DATE</f>
        <v>L’Isle sur la Sorgue du 27 au 31 mars 2023</v>
      </c>
      <c r="B323" s="1184"/>
      <c r="C323" s="1184"/>
      <c r="D323" s="1184"/>
      <c r="E323" s="1184"/>
      <c r="F323" s="1184"/>
      <c r="G323" s="1184"/>
      <c r="H323" s="1184"/>
      <c r="I323" s="1184"/>
      <c r="J323" s="1184"/>
      <c r="K323" s="1184"/>
      <c r="L323" s="1184"/>
      <c r="M323" s="1184"/>
      <c r="N323" s="1184"/>
      <c r="O323" s="1184"/>
      <c r="P323" s="1184"/>
      <c r="Q323" s="1184"/>
      <c r="R323" s="1184"/>
      <c r="S323" s="571" t="s">
        <v>994</v>
      </c>
      <c r="T323" s="1184" t="str">
        <f>LIEU&amp;" du "&amp;DATE</f>
        <v>L’Isle sur la Sorgue du 27 au 31 mars 2023</v>
      </c>
      <c r="U323" s="1184"/>
      <c r="V323" s="1184"/>
      <c r="W323" s="1184"/>
      <c r="X323" s="1184"/>
      <c r="Y323" s="1184"/>
      <c r="Z323" s="1184"/>
      <c r="AA323" s="1184"/>
      <c r="AB323" s="1184"/>
      <c r="AC323" s="1184"/>
      <c r="AD323" s="1184"/>
      <c r="AE323" s="1184"/>
      <c r="AF323" s="1184"/>
      <c r="AG323" s="1184"/>
      <c r="AH323" s="1184"/>
      <c r="AI323" s="1184"/>
      <c r="AJ323" s="1184"/>
      <c r="AK323" s="1184"/>
    </row>
    <row r="324" spans="1:37" s="218" customFormat="1" ht="40.5" customHeight="1" x14ac:dyDescent="0.2">
      <c r="A324" s="1268" t="str">
        <f>CATEG_IMPORTEE</f>
        <v>Collèges Mixtes Etablissement</v>
      </c>
      <c r="B324" s="1268"/>
      <c r="C324" s="1268"/>
      <c r="D324" s="1268"/>
      <c r="E324" s="1268"/>
      <c r="F324" s="1268"/>
      <c r="G324" s="1268"/>
      <c r="H324" s="1268"/>
      <c r="I324" s="1268"/>
      <c r="J324" s="1268"/>
      <c r="K324" s="1268"/>
      <c r="L324" s="1268"/>
      <c r="M324" s="1268"/>
      <c r="N324" s="1268"/>
      <c r="O324" s="1268"/>
      <c r="P324" s="1268"/>
      <c r="Q324" s="1268"/>
      <c r="R324" s="1268"/>
      <c r="S324" s="571" t="s">
        <v>994</v>
      </c>
      <c r="T324" s="1268" t="str">
        <f>CATEG_IMPORTEE</f>
        <v>Collèges Mixtes Etablissement</v>
      </c>
      <c r="U324" s="1268"/>
      <c r="V324" s="1268"/>
      <c r="W324" s="1268"/>
      <c r="X324" s="1268"/>
      <c r="Y324" s="1268"/>
      <c r="Z324" s="1268"/>
      <c r="AA324" s="1268"/>
      <c r="AB324" s="1268"/>
      <c r="AC324" s="1268"/>
      <c r="AD324" s="1268"/>
      <c r="AE324" s="1268"/>
      <c r="AF324" s="1268"/>
      <c r="AG324" s="1268"/>
      <c r="AH324" s="1268"/>
      <c r="AI324" s="1268"/>
      <c r="AJ324" s="1268"/>
      <c r="AK324" s="1268"/>
    </row>
    <row r="325" spans="1:37" s="218" customFormat="1" ht="19.5" customHeight="1" x14ac:dyDescent="0.2">
      <c r="A325" s="625"/>
      <c r="B325" s="625"/>
      <c r="C325" s="625"/>
      <c r="D325" s="625"/>
      <c r="E325" s="625"/>
      <c r="F325" s="625"/>
      <c r="G325" s="625"/>
      <c r="H325" s="625"/>
      <c r="I325" s="625"/>
      <c r="J325" s="625"/>
      <c r="K325" s="625"/>
      <c r="L325" s="625"/>
      <c r="M325" s="625"/>
      <c r="N325" s="625"/>
      <c r="O325" s="625"/>
      <c r="P325" s="625"/>
      <c r="Q325" s="625"/>
      <c r="R325" s="625"/>
      <c r="S325" s="646" t="s">
        <v>995</v>
      </c>
      <c r="T325" s="625"/>
      <c r="U325" s="625"/>
      <c r="V325" s="625"/>
      <c r="W325" s="625"/>
      <c r="X325" s="625"/>
      <c r="Y325" s="625"/>
      <c r="Z325" s="625"/>
      <c r="AA325" s="625"/>
      <c r="AB325" s="625"/>
      <c r="AC325" s="625"/>
      <c r="AD325" s="625"/>
      <c r="AE325" s="625"/>
      <c r="AF325" s="625"/>
      <c r="AG325" s="625"/>
      <c r="AH325" s="625"/>
      <c r="AI325" s="625"/>
      <c r="AJ325" s="625"/>
      <c r="AK325" s="625"/>
    </row>
    <row r="326" spans="1:37" ht="47.25" customHeight="1" x14ac:dyDescent="0.2">
      <c r="A326" s="620"/>
      <c r="B326" s="620"/>
      <c r="C326" s="620"/>
      <c r="D326" s="620"/>
      <c r="E326" s="620"/>
      <c r="F326" s="620"/>
      <c r="G326" s="620"/>
      <c r="H326" s="620"/>
      <c r="I326" s="620"/>
      <c r="J326" s="620"/>
      <c r="K326" s="620"/>
      <c r="L326" s="620"/>
      <c r="M326" s="620"/>
      <c r="N326" s="1072" t="s">
        <v>628</v>
      </c>
      <c r="O326" s="1073"/>
      <c r="P326" s="1271">
        <f>P294+1</f>
        <v>11</v>
      </c>
      <c r="Q326" s="1271"/>
      <c r="R326" s="1271"/>
      <c r="S326" s="571" t="s">
        <v>994</v>
      </c>
      <c r="T326" s="620"/>
      <c r="U326" s="620"/>
      <c r="V326" s="620"/>
      <c r="W326" s="620"/>
      <c r="X326" s="620"/>
      <c r="Y326" s="620"/>
      <c r="Z326" s="620"/>
      <c r="AA326" s="620"/>
      <c r="AB326" s="620"/>
      <c r="AC326" s="620"/>
      <c r="AD326" s="620"/>
      <c r="AE326" s="620"/>
      <c r="AF326" s="620"/>
      <c r="AG326" s="1072" t="s">
        <v>628</v>
      </c>
      <c r="AH326" s="1073"/>
      <c r="AI326" s="1271">
        <f>AI294+1</f>
        <v>11</v>
      </c>
      <c r="AJ326" s="1271"/>
      <c r="AK326" s="1271"/>
    </row>
    <row r="327" spans="1:37" ht="36.75" customHeight="1" x14ac:dyDescent="0.2">
      <c r="A327" s="1272" t="e">
        <f>VLOOKUP(J334,ID_archer_cible,2,FALSE)</f>
        <v>#N/A</v>
      </c>
      <c r="B327" s="1272"/>
      <c r="C327" s="1272"/>
      <c r="D327" s="1272"/>
      <c r="E327" s="1272"/>
      <c r="F327" s="1272"/>
      <c r="G327" s="1272"/>
      <c r="H327" s="1272"/>
      <c r="I327" s="1272"/>
      <c r="J327" s="1272"/>
      <c r="K327" s="1272"/>
      <c r="L327" s="1272"/>
      <c r="M327" s="1272"/>
      <c r="N327" s="1272"/>
      <c r="O327" s="1272"/>
      <c r="P327" s="1272"/>
      <c r="Q327" s="1272"/>
      <c r="R327" s="1272"/>
      <c r="S327" s="571" t="s">
        <v>994</v>
      </c>
      <c r="T327" s="1272" t="e">
        <f>VLOOKUP(AC334,ID_archer_cible,2,FALSE)</f>
        <v>#N/A</v>
      </c>
      <c r="U327" s="1272"/>
      <c r="V327" s="1272"/>
      <c r="W327" s="1272"/>
      <c r="X327" s="1272"/>
      <c r="Y327" s="1272"/>
      <c r="Z327" s="1272"/>
      <c r="AA327" s="1272"/>
      <c r="AB327" s="1272"/>
      <c r="AC327" s="1272"/>
      <c r="AD327" s="1272"/>
      <c r="AE327" s="1272"/>
      <c r="AF327" s="1272"/>
      <c r="AG327" s="1272"/>
      <c r="AH327" s="1272"/>
      <c r="AI327" s="1272"/>
      <c r="AJ327" s="1272"/>
      <c r="AK327" s="1272"/>
    </row>
    <row r="328" spans="1:37" ht="21.75" customHeight="1" x14ac:dyDescent="0.2">
      <c r="I328" s="621"/>
      <c r="J328" s="621"/>
      <c r="K328" s="621"/>
      <c r="L328" s="621"/>
      <c r="M328" s="621"/>
      <c r="N328" s="621"/>
      <c r="P328" s="619"/>
      <c r="Q328" s="619"/>
      <c r="R328" s="619"/>
      <c r="S328" s="646" t="s">
        <v>995</v>
      </c>
      <c r="AB328" s="621"/>
      <c r="AC328" s="621"/>
      <c r="AD328" s="621"/>
      <c r="AE328" s="621"/>
      <c r="AF328" s="621"/>
      <c r="AG328" s="621"/>
      <c r="AI328" s="619"/>
      <c r="AJ328" s="619"/>
      <c r="AK328" s="619"/>
    </row>
    <row r="329" spans="1:37" ht="17.25" customHeight="1" x14ac:dyDescent="0.2">
      <c r="A329" s="1125"/>
      <c r="B329" s="1125"/>
      <c r="C329" s="1125"/>
      <c r="D329" s="1125"/>
      <c r="E329" s="1125"/>
      <c r="F329" s="1125"/>
      <c r="G329" s="1125"/>
      <c r="H329" s="1125"/>
      <c r="I329" s="1125"/>
      <c r="J329" s="1125"/>
      <c r="K329" s="1125"/>
      <c r="L329" s="1125" t="s">
        <v>374</v>
      </c>
      <c r="M329" s="1125"/>
      <c r="N329" s="1125"/>
      <c r="O329" s="1125"/>
      <c r="P329" s="1125"/>
      <c r="Q329" s="1125"/>
      <c r="R329" s="1125"/>
      <c r="S329" s="571" t="s">
        <v>994</v>
      </c>
      <c r="T329" s="1125"/>
      <c r="U329" s="1125"/>
      <c r="V329" s="1125"/>
      <c r="W329" s="1125"/>
      <c r="X329" s="1125"/>
      <c r="Y329" s="1125"/>
      <c r="Z329" s="1125"/>
      <c r="AA329" s="1125"/>
      <c r="AB329" s="1125"/>
      <c r="AC329" s="1125"/>
      <c r="AD329" s="1125"/>
      <c r="AE329" s="1125" t="s">
        <v>374</v>
      </c>
      <c r="AF329" s="1125"/>
      <c r="AG329" s="1125"/>
      <c r="AH329" s="1125"/>
      <c r="AI329" s="1125"/>
      <c r="AJ329" s="1125"/>
      <c r="AK329" s="1125"/>
    </row>
    <row r="330" spans="1:37" ht="32.25" customHeight="1" x14ac:dyDescent="0.2">
      <c r="A330" s="1269" t="e">
        <f>VLOOKUP(J334,ID_archer_cible,3,FALSE)</f>
        <v>#N/A</v>
      </c>
      <c r="B330" s="1269"/>
      <c r="C330" s="1269"/>
      <c r="D330" s="1269"/>
      <c r="E330" s="1269"/>
      <c r="F330" s="1269"/>
      <c r="G330" s="1269"/>
      <c r="H330" s="1269"/>
      <c r="I330" s="1269"/>
      <c r="J330" s="1269"/>
      <c r="K330" s="1269"/>
      <c r="L330" s="1270" t="e">
        <f>VLOOKUP(J334,ID_archer_cible,4,FALSE)</f>
        <v>#N/A</v>
      </c>
      <c r="M330" s="1270"/>
      <c r="N330" s="1270"/>
      <c r="O330" s="1270"/>
      <c r="P330" s="1270"/>
      <c r="Q330" s="1270"/>
      <c r="R330" s="1270"/>
      <c r="S330" s="571" t="s">
        <v>994</v>
      </c>
      <c r="T330" s="1269" t="e">
        <f>VLOOKUP(AC334,ID_archer_cible,3,FALSE)</f>
        <v>#N/A</v>
      </c>
      <c r="U330" s="1269"/>
      <c r="V330" s="1269"/>
      <c r="W330" s="1269"/>
      <c r="X330" s="1269"/>
      <c r="Y330" s="1269"/>
      <c r="Z330" s="1269"/>
      <c r="AA330" s="1269"/>
      <c r="AB330" s="1269"/>
      <c r="AC330" s="1269"/>
      <c r="AD330" s="1269"/>
      <c r="AE330" s="1270" t="e">
        <f>VLOOKUP(AC334,ID_archer_cible,4,FALSE)</f>
        <v>#N/A</v>
      </c>
      <c r="AF330" s="1270"/>
      <c r="AG330" s="1270"/>
      <c r="AH330" s="1270"/>
      <c r="AI330" s="1270"/>
      <c r="AJ330" s="1270"/>
      <c r="AK330" s="1270"/>
    </row>
    <row r="331" spans="1:37" ht="17.25" customHeight="1" x14ac:dyDescent="0.2">
      <c r="E331" s="584"/>
      <c r="F331" s="584"/>
      <c r="G331" s="584"/>
      <c r="H331" s="584"/>
      <c r="I331" s="618"/>
      <c r="J331" s="618"/>
      <c r="K331" s="618"/>
      <c r="L331" s="618"/>
      <c r="M331" s="618"/>
      <c r="N331" s="618"/>
      <c r="P331" s="1266" t="str">
        <f>IFERROR(IF(AND(R334="oui",R335="oui",R336="oui",R337="oui"),"PRO",""),"")</f>
        <v/>
      </c>
      <c r="Q331" s="1266"/>
      <c r="R331" s="1266"/>
      <c r="S331" s="646" t="s">
        <v>995</v>
      </c>
      <c r="X331" s="584"/>
      <c r="Y331" s="584"/>
      <c r="Z331" s="584"/>
      <c r="AA331" s="584"/>
      <c r="AB331" s="618"/>
      <c r="AC331" s="618"/>
      <c r="AD331" s="618"/>
      <c r="AE331" s="618"/>
      <c r="AF331" s="618"/>
      <c r="AG331" s="618"/>
      <c r="AI331" s="1266" t="str">
        <f>IFERROR(IF(AND(AK334="oui",AK335="oui",AK336="oui",AK337="oui"),"PRO",""),"")</f>
        <v/>
      </c>
      <c r="AJ331" s="1266"/>
      <c r="AK331" s="1266"/>
    </row>
    <row r="332" spans="1:37" ht="20.25" customHeight="1" x14ac:dyDescent="0.2">
      <c r="P332" s="1267"/>
      <c r="Q332" s="1267"/>
      <c r="R332" s="1267"/>
      <c r="S332" s="571" t="s">
        <v>994</v>
      </c>
      <c r="AI332" s="1267"/>
      <c r="AJ332" s="1267"/>
      <c r="AK332" s="1267"/>
    </row>
    <row r="333" spans="1:37" ht="25.5" customHeight="1" x14ac:dyDescent="0.2">
      <c r="B333" s="1273" t="s">
        <v>906</v>
      </c>
      <c r="C333" s="1273"/>
      <c r="D333" s="1273"/>
      <c r="E333" s="1273"/>
      <c r="F333" s="1273"/>
      <c r="G333" s="1273"/>
      <c r="H333" s="1273"/>
      <c r="I333" s="1273"/>
      <c r="J333" s="622" t="s">
        <v>552</v>
      </c>
      <c r="K333" s="623" t="s">
        <v>893</v>
      </c>
      <c r="L333" s="1275" t="s">
        <v>550</v>
      </c>
      <c r="M333" s="1276"/>
      <c r="N333" s="1274" t="s">
        <v>905</v>
      </c>
      <c r="O333" s="1274"/>
      <c r="P333" s="1254" t="s">
        <v>551</v>
      </c>
      <c r="Q333" s="1254"/>
      <c r="R333" s="752" t="s">
        <v>1027</v>
      </c>
      <c r="S333" s="571" t="s">
        <v>994</v>
      </c>
      <c r="U333" s="1273" t="s">
        <v>906</v>
      </c>
      <c r="V333" s="1273"/>
      <c r="W333" s="1273"/>
      <c r="X333" s="1273"/>
      <c r="Y333" s="1273"/>
      <c r="Z333" s="1273"/>
      <c r="AA333" s="1273"/>
      <c r="AB333" s="1273"/>
      <c r="AC333" s="622" t="s">
        <v>552</v>
      </c>
      <c r="AD333" s="623" t="s">
        <v>893</v>
      </c>
      <c r="AE333" s="1275" t="s">
        <v>550</v>
      </c>
      <c r="AF333" s="1276"/>
      <c r="AG333" s="1274" t="s">
        <v>905</v>
      </c>
      <c r="AH333" s="1274"/>
      <c r="AI333" s="1254" t="s">
        <v>551</v>
      </c>
      <c r="AJ333" s="1254"/>
      <c r="AK333" s="752" t="s">
        <v>1027</v>
      </c>
    </row>
    <row r="334" spans="1:37" ht="45" customHeight="1" x14ac:dyDescent="0.2">
      <c r="B334" s="1255" t="e">
        <f>VLOOKUP(J334,ID_archer_cible,5,FALSE)&amp;"    "&amp;VLOOKUP(J334,ID_archer_cible,6,FALSE)</f>
        <v>#N/A</v>
      </c>
      <c r="C334" s="1255"/>
      <c r="D334" s="1255"/>
      <c r="E334" s="1255"/>
      <c r="F334" s="1255"/>
      <c r="G334" s="1255"/>
      <c r="H334" s="1255"/>
      <c r="I334" s="1255"/>
      <c r="J334" s="624" t="str">
        <f>P326&amp;"A"</f>
        <v>11A</v>
      </c>
      <c r="K334" s="574" t="e">
        <f>VLOOKUP(J334,ID_archer_cible,9,FALSE)</f>
        <v>#N/A</v>
      </c>
      <c r="L334" s="1256" t="e">
        <f>VLOOKUP(J334,ID_archer_cible,8,FALSE)</f>
        <v>#N/A</v>
      </c>
      <c r="M334" s="1257"/>
      <c r="N334" s="1260" t="e">
        <f>VLOOKUP(J334,ID_archer_cible,7,FALSE)</f>
        <v>#N/A</v>
      </c>
      <c r="O334" s="1261"/>
      <c r="P334" s="828" t="e">
        <f>VLOOKUP(J334,ID_archer_cible,10,FALSE)</f>
        <v>#N/A</v>
      </c>
      <c r="Q334" s="829" t="e">
        <f>IF(VLOOKUP(L334,N°LicPRO,3,FALSE)="oui","COACH","")</f>
        <v>#N/A</v>
      </c>
      <c r="R334" s="742" t="str">
        <f>IFERROR(VLOOKUP(L334,N°LicPRO,2,FALSE),"")</f>
        <v/>
      </c>
      <c r="S334" s="646" t="s">
        <v>995</v>
      </c>
      <c r="U334" s="1255" t="e">
        <f>VLOOKUP(AC334,ID_archer_cible,5,FALSE)&amp;"    "&amp;VLOOKUP(AC334,ID_archer_cible,6,FALSE)</f>
        <v>#N/A</v>
      </c>
      <c r="V334" s="1255"/>
      <c r="W334" s="1255"/>
      <c r="X334" s="1255"/>
      <c r="Y334" s="1255"/>
      <c r="Z334" s="1255"/>
      <c r="AA334" s="1255"/>
      <c r="AB334" s="1255"/>
      <c r="AC334" s="624" t="str">
        <f>AI326&amp;"A"</f>
        <v>11A</v>
      </c>
      <c r="AD334" s="574" t="e">
        <f>VLOOKUP(AC334,ID_archer_cible,9,FALSE)</f>
        <v>#N/A</v>
      </c>
      <c r="AE334" s="1256" t="e">
        <f>VLOOKUP(AC334,ID_archer_cible,8,FALSE)</f>
        <v>#N/A</v>
      </c>
      <c r="AF334" s="1257"/>
      <c r="AG334" s="1260" t="e">
        <f>VLOOKUP(AC334,ID_archer_cible,7,FALSE)</f>
        <v>#N/A</v>
      </c>
      <c r="AH334" s="1261"/>
      <c r="AI334" s="828" t="e">
        <f>VLOOKUP(AC334,ID_archer_cible,10,FALSE)</f>
        <v>#N/A</v>
      </c>
      <c r="AJ334" s="829" t="e">
        <f>IF(VLOOKUP(AE334,N°LicPRO,3,FALSE)="oui","COACH","")</f>
        <v>#N/A</v>
      </c>
      <c r="AK334" s="742" t="str">
        <f>IFERROR(VLOOKUP(AE334,N°LicPRO,2,FALSE),"")</f>
        <v/>
      </c>
    </row>
    <row r="335" spans="1:37" ht="45" customHeight="1" x14ac:dyDescent="0.2">
      <c r="B335" s="1255" t="e">
        <f>VLOOKUP(J335,ID_archer_cible,5,FALSE)&amp;"    "&amp;VLOOKUP(J335,ID_archer_cible,6,FALSE)</f>
        <v>#N/A</v>
      </c>
      <c r="C335" s="1255"/>
      <c r="D335" s="1255"/>
      <c r="E335" s="1255"/>
      <c r="F335" s="1255"/>
      <c r="G335" s="1255"/>
      <c r="H335" s="1255"/>
      <c r="I335" s="1255"/>
      <c r="J335" s="624" t="str">
        <f>P326&amp;"B"</f>
        <v>11B</v>
      </c>
      <c r="K335" s="574" t="e">
        <f>VLOOKUP(J335,ID_archer_cible,9,FALSE)</f>
        <v>#N/A</v>
      </c>
      <c r="L335" s="1256" t="e">
        <f>VLOOKUP(J335,ID_archer_cible,8,FALSE)</f>
        <v>#N/A</v>
      </c>
      <c r="M335" s="1257"/>
      <c r="N335" s="1260" t="e">
        <f>VLOOKUP(J335,ID_archer_cible,7,FALSE)</f>
        <v>#N/A</v>
      </c>
      <c r="O335" s="1261"/>
      <c r="P335" s="828" t="e">
        <f>VLOOKUP(J335,ID_archer_cible,10,FALSE)</f>
        <v>#N/A</v>
      </c>
      <c r="Q335" s="829" t="e">
        <f>IF(VLOOKUP(L335,N°LicPRO,3,FALSE)="oui","COACH","")</f>
        <v>#N/A</v>
      </c>
      <c r="R335" s="742" t="str">
        <f>IFERROR(VLOOKUP(L335,N°LicPRO,2,FALSE),"")</f>
        <v/>
      </c>
      <c r="S335" s="571" t="s">
        <v>994</v>
      </c>
      <c r="U335" s="1255" t="e">
        <f>VLOOKUP(AC335,ID_archer_cible,5,FALSE)&amp;"    "&amp;VLOOKUP(AC335,ID_archer_cible,6,FALSE)</f>
        <v>#N/A</v>
      </c>
      <c r="V335" s="1255"/>
      <c r="W335" s="1255"/>
      <c r="X335" s="1255"/>
      <c r="Y335" s="1255"/>
      <c r="Z335" s="1255"/>
      <c r="AA335" s="1255"/>
      <c r="AB335" s="1255"/>
      <c r="AC335" s="624" t="str">
        <f>AI326&amp;"B"</f>
        <v>11B</v>
      </c>
      <c r="AD335" s="574" t="e">
        <f>VLOOKUP(AC335,ID_archer_cible,9,FALSE)</f>
        <v>#N/A</v>
      </c>
      <c r="AE335" s="1256" t="e">
        <f>VLOOKUP(AC335,ID_archer_cible,8,FALSE)</f>
        <v>#N/A</v>
      </c>
      <c r="AF335" s="1257"/>
      <c r="AG335" s="1260" t="e">
        <f>VLOOKUP(AC335,ID_archer_cible,7,FALSE)</f>
        <v>#N/A</v>
      </c>
      <c r="AH335" s="1261"/>
      <c r="AI335" s="828" t="e">
        <f>VLOOKUP(AC335,ID_archer_cible,10,FALSE)</f>
        <v>#N/A</v>
      </c>
      <c r="AJ335" s="829" t="e">
        <f>IF(VLOOKUP(AE335,N°LicPRO,3,FALSE)="oui","COACH","")</f>
        <v>#N/A</v>
      </c>
      <c r="AK335" s="742" t="str">
        <f>IFERROR(VLOOKUP(AE335,N°LicPRO,2,FALSE),"")</f>
        <v/>
      </c>
    </row>
    <row r="336" spans="1:37" ht="45" customHeight="1" x14ac:dyDescent="0.2">
      <c r="B336" s="1255" t="e">
        <f>VLOOKUP(J336,ID_archer_cible,5,FALSE)&amp;"    "&amp;VLOOKUP(J336,ID_archer_cible,6,FALSE)</f>
        <v>#N/A</v>
      </c>
      <c r="C336" s="1255"/>
      <c r="D336" s="1255"/>
      <c r="E336" s="1255"/>
      <c r="F336" s="1255"/>
      <c r="G336" s="1255"/>
      <c r="H336" s="1255"/>
      <c r="I336" s="1255"/>
      <c r="J336" s="624" t="str">
        <f>P326&amp;"C"</f>
        <v>11C</v>
      </c>
      <c r="K336" s="574" t="e">
        <f>VLOOKUP(J336,ID_archer_cible,9,FALSE)</f>
        <v>#N/A</v>
      </c>
      <c r="L336" s="1256" t="e">
        <f>VLOOKUP(J336,ID_archer_cible,8,FALSE)</f>
        <v>#N/A</v>
      </c>
      <c r="M336" s="1257"/>
      <c r="N336" s="1260" t="e">
        <f>VLOOKUP(J336,ID_archer_cible,7,FALSE)</f>
        <v>#N/A</v>
      </c>
      <c r="O336" s="1261"/>
      <c r="P336" s="828" t="e">
        <f>VLOOKUP(J336,ID_archer_cible,10,FALSE)</f>
        <v>#N/A</v>
      </c>
      <c r="Q336" s="829" t="e">
        <f>IF(VLOOKUP(L336,N°LicPRO,3,FALSE)="oui","COACH","")</f>
        <v>#N/A</v>
      </c>
      <c r="R336" s="742" t="str">
        <f>IFERROR(VLOOKUP(L336,N°LicPRO,2,FALSE),"")</f>
        <v/>
      </c>
      <c r="S336" s="571" t="s">
        <v>994</v>
      </c>
      <c r="U336" s="1255" t="e">
        <f>VLOOKUP(AC336,ID_archer_cible,5,FALSE)&amp;"    "&amp;VLOOKUP(AC336,ID_archer_cible,6,FALSE)</f>
        <v>#N/A</v>
      </c>
      <c r="V336" s="1255"/>
      <c r="W336" s="1255"/>
      <c r="X336" s="1255"/>
      <c r="Y336" s="1255"/>
      <c r="Z336" s="1255"/>
      <c r="AA336" s="1255"/>
      <c r="AB336" s="1255"/>
      <c r="AC336" s="624" t="str">
        <f>AI326&amp;"C"</f>
        <v>11C</v>
      </c>
      <c r="AD336" s="574" t="e">
        <f>VLOOKUP(AC336,ID_archer_cible,9,FALSE)</f>
        <v>#N/A</v>
      </c>
      <c r="AE336" s="1256" t="e">
        <f>VLOOKUP(AC336,ID_archer_cible,8,FALSE)</f>
        <v>#N/A</v>
      </c>
      <c r="AF336" s="1257"/>
      <c r="AG336" s="1260" t="e">
        <f>VLOOKUP(AC336,ID_archer_cible,7,FALSE)</f>
        <v>#N/A</v>
      </c>
      <c r="AH336" s="1261"/>
      <c r="AI336" s="828" t="e">
        <f>VLOOKUP(AC336,ID_archer_cible,10,FALSE)</f>
        <v>#N/A</v>
      </c>
      <c r="AJ336" s="829" t="e">
        <f>IF(VLOOKUP(AE336,N°LicPRO,3,FALSE)="oui","COACH","")</f>
        <v>#N/A</v>
      </c>
      <c r="AK336" s="742" t="str">
        <f>IFERROR(VLOOKUP(AE336,N°LicPRO,2,FALSE),"")</f>
        <v/>
      </c>
    </row>
    <row r="337" spans="2:37" ht="45" customHeight="1" x14ac:dyDescent="0.2">
      <c r="B337" s="1255" t="e">
        <f>VLOOKUP(J337,ID_archer_cible,5,FALSE)&amp;"    "&amp;VLOOKUP(J337,ID_archer_cible,6,FALSE)</f>
        <v>#N/A</v>
      </c>
      <c r="C337" s="1255"/>
      <c r="D337" s="1255"/>
      <c r="E337" s="1255"/>
      <c r="F337" s="1255"/>
      <c r="G337" s="1255"/>
      <c r="H337" s="1255"/>
      <c r="I337" s="1255"/>
      <c r="J337" s="624" t="str">
        <f>P326&amp;"D"</f>
        <v>11D</v>
      </c>
      <c r="K337" s="574" t="e">
        <f>VLOOKUP(J337,ID_archer_cible,9,FALSE)</f>
        <v>#N/A</v>
      </c>
      <c r="L337" s="1256" t="e">
        <f>VLOOKUP(J337,ID_archer_cible,8,FALSE)</f>
        <v>#N/A</v>
      </c>
      <c r="M337" s="1257"/>
      <c r="N337" s="1260" t="e">
        <f>VLOOKUP(J337,ID_archer_cible,7,FALSE)</f>
        <v>#N/A</v>
      </c>
      <c r="O337" s="1261"/>
      <c r="P337" s="828" t="e">
        <f>VLOOKUP(J337,ID_archer_cible,10,FALSE)</f>
        <v>#N/A</v>
      </c>
      <c r="Q337" s="829" t="e">
        <f>IF(VLOOKUP(L337,N°LicPRO,3,FALSE)="oui","COACH","")</f>
        <v>#N/A</v>
      </c>
      <c r="R337" s="742" t="str">
        <f>IFERROR(VLOOKUP(L337,N°LicPRO,2,FALSE),"")</f>
        <v/>
      </c>
      <c r="S337" s="646" t="s">
        <v>995</v>
      </c>
      <c r="U337" s="1255" t="e">
        <f>VLOOKUP(AC337,ID_archer_cible,5,FALSE)&amp;"    "&amp;VLOOKUP(AC337,ID_archer_cible,6,FALSE)</f>
        <v>#N/A</v>
      </c>
      <c r="V337" s="1255"/>
      <c r="W337" s="1255"/>
      <c r="X337" s="1255"/>
      <c r="Y337" s="1255"/>
      <c r="Z337" s="1255"/>
      <c r="AA337" s="1255"/>
      <c r="AB337" s="1255"/>
      <c r="AC337" s="624" t="str">
        <f>AI326&amp;"D"</f>
        <v>11D</v>
      </c>
      <c r="AD337" s="574" t="e">
        <f>VLOOKUP(AC337,ID_archer_cible,9,FALSE)</f>
        <v>#N/A</v>
      </c>
      <c r="AE337" s="1256" t="e">
        <f>VLOOKUP(AC337,ID_archer_cible,8,FALSE)</f>
        <v>#N/A</v>
      </c>
      <c r="AF337" s="1257"/>
      <c r="AG337" s="1260" t="e">
        <f>VLOOKUP(AC337,ID_archer_cible,7,FALSE)</f>
        <v>#N/A</v>
      </c>
      <c r="AH337" s="1261"/>
      <c r="AI337" s="828" t="e">
        <f>VLOOKUP(AC337,ID_archer_cible,10,FALSE)</f>
        <v>#N/A</v>
      </c>
      <c r="AJ337" s="829" t="e">
        <f>IF(VLOOKUP(AE337,N°LicPRO,3,FALSE)="oui","COACH","")</f>
        <v>#N/A</v>
      </c>
      <c r="AK337" s="742" t="str">
        <f>IFERROR(VLOOKUP(AE337,N°LicPRO,2,FALSE),"")</f>
        <v/>
      </c>
    </row>
    <row r="338" spans="2:37" ht="15" customHeight="1" x14ac:dyDescent="0.2">
      <c r="S338" s="571" t="s">
        <v>994</v>
      </c>
    </row>
    <row r="339" spans="2:37" ht="15" customHeight="1" x14ac:dyDescent="0.2">
      <c r="B339" s="508" t="s">
        <v>975</v>
      </c>
      <c r="S339" s="571" t="s">
        <v>994</v>
      </c>
      <c r="U339" s="508" t="s">
        <v>975</v>
      </c>
    </row>
    <row r="340" spans="2:37" ht="15" customHeight="1" x14ac:dyDescent="0.2">
      <c r="B340" s="1259" t="s">
        <v>974</v>
      </c>
      <c r="C340" s="1259"/>
      <c r="D340" s="1259"/>
      <c r="E340" s="1259"/>
      <c r="F340" s="1199" t="str">
        <f>Info_TirQ</f>
        <v>J2 8:30-9:00 Ent. 9:00-10:30 Tirs Qual.</v>
      </c>
      <c r="G340" s="1199"/>
      <c r="H340" s="1199"/>
      <c r="I340" s="1199"/>
      <c r="J340" s="1199"/>
      <c r="K340" s="1258" t="s">
        <v>978</v>
      </c>
      <c r="L340" s="1258"/>
      <c r="M340" s="1258"/>
      <c r="N340" s="1258"/>
      <c r="O340" s="1258"/>
      <c r="S340" s="646" t="s">
        <v>995</v>
      </c>
      <c r="U340" s="1259" t="s">
        <v>974</v>
      </c>
      <c r="V340" s="1259"/>
      <c r="W340" s="1259"/>
      <c r="X340" s="1259"/>
      <c r="Y340" s="1199" t="str">
        <f>Info_TirQ</f>
        <v>J2 8:30-9:00 Ent. 9:00-10:30 Tirs Qual.</v>
      </c>
      <c r="Z340" s="1199"/>
      <c r="AA340" s="1199"/>
      <c r="AB340" s="1199"/>
      <c r="AC340" s="1199"/>
      <c r="AD340" s="1258" t="s">
        <v>978</v>
      </c>
      <c r="AE340" s="1258"/>
      <c r="AF340" s="1258"/>
      <c r="AG340" s="1258"/>
      <c r="AH340" s="1258"/>
    </row>
    <row r="341" spans="2:37" ht="15" customHeight="1" x14ac:dyDescent="0.2">
      <c r="B341" s="1259" t="s">
        <v>484</v>
      </c>
      <c r="C341" s="1259"/>
      <c r="D341" s="1259"/>
      <c r="E341" s="1259"/>
      <c r="F341" s="1199" t="str">
        <f>Info_D1</f>
        <v>J2 13:30-14:20  1er DUEL</v>
      </c>
      <c r="G341" s="1199"/>
      <c r="H341" s="1199"/>
      <c r="I341" s="1199"/>
      <c r="J341" s="1199"/>
      <c r="K341" s="1258"/>
      <c r="L341" s="1258"/>
      <c r="M341" s="1258"/>
      <c r="N341" s="1258"/>
      <c r="O341" s="1258"/>
      <c r="S341" s="571" t="s">
        <v>994</v>
      </c>
      <c r="U341" s="1259" t="s">
        <v>484</v>
      </c>
      <c r="V341" s="1259"/>
      <c r="W341" s="1259"/>
      <c r="X341" s="1259"/>
      <c r="Y341" s="1199" t="str">
        <f>Info_D1</f>
        <v>J2 13:30-14:20  1er DUEL</v>
      </c>
      <c r="Z341" s="1199"/>
      <c r="AA341" s="1199"/>
      <c r="AB341" s="1199"/>
      <c r="AC341" s="1199"/>
      <c r="AD341" s="1258"/>
      <c r="AE341" s="1258"/>
      <c r="AF341" s="1258"/>
      <c r="AG341" s="1258"/>
      <c r="AH341" s="1258"/>
    </row>
    <row r="342" spans="2:37" ht="15" customHeight="1" x14ac:dyDescent="0.2">
      <c r="B342" s="1259" t="s">
        <v>972</v>
      </c>
      <c r="C342" s="1259"/>
      <c r="D342" s="1259"/>
      <c r="E342" s="1259"/>
      <c r="F342" s="1199" t="str">
        <f>Info_D2</f>
        <v>J2 14:30-15:20 2ème DUEL</v>
      </c>
      <c r="G342" s="1199"/>
      <c r="H342" s="1199"/>
      <c r="I342" s="1199"/>
      <c r="J342" s="1199"/>
      <c r="K342" s="1258"/>
      <c r="L342" s="1258"/>
      <c r="M342" s="1258"/>
      <c r="N342" s="1258"/>
      <c r="O342" s="1258"/>
      <c r="S342" s="571" t="s">
        <v>994</v>
      </c>
      <c r="U342" s="1259" t="s">
        <v>972</v>
      </c>
      <c r="V342" s="1259"/>
      <c r="W342" s="1259"/>
      <c r="X342" s="1259"/>
      <c r="Y342" s="1199" t="str">
        <f>Info_D2</f>
        <v>J2 14:30-15:20 2ème DUEL</v>
      </c>
      <c r="Z342" s="1199"/>
      <c r="AA342" s="1199"/>
      <c r="AB342" s="1199"/>
      <c r="AC342" s="1199"/>
      <c r="AD342" s="1258"/>
      <c r="AE342" s="1258"/>
      <c r="AF342" s="1258"/>
      <c r="AG342" s="1258"/>
      <c r="AH342" s="1258"/>
    </row>
    <row r="343" spans="2:37" ht="15" customHeight="1" x14ac:dyDescent="0.2">
      <c r="B343" s="1259" t="s">
        <v>973</v>
      </c>
      <c r="C343" s="1259"/>
      <c r="D343" s="1259"/>
      <c r="E343" s="1259"/>
      <c r="F343" s="1199" t="str">
        <f>Info_D3</f>
        <v>J3 10-10:50 Match pl. 5 à +  ETAB - EX</v>
      </c>
      <c r="G343" s="1199"/>
      <c r="H343" s="1199"/>
      <c r="I343" s="1199"/>
      <c r="J343" s="1199"/>
      <c r="K343" s="1258"/>
      <c r="L343" s="1258"/>
      <c r="M343" s="1258"/>
      <c r="N343" s="1258"/>
      <c r="O343" s="1258"/>
      <c r="S343" s="646" t="s">
        <v>995</v>
      </c>
      <c r="U343" s="1259" t="s">
        <v>973</v>
      </c>
      <c r="V343" s="1259"/>
      <c r="W343" s="1259"/>
      <c r="X343" s="1259"/>
      <c r="Y343" s="1199" t="str">
        <f>Info_D3</f>
        <v>J3 10-10:50 Match pl. 5 à +  ETAB - EX</v>
      </c>
      <c r="Z343" s="1199"/>
      <c r="AA343" s="1199"/>
      <c r="AB343" s="1199"/>
      <c r="AC343" s="1199"/>
      <c r="AD343" s="1258"/>
      <c r="AE343" s="1258"/>
      <c r="AF343" s="1258"/>
      <c r="AG343" s="1258"/>
      <c r="AH343" s="1258"/>
    </row>
    <row r="344" spans="2:37" ht="24.75" customHeight="1" x14ac:dyDescent="0.2">
      <c r="B344" s="626" t="s">
        <v>976</v>
      </c>
      <c r="S344" s="571" t="s">
        <v>994</v>
      </c>
      <c r="U344" s="626" t="s">
        <v>976</v>
      </c>
    </row>
    <row r="345" spans="2:37" ht="134.25" customHeight="1" x14ac:dyDescent="0.2">
      <c r="B345"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C345" s="1264"/>
      <c r="D345" s="1264"/>
      <c r="E345" s="1264"/>
      <c r="F345" s="1264"/>
      <c r="G345" s="1264"/>
      <c r="H345" s="1264"/>
      <c r="I345" s="1264"/>
      <c r="J345" s="1264"/>
      <c r="K345" s="1264"/>
      <c r="L345" s="1264"/>
      <c r="M345" s="1264"/>
      <c r="N345" s="1264"/>
      <c r="O345" s="1264"/>
      <c r="P345" s="1265"/>
      <c r="S345" s="571" t="s">
        <v>994</v>
      </c>
      <c r="U345"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V345" s="1264"/>
      <c r="W345" s="1264"/>
      <c r="X345" s="1264"/>
      <c r="Y345" s="1264"/>
      <c r="Z345" s="1264"/>
      <c r="AA345" s="1264"/>
      <c r="AB345" s="1264"/>
      <c r="AC345" s="1264"/>
      <c r="AD345" s="1264"/>
      <c r="AE345" s="1264"/>
      <c r="AF345" s="1264"/>
      <c r="AG345" s="1264"/>
      <c r="AH345" s="1264"/>
      <c r="AI345" s="1265"/>
    </row>
    <row r="346" spans="2:37" ht="15" customHeight="1" x14ac:dyDescent="0.2">
      <c r="C346" s="508" t="s">
        <v>964</v>
      </c>
      <c r="K346" s="508" t="s">
        <v>965</v>
      </c>
      <c r="O346" s="508" t="s">
        <v>966</v>
      </c>
      <c r="S346" s="646" t="s">
        <v>995</v>
      </c>
      <c r="V346" s="508" t="s">
        <v>964</v>
      </c>
      <c r="AD346" s="508" t="s">
        <v>965</v>
      </c>
      <c r="AH346" s="508" t="s">
        <v>966</v>
      </c>
    </row>
    <row r="347" spans="2:37" ht="15" customHeight="1" x14ac:dyDescent="0.2">
      <c r="S347" s="571" t="s">
        <v>994</v>
      </c>
    </row>
    <row r="348" spans="2:37" ht="15" customHeight="1" x14ac:dyDescent="0.2">
      <c r="S348" s="571" t="s">
        <v>994</v>
      </c>
    </row>
    <row r="349" spans="2:37" ht="15" customHeight="1" x14ac:dyDescent="0.2">
      <c r="S349" s="646" t="s">
        <v>995</v>
      </c>
    </row>
    <row r="350" spans="2:37" ht="15" customHeight="1" x14ac:dyDescent="0.2">
      <c r="S350" s="571" t="s">
        <v>994</v>
      </c>
    </row>
    <row r="351" spans="2:37" ht="15" customHeight="1" x14ac:dyDescent="0.2">
      <c r="S351" s="571" t="s">
        <v>994</v>
      </c>
    </row>
    <row r="352" spans="2:37" ht="21.75" x14ac:dyDescent="0.2">
      <c r="S352" s="646" t="s">
        <v>995</v>
      </c>
    </row>
    <row r="353" spans="1:37" x14ac:dyDescent="0.2">
      <c r="S353" s="571" t="s">
        <v>994</v>
      </c>
    </row>
    <row r="354" spans="1:37" ht="30" x14ac:dyDescent="0.2">
      <c r="A354" s="1262" t="str">
        <f>Championnat</f>
        <v>Championnat de France de Tir à l'ARC</v>
      </c>
      <c r="B354" s="1262"/>
      <c r="C354" s="1262"/>
      <c r="D354" s="1262"/>
      <c r="E354" s="1262"/>
      <c r="F354" s="1262"/>
      <c r="G354" s="1262"/>
      <c r="H354" s="1262"/>
      <c r="I354" s="1262"/>
      <c r="J354" s="1262"/>
      <c r="K354" s="1262"/>
      <c r="L354" s="1262"/>
      <c r="M354" s="1262"/>
      <c r="N354" s="1262"/>
      <c r="O354" s="1262"/>
      <c r="P354" s="1262"/>
      <c r="Q354" s="1262"/>
      <c r="R354" s="1262"/>
      <c r="S354" s="571" t="s">
        <v>994</v>
      </c>
      <c r="T354" s="1262" t="str">
        <f>Championnat</f>
        <v>Championnat de France de Tir à l'ARC</v>
      </c>
      <c r="U354" s="1262"/>
      <c r="V354" s="1262"/>
      <c r="W354" s="1262"/>
      <c r="X354" s="1262"/>
      <c r="Y354" s="1262"/>
      <c r="Z354" s="1262"/>
      <c r="AA354" s="1262"/>
      <c r="AB354" s="1262"/>
      <c r="AC354" s="1262"/>
      <c r="AD354" s="1262"/>
      <c r="AE354" s="1262"/>
      <c r="AF354" s="1262"/>
      <c r="AG354" s="1262"/>
      <c r="AH354" s="1262"/>
      <c r="AI354" s="1262"/>
      <c r="AJ354" s="1262"/>
      <c r="AK354" s="1262"/>
    </row>
    <row r="355" spans="1:37" ht="24.75" customHeight="1" x14ac:dyDescent="0.2">
      <c r="A355" s="1184" t="str">
        <f>LIEU&amp;" du "&amp;DATE</f>
        <v>L’Isle sur la Sorgue du 27 au 31 mars 2023</v>
      </c>
      <c r="B355" s="1184"/>
      <c r="C355" s="1184"/>
      <c r="D355" s="1184"/>
      <c r="E355" s="1184"/>
      <c r="F355" s="1184"/>
      <c r="G355" s="1184"/>
      <c r="H355" s="1184"/>
      <c r="I355" s="1184"/>
      <c r="J355" s="1184"/>
      <c r="K355" s="1184"/>
      <c r="L355" s="1184"/>
      <c r="M355" s="1184"/>
      <c r="N355" s="1184"/>
      <c r="O355" s="1184"/>
      <c r="P355" s="1184"/>
      <c r="Q355" s="1184"/>
      <c r="R355" s="1184"/>
      <c r="S355" s="646" t="s">
        <v>995</v>
      </c>
      <c r="T355" s="1184" t="str">
        <f>LIEU&amp;" du "&amp;DATE</f>
        <v>L’Isle sur la Sorgue du 27 au 31 mars 2023</v>
      </c>
      <c r="U355" s="1184"/>
      <c r="V355" s="1184"/>
      <c r="W355" s="1184"/>
      <c r="X355" s="1184"/>
      <c r="Y355" s="1184"/>
      <c r="Z355" s="1184"/>
      <c r="AA355" s="1184"/>
      <c r="AB355" s="1184"/>
      <c r="AC355" s="1184"/>
      <c r="AD355" s="1184"/>
      <c r="AE355" s="1184"/>
      <c r="AF355" s="1184"/>
      <c r="AG355" s="1184"/>
      <c r="AH355" s="1184"/>
      <c r="AI355" s="1184"/>
      <c r="AJ355" s="1184"/>
      <c r="AK355" s="1184"/>
    </row>
    <row r="356" spans="1:37" s="218" customFormat="1" ht="40.5" customHeight="1" x14ac:dyDescent="0.2">
      <c r="A356" s="1268" t="str">
        <f>CATEG_IMPORTEE</f>
        <v>Collèges Mixtes Etablissement</v>
      </c>
      <c r="B356" s="1268"/>
      <c r="C356" s="1268"/>
      <c r="D356" s="1268"/>
      <c r="E356" s="1268"/>
      <c r="F356" s="1268"/>
      <c r="G356" s="1268"/>
      <c r="H356" s="1268"/>
      <c r="I356" s="1268"/>
      <c r="J356" s="1268"/>
      <c r="K356" s="1268"/>
      <c r="L356" s="1268"/>
      <c r="M356" s="1268"/>
      <c r="N356" s="1268"/>
      <c r="O356" s="1268"/>
      <c r="P356" s="1268"/>
      <c r="Q356" s="1268"/>
      <c r="R356" s="1268"/>
      <c r="S356" s="571" t="s">
        <v>994</v>
      </c>
      <c r="T356" s="1268" t="str">
        <f>CATEG_IMPORTEE</f>
        <v>Collèges Mixtes Etablissement</v>
      </c>
      <c r="U356" s="1268"/>
      <c r="V356" s="1268"/>
      <c r="W356" s="1268"/>
      <c r="X356" s="1268"/>
      <c r="Y356" s="1268"/>
      <c r="Z356" s="1268"/>
      <c r="AA356" s="1268"/>
      <c r="AB356" s="1268"/>
      <c r="AC356" s="1268"/>
      <c r="AD356" s="1268"/>
      <c r="AE356" s="1268"/>
      <c r="AF356" s="1268"/>
      <c r="AG356" s="1268"/>
      <c r="AH356" s="1268"/>
      <c r="AI356" s="1268"/>
      <c r="AJ356" s="1268"/>
      <c r="AK356" s="1268"/>
    </row>
    <row r="357" spans="1:37" s="218" customFormat="1" ht="19.5" customHeight="1" x14ac:dyDescent="0.2">
      <c r="A357" s="625"/>
      <c r="B357" s="625"/>
      <c r="C357" s="625"/>
      <c r="D357" s="625"/>
      <c r="E357" s="625"/>
      <c r="F357" s="625"/>
      <c r="G357" s="625"/>
      <c r="H357" s="625"/>
      <c r="I357" s="625"/>
      <c r="J357" s="625"/>
      <c r="K357" s="625"/>
      <c r="L357" s="625"/>
      <c r="M357" s="625"/>
      <c r="N357" s="625"/>
      <c r="O357" s="625"/>
      <c r="P357" s="625"/>
      <c r="Q357" s="625"/>
      <c r="R357" s="625"/>
      <c r="S357" s="571" t="s">
        <v>994</v>
      </c>
      <c r="T357" s="625"/>
      <c r="U357" s="625"/>
      <c r="V357" s="625"/>
      <c r="W357" s="625"/>
      <c r="X357" s="625"/>
      <c r="Y357" s="625"/>
      <c r="Z357" s="625"/>
      <c r="AA357" s="625"/>
      <c r="AB357" s="625"/>
      <c r="AC357" s="625"/>
      <c r="AD357" s="625"/>
      <c r="AE357" s="625"/>
      <c r="AF357" s="625"/>
      <c r="AG357" s="625"/>
      <c r="AH357" s="625"/>
      <c r="AI357" s="625"/>
      <c r="AJ357" s="625"/>
      <c r="AK357" s="625"/>
    </row>
    <row r="358" spans="1:37" ht="47.25" customHeight="1" x14ac:dyDescent="0.2">
      <c r="A358" s="620"/>
      <c r="B358" s="620"/>
      <c r="C358" s="620"/>
      <c r="D358" s="620"/>
      <c r="E358" s="620"/>
      <c r="F358" s="620"/>
      <c r="G358" s="620"/>
      <c r="H358" s="620"/>
      <c r="I358" s="620"/>
      <c r="J358" s="620"/>
      <c r="K358" s="620"/>
      <c r="L358" s="620"/>
      <c r="M358" s="620"/>
      <c r="N358" s="1072" t="s">
        <v>628</v>
      </c>
      <c r="O358" s="1073"/>
      <c r="P358" s="1271">
        <f>P326+1</f>
        <v>12</v>
      </c>
      <c r="Q358" s="1271"/>
      <c r="R358" s="1271"/>
      <c r="S358" s="646" t="s">
        <v>995</v>
      </c>
      <c r="T358" s="620"/>
      <c r="U358" s="620"/>
      <c r="V358" s="620"/>
      <c r="W358" s="620"/>
      <c r="X358" s="620"/>
      <c r="Y358" s="620"/>
      <c r="Z358" s="620"/>
      <c r="AA358" s="620"/>
      <c r="AB358" s="620"/>
      <c r="AC358" s="620"/>
      <c r="AD358" s="620"/>
      <c r="AE358" s="620"/>
      <c r="AF358" s="620"/>
      <c r="AG358" s="1072" t="s">
        <v>628</v>
      </c>
      <c r="AH358" s="1073"/>
      <c r="AI358" s="1271">
        <f>AI326+1</f>
        <v>12</v>
      </c>
      <c r="AJ358" s="1271"/>
      <c r="AK358" s="1271"/>
    </row>
    <row r="359" spans="1:37" ht="36.75" customHeight="1" x14ac:dyDescent="0.2">
      <c r="A359" s="1272" t="e">
        <f>VLOOKUP(J366,ID_archer_cible,2,FALSE)</f>
        <v>#N/A</v>
      </c>
      <c r="B359" s="1272"/>
      <c r="C359" s="1272"/>
      <c r="D359" s="1272"/>
      <c r="E359" s="1272"/>
      <c r="F359" s="1272"/>
      <c r="G359" s="1272"/>
      <c r="H359" s="1272"/>
      <c r="I359" s="1272"/>
      <c r="J359" s="1272"/>
      <c r="K359" s="1272"/>
      <c r="L359" s="1272"/>
      <c r="M359" s="1272"/>
      <c r="N359" s="1272"/>
      <c r="O359" s="1272"/>
      <c r="P359" s="1272"/>
      <c r="Q359" s="1272"/>
      <c r="R359" s="1272"/>
      <c r="S359" s="571" t="s">
        <v>994</v>
      </c>
      <c r="T359" s="1272" t="e">
        <f>VLOOKUP(AC366,ID_archer_cible,2,FALSE)</f>
        <v>#N/A</v>
      </c>
      <c r="U359" s="1272"/>
      <c r="V359" s="1272"/>
      <c r="W359" s="1272"/>
      <c r="X359" s="1272"/>
      <c r="Y359" s="1272"/>
      <c r="Z359" s="1272"/>
      <c r="AA359" s="1272"/>
      <c r="AB359" s="1272"/>
      <c r="AC359" s="1272"/>
      <c r="AD359" s="1272"/>
      <c r="AE359" s="1272"/>
      <c r="AF359" s="1272"/>
      <c r="AG359" s="1272"/>
      <c r="AH359" s="1272"/>
      <c r="AI359" s="1272"/>
      <c r="AJ359" s="1272"/>
      <c r="AK359" s="1272"/>
    </row>
    <row r="360" spans="1:37" ht="21.75" customHeight="1" x14ac:dyDescent="0.2">
      <c r="I360" s="621"/>
      <c r="J360" s="621"/>
      <c r="K360" s="621"/>
      <c r="L360" s="621"/>
      <c r="M360" s="621"/>
      <c r="N360" s="621"/>
      <c r="P360" s="619"/>
      <c r="Q360" s="619"/>
      <c r="R360" s="619"/>
      <c r="S360" s="571" t="s">
        <v>994</v>
      </c>
      <c r="AB360" s="621"/>
      <c r="AC360" s="621"/>
      <c r="AD360" s="621"/>
      <c r="AE360" s="621"/>
      <c r="AF360" s="621"/>
      <c r="AG360" s="621"/>
      <c r="AI360" s="619"/>
      <c r="AJ360" s="619"/>
      <c r="AK360" s="619"/>
    </row>
    <row r="361" spans="1:37" ht="17.25" customHeight="1" x14ac:dyDescent="0.2">
      <c r="A361" s="1125"/>
      <c r="B361" s="1125"/>
      <c r="C361" s="1125"/>
      <c r="D361" s="1125"/>
      <c r="E361" s="1125"/>
      <c r="F361" s="1125"/>
      <c r="G361" s="1125"/>
      <c r="H361" s="1125"/>
      <c r="I361" s="1125"/>
      <c r="J361" s="1125"/>
      <c r="K361" s="1125"/>
      <c r="L361" s="1125" t="s">
        <v>374</v>
      </c>
      <c r="M361" s="1125"/>
      <c r="N361" s="1125"/>
      <c r="O361" s="1125"/>
      <c r="P361" s="1125"/>
      <c r="Q361" s="1125"/>
      <c r="R361" s="1125"/>
      <c r="S361" s="646" t="s">
        <v>995</v>
      </c>
      <c r="T361" s="1125"/>
      <c r="U361" s="1125"/>
      <c r="V361" s="1125"/>
      <c r="W361" s="1125"/>
      <c r="X361" s="1125"/>
      <c r="Y361" s="1125"/>
      <c r="Z361" s="1125"/>
      <c r="AA361" s="1125"/>
      <c r="AB361" s="1125"/>
      <c r="AC361" s="1125"/>
      <c r="AD361" s="1125"/>
      <c r="AE361" s="1125" t="s">
        <v>374</v>
      </c>
      <c r="AF361" s="1125"/>
      <c r="AG361" s="1125"/>
      <c r="AH361" s="1125"/>
      <c r="AI361" s="1125"/>
      <c r="AJ361" s="1125"/>
      <c r="AK361" s="1125"/>
    </row>
    <row r="362" spans="1:37" ht="32.25" customHeight="1" x14ac:dyDescent="0.2">
      <c r="A362" s="1269" t="e">
        <f>VLOOKUP(J366,ID_archer_cible,3,FALSE)</f>
        <v>#N/A</v>
      </c>
      <c r="B362" s="1269"/>
      <c r="C362" s="1269"/>
      <c r="D362" s="1269"/>
      <c r="E362" s="1269"/>
      <c r="F362" s="1269"/>
      <c r="G362" s="1269"/>
      <c r="H362" s="1269"/>
      <c r="I362" s="1269"/>
      <c r="J362" s="1269"/>
      <c r="K362" s="1269"/>
      <c r="L362" s="1270" t="e">
        <f>VLOOKUP(J366,ID_archer_cible,4,FALSE)</f>
        <v>#N/A</v>
      </c>
      <c r="M362" s="1270"/>
      <c r="N362" s="1270"/>
      <c r="O362" s="1270"/>
      <c r="P362" s="1270"/>
      <c r="Q362" s="1270"/>
      <c r="R362" s="1270"/>
      <c r="S362" s="571" t="s">
        <v>994</v>
      </c>
      <c r="T362" s="1269" t="e">
        <f>VLOOKUP(AC366,ID_archer_cible,3,FALSE)</f>
        <v>#N/A</v>
      </c>
      <c r="U362" s="1269"/>
      <c r="V362" s="1269"/>
      <c r="W362" s="1269"/>
      <c r="X362" s="1269"/>
      <c r="Y362" s="1269"/>
      <c r="Z362" s="1269"/>
      <c r="AA362" s="1269"/>
      <c r="AB362" s="1269"/>
      <c r="AC362" s="1269"/>
      <c r="AD362" s="1269"/>
      <c r="AE362" s="1270" t="e">
        <f>VLOOKUP(AC366,ID_archer_cible,4,FALSE)</f>
        <v>#N/A</v>
      </c>
      <c r="AF362" s="1270"/>
      <c r="AG362" s="1270"/>
      <c r="AH362" s="1270"/>
      <c r="AI362" s="1270"/>
      <c r="AJ362" s="1270"/>
      <c r="AK362" s="1270"/>
    </row>
    <row r="363" spans="1:37" ht="17.25" customHeight="1" x14ac:dyDescent="0.2">
      <c r="E363" s="584"/>
      <c r="F363" s="584"/>
      <c r="G363" s="584"/>
      <c r="H363" s="584"/>
      <c r="I363" s="618"/>
      <c r="J363" s="618"/>
      <c r="K363" s="618"/>
      <c r="L363" s="618"/>
      <c r="M363" s="618"/>
      <c r="N363" s="618"/>
      <c r="P363" s="1266" t="str">
        <f>IFERROR(IF(AND(R366="oui",R367="oui",R368="oui",R369="oui"),"PRO",""),"")</f>
        <v/>
      </c>
      <c r="Q363" s="1266"/>
      <c r="R363" s="1266"/>
      <c r="S363" s="571" t="s">
        <v>994</v>
      </c>
      <c r="X363" s="584"/>
      <c r="Y363" s="584"/>
      <c r="Z363" s="584"/>
      <c r="AA363" s="584"/>
      <c r="AB363" s="618"/>
      <c r="AC363" s="618"/>
      <c r="AD363" s="618"/>
      <c r="AE363" s="618"/>
      <c r="AF363" s="618"/>
      <c r="AG363" s="618"/>
      <c r="AI363" s="1266" t="str">
        <f>IFERROR(IF(AND(AK366="oui",AK367="oui",AK368="oui",AK369="oui"),"PRO",""),"")</f>
        <v/>
      </c>
      <c r="AJ363" s="1266"/>
      <c r="AK363" s="1266"/>
    </row>
    <row r="364" spans="1:37" ht="20.25" customHeight="1" x14ac:dyDescent="0.2">
      <c r="P364" s="1267"/>
      <c r="Q364" s="1267"/>
      <c r="R364" s="1267"/>
      <c r="S364" s="646" t="s">
        <v>995</v>
      </c>
      <c r="AI364" s="1267"/>
      <c r="AJ364" s="1267"/>
      <c r="AK364" s="1267"/>
    </row>
    <row r="365" spans="1:37" ht="25.5" customHeight="1" x14ac:dyDescent="0.2">
      <c r="B365" s="1273" t="s">
        <v>906</v>
      </c>
      <c r="C365" s="1273"/>
      <c r="D365" s="1273"/>
      <c r="E365" s="1273"/>
      <c r="F365" s="1273"/>
      <c r="G365" s="1273"/>
      <c r="H365" s="1273"/>
      <c r="I365" s="1273"/>
      <c r="J365" s="622" t="s">
        <v>552</v>
      </c>
      <c r="K365" s="623" t="s">
        <v>893</v>
      </c>
      <c r="L365" s="1275" t="s">
        <v>550</v>
      </c>
      <c r="M365" s="1276"/>
      <c r="N365" s="1274" t="s">
        <v>905</v>
      </c>
      <c r="O365" s="1274"/>
      <c r="P365" s="1254" t="s">
        <v>551</v>
      </c>
      <c r="Q365" s="1254"/>
      <c r="R365" s="752" t="s">
        <v>1027</v>
      </c>
      <c r="S365" s="571" t="s">
        <v>994</v>
      </c>
      <c r="U365" s="1273" t="s">
        <v>906</v>
      </c>
      <c r="V365" s="1273"/>
      <c r="W365" s="1273"/>
      <c r="X365" s="1273"/>
      <c r="Y365" s="1273"/>
      <c r="Z365" s="1273"/>
      <c r="AA365" s="1273"/>
      <c r="AB365" s="1273"/>
      <c r="AC365" s="622" t="s">
        <v>552</v>
      </c>
      <c r="AD365" s="623" t="s">
        <v>893</v>
      </c>
      <c r="AE365" s="1275" t="s">
        <v>550</v>
      </c>
      <c r="AF365" s="1276"/>
      <c r="AG365" s="1274" t="s">
        <v>905</v>
      </c>
      <c r="AH365" s="1274"/>
      <c r="AI365" s="1254" t="s">
        <v>551</v>
      </c>
      <c r="AJ365" s="1254"/>
      <c r="AK365" s="752" t="s">
        <v>1027</v>
      </c>
    </row>
    <row r="366" spans="1:37" ht="45" customHeight="1" x14ac:dyDescent="0.2">
      <c r="B366" s="1255" t="e">
        <f>VLOOKUP(J366,ID_archer_cible,5,FALSE)&amp;"    "&amp;VLOOKUP(J366,ID_archer_cible,6,FALSE)</f>
        <v>#N/A</v>
      </c>
      <c r="C366" s="1255"/>
      <c r="D366" s="1255"/>
      <c r="E366" s="1255"/>
      <c r="F366" s="1255"/>
      <c r="G366" s="1255"/>
      <c r="H366" s="1255"/>
      <c r="I366" s="1255"/>
      <c r="J366" s="624" t="str">
        <f>P358&amp;"A"</f>
        <v>12A</v>
      </c>
      <c r="K366" s="574" t="e">
        <f>VLOOKUP(J366,ID_archer_cible,9,FALSE)</f>
        <v>#N/A</v>
      </c>
      <c r="L366" s="1256" t="e">
        <f>VLOOKUP(J366,ID_archer_cible,8,FALSE)</f>
        <v>#N/A</v>
      </c>
      <c r="M366" s="1257"/>
      <c r="N366" s="1260" t="e">
        <f>VLOOKUP(J366,ID_archer_cible,7,FALSE)</f>
        <v>#N/A</v>
      </c>
      <c r="O366" s="1261"/>
      <c r="P366" s="828" t="e">
        <f>VLOOKUP(J366,ID_archer_cible,10,FALSE)</f>
        <v>#N/A</v>
      </c>
      <c r="Q366" s="829" t="e">
        <f>IF(VLOOKUP(L366,N°LicPRO,3,FALSE)="oui","COACH","")</f>
        <v>#N/A</v>
      </c>
      <c r="R366" s="742" t="str">
        <f>IFERROR(VLOOKUP(L366,N°LicPRO,2,FALSE),"")</f>
        <v/>
      </c>
      <c r="S366" s="571" t="s">
        <v>994</v>
      </c>
      <c r="U366" s="1255" t="e">
        <f>VLOOKUP(AC366,ID_archer_cible,5,FALSE)&amp;"    "&amp;VLOOKUP(AC366,ID_archer_cible,6,FALSE)</f>
        <v>#N/A</v>
      </c>
      <c r="V366" s="1255"/>
      <c r="W366" s="1255"/>
      <c r="X366" s="1255"/>
      <c r="Y366" s="1255"/>
      <c r="Z366" s="1255"/>
      <c r="AA366" s="1255"/>
      <c r="AB366" s="1255"/>
      <c r="AC366" s="624" t="str">
        <f>AI358&amp;"A"</f>
        <v>12A</v>
      </c>
      <c r="AD366" s="574" t="e">
        <f>VLOOKUP(AC366,ID_archer_cible,9,FALSE)</f>
        <v>#N/A</v>
      </c>
      <c r="AE366" s="1256" t="e">
        <f>VLOOKUP(AC366,ID_archer_cible,8,FALSE)</f>
        <v>#N/A</v>
      </c>
      <c r="AF366" s="1257"/>
      <c r="AG366" s="1260" t="e">
        <f>VLOOKUP(AC366,ID_archer_cible,7,FALSE)</f>
        <v>#N/A</v>
      </c>
      <c r="AH366" s="1261"/>
      <c r="AI366" s="828" t="e">
        <f>VLOOKUP(AC366,ID_archer_cible,10,FALSE)</f>
        <v>#N/A</v>
      </c>
      <c r="AJ366" s="829" t="e">
        <f>IF(VLOOKUP(AE366,N°LicPRO,3,FALSE)="oui","COACH","")</f>
        <v>#N/A</v>
      </c>
      <c r="AK366" s="742" t="str">
        <f>IFERROR(VLOOKUP(AE366,N°LicPRO,2,FALSE),"")</f>
        <v/>
      </c>
    </row>
    <row r="367" spans="1:37" ht="45" customHeight="1" x14ac:dyDescent="0.2">
      <c r="B367" s="1255" t="e">
        <f>VLOOKUP(J367,ID_archer_cible,5,FALSE)&amp;"    "&amp;VLOOKUP(J367,ID_archer_cible,6,FALSE)</f>
        <v>#N/A</v>
      </c>
      <c r="C367" s="1255"/>
      <c r="D367" s="1255"/>
      <c r="E367" s="1255"/>
      <c r="F367" s="1255"/>
      <c r="G367" s="1255"/>
      <c r="H367" s="1255"/>
      <c r="I367" s="1255"/>
      <c r="J367" s="624" t="str">
        <f>P358&amp;"B"</f>
        <v>12B</v>
      </c>
      <c r="K367" s="574" t="e">
        <f>VLOOKUP(J367,ID_archer_cible,9,FALSE)</f>
        <v>#N/A</v>
      </c>
      <c r="L367" s="1256" t="e">
        <f>VLOOKUP(J367,ID_archer_cible,8,FALSE)</f>
        <v>#N/A</v>
      </c>
      <c r="M367" s="1257"/>
      <c r="N367" s="1260" t="e">
        <f>VLOOKUP(J367,ID_archer_cible,7,FALSE)</f>
        <v>#N/A</v>
      </c>
      <c r="O367" s="1261"/>
      <c r="P367" s="828" t="e">
        <f>VLOOKUP(J367,ID_archer_cible,10,FALSE)</f>
        <v>#N/A</v>
      </c>
      <c r="Q367" s="829" t="e">
        <f>IF(VLOOKUP(L367,N°LicPRO,3,FALSE)="oui","COACH","")</f>
        <v>#N/A</v>
      </c>
      <c r="R367" s="742" t="str">
        <f>IFERROR(VLOOKUP(L367,N°LicPRO,2,FALSE),"")</f>
        <v/>
      </c>
      <c r="S367" s="646" t="s">
        <v>995</v>
      </c>
      <c r="U367" s="1255" t="e">
        <f>VLOOKUP(AC367,ID_archer_cible,5,FALSE)&amp;"    "&amp;VLOOKUP(AC367,ID_archer_cible,6,FALSE)</f>
        <v>#N/A</v>
      </c>
      <c r="V367" s="1255"/>
      <c r="W367" s="1255"/>
      <c r="X367" s="1255"/>
      <c r="Y367" s="1255"/>
      <c r="Z367" s="1255"/>
      <c r="AA367" s="1255"/>
      <c r="AB367" s="1255"/>
      <c r="AC367" s="624" t="str">
        <f>AI358&amp;"B"</f>
        <v>12B</v>
      </c>
      <c r="AD367" s="574" t="e">
        <f>VLOOKUP(AC367,ID_archer_cible,9,FALSE)</f>
        <v>#N/A</v>
      </c>
      <c r="AE367" s="1256" t="e">
        <f>VLOOKUP(AC367,ID_archer_cible,8,FALSE)</f>
        <v>#N/A</v>
      </c>
      <c r="AF367" s="1257"/>
      <c r="AG367" s="1260" t="e">
        <f>VLOOKUP(AC367,ID_archer_cible,7,FALSE)</f>
        <v>#N/A</v>
      </c>
      <c r="AH367" s="1261"/>
      <c r="AI367" s="828" t="e">
        <f>VLOOKUP(AC367,ID_archer_cible,10,FALSE)</f>
        <v>#N/A</v>
      </c>
      <c r="AJ367" s="829" t="e">
        <f>IF(VLOOKUP(AE367,N°LicPRO,3,FALSE)="oui","COACH","")</f>
        <v>#N/A</v>
      </c>
      <c r="AK367" s="742" t="str">
        <f>IFERROR(VLOOKUP(AE367,N°LicPRO,2,FALSE),"")</f>
        <v/>
      </c>
    </row>
    <row r="368" spans="1:37" ht="45" customHeight="1" x14ac:dyDescent="0.2">
      <c r="B368" s="1255" t="e">
        <f>VLOOKUP(J368,ID_archer_cible,5,FALSE)&amp;"    "&amp;VLOOKUP(J368,ID_archer_cible,6,FALSE)</f>
        <v>#N/A</v>
      </c>
      <c r="C368" s="1255"/>
      <c r="D368" s="1255"/>
      <c r="E368" s="1255"/>
      <c r="F368" s="1255"/>
      <c r="G368" s="1255"/>
      <c r="H368" s="1255"/>
      <c r="I368" s="1255"/>
      <c r="J368" s="624" t="str">
        <f>P358&amp;"C"</f>
        <v>12C</v>
      </c>
      <c r="K368" s="574" t="e">
        <f>VLOOKUP(J368,ID_archer_cible,9,FALSE)</f>
        <v>#N/A</v>
      </c>
      <c r="L368" s="1256" t="e">
        <f>VLOOKUP(J368,ID_archer_cible,8,FALSE)</f>
        <v>#N/A</v>
      </c>
      <c r="M368" s="1257"/>
      <c r="N368" s="1260" t="e">
        <f>VLOOKUP(J368,ID_archer_cible,7,FALSE)</f>
        <v>#N/A</v>
      </c>
      <c r="O368" s="1261"/>
      <c r="P368" s="828" t="e">
        <f>VLOOKUP(J368,ID_archer_cible,10,FALSE)</f>
        <v>#N/A</v>
      </c>
      <c r="Q368" s="829" t="e">
        <f>IF(VLOOKUP(L368,N°LicPRO,3,FALSE)="oui","COACH","")</f>
        <v>#N/A</v>
      </c>
      <c r="R368" s="742" t="str">
        <f>IFERROR(VLOOKUP(L368,N°LicPRO,2,FALSE),"")</f>
        <v/>
      </c>
      <c r="S368" s="571" t="s">
        <v>994</v>
      </c>
      <c r="U368" s="1255" t="e">
        <f>VLOOKUP(AC368,ID_archer_cible,5,FALSE)&amp;"    "&amp;VLOOKUP(AC368,ID_archer_cible,6,FALSE)</f>
        <v>#N/A</v>
      </c>
      <c r="V368" s="1255"/>
      <c r="W368" s="1255"/>
      <c r="X368" s="1255"/>
      <c r="Y368" s="1255"/>
      <c r="Z368" s="1255"/>
      <c r="AA368" s="1255"/>
      <c r="AB368" s="1255"/>
      <c r="AC368" s="624" t="str">
        <f>AI358&amp;"C"</f>
        <v>12C</v>
      </c>
      <c r="AD368" s="574" t="e">
        <f>VLOOKUP(AC368,ID_archer_cible,9,FALSE)</f>
        <v>#N/A</v>
      </c>
      <c r="AE368" s="1256" t="e">
        <f>VLOOKUP(AC368,ID_archer_cible,8,FALSE)</f>
        <v>#N/A</v>
      </c>
      <c r="AF368" s="1257"/>
      <c r="AG368" s="1260" t="e">
        <f>VLOOKUP(AC368,ID_archer_cible,7,FALSE)</f>
        <v>#N/A</v>
      </c>
      <c r="AH368" s="1261"/>
      <c r="AI368" s="828" t="e">
        <f>VLOOKUP(AC368,ID_archer_cible,10,FALSE)</f>
        <v>#N/A</v>
      </c>
      <c r="AJ368" s="829" t="e">
        <f>IF(VLOOKUP(AE368,N°LicPRO,3,FALSE)="oui","COACH","")</f>
        <v>#N/A</v>
      </c>
      <c r="AK368" s="742" t="str">
        <f>IFERROR(VLOOKUP(AE368,N°LicPRO,2,FALSE),"")</f>
        <v/>
      </c>
    </row>
    <row r="369" spans="2:37" ht="45" customHeight="1" x14ac:dyDescent="0.2">
      <c r="B369" s="1255" t="e">
        <f>VLOOKUP(J369,ID_archer_cible,5,FALSE)&amp;"    "&amp;VLOOKUP(J369,ID_archer_cible,6,FALSE)</f>
        <v>#N/A</v>
      </c>
      <c r="C369" s="1255"/>
      <c r="D369" s="1255"/>
      <c r="E369" s="1255"/>
      <c r="F369" s="1255"/>
      <c r="G369" s="1255"/>
      <c r="H369" s="1255"/>
      <c r="I369" s="1255"/>
      <c r="J369" s="624" t="str">
        <f>P358&amp;"D"</f>
        <v>12D</v>
      </c>
      <c r="K369" s="574" t="e">
        <f>VLOOKUP(J369,ID_archer_cible,9,FALSE)</f>
        <v>#N/A</v>
      </c>
      <c r="L369" s="1256" t="e">
        <f>VLOOKUP(J369,ID_archer_cible,8,FALSE)</f>
        <v>#N/A</v>
      </c>
      <c r="M369" s="1257"/>
      <c r="N369" s="1260" t="e">
        <f>VLOOKUP(J369,ID_archer_cible,7,FALSE)</f>
        <v>#N/A</v>
      </c>
      <c r="O369" s="1261"/>
      <c r="P369" s="828" t="e">
        <f>VLOOKUP(J369,ID_archer_cible,10,FALSE)</f>
        <v>#N/A</v>
      </c>
      <c r="Q369" s="829" t="e">
        <f>IF(VLOOKUP(L369,N°LicPRO,3,FALSE)="oui","COACH","")</f>
        <v>#N/A</v>
      </c>
      <c r="R369" s="742" t="str">
        <f>IFERROR(VLOOKUP(L369,N°LicPRO,2,FALSE),"")</f>
        <v/>
      </c>
      <c r="S369" s="571" t="s">
        <v>994</v>
      </c>
      <c r="U369" s="1255" t="e">
        <f>VLOOKUP(AC369,ID_archer_cible,5,FALSE)&amp;"    "&amp;VLOOKUP(AC369,ID_archer_cible,6,FALSE)</f>
        <v>#N/A</v>
      </c>
      <c r="V369" s="1255"/>
      <c r="W369" s="1255"/>
      <c r="X369" s="1255"/>
      <c r="Y369" s="1255"/>
      <c r="Z369" s="1255"/>
      <c r="AA369" s="1255"/>
      <c r="AB369" s="1255"/>
      <c r="AC369" s="624" t="str">
        <f>AI358&amp;"D"</f>
        <v>12D</v>
      </c>
      <c r="AD369" s="574" t="e">
        <f>VLOOKUP(AC369,ID_archer_cible,9,FALSE)</f>
        <v>#N/A</v>
      </c>
      <c r="AE369" s="1256" t="e">
        <f>VLOOKUP(AC369,ID_archer_cible,8,FALSE)</f>
        <v>#N/A</v>
      </c>
      <c r="AF369" s="1257"/>
      <c r="AG369" s="1260" t="e">
        <f>VLOOKUP(AC369,ID_archer_cible,7,FALSE)</f>
        <v>#N/A</v>
      </c>
      <c r="AH369" s="1261"/>
      <c r="AI369" s="828" t="e">
        <f>VLOOKUP(AC369,ID_archer_cible,10,FALSE)</f>
        <v>#N/A</v>
      </c>
      <c r="AJ369" s="829" t="e">
        <f>IF(VLOOKUP(AE369,N°LicPRO,3,FALSE)="oui","COACH","")</f>
        <v>#N/A</v>
      </c>
      <c r="AK369" s="742" t="str">
        <f>IFERROR(VLOOKUP(AE369,N°LicPRO,2,FALSE),"")</f>
        <v/>
      </c>
    </row>
    <row r="370" spans="2:37" ht="15" customHeight="1" x14ac:dyDescent="0.2">
      <c r="S370" s="646" t="s">
        <v>995</v>
      </c>
    </row>
    <row r="371" spans="2:37" ht="15" customHeight="1" x14ac:dyDescent="0.2">
      <c r="B371" s="508" t="s">
        <v>975</v>
      </c>
      <c r="S371" s="571" t="s">
        <v>994</v>
      </c>
      <c r="U371" s="508" t="s">
        <v>975</v>
      </c>
    </row>
    <row r="372" spans="2:37" ht="15" customHeight="1" x14ac:dyDescent="0.2">
      <c r="B372" s="1259" t="s">
        <v>974</v>
      </c>
      <c r="C372" s="1259"/>
      <c r="D372" s="1259"/>
      <c r="E372" s="1259"/>
      <c r="F372" s="1199" t="str">
        <f>Info_TirQ</f>
        <v>J2 8:30-9:00 Ent. 9:00-10:30 Tirs Qual.</v>
      </c>
      <c r="G372" s="1199"/>
      <c r="H372" s="1199"/>
      <c r="I372" s="1199"/>
      <c r="J372" s="1199"/>
      <c r="K372" s="1258" t="s">
        <v>978</v>
      </c>
      <c r="L372" s="1258"/>
      <c r="M372" s="1258"/>
      <c r="N372" s="1258"/>
      <c r="O372" s="1258"/>
      <c r="S372" s="571" t="s">
        <v>994</v>
      </c>
      <c r="U372" s="1259" t="s">
        <v>974</v>
      </c>
      <c r="V372" s="1259"/>
      <c r="W372" s="1259"/>
      <c r="X372" s="1259"/>
      <c r="Y372" s="1199" t="str">
        <f>Info_TirQ</f>
        <v>J2 8:30-9:00 Ent. 9:00-10:30 Tirs Qual.</v>
      </c>
      <c r="Z372" s="1199"/>
      <c r="AA372" s="1199"/>
      <c r="AB372" s="1199"/>
      <c r="AC372" s="1199"/>
      <c r="AD372" s="1258" t="s">
        <v>978</v>
      </c>
      <c r="AE372" s="1258"/>
      <c r="AF372" s="1258"/>
      <c r="AG372" s="1258"/>
      <c r="AH372" s="1258"/>
    </row>
    <row r="373" spans="2:37" ht="15" customHeight="1" x14ac:dyDescent="0.2">
      <c r="B373" s="1259" t="s">
        <v>484</v>
      </c>
      <c r="C373" s="1259"/>
      <c r="D373" s="1259"/>
      <c r="E373" s="1259"/>
      <c r="F373" s="1199" t="str">
        <f>Info_D1</f>
        <v>J2 13:30-14:20  1er DUEL</v>
      </c>
      <c r="G373" s="1199"/>
      <c r="H373" s="1199"/>
      <c r="I373" s="1199"/>
      <c r="J373" s="1199"/>
      <c r="K373" s="1258"/>
      <c r="L373" s="1258"/>
      <c r="M373" s="1258"/>
      <c r="N373" s="1258"/>
      <c r="O373" s="1258"/>
      <c r="S373" s="646" t="s">
        <v>995</v>
      </c>
      <c r="U373" s="1259" t="s">
        <v>484</v>
      </c>
      <c r="V373" s="1259"/>
      <c r="W373" s="1259"/>
      <c r="X373" s="1259"/>
      <c r="Y373" s="1199" t="str">
        <f>Info_D1</f>
        <v>J2 13:30-14:20  1er DUEL</v>
      </c>
      <c r="Z373" s="1199"/>
      <c r="AA373" s="1199"/>
      <c r="AB373" s="1199"/>
      <c r="AC373" s="1199"/>
      <c r="AD373" s="1258"/>
      <c r="AE373" s="1258"/>
      <c r="AF373" s="1258"/>
      <c r="AG373" s="1258"/>
      <c r="AH373" s="1258"/>
    </row>
    <row r="374" spans="2:37" ht="15" customHeight="1" x14ac:dyDescent="0.2">
      <c r="B374" s="1259" t="s">
        <v>972</v>
      </c>
      <c r="C374" s="1259"/>
      <c r="D374" s="1259"/>
      <c r="E374" s="1259"/>
      <c r="F374" s="1199" t="str">
        <f>Info_D2</f>
        <v>J2 14:30-15:20 2ème DUEL</v>
      </c>
      <c r="G374" s="1199"/>
      <c r="H374" s="1199"/>
      <c r="I374" s="1199"/>
      <c r="J374" s="1199"/>
      <c r="K374" s="1258"/>
      <c r="L374" s="1258"/>
      <c r="M374" s="1258"/>
      <c r="N374" s="1258"/>
      <c r="O374" s="1258"/>
      <c r="S374" s="571" t="s">
        <v>994</v>
      </c>
      <c r="U374" s="1259" t="s">
        <v>972</v>
      </c>
      <c r="V374" s="1259"/>
      <c r="W374" s="1259"/>
      <c r="X374" s="1259"/>
      <c r="Y374" s="1199" t="str">
        <f>Info_D2</f>
        <v>J2 14:30-15:20 2ème DUEL</v>
      </c>
      <c r="Z374" s="1199"/>
      <c r="AA374" s="1199"/>
      <c r="AB374" s="1199"/>
      <c r="AC374" s="1199"/>
      <c r="AD374" s="1258"/>
      <c r="AE374" s="1258"/>
      <c r="AF374" s="1258"/>
      <c r="AG374" s="1258"/>
      <c r="AH374" s="1258"/>
    </row>
    <row r="375" spans="2:37" ht="15" customHeight="1" x14ac:dyDescent="0.2">
      <c r="B375" s="1259" t="s">
        <v>973</v>
      </c>
      <c r="C375" s="1259"/>
      <c r="D375" s="1259"/>
      <c r="E375" s="1259"/>
      <c r="F375" s="1199" t="str">
        <f>Info_D3</f>
        <v>J3 10-10:50 Match pl. 5 à +  ETAB - EX</v>
      </c>
      <c r="G375" s="1199"/>
      <c r="H375" s="1199"/>
      <c r="I375" s="1199"/>
      <c r="J375" s="1199"/>
      <c r="K375" s="1258"/>
      <c r="L375" s="1258"/>
      <c r="M375" s="1258"/>
      <c r="N375" s="1258"/>
      <c r="O375" s="1258"/>
      <c r="S375" s="571" t="s">
        <v>994</v>
      </c>
      <c r="U375" s="1259" t="s">
        <v>973</v>
      </c>
      <c r="V375" s="1259"/>
      <c r="W375" s="1259"/>
      <c r="X375" s="1259"/>
      <c r="Y375" s="1199" t="str">
        <f>Info_D3</f>
        <v>J3 10-10:50 Match pl. 5 à +  ETAB - EX</v>
      </c>
      <c r="Z375" s="1199"/>
      <c r="AA375" s="1199"/>
      <c r="AB375" s="1199"/>
      <c r="AC375" s="1199"/>
      <c r="AD375" s="1258"/>
      <c r="AE375" s="1258"/>
      <c r="AF375" s="1258"/>
      <c r="AG375" s="1258"/>
      <c r="AH375" s="1258"/>
    </row>
    <row r="376" spans="2:37" ht="24.75" customHeight="1" x14ac:dyDescent="0.2">
      <c r="B376" s="626" t="s">
        <v>976</v>
      </c>
      <c r="S376" s="646" t="s">
        <v>995</v>
      </c>
      <c r="U376" s="626" t="s">
        <v>976</v>
      </c>
    </row>
    <row r="377" spans="2:37" ht="134.25" customHeight="1" x14ac:dyDescent="0.2">
      <c r="B377"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C377" s="1264"/>
      <c r="D377" s="1264"/>
      <c r="E377" s="1264"/>
      <c r="F377" s="1264"/>
      <c r="G377" s="1264"/>
      <c r="H377" s="1264"/>
      <c r="I377" s="1264"/>
      <c r="J377" s="1264"/>
      <c r="K377" s="1264"/>
      <c r="L377" s="1264"/>
      <c r="M377" s="1264"/>
      <c r="N377" s="1264"/>
      <c r="O377" s="1264"/>
      <c r="P377" s="1265"/>
      <c r="S377" s="571" t="s">
        <v>994</v>
      </c>
      <c r="U377"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V377" s="1264"/>
      <c r="W377" s="1264"/>
      <c r="X377" s="1264"/>
      <c r="Y377" s="1264"/>
      <c r="Z377" s="1264"/>
      <c r="AA377" s="1264"/>
      <c r="AB377" s="1264"/>
      <c r="AC377" s="1264"/>
      <c r="AD377" s="1264"/>
      <c r="AE377" s="1264"/>
      <c r="AF377" s="1264"/>
      <c r="AG377" s="1264"/>
      <c r="AH377" s="1264"/>
      <c r="AI377" s="1265"/>
    </row>
    <row r="378" spans="2:37" ht="15" customHeight="1" x14ac:dyDescent="0.2">
      <c r="C378" s="508" t="s">
        <v>964</v>
      </c>
      <c r="K378" s="508" t="s">
        <v>965</v>
      </c>
      <c r="O378" s="508" t="s">
        <v>966</v>
      </c>
      <c r="S378" s="571" t="s">
        <v>994</v>
      </c>
      <c r="V378" s="508" t="s">
        <v>964</v>
      </c>
      <c r="AD378" s="508" t="s">
        <v>965</v>
      </c>
      <c r="AH378" s="508" t="s">
        <v>966</v>
      </c>
    </row>
    <row r="379" spans="2:37" ht="15" customHeight="1" x14ac:dyDescent="0.2">
      <c r="S379" s="646" t="s">
        <v>995</v>
      </c>
    </row>
    <row r="380" spans="2:37" ht="15" customHeight="1" x14ac:dyDescent="0.2">
      <c r="S380" s="571" t="s">
        <v>994</v>
      </c>
    </row>
    <row r="381" spans="2:37" ht="15" customHeight="1" x14ac:dyDescent="0.2">
      <c r="S381" s="571" t="s">
        <v>994</v>
      </c>
    </row>
    <row r="382" spans="2:37" ht="15" customHeight="1" x14ac:dyDescent="0.2">
      <c r="S382" s="646" t="s">
        <v>995</v>
      </c>
    </row>
    <row r="383" spans="2:37" ht="15" customHeight="1" x14ac:dyDescent="0.2">
      <c r="S383" s="571" t="s">
        <v>994</v>
      </c>
    </row>
    <row r="384" spans="2:37" x14ac:dyDescent="0.2">
      <c r="S384" s="571" t="s">
        <v>994</v>
      </c>
    </row>
    <row r="385" spans="1:37" ht="21.75" x14ac:dyDescent="0.2">
      <c r="S385" s="646" t="s">
        <v>995</v>
      </c>
    </row>
    <row r="386" spans="1:37" ht="30" x14ac:dyDescent="0.2">
      <c r="A386" s="1262" t="str">
        <f>Championnat</f>
        <v>Championnat de France de Tir à l'ARC</v>
      </c>
      <c r="B386" s="1262"/>
      <c r="C386" s="1262"/>
      <c r="D386" s="1262"/>
      <c r="E386" s="1262"/>
      <c r="F386" s="1262"/>
      <c r="G386" s="1262"/>
      <c r="H386" s="1262"/>
      <c r="I386" s="1262"/>
      <c r="J386" s="1262"/>
      <c r="K386" s="1262"/>
      <c r="L386" s="1262"/>
      <c r="M386" s="1262"/>
      <c r="N386" s="1262"/>
      <c r="O386" s="1262"/>
      <c r="P386" s="1262"/>
      <c r="Q386" s="1262"/>
      <c r="R386" s="1262"/>
      <c r="S386" s="571" t="s">
        <v>994</v>
      </c>
      <c r="T386" s="1262" t="str">
        <f>Championnat</f>
        <v>Championnat de France de Tir à l'ARC</v>
      </c>
      <c r="U386" s="1262"/>
      <c r="V386" s="1262"/>
      <c r="W386" s="1262"/>
      <c r="X386" s="1262"/>
      <c r="Y386" s="1262"/>
      <c r="Z386" s="1262"/>
      <c r="AA386" s="1262"/>
      <c r="AB386" s="1262"/>
      <c r="AC386" s="1262"/>
      <c r="AD386" s="1262"/>
      <c r="AE386" s="1262"/>
      <c r="AF386" s="1262"/>
      <c r="AG386" s="1262"/>
      <c r="AH386" s="1262"/>
      <c r="AI386" s="1262"/>
      <c r="AJ386" s="1262"/>
      <c r="AK386" s="1262"/>
    </row>
    <row r="387" spans="1:37" ht="24.75" customHeight="1" x14ac:dyDescent="0.2">
      <c r="A387" s="1184" t="str">
        <f>LIEU&amp;" du "&amp;DATE</f>
        <v>L’Isle sur la Sorgue du 27 au 31 mars 2023</v>
      </c>
      <c r="B387" s="1184"/>
      <c r="C387" s="1184"/>
      <c r="D387" s="1184"/>
      <c r="E387" s="1184"/>
      <c r="F387" s="1184"/>
      <c r="G387" s="1184"/>
      <c r="H387" s="1184"/>
      <c r="I387" s="1184"/>
      <c r="J387" s="1184"/>
      <c r="K387" s="1184"/>
      <c r="L387" s="1184"/>
      <c r="M387" s="1184"/>
      <c r="N387" s="1184"/>
      <c r="O387" s="1184"/>
      <c r="P387" s="1184"/>
      <c r="Q387" s="1184"/>
      <c r="R387" s="1184"/>
      <c r="S387" s="571" t="s">
        <v>994</v>
      </c>
      <c r="T387" s="1184" t="str">
        <f>LIEU&amp;" du "&amp;DATE</f>
        <v>L’Isle sur la Sorgue du 27 au 31 mars 2023</v>
      </c>
      <c r="U387" s="1184"/>
      <c r="V387" s="1184"/>
      <c r="W387" s="1184"/>
      <c r="X387" s="1184"/>
      <c r="Y387" s="1184"/>
      <c r="Z387" s="1184"/>
      <c r="AA387" s="1184"/>
      <c r="AB387" s="1184"/>
      <c r="AC387" s="1184"/>
      <c r="AD387" s="1184"/>
      <c r="AE387" s="1184"/>
      <c r="AF387" s="1184"/>
      <c r="AG387" s="1184"/>
      <c r="AH387" s="1184"/>
      <c r="AI387" s="1184"/>
      <c r="AJ387" s="1184"/>
      <c r="AK387" s="1184"/>
    </row>
    <row r="388" spans="1:37" s="218" customFormat="1" ht="40.5" customHeight="1" x14ac:dyDescent="0.2">
      <c r="A388" s="1268" t="str">
        <f>CATEG_IMPORTEE</f>
        <v>Collèges Mixtes Etablissement</v>
      </c>
      <c r="B388" s="1268"/>
      <c r="C388" s="1268"/>
      <c r="D388" s="1268"/>
      <c r="E388" s="1268"/>
      <c r="F388" s="1268"/>
      <c r="G388" s="1268"/>
      <c r="H388" s="1268"/>
      <c r="I388" s="1268"/>
      <c r="J388" s="1268"/>
      <c r="K388" s="1268"/>
      <c r="L388" s="1268"/>
      <c r="M388" s="1268"/>
      <c r="N388" s="1268"/>
      <c r="O388" s="1268"/>
      <c r="P388" s="1268"/>
      <c r="Q388" s="1268"/>
      <c r="R388" s="1268"/>
      <c r="S388" s="646" t="s">
        <v>995</v>
      </c>
      <c r="T388" s="1268" t="str">
        <f>CATEG_IMPORTEE</f>
        <v>Collèges Mixtes Etablissement</v>
      </c>
      <c r="U388" s="1268"/>
      <c r="V388" s="1268"/>
      <c r="W388" s="1268"/>
      <c r="X388" s="1268"/>
      <c r="Y388" s="1268"/>
      <c r="Z388" s="1268"/>
      <c r="AA388" s="1268"/>
      <c r="AB388" s="1268"/>
      <c r="AC388" s="1268"/>
      <c r="AD388" s="1268"/>
      <c r="AE388" s="1268"/>
      <c r="AF388" s="1268"/>
      <c r="AG388" s="1268"/>
      <c r="AH388" s="1268"/>
      <c r="AI388" s="1268"/>
      <c r="AJ388" s="1268"/>
      <c r="AK388" s="1268"/>
    </row>
    <row r="389" spans="1:37" s="218" customFormat="1" ht="19.5" customHeight="1" x14ac:dyDescent="0.2">
      <c r="A389" s="625"/>
      <c r="B389" s="625"/>
      <c r="C389" s="625"/>
      <c r="D389" s="625"/>
      <c r="E389" s="625"/>
      <c r="F389" s="625"/>
      <c r="G389" s="625"/>
      <c r="H389" s="625"/>
      <c r="I389" s="625"/>
      <c r="J389" s="625"/>
      <c r="K389" s="625"/>
      <c r="L389" s="625"/>
      <c r="M389" s="625"/>
      <c r="N389" s="625"/>
      <c r="O389" s="625"/>
      <c r="P389" s="625"/>
      <c r="Q389" s="625"/>
      <c r="R389" s="625"/>
      <c r="S389" s="571" t="s">
        <v>994</v>
      </c>
      <c r="T389" s="625"/>
      <c r="U389" s="625"/>
      <c r="V389" s="625"/>
      <c r="W389" s="625"/>
      <c r="X389" s="625"/>
      <c r="Y389" s="625"/>
      <c r="Z389" s="625"/>
      <c r="AA389" s="625"/>
      <c r="AB389" s="625"/>
      <c r="AC389" s="625"/>
      <c r="AD389" s="625"/>
      <c r="AE389" s="625"/>
      <c r="AF389" s="625"/>
      <c r="AG389" s="625"/>
      <c r="AH389" s="625"/>
      <c r="AI389" s="625"/>
      <c r="AJ389" s="625"/>
      <c r="AK389" s="625"/>
    </row>
    <row r="390" spans="1:37" ht="47.25" customHeight="1" x14ac:dyDescent="0.2">
      <c r="A390" s="620"/>
      <c r="B390" s="620"/>
      <c r="C390" s="620"/>
      <c r="D390" s="620"/>
      <c r="E390" s="620"/>
      <c r="F390" s="620"/>
      <c r="G390" s="620"/>
      <c r="H390" s="620"/>
      <c r="I390" s="620"/>
      <c r="J390" s="620"/>
      <c r="K390" s="620"/>
      <c r="L390" s="620"/>
      <c r="M390" s="620"/>
      <c r="N390" s="1072" t="s">
        <v>628</v>
      </c>
      <c r="O390" s="1073"/>
      <c r="P390" s="1271">
        <f>P358+1</f>
        <v>13</v>
      </c>
      <c r="Q390" s="1271"/>
      <c r="R390" s="1271"/>
      <c r="S390" s="571" t="s">
        <v>994</v>
      </c>
      <c r="T390" s="620"/>
      <c r="U390" s="620"/>
      <c r="V390" s="620"/>
      <c r="W390" s="620"/>
      <c r="X390" s="620"/>
      <c r="Y390" s="620"/>
      <c r="Z390" s="620"/>
      <c r="AA390" s="620"/>
      <c r="AB390" s="620"/>
      <c r="AC390" s="620"/>
      <c r="AD390" s="620"/>
      <c r="AE390" s="620"/>
      <c r="AF390" s="620"/>
      <c r="AG390" s="1072" t="s">
        <v>628</v>
      </c>
      <c r="AH390" s="1073"/>
      <c r="AI390" s="1271">
        <f>AI358+1</f>
        <v>13</v>
      </c>
      <c r="AJ390" s="1271"/>
      <c r="AK390" s="1271"/>
    </row>
    <row r="391" spans="1:37" ht="36.75" customHeight="1" x14ac:dyDescent="0.2">
      <c r="A391" s="1272" t="e">
        <f>VLOOKUP(J398,ID_archer_cible,2,FALSE)</f>
        <v>#N/A</v>
      </c>
      <c r="B391" s="1272"/>
      <c r="C391" s="1272"/>
      <c r="D391" s="1272"/>
      <c r="E391" s="1272"/>
      <c r="F391" s="1272"/>
      <c r="G391" s="1272"/>
      <c r="H391" s="1272"/>
      <c r="I391" s="1272"/>
      <c r="J391" s="1272"/>
      <c r="K391" s="1272"/>
      <c r="L391" s="1272"/>
      <c r="M391" s="1272"/>
      <c r="N391" s="1272"/>
      <c r="O391" s="1272"/>
      <c r="P391" s="1272"/>
      <c r="Q391" s="1272"/>
      <c r="R391" s="1272"/>
      <c r="S391" s="646" t="s">
        <v>995</v>
      </c>
      <c r="T391" s="1272" t="e">
        <f>VLOOKUP(AC398,ID_archer_cible,2,FALSE)</f>
        <v>#N/A</v>
      </c>
      <c r="U391" s="1272"/>
      <c r="V391" s="1272"/>
      <c r="W391" s="1272"/>
      <c r="X391" s="1272"/>
      <c r="Y391" s="1272"/>
      <c r="Z391" s="1272"/>
      <c r="AA391" s="1272"/>
      <c r="AB391" s="1272"/>
      <c r="AC391" s="1272"/>
      <c r="AD391" s="1272"/>
      <c r="AE391" s="1272"/>
      <c r="AF391" s="1272"/>
      <c r="AG391" s="1272"/>
      <c r="AH391" s="1272"/>
      <c r="AI391" s="1272"/>
      <c r="AJ391" s="1272"/>
      <c r="AK391" s="1272"/>
    </row>
    <row r="392" spans="1:37" ht="21.75" customHeight="1" x14ac:dyDescent="0.2">
      <c r="I392" s="621"/>
      <c r="J392" s="621"/>
      <c r="K392" s="621"/>
      <c r="L392" s="621"/>
      <c r="M392" s="621"/>
      <c r="N392" s="621"/>
      <c r="P392" s="619"/>
      <c r="Q392" s="619"/>
      <c r="R392" s="619"/>
      <c r="S392" s="571" t="s">
        <v>994</v>
      </c>
      <c r="AB392" s="621"/>
      <c r="AC392" s="621"/>
      <c r="AD392" s="621"/>
      <c r="AE392" s="621"/>
      <c r="AF392" s="621"/>
      <c r="AG392" s="621"/>
      <c r="AI392" s="619"/>
      <c r="AJ392" s="619"/>
      <c r="AK392" s="619"/>
    </row>
    <row r="393" spans="1:37" ht="17.25" customHeight="1" x14ac:dyDescent="0.2">
      <c r="A393" s="1125"/>
      <c r="B393" s="1125"/>
      <c r="C393" s="1125"/>
      <c r="D393" s="1125"/>
      <c r="E393" s="1125"/>
      <c r="F393" s="1125"/>
      <c r="G393" s="1125"/>
      <c r="H393" s="1125"/>
      <c r="I393" s="1125"/>
      <c r="J393" s="1125"/>
      <c r="K393" s="1125"/>
      <c r="L393" s="1125" t="s">
        <v>374</v>
      </c>
      <c r="M393" s="1125"/>
      <c r="N393" s="1125"/>
      <c r="O393" s="1125"/>
      <c r="P393" s="1125"/>
      <c r="Q393" s="1125"/>
      <c r="R393" s="1125"/>
      <c r="S393" s="571" t="s">
        <v>994</v>
      </c>
      <c r="T393" s="1125"/>
      <c r="U393" s="1125"/>
      <c r="V393" s="1125"/>
      <c r="W393" s="1125"/>
      <c r="X393" s="1125"/>
      <c r="Y393" s="1125"/>
      <c r="Z393" s="1125"/>
      <c r="AA393" s="1125"/>
      <c r="AB393" s="1125"/>
      <c r="AC393" s="1125"/>
      <c r="AD393" s="1125"/>
      <c r="AE393" s="1125" t="s">
        <v>374</v>
      </c>
      <c r="AF393" s="1125"/>
      <c r="AG393" s="1125"/>
      <c r="AH393" s="1125"/>
      <c r="AI393" s="1125"/>
      <c r="AJ393" s="1125"/>
      <c r="AK393" s="1125"/>
    </row>
    <row r="394" spans="1:37" ht="32.25" customHeight="1" x14ac:dyDescent="0.2">
      <c r="A394" s="1269" t="e">
        <f>VLOOKUP(J398,ID_archer_cible,3,FALSE)</f>
        <v>#N/A</v>
      </c>
      <c r="B394" s="1269"/>
      <c r="C394" s="1269"/>
      <c r="D394" s="1269"/>
      <c r="E394" s="1269"/>
      <c r="F394" s="1269"/>
      <c r="G394" s="1269"/>
      <c r="H394" s="1269"/>
      <c r="I394" s="1269"/>
      <c r="J394" s="1269"/>
      <c r="K394" s="1269"/>
      <c r="L394" s="1270" t="e">
        <f>VLOOKUP(J398,ID_archer_cible,4,FALSE)</f>
        <v>#N/A</v>
      </c>
      <c r="M394" s="1270"/>
      <c r="N394" s="1270"/>
      <c r="O394" s="1270"/>
      <c r="P394" s="1270"/>
      <c r="Q394" s="1270"/>
      <c r="R394" s="1270"/>
      <c r="S394" s="646" t="s">
        <v>995</v>
      </c>
      <c r="T394" s="1269" t="e">
        <f>VLOOKUP(AC398,ID_archer_cible,3,FALSE)</f>
        <v>#N/A</v>
      </c>
      <c r="U394" s="1269"/>
      <c r="V394" s="1269"/>
      <c r="W394" s="1269"/>
      <c r="X394" s="1269"/>
      <c r="Y394" s="1269"/>
      <c r="Z394" s="1269"/>
      <c r="AA394" s="1269"/>
      <c r="AB394" s="1269"/>
      <c r="AC394" s="1269"/>
      <c r="AD394" s="1269"/>
      <c r="AE394" s="1270" t="e">
        <f>VLOOKUP(AC398,ID_archer_cible,4,FALSE)</f>
        <v>#N/A</v>
      </c>
      <c r="AF394" s="1270"/>
      <c r="AG394" s="1270"/>
      <c r="AH394" s="1270"/>
      <c r="AI394" s="1270"/>
      <c r="AJ394" s="1270"/>
      <c r="AK394" s="1270"/>
    </row>
    <row r="395" spans="1:37" ht="17.25" customHeight="1" x14ac:dyDescent="0.2">
      <c r="E395" s="584"/>
      <c r="F395" s="584"/>
      <c r="G395" s="584"/>
      <c r="H395" s="584"/>
      <c r="I395" s="618"/>
      <c r="J395" s="618"/>
      <c r="K395" s="618"/>
      <c r="L395" s="618"/>
      <c r="M395" s="618"/>
      <c r="N395" s="618"/>
      <c r="P395" s="1266" t="str">
        <f>IFERROR(IF(AND(R398="oui",R399="oui",R400="oui",R401="oui"),"PRO",""),"")</f>
        <v/>
      </c>
      <c r="Q395" s="1266"/>
      <c r="R395" s="1266"/>
      <c r="S395" s="571" t="s">
        <v>994</v>
      </c>
      <c r="X395" s="584"/>
      <c r="Y395" s="584"/>
      <c r="Z395" s="584"/>
      <c r="AA395" s="584"/>
      <c r="AB395" s="618"/>
      <c r="AC395" s="618"/>
      <c r="AD395" s="618"/>
      <c r="AE395" s="618"/>
      <c r="AF395" s="618"/>
      <c r="AG395" s="618"/>
      <c r="AI395" s="1266" t="str">
        <f>IFERROR(IF(AND(AK398="oui",AK399="oui",AK400="oui",AK401="oui"),"PRO",""),"")</f>
        <v/>
      </c>
      <c r="AJ395" s="1266"/>
      <c r="AK395" s="1266"/>
    </row>
    <row r="396" spans="1:37" ht="20.25" customHeight="1" x14ac:dyDescent="0.2">
      <c r="P396" s="1267"/>
      <c r="Q396" s="1267"/>
      <c r="R396" s="1267"/>
      <c r="S396" s="571" t="s">
        <v>994</v>
      </c>
      <c r="AI396" s="1267"/>
      <c r="AJ396" s="1267"/>
      <c r="AK396" s="1267"/>
    </row>
    <row r="397" spans="1:37" ht="25.5" customHeight="1" x14ac:dyDescent="0.2">
      <c r="B397" s="1273" t="s">
        <v>906</v>
      </c>
      <c r="C397" s="1273"/>
      <c r="D397" s="1273"/>
      <c r="E397" s="1273"/>
      <c r="F397" s="1273"/>
      <c r="G397" s="1273"/>
      <c r="H397" s="1273"/>
      <c r="I397" s="1273"/>
      <c r="J397" s="622" t="s">
        <v>552</v>
      </c>
      <c r="K397" s="623" t="s">
        <v>893</v>
      </c>
      <c r="L397" s="1275" t="s">
        <v>550</v>
      </c>
      <c r="M397" s="1276"/>
      <c r="N397" s="1274" t="s">
        <v>905</v>
      </c>
      <c r="O397" s="1274"/>
      <c r="P397" s="1254" t="s">
        <v>551</v>
      </c>
      <c r="Q397" s="1254"/>
      <c r="R397" s="752" t="s">
        <v>1027</v>
      </c>
      <c r="S397" s="646" t="s">
        <v>995</v>
      </c>
      <c r="U397" s="1273" t="s">
        <v>906</v>
      </c>
      <c r="V397" s="1273"/>
      <c r="W397" s="1273"/>
      <c r="X397" s="1273"/>
      <c r="Y397" s="1273"/>
      <c r="Z397" s="1273"/>
      <c r="AA397" s="1273"/>
      <c r="AB397" s="1273"/>
      <c r="AC397" s="622" t="s">
        <v>552</v>
      </c>
      <c r="AD397" s="623" t="s">
        <v>893</v>
      </c>
      <c r="AE397" s="1275" t="s">
        <v>550</v>
      </c>
      <c r="AF397" s="1276"/>
      <c r="AG397" s="1274" t="s">
        <v>905</v>
      </c>
      <c r="AH397" s="1274"/>
      <c r="AI397" s="1254" t="s">
        <v>551</v>
      </c>
      <c r="AJ397" s="1254"/>
      <c r="AK397" s="752" t="s">
        <v>1027</v>
      </c>
    </row>
    <row r="398" spans="1:37" ht="45" customHeight="1" x14ac:dyDescent="0.2">
      <c r="B398" s="1255" t="e">
        <f>VLOOKUP(J398,ID_archer_cible,5,FALSE)&amp;"    "&amp;VLOOKUP(J398,ID_archer_cible,6,FALSE)</f>
        <v>#N/A</v>
      </c>
      <c r="C398" s="1255"/>
      <c r="D398" s="1255"/>
      <c r="E398" s="1255"/>
      <c r="F398" s="1255"/>
      <c r="G398" s="1255"/>
      <c r="H398" s="1255"/>
      <c r="I398" s="1255"/>
      <c r="J398" s="624" t="str">
        <f>P390&amp;"A"</f>
        <v>13A</v>
      </c>
      <c r="K398" s="574" t="e">
        <f>VLOOKUP(J398,ID_archer_cible,9,FALSE)</f>
        <v>#N/A</v>
      </c>
      <c r="L398" s="1256" t="e">
        <f>VLOOKUP(J398,ID_archer_cible,8,FALSE)</f>
        <v>#N/A</v>
      </c>
      <c r="M398" s="1257"/>
      <c r="N398" s="1260" t="e">
        <f>VLOOKUP(J398,ID_archer_cible,7,FALSE)</f>
        <v>#N/A</v>
      </c>
      <c r="O398" s="1261"/>
      <c r="P398" s="828" t="e">
        <f>VLOOKUP(J398,ID_archer_cible,10,FALSE)</f>
        <v>#N/A</v>
      </c>
      <c r="Q398" s="829" t="e">
        <f>IF(VLOOKUP(L398,N°LicPRO,3,FALSE)="oui","COACH","")</f>
        <v>#N/A</v>
      </c>
      <c r="R398" s="742" t="str">
        <f>IFERROR(VLOOKUP(L398,N°LicPRO,2,FALSE),"")</f>
        <v/>
      </c>
      <c r="S398" s="571" t="s">
        <v>994</v>
      </c>
      <c r="U398" s="1255" t="e">
        <f>VLOOKUP(AC398,ID_archer_cible,5,FALSE)&amp;"    "&amp;VLOOKUP(AC398,ID_archer_cible,6,FALSE)</f>
        <v>#N/A</v>
      </c>
      <c r="V398" s="1255"/>
      <c r="W398" s="1255"/>
      <c r="X398" s="1255"/>
      <c r="Y398" s="1255"/>
      <c r="Z398" s="1255"/>
      <c r="AA398" s="1255"/>
      <c r="AB398" s="1255"/>
      <c r="AC398" s="624" t="str">
        <f>AI390&amp;"A"</f>
        <v>13A</v>
      </c>
      <c r="AD398" s="574" t="e">
        <f>VLOOKUP(AC398,ID_archer_cible,9,FALSE)</f>
        <v>#N/A</v>
      </c>
      <c r="AE398" s="1256" t="e">
        <f>VLOOKUP(AC398,ID_archer_cible,8,FALSE)</f>
        <v>#N/A</v>
      </c>
      <c r="AF398" s="1257"/>
      <c r="AG398" s="1260" t="e">
        <f>VLOOKUP(AC398,ID_archer_cible,7,FALSE)</f>
        <v>#N/A</v>
      </c>
      <c r="AH398" s="1261"/>
      <c r="AI398" s="828" t="e">
        <f>VLOOKUP(AC398,ID_archer_cible,10,FALSE)</f>
        <v>#N/A</v>
      </c>
      <c r="AJ398" s="829" t="e">
        <f>IF(VLOOKUP(AE398,N°LicPRO,3,FALSE)="oui","COACH","")</f>
        <v>#N/A</v>
      </c>
      <c r="AK398" s="742" t="str">
        <f>IFERROR(VLOOKUP(AE398,N°LicPRO,2,FALSE),"")</f>
        <v/>
      </c>
    </row>
    <row r="399" spans="1:37" ht="45" customHeight="1" x14ac:dyDescent="0.2">
      <c r="B399" s="1255" t="e">
        <f>VLOOKUP(J399,ID_archer_cible,5,FALSE)&amp;"    "&amp;VLOOKUP(J399,ID_archer_cible,6,FALSE)</f>
        <v>#N/A</v>
      </c>
      <c r="C399" s="1255"/>
      <c r="D399" s="1255"/>
      <c r="E399" s="1255"/>
      <c r="F399" s="1255"/>
      <c r="G399" s="1255"/>
      <c r="H399" s="1255"/>
      <c r="I399" s="1255"/>
      <c r="J399" s="624" t="str">
        <f>P390&amp;"B"</f>
        <v>13B</v>
      </c>
      <c r="K399" s="574" t="e">
        <f>VLOOKUP(J399,ID_archer_cible,9,FALSE)</f>
        <v>#N/A</v>
      </c>
      <c r="L399" s="1256" t="e">
        <f>VLOOKUP(J399,ID_archer_cible,8,FALSE)</f>
        <v>#N/A</v>
      </c>
      <c r="M399" s="1257"/>
      <c r="N399" s="1260" t="e">
        <f>VLOOKUP(J399,ID_archer_cible,7,FALSE)</f>
        <v>#N/A</v>
      </c>
      <c r="O399" s="1261"/>
      <c r="P399" s="828" t="e">
        <f>VLOOKUP(J399,ID_archer_cible,10,FALSE)</f>
        <v>#N/A</v>
      </c>
      <c r="Q399" s="829" t="e">
        <f>IF(VLOOKUP(L399,N°LicPRO,3,FALSE)="oui","COACH","")</f>
        <v>#N/A</v>
      </c>
      <c r="R399" s="742" t="str">
        <f>IFERROR(VLOOKUP(L399,N°LicPRO,2,FALSE),"")</f>
        <v/>
      </c>
      <c r="S399" s="571" t="s">
        <v>994</v>
      </c>
      <c r="U399" s="1255" t="e">
        <f>VLOOKUP(AC399,ID_archer_cible,5,FALSE)&amp;"    "&amp;VLOOKUP(AC399,ID_archer_cible,6,FALSE)</f>
        <v>#N/A</v>
      </c>
      <c r="V399" s="1255"/>
      <c r="W399" s="1255"/>
      <c r="X399" s="1255"/>
      <c r="Y399" s="1255"/>
      <c r="Z399" s="1255"/>
      <c r="AA399" s="1255"/>
      <c r="AB399" s="1255"/>
      <c r="AC399" s="624" t="str">
        <f>AI390&amp;"B"</f>
        <v>13B</v>
      </c>
      <c r="AD399" s="574" t="e">
        <f>VLOOKUP(AC399,ID_archer_cible,9,FALSE)</f>
        <v>#N/A</v>
      </c>
      <c r="AE399" s="1256" t="e">
        <f>VLOOKUP(AC399,ID_archer_cible,8,FALSE)</f>
        <v>#N/A</v>
      </c>
      <c r="AF399" s="1257"/>
      <c r="AG399" s="1260" t="e">
        <f>VLOOKUP(AC399,ID_archer_cible,7,FALSE)</f>
        <v>#N/A</v>
      </c>
      <c r="AH399" s="1261"/>
      <c r="AI399" s="828" t="e">
        <f>VLOOKUP(AC399,ID_archer_cible,10,FALSE)</f>
        <v>#N/A</v>
      </c>
      <c r="AJ399" s="829" t="e">
        <f>IF(VLOOKUP(AE399,N°LicPRO,3,FALSE)="oui","COACH","")</f>
        <v>#N/A</v>
      </c>
      <c r="AK399" s="742" t="str">
        <f>IFERROR(VLOOKUP(AE399,N°LicPRO,2,FALSE),"")</f>
        <v/>
      </c>
    </row>
    <row r="400" spans="1:37" ht="45" customHeight="1" x14ac:dyDescent="0.2">
      <c r="B400" s="1255" t="e">
        <f>VLOOKUP(J400,ID_archer_cible,5,FALSE)&amp;"    "&amp;VLOOKUP(J400,ID_archer_cible,6,FALSE)</f>
        <v>#N/A</v>
      </c>
      <c r="C400" s="1255"/>
      <c r="D400" s="1255"/>
      <c r="E400" s="1255"/>
      <c r="F400" s="1255"/>
      <c r="G400" s="1255"/>
      <c r="H400" s="1255"/>
      <c r="I400" s="1255"/>
      <c r="J400" s="624" t="str">
        <f>P390&amp;"C"</f>
        <v>13C</v>
      </c>
      <c r="K400" s="574" t="e">
        <f>VLOOKUP(J400,ID_archer_cible,9,FALSE)</f>
        <v>#N/A</v>
      </c>
      <c r="L400" s="1256" t="e">
        <f>VLOOKUP(J400,ID_archer_cible,8,FALSE)</f>
        <v>#N/A</v>
      </c>
      <c r="M400" s="1257"/>
      <c r="N400" s="1260" t="e">
        <f>VLOOKUP(J400,ID_archer_cible,7,FALSE)</f>
        <v>#N/A</v>
      </c>
      <c r="O400" s="1261"/>
      <c r="P400" s="828" t="e">
        <f>VLOOKUP(J400,ID_archer_cible,10,FALSE)</f>
        <v>#N/A</v>
      </c>
      <c r="Q400" s="829" t="e">
        <f>IF(VLOOKUP(L400,N°LicPRO,3,FALSE)="oui","COACH","")</f>
        <v>#N/A</v>
      </c>
      <c r="R400" s="742" t="str">
        <f>IFERROR(VLOOKUP(L400,N°LicPRO,2,FALSE),"")</f>
        <v/>
      </c>
      <c r="S400" s="646" t="s">
        <v>995</v>
      </c>
      <c r="U400" s="1255" t="e">
        <f>VLOOKUP(AC400,ID_archer_cible,5,FALSE)&amp;"    "&amp;VLOOKUP(AC400,ID_archer_cible,6,FALSE)</f>
        <v>#N/A</v>
      </c>
      <c r="V400" s="1255"/>
      <c r="W400" s="1255"/>
      <c r="X400" s="1255"/>
      <c r="Y400" s="1255"/>
      <c r="Z400" s="1255"/>
      <c r="AA400" s="1255"/>
      <c r="AB400" s="1255"/>
      <c r="AC400" s="624" t="str">
        <f>AI390&amp;"C"</f>
        <v>13C</v>
      </c>
      <c r="AD400" s="574" t="e">
        <f>VLOOKUP(AC400,ID_archer_cible,9,FALSE)</f>
        <v>#N/A</v>
      </c>
      <c r="AE400" s="1256" t="e">
        <f>VLOOKUP(AC400,ID_archer_cible,8,FALSE)</f>
        <v>#N/A</v>
      </c>
      <c r="AF400" s="1257"/>
      <c r="AG400" s="1260" t="e">
        <f>VLOOKUP(AC400,ID_archer_cible,7,FALSE)</f>
        <v>#N/A</v>
      </c>
      <c r="AH400" s="1261"/>
      <c r="AI400" s="828" t="e">
        <f>VLOOKUP(AC400,ID_archer_cible,10,FALSE)</f>
        <v>#N/A</v>
      </c>
      <c r="AJ400" s="829" t="e">
        <f>IF(VLOOKUP(AE400,N°LicPRO,3,FALSE)="oui","COACH","")</f>
        <v>#N/A</v>
      </c>
      <c r="AK400" s="742" t="str">
        <f>IFERROR(VLOOKUP(AE400,N°LicPRO,2,FALSE),"")</f>
        <v/>
      </c>
    </row>
    <row r="401" spans="2:37" ht="45" customHeight="1" x14ac:dyDescent="0.2">
      <c r="B401" s="1255" t="e">
        <f>VLOOKUP(J401,ID_archer_cible,5,FALSE)&amp;"    "&amp;VLOOKUP(J401,ID_archer_cible,6,FALSE)</f>
        <v>#N/A</v>
      </c>
      <c r="C401" s="1255"/>
      <c r="D401" s="1255"/>
      <c r="E401" s="1255"/>
      <c r="F401" s="1255"/>
      <c r="G401" s="1255"/>
      <c r="H401" s="1255"/>
      <c r="I401" s="1255"/>
      <c r="J401" s="624" t="str">
        <f>P390&amp;"D"</f>
        <v>13D</v>
      </c>
      <c r="K401" s="574" t="e">
        <f>VLOOKUP(J401,ID_archer_cible,9,FALSE)</f>
        <v>#N/A</v>
      </c>
      <c r="L401" s="1256" t="e">
        <f>VLOOKUP(J401,ID_archer_cible,8,FALSE)</f>
        <v>#N/A</v>
      </c>
      <c r="M401" s="1257"/>
      <c r="N401" s="1260" t="e">
        <f>VLOOKUP(J401,ID_archer_cible,7,FALSE)</f>
        <v>#N/A</v>
      </c>
      <c r="O401" s="1261"/>
      <c r="P401" s="828" t="e">
        <f>VLOOKUP(J401,ID_archer_cible,10,FALSE)</f>
        <v>#N/A</v>
      </c>
      <c r="Q401" s="829" t="e">
        <f>IF(VLOOKUP(L401,N°LicPRO,3,FALSE)="oui","COACH","")</f>
        <v>#N/A</v>
      </c>
      <c r="R401" s="742" t="str">
        <f>IFERROR(VLOOKUP(L401,N°LicPRO,2,FALSE),"")</f>
        <v/>
      </c>
      <c r="S401" s="571" t="s">
        <v>994</v>
      </c>
      <c r="U401" s="1255" t="e">
        <f>VLOOKUP(AC401,ID_archer_cible,5,FALSE)&amp;"    "&amp;VLOOKUP(AC401,ID_archer_cible,6,FALSE)</f>
        <v>#N/A</v>
      </c>
      <c r="V401" s="1255"/>
      <c r="W401" s="1255"/>
      <c r="X401" s="1255"/>
      <c r="Y401" s="1255"/>
      <c r="Z401" s="1255"/>
      <c r="AA401" s="1255"/>
      <c r="AB401" s="1255"/>
      <c r="AC401" s="624" t="str">
        <f>AI390&amp;"D"</f>
        <v>13D</v>
      </c>
      <c r="AD401" s="574" t="e">
        <f>VLOOKUP(AC401,ID_archer_cible,9,FALSE)</f>
        <v>#N/A</v>
      </c>
      <c r="AE401" s="1256" t="e">
        <f>VLOOKUP(AC401,ID_archer_cible,8,FALSE)</f>
        <v>#N/A</v>
      </c>
      <c r="AF401" s="1257"/>
      <c r="AG401" s="1260" t="e">
        <f>VLOOKUP(AC401,ID_archer_cible,7,FALSE)</f>
        <v>#N/A</v>
      </c>
      <c r="AH401" s="1261"/>
      <c r="AI401" s="828" t="e">
        <f>VLOOKUP(AC401,ID_archer_cible,10,FALSE)</f>
        <v>#N/A</v>
      </c>
      <c r="AJ401" s="829" t="e">
        <f>IF(VLOOKUP(AE401,N°LicPRO,3,FALSE)="oui","COACH","")</f>
        <v>#N/A</v>
      </c>
      <c r="AK401" s="742" t="str">
        <f>IFERROR(VLOOKUP(AE401,N°LicPRO,2,FALSE),"")</f>
        <v/>
      </c>
    </row>
    <row r="402" spans="2:37" ht="15" customHeight="1" x14ac:dyDescent="0.2">
      <c r="S402" s="571" t="s">
        <v>994</v>
      </c>
    </row>
    <row r="403" spans="2:37" ht="15" customHeight="1" x14ac:dyDescent="0.2">
      <c r="B403" s="508" t="s">
        <v>975</v>
      </c>
      <c r="S403" s="646" t="s">
        <v>995</v>
      </c>
      <c r="U403" s="508" t="s">
        <v>975</v>
      </c>
    </row>
    <row r="404" spans="2:37" ht="15" customHeight="1" x14ac:dyDescent="0.2">
      <c r="B404" s="1259" t="s">
        <v>974</v>
      </c>
      <c r="C404" s="1259"/>
      <c r="D404" s="1259"/>
      <c r="E404" s="1259"/>
      <c r="F404" s="1199" t="str">
        <f>Info_TirQ</f>
        <v>J2 8:30-9:00 Ent. 9:00-10:30 Tirs Qual.</v>
      </c>
      <c r="G404" s="1199"/>
      <c r="H404" s="1199"/>
      <c r="I404" s="1199"/>
      <c r="J404" s="1199"/>
      <c r="K404" s="1258" t="s">
        <v>978</v>
      </c>
      <c r="L404" s="1258"/>
      <c r="M404" s="1258"/>
      <c r="N404" s="1258"/>
      <c r="O404" s="1258"/>
      <c r="S404" s="571" t="s">
        <v>994</v>
      </c>
      <c r="U404" s="1259" t="s">
        <v>974</v>
      </c>
      <c r="V404" s="1259"/>
      <c r="W404" s="1259"/>
      <c r="X404" s="1259"/>
      <c r="Y404" s="1199" t="str">
        <f>Info_TirQ</f>
        <v>J2 8:30-9:00 Ent. 9:00-10:30 Tirs Qual.</v>
      </c>
      <c r="Z404" s="1199"/>
      <c r="AA404" s="1199"/>
      <c r="AB404" s="1199"/>
      <c r="AC404" s="1199"/>
      <c r="AD404" s="1258" t="s">
        <v>978</v>
      </c>
      <c r="AE404" s="1258"/>
      <c r="AF404" s="1258"/>
      <c r="AG404" s="1258"/>
      <c r="AH404" s="1258"/>
    </row>
    <row r="405" spans="2:37" ht="15" customHeight="1" x14ac:dyDescent="0.2">
      <c r="B405" s="1259" t="s">
        <v>484</v>
      </c>
      <c r="C405" s="1259"/>
      <c r="D405" s="1259"/>
      <c r="E405" s="1259"/>
      <c r="F405" s="1199" t="str">
        <f>Info_D1</f>
        <v>J2 13:30-14:20  1er DUEL</v>
      </c>
      <c r="G405" s="1199"/>
      <c r="H405" s="1199"/>
      <c r="I405" s="1199"/>
      <c r="J405" s="1199"/>
      <c r="K405" s="1258"/>
      <c r="L405" s="1258"/>
      <c r="M405" s="1258"/>
      <c r="N405" s="1258"/>
      <c r="O405" s="1258"/>
      <c r="S405" s="571" t="s">
        <v>994</v>
      </c>
      <c r="U405" s="1259" t="s">
        <v>484</v>
      </c>
      <c r="V405" s="1259"/>
      <c r="W405" s="1259"/>
      <c r="X405" s="1259"/>
      <c r="Y405" s="1199" t="str">
        <f>Info_D1</f>
        <v>J2 13:30-14:20  1er DUEL</v>
      </c>
      <c r="Z405" s="1199"/>
      <c r="AA405" s="1199"/>
      <c r="AB405" s="1199"/>
      <c r="AC405" s="1199"/>
      <c r="AD405" s="1258"/>
      <c r="AE405" s="1258"/>
      <c r="AF405" s="1258"/>
      <c r="AG405" s="1258"/>
      <c r="AH405" s="1258"/>
    </row>
    <row r="406" spans="2:37" ht="15" customHeight="1" x14ac:dyDescent="0.2">
      <c r="B406" s="1259" t="s">
        <v>972</v>
      </c>
      <c r="C406" s="1259"/>
      <c r="D406" s="1259"/>
      <c r="E406" s="1259"/>
      <c r="F406" s="1199" t="str">
        <f>Info_D2</f>
        <v>J2 14:30-15:20 2ème DUEL</v>
      </c>
      <c r="G406" s="1199"/>
      <c r="H406" s="1199"/>
      <c r="I406" s="1199"/>
      <c r="J406" s="1199"/>
      <c r="K406" s="1258"/>
      <c r="L406" s="1258"/>
      <c r="M406" s="1258"/>
      <c r="N406" s="1258"/>
      <c r="O406" s="1258"/>
      <c r="S406" s="646" t="s">
        <v>995</v>
      </c>
      <c r="U406" s="1259" t="s">
        <v>972</v>
      </c>
      <c r="V406" s="1259"/>
      <c r="W406" s="1259"/>
      <c r="X406" s="1259"/>
      <c r="Y406" s="1199" t="str">
        <f>Info_D2</f>
        <v>J2 14:30-15:20 2ème DUEL</v>
      </c>
      <c r="Z406" s="1199"/>
      <c r="AA406" s="1199"/>
      <c r="AB406" s="1199"/>
      <c r="AC406" s="1199"/>
      <c r="AD406" s="1258"/>
      <c r="AE406" s="1258"/>
      <c r="AF406" s="1258"/>
      <c r="AG406" s="1258"/>
      <c r="AH406" s="1258"/>
    </row>
    <row r="407" spans="2:37" ht="15" customHeight="1" x14ac:dyDescent="0.2">
      <c r="B407" s="1259" t="s">
        <v>973</v>
      </c>
      <c r="C407" s="1259"/>
      <c r="D407" s="1259"/>
      <c r="E407" s="1259"/>
      <c r="F407" s="1199" t="str">
        <f>Info_D3</f>
        <v>J3 10-10:50 Match pl. 5 à +  ETAB - EX</v>
      </c>
      <c r="G407" s="1199"/>
      <c r="H407" s="1199"/>
      <c r="I407" s="1199"/>
      <c r="J407" s="1199"/>
      <c r="K407" s="1258"/>
      <c r="L407" s="1258"/>
      <c r="M407" s="1258"/>
      <c r="N407" s="1258"/>
      <c r="O407" s="1258"/>
      <c r="S407" s="571" t="s">
        <v>994</v>
      </c>
      <c r="U407" s="1259" t="s">
        <v>973</v>
      </c>
      <c r="V407" s="1259"/>
      <c r="W407" s="1259"/>
      <c r="X407" s="1259"/>
      <c r="Y407" s="1199" t="str">
        <f>Info_D3</f>
        <v>J3 10-10:50 Match pl. 5 à +  ETAB - EX</v>
      </c>
      <c r="Z407" s="1199"/>
      <c r="AA407" s="1199"/>
      <c r="AB407" s="1199"/>
      <c r="AC407" s="1199"/>
      <c r="AD407" s="1258"/>
      <c r="AE407" s="1258"/>
      <c r="AF407" s="1258"/>
      <c r="AG407" s="1258"/>
      <c r="AH407" s="1258"/>
    </row>
    <row r="408" spans="2:37" ht="24.75" customHeight="1" x14ac:dyDescent="0.2">
      <c r="B408" s="626" t="s">
        <v>976</v>
      </c>
      <c r="S408" s="571" t="s">
        <v>994</v>
      </c>
      <c r="U408" s="626" t="s">
        <v>976</v>
      </c>
    </row>
    <row r="409" spans="2:37" ht="134.25" customHeight="1" x14ac:dyDescent="0.2">
      <c r="B409"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C409" s="1264"/>
      <c r="D409" s="1264"/>
      <c r="E409" s="1264"/>
      <c r="F409" s="1264"/>
      <c r="G409" s="1264"/>
      <c r="H409" s="1264"/>
      <c r="I409" s="1264"/>
      <c r="J409" s="1264"/>
      <c r="K409" s="1264"/>
      <c r="L409" s="1264"/>
      <c r="M409" s="1264"/>
      <c r="N409" s="1264"/>
      <c r="O409" s="1264"/>
      <c r="P409" s="1265"/>
      <c r="S409" s="646" t="s">
        <v>995</v>
      </c>
      <c r="U409"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V409" s="1264"/>
      <c r="W409" s="1264"/>
      <c r="X409" s="1264"/>
      <c r="Y409" s="1264"/>
      <c r="Z409" s="1264"/>
      <c r="AA409" s="1264"/>
      <c r="AB409" s="1264"/>
      <c r="AC409" s="1264"/>
      <c r="AD409" s="1264"/>
      <c r="AE409" s="1264"/>
      <c r="AF409" s="1264"/>
      <c r="AG409" s="1264"/>
      <c r="AH409" s="1264"/>
      <c r="AI409" s="1265"/>
    </row>
    <row r="410" spans="2:37" ht="15" customHeight="1" x14ac:dyDescent="0.2">
      <c r="C410" s="508" t="s">
        <v>964</v>
      </c>
      <c r="K410" s="508" t="s">
        <v>965</v>
      </c>
      <c r="O410" s="508" t="s">
        <v>966</v>
      </c>
      <c r="S410" s="571" t="s">
        <v>994</v>
      </c>
      <c r="V410" s="508" t="s">
        <v>964</v>
      </c>
      <c r="AD410" s="508" t="s">
        <v>965</v>
      </c>
      <c r="AH410" s="508" t="s">
        <v>966</v>
      </c>
    </row>
    <row r="411" spans="2:37" ht="15" customHeight="1" x14ac:dyDescent="0.2">
      <c r="S411" s="571" t="s">
        <v>994</v>
      </c>
    </row>
    <row r="412" spans="2:37" ht="15" customHeight="1" x14ac:dyDescent="0.2">
      <c r="S412" s="646" t="s">
        <v>995</v>
      </c>
    </row>
    <row r="413" spans="2:37" ht="15" customHeight="1" x14ac:dyDescent="0.2">
      <c r="S413" s="571" t="s">
        <v>994</v>
      </c>
    </row>
    <row r="414" spans="2:37" ht="15" customHeight="1" x14ac:dyDescent="0.2">
      <c r="S414" s="571" t="s">
        <v>994</v>
      </c>
    </row>
    <row r="415" spans="2:37" ht="15" customHeight="1" x14ac:dyDescent="0.2">
      <c r="S415" s="646" t="s">
        <v>995</v>
      </c>
    </row>
    <row r="416" spans="2:37" x14ac:dyDescent="0.2">
      <c r="S416" s="571" t="s">
        <v>994</v>
      </c>
    </row>
    <row r="417" spans="1:37" x14ac:dyDescent="0.2">
      <c r="S417" s="571" t="s">
        <v>994</v>
      </c>
    </row>
    <row r="418" spans="1:37" ht="30" x14ac:dyDescent="0.2">
      <c r="A418" s="1262" t="str">
        <f>Championnat</f>
        <v>Championnat de France de Tir à l'ARC</v>
      </c>
      <c r="B418" s="1262"/>
      <c r="C418" s="1262"/>
      <c r="D418" s="1262"/>
      <c r="E418" s="1262"/>
      <c r="F418" s="1262"/>
      <c r="G418" s="1262"/>
      <c r="H418" s="1262"/>
      <c r="I418" s="1262"/>
      <c r="J418" s="1262"/>
      <c r="K418" s="1262"/>
      <c r="L418" s="1262"/>
      <c r="M418" s="1262"/>
      <c r="N418" s="1262"/>
      <c r="O418" s="1262"/>
      <c r="P418" s="1262"/>
      <c r="Q418" s="1262"/>
      <c r="R418" s="1262"/>
      <c r="S418" s="646" t="s">
        <v>995</v>
      </c>
      <c r="T418" s="1262" t="str">
        <f>Championnat</f>
        <v>Championnat de France de Tir à l'ARC</v>
      </c>
      <c r="U418" s="1262"/>
      <c r="V418" s="1262"/>
      <c r="W418" s="1262"/>
      <c r="X418" s="1262"/>
      <c r="Y418" s="1262"/>
      <c r="Z418" s="1262"/>
      <c r="AA418" s="1262"/>
      <c r="AB418" s="1262"/>
      <c r="AC418" s="1262"/>
      <c r="AD418" s="1262"/>
      <c r="AE418" s="1262"/>
      <c r="AF418" s="1262"/>
      <c r="AG418" s="1262"/>
      <c r="AH418" s="1262"/>
      <c r="AI418" s="1262"/>
      <c r="AJ418" s="1262"/>
      <c r="AK418" s="1262"/>
    </row>
    <row r="419" spans="1:37" ht="24.75" customHeight="1" x14ac:dyDescent="0.2">
      <c r="A419" s="1184" t="str">
        <f>LIEU&amp;" du "&amp;DATE</f>
        <v>L’Isle sur la Sorgue du 27 au 31 mars 2023</v>
      </c>
      <c r="B419" s="1184"/>
      <c r="C419" s="1184"/>
      <c r="D419" s="1184"/>
      <c r="E419" s="1184"/>
      <c r="F419" s="1184"/>
      <c r="G419" s="1184"/>
      <c r="H419" s="1184"/>
      <c r="I419" s="1184"/>
      <c r="J419" s="1184"/>
      <c r="K419" s="1184"/>
      <c r="L419" s="1184"/>
      <c r="M419" s="1184"/>
      <c r="N419" s="1184"/>
      <c r="O419" s="1184"/>
      <c r="P419" s="1184"/>
      <c r="Q419" s="1184"/>
      <c r="R419" s="1184"/>
      <c r="S419" s="571" t="s">
        <v>994</v>
      </c>
      <c r="T419" s="1184" t="str">
        <f>LIEU&amp;" du "&amp;DATE</f>
        <v>L’Isle sur la Sorgue du 27 au 31 mars 2023</v>
      </c>
      <c r="U419" s="1184"/>
      <c r="V419" s="1184"/>
      <c r="W419" s="1184"/>
      <c r="X419" s="1184"/>
      <c r="Y419" s="1184"/>
      <c r="Z419" s="1184"/>
      <c r="AA419" s="1184"/>
      <c r="AB419" s="1184"/>
      <c r="AC419" s="1184"/>
      <c r="AD419" s="1184"/>
      <c r="AE419" s="1184"/>
      <c r="AF419" s="1184"/>
      <c r="AG419" s="1184"/>
      <c r="AH419" s="1184"/>
      <c r="AI419" s="1184"/>
      <c r="AJ419" s="1184"/>
      <c r="AK419" s="1184"/>
    </row>
    <row r="420" spans="1:37" s="218" customFormat="1" ht="40.5" customHeight="1" x14ac:dyDescent="0.2">
      <c r="A420" s="1268" t="str">
        <f>CATEG_IMPORTEE</f>
        <v>Collèges Mixtes Etablissement</v>
      </c>
      <c r="B420" s="1268"/>
      <c r="C420" s="1268"/>
      <c r="D420" s="1268"/>
      <c r="E420" s="1268"/>
      <c r="F420" s="1268"/>
      <c r="G420" s="1268"/>
      <c r="H420" s="1268"/>
      <c r="I420" s="1268"/>
      <c r="J420" s="1268"/>
      <c r="K420" s="1268"/>
      <c r="L420" s="1268"/>
      <c r="M420" s="1268"/>
      <c r="N420" s="1268"/>
      <c r="O420" s="1268"/>
      <c r="P420" s="1268"/>
      <c r="Q420" s="1268"/>
      <c r="R420" s="1268"/>
      <c r="S420" s="571" t="s">
        <v>994</v>
      </c>
      <c r="T420" s="1268" t="str">
        <f>CATEG_IMPORTEE</f>
        <v>Collèges Mixtes Etablissement</v>
      </c>
      <c r="U420" s="1268"/>
      <c r="V420" s="1268"/>
      <c r="W420" s="1268"/>
      <c r="X420" s="1268"/>
      <c r="Y420" s="1268"/>
      <c r="Z420" s="1268"/>
      <c r="AA420" s="1268"/>
      <c r="AB420" s="1268"/>
      <c r="AC420" s="1268"/>
      <c r="AD420" s="1268"/>
      <c r="AE420" s="1268"/>
      <c r="AF420" s="1268"/>
      <c r="AG420" s="1268"/>
      <c r="AH420" s="1268"/>
      <c r="AI420" s="1268"/>
      <c r="AJ420" s="1268"/>
      <c r="AK420" s="1268"/>
    </row>
    <row r="421" spans="1:37" s="218" customFormat="1" ht="19.5" customHeight="1" x14ac:dyDescent="0.2">
      <c r="A421" s="625"/>
      <c r="B421" s="625"/>
      <c r="C421" s="625"/>
      <c r="D421" s="625"/>
      <c r="E421" s="625"/>
      <c r="F421" s="625"/>
      <c r="G421" s="625"/>
      <c r="H421" s="625"/>
      <c r="I421" s="625"/>
      <c r="J421" s="625"/>
      <c r="K421" s="625"/>
      <c r="L421" s="625"/>
      <c r="M421" s="625"/>
      <c r="N421" s="625"/>
      <c r="O421" s="625"/>
      <c r="P421" s="625"/>
      <c r="Q421" s="625"/>
      <c r="R421" s="625"/>
      <c r="S421" s="646" t="s">
        <v>995</v>
      </c>
      <c r="T421" s="625"/>
      <c r="U421" s="625"/>
      <c r="V421" s="625"/>
      <c r="W421" s="625"/>
      <c r="X421" s="625"/>
      <c r="Y421" s="625"/>
      <c r="Z421" s="625"/>
      <c r="AA421" s="625"/>
      <c r="AB421" s="625"/>
      <c r="AC421" s="625"/>
      <c r="AD421" s="625"/>
      <c r="AE421" s="625"/>
      <c r="AF421" s="625"/>
      <c r="AG421" s="625"/>
      <c r="AH421" s="625"/>
      <c r="AI421" s="625"/>
      <c r="AJ421" s="625"/>
      <c r="AK421" s="625"/>
    </row>
    <row r="422" spans="1:37" ht="47.25" customHeight="1" x14ac:dyDescent="0.2">
      <c r="A422" s="620"/>
      <c r="B422" s="620"/>
      <c r="C422" s="620"/>
      <c r="D422" s="620"/>
      <c r="E422" s="620"/>
      <c r="F422" s="620"/>
      <c r="G422" s="620"/>
      <c r="H422" s="620"/>
      <c r="I422" s="620"/>
      <c r="J422" s="620"/>
      <c r="K422" s="620"/>
      <c r="L422" s="620"/>
      <c r="M422" s="620"/>
      <c r="N422" s="1072" t="s">
        <v>628</v>
      </c>
      <c r="O422" s="1073"/>
      <c r="P422" s="1271">
        <f>P390+1</f>
        <v>14</v>
      </c>
      <c r="Q422" s="1271"/>
      <c r="R422" s="1271"/>
      <c r="S422" s="571" t="s">
        <v>994</v>
      </c>
      <c r="T422" s="620"/>
      <c r="U422" s="620"/>
      <c r="V422" s="620"/>
      <c r="W422" s="620"/>
      <c r="X422" s="620"/>
      <c r="Y422" s="620"/>
      <c r="Z422" s="620"/>
      <c r="AA422" s="620"/>
      <c r="AB422" s="620"/>
      <c r="AC422" s="620"/>
      <c r="AD422" s="620"/>
      <c r="AE422" s="620"/>
      <c r="AF422" s="620"/>
      <c r="AG422" s="1072" t="s">
        <v>628</v>
      </c>
      <c r="AH422" s="1073"/>
      <c r="AI422" s="1271">
        <f>AI390+1</f>
        <v>14</v>
      </c>
      <c r="AJ422" s="1271"/>
      <c r="AK422" s="1271"/>
    </row>
    <row r="423" spans="1:37" ht="36.75" customHeight="1" x14ac:dyDescent="0.2">
      <c r="A423" s="1272" t="e">
        <f>VLOOKUP(J430,ID_archer_cible,2,FALSE)</f>
        <v>#N/A</v>
      </c>
      <c r="B423" s="1272"/>
      <c r="C423" s="1272"/>
      <c r="D423" s="1272"/>
      <c r="E423" s="1272"/>
      <c r="F423" s="1272"/>
      <c r="G423" s="1272"/>
      <c r="H423" s="1272"/>
      <c r="I423" s="1272"/>
      <c r="J423" s="1272"/>
      <c r="K423" s="1272"/>
      <c r="L423" s="1272"/>
      <c r="M423" s="1272"/>
      <c r="N423" s="1272"/>
      <c r="O423" s="1272"/>
      <c r="P423" s="1272"/>
      <c r="Q423" s="1272"/>
      <c r="R423" s="1272"/>
      <c r="S423" s="571" t="s">
        <v>994</v>
      </c>
      <c r="T423" s="1272" t="e">
        <f>VLOOKUP(AC430,ID_archer_cible,2,FALSE)</f>
        <v>#N/A</v>
      </c>
      <c r="U423" s="1272"/>
      <c r="V423" s="1272"/>
      <c r="W423" s="1272"/>
      <c r="X423" s="1272"/>
      <c r="Y423" s="1272"/>
      <c r="Z423" s="1272"/>
      <c r="AA423" s="1272"/>
      <c r="AB423" s="1272"/>
      <c r="AC423" s="1272"/>
      <c r="AD423" s="1272"/>
      <c r="AE423" s="1272"/>
      <c r="AF423" s="1272"/>
      <c r="AG423" s="1272"/>
      <c r="AH423" s="1272"/>
      <c r="AI423" s="1272"/>
      <c r="AJ423" s="1272"/>
      <c r="AK423" s="1272"/>
    </row>
    <row r="424" spans="1:37" ht="21.75" customHeight="1" x14ac:dyDescent="0.2">
      <c r="I424" s="621"/>
      <c r="J424" s="621"/>
      <c r="K424" s="621"/>
      <c r="L424" s="621"/>
      <c r="M424" s="621"/>
      <c r="N424" s="621"/>
      <c r="P424" s="619"/>
      <c r="Q424" s="619"/>
      <c r="R424" s="619"/>
      <c r="S424" s="646" t="s">
        <v>995</v>
      </c>
      <c r="AB424" s="621"/>
      <c r="AC424" s="621"/>
      <c r="AD424" s="621"/>
      <c r="AE424" s="621"/>
      <c r="AF424" s="621"/>
      <c r="AG424" s="621"/>
      <c r="AI424" s="619"/>
      <c r="AJ424" s="619"/>
      <c r="AK424" s="619"/>
    </row>
    <row r="425" spans="1:37" ht="17.25" customHeight="1" x14ac:dyDescent="0.2">
      <c r="A425" s="1125"/>
      <c r="B425" s="1125"/>
      <c r="C425" s="1125"/>
      <c r="D425" s="1125"/>
      <c r="E425" s="1125"/>
      <c r="F425" s="1125"/>
      <c r="G425" s="1125"/>
      <c r="H425" s="1125"/>
      <c r="I425" s="1125"/>
      <c r="J425" s="1125"/>
      <c r="K425" s="1125"/>
      <c r="L425" s="1125" t="s">
        <v>374</v>
      </c>
      <c r="M425" s="1125"/>
      <c r="N425" s="1125"/>
      <c r="O425" s="1125"/>
      <c r="P425" s="1125"/>
      <c r="Q425" s="1125"/>
      <c r="R425" s="1125"/>
      <c r="S425" s="571" t="s">
        <v>994</v>
      </c>
      <c r="T425" s="1125"/>
      <c r="U425" s="1125"/>
      <c r="V425" s="1125"/>
      <c r="W425" s="1125"/>
      <c r="X425" s="1125"/>
      <c r="Y425" s="1125"/>
      <c r="Z425" s="1125"/>
      <c r="AA425" s="1125"/>
      <c r="AB425" s="1125"/>
      <c r="AC425" s="1125"/>
      <c r="AD425" s="1125"/>
      <c r="AE425" s="1125" t="s">
        <v>374</v>
      </c>
      <c r="AF425" s="1125"/>
      <c r="AG425" s="1125"/>
      <c r="AH425" s="1125"/>
      <c r="AI425" s="1125"/>
      <c r="AJ425" s="1125"/>
      <c r="AK425" s="1125"/>
    </row>
    <row r="426" spans="1:37" ht="32.25" customHeight="1" x14ac:dyDescent="0.2">
      <c r="A426" s="1269" t="e">
        <f>VLOOKUP(J430,ID_archer_cible,3,FALSE)</f>
        <v>#N/A</v>
      </c>
      <c r="B426" s="1269"/>
      <c r="C426" s="1269"/>
      <c r="D426" s="1269"/>
      <c r="E426" s="1269"/>
      <c r="F426" s="1269"/>
      <c r="G426" s="1269"/>
      <c r="H426" s="1269"/>
      <c r="I426" s="1269"/>
      <c r="J426" s="1269"/>
      <c r="K426" s="1269"/>
      <c r="L426" s="1270" t="e">
        <f>VLOOKUP(J430,ID_archer_cible,4,FALSE)</f>
        <v>#N/A</v>
      </c>
      <c r="M426" s="1270"/>
      <c r="N426" s="1270"/>
      <c r="O426" s="1270"/>
      <c r="P426" s="1270"/>
      <c r="Q426" s="1270"/>
      <c r="R426" s="1270"/>
      <c r="S426" s="571" t="s">
        <v>994</v>
      </c>
      <c r="T426" s="1269" t="e">
        <f>VLOOKUP(AC430,ID_archer_cible,3,FALSE)</f>
        <v>#N/A</v>
      </c>
      <c r="U426" s="1269"/>
      <c r="V426" s="1269"/>
      <c r="W426" s="1269"/>
      <c r="X426" s="1269"/>
      <c r="Y426" s="1269"/>
      <c r="Z426" s="1269"/>
      <c r="AA426" s="1269"/>
      <c r="AB426" s="1269"/>
      <c r="AC426" s="1269"/>
      <c r="AD426" s="1269"/>
      <c r="AE426" s="1270" t="e">
        <f>VLOOKUP(AC430,ID_archer_cible,4,FALSE)</f>
        <v>#N/A</v>
      </c>
      <c r="AF426" s="1270"/>
      <c r="AG426" s="1270"/>
      <c r="AH426" s="1270"/>
      <c r="AI426" s="1270"/>
      <c r="AJ426" s="1270"/>
      <c r="AK426" s="1270"/>
    </row>
    <row r="427" spans="1:37" ht="17.25" customHeight="1" x14ac:dyDescent="0.2">
      <c r="E427" s="584"/>
      <c r="F427" s="584"/>
      <c r="G427" s="584"/>
      <c r="H427" s="584"/>
      <c r="I427" s="618"/>
      <c r="J427" s="618"/>
      <c r="K427" s="618"/>
      <c r="L427" s="618"/>
      <c r="M427" s="618"/>
      <c r="N427" s="618"/>
      <c r="P427" s="1266" t="str">
        <f>IFERROR(IF(AND(R430="oui",R431="oui",R432="oui",R433="oui"),"PRO",""),"")</f>
        <v/>
      </c>
      <c r="Q427" s="1266"/>
      <c r="R427" s="1266"/>
      <c r="S427" s="646" t="s">
        <v>995</v>
      </c>
      <c r="X427" s="584"/>
      <c r="Y427" s="584"/>
      <c r="Z427" s="584"/>
      <c r="AA427" s="584"/>
      <c r="AB427" s="618"/>
      <c r="AC427" s="618"/>
      <c r="AD427" s="618"/>
      <c r="AE427" s="618"/>
      <c r="AF427" s="618"/>
      <c r="AG427" s="618"/>
      <c r="AI427" s="1266" t="str">
        <f>IFERROR(IF(AND(AK430="oui",AK431="oui",AK432="oui",AK433="oui"),"PRO",""),"")</f>
        <v/>
      </c>
      <c r="AJ427" s="1266"/>
      <c r="AK427" s="1266"/>
    </row>
    <row r="428" spans="1:37" ht="20.25" customHeight="1" x14ac:dyDescent="0.2">
      <c r="P428" s="1267"/>
      <c r="Q428" s="1267"/>
      <c r="R428" s="1267"/>
      <c r="S428" s="571" t="s">
        <v>994</v>
      </c>
      <c r="AI428" s="1267"/>
      <c r="AJ428" s="1267"/>
      <c r="AK428" s="1267"/>
    </row>
    <row r="429" spans="1:37" ht="25.5" customHeight="1" x14ac:dyDescent="0.2">
      <c r="B429" s="1273" t="s">
        <v>906</v>
      </c>
      <c r="C429" s="1273"/>
      <c r="D429" s="1273"/>
      <c r="E429" s="1273"/>
      <c r="F429" s="1273"/>
      <c r="G429" s="1273"/>
      <c r="H429" s="1273"/>
      <c r="I429" s="1273"/>
      <c r="J429" s="622" t="s">
        <v>552</v>
      </c>
      <c r="K429" s="623" t="s">
        <v>893</v>
      </c>
      <c r="L429" s="1275" t="s">
        <v>550</v>
      </c>
      <c r="M429" s="1276"/>
      <c r="N429" s="1274" t="s">
        <v>905</v>
      </c>
      <c r="O429" s="1274"/>
      <c r="P429" s="1254" t="s">
        <v>551</v>
      </c>
      <c r="Q429" s="1254"/>
      <c r="R429" s="752" t="s">
        <v>1027</v>
      </c>
      <c r="S429" s="571" t="s">
        <v>994</v>
      </c>
      <c r="U429" s="1273" t="s">
        <v>906</v>
      </c>
      <c r="V429" s="1273"/>
      <c r="W429" s="1273"/>
      <c r="X429" s="1273"/>
      <c r="Y429" s="1273"/>
      <c r="Z429" s="1273"/>
      <c r="AA429" s="1273"/>
      <c r="AB429" s="1273"/>
      <c r="AC429" s="622" t="s">
        <v>552</v>
      </c>
      <c r="AD429" s="623" t="s">
        <v>893</v>
      </c>
      <c r="AE429" s="1275" t="s">
        <v>550</v>
      </c>
      <c r="AF429" s="1276"/>
      <c r="AG429" s="1274" t="s">
        <v>905</v>
      </c>
      <c r="AH429" s="1274"/>
      <c r="AI429" s="1254" t="s">
        <v>551</v>
      </c>
      <c r="AJ429" s="1254"/>
      <c r="AK429" s="752" t="s">
        <v>1027</v>
      </c>
    </row>
    <row r="430" spans="1:37" ht="45" customHeight="1" x14ac:dyDescent="0.2">
      <c r="B430" s="1255" t="e">
        <f>VLOOKUP(J430,ID_archer_cible,5,FALSE)&amp;"    "&amp;VLOOKUP(J430,ID_archer_cible,6,FALSE)</f>
        <v>#N/A</v>
      </c>
      <c r="C430" s="1255"/>
      <c r="D430" s="1255"/>
      <c r="E430" s="1255"/>
      <c r="F430" s="1255"/>
      <c r="G430" s="1255"/>
      <c r="H430" s="1255"/>
      <c r="I430" s="1255"/>
      <c r="J430" s="624" t="str">
        <f>P422&amp;"A"</f>
        <v>14A</v>
      </c>
      <c r="K430" s="574" t="e">
        <f>VLOOKUP(J430,ID_archer_cible,9,FALSE)</f>
        <v>#N/A</v>
      </c>
      <c r="L430" s="1256" t="e">
        <f>VLOOKUP(J430,ID_archer_cible,8,FALSE)</f>
        <v>#N/A</v>
      </c>
      <c r="M430" s="1257"/>
      <c r="N430" s="1260" t="e">
        <f>VLOOKUP(J430,ID_archer_cible,7,FALSE)</f>
        <v>#N/A</v>
      </c>
      <c r="O430" s="1261"/>
      <c r="P430" s="828" t="e">
        <f>VLOOKUP(J430,ID_archer_cible,10,FALSE)</f>
        <v>#N/A</v>
      </c>
      <c r="Q430" s="829" t="e">
        <f>IF(VLOOKUP(L430,N°LicPRO,3,FALSE)="oui","COACH","")</f>
        <v>#N/A</v>
      </c>
      <c r="R430" s="742" t="str">
        <f>IFERROR(VLOOKUP(L430,N°LicPRO,2,FALSE),"")</f>
        <v/>
      </c>
      <c r="S430" s="646" t="s">
        <v>995</v>
      </c>
      <c r="U430" s="1255" t="e">
        <f>VLOOKUP(AC430,ID_archer_cible,5,FALSE)&amp;"    "&amp;VLOOKUP(AC430,ID_archer_cible,6,FALSE)</f>
        <v>#N/A</v>
      </c>
      <c r="V430" s="1255"/>
      <c r="W430" s="1255"/>
      <c r="X430" s="1255"/>
      <c r="Y430" s="1255"/>
      <c r="Z430" s="1255"/>
      <c r="AA430" s="1255"/>
      <c r="AB430" s="1255"/>
      <c r="AC430" s="624" t="str">
        <f>AI422&amp;"A"</f>
        <v>14A</v>
      </c>
      <c r="AD430" s="574" t="e">
        <f>VLOOKUP(AC430,ID_archer_cible,9,FALSE)</f>
        <v>#N/A</v>
      </c>
      <c r="AE430" s="1256" t="e">
        <f>VLOOKUP(AC430,ID_archer_cible,8,FALSE)</f>
        <v>#N/A</v>
      </c>
      <c r="AF430" s="1257"/>
      <c r="AG430" s="1260" t="e">
        <f>VLOOKUP(AC430,ID_archer_cible,7,FALSE)</f>
        <v>#N/A</v>
      </c>
      <c r="AH430" s="1261"/>
      <c r="AI430" s="828" t="e">
        <f>VLOOKUP(AC430,ID_archer_cible,10,FALSE)</f>
        <v>#N/A</v>
      </c>
      <c r="AJ430" s="829" t="e">
        <f>IF(VLOOKUP(AE430,N°LicPRO,3,FALSE)="oui","COACH","")</f>
        <v>#N/A</v>
      </c>
      <c r="AK430" s="742" t="str">
        <f>IFERROR(VLOOKUP(AE430,N°LicPRO,2,FALSE),"")</f>
        <v/>
      </c>
    </row>
    <row r="431" spans="1:37" ht="45" customHeight="1" x14ac:dyDescent="0.2">
      <c r="B431" s="1255" t="e">
        <f>VLOOKUP(J431,ID_archer_cible,5,FALSE)&amp;"    "&amp;VLOOKUP(J431,ID_archer_cible,6,FALSE)</f>
        <v>#N/A</v>
      </c>
      <c r="C431" s="1255"/>
      <c r="D431" s="1255"/>
      <c r="E431" s="1255"/>
      <c r="F431" s="1255"/>
      <c r="G431" s="1255"/>
      <c r="H431" s="1255"/>
      <c r="I431" s="1255"/>
      <c r="J431" s="624" t="str">
        <f>P422&amp;"B"</f>
        <v>14B</v>
      </c>
      <c r="K431" s="574" t="e">
        <f>VLOOKUP(J431,ID_archer_cible,9,FALSE)</f>
        <v>#N/A</v>
      </c>
      <c r="L431" s="1256" t="e">
        <f>VLOOKUP(J431,ID_archer_cible,8,FALSE)</f>
        <v>#N/A</v>
      </c>
      <c r="M431" s="1257"/>
      <c r="N431" s="1260" t="e">
        <f>VLOOKUP(J431,ID_archer_cible,7,FALSE)</f>
        <v>#N/A</v>
      </c>
      <c r="O431" s="1261"/>
      <c r="P431" s="828" t="e">
        <f>VLOOKUP(J431,ID_archer_cible,10,FALSE)</f>
        <v>#N/A</v>
      </c>
      <c r="Q431" s="829" t="e">
        <f>IF(VLOOKUP(L431,N°LicPRO,3,FALSE)="oui","COACH","")</f>
        <v>#N/A</v>
      </c>
      <c r="R431" s="742" t="str">
        <f>IFERROR(VLOOKUP(L431,N°LicPRO,2,FALSE),"")</f>
        <v/>
      </c>
      <c r="S431" s="571" t="s">
        <v>994</v>
      </c>
      <c r="U431" s="1255" t="e">
        <f>VLOOKUP(AC431,ID_archer_cible,5,FALSE)&amp;"    "&amp;VLOOKUP(AC431,ID_archer_cible,6,FALSE)</f>
        <v>#N/A</v>
      </c>
      <c r="V431" s="1255"/>
      <c r="W431" s="1255"/>
      <c r="X431" s="1255"/>
      <c r="Y431" s="1255"/>
      <c r="Z431" s="1255"/>
      <c r="AA431" s="1255"/>
      <c r="AB431" s="1255"/>
      <c r="AC431" s="624" t="str">
        <f>AI422&amp;"B"</f>
        <v>14B</v>
      </c>
      <c r="AD431" s="574" t="e">
        <f>VLOOKUP(AC431,ID_archer_cible,9,FALSE)</f>
        <v>#N/A</v>
      </c>
      <c r="AE431" s="1256" t="e">
        <f>VLOOKUP(AC431,ID_archer_cible,8,FALSE)</f>
        <v>#N/A</v>
      </c>
      <c r="AF431" s="1257"/>
      <c r="AG431" s="1260" t="e">
        <f>VLOOKUP(AC431,ID_archer_cible,7,FALSE)</f>
        <v>#N/A</v>
      </c>
      <c r="AH431" s="1261"/>
      <c r="AI431" s="828" t="e">
        <f>VLOOKUP(AC431,ID_archer_cible,10,FALSE)</f>
        <v>#N/A</v>
      </c>
      <c r="AJ431" s="829" t="e">
        <f>IF(VLOOKUP(AE431,N°LicPRO,3,FALSE)="oui","COACH","")</f>
        <v>#N/A</v>
      </c>
      <c r="AK431" s="742" t="str">
        <f>IFERROR(VLOOKUP(AE431,N°LicPRO,2,FALSE),"")</f>
        <v/>
      </c>
    </row>
    <row r="432" spans="1:37" ht="45" customHeight="1" x14ac:dyDescent="0.2">
      <c r="B432" s="1255" t="e">
        <f>VLOOKUP(J432,ID_archer_cible,5,FALSE)&amp;"    "&amp;VLOOKUP(J432,ID_archer_cible,6,FALSE)</f>
        <v>#N/A</v>
      </c>
      <c r="C432" s="1255"/>
      <c r="D432" s="1255"/>
      <c r="E432" s="1255"/>
      <c r="F432" s="1255"/>
      <c r="G432" s="1255"/>
      <c r="H432" s="1255"/>
      <c r="I432" s="1255"/>
      <c r="J432" s="624" t="str">
        <f>P422&amp;"C"</f>
        <v>14C</v>
      </c>
      <c r="K432" s="574" t="e">
        <f>VLOOKUP(J432,ID_archer_cible,9,FALSE)</f>
        <v>#N/A</v>
      </c>
      <c r="L432" s="1256" t="e">
        <f>VLOOKUP(J432,ID_archer_cible,8,FALSE)</f>
        <v>#N/A</v>
      </c>
      <c r="M432" s="1257"/>
      <c r="N432" s="1260" t="e">
        <f>VLOOKUP(J432,ID_archer_cible,7,FALSE)</f>
        <v>#N/A</v>
      </c>
      <c r="O432" s="1261"/>
      <c r="P432" s="828" t="e">
        <f>VLOOKUP(J432,ID_archer_cible,10,FALSE)</f>
        <v>#N/A</v>
      </c>
      <c r="Q432" s="829" t="e">
        <f>IF(VLOOKUP(L432,N°LicPRO,3,FALSE)="oui","COACH","")</f>
        <v>#N/A</v>
      </c>
      <c r="R432" s="742" t="str">
        <f>IFERROR(VLOOKUP(L432,N°LicPRO,2,FALSE),"")</f>
        <v/>
      </c>
      <c r="S432" s="571" t="s">
        <v>994</v>
      </c>
      <c r="U432" s="1255" t="e">
        <f>VLOOKUP(AC432,ID_archer_cible,5,FALSE)&amp;"    "&amp;VLOOKUP(AC432,ID_archer_cible,6,FALSE)</f>
        <v>#N/A</v>
      </c>
      <c r="V432" s="1255"/>
      <c r="W432" s="1255"/>
      <c r="X432" s="1255"/>
      <c r="Y432" s="1255"/>
      <c r="Z432" s="1255"/>
      <c r="AA432" s="1255"/>
      <c r="AB432" s="1255"/>
      <c r="AC432" s="624" t="str">
        <f>AI422&amp;"C"</f>
        <v>14C</v>
      </c>
      <c r="AD432" s="574" t="e">
        <f>VLOOKUP(AC432,ID_archer_cible,9,FALSE)</f>
        <v>#N/A</v>
      </c>
      <c r="AE432" s="1256" t="e">
        <f>VLOOKUP(AC432,ID_archer_cible,8,FALSE)</f>
        <v>#N/A</v>
      </c>
      <c r="AF432" s="1257"/>
      <c r="AG432" s="1260" t="e">
        <f>VLOOKUP(AC432,ID_archer_cible,7,FALSE)</f>
        <v>#N/A</v>
      </c>
      <c r="AH432" s="1261"/>
      <c r="AI432" s="828" t="e">
        <f>VLOOKUP(AC432,ID_archer_cible,10,FALSE)</f>
        <v>#N/A</v>
      </c>
      <c r="AJ432" s="829" t="e">
        <f>IF(VLOOKUP(AE432,N°LicPRO,3,FALSE)="oui","COACH","")</f>
        <v>#N/A</v>
      </c>
      <c r="AK432" s="742" t="str">
        <f>IFERROR(VLOOKUP(AE432,N°LicPRO,2,FALSE),"")</f>
        <v/>
      </c>
    </row>
    <row r="433" spans="2:37" ht="45" customHeight="1" x14ac:dyDescent="0.2">
      <c r="B433" s="1255" t="e">
        <f>VLOOKUP(J433,ID_archer_cible,5,FALSE)&amp;"    "&amp;VLOOKUP(J433,ID_archer_cible,6,FALSE)</f>
        <v>#N/A</v>
      </c>
      <c r="C433" s="1255"/>
      <c r="D433" s="1255"/>
      <c r="E433" s="1255"/>
      <c r="F433" s="1255"/>
      <c r="G433" s="1255"/>
      <c r="H433" s="1255"/>
      <c r="I433" s="1255"/>
      <c r="J433" s="624" t="str">
        <f>P422&amp;"D"</f>
        <v>14D</v>
      </c>
      <c r="K433" s="574" t="e">
        <f>VLOOKUP(J433,ID_archer_cible,9,FALSE)</f>
        <v>#N/A</v>
      </c>
      <c r="L433" s="1256" t="e">
        <f>VLOOKUP(J433,ID_archer_cible,8,FALSE)</f>
        <v>#N/A</v>
      </c>
      <c r="M433" s="1257"/>
      <c r="N433" s="1260" t="e">
        <f>VLOOKUP(J433,ID_archer_cible,7,FALSE)</f>
        <v>#N/A</v>
      </c>
      <c r="O433" s="1261"/>
      <c r="P433" s="828" t="e">
        <f>VLOOKUP(J433,ID_archer_cible,10,FALSE)</f>
        <v>#N/A</v>
      </c>
      <c r="Q433" s="829" t="e">
        <f>IF(VLOOKUP(L433,N°LicPRO,3,FALSE)="oui","COACH","")</f>
        <v>#N/A</v>
      </c>
      <c r="R433" s="742" t="str">
        <f>IFERROR(VLOOKUP(L433,N°LicPRO,2,FALSE),"")</f>
        <v/>
      </c>
      <c r="S433" s="646" t="s">
        <v>995</v>
      </c>
      <c r="U433" s="1255" t="e">
        <f>VLOOKUP(AC433,ID_archer_cible,5,FALSE)&amp;"    "&amp;VLOOKUP(AC433,ID_archer_cible,6,FALSE)</f>
        <v>#N/A</v>
      </c>
      <c r="V433" s="1255"/>
      <c r="W433" s="1255"/>
      <c r="X433" s="1255"/>
      <c r="Y433" s="1255"/>
      <c r="Z433" s="1255"/>
      <c r="AA433" s="1255"/>
      <c r="AB433" s="1255"/>
      <c r="AC433" s="624" t="str">
        <f>AI422&amp;"D"</f>
        <v>14D</v>
      </c>
      <c r="AD433" s="574" t="e">
        <f>VLOOKUP(AC433,ID_archer_cible,9,FALSE)</f>
        <v>#N/A</v>
      </c>
      <c r="AE433" s="1256" t="e">
        <f>VLOOKUP(AC433,ID_archer_cible,8,FALSE)</f>
        <v>#N/A</v>
      </c>
      <c r="AF433" s="1257"/>
      <c r="AG433" s="1260" t="e">
        <f>VLOOKUP(AC433,ID_archer_cible,7,FALSE)</f>
        <v>#N/A</v>
      </c>
      <c r="AH433" s="1261"/>
      <c r="AI433" s="828" t="e">
        <f>VLOOKUP(AC433,ID_archer_cible,10,FALSE)</f>
        <v>#N/A</v>
      </c>
      <c r="AJ433" s="829" t="e">
        <f>IF(VLOOKUP(AE433,N°LicPRO,3,FALSE)="oui","COACH","")</f>
        <v>#N/A</v>
      </c>
      <c r="AK433" s="742" t="str">
        <f>IFERROR(VLOOKUP(AE433,N°LicPRO,2,FALSE),"")</f>
        <v/>
      </c>
    </row>
    <row r="434" spans="2:37" ht="15" customHeight="1" x14ac:dyDescent="0.2">
      <c r="S434" s="571" t="s">
        <v>994</v>
      </c>
    </row>
    <row r="435" spans="2:37" ht="15" customHeight="1" x14ac:dyDescent="0.2">
      <c r="B435" s="508" t="s">
        <v>975</v>
      </c>
      <c r="S435" s="571" t="s">
        <v>994</v>
      </c>
      <c r="U435" s="508" t="s">
        <v>975</v>
      </c>
    </row>
    <row r="436" spans="2:37" ht="15" customHeight="1" x14ac:dyDescent="0.2">
      <c r="B436" s="1259" t="s">
        <v>974</v>
      </c>
      <c r="C436" s="1259"/>
      <c r="D436" s="1259"/>
      <c r="E436" s="1259"/>
      <c r="F436" s="1199" t="str">
        <f>Info_TirQ</f>
        <v>J2 8:30-9:00 Ent. 9:00-10:30 Tirs Qual.</v>
      </c>
      <c r="G436" s="1199"/>
      <c r="H436" s="1199"/>
      <c r="I436" s="1199"/>
      <c r="J436" s="1199"/>
      <c r="K436" s="1258" t="s">
        <v>978</v>
      </c>
      <c r="L436" s="1258"/>
      <c r="M436" s="1258"/>
      <c r="N436" s="1258"/>
      <c r="O436" s="1258"/>
      <c r="S436" s="646" t="s">
        <v>995</v>
      </c>
      <c r="U436" s="1259" t="s">
        <v>974</v>
      </c>
      <c r="V436" s="1259"/>
      <c r="W436" s="1259"/>
      <c r="X436" s="1259"/>
      <c r="Y436" s="1199" t="str">
        <f>Info_TirQ</f>
        <v>J2 8:30-9:00 Ent. 9:00-10:30 Tirs Qual.</v>
      </c>
      <c r="Z436" s="1199"/>
      <c r="AA436" s="1199"/>
      <c r="AB436" s="1199"/>
      <c r="AC436" s="1199"/>
      <c r="AD436" s="1258" t="s">
        <v>978</v>
      </c>
      <c r="AE436" s="1258"/>
      <c r="AF436" s="1258"/>
      <c r="AG436" s="1258"/>
      <c r="AH436" s="1258"/>
    </row>
    <row r="437" spans="2:37" ht="15" customHeight="1" x14ac:dyDescent="0.2">
      <c r="B437" s="1259" t="s">
        <v>484</v>
      </c>
      <c r="C437" s="1259"/>
      <c r="D437" s="1259"/>
      <c r="E437" s="1259"/>
      <c r="F437" s="1199" t="str">
        <f>Info_D1</f>
        <v>J2 13:30-14:20  1er DUEL</v>
      </c>
      <c r="G437" s="1199"/>
      <c r="H437" s="1199"/>
      <c r="I437" s="1199"/>
      <c r="J437" s="1199"/>
      <c r="K437" s="1258"/>
      <c r="L437" s="1258"/>
      <c r="M437" s="1258"/>
      <c r="N437" s="1258"/>
      <c r="O437" s="1258"/>
      <c r="S437" s="571" t="s">
        <v>994</v>
      </c>
      <c r="U437" s="1259" t="s">
        <v>484</v>
      </c>
      <c r="V437" s="1259"/>
      <c r="W437" s="1259"/>
      <c r="X437" s="1259"/>
      <c r="Y437" s="1199" t="str">
        <f>Info_D1</f>
        <v>J2 13:30-14:20  1er DUEL</v>
      </c>
      <c r="Z437" s="1199"/>
      <c r="AA437" s="1199"/>
      <c r="AB437" s="1199"/>
      <c r="AC437" s="1199"/>
      <c r="AD437" s="1258"/>
      <c r="AE437" s="1258"/>
      <c r="AF437" s="1258"/>
      <c r="AG437" s="1258"/>
      <c r="AH437" s="1258"/>
    </row>
    <row r="438" spans="2:37" ht="15" customHeight="1" x14ac:dyDescent="0.2">
      <c r="B438" s="1259" t="s">
        <v>972</v>
      </c>
      <c r="C438" s="1259"/>
      <c r="D438" s="1259"/>
      <c r="E438" s="1259"/>
      <c r="F438" s="1199" t="str">
        <f>Info_D2</f>
        <v>J2 14:30-15:20 2ème DUEL</v>
      </c>
      <c r="G438" s="1199"/>
      <c r="H438" s="1199"/>
      <c r="I438" s="1199"/>
      <c r="J438" s="1199"/>
      <c r="K438" s="1258"/>
      <c r="L438" s="1258"/>
      <c r="M438" s="1258"/>
      <c r="N438" s="1258"/>
      <c r="O438" s="1258"/>
      <c r="S438" s="571" t="s">
        <v>994</v>
      </c>
      <c r="U438" s="1259" t="s">
        <v>972</v>
      </c>
      <c r="V438" s="1259"/>
      <c r="W438" s="1259"/>
      <c r="X438" s="1259"/>
      <c r="Y438" s="1199" t="str">
        <f>Info_D2</f>
        <v>J2 14:30-15:20 2ème DUEL</v>
      </c>
      <c r="Z438" s="1199"/>
      <c r="AA438" s="1199"/>
      <c r="AB438" s="1199"/>
      <c r="AC438" s="1199"/>
      <c r="AD438" s="1258"/>
      <c r="AE438" s="1258"/>
      <c r="AF438" s="1258"/>
      <c r="AG438" s="1258"/>
      <c r="AH438" s="1258"/>
    </row>
    <row r="439" spans="2:37" ht="15" customHeight="1" x14ac:dyDescent="0.2">
      <c r="B439" s="1259" t="s">
        <v>973</v>
      </c>
      <c r="C439" s="1259"/>
      <c r="D439" s="1259"/>
      <c r="E439" s="1259"/>
      <c r="F439" s="1199" t="str">
        <f>Info_D3</f>
        <v>J3 10-10:50 Match pl. 5 à +  ETAB - EX</v>
      </c>
      <c r="G439" s="1199"/>
      <c r="H439" s="1199"/>
      <c r="I439" s="1199"/>
      <c r="J439" s="1199"/>
      <c r="K439" s="1258"/>
      <c r="L439" s="1258"/>
      <c r="M439" s="1258"/>
      <c r="N439" s="1258"/>
      <c r="O439" s="1258"/>
      <c r="S439" s="646" t="s">
        <v>995</v>
      </c>
      <c r="U439" s="1259" t="s">
        <v>973</v>
      </c>
      <c r="V439" s="1259"/>
      <c r="W439" s="1259"/>
      <c r="X439" s="1259"/>
      <c r="Y439" s="1199" t="str">
        <f>Info_D3</f>
        <v>J3 10-10:50 Match pl. 5 à +  ETAB - EX</v>
      </c>
      <c r="Z439" s="1199"/>
      <c r="AA439" s="1199"/>
      <c r="AB439" s="1199"/>
      <c r="AC439" s="1199"/>
      <c r="AD439" s="1258"/>
      <c r="AE439" s="1258"/>
      <c r="AF439" s="1258"/>
      <c r="AG439" s="1258"/>
      <c r="AH439" s="1258"/>
    </row>
    <row r="440" spans="2:37" ht="24.75" customHeight="1" x14ac:dyDescent="0.2">
      <c r="B440" s="626" t="s">
        <v>976</v>
      </c>
      <c r="S440" s="571" t="s">
        <v>994</v>
      </c>
      <c r="U440" s="626" t="s">
        <v>976</v>
      </c>
    </row>
    <row r="441" spans="2:37" ht="134.25" customHeight="1" x14ac:dyDescent="0.2">
      <c r="B441"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C441" s="1264"/>
      <c r="D441" s="1264"/>
      <c r="E441" s="1264"/>
      <c r="F441" s="1264"/>
      <c r="G441" s="1264"/>
      <c r="H441" s="1264"/>
      <c r="I441" s="1264"/>
      <c r="J441" s="1264"/>
      <c r="K441" s="1264"/>
      <c r="L441" s="1264"/>
      <c r="M441" s="1264"/>
      <c r="N441" s="1264"/>
      <c r="O441" s="1264"/>
      <c r="P441" s="1265"/>
      <c r="S441" s="571" t="s">
        <v>994</v>
      </c>
      <c r="U441"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V441" s="1264"/>
      <c r="W441" s="1264"/>
      <c r="X441" s="1264"/>
      <c r="Y441" s="1264"/>
      <c r="Z441" s="1264"/>
      <c r="AA441" s="1264"/>
      <c r="AB441" s="1264"/>
      <c r="AC441" s="1264"/>
      <c r="AD441" s="1264"/>
      <c r="AE441" s="1264"/>
      <c r="AF441" s="1264"/>
      <c r="AG441" s="1264"/>
      <c r="AH441" s="1264"/>
      <c r="AI441" s="1265"/>
    </row>
    <row r="442" spans="2:37" ht="15" customHeight="1" x14ac:dyDescent="0.2">
      <c r="C442" s="508" t="s">
        <v>964</v>
      </c>
      <c r="K442" s="508" t="s">
        <v>965</v>
      </c>
      <c r="O442" s="508" t="s">
        <v>966</v>
      </c>
      <c r="S442" s="646" t="s">
        <v>995</v>
      </c>
      <c r="V442" s="508" t="s">
        <v>964</v>
      </c>
      <c r="AD442" s="508" t="s">
        <v>965</v>
      </c>
      <c r="AH442" s="508" t="s">
        <v>966</v>
      </c>
    </row>
    <row r="443" spans="2:37" ht="15" customHeight="1" x14ac:dyDescent="0.2">
      <c r="S443" s="571" t="s">
        <v>994</v>
      </c>
    </row>
    <row r="444" spans="2:37" ht="15" customHeight="1" x14ac:dyDescent="0.2">
      <c r="S444" s="571" t="s">
        <v>994</v>
      </c>
    </row>
    <row r="445" spans="2:37" ht="15" customHeight="1" x14ac:dyDescent="0.2">
      <c r="S445" s="646" t="s">
        <v>995</v>
      </c>
    </row>
    <row r="446" spans="2:37" ht="15" customHeight="1" x14ac:dyDescent="0.2">
      <c r="S446" s="571" t="s">
        <v>994</v>
      </c>
    </row>
    <row r="447" spans="2:37" ht="15" customHeight="1" x14ac:dyDescent="0.2">
      <c r="S447" s="571" t="s">
        <v>994</v>
      </c>
    </row>
    <row r="448" spans="2:37" ht="21.75" x14ac:dyDescent="0.2">
      <c r="S448" s="646" t="s">
        <v>995</v>
      </c>
    </row>
    <row r="449" spans="1:37" x14ac:dyDescent="0.2">
      <c r="S449" s="571" t="s">
        <v>994</v>
      </c>
    </row>
    <row r="450" spans="1:37" ht="30" x14ac:dyDescent="0.2">
      <c r="A450" s="1262" t="str">
        <f>Championnat</f>
        <v>Championnat de France de Tir à l'ARC</v>
      </c>
      <c r="B450" s="1262"/>
      <c r="C450" s="1262"/>
      <c r="D450" s="1262"/>
      <c r="E450" s="1262"/>
      <c r="F450" s="1262"/>
      <c r="G450" s="1262"/>
      <c r="H450" s="1262"/>
      <c r="I450" s="1262"/>
      <c r="J450" s="1262"/>
      <c r="K450" s="1262"/>
      <c r="L450" s="1262"/>
      <c r="M450" s="1262"/>
      <c r="N450" s="1262"/>
      <c r="O450" s="1262"/>
      <c r="P450" s="1262"/>
      <c r="Q450" s="1262"/>
      <c r="R450" s="1262"/>
      <c r="S450" s="571" t="s">
        <v>994</v>
      </c>
      <c r="T450" s="1262" t="str">
        <f>Championnat</f>
        <v>Championnat de France de Tir à l'ARC</v>
      </c>
      <c r="U450" s="1262"/>
      <c r="V450" s="1262"/>
      <c r="W450" s="1262"/>
      <c r="X450" s="1262"/>
      <c r="Y450" s="1262"/>
      <c r="Z450" s="1262"/>
      <c r="AA450" s="1262"/>
      <c r="AB450" s="1262"/>
      <c r="AC450" s="1262"/>
      <c r="AD450" s="1262"/>
      <c r="AE450" s="1262"/>
      <c r="AF450" s="1262"/>
      <c r="AG450" s="1262"/>
      <c r="AH450" s="1262"/>
      <c r="AI450" s="1262"/>
      <c r="AJ450" s="1262"/>
      <c r="AK450" s="1262"/>
    </row>
    <row r="451" spans="1:37" ht="24.75" customHeight="1" x14ac:dyDescent="0.2">
      <c r="A451" s="1184" t="str">
        <f>LIEU&amp;" du "&amp;DATE</f>
        <v>L’Isle sur la Sorgue du 27 au 31 mars 2023</v>
      </c>
      <c r="B451" s="1184"/>
      <c r="C451" s="1184"/>
      <c r="D451" s="1184"/>
      <c r="E451" s="1184"/>
      <c r="F451" s="1184"/>
      <c r="G451" s="1184"/>
      <c r="H451" s="1184"/>
      <c r="I451" s="1184"/>
      <c r="J451" s="1184"/>
      <c r="K451" s="1184"/>
      <c r="L451" s="1184"/>
      <c r="M451" s="1184"/>
      <c r="N451" s="1184"/>
      <c r="O451" s="1184"/>
      <c r="P451" s="1184"/>
      <c r="Q451" s="1184"/>
      <c r="R451" s="1184"/>
      <c r="S451" s="646" t="s">
        <v>995</v>
      </c>
      <c r="T451" s="1184" t="str">
        <f>LIEU&amp;" du "&amp;DATE</f>
        <v>L’Isle sur la Sorgue du 27 au 31 mars 2023</v>
      </c>
      <c r="U451" s="1184"/>
      <c r="V451" s="1184"/>
      <c r="W451" s="1184"/>
      <c r="X451" s="1184"/>
      <c r="Y451" s="1184"/>
      <c r="Z451" s="1184"/>
      <c r="AA451" s="1184"/>
      <c r="AB451" s="1184"/>
      <c r="AC451" s="1184"/>
      <c r="AD451" s="1184"/>
      <c r="AE451" s="1184"/>
      <c r="AF451" s="1184"/>
      <c r="AG451" s="1184"/>
      <c r="AH451" s="1184"/>
      <c r="AI451" s="1184"/>
      <c r="AJ451" s="1184"/>
      <c r="AK451" s="1184"/>
    </row>
    <row r="452" spans="1:37" s="218" customFormat="1" ht="40.5" customHeight="1" x14ac:dyDescent="0.2">
      <c r="A452" s="1268" t="str">
        <f>CATEG_IMPORTEE</f>
        <v>Collèges Mixtes Etablissement</v>
      </c>
      <c r="B452" s="1268"/>
      <c r="C452" s="1268"/>
      <c r="D452" s="1268"/>
      <c r="E452" s="1268"/>
      <c r="F452" s="1268"/>
      <c r="G452" s="1268"/>
      <c r="H452" s="1268"/>
      <c r="I452" s="1268"/>
      <c r="J452" s="1268"/>
      <c r="K452" s="1268"/>
      <c r="L452" s="1268"/>
      <c r="M452" s="1268"/>
      <c r="N452" s="1268"/>
      <c r="O452" s="1268"/>
      <c r="P452" s="1268"/>
      <c r="Q452" s="1268"/>
      <c r="R452" s="1268"/>
      <c r="S452" s="571" t="s">
        <v>994</v>
      </c>
      <c r="T452" s="1268" t="str">
        <f>CATEG_IMPORTEE</f>
        <v>Collèges Mixtes Etablissement</v>
      </c>
      <c r="U452" s="1268"/>
      <c r="V452" s="1268"/>
      <c r="W452" s="1268"/>
      <c r="X452" s="1268"/>
      <c r="Y452" s="1268"/>
      <c r="Z452" s="1268"/>
      <c r="AA452" s="1268"/>
      <c r="AB452" s="1268"/>
      <c r="AC452" s="1268"/>
      <c r="AD452" s="1268"/>
      <c r="AE452" s="1268"/>
      <c r="AF452" s="1268"/>
      <c r="AG452" s="1268"/>
      <c r="AH452" s="1268"/>
      <c r="AI452" s="1268"/>
      <c r="AJ452" s="1268"/>
      <c r="AK452" s="1268"/>
    </row>
    <row r="453" spans="1:37" s="218" customFormat="1" ht="19.5" customHeight="1" x14ac:dyDescent="0.2">
      <c r="A453" s="625"/>
      <c r="B453" s="625"/>
      <c r="C453" s="625"/>
      <c r="D453" s="625"/>
      <c r="E453" s="625"/>
      <c r="F453" s="625"/>
      <c r="G453" s="625"/>
      <c r="H453" s="625"/>
      <c r="I453" s="625"/>
      <c r="J453" s="625"/>
      <c r="K453" s="625"/>
      <c r="L453" s="625"/>
      <c r="M453" s="625"/>
      <c r="N453" s="625"/>
      <c r="O453" s="625"/>
      <c r="P453" s="625"/>
      <c r="Q453" s="625"/>
      <c r="R453" s="625"/>
      <c r="S453" s="571" t="s">
        <v>994</v>
      </c>
      <c r="T453" s="625"/>
      <c r="U453" s="625"/>
      <c r="V453" s="625"/>
      <c r="W453" s="625"/>
      <c r="X453" s="625"/>
      <c r="Y453" s="625"/>
      <c r="Z453" s="625"/>
      <c r="AA453" s="625"/>
      <c r="AB453" s="625"/>
      <c r="AC453" s="625"/>
      <c r="AD453" s="625"/>
      <c r="AE453" s="625"/>
      <c r="AF453" s="625"/>
      <c r="AG453" s="625"/>
      <c r="AH453" s="625"/>
      <c r="AI453" s="625"/>
      <c r="AJ453" s="625"/>
      <c r="AK453" s="625"/>
    </row>
    <row r="454" spans="1:37" ht="47.25" customHeight="1" x14ac:dyDescent="0.2">
      <c r="A454" s="620"/>
      <c r="B454" s="620"/>
      <c r="C454" s="620"/>
      <c r="D454" s="620"/>
      <c r="E454" s="620"/>
      <c r="F454" s="620"/>
      <c r="G454" s="620"/>
      <c r="H454" s="620"/>
      <c r="I454" s="620"/>
      <c r="J454" s="620"/>
      <c r="K454" s="620"/>
      <c r="L454" s="620"/>
      <c r="M454" s="620"/>
      <c r="N454" s="1072" t="s">
        <v>628</v>
      </c>
      <c r="O454" s="1073"/>
      <c r="P454" s="1271">
        <f>P422+1</f>
        <v>15</v>
      </c>
      <c r="Q454" s="1271"/>
      <c r="R454" s="1271"/>
      <c r="S454" s="646" t="s">
        <v>995</v>
      </c>
      <c r="T454" s="620"/>
      <c r="U454" s="620"/>
      <c r="V454" s="620"/>
      <c r="W454" s="620"/>
      <c r="X454" s="620"/>
      <c r="Y454" s="620"/>
      <c r="Z454" s="620"/>
      <c r="AA454" s="620"/>
      <c r="AB454" s="620"/>
      <c r="AC454" s="620"/>
      <c r="AD454" s="620"/>
      <c r="AE454" s="620"/>
      <c r="AF454" s="620"/>
      <c r="AG454" s="1072" t="s">
        <v>628</v>
      </c>
      <c r="AH454" s="1073"/>
      <c r="AI454" s="1271">
        <f>AI422+1</f>
        <v>15</v>
      </c>
      <c r="AJ454" s="1271"/>
      <c r="AK454" s="1271"/>
    </row>
    <row r="455" spans="1:37" ht="36.75" customHeight="1" x14ac:dyDescent="0.2">
      <c r="A455" s="1272" t="e">
        <f>VLOOKUP(J462,ID_archer_cible,2,FALSE)</f>
        <v>#N/A</v>
      </c>
      <c r="B455" s="1272"/>
      <c r="C455" s="1272"/>
      <c r="D455" s="1272"/>
      <c r="E455" s="1272"/>
      <c r="F455" s="1272"/>
      <c r="G455" s="1272"/>
      <c r="H455" s="1272"/>
      <c r="I455" s="1272"/>
      <c r="J455" s="1272"/>
      <c r="K455" s="1272"/>
      <c r="L455" s="1272"/>
      <c r="M455" s="1272"/>
      <c r="N455" s="1272"/>
      <c r="O455" s="1272"/>
      <c r="P455" s="1272"/>
      <c r="Q455" s="1272"/>
      <c r="R455" s="1272"/>
      <c r="S455" s="571" t="s">
        <v>994</v>
      </c>
      <c r="T455" s="1272" t="e">
        <f>VLOOKUP(AC462,ID_archer_cible,2,FALSE)</f>
        <v>#N/A</v>
      </c>
      <c r="U455" s="1272"/>
      <c r="V455" s="1272"/>
      <c r="W455" s="1272"/>
      <c r="X455" s="1272"/>
      <c r="Y455" s="1272"/>
      <c r="Z455" s="1272"/>
      <c r="AA455" s="1272"/>
      <c r="AB455" s="1272"/>
      <c r="AC455" s="1272"/>
      <c r="AD455" s="1272"/>
      <c r="AE455" s="1272"/>
      <c r="AF455" s="1272"/>
      <c r="AG455" s="1272"/>
      <c r="AH455" s="1272"/>
      <c r="AI455" s="1272"/>
      <c r="AJ455" s="1272"/>
      <c r="AK455" s="1272"/>
    </row>
    <row r="456" spans="1:37" ht="21.75" customHeight="1" x14ac:dyDescent="0.2">
      <c r="I456" s="621"/>
      <c r="J456" s="621"/>
      <c r="K456" s="621"/>
      <c r="L456" s="621"/>
      <c r="M456" s="621"/>
      <c r="N456" s="621"/>
      <c r="P456" s="619"/>
      <c r="Q456" s="619"/>
      <c r="R456" s="619"/>
      <c r="S456" s="571" t="s">
        <v>994</v>
      </c>
      <c r="AB456" s="621"/>
      <c r="AC456" s="621"/>
      <c r="AD456" s="621"/>
      <c r="AE456" s="621"/>
      <c r="AF456" s="621"/>
      <c r="AG456" s="621"/>
      <c r="AI456" s="619"/>
      <c r="AJ456" s="619"/>
      <c r="AK456" s="619"/>
    </row>
    <row r="457" spans="1:37" ht="17.25" customHeight="1" x14ac:dyDescent="0.2">
      <c r="A457" s="1125"/>
      <c r="B457" s="1125"/>
      <c r="C457" s="1125"/>
      <c r="D457" s="1125"/>
      <c r="E457" s="1125"/>
      <c r="F457" s="1125"/>
      <c r="G457" s="1125"/>
      <c r="H457" s="1125"/>
      <c r="I457" s="1125"/>
      <c r="J457" s="1125"/>
      <c r="K457" s="1125"/>
      <c r="L457" s="1125" t="s">
        <v>374</v>
      </c>
      <c r="M457" s="1125"/>
      <c r="N457" s="1125"/>
      <c r="O457" s="1125"/>
      <c r="P457" s="1125"/>
      <c r="Q457" s="1125"/>
      <c r="R457" s="1125"/>
      <c r="S457" s="646" t="s">
        <v>995</v>
      </c>
      <c r="T457" s="1125"/>
      <c r="U457" s="1125"/>
      <c r="V457" s="1125"/>
      <c r="W457" s="1125"/>
      <c r="X457" s="1125"/>
      <c r="Y457" s="1125"/>
      <c r="Z457" s="1125"/>
      <c r="AA457" s="1125"/>
      <c r="AB457" s="1125"/>
      <c r="AC457" s="1125"/>
      <c r="AD457" s="1125"/>
      <c r="AE457" s="1125" t="s">
        <v>374</v>
      </c>
      <c r="AF457" s="1125"/>
      <c r="AG457" s="1125"/>
      <c r="AH457" s="1125"/>
      <c r="AI457" s="1125"/>
      <c r="AJ457" s="1125"/>
      <c r="AK457" s="1125"/>
    </row>
    <row r="458" spans="1:37" ht="32.25" customHeight="1" x14ac:dyDescent="0.2">
      <c r="A458" s="1269" t="e">
        <f>VLOOKUP(J462,ID_archer_cible,3,FALSE)</f>
        <v>#N/A</v>
      </c>
      <c r="B458" s="1269"/>
      <c r="C458" s="1269"/>
      <c r="D458" s="1269"/>
      <c r="E458" s="1269"/>
      <c r="F458" s="1269"/>
      <c r="G458" s="1269"/>
      <c r="H458" s="1269"/>
      <c r="I458" s="1269"/>
      <c r="J458" s="1269"/>
      <c r="K458" s="1269"/>
      <c r="L458" s="1270" t="e">
        <f>VLOOKUP(J462,ID_archer_cible,4,FALSE)</f>
        <v>#N/A</v>
      </c>
      <c r="M458" s="1270"/>
      <c r="N458" s="1270"/>
      <c r="O458" s="1270"/>
      <c r="P458" s="1270"/>
      <c r="Q458" s="1270"/>
      <c r="R458" s="1270"/>
      <c r="S458" s="571" t="s">
        <v>994</v>
      </c>
      <c r="T458" s="1269" t="e">
        <f>VLOOKUP(AC462,ID_archer_cible,3,FALSE)</f>
        <v>#N/A</v>
      </c>
      <c r="U458" s="1269"/>
      <c r="V458" s="1269"/>
      <c r="W458" s="1269"/>
      <c r="X458" s="1269"/>
      <c r="Y458" s="1269"/>
      <c r="Z458" s="1269"/>
      <c r="AA458" s="1269"/>
      <c r="AB458" s="1269"/>
      <c r="AC458" s="1269"/>
      <c r="AD458" s="1269"/>
      <c r="AE458" s="1270" t="e">
        <f>VLOOKUP(AC462,ID_archer_cible,4,FALSE)</f>
        <v>#N/A</v>
      </c>
      <c r="AF458" s="1270"/>
      <c r="AG458" s="1270"/>
      <c r="AH458" s="1270"/>
      <c r="AI458" s="1270"/>
      <c r="AJ458" s="1270"/>
      <c r="AK458" s="1270"/>
    </row>
    <row r="459" spans="1:37" ht="17.25" customHeight="1" x14ac:dyDescent="0.2">
      <c r="E459" s="584"/>
      <c r="F459" s="584"/>
      <c r="G459" s="584"/>
      <c r="H459" s="584"/>
      <c r="I459" s="618"/>
      <c r="J459" s="618"/>
      <c r="K459" s="618"/>
      <c r="L459" s="618"/>
      <c r="M459" s="618"/>
      <c r="N459" s="618"/>
      <c r="P459" s="1266" t="str">
        <f>IFERROR(IF(AND(R462="oui",R463="oui",R464="oui",R465="oui"),"PRO",""),"")</f>
        <v/>
      </c>
      <c r="Q459" s="1266"/>
      <c r="R459" s="1266"/>
      <c r="S459" s="571" t="s">
        <v>994</v>
      </c>
      <c r="X459" s="584"/>
      <c r="Y459" s="584"/>
      <c r="Z459" s="584"/>
      <c r="AA459" s="584"/>
      <c r="AB459" s="618"/>
      <c r="AC459" s="618"/>
      <c r="AD459" s="618"/>
      <c r="AE459" s="618"/>
      <c r="AF459" s="618"/>
      <c r="AG459" s="618"/>
      <c r="AI459" s="1266" t="str">
        <f>IFERROR(IF(AND(AK462="oui",AK463="oui",AK464="oui",AK465="oui"),"PRO",""),"")</f>
        <v/>
      </c>
      <c r="AJ459" s="1266"/>
      <c r="AK459" s="1266"/>
    </row>
    <row r="460" spans="1:37" ht="20.25" customHeight="1" x14ac:dyDescent="0.2">
      <c r="P460" s="1267"/>
      <c r="Q460" s="1267"/>
      <c r="R460" s="1267"/>
      <c r="S460" s="646" t="s">
        <v>995</v>
      </c>
      <c r="AI460" s="1267"/>
      <c r="AJ460" s="1267"/>
      <c r="AK460" s="1267"/>
    </row>
    <row r="461" spans="1:37" ht="25.5" customHeight="1" x14ac:dyDescent="0.2">
      <c r="B461" s="1273" t="s">
        <v>906</v>
      </c>
      <c r="C461" s="1273"/>
      <c r="D461" s="1273"/>
      <c r="E461" s="1273"/>
      <c r="F461" s="1273"/>
      <c r="G461" s="1273"/>
      <c r="H461" s="1273"/>
      <c r="I461" s="1273"/>
      <c r="J461" s="622" t="s">
        <v>552</v>
      </c>
      <c r="K461" s="623" t="s">
        <v>893</v>
      </c>
      <c r="L461" s="1275" t="s">
        <v>550</v>
      </c>
      <c r="M461" s="1276"/>
      <c r="N461" s="1274" t="s">
        <v>905</v>
      </c>
      <c r="O461" s="1274"/>
      <c r="P461" s="1254" t="s">
        <v>551</v>
      </c>
      <c r="Q461" s="1254"/>
      <c r="R461" s="752" t="s">
        <v>1027</v>
      </c>
      <c r="S461" s="571" t="s">
        <v>994</v>
      </c>
      <c r="U461" s="1273" t="s">
        <v>906</v>
      </c>
      <c r="V461" s="1273"/>
      <c r="W461" s="1273"/>
      <c r="X461" s="1273"/>
      <c r="Y461" s="1273"/>
      <c r="Z461" s="1273"/>
      <c r="AA461" s="1273"/>
      <c r="AB461" s="1273"/>
      <c r="AC461" s="622" t="s">
        <v>552</v>
      </c>
      <c r="AD461" s="623" t="s">
        <v>893</v>
      </c>
      <c r="AE461" s="1275" t="s">
        <v>550</v>
      </c>
      <c r="AF461" s="1276"/>
      <c r="AG461" s="1274" t="s">
        <v>905</v>
      </c>
      <c r="AH461" s="1274"/>
      <c r="AI461" s="1254" t="s">
        <v>551</v>
      </c>
      <c r="AJ461" s="1254"/>
      <c r="AK461" s="752" t="s">
        <v>1027</v>
      </c>
    </row>
    <row r="462" spans="1:37" ht="45" customHeight="1" x14ac:dyDescent="0.2">
      <c r="B462" s="1255" t="e">
        <f>VLOOKUP(J462,ID_archer_cible,5,FALSE)&amp;"    "&amp;VLOOKUP(J462,ID_archer_cible,6,FALSE)</f>
        <v>#N/A</v>
      </c>
      <c r="C462" s="1255"/>
      <c r="D462" s="1255"/>
      <c r="E462" s="1255"/>
      <c r="F462" s="1255"/>
      <c r="G462" s="1255"/>
      <c r="H462" s="1255"/>
      <c r="I462" s="1255"/>
      <c r="J462" s="624" t="str">
        <f>P454&amp;"A"</f>
        <v>15A</v>
      </c>
      <c r="K462" s="574" t="e">
        <f>VLOOKUP(J462,ID_archer_cible,9,FALSE)</f>
        <v>#N/A</v>
      </c>
      <c r="L462" s="1256" t="e">
        <f>VLOOKUP(J462,ID_archer_cible,8,FALSE)</f>
        <v>#N/A</v>
      </c>
      <c r="M462" s="1257"/>
      <c r="N462" s="1260" t="e">
        <f>VLOOKUP(J462,ID_archer_cible,7,FALSE)</f>
        <v>#N/A</v>
      </c>
      <c r="O462" s="1261"/>
      <c r="P462" s="828" t="e">
        <f>VLOOKUP(J462,ID_archer_cible,10,FALSE)</f>
        <v>#N/A</v>
      </c>
      <c r="Q462" s="829" t="e">
        <f>IF(VLOOKUP(L462,N°LicPRO,3,FALSE)="oui","COACH","")</f>
        <v>#N/A</v>
      </c>
      <c r="R462" s="742" t="str">
        <f>IFERROR(VLOOKUP(L462,N°LicPRO,2,FALSE),"")</f>
        <v/>
      </c>
      <c r="S462" s="571" t="s">
        <v>994</v>
      </c>
      <c r="U462" s="1255" t="e">
        <f>VLOOKUP(AC462,ID_archer_cible,5,FALSE)&amp;"    "&amp;VLOOKUP(AC462,ID_archer_cible,6,FALSE)</f>
        <v>#N/A</v>
      </c>
      <c r="V462" s="1255"/>
      <c r="W462" s="1255"/>
      <c r="X462" s="1255"/>
      <c r="Y462" s="1255"/>
      <c r="Z462" s="1255"/>
      <c r="AA462" s="1255"/>
      <c r="AB462" s="1255"/>
      <c r="AC462" s="624" t="str">
        <f>AI454&amp;"A"</f>
        <v>15A</v>
      </c>
      <c r="AD462" s="574" t="e">
        <f>VLOOKUP(AC462,ID_archer_cible,9,FALSE)</f>
        <v>#N/A</v>
      </c>
      <c r="AE462" s="1256" t="e">
        <f>VLOOKUP(AC462,ID_archer_cible,8,FALSE)</f>
        <v>#N/A</v>
      </c>
      <c r="AF462" s="1257"/>
      <c r="AG462" s="1260" t="e">
        <f>VLOOKUP(AC462,ID_archer_cible,7,FALSE)</f>
        <v>#N/A</v>
      </c>
      <c r="AH462" s="1261"/>
      <c r="AI462" s="828" t="e">
        <f>VLOOKUP(AC462,ID_archer_cible,10,FALSE)</f>
        <v>#N/A</v>
      </c>
      <c r="AJ462" s="829" t="e">
        <f>IF(VLOOKUP(AE462,N°LicPRO,3,FALSE)="oui","COACH","")</f>
        <v>#N/A</v>
      </c>
      <c r="AK462" s="742" t="str">
        <f>IFERROR(VLOOKUP(AE462,N°LicPRO,2,FALSE),"")</f>
        <v/>
      </c>
    </row>
    <row r="463" spans="1:37" ht="45" customHeight="1" x14ac:dyDescent="0.2">
      <c r="B463" s="1255" t="e">
        <f>VLOOKUP(J463,ID_archer_cible,5,FALSE)&amp;"    "&amp;VLOOKUP(J463,ID_archer_cible,6,FALSE)</f>
        <v>#N/A</v>
      </c>
      <c r="C463" s="1255"/>
      <c r="D463" s="1255"/>
      <c r="E463" s="1255"/>
      <c r="F463" s="1255"/>
      <c r="G463" s="1255"/>
      <c r="H463" s="1255"/>
      <c r="I463" s="1255"/>
      <c r="J463" s="624" t="str">
        <f>P454&amp;"B"</f>
        <v>15B</v>
      </c>
      <c r="K463" s="574" t="e">
        <f>VLOOKUP(J463,ID_archer_cible,9,FALSE)</f>
        <v>#N/A</v>
      </c>
      <c r="L463" s="1256" t="e">
        <f>VLOOKUP(J463,ID_archer_cible,8,FALSE)</f>
        <v>#N/A</v>
      </c>
      <c r="M463" s="1257"/>
      <c r="N463" s="1260" t="e">
        <f>VLOOKUP(J463,ID_archer_cible,7,FALSE)</f>
        <v>#N/A</v>
      </c>
      <c r="O463" s="1261"/>
      <c r="P463" s="828" t="e">
        <f>VLOOKUP(J463,ID_archer_cible,10,FALSE)</f>
        <v>#N/A</v>
      </c>
      <c r="Q463" s="829" t="e">
        <f>IF(VLOOKUP(L463,N°LicPRO,3,FALSE)="oui","COACH","")</f>
        <v>#N/A</v>
      </c>
      <c r="R463" s="742" t="str">
        <f>IFERROR(VLOOKUP(L463,N°LicPRO,2,FALSE),"")</f>
        <v/>
      </c>
      <c r="S463" s="646" t="s">
        <v>995</v>
      </c>
      <c r="U463" s="1255" t="e">
        <f>VLOOKUP(AC463,ID_archer_cible,5,FALSE)&amp;"    "&amp;VLOOKUP(AC463,ID_archer_cible,6,FALSE)</f>
        <v>#N/A</v>
      </c>
      <c r="V463" s="1255"/>
      <c r="W463" s="1255"/>
      <c r="X463" s="1255"/>
      <c r="Y463" s="1255"/>
      <c r="Z463" s="1255"/>
      <c r="AA463" s="1255"/>
      <c r="AB463" s="1255"/>
      <c r="AC463" s="624" t="str">
        <f>AI454&amp;"B"</f>
        <v>15B</v>
      </c>
      <c r="AD463" s="574" t="e">
        <f>VLOOKUP(AC463,ID_archer_cible,9,FALSE)</f>
        <v>#N/A</v>
      </c>
      <c r="AE463" s="1256" t="e">
        <f>VLOOKUP(AC463,ID_archer_cible,8,FALSE)</f>
        <v>#N/A</v>
      </c>
      <c r="AF463" s="1257"/>
      <c r="AG463" s="1260" t="e">
        <f>VLOOKUP(AC463,ID_archer_cible,7,FALSE)</f>
        <v>#N/A</v>
      </c>
      <c r="AH463" s="1261"/>
      <c r="AI463" s="828" t="e">
        <f>VLOOKUP(AC463,ID_archer_cible,10,FALSE)</f>
        <v>#N/A</v>
      </c>
      <c r="AJ463" s="829" t="e">
        <f>IF(VLOOKUP(AE463,N°LicPRO,3,FALSE)="oui","COACH","")</f>
        <v>#N/A</v>
      </c>
      <c r="AK463" s="742" t="str">
        <f>IFERROR(VLOOKUP(AE463,N°LicPRO,2,FALSE),"")</f>
        <v/>
      </c>
    </row>
    <row r="464" spans="1:37" ht="45" customHeight="1" x14ac:dyDescent="0.2">
      <c r="B464" s="1255" t="e">
        <f>VLOOKUP(J464,ID_archer_cible,5,FALSE)&amp;"    "&amp;VLOOKUP(J464,ID_archer_cible,6,FALSE)</f>
        <v>#N/A</v>
      </c>
      <c r="C464" s="1255"/>
      <c r="D464" s="1255"/>
      <c r="E464" s="1255"/>
      <c r="F464" s="1255"/>
      <c r="G464" s="1255"/>
      <c r="H464" s="1255"/>
      <c r="I464" s="1255"/>
      <c r="J464" s="624" t="str">
        <f>P454&amp;"C"</f>
        <v>15C</v>
      </c>
      <c r="K464" s="574" t="e">
        <f>VLOOKUP(J464,ID_archer_cible,9,FALSE)</f>
        <v>#N/A</v>
      </c>
      <c r="L464" s="1256" t="e">
        <f>VLOOKUP(J464,ID_archer_cible,8,FALSE)</f>
        <v>#N/A</v>
      </c>
      <c r="M464" s="1257"/>
      <c r="N464" s="1260" t="e">
        <f>VLOOKUP(J464,ID_archer_cible,7,FALSE)</f>
        <v>#N/A</v>
      </c>
      <c r="O464" s="1261"/>
      <c r="P464" s="828" t="e">
        <f>VLOOKUP(J464,ID_archer_cible,10,FALSE)</f>
        <v>#N/A</v>
      </c>
      <c r="Q464" s="829" t="e">
        <f>IF(VLOOKUP(L464,N°LicPRO,3,FALSE)="oui","COACH","")</f>
        <v>#N/A</v>
      </c>
      <c r="R464" s="742" t="str">
        <f>IFERROR(VLOOKUP(L464,N°LicPRO,2,FALSE),"")</f>
        <v/>
      </c>
      <c r="S464" s="571" t="s">
        <v>994</v>
      </c>
      <c r="U464" s="1255" t="e">
        <f>VLOOKUP(AC464,ID_archer_cible,5,FALSE)&amp;"    "&amp;VLOOKUP(AC464,ID_archer_cible,6,FALSE)</f>
        <v>#N/A</v>
      </c>
      <c r="V464" s="1255"/>
      <c r="W464" s="1255"/>
      <c r="X464" s="1255"/>
      <c r="Y464" s="1255"/>
      <c r="Z464" s="1255"/>
      <c r="AA464" s="1255"/>
      <c r="AB464" s="1255"/>
      <c r="AC464" s="624" t="str">
        <f>AI454&amp;"C"</f>
        <v>15C</v>
      </c>
      <c r="AD464" s="574" t="e">
        <f>VLOOKUP(AC464,ID_archer_cible,9,FALSE)</f>
        <v>#N/A</v>
      </c>
      <c r="AE464" s="1256" t="e">
        <f>VLOOKUP(AC464,ID_archer_cible,8,FALSE)</f>
        <v>#N/A</v>
      </c>
      <c r="AF464" s="1257"/>
      <c r="AG464" s="1260" t="e">
        <f>VLOOKUP(AC464,ID_archer_cible,7,FALSE)</f>
        <v>#N/A</v>
      </c>
      <c r="AH464" s="1261"/>
      <c r="AI464" s="828" t="e">
        <f>VLOOKUP(AC464,ID_archer_cible,10,FALSE)</f>
        <v>#N/A</v>
      </c>
      <c r="AJ464" s="829" t="e">
        <f>IF(VLOOKUP(AE464,N°LicPRO,3,FALSE)="oui","COACH","")</f>
        <v>#N/A</v>
      </c>
      <c r="AK464" s="742" t="str">
        <f>IFERROR(VLOOKUP(AE464,N°LicPRO,2,FALSE),"")</f>
        <v/>
      </c>
    </row>
    <row r="465" spans="2:37" ht="45" customHeight="1" x14ac:dyDescent="0.2">
      <c r="B465" s="1255" t="e">
        <f>VLOOKUP(J465,ID_archer_cible,5,FALSE)&amp;"    "&amp;VLOOKUP(J465,ID_archer_cible,6,FALSE)</f>
        <v>#N/A</v>
      </c>
      <c r="C465" s="1255"/>
      <c r="D465" s="1255"/>
      <c r="E465" s="1255"/>
      <c r="F465" s="1255"/>
      <c r="G465" s="1255"/>
      <c r="H465" s="1255"/>
      <c r="I465" s="1255"/>
      <c r="J465" s="624" t="str">
        <f>P454&amp;"D"</f>
        <v>15D</v>
      </c>
      <c r="K465" s="574" t="e">
        <f>VLOOKUP(J465,ID_archer_cible,9,FALSE)</f>
        <v>#N/A</v>
      </c>
      <c r="L465" s="1256" t="e">
        <f>VLOOKUP(J465,ID_archer_cible,8,FALSE)</f>
        <v>#N/A</v>
      </c>
      <c r="M465" s="1257"/>
      <c r="N465" s="1260" t="e">
        <f>VLOOKUP(J465,ID_archer_cible,7,FALSE)</f>
        <v>#N/A</v>
      </c>
      <c r="O465" s="1261"/>
      <c r="P465" s="828" t="e">
        <f>VLOOKUP(J465,ID_archer_cible,10,FALSE)</f>
        <v>#N/A</v>
      </c>
      <c r="Q465" s="829" t="e">
        <f>IF(VLOOKUP(L465,N°LicPRO,3,FALSE)="oui","COACH","")</f>
        <v>#N/A</v>
      </c>
      <c r="R465" s="742" t="str">
        <f>IFERROR(VLOOKUP(L465,N°LicPRO,2,FALSE),"")</f>
        <v/>
      </c>
      <c r="S465" s="571" t="s">
        <v>994</v>
      </c>
      <c r="U465" s="1255" t="e">
        <f>VLOOKUP(AC465,ID_archer_cible,5,FALSE)&amp;"    "&amp;VLOOKUP(AC465,ID_archer_cible,6,FALSE)</f>
        <v>#N/A</v>
      </c>
      <c r="V465" s="1255"/>
      <c r="W465" s="1255"/>
      <c r="X465" s="1255"/>
      <c r="Y465" s="1255"/>
      <c r="Z465" s="1255"/>
      <c r="AA465" s="1255"/>
      <c r="AB465" s="1255"/>
      <c r="AC465" s="624" t="str">
        <f>AI454&amp;"D"</f>
        <v>15D</v>
      </c>
      <c r="AD465" s="574" t="e">
        <f>VLOOKUP(AC465,ID_archer_cible,9,FALSE)</f>
        <v>#N/A</v>
      </c>
      <c r="AE465" s="1256" t="e">
        <f>VLOOKUP(AC465,ID_archer_cible,8,FALSE)</f>
        <v>#N/A</v>
      </c>
      <c r="AF465" s="1257"/>
      <c r="AG465" s="1260" t="e">
        <f>VLOOKUP(AC465,ID_archer_cible,7,FALSE)</f>
        <v>#N/A</v>
      </c>
      <c r="AH465" s="1261"/>
      <c r="AI465" s="828" t="e">
        <f>VLOOKUP(AC465,ID_archer_cible,10,FALSE)</f>
        <v>#N/A</v>
      </c>
      <c r="AJ465" s="829" t="e">
        <f>IF(VLOOKUP(AE465,N°LicPRO,3,FALSE)="oui","COACH","")</f>
        <v>#N/A</v>
      </c>
      <c r="AK465" s="742" t="str">
        <f>IFERROR(VLOOKUP(AE465,N°LicPRO,2,FALSE),"")</f>
        <v/>
      </c>
    </row>
    <row r="466" spans="2:37" ht="15" customHeight="1" x14ac:dyDescent="0.2">
      <c r="S466" s="646" t="s">
        <v>995</v>
      </c>
    </row>
    <row r="467" spans="2:37" ht="15" customHeight="1" x14ac:dyDescent="0.2">
      <c r="B467" s="508" t="s">
        <v>975</v>
      </c>
      <c r="S467" s="571" t="s">
        <v>994</v>
      </c>
      <c r="U467" s="508" t="s">
        <v>975</v>
      </c>
    </row>
    <row r="468" spans="2:37" ht="15" customHeight="1" x14ac:dyDescent="0.2">
      <c r="B468" s="1259" t="s">
        <v>974</v>
      </c>
      <c r="C468" s="1259"/>
      <c r="D468" s="1259"/>
      <c r="E468" s="1259"/>
      <c r="F468" s="1199" t="str">
        <f>Info_TirQ</f>
        <v>J2 8:30-9:00 Ent. 9:00-10:30 Tirs Qual.</v>
      </c>
      <c r="G468" s="1199"/>
      <c r="H468" s="1199"/>
      <c r="I468" s="1199"/>
      <c r="J468" s="1199"/>
      <c r="K468" s="1258" t="s">
        <v>978</v>
      </c>
      <c r="L468" s="1258"/>
      <c r="M468" s="1258"/>
      <c r="N468" s="1258"/>
      <c r="O468" s="1258"/>
      <c r="S468" s="571" t="s">
        <v>994</v>
      </c>
      <c r="U468" s="1259" t="s">
        <v>974</v>
      </c>
      <c r="V468" s="1259"/>
      <c r="W468" s="1259"/>
      <c r="X468" s="1259"/>
      <c r="Y468" s="1199" t="str">
        <f>Info_TirQ</f>
        <v>J2 8:30-9:00 Ent. 9:00-10:30 Tirs Qual.</v>
      </c>
      <c r="Z468" s="1199"/>
      <c r="AA468" s="1199"/>
      <c r="AB468" s="1199"/>
      <c r="AC468" s="1199"/>
      <c r="AD468" s="1258" t="s">
        <v>978</v>
      </c>
      <c r="AE468" s="1258"/>
      <c r="AF468" s="1258"/>
      <c r="AG468" s="1258"/>
      <c r="AH468" s="1258"/>
    </row>
    <row r="469" spans="2:37" ht="15" customHeight="1" x14ac:dyDescent="0.2">
      <c r="B469" s="1259" t="s">
        <v>484</v>
      </c>
      <c r="C469" s="1259"/>
      <c r="D469" s="1259"/>
      <c r="E469" s="1259"/>
      <c r="F469" s="1199" t="str">
        <f>Info_D1</f>
        <v>J2 13:30-14:20  1er DUEL</v>
      </c>
      <c r="G469" s="1199"/>
      <c r="H469" s="1199"/>
      <c r="I469" s="1199"/>
      <c r="J469" s="1199"/>
      <c r="K469" s="1258"/>
      <c r="L469" s="1258"/>
      <c r="M469" s="1258"/>
      <c r="N469" s="1258"/>
      <c r="O469" s="1258"/>
      <c r="S469" s="646" t="s">
        <v>995</v>
      </c>
      <c r="U469" s="1259" t="s">
        <v>484</v>
      </c>
      <c r="V469" s="1259"/>
      <c r="W469" s="1259"/>
      <c r="X469" s="1259"/>
      <c r="Y469" s="1199" t="str">
        <f>Info_D1</f>
        <v>J2 13:30-14:20  1er DUEL</v>
      </c>
      <c r="Z469" s="1199"/>
      <c r="AA469" s="1199"/>
      <c r="AB469" s="1199"/>
      <c r="AC469" s="1199"/>
      <c r="AD469" s="1258"/>
      <c r="AE469" s="1258"/>
      <c r="AF469" s="1258"/>
      <c r="AG469" s="1258"/>
      <c r="AH469" s="1258"/>
    </row>
    <row r="470" spans="2:37" ht="15" customHeight="1" x14ac:dyDescent="0.2">
      <c r="B470" s="1259" t="s">
        <v>972</v>
      </c>
      <c r="C470" s="1259"/>
      <c r="D470" s="1259"/>
      <c r="E470" s="1259"/>
      <c r="F470" s="1199" t="str">
        <f>Info_D2</f>
        <v>J2 14:30-15:20 2ème DUEL</v>
      </c>
      <c r="G470" s="1199"/>
      <c r="H470" s="1199"/>
      <c r="I470" s="1199"/>
      <c r="J470" s="1199"/>
      <c r="K470" s="1258"/>
      <c r="L470" s="1258"/>
      <c r="M470" s="1258"/>
      <c r="N470" s="1258"/>
      <c r="O470" s="1258"/>
      <c r="S470" s="571" t="s">
        <v>994</v>
      </c>
      <c r="U470" s="1259" t="s">
        <v>972</v>
      </c>
      <c r="V470" s="1259"/>
      <c r="W470" s="1259"/>
      <c r="X470" s="1259"/>
      <c r="Y470" s="1199" t="str">
        <f>Info_D2</f>
        <v>J2 14:30-15:20 2ème DUEL</v>
      </c>
      <c r="Z470" s="1199"/>
      <c r="AA470" s="1199"/>
      <c r="AB470" s="1199"/>
      <c r="AC470" s="1199"/>
      <c r="AD470" s="1258"/>
      <c r="AE470" s="1258"/>
      <c r="AF470" s="1258"/>
      <c r="AG470" s="1258"/>
      <c r="AH470" s="1258"/>
    </row>
    <row r="471" spans="2:37" ht="15" customHeight="1" x14ac:dyDescent="0.2">
      <c r="B471" s="1259" t="s">
        <v>973</v>
      </c>
      <c r="C471" s="1259"/>
      <c r="D471" s="1259"/>
      <c r="E471" s="1259"/>
      <c r="F471" s="1199" t="str">
        <f>Info_D3</f>
        <v>J3 10-10:50 Match pl. 5 à +  ETAB - EX</v>
      </c>
      <c r="G471" s="1199"/>
      <c r="H471" s="1199"/>
      <c r="I471" s="1199"/>
      <c r="J471" s="1199"/>
      <c r="K471" s="1258"/>
      <c r="L471" s="1258"/>
      <c r="M471" s="1258"/>
      <c r="N471" s="1258"/>
      <c r="O471" s="1258"/>
      <c r="S471" s="571" t="s">
        <v>994</v>
      </c>
      <c r="U471" s="1259" t="s">
        <v>973</v>
      </c>
      <c r="V471" s="1259"/>
      <c r="W471" s="1259"/>
      <c r="X471" s="1259"/>
      <c r="Y471" s="1199" t="str">
        <f>Info_D3</f>
        <v>J3 10-10:50 Match pl. 5 à +  ETAB - EX</v>
      </c>
      <c r="Z471" s="1199"/>
      <c r="AA471" s="1199"/>
      <c r="AB471" s="1199"/>
      <c r="AC471" s="1199"/>
      <c r="AD471" s="1258"/>
      <c r="AE471" s="1258"/>
      <c r="AF471" s="1258"/>
      <c r="AG471" s="1258"/>
      <c r="AH471" s="1258"/>
    </row>
    <row r="472" spans="2:37" ht="24.75" customHeight="1" x14ac:dyDescent="0.2">
      <c r="B472" s="626" t="s">
        <v>976</v>
      </c>
      <c r="S472" s="646" t="s">
        <v>995</v>
      </c>
      <c r="U472" s="626" t="s">
        <v>976</v>
      </c>
    </row>
    <row r="473" spans="2:37" ht="134.25" customHeight="1" x14ac:dyDescent="0.2">
      <c r="B473"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C473" s="1264"/>
      <c r="D473" s="1264"/>
      <c r="E473" s="1264"/>
      <c r="F473" s="1264"/>
      <c r="G473" s="1264"/>
      <c r="H473" s="1264"/>
      <c r="I473" s="1264"/>
      <c r="J473" s="1264"/>
      <c r="K473" s="1264"/>
      <c r="L473" s="1264"/>
      <c r="M473" s="1264"/>
      <c r="N473" s="1264"/>
      <c r="O473" s="1264"/>
      <c r="P473" s="1265"/>
      <c r="S473" s="571" t="s">
        <v>994</v>
      </c>
      <c r="U473"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V473" s="1264"/>
      <c r="W473" s="1264"/>
      <c r="X473" s="1264"/>
      <c r="Y473" s="1264"/>
      <c r="Z473" s="1264"/>
      <c r="AA473" s="1264"/>
      <c r="AB473" s="1264"/>
      <c r="AC473" s="1264"/>
      <c r="AD473" s="1264"/>
      <c r="AE473" s="1264"/>
      <c r="AF473" s="1264"/>
      <c r="AG473" s="1264"/>
      <c r="AH473" s="1264"/>
      <c r="AI473" s="1265"/>
    </row>
    <row r="474" spans="2:37" ht="15" customHeight="1" x14ac:dyDescent="0.2">
      <c r="C474" s="508" t="s">
        <v>964</v>
      </c>
      <c r="K474" s="508" t="s">
        <v>965</v>
      </c>
      <c r="O474" s="508" t="s">
        <v>966</v>
      </c>
      <c r="S474" s="571" t="s">
        <v>994</v>
      </c>
      <c r="V474" s="508" t="s">
        <v>964</v>
      </c>
      <c r="AD474" s="508" t="s">
        <v>965</v>
      </c>
      <c r="AH474" s="508" t="s">
        <v>966</v>
      </c>
    </row>
    <row r="475" spans="2:37" ht="15" customHeight="1" x14ac:dyDescent="0.2">
      <c r="S475" s="646" t="s">
        <v>995</v>
      </c>
    </row>
    <row r="476" spans="2:37" ht="15" customHeight="1" x14ac:dyDescent="0.2">
      <c r="S476" s="571" t="s">
        <v>994</v>
      </c>
    </row>
    <row r="477" spans="2:37" ht="15" customHeight="1" x14ac:dyDescent="0.2">
      <c r="S477" s="571" t="s">
        <v>994</v>
      </c>
    </row>
    <row r="478" spans="2:37" ht="15" customHeight="1" x14ac:dyDescent="0.2">
      <c r="S478" s="646" t="s">
        <v>995</v>
      </c>
    </row>
    <row r="479" spans="2:37" ht="15" customHeight="1" x14ac:dyDescent="0.2">
      <c r="S479" s="571" t="s">
        <v>994</v>
      </c>
    </row>
    <row r="480" spans="2:37" x14ac:dyDescent="0.2">
      <c r="S480" s="571" t="s">
        <v>994</v>
      </c>
    </row>
    <row r="481" spans="1:37" ht="21.75" x14ac:dyDescent="0.2">
      <c r="S481" s="646" t="s">
        <v>995</v>
      </c>
    </row>
    <row r="482" spans="1:37" ht="30" x14ac:dyDescent="0.2">
      <c r="A482" s="1262" t="str">
        <f>Championnat</f>
        <v>Championnat de France de Tir à l'ARC</v>
      </c>
      <c r="B482" s="1262"/>
      <c r="C482" s="1262"/>
      <c r="D482" s="1262"/>
      <c r="E482" s="1262"/>
      <c r="F482" s="1262"/>
      <c r="G482" s="1262"/>
      <c r="H482" s="1262"/>
      <c r="I482" s="1262"/>
      <c r="J482" s="1262"/>
      <c r="K482" s="1262"/>
      <c r="L482" s="1262"/>
      <c r="M482" s="1262"/>
      <c r="N482" s="1262"/>
      <c r="O482" s="1262"/>
      <c r="P482" s="1262"/>
      <c r="Q482" s="1262"/>
      <c r="R482" s="1262"/>
      <c r="S482" s="571" t="s">
        <v>994</v>
      </c>
      <c r="T482" s="1262" t="str">
        <f>Championnat</f>
        <v>Championnat de France de Tir à l'ARC</v>
      </c>
      <c r="U482" s="1262"/>
      <c r="V482" s="1262"/>
      <c r="W482" s="1262"/>
      <c r="X482" s="1262"/>
      <c r="Y482" s="1262"/>
      <c r="Z482" s="1262"/>
      <c r="AA482" s="1262"/>
      <c r="AB482" s="1262"/>
      <c r="AC482" s="1262"/>
      <c r="AD482" s="1262"/>
      <c r="AE482" s="1262"/>
      <c r="AF482" s="1262"/>
      <c r="AG482" s="1262"/>
      <c r="AH482" s="1262"/>
      <c r="AI482" s="1262"/>
      <c r="AJ482" s="1262"/>
      <c r="AK482" s="1262"/>
    </row>
    <row r="483" spans="1:37" ht="24.75" customHeight="1" x14ac:dyDescent="0.2">
      <c r="A483" s="1184" t="str">
        <f>LIEU&amp;" du "&amp;DATE</f>
        <v>L’Isle sur la Sorgue du 27 au 31 mars 2023</v>
      </c>
      <c r="B483" s="1184"/>
      <c r="C483" s="1184"/>
      <c r="D483" s="1184"/>
      <c r="E483" s="1184"/>
      <c r="F483" s="1184"/>
      <c r="G483" s="1184"/>
      <c r="H483" s="1184"/>
      <c r="I483" s="1184"/>
      <c r="J483" s="1184"/>
      <c r="K483" s="1184"/>
      <c r="L483" s="1184"/>
      <c r="M483" s="1184"/>
      <c r="N483" s="1184"/>
      <c r="O483" s="1184"/>
      <c r="P483" s="1184"/>
      <c r="Q483" s="1184"/>
      <c r="R483" s="1184"/>
      <c r="S483" s="571" t="s">
        <v>994</v>
      </c>
      <c r="T483" s="1184" t="str">
        <f>LIEU&amp;" du "&amp;DATE</f>
        <v>L’Isle sur la Sorgue du 27 au 31 mars 2023</v>
      </c>
      <c r="U483" s="1184"/>
      <c r="V483" s="1184"/>
      <c r="W483" s="1184"/>
      <c r="X483" s="1184"/>
      <c r="Y483" s="1184"/>
      <c r="Z483" s="1184"/>
      <c r="AA483" s="1184"/>
      <c r="AB483" s="1184"/>
      <c r="AC483" s="1184"/>
      <c r="AD483" s="1184"/>
      <c r="AE483" s="1184"/>
      <c r="AF483" s="1184"/>
      <c r="AG483" s="1184"/>
      <c r="AH483" s="1184"/>
      <c r="AI483" s="1184"/>
      <c r="AJ483" s="1184"/>
      <c r="AK483" s="1184"/>
    </row>
    <row r="484" spans="1:37" s="218" customFormat="1" ht="40.5" customHeight="1" x14ac:dyDescent="0.2">
      <c r="A484" s="1268" t="str">
        <f>CATEG_IMPORTEE</f>
        <v>Collèges Mixtes Etablissement</v>
      </c>
      <c r="B484" s="1268"/>
      <c r="C484" s="1268"/>
      <c r="D484" s="1268"/>
      <c r="E484" s="1268"/>
      <c r="F484" s="1268"/>
      <c r="G484" s="1268"/>
      <c r="H484" s="1268"/>
      <c r="I484" s="1268"/>
      <c r="J484" s="1268"/>
      <c r="K484" s="1268"/>
      <c r="L484" s="1268"/>
      <c r="M484" s="1268"/>
      <c r="N484" s="1268"/>
      <c r="O484" s="1268"/>
      <c r="P484" s="1268"/>
      <c r="Q484" s="1268"/>
      <c r="R484" s="1268"/>
      <c r="S484" s="646" t="s">
        <v>995</v>
      </c>
      <c r="T484" s="1268" t="str">
        <f>CATEG_IMPORTEE</f>
        <v>Collèges Mixtes Etablissement</v>
      </c>
      <c r="U484" s="1268"/>
      <c r="V484" s="1268"/>
      <c r="W484" s="1268"/>
      <c r="X484" s="1268"/>
      <c r="Y484" s="1268"/>
      <c r="Z484" s="1268"/>
      <c r="AA484" s="1268"/>
      <c r="AB484" s="1268"/>
      <c r="AC484" s="1268"/>
      <c r="AD484" s="1268"/>
      <c r="AE484" s="1268"/>
      <c r="AF484" s="1268"/>
      <c r="AG484" s="1268"/>
      <c r="AH484" s="1268"/>
      <c r="AI484" s="1268"/>
      <c r="AJ484" s="1268"/>
      <c r="AK484" s="1268"/>
    </row>
    <row r="485" spans="1:37" s="218" customFormat="1" ht="19.5" customHeight="1" x14ac:dyDescent="0.2">
      <c r="A485" s="625"/>
      <c r="B485" s="625"/>
      <c r="C485" s="625"/>
      <c r="D485" s="625"/>
      <c r="E485" s="625"/>
      <c r="F485" s="625"/>
      <c r="G485" s="625"/>
      <c r="H485" s="625"/>
      <c r="I485" s="625"/>
      <c r="J485" s="625"/>
      <c r="K485" s="625"/>
      <c r="L485" s="625"/>
      <c r="M485" s="625"/>
      <c r="N485" s="625"/>
      <c r="O485" s="625"/>
      <c r="P485" s="625"/>
      <c r="Q485" s="625"/>
      <c r="R485" s="625"/>
      <c r="S485" s="571" t="s">
        <v>994</v>
      </c>
      <c r="T485" s="625"/>
      <c r="U485" s="625"/>
      <c r="V485" s="625"/>
      <c r="W485" s="625"/>
      <c r="X485" s="625"/>
      <c r="Y485" s="625"/>
      <c r="Z485" s="625"/>
      <c r="AA485" s="625"/>
      <c r="AB485" s="625"/>
      <c r="AC485" s="625"/>
      <c r="AD485" s="625"/>
      <c r="AE485" s="625"/>
      <c r="AF485" s="625"/>
      <c r="AG485" s="625"/>
      <c r="AH485" s="625"/>
      <c r="AI485" s="625"/>
      <c r="AJ485" s="625"/>
      <c r="AK485" s="625"/>
    </row>
    <row r="486" spans="1:37" ht="47.25" customHeight="1" x14ac:dyDescent="0.2">
      <c r="A486" s="620"/>
      <c r="B486" s="620"/>
      <c r="C486" s="620"/>
      <c r="D486" s="620"/>
      <c r="E486" s="620"/>
      <c r="F486" s="620"/>
      <c r="G486" s="620"/>
      <c r="H486" s="620"/>
      <c r="I486" s="620"/>
      <c r="J486" s="620"/>
      <c r="K486" s="620"/>
      <c r="L486" s="620"/>
      <c r="M486" s="620"/>
      <c r="N486" s="1072" t="s">
        <v>628</v>
      </c>
      <c r="O486" s="1073"/>
      <c r="P486" s="1271">
        <f>P454+1</f>
        <v>16</v>
      </c>
      <c r="Q486" s="1271"/>
      <c r="R486" s="1271"/>
      <c r="S486" s="571" t="s">
        <v>994</v>
      </c>
      <c r="T486" s="620"/>
      <c r="U486" s="620"/>
      <c r="V486" s="620"/>
      <c r="W486" s="620"/>
      <c r="X486" s="620"/>
      <c r="Y486" s="620"/>
      <c r="Z486" s="620"/>
      <c r="AA486" s="620"/>
      <c r="AB486" s="620"/>
      <c r="AC486" s="620"/>
      <c r="AD486" s="620"/>
      <c r="AE486" s="620"/>
      <c r="AF486" s="620"/>
      <c r="AG486" s="1072" t="s">
        <v>628</v>
      </c>
      <c r="AH486" s="1073"/>
      <c r="AI486" s="1271">
        <f>AI454+1</f>
        <v>16</v>
      </c>
      <c r="AJ486" s="1271"/>
      <c r="AK486" s="1271"/>
    </row>
    <row r="487" spans="1:37" ht="36.75" customHeight="1" x14ac:dyDescent="0.2">
      <c r="A487" s="1272" t="e">
        <f>VLOOKUP(J494,ID_archer_cible,2,FALSE)</f>
        <v>#N/A</v>
      </c>
      <c r="B487" s="1272"/>
      <c r="C487" s="1272"/>
      <c r="D487" s="1272"/>
      <c r="E487" s="1272"/>
      <c r="F487" s="1272"/>
      <c r="G487" s="1272"/>
      <c r="H487" s="1272"/>
      <c r="I487" s="1272"/>
      <c r="J487" s="1272"/>
      <c r="K487" s="1272"/>
      <c r="L487" s="1272"/>
      <c r="M487" s="1272"/>
      <c r="N487" s="1272"/>
      <c r="O487" s="1272"/>
      <c r="P487" s="1272"/>
      <c r="Q487" s="1272"/>
      <c r="R487" s="1272"/>
      <c r="S487" s="646" t="s">
        <v>995</v>
      </c>
      <c r="T487" s="1272" t="e">
        <f>VLOOKUP(AC494,ID_archer_cible,2,FALSE)</f>
        <v>#N/A</v>
      </c>
      <c r="U487" s="1272"/>
      <c r="V487" s="1272"/>
      <c r="W487" s="1272"/>
      <c r="X487" s="1272"/>
      <c r="Y487" s="1272"/>
      <c r="Z487" s="1272"/>
      <c r="AA487" s="1272"/>
      <c r="AB487" s="1272"/>
      <c r="AC487" s="1272"/>
      <c r="AD487" s="1272"/>
      <c r="AE487" s="1272"/>
      <c r="AF487" s="1272"/>
      <c r="AG487" s="1272"/>
      <c r="AH487" s="1272"/>
      <c r="AI487" s="1272"/>
      <c r="AJ487" s="1272"/>
      <c r="AK487" s="1272"/>
    </row>
    <row r="488" spans="1:37" ht="21.75" customHeight="1" x14ac:dyDescent="0.2">
      <c r="I488" s="621"/>
      <c r="J488" s="621"/>
      <c r="K488" s="621"/>
      <c r="L488" s="621"/>
      <c r="M488" s="621"/>
      <c r="N488" s="621"/>
      <c r="P488" s="619"/>
      <c r="Q488" s="619"/>
      <c r="R488" s="619"/>
      <c r="S488" s="571" t="s">
        <v>994</v>
      </c>
      <c r="AB488" s="621"/>
      <c r="AC488" s="621"/>
      <c r="AD488" s="621"/>
      <c r="AE488" s="621"/>
      <c r="AF488" s="621"/>
      <c r="AG488" s="621"/>
      <c r="AI488" s="619"/>
      <c r="AJ488" s="619"/>
      <c r="AK488" s="619"/>
    </row>
    <row r="489" spans="1:37" ht="17.25" customHeight="1" x14ac:dyDescent="0.2">
      <c r="A489" s="1125"/>
      <c r="B489" s="1125"/>
      <c r="C489" s="1125"/>
      <c r="D489" s="1125"/>
      <c r="E489" s="1125"/>
      <c r="F489" s="1125"/>
      <c r="G489" s="1125"/>
      <c r="H489" s="1125"/>
      <c r="I489" s="1125"/>
      <c r="J489" s="1125"/>
      <c r="K489" s="1125"/>
      <c r="L489" s="1125" t="s">
        <v>374</v>
      </c>
      <c r="M489" s="1125"/>
      <c r="N489" s="1125"/>
      <c r="O489" s="1125"/>
      <c r="P489" s="1125"/>
      <c r="Q489" s="1125"/>
      <c r="R489" s="1125"/>
      <c r="S489" s="571" t="s">
        <v>994</v>
      </c>
      <c r="T489" s="1125"/>
      <c r="U489" s="1125"/>
      <c r="V489" s="1125"/>
      <c r="W489" s="1125"/>
      <c r="X489" s="1125"/>
      <c r="Y489" s="1125"/>
      <c r="Z489" s="1125"/>
      <c r="AA489" s="1125"/>
      <c r="AB489" s="1125"/>
      <c r="AC489" s="1125"/>
      <c r="AD489" s="1125"/>
      <c r="AE489" s="1125" t="s">
        <v>374</v>
      </c>
      <c r="AF489" s="1125"/>
      <c r="AG489" s="1125"/>
      <c r="AH489" s="1125"/>
      <c r="AI489" s="1125"/>
      <c r="AJ489" s="1125"/>
      <c r="AK489" s="1125"/>
    </row>
    <row r="490" spans="1:37" ht="32.25" customHeight="1" x14ac:dyDescent="0.2">
      <c r="A490" s="1269" t="e">
        <f>VLOOKUP(J494,ID_archer_cible,3,FALSE)</f>
        <v>#N/A</v>
      </c>
      <c r="B490" s="1269"/>
      <c r="C490" s="1269"/>
      <c r="D490" s="1269"/>
      <c r="E490" s="1269"/>
      <c r="F490" s="1269"/>
      <c r="G490" s="1269"/>
      <c r="H490" s="1269"/>
      <c r="I490" s="1269"/>
      <c r="J490" s="1269"/>
      <c r="K490" s="1269"/>
      <c r="L490" s="1270" t="e">
        <f>VLOOKUP(J494,ID_archer_cible,4,FALSE)</f>
        <v>#N/A</v>
      </c>
      <c r="M490" s="1270"/>
      <c r="N490" s="1270"/>
      <c r="O490" s="1270"/>
      <c r="P490" s="1270"/>
      <c r="Q490" s="1270"/>
      <c r="R490" s="1270"/>
      <c r="S490" s="646" t="s">
        <v>995</v>
      </c>
      <c r="T490" s="1269" t="e">
        <f>VLOOKUP(AC494,ID_archer_cible,3,FALSE)</f>
        <v>#N/A</v>
      </c>
      <c r="U490" s="1269"/>
      <c r="V490" s="1269"/>
      <c r="W490" s="1269"/>
      <c r="X490" s="1269"/>
      <c r="Y490" s="1269"/>
      <c r="Z490" s="1269"/>
      <c r="AA490" s="1269"/>
      <c r="AB490" s="1269"/>
      <c r="AC490" s="1269"/>
      <c r="AD490" s="1269"/>
      <c r="AE490" s="1270" t="e">
        <f>VLOOKUP(AC494,ID_archer_cible,4,FALSE)</f>
        <v>#N/A</v>
      </c>
      <c r="AF490" s="1270"/>
      <c r="AG490" s="1270"/>
      <c r="AH490" s="1270"/>
      <c r="AI490" s="1270"/>
      <c r="AJ490" s="1270"/>
      <c r="AK490" s="1270"/>
    </row>
    <row r="491" spans="1:37" ht="17.25" customHeight="1" x14ac:dyDescent="0.2">
      <c r="E491" s="584"/>
      <c r="F491" s="584"/>
      <c r="G491" s="584"/>
      <c r="H491" s="584"/>
      <c r="I491" s="618"/>
      <c r="J491" s="618"/>
      <c r="K491" s="618"/>
      <c r="L491" s="618"/>
      <c r="M491" s="618"/>
      <c r="N491" s="618"/>
      <c r="P491" s="1266" t="str">
        <f>IFERROR(IF(AND(R494="oui",R495="oui",R496="oui",R497="oui"),"PRO",""),"")</f>
        <v/>
      </c>
      <c r="Q491" s="1266"/>
      <c r="R491" s="1266"/>
      <c r="S491" s="571" t="s">
        <v>994</v>
      </c>
      <c r="X491" s="584"/>
      <c r="Y491" s="584"/>
      <c r="Z491" s="584"/>
      <c r="AA491" s="584"/>
      <c r="AB491" s="618"/>
      <c r="AC491" s="618"/>
      <c r="AD491" s="618"/>
      <c r="AE491" s="618"/>
      <c r="AF491" s="618"/>
      <c r="AG491" s="618"/>
      <c r="AI491" s="1266" t="str">
        <f>IFERROR(IF(AND(AK494="oui",AK495="oui",AK496="oui",AK497="oui"),"PRO",""),"")</f>
        <v/>
      </c>
      <c r="AJ491" s="1266"/>
      <c r="AK491" s="1266"/>
    </row>
    <row r="492" spans="1:37" ht="20.25" customHeight="1" x14ac:dyDescent="0.2">
      <c r="P492" s="1267"/>
      <c r="Q492" s="1267"/>
      <c r="R492" s="1267"/>
      <c r="S492" s="571" t="s">
        <v>994</v>
      </c>
      <c r="AI492" s="1267"/>
      <c r="AJ492" s="1267"/>
      <c r="AK492" s="1267"/>
    </row>
    <row r="493" spans="1:37" ht="25.5" customHeight="1" x14ac:dyDescent="0.2">
      <c r="B493" s="1273" t="s">
        <v>906</v>
      </c>
      <c r="C493" s="1273"/>
      <c r="D493" s="1273"/>
      <c r="E493" s="1273"/>
      <c r="F493" s="1273"/>
      <c r="G493" s="1273"/>
      <c r="H493" s="1273"/>
      <c r="I493" s="1273"/>
      <c r="J493" s="622" t="s">
        <v>552</v>
      </c>
      <c r="K493" s="623" t="s">
        <v>893</v>
      </c>
      <c r="L493" s="1275" t="s">
        <v>550</v>
      </c>
      <c r="M493" s="1276"/>
      <c r="N493" s="1274" t="s">
        <v>905</v>
      </c>
      <c r="O493" s="1274"/>
      <c r="P493" s="1254" t="s">
        <v>551</v>
      </c>
      <c r="Q493" s="1254"/>
      <c r="R493" s="752" t="s">
        <v>1027</v>
      </c>
      <c r="S493" s="646" t="s">
        <v>995</v>
      </c>
      <c r="U493" s="1273" t="s">
        <v>906</v>
      </c>
      <c r="V493" s="1273"/>
      <c r="W493" s="1273"/>
      <c r="X493" s="1273"/>
      <c r="Y493" s="1273"/>
      <c r="Z493" s="1273"/>
      <c r="AA493" s="1273"/>
      <c r="AB493" s="1273"/>
      <c r="AC493" s="622" t="s">
        <v>552</v>
      </c>
      <c r="AD493" s="623" t="s">
        <v>893</v>
      </c>
      <c r="AE493" s="1275" t="s">
        <v>550</v>
      </c>
      <c r="AF493" s="1276"/>
      <c r="AG493" s="1274" t="s">
        <v>905</v>
      </c>
      <c r="AH493" s="1274"/>
      <c r="AI493" s="1254" t="s">
        <v>551</v>
      </c>
      <c r="AJ493" s="1254"/>
      <c r="AK493" s="752" t="s">
        <v>1027</v>
      </c>
    </row>
    <row r="494" spans="1:37" ht="45" customHeight="1" x14ac:dyDescent="0.2">
      <c r="B494" s="1255" t="e">
        <f>VLOOKUP(J494,ID_archer_cible,5,FALSE)&amp;"    "&amp;VLOOKUP(J494,ID_archer_cible,6,FALSE)</f>
        <v>#N/A</v>
      </c>
      <c r="C494" s="1255"/>
      <c r="D494" s="1255"/>
      <c r="E494" s="1255"/>
      <c r="F494" s="1255"/>
      <c r="G494" s="1255"/>
      <c r="H494" s="1255"/>
      <c r="I494" s="1255"/>
      <c r="J494" s="624" t="str">
        <f>P486&amp;"A"</f>
        <v>16A</v>
      </c>
      <c r="K494" s="574" t="e">
        <f>VLOOKUP(J494,ID_archer_cible,9,FALSE)</f>
        <v>#N/A</v>
      </c>
      <c r="L494" s="1256" t="e">
        <f>VLOOKUP(J494,ID_archer_cible,8,FALSE)</f>
        <v>#N/A</v>
      </c>
      <c r="M494" s="1257"/>
      <c r="N494" s="1260" t="e">
        <f>VLOOKUP(J494,ID_archer_cible,7,FALSE)</f>
        <v>#N/A</v>
      </c>
      <c r="O494" s="1261"/>
      <c r="P494" s="828" t="e">
        <f>VLOOKUP(J494,ID_archer_cible,10,FALSE)</f>
        <v>#N/A</v>
      </c>
      <c r="Q494" s="829" t="e">
        <f>IF(VLOOKUP(L494,N°LicPRO,3,FALSE)="oui","COACH","")</f>
        <v>#N/A</v>
      </c>
      <c r="R494" s="742" t="str">
        <f>IFERROR(VLOOKUP(L494,N°LicPRO,2,FALSE),"")</f>
        <v/>
      </c>
      <c r="S494" s="571" t="s">
        <v>994</v>
      </c>
      <c r="U494" s="1255" t="e">
        <f>VLOOKUP(AC494,ID_archer_cible,5,FALSE)&amp;"    "&amp;VLOOKUP(AC494,ID_archer_cible,6,FALSE)</f>
        <v>#N/A</v>
      </c>
      <c r="V494" s="1255"/>
      <c r="W494" s="1255"/>
      <c r="X494" s="1255"/>
      <c r="Y494" s="1255"/>
      <c r="Z494" s="1255"/>
      <c r="AA494" s="1255"/>
      <c r="AB494" s="1255"/>
      <c r="AC494" s="624" t="str">
        <f>AI486&amp;"A"</f>
        <v>16A</v>
      </c>
      <c r="AD494" s="574" t="e">
        <f>VLOOKUP(AC494,ID_archer_cible,9,FALSE)</f>
        <v>#N/A</v>
      </c>
      <c r="AE494" s="1256" t="e">
        <f>VLOOKUP(AC494,ID_archer_cible,8,FALSE)</f>
        <v>#N/A</v>
      </c>
      <c r="AF494" s="1257"/>
      <c r="AG494" s="1260" t="e">
        <f>VLOOKUP(AC494,ID_archer_cible,7,FALSE)</f>
        <v>#N/A</v>
      </c>
      <c r="AH494" s="1261"/>
      <c r="AI494" s="828" t="e">
        <f>VLOOKUP(AC494,ID_archer_cible,10,FALSE)</f>
        <v>#N/A</v>
      </c>
      <c r="AJ494" s="829" t="e">
        <f>IF(VLOOKUP(AE494,N°LicPRO,3,FALSE)="oui","COACH","")</f>
        <v>#N/A</v>
      </c>
      <c r="AK494" s="742" t="str">
        <f>IFERROR(VLOOKUP(AE494,N°LicPRO,2,FALSE),"")</f>
        <v/>
      </c>
    </row>
    <row r="495" spans="1:37" ht="45" customHeight="1" x14ac:dyDescent="0.2">
      <c r="B495" s="1255" t="e">
        <f>VLOOKUP(J495,ID_archer_cible,5,FALSE)&amp;"    "&amp;VLOOKUP(J495,ID_archer_cible,6,FALSE)</f>
        <v>#N/A</v>
      </c>
      <c r="C495" s="1255"/>
      <c r="D495" s="1255"/>
      <c r="E495" s="1255"/>
      <c r="F495" s="1255"/>
      <c r="G495" s="1255"/>
      <c r="H495" s="1255"/>
      <c r="I495" s="1255"/>
      <c r="J495" s="624" t="str">
        <f>P486&amp;"B"</f>
        <v>16B</v>
      </c>
      <c r="K495" s="574" t="e">
        <f>VLOOKUP(J495,ID_archer_cible,9,FALSE)</f>
        <v>#N/A</v>
      </c>
      <c r="L495" s="1256" t="e">
        <f>VLOOKUP(J495,ID_archer_cible,8,FALSE)</f>
        <v>#N/A</v>
      </c>
      <c r="M495" s="1257"/>
      <c r="N495" s="1260" t="e">
        <f>VLOOKUP(J495,ID_archer_cible,7,FALSE)</f>
        <v>#N/A</v>
      </c>
      <c r="O495" s="1261"/>
      <c r="P495" s="828" t="e">
        <f>VLOOKUP(J495,ID_archer_cible,10,FALSE)</f>
        <v>#N/A</v>
      </c>
      <c r="Q495" s="829" t="e">
        <f>IF(VLOOKUP(L495,N°LicPRO,3,FALSE)="oui","COACH","")</f>
        <v>#N/A</v>
      </c>
      <c r="R495" s="742" t="str">
        <f>IFERROR(VLOOKUP(L495,N°LicPRO,2,FALSE),"")</f>
        <v/>
      </c>
      <c r="S495" s="571" t="s">
        <v>994</v>
      </c>
      <c r="U495" s="1255" t="e">
        <f>VLOOKUP(AC495,ID_archer_cible,5,FALSE)&amp;"    "&amp;VLOOKUP(AC495,ID_archer_cible,6,FALSE)</f>
        <v>#N/A</v>
      </c>
      <c r="V495" s="1255"/>
      <c r="W495" s="1255"/>
      <c r="X495" s="1255"/>
      <c r="Y495" s="1255"/>
      <c r="Z495" s="1255"/>
      <c r="AA495" s="1255"/>
      <c r="AB495" s="1255"/>
      <c r="AC495" s="624" t="str">
        <f>AI486&amp;"B"</f>
        <v>16B</v>
      </c>
      <c r="AD495" s="574" t="e">
        <f>VLOOKUP(AC495,ID_archer_cible,9,FALSE)</f>
        <v>#N/A</v>
      </c>
      <c r="AE495" s="1256" t="e">
        <f>VLOOKUP(AC495,ID_archer_cible,8,FALSE)</f>
        <v>#N/A</v>
      </c>
      <c r="AF495" s="1257"/>
      <c r="AG495" s="1260" t="e">
        <f>VLOOKUP(AC495,ID_archer_cible,7,FALSE)</f>
        <v>#N/A</v>
      </c>
      <c r="AH495" s="1261"/>
      <c r="AI495" s="828" t="e">
        <f>VLOOKUP(AC495,ID_archer_cible,10,FALSE)</f>
        <v>#N/A</v>
      </c>
      <c r="AJ495" s="829" t="e">
        <f>IF(VLOOKUP(AE495,N°LicPRO,3,FALSE)="oui","COACH","")</f>
        <v>#N/A</v>
      </c>
      <c r="AK495" s="742" t="str">
        <f>IFERROR(VLOOKUP(AE495,N°LicPRO,2,FALSE),"")</f>
        <v/>
      </c>
    </row>
    <row r="496" spans="1:37" ht="45" customHeight="1" x14ac:dyDescent="0.2">
      <c r="B496" s="1255" t="e">
        <f>VLOOKUP(J496,ID_archer_cible,5,FALSE)&amp;"    "&amp;VLOOKUP(J496,ID_archer_cible,6,FALSE)</f>
        <v>#N/A</v>
      </c>
      <c r="C496" s="1255"/>
      <c r="D496" s="1255"/>
      <c r="E496" s="1255"/>
      <c r="F496" s="1255"/>
      <c r="G496" s="1255"/>
      <c r="H496" s="1255"/>
      <c r="I496" s="1255"/>
      <c r="J496" s="624" t="str">
        <f>P486&amp;"C"</f>
        <v>16C</v>
      </c>
      <c r="K496" s="574" t="e">
        <f>VLOOKUP(J496,ID_archer_cible,9,FALSE)</f>
        <v>#N/A</v>
      </c>
      <c r="L496" s="1256" t="e">
        <f>VLOOKUP(J496,ID_archer_cible,8,FALSE)</f>
        <v>#N/A</v>
      </c>
      <c r="M496" s="1257"/>
      <c r="N496" s="1260" t="e">
        <f>VLOOKUP(J496,ID_archer_cible,7,FALSE)</f>
        <v>#N/A</v>
      </c>
      <c r="O496" s="1261"/>
      <c r="P496" s="828" t="e">
        <f>VLOOKUP(J496,ID_archer_cible,10,FALSE)</f>
        <v>#N/A</v>
      </c>
      <c r="Q496" s="829" t="e">
        <f>IF(VLOOKUP(L496,N°LicPRO,3,FALSE)="oui","COACH","")</f>
        <v>#N/A</v>
      </c>
      <c r="R496" s="742" t="str">
        <f>IFERROR(VLOOKUP(L496,N°LicPRO,2,FALSE),"")</f>
        <v/>
      </c>
      <c r="S496" s="646" t="s">
        <v>995</v>
      </c>
      <c r="U496" s="1255" t="e">
        <f>VLOOKUP(AC496,ID_archer_cible,5,FALSE)&amp;"    "&amp;VLOOKUP(AC496,ID_archer_cible,6,FALSE)</f>
        <v>#N/A</v>
      </c>
      <c r="V496" s="1255"/>
      <c r="W496" s="1255"/>
      <c r="X496" s="1255"/>
      <c r="Y496" s="1255"/>
      <c r="Z496" s="1255"/>
      <c r="AA496" s="1255"/>
      <c r="AB496" s="1255"/>
      <c r="AC496" s="624" t="str">
        <f>AI486&amp;"C"</f>
        <v>16C</v>
      </c>
      <c r="AD496" s="574" t="e">
        <f>VLOOKUP(AC496,ID_archer_cible,9,FALSE)</f>
        <v>#N/A</v>
      </c>
      <c r="AE496" s="1256" t="e">
        <f>VLOOKUP(AC496,ID_archer_cible,8,FALSE)</f>
        <v>#N/A</v>
      </c>
      <c r="AF496" s="1257"/>
      <c r="AG496" s="1260" t="e">
        <f>VLOOKUP(AC496,ID_archer_cible,7,FALSE)</f>
        <v>#N/A</v>
      </c>
      <c r="AH496" s="1261"/>
      <c r="AI496" s="828" t="e">
        <f>VLOOKUP(AC496,ID_archer_cible,10,FALSE)</f>
        <v>#N/A</v>
      </c>
      <c r="AJ496" s="829" t="e">
        <f>IF(VLOOKUP(AE496,N°LicPRO,3,FALSE)="oui","COACH","")</f>
        <v>#N/A</v>
      </c>
      <c r="AK496" s="742" t="str">
        <f>IFERROR(VLOOKUP(AE496,N°LicPRO,2,FALSE),"")</f>
        <v/>
      </c>
    </row>
    <row r="497" spans="2:37" ht="45" customHeight="1" x14ac:dyDescent="0.2">
      <c r="B497" s="1255" t="e">
        <f>VLOOKUP(J497,ID_archer_cible,5,FALSE)&amp;"    "&amp;VLOOKUP(J497,ID_archer_cible,6,FALSE)</f>
        <v>#N/A</v>
      </c>
      <c r="C497" s="1255"/>
      <c r="D497" s="1255"/>
      <c r="E497" s="1255"/>
      <c r="F497" s="1255"/>
      <c r="G497" s="1255"/>
      <c r="H497" s="1255"/>
      <c r="I497" s="1255"/>
      <c r="J497" s="624" t="str">
        <f>P486&amp;"D"</f>
        <v>16D</v>
      </c>
      <c r="K497" s="574" t="e">
        <f>VLOOKUP(J497,ID_archer_cible,9,FALSE)</f>
        <v>#N/A</v>
      </c>
      <c r="L497" s="1256" t="e">
        <f>VLOOKUP(J497,ID_archer_cible,8,FALSE)</f>
        <v>#N/A</v>
      </c>
      <c r="M497" s="1257"/>
      <c r="N497" s="1260" t="e">
        <f>VLOOKUP(J497,ID_archer_cible,7,FALSE)</f>
        <v>#N/A</v>
      </c>
      <c r="O497" s="1261"/>
      <c r="P497" s="828" t="e">
        <f>VLOOKUP(J497,ID_archer_cible,10,FALSE)</f>
        <v>#N/A</v>
      </c>
      <c r="Q497" s="829" t="e">
        <f>IF(VLOOKUP(L497,N°LicPRO,3,FALSE)="oui","COACH","")</f>
        <v>#N/A</v>
      </c>
      <c r="R497" s="742" t="str">
        <f>IFERROR(VLOOKUP(L497,N°LicPRO,2,FALSE),"")</f>
        <v/>
      </c>
      <c r="S497" s="571" t="s">
        <v>994</v>
      </c>
      <c r="U497" s="1255" t="e">
        <f>VLOOKUP(AC497,ID_archer_cible,5,FALSE)&amp;"    "&amp;VLOOKUP(AC497,ID_archer_cible,6,FALSE)</f>
        <v>#N/A</v>
      </c>
      <c r="V497" s="1255"/>
      <c r="W497" s="1255"/>
      <c r="X497" s="1255"/>
      <c r="Y497" s="1255"/>
      <c r="Z497" s="1255"/>
      <c r="AA497" s="1255"/>
      <c r="AB497" s="1255"/>
      <c r="AC497" s="624" t="str">
        <f>AI486&amp;"D"</f>
        <v>16D</v>
      </c>
      <c r="AD497" s="574" t="e">
        <f>VLOOKUP(AC497,ID_archer_cible,9,FALSE)</f>
        <v>#N/A</v>
      </c>
      <c r="AE497" s="1256" t="e">
        <f>VLOOKUP(AC497,ID_archer_cible,8,FALSE)</f>
        <v>#N/A</v>
      </c>
      <c r="AF497" s="1257"/>
      <c r="AG497" s="1260" t="e">
        <f>VLOOKUP(AC497,ID_archer_cible,7,FALSE)</f>
        <v>#N/A</v>
      </c>
      <c r="AH497" s="1261"/>
      <c r="AI497" s="828" t="e">
        <f>VLOOKUP(AC497,ID_archer_cible,10,FALSE)</f>
        <v>#N/A</v>
      </c>
      <c r="AJ497" s="829" t="e">
        <f>IF(VLOOKUP(AE497,N°LicPRO,3,FALSE)="oui","COACH","")</f>
        <v>#N/A</v>
      </c>
      <c r="AK497" s="742" t="str">
        <f>IFERROR(VLOOKUP(AE497,N°LicPRO,2,FALSE),"")</f>
        <v/>
      </c>
    </row>
    <row r="498" spans="2:37" ht="15" customHeight="1" x14ac:dyDescent="0.2">
      <c r="S498" s="571" t="s">
        <v>994</v>
      </c>
    </row>
    <row r="499" spans="2:37" ht="15" customHeight="1" x14ac:dyDescent="0.2">
      <c r="B499" s="508" t="s">
        <v>975</v>
      </c>
      <c r="S499" s="646" t="s">
        <v>995</v>
      </c>
      <c r="U499" s="508" t="s">
        <v>975</v>
      </c>
    </row>
    <row r="500" spans="2:37" ht="15" customHeight="1" x14ac:dyDescent="0.2">
      <c r="B500" s="1259" t="s">
        <v>974</v>
      </c>
      <c r="C500" s="1259"/>
      <c r="D500" s="1259"/>
      <c r="E500" s="1259"/>
      <c r="F500" s="1199" t="str">
        <f>Info_TirQ</f>
        <v>J2 8:30-9:00 Ent. 9:00-10:30 Tirs Qual.</v>
      </c>
      <c r="G500" s="1199"/>
      <c r="H500" s="1199"/>
      <c r="I500" s="1199"/>
      <c r="J500" s="1199"/>
      <c r="K500" s="1258" t="s">
        <v>978</v>
      </c>
      <c r="L500" s="1258"/>
      <c r="M500" s="1258"/>
      <c r="N500" s="1258"/>
      <c r="O500" s="1258"/>
      <c r="S500" s="571" t="s">
        <v>994</v>
      </c>
      <c r="U500" s="1259" t="s">
        <v>974</v>
      </c>
      <c r="V500" s="1259"/>
      <c r="W500" s="1259"/>
      <c r="X500" s="1259"/>
      <c r="Y500" s="1199" t="str">
        <f>Info_TirQ</f>
        <v>J2 8:30-9:00 Ent. 9:00-10:30 Tirs Qual.</v>
      </c>
      <c r="Z500" s="1199"/>
      <c r="AA500" s="1199"/>
      <c r="AB500" s="1199"/>
      <c r="AC500" s="1199"/>
      <c r="AD500" s="1258" t="s">
        <v>978</v>
      </c>
      <c r="AE500" s="1258"/>
      <c r="AF500" s="1258"/>
      <c r="AG500" s="1258"/>
      <c r="AH500" s="1258"/>
    </row>
    <row r="501" spans="2:37" ht="15" customHeight="1" x14ac:dyDescent="0.2">
      <c r="B501" s="1259" t="s">
        <v>484</v>
      </c>
      <c r="C501" s="1259"/>
      <c r="D501" s="1259"/>
      <c r="E501" s="1259"/>
      <c r="F501" s="1199" t="str">
        <f>Info_D1</f>
        <v>J2 13:30-14:20  1er DUEL</v>
      </c>
      <c r="G501" s="1199"/>
      <c r="H501" s="1199"/>
      <c r="I501" s="1199"/>
      <c r="J501" s="1199"/>
      <c r="K501" s="1258"/>
      <c r="L501" s="1258"/>
      <c r="M501" s="1258"/>
      <c r="N501" s="1258"/>
      <c r="O501" s="1258"/>
      <c r="S501" s="571" t="s">
        <v>994</v>
      </c>
      <c r="U501" s="1259" t="s">
        <v>484</v>
      </c>
      <c r="V501" s="1259"/>
      <c r="W501" s="1259"/>
      <c r="X501" s="1259"/>
      <c r="Y501" s="1199" t="str">
        <f>Info_D1</f>
        <v>J2 13:30-14:20  1er DUEL</v>
      </c>
      <c r="Z501" s="1199"/>
      <c r="AA501" s="1199"/>
      <c r="AB501" s="1199"/>
      <c r="AC501" s="1199"/>
      <c r="AD501" s="1258"/>
      <c r="AE501" s="1258"/>
      <c r="AF501" s="1258"/>
      <c r="AG501" s="1258"/>
      <c r="AH501" s="1258"/>
    </row>
    <row r="502" spans="2:37" ht="15" customHeight="1" x14ac:dyDescent="0.2">
      <c r="B502" s="1259" t="s">
        <v>972</v>
      </c>
      <c r="C502" s="1259"/>
      <c r="D502" s="1259"/>
      <c r="E502" s="1259"/>
      <c r="F502" s="1199" t="str">
        <f>Info_D2</f>
        <v>J2 14:30-15:20 2ème DUEL</v>
      </c>
      <c r="G502" s="1199"/>
      <c r="H502" s="1199"/>
      <c r="I502" s="1199"/>
      <c r="J502" s="1199"/>
      <c r="K502" s="1258"/>
      <c r="L502" s="1258"/>
      <c r="M502" s="1258"/>
      <c r="N502" s="1258"/>
      <c r="O502" s="1258"/>
      <c r="S502" s="646" t="s">
        <v>995</v>
      </c>
      <c r="U502" s="1259" t="s">
        <v>972</v>
      </c>
      <c r="V502" s="1259"/>
      <c r="W502" s="1259"/>
      <c r="X502" s="1259"/>
      <c r="Y502" s="1199" t="str">
        <f>Info_D2</f>
        <v>J2 14:30-15:20 2ème DUEL</v>
      </c>
      <c r="Z502" s="1199"/>
      <c r="AA502" s="1199"/>
      <c r="AB502" s="1199"/>
      <c r="AC502" s="1199"/>
      <c r="AD502" s="1258"/>
      <c r="AE502" s="1258"/>
      <c r="AF502" s="1258"/>
      <c r="AG502" s="1258"/>
      <c r="AH502" s="1258"/>
    </row>
    <row r="503" spans="2:37" ht="15" customHeight="1" x14ac:dyDescent="0.2">
      <c r="B503" s="1259" t="s">
        <v>973</v>
      </c>
      <c r="C503" s="1259"/>
      <c r="D503" s="1259"/>
      <c r="E503" s="1259"/>
      <c r="F503" s="1199" t="str">
        <f>Info_D3</f>
        <v>J3 10-10:50 Match pl. 5 à +  ETAB - EX</v>
      </c>
      <c r="G503" s="1199"/>
      <c r="H503" s="1199"/>
      <c r="I503" s="1199"/>
      <c r="J503" s="1199"/>
      <c r="K503" s="1258"/>
      <c r="L503" s="1258"/>
      <c r="M503" s="1258"/>
      <c r="N503" s="1258"/>
      <c r="O503" s="1258"/>
      <c r="S503" s="571" t="s">
        <v>994</v>
      </c>
      <c r="U503" s="1259" t="s">
        <v>973</v>
      </c>
      <c r="V503" s="1259"/>
      <c r="W503" s="1259"/>
      <c r="X503" s="1259"/>
      <c r="Y503" s="1199" t="str">
        <f>Info_D3</f>
        <v>J3 10-10:50 Match pl. 5 à +  ETAB - EX</v>
      </c>
      <c r="Z503" s="1199"/>
      <c r="AA503" s="1199"/>
      <c r="AB503" s="1199"/>
      <c r="AC503" s="1199"/>
      <c r="AD503" s="1258"/>
      <c r="AE503" s="1258"/>
      <c r="AF503" s="1258"/>
      <c r="AG503" s="1258"/>
      <c r="AH503" s="1258"/>
    </row>
    <row r="504" spans="2:37" ht="24.75" customHeight="1" x14ac:dyDescent="0.2">
      <c r="B504" s="626" t="s">
        <v>976</v>
      </c>
      <c r="S504" s="571" t="s">
        <v>994</v>
      </c>
      <c r="U504" s="626" t="s">
        <v>976</v>
      </c>
    </row>
    <row r="505" spans="2:37" ht="134.25" customHeight="1" x14ac:dyDescent="0.2">
      <c r="B505"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C505" s="1264"/>
      <c r="D505" s="1264"/>
      <c r="E505" s="1264"/>
      <c r="F505" s="1264"/>
      <c r="G505" s="1264"/>
      <c r="H505" s="1264"/>
      <c r="I505" s="1264"/>
      <c r="J505" s="1264"/>
      <c r="K505" s="1264"/>
      <c r="L505" s="1264"/>
      <c r="M505" s="1264"/>
      <c r="N505" s="1264"/>
      <c r="O505" s="1264"/>
      <c r="P505" s="1265"/>
      <c r="S505" s="646" t="s">
        <v>995</v>
      </c>
      <c r="U505"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V505" s="1264"/>
      <c r="W505" s="1264"/>
      <c r="X505" s="1264"/>
      <c r="Y505" s="1264"/>
      <c r="Z505" s="1264"/>
      <c r="AA505" s="1264"/>
      <c r="AB505" s="1264"/>
      <c r="AC505" s="1264"/>
      <c r="AD505" s="1264"/>
      <c r="AE505" s="1264"/>
      <c r="AF505" s="1264"/>
      <c r="AG505" s="1264"/>
      <c r="AH505" s="1264"/>
      <c r="AI505" s="1265"/>
    </row>
    <row r="506" spans="2:37" ht="15" customHeight="1" x14ac:dyDescent="0.2">
      <c r="C506" s="508" t="s">
        <v>964</v>
      </c>
      <c r="K506" s="508" t="s">
        <v>965</v>
      </c>
      <c r="O506" s="508" t="s">
        <v>966</v>
      </c>
      <c r="S506" s="571" t="s">
        <v>994</v>
      </c>
      <c r="V506" s="508" t="s">
        <v>964</v>
      </c>
      <c r="AD506" s="508" t="s">
        <v>965</v>
      </c>
      <c r="AH506" s="508" t="s">
        <v>966</v>
      </c>
    </row>
    <row r="507" spans="2:37" ht="15" customHeight="1" x14ac:dyDescent="0.2">
      <c r="S507" s="571" t="s">
        <v>994</v>
      </c>
    </row>
    <row r="508" spans="2:37" ht="15" customHeight="1" x14ac:dyDescent="0.2">
      <c r="S508" s="646" t="s">
        <v>995</v>
      </c>
    </row>
    <row r="509" spans="2:37" ht="15" customHeight="1" x14ac:dyDescent="0.2">
      <c r="S509" s="571" t="s">
        <v>994</v>
      </c>
    </row>
    <row r="510" spans="2:37" ht="15" customHeight="1" x14ac:dyDescent="0.2">
      <c r="S510" s="571" t="s">
        <v>994</v>
      </c>
    </row>
    <row r="511" spans="2:37" ht="15" customHeight="1" x14ac:dyDescent="0.2">
      <c r="S511" s="646" t="s">
        <v>995</v>
      </c>
    </row>
    <row r="512" spans="2:37" x14ac:dyDescent="0.2">
      <c r="S512" s="571" t="s">
        <v>994</v>
      </c>
    </row>
    <row r="513" spans="1:37" x14ac:dyDescent="0.2">
      <c r="S513" s="571" t="s">
        <v>994</v>
      </c>
    </row>
    <row r="514" spans="1:37" ht="30" x14ac:dyDescent="0.2">
      <c r="A514" s="1262" t="str">
        <f>Championnat</f>
        <v>Championnat de France de Tir à l'ARC</v>
      </c>
      <c r="B514" s="1262"/>
      <c r="C514" s="1262"/>
      <c r="D514" s="1262"/>
      <c r="E514" s="1262"/>
      <c r="F514" s="1262"/>
      <c r="G514" s="1262"/>
      <c r="H514" s="1262"/>
      <c r="I514" s="1262"/>
      <c r="J514" s="1262"/>
      <c r="K514" s="1262"/>
      <c r="L514" s="1262"/>
      <c r="M514" s="1262"/>
      <c r="N514" s="1262"/>
      <c r="O514" s="1262"/>
      <c r="P514" s="1262"/>
      <c r="Q514" s="1262"/>
      <c r="R514" s="1262"/>
      <c r="S514" s="646" t="s">
        <v>995</v>
      </c>
      <c r="T514" s="1262" t="str">
        <f>Championnat</f>
        <v>Championnat de France de Tir à l'ARC</v>
      </c>
      <c r="U514" s="1262"/>
      <c r="V514" s="1262"/>
      <c r="W514" s="1262"/>
      <c r="X514" s="1262"/>
      <c r="Y514" s="1262"/>
      <c r="Z514" s="1262"/>
      <c r="AA514" s="1262"/>
      <c r="AB514" s="1262"/>
      <c r="AC514" s="1262"/>
      <c r="AD514" s="1262"/>
      <c r="AE514" s="1262"/>
      <c r="AF514" s="1262"/>
      <c r="AG514" s="1262"/>
      <c r="AH514" s="1262"/>
      <c r="AI514" s="1262"/>
      <c r="AJ514" s="1262"/>
      <c r="AK514" s="1262"/>
    </row>
    <row r="515" spans="1:37" ht="24.75" customHeight="1" x14ac:dyDescent="0.2">
      <c r="A515" s="1184" t="str">
        <f>LIEU&amp;" du "&amp;DATE</f>
        <v>L’Isle sur la Sorgue du 27 au 31 mars 2023</v>
      </c>
      <c r="B515" s="1184"/>
      <c r="C515" s="1184"/>
      <c r="D515" s="1184"/>
      <c r="E515" s="1184"/>
      <c r="F515" s="1184"/>
      <c r="G515" s="1184"/>
      <c r="H515" s="1184"/>
      <c r="I515" s="1184"/>
      <c r="J515" s="1184"/>
      <c r="K515" s="1184"/>
      <c r="L515" s="1184"/>
      <c r="M515" s="1184"/>
      <c r="N515" s="1184"/>
      <c r="O515" s="1184"/>
      <c r="P515" s="1184"/>
      <c r="Q515" s="1184"/>
      <c r="R515" s="1184"/>
      <c r="S515" s="571" t="s">
        <v>994</v>
      </c>
      <c r="T515" s="1184" t="str">
        <f>LIEU&amp;" du "&amp;DATE</f>
        <v>L’Isle sur la Sorgue du 27 au 31 mars 2023</v>
      </c>
      <c r="U515" s="1184"/>
      <c r="V515" s="1184"/>
      <c r="W515" s="1184"/>
      <c r="X515" s="1184"/>
      <c r="Y515" s="1184"/>
      <c r="Z515" s="1184"/>
      <c r="AA515" s="1184"/>
      <c r="AB515" s="1184"/>
      <c r="AC515" s="1184"/>
      <c r="AD515" s="1184"/>
      <c r="AE515" s="1184"/>
      <c r="AF515" s="1184"/>
      <c r="AG515" s="1184"/>
      <c r="AH515" s="1184"/>
      <c r="AI515" s="1184"/>
      <c r="AJ515" s="1184"/>
      <c r="AK515" s="1184"/>
    </row>
    <row r="516" spans="1:37" s="218" customFormat="1" ht="40.5" customHeight="1" x14ac:dyDescent="0.2">
      <c r="A516" s="1268" t="str">
        <f>CATEG_IMPORTEE</f>
        <v>Collèges Mixtes Etablissement</v>
      </c>
      <c r="B516" s="1268"/>
      <c r="C516" s="1268"/>
      <c r="D516" s="1268"/>
      <c r="E516" s="1268"/>
      <c r="F516" s="1268"/>
      <c r="G516" s="1268"/>
      <c r="H516" s="1268"/>
      <c r="I516" s="1268"/>
      <c r="J516" s="1268"/>
      <c r="K516" s="1268"/>
      <c r="L516" s="1268"/>
      <c r="M516" s="1268"/>
      <c r="N516" s="1268"/>
      <c r="O516" s="1268"/>
      <c r="P516" s="1268"/>
      <c r="Q516" s="1268"/>
      <c r="R516" s="1268"/>
      <c r="S516" s="571" t="s">
        <v>994</v>
      </c>
      <c r="T516" s="1268" t="str">
        <f>CATEG_IMPORTEE</f>
        <v>Collèges Mixtes Etablissement</v>
      </c>
      <c r="U516" s="1268"/>
      <c r="V516" s="1268"/>
      <c r="W516" s="1268"/>
      <c r="X516" s="1268"/>
      <c r="Y516" s="1268"/>
      <c r="Z516" s="1268"/>
      <c r="AA516" s="1268"/>
      <c r="AB516" s="1268"/>
      <c r="AC516" s="1268"/>
      <c r="AD516" s="1268"/>
      <c r="AE516" s="1268"/>
      <c r="AF516" s="1268"/>
      <c r="AG516" s="1268"/>
      <c r="AH516" s="1268"/>
      <c r="AI516" s="1268"/>
      <c r="AJ516" s="1268"/>
      <c r="AK516" s="1268"/>
    </row>
    <row r="517" spans="1:37" s="218" customFormat="1" ht="19.5" customHeight="1" x14ac:dyDescent="0.2">
      <c r="A517" s="625"/>
      <c r="B517" s="625"/>
      <c r="C517" s="625"/>
      <c r="D517" s="625"/>
      <c r="E517" s="625"/>
      <c r="F517" s="625"/>
      <c r="G517" s="625"/>
      <c r="H517" s="625"/>
      <c r="I517" s="625"/>
      <c r="J517" s="625"/>
      <c r="K517" s="625"/>
      <c r="L517" s="625"/>
      <c r="M517" s="625"/>
      <c r="N517" s="625"/>
      <c r="O517" s="625"/>
      <c r="P517" s="625"/>
      <c r="Q517" s="625"/>
      <c r="R517" s="625"/>
      <c r="S517" s="646" t="s">
        <v>995</v>
      </c>
      <c r="T517" s="625"/>
      <c r="U517" s="625"/>
      <c r="V517" s="625"/>
      <c r="W517" s="625"/>
      <c r="X517" s="625"/>
      <c r="Y517" s="625"/>
      <c r="Z517" s="625"/>
      <c r="AA517" s="625"/>
      <c r="AB517" s="625"/>
      <c r="AC517" s="625"/>
      <c r="AD517" s="625"/>
      <c r="AE517" s="625"/>
      <c r="AF517" s="625"/>
      <c r="AG517" s="625"/>
      <c r="AH517" s="625"/>
      <c r="AI517" s="625"/>
      <c r="AJ517" s="625"/>
      <c r="AK517" s="625"/>
    </row>
    <row r="518" spans="1:37" ht="47.25" customHeight="1" x14ac:dyDescent="0.2">
      <c r="A518" s="620"/>
      <c r="B518" s="620"/>
      <c r="C518" s="620"/>
      <c r="D518" s="620"/>
      <c r="E518" s="620"/>
      <c r="F518" s="620"/>
      <c r="G518" s="620"/>
      <c r="H518" s="620"/>
      <c r="I518" s="620"/>
      <c r="J518" s="620"/>
      <c r="K518" s="620"/>
      <c r="L518" s="620"/>
      <c r="M518" s="620"/>
      <c r="N518" s="1072" t="s">
        <v>628</v>
      </c>
      <c r="O518" s="1073"/>
      <c r="P518" s="1271">
        <f>P486+1</f>
        <v>17</v>
      </c>
      <c r="Q518" s="1271"/>
      <c r="R518" s="1271"/>
      <c r="S518" s="571" t="s">
        <v>994</v>
      </c>
      <c r="T518" s="620"/>
      <c r="U518" s="620"/>
      <c r="V518" s="620"/>
      <c r="W518" s="620"/>
      <c r="X518" s="620"/>
      <c r="Y518" s="620"/>
      <c r="Z518" s="620"/>
      <c r="AA518" s="620"/>
      <c r="AB518" s="620"/>
      <c r="AC518" s="620"/>
      <c r="AD518" s="620"/>
      <c r="AE518" s="620"/>
      <c r="AF518" s="620"/>
      <c r="AG518" s="1072" t="s">
        <v>628</v>
      </c>
      <c r="AH518" s="1073"/>
      <c r="AI518" s="1271">
        <f>AI486+1</f>
        <v>17</v>
      </c>
      <c r="AJ518" s="1271"/>
      <c r="AK518" s="1271"/>
    </row>
    <row r="519" spans="1:37" ht="36.75" customHeight="1" x14ac:dyDescent="0.2">
      <c r="A519" s="1272" t="e">
        <f>VLOOKUP(J526,ID_archer_cible,2,FALSE)</f>
        <v>#N/A</v>
      </c>
      <c r="B519" s="1272"/>
      <c r="C519" s="1272"/>
      <c r="D519" s="1272"/>
      <c r="E519" s="1272"/>
      <c r="F519" s="1272"/>
      <c r="G519" s="1272"/>
      <c r="H519" s="1272"/>
      <c r="I519" s="1272"/>
      <c r="J519" s="1272"/>
      <c r="K519" s="1272"/>
      <c r="L519" s="1272"/>
      <c r="M519" s="1272"/>
      <c r="N519" s="1272"/>
      <c r="O519" s="1272"/>
      <c r="P519" s="1272"/>
      <c r="Q519" s="1272"/>
      <c r="R519" s="1272"/>
      <c r="S519" s="571" t="s">
        <v>994</v>
      </c>
      <c r="T519" s="1272" t="e">
        <f>VLOOKUP(AC526,ID_archer_cible,2,FALSE)</f>
        <v>#N/A</v>
      </c>
      <c r="U519" s="1272"/>
      <c r="V519" s="1272"/>
      <c r="W519" s="1272"/>
      <c r="X519" s="1272"/>
      <c r="Y519" s="1272"/>
      <c r="Z519" s="1272"/>
      <c r="AA519" s="1272"/>
      <c r="AB519" s="1272"/>
      <c r="AC519" s="1272"/>
      <c r="AD519" s="1272"/>
      <c r="AE519" s="1272"/>
      <c r="AF519" s="1272"/>
      <c r="AG519" s="1272"/>
      <c r="AH519" s="1272"/>
      <c r="AI519" s="1272"/>
      <c r="AJ519" s="1272"/>
      <c r="AK519" s="1272"/>
    </row>
    <row r="520" spans="1:37" ht="21.75" customHeight="1" x14ac:dyDescent="0.2">
      <c r="I520" s="621"/>
      <c r="J520" s="621"/>
      <c r="K520" s="621"/>
      <c r="L520" s="621"/>
      <c r="M520" s="621"/>
      <c r="N520" s="621"/>
      <c r="P520" s="619"/>
      <c r="Q520" s="619"/>
      <c r="R520" s="619"/>
      <c r="S520" s="646" t="s">
        <v>995</v>
      </c>
      <c r="AB520" s="621"/>
      <c r="AC520" s="621"/>
      <c r="AD520" s="621"/>
      <c r="AE520" s="621"/>
      <c r="AF520" s="621"/>
      <c r="AG520" s="621"/>
      <c r="AI520" s="619"/>
      <c r="AJ520" s="619"/>
      <c r="AK520" s="619"/>
    </row>
    <row r="521" spans="1:37" ht="17.25" customHeight="1" x14ac:dyDescent="0.2">
      <c r="A521" s="1125"/>
      <c r="B521" s="1125"/>
      <c r="C521" s="1125"/>
      <c r="D521" s="1125"/>
      <c r="E521" s="1125"/>
      <c r="F521" s="1125"/>
      <c r="G521" s="1125"/>
      <c r="H521" s="1125"/>
      <c r="I521" s="1125"/>
      <c r="J521" s="1125"/>
      <c r="K521" s="1125"/>
      <c r="L521" s="1125" t="s">
        <v>374</v>
      </c>
      <c r="M521" s="1125"/>
      <c r="N521" s="1125"/>
      <c r="O521" s="1125"/>
      <c r="P521" s="1125"/>
      <c r="Q521" s="1125"/>
      <c r="R521" s="1125"/>
      <c r="S521" s="571" t="s">
        <v>994</v>
      </c>
      <c r="T521" s="1125"/>
      <c r="U521" s="1125"/>
      <c r="V521" s="1125"/>
      <c r="W521" s="1125"/>
      <c r="X521" s="1125"/>
      <c r="Y521" s="1125"/>
      <c r="Z521" s="1125"/>
      <c r="AA521" s="1125"/>
      <c r="AB521" s="1125"/>
      <c r="AC521" s="1125"/>
      <c r="AD521" s="1125"/>
      <c r="AE521" s="1125" t="s">
        <v>374</v>
      </c>
      <c r="AF521" s="1125"/>
      <c r="AG521" s="1125"/>
      <c r="AH521" s="1125"/>
      <c r="AI521" s="1125"/>
      <c r="AJ521" s="1125"/>
      <c r="AK521" s="1125"/>
    </row>
    <row r="522" spans="1:37" ht="32.25" customHeight="1" x14ac:dyDescent="0.2">
      <c r="A522" s="1269" t="e">
        <f>VLOOKUP(J526,ID_archer_cible,3,FALSE)</f>
        <v>#N/A</v>
      </c>
      <c r="B522" s="1269"/>
      <c r="C522" s="1269"/>
      <c r="D522" s="1269"/>
      <c r="E522" s="1269"/>
      <c r="F522" s="1269"/>
      <c r="G522" s="1269"/>
      <c r="H522" s="1269"/>
      <c r="I522" s="1269"/>
      <c r="J522" s="1269"/>
      <c r="K522" s="1269"/>
      <c r="L522" s="1270" t="e">
        <f>VLOOKUP(J526,ID_archer_cible,4,FALSE)</f>
        <v>#N/A</v>
      </c>
      <c r="M522" s="1270"/>
      <c r="N522" s="1270"/>
      <c r="O522" s="1270"/>
      <c r="P522" s="1270"/>
      <c r="Q522" s="1270"/>
      <c r="R522" s="1270"/>
      <c r="S522" s="571" t="s">
        <v>994</v>
      </c>
      <c r="T522" s="1269" t="e">
        <f>VLOOKUP(AC526,ID_archer_cible,3,FALSE)</f>
        <v>#N/A</v>
      </c>
      <c r="U522" s="1269"/>
      <c r="V522" s="1269"/>
      <c r="W522" s="1269"/>
      <c r="X522" s="1269"/>
      <c r="Y522" s="1269"/>
      <c r="Z522" s="1269"/>
      <c r="AA522" s="1269"/>
      <c r="AB522" s="1269"/>
      <c r="AC522" s="1269"/>
      <c r="AD522" s="1269"/>
      <c r="AE522" s="1270" t="e">
        <f>VLOOKUP(AC526,ID_archer_cible,4,FALSE)</f>
        <v>#N/A</v>
      </c>
      <c r="AF522" s="1270"/>
      <c r="AG522" s="1270"/>
      <c r="AH522" s="1270"/>
      <c r="AI522" s="1270"/>
      <c r="AJ522" s="1270"/>
      <c r="AK522" s="1270"/>
    </row>
    <row r="523" spans="1:37" ht="17.25" customHeight="1" x14ac:dyDescent="0.2">
      <c r="E523" s="584"/>
      <c r="F523" s="584"/>
      <c r="G523" s="584"/>
      <c r="H523" s="584"/>
      <c r="I523" s="618"/>
      <c r="J523" s="618"/>
      <c r="K523" s="618"/>
      <c r="L523" s="618"/>
      <c r="M523" s="618"/>
      <c r="N523" s="618"/>
      <c r="P523" s="1266" t="str">
        <f>IFERROR(IF(AND(R526="oui",R527="oui",R528="oui",R529="oui"),"PRO",""),"")</f>
        <v/>
      </c>
      <c r="Q523" s="1266"/>
      <c r="R523" s="1266"/>
      <c r="S523" s="646" t="s">
        <v>995</v>
      </c>
      <c r="X523" s="584"/>
      <c r="Y523" s="584"/>
      <c r="Z523" s="584"/>
      <c r="AA523" s="584"/>
      <c r="AB523" s="618"/>
      <c r="AC523" s="618"/>
      <c r="AD523" s="618"/>
      <c r="AE523" s="618"/>
      <c r="AF523" s="618"/>
      <c r="AG523" s="618"/>
      <c r="AI523" s="1266" t="str">
        <f>IFERROR(IF(AND(AK526="oui",AK527="oui",AK528="oui",AK529="oui"),"PRO",""),"")</f>
        <v/>
      </c>
      <c r="AJ523" s="1266"/>
      <c r="AK523" s="1266"/>
    </row>
    <row r="524" spans="1:37" ht="20.25" customHeight="1" x14ac:dyDescent="0.2">
      <c r="P524" s="1267"/>
      <c r="Q524" s="1267"/>
      <c r="R524" s="1267"/>
      <c r="S524" s="571" t="s">
        <v>994</v>
      </c>
      <c r="AI524" s="1267"/>
      <c r="AJ524" s="1267"/>
      <c r="AK524" s="1267"/>
    </row>
    <row r="525" spans="1:37" ht="25.5" customHeight="1" x14ac:dyDescent="0.2">
      <c r="B525" s="1273" t="s">
        <v>906</v>
      </c>
      <c r="C525" s="1273"/>
      <c r="D525" s="1273"/>
      <c r="E525" s="1273"/>
      <c r="F525" s="1273"/>
      <c r="G525" s="1273"/>
      <c r="H525" s="1273"/>
      <c r="I525" s="1273"/>
      <c r="J525" s="622" t="s">
        <v>552</v>
      </c>
      <c r="K525" s="623" t="s">
        <v>893</v>
      </c>
      <c r="L525" s="1275" t="s">
        <v>550</v>
      </c>
      <c r="M525" s="1276"/>
      <c r="N525" s="1274" t="s">
        <v>905</v>
      </c>
      <c r="O525" s="1274"/>
      <c r="P525" s="1254" t="s">
        <v>551</v>
      </c>
      <c r="Q525" s="1254"/>
      <c r="R525" s="752" t="s">
        <v>1027</v>
      </c>
      <c r="S525" s="571" t="s">
        <v>994</v>
      </c>
      <c r="U525" s="1273" t="s">
        <v>906</v>
      </c>
      <c r="V525" s="1273"/>
      <c r="W525" s="1273"/>
      <c r="X525" s="1273"/>
      <c r="Y525" s="1273"/>
      <c r="Z525" s="1273"/>
      <c r="AA525" s="1273"/>
      <c r="AB525" s="1273"/>
      <c r="AC525" s="622" t="s">
        <v>552</v>
      </c>
      <c r="AD525" s="623" t="s">
        <v>893</v>
      </c>
      <c r="AE525" s="1275" t="s">
        <v>550</v>
      </c>
      <c r="AF525" s="1276"/>
      <c r="AG525" s="1274" t="s">
        <v>905</v>
      </c>
      <c r="AH525" s="1274"/>
      <c r="AI525" s="1254" t="s">
        <v>551</v>
      </c>
      <c r="AJ525" s="1254"/>
      <c r="AK525" s="752" t="s">
        <v>1027</v>
      </c>
    </row>
    <row r="526" spans="1:37" ht="45" customHeight="1" x14ac:dyDescent="0.2">
      <c r="B526" s="1255" t="e">
        <f>VLOOKUP(J526,ID_archer_cible,5,FALSE)&amp;"    "&amp;VLOOKUP(J526,ID_archer_cible,6,FALSE)</f>
        <v>#N/A</v>
      </c>
      <c r="C526" s="1255"/>
      <c r="D526" s="1255"/>
      <c r="E526" s="1255"/>
      <c r="F526" s="1255"/>
      <c r="G526" s="1255"/>
      <c r="H526" s="1255"/>
      <c r="I526" s="1255"/>
      <c r="J526" s="624" t="str">
        <f>P518&amp;"A"</f>
        <v>17A</v>
      </c>
      <c r="K526" s="574" t="e">
        <f>VLOOKUP(J526,ID_archer_cible,9,FALSE)</f>
        <v>#N/A</v>
      </c>
      <c r="L526" s="1256" t="e">
        <f>VLOOKUP(J526,ID_archer_cible,8,FALSE)</f>
        <v>#N/A</v>
      </c>
      <c r="M526" s="1257"/>
      <c r="N526" s="1260" t="e">
        <f>VLOOKUP(J526,ID_archer_cible,7,FALSE)</f>
        <v>#N/A</v>
      </c>
      <c r="O526" s="1261"/>
      <c r="P526" s="828" t="e">
        <f>VLOOKUP(J526,ID_archer_cible,10,FALSE)</f>
        <v>#N/A</v>
      </c>
      <c r="Q526" s="829" t="e">
        <f>IF(VLOOKUP(L526,N°LicPRO,3,FALSE)="oui","COACH","")</f>
        <v>#N/A</v>
      </c>
      <c r="R526" s="742" t="str">
        <f>IFERROR(VLOOKUP(L526,N°LicPRO,2,FALSE),"")</f>
        <v/>
      </c>
      <c r="S526" s="646" t="s">
        <v>995</v>
      </c>
      <c r="U526" s="1255" t="e">
        <f>VLOOKUP(AC526,ID_archer_cible,5,FALSE)&amp;"    "&amp;VLOOKUP(AC526,ID_archer_cible,6,FALSE)</f>
        <v>#N/A</v>
      </c>
      <c r="V526" s="1255"/>
      <c r="W526" s="1255"/>
      <c r="X526" s="1255"/>
      <c r="Y526" s="1255"/>
      <c r="Z526" s="1255"/>
      <c r="AA526" s="1255"/>
      <c r="AB526" s="1255"/>
      <c r="AC526" s="624" t="str">
        <f>AI518&amp;"A"</f>
        <v>17A</v>
      </c>
      <c r="AD526" s="574" t="e">
        <f>VLOOKUP(AC526,ID_archer_cible,9,FALSE)</f>
        <v>#N/A</v>
      </c>
      <c r="AE526" s="1256" t="e">
        <f>VLOOKUP(AC526,ID_archer_cible,8,FALSE)</f>
        <v>#N/A</v>
      </c>
      <c r="AF526" s="1257"/>
      <c r="AG526" s="1260" t="e">
        <f>VLOOKUP(AC526,ID_archer_cible,7,FALSE)</f>
        <v>#N/A</v>
      </c>
      <c r="AH526" s="1261"/>
      <c r="AI526" s="828" t="e">
        <f>VLOOKUP(AC526,ID_archer_cible,10,FALSE)</f>
        <v>#N/A</v>
      </c>
      <c r="AJ526" s="829" t="e">
        <f>IF(VLOOKUP(AE526,N°LicPRO,3,FALSE)="oui","COACH","")</f>
        <v>#N/A</v>
      </c>
      <c r="AK526" s="742" t="str">
        <f>IFERROR(VLOOKUP(AE526,N°LicPRO,2,FALSE),"")</f>
        <v/>
      </c>
    </row>
    <row r="527" spans="1:37" ht="45" customHeight="1" x14ac:dyDescent="0.2">
      <c r="B527" s="1255" t="e">
        <f>VLOOKUP(J527,ID_archer_cible,5,FALSE)&amp;"    "&amp;VLOOKUP(J527,ID_archer_cible,6,FALSE)</f>
        <v>#N/A</v>
      </c>
      <c r="C527" s="1255"/>
      <c r="D527" s="1255"/>
      <c r="E527" s="1255"/>
      <c r="F527" s="1255"/>
      <c r="G527" s="1255"/>
      <c r="H527" s="1255"/>
      <c r="I527" s="1255"/>
      <c r="J527" s="624" t="str">
        <f>P518&amp;"B"</f>
        <v>17B</v>
      </c>
      <c r="K527" s="574" t="e">
        <f>VLOOKUP(J527,ID_archer_cible,9,FALSE)</f>
        <v>#N/A</v>
      </c>
      <c r="L527" s="1256" t="e">
        <f>VLOOKUP(J527,ID_archer_cible,8,FALSE)</f>
        <v>#N/A</v>
      </c>
      <c r="M527" s="1257"/>
      <c r="N527" s="1260" t="e">
        <f>VLOOKUP(J527,ID_archer_cible,7,FALSE)</f>
        <v>#N/A</v>
      </c>
      <c r="O527" s="1261"/>
      <c r="P527" s="828" t="e">
        <f>VLOOKUP(J527,ID_archer_cible,10,FALSE)</f>
        <v>#N/A</v>
      </c>
      <c r="Q527" s="829" t="e">
        <f>IF(VLOOKUP(L527,N°LicPRO,3,FALSE)="oui","COACH","")</f>
        <v>#N/A</v>
      </c>
      <c r="R527" s="742" t="str">
        <f>IFERROR(VLOOKUP(L527,N°LicPRO,2,FALSE),"")</f>
        <v/>
      </c>
      <c r="S527" s="571" t="s">
        <v>994</v>
      </c>
      <c r="U527" s="1255" t="e">
        <f>VLOOKUP(AC527,ID_archer_cible,5,FALSE)&amp;"    "&amp;VLOOKUP(AC527,ID_archer_cible,6,FALSE)</f>
        <v>#N/A</v>
      </c>
      <c r="V527" s="1255"/>
      <c r="W527" s="1255"/>
      <c r="X527" s="1255"/>
      <c r="Y527" s="1255"/>
      <c r="Z527" s="1255"/>
      <c r="AA527" s="1255"/>
      <c r="AB527" s="1255"/>
      <c r="AC527" s="624" t="str">
        <f>AI518&amp;"B"</f>
        <v>17B</v>
      </c>
      <c r="AD527" s="574" t="e">
        <f>VLOOKUP(AC527,ID_archer_cible,9,FALSE)</f>
        <v>#N/A</v>
      </c>
      <c r="AE527" s="1256" t="e">
        <f>VLOOKUP(AC527,ID_archer_cible,8,FALSE)</f>
        <v>#N/A</v>
      </c>
      <c r="AF527" s="1257"/>
      <c r="AG527" s="1260" t="e">
        <f>VLOOKUP(AC527,ID_archer_cible,7,FALSE)</f>
        <v>#N/A</v>
      </c>
      <c r="AH527" s="1261"/>
      <c r="AI527" s="828" t="e">
        <f>VLOOKUP(AC527,ID_archer_cible,10,FALSE)</f>
        <v>#N/A</v>
      </c>
      <c r="AJ527" s="829" t="e">
        <f>IF(VLOOKUP(AE527,N°LicPRO,3,FALSE)="oui","COACH","")</f>
        <v>#N/A</v>
      </c>
      <c r="AK527" s="742" t="str">
        <f>IFERROR(VLOOKUP(AE527,N°LicPRO,2,FALSE),"")</f>
        <v/>
      </c>
    </row>
    <row r="528" spans="1:37" ht="45" customHeight="1" x14ac:dyDescent="0.2">
      <c r="B528" s="1255" t="e">
        <f>VLOOKUP(J528,ID_archer_cible,5,FALSE)&amp;"    "&amp;VLOOKUP(J528,ID_archer_cible,6,FALSE)</f>
        <v>#N/A</v>
      </c>
      <c r="C528" s="1255"/>
      <c r="D528" s="1255"/>
      <c r="E528" s="1255"/>
      <c r="F528" s="1255"/>
      <c r="G528" s="1255"/>
      <c r="H528" s="1255"/>
      <c r="I528" s="1255"/>
      <c r="J528" s="624" t="str">
        <f>P518&amp;"C"</f>
        <v>17C</v>
      </c>
      <c r="K528" s="574" t="e">
        <f>VLOOKUP(J528,ID_archer_cible,9,FALSE)</f>
        <v>#N/A</v>
      </c>
      <c r="L528" s="1256" t="e">
        <f>VLOOKUP(J528,ID_archer_cible,8,FALSE)</f>
        <v>#N/A</v>
      </c>
      <c r="M528" s="1257"/>
      <c r="N528" s="1260" t="e">
        <f>VLOOKUP(J528,ID_archer_cible,7,FALSE)</f>
        <v>#N/A</v>
      </c>
      <c r="O528" s="1261"/>
      <c r="P528" s="828" t="e">
        <f>VLOOKUP(J528,ID_archer_cible,10,FALSE)</f>
        <v>#N/A</v>
      </c>
      <c r="Q528" s="829" t="e">
        <f>IF(VLOOKUP(L528,N°LicPRO,3,FALSE)="oui","COACH","")</f>
        <v>#N/A</v>
      </c>
      <c r="R528" s="742" t="str">
        <f>IFERROR(VLOOKUP(L528,N°LicPRO,2,FALSE),"")</f>
        <v/>
      </c>
      <c r="S528" s="571" t="s">
        <v>994</v>
      </c>
      <c r="U528" s="1255" t="e">
        <f>VLOOKUP(AC528,ID_archer_cible,5,FALSE)&amp;"    "&amp;VLOOKUP(AC528,ID_archer_cible,6,FALSE)</f>
        <v>#N/A</v>
      </c>
      <c r="V528" s="1255"/>
      <c r="W528" s="1255"/>
      <c r="X528" s="1255"/>
      <c r="Y528" s="1255"/>
      <c r="Z528" s="1255"/>
      <c r="AA528" s="1255"/>
      <c r="AB528" s="1255"/>
      <c r="AC528" s="624" t="str">
        <f>AI518&amp;"C"</f>
        <v>17C</v>
      </c>
      <c r="AD528" s="574" t="e">
        <f>VLOOKUP(AC528,ID_archer_cible,9,FALSE)</f>
        <v>#N/A</v>
      </c>
      <c r="AE528" s="1256" t="e">
        <f>VLOOKUP(AC528,ID_archer_cible,8,FALSE)</f>
        <v>#N/A</v>
      </c>
      <c r="AF528" s="1257"/>
      <c r="AG528" s="1260" t="e">
        <f>VLOOKUP(AC528,ID_archer_cible,7,FALSE)</f>
        <v>#N/A</v>
      </c>
      <c r="AH528" s="1261"/>
      <c r="AI528" s="828" t="e">
        <f>VLOOKUP(AC528,ID_archer_cible,10,FALSE)</f>
        <v>#N/A</v>
      </c>
      <c r="AJ528" s="829" t="e">
        <f>IF(VLOOKUP(AE528,N°LicPRO,3,FALSE)="oui","COACH","")</f>
        <v>#N/A</v>
      </c>
      <c r="AK528" s="742" t="str">
        <f>IFERROR(VLOOKUP(AE528,N°LicPRO,2,FALSE),"")</f>
        <v/>
      </c>
    </row>
    <row r="529" spans="2:37" ht="45" customHeight="1" x14ac:dyDescent="0.2">
      <c r="B529" s="1255" t="e">
        <f>VLOOKUP(J529,ID_archer_cible,5,FALSE)&amp;"    "&amp;VLOOKUP(J529,ID_archer_cible,6,FALSE)</f>
        <v>#N/A</v>
      </c>
      <c r="C529" s="1255"/>
      <c r="D529" s="1255"/>
      <c r="E529" s="1255"/>
      <c r="F529" s="1255"/>
      <c r="G529" s="1255"/>
      <c r="H529" s="1255"/>
      <c r="I529" s="1255"/>
      <c r="J529" s="624" t="str">
        <f>P518&amp;"D"</f>
        <v>17D</v>
      </c>
      <c r="K529" s="574" t="e">
        <f>VLOOKUP(J529,ID_archer_cible,9,FALSE)</f>
        <v>#N/A</v>
      </c>
      <c r="L529" s="1256" t="e">
        <f>VLOOKUP(J529,ID_archer_cible,8,FALSE)</f>
        <v>#N/A</v>
      </c>
      <c r="M529" s="1257"/>
      <c r="N529" s="1260" t="e">
        <f>VLOOKUP(J529,ID_archer_cible,7,FALSE)</f>
        <v>#N/A</v>
      </c>
      <c r="O529" s="1261"/>
      <c r="P529" s="828" t="e">
        <f>VLOOKUP(J529,ID_archer_cible,10,FALSE)</f>
        <v>#N/A</v>
      </c>
      <c r="Q529" s="829" t="e">
        <f>IF(VLOOKUP(L529,N°LicPRO,3,FALSE)="oui","COACH","")</f>
        <v>#N/A</v>
      </c>
      <c r="R529" s="742" t="str">
        <f>IFERROR(VLOOKUP(L529,N°LicPRO,2,FALSE),"")</f>
        <v/>
      </c>
      <c r="S529" s="646" t="s">
        <v>995</v>
      </c>
      <c r="U529" s="1255" t="e">
        <f>VLOOKUP(AC529,ID_archer_cible,5,FALSE)&amp;"    "&amp;VLOOKUP(AC529,ID_archer_cible,6,FALSE)</f>
        <v>#N/A</v>
      </c>
      <c r="V529" s="1255"/>
      <c r="W529" s="1255"/>
      <c r="X529" s="1255"/>
      <c r="Y529" s="1255"/>
      <c r="Z529" s="1255"/>
      <c r="AA529" s="1255"/>
      <c r="AB529" s="1255"/>
      <c r="AC529" s="624" t="str">
        <f>AI518&amp;"D"</f>
        <v>17D</v>
      </c>
      <c r="AD529" s="574" t="e">
        <f>VLOOKUP(AC529,ID_archer_cible,9,FALSE)</f>
        <v>#N/A</v>
      </c>
      <c r="AE529" s="1256" t="e">
        <f>VLOOKUP(AC529,ID_archer_cible,8,FALSE)</f>
        <v>#N/A</v>
      </c>
      <c r="AF529" s="1257"/>
      <c r="AG529" s="1260" t="e">
        <f>VLOOKUP(AC529,ID_archer_cible,7,FALSE)</f>
        <v>#N/A</v>
      </c>
      <c r="AH529" s="1261"/>
      <c r="AI529" s="828" t="e">
        <f>VLOOKUP(AC529,ID_archer_cible,10,FALSE)</f>
        <v>#N/A</v>
      </c>
      <c r="AJ529" s="829" t="e">
        <f>IF(VLOOKUP(AE529,N°LicPRO,3,FALSE)="oui","COACH","")</f>
        <v>#N/A</v>
      </c>
      <c r="AK529" s="742" t="str">
        <f>IFERROR(VLOOKUP(AE529,N°LicPRO,2,FALSE),"")</f>
        <v/>
      </c>
    </row>
    <row r="530" spans="2:37" ht="15" customHeight="1" x14ac:dyDescent="0.2">
      <c r="S530" s="571" t="s">
        <v>994</v>
      </c>
    </row>
    <row r="531" spans="2:37" ht="15" customHeight="1" x14ac:dyDescent="0.2">
      <c r="B531" s="508" t="s">
        <v>975</v>
      </c>
      <c r="S531" s="571" t="s">
        <v>994</v>
      </c>
      <c r="U531" s="508" t="s">
        <v>975</v>
      </c>
    </row>
    <row r="532" spans="2:37" ht="15" customHeight="1" x14ac:dyDescent="0.2">
      <c r="B532" s="1259" t="s">
        <v>974</v>
      </c>
      <c r="C532" s="1259"/>
      <c r="D532" s="1259"/>
      <c r="E532" s="1259"/>
      <c r="F532" s="1199" t="str">
        <f>Info_TirQ</f>
        <v>J2 8:30-9:00 Ent. 9:00-10:30 Tirs Qual.</v>
      </c>
      <c r="G532" s="1199"/>
      <c r="H532" s="1199"/>
      <c r="I532" s="1199"/>
      <c r="J532" s="1199"/>
      <c r="K532" s="1258" t="s">
        <v>978</v>
      </c>
      <c r="L532" s="1258"/>
      <c r="M532" s="1258"/>
      <c r="N532" s="1258"/>
      <c r="O532" s="1258"/>
      <c r="S532" s="646" t="s">
        <v>995</v>
      </c>
      <c r="U532" s="1259" t="s">
        <v>974</v>
      </c>
      <c r="V532" s="1259"/>
      <c r="W532" s="1259"/>
      <c r="X532" s="1259"/>
      <c r="Y532" s="1199" t="str">
        <f>Info_TirQ</f>
        <v>J2 8:30-9:00 Ent. 9:00-10:30 Tirs Qual.</v>
      </c>
      <c r="Z532" s="1199"/>
      <c r="AA532" s="1199"/>
      <c r="AB532" s="1199"/>
      <c r="AC532" s="1199"/>
      <c r="AD532" s="1258" t="s">
        <v>978</v>
      </c>
      <c r="AE532" s="1258"/>
      <c r="AF532" s="1258"/>
      <c r="AG532" s="1258"/>
      <c r="AH532" s="1258"/>
    </row>
    <row r="533" spans="2:37" ht="15" customHeight="1" x14ac:dyDescent="0.2">
      <c r="B533" s="1259" t="s">
        <v>484</v>
      </c>
      <c r="C533" s="1259"/>
      <c r="D533" s="1259"/>
      <c r="E533" s="1259"/>
      <c r="F533" s="1199" t="str">
        <f>Info_D1</f>
        <v>J2 13:30-14:20  1er DUEL</v>
      </c>
      <c r="G533" s="1199"/>
      <c r="H533" s="1199"/>
      <c r="I533" s="1199"/>
      <c r="J533" s="1199"/>
      <c r="K533" s="1258"/>
      <c r="L533" s="1258"/>
      <c r="M533" s="1258"/>
      <c r="N533" s="1258"/>
      <c r="O533" s="1258"/>
      <c r="S533" s="571" t="s">
        <v>994</v>
      </c>
      <c r="U533" s="1259" t="s">
        <v>484</v>
      </c>
      <c r="V533" s="1259"/>
      <c r="W533" s="1259"/>
      <c r="X533" s="1259"/>
      <c r="Y533" s="1199" t="str">
        <f>Info_D1</f>
        <v>J2 13:30-14:20  1er DUEL</v>
      </c>
      <c r="Z533" s="1199"/>
      <c r="AA533" s="1199"/>
      <c r="AB533" s="1199"/>
      <c r="AC533" s="1199"/>
      <c r="AD533" s="1258"/>
      <c r="AE533" s="1258"/>
      <c r="AF533" s="1258"/>
      <c r="AG533" s="1258"/>
      <c r="AH533" s="1258"/>
    </row>
    <row r="534" spans="2:37" ht="15" customHeight="1" x14ac:dyDescent="0.2">
      <c r="B534" s="1259" t="s">
        <v>972</v>
      </c>
      <c r="C534" s="1259"/>
      <c r="D534" s="1259"/>
      <c r="E534" s="1259"/>
      <c r="F534" s="1199" t="str">
        <f>Info_D2</f>
        <v>J2 14:30-15:20 2ème DUEL</v>
      </c>
      <c r="G534" s="1199"/>
      <c r="H534" s="1199"/>
      <c r="I534" s="1199"/>
      <c r="J534" s="1199"/>
      <c r="K534" s="1258"/>
      <c r="L534" s="1258"/>
      <c r="M534" s="1258"/>
      <c r="N534" s="1258"/>
      <c r="O534" s="1258"/>
      <c r="S534" s="571" t="s">
        <v>994</v>
      </c>
      <c r="U534" s="1259" t="s">
        <v>972</v>
      </c>
      <c r="V534" s="1259"/>
      <c r="W534" s="1259"/>
      <c r="X534" s="1259"/>
      <c r="Y534" s="1199" t="str">
        <f>Info_D2</f>
        <v>J2 14:30-15:20 2ème DUEL</v>
      </c>
      <c r="Z534" s="1199"/>
      <c r="AA534" s="1199"/>
      <c r="AB534" s="1199"/>
      <c r="AC534" s="1199"/>
      <c r="AD534" s="1258"/>
      <c r="AE534" s="1258"/>
      <c r="AF534" s="1258"/>
      <c r="AG534" s="1258"/>
      <c r="AH534" s="1258"/>
    </row>
    <row r="535" spans="2:37" ht="15" customHeight="1" x14ac:dyDescent="0.2">
      <c r="B535" s="1259" t="s">
        <v>973</v>
      </c>
      <c r="C535" s="1259"/>
      <c r="D535" s="1259"/>
      <c r="E535" s="1259"/>
      <c r="F535" s="1199" t="str">
        <f>Info_D3</f>
        <v>J3 10-10:50 Match pl. 5 à +  ETAB - EX</v>
      </c>
      <c r="G535" s="1199"/>
      <c r="H535" s="1199"/>
      <c r="I535" s="1199"/>
      <c r="J535" s="1199"/>
      <c r="K535" s="1258"/>
      <c r="L535" s="1258"/>
      <c r="M535" s="1258"/>
      <c r="N535" s="1258"/>
      <c r="O535" s="1258"/>
      <c r="S535" s="646" t="s">
        <v>995</v>
      </c>
      <c r="U535" s="1259" t="s">
        <v>973</v>
      </c>
      <c r="V535" s="1259"/>
      <c r="W535" s="1259"/>
      <c r="X535" s="1259"/>
      <c r="Y535" s="1199" t="str">
        <f>Info_D3</f>
        <v>J3 10-10:50 Match pl. 5 à +  ETAB - EX</v>
      </c>
      <c r="Z535" s="1199"/>
      <c r="AA535" s="1199"/>
      <c r="AB535" s="1199"/>
      <c r="AC535" s="1199"/>
      <c r="AD535" s="1258"/>
      <c r="AE535" s="1258"/>
      <c r="AF535" s="1258"/>
      <c r="AG535" s="1258"/>
      <c r="AH535" s="1258"/>
    </row>
    <row r="536" spans="2:37" ht="24.75" customHeight="1" x14ac:dyDescent="0.2">
      <c r="B536" s="626" t="s">
        <v>976</v>
      </c>
      <c r="S536" s="571" t="s">
        <v>994</v>
      </c>
      <c r="U536" s="626" t="s">
        <v>976</v>
      </c>
    </row>
    <row r="537" spans="2:37" ht="134.25" customHeight="1" x14ac:dyDescent="0.2">
      <c r="B537"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C537" s="1264"/>
      <c r="D537" s="1264"/>
      <c r="E537" s="1264"/>
      <c r="F537" s="1264"/>
      <c r="G537" s="1264"/>
      <c r="H537" s="1264"/>
      <c r="I537" s="1264"/>
      <c r="J537" s="1264"/>
      <c r="K537" s="1264"/>
      <c r="L537" s="1264"/>
      <c r="M537" s="1264"/>
      <c r="N537" s="1264"/>
      <c r="O537" s="1264"/>
      <c r="P537" s="1265"/>
      <c r="S537" s="571" t="s">
        <v>994</v>
      </c>
      <c r="U537"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V537" s="1264"/>
      <c r="W537" s="1264"/>
      <c r="X537" s="1264"/>
      <c r="Y537" s="1264"/>
      <c r="Z537" s="1264"/>
      <c r="AA537" s="1264"/>
      <c r="AB537" s="1264"/>
      <c r="AC537" s="1264"/>
      <c r="AD537" s="1264"/>
      <c r="AE537" s="1264"/>
      <c r="AF537" s="1264"/>
      <c r="AG537" s="1264"/>
      <c r="AH537" s="1264"/>
      <c r="AI537" s="1265"/>
    </row>
    <row r="538" spans="2:37" ht="15" customHeight="1" x14ac:dyDescent="0.2">
      <c r="C538" s="508" t="s">
        <v>964</v>
      </c>
      <c r="K538" s="508" t="s">
        <v>965</v>
      </c>
      <c r="O538" s="508" t="s">
        <v>966</v>
      </c>
      <c r="S538" s="646" t="s">
        <v>995</v>
      </c>
      <c r="V538" s="508" t="s">
        <v>964</v>
      </c>
      <c r="AD538" s="508" t="s">
        <v>965</v>
      </c>
      <c r="AH538" s="508" t="s">
        <v>966</v>
      </c>
    </row>
    <row r="539" spans="2:37" ht="15" customHeight="1" x14ac:dyDescent="0.2">
      <c r="S539" s="571" t="s">
        <v>994</v>
      </c>
    </row>
    <row r="540" spans="2:37" ht="15" customHeight="1" x14ac:dyDescent="0.2">
      <c r="S540" s="571" t="s">
        <v>994</v>
      </c>
    </row>
    <row r="541" spans="2:37" ht="15" customHeight="1" x14ac:dyDescent="0.2">
      <c r="S541" s="646" t="s">
        <v>995</v>
      </c>
    </row>
    <row r="542" spans="2:37" ht="15" customHeight="1" x14ac:dyDescent="0.2">
      <c r="S542" s="571" t="s">
        <v>994</v>
      </c>
    </row>
    <row r="543" spans="2:37" ht="15" customHeight="1" x14ac:dyDescent="0.2">
      <c r="S543" s="571" t="s">
        <v>994</v>
      </c>
    </row>
    <row r="544" spans="2:37" ht="21.75" x14ac:dyDescent="0.2">
      <c r="S544" s="646" t="s">
        <v>995</v>
      </c>
    </row>
    <row r="545" spans="1:37" x14ac:dyDescent="0.2">
      <c r="S545" s="571" t="s">
        <v>994</v>
      </c>
    </row>
    <row r="546" spans="1:37" ht="30" x14ac:dyDescent="0.2">
      <c r="A546" s="1262" t="str">
        <f>Championnat</f>
        <v>Championnat de France de Tir à l'ARC</v>
      </c>
      <c r="B546" s="1262"/>
      <c r="C546" s="1262"/>
      <c r="D546" s="1262"/>
      <c r="E546" s="1262"/>
      <c r="F546" s="1262"/>
      <c r="G546" s="1262"/>
      <c r="H546" s="1262"/>
      <c r="I546" s="1262"/>
      <c r="J546" s="1262"/>
      <c r="K546" s="1262"/>
      <c r="L546" s="1262"/>
      <c r="M546" s="1262"/>
      <c r="N546" s="1262"/>
      <c r="O546" s="1262"/>
      <c r="P546" s="1262"/>
      <c r="Q546" s="1262"/>
      <c r="R546" s="1262"/>
      <c r="S546" s="571" t="s">
        <v>994</v>
      </c>
      <c r="T546" s="1262" t="str">
        <f>Championnat</f>
        <v>Championnat de France de Tir à l'ARC</v>
      </c>
      <c r="U546" s="1262"/>
      <c r="V546" s="1262"/>
      <c r="W546" s="1262"/>
      <c r="X546" s="1262"/>
      <c r="Y546" s="1262"/>
      <c r="Z546" s="1262"/>
      <c r="AA546" s="1262"/>
      <c r="AB546" s="1262"/>
      <c r="AC546" s="1262"/>
      <c r="AD546" s="1262"/>
      <c r="AE546" s="1262"/>
      <c r="AF546" s="1262"/>
      <c r="AG546" s="1262"/>
      <c r="AH546" s="1262"/>
      <c r="AI546" s="1262"/>
      <c r="AJ546" s="1262"/>
      <c r="AK546" s="1262"/>
    </row>
    <row r="547" spans="1:37" ht="24.75" customHeight="1" x14ac:dyDescent="0.2">
      <c r="A547" s="1184" t="str">
        <f>LIEU&amp;" du "&amp;DATE</f>
        <v>L’Isle sur la Sorgue du 27 au 31 mars 2023</v>
      </c>
      <c r="B547" s="1184"/>
      <c r="C547" s="1184"/>
      <c r="D547" s="1184"/>
      <c r="E547" s="1184"/>
      <c r="F547" s="1184"/>
      <c r="G547" s="1184"/>
      <c r="H547" s="1184"/>
      <c r="I547" s="1184"/>
      <c r="J547" s="1184"/>
      <c r="K547" s="1184"/>
      <c r="L547" s="1184"/>
      <c r="M547" s="1184"/>
      <c r="N547" s="1184"/>
      <c r="O547" s="1184"/>
      <c r="P547" s="1184"/>
      <c r="Q547" s="1184"/>
      <c r="R547" s="1184"/>
      <c r="S547" s="646" t="s">
        <v>995</v>
      </c>
      <c r="T547" s="1184" t="str">
        <f>LIEU&amp;" du "&amp;DATE</f>
        <v>L’Isle sur la Sorgue du 27 au 31 mars 2023</v>
      </c>
      <c r="U547" s="1184"/>
      <c r="V547" s="1184"/>
      <c r="W547" s="1184"/>
      <c r="X547" s="1184"/>
      <c r="Y547" s="1184"/>
      <c r="Z547" s="1184"/>
      <c r="AA547" s="1184"/>
      <c r="AB547" s="1184"/>
      <c r="AC547" s="1184"/>
      <c r="AD547" s="1184"/>
      <c r="AE547" s="1184"/>
      <c r="AF547" s="1184"/>
      <c r="AG547" s="1184"/>
      <c r="AH547" s="1184"/>
      <c r="AI547" s="1184"/>
      <c r="AJ547" s="1184"/>
      <c r="AK547" s="1184"/>
    </row>
    <row r="548" spans="1:37" s="218" customFormat="1" ht="40.5" customHeight="1" x14ac:dyDescent="0.2">
      <c r="A548" s="1268" t="str">
        <f>CATEG_IMPORTEE</f>
        <v>Collèges Mixtes Etablissement</v>
      </c>
      <c r="B548" s="1268"/>
      <c r="C548" s="1268"/>
      <c r="D548" s="1268"/>
      <c r="E548" s="1268"/>
      <c r="F548" s="1268"/>
      <c r="G548" s="1268"/>
      <c r="H548" s="1268"/>
      <c r="I548" s="1268"/>
      <c r="J548" s="1268"/>
      <c r="K548" s="1268"/>
      <c r="L548" s="1268"/>
      <c r="M548" s="1268"/>
      <c r="N548" s="1268"/>
      <c r="O548" s="1268"/>
      <c r="P548" s="1268"/>
      <c r="Q548" s="1268"/>
      <c r="R548" s="1268"/>
      <c r="S548" s="571" t="s">
        <v>994</v>
      </c>
      <c r="T548" s="1268" t="str">
        <f>CATEG_IMPORTEE</f>
        <v>Collèges Mixtes Etablissement</v>
      </c>
      <c r="U548" s="1268"/>
      <c r="V548" s="1268"/>
      <c r="W548" s="1268"/>
      <c r="X548" s="1268"/>
      <c r="Y548" s="1268"/>
      <c r="Z548" s="1268"/>
      <c r="AA548" s="1268"/>
      <c r="AB548" s="1268"/>
      <c r="AC548" s="1268"/>
      <c r="AD548" s="1268"/>
      <c r="AE548" s="1268"/>
      <c r="AF548" s="1268"/>
      <c r="AG548" s="1268"/>
      <c r="AH548" s="1268"/>
      <c r="AI548" s="1268"/>
      <c r="AJ548" s="1268"/>
      <c r="AK548" s="1268"/>
    </row>
    <row r="549" spans="1:37" s="218" customFormat="1" ht="19.5" customHeight="1" x14ac:dyDescent="0.2">
      <c r="A549" s="625"/>
      <c r="B549" s="625"/>
      <c r="C549" s="625"/>
      <c r="D549" s="625"/>
      <c r="E549" s="625"/>
      <c r="F549" s="625"/>
      <c r="G549" s="625"/>
      <c r="H549" s="625"/>
      <c r="I549" s="625"/>
      <c r="J549" s="625"/>
      <c r="K549" s="625"/>
      <c r="L549" s="625"/>
      <c r="M549" s="625"/>
      <c r="N549" s="625"/>
      <c r="O549" s="625"/>
      <c r="P549" s="625"/>
      <c r="Q549" s="625"/>
      <c r="R549" s="625"/>
      <c r="S549" s="571" t="s">
        <v>994</v>
      </c>
      <c r="T549" s="625"/>
      <c r="U549" s="625"/>
      <c r="V549" s="625"/>
      <c r="W549" s="625"/>
      <c r="X549" s="625"/>
      <c r="Y549" s="625"/>
      <c r="Z549" s="625"/>
      <c r="AA549" s="625"/>
      <c r="AB549" s="625"/>
      <c r="AC549" s="625"/>
      <c r="AD549" s="625"/>
      <c r="AE549" s="625"/>
      <c r="AF549" s="625"/>
      <c r="AG549" s="625"/>
      <c r="AH549" s="625"/>
      <c r="AI549" s="625"/>
      <c r="AJ549" s="625"/>
      <c r="AK549" s="625"/>
    </row>
    <row r="550" spans="1:37" ht="47.25" customHeight="1" x14ac:dyDescent="0.2">
      <c r="A550" s="620"/>
      <c r="B550" s="620"/>
      <c r="C550" s="620"/>
      <c r="D550" s="620"/>
      <c r="E550" s="620"/>
      <c r="F550" s="620"/>
      <c r="G550" s="620"/>
      <c r="H550" s="620"/>
      <c r="I550" s="620"/>
      <c r="J550" s="620"/>
      <c r="K550" s="620"/>
      <c r="L550" s="620"/>
      <c r="M550" s="620"/>
      <c r="N550" s="1072" t="s">
        <v>628</v>
      </c>
      <c r="O550" s="1073"/>
      <c r="P550" s="1271">
        <f>P518+1</f>
        <v>18</v>
      </c>
      <c r="Q550" s="1271"/>
      <c r="R550" s="1271"/>
      <c r="S550" s="646" t="s">
        <v>995</v>
      </c>
      <c r="T550" s="620"/>
      <c r="U550" s="620"/>
      <c r="V550" s="620"/>
      <c r="W550" s="620"/>
      <c r="X550" s="620"/>
      <c r="Y550" s="620"/>
      <c r="Z550" s="620"/>
      <c r="AA550" s="620"/>
      <c r="AB550" s="620"/>
      <c r="AC550" s="620"/>
      <c r="AD550" s="620"/>
      <c r="AE550" s="620"/>
      <c r="AF550" s="620"/>
      <c r="AG550" s="1072" t="s">
        <v>628</v>
      </c>
      <c r="AH550" s="1073"/>
      <c r="AI550" s="1271">
        <f>AI518+1</f>
        <v>18</v>
      </c>
      <c r="AJ550" s="1271"/>
      <c r="AK550" s="1271"/>
    </row>
    <row r="551" spans="1:37" ht="36.75" customHeight="1" x14ac:dyDescent="0.2">
      <c r="A551" s="1272" t="e">
        <f>VLOOKUP(J558,ID_archer_cible,2,FALSE)</f>
        <v>#N/A</v>
      </c>
      <c r="B551" s="1272"/>
      <c r="C551" s="1272"/>
      <c r="D551" s="1272"/>
      <c r="E551" s="1272"/>
      <c r="F551" s="1272"/>
      <c r="G551" s="1272"/>
      <c r="H551" s="1272"/>
      <c r="I551" s="1272"/>
      <c r="J551" s="1272"/>
      <c r="K551" s="1272"/>
      <c r="L551" s="1272"/>
      <c r="M551" s="1272"/>
      <c r="N551" s="1272"/>
      <c r="O551" s="1272"/>
      <c r="P551" s="1272"/>
      <c r="Q551" s="1272"/>
      <c r="R551" s="1272"/>
      <c r="S551" s="571" t="s">
        <v>994</v>
      </c>
      <c r="T551" s="1272" t="e">
        <f>VLOOKUP(AC558,ID_archer_cible,2,FALSE)</f>
        <v>#N/A</v>
      </c>
      <c r="U551" s="1272"/>
      <c r="V551" s="1272"/>
      <c r="W551" s="1272"/>
      <c r="X551" s="1272"/>
      <c r="Y551" s="1272"/>
      <c r="Z551" s="1272"/>
      <c r="AA551" s="1272"/>
      <c r="AB551" s="1272"/>
      <c r="AC551" s="1272"/>
      <c r="AD551" s="1272"/>
      <c r="AE551" s="1272"/>
      <c r="AF551" s="1272"/>
      <c r="AG551" s="1272"/>
      <c r="AH551" s="1272"/>
      <c r="AI551" s="1272"/>
      <c r="AJ551" s="1272"/>
      <c r="AK551" s="1272"/>
    </row>
    <row r="552" spans="1:37" ht="21.75" customHeight="1" x14ac:dyDescent="0.2">
      <c r="I552" s="621"/>
      <c r="J552" s="621"/>
      <c r="K552" s="621"/>
      <c r="L552" s="621"/>
      <c r="M552" s="621"/>
      <c r="N552" s="621"/>
      <c r="P552" s="619"/>
      <c r="Q552" s="619"/>
      <c r="R552" s="619"/>
      <c r="S552" s="571" t="s">
        <v>994</v>
      </c>
      <c r="AB552" s="621"/>
      <c r="AC552" s="621"/>
      <c r="AD552" s="621"/>
      <c r="AE552" s="621"/>
      <c r="AF552" s="621"/>
      <c r="AG552" s="621"/>
      <c r="AI552" s="619"/>
      <c r="AJ552" s="619"/>
      <c r="AK552" s="619"/>
    </row>
    <row r="553" spans="1:37" ht="17.25" customHeight="1" x14ac:dyDescent="0.2">
      <c r="A553" s="1125"/>
      <c r="B553" s="1125"/>
      <c r="C553" s="1125"/>
      <c r="D553" s="1125"/>
      <c r="E553" s="1125"/>
      <c r="F553" s="1125"/>
      <c r="G553" s="1125"/>
      <c r="H553" s="1125"/>
      <c r="I553" s="1125"/>
      <c r="J553" s="1125"/>
      <c r="K553" s="1125"/>
      <c r="L553" s="1125" t="s">
        <v>374</v>
      </c>
      <c r="M553" s="1125"/>
      <c r="N553" s="1125"/>
      <c r="O553" s="1125"/>
      <c r="P553" s="1125"/>
      <c r="Q553" s="1125"/>
      <c r="R553" s="1125"/>
      <c r="S553" s="646" t="s">
        <v>995</v>
      </c>
      <c r="T553" s="1125"/>
      <c r="U553" s="1125"/>
      <c r="V553" s="1125"/>
      <c r="W553" s="1125"/>
      <c r="X553" s="1125"/>
      <c r="Y553" s="1125"/>
      <c r="Z553" s="1125"/>
      <c r="AA553" s="1125"/>
      <c r="AB553" s="1125"/>
      <c r="AC553" s="1125"/>
      <c r="AD553" s="1125"/>
      <c r="AE553" s="1125" t="s">
        <v>374</v>
      </c>
      <c r="AF553" s="1125"/>
      <c r="AG553" s="1125"/>
      <c r="AH553" s="1125"/>
      <c r="AI553" s="1125"/>
      <c r="AJ553" s="1125"/>
      <c r="AK553" s="1125"/>
    </row>
    <row r="554" spans="1:37" ht="32.25" customHeight="1" x14ac:dyDescent="0.2">
      <c r="A554" s="1269" t="e">
        <f>VLOOKUP(J558,ID_archer_cible,3,FALSE)</f>
        <v>#N/A</v>
      </c>
      <c r="B554" s="1269"/>
      <c r="C554" s="1269"/>
      <c r="D554" s="1269"/>
      <c r="E554" s="1269"/>
      <c r="F554" s="1269"/>
      <c r="G554" s="1269"/>
      <c r="H554" s="1269"/>
      <c r="I554" s="1269"/>
      <c r="J554" s="1269"/>
      <c r="K554" s="1269"/>
      <c r="L554" s="1270" t="e">
        <f>VLOOKUP(J558,ID_archer_cible,4,FALSE)</f>
        <v>#N/A</v>
      </c>
      <c r="M554" s="1270"/>
      <c r="N554" s="1270"/>
      <c r="O554" s="1270"/>
      <c r="P554" s="1270"/>
      <c r="Q554" s="1270"/>
      <c r="R554" s="1270"/>
      <c r="S554" s="571" t="s">
        <v>994</v>
      </c>
      <c r="T554" s="1269" t="e">
        <f>VLOOKUP(AC558,ID_archer_cible,3,FALSE)</f>
        <v>#N/A</v>
      </c>
      <c r="U554" s="1269"/>
      <c r="V554" s="1269"/>
      <c r="W554" s="1269"/>
      <c r="X554" s="1269"/>
      <c r="Y554" s="1269"/>
      <c r="Z554" s="1269"/>
      <c r="AA554" s="1269"/>
      <c r="AB554" s="1269"/>
      <c r="AC554" s="1269"/>
      <c r="AD554" s="1269"/>
      <c r="AE554" s="1270" t="e">
        <f>VLOOKUP(AC558,ID_archer_cible,4,FALSE)</f>
        <v>#N/A</v>
      </c>
      <c r="AF554" s="1270"/>
      <c r="AG554" s="1270"/>
      <c r="AH554" s="1270"/>
      <c r="AI554" s="1270"/>
      <c r="AJ554" s="1270"/>
      <c r="AK554" s="1270"/>
    </row>
    <row r="555" spans="1:37" ht="17.25" customHeight="1" x14ac:dyDescent="0.2">
      <c r="E555" s="584"/>
      <c r="F555" s="584"/>
      <c r="G555" s="584"/>
      <c r="H555" s="584"/>
      <c r="I555" s="618"/>
      <c r="J555" s="618"/>
      <c r="K555" s="618"/>
      <c r="L555" s="618"/>
      <c r="M555" s="618"/>
      <c r="N555" s="618"/>
      <c r="P555" s="1266" t="str">
        <f>IFERROR(IF(AND(R558="oui",R559="oui",R560="oui",R561="oui"),"PRO",""),"")</f>
        <v/>
      </c>
      <c r="Q555" s="1266"/>
      <c r="R555" s="1266"/>
      <c r="S555" s="571" t="s">
        <v>994</v>
      </c>
      <c r="X555" s="584"/>
      <c r="Y555" s="584"/>
      <c r="Z555" s="584"/>
      <c r="AA555" s="584"/>
      <c r="AB555" s="618"/>
      <c r="AC555" s="618"/>
      <c r="AD555" s="618"/>
      <c r="AE555" s="618"/>
      <c r="AF555" s="618"/>
      <c r="AG555" s="618"/>
      <c r="AI555" s="1266" t="str">
        <f>IFERROR(IF(AND(AK558="oui",AK559="oui",AK560="oui",AK561="oui"),"PRO",""),"")</f>
        <v/>
      </c>
      <c r="AJ555" s="1266"/>
      <c r="AK555" s="1266"/>
    </row>
    <row r="556" spans="1:37" ht="20.25" customHeight="1" x14ac:dyDescent="0.2">
      <c r="P556" s="1267"/>
      <c r="Q556" s="1267"/>
      <c r="R556" s="1267"/>
      <c r="S556" s="646" t="s">
        <v>995</v>
      </c>
      <c r="AI556" s="1267"/>
      <c r="AJ556" s="1267"/>
      <c r="AK556" s="1267"/>
    </row>
    <row r="557" spans="1:37" ht="25.5" customHeight="1" x14ac:dyDescent="0.2">
      <c r="B557" s="1273" t="s">
        <v>906</v>
      </c>
      <c r="C557" s="1273"/>
      <c r="D557" s="1273"/>
      <c r="E557" s="1273"/>
      <c r="F557" s="1273"/>
      <c r="G557" s="1273"/>
      <c r="H557" s="1273"/>
      <c r="I557" s="1273"/>
      <c r="J557" s="622" t="s">
        <v>552</v>
      </c>
      <c r="K557" s="623" t="s">
        <v>893</v>
      </c>
      <c r="L557" s="1275" t="s">
        <v>550</v>
      </c>
      <c r="M557" s="1276"/>
      <c r="N557" s="1274" t="s">
        <v>905</v>
      </c>
      <c r="O557" s="1274"/>
      <c r="P557" s="1254" t="s">
        <v>551</v>
      </c>
      <c r="Q557" s="1254"/>
      <c r="R557" s="752" t="s">
        <v>1027</v>
      </c>
      <c r="S557" s="571" t="s">
        <v>994</v>
      </c>
      <c r="U557" s="1273" t="s">
        <v>906</v>
      </c>
      <c r="V557" s="1273"/>
      <c r="W557" s="1273"/>
      <c r="X557" s="1273"/>
      <c r="Y557" s="1273"/>
      <c r="Z557" s="1273"/>
      <c r="AA557" s="1273"/>
      <c r="AB557" s="1273"/>
      <c r="AC557" s="622" t="s">
        <v>552</v>
      </c>
      <c r="AD557" s="623" t="s">
        <v>893</v>
      </c>
      <c r="AE557" s="1275" t="s">
        <v>550</v>
      </c>
      <c r="AF557" s="1276"/>
      <c r="AG557" s="1274" t="s">
        <v>905</v>
      </c>
      <c r="AH557" s="1274"/>
      <c r="AI557" s="1254" t="s">
        <v>551</v>
      </c>
      <c r="AJ557" s="1254"/>
      <c r="AK557" s="752" t="s">
        <v>1027</v>
      </c>
    </row>
    <row r="558" spans="1:37" ht="45" customHeight="1" x14ac:dyDescent="0.2">
      <c r="B558" s="1255" t="e">
        <f>VLOOKUP(J558,ID_archer_cible,5,FALSE)&amp;"    "&amp;VLOOKUP(J558,ID_archer_cible,6,FALSE)</f>
        <v>#N/A</v>
      </c>
      <c r="C558" s="1255"/>
      <c r="D558" s="1255"/>
      <c r="E558" s="1255"/>
      <c r="F558" s="1255"/>
      <c r="G558" s="1255"/>
      <c r="H558" s="1255"/>
      <c r="I558" s="1255"/>
      <c r="J558" s="624" t="str">
        <f>P550&amp;"A"</f>
        <v>18A</v>
      </c>
      <c r="K558" s="574" t="e">
        <f>VLOOKUP(J558,ID_archer_cible,9,FALSE)</f>
        <v>#N/A</v>
      </c>
      <c r="L558" s="1256" t="e">
        <f>VLOOKUP(J558,ID_archer_cible,8,FALSE)</f>
        <v>#N/A</v>
      </c>
      <c r="M558" s="1257"/>
      <c r="N558" s="1260" t="e">
        <f>VLOOKUP(J558,ID_archer_cible,7,FALSE)</f>
        <v>#N/A</v>
      </c>
      <c r="O558" s="1261"/>
      <c r="P558" s="828" t="e">
        <f>VLOOKUP(J558,ID_archer_cible,10,FALSE)</f>
        <v>#N/A</v>
      </c>
      <c r="Q558" s="829" t="e">
        <f>IF(VLOOKUP(L558,N°LicPRO,3,FALSE)="oui","COACH","")</f>
        <v>#N/A</v>
      </c>
      <c r="R558" s="742" t="str">
        <f>IFERROR(VLOOKUP(L558,N°LicPRO,2,FALSE),"")</f>
        <v/>
      </c>
      <c r="S558" s="571" t="s">
        <v>994</v>
      </c>
      <c r="U558" s="1255" t="e">
        <f>VLOOKUP(AC558,ID_archer_cible,5,FALSE)&amp;"    "&amp;VLOOKUP(AC558,ID_archer_cible,6,FALSE)</f>
        <v>#N/A</v>
      </c>
      <c r="V558" s="1255"/>
      <c r="W558" s="1255"/>
      <c r="X558" s="1255"/>
      <c r="Y558" s="1255"/>
      <c r="Z558" s="1255"/>
      <c r="AA558" s="1255"/>
      <c r="AB558" s="1255"/>
      <c r="AC558" s="624" t="str">
        <f>AI550&amp;"A"</f>
        <v>18A</v>
      </c>
      <c r="AD558" s="574" t="e">
        <f>VLOOKUP(AC558,ID_archer_cible,9,FALSE)</f>
        <v>#N/A</v>
      </c>
      <c r="AE558" s="1256" t="e">
        <f>VLOOKUP(AC558,ID_archer_cible,8,FALSE)</f>
        <v>#N/A</v>
      </c>
      <c r="AF558" s="1257"/>
      <c r="AG558" s="1260" t="e">
        <f>VLOOKUP(AC558,ID_archer_cible,7,FALSE)</f>
        <v>#N/A</v>
      </c>
      <c r="AH558" s="1261"/>
      <c r="AI558" s="828" t="e">
        <f>VLOOKUP(AC558,ID_archer_cible,10,FALSE)</f>
        <v>#N/A</v>
      </c>
      <c r="AJ558" s="829" t="e">
        <f>IF(VLOOKUP(AE558,N°LicPRO,3,FALSE)="oui","COACH","")</f>
        <v>#N/A</v>
      </c>
      <c r="AK558" s="742" t="str">
        <f>IFERROR(VLOOKUP(AE558,N°LicPRO,2,FALSE),"")</f>
        <v/>
      </c>
    </row>
    <row r="559" spans="1:37" ht="45" customHeight="1" x14ac:dyDescent="0.2">
      <c r="B559" s="1255" t="e">
        <f>VLOOKUP(J559,ID_archer_cible,5,FALSE)&amp;"    "&amp;VLOOKUP(J559,ID_archer_cible,6,FALSE)</f>
        <v>#N/A</v>
      </c>
      <c r="C559" s="1255"/>
      <c r="D559" s="1255"/>
      <c r="E559" s="1255"/>
      <c r="F559" s="1255"/>
      <c r="G559" s="1255"/>
      <c r="H559" s="1255"/>
      <c r="I559" s="1255"/>
      <c r="J559" s="624" t="str">
        <f>P550&amp;"B"</f>
        <v>18B</v>
      </c>
      <c r="K559" s="574" t="e">
        <f>VLOOKUP(J559,ID_archer_cible,9,FALSE)</f>
        <v>#N/A</v>
      </c>
      <c r="L559" s="1256" t="e">
        <f>VLOOKUP(J559,ID_archer_cible,8,FALSE)</f>
        <v>#N/A</v>
      </c>
      <c r="M559" s="1257"/>
      <c r="N559" s="1260" t="e">
        <f>VLOOKUP(J559,ID_archer_cible,7,FALSE)</f>
        <v>#N/A</v>
      </c>
      <c r="O559" s="1261"/>
      <c r="P559" s="828" t="e">
        <f>VLOOKUP(J559,ID_archer_cible,10,FALSE)</f>
        <v>#N/A</v>
      </c>
      <c r="Q559" s="829" t="e">
        <f>IF(VLOOKUP(L559,N°LicPRO,3,FALSE)="oui","COACH","")</f>
        <v>#N/A</v>
      </c>
      <c r="R559" s="742" t="str">
        <f>IFERROR(VLOOKUP(L559,N°LicPRO,2,FALSE),"")</f>
        <v/>
      </c>
      <c r="S559" s="646" t="s">
        <v>995</v>
      </c>
      <c r="U559" s="1255" t="e">
        <f>VLOOKUP(AC559,ID_archer_cible,5,FALSE)&amp;"    "&amp;VLOOKUP(AC559,ID_archer_cible,6,FALSE)</f>
        <v>#N/A</v>
      </c>
      <c r="V559" s="1255"/>
      <c r="W559" s="1255"/>
      <c r="X559" s="1255"/>
      <c r="Y559" s="1255"/>
      <c r="Z559" s="1255"/>
      <c r="AA559" s="1255"/>
      <c r="AB559" s="1255"/>
      <c r="AC559" s="624" t="str">
        <f>AI550&amp;"B"</f>
        <v>18B</v>
      </c>
      <c r="AD559" s="574" t="e">
        <f>VLOOKUP(AC559,ID_archer_cible,9,FALSE)</f>
        <v>#N/A</v>
      </c>
      <c r="AE559" s="1256" t="e">
        <f>VLOOKUP(AC559,ID_archer_cible,8,FALSE)</f>
        <v>#N/A</v>
      </c>
      <c r="AF559" s="1257"/>
      <c r="AG559" s="1260" t="e">
        <f>VLOOKUP(AC559,ID_archer_cible,7,FALSE)</f>
        <v>#N/A</v>
      </c>
      <c r="AH559" s="1261"/>
      <c r="AI559" s="828" t="e">
        <f>VLOOKUP(AC559,ID_archer_cible,10,FALSE)</f>
        <v>#N/A</v>
      </c>
      <c r="AJ559" s="829" t="e">
        <f>IF(VLOOKUP(AE559,N°LicPRO,3,FALSE)="oui","COACH","")</f>
        <v>#N/A</v>
      </c>
      <c r="AK559" s="742" t="str">
        <f>IFERROR(VLOOKUP(AE559,N°LicPRO,2,FALSE),"")</f>
        <v/>
      </c>
    </row>
    <row r="560" spans="1:37" ht="45" customHeight="1" x14ac:dyDescent="0.2">
      <c r="B560" s="1255" t="e">
        <f>VLOOKUP(J560,ID_archer_cible,5,FALSE)&amp;"    "&amp;VLOOKUP(J560,ID_archer_cible,6,FALSE)</f>
        <v>#N/A</v>
      </c>
      <c r="C560" s="1255"/>
      <c r="D560" s="1255"/>
      <c r="E560" s="1255"/>
      <c r="F560" s="1255"/>
      <c r="G560" s="1255"/>
      <c r="H560" s="1255"/>
      <c r="I560" s="1255"/>
      <c r="J560" s="624" t="str">
        <f>P550&amp;"C"</f>
        <v>18C</v>
      </c>
      <c r="K560" s="574" t="e">
        <f>VLOOKUP(J560,ID_archer_cible,9,FALSE)</f>
        <v>#N/A</v>
      </c>
      <c r="L560" s="1256" t="e">
        <f>VLOOKUP(J560,ID_archer_cible,8,FALSE)</f>
        <v>#N/A</v>
      </c>
      <c r="M560" s="1257"/>
      <c r="N560" s="1260" t="e">
        <f>VLOOKUP(J560,ID_archer_cible,7,FALSE)</f>
        <v>#N/A</v>
      </c>
      <c r="O560" s="1261"/>
      <c r="P560" s="828" t="e">
        <f>VLOOKUP(J560,ID_archer_cible,10,FALSE)</f>
        <v>#N/A</v>
      </c>
      <c r="Q560" s="829" t="e">
        <f>IF(VLOOKUP(L560,N°LicPRO,3,FALSE)="oui","COACH","")</f>
        <v>#N/A</v>
      </c>
      <c r="R560" s="742" t="str">
        <f>IFERROR(VLOOKUP(L560,N°LicPRO,2,FALSE),"")</f>
        <v/>
      </c>
      <c r="S560" s="571" t="s">
        <v>994</v>
      </c>
      <c r="U560" s="1255" t="e">
        <f>VLOOKUP(AC560,ID_archer_cible,5,FALSE)&amp;"    "&amp;VLOOKUP(AC560,ID_archer_cible,6,FALSE)</f>
        <v>#N/A</v>
      </c>
      <c r="V560" s="1255"/>
      <c r="W560" s="1255"/>
      <c r="X560" s="1255"/>
      <c r="Y560" s="1255"/>
      <c r="Z560" s="1255"/>
      <c r="AA560" s="1255"/>
      <c r="AB560" s="1255"/>
      <c r="AC560" s="624" t="str">
        <f>AI550&amp;"C"</f>
        <v>18C</v>
      </c>
      <c r="AD560" s="574" t="e">
        <f>VLOOKUP(AC560,ID_archer_cible,9,FALSE)</f>
        <v>#N/A</v>
      </c>
      <c r="AE560" s="1256" t="e">
        <f>VLOOKUP(AC560,ID_archer_cible,8,FALSE)</f>
        <v>#N/A</v>
      </c>
      <c r="AF560" s="1257"/>
      <c r="AG560" s="1260" t="e">
        <f>VLOOKUP(AC560,ID_archer_cible,7,FALSE)</f>
        <v>#N/A</v>
      </c>
      <c r="AH560" s="1261"/>
      <c r="AI560" s="828" t="e">
        <f>VLOOKUP(AC560,ID_archer_cible,10,FALSE)</f>
        <v>#N/A</v>
      </c>
      <c r="AJ560" s="829" t="e">
        <f>IF(VLOOKUP(AE560,N°LicPRO,3,FALSE)="oui","COACH","")</f>
        <v>#N/A</v>
      </c>
      <c r="AK560" s="742" t="str">
        <f>IFERROR(VLOOKUP(AE560,N°LicPRO,2,FALSE),"")</f>
        <v/>
      </c>
    </row>
    <row r="561" spans="2:37" ht="45" customHeight="1" x14ac:dyDescent="0.2">
      <c r="B561" s="1255" t="e">
        <f>VLOOKUP(J561,ID_archer_cible,5,FALSE)&amp;"    "&amp;VLOOKUP(J561,ID_archer_cible,6,FALSE)</f>
        <v>#N/A</v>
      </c>
      <c r="C561" s="1255"/>
      <c r="D561" s="1255"/>
      <c r="E561" s="1255"/>
      <c r="F561" s="1255"/>
      <c r="G561" s="1255"/>
      <c r="H561" s="1255"/>
      <c r="I561" s="1255"/>
      <c r="J561" s="624" t="str">
        <f>P550&amp;"D"</f>
        <v>18D</v>
      </c>
      <c r="K561" s="574" t="e">
        <f>VLOOKUP(J561,ID_archer_cible,9,FALSE)</f>
        <v>#N/A</v>
      </c>
      <c r="L561" s="1256" t="e">
        <f>VLOOKUP(J561,ID_archer_cible,8,FALSE)</f>
        <v>#N/A</v>
      </c>
      <c r="M561" s="1257"/>
      <c r="N561" s="1260" t="e">
        <f>VLOOKUP(J561,ID_archer_cible,7,FALSE)</f>
        <v>#N/A</v>
      </c>
      <c r="O561" s="1261"/>
      <c r="P561" s="828" t="e">
        <f>VLOOKUP(J561,ID_archer_cible,10,FALSE)</f>
        <v>#N/A</v>
      </c>
      <c r="Q561" s="829" t="e">
        <f>IF(VLOOKUP(L561,N°LicPRO,3,FALSE)="oui","COACH","")</f>
        <v>#N/A</v>
      </c>
      <c r="R561" s="742" t="str">
        <f>IFERROR(VLOOKUP(L561,N°LicPRO,2,FALSE),"")</f>
        <v/>
      </c>
      <c r="S561" s="571" t="s">
        <v>994</v>
      </c>
      <c r="U561" s="1255" t="e">
        <f>VLOOKUP(AC561,ID_archer_cible,5,FALSE)&amp;"    "&amp;VLOOKUP(AC561,ID_archer_cible,6,FALSE)</f>
        <v>#N/A</v>
      </c>
      <c r="V561" s="1255"/>
      <c r="W561" s="1255"/>
      <c r="X561" s="1255"/>
      <c r="Y561" s="1255"/>
      <c r="Z561" s="1255"/>
      <c r="AA561" s="1255"/>
      <c r="AB561" s="1255"/>
      <c r="AC561" s="624" t="str">
        <f>AI550&amp;"D"</f>
        <v>18D</v>
      </c>
      <c r="AD561" s="574" t="e">
        <f>VLOOKUP(AC561,ID_archer_cible,9,FALSE)</f>
        <v>#N/A</v>
      </c>
      <c r="AE561" s="1256" t="e">
        <f>VLOOKUP(AC561,ID_archer_cible,8,FALSE)</f>
        <v>#N/A</v>
      </c>
      <c r="AF561" s="1257"/>
      <c r="AG561" s="1260" t="e">
        <f>VLOOKUP(AC561,ID_archer_cible,7,FALSE)</f>
        <v>#N/A</v>
      </c>
      <c r="AH561" s="1261"/>
      <c r="AI561" s="828" t="e">
        <f>VLOOKUP(AC561,ID_archer_cible,10,FALSE)</f>
        <v>#N/A</v>
      </c>
      <c r="AJ561" s="829" t="e">
        <f>IF(VLOOKUP(AE561,N°LicPRO,3,FALSE)="oui","COACH","")</f>
        <v>#N/A</v>
      </c>
      <c r="AK561" s="742" t="str">
        <f>IFERROR(VLOOKUP(AE561,N°LicPRO,2,FALSE),"")</f>
        <v/>
      </c>
    </row>
    <row r="562" spans="2:37" ht="15" customHeight="1" x14ac:dyDescent="0.2">
      <c r="S562" s="646" t="s">
        <v>995</v>
      </c>
    </row>
    <row r="563" spans="2:37" ht="15" customHeight="1" x14ac:dyDescent="0.2">
      <c r="B563" s="508" t="s">
        <v>975</v>
      </c>
      <c r="S563" s="571" t="s">
        <v>994</v>
      </c>
      <c r="U563" s="508" t="s">
        <v>975</v>
      </c>
    </row>
    <row r="564" spans="2:37" ht="15" customHeight="1" x14ac:dyDescent="0.2">
      <c r="B564" s="1259" t="s">
        <v>974</v>
      </c>
      <c r="C564" s="1259"/>
      <c r="D564" s="1259"/>
      <c r="E564" s="1259"/>
      <c r="F564" s="1199" t="str">
        <f>Info_TirQ</f>
        <v>J2 8:30-9:00 Ent. 9:00-10:30 Tirs Qual.</v>
      </c>
      <c r="G564" s="1199"/>
      <c r="H564" s="1199"/>
      <c r="I564" s="1199"/>
      <c r="J564" s="1199"/>
      <c r="K564" s="1258" t="s">
        <v>978</v>
      </c>
      <c r="L564" s="1258"/>
      <c r="M564" s="1258"/>
      <c r="N564" s="1258"/>
      <c r="O564" s="1258"/>
      <c r="S564" s="571" t="s">
        <v>994</v>
      </c>
      <c r="U564" s="1259" t="s">
        <v>974</v>
      </c>
      <c r="V564" s="1259"/>
      <c r="W564" s="1259"/>
      <c r="X564" s="1259"/>
      <c r="Y564" s="1199" t="str">
        <f>Info_TirQ</f>
        <v>J2 8:30-9:00 Ent. 9:00-10:30 Tirs Qual.</v>
      </c>
      <c r="Z564" s="1199"/>
      <c r="AA564" s="1199"/>
      <c r="AB564" s="1199"/>
      <c r="AC564" s="1199"/>
      <c r="AD564" s="1258" t="s">
        <v>978</v>
      </c>
      <c r="AE564" s="1258"/>
      <c r="AF564" s="1258"/>
      <c r="AG564" s="1258"/>
      <c r="AH564" s="1258"/>
    </row>
    <row r="565" spans="2:37" ht="15" customHeight="1" x14ac:dyDescent="0.2">
      <c r="B565" s="1259" t="s">
        <v>484</v>
      </c>
      <c r="C565" s="1259"/>
      <c r="D565" s="1259"/>
      <c r="E565" s="1259"/>
      <c r="F565" s="1199" t="str">
        <f>Info_D1</f>
        <v>J2 13:30-14:20  1er DUEL</v>
      </c>
      <c r="G565" s="1199"/>
      <c r="H565" s="1199"/>
      <c r="I565" s="1199"/>
      <c r="J565" s="1199"/>
      <c r="K565" s="1258"/>
      <c r="L565" s="1258"/>
      <c r="M565" s="1258"/>
      <c r="N565" s="1258"/>
      <c r="O565" s="1258"/>
      <c r="S565" s="646" t="s">
        <v>995</v>
      </c>
      <c r="U565" s="1259" t="s">
        <v>484</v>
      </c>
      <c r="V565" s="1259"/>
      <c r="W565" s="1259"/>
      <c r="X565" s="1259"/>
      <c r="Y565" s="1199" t="str">
        <f>Info_D1</f>
        <v>J2 13:30-14:20  1er DUEL</v>
      </c>
      <c r="Z565" s="1199"/>
      <c r="AA565" s="1199"/>
      <c r="AB565" s="1199"/>
      <c r="AC565" s="1199"/>
      <c r="AD565" s="1258"/>
      <c r="AE565" s="1258"/>
      <c r="AF565" s="1258"/>
      <c r="AG565" s="1258"/>
      <c r="AH565" s="1258"/>
    </row>
    <row r="566" spans="2:37" ht="15" customHeight="1" x14ac:dyDescent="0.2">
      <c r="B566" s="1259" t="s">
        <v>972</v>
      </c>
      <c r="C566" s="1259"/>
      <c r="D566" s="1259"/>
      <c r="E566" s="1259"/>
      <c r="F566" s="1199" t="str">
        <f>Info_D2</f>
        <v>J2 14:30-15:20 2ème DUEL</v>
      </c>
      <c r="G566" s="1199"/>
      <c r="H566" s="1199"/>
      <c r="I566" s="1199"/>
      <c r="J566" s="1199"/>
      <c r="K566" s="1258"/>
      <c r="L566" s="1258"/>
      <c r="M566" s="1258"/>
      <c r="N566" s="1258"/>
      <c r="O566" s="1258"/>
      <c r="S566" s="571" t="s">
        <v>994</v>
      </c>
      <c r="U566" s="1259" t="s">
        <v>972</v>
      </c>
      <c r="V566" s="1259"/>
      <c r="W566" s="1259"/>
      <c r="X566" s="1259"/>
      <c r="Y566" s="1199" t="str">
        <f>Info_D2</f>
        <v>J2 14:30-15:20 2ème DUEL</v>
      </c>
      <c r="Z566" s="1199"/>
      <c r="AA566" s="1199"/>
      <c r="AB566" s="1199"/>
      <c r="AC566" s="1199"/>
      <c r="AD566" s="1258"/>
      <c r="AE566" s="1258"/>
      <c r="AF566" s="1258"/>
      <c r="AG566" s="1258"/>
      <c r="AH566" s="1258"/>
    </row>
    <row r="567" spans="2:37" ht="15" customHeight="1" x14ac:dyDescent="0.2">
      <c r="B567" s="1259" t="s">
        <v>973</v>
      </c>
      <c r="C567" s="1259"/>
      <c r="D567" s="1259"/>
      <c r="E567" s="1259"/>
      <c r="F567" s="1199" t="str">
        <f>Info_D3</f>
        <v>J3 10-10:50 Match pl. 5 à +  ETAB - EX</v>
      </c>
      <c r="G567" s="1199"/>
      <c r="H567" s="1199"/>
      <c r="I567" s="1199"/>
      <c r="J567" s="1199"/>
      <c r="K567" s="1258"/>
      <c r="L567" s="1258"/>
      <c r="M567" s="1258"/>
      <c r="N567" s="1258"/>
      <c r="O567" s="1258"/>
      <c r="S567" s="571" t="s">
        <v>994</v>
      </c>
      <c r="U567" s="1259" t="s">
        <v>973</v>
      </c>
      <c r="V567" s="1259"/>
      <c r="W567" s="1259"/>
      <c r="X567" s="1259"/>
      <c r="Y567" s="1199" t="str">
        <f>Info_D3</f>
        <v>J3 10-10:50 Match pl. 5 à +  ETAB - EX</v>
      </c>
      <c r="Z567" s="1199"/>
      <c r="AA567" s="1199"/>
      <c r="AB567" s="1199"/>
      <c r="AC567" s="1199"/>
      <c r="AD567" s="1258"/>
      <c r="AE567" s="1258"/>
      <c r="AF567" s="1258"/>
      <c r="AG567" s="1258"/>
      <c r="AH567" s="1258"/>
    </row>
    <row r="568" spans="2:37" ht="24.75" customHeight="1" x14ac:dyDescent="0.2">
      <c r="B568" s="626" t="s">
        <v>976</v>
      </c>
      <c r="S568" s="646" t="s">
        <v>995</v>
      </c>
      <c r="U568" s="626" t="s">
        <v>976</v>
      </c>
    </row>
    <row r="569" spans="2:37" ht="134.25" customHeight="1" x14ac:dyDescent="0.2">
      <c r="B569"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C569" s="1264"/>
      <c r="D569" s="1264"/>
      <c r="E569" s="1264"/>
      <c r="F569" s="1264"/>
      <c r="G569" s="1264"/>
      <c r="H569" s="1264"/>
      <c r="I569" s="1264"/>
      <c r="J569" s="1264"/>
      <c r="K569" s="1264"/>
      <c r="L569" s="1264"/>
      <c r="M569" s="1264"/>
      <c r="N569" s="1264"/>
      <c r="O569" s="1264"/>
      <c r="P569" s="1265"/>
      <c r="S569" s="571" t="s">
        <v>994</v>
      </c>
      <c r="U569"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V569" s="1264"/>
      <c r="W569" s="1264"/>
      <c r="X569" s="1264"/>
      <c r="Y569" s="1264"/>
      <c r="Z569" s="1264"/>
      <c r="AA569" s="1264"/>
      <c r="AB569" s="1264"/>
      <c r="AC569" s="1264"/>
      <c r="AD569" s="1264"/>
      <c r="AE569" s="1264"/>
      <c r="AF569" s="1264"/>
      <c r="AG569" s="1264"/>
      <c r="AH569" s="1264"/>
      <c r="AI569" s="1265"/>
    </row>
    <row r="570" spans="2:37" ht="15" customHeight="1" x14ac:dyDescent="0.2">
      <c r="C570" s="508" t="s">
        <v>964</v>
      </c>
      <c r="K570" s="508" t="s">
        <v>965</v>
      </c>
      <c r="O570" s="508" t="s">
        <v>966</v>
      </c>
      <c r="S570" s="571" t="s">
        <v>994</v>
      </c>
      <c r="V570" s="508" t="s">
        <v>964</v>
      </c>
      <c r="AD570" s="508" t="s">
        <v>965</v>
      </c>
      <c r="AH570" s="508" t="s">
        <v>966</v>
      </c>
    </row>
    <row r="571" spans="2:37" ht="15" customHeight="1" x14ac:dyDescent="0.2">
      <c r="S571" s="646" t="s">
        <v>995</v>
      </c>
    </row>
    <row r="572" spans="2:37" ht="15" customHeight="1" x14ac:dyDescent="0.2">
      <c r="S572" s="571" t="s">
        <v>994</v>
      </c>
    </row>
    <row r="573" spans="2:37" ht="15" customHeight="1" x14ac:dyDescent="0.2">
      <c r="S573" s="571" t="s">
        <v>994</v>
      </c>
    </row>
    <row r="574" spans="2:37" ht="15" customHeight="1" x14ac:dyDescent="0.2">
      <c r="S574" s="646" t="s">
        <v>995</v>
      </c>
    </row>
    <row r="575" spans="2:37" ht="15" customHeight="1" x14ac:dyDescent="0.2">
      <c r="S575" s="571" t="s">
        <v>994</v>
      </c>
    </row>
    <row r="576" spans="2:37" x14ac:dyDescent="0.2">
      <c r="S576" s="571" t="s">
        <v>994</v>
      </c>
    </row>
    <row r="577" spans="1:37" ht="21.75" x14ac:dyDescent="0.2">
      <c r="S577" s="646" t="s">
        <v>995</v>
      </c>
    </row>
    <row r="578" spans="1:37" ht="30" x14ac:dyDescent="0.2">
      <c r="A578" s="1262" t="str">
        <f>Championnat</f>
        <v>Championnat de France de Tir à l'ARC</v>
      </c>
      <c r="B578" s="1262"/>
      <c r="C578" s="1262"/>
      <c r="D578" s="1262"/>
      <c r="E578" s="1262"/>
      <c r="F578" s="1262"/>
      <c r="G578" s="1262"/>
      <c r="H578" s="1262"/>
      <c r="I578" s="1262"/>
      <c r="J578" s="1262"/>
      <c r="K578" s="1262"/>
      <c r="L578" s="1262"/>
      <c r="M578" s="1262"/>
      <c r="N578" s="1262"/>
      <c r="O578" s="1262"/>
      <c r="P578" s="1262"/>
      <c r="Q578" s="1262"/>
      <c r="R578" s="1262"/>
      <c r="S578" s="571" t="s">
        <v>994</v>
      </c>
      <c r="T578" s="1262" t="str">
        <f>Championnat</f>
        <v>Championnat de France de Tir à l'ARC</v>
      </c>
      <c r="U578" s="1262"/>
      <c r="V578" s="1262"/>
      <c r="W578" s="1262"/>
      <c r="X578" s="1262"/>
      <c r="Y578" s="1262"/>
      <c r="Z578" s="1262"/>
      <c r="AA578" s="1262"/>
      <c r="AB578" s="1262"/>
      <c r="AC578" s="1262"/>
      <c r="AD578" s="1262"/>
      <c r="AE578" s="1262"/>
      <c r="AF578" s="1262"/>
      <c r="AG578" s="1262"/>
      <c r="AH578" s="1262"/>
      <c r="AI578" s="1262"/>
      <c r="AJ578" s="1262"/>
      <c r="AK578" s="1262"/>
    </row>
    <row r="579" spans="1:37" ht="24.75" customHeight="1" x14ac:dyDescent="0.2">
      <c r="A579" s="1184" t="str">
        <f>LIEU&amp;" du "&amp;DATE</f>
        <v>L’Isle sur la Sorgue du 27 au 31 mars 2023</v>
      </c>
      <c r="B579" s="1184"/>
      <c r="C579" s="1184"/>
      <c r="D579" s="1184"/>
      <c r="E579" s="1184"/>
      <c r="F579" s="1184"/>
      <c r="G579" s="1184"/>
      <c r="H579" s="1184"/>
      <c r="I579" s="1184"/>
      <c r="J579" s="1184"/>
      <c r="K579" s="1184"/>
      <c r="L579" s="1184"/>
      <c r="M579" s="1184"/>
      <c r="N579" s="1184"/>
      <c r="O579" s="1184"/>
      <c r="P579" s="1184"/>
      <c r="Q579" s="1184"/>
      <c r="R579" s="1184"/>
      <c r="S579" s="571" t="s">
        <v>994</v>
      </c>
      <c r="T579" s="1184" t="str">
        <f>LIEU&amp;" du "&amp;DATE</f>
        <v>L’Isle sur la Sorgue du 27 au 31 mars 2023</v>
      </c>
      <c r="U579" s="1184"/>
      <c r="V579" s="1184"/>
      <c r="W579" s="1184"/>
      <c r="X579" s="1184"/>
      <c r="Y579" s="1184"/>
      <c r="Z579" s="1184"/>
      <c r="AA579" s="1184"/>
      <c r="AB579" s="1184"/>
      <c r="AC579" s="1184"/>
      <c r="AD579" s="1184"/>
      <c r="AE579" s="1184"/>
      <c r="AF579" s="1184"/>
      <c r="AG579" s="1184"/>
      <c r="AH579" s="1184"/>
      <c r="AI579" s="1184"/>
      <c r="AJ579" s="1184"/>
      <c r="AK579" s="1184"/>
    </row>
    <row r="580" spans="1:37" s="218" customFormat="1" ht="40.5" customHeight="1" x14ac:dyDescent="0.2">
      <c r="A580" s="1268" t="str">
        <f>CATEG_IMPORTEE</f>
        <v>Collèges Mixtes Etablissement</v>
      </c>
      <c r="B580" s="1268"/>
      <c r="C580" s="1268"/>
      <c r="D580" s="1268"/>
      <c r="E580" s="1268"/>
      <c r="F580" s="1268"/>
      <c r="G580" s="1268"/>
      <c r="H580" s="1268"/>
      <c r="I580" s="1268"/>
      <c r="J580" s="1268"/>
      <c r="K580" s="1268"/>
      <c r="L580" s="1268"/>
      <c r="M580" s="1268"/>
      <c r="N580" s="1268"/>
      <c r="O580" s="1268"/>
      <c r="P580" s="1268"/>
      <c r="Q580" s="1268"/>
      <c r="R580" s="1268"/>
      <c r="S580" s="646" t="s">
        <v>995</v>
      </c>
      <c r="T580" s="1268" t="str">
        <f>CATEG_IMPORTEE</f>
        <v>Collèges Mixtes Etablissement</v>
      </c>
      <c r="U580" s="1268"/>
      <c r="V580" s="1268"/>
      <c r="W580" s="1268"/>
      <c r="X580" s="1268"/>
      <c r="Y580" s="1268"/>
      <c r="Z580" s="1268"/>
      <c r="AA580" s="1268"/>
      <c r="AB580" s="1268"/>
      <c r="AC580" s="1268"/>
      <c r="AD580" s="1268"/>
      <c r="AE580" s="1268"/>
      <c r="AF580" s="1268"/>
      <c r="AG580" s="1268"/>
      <c r="AH580" s="1268"/>
      <c r="AI580" s="1268"/>
      <c r="AJ580" s="1268"/>
      <c r="AK580" s="1268"/>
    </row>
    <row r="581" spans="1:37" s="218" customFormat="1" ht="19.5" customHeight="1" x14ac:dyDescent="0.2">
      <c r="A581" s="625"/>
      <c r="B581" s="625"/>
      <c r="C581" s="625"/>
      <c r="D581" s="625"/>
      <c r="E581" s="625"/>
      <c r="F581" s="625"/>
      <c r="G581" s="625"/>
      <c r="H581" s="625"/>
      <c r="I581" s="625"/>
      <c r="J581" s="625"/>
      <c r="K581" s="625"/>
      <c r="L581" s="625"/>
      <c r="M581" s="625"/>
      <c r="N581" s="625"/>
      <c r="O581" s="625"/>
      <c r="P581" s="625"/>
      <c r="Q581" s="625"/>
      <c r="R581" s="625"/>
      <c r="S581" s="571" t="s">
        <v>994</v>
      </c>
      <c r="T581" s="625"/>
      <c r="U581" s="625"/>
      <c r="V581" s="625"/>
      <c r="W581" s="625"/>
      <c r="X581" s="625"/>
      <c r="Y581" s="625"/>
      <c r="Z581" s="625"/>
      <c r="AA581" s="625"/>
      <c r="AB581" s="625"/>
      <c r="AC581" s="625"/>
      <c r="AD581" s="625"/>
      <c r="AE581" s="625"/>
      <c r="AF581" s="625"/>
      <c r="AG581" s="625"/>
      <c r="AH581" s="625"/>
      <c r="AI581" s="625"/>
      <c r="AJ581" s="625"/>
      <c r="AK581" s="625"/>
    </row>
    <row r="582" spans="1:37" ht="47.25" customHeight="1" x14ac:dyDescent="0.2">
      <c r="A582" s="620"/>
      <c r="B582" s="620"/>
      <c r="C582" s="620"/>
      <c r="D582" s="620"/>
      <c r="E582" s="620"/>
      <c r="F582" s="620"/>
      <c r="G582" s="620"/>
      <c r="H582" s="620"/>
      <c r="I582" s="620"/>
      <c r="J582" s="620"/>
      <c r="K582" s="620"/>
      <c r="L582" s="620"/>
      <c r="M582" s="620"/>
      <c r="N582" s="1072" t="s">
        <v>628</v>
      </c>
      <c r="O582" s="1073"/>
      <c r="P582" s="1271">
        <f>P550+1</f>
        <v>19</v>
      </c>
      <c r="Q582" s="1271"/>
      <c r="R582" s="1271"/>
      <c r="S582" s="571" t="s">
        <v>994</v>
      </c>
      <c r="T582" s="620"/>
      <c r="U582" s="620"/>
      <c r="V582" s="620"/>
      <c r="W582" s="620"/>
      <c r="X582" s="620"/>
      <c r="Y582" s="620"/>
      <c r="Z582" s="620"/>
      <c r="AA582" s="620"/>
      <c r="AB582" s="620"/>
      <c r="AC582" s="620"/>
      <c r="AD582" s="620"/>
      <c r="AE582" s="620"/>
      <c r="AF582" s="620"/>
      <c r="AG582" s="1072" t="s">
        <v>628</v>
      </c>
      <c r="AH582" s="1073"/>
      <c r="AI582" s="1271">
        <f>AI550+1</f>
        <v>19</v>
      </c>
      <c r="AJ582" s="1271"/>
      <c r="AK582" s="1271"/>
    </row>
    <row r="583" spans="1:37" ht="36.75" customHeight="1" x14ac:dyDescent="0.2">
      <c r="A583" s="1272" t="e">
        <f>VLOOKUP(J590,ID_archer_cible,2,FALSE)</f>
        <v>#N/A</v>
      </c>
      <c r="B583" s="1272"/>
      <c r="C583" s="1272"/>
      <c r="D583" s="1272"/>
      <c r="E583" s="1272"/>
      <c r="F583" s="1272"/>
      <c r="G583" s="1272"/>
      <c r="H583" s="1272"/>
      <c r="I583" s="1272"/>
      <c r="J583" s="1272"/>
      <c r="K583" s="1272"/>
      <c r="L583" s="1272"/>
      <c r="M583" s="1272"/>
      <c r="N583" s="1272"/>
      <c r="O583" s="1272"/>
      <c r="P583" s="1272"/>
      <c r="Q583" s="1272"/>
      <c r="R583" s="1272"/>
      <c r="S583" s="646" t="s">
        <v>995</v>
      </c>
      <c r="T583" s="1272" t="e">
        <f>VLOOKUP(AC590,ID_archer_cible,2,FALSE)</f>
        <v>#N/A</v>
      </c>
      <c r="U583" s="1272"/>
      <c r="V583" s="1272"/>
      <c r="W583" s="1272"/>
      <c r="X583" s="1272"/>
      <c r="Y583" s="1272"/>
      <c r="Z583" s="1272"/>
      <c r="AA583" s="1272"/>
      <c r="AB583" s="1272"/>
      <c r="AC583" s="1272"/>
      <c r="AD583" s="1272"/>
      <c r="AE583" s="1272"/>
      <c r="AF583" s="1272"/>
      <c r="AG583" s="1272"/>
      <c r="AH583" s="1272"/>
      <c r="AI583" s="1272"/>
      <c r="AJ583" s="1272"/>
      <c r="AK583" s="1272"/>
    </row>
    <row r="584" spans="1:37" ht="21.75" customHeight="1" x14ac:dyDescent="0.2">
      <c r="I584" s="621"/>
      <c r="J584" s="621"/>
      <c r="K584" s="621"/>
      <c r="L584" s="621"/>
      <c r="M584" s="621"/>
      <c r="N584" s="621"/>
      <c r="P584" s="619"/>
      <c r="Q584" s="619"/>
      <c r="R584" s="619"/>
      <c r="S584" s="571" t="s">
        <v>994</v>
      </c>
      <c r="AB584" s="621"/>
      <c r="AC584" s="621"/>
      <c r="AD584" s="621"/>
      <c r="AE584" s="621"/>
      <c r="AF584" s="621"/>
      <c r="AG584" s="621"/>
      <c r="AI584" s="619"/>
      <c r="AJ584" s="619"/>
      <c r="AK584" s="619"/>
    </row>
    <row r="585" spans="1:37" ht="17.25" customHeight="1" x14ac:dyDescent="0.2">
      <c r="A585" s="1125"/>
      <c r="B585" s="1125"/>
      <c r="C585" s="1125"/>
      <c r="D585" s="1125"/>
      <c r="E585" s="1125"/>
      <c r="F585" s="1125"/>
      <c r="G585" s="1125"/>
      <c r="H585" s="1125"/>
      <c r="I585" s="1125"/>
      <c r="J585" s="1125"/>
      <c r="K585" s="1125"/>
      <c r="L585" s="1125" t="s">
        <v>374</v>
      </c>
      <c r="M585" s="1125"/>
      <c r="N585" s="1125"/>
      <c r="O585" s="1125"/>
      <c r="P585" s="1125"/>
      <c r="Q585" s="1125"/>
      <c r="R585" s="1125"/>
      <c r="S585" s="571" t="s">
        <v>994</v>
      </c>
      <c r="T585" s="1125"/>
      <c r="U585" s="1125"/>
      <c r="V585" s="1125"/>
      <c r="W585" s="1125"/>
      <c r="X585" s="1125"/>
      <c r="Y585" s="1125"/>
      <c r="Z585" s="1125"/>
      <c r="AA585" s="1125"/>
      <c r="AB585" s="1125"/>
      <c r="AC585" s="1125"/>
      <c r="AD585" s="1125"/>
      <c r="AE585" s="1125" t="s">
        <v>374</v>
      </c>
      <c r="AF585" s="1125"/>
      <c r="AG585" s="1125"/>
      <c r="AH585" s="1125"/>
      <c r="AI585" s="1125"/>
      <c r="AJ585" s="1125"/>
      <c r="AK585" s="1125"/>
    </row>
    <row r="586" spans="1:37" ht="32.25" customHeight="1" x14ac:dyDescent="0.2">
      <c r="A586" s="1269" t="e">
        <f>VLOOKUP(J590,ID_archer_cible,3,FALSE)</f>
        <v>#N/A</v>
      </c>
      <c r="B586" s="1269"/>
      <c r="C586" s="1269"/>
      <c r="D586" s="1269"/>
      <c r="E586" s="1269"/>
      <c r="F586" s="1269"/>
      <c r="G586" s="1269"/>
      <c r="H586" s="1269"/>
      <c r="I586" s="1269"/>
      <c r="J586" s="1269"/>
      <c r="K586" s="1269"/>
      <c r="L586" s="1270" t="e">
        <f>VLOOKUP(J590,ID_archer_cible,4,FALSE)</f>
        <v>#N/A</v>
      </c>
      <c r="M586" s="1270"/>
      <c r="N586" s="1270"/>
      <c r="O586" s="1270"/>
      <c r="P586" s="1270"/>
      <c r="Q586" s="1270"/>
      <c r="R586" s="1270"/>
      <c r="S586" s="646" t="s">
        <v>995</v>
      </c>
      <c r="T586" s="1269" t="e">
        <f>VLOOKUP(AC590,ID_archer_cible,3,FALSE)</f>
        <v>#N/A</v>
      </c>
      <c r="U586" s="1269"/>
      <c r="V586" s="1269"/>
      <c r="W586" s="1269"/>
      <c r="X586" s="1269"/>
      <c r="Y586" s="1269"/>
      <c r="Z586" s="1269"/>
      <c r="AA586" s="1269"/>
      <c r="AB586" s="1269"/>
      <c r="AC586" s="1269"/>
      <c r="AD586" s="1269"/>
      <c r="AE586" s="1270" t="e">
        <f>VLOOKUP(AC590,ID_archer_cible,4,FALSE)</f>
        <v>#N/A</v>
      </c>
      <c r="AF586" s="1270"/>
      <c r="AG586" s="1270"/>
      <c r="AH586" s="1270"/>
      <c r="AI586" s="1270"/>
      <c r="AJ586" s="1270"/>
      <c r="AK586" s="1270"/>
    </row>
    <row r="587" spans="1:37" ht="17.25" customHeight="1" x14ac:dyDescent="0.2">
      <c r="E587" s="584"/>
      <c r="F587" s="584"/>
      <c r="G587" s="584"/>
      <c r="H587" s="584"/>
      <c r="I587" s="618"/>
      <c r="J587" s="618"/>
      <c r="K587" s="618"/>
      <c r="L587" s="618"/>
      <c r="M587" s="618"/>
      <c r="N587" s="618"/>
      <c r="P587" s="1266" t="str">
        <f>IFERROR(IF(AND(R590="oui",R591="oui",R592="oui",R593="oui"),"PRO",""),"")</f>
        <v/>
      </c>
      <c r="Q587" s="1266"/>
      <c r="R587" s="1266"/>
      <c r="S587" s="571" t="s">
        <v>994</v>
      </c>
      <c r="X587" s="584"/>
      <c r="Y587" s="584"/>
      <c r="Z587" s="584"/>
      <c r="AA587" s="584"/>
      <c r="AB587" s="618"/>
      <c r="AC587" s="618"/>
      <c r="AD587" s="618"/>
      <c r="AE587" s="618"/>
      <c r="AF587" s="618"/>
      <c r="AG587" s="618"/>
      <c r="AI587" s="1266" t="str">
        <f>IFERROR(IF(AND(AK590="oui",AK591="oui",AK592="oui",AK593="oui"),"PRO",""),"")</f>
        <v/>
      </c>
      <c r="AJ587" s="1266"/>
      <c r="AK587" s="1266"/>
    </row>
    <row r="588" spans="1:37" ht="20.25" customHeight="1" x14ac:dyDescent="0.2">
      <c r="P588" s="1267"/>
      <c r="Q588" s="1267"/>
      <c r="R588" s="1267"/>
      <c r="S588" s="571" t="s">
        <v>994</v>
      </c>
      <c r="AI588" s="1267"/>
      <c r="AJ588" s="1267"/>
      <c r="AK588" s="1267"/>
    </row>
    <row r="589" spans="1:37" ht="25.5" customHeight="1" x14ac:dyDescent="0.2">
      <c r="B589" s="1273" t="s">
        <v>906</v>
      </c>
      <c r="C589" s="1273"/>
      <c r="D589" s="1273"/>
      <c r="E589" s="1273"/>
      <c r="F589" s="1273"/>
      <c r="G589" s="1273"/>
      <c r="H589" s="1273"/>
      <c r="I589" s="1273"/>
      <c r="J589" s="622" t="s">
        <v>552</v>
      </c>
      <c r="K589" s="623" t="s">
        <v>893</v>
      </c>
      <c r="L589" s="1275" t="s">
        <v>550</v>
      </c>
      <c r="M589" s="1276"/>
      <c r="N589" s="1274" t="s">
        <v>905</v>
      </c>
      <c r="O589" s="1274"/>
      <c r="P589" s="1254" t="s">
        <v>551</v>
      </c>
      <c r="Q589" s="1254"/>
      <c r="R589" s="752" t="s">
        <v>1027</v>
      </c>
      <c r="S589" s="646" t="s">
        <v>995</v>
      </c>
      <c r="U589" s="1273" t="s">
        <v>906</v>
      </c>
      <c r="V589" s="1273"/>
      <c r="W589" s="1273"/>
      <c r="X589" s="1273"/>
      <c r="Y589" s="1273"/>
      <c r="Z589" s="1273"/>
      <c r="AA589" s="1273"/>
      <c r="AB589" s="1273"/>
      <c r="AC589" s="622" t="s">
        <v>552</v>
      </c>
      <c r="AD589" s="623" t="s">
        <v>893</v>
      </c>
      <c r="AE589" s="1275" t="s">
        <v>550</v>
      </c>
      <c r="AF589" s="1276"/>
      <c r="AG589" s="1274" t="s">
        <v>905</v>
      </c>
      <c r="AH589" s="1274"/>
      <c r="AI589" s="1254" t="s">
        <v>551</v>
      </c>
      <c r="AJ589" s="1254"/>
      <c r="AK589" s="752" t="s">
        <v>1027</v>
      </c>
    </row>
    <row r="590" spans="1:37" ht="45" customHeight="1" x14ac:dyDescent="0.2">
      <c r="B590" s="1255" t="e">
        <f>VLOOKUP(J590,ID_archer_cible,5,FALSE)&amp;"    "&amp;VLOOKUP(J590,ID_archer_cible,6,FALSE)</f>
        <v>#N/A</v>
      </c>
      <c r="C590" s="1255"/>
      <c r="D590" s="1255"/>
      <c r="E590" s="1255"/>
      <c r="F590" s="1255"/>
      <c r="G590" s="1255"/>
      <c r="H590" s="1255"/>
      <c r="I590" s="1255"/>
      <c r="J590" s="624" t="str">
        <f>P582&amp;"A"</f>
        <v>19A</v>
      </c>
      <c r="K590" s="574" t="e">
        <f>VLOOKUP(J590,ID_archer_cible,9,FALSE)</f>
        <v>#N/A</v>
      </c>
      <c r="L590" s="1256" t="e">
        <f>VLOOKUP(J590,ID_archer_cible,8,FALSE)</f>
        <v>#N/A</v>
      </c>
      <c r="M590" s="1257"/>
      <c r="N590" s="1260" t="e">
        <f>VLOOKUP(J590,ID_archer_cible,7,FALSE)</f>
        <v>#N/A</v>
      </c>
      <c r="O590" s="1261"/>
      <c r="P590" s="828" t="e">
        <f>VLOOKUP(J590,ID_archer_cible,10,FALSE)</f>
        <v>#N/A</v>
      </c>
      <c r="Q590" s="829" t="e">
        <f>IF(VLOOKUP(L590,N°LicPRO,3,FALSE)="oui","COACH","")</f>
        <v>#N/A</v>
      </c>
      <c r="R590" s="742" t="str">
        <f>IFERROR(VLOOKUP(L590,N°LicPRO,2,FALSE),"")</f>
        <v/>
      </c>
      <c r="S590" s="571" t="s">
        <v>994</v>
      </c>
      <c r="U590" s="1255" t="e">
        <f>VLOOKUP(AC590,ID_archer_cible,5,FALSE)&amp;"    "&amp;VLOOKUP(AC590,ID_archer_cible,6,FALSE)</f>
        <v>#N/A</v>
      </c>
      <c r="V590" s="1255"/>
      <c r="W590" s="1255"/>
      <c r="X590" s="1255"/>
      <c r="Y590" s="1255"/>
      <c r="Z590" s="1255"/>
      <c r="AA590" s="1255"/>
      <c r="AB590" s="1255"/>
      <c r="AC590" s="624" t="str">
        <f>AI582&amp;"A"</f>
        <v>19A</v>
      </c>
      <c r="AD590" s="574" t="e">
        <f>VLOOKUP(AC590,ID_archer_cible,9,FALSE)</f>
        <v>#N/A</v>
      </c>
      <c r="AE590" s="1256" t="e">
        <f>VLOOKUP(AC590,ID_archer_cible,8,FALSE)</f>
        <v>#N/A</v>
      </c>
      <c r="AF590" s="1257"/>
      <c r="AG590" s="1260" t="e">
        <f>VLOOKUP(AC590,ID_archer_cible,7,FALSE)</f>
        <v>#N/A</v>
      </c>
      <c r="AH590" s="1261"/>
      <c r="AI590" s="828" t="e">
        <f>VLOOKUP(AC590,ID_archer_cible,10,FALSE)</f>
        <v>#N/A</v>
      </c>
      <c r="AJ590" s="829" t="e">
        <f>IF(VLOOKUP(AE590,N°LicPRO,3,FALSE)="oui","COACH","")</f>
        <v>#N/A</v>
      </c>
      <c r="AK590" s="742" t="str">
        <f>IFERROR(VLOOKUP(AE590,N°LicPRO,2,FALSE),"")</f>
        <v/>
      </c>
    </row>
    <row r="591" spans="1:37" ht="45" customHeight="1" x14ac:dyDescent="0.2">
      <c r="B591" s="1255" t="e">
        <f>VLOOKUP(J591,ID_archer_cible,5,FALSE)&amp;"    "&amp;VLOOKUP(J591,ID_archer_cible,6,FALSE)</f>
        <v>#N/A</v>
      </c>
      <c r="C591" s="1255"/>
      <c r="D591" s="1255"/>
      <c r="E591" s="1255"/>
      <c r="F591" s="1255"/>
      <c r="G591" s="1255"/>
      <c r="H591" s="1255"/>
      <c r="I591" s="1255"/>
      <c r="J591" s="624" t="str">
        <f>P582&amp;"B"</f>
        <v>19B</v>
      </c>
      <c r="K591" s="574" t="e">
        <f>VLOOKUP(J591,ID_archer_cible,9,FALSE)</f>
        <v>#N/A</v>
      </c>
      <c r="L591" s="1256" t="e">
        <f>VLOOKUP(J591,ID_archer_cible,8,FALSE)</f>
        <v>#N/A</v>
      </c>
      <c r="M591" s="1257"/>
      <c r="N591" s="1260" t="e">
        <f>VLOOKUP(J591,ID_archer_cible,7,FALSE)</f>
        <v>#N/A</v>
      </c>
      <c r="O591" s="1261"/>
      <c r="P591" s="828" t="e">
        <f>VLOOKUP(J591,ID_archer_cible,10,FALSE)</f>
        <v>#N/A</v>
      </c>
      <c r="Q591" s="829" t="e">
        <f>IF(VLOOKUP(L591,N°LicPRO,3,FALSE)="oui","COACH","")</f>
        <v>#N/A</v>
      </c>
      <c r="R591" s="742" t="str">
        <f>IFERROR(VLOOKUP(L591,N°LicPRO,2,FALSE),"")</f>
        <v/>
      </c>
      <c r="S591" s="571" t="s">
        <v>994</v>
      </c>
      <c r="U591" s="1255" t="e">
        <f>VLOOKUP(AC591,ID_archer_cible,5,FALSE)&amp;"    "&amp;VLOOKUP(AC591,ID_archer_cible,6,FALSE)</f>
        <v>#N/A</v>
      </c>
      <c r="V591" s="1255"/>
      <c r="W591" s="1255"/>
      <c r="X591" s="1255"/>
      <c r="Y591" s="1255"/>
      <c r="Z591" s="1255"/>
      <c r="AA591" s="1255"/>
      <c r="AB591" s="1255"/>
      <c r="AC591" s="624" t="str">
        <f>AI582&amp;"B"</f>
        <v>19B</v>
      </c>
      <c r="AD591" s="574" t="e">
        <f>VLOOKUP(AC591,ID_archer_cible,9,FALSE)</f>
        <v>#N/A</v>
      </c>
      <c r="AE591" s="1256" t="e">
        <f>VLOOKUP(AC591,ID_archer_cible,8,FALSE)</f>
        <v>#N/A</v>
      </c>
      <c r="AF591" s="1257"/>
      <c r="AG591" s="1260" t="e">
        <f>VLOOKUP(AC591,ID_archer_cible,7,FALSE)</f>
        <v>#N/A</v>
      </c>
      <c r="AH591" s="1261"/>
      <c r="AI591" s="828" t="e">
        <f>VLOOKUP(AC591,ID_archer_cible,10,FALSE)</f>
        <v>#N/A</v>
      </c>
      <c r="AJ591" s="829" t="e">
        <f>IF(VLOOKUP(AE591,N°LicPRO,3,FALSE)="oui","COACH","")</f>
        <v>#N/A</v>
      </c>
      <c r="AK591" s="742" t="str">
        <f>IFERROR(VLOOKUP(AE591,N°LicPRO,2,FALSE),"")</f>
        <v/>
      </c>
    </row>
    <row r="592" spans="1:37" ht="45" customHeight="1" x14ac:dyDescent="0.2">
      <c r="B592" s="1255" t="e">
        <f>VLOOKUP(J592,ID_archer_cible,5,FALSE)&amp;"    "&amp;VLOOKUP(J592,ID_archer_cible,6,FALSE)</f>
        <v>#N/A</v>
      </c>
      <c r="C592" s="1255"/>
      <c r="D592" s="1255"/>
      <c r="E592" s="1255"/>
      <c r="F592" s="1255"/>
      <c r="G592" s="1255"/>
      <c r="H592" s="1255"/>
      <c r="I592" s="1255"/>
      <c r="J592" s="624" t="str">
        <f>P582&amp;"C"</f>
        <v>19C</v>
      </c>
      <c r="K592" s="574" t="e">
        <f>VLOOKUP(J592,ID_archer_cible,9,FALSE)</f>
        <v>#N/A</v>
      </c>
      <c r="L592" s="1256" t="e">
        <f>VLOOKUP(J592,ID_archer_cible,8,FALSE)</f>
        <v>#N/A</v>
      </c>
      <c r="M592" s="1257"/>
      <c r="N592" s="1260" t="e">
        <f>VLOOKUP(J592,ID_archer_cible,7,FALSE)</f>
        <v>#N/A</v>
      </c>
      <c r="O592" s="1261"/>
      <c r="P592" s="828" t="e">
        <f>VLOOKUP(J592,ID_archer_cible,10,FALSE)</f>
        <v>#N/A</v>
      </c>
      <c r="Q592" s="829" t="e">
        <f>IF(VLOOKUP(L592,N°LicPRO,3,FALSE)="oui","COACH","")</f>
        <v>#N/A</v>
      </c>
      <c r="R592" s="742" t="str">
        <f>IFERROR(VLOOKUP(L592,N°LicPRO,2,FALSE),"")</f>
        <v/>
      </c>
      <c r="S592" s="646" t="s">
        <v>995</v>
      </c>
      <c r="U592" s="1255" t="e">
        <f>VLOOKUP(AC592,ID_archer_cible,5,FALSE)&amp;"    "&amp;VLOOKUP(AC592,ID_archer_cible,6,FALSE)</f>
        <v>#N/A</v>
      </c>
      <c r="V592" s="1255"/>
      <c r="W592" s="1255"/>
      <c r="X592" s="1255"/>
      <c r="Y592" s="1255"/>
      <c r="Z592" s="1255"/>
      <c r="AA592" s="1255"/>
      <c r="AB592" s="1255"/>
      <c r="AC592" s="624" t="str">
        <f>AI582&amp;"C"</f>
        <v>19C</v>
      </c>
      <c r="AD592" s="574" t="e">
        <f>VLOOKUP(AC592,ID_archer_cible,9,FALSE)</f>
        <v>#N/A</v>
      </c>
      <c r="AE592" s="1256" t="e">
        <f>VLOOKUP(AC592,ID_archer_cible,8,FALSE)</f>
        <v>#N/A</v>
      </c>
      <c r="AF592" s="1257"/>
      <c r="AG592" s="1260" t="e">
        <f>VLOOKUP(AC592,ID_archer_cible,7,FALSE)</f>
        <v>#N/A</v>
      </c>
      <c r="AH592" s="1261"/>
      <c r="AI592" s="828" t="e">
        <f>VLOOKUP(AC592,ID_archer_cible,10,FALSE)</f>
        <v>#N/A</v>
      </c>
      <c r="AJ592" s="829" t="e">
        <f>IF(VLOOKUP(AE592,N°LicPRO,3,FALSE)="oui","COACH","")</f>
        <v>#N/A</v>
      </c>
      <c r="AK592" s="742" t="str">
        <f>IFERROR(VLOOKUP(AE592,N°LicPRO,2,FALSE),"")</f>
        <v/>
      </c>
    </row>
    <row r="593" spans="2:37" ht="45" customHeight="1" x14ac:dyDescent="0.2">
      <c r="B593" s="1255" t="e">
        <f>VLOOKUP(J593,ID_archer_cible,5,FALSE)&amp;"    "&amp;VLOOKUP(J593,ID_archer_cible,6,FALSE)</f>
        <v>#N/A</v>
      </c>
      <c r="C593" s="1255"/>
      <c r="D593" s="1255"/>
      <c r="E593" s="1255"/>
      <c r="F593" s="1255"/>
      <c r="G593" s="1255"/>
      <c r="H593" s="1255"/>
      <c r="I593" s="1255"/>
      <c r="J593" s="624" t="str">
        <f>P582&amp;"D"</f>
        <v>19D</v>
      </c>
      <c r="K593" s="574" t="e">
        <f>VLOOKUP(J593,ID_archer_cible,9,FALSE)</f>
        <v>#N/A</v>
      </c>
      <c r="L593" s="1256" t="e">
        <f>VLOOKUP(J593,ID_archer_cible,8,FALSE)</f>
        <v>#N/A</v>
      </c>
      <c r="M593" s="1257"/>
      <c r="N593" s="1260" t="e">
        <f>VLOOKUP(J593,ID_archer_cible,7,FALSE)</f>
        <v>#N/A</v>
      </c>
      <c r="O593" s="1261"/>
      <c r="P593" s="828" t="e">
        <f>VLOOKUP(J593,ID_archer_cible,10,FALSE)</f>
        <v>#N/A</v>
      </c>
      <c r="Q593" s="829" t="e">
        <f>IF(VLOOKUP(L593,N°LicPRO,3,FALSE)="oui","COACH","")</f>
        <v>#N/A</v>
      </c>
      <c r="R593" s="742" t="str">
        <f>IFERROR(VLOOKUP(L593,N°LicPRO,2,FALSE),"")</f>
        <v/>
      </c>
      <c r="S593" s="571" t="s">
        <v>994</v>
      </c>
      <c r="U593" s="1255" t="e">
        <f>VLOOKUP(AC593,ID_archer_cible,5,FALSE)&amp;"    "&amp;VLOOKUP(AC593,ID_archer_cible,6,FALSE)</f>
        <v>#N/A</v>
      </c>
      <c r="V593" s="1255"/>
      <c r="W593" s="1255"/>
      <c r="X593" s="1255"/>
      <c r="Y593" s="1255"/>
      <c r="Z593" s="1255"/>
      <c r="AA593" s="1255"/>
      <c r="AB593" s="1255"/>
      <c r="AC593" s="624" t="str">
        <f>AI582&amp;"D"</f>
        <v>19D</v>
      </c>
      <c r="AD593" s="574" t="e">
        <f>VLOOKUP(AC593,ID_archer_cible,9,FALSE)</f>
        <v>#N/A</v>
      </c>
      <c r="AE593" s="1256" t="e">
        <f>VLOOKUP(AC593,ID_archer_cible,8,FALSE)</f>
        <v>#N/A</v>
      </c>
      <c r="AF593" s="1257"/>
      <c r="AG593" s="1260" t="e">
        <f>VLOOKUP(AC593,ID_archer_cible,7,FALSE)</f>
        <v>#N/A</v>
      </c>
      <c r="AH593" s="1261"/>
      <c r="AI593" s="828" t="e">
        <f>VLOOKUP(AC593,ID_archer_cible,10,FALSE)</f>
        <v>#N/A</v>
      </c>
      <c r="AJ593" s="829" t="e">
        <f>IF(VLOOKUP(AE593,N°LicPRO,3,FALSE)="oui","COACH","")</f>
        <v>#N/A</v>
      </c>
      <c r="AK593" s="742" t="str">
        <f>IFERROR(VLOOKUP(AE593,N°LicPRO,2,FALSE),"")</f>
        <v/>
      </c>
    </row>
    <row r="594" spans="2:37" ht="15" customHeight="1" x14ac:dyDescent="0.2">
      <c r="S594" s="571" t="s">
        <v>994</v>
      </c>
    </row>
    <row r="595" spans="2:37" ht="15" customHeight="1" x14ac:dyDescent="0.2">
      <c r="B595" s="508" t="s">
        <v>975</v>
      </c>
      <c r="S595" s="646" t="s">
        <v>995</v>
      </c>
      <c r="U595" s="508" t="s">
        <v>975</v>
      </c>
    </row>
    <row r="596" spans="2:37" ht="15" customHeight="1" x14ac:dyDescent="0.2">
      <c r="B596" s="1259" t="s">
        <v>974</v>
      </c>
      <c r="C596" s="1259"/>
      <c r="D596" s="1259"/>
      <c r="E596" s="1259"/>
      <c r="F596" s="1199" t="str">
        <f>Info_TirQ</f>
        <v>J2 8:30-9:00 Ent. 9:00-10:30 Tirs Qual.</v>
      </c>
      <c r="G596" s="1199"/>
      <c r="H596" s="1199"/>
      <c r="I596" s="1199"/>
      <c r="J596" s="1199"/>
      <c r="K596" s="1258" t="s">
        <v>978</v>
      </c>
      <c r="L596" s="1258"/>
      <c r="M596" s="1258"/>
      <c r="N596" s="1258"/>
      <c r="O596" s="1258"/>
      <c r="S596" s="571" t="s">
        <v>994</v>
      </c>
      <c r="U596" s="1259" t="s">
        <v>974</v>
      </c>
      <c r="V596" s="1259"/>
      <c r="W596" s="1259"/>
      <c r="X596" s="1259"/>
      <c r="Y596" s="1199" t="str">
        <f>Info_TirQ</f>
        <v>J2 8:30-9:00 Ent. 9:00-10:30 Tirs Qual.</v>
      </c>
      <c r="Z596" s="1199"/>
      <c r="AA596" s="1199"/>
      <c r="AB596" s="1199"/>
      <c r="AC596" s="1199"/>
      <c r="AD596" s="1258" t="s">
        <v>978</v>
      </c>
      <c r="AE596" s="1258"/>
      <c r="AF596" s="1258"/>
      <c r="AG596" s="1258"/>
      <c r="AH596" s="1258"/>
    </row>
    <row r="597" spans="2:37" ht="15" customHeight="1" x14ac:dyDescent="0.2">
      <c r="B597" s="1259" t="s">
        <v>484</v>
      </c>
      <c r="C597" s="1259"/>
      <c r="D597" s="1259"/>
      <c r="E597" s="1259"/>
      <c r="F597" s="1199" t="str">
        <f>Info_D1</f>
        <v>J2 13:30-14:20  1er DUEL</v>
      </c>
      <c r="G597" s="1199"/>
      <c r="H597" s="1199"/>
      <c r="I597" s="1199"/>
      <c r="J597" s="1199"/>
      <c r="K597" s="1258"/>
      <c r="L597" s="1258"/>
      <c r="M597" s="1258"/>
      <c r="N597" s="1258"/>
      <c r="O597" s="1258"/>
      <c r="S597" s="571" t="s">
        <v>994</v>
      </c>
      <c r="U597" s="1259" t="s">
        <v>484</v>
      </c>
      <c r="V597" s="1259"/>
      <c r="W597" s="1259"/>
      <c r="X597" s="1259"/>
      <c r="Y597" s="1199" t="str">
        <f>Info_D1</f>
        <v>J2 13:30-14:20  1er DUEL</v>
      </c>
      <c r="Z597" s="1199"/>
      <c r="AA597" s="1199"/>
      <c r="AB597" s="1199"/>
      <c r="AC597" s="1199"/>
      <c r="AD597" s="1258"/>
      <c r="AE597" s="1258"/>
      <c r="AF597" s="1258"/>
      <c r="AG597" s="1258"/>
      <c r="AH597" s="1258"/>
    </row>
    <row r="598" spans="2:37" ht="15" customHeight="1" x14ac:dyDescent="0.2">
      <c r="B598" s="1259" t="s">
        <v>972</v>
      </c>
      <c r="C598" s="1259"/>
      <c r="D598" s="1259"/>
      <c r="E598" s="1259"/>
      <c r="F598" s="1199" t="str">
        <f>Info_D2</f>
        <v>J2 14:30-15:20 2ème DUEL</v>
      </c>
      <c r="G598" s="1199"/>
      <c r="H598" s="1199"/>
      <c r="I598" s="1199"/>
      <c r="J598" s="1199"/>
      <c r="K598" s="1258"/>
      <c r="L598" s="1258"/>
      <c r="M598" s="1258"/>
      <c r="N598" s="1258"/>
      <c r="O598" s="1258"/>
      <c r="S598" s="646" t="s">
        <v>995</v>
      </c>
      <c r="U598" s="1259" t="s">
        <v>972</v>
      </c>
      <c r="V598" s="1259"/>
      <c r="W598" s="1259"/>
      <c r="X598" s="1259"/>
      <c r="Y598" s="1199" t="str">
        <f>Info_D2</f>
        <v>J2 14:30-15:20 2ème DUEL</v>
      </c>
      <c r="Z598" s="1199"/>
      <c r="AA598" s="1199"/>
      <c r="AB598" s="1199"/>
      <c r="AC598" s="1199"/>
      <c r="AD598" s="1258"/>
      <c r="AE598" s="1258"/>
      <c r="AF598" s="1258"/>
      <c r="AG598" s="1258"/>
      <c r="AH598" s="1258"/>
    </row>
    <row r="599" spans="2:37" ht="15" customHeight="1" x14ac:dyDescent="0.2">
      <c r="B599" s="1259" t="s">
        <v>973</v>
      </c>
      <c r="C599" s="1259"/>
      <c r="D599" s="1259"/>
      <c r="E599" s="1259"/>
      <c r="F599" s="1199" t="str">
        <f>Info_D3</f>
        <v>J3 10-10:50 Match pl. 5 à +  ETAB - EX</v>
      </c>
      <c r="G599" s="1199"/>
      <c r="H599" s="1199"/>
      <c r="I599" s="1199"/>
      <c r="J599" s="1199"/>
      <c r="K599" s="1258"/>
      <c r="L599" s="1258"/>
      <c r="M599" s="1258"/>
      <c r="N599" s="1258"/>
      <c r="O599" s="1258"/>
      <c r="S599" s="571" t="s">
        <v>994</v>
      </c>
      <c r="U599" s="1259" t="s">
        <v>973</v>
      </c>
      <c r="V599" s="1259"/>
      <c r="W599" s="1259"/>
      <c r="X599" s="1259"/>
      <c r="Y599" s="1199" t="str">
        <f>Info_D3</f>
        <v>J3 10-10:50 Match pl. 5 à +  ETAB - EX</v>
      </c>
      <c r="Z599" s="1199"/>
      <c r="AA599" s="1199"/>
      <c r="AB599" s="1199"/>
      <c r="AC599" s="1199"/>
      <c r="AD599" s="1258"/>
      <c r="AE599" s="1258"/>
      <c r="AF599" s="1258"/>
      <c r="AG599" s="1258"/>
      <c r="AH599" s="1258"/>
    </row>
    <row r="600" spans="2:37" ht="24.75" customHeight="1" x14ac:dyDescent="0.2">
      <c r="B600" s="626" t="s">
        <v>976</v>
      </c>
      <c r="S600" s="571" t="s">
        <v>994</v>
      </c>
      <c r="U600" s="626" t="s">
        <v>976</v>
      </c>
    </row>
    <row r="601" spans="2:37" ht="134.25" customHeight="1" x14ac:dyDescent="0.2">
      <c r="B601"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C601" s="1264"/>
      <c r="D601" s="1264"/>
      <c r="E601" s="1264"/>
      <c r="F601" s="1264"/>
      <c r="G601" s="1264"/>
      <c r="H601" s="1264"/>
      <c r="I601" s="1264"/>
      <c r="J601" s="1264"/>
      <c r="K601" s="1264"/>
      <c r="L601" s="1264"/>
      <c r="M601" s="1264"/>
      <c r="N601" s="1264"/>
      <c r="O601" s="1264"/>
      <c r="P601" s="1265"/>
      <c r="S601" s="646" t="s">
        <v>995</v>
      </c>
      <c r="U601"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V601" s="1264"/>
      <c r="W601" s="1264"/>
      <c r="X601" s="1264"/>
      <c r="Y601" s="1264"/>
      <c r="Z601" s="1264"/>
      <c r="AA601" s="1264"/>
      <c r="AB601" s="1264"/>
      <c r="AC601" s="1264"/>
      <c r="AD601" s="1264"/>
      <c r="AE601" s="1264"/>
      <c r="AF601" s="1264"/>
      <c r="AG601" s="1264"/>
      <c r="AH601" s="1264"/>
      <c r="AI601" s="1265"/>
    </row>
    <row r="602" spans="2:37" ht="15" customHeight="1" x14ac:dyDescent="0.2">
      <c r="C602" s="508" t="s">
        <v>964</v>
      </c>
      <c r="K602" s="508" t="s">
        <v>965</v>
      </c>
      <c r="O602" s="508" t="s">
        <v>966</v>
      </c>
      <c r="S602" s="571" t="s">
        <v>994</v>
      </c>
      <c r="V602" s="508" t="s">
        <v>964</v>
      </c>
      <c r="AD602" s="508" t="s">
        <v>965</v>
      </c>
      <c r="AH602" s="508" t="s">
        <v>966</v>
      </c>
    </row>
    <row r="603" spans="2:37" ht="15" customHeight="1" x14ac:dyDescent="0.2">
      <c r="S603" s="571" t="s">
        <v>994</v>
      </c>
    </row>
    <row r="604" spans="2:37" ht="15" customHeight="1" x14ac:dyDescent="0.2">
      <c r="S604" s="646" t="s">
        <v>995</v>
      </c>
    </row>
    <row r="605" spans="2:37" ht="15" customHeight="1" x14ac:dyDescent="0.2">
      <c r="S605" s="571" t="s">
        <v>994</v>
      </c>
    </row>
    <row r="606" spans="2:37" ht="15" customHeight="1" x14ac:dyDescent="0.2">
      <c r="S606" s="571" t="s">
        <v>994</v>
      </c>
    </row>
    <row r="607" spans="2:37" ht="15" customHeight="1" x14ac:dyDescent="0.2">
      <c r="S607" s="646" t="s">
        <v>995</v>
      </c>
    </row>
    <row r="608" spans="2:37" x14ac:dyDescent="0.2">
      <c r="S608" s="571" t="s">
        <v>994</v>
      </c>
    </row>
    <row r="609" spans="1:37" x14ac:dyDescent="0.2">
      <c r="S609" s="571" t="s">
        <v>994</v>
      </c>
    </row>
    <row r="610" spans="1:37" ht="30" x14ac:dyDescent="0.2">
      <c r="A610" s="1262" t="str">
        <f>Championnat</f>
        <v>Championnat de France de Tir à l'ARC</v>
      </c>
      <c r="B610" s="1262"/>
      <c r="C610" s="1262"/>
      <c r="D610" s="1262"/>
      <c r="E610" s="1262"/>
      <c r="F610" s="1262"/>
      <c r="G610" s="1262"/>
      <c r="H610" s="1262"/>
      <c r="I610" s="1262"/>
      <c r="J610" s="1262"/>
      <c r="K610" s="1262"/>
      <c r="L610" s="1262"/>
      <c r="M610" s="1262"/>
      <c r="N610" s="1262"/>
      <c r="O610" s="1262"/>
      <c r="P610" s="1262"/>
      <c r="Q610" s="1262"/>
      <c r="R610" s="1262"/>
      <c r="S610" s="646" t="s">
        <v>995</v>
      </c>
      <c r="T610" s="1262" t="str">
        <f>Championnat</f>
        <v>Championnat de France de Tir à l'ARC</v>
      </c>
      <c r="U610" s="1262"/>
      <c r="V610" s="1262"/>
      <c r="W610" s="1262"/>
      <c r="X610" s="1262"/>
      <c r="Y610" s="1262"/>
      <c r="Z610" s="1262"/>
      <c r="AA610" s="1262"/>
      <c r="AB610" s="1262"/>
      <c r="AC610" s="1262"/>
      <c r="AD610" s="1262"/>
      <c r="AE610" s="1262"/>
      <c r="AF610" s="1262"/>
      <c r="AG610" s="1262"/>
      <c r="AH610" s="1262"/>
      <c r="AI610" s="1262"/>
      <c r="AJ610" s="1262"/>
      <c r="AK610" s="1262"/>
    </row>
    <row r="611" spans="1:37" ht="24.75" customHeight="1" x14ac:dyDescent="0.2">
      <c r="A611" s="1184" t="str">
        <f>LIEU&amp;" du "&amp;DATE</f>
        <v>L’Isle sur la Sorgue du 27 au 31 mars 2023</v>
      </c>
      <c r="B611" s="1184"/>
      <c r="C611" s="1184"/>
      <c r="D611" s="1184"/>
      <c r="E611" s="1184"/>
      <c r="F611" s="1184"/>
      <c r="G611" s="1184"/>
      <c r="H611" s="1184"/>
      <c r="I611" s="1184"/>
      <c r="J611" s="1184"/>
      <c r="K611" s="1184"/>
      <c r="L611" s="1184"/>
      <c r="M611" s="1184"/>
      <c r="N611" s="1184"/>
      <c r="O611" s="1184"/>
      <c r="P611" s="1184"/>
      <c r="Q611" s="1184"/>
      <c r="R611" s="1184"/>
      <c r="S611" s="571" t="s">
        <v>994</v>
      </c>
      <c r="T611" s="1184" t="str">
        <f>LIEU&amp;" du "&amp;DATE</f>
        <v>L’Isle sur la Sorgue du 27 au 31 mars 2023</v>
      </c>
      <c r="U611" s="1184"/>
      <c r="V611" s="1184"/>
      <c r="W611" s="1184"/>
      <c r="X611" s="1184"/>
      <c r="Y611" s="1184"/>
      <c r="Z611" s="1184"/>
      <c r="AA611" s="1184"/>
      <c r="AB611" s="1184"/>
      <c r="AC611" s="1184"/>
      <c r="AD611" s="1184"/>
      <c r="AE611" s="1184"/>
      <c r="AF611" s="1184"/>
      <c r="AG611" s="1184"/>
      <c r="AH611" s="1184"/>
      <c r="AI611" s="1184"/>
      <c r="AJ611" s="1184"/>
      <c r="AK611" s="1184"/>
    </row>
    <row r="612" spans="1:37" s="218" customFormat="1" ht="40.5" customHeight="1" x14ac:dyDescent="0.2">
      <c r="A612" s="1268" t="str">
        <f>CATEG_IMPORTEE</f>
        <v>Collèges Mixtes Etablissement</v>
      </c>
      <c r="B612" s="1268"/>
      <c r="C612" s="1268"/>
      <c r="D612" s="1268"/>
      <c r="E612" s="1268"/>
      <c r="F612" s="1268"/>
      <c r="G612" s="1268"/>
      <c r="H612" s="1268"/>
      <c r="I612" s="1268"/>
      <c r="J612" s="1268"/>
      <c r="K612" s="1268"/>
      <c r="L612" s="1268"/>
      <c r="M612" s="1268"/>
      <c r="N612" s="1268"/>
      <c r="O612" s="1268"/>
      <c r="P612" s="1268"/>
      <c r="Q612" s="1268"/>
      <c r="R612" s="1268"/>
      <c r="S612" s="571" t="s">
        <v>994</v>
      </c>
      <c r="T612" s="1268" t="str">
        <f>CATEG_IMPORTEE</f>
        <v>Collèges Mixtes Etablissement</v>
      </c>
      <c r="U612" s="1268"/>
      <c r="V612" s="1268"/>
      <c r="W612" s="1268"/>
      <c r="X612" s="1268"/>
      <c r="Y612" s="1268"/>
      <c r="Z612" s="1268"/>
      <c r="AA612" s="1268"/>
      <c r="AB612" s="1268"/>
      <c r="AC612" s="1268"/>
      <c r="AD612" s="1268"/>
      <c r="AE612" s="1268"/>
      <c r="AF612" s="1268"/>
      <c r="AG612" s="1268"/>
      <c r="AH612" s="1268"/>
      <c r="AI612" s="1268"/>
      <c r="AJ612" s="1268"/>
      <c r="AK612" s="1268"/>
    </row>
    <row r="613" spans="1:37" s="218" customFormat="1" ht="19.5" customHeight="1" x14ac:dyDescent="0.2">
      <c r="A613" s="625"/>
      <c r="B613" s="625"/>
      <c r="C613" s="625"/>
      <c r="D613" s="625"/>
      <c r="E613" s="625"/>
      <c r="F613" s="625"/>
      <c r="G613" s="625"/>
      <c r="H613" s="625"/>
      <c r="I613" s="625"/>
      <c r="J613" s="625"/>
      <c r="K613" s="625"/>
      <c r="L613" s="625"/>
      <c r="M613" s="625"/>
      <c r="N613" s="625"/>
      <c r="O613" s="625"/>
      <c r="P613" s="625"/>
      <c r="Q613" s="625"/>
      <c r="R613" s="625"/>
      <c r="S613" s="646" t="s">
        <v>995</v>
      </c>
      <c r="T613" s="625"/>
      <c r="U613" s="625"/>
      <c r="V613" s="625"/>
      <c r="W613" s="625"/>
      <c r="X613" s="625"/>
      <c r="Y613" s="625"/>
      <c r="Z613" s="625"/>
      <c r="AA613" s="625"/>
      <c r="AB613" s="625"/>
      <c r="AC613" s="625"/>
      <c r="AD613" s="625"/>
      <c r="AE613" s="625"/>
      <c r="AF613" s="625"/>
      <c r="AG613" s="625"/>
      <c r="AH613" s="625"/>
      <c r="AI613" s="625"/>
      <c r="AJ613" s="625"/>
      <c r="AK613" s="625"/>
    </row>
    <row r="614" spans="1:37" ht="47.25" customHeight="1" x14ac:dyDescent="0.2">
      <c r="A614" s="620"/>
      <c r="B614" s="620"/>
      <c r="C614" s="620"/>
      <c r="D614" s="620"/>
      <c r="E614" s="620"/>
      <c r="F614" s="620"/>
      <c r="G614" s="620"/>
      <c r="H614" s="620"/>
      <c r="I614" s="620"/>
      <c r="J614" s="620"/>
      <c r="K614" s="620"/>
      <c r="L614" s="620"/>
      <c r="M614" s="620"/>
      <c r="N614" s="1072" t="s">
        <v>628</v>
      </c>
      <c r="O614" s="1073"/>
      <c r="P614" s="1271">
        <f>P582+1</f>
        <v>20</v>
      </c>
      <c r="Q614" s="1271"/>
      <c r="R614" s="1271"/>
      <c r="S614" s="571" t="s">
        <v>994</v>
      </c>
      <c r="T614" s="620"/>
      <c r="U614" s="620"/>
      <c r="V614" s="620"/>
      <c r="W614" s="620"/>
      <c r="X614" s="620"/>
      <c r="Y614" s="620"/>
      <c r="Z614" s="620"/>
      <c r="AA614" s="620"/>
      <c r="AB614" s="620"/>
      <c r="AC614" s="620"/>
      <c r="AD614" s="620"/>
      <c r="AE614" s="620"/>
      <c r="AF614" s="620"/>
      <c r="AG614" s="1072" t="s">
        <v>628</v>
      </c>
      <c r="AH614" s="1073"/>
      <c r="AI614" s="1271">
        <f>AI582+1</f>
        <v>20</v>
      </c>
      <c r="AJ614" s="1271"/>
      <c r="AK614" s="1271"/>
    </row>
    <row r="615" spans="1:37" ht="36.75" customHeight="1" x14ac:dyDescent="0.2">
      <c r="A615" s="1272" t="e">
        <f>VLOOKUP(J622,ID_archer_cible,2,FALSE)</f>
        <v>#N/A</v>
      </c>
      <c r="B615" s="1272"/>
      <c r="C615" s="1272"/>
      <c r="D615" s="1272"/>
      <c r="E615" s="1272"/>
      <c r="F615" s="1272"/>
      <c r="G615" s="1272"/>
      <c r="H615" s="1272"/>
      <c r="I615" s="1272"/>
      <c r="J615" s="1272"/>
      <c r="K615" s="1272"/>
      <c r="L615" s="1272"/>
      <c r="M615" s="1272"/>
      <c r="N615" s="1272"/>
      <c r="O615" s="1272"/>
      <c r="P615" s="1272"/>
      <c r="Q615" s="1272"/>
      <c r="R615" s="1272"/>
      <c r="S615" s="571" t="s">
        <v>994</v>
      </c>
      <c r="T615" s="1272" t="e">
        <f>VLOOKUP(AC622,ID_archer_cible,2,FALSE)</f>
        <v>#N/A</v>
      </c>
      <c r="U615" s="1272"/>
      <c r="V615" s="1272"/>
      <c r="W615" s="1272"/>
      <c r="X615" s="1272"/>
      <c r="Y615" s="1272"/>
      <c r="Z615" s="1272"/>
      <c r="AA615" s="1272"/>
      <c r="AB615" s="1272"/>
      <c r="AC615" s="1272"/>
      <c r="AD615" s="1272"/>
      <c r="AE615" s="1272"/>
      <c r="AF615" s="1272"/>
      <c r="AG615" s="1272"/>
      <c r="AH615" s="1272"/>
      <c r="AI615" s="1272"/>
      <c r="AJ615" s="1272"/>
      <c r="AK615" s="1272"/>
    </row>
    <row r="616" spans="1:37" ht="21.75" customHeight="1" x14ac:dyDescent="0.2">
      <c r="I616" s="621"/>
      <c r="J616" s="621"/>
      <c r="K616" s="621"/>
      <c r="L616" s="621"/>
      <c r="M616" s="621"/>
      <c r="N616" s="621"/>
      <c r="P616" s="619"/>
      <c r="Q616" s="619"/>
      <c r="R616" s="619"/>
      <c r="S616" s="646" t="s">
        <v>995</v>
      </c>
      <c r="AB616" s="621"/>
      <c r="AC616" s="621"/>
      <c r="AD616" s="621"/>
      <c r="AE616" s="621"/>
      <c r="AF616" s="621"/>
      <c r="AG616" s="621"/>
      <c r="AI616" s="619"/>
      <c r="AJ616" s="619"/>
      <c r="AK616" s="619"/>
    </row>
    <row r="617" spans="1:37" ht="17.25" customHeight="1" x14ac:dyDescent="0.2">
      <c r="A617" s="1125"/>
      <c r="B617" s="1125"/>
      <c r="C617" s="1125"/>
      <c r="D617" s="1125"/>
      <c r="E617" s="1125"/>
      <c r="F617" s="1125"/>
      <c r="G617" s="1125"/>
      <c r="H617" s="1125"/>
      <c r="I617" s="1125"/>
      <c r="J617" s="1125"/>
      <c r="K617" s="1125"/>
      <c r="L617" s="1125" t="s">
        <v>374</v>
      </c>
      <c r="M617" s="1125"/>
      <c r="N617" s="1125"/>
      <c r="O617" s="1125"/>
      <c r="P617" s="1125"/>
      <c r="Q617" s="1125"/>
      <c r="R617" s="1125"/>
      <c r="S617" s="571" t="s">
        <v>994</v>
      </c>
      <c r="T617" s="1125"/>
      <c r="U617" s="1125"/>
      <c r="V617" s="1125"/>
      <c r="W617" s="1125"/>
      <c r="X617" s="1125"/>
      <c r="Y617" s="1125"/>
      <c r="Z617" s="1125"/>
      <c r="AA617" s="1125"/>
      <c r="AB617" s="1125"/>
      <c r="AC617" s="1125"/>
      <c r="AD617" s="1125"/>
      <c r="AE617" s="1125" t="s">
        <v>374</v>
      </c>
      <c r="AF617" s="1125"/>
      <c r="AG617" s="1125"/>
      <c r="AH617" s="1125"/>
      <c r="AI617" s="1125"/>
      <c r="AJ617" s="1125"/>
      <c r="AK617" s="1125"/>
    </row>
    <row r="618" spans="1:37" ht="32.25" customHeight="1" x14ac:dyDescent="0.2">
      <c r="A618" s="1269" t="e">
        <f>VLOOKUP(J622,ID_archer_cible,3,FALSE)</f>
        <v>#N/A</v>
      </c>
      <c r="B618" s="1269"/>
      <c r="C618" s="1269"/>
      <c r="D618" s="1269"/>
      <c r="E618" s="1269"/>
      <c r="F618" s="1269"/>
      <c r="G618" s="1269"/>
      <c r="H618" s="1269"/>
      <c r="I618" s="1269"/>
      <c r="J618" s="1269"/>
      <c r="K618" s="1269"/>
      <c r="L618" s="1270" t="e">
        <f>VLOOKUP(J622,ID_archer_cible,4,FALSE)</f>
        <v>#N/A</v>
      </c>
      <c r="M618" s="1270"/>
      <c r="N618" s="1270"/>
      <c r="O618" s="1270"/>
      <c r="P618" s="1270"/>
      <c r="Q618" s="1270"/>
      <c r="R618" s="1270"/>
      <c r="S618" s="571" t="s">
        <v>994</v>
      </c>
      <c r="T618" s="1269" t="e">
        <f>VLOOKUP(AC622,ID_archer_cible,3,FALSE)</f>
        <v>#N/A</v>
      </c>
      <c r="U618" s="1269"/>
      <c r="V618" s="1269"/>
      <c r="W618" s="1269"/>
      <c r="X618" s="1269"/>
      <c r="Y618" s="1269"/>
      <c r="Z618" s="1269"/>
      <c r="AA618" s="1269"/>
      <c r="AB618" s="1269"/>
      <c r="AC618" s="1269"/>
      <c r="AD618" s="1269"/>
      <c r="AE618" s="1270" t="e">
        <f>VLOOKUP(AC622,ID_archer_cible,4,FALSE)</f>
        <v>#N/A</v>
      </c>
      <c r="AF618" s="1270"/>
      <c r="AG618" s="1270"/>
      <c r="AH618" s="1270"/>
      <c r="AI618" s="1270"/>
      <c r="AJ618" s="1270"/>
      <c r="AK618" s="1270"/>
    </row>
    <row r="619" spans="1:37" ht="17.25" customHeight="1" x14ac:dyDescent="0.2">
      <c r="E619" s="584"/>
      <c r="F619" s="584"/>
      <c r="G619" s="584"/>
      <c r="H619" s="584"/>
      <c r="I619" s="618"/>
      <c r="J619" s="618"/>
      <c r="K619" s="618"/>
      <c r="L619" s="618"/>
      <c r="M619" s="618"/>
      <c r="N619" s="618"/>
      <c r="P619" s="1266" t="str">
        <f>IFERROR(IF(AND(R622="oui",R623="oui",R624="oui",R625="oui"),"PRO",""),"")</f>
        <v/>
      </c>
      <c r="Q619" s="1266"/>
      <c r="R619" s="1266"/>
      <c r="S619" s="646" t="s">
        <v>995</v>
      </c>
      <c r="X619" s="584"/>
      <c r="Y619" s="584"/>
      <c r="Z619" s="584"/>
      <c r="AA619" s="584"/>
      <c r="AB619" s="618"/>
      <c r="AC619" s="618"/>
      <c r="AD619" s="618"/>
      <c r="AE619" s="618"/>
      <c r="AF619" s="618"/>
      <c r="AG619" s="618"/>
      <c r="AI619" s="1266" t="str">
        <f>IFERROR(IF(AND(AK622="oui",AK623="oui",AK624="oui",AK625="oui"),"PRO",""),"")</f>
        <v/>
      </c>
      <c r="AJ619" s="1266"/>
      <c r="AK619" s="1266"/>
    </row>
    <row r="620" spans="1:37" ht="20.25" customHeight="1" x14ac:dyDescent="0.2">
      <c r="P620" s="1267"/>
      <c r="Q620" s="1267"/>
      <c r="R620" s="1267"/>
      <c r="S620" s="571" t="s">
        <v>994</v>
      </c>
      <c r="AI620" s="1267"/>
      <c r="AJ620" s="1267"/>
      <c r="AK620" s="1267"/>
    </row>
    <row r="621" spans="1:37" ht="25.5" customHeight="1" x14ac:dyDescent="0.2">
      <c r="B621" s="1273" t="s">
        <v>906</v>
      </c>
      <c r="C621" s="1273"/>
      <c r="D621" s="1273"/>
      <c r="E621" s="1273"/>
      <c r="F621" s="1273"/>
      <c r="G621" s="1273"/>
      <c r="H621" s="1273"/>
      <c r="I621" s="1273"/>
      <c r="J621" s="622" t="s">
        <v>552</v>
      </c>
      <c r="K621" s="623" t="s">
        <v>893</v>
      </c>
      <c r="L621" s="1275" t="s">
        <v>550</v>
      </c>
      <c r="M621" s="1276"/>
      <c r="N621" s="1274" t="s">
        <v>905</v>
      </c>
      <c r="O621" s="1274"/>
      <c r="P621" s="1254" t="s">
        <v>551</v>
      </c>
      <c r="Q621" s="1254"/>
      <c r="R621" s="752" t="s">
        <v>1027</v>
      </c>
      <c r="S621" s="571" t="s">
        <v>994</v>
      </c>
      <c r="U621" s="1273" t="s">
        <v>906</v>
      </c>
      <c r="V621" s="1273"/>
      <c r="W621" s="1273"/>
      <c r="X621" s="1273"/>
      <c r="Y621" s="1273"/>
      <c r="Z621" s="1273"/>
      <c r="AA621" s="1273"/>
      <c r="AB621" s="1273"/>
      <c r="AC621" s="622" t="s">
        <v>552</v>
      </c>
      <c r="AD621" s="623" t="s">
        <v>893</v>
      </c>
      <c r="AE621" s="1275" t="s">
        <v>550</v>
      </c>
      <c r="AF621" s="1276"/>
      <c r="AG621" s="1274" t="s">
        <v>905</v>
      </c>
      <c r="AH621" s="1274"/>
      <c r="AI621" s="1254" t="s">
        <v>551</v>
      </c>
      <c r="AJ621" s="1254"/>
      <c r="AK621" s="752" t="s">
        <v>1027</v>
      </c>
    </row>
    <row r="622" spans="1:37" ht="45" customHeight="1" x14ac:dyDescent="0.2">
      <c r="B622" s="1255" t="e">
        <f>VLOOKUP(J622,ID_archer_cible,5,FALSE)&amp;"    "&amp;VLOOKUP(J622,ID_archer_cible,6,FALSE)</f>
        <v>#N/A</v>
      </c>
      <c r="C622" s="1255"/>
      <c r="D622" s="1255"/>
      <c r="E622" s="1255"/>
      <c r="F622" s="1255"/>
      <c r="G622" s="1255"/>
      <c r="H622" s="1255"/>
      <c r="I622" s="1255"/>
      <c r="J622" s="624" t="str">
        <f>P614&amp;"A"</f>
        <v>20A</v>
      </c>
      <c r="K622" s="574" t="e">
        <f>VLOOKUP(J622,ID_archer_cible,9,FALSE)</f>
        <v>#N/A</v>
      </c>
      <c r="L622" s="1256" t="e">
        <f>VLOOKUP(J622,ID_archer_cible,8,FALSE)</f>
        <v>#N/A</v>
      </c>
      <c r="M622" s="1257"/>
      <c r="N622" s="1260" t="e">
        <f>VLOOKUP(J622,ID_archer_cible,7,FALSE)</f>
        <v>#N/A</v>
      </c>
      <c r="O622" s="1261"/>
      <c r="P622" s="828" t="e">
        <f>VLOOKUP(J622,ID_archer_cible,10,FALSE)</f>
        <v>#N/A</v>
      </c>
      <c r="Q622" s="829" t="e">
        <f>IF(VLOOKUP(L622,N°LicPRO,3,FALSE)="oui","COACH","")</f>
        <v>#N/A</v>
      </c>
      <c r="R622" s="742" t="str">
        <f>IFERROR(VLOOKUP(L622,N°LicPRO,2,FALSE),"")</f>
        <v/>
      </c>
      <c r="S622" s="646" t="s">
        <v>995</v>
      </c>
      <c r="U622" s="1255" t="e">
        <f>VLOOKUP(AC622,ID_archer_cible,5,FALSE)&amp;"    "&amp;VLOOKUP(AC622,ID_archer_cible,6,FALSE)</f>
        <v>#N/A</v>
      </c>
      <c r="V622" s="1255"/>
      <c r="W622" s="1255"/>
      <c r="X622" s="1255"/>
      <c r="Y622" s="1255"/>
      <c r="Z622" s="1255"/>
      <c r="AA622" s="1255"/>
      <c r="AB622" s="1255"/>
      <c r="AC622" s="624" t="str">
        <f>AI614&amp;"A"</f>
        <v>20A</v>
      </c>
      <c r="AD622" s="574" t="e">
        <f>VLOOKUP(AC622,ID_archer_cible,9,FALSE)</f>
        <v>#N/A</v>
      </c>
      <c r="AE622" s="1256" t="e">
        <f>VLOOKUP(AC622,ID_archer_cible,8,FALSE)</f>
        <v>#N/A</v>
      </c>
      <c r="AF622" s="1257"/>
      <c r="AG622" s="1260" t="e">
        <f>VLOOKUP(AC622,ID_archer_cible,7,FALSE)</f>
        <v>#N/A</v>
      </c>
      <c r="AH622" s="1261"/>
      <c r="AI622" s="828" t="e">
        <f>VLOOKUP(AC622,ID_archer_cible,10,FALSE)</f>
        <v>#N/A</v>
      </c>
      <c r="AJ622" s="829" t="e">
        <f>IF(VLOOKUP(AE622,N°LicPRO,3,FALSE)="oui","COACH","")</f>
        <v>#N/A</v>
      </c>
      <c r="AK622" s="742" t="str">
        <f>IFERROR(VLOOKUP(AE622,N°LicPRO,2,FALSE),"")</f>
        <v/>
      </c>
    </row>
    <row r="623" spans="1:37" ht="45" customHeight="1" x14ac:dyDescent="0.2">
      <c r="B623" s="1255" t="e">
        <f>VLOOKUP(J623,ID_archer_cible,5,FALSE)&amp;"    "&amp;VLOOKUP(J623,ID_archer_cible,6,FALSE)</f>
        <v>#N/A</v>
      </c>
      <c r="C623" s="1255"/>
      <c r="D623" s="1255"/>
      <c r="E623" s="1255"/>
      <c r="F623" s="1255"/>
      <c r="G623" s="1255"/>
      <c r="H623" s="1255"/>
      <c r="I623" s="1255"/>
      <c r="J623" s="624" t="str">
        <f>P614&amp;"B"</f>
        <v>20B</v>
      </c>
      <c r="K623" s="574" t="e">
        <f>VLOOKUP(J623,ID_archer_cible,9,FALSE)</f>
        <v>#N/A</v>
      </c>
      <c r="L623" s="1256" t="e">
        <f>VLOOKUP(J623,ID_archer_cible,8,FALSE)</f>
        <v>#N/A</v>
      </c>
      <c r="M623" s="1257"/>
      <c r="N623" s="1260" t="e">
        <f>VLOOKUP(J623,ID_archer_cible,7,FALSE)</f>
        <v>#N/A</v>
      </c>
      <c r="O623" s="1261"/>
      <c r="P623" s="828" t="e">
        <f>VLOOKUP(J623,ID_archer_cible,10,FALSE)</f>
        <v>#N/A</v>
      </c>
      <c r="Q623" s="829" t="e">
        <f>IF(VLOOKUP(L623,N°LicPRO,3,FALSE)="oui","COACH","")</f>
        <v>#N/A</v>
      </c>
      <c r="R623" s="742" t="str">
        <f>IFERROR(VLOOKUP(L623,N°LicPRO,2,FALSE),"")</f>
        <v/>
      </c>
      <c r="S623" s="571" t="s">
        <v>994</v>
      </c>
      <c r="U623" s="1255" t="e">
        <f>VLOOKUP(AC623,ID_archer_cible,5,FALSE)&amp;"    "&amp;VLOOKUP(AC623,ID_archer_cible,6,FALSE)</f>
        <v>#N/A</v>
      </c>
      <c r="V623" s="1255"/>
      <c r="W623" s="1255"/>
      <c r="X623" s="1255"/>
      <c r="Y623" s="1255"/>
      <c r="Z623" s="1255"/>
      <c r="AA623" s="1255"/>
      <c r="AB623" s="1255"/>
      <c r="AC623" s="624" t="str">
        <f>AI614&amp;"B"</f>
        <v>20B</v>
      </c>
      <c r="AD623" s="574" t="e">
        <f>VLOOKUP(AC623,ID_archer_cible,9,FALSE)</f>
        <v>#N/A</v>
      </c>
      <c r="AE623" s="1256" t="e">
        <f>VLOOKUP(AC623,ID_archer_cible,8,FALSE)</f>
        <v>#N/A</v>
      </c>
      <c r="AF623" s="1257"/>
      <c r="AG623" s="1260" t="e">
        <f>VLOOKUP(AC623,ID_archer_cible,7,FALSE)</f>
        <v>#N/A</v>
      </c>
      <c r="AH623" s="1261"/>
      <c r="AI623" s="828" t="e">
        <f>VLOOKUP(AC623,ID_archer_cible,10,FALSE)</f>
        <v>#N/A</v>
      </c>
      <c r="AJ623" s="829" t="e">
        <f>IF(VLOOKUP(AE623,N°LicPRO,3,FALSE)="oui","COACH","")</f>
        <v>#N/A</v>
      </c>
      <c r="AK623" s="742" t="str">
        <f>IFERROR(VLOOKUP(AE623,N°LicPRO,2,FALSE),"")</f>
        <v/>
      </c>
    </row>
    <row r="624" spans="1:37" ht="45" customHeight="1" x14ac:dyDescent="0.2">
      <c r="B624" s="1255" t="e">
        <f>VLOOKUP(J624,ID_archer_cible,5,FALSE)&amp;"    "&amp;VLOOKUP(J624,ID_archer_cible,6,FALSE)</f>
        <v>#N/A</v>
      </c>
      <c r="C624" s="1255"/>
      <c r="D624" s="1255"/>
      <c r="E624" s="1255"/>
      <c r="F624" s="1255"/>
      <c r="G624" s="1255"/>
      <c r="H624" s="1255"/>
      <c r="I624" s="1255"/>
      <c r="J624" s="624" t="str">
        <f>P614&amp;"C"</f>
        <v>20C</v>
      </c>
      <c r="K624" s="574" t="e">
        <f>VLOOKUP(J624,ID_archer_cible,9,FALSE)</f>
        <v>#N/A</v>
      </c>
      <c r="L624" s="1256" t="e">
        <f>VLOOKUP(J624,ID_archer_cible,8,FALSE)</f>
        <v>#N/A</v>
      </c>
      <c r="M624" s="1257"/>
      <c r="N624" s="1260" t="e">
        <f>VLOOKUP(J624,ID_archer_cible,7,FALSE)</f>
        <v>#N/A</v>
      </c>
      <c r="O624" s="1261"/>
      <c r="P624" s="828" t="e">
        <f>VLOOKUP(J624,ID_archer_cible,10,FALSE)</f>
        <v>#N/A</v>
      </c>
      <c r="Q624" s="829" t="e">
        <f>IF(VLOOKUP(L624,N°LicPRO,3,FALSE)="oui","COACH","")</f>
        <v>#N/A</v>
      </c>
      <c r="R624" s="742" t="str">
        <f>IFERROR(VLOOKUP(L624,N°LicPRO,2,FALSE),"")</f>
        <v/>
      </c>
      <c r="S624" s="571" t="s">
        <v>994</v>
      </c>
      <c r="U624" s="1255" t="e">
        <f>VLOOKUP(AC624,ID_archer_cible,5,FALSE)&amp;"    "&amp;VLOOKUP(AC624,ID_archer_cible,6,FALSE)</f>
        <v>#N/A</v>
      </c>
      <c r="V624" s="1255"/>
      <c r="W624" s="1255"/>
      <c r="X624" s="1255"/>
      <c r="Y624" s="1255"/>
      <c r="Z624" s="1255"/>
      <c r="AA624" s="1255"/>
      <c r="AB624" s="1255"/>
      <c r="AC624" s="624" t="str">
        <f>AI614&amp;"C"</f>
        <v>20C</v>
      </c>
      <c r="AD624" s="574" t="e">
        <f>VLOOKUP(AC624,ID_archer_cible,9,FALSE)</f>
        <v>#N/A</v>
      </c>
      <c r="AE624" s="1256" t="e">
        <f>VLOOKUP(AC624,ID_archer_cible,8,FALSE)</f>
        <v>#N/A</v>
      </c>
      <c r="AF624" s="1257"/>
      <c r="AG624" s="1260" t="e">
        <f>VLOOKUP(AC624,ID_archer_cible,7,FALSE)</f>
        <v>#N/A</v>
      </c>
      <c r="AH624" s="1261"/>
      <c r="AI624" s="828" t="e">
        <f>VLOOKUP(AC624,ID_archer_cible,10,FALSE)</f>
        <v>#N/A</v>
      </c>
      <c r="AJ624" s="829" t="e">
        <f>IF(VLOOKUP(AE624,N°LicPRO,3,FALSE)="oui","COACH","")</f>
        <v>#N/A</v>
      </c>
      <c r="AK624" s="742" t="str">
        <f>IFERROR(VLOOKUP(AE624,N°LicPRO,2,FALSE),"")</f>
        <v/>
      </c>
    </row>
    <row r="625" spans="2:37" ht="45" customHeight="1" x14ac:dyDescent="0.2">
      <c r="B625" s="1255" t="e">
        <f>VLOOKUP(J625,ID_archer_cible,5,FALSE)&amp;"    "&amp;VLOOKUP(J625,ID_archer_cible,6,FALSE)</f>
        <v>#N/A</v>
      </c>
      <c r="C625" s="1255"/>
      <c r="D625" s="1255"/>
      <c r="E625" s="1255"/>
      <c r="F625" s="1255"/>
      <c r="G625" s="1255"/>
      <c r="H625" s="1255"/>
      <c r="I625" s="1255"/>
      <c r="J625" s="624" t="str">
        <f>P614&amp;"D"</f>
        <v>20D</v>
      </c>
      <c r="K625" s="574" t="e">
        <f>VLOOKUP(J625,ID_archer_cible,9,FALSE)</f>
        <v>#N/A</v>
      </c>
      <c r="L625" s="1256" t="e">
        <f>VLOOKUP(J625,ID_archer_cible,8,FALSE)</f>
        <v>#N/A</v>
      </c>
      <c r="M625" s="1257"/>
      <c r="N625" s="1260" t="e">
        <f>VLOOKUP(J625,ID_archer_cible,7,FALSE)</f>
        <v>#N/A</v>
      </c>
      <c r="O625" s="1261"/>
      <c r="P625" s="828" t="e">
        <f>VLOOKUP(J625,ID_archer_cible,10,FALSE)</f>
        <v>#N/A</v>
      </c>
      <c r="Q625" s="829" t="e">
        <f>IF(VLOOKUP(L625,N°LicPRO,3,FALSE)="oui","COACH","")</f>
        <v>#N/A</v>
      </c>
      <c r="R625" s="742" t="str">
        <f>IFERROR(VLOOKUP(L625,N°LicPRO,2,FALSE),"")</f>
        <v/>
      </c>
      <c r="S625" s="646" t="s">
        <v>995</v>
      </c>
      <c r="U625" s="1255" t="e">
        <f>VLOOKUP(AC625,ID_archer_cible,5,FALSE)&amp;"    "&amp;VLOOKUP(AC625,ID_archer_cible,6,FALSE)</f>
        <v>#N/A</v>
      </c>
      <c r="V625" s="1255"/>
      <c r="W625" s="1255"/>
      <c r="X625" s="1255"/>
      <c r="Y625" s="1255"/>
      <c r="Z625" s="1255"/>
      <c r="AA625" s="1255"/>
      <c r="AB625" s="1255"/>
      <c r="AC625" s="624" t="str">
        <f>AI614&amp;"D"</f>
        <v>20D</v>
      </c>
      <c r="AD625" s="574" t="e">
        <f>VLOOKUP(AC625,ID_archer_cible,9,FALSE)</f>
        <v>#N/A</v>
      </c>
      <c r="AE625" s="1256" t="e">
        <f>VLOOKUP(AC625,ID_archer_cible,8,FALSE)</f>
        <v>#N/A</v>
      </c>
      <c r="AF625" s="1257"/>
      <c r="AG625" s="1260" t="e">
        <f>VLOOKUP(AC625,ID_archer_cible,7,FALSE)</f>
        <v>#N/A</v>
      </c>
      <c r="AH625" s="1261"/>
      <c r="AI625" s="828" t="e">
        <f>VLOOKUP(AC625,ID_archer_cible,10,FALSE)</f>
        <v>#N/A</v>
      </c>
      <c r="AJ625" s="829" t="e">
        <f>IF(VLOOKUP(AE625,N°LicPRO,3,FALSE)="oui","COACH","")</f>
        <v>#N/A</v>
      </c>
      <c r="AK625" s="742" t="str">
        <f>IFERROR(VLOOKUP(AE625,N°LicPRO,2,FALSE),"")</f>
        <v/>
      </c>
    </row>
    <row r="626" spans="2:37" ht="15" customHeight="1" x14ac:dyDescent="0.2">
      <c r="S626" s="571" t="s">
        <v>994</v>
      </c>
    </row>
    <row r="627" spans="2:37" ht="15" customHeight="1" x14ac:dyDescent="0.2">
      <c r="B627" s="508" t="s">
        <v>975</v>
      </c>
      <c r="S627" s="571" t="s">
        <v>994</v>
      </c>
      <c r="U627" s="508" t="s">
        <v>975</v>
      </c>
    </row>
    <row r="628" spans="2:37" ht="15" customHeight="1" x14ac:dyDescent="0.2">
      <c r="B628" s="1259" t="s">
        <v>974</v>
      </c>
      <c r="C628" s="1259"/>
      <c r="D628" s="1259"/>
      <c r="E628" s="1259"/>
      <c r="F628" s="1199" t="str">
        <f>Info_TirQ</f>
        <v>J2 8:30-9:00 Ent. 9:00-10:30 Tirs Qual.</v>
      </c>
      <c r="G628" s="1199"/>
      <c r="H628" s="1199"/>
      <c r="I628" s="1199"/>
      <c r="J628" s="1199"/>
      <c r="K628" s="1258" t="s">
        <v>978</v>
      </c>
      <c r="L628" s="1258"/>
      <c r="M628" s="1258"/>
      <c r="N628" s="1258"/>
      <c r="O628" s="1258"/>
      <c r="S628" s="646" t="s">
        <v>995</v>
      </c>
      <c r="U628" s="1259" t="s">
        <v>974</v>
      </c>
      <c r="V628" s="1259"/>
      <c r="W628" s="1259"/>
      <c r="X628" s="1259"/>
      <c r="Y628" s="1199" t="str">
        <f>Info_TirQ</f>
        <v>J2 8:30-9:00 Ent. 9:00-10:30 Tirs Qual.</v>
      </c>
      <c r="Z628" s="1199"/>
      <c r="AA628" s="1199"/>
      <c r="AB628" s="1199"/>
      <c r="AC628" s="1199"/>
      <c r="AD628" s="1258" t="s">
        <v>978</v>
      </c>
      <c r="AE628" s="1258"/>
      <c r="AF628" s="1258"/>
      <c r="AG628" s="1258"/>
      <c r="AH628" s="1258"/>
    </row>
    <row r="629" spans="2:37" ht="15" customHeight="1" x14ac:dyDescent="0.2">
      <c r="B629" s="1259" t="s">
        <v>484</v>
      </c>
      <c r="C629" s="1259"/>
      <c r="D629" s="1259"/>
      <c r="E629" s="1259"/>
      <c r="F629" s="1199" t="str">
        <f>Info_D1</f>
        <v>J2 13:30-14:20  1er DUEL</v>
      </c>
      <c r="G629" s="1199"/>
      <c r="H629" s="1199"/>
      <c r="I629" s="1199"/>
      <c r="J629" s="1199"/>
      <c r="K629" s="1258"/>
      <c r="L629" s="1258"/>
      <c r="M629" s="1258"/>
      <c r="N629" s="1258"/>
      <c r="O629" s="1258"/>
      <c r="S629" s="571" t="s">
        <v>994</v>
      </c>
      <c r="U629" s="1259" t="s">
        <v>484</v>
      </c>
      <c r="V629" s="1259"/>
      <c r="W629" s="1259"/>
      <c r="X629" s="1259"/>
      <c r="Y629" s="1199" t="str">
        <f>Info_D1</f>
        <v>J2 13:30-14:20  1er DUEL</v>
      </c>
      <c r="Z629" s="1199"/>
      <c r="AA629" s="1199"/>
      <c r="AB629" s="1199"/>
      <c r="AC629" s="1199"/>
      <c r="AD629" s="1258"/>
      <c r="AE629" s="1258"/>
      <c r="AF629" s="1258"/>
      <c r="AG629" s="1258"/>
      <c r="AH629" s="1258"/>
    </row>
    <row r="630" spans="2:37" ht="15" customHeight="1" x14ac:dyDescent="0.2">
      <c r="B630" s="1259" t="s">
        <v>972</v>
      </c>
      <c r="C630" s="1259"/>
      <c r="D630" s="1259"/>
      <c r="E630" s="1259"/>
      <c r="F630" s="1199" t="str">
        <f>Info_D2</f>
        <v>J2 14:30-15:20 2ème DUEL</v>
      </c>
      <c r="G630" s="1199"/>
      <c r="H630" s="1199"/>
      <c r="I630" s="1199"/>
      <c r="J630" s="1199"/>
      <c r="K630" s="1258"/>
      <c r="L630" s="1258"/>
      <c r="M630" s="1258"/>
      <c r="N630" s="1258"/>
      <c r="O630" s="1258"/>
      <c r="S630" s="571" t="s">
        <v>994</v>
      </c>
      <c r="U630" s="1259" t="s">
        <v>972</v>
      </c>
      <c r="V630" s="1259"/>
      <c r="W630" s="1259"/>
      <c r="X630" s="1259"/>
      <c r="Y630" s="1199" t="str">
        <f>Info_D2</f>
        <v>J2 14:30-15:20 2ème DUEL</v>
      </c>
      <c r="Z630" s="1199"/>
      <c r="AA630" s="1199"/>
      <c r="AB630" s="1199"/>
      <c r="AC630" s="1199"/>
      <c r="AD630" s="1258"/>
      <c r="AE630" s="1258"/>
      <c r="AF630" s="1258"/>
      <c r="AG630" s="1258"/>
      <c r="AH630" s="1258"/>
    </row>
    <row r="631" spans="2:37" ht="15" customHeight="1" x14ac:dyDescent="0.2">
      <c r="B631" s="1259" t="s">
        <v>973</v>
      </c>
      <c r="C631" s="1259"/>
      <c r="D631" s="1259"/>
      <c r="E631" s="1259"/>
      <c r="F631" s="1199" t="str">
        <f>Info_D3</f>
        <v>J3 10-10:50 Match pl. 5 à +  ETAB - EX</v>
      </c>
      <c r="G631" s="1199"/>
      <c r="H631" s="1199"/>
      <c r="I631" s="1199"/>
      <c r="J631" s="1199"/>
      <c r="K631" s="1258"/>
      <c r="L631" s="1258"/>
      <c r="M631" s="1258"/>
      <c r="N631" s="1258"/>
      <c r="O631" s="1258"/>
      <c r="S631" s="646" t="s">
        <v>995</v>
      </c>
      <c r="U631" s="1259" t="s">
        <v>973</v>
      </c>
      <c r="V631" s="1259"/>
      <c r="W631" s="1259"/>
      <c r="X631" s="1259"/>
      <c r="Y631" s="1199" t="str">
        <f>Info_D3</f>
        <v>J3 10-10:50 Match pl. 5 à +  ETAB - EX</v>
      </c>
      <c r="Z631" s="1199"/>
      <c r="AA631" s="1199"/>
      <c r="AB631" s="1199"/>
      <c r="AC631" s="1199"/>
      <c r="AD631" s="1258"/>
      <c r="AE631" s="1258"/>
      <c r="AF631" s="1258"/>
      <c r="AG631" s="1258"/>
      <c r="AH631" s="1258"/>
    </row>
    <row r="632" spans="2:37" ht="24.75" customHeight="1" x14ac:dyDescent="0.2">
      <c r="B632" s="626" t="s">
        <v>976</v>
      </c>
      <c r="S632" s="571" t="s">
        <v>994</v>
      </c>
      <c r="U632" s="626" t="s">
        <v>976</v>
      </c>
    </row>
    <row r="633" spans="2:37" ht="134.25" customHeight="1" x14ac:dyDescent="0.2">
      <c r="B633"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C633" s="1264"/>
      <c r="D633" s="1264"/>
      <c r="E633" s="1264"/>
      <c r="F633" s="1264"/>
      <c r="G633" s="1264"/>
      <c r="H633" s="1264"/>
      <c r="I633" s="1264"/>
      <c r="J633" s="1264"/>
      <c r="K633" s="1264"/>
      <c r="L633" s="1264"/>
      <c r="M633" s="1264"/>
      <c r="N633" s="1264"/>
      <c r="O633" s="1264"/>
      <c r="P633" s="1265"/>
      <c r="S633" s="571" t="s">
        <v>994</v>
      </c>
      <c r="U633"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V633" s="1264"/>
      <c r="W633" s="1264"/>
      <c r="X633" s="1264"/>
      <c r="Y633" s="1264"/>
      <c r="Z633" s="1264"/>
      <c r="AA633" s="1264"/>
      <c r="AB633" s="1264"/>
      <c r="AC633" s="1264"/>
      <c r="AD633" s="1264"/>
      <c r="AE633" s="1264"/>
      <c r="AF633" s="1264"/>
      <c r="AG633" s="1264"/>
      <c r="AH633" s="1264"/>
      <c r="AI633" s="1265"/>
    </row>
    <row r="634" spans="2:37" ht="15" customHeight="1" x14ac:dyDescent="0.2">
      <c r="C634" s="508" t="s">
        <v>964</v>
      </c>
      <c r="K634" s="508" t="s">
        <v>965</v>
      </c>
      <c r="O634" s="508" t="s">
        <v>966</v>
      </c>
      <c r="S634" s="646" t="s">
        <v>995</v>
      </c>
      <c r="V634" s="508" t="s">
        <v>964</v>
      </c>
      <c r="AD634" s="508" t="s">
        <v>965</v>
      </c>
      <c r="AH634" s="508" t="s">
        <v>966</v>
      </c>
    </row>
    <row r="635" spans="2:37" ht="15" customHeight="1" x14ac:dyDescent="0.2">
      <c r="S635" s="571" t="s">
        <v>994</v>
      </c>
    </row>
    <row r="636" spans="2:37" ht="15" customHeight="1" x14ac:dyDescent="0.2">
      <c r="S636" s="571" t="s">
        <v>994</v>
      </c>
    </row>
    <row r="637" spans="2:37" ht="15" customHeight="1" x14ac:dyDescent="0.2">
      <c r="S637" s="646" t="s">
        <v>995</v>
      </c>
    </row>
    <row r="638" spans="2:37" ht="15" customHeight="1" x14ac:dyDescent="0.2">
      <c r="S638" s="571" t="s">
        <v>994</v>
      </c>
    </row>
    <row r="639" spans="2:37" ht="15" customHeight="1" x14ac:dyDescent="0.2">
      <c r="S639" s="571" t="s">
        <v>994</v>
      </c>
    </row>
    <row r="640" spans="2:37" ht="21.75" x14ac:dyDescent="0.2">
      <c r="S640" s="646" t="s">
        <v>995</v>
      </c>
    </row>
    <row r="641" spans="1:37" x14ac:dyDescent="0.2">
      <c r="S641" s="571" t="s">
        <v>994</v>
      </c>
    </row>
    <row r="642" spans="1:37" ht="30" x14ac:dyDescent="0.2">
      <c r="A642" s="1262" t="str">
        <f>Championnat</f>
        <v>Championnat de France de Tir à l'ARC</v>
      </c>
      <c r="B642" s="1262"/>
      <c r="C642" s="1262"/>
      <c r="D642" s="1262"/>
      <c r="E642" s="1262"/>
      <c r="F642" s="1262"/>
      <c r="G642" s="1262"/>
      <c r="H642" s="1262"/>
      <c r="I642" s="1262"/>
      <c r="J642" s="1262"/>
      <c r="K642" s="1262"/>
      <c r="L642" s="1262"/>
      <c r="M642" s="1262"/>
      <c r="N642" s="1262"/>
      <c r="O642" s="1262"/>
      <c r="P642" s="1262"/>
      <c r="Q642" s="1262"/>
      <c r="R642" s="1262"/>
      <c r="S642" s="571" t="s">
        <v>994</v>
      </c>
      <c r="T642" s="1262" t="str">
        <f>Championnat</f>
        <v>Championnat de France de Tir à l'ARC</v>
      </c>
      <c r="U642" s="1262"/>
      <c r="V642" s="1262"/>
      <c r="W642" s="1262"/>
      <c r="X642" s="1262"/>
      <c r="Y642" s="1262"/>
      <c r="Z642" s="1262"/>
      <c r="AA642" s="1262"/>
      <c r="AB642" s="1262"/>
      <c r="AC642" s="1262"/>
      <c r="AD642" s="1262"/>
      <c r="AE642" s="1262"/>
      <c r="AF642" s="1262"/>
      <c r="AG642" s="1262"/>
      <c r="AH642" s="1262"/>
      <c r="AI642" s="1262"/>
      <c r="AJ642" s="1262"/>
      <c r="AK642" s="1262"/>
    </row>
    <row r="643" spans="1:37" ht="24.75" customHeight="1" x14ac:dyDescent="0.2">
      <c r="A643" s="1184" t="str">
        <f>LIEU&amp;" du "&amp;DATE</f>
        <v>L’Isle sur la Sorgue du 27 au 31 mars 2023</v>
      </c>
      <c r="B643" s="1184"/>
      <c r="C643" s="1184"/>
      <c r="D643" s="1184"/>
      <c r="E643" s="1184"/>
      <c r="F643" s="1184"/>
      <c r="G643" s="1184"/>
      <c r="H643" s="1184"/>
      <c r="I643" s="1184"/>
      <c r="J643" s="1184"/>
      <c r="K643" s="1184"/>
      <c r="L643" s="1184"/>
      <c r="M643" s="1184"/>
      <c r="N643" s="1184"/>
      <c r="O643" s="1184"/>
      <c r="P643" s="1184"/>
      <c r="Q643" s="1184"/>
      <c r="R643" s="1184"/>
      <c r="S643" s="646" t="s">
        <v>995</v>
      </c>
      <c r="T643" s="1184" t="str">
        <f>LIEU&amp;" du "&amp;DATE</f>
        <v>L’Isle sur la Sorgue du 27 au 31 mars 2023</v>
      </c>
      <c r="U643" s="1184"/>
      <c r="V643" s="1184"/>
      <c r="W643" s="1184"/>
      <c r="X643" s="1184"/>
      <c r="Y643" s="1184"/>
      <c r="Z643" s="1184"/>
      <c r="AA643" s="1184"/>
      <c r="AB643" s="1184"/>
      <c r="AC643" s="1184"/>
      <c r="AD643" s="1184"/>
      <c r="AE643" s="1184"/>
      <c r="AF643" s="1184"/>
      <c r="AG643" s="1184"/>
      <c r="AH643" s="1184"/>
      <c r="AI643" s="1184"/>
      <c r="AJ643" s="1184"/>
      <c r="AK643" s="1184"/>
    </row>
    <row r="644" spans="1:37" s="218" customFormat="1" ht="40.5" customHeight="1" x14ac:dyDescent="0.2">
      <c r="A644" s="1268" t="str">
        <f>CATEG_IMPORTEE</f>
        <v>Collèges Mixtes Etablissement</v>
      </c>
      <c r="B644" s="1268"/>
      <c r="C644" s="1268"/>
      <c r="D644" s="1268"/>
      <c r="E644" s="1268"/>
      <c r="F644" s="1268"/>
      <c r="G644" s="1268"/>
      <c r="H644" s="1268"/>
      <c r="I644" s="1268"/>
      <c r="J644" s="1268"/>
      <c r="K644" s="1268"/>
      <c r="L644" s="1268"/>
      <c r="M644" s="1268"/>
      <c r="N644" s="1268"/>
      <c r="O644" s="1268"/>
      <c r="P644" s="1268"/>
      <c r="Q644" s="1268"/>
      <c r="R644" s="1268"/>
      <c r="S644" s="571" t="s">
        <v>994</v>
      </c>
      <c r="T644" s="1268" t="str">
        <f>CATEG_IMPORTEE</f>
        <v>Collèges Mixtes Etablissement</v>
      </c>
      <c r="U644" s="1268"/>
      <c r="V644" s="1268"/>
      <c r="W644" s="1268"/>
      <c r="X644" s="1268"/>
      <c r="Y644" s="1268"/>
      <c r="Z644" s="1268"/>
      <c r="AA644" s="1268"/>
      <c r="AB644" s="1268"/>
      <c r="AC644" s="1268"/>
      <c r="AD644" s="1268"/>
      <c r="AE644" s="1268"/>
      <c r="AF644" s="1268"/>
      <c r="AG644" s="1268"/>
      <c r="AH644" s="1268"/>
      <c r="AI644" s="1268"/>
      <c r="AJ644" s="1268"/>
      <c r="AK644" s="1268"/>
    </row>
    <row r="645" spans="1:37" s="218" customFormat="1" ht="19.5" customHeight="1" x14ac:dyDescent="0.2">
      <c r="A645" s="625"/>
      <c r="B645" s="625"/>
      <c r="C645" s="625"/>
      <c r="D645" s="625"/>
      <c r="E645" s="625"/>
      <c r="F645" s="625"/>
      <c r="G645" s="625"/>
      <c r="H645" s="625"/>
      <c r="I645" s="625"/>
      <c r="J645" s="625"/>
      <c r="K645" s="625"/>
      <c r="L645" s="625"/>
      <c r="M645" s="625"/>
      <c r="N645" s="625"/>
      <c r="O645" s="625"/>
      <c r="P645" s="625"/>
      <c r="Q645" s="625"/>
      <c r="R645" s="625"/>
      <c r="S645" s="571" t="s">
        <v>994</v>
      </c>
      <c r="T645" s="625"/>
      <c r="U645" s="625"/>
      <c r="V645" s="625"/>
      <c r="W645" s="625"/>
      <c r="X645" s="625"/>
      <c r="Y645" s="625"/>
      <c r="Z645" s="625"/>
      <c r="AA645" s="625"/>
      <c r="AB645" s="625"/>
      <c r="AC645" s="625"/>
      <c r="AD645" s="625"/>
      <c r="AE645" s="625"/>
      <c r="AF645" s="625"/>
      <c r="AG645" s="625"/>
      <c r="AH645" s="625"/>
      <c r="AI645" s="625"/>
      <c r="AJ645" s="625"/>
      <c r="AK645" s="625"/>
    </row>
    <row r="646" spans="1:37" ht="47.25" customHeight="1" x14ac:dyDescent="0.2">
      <c r="A646" s="620"/>
      <c r="B646" s="620"/>
      <c r="C646" s="620"/>
      <c r="D646" s="620"/>
      <c r="E646" s="620"/>
      <c r="F646" s="620"/>
      <c r="G646" s="620"/>
      <c r="H646" s="620"/>
      <c r="I646" s="620"/>
      <c r="J646" s="620"/>
      <c r="K646" s="620"/>
      <c r="L646" s="620"/>
      <c r="M646" s="620"/>
      <c r="N646" s="1072" t="s">
        <v>628</v>
      </c>
      <c r="O646" s="1073"/>
      <c r="P646" s="1271">
        <f>P614+1</f>
        <v>21</v>
      </c>
      <c r="Q646" s="1271"/>
      <c r="R646" s="1271"/>
      <c r="S646" s="646" t="s">
        <v>995</v>
      </c>
      <c r="T646" s="620"/>
      <c r="U646" s="620"/>
      <c r="V646" s="620"/>
      <c r="W646" s="620"/>
      <c r="X646" s="620"/>
      <c r="Y646" s="620"/>
      <c r="Z646" s="620"/>
      <c r="AA646" s="620"/>
      <c r="AB646" s="620"/>
      <c r="AC646" s="620"/>
      <c r="AD646" s="620"/>
      <c r="AE646" s="620"/>
      <c r="AF646" s="620"/>
      <c r="AG646" s="1072" t="s">
        <v>628</v>
      </c>
      <c r="AH646" s="1073"/>
      <c r="AI646" s="1271">
        <f>AI614+1</f>
        <v>21</v>
      </c>
      <c r="AJ646" s="1271"/>
      <c r="AK646" s="1271"/>
    </row>
    <row r="647" spans="1:37" ht="36.75" customHeight="1" x14ac:dyDescent="0.2">
      <c r="A647" s="1272" t="e">
        <f>VLOOKUP(J654,ID_archer_cible,2,FALSE)</f>
        <v>#N/A</v>
      </c>
      <c r="B647" s="1272"/>
      <c r="C647" s="1272"/>
      <c r="D647" s="1272"/>
      <c r="E647" s="1272"/>
      <c r="F647" s="1272"/>
      <c r="G647" s="1272"/>
      <c r="H647" s="1272"/>
      <c r="I647" s="1272"/>
      <c r="J647" s="1272"/>
      <c r="K647" s="1272"/>
      <c r="L647" s="1272"/>
      <c r="M647" s="1272"/>
      <c r="N647" s="1272"/>
      <c r="O647" s="1272"/>
      <c r="P647" s="1272"/>
      <c r="Q647" s="1272"/>
      <c r="R647" s="1272"/>
      <c r="S647" s="571" t="s">
        <v>994</v>
      </c>
      <c r="T647" s="1272" t="e">
        <f>VLOOKUP(AC654,ID_archer_cible,2,FALSE)</f>
        <v>#N/A</v>
      </c>
      <c r="U647" s="1272"/>
      <c r="V647" s="1272"/>
      <c r="W647" s="1272"/>
      <c r="X647" s="1272"/>
      <c r="Y647" s="1272"/>
      <c r="Z647" s="1272"/>
      <c r="AA647" s="1272"/>
      <c r="AB647" s="1272"/>
      <c r="AC647" s="1272"/>
      <c r="AD647" s="1272"/>
      <c r="AE647" s="1272"/>
      <c r="AF647" s="1272"/>
      <c r="AG647" s="1272"/>
      <c r="AH647" s="1272"/>
      <c r="AI647" s="1272"/>
      <c r="AJ647" s="1272"/>
      <c r="AK647" s="1272"/>
    </row>
    <row r="648" spans="1:37" ht="21.75" customHeight="1" x14ac:dyDescent="0.2">
      <c r="I648" s="621"/>
      <c r="J648" s="621"/>
      <c r="K648" s="621"/>
      <c r="L648" s="621"/>
      <c r="M648" s="621"/>
      <c r="N648" s="621"/>
      <c r="P648" s="619"/>
      <c r="Q648" s="619"/>
      <c r="R648" s="619"/>
      <c r="S648" s="571" t="s">
        <v>994</v>
      </c>
      <c r="AB648" s="621"/>
      <c r="AC648" s="621"/>
      <c r="AD648" s="621"/>
      <c r="AE648" s="621"/>
      <c r="AF648" s="621"/>
      <c r="AG648" s="621"/>
      <c r="AI648" s="619"/>
      <c r="AJ648" s="619"/>
      <c r="AK648" s="619"/>
    </row>
    <row r="649" spans="1:37" ht="17.25" customHeight="1" x14ac:dyDescent="0.2">
      <c r="A649" s="1125"/>
      <c r="B649" s="1125"/>
      <c r="C649" s="1125"/>
      <c r="D649" s="1125"/>
      <c r="E649" s="1125"/>
      <c r="F649" s="1125"/>
      <c r="G649" s="1125"/>
      <c r="H649" s="1125"/>
      <c r="I649" s="1125"/>
      <c r="J649" s="1125"/>
      <c r="K649" s="1125"/>
      <c r="L649" s="1125" t="s">
        <v>374</v>
      </c>
      <c r="M649" s="1125"/>
      <c r="N649" s="1125"/>
      <c r="O649" s="1125"/>
      <c r="P649" s="1125"/>
      <c r="Q649" s="1125"/>
      <c r="R649" s="1125"/>
      <c r="S649" s="646" t="s">
        <v>995</v>
      </c>
      <c r="T649" s="1125"/>
      <c r="U649" s="1125"/>
      <c r="V649" s="1125"/>
      <c r="W649" s="1125"/>
      <c r="X649" s="1125"/>
      <c r="Y649" s="1125"/>
      <c r="Z649" s="1125"/>
      <c r="AA649" s="1125"/>
      <c r="AB649" s="1125"/>
      <c r="AC649" s="1125"/>
      <c r="AD649" s="1125"/>
      <c r="AE649" s="1125" t="s">
        <v>374</v>
      </c>
      <c r="AF649" s="1125"/>
      <c r="AG649" s="1125"/>
      <c r="AH649" s="1125"/>
      <c r="AI649" s="1125"/>
      <c r="AJ649" s="1125"/>
      <c r="AK649" s="1125"/>
    </row>
    <row r="650" spans="1:37" ht="32.25" customHeight="1" x14ac:dyDescent="0.2">
      <c r="A650" s="1269" t="e">
        <f>VLOOKUP(J654,ID_archer_cible,3,FALSE)</f>
        <v>#N/A</v>
      </c>
      <c r="B650" s="1269"/>
      <c r="C650" s="1269"/>
      <c r="D650" s="1269"/>
      <c r="E650" s="1269"/>
      <c r="F650" s="1269"/>
      <c r="G650" s="1269"/>
      <c r="H650" s="1269"/>
      <c r="I650" s="1269"/>
      <c r="J650" s="1269"/>
      <c r="K650" s="1269"/>
      <c r="L650" s="1270" t="e">
        <f>VLOOKUP(J654,ID_archer_cible,4,FALSE)</f>
        <v>#N/A</v>
      </c>
      <c r="M650" s="1270"/>
      <c r="N650" s="1270"/>
      <c r="O650" s="1270"/>
      <c r="P650" s="1270"/>
      <c r="Q650" s="1270"/>
      <c r="R650" s="1270"/>
      <c r="S650" s="571" t="s">
        <v>994</v>
      </c>
      <c r="T650" s="1269" t="e">
        <f>VLOOKUP(AC654,ID_archer_cible,3,FALSE)</f>
        <v>#N/A</v>
      </c>
      <c r="U650" s="1269"/>
      <c r="V650" s="1269"/>
      <c r="W650" s="1269"/>
      <c r="X650" s="1269"/>
      <c r="Y650" s="1269"/>
      <c r="Z650" s="1269"/>
      <c r="AA650" s="1269"/>
      <c r="AB650" s="1269"/>
      <c r="AC650" s="1269"/>
      <c r="AD650" s="1269"/>
      <c r="AE650" s="1270" t="e">
        <f>VLOOKUP(AC654,ID_archer_cible,4,FALSE)</f>
        <v>#N/A</v>
      </c>
      <c r="AF650" s="1270"/>
      <c r="AG650" s="1270"/>
      <c r="AH650" s="1270"/>
      <c r="AI650" s="1270"/>
      <c r="AJ650" s="1270"/>
      <c r="AK650" s="1270"/>
    </row>
    <row r="651" spans="1:37" ht="17.25" customHeight="1" x14ac:dyDescent="0.2">
      <c r="E651" s="584"/>
      <c r="F651" s="584"/>
      <c r="G651" s="584"/>
      <c r="H651" s="584"/>
      <c r="I651" s="618"/>
      <c r="J651" s="618"/>
      <c r="K651" s="618"/>
      <c r="L651" s="618"/>
      <c r="M651" s="618"/>
      <c r="N651" s="618"/>
      <c r="P651" s="1266" t="str">
        <f>IFERROR(IF(AND(R654="oui",R655="oui",R656="oui",R657="oui"),"PRO",""),"")</f>
        <v/>
      </c>
      <c r="Q651" s="1266"/>
      <c r="R651" s="1266"/>
      <c r="S651" s="571" t="s">
        <v>994</v>
      </c>
      <c r="X651" s="584"/>
      <c r="Y651" s="584"/>
      <c r="Z651" s="584"/>
      <c r="AA651" s="584"/>
      <c r="AB651" s="618"/>
      <c r="AC651" s="618"/>
      <c r="AD651" s="618"/>
      <c r="AE651" s="618"/>
      <c r="AF651" s="618"/>
      <c r="AG651" s="618"/>
      <c r="AI651" s="1266" t="str">
        <f>IFERROR(IF(AND(AK654="oui",AK655="oui",AK656="oui",AK657="oui"),"PRO",""),"")</f>
        <v/>
      </c>
      <c r="AJ651" s="1266"/>
      <c r="AK651" s="1266"/>
    </row>
    <row r="652" spans="1:37" ht="20.25" customHeight="1" x14ac:dyDescent="0.2">
      <c r="P652" s="1267"/>
      <c r="Q652" s="1267"/>
      <c r="R652" s="1267"/>
      <c r="S652" s="646" t="s">
        <v>995</v>
      </c>
      <c r="AI652" s="1267"/>
      <c r="AJ652" s="1267"/>
      <c r="AK652" s="1267"/>
    </row>
    <row r="653" spans="1:37" ht="25.5" customHeight="1" x14ac:dyDescent="0.2">
      <c r="B653" s="1273" t="s">
        <v>906</v>
      </c>
      <c r="C653" s="1273"/>
      <c r="D653" s="1273"/>
      <c r="E653" s="1273"/>
      <c r="F653" s="1273"/>
      <c r="G653" s="1273"/>
      <c r="H653" s="1273"/>
      <c r="I653" s="1273"/>
      <c r="J653" s="622" t="s">
        <v>552</v>
      </c>
      <c r="K653" s="623" t="s">
        <v>893</v>
      </c>
      <c r="L653" s="1275" t="s">
        <v>550</v>
      </c>
      <c r="M653" s="1276"/>
      <c r="N653" s="1274" t="s">
        <v>905</v>
      </c>
      <c r="O653" s="1274"/>
      <c r="P653" s="1254" t="s">
        <v>551</v>
      </c>
      <c r="Q653" s="1254"/>
      <c r="R653" s="752" t="s">
        <v>1027</v>
      </c>
      <c r="S653" s="571" t="s">
        <v>994</v>
      </c>
      <c r="U653" s="1273" t="s">
        <v>906</v>
      </c>
      <c r="V653" s="1273"/>
      <c r="W653" s="1273"/>
      <c r="X653" s="1273"/>
      <c r="Y653" s="1273"/>
      <c r="Z653" s="1273"/>
      <c r="AA653" s="1273"/>
      <c r="AB653" s="1273"/>
      <c r="AC653" s="622" t="s">
        <v>552</v>
      </c>
      <c r="AD653" s="623" t="s">
        <v>893</v>
      </c>
      <c r="AE653" s="1275" t="s">
        <v>550</v>
      </c>
      <c r="AF653" s="1276"/>
      <c r="AG653" s="1274" t="s">
        <v>905</v>
      </c>
      <c r="AH653" s="1274"/>
      <c r="AI653" s="1254" t="s">
        <v>551</v>
      </c>
      <c r="AJ653" s="1254"/>
      <c r="AK653" s="752" t="s">
        <v>1027</v>
      </c>
    </row>
    <row r="654" spans="1:37" ht="45" customHeight="1" x14ac:dyDescent="0.2">
      <c r="B654" s="1255" t="e">
        <f>VLOOKUP(J654,ID_archer_cible,5,FALSE)&amp;"    "&amp;VLOOKUP(J654,ID_archer_cible,6,FALSE)</f>
        <v>#N/A</v>
      </c>
      <c r="C654" s="1255"/>
      <c r="D654" s="1255"/>
      <c r="E654" s="1255"/>
      <c r="F654" s="1255"/>
      <c r="G654" s="1255"/>
      <c r="H654" s="1255"/>
      <c r="I654" s="1255"/>
      <c r="J654" s="624" t="str">
        <f>P646&amp;"A"</f>
        <v>21A</v>
      </c>
      <c r="K654" s="574" t="e">
        <f>VLOOKUP(J654,ID_archer_cible,9,FALSE)</f>
        <v>#N/A</v>
      </c>
      <c r="L654" s="1256" t="e">
        <f>VLOOKUP(J654,ID_archer_cible,8,FALSE)</f>
        <v>#N/A</v>
      </c>
      <c r="M654" s="1257"/>
      <c r="N654" s="1260" t="e">
        <f>VLOOKUP(J654,ID_archer_cible,7,FALSE)</f>
        <v>#N/A</v>
      </c>
      <c r="O654" s="1261"/>
      <c r="P654" s="828" t="e">
        <f>VLOOKUP(J654,ID_archer_cible,10,FALSE)</f>
        <v>#N/A</v>
      </c>
      <c r="Q654" s="829" t="e">
        <f>IF(VLOOKUP(L654,N°LicPRO,3,FALSE)="oui","COACH","")</f>
        <v>#N/A</v>
      </c>
      <c r="R654" s="742" t="str">
        <f>IFERROR(VLOOKUP(L654,N°LicPRO,2,FALSE),"")</f>
        <v/>
      </c>
      <c r="S654" s="571" t="s">
        <v>994</v>
      </c>
      <c r="U654" s="1255" t="e">
        <f>VLOOKUP(AC654,ID_archer_cible,5,FALSE)&amp;"    "&amp;VLOOKUP(AC654,ID_archer_cible,6,FALSE)</f>
        <v>#N/A</v>
      </c>
      <c r="V654" s="1255"/>
      <c r="W654" s="1255"/>
      <c r="X654" s="1255"/>
      <c r="Y654" s="1255"/>
      <c r="Z654" s="1255"/>
      <c r="AA654" s="1255"/>
      <c r="AB654" s="1255"/>
      <c r="AC654" s="624" t="str">
        <f>AI646&amp;"A"</f>
        <v>21A</v>
      </c>
      <c r="AD654" s="574" t="e">
        <f>VLOOKUP(AC654,ID_archer_cible,9,FALSE)</f>
        <v>#N/A</v>
      </c>
      <c r="AE654" s="1256" t="e">
        <f>VLOOKUP(AC654,ID_archer_cible,8,FALSE)</f>
        <v>#N/A</v>
      </c>
      <c r="AF654" s="1257"/>
      <c r="AG654" s="1260" t="e">
        <f>VLOOKUP(AC654,ID_archer_cible,7,FALSE)</f>
        <v>#N/A</v>
      </c>
      <c r="AH654" s="1261"/>
      <c r="AI654" s="828" t="e">
        <f>VLOOKUP(AC654,ID_archer_cible,10,FALSE)</f>
        <v>#N/A</v>
      </c>
      <c r="AJ654" s="829" t="e">
        <f>IF(VLOOKUP(AE654,N°LicPRO,3,FALSE)="oui","COACH","")</f>
        <v>#N/A</v>
      </c>
      <c r="AK654" s="742" t="str">
        <f>IFERROR(VLOOKUP(AE654,N°LicPRO,2,FALSE),"")</f>
        <v/>
      </c>
    </row>
    <row r="655" spans="1:37" ht="45" customHeight="1" x14ac:dyDescent="0.2">
      <c r="B655" s="1255" t="e">
        <f>VLOOKUP(J655,ID_archer_cible,5,FALSE)&amp;"    "&amp;VLOOKUP(J655,ID_archer_cible,6,FALSE)</f>
        <v>#N/A</v>
      </c>
      <c r="C655" s="1255"/>
      <c r="D655" s="1255"/>
      <c r="E655" s="1255"/>
      <c r="F655" s="1255"/>
      <c r="G655" s="1255"/>
      <c r="H655" s="1255"/>
      <c r="I655" s="1255"/>
      <c r="J655" s="624" t="str">
        <f>P646&amp;"B"</f>
        <v>21B</v>
      </c>
      <c r="K655" s="574" t="e">
        <f>VLOOKUP(J655,ID_archer_cible,9,FALSE)</f>
        <v>#N/A</v>
      </c>
      <c r="L655" s="1256" t="e">
        <f>VLOOKUP(J655,ID_archer_cible,8,FALSE)</f>
        <v>#N/A</v>
      </c>
      <c r="M655" s="1257"/>
      <c r="N655" s="1260" t="e">
        <f>VLOOKUP(J655,ID_archer_cible,7,FALSE)</f>
        <v>#N/A</v>
      </c>
      <c r="O655" s="1261"/>
      <c r="P655" s="828" t="e">
        <f>VLOOKUP(J655,ID_archer_cible,10,FALSE)</f>
        <v>#N/A</v>
      </c>
      <c r="Q655" s="829" t="e">
        <f>IF(VLOOKUP(L655,N°LicPRO,3,FALSE)="oui","COACH","")</f>
        <v>#N/A</v>
      </c>
      <c r="R655" s="742" t="str">
        <f>IFERROR(VLOOKUP(L655,N°LicPRO,2,FALSE),"")</f>
        <v/>
      </c>
      <c r="S655" s="646" t="s">
        <v>995</v>
      </c>
      <c r="U655" s="1255" t="e">
        <f>VLOOKUP(AC655,ID_archer_cible,5,FALSE)&amp;"    "&amp;VLOOKUP(AC655,ID_archer_cible,6,FALSE)</f>
        <v>#N/A</v>
      </c>
      <c r="V655" s="1255"/>
      <c r="W655" s="1255"/>
      <c r="X655" s="1255"/>
      <c r="Y655" s="1255"/>
      <c r="Z655" s="1255"/>
      <c r="AA655" s="1255"/>
      <c r="AB655" s="1255"/>
      <c r="AC655" s="624" t="str">
        <f>AI646&amp;"B"</f>
        <v>21B</v>
      </c>
      <c r="AD655" s="574" t="e">
        <f>VLOOKUP(AC655,ID_archer_cible,9,FALSE)</f>
        <v>#N/A</v>
      </c>
      <c r="AE655" s="1256" t="e">
        <f>VLOOKUP(AC655,ID_archer_cible,8,FALSE)</f>
        <v>#N/A</v>
      </c>
      <c r="AF655" s="1257"/>
      <c r="AG655" s="1260" t="e">
        <f>VLOOKUP(AC655,ID_archer_cible,7,FALSE)</f>
        <v>#N/A</v>
      </c>
      <c r="AH655" s="1261"/>
      <c r="AI655" s="828" t="e">
        <f>VLOOKUP(AC655,ID_archer_cible,10,FALSE)</f>
        <v>#N/A</v>
      </c>
      <c r="AJ655" s="829" t="e">
        <f>IF(VLOOKUP(AE655,N°LicPRO,3,FALSE)="oui","COACH","")</f>
        <v>#N/A</v>
      </c>
      <c r="AK655" s="742" t="str">
        <f>IFERROR(VLOOKUP(AE655,N°LicPRO,2,FALSE),"")</f>
        <v/>
      </c>
    </row>
    <row r="656" spans="1:37" ht="45" customHeight="1" x14ac:dyDescent="0.2">
      <c r="B656" s="1255" t="e">
        <f>VLOOKUP(J656,ID_archer_cible,5,FALSE)&amp;"    "&amp;VLOOKUP(J656,ID_archer_cible,6,FALSE)</f>
        <v>#N/A</v>
      </c>
      <c r="C656" s="1255"/>
      <c r="D656" s="1255"/>
      <c r="E656" s="1255"/>
      <c r="F656" s="1255"/>
      <c r="G656" s="1255"/>
      <c r="H656" s="1255"/>
      <c r="I656" s="1255"/>
      <c r="J656" s="624" t="str">
        <f>P646&amp;"C"</f>
        <v>21C</v>
      </c>
      <c r="K656" s="574" t="e">
        <f>VLOOKUP(J656,ID_archer_cible,9,FALSE)</f>
        <v>#N/A</v>
      </c>
      <c r="L656" s="1256" t="e">
        <f>VLOOKUP(J656,ID_archer_cible,8,FALSE)</f>
        <v>#N/A</v>
      </c>
      <c r="M656" s="1257"/>
      <c r="N656" s="1260" t="e">
        <f>VLOOKUP(J656,ID_archer_cible,7,FALSE)</f>
        <v>#N/A</v>
      </c>
      <c r="O656" s="1261"/>
      <c r="P656" s="828" t="e">
        <f>VLOOKUP(J656,ID_archer_cible,10,FALSE)</f>
        <v>#N/A</v>
      </c>
      <c r="Q656" s="829" t="e">
        <f>IF(VLOOKUP(L656,N°LicPRO,3,FALSE)="oui","COACH","")</f>
        <v>#N/A</v>
      </c>
      <c r="R656" s="742" t="str">
        <f>IFERROR(VLOOKUP(L656,N°LicPRO,2,FALSE),"")</f>
        <v/>
      </c>
      <c r="S656" s="571" t="s">
        <v>994</v>
      </c>
      <c r="U656" s="1255" t="e">
        <f>VLOOKUP(AC656,ID_archer_cible,5,FALSE)&amp;"    "&amp;VLOOKUP(AC656,ID_archer_cible,6,FALSE)</f>
        <v>#N/A</v>
      </c>
      <c r="V656" s="1255"/>
      <c r="W656" s="1255"/>
      <c r="X656" s="1255"/>
      <c r="Y656" s="1255"/>
      <c r="Z656" s="1255"/>
      <c r="AA656" s="1255"/>
      <c r="AB656" s="1255"/>
      <c r="AC656" s="624" t="str">
        <f>AI646&amp;"C"</f>
        <v>21C</v>
      </c>
      <c r="AD656" s="574" t="e">
        <f>VLOOKUP(AC656,ID_archer_cible,9,FALSE)</f>
        <v>#N/A</v>
      </c>
      <c r="AE656" s="1256" t="e">
        <f>VLOOKUP(AC656,ID_archer_cible,8,FALSE)</f>
        <v>#N/A</v>
      </c>
      <c r="AF656" s="1257"/>
      <c r="AG656" s="1260" t="e">
        <f>VLOOKUP(AC656,ID_archer_cible,7,FALSE)</f>
        <v>#N/A</v>
      </c>
      <c r="AH656" s="1261"/>
      <c r="AI656" s="828" t="e">
        <f>VLOOKUP(AC656,ID_archer_cible,10,FALSE)</f>
        <v>#N/A</v>
      </c>
      <c r="AJ656" s="829" t="e">
        <f>IF(VLOOKUP(AE656,N°LicPRO,3,FALSE)="oui","COACH","")</f>
        <v>#N/A</v>
      </c>
      <c r="AK656" s="742" t="str">
        <f>IFERROR(VLOOKUP(AE656,N°LicPRO,2,FALSE),"")</f>
        <v/>
      </c>
    </row>
    <row r="657" spans="2:37" ht="45" customHeight="1" x14ac:dyDescent="0.2">
      <c r="B657" s="1255" t="e">
        <f>VLOOKUP(J657,ID_archer_cible,5,FALSE)&amp;"    "&amp;VLOOKUP(J657,ID_archer_cible,6,FALSE)</f>
        <v>#N/A</v>
      </c>
      <c r="C657" s="1255"/>
      <c r="D657" s="1255"/>
      <c r="E657" s="1255"/>
      <c r="F657" s="1255"/>
      <c r="G657" s="1255"/>
      <c r="H657" s="1255"/>
      <c r="I657" s="1255"/>
      <c r="J657" s="624" t="str">
        <f>P646&amp;"D"</f>
        <v>21D</v>
      </c>
      <c r="K657" s="574" t="e">
        <f>VLOOKUP(J657,ID_archer_cible,9,FALSE)</f>
        <v>#N/A</v>
      </c>
      <c r="L657" s="1256" t="e">
        <f>VLOOKUP(J657,ID_archer_cible,8,FALSE)</f>
        <v>#N/A</v>
      </c>
      <c r="M657" s="1257"/>
      <c r="N657" s="1260" t="e">
        <f>VLOOKUP(J657,ID_archer_cible,7,FALSE)</f>
        <v>#N/A</v>
      </c>
      <c r="O657" s="1261"/>
      <c r="P657" s="828" t="e">
        <f>VLOOKUP(J657,ID_archer_cible,10,FALSE)</f>
        <v>#N/A</v>
      </c>
      <c r="Q657" s="829" t="e">
        <f>IF(VLOOKUP(L657,N°LicPRO,3,FALSE)="oui","COACH","")</f>
        <v>#N/A</v>
      </c>
      <c r="R657" s="742" t="str">
        <f>IFERROR(VLOOKUP(L657,N°LicPRO,2,FALSE),"")</f>
        <v/>
      </c>
      <c r="S657" s="571" t="s">
        <v>994</v>
      </c>
      <c r="U657" s="1255" t="e">
        <f>VLOOKUP(AC657,ID_archer_cible,5,FALSE)&amp;"    "&amp;VLOOKUP(AC657,ID_archer_cible,6,FALSE)</f>
        <v>#N/A</v>
      </c>
      <c r="V657" s="1255"/>
      <c r="W657" s="1255"/>
      <c r="X657" s="1255"/>
      <c r="Y657" s="1255"/>
      <c r="Z657" s="1255"/>
      <c r="AA657" s="1255"/>
      <c r="AB657" s="1255"/>
      <c r="AC657" s="624" t="str">
        <f>AI646&amp;"D"</f>
        <v>21D</v>
      </c>
      <c r="AD657" s="574" t="e">
        <f>VLOOKUP(AC657,ID_archer_cible,9,FALSE)</f>
        <v>#N/A</v>
      </c>
      <c r="AE657" s="1256" t="e">
        <f>VLOOKUP(AC657,ID_archer_cible,8,FALSE)</f>
        <v>#N/A</v>
      </c>
      <c r="AF657" s="1257"/>
      <c r="AG657" s="1260" t="e">
        <f>VLOOKUP(AC657,ID_archer_cible,7,FALSE)</f>
        <v>#N/A</v>
      </c>
      <c r="AH657" s="1261"/>
      <c r="AI657" s="828" t="e">
        <f>VLOOKUP(AC657,ID_archer_cible,10,FALSE)</f>
        <v>#N/A</v>
      </c>
      <c r="AJ657" s="829" t="e">
        <f>IF(VLOOKUP(AE657,N°LicPRO,3,FALSE)="oui","COACH","")</f>
        <v>#N/A</v>
      </c>
      <c r="AK657" s="742" t="str">
        <f>IFERROR(VLOOKUP(AE657,N°LicPRO,2,FALSE),"")</f>
        <v/>
      </c>
    </row>
    <row r="658" spans="2:37" ht="15" customHeight="1" x14ac:dyDescent="0.2">
      <c r="S658" s="646" t="s">
        <v>995</v>
      </c>
    </row>
    <row r="659" spans="2:37" ht="15" customHeight="1" x14ac:dyDescent="0.2">
      <c r="B659" s="508" t="s">
        <v>975</v>
      </c>
      <c r="S659" s="571" t="s">
        <v>994</v>
      </c>
      <c r="U659" s="508" t="s">
        <v>975</v>
      </c>
    </row>
    <row r="660" spans="2:37" ht="15" customHeight="1" x14ac:dyDescent="0.2">
      <c r="B660" s="1259" t="s">
        <v>974</v>
      </c>
      <c r="C660" s="1259"/>
      <c r="D660" s="1259"/>
      <c r="E660" s="1259"/>
      <c r="F660" s="1199" t="str">
        <f>Info_TirQ</f>
        <v>J2 8:30-9:00 Ent. 9:00-10:30 Tirs Qual.</v>
      </c>
      <c r="G660" s="1199"/>
      <c r="H660" s="1199"/>
      <c r="I660" s="1199"/>
      <c r="J660" s="1199"/>
      <c r="K660" s="1258" t="s">
        <v>978</v>
      </c>
      <c r="L660" s="1258"/>
      <c r="M660" s="1258"/>
      <c r="N660" s="1258"/>
      <c r="O660" s="1258"/>
      <c r="S660" s="571" t="s">
        <v>994</v>
      </c>
      <c r="U660" s="1259" t="s">
        <v>974</v>
      </c>
      <c r="V660" s="1259"/>
      <c r="W660" s="1259"/>
      <c r="X660" s="1259"/>
      <c r="Y660" s="1199" t="str">
        <f>Info_TirQ</f>
        <v>J2 8:30-9:00 Ent. 9:00-10:30 Tirs Qual.</v>
      </c>
      <c r="Z660" s="1199"/>
      <c r="AA660" s="1199"/>
      <c r="AB660" s="1199"/>
      <c r="AC660" s="1199"/>
      <c r="AD660" s="1258" t="s">
        <v>978</v>
      </c>
      <c r="AE660" s="1258"/>
      <c r="AF660" s="1258"/>
      <c r="AG660" s="1258"/>
      <c r="AH660" s="1258"/>
    </row>
    <row r="661" spans="2:37" ht="15" customHeight="1" x14ac:dyDescent="0.2">
      <c r="B661" s="1259" t="s">
        <v>484</v>
      </c>
      <c r="C661" s="1259"/>
      <c r="D661" s="1259"/>
      <c r="E661" s="1259"/>
      <c r="F661" s="1199" t="str">
        <f>Info_D1</f>
        <v>J2 13:30-14:20  1er DUEL</v>
      </c>
      <c r="G661" s="1199"/>
      <c r="H661" s="1199"/>
      <c r="I661" s="1199"/>
      <c r="J661" s="1199"/>
      <c r="K661" s="1258"/>
      <c r="L661" s="1258"/>
      <c r="M661" s="1258"/>
      <c r="N661" s="1258"/>
      <c r="O661" s="1258"/>
      <c r="S661" s="646" t="s">
        <v>995</v>
      </c>
      <c r="U661" s="1259" t="s">
        <v>484</v>
      </c>
      <c r="V661" s="1259"/>
      <c r="W661" s="1259"/>
      <c r="X661" s="1259"/>
      <c r="Y661" s="1199" t="str">
        <f>Info_D1</f>
        <v>J2 13:30-14:20  1er DUEL</v>
      </c>
      <c r="Z661" s="1199"/>
      <c r="AA661" s="1199"/>
      <c r="AB661" s="1199"/>
      <c r="AC661" s="1199"/>
      <c r="AD661" s="1258"/>
      <c r="AE661" s="1258"/>
      <c r="AF661" s="1258"/>
      <c r="AG661" s="1258"/>
      <c r="AH661" s="1258"/>
    </row>
    <row r="662" spans="2:37" ht="15" customHeight="1" x14ac:dyDescent="0.2">
      <c r="B662" s="1259" t="s">
        <v>972</v>
      </c>
      <c r="C662" s="1259"/>
      <c r="D662" s="1259"/>
      <c r="E662" s="1259"/>
      <c r="F662" s="1199" t="str">
        <f>Info_D2</f>
        <v>J2 14:30-15:20 2ème DUEL</v>
      </c>
      <c r="G662" s="1199"/>
      <c r="H662" s="1199"/>
      <c r="I662" s="1199"/>
      <c r="J662" s="1199"/>
      <c r="K662" s="1258"/>
      <c r="L662" s="1258"/>
      <c r="M662" s="1258"/>
      <c r="N662" s="1258"/>
      <c r="O662" s="1258"/>
      <c r="S662" s="571" t="s">
        <v>994</v>
      </c>
      <c r="U662" s="1259" t="s">
        <v>972</v>
      </c>
      <c r="V662" s="1259"/>
      <c r="W662" s="1259"/>
      <c r="X662" s="1259"/>
      <c r="Y662" s="1199" t="str">
        <f>Info_D2</f>
        <v>J2 14:30-15:20 2ème DUEL</v>
      </c>
      <c r="Z662" s="1199"/>
      <c r="AA662" s="1199"/>
      <c r="AB662" s="1199"/>
      <c r="AC662" s="1199"/>
      <c r="AD662" s="1258"/>
      <c r="AE662" s="1258"/>
      <c r="AF662" s="1258"/>
      <c r="AG662" s="1258"/>
      <c r="AH662" s="1258"/>
    </row>
    <row r="663" spans="2:37" ht="15" customHeight="1" x14ac:dyDescent="0.2">
      <c r="B663" s="1259" t="s">
        <v>973</v>
      </c>
      <c r="C663" s="1259"/>
      <c r="D663" s="1259"/>
      <c r="E663" s="1259"/>
      <c r="F663" s="1199" t="str">
        <f>Info_D3</f>
        <v>J3 10-10:50 Match pl. 5 à +  ETAB - EX</v>
      </c>
      <c r="G663" s="1199"/>
      <c r="H663" s="1199"/>
      <c r="I663" s="1199"/>
      <c r="J663" s="1199"/>
      <c r="K663" s="1258"/>
      <c r="L663" s="1258"/>
      <c r="M663" s="1258"/>
      <c r="N663" s="1258"/>
      <c r="O663" s="1258"/>
      <c r="S663" s="571" t="s">
        <v>994</v>
      </c>
      <c r="U663" s="1259" t="s">
        <v>973</v>
      </c>
      <c r="V663" s="1259"/>
      <c r="W663" s="1259"/>
      <c r="X663" s="1259"/>
      <c r="Y663" s="1199" t="str">
        <f>Info_D3</f>
        <v>J3 10-10:50 Match pl. 5 à +  ETAB - EX</v>
      </c>
      <c r="Z663" s="1199"/>
      <c r="AA663" s="1199"/>
      <c r="AB663" s="1199"/>
      <c r="AC663" s="1199"/>
      <c r="AD663" s="1258"/>
      <c r="AE663" s="1258"/>
      <c r="AF663" s="1258"/>
      <c r="AG663" s="1258"/>
      <c r="AH663" s="1258"/>
    </row>
    <row r="664" spans="2:37" ht="24.75" customHeight="1" x14ac:dyDescent="0.2">
      <c r="B664" s="626" t="s">
        <v>976</v>
      </c>
      <c r="S664" s="646" t="s">
        <v>995</v>
      </c>
      <c r="U664" s="626" t="s">
        <v>976</v>
      </c>
    </row>
    <row r="665" spans="2:37" ht="134.25" customHeight="1" x14ac:dyDescent="0.2">
      <c r="B665"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C665" s="1264"/>
      <c r="D665" s="1264"/>
      <c r="E665" s="1264"/>
      <c r="F665" s="1264"/>
      <c r="G665" s="1264"/>
      <c r="H665" s="1264"/>
      <c r="I665" s="1264"/>
      <c r="J665" s="1264"/>
      <c r="K665" s="1264"/>
      <c r="L665" s="1264"/>
      <c r="M665" s="1264"/>
      <c r="N665" s="1264"/>
      <c r="O665" s="1264"/>
      <c r="P665" s="1265"/>
      <c r="S665" s="571" t="s">
        <v>994</v>
      </c>
      <c r="U665"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V665" s="1264"/>
      <c r="W665" s="1264"/>
      <c r="X665" s="1264"/>
      <c r="Y665" s="1264"/>
      <c r="Z665" s="1264"/>
      <c r="AA665" s="1264"/>
      <c r="AB665" s="1264"/>
      <c r="AC665" s="1264"/>
      <c r="AD665" s="1264"/>
      <c r="AE665" s="1264"/>
      <c r="AF665" s="1264"/>
      <c r="AG665" s="1264"/>
      <c r="AH665" s="1264"/>
      <c r="AI665" s="1265"/>
    </row>
    <row r="666" spans="2:37" ht="15" customHeight="1" x14ac:dyDescent="0.2">
      <c r="C666" s="508" t="s">
        <v>964</v>
      </c>
      <c r="K666" s="508" t="s">
        <v>965</v>
      </c>
      <c r="O666" s="508" t="s">
        <v>966</v>
      </c>
      <c r="S666" s="571" t="s">
        <v>994</v>
      </c>
      <c r="V666" s="508" t="s">
        <v>964</v>
      </c>
      <c r="AD666" s="508" t="s">
        <v>965</v>
      </c>
      <c r="AH666" s="508" t="s">
        <v>966</v>
      </c>
    </row>
    <row r="667" spans="2:37" ht="15" customHeight="1" x14ac:dyDescent="0.2">
      <c r="S667" s="646" t="s">
        <v>995</v>
      </c>
    </row>
    <row r="668" spans="2:37" ht="15" customHeight="1" x14ac:dyDescent="0.2">
      <c r="S668" s="571" t="s">
        <v>994</v>
      </c>
    </row>
    <row r="669" spans="2:37" ht="15" customHeight="1" x14ac:dyDescent="0.2">
      <c r="S669" s="571" t="s">
        <v>994</v>
      </c>
    </row>
    <row r="670" spans="2:37" ht="15" customHeight="1" x14ac:dyDescent="0.2">
      <c r="S670" s="646" t="s">
        <v>995</v>
      </c>
    </row>
    <row r="671" spans="2:37" ht="15" customHeight="1" x14ac:dyDescent="0.2">
      <c r="S671" s="571" t="s">
        <v>994</v>
      </c>
    </row>
    <row r="672" spans="2:37" x14ac:dyDescent="0.2">
      <c r="S672" s="571" t="s">
        <v>994</v>
      </c>
    </row>
    <row r="673" spans="1:37" ht="21.75" x14ac:dyDescent="0.2">
      <c r="S673" s="646" t="s">
        <v>995</v>
      </c>
    </row>
    <row r="674" spans="1:37" ht="30" x14ac:dyDescent="0.2">
      <c r="A674" s="1262" t="str">
        <f>Championnat</f>
        <v>Championnat de France de Tir à l'ARC</v>
      </c>
      <c r="B674" s="1262"/>
      <c r="C674" s="1262"/>
      <c r="D674" s="1262"/>
      <c r="E674" s="1262"/>
      <c r="F674" s="1262"/>
      <c r="G674" s="1262"/>
      <c r="H674" s="1262"/>
      <c r="I674" s="1262"/>
      <c r="J674" s="1262"/>
      <c r="K674" s="1262"/>
      <c r="L674" s="1262"/>
      <c r="M674" s="1262"/>
      <c r="N674" s="1262"/>
      <c r="O674" s="1262"/>
      <c r="P674" s="1262"/>
      <c r="Q674" s="1262"/>
      <c r="R674" s="1262"/>
      <c r="S674" s="571" t="s">
        <v>994</v>
      </c>
      <c r="T674" s="1262" t="str">
        <f>Championnat</f>
        <v>Championnat de France de Tir à l'ARC</v>
      </c>
      <c r="U674" s="1262"/>
      <c r="V674" s="1262"/>
      <c r="W674" s="1262"/>
      <c r="X674" s="1262"/>
      <c r="Y674" s="1262"/>
      <c r="Z674" s="1262"/>
      <c r="AA674" s="1262"/>
      <c r="AB674" s="1262"/>
      <c r="AC674" s="1262"/>
      <c r="AD674" s="1262"/>
      <c r="AE674" s="1262"/>
      <c r="AF674" s="1262"/>
      <c r="AG674" s="1262"/>
      <c r="AH674" s="1262"/>
      <c r="AI674" s="1262"/>
      <c r="AJ674" s="1262"/>
      <c r="AK674" s="1262"/>
    </row>
    <row r="675" spans="1:37" ht="24.75" customHeight="1" x14ac:dyDescent="0.2">
      <c r="A675" s="1184" t="str">
        <f>LIEU&amp;" du "&amp;DATE</f>
        <v>L’Isle sur la Sorgue du 27 au 31 mars 2023</v>
      </c>
      <c r="B675" s="1184"/>
      <c r="C675" s="1184"/>
      <c r="D675" s="1184"/>
      <c r="E675" s="1184"/>
      <c r="F675" s="1184"/>
      <c r="G675" s="1184"/>
      <c r="H675" s="1184"/>
      <c r="I675" s="1184"/>
      <c r="J675" s="1184"/>
      <c r="K675" s="1184"/>
      <c r="L675" s="1184"/>
      <c r="M675" s="1184"/>
      <c r="N675" s="1184"/>
      <c r="O675" s="1184"/>
      <c r="P675" s="1184"/>
      <c r="Q675" s="1184"/>
      <c r="R675" s="1184"/>
      <c r="S675" s="571" t="s">
        <v>994</v>
      </c>
      <c r="T675" s="1184" t="str">
        <f>LIEU&amp;" du "&amp;DATE</f>
        <v>L’Isle sur la Sorgue du 27 au 31 mars 2023</v>
      </c>
      <c r="U675" s="1184"/>
      <c r="V675" s="1184"/>
      <c r="W675" s="1184"/>
      <c r="X675" s="1184"/>
      <c r="Y675" s="1184"/>
      <c r="Z675" s="1184"/>
      <c r="AA675" s="1184"/>
      <c r="AB675" s="1184"/>
      <c r="AC675" s="1184"/>
      <c r="AD675" s="1184"/>
      <c r="AE675" s="1184"/>
      <c r="AF675" s="1184"/>
      <c r="AG675" s="1184"/>
      <c r="AH675" s="1184"/>
      <c r="AI675" s="1184"/>
      <c r="AJ675" s="1184"/>
      <c r="AK675" s="1184"/>
    </row>
    <row r="676" spans="1:37" s="218" customFormat="1" ht="40.5" customHeight="1" x14ac:dyDescent="0.2">
      <c r="A676" s="1268" t="str">
        <f>CATEG_IMPORTEE</f>
        <v>Collèges Mixtes Etablissement</v>
      </c>
      <c r="B676" s="1268"/>
      <c r="C676" s="1268"/>
      <c r="D676" s="1268"/>
      <c r="E676" s="1268"/>
      <c r="F676" s="1268"/>
      <c r="G676" s="1268"/>
      <c r="H676" s="1268"/>
      <c r="I676" s="1268"/>
      <c r="J676" s="1268"/>
      <c r="K676" s="1268"/>
      <c r="L676" s="1268"/>
      <c r="M676" s="1268"/>
      <c r="N676" s="1268"/>
      <c r="O676" s="1268"/>
      <c r="P676" s="1268"/>
      <c r="Q676" s="1268"/>
      <c r="R676" s="1268"/>
      <c r="S676" s="646" t="s">
        <v>995</v>
      </c>
      <c r="T676" s="1268" t="str">
        <f>CATEG_IMPORTEE</f>
        <v>Collèges Mixtes Etablissement</v>
      </c>
      <c r="U676" s="1268"/>
      <c r="V676" s="1268"/>
      <c r="W676" s="1268"/>
      <c r="X676" s="1268"/>
      <c r="Y676" s="1268"/>
      <c r="Z676" s="1268"/>
      <c r="AA676" s="1268"/>
      <c r="AB676" s="1268"/>
      <c r="AC676" s="1268"/>
      <c r="AD676" s="1268"/>
      <c r="AE676" s="1268"/>
      <c r="AF676" s="1268"/>
      <c r="AG676" s="1268"/>
      <c r="AH676" s="1268"/>
      <c r="AI676" s="1268"/>
      <c r="AJ676" s="1268"/>
      <c r="AK676" s="1268"/>
    </row>
    <row r="677" spans="1:37" s="218" customFormat="1" ht="19.5" customHeight="1" x14ac:dyDescent="0.2">
      <c r="A677" s="625"/>
      <c r="B677" s="625"/>
      <c r="C677" s="625"/>
      <c r="D677" s="625"/>
      <c r="E677" s="625"/>
      <c r="F677" s="625"/>
      <c r="G677" s="625"/>
      <c r="H677" s="625"/>
      <c r="I677" s="625"/>
      <c r="J677" s="625"/>
      <c r="K677" s="625"/>
      <c r="L677" s="625"/>
      <c r="M677" s="625"/>
      <c r="N677" s="625"/>
      <c r="O677" s="625"/>
      <c r="P677" s="625"/>
      <c r="Q677" s="625"/>
      <c r="R677" s="625"/>
      <c r="S677" s="571" t="s">
        <v>994</v>
      </c>
      <c r="T677" s="625"/>
      <c r="U677" s="625"/>
      <c r="V677" s="625"/>
      <c r="W677" s="625"/>
      <c r="X677" s="625"/>
      <c r="Y677" s="625"/>
      <c r="Z677" s="625"/>
      <c r="AA677" s="625"/>
      <c r="AB677" s="625"/>
      <c r="AC677" s="625"/>
      <c r="AD677" s="625"/>
      <c r="AE677" s="625"/>
      <c r="AF677" s="625"/>
      <c r="AG677" s="625"/>
      <c r="AH677" s="625"/>
      <c r="AI677" s="625"/>
      <c r="AJ677" s="625"/>
      <c r="AK677" s="625"/>
    </row>
    <row r="678" spans="1:37" ht="47.25" customHeight="1" x14ac:dyDescent="0.2">
      <c r="A678" s="620"/>
      <c r="B678" s="620"/>
      <c r="C678" s="620"/>
      <c r="D678" s="620"/>
      <c r="E678" s="620"/>
      <c r="F678" s="620"/>
      <c r="G678" s="620"/>
      <c r="H678" s="620"/>
      <c r="I678" s="620"/>
      <c r="J678" s="620"/>
      <c r="K678" s="620"/>
      <c r="L678" s="620"/>
      <c r="M678" s="620"/>
      <c r="N678" s="1072" t="s">
        <v>628</v>
      </c>
      <c r="O678" s="1073"/>
      <c r="P678" s="1271">
        <f>P646+1</f>
        <v>22</v>
      </c>
      <c r="Q678" s="1271"/>
      <c r="R678" s="1271"/>
      <c r="S678" s="571" t="s">
        <v>994</v>
      </c>
      <c r="T678" s="620"/>
      <c r="U678" s="620"/>
      <c r="V678" s="620"/>
      <c r="W678" s="620"/>
      <c r="X678" s="620"/>
      <c r="Y678" s="620"/>
      <c r="Z678" s="620"/>
      <c r="AA678" s="620"/>
      <c r="AB678" s="620"/>
      <c r="AC678" s="620"/>
      <c r="AD678" s="620"/>
      <c r="AE678" s="620"/>
      <c r="AF678" s="620"/>
      <c r="AG678" s="1072" t="s">
        <v>628</v>
      </c>
      <c r="AH678" s="1073"/>
      <c r="AI678" s="1271">
        <f>AI646+1</f>
        <v>22</v>
      </c>
      <c r="AJ678" s="1271"/>
      <c r="AK678" s="1271"/>
    </row>
    <row r="679" spans="1:37" ht="36.75" customHeight="1" x14ac:dyDescent="0.2">
      <c r="A679" s="1272" t="e">
        <f>VLOOKUP(J686,ID_archer_cible,2,FALSE)</f>
        <v>#N/A</v>
      </c>
      <c r="B679" s="1272"/>
      <c r="C679" s="1272"/>
      <c r="D679" s="1272"/>
      <c r="E679" s="1272"/>
      <c r="F679" s="1272"/>
      <c r="G679" s="1272"/>
      <c r="H679" s="1272"/>
      <c r="I679" s="1272"/>
      <c r="J679" s="1272"/>
      <c r="K679" s="1272"/>
      <c r="L679" s="1272"/>
      <c r="M679" s="1272"/>
      <c r="N679" s="1272"/>
      <c r="O679" s="1272"/>
      <c r="P679" s="1272"/>
      <c r="Q679" s="1272"/>
      <c r="R679" s="1272"/>
      <c r="S679" s="646" t="s">
        <v>995</v>
      </c>
      <c r="T679" s="1272" t="e">
        <f>VLOOKUP(AC686,ID_archer_cible,2,FALSE)</f>
        <v>#N/A</v>
      </c>
      <c r="U679" s="1272"/>
      <c r="V679" s="1272"/>
      <c r="W679" s="1272"/>
      <c r="X679" s="1272"/>
      <c r="Y679" s="1272"/>
      <c r="Z679" s="1272"/>
      <c r="AA679" s="1272"/>
      <c r="AB679" s="1272"/>
      <c r="AC679" s="1272"/>
      <c r="AD679" s="1272"/>
      <c r="AE679" s="1272"/>
      <c r="AF679" s="1272"/>
      <c r="AG679" s="1272"/>
      <c r="AH679" s="1272"/>
      <c r="AI679" s="1272"/>
      <c r="AJ679" s="1272"/>
      <c r="AK679" s="1272"/>
    </row>
    <row r="680" spans="1:37" ht="21.75" customHeight="1" x14ac:dyDescent="0.2">
      <c r="I680" s="621"/>
      <c r="J680" s="621"/>
      <c r="K680" s="621"/>
      <c r="L680" s="621"/>
      <c r="M680" s="621"/>
      <c r="N680" s="621"/>
      <c r="P680" s="619"/>
      <c r="Q680" s="619"/>
      <c r="R680" s="619"/>
      <c r="S680" s="571" t="s">
        <v>994</v>
      </c>
      <c r="AB680" s="621"/>
      <c r="AC680" s="621"/>
      <c r="AD680" s="621"/>
      <c r="AE680" s="621"/>
      <c r="AF680" s="621"/>
      <c r="AG680" s="621"/>
      <c r="AI680" s="619"/>
      <c r="AJ680" s="619"/>
      <c r="AK680" s="619"/>
    </row>
    <row r="681" spans="1:37" ht="17.25" customHeight="1" x14ac:dyDescent="0.2">
      <c r="A681" s="1125"/>
      <c r="B681" s="1125"/>
      <c r="C681" s="1125"/>
      <c r="D681" s="1125"/>
      <c r="E681" s="1125"/>
      <c r="F681" s="1125"/>
      <c r="G681" s="1125"/>
      <c r="H681" s="1125"/>
      <c r="I681" s="1125"/>
      <c r="J681" s="1125"/>
      <c r="K681" s="1125"/>
      <c r="L681" s="1125" t="s">
        <v>374</v>
      </c>
      <c r="M681" s="1125"/>
      <c r="N681" s="1125"/>
      <c r="O681" s="1125"/>
      <c r="P681" s="1125"/>
      <c r="Q681" s="1125"/>
      <c r="R681" s="1125"/>
      <c r="S681" s="571" t="s">
        <v>994</v>
      </c>
      <c r="T681" s="1125"/>
      <c r="U681" s="1125"/>
      <c r="V681" s="1125"/>
      <c r="W681" s="1125"/>
      <c r="X681" s="1125"/>
      <c r="Y681" s="1125"/>
      <c r="Z681" s="1125"/>
      <c r="AA681" s="1125"/>
      <c r="AB681" s="1125"/>
      <c r="AC681" s="1125"/>
      <c r="AD681" s="1125"/>
      <c r="AE681" s="1125" t="s">
        <v>374</v>
      </c>
      <c r="AF681" s="1125"/>
      <c r="AG681" s="1125"/>
      <c r="AH681" s="1125"/>
      <c r="AI681" s="1125"/>
      <c r="AJ681" s="1125"/>
      <c r="AK681" s="1125"/>
    </row>
    <row r="682" spans="1:37" ht="32.25" customHeight="1" x14ac:dyDescent="0.2">
      <c r="A682" s="1269" t="e">
        <f>VLOOKUP(J686,ID_archer_cible,3,FALSE)</f>
        <v>#N/A</v>
      </c>
      <c r="B682" s="1269"/>
      <c r="C682" s="1269"/>
      <c r="D682" s="1269"/>
      <c r="E682" s="1269"/>
      <c r="F682" s="1269"/>
      <c r="G682" s="1269"/>
      <c r="H682" s="1269"/>
      <c r="I682" s="1269"/>
      <c r="J682" s="1269"/>
      <c r="K682" s="1269"/>
      <c r="L682" s="1270" t="e">
        <f>VLOOKUP(J686,ID_archer_cible,4,FALSE)</f>
        <v>#N/A</v>
      </c>
      <c r="M682" s="1270"/>
      <c r="N682" s="1270"/>
      <c r="O682" s="1270"/>
      <c r="P682" s="1270"/>
      <c r="Q682" s="1270"/>
      <c r="R682" s="1270"/>
      <c r="S682" s="646" t="s">
        <v>995</v>
      </c>
      <c r="T682" s="1269" t="e">
        <f>VLOOKUP(AC686,ID_archer_cible,3,FALSE)</f>
        <v>#N/A</v>
      </c>
      <c r="U682" s="1269"/>
      <c r="V682" s="1269"/>
      <c r="W682" s="1269"/>
      <c r="X682" s="1269"/>
      <c r="Y682" s="1269"/>
      <c r="Z682" s="1269"/>
      <c r="AA682" s="1269"/>
      <c r="AB682" s="1269"/>
      <c r="AC682" s="1269"/>
      <c r="AD682" s="1269"/>
      <c r="AE682" s="1270" t="e">
        <f>VLOOKUP(AC686,ID_archer_cible,4,FALSE)</f>
        <v>#N/A</v>
      </c>
      <c r="AF682" s="1270"/>
      <c r="AG682" s="1270"/>
      <c r="AH682" s="1270"/>
      <c r="AI682" s="1270"/>
      <c r="AJ682" s="1270"/>
      <c r="AK682" s="1270"/>
    </row>
    <row r="683" spans="1:37" ht="17.25" customHeight="1" x14ac:dyDescent="0.2">
      <c r="E683" s="584"/>
      <c r="F683" s="584"/>
      <c r="G683" s="584"/>
      <c r="H683" s="584"/>
      <c r="I683" s="618"/>
      <c r="J683" s="618"/>
      <c r="K683" s="618"/>
      <c r="L683" s="618"/>
      <c r="M683" s="618"/>
      <c r="N683" s="618"/>
      <c r="P683" s="1266" t="e">
        <f>IF(AND(R686="oui",R687="oui",R688="oui",R689="oui"),"PRO","")</f>
        <v>#N/A</v>
      </c>
      <c r="Q683" s="1266"/>
      <c r="R683" s="1266"/>
      <c r="S683" s="571" t="s">
        <v>994</v>
      </c>
      <c r="X683" s="584"/>
      <c r="Y683" s="584"/>
      <c r="Z683" s="584"/>
      <c r="AA683" s="584"/>
      <c r="AB683" s="618"/>
      <c r="AC683" s="618"/>
      <c r="AD683" s="618"/>
      <c r="AE683" s="618"/>
      <c r="AF683" s="618"/>
      <c r="AG683" s="618"/>
      <c r="AI683" s="1266" t="e">
        <f>IF(AND(AK686="oui",AK687="oui",AK688="oui",AK689="oui"),"PRO","")</f>
        <v>#N/A</v>
      </c>
      <c r="AJ683" s="1266"/>
      <c r="AK683" s="1266"/>
    </row>
    <row r="684" spans="1:37" ht="20.25" customHeight="1" x14ac:dyDescent="0.2">
      <c r="P684" s="1267"/>
      <c r="Q684" s="1267"/>
      <c r="R684" s="1267"/>
      <c r="S684" s="571" t="s">
        <v>994</v>
      </c>
      <c r="AI684" s="1267"/>
      <c r="AJ684" s="1267"/>
      <c r="AK684" s="1267"/>
    </row>
    <row r="685" spans="1:37" ht="25.5" customHeight="1" x14ac:dyDescent="0.2">
      <c r="B685" s="1273" t="s">
        <v>906</v>
      </c>
      <c r="C685" s="1273"/>
      <c r="D685" s="1273"/>
      <c r="E685" s="1273"/>
      <c r="F685" s="1273"/>
      <c r="G685" s="1273"/>
      <c r="H685" s="1273"/>
      <c r="I685" s="1273"/>
      <c r="J685" s="622" t="s">
        <v>552</v>
      </c>
      <c r="K685" s="623" t="s">
        <v>893</v>
      </c>
      <c r="L685" s="1275" t="s">
        <v>550</v>
      </c>
      <c r="M685" s="1276"/>
      <c r="N685" s="1274" t="s">
        <v>905</v>
      </c>
      <c r="O685" s="1274"/>
      <c r="P685" s="1254" t="s">
        <v>551</v>
      </c>
      <c r="Q685" s="1254"/>
      <c r="R685" s="752" t="s">
        <v>1027</v>
      </c>
      <c r="S685" s="646" t="s">
        <v>995</v>
      </c>
      <c r="U685" s="1273" t="s">
        <v>906</v>
      </c>
      <c r="V685" s="1273"/>
      <c r="W685" s="1273"/>
      <c r="X685" s="1273"/>
      <c r="Y685" s="1273"/>
      <c r="Z685" s="1273"/>
      <c r="AA685" s="1273"/>
      <c r="AB685" s="1273"/>
      <c r="AC685" s="622" t="s">
        <v>552</v>
      </c>
      <c r="AD685" s="623" t="s">
        <v>893</v>
      </c>
      <c r="AE685" s="1275" t="s">
        <v>550</v>
      </c>
      <c r="AF685" s="1276"/>
      <c r="AG685" s="1274" t="s">
        <v>905</v>
      </c>
      <c r="AH685" s="1274"/>
      <c r="AI685" s="1254" t="s">
        <v>551</v>
      </c>
      <c r="AJ685" s="1254"/>
      <c r="AK685" s="752" t="s">
        <v>1027</v>
      </c>
    </row>
    <row r="686" spans="1:37" ht="45" customHeight="1" x14ac:dyDescent="0.2">
      <c r="B686" s="1255" t="e">
        <f>VLOOKUP(J686,ID_archer_cible,5,FALSE)&amp;"    "&amp;VLOOKUP(J686,ID_archer_cible,6,FALSE)</f>
        <v>#N/A</v>
      </c>
      <c r="C686" s="1255"/>
      <c r="D686" s="1255"/>
      <c r="E686" s="1255"/>
      <c r="F686" s="1255"/>
      <c r="G686" s="1255"/>
      <c r="H686" s="1255"/>
      <c r="I686" s="1255"/>
      <c r="J686" s="624" t="str">
        <f>P678&amp;"A"</f>
        <v>22A</v>
      </c>
      <c r="K686" s="574" t="e">
        <f>VLOOKUP(J686,ID_archer_cible,9,FALSE)</f>
        <v>#N/A</v>
      </c>
      <c r="L686" s="1256" t="e">
        <f>VLOOKUP(J686,ID_archer_cible,8,FALSE)</f>
        <v>#N/A</v>
      </c>
      <c r="M686" s="1257"/>
      <c r="N686" s="1260" t="e">
        <f>VLOOKUP(J686,ID_archer_cible,7,FALSE)</f>
        <v>#N/A</v>
      </c>
      <c r="O686" s="1261"/>
      <c r="P686" s="828" t="e">
        <f>VLOOKUP(J686,ID_archer_cible,10,FALSE)</f>
        <v>#N/A</v>
      </c>
      <c r="Q686" s="829" t="e">
        <f>IF(VLOOKUP(L686,N°LicPRO,3,FALSE)="oui","COACH","")</f>
        <v>#N/A</v>
      </c>
      <c r="R686" s="742" t="e">
        <f>VLOOKUP(L686,N°LicPRO,2,FALSE)</f>
        <v>#N/A</v>
      </c>
      <c r="S686" s="571" t="s">
        <v>994</v>
      </c>
      <c r="U686" s="1255" t="e">
        <f>VLOOKUP(AC686,ID_archer_cible,5,FALSE)&amp;"    "&amp;VLOOKUP(AC686,ID_archer_cible,6,FALSE)</f>
        <v>#N/A</v>
      </c>
      <c r="V686" s="1255"/>
      <c r="W686" s="1255"/>
      <c r="X686" s="1255"/>
      <c r="Y686" s="1255"/>
      <c r="Z686" s="1255"/>
      <c r="AA686" s="1255"/>
      <c r="AB686" s="1255"/>
      <c r="AC686" s="624" t="str">
        <f>AI678&amp;"A"</f>
        <v>22A</v>
      </c>
      <c r="AD686" s="574" t="e">
        <f>VLOOKUP(AC686,ID_archer_cible,9,FALSE)</f>
        <v>#N/A</v>
      </c>
      <c r="AE686" s="1256" t="e">
        <f>VLOOKUP(AC686,ID_archer_cible,8,FALSE)</f>
        <v>#N/A</v>
      </c>
      <c r="AF686" s="1257"/>
      <c r="AG686" s="1260" t="e">
        <f>VLOOKUP(AC686,ID_archer_cible,7,FALSE)</f>
        <v>#N/A</v>
      </c>
      <c r="AH686" s="1261"/>
      <c r="AI686" s="828" t="e">
        <f>VLOOKUP(AC686,ID_archer_cible,10,FALSE)</f>
        <v>#N/A</v>
      </c>
      <c r="AJ686" s="829" t="e">
        <f>IF(VLOOKUP(AE686,N°LicPRO,3,FALSE)="oui","COACH","")</f>
        <v>#N/A</v>
      </c>
      <c r="AK686" s="742" t="e">
        <f>VLOOKUP(AE686,N°LicPRO,2,FALSE)</f>
        <v>#N/A</v>
      </c>
    </row>
    <row r="687" spans="1:37" ht="45" customHeight="1" x14ac:dyDescent="0.2">
      <c r="B687" s="1255" t="e">
        <f>VLOOKUP(J687,ID_archer_cible,5,FALSE)&amp;"    "&amp;VLOOKUP(J687,ID_archer_cible,6,FALSE)</f>
        <v>#N/A</v>
      </c>
      <c r="C687" s="1255"/>
      <c r="D687" s="1255"/>
      <c r="E687" s="1255"/>
      <c r="F687" s="1255"/>
      <c r="G687" s="1255"/>
      <c r="H687" s="1255"/>
      <c r="I687" s="1255"/>
      <c r="J687" s="624" t="str">
        <f>P678&amp;"B"</f>
        <v>22B</v>
      </c>
      <c r="K687" s="574" t="e">
        <f>VLOOKUP(J687,ID_archer_cible,9,FALSE)</f>
        <v>#N/A</v>
      </c>
      <c r="L687" s="1256" t="e">
        <f>VLOOKUP(J687,ID_archer_cible,8,FALSE)</f>
        <v>#N/A</v>
      </c>
      <c r="M687" s="1257"/>
      <c r="N687" s="1260" t="e">
        <f>VLOOKUP(J687,ID_archer_cible,7,FALSE)</f>
        <v>#N/A</v>
      </c>
      <c r="O687" s="1261"/>
      <c r="P687" s="828" t="e">
        <f>VLOOKUP(J687,ID_archer_cible,10,FALSE)</f>
        <v>#N/A</v>
      </c>
      <c r="Q687" s="829" t="e">
        <f>IF(VLOOKUP(L687,N°LicPRO,3,FALSE)="oui","COACH","")</f>
        <v>#N/A</v>
      </c>
      <c r="R687" s="742" t="e">
        <f>VLOOKUP(L687,N°LicPRO,2,FALSE)</f>
        <v>#N/A</v>
      </c>
      <c r="S687" s="571" t="s">
        <v>994</v>
      </c>
      <c r="U687" s="1255" t="e">
        <f>VLOOKUP(AC687,ID_archer_cible,5,FALSE)&amp;"    "&amp;VLOOKUP(AC687,ID_archer_cible,6,FALSE)</f>
        <v>#N/A</v>
      </c>
      <c r="V687" s="1255"/>
      <c r="W687" s="1255"/>
      <c r="X687" s="1255"/>
      <c r="Y687" s="1255"/>
      <c r="Z687" s="1255"/>
      <c r="AA687" s="1255"/>
      <c r="AB687" s="1255"/>
      <c r="AC687" s="624" t="str">
        <f>AI678&amp;"B"</f>
        <v>22B</v>
      </c>
      <c r="AD687" s="574" t="e">
        <f>VLOOKUP(AC687,ID_archer_cible,9,FALSE)</f>
        <v>#N/A</v>
      </c>
      <c r="AE687" s="1256" t="e">
        <f>VLOOKUP(AC687,ID_archer_cible,8,FALSE)</f>
        <v>#N/A</v>
      </c>
      <c r="AF687" s="1257"/>
      <c r="AG687" s="1260" t="e">
        <f>VLOOKUP(AC687,ID_archer_cible,7,FALSE)</f>
        <v>#N/A</v>
      </c>
      <c r="AH687" s="1261"/>
      <c r="AI687" s="828" t="e">
        <f>VLOOKUP(AC687,ID_archer_cible,10,FALSE)</f>
        <v>#N/A</v>
      </c>
      <c r="AJ687" s="829" t="e">
        <f>IF(VLOOKUP(AE687,N°LicPRO,3,FALSE)="oui","COACH","")</f>
        <v>#N/A</v>
      </c>
      <c r="AK687" s="742" t="e">
        <f>VLOOKUP(AE687,N°LicPRO,2,FALSE)</f>
        <v>#N/A</v>
      </c>
    </row>
    <row r="688" spans="1:37" ht="45" customHeight="1" x14ac:dyDescent="0.2">
      <c r="B688" s="1255" t="e">
        <f>VLOOKUP(J688,ID_archer_cible,5,FALSE)&amp;"    "&amp;VLOOKUP(J688,ID_archer_cible,6,FALSE)</f>
        <v>#N/A</v>
      </c>
      <c r="C688" s="1255"/>
      <c r="D688" s="1255"/>
      <c r="E688" s="1255"/>
      <c r="F688" s="1255"/>
      <c r="G688" s="1255"/>
      <c r="H688" s="1255"/>
      <c r="I688" s="1255"/>
      <c r="J688" s="624" t="str">
        <f>P678&amp;"C"</f>
        <v>22C</v>
      </c>
      <c r="K688" s="574" t="e">
        <f>VLOOKUP(J688,ID_archer_cible,9,FALSE)</f>
        <v>#N/A</v>
      </c>
      <c r="L688" s="1256" t="e">
        <f>VLOOKUP(J688,ID_archer_cible,8,FALSE)</f>
        <v>#N/A</v>
      </c>
      <c r="M688" s="1257"/>
      <c r="N688" s="1260" t="e">
        <f>VLOOKUP(J688,ID_archer_cible,7,FALSE)</f>
        <v>#N/A</v>
      </c>
      <c r="O688" s="1261"/>
      <c r="P688" s="828" t="e">
        <f>VLOOKUP(J688,ID_archer_cible,10,FALSE)</f>
        <v>#N/A</v>
      </c>
      <c r="Q688" s="829" t="e">
        <f>IF(VLOOKUP(L688,N°LicPRO,3,FALSE)="oui","COACH","")</f>
        <v>#N/A</v>
      </c>
      <c r="R688" s="742" t="e">
        <f>VLOOKUP(L688,N°LicPRO,2,FALSE)</f>
        <v>#N/A</v>
      </c>
      <c r="S688" s="646" t="s">
        <v>995</v>
      </c>
      <c r="U688" s="1255" t="e">
        <f>VLOOKUP(AC688,ID_archer_cible,5,FALSE)&amp;"    "&amp;VLOOKUP(AC688,ID_archer_cible,6,FALSE)</f>
        <v>#N/A</v>
      </c>
      <c r="V688" s="1255"/>
      <c r="W688" s="1255"/>
      <c r="X688" s="1255"/>
      <c r="Y688" s="1255"/>
      <c r="Z688" s="1255"/>
      <c r="AA688" s="1255"/>
      <c r="AB688" s="1255"/>
      <c r="AC688" s="624" t="str">
        <f>AI678&amp;"C"</f>
        <v>22C</v>
      </c>
      <c r="AD688" s="574" t="e">
        <f>VLOOKUP(AC688,ID_archer_cible,9,FALSE)</f>
        <v>#N/A</v>
      </c>
      <c r="AE688" s="1256" t="e">
        <f>VLOOKUP(AC688,ID_archer_cible,8,FALSE)</f>
        <v>#N/A</v>
      </c>
      <c r="AF688" s="1257"/>
      <c r="AG688" s="1260" t="e">
        <f>VLOOKUP(AC688,ID_archer_cible,7,FALSE)</f>
        <v>#N/A</v>
      </c>
      <c r="AH688" s="1261"/>
      <c r="AI688" s="828" t="e">
        <f>VLOOKUP(AC688,ID_archer_cible,10,FALSE)</f>
        <v>#N/A</v>
      </c>
      <c r="AJ688" s="829" t="e">
        <f>IF(VLOOKUP(AE688,N°LicPRO,3,FALSE)="oui","COACH","")</f>
        <v>#N/A</v>
      </c>
      <c r="AK688" s="742" t="e">
        <f>VLOOKUP(AE688,N°LicPRO,2,FALSE)</f>
        <v>#N/A</v>
      </c>
    </row>
    <row r="689" spans="2:37" ht="45" customHeight="1" x14ac:dyDescent="0.2">
      <c r="B689" s="1255" t="e">
        <f>VLOOKUP(J689,ID_archer_cible,5,FALSE)&amp;"    "&amp;VLOOKUP(J689,ID_archer_cible,6,FALSE)</f>
        <v>#N/A</v>
      </c>
      <c r="C689" s="1255"/>
      <c r="D689" s="1255"/>
      <c r="E689" s="1255"/>
      <c r="F689" s="1255"/>
      <c r="G689" s="1255"/>
      <c r="H689" s="1255"/>
      <c r="I689" s="1255"/>
      <c r="J689" s="624" t="str">
        <f>P678&amp;"D"</f>
        <v>22D</v>
      </c>
      <c r="K689" s="574" t="e">
        <f>VLOOKUP(J689,ID_archer_cible,9,FALSE)</f>
        <v>#N/A</v>
      </c>
      <c r="L689" s="1256" t="e">
        <f>VLOOKUP(J689,ID_archer_cible,8,FALSE)</f>
        <v>#N/A</v>
      </c>
      <c r="M689" s="1257"/>
      <c r="N689" s="1260" t="e">
        <f>VLOOKUP(J689,ID_archer_cible,7,FALSE)</f>
        <v>#N/A</v>
      </c>
      <c r="O689" s="1261"/>
      <c r="P689" s="828" t="e">
        <f>VLOOKUP(J689,ID_archer_cible,10,FALSE)</f>
        <v>#N/A</v>
      </c>
      <c r="Q689" s="829" t="e">
        <f>IF(VLOOKUP(L689,N°LicPRO,3,FALSE)="oui","COACH","")</f>
        <v>#N/A</v>
      </c>
      <c r="R689" s="742" t="e">
        <f>VLOOKUP(L689,N°LicPRO,2,FALSE)</f>
        <v>#N/A</v>
      </c>
      <c r="S689" s="571" t="s">
        <v>994</v>
      </c>
      <c r="U689" s="1255" t="e">
        <f>VLOOKUP(AC689,ID_archer_cible,5,FALSE)&amp;"    "&amp;VLOOKUP(AC689,ID_archer_cible,6,FALSE)</f>
        <v>#N/A</v>
      </c>
      <c r="V689" s="1255"/>
      <c r="W689" s="1255"/>
      <c r="X689" s="1255"/>
      <c r="Y689" s="1255"/>
      <c r="Z689" s="1255"/>
      <c r="AA689" s="1255"/>
      <c r="AB689" s="1255"/>
      <c r="AC689" s="624" t="str">
        <f>AI678&amp;"D"</f>
        <v>22D</v>
      </c>
      <c r="AD689" s="574" t="e">
        <f>VLOOKUP(AC689,ID_archer_cible,9,FALSE)</f>
        <v>#N/A</v>
      </c>
      <c r="AE689" s="1256" t="e">
        <f>VLOOKUP(AC689,ID_archer_cible,8,FALSE)</f>
        <v>#N/A</v>
      </c>
      <c r="AF689" s="1257"/>
      <c r="AG689" s="1260" t="e">
        <f>VLOOKUP(AC689,ID_archer_cible,7,FALSE)</f>
        <v>#N/A</v>
      </c>
      <c r="AH689" s="1261"/>
      <c r="AI689" s="828" t="e">
        <f>VLOOKUP(AC689,ID_archer_cible,10,FALSE)</f>
        <v>#N/A</v>
      </c>
      <c r="AJ689" s="829" t="e">
        <f>IF(VLOOKUP(AE689,N°LicPRO,3,FALSE)="oui","COACH","")</f>
        <v>#N/A</v>
      </c>
      <c r="AK689" s="742" t="e">
        <f>VLOOKUP(AE689,N°LicPRO,2,FALSE)</f>
        <v>#N/A</v>
      </c>
    </row>
    <row r="690" spans="2:37" ht="15" customHeight="1" x14ac:dyDescent="0.2">
      <c r="S690" s="571" t="s">
        <v>994</v>
      </c>
    </row>
    <row r="691" spans="2:37" ht="15" customHeight="1" x14ac:dyDescent="0.2">
      <c r="B691" s="508" t="s">
        <v>975</v>
      </c>
      <c r="S691" s="646" t="s">
        <v>995</v>
      </c>
      <c r="U691" s="508" t="s">
        <v>975</v>
      </c>
    </row>
    <row r="692" spans="2:37" ht="15" customHeight="1" x14ac:dyDescent="0.2">
      <c r="B692" s="1259" t="s">
        <v>974</v>
      </c>
      <c r="C692" s="1259"/>
      <c r="D692" s="1259"/>
      <c r="E692" s="1259"/>
      <c r="F692" s="1199" t="str">
        <f>Info_TirQ</f>
        <v>J2 8:30-9:00 Ent. 9:00-10:30 Tirs Qual.</v>
      </c>
      <c r="G692" s="1199"/>
      <c r="H692" s="1199"/>
      <c r="I692" s="1199"/>
      <c r="J692" s="1199"/>
      <c r="K692" s="1258" t="s">
        <v>978</v>
      </c>
      <c r="L692" s="1258"/>
      <c r="M692" s="1258"/>
      <c r="N692" s="1258"/>
      <c r="O692" s="1258"/>
      <c r="S692" s="571" t="s">
        <v>994</v>
      </c>
      <c r="U692" s="1259" t="s">
        <v>974</v>
      </c>
      <c r="V692" s="1259"/>
      <c r="W692" s="1259"/>
      <c r="X692" s="1259"/>
      <c r="Y692" s="1199" t="str">
        <f>Info_TirQ</f>
        <v>J2 8:30-9:00 Ent. 9:00-10:30 Tirs Qual.</v>
      </c>
      <c r="Z692" s="1199"/>
      <c r="AA692" s="1199"/>
      <c r="AB692" s="1199"/>
      <c r="AC692" s="1199"/>
      <c r="AD692" s="1258" t="s">
        <v>978</v>
      </c>
      <c r="AE692" s="1258"/>
      <c r="AF692" s="1258"/>
      <c r="AG692" s="1258"/>
      <c r="AH692" s="1258"/>
    </row>
    <row r="693" spans="2:37" ht="15" customHeight="1" x14ac:dyDescent="0.2">
      <c r="B693" s="1259" t="s">
        <v>484</v>
      </c>
      <c r="C693" s="1259"/>
      <c r="D693" s="1259"/>
      <c r="E693" s="1259"/>
      <c r="F693" s="1199" t="str">
        <f>Info_D1</f>
        <v>J2 13:30-14:20  1er DUEL</v>
      </c>
      <c r="G693" s="1199"/>
      <c r="H693" s="1199"/>
      <c r="I693" s="1199"/>
      <c r="J693" s="1199"/>
      <c r="K693" s="1258"/>
      <c r="L693" s="1258"/>
      <c r="M693" s="1258"/>
      <c r="N693" s="1258"/>
      <c r="O693" s="1258"/>
      <c r="S693" s="571" t="s">
        <v>994</v>
      </c>
      <c r="U693" s="1259" t="s">
        <v>484</v>
      </c>
      <c r="V693" s="1259"/>
      <c r="W693" s="1259"/>
      <c r="X693" s="1259"/>
      <c r="Y693" s="1199" t="str">
        <f>Info_D1</f>
        <v>J2 13:30-14:20  1er DUEL</v>
      </c>
      <c r="Z693" s="1199"/>
      <c r="AA693" s="1199"/>
      <c r="AB693" s="1199"/>
      <c r="AC693" s="1199"/>
      <c r="AD693" s="1258"/>
      <c r="AE693" s="1258"/>
      <c r="AF693" s="1258"/>
      <c r="AG693" s="1258"/>
      <c r="AH693" s="1258"/>
    </row>
    <row r="694" spans="2:37" ht="15" customHeight="1" x14ac:dyDescent="0.2">
      <c r="B694" s="1259" t="s">
        <v>972</v>
      </c>
      <c r="C694" s="1259"/>
      <c r="D694" s="1259"/>
      <c r="E694" s="1259"/>
      <c r="F694" s="1199" t="str">
        <f>Info_D2</f>
        <v>J2 14:30-15:20 2ème DUEL</v>
      </c>
      <c r="G694" s="1199"/>
      <c r="H694" s="1199"/>
      <c r="I694" s="1199"/>
      <c r="J694" s="1199"/>
      <c r="K694" s="1258"/>
      <c r="L694" s="1258"/>
      <c r="M694" s="1258"/>
      <c r="N694" s="1258"/>
      <c r="O694" s="1258"/>
      <c r="S694" s="646" t="s">
        <v>995</v>
      </c>
      <c r="U694" s="1259" t="s">
        <v>972</v>
      </c>
      <c r="V694" s="1259"/>
      <c r="W694" s="1259"/>
      <c r="X694" s="1259"/>
      <c r="Y694" s="1199" t="str">
        <f>Info_D2</f>
        <v>J2 14:30-15:20 2ème DUEL</v>
      </c>
      <c r="Z694" s="1199"/>
      <c r="AA694" s="1199"/>
      <c r="AB694" s="1199"/>
      <c r="AC694" s="1199"/>
      <c r="AD694" s="1258"/>
      <c r="AE694" s="1258"/>
      <c r="AF694" s="1258"/>
      <c r="AG694" s="1258"/>
      <c r="AH694" s="1258"/>
    </row>
    <row r="695" spans="2:37" ht="15" customHeight="1" x14ac:dyDescent="0.2">
      <c r="B695" s="1259" t="s">
        <v>973</v>
      </c>
      <c r="C695" s="1259"/>
      <c r="D695" s="1259"/>
      <c r="E695" s="1259"/>
      <c r="F695" s="1199" t="str">
        <f>Info_D3</f>
        <v>J3 10-10:50 Match pl. 5 à +  ETAB - EX</v>
      </c>
      <c r="G695" s="1199"/>
      <c r="H695" s="1199"/>
      <c r="I695" s="1199"/>
      <c r="J695" s="1199"/>
      <c r="K695" s="1258"/>
      <c r="L695" s="1258"/>
      <c r="M695" s="1258"/>
      <c r="N695" s="1258"/>
      <c r="O695" s="1258"/>
      <c r="S695" s="571" t="s">
        <v>994</v>
      </c>
      <c r="U695" s="1259" t="s">
        <v>973</v>
      </c>
      <c r="V695" s="1259"/>
      <c r="W695" s="1259"/>
      <c r="X695" s="1259"/>
      <c r="Y695" s="1199" t="str">
        <f>Info_D3</f>
        <v>J3 10-10:50 Match pl. 5 à +  ETAB - EX</v>
      </c>
      <c r="Z695" s="1199"/>
      <c r="AA695" s="1199"/>
      <c r="AB695" s="1199"/>
      <c r="AC695" s="1199"/>
      <c r="AD695" s="1258"/>
      <c r="AE695" s="1258"/>
      <c r="AF695" s="1258"/>
      <c r="AG695" s="1258"/>
      <c r="AH695" s="1258"/>
    </row>
    <row r="696" spans="2:37" ht="24.75" customHeight="1" x14ac:dyDescent="0.2">
      <c r="B696" s="626" t="s">
        <v>976</v>
      </c>
      <c r="S696" s="571" t="s">
        <v>994</v>
      </c>
      <c r="U696" s="626" t="s">
        <v>976</v>
      </c>
    </row>
    <row r="697" spans="2:37" ht="134.25" customHeight="1" x14ac:dyDescent="0.2">
      <c r="B697"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C697" s="1264"/>
      <c r="D697" s="1264"/>
      <c r="E697" s="1264"/>
      <c r="F697" s="1264"/>
      <c r="G697" s="1264"/>
      <c r="H697" s="1264"/>
      <c r="I697" s="1264"/>
      <c r="J697" s="1264"/>
      <c r="K697" s="1264"/>
      <c r="L697" s="1264"/>
      <c r="M697" s="1264"/>
      <c r="N697" s="1264"/>
      <c r="O697" s="1264"/>
      <c r="P697" s="1265"/>
      <c r="S697" s="646" t="s">
        <v>995</v>
      </c>
      <c r="U697"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V697" s="1264"/>
      <c r="W697" s="1264"/>
      <c r="X697" s="1264"/>
      <c r="Y697" s="1264"/>
      <c r="Z697" s="1264"/>
      <c r="AA697" s="1264"/>
      <c r="AB697" s="1264"/>
      <c r="AC697" s="1264"/>
      <c r="AD697" s="1264"/>
      <c r="AE697" s="1264"/>
      <c r="AF697" s="1264"/>
      <c r="AG697" s="1264"/>
      <c r="AH697" s="1264"/>
      <c r="AI697" s="1265"/>
    </row>
    <row r="698" spans="2:37" ht="15" customHeight="1" x14ac:dyDescent="0.2">
      <c r="C698" s="508" t="s">
        <v>964</v>
      </c>
      <c r="K698" s="508" t="s">
        <v>965</v>
      </c>
      <c r="O698" s="508" t="s">
        <v>966</v>
      </c>
      <c r="S698" s="571" t="s">
        <v>994</v>
      </c>
      <c r="V698" s="508" t="s">
        <v>964</v>
      </c>
      <c r="AD698" s="508" t="s">
        <v>965</v>
      </c>
      <c r="AH698" s="508" t="s">
        <v>966</v>
      </c>
    </row>
    <row r="699" spans="2:37" ht="15" customHeight="1" x14ac:dyDescent="0.2">
      <c r="S699" s="571" t="s">
        <v>994</v>
      </c>
    </row>
    <row r="700" spans="2:37" ht="15" customHeight="1" x14ac:dyDescent="0.2">
      <c r="S700" s="646" t="s">
        <v>995</v>
      </c>
    </row>
    <row r="701" spans="2:37" ht="15" customHeight="1" x14ac:dyDescent="0.2">
      <c r="S701" s="571" t="s">
        <v>994</v>
      </c>
    </row>
    <row r="702" spans="2:37" ht="15" customHeight="1" x14ac:dyDescent="0.2">
      <c r="S702" s="571" t="s">
        <v>994</v>
      </c>
    </row>
    <row r="703" spans="2:37" ht="15" customHeight="1" x14ac:dyDescent="0.2">
      <c r="S703" s="646" t="s">
        <v>995</v>
      </c>
    </row>
    <row r="704" spans="2:37" x14ac:dyDescent="0.2">
      <c r="S704" s="571" t="s">
        <v>994</v>
      </c>
    </row>
    <row r="705" spans="1:37" x14ac:dyDescent="0.2">
      <c r="S705" s="571" t="s">
        <v>994</v>
      </c>
    </row>
    <row r="706" spans="1:37" ht="30" x14ac:dyDescent="0.2">
      <c r="A706" s="1262" t="str">
        <f>Championnat</f>
        <v>Championnat de France de Tir à l'ARC</v>
      </c>
      <c r="B706" s="1262"/>
      <c r="C706" s="1262"/>
      <c r="D706" s="1262"/>
      <c r="E706" s="1262"/>
      <c r="F706" s="1262"/>
      <c r="G706" s="1262"/>
      <c r="H706" s="1262"/>
      <c r="I706" s="1262"/>
      <c r="J706" s="1262"/>
      <c r="K706" s="1262"/>
      <c r="L706" s="1262"/>
      <c r="M706" s="1262"/>
      <c r="N706" s="1262"/>
      <c r="O706" s="1262"/>
      <c r="P706" s="1262"/>
      <c r="Q706" s="1262"/>
      <c r="R706" s="1262"/>
      <c r="S706" s="646" t="s">
        <v>995</v>
      </c>
      <c r="T706" s="1262" t="str">
        <f>Championnat</f>
        <v>Championnat de France de Tir à l'ARC</v>
      </c>
      <c r="U706" s="1262"/>
      <c r="V706" s="1262"/>
      <c r="W706" s="1262"/>
      <c r="X706" s="1262"/>
      <c r="Y706" s="1262"/>
      <c r="Z706" s="1262"/>
      <c r="AA706" s="1262"/>
      <c r="AB706" s="1262"/>
      <c r="AC706" s="1262"/>
      <c r="AD706" s="1262"/>
      <c r="AE706" s="1262"/>
      <c r="AF706" s="1262"/>
      <c r="AG706" s="1262"/>
      <c r="AH706" s="1262"/>
      <c r="AI706" s="1262"/>
      <c r="AJ706" s="1262"/>
      <c r="AK706" s="1262"/>
    </row>
    <row r="707" spans="1:37" ht="24.75" customHeight="1" x14ac:dyDescent="0.2">
      <c r="A707" s="1184" t="str">
        <f>LIEU&amp;" du "&amp;DATE</f>
        <v>L’Isle sur la Sorgue du 27 au 31 mars 2023</v>
      </c>
      <c r="B707" s="1184"/>
      <c r="C707" s="1184"/>
      <c r="D707" s="1184"/>
      <c r="E707" s="1184"/>
      <c r="F707" s="1184"/>
      <c r="G707" s="1184"/>
      <c r="H707" s="1184"/>
      <c r="I707" s="1184"/>
      <c r="J707" s="1184"/>
      <c r="K707" s="1184"/>
      <c r="L707" s="1184"/>
      <c r="M707" s="1184"/>
      <c r="N707" s="1184"/>
      <c r="O707" s="1184"/>
      <c r="P707" s="1184"/>
      <c r="Q707" s="1184"/>
      <c r="R707" s="1184"/>
      <c r="S707" s="571" t="s">
        <v>994</v>
      </c>
      <c r="T707" s="1184" t="str">
        <f>LIEU&amp;" du "&amp;DATE</f>
        <v>L’Isle sur la Sorgue du 27 au 31 mars 2023</v>
      </c>
      <c r="U707" s="1184"/>
      <c r="V707" s="1184"/>
      <c r="W707" s="1184"/>
      <c r="X707" s="1184"/>
      <c r="Y707" s="1184"/>
      <c r="Z707" s="1184"/>
      <c r="AA707" s="1184"/>
      <c r="AB707" s="1184"/>
      <c r="AC707" s="1184"/>
      <c r="AD707" s="1184"/>
      <c r="AE707" s="1184"/>
      <c r="AF707" s="1184"/>
      <c r="AG707" s="1184"/>
      <c r="AH707" s="1184"/>
      <c r="AI707" s="1184"/>
      <c r="AJ707" s="1184"/>
      <c r="AK707" s="1184"/>
    </row>
    <row r="708" spans="1:37" s="218" customFormat="1" ht="40.5" customHeight="1" x14ac:dyDescent="0.2">
      <c r="A708" s="1268" t="str">
        <f>CATEG_IMPORTEE</f>
        <v>Collèges Mixtes Etablissement</v>
      </c>
      <c r="B708" s="1268"/>
      <c r="C708" s="1268"/>
      <c r="D708" s="1268"/>
      <c r="E708" s="1268"/>
      <c r="F708" s="1268"/>
      <c r="G708" s="1268"/>
      <c r="H708" s="1268"/>
      <c r="I708" s="1268"/>
      <c r="J708" s="1268"/>
      <c r="K708" s="1268"/>
      <c r="L708" s="1268"/>
      <c r="M708" s="1268"/>
      <c r="N708" s="1268"/>
      <c r="O708" s="1268"/>
      <c r="P708" s="1268"/>
      <c r="Q708" s="1268"/>
      <c r="R708" s="1268"/>
      <c r="S708" s="571" t="s">
        <v>994</v>
      </c>
      <c r="T708" s="1268" t="str">
        <f>CATEG_IMPORTEE</f>
        <v>Collèges Mixtes Etablissement</v>
      </c>
      <c r="U708" s="1268"/>
      <c r="V708" s="1268"/>
      <c r="W708" s="1268"/>
      <c r="X708" s="1268"/>
      <c r="Y708" s="1268"/>
      <c r="Z708" s="1268"/>
      <c r="AA708" s="1268"/>
      <c r="AB708" s="1268"/>
      <c r="AC708" s="1268"/>
      <c r="AD708" s="1268"/>
      <c r="AE708" s="1268"/>
      <c r="AF708" s="1268"/>
      <c r="AG708" s="1268"/>
      <c r="AH708" s="1268"/>
      <c r="AI708" s="1268"/>
      <c r="AJ708" s="1268"/>
      <c r="AK708" s="1268"/>
    </row>
    <row r="709" spans="1:37" s="218" customFormat="1" ht="19.5" customHeight="1" x14ac:dyDescent="0.2">
      <c r="A709" s="625"/>
      <c r="B709" s="625"/>
      <c r="C709" s="625"/>
      <c r="D709" s="625"/>
      <c r="E709" s="625"/>
      <c r="F709" s="625"/>
      <c r="G709" s="625"/>
      <c r="H709" s="625"/>
      <c r="I709" s="625"/>
      <c r="J709" s="625"/>
      <c r="K709" s="625"/>
      <c r="L709" s="625"/>
      <c r="M709" s="625"/>
      <c r="N709" s="625"/>
      <c r="O709" s="625"/>
      <c r="P709" s="625"/>
      <c r="Q709" s="625"/>
      <c r="R709" s="625"/>
      <c r="S709" s="646" t="s">
        <v>995</v>
      </c>
      <c r="T709" s="625"/>
      <c r="U709" s="625"/>
      <c r="V709" s="625"/>
      <c r="W709" s="625"/>
      <c r="X709" s="625"/>
      <c r="Y709" s="625"/>
      <c r="Z709" s="625"/>
      <c r="AA709" s="625"/>
      <c r="AB709" s="625"/>
      <c r="AC709" s="625"/>
      <c r="AD709" s="625"/>
      <c r="AE709" s="625"/>
      <c r="AF709" s="625"/>
      <c r="AG709" s="625"/>
      <c r="AH709" s="625"/>
      <c r="AI709" s="625"/>
      <c r="AJ709" s="625"/>
      <c r="AK709" s="625"/>
    </row>
    <row r="710" spans="1:37" ht="47.25" customHeight="1" x14ac:dyDescent="0.2">
      <c r="A710" s="620"/>
      <c r="B710" s="620"/>
      <c r="C710" s="620"/>
      <c r="D710" s="620"/>
      <c r="E710" s="620"/>
      <c r="F710" s="620"/>
      <c r="G710" s="620"/>
      <c r="H710" s="620"/>
      <c r="I710" s="620"/>
      <c r="J710" s="620"/>
      <c r="K710" s="620"/>
      <c r="L710" s="620"/>
      <c r="M710" s="620"/>
      <c r="N710" s="1072" t="s">
        <v>628</v>
      </c>
      <c r="O710" s="1073"/>
      <c r="P710" s="1271">
        <f>P678+1</f>
        <v>23</v>
      </c>
      <c r="Q710" s="1271"/>
      <c r="R710" s="1271"/>
      <c r="S710" s="571" t="s">
        <v>994</v>
      </c>
      <c r="T710" s="620"/>
      <c r="U710" s="620"/>
      <c r="V710" s="620"/>
      <c r="W710" s="620"/>
      <c r="X710" s="620"/>
      <c r="Y710" s="620"/>
      <c r="Z710" s="620"/>
      <c r="AA710" s="620"/>
      <c r="AB710" s="620"/>
      <c r="AC710" s="620"/>
      <c r="AD710" s="620"/>
      <c r="AE710" s="620"/>
      <c r="AF710" s="620"/>
      <c r="AG710" s="1072" t="s">
        <v>628</v>
      </c>
      <c r="AH710" s="1073"/>
      <c r="AI710" s="1271">
        <f>AI678+1</f>
        <v>23</v>
      </c>
      <c r="AJ710" s="1271"/>
      <c r="AK710" s="1271"/>
    </row>
    <row r="711" spans="1:37" ht="36.75" customHeight="1" x14ac:dyDescent="0.2">
      <c r="A711" s="1272" t="e">
        <f>VLOOKUP(J718,ID_archer_cible,2,FALSE)</f>
        <v>#N/A</v>
      </c>
      <c r="B711" s="1272"/>
      <c r="C711" s="1272"/>
      <c r="D711" s="1272"/>
      <c r="E711" s="1272"/>
      <c r="F711" s="1272"/>
      <c r="G711" s="1272"/>
      <c r="H711" s="1272"/>
      <c r="I711" s="1272"/>
      <c r="J711" s="1272"/>
      <c r="K711" s="1272"/>
      <c r="L711" s="1272"/>
      <c r="M711" s="1272"/>
      <c r="N711" s="1272"/>
      <c r="O711" s="1272"/>
      <c r="P711" s="1272"/>
      <c r="Q711" s="1272"/>
      <c r="R711" s="1272"/>
      <c r="S711" s="571" t="s">
        <v>994</v>
      </c>
      <c r="T711" s="1272" t="e">
        <f>VLOOKUP(AC718,ID_archer_cible,2,FALSE)</f>
        <v>#N/A</v>
      </c>
      <c r="U711" s="1272"/>
      <c r="V711" s="1272"/>
      <c r="W711" s="1272"/>
      <c r="X711" s="1272"/>
      <c r="Y711" s="1272"/>
      <c r="Z711" s="1272"/>
      <c r="AA711" s="1272"/>
      <c r="AB711" s="1272"/>
      <c r="AC711" s="1272"/>
      <c r="AD711" s="1272"/>
      <c r="AE711" s="1272"/>
      <c r="AF711" s="1272"/>
      <c r="AG711" s="1272"/>
      <c r="AH711" s="1272"/>
      <c r="AI711" s="1272"/>
      <c r="AJ711" s="1272"/>
      <c r="AK711" s="1272"/>
    </row>
    <row r="712" spans="1:37" ht="21.75" customHeight="1" x14ac:dyDescent="0.2">
      <c r="I712" s="621"/>
      <c r="J712" s="621"/>
      <c r="K712" s="621"/>
      <c r="L712" s="621"/>
      <c r="M712" s="621"/>
      <c r="N712" s="621"/>
      <c r="P712" s="619"/>
      <c r="Q712" s="619"/>
      <c r="R712" s="619"/>
      <c r="S712" s="646" t="s">
        <v>995</v>
      </c>
      <c r="AB712" s="621"/>
      <c r="AC712" s="621"/>
      <c r="AD712" s="621"/>
      <c r="AE712" s="621"/>
      <c r="AF712" s="621"/>
      <c r="AG712" s="621"/>
      <c r="AI712" s="619"/>
      <c r="AJ712" s="619"/>
      <c r="AK712" s="619"/>
    </row>
    <row r="713" spans="1:37" ht="17.25" customHeight="1" x14ac:dyDescent="0.2">
      <c r="A713" s="1125"/>
      <c r="B713" s="1125"/>
      <c r="C713" s="1125"/>
      <c r="D713" s="1125"/>
      <c r="E713" s="1125"/>
      <c r="F713" s="1125"/>
      <c r="G713" s="1125"/>
      <c r="H713" s="1125"/>
      <c r="I713" s="1125"/>
      <c r="J713" s="1125"/>
      <c r="K713" s="1125"/>
      <c r="L713" s="1125" t="s">
        <v>374</v>
      </c>
      <c r="M713" s="1125"/>
      <c r="N713" s="1125"/>
      <c r="O713" s="1125"/>
      <c r="P713" s="1125"/>
      <c r="Q713" s="1125"/>
      <c r="R713" s="1125"/>
      <c r="S713" s="571" t="s">
        <v>994</v>
      </c>
      <c r="T713" s="1125"/>
      <c r="U713" s="1125"/>
      <c r="V713" s="1125"/>
      <c r="W713" s="1125"/>
      <c r="X713" s="1125"/>
      <c r="Y713" s="1125"/>
      <c r="Z713" s="1125"/>
      <c r="AA713" s="1125"/>
      <c r="AB713" s="1125"/>
      <c r="AC713" s="1125"/>
      <c r="AD713" s="1125"/>
      <c r="AE713" s="1125" t="s">
        <v>374</v>
      </c>
      <c r="AF713" s="1125"/>
      <c r="AG713" s="1125"/>
      <c r="AH713" s="1125"/>
      <c r="AI713" s="1125"/>
      <c r="AJ713" s="1125"/>
      <c r="AK713" s="1125"/>
    </row>
    <row r="714" spans="1:37" ht="32.25" customHeight="1" x14ac:dyDescent="0.2">
      <c r="A714" s="1269" t="e">
        <f>VLOOKUP(J718,ID_archer_cible,3,FALSE)</f>
        <v>#N/A</v>
      </c>
      <c r="B714" s="1269"/>
      <c r="C714" s="1269"/>
      <c r="D714" s="1269"/>
      <c r="E714" s="1269"/>
      <c r="F714" s="1269"/>
      <c r="G714" s="1269"/>
      <c r="H714" s="1269"/>
      <c r="I714" s="1269"/>
      <c r="J714" s="1269"/>
      <c r="K714" s="1269"/>
      <c r="L714" s="1270" t="e">
        <f>VLOOKUP(J718,ID_archer_cible,4,FALSE)</f>
        <v>#N/A</v>
      </c>
      <c r="M714" s="1270"/>
      <c r="N714" s="1270"/>
      <c r="O714" s="1270"/>
      <c r="P714" s="1270"/>
      <c r="Q714" s="1270"/>
      <c r="R714" s="1270"/>
      <c r="S714" s="571" t="s">
        <v>994</v>
      </c>
      <c r="T714" s="1269" t="e">
        <f>VLOOKUP(AC718,ID_archer_cible,3,FALSE)</f>
        <v>#N/A</v>
      </c>
      <c r="U714" s="1269"/>
      <c r="V714" s="1269"/>
      <c r="W714" s="1269"/>
      <c r="X714" s="1269"/>
      <c r="Y714" s="1269"/>
      <c r="Z714" s="1269"/>
      <c r="AA714" s="1269"/>
      <c r="AB714" s="1269"/>
      <c r="AC714" s="1269"/>
      <c r="AD714" s="1269"/>
      <c r="AE714" s="1270" t="e">
        <f>VLOOKUP(AC718,ID_archer_cible,4,FALSE)</f>
        <v>#N/A</v>
      </c>
      <c r="AF714" s="1270"/>
      <c r="AG714" s="1270"/>
      <c r="AH714" s="1270"/>
      <c r="AI714" s="1270"/>
      <c r="AJ714" s="1270"/>
      <c r="AK714" s="1270"/>
    </row>
    <row r="715" spans="1:37" ht="17.25" customHeight="1" x14ac:dyDescent="0.2">
      <c r="E715" s="584"/>
      <c r="F715" s="584"/>
      <c r="G715" s="584"/>
      <c r="H715" s="584"/>
      <c r="I715" s="618"/>
      <c r="J715" s="618"/>
      <c r="K715" s="618"/>
      <c r="L715" s="618"/>
      <c r="M715" s="618"/>
      <c r="N715" s="618"/>
      <c r="P715" s="1266" t="str">
        <f>IFERROR(IF(AND(R718="oui",R719="oui",R720="oui",R721="oui"),"PRO",""),"")</f>
        <v/>
      </c>
      <c r="Q715" s="1266"/>
      <c r="R715" s="1266"/>
      <c r="S715" s="646" t="s">
        <v>995</v>
      </c>
      <c r="X715" s="584"/>
      <c r="Y715" s="584"/>
      <c r="Z715" s="584"/>
      <c r="AA715" s="584"/>
      <c r="AB715" s="618"/>
      <c r="AC715" s="618"/>
      <c r="AD715" s="618"/>
      <c r="AE715" s="618"/>
      <c r="AF715" s="618"/>
      <c r="AG715" s="618"/>
      <c r="AI715" s="1266" t="str">
        <f>IFERROR(IF(AND(AK718="oui",AK719="oui",AK720="oui",AK721="oui"),"PRO",""),"")</f>
        <v/>
      </c>
      <c r="AJ715" s="1266"/>
      <c r="AK715" s="1266"/>
    </row>
    <row r="716" spans="1:37" ht="20.25" customHeight="1" x14ac:dyDescent="0.2">
      <c r="P716" s="1267"/>
      <c r="Q716" s="1267"/>
      <c r="R716" s="1267"/>
      <c r="S716" s="571" t="s">
        <v>994</v>
      </c>
      <c r="AI716" s="1267"/>
      <c r="AJ716" s="1267"/>
      <c r="AK716" s="1267"/>
    </row>
    <row r="717" spans="1:37" ht="25.5" customHeight="1" x14ac:dyDescent="0.2">
      <c r="B717" s="1273" t="s">
        <v>906</v>
      </c>
      <c r="C717" s="1273"/>
      <c r="D717" s="1273"/>
      <c r="E717" s="1273"/>
      <c r="F717" s="1273"/>
      <c r="G717" s="1273"/>
      <c r="H717" s="1273"/>
      <c r="I717" s="1273"/>
      <c r="J717" s="622" t="s">
        <v>552</v>
      </c>
      <c r="K717" s="623" t="s">
        <v>893</v>
      </c>
      <c r="L717" s="1275" t="s">
        <v>550</v>
      </c>
      <c r="M717" s="1276"/>
      <c r="N717" s="1274" t="s">
        <v>905</v>
      </c>
      <c r="O717" s="1274"/>
      <c r="P717" s="1254" t="s">
        <v>551</v>
      </c>
      <c r="Q717" s="1254"/>
      <c r="R717" s="752" t="s">
        <v>1027</v>
      </c>
      <c r="S717" s="571" t="s">
        <v>994</v>
      </c>
      <c r="U717" s="1273" t="s">
        <v>906</v>
      </c>
      <c r="V717" s="1273"/>
      <c r="W717" s="1273"/>
      <c r="X717" s="1273"/>
      <c r="Y717" s="1273"/>
      <c r="Z717" s="1273"/>
      <c r="AA717" s="1273"/>
      <c r="AB717" s="1273"/>
      <c r="AC717" s="622" t="s">
        <v>552</v>
      </c>
      <c r="AD717" s="623" t="s">
        <v>893</v>
      </c>
      <c r="AE717" s="1275" t="s">
        <v>550</v>
      </c>
      <c r="AF717" s="1276"/>
      <c r="AG717" s="1274" t="s">
        <v>905</v>
      </c>
      <c r="AH717" s="1274"/>
      <c r="AI717" s="1254" t="s">
        <v>551</v>
      </c>
      <c r="AJ717" s="1254"/>
      <c r="AK717" s="752" t="s">
        <v>1027</v>
      </c>
    </row>
    <row r="718" spans="1:37" ht="45" customHeight="1" x14ac:dyDescent="0.2">
      <c r="B718" s="1255" t="e">
        <f>VLOOKUP(J718,ID_archer_cible,5,FALSE)&amp;"    "&amp;VLOOKUP(J718,ID_archer_cible,6,FALSE)</f>
        <v>#N/A</v>
      </c>
      <c r="C718" s="1255"/>
      <c r="D718" s="1255"/>
      <c r="E718" s="1255"/>
      <c r="F718" s="1255"/>
      <c r="G718" s="1255"/>
      <c r="H718" s="1255"/>
      <c r="I718" s="1255"/>
      <c r="J718" s="624" t="str">
        <f>P710&amp;"A"</f>
        <v>23A</v>
      </c>
      <c r="K718" s="574" t="e">
        <f>VLOOKUP(J718,ID_archer_cible,9,FALSE)</f>
        <v>#N/A</v>
      </c>
      <c r="L718" s="1256" t="e">
        <f>VLOOKUP(J718,ID_archer_cible,8,FALSE)</f>
        <v>#N/A</v>
      </c>
      <c r="M718" s="1257"/>
      <c r="N718" s="1260" t="e">
        <f>VLOOKUP(J718,ID_archer_cible,7,FALSE)</f>
        <v>#N/A</v>
      </c>
      <c r="O718" s="1261"/>
      <c r="P718" s="828" t="e">
        <f>VLOOKUP(J718,ID_archer_cible,10,FALSE)</f>
        <v>#N/A</v>
      </c>
      <c r="Q718" s="829" t="e">
        <f>IF(VLOOKUP(L718,N°LicPRO,3,FALSE)="oui","COACH","")</f>
        <v>#N/A</v>
      </c>
      <c r="R718" s="742" t="str">
        <f>IFERROR(VLOOKUP(L718,N°LicPRO,2,FALSE),"")</f>
        <v/>
      </c>
      <c r="S718" s="646" t="s">
        <v>995</v>
      </c>
      <c r="U718" s="1255" t="e">
        <f>VLOOKUP(AC718,ID_archer_cible,5,FALSE)&amp;"    "&amp;VLOOKUP(AC718,ID_archer_cible,6,FALSE)</f>
        <v>#N/A</v>
      </c>
      <c r="V718" s="1255"/>
      <c r="W718" s="1255"/>
      <c r="X718" s="1255"/>
      <c r="Y718" s="1255"/>
      <c r="Z718" s="1255"/>
      <c r="AA718" s="1255"/>
      <c r="AB718" s="1255"/>
      <c r="AC718" s="624" t="str">
        <f>AI710&amp;"A"</f>
        <v>23A</v>
      </c>
      <c r="AD718" s="574" t="e">
        <f>VLOOKUP(AC718,ID_archer_cible,9,FALSE)</f>
        <v>#N/A</v>
      </c>
      <c r="AE718" s="1256" t="e">
        <f>VLOOKUP(AC718,ID_archer_cible,8,FALSE)</f>
        <v>#N/A</v>
      </c>
      <c r="AF718" s="1257"/>
      <c r="AG718" s="1260" t="e">
        <f>VLOOKUP(AC718,ID_archer_cible,7,FALSE)</f>
        <v>#N/A</v>
      </c>
      <c r="AH718" s="1261"/>
      <c r="AI718" s="828" t="e">
        <f>VLOOKUP(AC718,ID_archer_cible,10,FALSE)</f>
        <v>#N/A</v>
      </c>
      <c r="AJ718" s="829" t="e">
        <f>IF(VLOOKUP(AE718,N°LicPRO,3,FALSE)="oui","COACH","")</f>
        <v>#N/A</v>
      </c>
      <c r="AK718" s="742" t="str">
        <f>IFERROR(VLOOKUP(AE718,N°LicPRO,2,FALSE),"")</f>
        <v/>
      </c>
    </row>
    <row r="719" spans="1:37" ht="45" customHeight="1" x14ac:dyDescent="0.2">
      <c r="B719" s="1255" t="e">
        <f>VLOOKUP(J719,ID_archer_cible,5,FALSE)&amp;"    "&amp;VLOOKUP(J719,ID_archer_cible,6,FALSE)</f>
        <v>#N/A</v>
      </c>
      <c r="C719" s="1255"/>
      <c r="D719" s="1255"/>
      <c r="E719" s="1255"/>
      <c r="F719" s="1255"/>
      <c r="G719" s="1255"/>
      <c r="H719" s="1255"/>
      <c r="I719" s="1255"/>
      <c r="J719" s="624" t="str">
        <f>P710&amp;"B"</f>
        <v>23B</v>
      </c>
      <c r="K719" s="574" t="e">
        <f>VLOOKUP(J719,ID_archer_cible,9,FALSE)</f>
        <v>#N/A</v>
      </c>
      <c r="L719" s="1256" t="e">
        <f>VLOOKUP(J719,ID_archer_cible,8,FALSE)</f>
        <v>#N/A</v>
      </c>
      <c r="M719" s="1257"/>
      <c r="N719" s="1260" t="e">
        <f>VLOOKUP(J719,ID_archer_cible,7,FALSE)</f>
        <v>#N/A</v>
      </c>
      <c r="O719" s="1261"/>
      <c r="P719" s="828" t="e">
        <f>VLOOKUP(J719,ID_archer_cible,10,FALSE)</f>
        <v>#N/A</v>
      </c>
      <c r="Q719" s="829" t="e">
        <f>IF(VLOOKUP(L719,N°LicPRO,3,FALSE)="oui","COACH","")</f>
        <v>#N/A</v>
      </c>
      <c r="R719" s="742" t="str">
        <f>IFERROR(VLOOKUP(L719,N°LicPRO,2,FALSE),"")</f>
        <v/>
      </c>
      <c r="S719" s="571" t="s">
        <v>994</v>
      </c>
      <c r="U719" s="1255" t="e">
        <f>VLOOKUP(AC719,ID_archer_cible,5,FALSE)&amp;"    "&amp;VLOOKUP(AC719,ID_archer_cible,6,FALSE)</f>
        <v>#N/A</v>
      </c>
      <c r="V719" s="1255"/>
      <c r="W719" s="1255"/>
      <c r="X719" s="1255"/>
      <c r="Y719" s="1255"/>
      <c r="Z719" s="1255"/>
      <c r="AA719" s="1255"/>
      <c r="AB719" s="1255"/>
      <c r="AC719" s="624" t="str">
        <f>AI710&amp;"B"</f>
        <v>23B</v>
      </c>
      <c r="AD719" s="574" t="e">
        <f>VLOOKUP(AC719,ID_archer_cible,9,FALSE)</f>
        <v>#N/A</v>
      </c>
      <c r="AE719" s="1256" t="e">
        <f>VLOOKUP(AC719,ID_archer_cible,8,FALSE)</f>
        <v>#N/A</v>
      </c>
      <c r="AF719" s="1257"/>
      <c r="AG719" s="1260" t="e">
        <f>VLOOKUP(AC719,ID_archer_cible,7,FALSE)</f>
        <v>#N/A</v>
      </c>
      <c r="AH719" s="1261"/>
      <c r="AI719" s="828" t="e">
        <f>VLOOKUP(AC719,ID_archer_cible,10,FALSE)</f>
        <v>#N/A</v>
      </c>
      <c r="AJ719" s="829" t="e">
        <f>IF(VLOOKUP(AE719,N°LicPRO,3,FALSE)="oui","COACH","")</f>
        <v>#N/A</v>
      </c>
      <c r="AK719" s="742" t="str">
        <f>IFERROR(VLOOKUP(AE719,N°LicPRO,2,FALSE),"")</f>
        <v/>
      </c>
    </row>
    <row r="720" spans="1:37" ht="45" customHeight="1" x14ac:dyDescent="0.2">
      <c r="B720" s="1255" t="e">
        <f>VLOOKUP(J720,ID_archer_cible,5,FALSE)&amp;"    "&amp;VLOOKUP(J720,ID_archer_cible,6,FALSE)</f>
        <v>#N/A</v>
      </c>
      <c r="C720" s="1255"/>
      <c r="D720" s="1255"/>
      <c r="E720" s="1255"/>
      <c r="F720" s="1255"/>
      <c r="G720" s="1255"/>
      <c r="H720" s="1255"/>
      <c r="I720" s="1255"/>
      <c r="J720" s="624" t="str">
        <f>P710&amp;"C"</f>
        <v>23C</v>
      </c>
      <c r="K720" s="574" t="e">
        <f>VLOOKUP(J720,ID_archer_cible,9,FALSE)</f>
        <v>#N/A</v>
      </c>
      <c r="L720" s="1256" t="e">
        <f>VLOOKUP(J720,ID_archer_cible,8,FALSE)</f>
        <v>#N/A</v>
      </c>
      <c r="M720" s="1257"/>
      <c r="N720" s="1260" t="e">
        <f>VLOOKUP(J720,ID_archer_cible,7,FALSE)</f>
        <v>#N/A</v>
      </c>
      <c r="O720" s="1261"/>
      <c r="P720" s="828" t="e">
        <f>VLOOKUP(J720,ID_archer_cible,10,FALSE)</f>
        <v>#N/A</v>
      </c>
      <c r="Q720" s="829" t="e">
        <f>IF(VLOOKUP(L720,N°LicPRO,3,FALSE)="oui","COACH","")</f>
        <v>#N/A</v>
      </c>
      <c r="R720" s="742" t="str">
        <f>IFERROR(VLOOKUP(L720,N°LicPRO,2,FALSE),"")</f>
        <v/>
      </c>
      <c r="S720" s="571" t="s">
        <v>994</v>
      </c>
      <c r="U720" s="1255" t="e">
        <f>VLOOKUP(AC720,ID_archer_cible,5,FALSE)&amp;"    "&amp;VLOOKUP(AC720,ID_archer_cible,6,FALSE)</f>
        <v>#N/A</v>
      </c>
      <c r="V720" s="1255"/>
      <c r="W720" s="1255"/>
      <c r="X720" s="1255"/>
      <c r="Y720" s="1255"/>
      <c r="Z720" s="1255"/>
      <c r="AA720" s="1255"/>
      <c r="AB720" s="1255"/>
      <c r="AC720" s="624" t="str">
        <f>AI710&amp;"C"</f>
        <v>23C</v>
      </c>
      <c r="AD720" s="574" t="e">
        <f>VLOOKUP(AC720,ID_archer_cible,9,FALSE)</f>
        <v>#N/A</v>
      </c>
      <c r="AE720" s="1256" t="e">
        <f>VLOOKUP(AC720,ID_archer_cible,8,FALSE)</f>
        <v>#N/A</v>
      </c>
      <c r="AF720" s="1257"/>
      <c r="AG720" s="1260" t="e">
        <f>VLOOKUP(AC720,ID_archer_cible,7,FALSE)</f>
        <v>#N/A</v>
      </c>
      <c r="AH720" s="1261"/>
      <c r="AI720" s="828" t="e">
        <f>VLOOKUP(AC720,ID_archer_cible,10,FALSE)</f>
        <v>#N/A</v>
      </c>
      <c r="AJ720" s="829" t="e">
        <f>IF(VLOOKUP(AE720,N°LicPRO,3,FALSE)="oui","COACH","")</f>
        <v>#N/A</v>
      </c>
      <c r="AK720" s="742" t="str">
        <f>IFERROR(VLOOKUP(AE720,N°LicPRO,2,FALSE),"")</f>
        <v/>
      </c>
    </row>
    <row r="721" spans="2:37" ht="45" customHeight="1" x14ac:dyDescent="0.2">
      <c r="B721" s="1255" t="e">
        <f>VLOOKUP(J721,ID_archer_cible,5,FALSE)&amp;"    "&amp;VLOOKUP(J721,ID_archer_cible,6,FALSE)</f>
        <v>#N/A</v>
      </c>
      <c r="C721" s="1255"/>
      <c r="D721" s="1255"/>
      <c r="E721" s="1255"/>
      <c r="F721" s="1255"/>
      <c r="G721" s="1255"/>
      <c r="H721" s="1255"/>
      <c r="I721" s="1255"/>
      <c r="J721" s="624" t="str">
        <f>P710&amp;"D"</f>
        <v>23D</v>
      </c>
      <c r="K721" s="574" t="e">
        <f>VLOOKUP(J721,ID_archer_cible,9,FALSE)</f>
        <v>#N/A</v>
      </c>
      <c r="L721" s="1256" t="e">
        <f>VLOOKUP(J721,ID_archer_cible,8,FALSE)</f>
        <v>#N/A</v>
      </c>
      <c r="M721" s="1257"/>
      <c r="N721" s="1260" t="e">
        <f>VLOOKUP(J721,ID_archer_cible,7,FALSE)</f>
        <v>#N/A</v>
      </c>
      <c r="O721" s="1261"/>
      <c r="P721" s="828" t="e">
        <f>VLOOKUP(J721,ID_archer_cible,10,FALSE)</f>
        <v>#N/A</v>
      </c>
      <c r="Q721" s="829" t="e">
        <f>IF(VLOOKUP(L721,N°LicPRO,3,FALSE)="oui","COACH","")</f>
        <v>#N/A</v>
      </c>
      <c r="R721" s="742" t="str">
        <f>IFERROR(VLOOKUP(L721,N°LicPRO,2,FALSE),"")</f>
        <v/>
      </c>
      <c r="S721" s="646" t="s">
        <v>995</v>
      </c>
      <c r="U721" s="1255" t="e">
        <f>VLOOKUP(AC721,ID_archer_cible,5,FALSE)&amp;"    "&amp;VLOOKUP(AC721,ID_archer_cible,6,FALSE)</f>
        <v>#N/A</v>
      </c>
      <c r="V721" s="1255"/>
      <c r="W721" s="1255"/>
      <c r="X721" s="1255"/>
      <c r="Y721" s="1255"/>
      <c r="Z721" s="1255"/>
      <c r="AA721" s="1255"/>
      <c r="AB721" s="1255"/>
      <c r="AC721" s="624" t="str">
        <f>AI710&amp;"D"</f>
        <v>23D</v>
      </c>
      <c r="AD721" s="574" t="e">
        <f>VLOOKUP(AC721,ID_archer_cible,9,FALSE)</f>
        <v>#N/A</v>
      </c>
      <c r="AE721" s="1256" t="e">
        <f>VLOOKUP(AC721,ID_archer_cible,8,FALSE)</f>
        <v>#N/A</v>
      </c>
      <c r="AF721" s="1257"/>
      <c r="AG721" s="1260" t="e">
        <f>VLOOKUP(AC721,ID_archer_cible,7,FALSE)</f>
        <v>#N/A</v>
      </c>
      <c r="AH721" s="1261"/>
      <c r="AI721" s="828" t="e">
        <f>VLOOKUP(AC721,ID_archer_cible,10,FALSE)</f>
        <v>#N/A</v>
      </c>
      <c r="AJ721" s="829" t="e">
        <f>IF(VLOOKUP(AE721,N°LicPRO,3,FALSE)="oui","COACH","")</f>
        <v>#N/A</v>
      </c>
      <c r="AK721" s="742" t="str">
        <f>IFERROR(VLOOKUP(AE721,N°LicPRO,2,FALSE),"")</f>
        <v/>
      </c>
    </row>
    <row r="722" spans="2:37" ht="15" customHeight="1" x14ac:dyDescent="0.2">
      <c r="S722" s="571" t="s">
        <v>994</v>
      </c>
    </row>
    <row r="723" spans="2:37" ht="15" customHeight="1" x14ac:dyDescent="0.2">
      <c r="B723" s="508" t="s">
        <v>975</v>
      </c>
      <c r="S723" s="571" t="s">
        <v>994</v>
      </c>
      <c r="U723" s="508" t="s">
        <v>975</v>
      </c>
    </row>
    <row r="724" spans="2:37" ht="15" customHeight="1" x14ac:dyDescent="0.2">
      <c r="B724" s="1259" t="s">
        <v>974</v>
      </c>
      <c r="C724" s="1259"/>
      <c r="D724" s="1259"/>
      <c r="E724" s="1259"/>
      <c r="F724" s="1199" t="str">
        <f>Info_TirQ</f>
        <v>J2 8:30-9:00 Ent. 9:00-10:30 Tirs Qual.</v>
      </c>
      <c r="G724" s="1199"/>
      <c r="H724" s="1199"/>
      <c r="I724" s="1199"/>
      <c r="J724" s="1199"/>
      <c r="K724" s="1258" t="s">
        <v>978</v>
      </c>
      <c r="L724" s="1258"/>
      <c r="M724" s="1258"/>
      <c r="N724" s="1258"/>
      <c r="O724" s="1258"/>
      <c r="S724" s="646" t="s">
        <v>995</v>
      </c>
      <c r="U724" s="1259" t="s">
        <v>974</v>
      </c>
      <c r="V724" s="1259"/>
      <c r="W724" s="1259"/>
      <c r="X724" s="1259"/>
      <c r="Y724" s="1199" t="str">
        <f>Info_TirQ</f>
        <v>J2 8:30-9:00 Ent. 9:00-10:30 Tirs Qual.</v>
      </c>
      <c r="Z724" s="1199"/>
      <c r="AA724" s="1199"/>
      <c r="AB724" s="1199"/>
      <c r="AC724" s="1199"/>
      <c r="AD724" s="1258" t="s">
        <v>978</v>
      </c>
      <c r="AE724" s="1258"/>
      <c r="AF724" s="1258"/>
      <c r="AG724" s="1258"/>
      <c r="AH724" s="1258"/>
    </row>
    <row r="725" spans="2:37" ht="15" customHeight="1" x14ac:dyDescent="0.2">
      <c r="B725" s="1259" t="s">
        <v>484</v>
      </c>
      <c r="C725" s="1259"/>
      <c r="D725" s="1259"/>
      <c r="E725" s="1259"/>
      <c r="F725" s="1199" t="str">
        <f>Info_D1</f>
        <v>J2 13:30-14:20  1er DUEL</v>
      </c>
      <c r="G725" s="1199"/>
      <c r="H725" s="1199"/>
      <c r="I725" s="1199"/>
      <c r="J725" s="1199"/>
      <c r="K725" s="1258"/>
      <c r="L725" s="1258"/>
      <c r="M725" s="1258"/>
      <c r="N725" s="1258"/>
      <c r="O725" s="1258"/>
      <c r="S725" s="571" t="s">
        <v>994</v>
      </c>
      <c r="U725" s="1259" t="s">
        <v>484</v>
      </c>
      <c r="V725" s="1259"/>
      <c r="W725" s="1259"/>
      <c r="X725" s="1259"/>
      <c r="Y725" s="1199" t="str">
        <f>Info_D1</f>
        <v>J2 13:30-14:20  1er DUEL</v>
      </c>
      <c r="Z725" s="1199"/>
      <c r="AA725" s="1199"/>
      <c r="AB725" s="1199"/>
      <c r="AC725" s="1199"/>
      <c r="AD725" s="1258"/>
      <c r="AE725" s="1258"/>
      <c r="AF725" s="1258"/>
      <c r="AG725" s="1258"/>
      <c r="AH725" s="1258"/>
    </row>
    <row r="726" spans="2:37" ht="15" customHeight="1" x14ac:dyDescent="0.2">
      <c r="B726" s="1259" t="s">
        <v>972</v>
      </c>
      <c r="C726" s="1259"/>
      <c r="D726" s="1259"/>
      <c r="E726" s="1259"/>
      <c r="F726" s="1199" t="str">
        <f>Info_D2</f>
        <v>J2 14:30-15:20 2ème DUEL</v>
      </c>
      <c r="G726" s="1199"/>
      <c r="H726" s="1199"/>
      <c r="I726" s="1199"/>
      <c r="J726" s="1199"/>
      <c r="K726" s="1258"/>
      <c r="L726" s="1258"/>
      <c r="M726" s="1258"/>
      <c r="N726" s="1258"/>
      <c r="O726" s="1258"/>
      <c r="S726" s="571" t="s">
        <v>994</v>
      </c>
      <c r="U726" s="1259" t="s">
        <v>972</v>
      </c>
      <c r="V726" s="1259"/>
      <c r="W726" s="1259"/>
      <c r="X726" s="1259"/>
      <c r="Y726" s="1199" t="str">
        <f>Info_D2</f>
        <v>J2 14:30-15:20 2ème DUEL</v>
      </c>
      <c r="Z726" s="1199"/>
      <c r="AA726" s="1199"/>
      <c r="AB726" s="1199"/>
      <c r="AC726" s="1199"/>
      <c r="AD726" s="1258"/>
      <c r="AE726" s="1258"/>
      <c r="AF726" s="1258"/>
      <c r="AG726" s="1258"/>
      <c r="AH726" s="1258"/>
    </row>
    <row r="727" spans="2:37" ht="15" customHeight="1" x14ac:dyDescent="0.2">
      <c r="B727" s="1259" t="s">
        <v>973</v>
      </c>
      <c r="C727" s="1259"/>
      <c r="D727" s="1259"/>
      <c r="E727" s="1259"/>
      <c r="F727" s="1199" t="str">
        <f>Info_D3</f>
        <v>J3 10-10:50 Match pl. 5 à +  ETAB - EX</v>
      </c>
      <c r="G727" s="1199"/>
      <c r="H727" s="1199"/>
      <c r="I727" s="1199"/>
      <c r="J727" s="1199"/>
      <c r="K727" s="1258"/>
      <c r="L727" s="1258"/>
      <c r="M727" s="1258"/>
      <c r="N727" s="1258"/>
      <c r="O727" s="1258"/>
      <c r="S727" s="646" t="s">
        <v>995</v>
      </c>
      <c r="U727" s="1259" t="s">
        <v>973</v>
      </c>
      <c r="V727" s="1259"/>
      <c r="W727" s="1259"/>
      <c r="X727" s="1259"/>
      <c r="Y727" s="1199" t="str">
        <f>Info_D3</f>
        <v>J3 10-10:50 Match pl. 5 à +  ETAB - EX</v>
      </c>
      <c r="Z727" s="1199"/>
      <c r="AA727" s="1199"/>
      <c r="AB727" s="1199"/>
      <c r="AC727" s="1199"/>
      <c r="AD727" s="1258"/>
      <c r="AE727" s="1258"/>
      <c r="AF727" s="1258"/>
      <c r="AG727" s="1258"/>
      <c r="AH727" s="1258"/>
    </row>
    <row r="728" spans="2:37" ht="24.75" customHeight="1" x14ac:dyDescent="0.2">
      <c r="B728" s="626" t="s">
        <v>976</v>
      </c>
      <c r="S728" s="571" t="s">
        <v>994</v>
      </c>
      <c r="U728" s="626" t="s">
        <v>976</v>
      </c>
    </row>
    <row r="729" spans="2:37" ht="134.25" customHeight="1" x14ac:dyDescent="0.2">
      <c r="B729"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C729" s="1264"/>
      <c r="D729" s="1264"/>
      <c r="E729" s="1264"/>
      <c r="F729" s="1264"/>
      <c r="G729" s="1264"/>
      <c r="H729" s="1264"/>
      <c r="I729" s="1264"/>
      <c r="J729" s="1264"/>
      <c r="K729" s="1264"/>
      <c r="L729" s="1264"/>
      <c r="M729" s="1264"/>
      <c r="N729" s="1264"/>
      <c r="O729" s="1264"/>
      <c r="P729" s="1265"/>
      <c r="S729" s="571" t="s">
        <v>994</v>
      </c>
      <c r="U729"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V729" s="1264"/>
      <c r="W729" s="1264"/>
      <c r="X729" s="1264"/>
      <c r="Y729" s="1264"/>
      <c r="Z729" s="1264"/>
      <c r="AA729" s="1264"/>
      <c r="AB729" s="1264"/>
      <c r="AC729" s="1264"/>
      <c r="AD729" s="1264"/>
      <c r="AE729" s="1264"/>
      <c r="AF729" s="1264"/>
      <c r="AG729" s="1264"/>
      <c r="AH729" s="1264"/>
      <c r="AI729" s="1265"/>
    </row>
    <row r="730" spans="2:37" ht="15" customHeight="1" x14ac:dyDescent="0.2">
      <c r="C730" s="508" t="s">
        <v>964</v>
      </c>
      <c r="K730" s="508" t="s">
        <v>965</v>
      </c>
      <c r="O730" s="508" t="s">
        <v>966</v>
      </c>
      <c r="S730" s="646" t="s">
        <v>995</v>
      </c>
      <c r="V730" s="508" t="s">
        <v>964</v>
      </c>
      <c r="AD730" s="508" t="s">
        <v>965</v>
      </c>
      <c r="AH730" s="508" t="s">
        <v>966</v>
      </c>
    </row>
    <row r="731" spans="2:37" ht="15" customHeight="1" x14ac:dyDescent="0.2">
      <c r="S731" s="571" t="s">
        <v>994</v>
      </c>
    </row>
    <row r="732" spans="2:37" ht="15" customHeight="1" x14ac:dyDescent="0.2">
      <c r="S732" s="571" t="s">
        <v>994</v>
      </c>
    </row>
    <row r="733" spans="2:37" ht="15" customHeight="1" x14ac:dyDescent="0.2">
      <c r="S733" s="646" t="s">
        <v>995</v>
      </c>
    </row>
    <row r="734" spans="2:37" ht="15" customHeight="1" x14ac:dyDescent="0.2">
      <c r="S734" s="571" t="s">
        <v>994</v>
      </c>
    </row>
    <row r="735" spans="2:37" ht="15" customHeight="1" x14ac:dyDescent="0.2">
      <c r="S735" s="571" t="s">
        <v>994</v>
      </c>
    </row>
    <row r="736" spans="2:37" ht="21.75" x14ac:dyDescent="0.2">
      <c r="S736" s="646" t="s">
        <v>995</v>
      </c>
    </row>
    <row r="737" spans="1:37" x14ac:dyDescent="0.2">
      <c r="S737" s="571" t="s">
        <v>994</v>
      </c>
    </row>
    <row r="738" spans="1:37" ht="30" x14ac:dyDescent="0.2">
      <c r="A738" s="1262" t="str">
        <f>Championnat</f>
        <v>Championnat de France de Tir à l'ARC</v>
      </c>
      <c r="B738" s="1262"/>
      <c r="C738" s="1262"/>
      <c r="D738" s="1262"/>
      <c r="E738" s="1262"/>
      <c r="F738" s="1262"/>
      <c r="G738" s="1262"/>
      <c r="H738" s="1262"/>
      <c r="I738" s="1262"/>
      <c r="J738" s="1262"/>
      <c r="K738" s="1262"/>
      <c r="L738" s="1262"/>
      <c r="M738" s="1262"/>
      <c r="N738" s="1262"/>
      <c r="O738" s="1262"/>
      <c r="P738" s="1262"/>
      <c r="Q738" s="1262"/>
      <c r="R738" s="1262"/>
      <c r="S738" s="571" t="s">
        <v>994</v>
      </c>
      <c r="T738" s="1262" t="str">
        <f>Championnat</f>
        <v>Championnat de France de Tir à l'ARC</v>
      </c>
      <c r="U738" s="1262"/>
      <c r="V738" s="1262"/>
      <c r="W738" s="1262"/>
      <c r="X738" s="1262"/>
      <c r="Y738" s="1262"/>
      <c r="Z738" s="1262"/>
      <c r="AA738" s="1262"/>
      <c r="AB738" s="1262"/>
      <c r="AC738" s="1262"/>
      <c r="AD738" s="1262"/>
      <c r="AE738" s="1262"/>
      <c r="AF738" s="1262"/>
      <c r="AG738" s="1262"/>
      <c r="AH738" s="1262"/>
      <c r="AI738" s="1262"/>
      <c r="AJ738" s="1262"/>
      <c r="AK738" s="1262"/>
    </row>
    <row r="739" spans="1:37" ht="24.75" customHeight="1" x14ac:dyDescent="0.2">
      <c r="A739" s="1184" t="str">
        <f>LIEU&amp;" du "&amp;DATE</f>
        <v>L’Isle sur la Sorgue du 27 au 31 mars 2023</v>
      </c>
      <c r="B739" s="1184"/>
      <c r="C739" s="1184"/>
      <c r="D739" s="1184"/>
      <c r="E739" s="1184"/>
      <c r="F739" s="1184"/>
      <c r="G739" s="1184"/>
      <c r="H739" s="1184"/>
      <c r="I739" s="1184"/>
      <c r="J739" s="1184"/>
      <c r="K739" s="1184"/>
      <c r="L739" s="1184"/>
      <c r="M739" s="1184"/>
      <c r="N739" s="1184"/>
      <c r="O739" s="1184"/>
      <c r="P739" s="1184"/>
      <c r="Q739" s="1184"/>
      <c r="R739" s="1184"/>
      <c r="S739" s="646" t="s">
        <v>995</v>
      </c>
      <c r="T739" s="1184" t="str">
        <f>LIEU&amp;" du "&amp;DATE</f>
        <v>L’Isle sur la Sorgue du 27 au 31 mars 2023</v>
      </c>
      <c r="U739" s="1184"/>
      <c r="V739" s="1184"/>
      <c r="W739" s="1184"/>
      <c r="X739" s="1184"/>
      <c r="Y739" s="1184"/>
      <c r="Z739" s="1184"/>
      <c r="AA739" s="1184"/>
      <c r="AB739" s="1184"/>
      <c r="AC739" s="1184"/>
      <c r="AD739" s="1184"/>
      <c r="AE739" s="1184"/>
      <c r="AF739" s="1184"/>
      <c r="AG739" s="1184"/>
      <c r="AH739" s="1184"/>
      <c r="AI739" s="1184"/>
      <c r="AJ739" s="1184"/>
      <c r="AK739" s="1184"/>
    </row>
    <row r="740" spans="1:37" s="218" customFormat="1" ht="40.5" customHeight="1" x14ac:dyDescent="0.2">
      <c r="A740" s="1268" t="str">
        <f>CATEG_IMPORTEE</f>
        <v>Collèges Mixtes Etablissement</v>
      </c>
      <c r="B740" s="1268"/>
      <c r="C740" s="1268"/>
      <c r="D740" s="1268"/>
      <c r="E740" s="1268"/>
      <c r="F740" s="1268"/>
      <c r="G740" s="1268"/>
      <c r="H740" s="1268"/>
      <c r="I740" s="1268"/>
      <c r="J740" s="1268"/>
      <c r="K740" s="1268"/>
      <c r="L740" s="1268"/>
      <c r="M740" s="1268"/>
      <c r="N740" s="1268"/>
      <c r="O740" s="1268"/>
      <c r="P740" s="1268"/>
      <c r="Q740" s="1268"/>
      <c r="R740" s="1268"/>
      <c r="S740" s="571" t="s">
        <v>994</v>
      </c>
      <c r="T740" s="1268" t="str">
        <f>CATEG_IMPORTEE</f>
        <v>Collèges Mixtes Etablissement</v>
      </c>
      <c r="U740" s="1268"/>
      <c r="V740" s="1268"/>
      <c r="W740" s="1268"/>
      <c r="X740" s="1268"/>
      <c r="Y740" s="1268"/>
      <c r="Z740" s="1268"/>
      <c r="AA740" s="1268"/>
      <c r="AB740" s="1268"/>
      <c r="AC740" s="1268"/>
      <c r="AD740" s="1268"/>
      <c r="AE740" s="1268"/>
      <c r="AF740" s="1268"/>
      <c r="AG740" s="1268"/>
      <c r="AH740" s="1268"/>
      <c r="AI740" s="1268"/>
      <c r="AJ740" s="1268"/>
      <c r="AK740" s="1268"/>
    </row>
    <row r="741" spans="1:37" s="218" customFormat="1" ht="19.5" customHeight="1" x14ac:dyDescent="0.2">
      <c r="A741" s="625"/>
      <c r="B741" s="625"/>
      <c r="C741" s="625"/>
      <c r="D741" s="625"/>
      <c r="E741" s="625"/>
      <c r="F741" s="625"/>
      <c r="G741" s="625"/>
      <c r="H741" s="625"/>
      <c r="I741" s="625"/>
      <c r="J741" s="625"/>
      <c r="K741" s="625"/>
      <c r="L741" s="625"/>
      <c r="M741" s="625"/>
      <c r="N741" s="625"/>
      <c r="O741" s="625"/>
      <c r="P741" s="625"/>
      <c r="Q741" s="625"/>
      <c r="R741" s="625"/>
      <c r="S741" s="571" t="s">
        <v>994</v>
      </c>
      <c r="T741" s="625"/>
      <c r="U741" s="625"/>
      <c r="V741" s="625"/>
      <c r="W741" s="625"/>
      <c r="X741" s="625"/>
      <c r="Y741" s="625"/>
      <c r="Z741" s="625"/>
      <c r="AA741" s="625"/>
      <c r="AB741" s="625"/>
      <c r="AC741" s="625"/>
      <c r="AD741" s="625"/>
      <c r="AE741" s="625"/>
      <c r="AF741" s="625"/>
      <c r="AG741" s="625"/>
      <c r="AH741" s="625"/>
      <c r="AI741" s="625"/>
      <c r="AJ741" s="625"/>
      <c r="AK741" s="625"/>
    </row>
    <row r="742" spans="1:37" ht="47.25" customHeight="1" x14ac:dyDescent="0.2">
      <c r="A742" s="620"/>
      <c r="B742" s="620"/>
      <c r="C742" s="620"/>
      <c r="D742" s="620"/>
      <c r="E742" s="620"/>
      <c r="F742" s="620"/>
      <c r="G742" s="620"/>
      <c r="H742" s="620"/>
      <c r="I742" s="620"/>
      <c r="J742" s="620"/>
      <c r="K742" s="620"/>
      <c r="L742" s="620"/>
      <c r="M742" s="620"/>
      <c r="N742" s="1072" t="s">
        <v>628</v>
      </c>
      <c r="O742" s="1073"/>
      <c r="P742" s="1271">
        <f>P710+1</f>
        <v>24</v>
      </c>
      <c r="Q742" s="1271"/>
      <c r="R742" s="1271"/>
      <c r="S742" s="646" t="s">
        <v>995</v>
      </c>
      <c r="T742" s="620"/>
      <c r="U742" s="620"/>
      <c r="V742" s="620"/>
      <c r="W742" s="620"/>
      <c r="X742" s="620"/>
      <c r="Y742" s="620"/>
      <c r="Z742" s="620"/>
      <c r="AA742" s="620"/>
      <c r="AB742" s="620"/>
      <c r="AC742" s="620"/>
      <c r="AD742" s="620"/>
      <c r="AE742" s="620"/>
      <c r="AF742" s="620"/>
      <c r="AG742" s="1072" t="s">
        <v>628</v>
      </c>
      <c r="AH742" s="1073"/>
      <c r="AI742" s="1271">
        <f>AI710+1</f>
        <v>24</v>
      </c>
      <c r="AJ742" s="1271"/>
      <c r="AK742" s="1271"/>
    </row>
    <row r="743" spans="1:37" ht="36.75" customHeight="1" x14ac:dyDescent="0.2">
      <c r="A743" s="1272" t="e">
        <f>VLOOKUP(J750,ID_archer_cible,2,FALSE)</f>
        <v>#N/A</v>
      </c>
      <c r="B743" s="1272"/>
      <c r="C743" s="1272"/>
      <c r="D743" s="1272"/>
      <c r="E743" s="1272"/>
      <c r="F743" s="1272"/>
      <c r="G743" s="1272"/>
      <c r="H743" s="1272"/>
      <c r="I743" s="1272"/>
      <c r="J743" s="1272"/>
      <c r="K743" s="1272"/>
      <c r="L743" s="1272"/>
      <c r="M743" s="1272"/>
      <c r="N743" s="1272"/>
      <c r="O743" s="1272"/>
      <c r="P743" s="1272"/>
      <c r="Q743" s="1272"/>
      <c r="R743" s="1272"/>
      <c r="S743" s="571" t="s">
        <v>994</v>
      </c>
      <c r="T743" s="1272" t="e">
        <f>VLOOKUP(AC750,ID_archer_cible,2,FALSE)</f>
        <v>#N/A</v>
      </c>
      <c r="U743" s="1272"/>
      <c r="V743" s="1272"/>
      <c r="W743" s="1272"/>
      <c r="X743" s="1272"/>
      <c r="Y743" s="1272"/>
      <c r="Z743" s="1272"/>
      <c r="AA743" s="1272"/>
      <c r="AB743" s="1272"/>
      <c r="AC743" s="1272"/>
      <c r="AD743" s="1272"/>
      <c r="AE743" s="1272"/>
      <c r="AF743" s="1272"/>
      <c r="AG743" s="1272"/>
      <c r="AH743" s="1272"/>
      <c r="AI743" s="1272"/>
      <c r="AJ743" s="1272"/>
      <c r="AK743" s="1272"/>
    </row>
    <row r="744" spans="1:37" ht="21.75" customHeight="1" x14ac:dyDescent="0.2">
      <c r="I744" s="621"/>
      <c r="J744" s="621"/>
      <c r="K744" s="621"/>
      <c r="L744" s="621"/>
      <c r="M744" s="621"/>
      <c r="N744" s="621"/>
      <c r="P744" s="619"/>
      <c r="Q744" s="619"/>
      <c r="R744" s="619"/>
      <c r="S744" s="571" t="s">
        <v>994</v>
      </c>
      <c r="AB744" s="621"/>
      <c r="AC744" s="621"/>
      <c r="AD744" s="621"/>
      <c r="AE744" s="621"/>
      <c r="AF744" s="621"/>
      <c r="AG744" s="621"/>
      <c r="AI744" s="619"/>
      <c r="AJ744" s="619"/>
      <c r="AK744" s="619"/>
    </row>
    <row r="745" spans="1:37" ht="17.25" customHeight="1" x14ac:dyDescent="0.2">
      <c r="A745" s="1125"/>
      <c r="B745" s="1125"/>
      <c r="C745" s="1125"/>
      <c r="D745" s="1125"/>
      <c r="E745" s="1125"/>
      <c r="F745" s="1125"/>
      <c r="G745" s="1125"/>
      <c r="H745" s="1125"/>
      <c r="I745" s="1125"/>
      <c r="J745" s="1125"/>
      <c r="K745" s="1125"/>
      <c r="L745" s="1125" t="s">
        <v>374</v>
      </c>
      <c r="M745" s="1125"/>
      <c r="N745" s="1125"/>
      <c r="O745" s="1125"/>
      <c r="P745" s="1125"/>
      <c r="Q745" s="1125"/>
      <c r="R745" s="1125"/>
      <c r="S745" s="646" t="s">
        <v>995</v>
      </c>
      <c r="T745" s="1125"/>
      <c r="U745" s="1125"/>
      <c r="V745" s="1125"/>
      <c r="W745" s="1125"/>
      <c r="X745" s="1125"/>
      <c r="Y745" s="1125"/>
      <c r="Z745" s="1125"/>
      <c r="AA745" s="1125"/>
      <c r="AB745" s="1125"/>
      <c r="AC745" s="1125"/>
      <c r="AD745" s="1125"/>
      <c r="AE745" s="1125" t="s">
        <v>374</v>
      </c>
      <c r="AF745" s="1125"/>
      <c r="AG745" s="1125"/>
      <c r="AH745" s="1125"/>
      <c r="AI745" s="1125"/>
      <c r="AJ745" s="1125"/>
      <c r="AK745" s="1125"/>
    </row>
    <row r="746" spans="1:37" ht="32.25" customHeight="1" x14ac:dyDescent="0.2">
      <c r="A746" s="1269" t="e">
        <f>VLOOKUP(J750,ID_archer_cible,3,FALSE)</f>
        <v>#N/A</v>
      </c>
      <c r="B746" s="1269"/>
      <c r="C746" s="1269"/>
      <c r="D746" s="1269"/>
      <c r="E746" s="1269"/>
      <c r="F746" s="1269"/>
      <c r="G746" s="1269"/>
      <c r="H746" s="1269"/>
      <c r="I746" s="1269"/>
      <c r="J746" s="1269"/>
      <c r="K746" s="1269"/>
      <c r="L746" s="1270" t="e">
        <f>VLOOKUP(J750,ID_archer_cible,4,FALSE)</f>
        <v>#N/A</v>
      </c>
      <c r="M746" s="1270"/>
      <c r="N746" s="1270"/>
      <c r="O746" s="1270"/>
      <c r="P746" s="1270"/>
      <c r="Q746" s="1270"/>
      <c r="R746" s="1270"/>
      <c r="S746" s="571" t="s">
        <v>994</v>
      </c>
      <c r="T746" s="1269" t="e">
        <f>VLOOKUP(AC750,ID_archer_cible,3,FALSE)</f>
        <v>#N/A</v>
      </c>
      <c r="U746" s="1269"/>
      <c r="V746" s="1269"/>
      <c r="W746" s="1269"/>
      <c r="X746" s="1269"/>
      <c r="Y746" s="1269"/>
      <c r="Z746" s="1269"/>
      <c r="AA746" s="1269"/>
      <c r="AB746" s="1269"/>
      <c r="AC746" s="1269"/>
      <c r="AD746" s="1269"/>
      <c r="AE746" s="1270" t="e">
        <f>VLOOKUP(AC750,ID_archer_cible,4,FALSE)</f>
        <v>#N/A</v>
      </c>
      <c r="AF746" s="1270"/>
      <c r="AG746" s="1270"/>
      <c r="AH746" s="1270"/>
      <c r="AI746" s="1270"/>
      <c r="AJ746" s="1270"/>
      <c r="AK746" s="1270"/>
    </row>
    <row r="747" spans="1:37" ht="17.25" customHeight="1" x14ac:dyDescent="0.2">
      <c r="E747" s="584"/>
      <c r="F747" s="584"/>
      <c r="G747" s="584"/>
      <c r="H747" s="584"/>
      <c r="I747" s="618"/>
      <c r="J747" s="618"/>
      <c r="K747" s="618"/>
      <c r="L747" s="618"/>
      <c r="M747" s="618"/>
      <c r="N747" s="618"/>
      <c r="P747" s="1266" t="str">
        <f>IFERROR(IF(AND(R750="oui",R751="oui",R752="oui",R753="oui"),"PRO",""),"")</f>
        <v/>
      </c>
      <c r="Q747" s="1266"/>
      <c r="R747" s="1266"/>
      <c r="S747" s="571" t="s">
        <v>994</v>
      </c>
      <c r="X747" s="584"/>
      <c r="Y747" s="584"/>
      <c r="Z747" s="584"/>
      <c r="AA747" s="584"/>
      <c r="AB747" s="618"/>
      <c r="AC747" s="618"/>
      <c r="AD747" s="618"/>
      <c r="AE747" s="618"/>
      <c r="AF747" s="618"/>
      <c r="AG747" s="618"/>
      <c r="AI747" s="1266" t="str">
        <f>IFERROR(IF(AND(AK750="oui",AK751="oui",AK752="oui",AK753="oui"),"PRO",""),"")</f>
        <v/>
      </c>
      <c r="AJ747" s="1266"/>
      <c r="AK747" s="1266"/>
    </row>
    <row r="748" spans="1:37" ht="20.25" customHeight="1" x14ac:dyDescent="0.2">
      <c r="P748" s="1267"/>
      <c r="Q748" s="1267"/>
      <c r="R748" s="1267"/>
      <c r="S748" s="646" t="s">
        <v>995</v>
      </c>
      <c r="AI748" s="1267"/>
      <c r="AJ748" s="1267"/>
      <c r="AK748" s="1267"/>
    </row>
    <row r="749" spans="1:37" ht="25.5" customHeight="1" x14ac:dyDescent="0.2">
      <c r="B749" s="1273" t="s">
        <v>906</v>
      </c>
      <c r="C749" s="1273"/>
      <c r="D749" s="1273"/>
      <c r="E749" s="1273"/>
      <c r="F749" s="1273"/>
      <c r="G749" s="1273"/>
      <c r="H749" s="1273"/>
      <c r="I749" s="1273"/>
      <c r="J749" s="622" t="s">
        <v>552</v>
      </c>
      <c r="K749" s="623" t="s">
        <v>893</v>
      </c>
      <c r="L749" s="1275" t="s">
        <v>550</v>
      </c>
      <c r="M749" s="1276"/>
      <c r="N749" s="1274" t="s">
        <v>905</v>
      </c>
      <c r="O749" s="1274"/>
      <c r="P749" s="1254" t="s">
        <v>551</v>
      </c>
      <c r="Q749" s="1254"/>
      <c r="R749" s="752" t="s">
        <v>1027</v>
      </c>
      <c r="S749" s="571" t="s">
        <v>994</v>
      </c>
      <c r="U749" s="1273" t="s">
        <v>906</v>
      </c>
      <c r="V749" s="1273"/>
      <c r="W749" s="1273"/>
      <c r="X749" s="1273"/>
      <c r="Y749" s="1273"/>
      <c r="Z749" s="1273"/>
      <c r="AA749" s="1273"/>
      <c r="AB749" s="1273"/>
      <c r="AC749" s="622" t="s">
        <v>552</v>
      </c>
      <c r="AD749" s="623" t="s">
        <v>893</v>
      </c>
      <c r="AE749" s="1275" t="s">
        <v>550</v>
      </c>
      <c r="AF749" s="1276"/>
      <c r="AG749" s="1274" t="s">
        <v>905</v>
      </c>
      <c r="AH749" s="1274"/>
      <c r="AI749" s="1254" t="s">
        <v>551</v>
      </c>
      <c r="AJ749" s="1254"/>
      <c r="AK749" s="752" t="s">
        <v>1027</v>
      </c>
    </row>
    <row r="750" spans="1:37" ht="45" customHeight="1" x14ac:dyDescent="0.2">
      <c r="B750" s="1255" t="e">
        <f>VLOOKUP(J750,ID_archer_cible,5,FALSE)&amp;"    "&amp;VLOOKUP(J750,ID_archer_cible,6,FALSE)</f>
        <v>#N/A</v>
      </c>
      <c r="C750" s="1255"/>
      <c r="D750" s="1255"/>
      <c r="E750" s="1255"/>
      <c r="F750" s="1255"/>
      <c r="G750" s="1255"/>
      <c r="H750" s="1255"/>
      <c r="I750" s="1255"/>
      <c r="J750" s="624" t="str">
        <f>P742&amp;"A"</f>
        <v>24A</v>
      </c>
      <c r="K750" s="574" t="e">
        <f>VLOOKUP(J750,ID_archer_cible,9,FALSE)</f>
        <v>#N/A</v>
      </c>
      <c r="L750" s="1256" t="e">
        <f>VLOOKUP(J750,ID_archer_cible,8,FALSE)</f>
        <v>#N/A</v>
      </c>
      <c r="M750" s="1257"/>
      <c r="N750" s="1260" t="e">
        <f>VLOOKUP(J750,ID_archer_cible,7,FALSE)</f>
        <v>#N/A</v>
      </c>
      <c r="O750" s="1261"/>
      <c r="P750" s="828" t="e">
        <f>VLOOKUP(J750,ID_archer_cible,10,FALSE)</f>
        <v>#N/A</v>
      </c>
      <c r="Q750" s="829" t="e">
        <f>IF(VLOOKUP(L750,N°LicPRO,3,FALSE)="oui","COACH","")</f>
        <v>#N/A</v>
      </c>
      <c r="R750" s="742" t="str">
        <f>IFERROR(VLOOKUP(L750,N°LicPRO,2,FALSE),"")</f>
        <v/>
      </c>
      <c r="S750" s="571" t="s">
        <v>994</v>
      </c>
      <c r="U750" s="1255" t="e">
        <f>VLOOKUP(AC750,ID_archer_cible,5,FALSE)&amp;"    "&amp;VLOOKUP(AC750,ID_archer_cible,6,FALSE)</f>
        <v>#N/A</v>
      </c>
      <c r="V750" s="1255"/>
      <c r="W750" s="1255"/>
      <c r="X750" s="1255"/>
      <c r="Y750" s="1255"/>
      <c r="Z750" s="1255"/>
      <c r="AA750" s="1255"/>
      <c r="AB750" s="1255"/>
      <c r="AC750" s="624" t="str">
        <f>AI742&amp;"A"</f>
        <v>24A</v>
      </c>
      <c r="AD750" s="574" t="e">
        <f>VLOOKUP(AC750,ID_archer_cible,9,FALSE)</f>
        <v>#N/A</v>
      </c>
      <c r="AE750" s="1256" t="e">
        <f>VLOOKUP(AC750,ID_archer_cible,8,FALSE)</f>
        <v>#N/A</v>
      </c>
      <c r="AF750" s="1257"/>
      <c r="AG750" s="1260" t="e">
        <f>VLOOKUP(AC750,ID_archer_cible,7,FALSE)</f>
        <v>#N/A</v>
      </c>
      <c r="AH750" s="1261"/>
      <c r="AI750" s="828" t="e">
        <f>VLOOKUP(AC750,ID_archer_cible,10,FALSE)</f>
        <v>#N/A</v>
      </c>
      <c r="AJ750" s="829" t="e">
        <f>IF(VLOOKUP(AE750,N°LicPRO,3,FALSE)="oui","COACH","")</f>
        <v>#N/A</v>
      </c>
      <c r="AK750" s="742" t="str">
        <f>IFERROR(VLOOKUP(AE750,N°LicPRO,2,FALSE),"")</f>
        <v/>
      </c>
    </row>
    <row r="751" spans="1:37" ht="45" customHeight="1" x14ac:dyDescent="0.2">
      <c r="B751" s="1255" t="e">
        <f>VLOOKUP(J751,ID_archer_cible,5,FALSE)&amp;"    "&amp;VLOOKUP(J751,ID_archer_cible,6,FALSE)</f>
        <v>#N/A</v>
      </c>
      <c r="C751" s="1255"/>
      <c r="D751" s="1255"/>
      <c r="E751" s="1255"/>
      <c r="F751" s="1255"/>
      <c r="G751" s="1255"/>
      <c r="H751" s="1255"/>
      <c r="I751" s="1255"/>
      <c r="J751" s="624" t="str">
        <f>P742&amp;"B"</f>
        <v>24B</v>
      </c>
      <c r="K751" s="574" t="e">
        <f>VLOOKUP(J751,ID_archer_cible,9,FALSE)</f>
        <v>#N/A</v>
      </c>
      <c r="L751" s="1256" t="e">
        <f>VLOOKUP(J751,ID_archer_cible,8,FALSE)</f>
        <v>#N/A</v>
      </c>
      <c r="M751" s="1257"/>
      <c r="N751" s="1260" t="e">
        <f>VLOOKUP(J751,ID_archer_cible,7,FALSE)</f>
        <v>#N/A</v>
      </c>
      <c r="O751" s="1261"/>
      <c r="P751" s="828" t="e">
        <f>VLOOKUP(J751,ID_archer_cible,10,FALSE)</f>
        <v>#N/A</v>
      </c>
      <c r="Q751" s="829" t="e">
        <f>IF(VLOOKUP(L751,N°LicPRO,3,FALSE)="oui","COACH","")</f>
        <v>#N/A</v>
      </c>
      <c r="R751" s="742" t="str">
        <f>IFERROR(VLOOKUP(L751,N°LicPRO,2,FALSE),"")</f>
        <v/>
      </c>
      <c r="S751" s="646" t="s">
        <v>995</v>
      </c>
      <c r="U751" s="1255" t="e">
        <f>VLOOKUP(AC751,ID_archer_cible,5,FALSE)&amp;"    "&amp;VLOOKUP(AC751,ID_archer_cible,6,FALSE)</f>
        <v>#N/A</v>
      </c>
      <c r="V751" s="1255"/>
      <c r="W751" s="1255"/>
      <c r="X751" s="1255"/>
      <c r="Y751" s="1255"/>
      <c r="Z751" s="1255"/>
      <c r="AA751" s="1255"/>
      <c r="AB751" s="1255"/>
      <c r="AC751" s="624" t="str">
        <f>AI742&amp;"B"</f>
        <v>24B</v>
      </c>
      <c r="AD751" s="574" t="e">
        <f>VLOOKUP(AC751,ID_archer_cible,9,FALSE)</f>
        <v>#N/A</v>
      </c>
      <c r="AE751" s="1256" t="e">
        <f>VLOOKUP(AC751,ID_archer_cible,8,FALSE)</f>
        <v>#N/A</v>
      </c>
      <c r="AF751" s="1257"/>
      <c r="AG751" s="1260" t="e">
        <f>VLOOKUP(AC751,ID_archer_cible,7,FALSE)</f>
        <v>#N/A</v>
      </c>
      <c r="AH751" s="1261"/>
      <c r="AI751" s="828" t="e">
        <f>VLOOKUP(AC751,ID_archer_cible,10,FALSE)</f>
        <v>#N/A</v>
      </c>
      <c r="AJ751" s="829" t="e">
        <f>IF(VLOOKUP(AE751,N°LicPRO,3,FALSE)="oui","COACH","")</f>
        <v>#N/A</v>
      </c>
      <c r="AK751" s="742" t="str">
        <f>IFERROR(VLOOKUP(AE751,N°LicPRO,2,FALSE),"")</f>
        <v/>
      </c>
    </row>
    <row r="752" spans="1:37" ht="45" customHeight="1" x14ac:dyDescent="0.2">
      <c r="B752" s="1255" t="e">
        <f>VLOOKUP(J752,ID_archer_cible,5,FALSE)&amp;"    "&amp;VLOOKUP(J752,ID_archer_cible,6,FALSE)</f>
        <v>#N/A</v>
      </c>
      <c r="C752" s="1255"/>
      <c r="D752" s="1255"/>
      <c r="E752" s="1255"/>
      <c r="F752" s="1255"/>
      <c r="G752" s="1255"/>
      <c r="H752" s="1255"/>
      <c r="I752" s="1255"/>
      <c r="J752" s="624" t="str">
        <f>P742&amp;"C"</f>
        <v>24C</v>
      </c>
      <c r="K752" s="574" t="e">
        <f>VLOOKUP(J752,ID_archer_cible,9,FALSE)</f>
        <v>#N/A</v>
      </c>
      <c r="L752" s="1256" t="e">
        <f>VLOOKUP(J752,ID_archer_cible,8,FALSE)</f>
        <v>#N/A</v>
      </c>
      <c r="M752" s="1257"/>
      <c r="N752" s="1260" t="e">
        <f>VLOOKUP(J752,ID_archer_cible,7,FALSE)</f>
        <v>#N/A</v>
      </c>
      <c r="O752" s="1261"/>
      <c r="P752" s="828" t="e">
        <f>VLOOKUP(J752,ID_archer_cible,10,FALSE)</f>
        <v>#N/A</v>
      </c>
      <c r="Q752" s="829" t="e">
        <f>IF(VLOOKUP(L752,N°LicPRO,3,FALSE)="oui","COACH","")</f>
        <v>#N/A</v>
      </c>
      <c r="R752" s="742" t="str">
        <f>IFERROR(VLOOKUP(L752,N°LicPRO,2,FALSE),"")</f>
        <v/>
      </c>
      <c r="S752" s="571" t="s">
        <v>994</v>
      </c>
      <c r="U752" s="1255" t="e">
        <f>VLOOKUP(AC752,ID_archer_cible,5,FALSE)&amp;"    "&amp;VLOOKUP(AC752,ID_archer_cible,6,FALSE)</f>
        <v>#N/A</v>
      </c>
      <c r="V752" s="1255"/>
      <c r="W752" s="1255"/>
      <c r="X752" s="1255"/>
      <c r="Y752" s="1255"/>
      <c r="Z752" s="1255"/>
      <c r="AA752" s="1255"/>
      <c r="AB752" s="1255"/>
      <c r="AC752" s="624" t="str">
        <f>AI742&amp;"C"</f>
        <v>24C</v>
      </c>
      <c r="AD752" s="574" t="e">
        <f>VLOOKUP(AC752,ID_archer_cible,9,FALSE)</f>
        <v>#N/A</v>
      </c>
      <c r="AE752" s="1256" t="e">
        <f>VLOOKUP(AC752,ID_archer_cible,8,FALSE)</f>
        <v>#N/A</v>
      </c>
      <c r="AF752" s="1257"/>
      <c r="AG752" s="1260" t="e">
        <f>VLOOKUP(AC752,ID_archer_cible,7,FALSE)</f>
        <v>#N/A</v>
      </c>
      <c r="AH752" s="1261"/>
      <c r="AI752" s="828" t="e">
        <f>VLOOKUP(AC752,ID_archer_cible,10,FALSE)</f>
        <v>#N/A</v>
      </c>
      <c r="AJ752" s="829" t="e">
        <f>IF(VLOOKUP(AE752,N°LicPRO,3,FALSE)="oui","COACH","")</f>
        <v>#N/A</v>
      </c>
      <c r="AK752" s="742" t="str">
        <f>IFERROR(VLOOKUP(AE752,N°LicPRO,2,FALSE),"")</f>
        <v/>
      </c>
    </row>
    <row r="753" spans="2:37" ht="45" customHeight="1" x14ac:dyDescent="0.2">
      <c r="B753" s="1255" t="e">
        <f>VLOOKUP(J753,ID_archer_cible,5,FALSE)&amp;"    "&amp;VLOOKUP(J753,ID_archer_cible,6,FALSE)</f>
        <v>#N/A</v>
      </c>
      <c r="C753" s="1255"/>
      <c r="D753" s="1255"/>
      <c r="E753" s="1255"/>
      <c r="F753" s="1255"/>
      <c r="G753" s="1255"/>
      <c r="H753" s="1255"/>
      <c r="I753" s="1255"/>
      <c r="J753" s="624" t="str">
        <f>P742&amp;"D"</f>
        <v>24D</v>
      </c>
      <c r="K753" s="574" t="e">
        <f>VLOOKUP(J753,ID_archer_cible,9,FALSE)</f>
        <v>#N/A</v>
      </c>
      <c r="L753" s="1256" t="e">
        <f>VLOOKUP(J753,ID_archer_cible,8,FALSE)</f>
        <v>#N/A</v>
      </c>
      <c r="M753" s="1257"/>
      <c r="N753" s="1260" t="e">
        <f>VLOOKUP(J753,ID_archer_cible,7,FALSE)</f>
        <v>#N/A</v>
      </c>
      <c r="O753" s="1261"/>
      <c r="P753" s="828" t="e">
        <f>VLOOKUP(J753,ID_archer_cible,10,FALSE)</f>
        <v>#N/A</v>
      </c>
      <c r="Q753" s="829" t="e">
        <f>IF(VLOOKUP(L753,N°LicPRO,3,FALSE)="oui","COACH","")</f>
        <v>#N/A</v>
      </c>
      <c r="R753" s="742" t="str">
        <f>IFERROR(VLOOKUP(L753,N°LicPRO,2,FALSE),"")</f>
        <v/>
      </c>
      <c r="S753" s="571" t="s">
        <v>994</v>
      </c>
      <c r="U753" s="1255" t="e">
        <f>VLOOKUP(AC753,ID_archer_cible,5,FALSE)&amp;"    "&amp;VLOOKUP(AC753,ID_archer_cible,6,FALSE)</f>
        <v>#N/A</v>
      </c>
      <c r="V753" s="1255"/>
      <c r="W753" s="1255"/>
      <c r="X753" s="1255"/>
      <c r="Y753" s="1255"/>
      <c r="Z753" s="1255"/>
      <c r="AA753" s="1255"/>
      <c r="AB753" s="1255"/>
      <c r="AC753" s="624" t="str">
        <f>AI742&amp;"D"</f>
        <v>24D</v>
      </c>
      <c r="AD753" s="574" t="e">
        <f>VLOOKUP(AC753,ID_archer_cible,9,FALSE)</f>
        <v>#N/A</v>
      </c>
      <c r="AE753" s="1256" t="e">
        <f>VLOOKUP(AC753,ID_archer_cible,8,FALSE)</f>
        <v>#N/A</v>
      </c>
      <c r="AF753" s="1257"/>
      <c r="AG753" s="1260" t="e">
        <f>VLOOKUP(AC753,ID_archer_cible,7,FALSE)</f>
        <v>#N/A</v>
      </c>
      <c r="AH753" s="1261"/>
      <c r="AI753" s="828" t="e">
        <f>VLOOKUP(AC753,ID_archer_cible,10,FALSE)</f>
        <v>#N/A</v>
      </c>
      <c r="AJ753" s="829" t="e">
        <f>IF(VLOOKUP(AE753,N°LicPRO,3,FALSE)="oui","COACH","")</f>
        <v>#N/A</v>
      </c>
      <c r="AK753" s="742" t="str">
        <f>IFERROR(VLOOKUP(AE753,N°LicPRO,2,FALSE),"")</f>
        <v/>
      </c>
    </row>
    <row r="754" spans="2:37" ht="15" customHeight="1" x14ac:dyDescent="0.2">
      <c r="S754" s="646" t="s">
        <v>995</v>
      </c>
    </row>
    <row r="755" spans="2:37" ht="15" customHeight="1" x14ac:dyDescent="0.2">
      <c r="B755" s="508" t="s">
        <v>975</v>
      </c>
      <c r="S755" s="571" t="s">
        <v>994</v>
      </c>
      <c r="U755" s="508" t="s">
        <v>975</v>
      </c>
    </row>
    <row r="756" spans="2:37" ht="15" customHeight="1" x14ac:dyDescent="0.2">
      <c r="B756" s="1259" t="s">
        <v>974</v>
      </c>
      <c r="C756" s="1259"/>
      <c r="D756" s="1259"/>
      <c r="E756" s="1259"/>
      <c r="F756" s="1199" t="str">
        <f>Info_TirQ</f>
        <v>J2 8:30-9:00 Ent. 9:00-10:30 Tirs Qual.</v>
      </c>
      <c r="G756" s="1199"/>
      <c r="H756" s="1199"/>
      <c r="I756" s="1199"/>
      <c r="J756" s="1199"/>
      <c r="K756" s="1258" t="s">
        <v>978</v>
      </c>
      <c r="L756" s="1258"/>
      <c r="M756" s="1258"/>
      <c r="N756" s="1258"/>
      <c r="O756" s="1258"/>
      <c r="S756" s="571" t="s">
        <v>994</v>
      </c>
      <c r="U756" s="1259" t="s">
        <v>974</v>
      </c>
      <c r="V756" s="1259"/>
      <c r="W756" s="1259"/>
      <c r="X756" s="1259"/>
      <c r="Y756" s="1199" t="str">
        <f>Info_TirQ</f>
        <v>J2 8:30-9:00 Ent. 9:00-10:30 Tirs Qual.</v>
      </c>
      <c r="Z756" s="1199"/>
      <c r="AA756" s="1199"/>
      <c r="AB756" s="1199"/>
      <c r="AC756" s="1199"/>
      <c r="AD756" s="1258" t="s">
        <v>978</v>
      </c>
      <c r="AE756" s="1258"/>
      <c r="AF756" s="1258"/>
      <c r="AG756" s="1258"/>
      <c r="AH756" s="1258"/>
    </row>
    <row r="757" spans="2:37" ht="15" customHeight="1" x14ac:dyDescent="0.2">
      <c r="B757" s="1259" t="s">
        <v>484</v>
      </c>
      <c r="C757" s="1259"/>
      <c r="D757" s="1259"/>
      <c r="E757" s="1259"/>
      <c r="F757" s="1199" t="str">
        <f>Info_D1</f>
        <v>J2 13:30-14:20  1er DUEL</v>
      </c>
      <c r="G757" s="1199"/>
      <c r="H757" s="1199"/>
      <c r="I757" s="1199"/>
      <c r="J757" s="1199"/>
      <c r="K757" s="1258"/>
      <c r="L757" s="1258"/>
      <c r="M757" s="1258"/>
      <c r="N757" s="1258"/>
      <c r="O757" s="1258"/>
      <c r="S757" s="646" t="s">
        <v>995</v>
      </c>
      <c r="U757" s="1259" t="s">
        <v>484</v>
      </c>
      <c r="V757" s="1259"/>
      <c r="W757" s="1259"/>
      <c r="X757" s="1259"/>
      <c r="Y757" s="1199" t="str">
        <f>Info_D1</f>
        <v>J2 13:30-14:20  1er DUEL</v>
      </c>
      <c r="Z757" s="1199"/>
      <c r="AA757" s="1199"/>
      <c r="AB757" s="1199"/>
      <c r="AC757" s="1199"/>
      <c r="AD757" s="1258"/>
      <c r="AE757" s="1258"/>
      <c r="AF757" s="1258"/>
      <c r="AG757" s="1258"/>
      <c r="AH757" s="1258"/>
    </row>
    <row r="758" spans="2:37" ht="15" customHeight="1" x14ac:dyDescent="0.2">
      <c r="B758" s="1259" t="s">
        <v>972</v>
      </c>
      <c r="C758" s="1259"/>
      <c r="D758" s="1259"/>
      <c r="E758" s="1259"/>
      <c r="F758" s="1199" t="str">
        <f>Info_D2</f>
        <v>J2 14:30-15:20 2ème DUEL</v>
      </c>
      <c r="G758" s="1199"/>
      <c r="H758" s="1199"/>
      <c r="I758" s="1199"/>
      <c r="J758" s="1199"/>
      <c r="K758" s="1258"/>
      <c r="L758" s="1258"/>
      <c r="M758" s="1258"/>
      <c r="N758" s="1258"/>
      <c r="O758" s="1258"/>
      <c r="S758" s="571" t="s">
        <v>994</v>
      </c>
      <c r="U758" s="1259" t="s">
        <v>972</v>
      </c>
      <c r="V758" s="1259"/>
      <c r="W758" s="1259"/>
      <c r="X758" s="1259"/>
      <c r="Y758" s="1199" t="str">
        <f>Info_D2</f>
        <v>J2 14:30-15:20 2ème DUEL</v>
      </c>
      <c r="Z758" s="1199"/>
      <c r="AA758" s="1199"/>
      <c r="AB758" s="1199"/>
      <c r="AC758" s="1199"/>
      <c r="AD758" s="1258"/>
      <c r="AE758" s="1258"/>
      <c r="AF758" s="1258"/>
      <c r="AG758" s="1258"/>
      <c r="AH758" s="1258"/>
    </row>
    <row r="759" spans="2:37" ht="15" customHeight="1" x14ac:dyDescent="0.2">
      <c r="B759" s="1259" t="s">
        <v>973</v>
      </c>
      <c r="C759" s="1259"/>
      <c r="D759" s="1259"/>
      <c r="E759" s="1259"/>
      <c r="F759" s="1199" t="str">
        <f>Info_D3</f>
        <v>J3 10-10:50 Match pl. 5 à +  ETAB - EX</v>
      </c>
      <c r="G759" s="1199"/>
      <c r="H759" s="1199"/>
      <c r="I759" s="1199"/>
      <c r="J759" s="1199"/>
      <c r="K759" s="1258"/>
      <c r="L759" s="1258"/>
      <c r="M759" s="1258"/>
      <c r="N759" s="1258"/>
      <c r="O759" s="1258"/>
      <c r="S759" s="571" t="s">
        <v>994</v>
      </c>
      <c r="U759" s="1259" t="s">
        <v>973</v>
      </c>
      <c r="V759" s="1259"/>
      <c r="W759" s="1259"/>
      <c r="X759" s="1259"/>
      <c r="Y759" s="1199" t="str">
        <f>Info_D3</f>
        <v>J3 10-10:50 Match pl. 5 à +  ETAB - EX</v>
      </c>
      <c r="Z759" s="1199"/>
      <c r="AA759" s="1199"/>
      <c r="AB759" s="1199"/>
      <c r="AC759" s="1199"/>
      <c r="AD759" s="1258"/>
      <c r="AE759" s="1258"/>
      <c r="AF759" s="1258"/>
      <c r="AG759" s="1258"/>
      <c r="AH759" s="1258"/>
    </row>
    <row r="760" spans="2:37" ht="24.75" customHeight="1" x14ac:dyDescent="0.2">
      <c r="B760" s="626" t="s">
        <v>976</v>
      </c>
      <c r="S760" s="646" t="s">
        <v>995</v>
      </c>
      <c r="U760" s="626" t="s">
        <v>976</v>
      </c>
    </row>
    <row r="761" spans="2:37" ht="134.25" customHeight="1" x14ac:dyDescent="0.2">
      <c r="B761"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C761" s="1264"/>
      <c r="D761" s="1264"/>
      <c r="E761" s="1264"/>
      <c r="F761" s="1264"/>
      <c r="G761" s="1264"/>
      <c r="H761" s="1264"/>
      <c r="I761" s="1264"/>
      <c r="J761" s="1264"/>
      <c r="K761" s="1264"/>
      <c r="L761" s="1264"/>
      <c r="M761" s="1264"/>
      <c r="N761" s="1264"/>
      <c r="O761" s="1264"/>
      <c r="P761" s="1265"/>
      <c r="S761" s="571" t="s">
        <v>994</v>
      </c>
      <c r="U761" s="1263" t="str">
        <f>Info_Engagement</f>
        <v xml:space="preserve">J3 entrainement Salle de compétion 9:30-10:00  Equipes ETAB et EXC Places 5 à 13 ETAB et 5 à 8 EXC
 J3   11:00 FINALES Finales Or Bronze - ETAB  EXCEL SP
        12H Protocole
Lors de votre arrivée, après l'accueil aura lieu le contrôle du matériel.
Un entrainement officiel est possible dans la salle de compétition de 15H à 17H30.
De 18h à 19h Réunion technique des Jeunes Juges-Arbitres, Enseignants et Jeunes Coachs (test théorique)
ENTRAINEMENT LIBRE   en salle annexe : Jour 2 de 8:30 à 17:45 Jour 3 de 9:30 à 10:30
</v>
      </c>
      <c r="V761" s="1264"/>
      <c r="W761" s="1264"/>
      <c r="X761" s="1264"/>
      <c r="Y761" s="1264"/>
      <c r="Z761" s="1264"/>
      <c r="AA761" s="1264"/>
      <c r="AB761" s="1264"/>
      <c r="AC761" s="1264"/>
      <c r="AD761" s="1264"/>
      <c r="AE761" s="1264"/>
      <c r="AF761" s="1264"/>
      <c r="AG761" s="1264"/>
      <c r="AH761" s="1264"/>
      <c r="AI761" s="1265"/>
    </row>
    <row r="762" spans="2:37" ht="15" customHeight="1" x14ac:dyDescent="0.2">
      <c r="C762" s="508" t="s">
        <v>964</v>
      </c>
      <c r="K762" s="508" t="s">
        <v>965</v>
      </c>
      <c r="O762" s="508" t="s">
        <v>966</v>
      </c>
      <c r="S762" s="571" t="s">
        <v>994</v>
      </c>
      <c r="V762" s="508" t="s">
        <v>964</v>
      </c>
      <c r="AD762" s="508" t="s">
        <v>965</v>
      </c>
      <c r="AH762" s="508" t="s">
        <v>966</v>
      </c>
    </row>
    <row r="763" spans="2:37" ht="15" customHeight="1" x14ac:dyDescent="0.2">
      <c r="S763" s="646" t="s">
        <v>995</v>
      </c>
    </row>
    <row r="764" spans="2:37" ht="15" customHeight="1" x14ac:dyDescent="0.2">
      <c r="S764" s="571" t="s">
        <v>994</v>
      </c>
    </row>
    <row r="765" spans="2:37" ht="15" customHeight="1" x14ac:dyDescent="0.2">
      <c r="S765" s="571" t="s">
        <v>994</v>
      </c>
    </row>
    <row r="766" spans="2:37" ht="15" customHeight="1" x14ac:dyDescent="0.2">
      <c r="S766" s="646" t="s">
        <v>995</v>
      </c>
    </row>
    <row r="767" spans="2:37" ht="15" customHeight="1" x14ac:dyDescent="0.2">
      <c r="S767" s="571" t="s">
        <v>994</v>
      </c>
    </row>
    <row r="768" spans="2:37" x14ac:dyDescent="0.2">
      <c r="S768" s="571" t="s">
        <v>994</v>
      </c>
    </row>
  </sheetData>
  <mergeCells count="1776">
    <mergeCell ref="U761:AI761"/>
    <mergeCell ref="U756:X756"/>
    <mergeCell ref="Y756:AC756"/>
    <mergeCell ref="AD756:AH759"/>
    <mergeCell ref="U757:X757"/>
    <mergeCell ref="Y757:AC757"/>
    <mergeCell ref="U758:X758"/>
    <mergeCell ref="Y758:AC758"/>
    <mergeCell ref="U759:X759"/>
    <mergeCell ref="Y759:AC759"/>
    <mergeCell ref="U751:AB751"/>
    <mergeCell ref="AE751:AF751"/>
    <mergeCell ref="AG751:AH751"/>
    <mergeCell ref="U752:AB752"/>
    <mergeCell ref="AE752:AF752"/>
    <mergeCell ref="AG752:AH752"/>
    <mergeCell ref="U753:AB753"/>
    <mergeCell ref="AE753:AF753"/>
    <mergeCell ref="AG753:AH753"/>
    <mergeCell ref="T746:AD746"/>
    <mergeCell ref="AE746:AK746"/>
    <mergeCell ref="U749:AB749"/>
    <mergeCell ref="AE749:AF749"/>
    <mergeCell ref="AG749:AH749"/>
    <mergeCell ref="AI749:AJ749"/>
    <mergeCell ref="U750:AB750"/>
    <mergeCell ref="AE750:AF750"/>
    <mergeCell ref="AG750:AH750"/>
    <mergeCell ref="U729:AI729"/>
    <mergeCell ref="T738:AK738"/>
    <mergeCell ref="T739:AK739"/>
    <mergeCell ref="T740:AK740"/>
    <mergeCell ref="AG742:AH742"/>
    <mergeCell ref="AI742:AK742"/>
    <mergeCell ref="T743:AK743"/>
    <mergeCell ref="T745:AD745"/>
    <mergeCell ref="AE745:AK745"/>
    <mergeCell ref="AI747:AK748"/>
    <mergeCell ref="U724:X724"/>
    <mergeCell ref="Y724:AC724"/>
    <mergeCell ref="AD724:AH727"/>
    <mergeCell ref="U725:X725"/>
    <mergeCell ref="Y725:AC725"/>
    <mergeCell ref="U726:X726"/>
    <mergeCell ref="Y726:AC726"/>
    <mergeCell ref="U727:X727"/>
    <mergeCell ref="Y727:AC727"/>
    <mergeCell ref="U719:AB719"/>
    <mergeCell ref="AE719:AF719"/>
    <mergeCell ref="AG719:AH719"/>
    <mergeCell ref="U720:AB720"/>
    <mergeCell ref="AE720:AF720"/>
    <mergeCell ref="AG720:AH720"/>
    <mergeCell ref="U721:AB721"/>
    <mergeCell ref="AE721:AF721"/>
    <mergeCell ref="AG721:AH721"/>
    <mergeCell ref="T714:AD714"/>
    <mergeCell ref="AE714:AK714"/>
    <mergeCell ref="U717:AB717"/>
    <mergeCell ref="AE717:AF717"/>
    <mergeCell ref="AG717:AH717"/>
    <mergeCell ref="AI717:AJ717"/>
    <mergeCell ref="U718:AB718"/>
    <mergeCell ref="AE718:AF718"/>
    <mergeCell ref="AG718:AH718"/>
    <mergeCell ref="U697:AI697"/>
    <mergeCell ref="T706:AK706"/>
    <mergeCell ref="T707:AK707"/>
    <mergeCell ref="T708:AK708"/>
    <mergeCell ref="AG710:AH710"/>
    <mergeCell ref="AI710:AK710"/>
    <mergeCell ref="T711:AK711"/>
    <mergeCell ref="T713:AD713"/>
    <mergeCell ref="AE713:AK713"/>
    <mergeCell ref="AI715:AK716"/>
    <mergeCell ref="U692:X692"/>
    <mergeCell ref="Y692:AC692"/>
    <mergeCell ref="AD692:AH695"/>
    <mergeCell ref="U693:X693"/>
    <mergeCell ref="Y693:AC693"/>
    <mergeCell ref="U694:X694"/>
    <mergeCell ref="Y694:AC694"/>
    <mergeCell ref="U695:X695"/>
    <mergeCell ref="Y695:AC695"/>
    <mergeCell ref="U687:AB687"/>
    <mergeCell ref="AE687:AF687"/>
    <mergeCell ref="AG687:AH687"/>
    <mergeCell ref="U688:AB688"/>
    <mergeCell ref="AE688:AF688"/>
    <mergeCell ref="AG688:AH688"/>
    <mergeCell ref="U689:AB689"/>
    <mergeCell ref="AE689:AF689"/>
    <mergeCell ref="AG689:AH689"/>
    <mergeCell ref="T682:AD682"/>
    <mergeCell ref="AE682:AK682"/>
    <mergeCell ref="U685:AB685"/>
    <mergeCell ref="AE685:AF685"/>
    <mergeCell ref="AG685:AH685"/>
    <mergeCell ref="AI685:AJ685"/>
    <mergeCell ref="U686:AB686"/>
    <mergeCell ref="AE686:AF686"/>
    <mergeCell ref="AG686:AH686"/>
    <mergeCell ref="U665:AI665"/>
    <mergeCell ref="T674:AK674"/>
    <mergeCell ref="T675:AK675"/>
    <mergeCell ref="T676:AK676"/>
    <mergeCell ref="AG678:AH678"/>
    <mergeCell ref="AI678:AK678"/>
    <mergeCell ref="T679:AK679"/>
    <mergeCell ref="T681:AD681"/>
    <mergeCell ref="AE681:AK681"/>
    <mergeCell ref="AI683:AK684"/>
    <mergeCell ref="U660:X660"/>
    <mergeCell ref="Y660:AC660"/>
    <mergeCell ref="AD660:AH663"/>
    <mergeCell ref="U661:X661"/>
    <mergeCell ref="Y661:AC661"/>
    <mergeCell ref="U662:X662"/>
    <mergeCell ref="Y662:AC662"/>
    <mergeCell ref="U663:X663"/>
    <mergeCell ref="Y663:AC663"/>
    <mergeCell ref="U655:AB655"/>
    <mergeCell ref="AE655:AF655"/>
    <mergeCell ref="AG655:AH655"/>
    <mergeCell ref="U656:AB656"/>
    <mergeCell ref="AE656:AF656"/>
    <mergeCell ref="AG656:AH656"/>
    <mergeCell ref="U657:AB657"/>
    <mergeCell ref="AE657:AF657"/>
    <mergeCell ref="AG657:AH657"/>
    <mergeCell ref="T650:AD650"/>
    <mergeCell ref="AE650:AK650"/>
    <mergeCell ref="U653:AB653"/>
    <mergeCell ref="AE653:AF653"/>
    <mergeCell ref="AG653:AH653"/>
    <mergeCell ref="AI653:AJ653"/>
    <mergeCell ref="U654:AB654"/>
    <mergeCell ref="AE654:AF654"/>
    <mergeCell ref="AG654:AH654"/>
    <mergeCell ref="U633:AI633"/>
    <mergeCell ref="T642:AK642"/>
    <mergeCell ref="T643:AK643"/>
    <mergeCell ref="T644:AK644"/>
    <mergeCell ref="AG646:AH646"/>
    <mergeCell ref="AI646:AK646"/>
    <mergeCell ref="T647:AK647"/>
    <mergeCell ref="T649:AD649"/>
    <mergeCell ref="AE649:AK649"/>
    <mergeCell ref="AI651:AK652"/>
    <mergeCell ref="U628:X628"/>
    <mergeCell ref="Y628:AC628"/>
    <mergeCell ref="AD628:AH631"/>
    <mergeCell ref="U629:X629"/>
    <mergeCell ref="Y629:AC629"/>
    <mergeCell ref="U630:X630"/>
    <mergeCell ref="Y630:AC630"/>
    <mergeCell ref="U631:X631"/>
    <mergeCell ref="Y631:AC631"/>
    <mergeCell ref="U623:AB623"/>
    <mergeCell ref="AE623:AF623"/>
    <mergeCell ref="AG623:AH623"/>
    <mergeCell ref="U624:AB624"/>
    <mergeCell ref="AE624:AF624"/>
    <mergeCell ref="AG624:AH624"/>
    <mergeCell ref="U625:AB625"/>
    <mergeCell ref="AE625:AF625"/>
    <mergeCell ref="AG625:AH625"/>
    <mergeCell ref="T618:AD618"/>
    <mergeCell ref="AE618:AK618"/>
    <mergeCell ref="U621:AB621"/>
    <mergeCell ref="AE621:AF621"/>
    <mergeCell ref="AG621:AH621"/>
    <mergeCell ref="AI621:AJ621"/>
    <mergeCell ref="U622:AB622"/>
    <mergeCell ref="AE622:AF622"/>
    <mergeCell ref="AG622:AH622"/>
    <mergeCell ref="U601:AI601"/>
    <mergeCell ref="T610:AK610"/>
    <mergeCell ref="T611:AK611"/>
    <mergeCell ref="T612:AK612"/>
    <mergeCell ref="AG614:AH614"/>
    <mergeCell ref="AI614:AK614"/>
    <mergeCell ref="T615:AK615"/>
    <mergeCell ref="T617:AD617"/>
    <mergeCell ref="AE617:AK617"/>
    <mergeCell ref="AI619:AK620"/>
    <mergeCell ref="U596:X596"/>
    <mergeCell ref="Y596:AC596"/>
    <mergeCell ref="AD596:AH599"/>
    <mergeCell ref="U597:X597"/>
    <mergeCell ref="Y597:AC597"/>
    <mergeCell ref="U598:X598"/>
    <mergeCell ref="Y598:AC598"/>
    <mergeCell ref="U599:X599"/>
    <mergeCell ref="Y599:AC599"/>
    <mergeCell ref="U591:AB591"/>
    <mergeCell ref="AE591:AF591"/>
    <mergeCell ref="AG591:AH591"/>
    <mergeCell ref="U592:AB592"/>
    <mergeCell ref="AE592:AF592"/>
    <mergeCell ref="AG592:AH592"/>
    <mergeCell ref="U593:AB593"/>
    <mergeCell ref="AE593:AF593"/>
    <mergeCell ref="AG593:AH593"/>
    <mergeCell ref="T586:AD586"/>
    <mergeCell ref="AE586:AK586"/>
    <mergeCell ref="U589:AB589"/>
    <mergeCell ref="AE589:AF589"/>
    <mergeCell ref="AG589:AH589"/>
    <mergeCell ref="AI589:AJ589"/>
    <mergeCell ref="U590:AB590"/>
    <mergeCell ref="AE590:AF590"/>
    <mergeCell ref="AG590:AH590"/>
    <mergeCell ref="U569:AI569"/>
    <mergeCell ref="T578:AK578"/>
    <mergeCell ref="T579:AK579"/>
    <mergeCell ref="T580:AK580"/>
    <mergeCell ref="AG582:AH582"/>
    <mergeCell ref="AI582:AK582"/>
    <mergeCell ref="T583:AK583"/>
    <mergeCell ref="T585:AD585"/>
    <mergeCell ref="AE585:AK585"/>
    <mergeCell ref="AI587:AK588"/>
    <mergeCell ref="U564:X564"/>
    <mergeCell ref="Y564:AC564"/>
    <mergeCell ref="AD564:AH567"/>
    <mergeCell ref="U565:X565"/>
    <mergeCell ref="Y565:AC565"/>
    <mergeCell ref="U566:X566"/>
    <mergeCell ref="Y566:AC566"/>
    <mergeCell ref="U567:X567"/>
    <mergeCell ref="Y567:AC567"/>
    <mergeCell ref="U559:AB559"/>
    <mergeCell ref="AE559:AF559"/>
    <mergeCell ref="AG559:AH559"/>
    <mergeCell ref="U560:AB560"/>
    <mergeCell ref="AE560:AF560"/>
    <mergeCell ref="AG560:AH560"/>
    <mergeCell ref="U561:AB561"/>
    <mergeCell ref="AE561:AF561"/>
    <mergeCell ref="AG561:AH561"/>
    <mergeCell ref="T554:AD554"/>
    <mergeCell ref="AE554:AK554"/>
    <mergeCell ref="U557:AB557"/>
    <mergeCell ref="AE557:AF557"/>
    <mergeCell ref="AG557:AH557"/>
    <mergeCell ref="AI557:AJ557"/>
    <mergeCell ref="U558:AB558"/>
    <mergeCell ref="AE558:AF558"/>
    <mergeCell ref="AG558:AH558"/>
    <mergeCell ref="U537:AI537"/>
    <mergeCell ref="T546:AK546"/>
    <mergeCell ref="T547:AK547"/>
    <mergeCell ref="T548:AK548"/>
    <mergeCell ref="AG550:AH550"/>
    <mergeCell ref="AI550:AK550"/>
    <mergeCell ref="T551:AK551"/>
    <mergeCell ref="T553:AD553"/>
    <mergeCell ref="AE553:AK553"/>
    <mergeCell ref="AI555:AK556"/>
    <mergeCell ref="U532:X532"/>
    <mergeCell ref="Y532:AC532"/>
    <mergeCell ref="AD532:AH535"/>
    <mergeCell ref="U533:X533"/>
    <mergeCell ref="Y533:AC533"/>
    <mergeCell ref="U534:X534"/>
    <mergeCell ref="Y534:AC534"/>
    <mergeCell ref="U535:X535"/>
    <mergeCell ref="Y535:AC535"/>
    <mergeCell ref="U527:AB527"/>
    <mergeCell ref="AE527:AF527"/>
    <mergeCell ref="AG527:AH527"/>
    <mergeCell ref="U528:AB528"/>
    <mergeCell ref="AE528:AF528"/>
    <mergeCell ref="AG528:AH528"/>
    <mergeCell ref="U529:AB529"/>
    <mergeCell ref="AE529:AF529"/>
    <mergeCell ref="AG529:AH529"/>
    <mergeCell ref="T522:AD522"/>
    <mergeCell ref="AE522:AK522"/>
    <mergeCell ref="U525:AB525"/>
    <mergeCell ref="AE525:AF525"/>
    <mergeCell ref="AG525:AH525"/>
    <mergeCell ref="AI525:AJ525"/>
    <mergeCell ref="U526:AB526"/>
    <mergeCell ref="AE526:AF526"/>
    <mergeCell ref="AG526:AH526"/>
    <mergeCell ref="U505:AI505"/>
    <mergeCell ref="T514:AK514"/>
    <mergeCell ref="T515:AK515"/>
    <mergeCell ref="T516:AK516"/>
    <mergeCell ref="AG518:AH518"/>
    <mergeCell ref="AI518:AK518"/>
    <mergeCell ref="T519:AK519"/>
    <mergeCell ref="T521:AD521"/>
    <mergeCell ref="AE521:AK521"/>
    <mergeCell ref="AI523:AK524"/>
    <mergeCell ref="U500:X500"/>
    <mergeCell ref="Y500:AC500"/>
    <mergeCell ref="AD500:AH503"/>
    <mergeCell ref="U501:X501"/>
    <mergeCell ref="Y501:AC501"/>
    <mergeCell ref="U502:X502"/>
    <mergeCell ref="Y502:AC502"/>
    <mergeCell ref="U503:X503"/>
    <mergeCell ref="Y503:AC503"/>
    <mergeCell ref="U495:AB495"/>
    <mergeCell ref="AE495:AF495"/>
    <mergeCell ref="AG495:AH495"/>
    <mergeCell ref="U496:AB496"/>
    <mergeCell ref="AE496:AF496"/>
    <mergeCell ref="AG496:AH496"/>
    <mergeCell ref="U497:AB497"/>
    <mergeCell ref="AE497:AF497"/>
    <mergeCell ref="AG497:AH497"/>
    <mergeCell ref="T490:AD490"/>
    <mergeCell ref="AE490:AK490"/>
    <mergeCell ref="U493:AB493"/>
    <mergeCell ref="AE493:AF493"/>
    <mergeCell ref="AG493:AH493"/>
    <mergeCell ref="AI493:AJ493"/>
    <mergeCell ref="U494:AB494"/>
    <mergeCell ref="AE494:AF494"/>
    <mergeCell ref="AG494:AH494"/>
    <mergeCell ref="U473:AI473"/>
    <mergeCell ref="T482:AK482"/>
    <mergeCell ref="T483:AK483"/>
    <mergeCell ref="T484:AK484"/>
    <mergeCell ref="AG486:AH486"/>
    <mergeCell ref="AI486:AK486"/>
    <mergeCell ref="T487:AK487"/>
    <mergeCell ref="T489:AD489"/>
    <mergeCell ref="AE489:AK489"/>
    <mergeCell ref="AI491:AK492"/>
    <mergeCell ref="U462:AB462"/>
    <mergeCell ref="AE462:AF462"/>
    <mergeCell ref="AG462:AH462"/>
    <mergeCell ref="U441:AI441"/>
    <mergeCell ref="T450:AK450"/>
    <mergeCell ref="T451:AK451"/>
    <mergeCell ref="T452:AK452"/>
    <mergeCell ref="AG454:AH454"/>
    <mergeCell ref="AI454:AK454"/>
    <mergeCell ref="T455:AK455"/>
    <mergeCell ref="T457:AD457"/>
    <mergeCell ref="AE457:AK457"/>
    <mergeCell ref="U468:X468"/>
    <mergeCell ref="Y468:AC468"/>
    <mergeCell ref="AD468:AH471"/>
    <mergeCell ref="U469:X469"/>
    <mergeCell ref="Y469:AC469"/>
    <mergeCell ref="U470:X470"/>
    <mergeCell ref="Y470:AC470"/>
    <mergeCell ref="U471:X471"/>
    <mergeCell ref="Y471:AC471"/>
    <mergeCell ref="U463:AB463"/>
    <mergeCell ref="AE463:AF463"/>
    <mergeCell ref="AG463:AH463"/>
    <mergeCell ref="U464:AB464"/>
    <mergeCell ref="AE464:AF464"/>
    <mergeCell ref="AG464:AH464"/>
    <mergeCell ref="U465:AB465"/>
    <mergeCell ref="AE465:AF465"/>
    <mergeCell ref="AG465:AH465"/>
    <mergeCell ref="U439:X439"/>
    <mergeCell ref="Y439:AC439"/>
    <mergeCell ref="U431:AB431"/>
    <mergeCell ref="AE431:AF431"/>
    <mergeCell ref="AG431:AH431"/>
    <mergeCell ref="U432:AB432"/>
    <mergeCell ref="AE432:AF432"/>
    <mergeCell ref="AG432:AH432"/>
    <mergeCell ref="U433:AB433"/>
    <mergeCell ref="AE433:AF433"/>
    <mergeCell ref="AG433:AH433"/>
    <mergeCell ref="T458:AD458"/>
    <mergeCell ref="AE458:AK458"/>
    <mergeCell ref="U461:AB461"/>
    <mergeCell ref="AE461:AF461"/>
    <mergeCell ref="AG461:AH461"/>
    <mergeCell ref="AI461:AJ461"/>
    <mergeCell ref="AI459:AK460"/>
    <mergeCell ref="U436:X436"/>
    <mergeCell ref="Y436:AC436"/>
    <mergeCell ref="AD436:AH439"/>
    <mergeCell ref="U437:X437"/>
    <mergeCell ref="Y437:AC437"/>
    <mergeCell ref="U438:X438"/>
    <mergeCell ref="Y438:AC438"/>
    <mergeCell ref="Y405:AC405"/>
    <mergeCell ref="U406:X406"/>
    <mergeCell ref="Y406:AC406"/>
    <mergeCell ref="U407:X407"/>
    <mergeCell ref="Y407:AC407"/>
    <mergeCell ref="U399:AB399"/>
    <mergeCell ref="AE399:AF399"/>
    <mergeCell ref="AG399:AH399"/>
    <mergeCell ref="U400:AB400"/>
    <mergeCell ref="AE400:AF400"/>
    <mergeCell ref="AG400:AH400"/>
    <mergeCell ref="U401:AB401"/>
    <mergeCell ref="AE401:AF401"/>
    <mergeCell ref="AG401:AH401"/>
    <mergeCell ref="T426:AD426"/>
    <mergeCell ref="AE426:AK426"/>
    <mergeCell ref="U429:AB429"/>
    <mergeCell ref="AE429:AF429"/>
    <mergeCell ref="AG429:AH429"/>
    <mergeCell ref="AI429:AJ429"/>
    <mergeCell ref="U409:AI409"/>
    <mergeCell ref="T418:AK418"/>
    <mergeCell ref="T419:AK419"/>
    <mergeCell ref="T420:AK420"/>
    <mergeCell ref="AG422:AH422"/>
    <mergeCell ref="AI422:AK422"/>
    <mergeCell ref="T423:AK423"/>
    <mergeCell ref="T425:AD425"/>
    <mergeCell ref="AE425:AK425"/>
    <mergeCell ref="AI427:AK428"/>
    <mergeCell ref="U404:X404"/>
    <mergeCell ref="Y404:AC404"/>
    <mergeCell ref="T394:AD394"/>
    <mergeCell ref="AE394:AK394"/>
    <mergeCell ref="U397:AB397"/>
    <mergeCell ref="AE397:AF397"/>
    <mergeCell ref="AG397:AH397"/>
    <mergeCell ref="AI397:AJ397"/>
    <mergeCell ref="U398:AB398"/>
    <mergeCell ref="AE398:AF398"/>
    <mergeCell ref="AG398:AH398"/>
    <mergeCell ref="U377:AI377"/>
    <mergeCell ref="T386:AK386"/>
    <mergeCell ref="T387:AK387"/>
    <mergeCell ref="T388:AK388"/>
    <mergeCell ref="AG390:AH390"/>
    <mergeCell ref="AI390:AK390"/>
    <mergeCell ref="T391:AK391"/>
    <mergeCell ref="T393:AD393"/>
    <mergeCell ref="AE393:AK393"/>
    <mergeCell ref="AI395:AK396"/>
    <mergeCell ref="U372:X372"/>
    <mergeCell ref="Y372:AC372"/>
    <mergeCell ref="AD372:AH375"/>
    <mergeCell ref="U373:X373"/>
    <mergeCell ref="Y373:AC373"/>
    <mergeCell ref="U374:X374"/>
    <mergeCell ref="Y374:AC374"/>
    <mergeCell ref="U375:X375"/>
    <mergeCell ref="Y375:AC375"/>
    <mergeCell ref="U367:AB367"/>
    <mergeCell ref="AE367:AF367"/>
    <mergeCell ref="AG367:AH367"/>
    <mergeCell ref="U368:AB368"/>
    <mergeCell ref="AE368:AF368"/>
    <mergeCell ref="AG368:AH368"/>
    <mergeCell ref="U369:AB369"/>
    <mergeCell ref="AE369:AF369"/>
    <mergeCell ref="AG369:AH369"/>
    <mergeCell ref="T362:AD362"/>
    <mergeCell ref="AE362:AK362"/>
    <mergeCell ref="U365:AB365"/>
    <mergeCell ref="AE365:AF365"/>
    <mergeCell ref="AG365:AH365"/>
    <mergeCell ref="AI365:AJ365"/>
    <mergeCell ref="U366:AB366"/>
    <mergeCell ref="AE366:AF366"/>
    <mergeCell ref="AG366:AH366"/>
    <mergeCell ref="U345:AI345"/>
    <mergeCell ref="T354:AK354"/>
    <mergeCell ref="T355:AK355"/>
    <mergeCell ref="T356:AK356"/>
    <mergeCell ref="AG358:AH358"/>
    <mergeCell ref="AI358:AK358"/>
    <mergeCell ref="T359:AK359"/>
    <mergeCell ref="T361:AD361"/>
    <mergeCell ref="AE361:AK361"/>
    <mergeCell ref="AI363:AK364"/>
    <mergeCell ref="U334:AB334"/>
    <mergeCell ref="AE334:AF334"/>
    <mergeCell ref="AG334:AH334"/>
    <mergeCell ref="U313:AI313"/>
    <mergeCell ref="T322:AK322"/>
    <mergeCell ref="T323:AK323"/>
    <mergeCell ref="T324:AK324"/>
    <mergeCell ref="AG326:AH326"/>
    <mergeCell ref="AI326:AK326"/>
    <mergeCell ref="T327:AK327"/>
    <mergeCell ref="T329:AD329"/>
    <mergeCell ref="AE329:AK329"/>
    <mergeCell ref="AI331:AK332"/>
    <mergeCell ref="U340:X340"/>
    <mergeCell ref="Y340:AC340"/>
    <mergeCell ref="AD340:AH343"/>
    <mergeCell ref="U341:X341"/>
    <mergeCell ref="Y341:AC341"/>
    <mergeCell ref="U342:X342"/>
    <mergeCell ref="Y342:AC342"/>
    <mergeCell ref="U343:X343"/>
    <mergeCell ref="Y343:AC343"/>
    <mergeCell ref="U335:AB335"/>
    <mergeCell ref="AE335:AF335"/>
    <mergeCell ref="AG335:AH335"/>
    <mergeCell ref="U336:AB336"/>
    <mergeCell ref="AE336:AF336"/>
    <mergeCell ref="AG336:AH336"/>
    <mergeCell ref="U337:AB337"/>
    <mergeCell ref="AE337:AF337"/>
    <mergeCell ref="AG337:AH337"/>
    <mergeCell ref="Y309:AC309"/>
    <mergeCell ref="U310:X310"/>
    <mergeCell ref="Y310:AC310"/>
    <mergeCell ref="U311:X311"/>
    <mergeCell ref="Y311:AC311"/>
    <mergeCell ref="U303:AB303"/>
    <mergeCell ref="AE303:AF303"/>
    <mergeCell ref="AG303:AH303"/>
    <mergeCell ref="U304:AB304"/>
    <mergeCell ref="AE304:AF304"/>
    <mergeCell ref="AG304:AH304"/>
    <mergeCell ref="U305:AB305"/>
    <mergeCell ref="AE305:AF305"/>
    <mergeCell ref="AG305:AH305"/>
    <mergeCell ref="T330:AD330"/>
    <mergeCell ref="AE330:AK330"/>
    <mergeCell ref="U333:AB333"/>
    <mergeCell ref="AE333:AF333"/>
    <mergeCell ref="AG333:AH333"/>
    <mergeCell ref="AI333:AJ333"/>
    <mergeCell ref="U308:X308"/>
    <mergeCell ref="Y308:AC308"/>
    <mergeCell ref="AD308:AH311"/>
    <mergeCell ref="U309:X309"/>
    <mergeCell ref="T298:AD298"/>
    <mergeCell ref="AE298:AK298"/>
    <mergeCell ref="U301:AB301"/>
    <mergeCell ref="AE301:AF301"/>
    <mergeCell ref="AG301:AH301"/>
    <mergeCell ref="AI301:AJ301"/>
    <mergeCell ref="U302:AB302"/>
    <mergeCell ref="AE302:AF302"/>
    <mergeCell ref="AG302:AH302"/>
    <mergeCell ref="U281:AI281"/>
    <mergeCell ref="T290:AK290"/>
    <mergeCell ref="T291:AK291"/>
    <mergeCell ref="T292:AK292"/>
    <mergeCell ref="AG294:AH294"/>
    <mergeCell ref="AI294:AK294"/>
    <mergeCell ref="T295:AK295"/>
    <mergeCell ref="T297:AD297"/>
    <mergeCell ref="AE297:AK297"/>
    <mergeCell ref="AI299:AK300"/>
    <mergeCell ref="U276:X276"/>
    <mergeCell ref="Y276:AC276"/>
    <mergeCell ref="AD276:AH279"/>
    <mergeCell ref="U277:X277"/>
    <mergeCell ref="Y277:AC277"/>
    <mergeCell ref="U278:X278"/>
    <mergeCell ref="Y278:AC278"/>
    <mergeCell ref="U279:X279"/>
    <mergeCell ref="Y279:AC279"/>
    <mergeCell ref="U271:AB271"/>
    <mergeCell ref="AE271:AF271"/>
    <mergeCell ref="AG271:AH271"/>
    <mergeCell ref="U272:AB272"/>
    <mergeCell ref="AE272:AF272"/>
    <mergeCell ref="AG272:AH272"/>
    <mergeCell ref="U273:AB273"/>
    <mergeCell ref="AE273:AF273"/>
    <mergeCell ref="AG273:AH273"/>
    <mergeCell ref="T266:AD266"/>
    <mergeCell ref="AE266:AK266"/>
    <mergeCell ref="U269:AB269"/>
    <mergeCell ref="AE269:AF269"/>
    <mergeCell ref="AG269:AH269"/>
    <mergeCell ref="AI269:AJ269"/>
    <mergeCell ref="U270:AB270"/>
    <mergeCell ref="AE270:AF270"/>
    <mergeCell ref="AG270:AH270"/>
    <mergeCell ref="U249:AI249"/>
    <mergeCell ref="T258:AK258"/>
    <mergeCell ref="T259:AK259"/>
    <mergeCell ref="T260:AK260"/>
    <mergeCell ref="AG262:AH262"/>
    <mergeCell ref="AI262:AK262"/>
    <mergeCell ref="T263:AK263"/>
    <mergeCell ref="T265:AD265"/>
    <mergeCell ref="AE265:AK265"/>
    <mergeCell ref="AI267:AK268"/>
    <mergeCell ref="U244:X244"/>
    <mergeCell ref="Y244:AC244"/>
    <mergeCell ref="AD244:AH247"/>
    <mergeCell ref="U245:X245"/>
    <mergeCell ref="Y245:AC245"/>
    <mergeCell ref="U246:X246"/>
    <mergeCell ref="Y246:AC246"/>
    <mergeCell ref="U247:X247"/>
    <mergeCell ref="Y247:AC247"/>
    <mergeCell ref="U239:AB239"/>
    <mergeCell ref="AE239:AF239"/>
    <mergeCell ref="AG239:AH239"/>
    <mergeCell ref="U240:AB240"/>
    <mergeCell ref="AE240:AF240"/>
    <mergeCell ref="AG240:AH240"/>
    <mergeCell ref="U241:AB241"/>
    <mergeCell ref="AE241:AF241"/>
    <mergeCell ref="AG241:AH241"/>
    <mergeCell ref="T234:AD234"/>
    <mergeCell ref="AE234:AK234"/>
    <mergeCell ref="U237:AB237"/>
    <mergeCell ref="AE237:AF237"/>
    <mergeCell ref="AG237:AH237"/>
    <mergeCell ref="AI237:AJ237"/>
    <mergeCell ref="U238:AB238"/>
    <mergeCell ref="AE238:AF238"/>
    <mergeCell ref="AG238:AH238"/>
    <mergeCell ref="U217:AI217"/>
    <mergeCell ref="T226:AK226"/>
    <mergeCell ref="T227:AK227"/>
    <mergeCell ref="T228:AK228"/>
    <mergeCell ref="AG230:AH230"/>
    <mergeCell ref="AI230:AK230"/>
    <mergeCell ref="T231:AK231"/>
    <mergeCell ref="T233:AD233"/>
    <mergeCell ref="AE233:AK233"/>
    <mergeCell ref="AI235:AK236"/>
    <mergeCell ref="U212:X212"/>
    <mergeCell ref="Y212:AC212"/>
    <mergeCell ref="AD212:AH215"/>
    <mergeCell ref="U213:X213"/>
    <mergeCell ref="Y213:AC213"/>
    <mergeCell ref="U214:X214"/>
    <mergeCell ref="Y214:AC214"/>
    <mergeCell ref="U215:X215"/>
    <mergeCell ref="Y215:AC215"/>
    <mergeCell ref="U207:AB207"/>
    <mergeCell ref="AE207:AF207"/>
    <mergeCell ref="AG207:AH207"/>
    <mergeCell ref="U208:AB208"/>
    <mergeCell ref="AE208:AF208"/>
    <mergeCell ref="AG208:AH208"/>
    <mergeCell ref="U209:AB209"/>
    <mergeCell ref="AE209:AF209"/>
    <mergeCell ref="AG209:AH209"/>
    <mergeCell ref="T202:AD202"/>
    <mergeCell ref="AE202:AK202"/>
    <mergeCell ref="U205:AB205"/>
    <mergeCell ref="AE205:AF205"/>
    <mergeCell ref="AG205:AH205"/>
    <mergeCell ref="AI205:AJ205"/>
    <mergeCell ref="U206:AB206"/>
    <mergeCell ref="AE206:AF206"/>
    <mergeCell ref="AG206:AH206"/>
    <mergeCell ref="U185:AI185"/>
    <mergeCell ref="T194:AK194"/>
    <mergeCell ref="T195:AK195"/>
    <mergeCell ref="T196:AK196"/>
    <mergeCell ref="AG198:AH198"/>
    <mergeCell ref="AI198:AK198"/>
    <mergeCell ref="T199:AK199"/>
    <mergeCell ref="T201:AD201"/>
    <mergeCell ref="AE201:AK201"/>
    <mergeCell ref="AI203:AK204"/>
    <mergeCell ref="U180:X180"/>
    <mergeCell ref="Y180:AC180"/>
    <mergeCell ref="AD180:AH183"/>
    <mergeCell ref="U181:X181"/>
    <mergeCell ref="Y181:AC181"/>
    <mergeCell ref="U182:X182"/>
    <mergeCell ref="Y182:AC182"/>
    <mergeCell ref="U183:X183"/>
    <mergeCell ref="Y183:AC183"/>
    <mergeCell ref="U175:AB175"/>
    <mergeCell ref="AE175:AF175"/>
    <mergeCell ref="AG175:AH175"/>
    <mergeCell ref="U176:AB176"/>
    <mergeCell ref="AE176:AF176"/>
    <mergeCell ref="AG176:AH176"/>
    <mergeCell ref="U177:AB177"/>
    <mergeCell ref="AE177:AF177"/>
    <mergeCell ref="AG177:AH177"/>
    <mergeCell ref="T170:AD170"/>
    <mergeCell ref="AE170:AK170"/>
    <mergeCell ref="U173:AB173"/>
    <mergeCell ref="AE173:AF173"/>
    <mergeCell ref="AG173:AH173"/>
    <mergeCell ref="AI173:AJ173"/>
    <mergeCell ref="U174:AB174"/>
    <mergeCell ref="AE174:AF174"/>
    <mergeCell ref="AG174:AH174"/>
    <mergeCell ref="U153:AI153"/>
    <mergeCell ref="T162:AK162"/>
    <mergeCell ref="T163:AK163"/>
    <mergeCell ref="T164:AK164"/>
    <mergeCell ref="AG166:AH166"/>
    <mergeCell ref="AI166:AK166"/>
    <mergeCell ref="T167:AK167"/>
    <mergeCell ref="T169:AD169"/>
    <mergeCell ref="AE169:AK169"/>
    <mergeCell ref="AI171:AK172"/>
    <mergeCell ref="U148:X148"/>
    <mergeCell ref="Y148:AC148"/>
    <mergeCell ref="AD148:AH151"/>
    <mergeCell ref="U149:X149"/>
    <mergeCell ref="Y149:AC149"/>
    <mergeCell ref="U150:X150"/>
    <mergeCell ref="Y150:AC150"/>
    <mergeCell ref="U151:X151"/>
    <mergeCell ref="Y151:AC151"/>
    <mergeCell ref="U143:AB143"/>
    <mergeCell ref="AE143:AF143"/>
    <mergeCell ref="AG143:AH143"/>
    <mergeCell ref="U144:AB144"/>
    <mergeCell ref="AE144:AF144"/>
    <mergeCell ref="AG144:AH144"/>
    <mergeCell ref="U145:AB145"/>
    <mergeCell ref="AE145:AF145"/>
    <mergeCell ref="AG145:AH145"/>
    <mergeCell ref="T138:AD138"/>
    <mergeCell ref="AE138:AK138"/>
    <mergeCell ref="U141:AB141"/>
    <mergeCell ref="AE141:AF141"/>
    <mergeCell ref="AG141:AH141"/>
    <mergeCell ref="AI141:AJ141"/>
    <mergeCell ref="U142:AB142"/>
    <mergeCell ref="AE142:AF142"/>
    <mergeCell ref="AG142:AH142"/>
    <mergeCell ref="U121:AI121"/>
    <mergeCell ref="T130:AK130"/>
    <mergeCell ref="T131:AK131"/>
    <mergeCell ref="T132:AK132"/>
    <mergeCell ref="AG134:AH134"/>
    <mergeCell ref="AI134:AK134"/>
    <mergeCell ref="T135:AK135"/>
    <mergeCell ref="T137:AD137"/>
    <mergeCell ref="AE137:AK137"/>
    <mergeCell ref="AI139:AK140"/>
    <mergeCell ref="U116:X116"/>
    <mergeCell ref="Y116:AC116"/>
    <mergeCell ref="AD116:AH119"/>
    <mergeCell ref="U117:X117"/>
    <mergeCell ref="Y117:AC117"/>
    <mergeCell ref="U118:X118"/>
    <mergeCell ref="Y118:AC118"/>
    <mergeCell ref="U119:X119"/>
    <mergeCell ref="Y119:AC119"/>
    <mergeCell ref="U111:AB111"/>
    <mergeCell ref="AE111:AF111"/>
    <mergeCell ref="AG111:AH111"/>
    <mergeCell ref="U112:AB112"/>
    <mergeCell ref="AE112:AF112"/>
    <mergeCell ref="AG112:AH112"/>
    <mergeCell ref="U113:AB113"/>
    <mergeCell ref="AE113:AF113"/>
    <mergeCell ref="AG113:AH113"/>
    <mergeCell ref="T106:AD106"/>
    <mergeCell ref="AE106:AK106"/>
    <mergeCell ref="U109:AB109"/>
    <mergeCell ref="AE109:AF109"/>
    <mergeCell ref="AG109:AH109"/>
    <mergeCell ref="AI109:AJ109"/>
    <mergeCell ref="U110:AB110"/>
    <mergeCell ref="AE110:AF110"/>
    <mergeCell ref="AG110:AH110"/>
    <mergeCell ref="U89:AI89"/>
    <mergeCell ref="T98:AK98"/>
    <mergeCell ref="T99:AK99"/>
    <mergeCell ref="T100:AK100"/>
    <mergeCell ref="AG102:AH102"/>
    <mergeCell ref="AI102:AK102"/>
    <mergeCell ref="T103:AK103"/>
    <mergeCell ref="T105:AD105"/>
    <mergeCell ref="AE105:AK105"/>
    <mergeCell ref="AI107:AK108"/>
    <mergeCell ref="U84:X84"/>
    <mergeCell ref="Y84:AC84"/>
    <mergeCell ref="AD84:AH87"/>
    <mergeCell ref="U85:X85"/>
    <mergeCell ref="Y85:AC85"/>
    <mergeCell ref="U86:X86"/>
    <mergeCell ref="Y86:AC86"/>
    <mergeCell ref="U87:X87"/>
    <mergeCell ref="Y87:AC87"/>
    <mergeCell ref="U79:AB79"/>
    <mergeCell ref="AE79:AF79"/>
    <mergeCell ref="AG79:AH79"/>
    <mergeCell ref="U80:AB80"/>
    <mergeCell ref="AE80:AF80"/>
    <mergeCell ref="AG80:AH80"/>
    <mergeCell ref="U81:AB81"/>
    <mergeCell ref="AE81:AF81"/>
    <mergeCell ref="AG81:AH81"/>
    <mergeCell ref="AE49:AF49"/>
    <mergeCell ref="AG49:AH49"/>
    <mergeCell ref="T74:AD74"/>
    <mergeCell ref="AE74:AK74"/>
    <mergeCell ref="U77:AB77"/>
    <mergeCell ref="AE77:AF77"/>
    <mergeCell ref="AG77:AH77"/>
    <mergeCell ref="AI77:AJ77"/>
    <mergeCell ref="U78:AB78"/>
    <mergeCell ref="AE78:AF78"/>
    <mergeCell ref="AG78:AH78"/>
    <mergeCell ref="U57:AI57"/>
    <mergeCell ref="T66:AK66"/>
    <mergeCell ref="T67:AK67"/>
    <mergeCell ref="T68:AK68"/>
    <mergeCell ref="AG70:AH70"/>
    <mergeCell ref="AI70:AK70"/>
    <mergeCell ref="T71:AK71"/>
    <mergeCell ref="T73:AD73"/>
    <mergeCell ref="AE73:AK73"/>
    <mergeCell ref="U45:AB45"/>
    <mergeCell ref="AE45:AF45"/>
    <mergeCell ref="AG45:AH45"/>
    <mergeCell ref="AI45:AJ45"/>
    <mergeCell ref="U46:AB46"/>
    <mergeCell ref="AE46:AF46"/>
    <mergeCell ref="AG46:AH46"/>
    <mergeCell ref="U25:AI25"/>
    <mergeCell ref="T34:AK34"/>
    <mergeCell ref="T35:AK35"/>
    <mergeCell ref="T36:AK36"/>
    <mergeCell ref="AG38:AH38"/>
    <mergeCell ref="AI38:AK38"/>
    <mergeCell ref="T39:AK39"/>
    <mergeCell ref="T41:AD41"/>
    <mergeCell ref="AE41:AK41"/>
    <mergeCell ref="U52:X52"/>
    <mergeCell ref="Y52:AC52"/>
    <mergeCell ref="AD52:AH55"/>
    <mergeCell ref="U53:X53"/>
    <mergeCell ref="Y53:AC53"/>
    <mergeCell ref="U54:X54"/>
    <mergeCell ref="Y54:AC54"/>
    <mergeCell ref="U55:X55"/>
    <mergeCell ref="Y55:AC55"/>
    <mergeCell ref="U47:AB47"/>
    <mergeCell ref="AE47:AF47"/>
    <mergeCell ref="AG47:AH47"/>
    <mergeCell ref="U48:AB48"/>
    <mergeCell ref="AE48:AF48"/>
    <mergeCell ref="AG48:AH48"/>
    <mergeCell ref="U49:AB49"/>
    <mergeCell ref="U16:AB16"/>
    <mergeCell ref="AE16:AF16"/>
    <mergeCell ref="AG16:AH16"/>
    <mergeCell ref="U17:AB17"/>
    <mergeCell ref="AE17:AF17"/>
    <mergeCell ref="AG17:AH17"/>
    <mergeCell ref="U20:X20"/>
    <mergeCell ref="Y20:AC20"/>
    <mergeCell ref="AD20:AH23"/>
    <mergeCell ref="U21:X21"/>
    <mergeCell ref="Y21:AC21"/>
    <mergeCell ref="U22:X22"/>
    <mergeCell ref="Y22:AC22"/>
    <mergeCell ref="U23:X23"/>
    <mergeCell ref="Y23:AC23"/>
    <mergeCell ref="T42:AD42"/>
    <mergeCell ref="AE42:AK42"/>
    <mergeCell ref="U13:AB13"/>
    <mergeCell ref="AE13:AF13"/>
    <mergeCell ref="AG13:AH13"/>
    <mergeCell ref="AI13:AJ13"/>
    <mergeCell ref="U14:AB14"/>
    <mergeCell ref="AE14:AF14"/>
    <mergeCell ref="AG14:AH14"/>
    <mergeCell ref="U15:AB15"/>
    <mergeCell ref="AE15:AF15"/>
    <mergeCell ref="AG15:AH15"/>
    <mergeCell ref="T2:AK2"/>
    <mergeCell ref="T3:AK3"/>
    <mergeCell ref="T4:AK4"/>
    <mergeCell ref="AG6:AH6"/>
    <mergeCell ref="AI6:AK6"/>
    <mergeCell ref="T7:AK7"/>
    <mergeCell ref="T9:AD9"/>
    <mergeCell ref="AE9:AK9"/>
    <mergeCell ref="T10:AD10"/>
    <mergeCell ref="AE10:AK10"/>
    <mergeCell ref="AI11:AK12"/>
    <mergeCell ref="B761:P761"/>
    <mergeCell ref="B756:E756"/>
    <mergeCell ref="F756:J756"/>
    <mergeCell ref="K756:O759"/>
    <mergeCell ref="B757:E757"/>
    <mergeCell ref="F757:J757"/>
    <mergeCell ref="B758:E758"/>
    <mergeCell ref="F758:J758"/>
    <mergeCell ref="B759:E759"/>
    <mergeCell ref="F759:J759"/>
    <mergeCell ref="B751:I751"/>
    <mergeCell ref="L751:M751"/>
    <mergeCell ref="N751:O751"/>
    <mergeCell ref="B752:I752"/>
    <mergeCell ref="L752:M752"/>
    <mergeCell ref="N752:O752"/>
    <mergeCell ref="B753:I753"/>
    <mergeCell ref="L753:M753"/>
    <mergeCell ref="N753:O753"/>
    <mergeCell ref="A746:K746"/>
    <mergeCell ref="L746:R746"/>
    <mergeCell ref="B749:I749"/>
    <mergeCell ref="L749:M749"/>
    <mergeCell ref="N749:O749"/>
    <mergeCell ref="P749:Q749"/>
    <mergeCell ref="B750:I750"/>
    <mergeCell ref="L750:M750"/>
    <mergeCell ref="N750:O750"/>
    <mergeCell ref="B729:P729"/>
    <mergeCell ref="A738:R738"/>
    <mergeCell ref="A739:R739"/>
    <mergeCell ref="A740:R740"/>
    <mergeCell ref="N742:O742"/>
    <mergeCell ref="P742:R742"/>
    <mergeCell ref="A743:R743"/>
    <mergeCell ref="A745:K745"/>
    <mergeCell ref="L745:R745"/>
    <mergeCell ref="P747:R748"/>
    <mergeCell ref="B724:E724"/>
    <mergeCell ref="F724:J724"/>
    <mergeCell ref="K724:O727"/>
    <mergeCell ref="B725:E725"/>
    <mergeCell ref="F725:J725"/>
    <mergeCell ref="B726:E726"/>
    <mergeCell ref="F726:J726"/>
    <mergeCell ref="B727:E727"/>
    <mergeCell ref="F727:J727"/>
    <mergeCell ref="B719:I719"/>
    <mergeCell ref="L719:M719"/>
    <mergeCell ref="N719:O719"/>
    <mergeCell ref="B720:I720"/>
    <mergeCell ref="L720:M720"/>
    <mergeCell ref="N720:O720"/>
    <mergeCell ref="B721:I721"/>
    <mergeCell ref="L721:M721"/>
    <mergeCell ref="N721:O721"/>
    <mergeCell ref="A714:K714"/>
    <mergeCell ref="L714:R714"/>
    <mergeCell ref="B717:I717"/>
    <mergeCell ref="L717:M717"/>
    <mergeCell ref="N717:O717"/>
    <mergeCell ref="P717:Q717"/>
    <mergeCell ref="B718:I718"/>
    <mergeCell ref="L718:M718"/>
    <mergeCell ref="N718:O718"/>
    <mergeCell ref="B697:P697"/>
    <mergeCell ref="A706:R706"/>
    <mergeCell ref="A707:R707"/>
    <mergeCell ref="A708:R708"/>
    <mergeCell ref="N710:O710"/>
    <mergeCell ref="P710:R710"/>
    <mergeCell ref="A711:R711"/>
    <mergeCell ref="A713:K713"/>
    <mergeCell ref="L713:R713"/>
    <mergeCell ref="P715:R716"/>
    <mergeCell ref="F661:J661"/>
    <mergeCell ref="P683:R684"/>
    <mergeCell ref="B689:I689"/>
    <mergeCell ref="L689:M689"/>
    <mergeCell ref="N689:O689"/>
    <mergeCell ref="B692:E692"/>
    <mergeCell ref="F692:J692"/>
    <mergeCell ref="K692:O695"/>
    <mergeCell ref="B693:E693"/>
    <mergeCell ref="F693:J693"/>
    <mergeCell ref="B694:E694"/>
    <mergeCell ref="F694:J694"/>
    <mergeCell ref="B695:E695"/>
    <mergeCell ref="F695:J695"/>
    <mergeCell ref="B686:I686"/>
    <mergeCell ref="L686:M686"/>
    <mergeCell ref="N686:O686"/>
    <mergeCell ref="B687:I687"/>
    <mergeCell ref="L687:M687"/>
    <mergeCell ref="N687:O687"/>
    <mergeCell ref="B688:I688"/>
    <mergeCell ref="L688:M688"/>
    <mergeCell ref="N688:O688"/>
    <mergeCell ref="A647:R647"/>
    <mergeCell ref="P651:R652"/>
    <mergeCell ref="N646:O646"/>
    <mergeCell ref="N655:O655"/>
    <mergeCell ref="B656:I656"/>
    <mergeCell ref="B560:I560"/>
    <mergeCell ref="B657:I657"/>
    <mergeCell ref="L657:M657"/>
    <mergeCell ref="N657:O657"/>
    <mergeCell ref="A681:K681"/>
    <mergeCell ref="L681:R681"/>
    <mergeCell ref="A682:K682"/>
    <mergeCell ref="L682:R682"/>
    <mergeCell ref="B685:I685"/>
    <mergeCell ref="L685:M685"/>
    <mergeCell ref="N685:O685"/>
    <mergeCell ref="P685:Q685"/>
    <mergeCell ref="B663:E663"/>
    <mergeCell ref="F663:J663"/>
    <mergeCell ref="N678:O678"/>
    <mergeCell ref="A676:R676"/>
    <mergeCell ref="P678:R678"/>
    <mergeCell ref="A679:R679"/>
    <mergeCell ref="B665:P665"/>
    <mergeCell ref="A674:R674"/>
    <mergeCell ref="A675:R675"/>
    <mergeCell ref="B660:E660"/>
    <mergeCell ref="F660:J660"/>
    <mergeCell ref="K660:O663"/>
    <mergeCell ref="B662:E662"/>
    <mergeCell ref="F662:J662"/>
    <mergeCell ref="B661:E661"/>
    <mergeCell ref="F503:J503"/>
    <mergeCell ref="B495:I495"/>
    <mergeCell ref="L495:M495"/>
    <mergeCell ref="A521:K521"/>
    <mergeCell ref="P486:R486"/>
    <mergeCell ref="A489:K489"/>
    <mergeCell ref="B561:I561"/>
    <mergeCell ref="L561:M561"/>
    <mergeCell ref="N561:O561"/>
    <mergeCell ref="L558:M558"/>
    <mergeCell ref="N558:O558"/>
    <mergeCell ref="P555:R556"/>
    <mergeCell ref="L656:M656"/>
    <mergeCell ref="N656:O656"/>
    <mergeCell ref="B654:I654"/>
    <mergeCell ref="L654:M654"/>
    <mergeCell ref="N654:O654"/>
    <mergeCell ref="B655:I655"/>
    <mergeCell ref="L655:M655"/>
    <mergeCell ref="B633:P633"/>
    <mergeCell ref="A642:R642"/>
    <mergeCell ref="A643:R643"/>
    <mergeCell ref="A644:R644"/>
    <mergeCell ref="P646:R646"/>
    <mergeCell ref="B653:I653"/>
    <mergeCell ref="L653:M653"/>
    <mergeCell ref="N653:O653"/>
    <mergeCell ref="P653:Q653"/>
    <mergeCell ref="A649:K649"/>
    <mergeCell ref="L649:R649"/>
    <mergeCell ref="A650:K650"/>
    <mergeCell ref="L650:R650"/>
    <mergeCell ref="B209:I209"/>
    <mergeCell ref="K276:O279"/>
    <mergeCell ref="A323:R323"/>
    <mergeCell ref="A324:R324"/>
    <mergeCell ref="F340:J340"/>
    <mergeCell ref="K340:O343"/>
    <mergeCell ref="B341:E341"/>
    <mergeCell ref="F341:J341"/>
    <mergeCell ref="B342:E342"/>
    <mergeCell ref="F342:J342"/>
    <mergeCell ref="A330:K330"/>
    <mergeCell ref="L330:R330"/>
    <mergeCell ref="B333:I333"/>
    <mergeCell ref="L333:M333"/>
    <mergeCell ref="N333:O333"/>
    <mergeCell ref="P333:Q333"/>
    <mergeCell ref="B343:E343"/>
    <mergeCell ref="F343:J343"/>
    <mergeCell ref="L336:M336"/>
    <mergeCell ref="N336:O336"/>
    <mergeCell ref="B340:E340"/>
    <mergeCell ref="L329:R329"/>
    <mergeCell ref="B313:P313"/>
    <mergeCell ref="A329:K329"/>
    <mergeCell ref="B212:E212"/>
    <mergeCell ref="A231:R231"/>
    <mergeCell ref="A233:K233"/>
    <mergeCell ref="B215:E215"/>
    <mergeCell ref="F215:J215"/>
    <mergeCell ref="P235:R236"/>
    <mergeCell ref="A298:K298"/>
    <mergeCell ref="L298:R298"/>
    <mergeCell ref="B278:E278"/>
    <mergeCell ref="F278:J278"/>
    <mergeCell ref="L489:R489"/>
    <mergeCell ref="A490:K490"/>
    <mergeCell ref="L490:R490"/>
    <mergeCell ref="A519:R519"/>
    <mergeCell ref="L493:M493"/>
    <mergeCell ref="B461:I461"/>
    <mergeCell ref="L461:M461"/>
    <mergeCell ref="B365:I365"/>
    <mergeCell ref="L465:M465"/>
    <mergeCell ref="F471:J471"/>
    <mergeCell ref="P461:Q461"/>
    <mergeCell ref="B462:I462"/>
    <mergeCell ref="A388:R388"/>
    <mergeCell ref="N390:O390"/>
    <mergeCell ref="B377:P377"/>
    <mergeCell ref="F374:J374"/>
    <mergeCell ref="B375:E375"/>
    <mergeCell ref="F375:J375"/>
    <mergeCell ref="A451:R451"/>
    <mergeCell ref="A452:R452"/>
    <mergeCell ref="N454:O454"/>
    <mergeCell ref="B372:E372"/>
    <mergeCell ref="B303:I303"/>
    <mergeCell ref="A322:R322"/>
    <mergeCell ref="B279:E279"/>
    <mergeCell ref="F279:J279"/>
    <mergeCell ref="L365:M365"/>
    <mergeCell ref="N365:O365"/>
    <mergeCell ref="L302:M302"/>
    <mergeCell ref="N302:O302"/>
    <mergeCell ref="L207:M207"/>
    <mergeCell ref="N207:O207"/>
    <mergeCell ref="B175:I175"/>
    <mergeCell ref="L175:M175"/>
    <mergeCell ref="B176:I176"/>
    <mergeCell ref="L176:M176"/>
    <mergeCell ref="N176:O176"/>
    <mergeCell ref="B185:P185"/>
    <mergeCell ref="A194:R194"/>
    <mergeCell ref="A195:R195"/>
    <mergeCell ref="A196:R196"/>
    <mergeCell ref="P198:R198"/>
    <mergeCell ref="B208:I208"/>
    <mergeCell ref="L208:M208"/>
    <mergeCell ref="N208:O208"/>
    <mergeCell ref="F151:J151"/>
    <mergeCell ref="B153:P153"/>
    <mergeCell ref="N166:O166"/>
    <mergeCell ref="L79:M79"/>
    <mergeCell ref="N79:O79"/>
    <mergeCell ref="L109:M109"/>
    <mergeCell ref="A199:R199"/>
    <mergeCell ref="A201:K201"/>
    <mergeCell ref="L201:R201"/>
    <mergeCell ref="A202:K202"/>
    <mergeCell ref="L202:R202"/>
    <mergeCell ref="B177:I177"/>
    <mergeCell ref="L177:M177"/>
    <mergeCell ref="N177:O177"/>
    <mergeCell ref="B180:E180"/>
    <mergeCell ref="F180:J180"/>
    <mergeCell ref="K180:O183"/>
    <mergeCell ref="B181:E181"/>
    <mergeCell ref="F181:J181"/>
    <mergeCell ref="B182:E182"/>
    <mergeCell ref="F182:J182"/>
    <mergeCell ref="B183:E183"/>
    <mergeCell ref="F183:J183"/>
    <mergeCell ref="N198:O198"/>
    <mergeCell ref="B143:I143"/>
    <mergeCell ref="L143:M143"/>
    <mergeCell ref="N143:O143"/>
    <mergeCell ref="B144:I144"/>
    <mergeCell ref="A164:R164"/>
    <mergeCell ref="P166:R166"/>
    <mergeCell ref="A167:R167"/>
    <mergeCell ref="F149:J149"/>
    <mergeCell ref="B150:E150"/>
    <mergeCell ref="F150:J150"/>
    <mergeCell ref="B151:E151"/>
    <mergeCell ref="A68:R68"/>
    <mergeCell ref="N70:O70"/>
    <mergeCell ref="P70:R70"/>
    <mergeCell ref="A71:R71"/>
    <mergeCell ref="A73:K73"/>
    <mergeCell ref="L73:R73"/>
    <mergeCell ref="A74:K74"/>
    <mergeCell ref="L74:R74"/>
    <mergeCell ref="P102:R102"/>
    <mergeCell ref="A103:R103"/>
    <mergeCell ref="A105:K105"/>
    <mergeCell ref="L105:R105"/>
    <mergeCell ref="A99:R99"/>
    <mergeCell ref="B81:I81"/>
    <mergeCell ref="L81:M81"/>
    <mergeCell ref="N81:O81"/>
    <mergeCell ref="B84:E84"/>
    <mergeCell ref="F84:J84"/>
    <mergeCell ref="K84:O87"/>
    <mergeCell ref="L80:M80"/>
    <mergeCell ref="N80:O80"/>
    <mergeCell ref="B85:E85"/>
    <mergeCell ref="F85:J85"/>
    <mergeCell ref="B86:E86"/>
    <mergeCell ref="F86:J86"/>
    <mergeCell ref="B87:E87"/>
    <mergeCell ref="F87:J87"/>
    <mergeCell ref="B80:I80"/>
    <mergeCell ref="B78:I78"/>
    <mergeCell ref="L78:M78"/>
    <mergeCell ref="N78:O78"/>
    <mergeCell ref="B79:I79"/>
    <mergeCell ref="L141:M141"/>
    <mergeCell ref="N141:O141"/>
    <mergeCell ref="P141:Q141"/>
    <mergeCell ref="B142:I142"/>
    <mergeCell ref="N144:O144"/>
    <mergeCell ref="B145:I145"/>
    <mergeCell ref="L145:M145"/>
    <mergeCell ref="N145:O145"/>
    <mergeCell ref="B148:E148"/>
    <mergeCell ref="F148:J148"/>
    <mergeCell ref="N206:O206"/>
    <mergeCell ref="B207:I207"/>
    <mergeCell ref="L142:M142"/>
    <mergeCell ref="N142:O142"/>
    <mergeCell ref="B271:I271"/>
    <mergeCell ref="A169:K169"/>
    <mergeCell ref="L169:R169"/>
    <mergeCell ref="P173:Q173"/>
    <mergeCell ref="P171:R172"/>
    <mergeCell ref="K148:O151"/>
    <mergeCell ref="B149:E149"/>
    <mergeCell ref="P237:Q237"/>
    <mergeCell ref="B249:P249"/>
    <mergeCell ref="A258:R258"/>
    <mergeCell ref="A259:R259"/>
    <mergeCell ref="A260:R260"/>
    <mergeCell ref="N262:O262"/>
    <mergeCell ref="P262:R262"/>
    <mergeCell ref="A263:R263"/>
    <mergeCell ref="A265:K265"/>
    <mergeCell ref="L209:M209"/>
    <mergeCell ref="N209:O209"/>
    <mergeCell ref="P139:R140"/>
    <mergeCell ref="B121:P121"/>
    <mergeCell ref="A130:R130"/>
    <mergeCell ref="A131:R131"/>
    <mergeCell ref="A132:R132"/>
    <mergeCell ref="N134:O134"/>
    <mergeCell ref="N77:O77"/>
    <mergeCell ref="P77:Q77"/>
    <mergeCell ref="A170:K170"/>
    <mergeCell ref="L170:R170"/>
    <mergeCell ref="B173:I173"/>
    <mergeCell ref="L173:M173"/>
    <mergeCell ref="N173:O173"/>
    <mergeCell ref="L266:R266"/>
    <mergeCell ref="B269:I269"/>
    <mergeCell ref="L269:M269"/>
    <mergeCell ref="N269:O269"/>
    <mergeCell ref="P269:Q269"/>
    <mergeCell ref="P134:R134"/>
    <mergeCell ref="A135:R135"/>
    <mergeCell ref="A137:K137"/>
    <mergeCell ref="L137:R137"/>
    <mergeCell ref="B109:I109"/>
    <mergeCell ref="A106:K106"/>
    <mergeCell ref="L106:R106"/>
    <mergeCell ref="B77:I77"/>
    <mergeCell ref="L77:M77"/>
    <mergeCell ref="B89:P89"/>
    <mergeCell ref="A98:R98"/>
    <mergeCell ref="A100:R100"/>
    <mergeCell ref="N102:O102"/>
    <mergeCell ref="N109:O109"/>
    <mergeCell ref="K116:O119"/>
    <mergeCell ref="B117:E117"/>
    <mergeCell ref="F117:J117"/>
    <mergeCell ref="B118:E118"/>
    <mergeCell ref="F118:J118"/>
    <mergeCell ref="B119:E119"/>
    <mergeCell ref="F119:J119"/>
    <mergeCell ref="A2:R2"/>
    <mergeCell ref="A3:R3"/>
    <mergeCell ref="A9:K9"/>
    <mergeCell ref="L14:M14"/>
    <mergeCell ref="L15:M15"/>
    <mergeCell ref="L16:M16"/>
    <mergeCell ref="L17:M17"/>
    <mergeCell ref="B14:I14"/>
    <mergeCell ref="B15:I15"/>
    <mergeCell ref="B16:I16"/>
    <mergeCell ref="B17:I17"/>
    <mergeCell ref="L13:M13"/>
    <mergeCell ref="A7:R7"/>
    <mergeCell ref="L9:R9"/>
    <mergeCell ref="L10:R10"/>
    <mergeCell ref="N6:O6"/>
    <mergeCell ref="B52:E52"/>
    <mergeCell ref="F52:J52"/>
    <mergeCell ref="K52:O55"/>
    <mergeCell ref="B53:E53"/>
    <mergeCell ref="F53:J53"/>
    <mergeCell ref="B54:E54"/>
    <mergeCell ref="B57:P57"/>
    <mergeCell ref="A66:R66"/>
    <mergeCell ref="A67:R67"/>
    <mergeCell ref="N16:O16"/>
    <mergeCell ref="N17:O17"/>
    <mergeCell ref="A4:R4"/>
    <mergeCell ref="B13:I13"/>
    <mergeCell ref="P6:R6"/>
    <mergeCell ref="P11:R12"/>
    <mergeCell ref="L41:R41"/>
    <mergeCell ref="P13:Q13"/>
    <mergeCell ref="N13:O13"/>
    <mergeCell ref="N14:O14"/>
    <mergeCell ref="N15:O15"/>
    <mergeCell ref="A10:K10"/>
    <mergeCell ref="B25:P25"/>
    <mergeCell ref="K20:O23"/>
    <mergeCell ref="F20:J20"/>
    <mergeCell ref="F21:J21"/>
    <mergeCell ref="F22:J22"/>
    <mergeCell ref="F23:J23"/>
    <mergeCell ref="N38:O38"/>
    <mergeCell ref="L144:M144"/>
    <mergeCell ref="N175:O175"/>
    <mergeCell ref="B47:I47"/>
    <mergeCell ref="N46:O46"/>
    <mergeCell ref="L46:M46"/>
    <mergeCell ref="B46:I46"/>
    <mergeCell ref="P45:Q45"/>
    <mergeCell ref="N45:O45"/>
    <mergeCell ref="A34:R34"/>
    <mergeCell ref="A35:R35"/>
    <mergeCell ref="A36:R36"/>
    <mergeCell ref="B20:E20"/>
    <mergeCell ref="B21:E21"/>
    <mergeCell ref="L45:M45"/>
    <mergeCell ref="B45:I45"/>
    <mergeCell ref="P38:R38"/>
    <mergeCell ref="A39:R39"/>
    <mergeCell ref="A41:K41"/>
    <mergeCell ref="L47:M47"/>
    <mergeCell ref="N47:O47"/>
    <mergeCell ref="L42:R42"/>
    <mergeCell ref="A42:K42"/>
    <mergeCell ref="P43:R44"/>
    <mergeCell ref="P109:Q109"/>
    <mergeCell ref="B112:I112"/>
    <mergeCell ref="L112:M112"/>
    <mergeCell ref="N112:O112"/>
    <mergeCell ref="B113:I113"/>
    <mergeCell ref="L113:M113"/>
    <mergeCell ref="N113:O113"/>
    <mergeCell ref="B116:E116"/>
    <mergeCell ref="F116:J116"/>
    <mergeCell ref="B237:I237"/>
    <mergeCell ref="B273:I273"/>
    <mergeCell ref="B241:I241"/>
    <mergeCell ref="B48:I48"/>
    <mergeCell ref="L48:M48"/>
    <mergeCell ref="N48:O48"/>
    <mergeCell ref="B49:I49"/>
    <mergeCell ref="L49:M49"/>
    <mergeCell ref="N49:O49"/>
    <mergeCell ref="B270:I270"/>
    <mergeCell ref="L270:M270"/>
    <mergeCell ref="N270:O270"/>
    <mergeCell ref="A162:R162"/>
    <mergeCell ref="A163:R163"/>
    <mergeCell ref="B174:I174"/>
    <mergeCell ref="L174:M174"/>
    <mergeCell ref="N174:O174"/>
    <mergeCell ref="B110:I110"/>
    <mergeCell ref="L110:M110"/>
    <mergeCell ref="N110:O110"/>
    <mergeCell ref="B111:I111"/>
    <mergeCell ref="L111:M111"/>
    <mergeCell ref="N111:O111"/>
    <mergeCell ref="A138:K138"/>
    <mergeCell ref="L138:R138"/>
    <mergeCell ref="B141:I141"/>
    <mergeCell ref="B205:I205"/>
    <mergeCell ref="L205:M205"/>
    <mergeCell ref="N205:O205"/>
    <mergeCell ref="P205:Q205"/>
    <mergeCell ref="B206:I206"/>
    <mergeCell ref="P203:R204"/>
    <mergeCell ref="B239:I239"/>
    <mergeCell ref="L239:M239"/>
    <mergeCell ref="N239:O239"/>
    <mergeCell ref="B240:I240"/>
    <mergeCell ref="L240:M240"/>
    <mergeCell ref="B217:P217"/>
    <mergeCell ref="A234:K234"/>
    <mergeCell ref="L234:R234"/>
    <mergeCell ref="B281:P281"/>
    <mergeCell ref="L273:M273"/>
    <mergeCell ref="N273:O273"/>
    <mergeCell ref="B276:E276"/>
    <mergeCell ref="F276:J276"/>
    <mergeCell ref="A227:R227"/>
    <mergeCell ref="A297:K297"/>
    <mergeCell ref="L297:R297"/>
    <mergeCell ref="N240:O240"/>
    <mergeCell ref="A228:R228"/>
    <mergeCell ref="N230:O230"/>
    <mergeCell ref="P230:R230"/>
    <mergeCell ref="L233:R233"/>
    <mergeCell ref="B238:I238"/>
    <mergeCell ref="L238:M238"/>
    <mergeCell ref="N238:O238"/>
    <mergeCell ref="L237:M237"/>
    <mergeCell ref="N237:O237"/>
    <mergeCell ref="A266:K266"/>
    <mergeCell ref="L265:R265"/>
    <mergeCell ref="B244:E244"/>
    <mergeCell ref="F244:J244"/>
    <mergeCell ref="K244:O247"/>
    <mergeCell ref="B245:E245"/>
    <mergeCell ref="F245:J245"/>
    <mergeCell ref="B246:E246"/>
    <mergeCell ref="F246:J246"/>
    <mergeCell ref="B247:E247"/>
    <mergeCell ref="F247:J247"/>
    <mergeCell ref="L334:M334"/>
    <mergeCell ref="A354:R354"/>
    <mergeCell ref="L369:M369"/>
    <mergeCell ref="N369:O369"/>
    <mergeCell ref="N368:O368"/>
    <mergeCell ref="A362:K362"/>
    <mergeCell ref="L303:M303"/>
    <mergeCell ref="B334:I334"/>
    <mergeCell ref="B591:I591"/>
    <mergeCell ref="L591:M591"/>
    <mergeCell ref="P523:R524"/>
    <mergeCell ref="A546:R546"/>
    <mergeCell ref="B532:E532"/>
    <mergeCell ref="F532:J532"/>
    <mergeCell ref="F500:J500"/>
    <mergeCell ref="K500:O503"/>
    <mergeCell ref="B501:E501"/>
    <mergeCell ref="F501:J501"/>
    <mergeCell ref="B502:E502"/>
    <mergeCell ref="F502:J502"/>
    <mergeCell ref="B503:E503"/>
    <mergeCell ref="B529:I529"/>
    <mergeCell ref="A522:K522"/>
    <mergeCell ref="L522:R522"/>
    <mergeCell ref="L528:M528"/>
    <mergeCell ref="L525:M525"/>
    <mergeCell ref="A514:R514"/>
    <mergeCell ref="B505:P505"/>
    <mergeCell ref="A547:R547"/>
    <mergeCell ref="N527:O527"/>
    <mergeCell ref="L560:M560"/>
    <mergeCell ref="N560:O560"/>
    <mergeCell ref="B559:I559"/>
    <mergeCell ref="L559:M559"/>
    <mergeCell ref="N559:O559"/>
    <mergeCell ref="L557:M557"/>
    <mergeCell ref="N557:O557"/>
    <mergeCell ref="P557:Q557"/>
    <mergeCell ref="P550:R550"/>
    <mergeCell ref="A551:R551"/>
    <mergeCell ref="A548:R548"/>
    <mergeCell ref="N550:O550"/>
    <mergeCell ref="B534:E534"/>
    <mergeCell ref="F534:J534"/>
    <mergeCell ref="B557:I557"/>
    <mergeCell ref="L590:M590"/>
    <mergeCell ref="N590:O590"/>
    <mergeCell ref="L464:M464"/>
    <mergeCell ref="N464:O464"/>
    <mergeCell ref="B528:I528"/>
    <mergeCell ref="N518:O518"/>
    <mergeCell ref="F533:J533"/>
    <mergeCell ref="P525:Q525"/>
    <mergeCell ref="B526:I526"/>
    <mergeCell ref="L526:M526"/>
    <mergeCell ref="N526:O526"/>
    <mergeCell ref="B527:I527"/>
    <mergeCell ref="B537:P537"/>
    <mergeCell ref="B567:E567"/>
    <mergeCell ref="F567:J567"/>
    <mergeCell ref="F565:J565"/>
    <mergeCell ref="B566:E566"/>
    <mergeCell ref="F566:J566"/>
    <mergeCell ref="N528:O528"/>
    <mergeCell ref="B500:E500"/>
    <mergeCell ref="L529:M529"/>
    <mergeCell ref="N529:O529"/>
    <mergeCell ref="B558:I558"/>
    <mergeCell ref="P518:R518"/>
    <mergeCell ref="A553:K553"/>
    <mergeCell ref="L553:R553"/>
    <mergeCell ref="A554:K554"/>
    <mergeCell ref="L554:R554"/>
    <mergeCell ref="L496:M496"/>
    <mergeCell ref="N496:O496"/>
    <mergeCell ref="B497:I497"/>
    <mergeCell ref="L497:M497"/>
    <mergeCell ref="L241:M241"/>
    <mergeCell ref="N241:O241"/>
    <mergeCell ref="N272:O272"/>
    <mergeCell ref="L432:M432"/>
    <mergeCell ref="B337:I337"/>
    <mergeCell ref="L337:M337"/>
    <mergeCell ref="N337:O337"/>
    <mergeCell ref="L401:M401"/>
    <mergeCell ref="N401:O401"/>
    <mergeCell ref="P395:R396"/>
    <mergeCell ref="L271:M271"/>
    <mergeCell ref="N271:O271"/>
    <mergeCell ref="B272:I272"/>
    <mergeCell ref="L272:M272"/>
    <mergeCell ref="L527:M527"/>
    <mergeCell ref="B535:E535"/>
    <mergeCell ref="F535:J535"/>
    <mergeCell ref="L521:R521"/>
    <mergeCell ref="B525:I525"/>
    <mergeCell ref="N495:O495"/>
    <mergeCell ref="A515:R515"/>
    <mergeCell ref="P491:R492"/>
    <mergeCell ref="A484:R484"/>
    <mergeCell ref="B473:P473"/>
    <mergeCell ref="A482:R482"/>
    <mergeCell ref="A483:R483"/>
    <mergeCell ref="A487:R487"/>
    <mergeCell ref="K532:O535"/>
    <mergeCell ref="B533:E533"/>
    <mergeCell ref="A516:R516"/>
    <mergeCell ref="B496:I496"/>
    <mergeCell ref="N525:O525"/>
    <mergeCell ref="B596:E596"/>
    <mergeCell ref="F596:J596"/>
    <mergeCell ref="K596:O599"/>
    <mergeCell ref="B597:E597"/>
    <mergeCell ref="F597:J597"/>
    <mergeCell ref="B598:E598"/>
    <mergeCell ref="F598:J598"/>
    <mergeCell ref="B599:E599"/>
    <mergeCell ref="F599:J599"/>
    <mergeCell ref="B564:E564"/>
    <mergeCell ref="B622:I622"/>
    <mergeCell ref="L622:M622"/>
    <mergeCell ref="N622:O622"/>
    <mergeCell ref="B624:I624"/>
    <mergeCell ref="L624:M624"/>
    <mergeCell ref="N624:O624"/>
    <mergeCell ref="A585:K585"/>
    <mergeCell ref="L585:R585"/>
    <mergeCell ref="A579:R579"/>
    <mergeCell ref="A580:R580"/>
    <mergeCell ref="N582:O582"/>
    <mergeCell ref="P582:R582"/>
    <mergeCell ref="A583:R583"/>
    <mergeCell ref="B569:P569"/>
    <mergeCell ref="A578:R578"/>
    <mergeCell ref="B623:I623"/>
    <mergeCell ref="A611:R611"/>
    <mergeCell ref="A612:R612"/>
    <mergeCell ref="B601:P601"/>
    <mergeCell ref="A610:R610"/>
    <mergeCell ref="K564:O567"/>
    <mergeCell ref="B565:E565"/>
    <mergeCell ref="AI43:AK44"/>
    <mergeCell ref="P75:R76"/>
    <mergeCell ref="AI75:AK76"/>
    <mergeCell ref="P107:R108"/>
    <mergeCell ref="B409:P409"/>
    <mergeCell ref="B22:E22"/>
    <mergeCell ref="B23:E23"/>
    <mergeCell ref="F54:J54"/>
    <mergeCell ref="B55:E55"/>
    <mergeCell ref="F55:J55"/>
    <mergeCell ref="B404:E404"/>
    <mergeCell ref="F404:J404"/>
    <mergeCell ref="L398:M398"/>
    <mergeCell ref="B399:I399"/>
    <mergeCell ref="L593:M593"/>
    <mergeCell ref="N593:O593"/>
    <mergeCell ref="B589:I589"/>
    <mergeCell ref="L589:M589"/>
    <mergeCell ref="N589:O589"/>
    <mergeCell ref="B590:I590"/>
    <mergeCell ref="A586:K586"/>
    <mergeCell ref="P589:Q589"/>
    <mergeCell ref="P587:R588"/>
    <mergeCell ref="L586:R586"/>
    <mergeCell ref="N591:O591"/>
    <mergeCell ref="L592:M592"/>
    <mergeCell ref="N592:O592"/>
    <mergeCell ref="B592:I592"/>
    <mergeCell ref="B593:I593"/>
    <mergeCell ref="F564:J564"/>
    <mergeCell ref="A226:R226"/>
    <mergeCell ref="L206:M206"/>
    <mergeCell ref="B628:E628"/>
    <mergeCell ref="F628:J628"/>
    <mergeCell ref="K628:O631"/>
    <mergeCell ref="F629:J629"/>
    <mergeCell ref="N614:O614"/>
    <mergeCell ref="N621:O621"/>
    <mergeCell ref="P621:Q621"/>
    <mergeCell ref="B631:E631"/>
    <mergeCell ref="F631:J631"/>
    <mergeCell ref="B629:E629"/>
    <mergeCell ref="L623:M623"/>
    <mergeCell ref="N623:O623"/>
    <mergeCell ref="P619:R620"/>
    <mergeCell ref="B621:I621"/>
    <mergeCell ref="L621:M621"/>
    <mergeCell ref="A618:K618"/>
    <mergeCell ref="L618:R618"/>
    <mergeCell ref="P614:R614"/>
    <mergeCell ref="B630:E630"/>
    <mergeCell ref="F630:J630"/>
    <mergeCell ref="B625:I625"/>
    <mergeCell ref="L625:M625"/>
    <mergeCell ref="N625:O625"/>
    <mergeCell ref="A615:R615"/>
    <mergeCell ref="A617:K617"/>
    <mergeCell ref="L617:R617"/>
    <mergeCell ref="B277:E277"/>
    <mergeCell ref="F277:J277"/>
    <mergeCell ref="F212:J212"/>
    <mergeCell ref="K212:O215"/>
    <mergeCell ref="B213:E213"/>
    <mergeCell ref="F213:J213"/>
    <mergeCell ref="B214:E214"/>
    <mergeCell ref="F214:J214"/>
    <mergeCell ref="A393:K393"/>
    <mergeCell ref="L393:R393"/>
    <mergeCell ref="A394:K394"/>
    <mergeCell ref="L394:R394"/>
    <mergeCell ref="B397:I397"/>
    <mergeCell ref="L397:M397"/>
    <mergeCell ref="N397:O397"/>
    <mergeCell ref="A386:R386"/>
    <mergeCell ref="A387:R387"/>
    <mergeCell ref="N334:O334"/>
    <mergeCell ref="B335:I335"/>
    <mergeCell ref="L335:M335"/>
    <mergeCell ref="N335:O335"/>
    <mergeCell ref="P267:R268"/>
    <mergeCell ref="P299:R300"/>
    <mergeCell ref="B374:E374"/>
    <mergeCell ref="A290:R290"/>
    <mergeCell ref="A291:R291"/>
    <mergeCell ref="A292:R292"/>
    <mergeCell ref="N294:O294"/>
    <mergeCell ref="N301:O301"/>
    <mergeCell ref="P301:Q301"/>
    <mergeCell ref="B302:I302"/>
    <mergeCell ref="L362:R362"/>
    <mergeCell ref="P294:R294"/>
    <mergeCell ref="A295:R295"/>
    <mergeCell ref="B336:I336"/>
    <mergeCell ref="B345:P345"/>
    <mergeCell ref="N303:O303"/>
    <mergeCell ref="B304:I304"/>
    <mergeCell ref="L304:M304"/>
    <mergeCell ref="N304:O304"/>
    <mergeCell ref="P331:R332"/>
    <mergeCell ref="B301:I301"/>
    <mergeCell ref="L301:M301"/>
    <mergeCell ref="B368:I368"/>
    <mergeCell ref="L368:M368"/>
    <mergeCell ref="B369:I369"/>
    <mergeCell ref="B305:I305"/>
    <mergeCell ref="L305:M305"/>
    <mergeCell ref="N305:O305"/>
    <mergeCell ref="F309:J309"/>
    <mergeCell ref="L367:M367"/>
    <mergeCell ref="A355:R355"/>
    <mergeCell ref="A356:R356"/>
    <mergeCell ref="N358:O358"/>
    <mergeCell ref="P358:R358"/>
    <mergeCell ref="A359:R359"/>
    <mergeCell ref="A361:K361"/>
    <mergeCell ref="L361:R361"/>
    <mergeCell ref="N366:O366"/>
    <mergeCell ref="P363:R364"/>
    <mergeCell ref="N367:O367"/>
    <mergeCell ref="B367:I367"/>
    <mergeCell ref="B308:E308"/>
    <mergeCell ref="F308:J308"/>
    <mergeCell ref="L457:R457"/>
    <mergeCell ref="A458:K458"/>
    <mergeCell ref="B433:I433"/>
    <mergeCell ref="N461:O461"/>
    <mergeCell ref="L458:R458"/>
    <mergeCell ref="A455:R455"/>
    <mergeCell ref="B432:I432"/>
    <mergeCell ref="F437:J437"/>
    <mergeCell ref="B438:E438"/>
    <mergeCell ref="F438:J438"/>
    <mergeCell ref="B439:E439"/>
    <mergeCell ref="F439:J439"/>
    <mergeCell ref="F406:J406"/>
    <mergeCell ref="B407:E407"/>
    <mergeCell ref="F405:J405"/>
    <mergeCell ref="P429:Q429"/>
    <mergeCell ref="B405:E405"/>
    <mergeCell ref="A418:R418"/>
    <mergeCell ref="N497:O497"/>
    <mergeCell ref="B493:I493"/>
    <mergeCell ref="B468:E468"/>
    <mergeCell ref="F468:J468"/>
    <mergeCell ref="K468:O471"/>
    <mergeCell ref="B469:E469"/>
    <mergeCell ref="F469:J469"/>
    <mergeCell ref="B470:E470"/>
    <mergeCell ref="F470:J470"/>
    <mergeCell ref="B471:E471"/>
    <mergeCell ref="N465:O465"/>
    <mergeCell ref="B465:I465"/>
    <mergeCell ref="N493:O493"/>
    <mergeCell ref="N494:O494"/>
    <mergeCell ref="N486:O486"/>
    <mergeCell ref="F310:J310"/>
    <mergeCell ref="B311:E311"/>
    <mergeCell ref="F311:J311"/>
    <mergeCell ref="B429:I429"/>
    <mergeCell ref="L429:M429"/>
    <mergeCell ref="N429:O429"/>
    <mergeCell ref="B430:I430"/>
    <mergeCell ref="L430:M430"/>
    <mergeCell ref="N430:O430"/>
    <mergeCell ref="N326:O326"/>
    <mergeCell ref="F372:J372"/>
    <mergeCell ref="K372:O375"/>
    <mergeCell ref="B373:E373"/>
    <mergeCell ref="F373:J373"/>
    <mergeCell ref="B310:E310"/>
    <mergeCell ref="A391:R391"/>
    <mergeCell ref="K404:O407"/>
    <mergeCell ref="K308:O311"/>
    <mergeCell ref="B309:E309"/>
    <mergeCell ref="P326:R326"/>
    <mergeCell ref="A327:R327"/>
    <mergeCell ref="L399:M399"/>
    <mergeCell ref="N399:O399"/>
    <mergeCell ref="N398:O398"/>
    <mergeCell ref="P365:Q365"/>
    <mergeCell ref="B366:I366"/>
    <mergeCell ref="L366:M366"/>
    <mergeCell ref="N400:O400"/>
    <mergeCell ref="B436:E436"/>
    <mergeCell ref="F436:J436"/>
    <mergeCell ref="K436:O439"/>
    <mergeCell ref="B437:E437"/>
    <mergeCell ref="P390:R390"/>
    <mergeCell ref="P397:Q397"/>
    <mergeCell ref="B431:I431"/>
    <mergeCell ref="L431:M431"/>
    <mergeCell ref="N431:O431"/>
    <mergeCell ref="L425:R425"/>
    <mergeCell ref="A425:K425"/>
    <mergeCell ref="N422:O422"/>
    <mergeCell ref="P422:R422"/>
    <mergeCell ref="A423:R423"/>
    <mergeCell ref="B398:I398"/>
    <mergeCell ref="P493:Q493"/>
    <mergeCell ref="B494:I494"/>
    <mergeCell ref="L494:M494"/>
    <mergeCell ref="AD404:AH407"/>
    <mergeCell ref="U405:X405"/>
    <mergeCell ref="U430:AB430"/>
    <mergeCell ref="AE430:AF430"/>
    <mergeCell ref="AG430:AH430"/>
    <mergeCell ref="F407:J407"/>
    <mergeCell ref="L433:M433"/>
    <mergeCell ref="L462:M462"/>
    <mergeCell ref="N462:O462"/>
    <mergeCell ref="A450:R450"/>
    <mergeCell ref="N433:O433"/>
    <mergeCell ref="B400:I400"/>
    <mergeCell ref="L400:M400"/>
    <mergeCell ref="B406:E406"/>
    <mergeCell ref="B401:I401"/>
    <mergeCell ref="N432:O432"/>
    <mergeCell ref="B441:P441"/>
    <mergeCell ref="P459:R460"/>
    <mergeCell ref="B464:I464"/>
    <mergeCell ref="A419:R419"/>
    <mergeCell ref="A420:R420"/>
    <mergeCell ref="P427:R428"/>
    <mergeCell ref="A426:K426"/>
    <mergeCell ref="L426:R426"/>
    <mergeCell ref="B463:I463"/>
    <mergeCell ref="L463:M463"/>
    <mergeCell ref="N463:O463"/>
    <mergeCell ref="P454:R454"/>
    <mergeCell ref="A457:K457"/>
  </mergeCells>
  <conditionalFormatting sqref="AI75:AK76">
    <cfRule type="cellIs" dxfId="350" priority="339" operator="equal">
      <formula>"pro"</formula>
    </cfRule>
  </conditionalFormatting>
  <conditionalFormatting sqref="P683:R684">
    <cfRule type="cellIs" dxfId="349" priority="352" operator="equal">
      <formula>"pro"</formula>
    </cfRule>
  </conditionalFormatting>
  <conditionalFormatting sqref="AI683:AK684">
    <cfRule type="cellIs" dxfId="348" priority="351" operator="equal">
      <formula>"pro"</formula>
    </cfRule>
  </conditionalFormatting>
  <conditionalFormatting sqref="P11:R12">
    <cfRule type="cellIs" dxfId="347" priority="346" operator="equal">
      <formula>"pro"</formula>
    </cfRule>
  </conditionalFormatting>
  <conditionalFormatting sqref="AI747:AK748">
    <cfRule type="cellIs" dxfId="346" priority="299" operator="equal">
      <formula>"pro"</formula>
    </cfRule>
  </conditionalFormatting>
  <conditionalFormatting sqref="AI11:AK12">
    <cfRule type="cellIs" dxfId="345" priority="344" operator="equal">
      <formula>"pro"</formula>
    </cfRule>
  </conditionalFormatting>
  <conditionalFormatting sqref="AI587:AK588">
    <cfRule type="cellIs" dxfId="344" priority="307" operator="equal">
      <formula>"pro"</formula>
    </cfRule>
  </conditionalFormatting>
  <conditionalFormatting sqref="P43:R44">
    <cfRule type="cellIs" dxfId="343" priority="342" operator="equal">
      <formula>"pro"</formula>
    </cfRule>
  </conditionalFormatting>
  <conditionalFormatting sqref="AI43:AK44">
    <cfRule type="cellIs" dxfId="342" priority="341" operator="equal">
      <formula>"pro"</formula>
    </cfRule>
  </conditionalFormatting>
  <conditionalFormatting sqref="P75:R76">
    <cfRule type="cellIs" dxfId="341" priority="340" operator="equal">
      <formula>"pro"</formula>
    </cfRule>
  </conditionalFormatting>
  <conditionalFormatting sqref="P107:R108">
    <cfRule type="cellIs" dxfId="340" priority="338" operator="equal">
      <formula>"pro"</formula>
    </cfRule>
  </conditionalFormatting>
  <conditionalFormatting sqref="AI107:AK108">
    <cfRule type="cellIs" dxfId="339" priority="337" operator="equal">
      <formula>"pro"</formula>
    </cfRule>
  </conditionalFormatting>
  <conditionalFormatting sqref="P139:R140">
    <cfRule type="cellIs" dxfId="338" priority="336" operator="equal">
      <formula>"pro"</formula>
    </cfRule>
  </conditionalFormatting>
  <conditionalFormatting sqref="AI139:AK140">
    <cfRule type="cellIs" dxfId="337" priority="335" operator="equal">
      <formula>"pro"</formula>
    </cfRule>
  </conditionalFormatting>
  <conditionalFormatting sqref="P171:R172">
    <cfRule type="cellIs" dxfId="336" priority="334" operator="equal">
      <formula>"pro"</formula>
    </cfRule>
  </conditionalFormatting>
  <conditionalFormatting sqref="AI171:AK172">
    <cfRule type="cellIs" dxfId="335" priority="333" operator="equal">
      <formula>"pro"</formula>
    </cfRule>
  </conditionalFormatting>
  <conditionalFormatting sqref="P203:R204">
    <cfRule type="cellIs" dxfId="334" priority="332" operator="equal">
      <formula>"pro"</formula>
    </cfRule>
  </conditionalFormatting>
  <conditionalFormatting sqref="AI203:AK204">
    <cfRule type="cellIs" dxfId="333" priority="331" operator="equal">
      <formula>"pro"</formula>
    </cfRule>
  </conditionalFormatting>
  <conditionalFormatting sqref="P235:R236">
    <cfRule type="cellIs" dxfId="332" priority="330" operator="equal">
      <formula>"pro"</formula>
    </cfRule>
  </conditionalFormatting>
  <conditionalFormatting sqref="AI235:AK236">
    <cfRule type="cellIs" dxfId="331" priority="329" operator="equal">
      <formula>"pro"</formula>
    </cfRule>
  </conditionalFormatting>
  <conditionalFormatting sqref="P267:R268">
    <cfRule type="cellIs" dxfId="330" priority="328" operator="equal">
      <formula>"pro"</formula>
    </cfRule>
  </conditionalFormatting>
  <conditionalFormatting sqref="AI267:AK268">
    <cfRule type="cellIs" dxfId="329" priority="327" operator="equal">
      <formula>"pro"</formula>
    </cfRule>
  </conditionalFormatting>
  <conditionalFormatting sqref="P299:R300">
    <cfRule type="cellIs" dxfId="328" priority="326" operator="equal">
      <formula>"pro"</formula>
    </cfRule>
  </conditionalFormatting>
  <conditionalFormatting sqref="AI299:AK300">
    <cfRule type="cellIs" dxfId="327" priority="325" operator="equal">
      <formula>"pro"</formula>
    </cfRule>
  </conditionalFormatting>
  <conditionalFormatting sqref="P331:R332">
    <cfRule type="cellIs" dxfId="326" priority="324" operator="equal">
      <formula>"pro"</formula>
    </cfRule>
  </conditionalFormatting>
  <conditionalFormatting sqref="AI331:AK332">
    <cfRule type="cellIs" dxfId="325" priority="323" operator="equal">
      <formula>"pro"</formula>
    </cfRule>
  </conditionalFormatting>
  <conditionalFormatting sqref="P363:R364">
    <cfRule type="cellIs" dxfId="324" priority="322" operator="equal">
      <formula>"pro"</formula>
    </cfRule>
  </conditionalFormatting>
  <conditionalFormatting sqref="AI363:AK364">
    <cfRule type="cellIs" dxfId="323" priority="321" operator="equal">
      <formula>"pro"</formula>
    </cfRule>
  </conditionalFormatting>
  <conditionalFormatting sqref="P395:R396">
    <cfRule type="cellIs" dxfId="322" priority="320" operator="equal">
      <formula>"pro"</formula>
    </cfRule>
  </conditionalFormatting>
  <conditionalFormatting sqref="AI395:AK396">
    <cfRule type="cellIs" dxfId="321" priority="319" operator="equal">
      <formula>"pro"</formula>
    </cfRule>
  </conditionalFormatting>
  <conditionalFormatting sqref="P427:R428">
    <cfRule type="cellIs" dxfId="320" priority="318" operator="equal">
      <formula>"pro"</formula>
    </cfRule>
  </conditionalFormatting>
  <conditionalFormatting sqref="AI427:AK428">
    <cfRule type="cellIs" dxfId="319" priority="317" operator="equal">
      <formula>"pro"</formula>
    </cfRule>
  </conditionalFormatting>
  <conditionalFormatting sqref="P459:R460">
    <cfRule type="cellIs" dxfId="318" priority="316" operator="equal">
      <formula>"pro"</formula>
    </cfRule>
  </conditionalFormatting>
  <conditionalFormatting sqref="AI459:AK460">
    <cfRule type="cellIs" dxfId="317" priority="315" operator="equal">
      <formula>"pro"</formula>
    </cfRule>
  </conditionalFormatting>
  <conditionalFormatting sqref="P491:R492">
    <cfRule type="cellIs" dxfId="316" priority="314" operator="equal">
      <formula>"pro"</formula>
    </cfRule>
  </conditionalFormatting>
  <conditionalFormatting sqref="AI491:AK492">
    <cfRule type="cellIs" dxfId="315" priority="313" operator="equal">
      <formula>"pro"</formula>
    </cfRule>
  </conditionalFormatting>
  <conditionalFormatting sqref="P523:R524">
    <cfRule type="cellIs" dxfId="314" priority="312" operator="equal">
      <formula>"pro"</formula>
    </cfRule>
  </conditionalFormatting>
  <conditionalFormatting sqref="AI523:AK524">
    <cfRule type="cellIs" dxfId="313" priority="311" operator="equal">
      <formula>"pro"</formula>
    </cfRule>
  </conditionalFormatting>
  <conditionalFormatting sqref="P555:R556">
    <cfRule type="cellIs" dxfId="312" priority="310" operator="equal">
      <formula>"pro"</formula>
    </cfRule>
  </conditionalFormatting>
  <conditionalFormatting sqref="AI555:AK556">
    <cfRule type="cellIs" dxfId="311" priority="309" operator="equal">
      <formula>"pro"</formula>
    </cfRule>
  </conditionalFormatting>
  <conditionalFormatting sqref="P587:R588">
    <cfRule type="cellIs" dxfId="310" priority="308" operator="equal">
      <formula>"pro"</formula>
    </cfRule>
  </conditionalFormatting>
  <conditionalFormatting sqref="P619:R620">
    <cfRule type="cellIs" dxfId="309" priority="306" operator="equal">
      <formula>"pro"</formula>
    </cfRule>
  </conditionalFormatting>
  <conditionalFormatting sqref="AI619:AK620">
    <cfRule type="cellIs" dxfId="308" priority="305" operator="equal">
      <formula>"pro"</formula>
    </cfRule>
  </conditionalFormatting>
  <conditionalFormatting sqref="P651:R652">
    <cfRule type="cellIs" dxfId="307" priority="304" operator="equal">
      <formula>"pro"</formula>
    </cfRule>
  </conditionalFormatting>
  <conditionalFormatting sqref="AI651:AK652">
    <cfRule type="cellIs" dxfId="306" priority="303" operator="equal">
      <formula>"pro"</formula>
    </cfRule>
  </conditionalFormatting>
  <conditionalFormatting sqref="P715:R716">
    <cfRule type="cellIs" dxfId="305" priority="302" operator="equal">
      <formula>"pro"</formula>
    </cfRule>
  </conditionalFormatting>
  <conditionalFormatting sqref="AI715:AK716">
    <cfRule type="cellIs" dxfId="304" priority="301" operator="equal">
      <formula>"pro"</formula>
    </cfRule>
  </conditionalFormatting>
  <conditionalFormatting sqref="P747:R748">
    <cfRule type="cellIs" dxfId="303" priority="300" operator="equal">
      <formula>"pro"</formula>
    </cfRule>
  </conditionalFormatting>
  <conditionalFormatting sqref="Q142">
    <cfRule type="cellIs" dxfId="302" priority="298" operator="equal">
      <formula>"COACH"</formula>
    </cfRule>
  </conditionalFormatting>
  <conditionalFormatting sqref="Q143">
    <cfRule type="cellIs" dxfId="301" priority="296" operator="equal">
      <formula>"COACH"</formula>
    </cfRule>
  </conditionalFormatting>
  <conditionalFormatting sqref="Q144">
    <cfRule type="cellIs" dxfId="300" priority="295" operator="equal">
      <formula>"COACH"</formula>
    </cfRule>
  </conditionalFormatting>
  <conditionalFormatting sqref="Q145">
    <cfRule type="cellIs" dxfId="299" priority="294" operator="equal">
      <formula>"COACH"</formula>
    </cfRule>
  </conditionalFormatting>
  <conditionalFormatting sqref="AJ142">
    <cfRule type="cellIs" dxfId="298" priority="293" operator="equal">
      <formula>"COACH"</formula>
    </cfRule>
  </conditionalFormatting>
  <conditionalFormatting sqref="AJ143">
    <cfRule type="cellIs" dxfId="297" priority="292" operator="equal">
      <formula>"COACH"</formula>
    </cfRule>
  </conditionalFormatting>
  <conditionalFormatting sqref="AJ144">
    <cfRule type="cellIs" dxfId="296" priority="291" operator="equal">
      <formula>"COACH"</formula>
    </cfRule>
  </conditionalFormatting>
  <conditionalFormatting sqref="AJ145">
    <cfRule type="cellIs" dxfId="295" priority="290" operator="equal">
      <formula>"COACH"</formula>
    </cfRule>
  </conditionalFormatting>
  <conditionalFormatting sqref="Q14">
    <cfRule type="cellIs" dxfId="294" priority="289" operator="equal">
      <formula>"COACH"</formula>
    </cfRule>
  </conditionalFormatting>
  <conditionalFormatting sqref="Q15">
    <cfRule type="cellIs" dxfId="293" priority="288" operator="equal">
      <formula>"COACH"</formula>
    </cfRule>
  </conditionalFormatting>
  <conditionalFormatting sqref="Q16">
    <cfRule type="cellIs" dxfId="292" priority="287" operator="equal">
      <formula>"COACH"</formula>
    </cfRule>
  </conditionalFormatting>
  <conditionalFormatting sqref="Q17">
    <cfRule type="cellIs" dxfId="291" priority="286" operator="equal">
      <formula>"COACH"</formula>
    </cfRule>
  </conditionalFormatting>
  <conditionalFormatting sqref="AJ14">
    <cfRule type="cellIs" dxfId="290" priority="285" operator="equal">
      <formula>"COACH"</formula>
    </cfRule>
  </conditionalFormatting>
  <conditionalFormatting sqref="AJ15">
    <cfRule type="cellIs" dxfId="289" priority="284" operator="equal">
      <formula>"COACH"</formula>
    </cfRule>
  </conditionalFormatting>
  <conditionalFormatting sqref="AJ16">
    <cfRule type="cellIs" dxfId="288" priority="283" operator="equal">
      <formula>"COACH"</formula>
    </cfRule>
  </conditionalFormatting>
  <conditionalFormatting sqref="AJ17">
    <cfRule type="cellIs" dxfId="287" priority="282" operator="equal">
      <formula>"COACH"</formula>
    </cfRule>
  </conditionalFormatting>
  <conditionalFormatting sqref="Q46">
    <cfRule type="cellIs" dxfId="286" priority="281" operator="equal">
      <formula>"COACH"</formula>
    </cfRule>
  </conditionalFormatting>
  <conditionalFormatting sqref="Q47">
    <cfRule type="cellIs" dxfId="285" priority="280" operator="equal">
      <formula>"COACH"</formula>
    </cfRule>
  </conditionalFormatting>
  <conditionalFormatting sqref="Q48">
    <cfRule type="cellIs" dxfId="284" priority="279" operator="equal">
      <formula>"COACH"</formula>
    </cfRule>
  </conditionalFormatting>
  <conditionalFormatting sqref="Q49">
    <cfRule type="cellIs" dxfId="283" priority="278" operator="equal">
      <formula>"COACH"</formula>
    </cfRule>
  </conditionalFormatting>
  <conditionalFormatting sqref="AJ46">
    <cfRule type="cellIs" dxfId="282" priority="277" operator="equal">
      <formula>"COACH"</formula>
    </cfRule>
  </conditionalFormatting>
  <conditionalFormatting sqref="AJ47">
    <cfRule type="cellIs" dxfId="281" priority="276" operator="equal">
      <formula>"COACH"</formula>
    </cfRule>
  </conditionalFormatting>
  <conditionalFormatting sqref="AJ48">
    <cfRule type="cellIs" dxfId="280" priority="275" operator="equal">
      <formula>"COACH"</formula>
    </cfRule>
  </conditionalFormatting>
  <conditionalFormatting sqref="AJ49">
    <cfRule type="cellIs" dxfId="279" priority="274" operator="equal">
      <formula>"COACH"</formula>
    </cfRule>
  </conditionalFormatting>
  <conditionalFormatting sqref="Q78">
    <cfRule type="cellIs" dxfId="278" priority="273" operator="equal">
      <formula>"COACH"</formula>
    </cfRule>
  </conditionalFormatting>
  <conditionalFormatting sqref="Q79">
    <cfRule type="cellIs" dxfId="277" priority="272" operator="equal">
      <formula>"COACH"</formula>
    </cfRule>
  </conditionalFormatting>
  <conditionalFormatting sqref="Q80">
    <cfRule type="cellIs" dxfId="276" priority="271" operator="equal">
      <formula>"COACH"</formula>
    </cfRule>
  </conditionalFormatting>
  <conditionalFormatting sqref="Q81">
    <cfRule type="cellIs" dxfId="275" priority="270" operator="equal">
      <formula>"COACH"</formula>
    </cfRule>
  </conditionalFormatting>
  <conditionalFormatting sqref="AJ78">
    <cfRule type="cellIs" dxfId="274" priority="269" operator="equal">
      <formula>"COACH"</formula>
    </cfRule>
  </conditionalFormatting>
  <conditionalFormatting sqref="AJ79">
    <cfRule type="cellIs" dxfId="273" priority="268" operator="equal">
      <formula>"COACH"</formula>
    </cfRule>
  </conditionalFormatting>
  <conditionalFormatting sqref="AJ80">
    <cfRule type="cellIs" dxfId="272" priority="267" operator="equal">
      <formula>"COACH"</formula>
    </cfRule>
  </conditionalFormatting>
  <conditionalFormatting sqref="AJ81">
    <cfRule type="cellIs" dxfId="271" priority="266" operator="equal">
      <formula>"COACH"</formula>
    </cfRule>
  </conditionalFormatting>
  <conditionalFormatting sqref="Q110">
    <cfRule type="cellIs" dxfId="270" priority="265" operator="equal">
      <formula>"COACH"</formula>
    </cfRule>
  </conditionalFormatting>
  <conditionalFormatting sqref="Q111">
    <cfRule type="cellIs" dxfId="269" priority="264" operator="equal">
      <formula>"COACH"</formula>
    </cfRule>
  </conditionalFormatting>
  <conditionalFormatting sqref="Q112">
    <cfRule type="cellIs" dxfId="268" priority="263" operator="equal">
      <formula>"COACH"</formula>
    </cfRule>
  </conditionalFormatting>
  <conditionalFormatting sqref="Q113">
    <cfRule type="cellIs" dxfId="267" priority="262" operator="equal">
      <formula>"COACH"</formula>
    </cfRule>
  </conditionalFormatting>
  <conditionalFormatting sqref="AJ110">
    <cfRule type="cellIs" dxfId="266" priority="261" operator="equal">
      <formula>"COACH"</formula>
    </cfRule>
  </conditionalFormatting>
  <conditionalFormatting sqref="AJ111">
    <cfRule type="cellIs" dxfId="265" priority="260" operator="equal">
      <formula>"COACH"</formula>
    </cfRule>
  </conditionalFormatting>
  <conditionalFormatting sqref="AJ112">
    <cfRule type="cellIs" dxfId="264" priority="259" operator="equal">
      <formula>"COACH"</formula>
    </cfRule>
  </conditionalFormatting>
  <conditionalFormatting sqref="AJ113">
    <cfRule type="cellIs" dxfId="263" priority="258" operator="equal">
      <formula>"COACH"</formula>
    </cfRule>
  </conditionalFormatting>
  <conditionalFormatting sqref="Q174">
    <cfRule type="cellIs" dxfId="262" priority="257" operator="equal">
      <formula>"COACH"</formula>
    </cfRule>
  </conditionalFormatting>
  <conditionalFormatting sqref="Q175">
    <cfRule type="cellIs" dxfId="261" priority="256" operator="equal">
      <formula>"COACH"</formula>
    </cfRule>
  </conditionalFormatting>
  <conditionalFormatting sqref="Q176">
    <cfRule type="cellIs" dxfId="260" priority="255" operator="equal">
      <formula>"COACH"</formula>
    </cfRule>
  </conditionalFormatting>
  <conditionalFormatting sqref="Q177">
    <cfRule type="cellIs" dxfId="259" priority="254" operator="equal">
      <formula>"COACH"</formula>
    </cfRule>
  </conditionalFormatting>
  <conditionalFormatting sqref="AJ174">
    <cfRule type="cellIs" dxfId="258" priority="253" operator="equal">
      <formula>"COACH"</formula>
    </cfRule>
  </conditionalFormatting>
  <conditionalFormatting sqref="AJ175">
    <cfRule type="cellIs" dxfId="257" priority="252" operator="equal">
      <formula>"COACH"</formula>
    </cfRule>
  </conditionalFormatting>
  <conditionalFormatting sqref="AJ176">
    <cfRule type="cellIs" dxfId="256" priority="251" operator="equal">
      <formula>"COACH"</formula>
    </cfRule>
  </conditionalFormatting>
  <conditionalFormatting sqref="AJ177">
    <cfRule type="cellIs" dxfId="255" priority="250" operator="equal">
      <formula>"COACH"</formula>
    </cfRule>
  </conditionalFormatting>
  <conditionalFormatting sqref="Q206">
    <cfRule type="cellIs" dxfId="254" priority="249" operator="equal">
      <formula>"COACH"</formula>
    </cfRule>
  </conditionalFormatting>
  <conditionalFormatting sqref="Q207">
    <cfRule type="cellIs" dxfId="253" priority="248" operator="equal">
      <formula>"COACH"</formula>
    </cfRule>
  </conditionalFormatting>
  <conditionalFormatting sqref="Q208">
    <cfRule type="cellIs" dxfId="252" priority="247" operator="equal">
      <formula>"COACH"</formula>
    </cfRule>
  </conditionalFormatting>
  <conditionalFormatting sqref="Q209">
    <cfRule type="cellIs" dxfId="251" priority="246" operator="equal">
      <formula>"COACH"</formula>
    </cfRule>
  </conditionalFormatting>
  <conditionalFormatting sqref="AJ206">
    <cfRule type="cellIs" dxfId="250" priority="245" operator="equal">
      <formula>"COACH"</formula>
    </cfRule>
  </conditionalFormatting>
  <conditionalFormatting sqref="AJ207">
    <cfRule type="cellIs" dxfId="249" priority="244" operator="equal">
      <formula>"COACH"</formula>
    </cfRule>
  </conditionalFormatting>
  <conditionalFormatting sqref="AJ208">
    <cfRule type="cellIs" dxfId="248" priority="243" operator="equal">
      <formula>"COACH"</formula>
    </cfRule>
  </conditionalFormatting>
  <conditionalFormatting sqref="AJ209">
    <cfRule type="cellIs" dxfId="247" priority="242" operator="equal">
      <formula>"COACH"</formula>
    </cfRule>
  </conditionalFormatting>
  <conditionalFormatting sqref="Q238">
    <cfRule type="cellIs" dxfId="246" priority="241" operator="equal">
      <formula>"COACH"</formula>
    </cfRule>
  </conditionalFormatting>
  <conditionalFormatting sqref="Q239">
    <cfRule type="cellIs" dxfId="245" priority="240" operator="equal">
      <formula>"COACH"</formula>
    </cfRule>
  </conditionalFormatting>
  <conditionalFormatting sqref="Q240">
    <cfRule type="cellIs" dxfId="244" priority="239" operator="equal">
      <formula>"COACH"</formula>
    </cfRule>
  </conditionalFormatting>
  <conditionalFormatting sqref="Q241">
    <cfRule type="cellIs" dxfId="243" priority="238" operator="equal">
      <formula>"COACH"</formula>
    </cfRule>
  </conditionalFormatting>
  <conditionalFormatting sqref="AJ238">
    <cfRule type="cellIs" dxfId="242" priority="237" operator="equal">
      <formula>"COACH"</formula>
    </cfRule>
  </conditionalFormatting>
  <conditionalFormatting sqref="AJ239">
    <cfRule type="cellIs" dxfId="241" priority="236" operator="equal">
      <formula>"COACH"</formula>
    </cfRule>
  </conditionalFormatting>
  <conditionalFormatting sqref="AJ240">
    <cfRule type="cellIs" dxfId="240" priority="235" operator="equal">
      <formula>"COACH"</formula>
    </cfRule>
  </conditionalFormatting>
  <conditionalFormatting sqref="AJ241">
    <cfRule type="cellIs" dxfId="239" priority="234" operator="equal">
      <formula>"COACH"</formula>
    </cfRule>
  </conditionalFormatting>
  <conditionalFormatting sqref="Q270">
    <cfRule type="cellIs" dxfId="238" priority="233" operator="equal">
      <formula>"COACH"</formula>
    </cfRule>
  </conditionalFormatting>
  <conditionalFormatting sqref="Q271">
    <cfRule type="cellIs" dxfId="237" priority="232" operator="equal">
      <formula>"COACH"</formula>
    </cfRule>
  </conditionalFormatting>
  <conditionalFormatting sqref="Q272">
    <cfRule type="cellIs" dxfId="236" priority="231" operator="equal">
      <formula>"COACH"</formula>
    </cfRule>
  </conditionalFormatting>
  <conditionalFormatting sqref="Q273">
    <cfRule type="cellIs" dxfId="235" priority="230" operator="equal">
      <formula>"COACH"</formula>
    </cfRule>
  </conditionalFormatting>
  <conditionalFormatting sqref="AJ270">
    <cfRule type="cellIs" dxfId="234" priority="229" operator="equal">
      <formula>"COACH"</formula>
    </cfRule>
  </conditionalFormatting>
  <conditionalFormatting sqref="AJ271">
    <cfRule type="cellIs" dxfId="233" priority="228" operator="equal">
      <formula>"COACH"</formula>
    </cfRule>
  </conditionalFormatting>
  <conditionalFormatting sqref="AJ272">
    <cfRule type="cellIs" dxfId="232" priority="227" operator="equal">
      <formula>"COACH"</formula>
    </cfRule>
  </conditionalFormatting>
  <conditionalFormatting sqref="AJ273">
    <cfRule type="cellIs" dxfId="231" priority="226" operator="equal">
      <formula>"COACH"</formula>
    </cfRule>
  </conditionalFormatting>
  <conditionalFormatting sqref="Q302">
    <cfRule type="cellIs" dxfId="230" priority="225" operator="equal">
      <formula>"COACH"</formula>
    </cfRule>
  </conditionalFormatting>
  <conditionalFormatting sqref="Q303">
    <cfRule type="cellIs" dxfId="229" priority="224" operator="equal">
      <formula>"COACH"</formula>
    </cfRule>
  </conditionalFormatting>
  <conditionalFormatting sqref="Q304">
    <cfRule type="cellIs" dxfId="228" priority="223" operator="equal">
      <formula>"COACH"</formula>
    </cfRule>
  </conditionalFormatting>
  <conditionalFormatting sqref="Q305">
    <cfRule type="cellIs" dxfId="227" priority="222" operator="equal">
      <formula>"COACH"</formula>
    </cfRule>
  </conditionalFormatting>
  <conditionalFormatting sqref="AJ302">
    <cfRule type="cellIs" dxfId="226" priority="221" operator="equal">
      <formula>"COACH"</formula>
    </cfRule>
  </conditionalFormatting>
  <conditionalFormatting sqref="AJ303">
    <cfRule type="cellIs" dxfId="225" priority="220" operator="equal">
      <formula>"COACH"</formula>
    </cfRule>
  </conditionalFormatting>
  <conditionalFormatting sqref="AJ304">
    <cfRule type="cellIs" dxfId="224" priority="219" operator="equal">
      <formula>"COACH"</formula>
    </cfRule>
  </conditionalFormatting>
  <conditionalFormatting sqref="AJ305">
    <cfRule type="cellIs" dxfId="223" priority="218" operator="equal">
      <formula>"COACH"</formula>
    </cfRule>
  </conditionalFormatting>
  <conditionalFormatting sqref="Q334">
    <cfRule type="cellIs" dxfId="222" priority="217" operator="equal">
      <formula>"COACH"</formula>
    </cfRule>
  </conditionalFormatting>
  <conditionalFormatting sqref="Q335">
    <cfRule type="cellIs" dxfId="221" priority="216" operator="equal">
      <formula>"COACH"</formula>
    </cfRule>
  </conditionalFormatting>
  <conditionalFormatting sqref="Q336">
    <cfRule type="cellIs" dxfId="220" priority="215" operator="equal">
      <formula>"COACH"</formula>
    </cfRule>
  </conditionalFormatting>
  <conditionalFormatting sqref="Q337">
    <cfRule type="cellIs" dxfId="219" priority="214" operator="equal">
      <formula>"COACH"</formula>
    </cfRule>
  </conditionalFormatting>
  <conditionalFormatting sqref="AJ334">
    <cfRule type="cellIs" dxfId="218" priority="213" operator="equal">
      <formula>"COACH"</formula>
    </cfRule>
  </conditionalFormatting>
  <conditionalFormatting sqref="AJ335">
    <cfRule type="cellIs" dxfId="217" priority="212" operator="equal">
      <formula>"COACH"</formula>
    </cfRule>
  </conditionalFormatting>
  <conditionalFormatting sqref="AJ336">
    <cfRule type="cellIs" dxfId="216" priority="211" operator="equal">
      <formula>"COACH"</formula>
    </cfRule>
  </conditionalFormatting>
  <conditionalFormatting sqref="AJ337">
    <cfRule type="cellIs" dxfId="215" priority="210" operator="equal">
      <formula>"COACH"</formula>
    </cfRule>
  </conditionalFormatting>
  <conditionalFormatting sqref="Q366">
    <cfRule type="cellIs" dxfId="214" priority="209" operator="equal">
      <formula>"COACH"</formula>
    </cfRule>
  </conditionalFormatting>
  <conditionalFormatting sqref="Q367">
    <cfRule type="cellIs" dxfId="213" priority="208" operator="equal">
      <formula>"COACH"</formula>
    </cfRule>
  </conditionalFormatting>
  <conditionalFormatting sqref="Q368">
    <cfRule type="cellIs" dxfId="212" priority="207" operator="equal">
      <formula>"COACH"</formula>
    </cfRule>
  </conditionalFormatting>
  <conditionalFormatting sqref="Q369">
    <cfRule type="cellIs" dxfId="211" priority="206" operator="equal">
      <formula>"COACH"</formula>
    </cfRule>
  </conditionalFormatting>
  <conditionalFormatting sqref="AJ366">
    <cfRule type="cellIs" dxfId="210" priority="205" operator="equal">
      <formula>"COACH"</formula>
    </cfRule>
  </conditionalFormatting>
  <conditionalFormatting sqref="AJ367">
    <cfRule type="cellIs" dxfId="209" priority="204" operator="equal">
      <formula>"COACH"</formula>
    </cfRule>
  </conditionalFormatting>
  <conditionalFormatting sqref="AJ368">
    <cfRule type="cellIs" dxfId="208" priority="203" operator="equal">
      <formula>"COACH"</formula>
    </cfRule>
  </conditionalFormatting>
  <conditionalFormatting sqref="AJ369">
    <cfRule type="cellIs" dxfId="207" priority="202" operator="equal">
      <formula>"COACH"</formula>
    </cfRule>
  </conditionalFormatting>
  <conditionalFormatting sqref="Q398">
    <cfRule type="cellIs" dxfId="206" priority="201" operator="equal">
      <formula>"COACH"</formula>
    </cfRule>
  </conditionalFormatting>
  <conditionalFormatting sqref="Q399">
    <cfRule type="cellIs" dxfId="205" priority="200" operator="equal">
      <formula>"COACH"</formula>
    </cfRule>
  </conditionalFormatting>
  <conditionalFormatting sqref="Q400">
    <cfRule type="cellIs" dxfId="204" priority="199" operator="equal">
      <formula>"COACH"</formula>
    </cfRule>
  </conditionalFormatting>
  <conditionalFormatting sqref="Q401">
    <cfRule type="cellIs" dxfId="203" priority="198" operator="equal">
      <formula>"COACH"</formula>
    </cfRule>
  </conditionalFormatting>
  <conditionalFormatting sqref="AJ398">
    <cfRule type="cellIs" dxfId="202" priority="197" operator="equal">
      <formula>"COACH"</formula>
    </cfRule>
  </conditionalFormatting>
  <conditionalFormatting sqref="AJ399">
    <cfRule type="cellIs" dxfId="201" priority="196" operator="equal">
      <formula>"COACH"</formula>
    </cfRule>
  </conditionalFormatting>
  <conditionalFormatting sqref="AJ400">
    <cfRule type="cellIs" dxfId="200" priority="195" operator="equal">
      <formula>"COACH"</formula>
    </cfRule>
  </conditionalFormatting>
  <conditionalFormatting sqref="AJ401">
    <cfRule type="cellIs" dxfId="199" priority="194" operator="equal">
      <formula>"COACH"</formula>
    </cfRule>
  </conditionalFormatting>
  <conditionalFormatting sqref="Q430">
    <cfRule type="cellIs" dxfId="198" priority="193" operator="equal">
      <formula>"COACH"</formula>
    </cfRule>
  </conditionalFormatting>
  <conditionalFormatting sqref="Q431">
    <cfRule type="cellIs" dxfId="197" priority="192" operator="equal">
      <formula>"COACH"</formula>
    </cfRule>
  </conditionalFormatting>
  <conditionalFormatting sqref="Q432">
    <cfRule type="cellIs" dxfId="196" priority="191" operator="equal">
      <formula>"COACH"</formula>
    </cfRule>
  </conditionalFormatting>
  <conditionalFormatting sqref="Q433">
    <cfRule type="cellIs" dxfId="195" priority="190" operator="equal">
      <formula>"COACH"</formula>
    </cfRule>
  </conditionalFormatting>
  <conditionalFormatting sqref="AJ430">
    <cfRule type="cellIs" dxfId="194" priority="189" operator="equal">
      <formula>"COACH"</formula>
    </cfRule>
  </conditionalFormatting>
  <conditionalFormatting sqref="AJ431">
    <cfRule type="cellIs" dxfId="193" priority="188" operator="equal">
      <formula>"COACH"</formula>
    </cfRule>
  </conditionalFormatting>
  <conditionalFormatting sqref="AJ432">
    <cfRule type="cellIs" dxfId="192" priority="187" operator="equal">
      <formula>"COACH"</formula>
    </cfRule>
  </conditionalFormatting>
  <conditionalFormatting sqref="AJ433">
    <cfRule type="cellIs" dxfId="191" priority="186" operator="equal">
      <formula>"COACH"</formula>
    </cfRule>
  </conditionalFormatting>
  <conditionalFormatting sqref="Q462">
    <cfRule type="cellIs" dxfId="190" priority="185" operator="equal">
      <formula>"COACH"</formula>
    </cfRule>
  </conditionalFormatting>
  <conditionalFormatting sqref="Q463">
    <cfRule type="cellIs" dxfId="189" priority="184" operator="equal">
      <formula>"COACH"</formula>
    </cfRule>
  </conditionalFormatting>
  <conditionalFormatting sqref="Q464">
    <cfRule type="cellIs" dxfId="188" priority="183" operator="equal">
      <formula>"COACH"</formula>
    </cfRule>
  </conditionalFormatting>
  <conditionalFormatting sqref="Q465">
    <cfRule type="cellIs" dxfId="187" priority="182" operator="equal">
      <formula>"COACH"</formula>
    </cfRule>
  </conditionalFormatting>
  <conditionalFormatting sqref="AJ462">
    <cfRule type="cellIs" dxfId="186" priority="181" operator="equal">
      <formula>"COACH"</formula>
    </cfRule>
  </conditionalFormatting>
  <conditionalFormatting sqref="AJ463">
    <cfRule type="cellIs" dxfId="185" priority="180" operator="equal">
      <formula>"COACH"</formula>
    </cfRule>
  </conditionalFormatting>
  <conditionalFormatting sqref="AJ464">
    <cfRule type="cellIs" dxfId="184" priority="179" operator="equal">
      <formula>"COACH"</formula>
    </cfRule>
  </conditionalFormatting>
  <conditionalFormatting sqref="AJ465">
    <cfRule type="cellIs" dxfId="183" priority="178" operator="equal">
      <formula>"COACH"</formula>
    </cfRule>
  </conditionalFormatting>
  <conditionalFormatting sqref="Q494">
    <cfRule type="cellIs" dxfId="182" priority="177" operator="equal">
      <formula>"COACH"</formula>
    </cfRule>
  </conditionalFormatting>
  <conditionalFormatting sqref="Q495">
    <cfRule type="cellIs" dxfId="181" priority="176" operator="equal">
      <formula>"COACH"</formula>
    </cfRule>
  </conditionalFormatting>
  <conditionalFormatting sqref="Q496">
    <cfRule type="cellIs" dxfId="180" priority="175" operator="equal">
      <formula>"COACH"</formula>
    </cfRule>
  </conditionalFormatting>
  <conditionalFormatting sqref="Q497">
    <cfRule type="cellIs" dxfId="179" priority="174" operator="equal">
      <formula>"COACH"</formula>
    </cfRule>
  </conditionalFormatting>
  <conditionalFormatting sqref="AJ494">
    <cfRule type="cellIs" dxfId="178" priority="173" operator="equal">
      <formula>"COACH"</formula>
    </cfRule>
  </conditionalFormatting>
  <conditionalFormatting sqref="AJ495">
    <cfRule type="cellIs" dxfId="177" priority="172" operator="equal">
      <formula>"COACH"</formula>
    </cfRule>
  </conditionalFormatting>
  <conditionalFormatting sqref="AJ496">
    <cfRule type="cellIs" dxfId="176" priority="171" operator="equal">
      <formula>"COACH"</formula>
    </cfRule>
  </conditionalFormatting>
  <conditionalFormatting sqref="AJ497">
    <cfRule type="cellIs" dxfId="175" priority="170" operator="equal">
      <formula>"COACH"</formula>
    </cfRule>
  </conditionalFormatting>
  <conditionalFormatting sqref="Q526">
    <cfRule type="cellIs" dxfId="174" priority="169" operator="equal">
      <formula>"COACH"</formula>
    </cfRule>
  </conditionalFormatting>
  <conditionalFormatting sqref="Q527">
    <cfRule type="cellIs" dxfId="173" priority="168" operator="equal">
      <formula>"COACH"</formula>
    </cfRule>
  </conditionalFormatting>
  <conditionalFormatting sqref="Q528">
    <cfRule type="cellIs" dxfId="172" priority="167" operator="equal">
      <formula>"COACH"</formula>
    </cfRule>
  </conditionalFormatting>
  <conditionalFormatting sqref="Q529">
    <cfRule type="cellIs" dxfId="171" priority="166" operator="equal">
      <formula>"COACH"</formula>
    </cfRule>
  </conditionalFormatting>
  <conditionalFormatting sqref="AJ526">
    <cfRule type="cellIs" dxfId="170" priority="165" operator="equal">
      <formula>"COACH"</formula>
    </cfRule>
  </conditionalFormatting>
  <conditionalFormatting sqref="AJ527">
    <cfRule type="cellIs" dxfId="169" priority="164" operator="equal">
      <formula>"COACH"</formula>
    </cfRule>
  </conditionalFormatting>
  <conditionalFormatting sqref="AJ528">
    <cfRule type="cellIs" dxfId="168" priority="163" operator="equal">
      <formula>"COACH"</formula>
    </cfRule>
  </conditionalFormatting>
  <conditionalFormatting sqref="AJ529">
    <cfRule type="cellIs" dxfId="167" priority="162" operator="equal">
      <formula>"COACH"</formula>
    </cfRule>
  </conditionalFormatting>
  <conditionalFormatting sqref="Q558">
    <cfRule type="cellIs" dxfId="166" priority="161" operator="equal">
      <formula>"COACH"</formula>
    </cfRule>
  </conditionalFormatting>
  <conditionalFormatting sqref="Q559">
    <cfRule type="cellIs" dxfId="165" priority="160" operator="equal">
      <formula>"COACH"</formula>
    </cfRule>
  </conditionalFormatting>
  <conditionalFormatting sqref="Q560">
    <cfRule type="cellIs" dxfId="164" priority="159" operator="equal">
      <formula>"COACH"</formula>
    </cfRule>
  </conditionalFormatting>
  <conditionalFormatting sqref="Q561">
    <cfRule type="cellIs" dxfId="163" priority="158" operator="equal">
      <formula>"COACH"</formula>
    </cfRule>
  </conditionalFormatting>
  <conditionalFormatting sqref="AJ558">
    <cfRule type="cellIs" dxfId="162" priority="157" operator="equal">
      <formula>"COACH"</formula>
    </cfRule>
  </conditionalFormatting>
  <conditionalFormatting sqref="AJ559">
    <cfRule type="cellIs" dxfId="161" priority="156" operator="equal">
      <formula>"COACH"</formula>
    </cfRule>
  </conditionalFormatting>
  <conditionalFormatting sqref="AJ560">
    <cfRule type="cellIs" dxfId="160" priority="155" operator="equal">
      <formula>"COACH"</formula>
    </cfRule>
  </conditionalFormatting>
  <conditionalFormatting sqref="AJ561">
    <cfRule type="cellIs" dxfId="159" priority="154" operator="equal">
      <formula>"COACH"</formula>
    </cfRule>
  </conditionalFormatting>
  <conditionalFormatting sqref="Q590">
    <cfRule type="cellIs" dxfId="158" priority="153" operator="equal">
      <formula>"COACH"</formula>
    </cfRule>
  </conditionalFormatting>
  <conditionalFormatting sqref="Q591">
    <cfRule type="cellIs" dxfId="157" priority="152" operator="equal">
      <formula>"COACH"</formula>
    </cfRule>
  </conditionalFormatting>
  <conditionalFormatting sqref="Q592">
    <cfRule type="cellIs" dxfId="156" priority="151" operator="equal">
      <formula>"COACH"</formula>
    </cfRule>
  </conditionalFormatting>
  <conditionalFormatting sqref="Q593">
    <cfRule type="cellIs" dxfId="155" priority="150" operator="equal">
      <formula>"COACH"</formula>
    </cfRule>
  </conditionalFormatting>
  <conditionalFormatting sqref="AJ590">
    <cfRule type="cellIs" dxfId="154" priority="149" operator="equal">
      <formula>"COACH"</formula>
    </cfRule>
  </conditionalFormatting>
  <conditionalFormatting sqref="AJ591">
    <cfRule type="cellIs" dxfId="153" priority="148" operator="equal">
      <formula>"COACH"</formula>
    </cfRule>
  </conditionalFormatting>
  <conditionalFormatting sqref="AJ592">
    <cfRule type="cellIs" dxfId="152" priority="147" operator="equal">
      <formula>"COACH"</formula>
    </cfRule>
  </conditionalFormatting>
  <conditionalFormatting sqref="AJ593">
    <cfRule type="cellIs" dxfId="151" priority="146" operator="equal">
      <formula>"COACH"</formula>
    </cfRule>
  </conditionalFormatting>
  <conditionalFormatting sqref="Q622">
    <cfRule type="cellIs" dxfId="150" priority="145" operator="equal">
      <formula>"COACH"</formula>
    </cfRule>
  </conditionalFormatting>
  <conditionalFormatting sqref="Q623">
    <cfRule type="cellIs" dxfId="149" priority="144" operator="equal">
      <formula>"COACH"</formula>
    </cfRule>
  </conditionalFormatting>
  <conditionalFormatting sqref="Q624">
    <cfRule type="cellIs" dxfId="148" priority="143" operator="equal">
      <formula>"COACH"</formula>
    </cfRule>
  </conditionalFormatting>
  <conditionalFormatting sqref="Q625">
    <cfRule type="cellIs" dxfId="147" priority="142" operator="equal">
      <formula>"COACH"</formula>
    </cfRule>
  </conditionalFormatting>
  <conditionalFormatting sqref="AJ622">
    <cfRule type="cellIs" dxfId="146" priority="141" operator="equal">
      <formula>"COACH"</formula>
    </cfRule>
  </conditionalFormatting>
  <conditionalFormatting sqref="AJ623">
    <cfRule type="cellIs" dxfId="145" priority="140" operator="equal">
      <formula>"COACH"</formula>
    </cfRule>
  </conditionalFormatting>
  <conditionalFormatting sqref="AJ624">
    <cfRule type="cellIs" dxfId="144" priority="139" operator="equal">
      <formula>"COACH"</formula>
    </cfRule>
  </conditionalFormatting>
  <conditionalFormatting sqref="AJ625">
    <cfRule type="cellIs" dxfId="143" priority="138" operator="equal">
      <formula>"COACH"</formula>
    </cfRule>
  </conditionalFormatting>
  <conditionalFormatting sqref="Q654">
    <cfRule type="cellIs" dxfId="142" priority="137" operator="equal">
      <formula>"COACH"</formula>
    </cfRule>
  </conditionalFormatting>
  <conditionalFormatting sqref="Q655">
    <cfRule type="cellIs" dxfId="141" priority="136" operator="equal">
      <formula>"COACH"</formula>
    </cfRule>
  </conditionalFormatting>
  <conditionalFormatting sqref="Q656">
    <cfRule type="cellIs" dxfId="140" priority="135" operator="equal">
      <formula>"COACH"</formula>
    </cfRule>
  </conditionalFormatting>
  <conditionalFormatting sqref="Q657">
    <cfRule type="cellIs" dxfId="139" priority="134" operator="equal">
      <formula>"COACH"</formula>
    </cfRule>
  </conditionalFormatting>
  <conditionalFormatting sqref="AJ654">
    <cfRule type="cellIs" dxfId="138" priority="133" operator="equal">
      <formula>"COACH"</formula>
    </cfRule>
  </conditionalFormatting>
  <conditionalFormatting sqref="AJ655">
    <cfRule type="cellIs" dxfId="137" priority="132" operator="equal">
      <formula>"COACH"</formula>
    </cfRule>
  </conditionalFormatting>
  <conditionalFormatting sqref="AJ656">
    <cfRule type="cellIs" dxfId="136" priority="131" operator="equal">
      <formula>"COACH"</formula>
    </cfRule>
  </conditionalFormatting>
  <conditionalFormatting sqref="AJ657">
    <cfRule type="cellIs" dxfId="135" priority="130" operator="equal">
      <formula>"COACH"</formula>
    </cfRule>
  </conditionalFormatting>
  <conditionalFormatting sqref="Q686">
    <cfRule type="cellIs" dxfId="134" priority="129" operator="equal">
      <formula>"COACH"</formula>
    </cfRule>
  </conditionalFormatting>
  <conditionalFormatting sqref="Q687">
    <cfRule type="cellIs" dxfId="133" priority="128" operator="equal">
      <formula>"COACH"</formula>
    </cfRule>
  </conditionalFormatting>
  <conditionalFormatting sqref="Q688">
    <cfRule type="cellIs" dxfId="132" priority="127" operator="equal">
      <formula>"COACH"</formula>
    </cfRule>
  </conditionalFormatting>
  <conditionalFormatting sqref="Q689">
    <cfRule type="cellIs" dxfId="131" priority="126" operator="equal">
      <formula>"COACH"</formula>
    </cfRule>
  </conditionalFormatting>
  <conditionalFormatting sqref="AJ686">
    <cfRule type="cellIs" dxfId="130" priority="125" operator="equal">
      <formula>"COACH"</formula>
    </cfRule>
  </conditionalFormatting>
  <conditionalFormatting sqref="AJ687">
    <cfRule type="cellIs" dxfId="129" priority="124" operator="equal">
      <formula>"COACH"</formula>
    </cfRule>
  </conditionalFormatting>
  <conditionalFormatting sqref="AJ688">
    <cfRule type="cellIs" dxfId="128" priority="123" operator="equal">
      <formula>"COACH"</formula>
    </cfRule>
  </conditionalFormatting>
  <conditionalFormatting sqref="AJ689">
    <cfRule type="cellIs" dxfId="127" priority="122" operator="equal">
      <formula>"COACH"</formula>
    </cfRule>
  </conditionalFormatting>
  <conditionalFormatting sqref="Q718">
    <cfRule type="cellIs" dxfId="126" priority="121" operator="equal">
      <formula>"COACH"</formula>
    </cfRule>
  </conditionalFormatting>
  <conditionalFormatting sqref="Q719">
    <cfRule type="cellIs" dxfId="125" priority="120" operator="equal">
      <formula>"COACH"</formula>
    </cfRule>
  </conditionalFormatting>
  <conditionalFormatting sqref="Q720">
    <cfRule type="cellIs" dxfId="124" priority="119" operator="equal">
      <formula>"COACH"</formula>
    </cfRule>
  </conditionalFormatting>
  <conditionalFormatting sqref="Q721">
    <cfRule type="cellIs" dxfId="123" priority="118" operator="equal">
      <formula>"COACH"</formula>
    </cfRule>
  </conditionalFormatting>
  <conditionalFormatting sqref="AJ718">
    <cfRule type="cellIs" dxfId="122" priority="117" operator="equal">
      <formula>"COACH"</formula>
    </cfRule>
  </conditionalFormatting>
  <conditionalFormatting sqref="AJ719">
    <cfRule type="cellIs" dxfId="121" priority="116" operator="equal">
      <formula>"COACH"</formula>
    </cfRule>
  </conditionalFormatting>
  <conditionalFormatting sqref="AJ720">
    <cfRule type="cellIs" dxfId="120" priority="115" operator="equal">
      <formula>"COACH"</formula>
    </cfRule>
  </conditionalFormatting>
  <conditionalFormatting sqref="AJ721">
    <cfRule type="cellIs" dxfId="119" priority="114" operator="equal">
      <formula>"COACH"</formula>
    </cfRule>
  </conditionalFormatting>
  <conditionalFormatting sqref="Q750">
    <cfRule type="cellIs" dxfId="118" priority="113" operator="equal">
      <formula>"COACH"</formula>
    </cfRule>
  </conditionalFormatting>
  <conditionalFormatting sqref="Q751">
    <cfRule type="cellIs" dxfId="117" priority="112" operator="equal">
      <formula>"COACH"</formula>
    </cfRule>
  </conditionalFormatting>
  <conditionalFormatting sqref="Q752">
    <cfRule type="cellIs" dxfId="116" priority="111" operator="equal">
      <formula>"COACH"</formula>
    </cfRule>
  </conditionalFormatting>
  <conditionalFormatting sqref="Q753">
    <cfRule type="cellIs" dxfId="115" priority="110" operator="equal">
      <formula>"COACH"</formula>
    </cfRule>
  </conditionalFormatting>
  <conditionalFormatting sqref="AJ750">
    <cfRule type="cellIs" dxfId="114" priority="109" operator="equal">
      <formula>"COACH"</formula>
    </cfRule>
  </conditionalFormatting>
  <conditionalFormatting sqref="AJ751">
    <cfRule type="cellIs" dxfId="113" priority="108" operator="equal">
      <formula>"COACH"</formula>
    </cfRule>
  </conditionalFormatting>
  <conditionalFormatting sqref="AJ752">
    <cfRule type="cellIs" dxfId="112" priority="107" operator="equal">
      <formula>"COACH"</formula>
    </cfRule>
  </conditionalFormatting>
  <conditionalFormatting sqref="AJ753">
    <cfRule type="cellIs" dxfId="111" priority="106" operator="equal">
      <formula>"COACH"</formula>
    </cfRule>
  </conditionalFormatting>
  <pageMargins left="0.39370078740157483" right="0.39370078740157483" top="0.39370078740157483" bottom="0.39370078740157483" header="0.31496062992125984" footer="0.31496062992125984"/>
  <pageSetup paperSize="9" scale="60" fitToHeight="0" orientation="landscape" r:id="rId1"/>
  <rowBreaks count="23" manualBreakCount="23">
    <brk id="32" max="36" man="1"/>
    <brk id="64" max="36" man="1"/>
    <brk id="96" max="36" man="1"/>
    <brk id="128" max="36" man="1"/>
    <brk id="160" max="36" man="1"/>
    <brk id="192" max="36" man="1"/>
    <brk id="224" max="36" man="1"/>
    <brk id="256" max="36" man="1"/>
    <brk id="288" max="36" man="1"/>
    <brk id="320" max="36" man="1"/>
    <brk id="352" max="36" man="1"/>
    <brk id="384" max="36" man="1"/>
    <brk id="416" max="36" man="1"/>
    <brk id="448" max="36" man="1"/>
    <brk id="480" max="36" man="1"/>
    <brk id="512" max="36" man="1"/>
    <brk id="544" max="36" man="1"/>
    <brk id="576" max="36" man="1"/>
    <brk id="608" max="36" man="1"/>
    <brk id="640" max="36" man="1"/>
    <brk id="672" max="36" man="1"/>
    <brk id="704" max="36" man="1"/>
    <brk id="736" max="36" man="1"/>
  </rowBreaks>
  <drawing r:id="rId2"/>
  <extLst>
    <ext xmlns:x14="http://schemas.microsoft.com/office/spreadsheetml/2009/9/main" uri="{78C0D931-6437-407d-A8EE-F0AAD7539E65}">
      <x14:conditionalFormattings>
        <x14:conditionalFormatting xmlns:xm="http://schemas.microsoft.com/office/excel/2006/main">
          <x14:cfRule type="cellIs" priority="98" operator="lessThan" id="{C5FDD8F6-6E12-4F8C-84CD-50AE8DE27F18}">
            <xm:f>Barèmes!$H$5</xm:f>
            <x14:dxf>
              <fill>
                <patternFill>
                  <bgColor rgb="FFFF0000"/>
                </patternFill>
              </fill>
            </x14:dxf>
          </x14:cfRule>
          <xm:sqref>N49:O49</xm:sqref>
        </x14:conditionalFormatting>
        <x14:conditionalFormatting xmlns:xm="http://schemas.microsoft.com/office/excel/2006/main">
          <x14:cfRule type="cellIs" priority="95" operator="lessThan" id="{E826B68F-186D-4996-B099-61EF17A71806}">
            <xm:f>Barèmes!$H$5</xm:f>
            <x14:dxf>
              <fill>
                <patternFill>
                  <bgColor rgb="FFFF0000"/>
                </patternFill>
              </fill>
            </x14:dxf>
          </x14:cfRule>
          <xm:sqref>N46:O48</xm:sqref>
        </x14:conditionalFormatting>
        <x14:conditionalFormatting xmlns:xm="http://schemas.microsoft.com/office/excel/2006/main">
          <x14:cfRule type="cellIs" priority="94" operator="lessThan" id="{13294781-81B2-4D56-843A-40F13BC4EEC5}">
            <xm:f>Barèmes!$H$5</xm:f>
            <x14:dxf>
              <fill>
                <patternFill>
                  <bgColor rgb="FFFF0000"/>
                </patternFill>
              </fill>
            </x14:dxf>
          </x14:cfRule>
          <xm:sqref>AG49:AH49</xm:sqref>
        </x14:conditionalFormatting>
        <x14:conditionalFormatting xmlns:xm="http://schemas.microsoft.com/office/excel/2006/main">
          <x14:cfRule type="cellIs" priority="93" operator="lessThan" id="{9656B284-97B5-4E4C-B5D6-A578AB0C9CD8}">
            <xm:f>Barèmes!$H$5</xm:f>
            <x14:dxf>
              <fill>
                <patternFill>
                  <bgColor rgb="FFFF0000"/>
                </patternFill>
              </fill>
            </x14:dxf>
          </x14:cfRule>
          <xm:sqref>AG46:AH48</xm:sqref>
        </x14:conditionalFormatting>
        <x14:conditionalFormatting xmlns:xm="http://schemas.microsoft.com/office/excel/2006/main">
          <x14:cfRule type="cellIs" priority="92" operator="lessThan" id="{E122842D-386F-46ED-9187-D2DD50B4EC8B}">
            <xm:f>Barèmes!$H$5</xm:f>
            <x14:dxf>
              <fill>
                <patternFill>
                  <bgColor rgb="FFFF0000"/>
                </patternFill>
              </fill>
            </x14:dxf>
          </x14:cfRule>
          <xm:sqref>N17:O17</xm:sqref>
        </x14:conditionalFormatting>
        <x14:conditionalFormatting xmlns:xm="http://schemas.microsoft.com/office/excel/2006/main">
          <x14:cfRule type="cellIs" priority="91" operator="lessThan" id="{A54F6B89-594B-4047-9F68-659CB165BDA3}">
            <xm:f>Barèmes!$H$5</xm:f>
            <x14:dxf>
              <fill>
                <patternFill>
                  <bgColor rgb="FFFF0000"/>
                </patternFill>
              </fill>
            </x14:dxf>
          </x14:cfRule>
          <xm:sqref>N14:O16</xm:sqref>
        </x14:conditionalFormatting>
        <x14:conditionalFormatting xmlns:xm="http://schemas.microsoft.com/office/excel/2006/main">
          <x14:cfRule type="cellIs" priority="90" operator="lessThan" id="{D81FDCFA-3589-41C4-8432-C9B63ED805F6}">
            <xm:f>Barèmes!$H$5</xm:f>
            <x14:dxf>
              <fill>
                <patternFill>
                  <bgColor rgb="FFFF0000"/>
                </patternFill>
              </fill>
            </x14:dxf>
          </x14:cfRule>
          <xm:sqref>AG17:AH17</xm:sqref>
        </x14:conditionalFormatting>
        <x14:conditionalFormatting xmlns:xm="http://schemas.microsoft.com/office/excel/2006/main">
          <x14:cfRule type="cellIs" priority="89" operator="lessThan" id="{25EA1ACE-9754-48CB-8861-30929139CCB8}">
            <xm:f>Barèmes!$H$5</xm:f>
            <x14:dxf>
              <fill>
                <patternFill>
                  <bgColor rgb="FFFF0000"/>
                </patternFill>
              </fill>
            </x14:dxf>
          </x14:cfRule>
          <xm:sqref>AG14:AH16</xm:sqref>
        </x14:conditionalFormatting>
        <x14:conditionalFormatting xmlns:xm="http://schemas.microsoft.com/office/excel/2006/main">
          <x14:cfRule type="cellIs" priority="88" operator="lessThan" id="{94220BED-7709-43A7-AA72-445C542FB11F}">
            <xm:f>Barèmes!$H$5</xm:f>
            <x14:dxf>
              <fill>
                <patternFill>
                  <bgColor rgb="FFFF0000"/>
                </patternFill>
              </fill>
            </x14:dxf>
          </x14:cfRule>
          <xm:sqref>N81:O81</xm:sqref>
        </x14:conditionalFormatting>
        <x14:conditionalFormatting xmlns:xm="http://schemas.microsoft.com/office/excel/2006/main">
          <x14:cfRule type="cellIs" priority="87" operator="lessThan" id="{CEC58E5C-7AF7-4385-8F0D-240C4B7294B4}">
            <xm:f>Barèmes!$H$5</xm:f>
            <x14:dxf>
              <fill>
                <patternFill>
                  <bgColor rgb="FFFF0000"/>
                </patternFill>
              </fill>
            </x14:dxf>
          </x14:cfRule>
          <xm:sqref>N78:O80</xm:sqref>
        </x14:conditionalFormatting>
        <x14:conditionalFormatting xmlns:xm="http://schemas.microsoft.com/office/excel/2006/main">
          <x14:cfRule type="cellIs" priority="86" operator="lessThan" id="{591CE6C6-C668-443C-AF1C-7FFCC81456C1}">
            <xm:f>Barèmes!$H$5</xm:f>
            <x14:dxf>
              <fill>
                <patternFill>
                  <bgColor rgb="FFFF0000"/>
                </patternFill>
              </fill>
            </x14:dxf>
          </x14:cfRule>
          <xm:sqref>AG81:AH81</xm:sqref>
        </x14:conditionalFormatting>
        <x14:conditionalFormatting xmlns:xm="http://schemas.microsoft.com/office/excel/2006/main">
          <x14:cfRule type="cellIs" priority="85" operator="lessThan" id="{5AED3B56-A5E2-4BFD-A168-9C008183D34A}">
            <xm:f>Barèmes!$H$5</xm:f>
            <x14:dxf>
              <fill>
                <patternFill>
                  <bgColor rgb="FFFF0000"/>
                </patternFill>
              </fill>
            </x14:dxf>
          </x14:cfRule>
          <xm:sqref>AG78:AH80</xm:sqref>
        </x14:conditionalFormatting>
        <x14:conditionalFormatting xmlns:xm="http://schemas.microsoft.com/office/excel/2006/main">
          <x14:cfRule type="cellIs" priority="84" operator="lessThan" id="{ECEE0D75-40D6-40B0-8C5B-F3823B79FB1F}">
            <xm:f>Barèmes!$H$5</xm:f>
            <x14:dxf>
              <fill>
                <patternFill>
                  <bgColor rgb="FFFF0000"/>
                </patternFill>
              </fill>
            </x14:dxf>
          </x14:cfRule>
          <xm:sqref>AG113:AH113</xm:sqref>
        </x14:conditionalFormatting>
        <x14:conditionalFormatting xmlns:xm="http://schemas.microsoft.com/office/excel/2006/main">
          <x14:cfRule type="cellIs" priority="83" operator="lessThan" id="{5D19FA4E-34B1-4A80-8038-B101E20C9ADB}">
            <xm:f>Barèmes!$H$5</xm:f>
            <x14:dxf>
              <fill>
                <patternFill>
                  <bgColor rgb="FFFF0000"/>
                </patternFill>
              </fill>
            </x14:dxf>
          </x14:cfRule>
          <xm:sqref>AG110:AH112</xm:sqref>
        </x14:conditionalFormatting>
        <x14:conditionalFormatting xmlns:xm="http://schemas.microsoft.com/office/excel/2006/main">
          <x14:cfRule type="cellIs" priority="82" operator="lessThan" id="{4745B149-A67B-4CD6-B4B5-5B49A8F1FBCC}">
            <xm:f>Barèmes!$H$5</xm:f>
            <x14:dxf>
              <fill>
                <patternFill>
                  <bgColor rgb="FFFF0000"/>
                </patternFill>
              </fill>
            </x14:dxf>
          </x14:cfRule>
          <xm:sqref>N113:O113</xm:sqref>
        </x14:conditionalFormatting>
        <x14:conditionalFormatting xmlns:xm="http://schemas.microsoft.com/office/excel/2006/main">
          <x14:cfRule type="cellIs" priority="81" operator="lessThan" id="{0AD4BBBC-C9DF-4408-8B28-57629C614654}">
            <xm:f>Barèmes!$H$5</xm:f>
            <x14:dxf>
              <fill>
                <patternFill>
                  <bgColor rgb="FFFF0000"/>
                </patternFill>
              </fill>
            </x14:dxf>
          </x14:cfRule>
          <xm:sqref>N110:O112</xm:sqref>
        </x14:conditionalFormatting>
        <x14:conditionalFormatting xmlns:xm="http://schemas.microsoft.com/office/excel/2006/main">
          <x14:cfRule type="cellIs" priority="80" operator="lessThan" id="{1AA544F1-9C86-443A-8499-14190E4F1A04}">
            <xm:f>Barèmes!$H$5</xm:f>
            <x14:dxf>
              <fill>
                <patternFill>
                  <bgColor rgb="FFFF0000"/>
                </patternFill>
              </fill>
            </x14:dxf>
          </x14:cfRule>
          <xm:sqref>N145:O145</xm:sqref>
        </x14:conditionalFormatting>
        <x14:conditionalFormatting xmlns:xm="http://schemas.microsoft.com/office/excel/2006/main">
          <x14:cfRule type="cellIs" priority="79" operator="lessThan" id="{0284BCEA-4910-4DDF-9D5D-E5F17BFBC124}">
            <xm:f>Barèmes!$H$5</xm:f>
            <x14:dxf>
              <fill>
                <patternFill>
                  <bgColor rgb="FFFF0000"/>
                </patternFill>
              </fill>
            </x14:dxf>
          </x14:cfRule>
          <xm:sqref>N142:O144</xm:sqref>
        </x14:conditionalFormatting>
        <x14:conditionalFormatting xmlns:xm="http://schemas.microsoft.com/office/excel/2006/main">
          <x14:cfRule type="cellIs" priority="78" operator="lessThan" id="{9446C8DA-71D4-41C0-BE5A-6114A7A102DC}">
            <xm:f>Barèmes!$H$5</xm:f>
            <x14:dxf>
              <fill>
                <patternFill>
                  <bgColor rgb="FFFF0000"/>
                </patternFill>
              </fill>
            </x14:dxf>
          </x14:cfRule>
          <xm:sqref>AG145:AH145</xm:sqref>
        </x14:conditionalFormatting>
        <x14:conditionalFormatting xmlns:xm="http://schemas.microsoft.com/office/excel/2006/main">
          <x14:cfRule type="cellIs" priority="77" operator="lessThan" id="{85578B23-A29E-4450-AE2C-A5FEB4796D00}">
            <xm:f>Barèmes!$H$5</xm:f>
            <x14:dxf>
              <fill>
                <patternFill>
                  <bgColor rgb="FFFF0000"/>
                </patternFill>
              </fill>
            </x14:dxf>
          </x14:cfRule>
          <xm:sqref>AG142:AH144</xm:sqref>
        </x14:conditionalFormatting>
        <x14:conditionalFormatting xmlns:xm="http://schemas.microsoft.com/office/excel/2006/main">
          <x14:cfRule type="cellIs" priority="76" operator="lessThan" id="{BE15D447-4AAC-41A5-BE7E-D5554D276237}">
            <xm:f>Barèmes!$H$5</xm:f>
            <x14:dxf>
              <fill>
                <patternFill>
                  <bgColor rgb="FFFF0000"/>
                </patternFill>
              </fill>
            </x14:dxf>
          </x14:cfRule>
          <xm:sqref>N177:O177</xm:sqref>
        </x14:conditionalFormatting>
        <x14:conditionalFormatting xmlns:xm="http://schemas.microsoft.com/office/excel/2006/main">
          <x14:cfRule type="cellIs" priority="75" operator="lessThan" id="{01F368BD-9F46-4E7B-9E40-10FCBDD9D214}">
            <xm:f>Barèmes!$H$5</xm:f>
            <x14:dxf>
              <fill>
                <patternFill>
                  <bgColor rgb="FFFF0000"/>
                </patternFill>
              </fill>
            </x14:dxf>
          </x14:cfRule>
          <xm:sqref>N174:O176</xm:sqref>
        </x14:conditionalFormatting>
        <x14:conditionalFormatting xmlns:xm="http://schemas.microsoft.com/office/excel/2006/main">
          <x14:cfRule type="cellIs" priority="74" operator="lessThan" id="{065CC629-A51D-4B58-AC77-81B4769D5AF2}">
            <xm:f>Barèmes!$H$5</xm:f>
            <x14:dxf>
              <fill>
                <patternFill>
                  <bgColor rgb="FFFF0000"/>
                </patternFill>
              </fill>
            </x14:dxf>
          </x14:cfRule>
          <xm:sqref>AG177:AH177</xm:sqref>
        </x14:conditionalFormatting>
        <x14:conditionalFormatting xmlns:xm="http://schemas.microsoft.com/office/excel/2006/main">
          <x14:cfRule type="cellIs" priority="73" operator="lessThan" id="{B2B66D73-8DF4-471C-8FF6-2A7B9FE96EE6}">
            <xm:f>Barèmes!$H$5</xm:f>
            <x14:dxf>
              <fill>
                <patternFill>
                  <bgColor rgb="FFFF0000"/>
                </patternFill>
              </fill>
            </x14:dxf>
          </x14:cfRule>
          <xm:sqref>AG174:AH176</xm:sqref>
        </x14:conditionalFormatting>
        <x14:conditionalFormatting xmlns:xm="http://schemas.microsoft.com/office/excel/2006/main">
          <x14:cfRule type="cellIs" priority="72" operator="lessThan" id="{68554202-E924-4B26-9D95-F85B14660931}">
            <xm:f>Barèmes!$H$5</xm:f>
            <x14:dxf>
              <fill>
                <patternFill>
                  <bgColor rgb="FFFF0000"/>
                </patternFill>
              </fill>
            </x14:dxf>
          </x14:cfRule>
          <xm:sqref>N209:O209</xm:sqref>
        </x14:conditionalFormatting>
        <x14:conditionalFormatting xmlns:xm="http://schemas.microsoft.com/office/excel/2006/main">
          <x14:cfRule type="cellIs" priority="71" operator="lessThan" id="{B49A31B6-3325-4AFA-8F83-141D8AE9D851}">
            <xm:f>Barèmes!$H$5</xm:f>
            <x14:dxf>
              <fill>
                <patternFill>
                  <bgColor rgb="FFFF0000"/>
                </patternFill>
              </fill>
            </x14:dxf>
          </x14:cfRule>
          <xm:sqref>N206:O208</xm:sqref>
        </x14:conditionalFormatting>
        <x14:conditionalFormatting xmlns:xm="http://schemas.microsoft.com/office/excel/2006/main">
          <x14:cfRule type="cellIs" priority="70" operator="lessThan" id="{96610D13-FCAA-4E1D-948A-55CFDC4229C3}">
            <xm:f>Barèmes!$H$5</xm:f>
            <x14:dxf>
              <fill>
                <patternFill>
                  <bgColor rgb="FFFF0000"/>
                </patternFill>
              </fill>
            </x14:dxf>
          </x14:cfRule>
          <xm:sqref>AG209:AH209</xm:sqref>
        </x14:conditionalFormatting>
        <x14:conditionalFormatting xmlns:xm="http://schemas.microsoft.com/office/excel/2006/main">
          <x14:cfRule type="cellIs" priority="69" operator="lessThan" id="{D8F4DE23-CA0F-4AE1-856B-D0597C557E04}">
            <xm:f>Barèmes!$H$5</xm:f>
            <x14:dxf>
              <fill>
                <patternFill>
                  <bgColor rgb="FFFF0000"/>
                </patternFill>
              </fill>
            </x14:dxf>
          </x14:cfRule>
          <xm:sqref>AG206:AH208</xm:sqref>
        </x14:conditionalFormatting>
        <x14:conditionalFormatting xmlns:xm="http://schemas.microsoft.com/office/excel/2006/main">
          <x14:cfRule type="cellIs" priority="68" operator="lessThan" id="{5BD808B3-A449-40D5-996F-A4A4051A6ED7}">
            <xm:f>Barèmes!$H$5</xm:f>
            <x14:dxf>
              <fill>
                <patternFill>
                  <bgColor rgb="FFFF0000"/>
                </patternFill>
              </fill>
            </x14:dxf>
          </x14:cfRule>
          <xm:sqref>AG241:AH241</xm:sqref>
        </x14:conditionalFormatting>
        <x14:conditionalFormatting xmlns:xm="http://schemas.microsoft.com/office/excel/2006/main">
          <x14:cfRule type="cellIs" priority="67" operator="lessThan" id="{32F01CFD-C9D6-4C66-94AD-84E5D4861BB9}">
            <xm:f>Barèmes!$H$5</xm:f>
            <x14:dxf>
              <fill>
                <patternFill>
                  <bgColor rgb="FFFF0000"/>
                </patternFill>
              </fill>
            </x14:dxf>
          </x14:cfRule>
          <xm:sqref>AG238:AH240</xm:sqref>
        </x14:conditionalFormatting>
        <x14:conditionalFormatting xmlns:xm="http://schemas.microsoft.com/office/excel/2006/main">
          <x14:cfRule type="cellIs" priority="66" operator="lessThan" id="{E212D8FF-FD08-4D51-8358-5CAA169C2F79}">
            <xm:f>Barèmes!$H$5</xm:f>
            <x14:dxf>
              <fill>
                <patternFill>
                  <bgColor rgb="FFFF0000"/>
                </patternFill>
              </fill>
            </x14:dxf>
          </x14:cfRule>
          <xm:sqref>N241:O241</xm:sqref>
        </x14:conditionalFormatting>
        <x14:conditionalFormatting xmlns:xm="http://schemas.microsoft.com/office/excel/2006/main">
          <x14:cfRule type="cellIs" priority="65" operator="lessThan" id="{05C1CA36-D8CA-4642-88DC-389F03891E83}">
            <xm:f>Barèmes!$H$5</xm:f>
            <x14:dxf>
              <fill>
                <patternFill>
                  <bgColor rgb="FFFF0000"/>
                </patternFill>
              </fill>
            </x14:dxf>
          </x14:cfRule>
          <xm:sqref>N238:O240</xm:sqref>
        </x14:conditionalFormatting>
        <x14:conditionalFormatting xmlns:xm="http://schemas.microsoft.com/office/excel/2006/main">
          <x14:cfRule type="cellIs" priority="64" operator="lessThan" id="{D29A6614-81B6-410B-8941-F6D2D6E7458F}">
            <xm:f>Barèmes!$H$5</xm:f>
            <x14:dxf>
              <fill>
                <patternFill>
                  <bgColor rgb="FFFF0000"/>
                </patternFill>
              </fill>
            </x14:dxf>
          </x14:cfRule>
          <xm:sqref>N273:O273</xm:sqref>
        </x14:conditionalFormatting>
        <x14:conditionalFormatting xmlns:xm="http://schemas.microsoft.com/office/excel/2006/main">
          <x14:cfRule type="cellIs" priority="63" operator="lessThan" id="{1A0B9BD2-0996-402B-B92A-AA7C3C1B767D}">
            <xm:f>Barèmes!$H$5</xm:f>
            <x14:dxf>
              <fill>
                <patternFill>
                  <bgColor rgb="FFFF0000"/>
                </patternFill>
              </fill>
            </x14:dxf>
          </x14:cfRule>
          <xm:sqref>N270:O272</xm:sqref>
        </x14:conditionalFormatting>
        <x14:conditionalFormatting xmlns:xm="http://schemas.microsoft.com/office/excel/2006/main">
          <x14:cfRule type="cellIs" priority="62" operator="lessThan" id="{A3BF1B35-31FF-46AA-8DB1-A561366A0D76}">
            <xm:f>Barèmes!$H$5</xm:f>
            <x14:dxf>
              <fill>
                <patternFill>
                  <bgColor rgb="FFFF0000"/>
                </patternFill>
              </fill>
            </x14:dxf>
          </x14:cfRule>
          <xm:sqref>AG273:AH273</xm:sqref>
        </x14:conditionalFormatting>
        <x14:conditionalFormatting xmlns:xm="http://schemas.microsoft.com/office/excel/2006/main">
          <x14:cfRule type="cellIs" priority="61" operator="lessThan" id="{14B7BDC0-F4A2-4FBE-B19B-5BBB8CC0FD82}">
            <xm:f>Barèmes!$H$5</xm:f>
            <x14:dxf>
              <fill>
                <patternFill>
                  <bgColor rgb="FFFF0000"/>
                </patternFill>
              </fill>
            </x14:dxf>
          </x14:cfRule>
          <xm:sqref>AG270:AH272</xm:sqref>
        </x14:conditionalFormatting>
        <x14:conditionalFormatting xmlns:xm="http://schemas.microsoft.com/office/excel/2006/main">
          <x14:cfRule type="cellIs" priority="60" operator="lessThan" id="{FB067DFA-8F78-4868-A1F2-D0C8A246BEAE}">
            <xm:f>Barèmes!$H$5</xm:f>
            <x14:dxf>
              <fill>
                <patternFill>
                  <bgColor rgb="FFFF0000"/>
                </patternFill>
              </fill>
            </x14:dxf>
          </x14:cfRule>
          <xm:sqref>AG305:AH305</xm:sqref>
        </x14:conditionalFormatting>
        <x14:conditionalFormatting xmlns:xm="http://schemas.microsoft.com/office/excel/2006/main">
          <x14:cfRule type="cellIs" priority="59" operator="lessThan" id="{BE722269-9DCC-43D2-89C2-A7AD17168430}">
            <xm:f>Barèmes!$H$5</xm:f>
            <x14:dxf>
              <fill>
                <patternFill>
                  <bgColor rgb="FFFF0000"/>
                </patternFill>
              </fill>
            </x14:dxf>
          </x14:cfRule>
          <xm:sqref>AG302:AH304</xm:sqref>
        </x14:conditionalFormatting>
        <x14:conditionalFormatting xmlns:xm="http://schemas.microsoft.com/office/excel/2006/main">
          <x14:cfRule type="cellIs" priority="58" operator="lessThan" id="{05227BD2-3FB0-483F-82F2-ED0F307B2BE9}">
            <xm:f>Barèmes!$H$5</xm:f>
            <x14:dxf>
              <fill>
                <patternFill>
                  <bgColor rgb="FFFF0000"/>
                </patternFill>
              </fill>
            </x14:dxf>
          </x14:cfRule>
          <xm:sqref>N305:O305</xm:sqref>
        </x14:conditionalFormatting>
        <x14:conditionalFormatting xmlns:xm="http://schemas.microsoft.com/office/excel/2006/main">
          <x14:cfRule type="cellIs" priority="57" operator="lessThan" id="{EBAFC0B6-2361-4D41-B2AB-A59DA036CFEE}">
            <xm:f>Barèmes!$H$5</xm:f>
            <x14:dxf>
              <fill>
                <patternFill>
                  <bgColor rgb="FFFF0000"/>
                </patternFill>
              </fill>
            </x14:dxf>
          </x14:cfRule>
          <xm:sqref>N302:O304</xm:sqref>
        </x14:conditionalFormatting>
        <x14:conditionalFormatting xmlns:xm="http://schemas.microsoft.com/office/excel/2006/main">
          <x14:cfRule type="cellIs" priority="56" operator="lessThan" id="{9C6F718C-4485-4928-A312-A02F10F9311D}">
            <xm:f>Barèmes!$H$5</xm:f>
            <x14:dxf>
              <fill>
                <patternFill>
                  <bgColor rgb="FFFF0000"/>
                </patternFill>
              </fill>
            </x14:dxf>
          </x14:cfRule>
          <xm:sqref>N337:O337</xm:sqref>
        </x14:conditionalFormatting>
        <x14:conditionalFormatting xmlns:xm="http://schemas.microsoft.com/office/excel/2006/main">
          <x14:cfRule type="cellIs" priority="55" operator="lessThan" id="{231C93AC-BCDB-47DE-80C1-1B97332E42DB}">
            <xm:f>Barèmes!$H$5</xm:f>
            <x14:dxf>
              <fill>
                <patternFill>
                  <bgColor rgb="FFFF0000"/>
                </patternFill>
              </fill>
            </x14:dxf>
          </x14:cfRule>
          <xm:sqref>N334:O336</xm:sqref>
        </x14:conditionalFormatting>
        <x14:conditionalFormatting xmlns:xm="http://schemas.microsoft.com/office/excel/2006/main">
          <x14:cfRule type="cellIs" priority="54" operator="lessThan" id="{37C94E9B-8C5C-4BB1-937B-6217947E95C3}">
            <xm:f>Barèmes!$H$5</xm:f>
            <x14:dxf>
              <fill>
                <patternFill>
                  <bgColor rgb="FFFF0000"/>
                </patternFill>
              </fill>
            </x14:dxf>
          </x14:cfRule>
          <xm:sqref>AG337:AH337</xm:sqref>
        </x14:conditionalFormatting>
        <x14:conditionalFormatting xmlns:xm="http://schemas.microsoft.com/office/excel/2006/main">
          <x14:cfRule type="cellIs" priority="53" operator="lessThan" id="{9C0A5DFC-04D8-49DB-9F14-02178FC1BD90}">
            <xm:f>Barèmes!$H$5</xm:f>
            <x14:dxf>
              <fill>
                <patternFill>
                  <bgColor rgb="FFFF0000"/>
                </patternFill>
              </fill>
            </x14:dxf>
          </x14:cfRule>
          <xm:sqref>AG334:AH336</xm:sqref>
        </x14:conditionalFormatting>
        <x14:conditionalFormatting xmlns:xm="http://schemas.microsoft.com/office/excel/2006/main">
          <x14:cfRule type="cellIs" priority="52" operator="lessThan" id="{917386BF-EC9E-4F33-9FA6-AE71D5A22098}">
            <xm:f>Barèmes!$H$5</xm:f>
            <x14:dxf>
              <fill>
                <patternFill>
                  <bgColor rgb="FFFF0000"/>
                </patternFill>
              </fill>
            </x14:dxf>
          </x14:cfRule>
          <xm:sqref>N369:O369</xm:sqref>
        </x14:conditionalFormatting>
        <x14:conditionalFormatting xmlns:xm="http://schemas.microsoft.com/office/excel/2006/main">
          <x14:cfRule type="cellIs" priority="51" operator="lessThan" id="{A7BDCD39-F522-4405-8E85-9FFBA260CF74}">
            <xm:f>Barèmes!$H$5</xm:f>
            <x14:dxf>
              <fill>
                <patternFill>
                  <bgColor rgb="FFFF0000"/>
                </patternFill>
              </fill>
            </x14:dxf>
          </x14:cfRule>
          <xm:sqref>N366:O368</xm:sqref>
        </x14:conditionalFormatting>
        <x14:conditionalFormatting xmlns:xm="http://schemas.microsoft.com/office/excel/2006/main">
          <x14:cfRule type="cellIs" priority="50" operator="lessThan" id="{EC330D17-C0DB-4204-8E2E-2EB20E2DA1BF}">
            <xm:f>Barèmes!$H$5</xm:f>
            <x14:dxf>
              <fill>
                <patternFill>
                  <bgColor rgb="FFFF0000"/>
                </patternFill>
              </fill>
            </x14:dxf>
          </x14:cfRule>
          <xm:sqref>AG369:AH369</xm:sqref>
        </x14:conditionalFormatting>
        <x14:conditionalFormatting xmlns:xm="http://schemas.microsoft.com/office/excel/2006/main">
          <x14:cfRule type="cellIs" priority="49" operator="lessThan" id="{2A05822E-B9A4-42B4-B721-A95F04E78D02}">
            <xm:f>Barèmes!$H$5</xm:f>
            <x14:dxf>
              <fill>
                <patternFill>
                  <bgColor rgb="FFFF0000"/>
                </patternFill>
              </fill>
            </x14:dxf>
          </x14:cfRule>
          <xm:sqref>AG366:AH368</xm:sqref>
        </x14:conditionalFormatting>
        <x14:conditionalFormatting xmlns:xm="http://schemas.microsoft.com/office/excel/2006/main">
          <x14:cfRule type="cellIs" priority="48" operator="lessThan" id="{98FFE9FB-0596-4397-B0B4-67E0817DBE11}">
            <xm:f>Barèmes!$H$5</xm:f>
            <x14:dxf>
              <fill>
                <patternFill>
                  <bgColor rgb="FFFF0000"/>
                </patternFill>
              </fill>
            </x14:dxf>
          </x14:cfRule>
          <xm:sqref>N401:O401</xm:sqref>
        </x14:conditionalFormatting>
        <x14:conditionalFormatting xmlns:xm="http://schemas.microsoft.com/office/excel/2006/main">
          <x14:cfRule type="cellIs" priority="47" operator="lessThan" id="{B61D48C0-2E55-4C99-BE3D-4E703090C94B}">
            <xm:f>Barèmes!$H$5</xm:f>
            <x14:dxf>
              <fill>
                <patternFill>
                  <bgColor rgb="FFFF0000"/>
                </patternFill>
              </fill>
            </x14:dxf>
          </x14:cfRule>
          <xm:sqref>N398:O400</xm:sqref>
        </x14:conditionalFormatting>
        <x14:conditionalFormatting xmlns:xm="http://schemas.microsoft.com/office/excel/2006/main">
          <x14:cfRule type="cellIs" priority="46" operator="lessThan" id="{B0B50D8D-E424-4B21-ADCF-8B46959C1846}">
            <xm:f>Barèmes!$H$5</xm:f>
            <x14:dxf>
              <fill>
                <patternFill>
                  <bgColor rgb="FFFF0000"/>
                </patternFill>
              </fill>
            </x14:dxf>
          </x14:cfRule>
          <xm:sqref>AG401:AH401</xm:sqref>
        </x14:conditionalFormatting>
        <x14:conditionalFormatting xmlns:xm="http://schemas.microsoft.com/office/excel/2006/main">
          <x14:cfRule type="cellIs" priority="45" operator="lessThan" id="{7E577D80-635F-4FD5-8BEA-1E1F4333824B}">
            <xm:f>Barèmes!$H$5</xm:f>
            <x14:dxf>
              <fill>
                <patternFill>
                  <bgColor rgb="FFFF0000"/>
                </patternFill>
              </fill>
            </x14:dxf>
          </x14:cfRule>
          <xm:sqref>AG398:AH400</xm:sqref>
        </x14:conditionalFormatting>
        <x14:conditionalFormatting xmlns:xm="http://schemas.microsoft.com/office/excel/2006/main">
          <x14:cfRule type="cellIs" priority="44" operator="lessThan" id="{A62EDD0E-5D08-4BEA-AF4E-0C025EDBB027}">
            <xm:f>Barèmes!$H$5</xm:f>
            <x14:dxf>
              <fill>
                <patternFill>
                  <bgColor rgb="FFFF0000"/>
                </patternFill>
              </fill>
            </x14:dxf>
          </x14:cfRule>
          <xm:sqref>AG433:AH433</xm:sqref>
        </x14:conditionalFormatting>
        <x14:conditionalFormatting xmlns:xm="http://schemas.microsoft.com/office/excel/2006/main">
          <x14:cfRule type="cellIs" priority="43" operator="lessThan" id="{280853B3-8147-4AFD-A7C0-1B87E73517BF}">
            <xm:f>Barèmes!$H$5</xm:f>
            <x14:dxf>
              <fill>
                <patternFill>
                  <bgColor rgb="FFFF0000"/>
                </patternFill>
              </fill>
            </x14:dxf>
          </x14:cfRule>
          <xm:sqref>AG430:AH432</xm:sqref>
        </x14:conditionalFormatting>
        <x14:conditionalFormatting xmlns:xm="http://schemas.microsoft.com/office/excel/2006/main">
          <x14:cfRule type="cellIs" priority="42" operator="lessThan" id="{C3A4376D-0165-4513-8CA9-FB36A0DA4BF8}">
            <xm:f>Barèmes!$H$5</xm:f>
            <x14:dxf>
              <fill>
                <patternFill>
                  <bgColor rgb="FFFF0000"/>
                </patternFill>
              </fill>
            </x14:dxf>
          </x14:cfRule>
          <xm:sqref>N433:O433</xm:sqref>
        </x14:conditionalFormatting>
        <x14:conditionalFormatting xmlns:xm="http://schemas.microsoft.com/office/excel/2006/main">
          <x14:cfRule type="cellIs" priority="41" operator="lessThan" id="{71A59EC7-A108-4201-8755-B224AB37003F}">
            <xm:f>Barèmes!$H$5</xm:f>
            <x14:dxf>
              <fill>
                <patternFill>
                  <bgColor rgb="FFFF0000"/>
                </patternFill>
              </fill>
            </x14:dxf>
          </x14:cfRule>
          <xm:sqref>N430:O432</xm:sqref>
        </x14:conditionalFormatting>
        <x14:conditionalFormatting xmlns:xm="http://schemas.microsoft.com/office/excel/2006/main">
          <x14:cfRule type="cellIs" priority="40" operator="lessThan" id="{3F78FD6E-6DFA-4E30-815F-3D8297770F53}">
            <xm:f>Barèmes!$H$5</xm:f>
            <x14:dxf>
              <fill>
                <patternFill>
                  <bgColor rgb="FFFF0000"/>
                </patternFill>
              </fill>
            </x14:dxf>
          </x14:cfRule>
          <xm:sqref>N465:O465</xm:sqref>
        </x14:conditionalFormatting>
        <x14:conditionalFormatting xmlns:xm="http://schemas.microsoft.com/office/excel/2006/main">
          <x14:cfRule type="cellIs" priority="39" operator="lessThan" id="{86819341-3E88-427C-9339-EF521DCFFEF9}">
            <xm:f>Barèmes!$H$5</xm:f>
            <x14:dxf>
              <fill>
                <patternFill>
                  <bgColor rgb="FFFF0000"/>
                </patternFill>
              </fill>
            </x14:dxf>
          </x14:cfRule>
          <xm:sqref>N462:O464</xm:sqref>
        </x14:conditionalFormatting>
        <x14:conditionalFormatting xmlns:xm="http://schemas.microsoft.com/office/excel/2006/main">
          <x14:cfRule type="cellIs" priority="38" operator="lessThan" id="{CD70378E-AD32-4ABF-BCE6-5B096186A76F}">
            <xm:f>Barèmes!$H$5</xm:f>
            <x14:dxf>
              <fill>
                <patternFill>
                  <bgColor rgb="FFFF0000"/>
                </patternFill>
              </fill>
            </x14:dxf>
          </x14:cfRule>
          <xm:sqref>AG465:AH465</xm:sqref>
        </x14:conditionalFormatting>
        <x14:conditionalFormatting xmlns:xm="http://schemas.microsoft.com/office/excel/2006/main">
          <x14:cfRule type="cellIs" priority="37" operator="lessThan" id="{8BBD9B21-2D6F-43A3-A042-822A0FEA4EFF}">
            <xm:f>Barèmes!$H$5</xm:f>
            <x14:dxf>
              <fill>
                <patternFill>
                  <bgColor rgb="FFFF0000"/>
                </patternFill>
              </fill>
            </x14:dxf>
          </x14:cfRule>
          <xm:sqref>AG462:AH464</xm:sqref>
        </x14:conditionalFormatting>
        <x14:conditionalFormatting xmlns:xm="http://schemas.microsoft.com/office/excel/2006/main">
          <x14:cfRule type="cellIs" priority="36" operator="lessThan" id="{A813EEE7-BABA-4468-BF79-D57C8E5FC3BC}">
            <xm:f>Barèmes!$H$5</xm:f>
            <x14:dxf>
              <fill>
                <patternFill>
                  <bgColor rgb="FFFF0000"/>
                </patternFill>
              </fill>
            </x14:dxf>
          </x14:cfRule>
          <xm:sqref>AG497:AH497</xm:sqref>
        </x14:conditionalFormatting>
        <x14:conditionalFormatting xmlns:xm="http://schemas.microsoft.com/office/excel/2006/main">
          <x14:cfRule type="cellIs" priority="35" operator="lessThan" id="{F179EC29-A127-4902-9F1F-B22D6D53C13A}">
            <xm:f>Barèmes!$H$5</xm:f>
            <x14:dxf>
              <fill>
                <patternFill>
                  <bgColor rgb="FFFF0000"/>
                </patternFill>
              </fill>
            </x14:dxf>
          </x14:cfRule>
          <xm:sqref>AG494:AH496</xm:sqref>
        </x14:conditionalFormatting>
        <x14:conditionalFormatting xmlns:xm="http://schemas.microsoft.com/office/excel/2006/main">
          <x14:cfRule type="cellIs" priority="34" operator="lessThan" id="{FD773603-01C9-4214-B4A2-AA1E32473801}">
            <xm:f>Barèmes!$H$5</xm:f>
            <x14:dxf>
              <fill>
                <patternFill>
                  <bgColor rgb="FFFF0000"/>
                </patternFill>
              </fill>
            </x14:dxf>
          </x14:cfRule>
          <xm:sqref>N497:O497</xm:sqref>
        </x14:conditionalFormatting>
        <x14:conditionalFormatting xmlns:xm="http://schemas.microsoft.com/office/excel/2006/main">
          <x14:cfRule type="cellIs" priority="33" operator="lessThan" id="{C1F5A681-E55C-455A-BC34-887B86476240}">
            <xm:f>Barèmes!$H$5</xm:f>
            <x14:dxf>
              <fill>
                <patternFill>
                  <bgColor rgb="FFFF0000"/>
                </patternFill>
              </fill>
            </x14:dxf>
          </x14:cfRule>
          <xm:sqref>N494:O496</xm:sqref>
        </x14:conditionalFormatting>
        <x14:conditionalFormatting xmlns:xm="http://schemas.microsoft.com/office/excel/2006/main">
          <x14:cfRule type="cellIs" priority="32" operator="lessThan" id="{F409CF33-571A-41E6-AB31-3BF13EE4B695}">
            <xm:f>Barèmes!$H$5</xm:f>
            <x14:dxf>
              <fill>
                <patternFill>
                  <bgColor rgb="FFFF0000"/>
                </patternFill>
              </fill>
            </x14:dxf>
          </x14:cfRule>
          <xm:sqref>N529:O529</xm:sqref>
        </x14:conditionalFormatting>
        <x14:conditionalFormatting xmlns:xm="http://schemas.microsoft.com/office/excel/2006/main">
          <x14:cfRule type="cellIs" priority="31" operator="lessThan" id="{F0845B77-824C-4DC7-87B4-E4886EA25097}">
            <xm:f>Barèmes!$H$5</xm:f>
            <x14:dxf>
              <fill>
                <patternFill>
                  <bgColor rgb="FFFF0000"/>
                </patternFill>
              </fill>
            </x14:dxf>
          </x14:cfRule>
          <xm:sqref>N526:O528</xm:sqref>
        </x14:conditionalFormatting>
        <x14:conditionalFormatting xmlns:xm="http://schemas.microsoft.com/office/excel/2006/main">
          <x14:cfRule type="cellIs" priority="30" operator="lessThan" id="{53C0E851-9D5A-4DCB-8649-E87EA2B4DC45}">
            <xm:f>Barèmes!$H$5</xm:f>
            <x14:dxf>
              <fill>
                <patternFill>
                  <bgColor rgb="FFFF0000"/>
                </patternFill>
              </fill>
            </x14:dxf>
          </x14:cfRule>
          <xm:sqref>AG529:AH529</xm:sqref>
        </x14:conditionalFormatting>
        <x14:conditionalFormatting xmlns:xm="http://schemas.microsoft.com/office/excel/2006/main">
          <x14:cfRule type="cellIs" priority="29" operator="lessThan" id="{E353B17F-3C60-4B0C-AD8D-4C5676D9B8F4}">
            <xm:f>Barèmes!$H$5</xm:f>
            <x14:dxf>
              <fill>
                <patternFill>
                  <bgColor rgb="FFFF0000"/>
                </patternFill>
              </fill>
            </x14:dxf>
          </x14:cfRule>
          <xm:sqref>AG526:AH528</xm:sqref>
        </x14:conditionalFormatting>
        <x14:conditionalFormatting xmlns:xm="http://schemas.microsoft.com/office/excel/2006/main">
          <x14:cfRule type="cellIs" priority="28" operator="lessThan" id="{959C1B64-F068-430F-915C-F09502E3687A}">
            <xm:f>Barèmes!$H$5</xm:f>
            <x14:dxf>
              <fill>
                <patternFill>
                  <bgColor rgb="FFFF0000"/>
                </patternFill>
              </fill>
            </x14:dxf>
          </x14:cfRule>
          <xm:sqref>AG561:AH561</xm:sqref>
        </x14:conditionalFormatting>
        <x14:conditionalFormatting xmlns:xm="http://schemas.microsoft.com/office/excel/2006/main">
          <x14:cfRule type="cellIs" priority="27" operator="lessThan" id="{623ECD9D-1AFC-4F79-B76C-9974BBB5E0FB}">
            <xm:f>Barèmes!$H$5</xm:f>
            <x14:dxf>
              <fill>
                <patternFill>
                  <bgColor rgb="FFFF0000"/>
                </patternFill>
              </fill>
            </x14:dxf>
          </x14:cfRule>
          <xm:sqref>AG558:AH560</xm:sqref>
        </x14:conditionalFormatting>
        <x14:conditionalFormatting xmlns:xm="http://schemas.microsoft.com/office/excel/2006/main">
          <x14:cfRule type="cellIs" priority="26" operator="lessThan" id="{33098B90-D8B3-4434-83EE-F9B877A3F65A}">
            <xm:f>Barèmes!$H$5</xm:f>
            <x14:dxf>
              <fill>
                <patternFill>
                  <bgColor rgb="FFFF0000"/>
                </patternFill>
              </fill>
            </x14:dxf>
          </x14:cfRule>
          <xm:sqref>N561:O561</xm:sqref>
        </x14:conditionalFormatting>
        <x14:conditionalFormatting xmlns:xm="http://schemas.microsoft.com/office/excel/2006/main">
          <x14:cfRule type="cellIs" priority="25" operator="lessThan" id="{E99DDD82-BC6B-4740-87C3-63588F3FDBC1}">
            <xm:f>Barèmes!$H$5</xm:f>
            <x14:dxf>
              <fill>
                <patternFill>
                  <bgColor rgb="FFFF0000"/>
                </patternFill>
              </fill>
            </x14:dxf>
          </x14:cfRule>
          <xm:sqref>N558:O560</xm:sqref>
        </x14:conditionalFormatting>
        <x14:conditionalFormatting xmlns:xm="http://schemas.microsoft.com/office/excel/2006/main">
          <x14:cfRule type="cellIs" priority="24" operator="lessThan" id="{55315763-35B2-4144-B9B3-083862100D1E}">
            <xm:f>Barèmes!$H$5</xm:f>
            <x14:dxf>
              <fill>
                <patternFill>
                  <bgColor rgb="FFFF0000"/>
                </patternFill>
              </fill>
            </x14:dxf>
          </x14:cfRule>
          <xm:sqref>N593:O593</xm:sqref>
        </x14:conditionalFormatting>
        <x14:conditionalFormatting xmlns:xm="http://schemas.microsoft.com/office/excel/2006/main">
          <x14:cfRule type="cellIs" priority="23" operator="lessThan" id="{20943EA6-FB85-448F-A9BA-08BA88689946}">
            <xm:f>Barèmes!$H$5</xm:f>
            <x14:dxf>
              <fill>
                <patternFill>
                  <bgColor rgb="FFFF0000"/>
                </patternFill>
              </fill>
            </x14:dxf>
          </x14:cfRule>
          <xm:sqref>N590:O592</xm:sqref>
        </x14:conditionalFormatting>
        <x14:conditionalFormatting xmlns:xm="http://schemas.microsoft.com/office/excel/2006/main">
          <x14:cfRule type="cellIs" priority="22" operator="lessThan" id="{1E361377-3E64-4BED-9936-0162FF94BBF0}">
            <xm:f>Barèmes!$H$5</xm:f>
            <x14:dxf>
              <fill>
                <patternFill>
                  <bgColor rgb="FFFF0000"/>
                </patternFill>
              </fill>
            </x14:dxf>
          </x14:cfRule>
          <xm:sqref>AG593:AH593</xm:sqref>
        </x14:conditionalFormatting>
        <x14:conditionalFormatting xmlns:xm="http://schemas.microsoft.com/office/excel/2006/main">
          <x14:cfRule type="cellIs" priority="21" operator="lessThan" id="{1EC10596-B33F-4E0D-93E2-6425D758D32D}">
            <xm:f>Barèmes!$H$5</xm:f>
            <x14:dxf>
              <fill>
                <patternFill>
                  <bgColor rgb="FFFF0000"/>
                </patternFill>
              </fill>
            </x14:dxf>
          </x14:cfRule>
          <xm:sqref>AG590:AH592</xm:sqref>
        </x14:conditionalFormatting>
        <x14:conditionalFormatting xmlns:xm="http://schemas.microsoft.com/office/excel/2006/main">
          <x14:cfRule type="cellIs" priority="20" operator="lessThan" id="{9E05B038-75B6-47D6-96FB-09CF14987EC7}">
            <xm:f>Barèmes!$H$5</xm:f>
            <x14:dxf>
              <fill>
                <patternFill>
                  <bgColor rgb="FFFF0000"/>
                </patternFill>
              </fill>
            </x14:dxf>
          </x14:cfRule>
          <xm:sqref>AG625:AH625</xm:sqref>
        </x14:conditionalFormatting>
        <x14:conditionalFormatting xmlns:xm="http://schemas.microsoft.com/office/excel/2006/main">
          <x14:cfRule type="cellIs" priority="19" operator="lessThan" id="{38D69BFB-307B-4BB0-8B3F-C918F812BCAC}">
            <xm:f>Barèmes!$H$5</xm:f>
            <x14:dxf>
              <fill>
                <patternFill>
                  <bgColor rgb="FFFF0000"/>
                </patternFill>
              </fill>
            </x14:dxf>
          </x14:cfRule>
          <xm:sqref>AG622:AH624</xm:sqref>
        </x14:conditionalFormatting>
        <x14:conditionalFormatting xmlns:xm="http://schemas.microsoft.com/office/excel/2006/main">
          <x14:cfRule type="cellIs" priority="18" operator="lessThan" id="{92D53279-3D7E-4B4F-8381-E43C0861A7D0}">
            <xm:f>Barèmes!$H$5</xm:f>
            <x14:dxf>
              <fill>
                <patternFill>
                  <bgColor rgb="FFFF0000"/>
                </patternFill>
              </fill>
            </x14:dxf>
          </x14:cfRule>
          <xm:sqref>N625:O625</xm:sqref>
        </x14:conditionalFormatting>
        <x14:conditionalFormatting xmlns:xm="http://schemas.microsoft.com/office/excel/2006/main">
          <x14:cfRule type="cellIs" priority="17" operator="lessThan" id="{500B4BC4-39CE-4401-814B-F4957EC6C501}">
            <xm:f>Barèmes!$H$5</xm:f>
            <x14:dxf>
              <fill>
                <patternFill>
                  <bgColor rgb="FFFF0000"/>
                </patternFill>
              </fill>
            </x14:dxf>
          </x14:cfRule>
          <xm:sqref>N622:O624</xm:sqref>
        </x14:conditionalFormatting>
        <x14:conditionalFormatting xmlns:xm="http://schemas.microsoft.com/office/excel/2006/main">
          <x14:cfRule type="cellIs" priority="16" operator="lessThan" id="{112D7BF8-E0F2-4E23-8B35-FDEF30A30DB4}">
            <xm:f>Barèmes!$H$5</xm:f>
            <x14:dxf>
              <fill>
                <patternFill>
                  <bgColor rgb="FFFF0000"/>
                </patternFill>
              </fill>
            </x14:dxf>
          </x14:cfRule>
          <xm:sqref>N657:O657</xm:sqref>
        </x14:conditionalFormatting>
        <x14:conditionalFormatting xmlns:xm="http://schemas.microsoft.com/office/excel/2006/main">
          <x14:cfRule type="cellIs" priority="15" operator="lessThan" id="{E021820C-FB45-4F55-A20A-55E0B61ADA89}">
            <xm:f>Barèmes!$H$5</xm:f>
            <x14:dxf>
              <fill>
                <patternFill>
                  <bgColor rgb="FFFF0000"/>
                </patternFill>
              </fill>
            </x14:dxf>
          </x14:cfRule>
          <xm:sqref>N654:O656</xm:sqref>
        </x14:conditionalFormatting>
        <x14:conditionalFormatting xmlns:xm="http://schemas.microsoft.com/office/excel/2006/main">
          <x14:cfRule type="cellIs" priority="14" operator="lessThan" id="{BBEA8731-119B-4DB9-9F62-F04462A66B0A}">
            <xm:f>Barèmes!$H$5</xm:f>
            <x14:dxf>
              <fill>
                <patternFill>
                  <bgColor rgb="FFFF0000"/>
                </patternFill>
              </fill>
            </x14:dxf>
          </x14:cfRule>
          <xm:sqref>AG657:AH657</xm:sqref>
        </x14:conditionalFormatting>
        <x14:conditionalFormatting xmlns:xm="http://schemas.microsoft.com/office/excel/2006/main">
          <x14:cfRule type="cellIs" priority="13" operator="lessThan" id="{016475D3-DF87-4AB8-A507-7881E818A497}">
            <xm:f>Barèmes!$H$5</xm:f>
            <x14:dxf>
              <fill>
                <patternFill>
                  <bgColor rgb="FFFF0000"/>
                </patternFill>
              </fill>
            </x14:dxf>
          </x14:cfRule>
          <xm:sqref>AG654:AH656</xm:sqref>
        </x14:conditionalFormatting>
        <x14:conditionalFormatting xmlns:xm="http://schemas.microsoft.com/office/excel/2006/main">
          <x14:cfRule type="cellIs" priority="12" operator="lessThan" id="{633A3DE2-3461-4A52-BADC-021454AE48A8}">
            <xm:f>Barèmes!$H$5</xm:f>
            <x14:dxf>
              <fill>
                <patternFill>
                  <bgColor rgb="FFFF0000"/>
                </patternFill>
              </fill>
            </x14:dxf>
          </x14:cfRule>
          <xm:sqref>AG689:AH689</xm:sqref>
        </x14:conditionalFormatting>
        <x14:conditionalFormatting xmlns:xm="http://schemas.microsoft.com/office/excel/2006/main">
          <x14:cfRule type="cellIs" priority="11" operator="lessThan" id="{326179F6-F810-443A-A221-B843FC81886E}">
            <xm:f>Barèmes!$H$5</xm:f>
            <x14:dxf>
              <fill>
                <patternFill>
                  <bgColor rgb="FFFF0000"/>
                </patternFill>
              </fill>
            </x14:dxf>
          </x14:cfRule>
          <xm:sqref>AG686:AH688</xm:sqref>
        </x14:conditionalFormatting>
        <x14:conditionalFormatting xmlns:xm="http://schemas.microsoft.com/office/excel/2006/main">
          <x14:cfRule type="cellIs" priority="10" operator="lessThan" id="{02FA1C27-404D-40EC-A36E-8F3611CF4E9C}">
            <xm:f>Barèmes!$H$5</xm:f>
            <x14:dxf>
              <fill>
                <patternFill>
                  <bgColor rgb="FFFF0000"/>
                </patternFill>
              </fill>
            </x14:dxf>
          </x14:cfRule>
          <xm:sqref>N689:O689</xm:sqref>
        </x14:conditionalFormatting>
        <x14:conditionalFormatting xmlns:xm="http://schemas.microsoft.com/office/excel/2006/main">
          <x14:cfRule type="cellIs" priority="9" operator="lessThan" id="{6E221C8F-C857-4184-B3EE-2A60D169A1EA}">
            <xm:f>Barèmes!$H$5</xm:f>
            <x14:dxf>
              <fill>
                <patternFill>
                  <bgColor rgb="FFFF0000"/>
                </patternFill>
              </fill>
            </x14:dxf>
          </x14:cfRule>
          <xm:sqref>N686:O688</xm:sqref>
        </x14:conditionalFormatting>
        <x14:conditionalFormatting xmlns:xm="http://schemas.microsoft.com/office/excel/2006/main">
          <x14:cfRule type="cellIs" priority="8" operator="lessThan" id="{792E8904-8FD0-46C5-AA60-B81F0D2C9BC5}">
            <xm:f>Barèmes!$H$5</xm:f>
            <x14:dxf>
              <fill>
                <patternFill>
                  <bgColor rgb="FFFF0000"/>
                </patternFill>
              </fill>
            </x14:dxf>
          </x14:cfRule>
          <xm:sqref>N721:O721</xm:sqref>
        </x14:conditionalFormatting>
        <x14:conditionalFormatting xmlns:xm="http://schemas.microsoft.com/office/excel/2006/main">
          <x14:cfRule type="cellIs" priority="7" operator="lessThan" id="{93FD7A37-0E19-4901-A18F-5912348A4535}">
            <xm:f>Barèmes!$H$5</xm:f>
            <x14:dxf>
              <fill>
                <patternFill>
                  <bgColor rgb="FFFF0000"/>
                </patternFill>
              </fill>
            </x14:dxf>
          </x14:cfRule>
          <xm:sqref>N718:O720</xm:sqref>
        </x14:conditionalFormatting>
        <x14:conditionalFormatting xmlns:xm="http://schemas.microsoft.com/office/excel/2006/main">
          <x14:cfRule type="cellIs" priority="6" operator="lessThan" id="{EF7B9677-7B21-477F-9536-42515F52B815}">
            <xm:f>Barèmes!$H$5</xm:f>
            <x14:dxf>
              <fill>
                <patternFill>
                  <bgColor rgb="FFFF0000"/>
                </patternFill>
              </fill>
            </x14:dxf>
          </x14:cfRule>
          <xm:sqref>AG721:AH721</xm:sqref>
        </x14:conditionalFormatting>
        <x14:conditionalFormatting xmlns:xm="http://schemas.microsoft.com/office/excel/2006/main">
          <x14:cfRule type="cellIs" priority="5" operator="lessThan" id="{C6F9D33B-79E0-4807-8018-C7DE23237044}">
            <xm:f>Barèmes!$H$5</xm:f>
            <x14:dxf>
              <fill>
                <patternFill>
                  <bgColor rgb="FFFF0000"/>
                </patternFill>
              </fill>
            </x14:dxf>
          </x14:cfRule>
          <xm:sqref>AG718:AH720</xm:sqref>
        </x14:conditionalFormatting>
        <x14:conditionalFormatting xmlns:xm="http://schemas.microsoft.com/office/excel/2006/main">
          <x14:cfRule type="cellIs" priority="4" operator="lessThan" id="{EF0F5AF8-D88D-4726-86F9-5548995C0151}">
            <xm:f>Barèmes!$H$5</xm:f>
            <x14:dxf>
              <fill>
                <patternFill>
                  <bgColor rgb="FFFF0000"/>
                </patternFill>
              </fill>
            </x14:dxf>
          </x14:cfRule>
          <xm:sqref>AG753:AH753</xm:sqref>
        </x14:conditionalFormatting>
        <x14:conditionalFormatting xmlns:xm="http://schemas.microsoft.com/office/excel/2006/main">
          <x14:cfRule type="cellIs" priority="3" operator="lessThan" id="{65F466F1-945A-4A7F-B137-C3E3DA775906}">
            <xm:f>Barèmes!$H$5</xm:f>
            <x14:dxf>
              <fill>
                <patternFill>
                  <bgColor rgb="FFFF0000"/>
                </patternFill>
              </fill>
            </x14:dxf>
          </x14:cfRule>
          <xm:sqref>AG750:AH752</xm:sqref>
        </x14:conditionalFormatting>
        <x14:conditionalFormatting xmlns:xm="http://schemas.microsoft.com/office/excel/2006/main">
          <x14:cfRule type="cellIs" priority="2" operator="lessThan" id="{474E1105-E6E1-4A2C-A120-6C988587604D}">
            <xm:f>Barèmes!$H$5</xm:f>
            <x14:dxf>
              <fill>
                <patternFill>
                  <bgColor rgb="FFFF0000"/>
                </patternFill>
              </fill>
            </x14:dxf>
          </x14:cfRule>
          <xm:sqref>N753:O753</xm:sqref>
        </x14:conditionalFormatting>
        <x14:conditionalFormatting xmlns:xm="http://schemas.microsoft.com/office/excel/2006/main">
          <x14:cfRule type="cellIs" priority="1" operator="lessThan" id="{AC03C226-6936-4051-9384-D61554CE6955}">
            <xm:f>Barèmes!$H$5</xm:f>
            <x14:dxf>
              <fill>
                <patternFill>
                  <bgColor rgb="FFFF0000"/>
                </patternFill>
              </fill>
            </x14:dxf>
          </x14:cfRule>
          <xm:sqref>N750:O752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D05DB-EC8E-41FD-A9A8-A1DF26D291BE}">
  <sheetPr codeName="Feuil45">
    <tabColor rgb="FFE923EE"/>
    <pageSetUpPr fitToPage="1"/>
  </sheetPr>
  <dimension ref="A1:AY148"/>
  <sheetViews>
    <sheetView topLeftCell="K1" zoomScale="86" workbookViewId="0">
      <selection activeCell="M6" sqref="M6:Z7"/>
    </sheetView>
  </sheetViews>
  <sheetFormatPr baseColWidth="10" defaultColWidth="10.85546875" defaultRowHeight="12.75" x14ac:dyDescent="0.2"/>
  <cols>
    <col min="1" max="1" width="3.7109375" style="435" hidden="1" customWidth="1"/>
    <col min="2" max="4" width="16.140625" style="435" hidden="1" customWidth="1"/>
    <col min="5" max="10" width="11.28515625" style="435" hidden="1" customWidth="1"/>
    <col min="11" max="11" width="10.140625" style="441" bestFit="1" customWidth="1"/>
    <col min="12" max="12" width="10.140625" style="435" bestFit="1" customWidth="1"/>
    <col min="13" max="13" width="37.28515625" style="435" customWidth="1"/>
    <col min="14" max="14" width="11" style="442" bestFit="1" customWidth="1"/>
    <col min="15" max="15" width="6.140625" style="441" bestFit="1" customWidth="1"/>
    <col min="16" max="16" width="15.7109375" style="441" customWidth="1"/>
    <col min="17" max="18" width="10.140625" style="441" bestFit="1" customWidth="1"/>
    <col min="19" max="19" width="38" style="441" customWidth="1"/>
    <col min="20" max="20" width="11" style="442" bestFit="1" customWidth="1"/>
    <col min="21" max="21" width="4.85546875" style="441" bestFit="1" customWidth="1"/>
    <col min="22" max="22" width="15.85546875" style="441" customWidth="1"/>
    <col min="23" max="23" width="7.7109375" style="441" bestFit="1" customWidth="1"/>
    <col min="24" max="24" width="5.28515625" style="435" bestFit="1" customWidth="1"/>
    <col min="25" max="25" width="36.5703125" style="435" customWidth="1"/>
    <col min="26" max="26" width="10.85546875" style="442"/>
    <col min="27" max="27" width="4.85546875" style="441" bestFit="1" customWidth="1"/>
    <col min="28" max="28" width="6.5703125" style="435" customWidth="1"/>
    <col min="29" max="31" width="3.28515625" style="435" customWidth="1"/>
    <col min="32" max="32" width="12" style="435" customWidth="1"/>
    <col min="33" max="33" width="12" style="435" hidden="1" customWidth="1"/>
    <col min="34" max="34" width="36.7109375" style="435" customWidth="1"/>
    <col min="35" max="36" width="36.85546875" style="435" customWidth="1"/>
    <col min="37" max="42" width="10.85546875" style="435"/>
    <col min="43" max="43" width="1.7109375" style="435" bestFit="1" customWidth="1"/>
    <col min="44" max="46" width="10.85546875" style="435"/>
    <col min="47" max="47" width="1.7109375" style="435" bestFit="1" customWidth="1"/>
    <col min="48" max="50" width="10.85546875" style="435"/>
    <col min="51" max="51" width="1.7109375" style="435" bestFit="1" customWidth="1"/>
    <col min="52" max="16384" width="10.85546875" style="435"/>
  </cols>
  <sheetData>
    <row r="1" spans="1:51" ht="55.5" customHeight="1" x14ac:dyDescent="0.2">
      <c r="B1" s="436"/>
      <c r="C1" s="436"/>
      <c r="D1" s="436"/>
      <c r="I1" s="437"/>
      <c r="J1" s="437"/>
      <c r="K1" s="988" t="str">
        <f>Championnat</f>
        <v>Championnat de France de Tir à l'ARC</v>
      </c>
      <c r="L1" s="988"/>
      <c r="M1" s="988"/>
      <c r="N1" s="988"/>
      <c r="O1" s="988"/>
      <c r="P1" s="988"/>
      <c r="Q1" s="988"/>
      <c r="R1" s="988"/>
      <c r="S1" s="988"/>
      <c r="T1" s="988"/>
      <c r="U1" s="988"/>
      <c r="V1" s="988"/>
      <c r="W1" s="988"/>
      <c r="X1" s="988"/>
      <c r="Y1" s="988"/>
      <c r="Z1" s="988"/>
      <c r="AA1" s="988"/>
      <c r="AB1" s="439"/>
      <c r="AC1" s="439"/>
      <c r="AD1" s="439"/>
      <c r="AE1" s="439"/>
      <c r="AF1" s="988" t="str">
        <f>Championnat</f>
        <v>Championnat de France de Tir à l'ARC</v>
      </c>
      <c r="AG1" s="988"/>
      <c r="AH1" s="988"/>
      <c r="AI1" s="988"/>
      <c r="AJ1" s="988"/>
      <c r="AK1" s="491"/>
      <c r="AL1" s="491"/>
      <c r="AM1" s="491"/>
      <c r="AN1" s="491"/>
      <c r="AO1" s="491"/>
      <c r="AP1" s="491"/>
      <c r="AQ1" s="491"/>
      <c r="AR1" s="491"/>
      <c r="AS1" s="491"/>
      <c r="AT1" s="491"/>
      <c r="AU1" s="491"/>
      <c r="AV1" s="491"/>
      <c r="AW1" s="491"/>
      <c r="AY1" s="491"/>
    </row>
    <row r="2" spans="1:51" ht="61.5" customHeight="1" x14ac:dyDescent="0.2">
      <c r="A2" s="437"/>
      <c r="I2" s="437"/>
      <c r="J2" s="437"/>
      <c r="K2" s="989" t="str">
        <f>CATEG_IMPORTEE</f>
        <v>Collèges Mixtes Etablissement</v>
      </c>
      <c r="L2" s="989"/>
      <c r="M2" s="989"/>
      <c r="N2" s="989"/>
      <c r="O2" s="989"/>
      <c r="P2" s="989"/>
      <c r="Q2" s="989"/>
      <c r="R2" s="989"/>
      <c r="S2" s="989"/>
      <c r="T2" s="989"/>
      <c r="U2" s="989"/>
      <c r="V2" s="989"/>
      <c r="W2" s="989"/>
      <c r="X2" s="989"/>
      <c r="Y2" s="989"/>
      <c r="Z2" s="989"/>
      <c r="AA2" s="438"/>
      <c r="AB2" s="439"/>
      <c r="AC2" s="439"/>
      <c r="AD2" s="439"/>
      <c r="AE2" s="439"/>
      <c r="AF2" s="990" t="str">
        <f>CATEG_IMPORTEE</f>
        <v>Collèges Mixtes Etablissement</v>
      </c>
      <c r="AG2" s="990"/>
      <c r="AH2" s="990"/>
      <c r="AI2" s="990"/>
      <c r="AJ2" s="990"/>
      <c r="AK2" s="492"/>
      <c r="AL2" s="492"/>
      <c r="AM2" s="492"/>
      <c r="AN2" s="492"/>
      <c r="AO2" s="492"/>
      <c r="AP2" s="492"/>
      <c r="AQ2" s="492"/>
      <c r="AR2" s="492"/>
      <c r="AS2" s="492"/>
      <c r="AT2" s="492"/>
      <c r="AU2" s="492"/>
      <c r="AV2" s="492"/>
      <c r="AW2" s="492"/>
      <c r="AY2" s="492"/>
    </row>
    <row r="3" spans="1:51" ht="42" customHeight="1" x14ac:dyDescent="0.2">
      <c r="B3" s="440" t="s">
        <v>774</v>
      </c>
      <c r="I3" s="437"/>
      <c r="J3" s="437"/>
      <c r="N3" s="991" t="str">
        <f>LIEU&amp;" du "&amp;DATE</f>
        <v>L’Isle sur la Sorgue du 27 au 31 mars 2023</v>
      </c>
      <c r="O3" s="991"/>
      <c r="P3" s="991"/>
      <c r="Q3" s="991"/>
      <c r="R3" s="991"/>
      <c r="S3" s="991"/>
      <c r="T3" s="991"/>
      <c r="U3" s="991"/>
      <c r="V3" s="991"/>
      <c r="W3" s="991"/>
      <c r="X3" s="991"/>
      <c r="AF3" s="991" t="str">
        <f>LIEU&amp;" du "&amp;DATE</f>
        <v>L’Isle sur la Sorgue du 27 au 31 mars 2023</v>
      </c>
      <c r="AG3" s="991"/>
      <c r="AH3" s="991"/>
      <c r="AI3" s="991"/>
      <c r="AJ3" s="991"/>
      <c r="AK3" s="493"/>
      <c r="AL3" s="493"/>
      <c r="AM3" s="493"/>
      <c r="AN3" s="493"/>
      <c r="AO3" s="493"/>
      <c r="AP3" s="493"/>
      <c r="AQ3" s="493"/>
      <c r="AR3" s="493"/>
      <c r="AS3" s="493"/>
      <c r="AT3" s="493"/>
      <c r="AU3" s="493"/>
      <c r="AW3" s="442"/>
      <c r="AY3" s="493"/>
    </row>
    <row r="4" spans="1:51" ht="21" customHeight="1" x14ac:dyDescent="0.2">
      <c r="B4" s="440" t="s">
        <v>775</v>
      </c>
      <c r="C4" s="462" t="s">
        <v>375</v>
      </c>
      <c r="D4" s="462" t="s">
        <v>374</v>
      </c>
      <c r="E4" s="440" t="s">
        <v>776</v>
      </c>
      <c r="F4" s="487" t="s">
        <v>838</v>
      </c>
      <c r="G4" s="488" t="s">
        <v>837</v>
      </c>
      <c r="H4" s="898"/>
      <c r="I4" s="437"/>
      <c r="J4" s="437"/>
      <c r="K4" s="979" t="s">
        <v>815</v>
      </c>
      <c r="L4" s="979"/>
      <c r="M4" s="979"/>
      <c r="N4" s="979"/>
      <c r="O4" s="443"/>
      <c r="P4" s="443"/>
      <c r="Q4" s="979" t="s">
        <v>816</v>
      </c>
      <c r="R4" s="979"/>
      <c r="S4" s="979"/>
      <c r="T4" s="979"/>
      <c r="U4" s="443"/>
      <c r="V4" s="443"/>
      <c r="W4" s="979" t="s">
        <v>817</v>
      </c>
      <c r="X4" s="979"/>
      <c r="Y4" s="979"/>
      <c r="Z4" s="979"/>
      <c r="AA4" s="443"/>
      <c r="AH4" s="980" t="s">
        <v>778</v>
      </c>
      <c r="AI4" s="980"/>
      <c r="AJ4" s="980"/>
      <c r="AN4" s="497" t="s">
        <v>848</v>
      </c>
    </row>
    <row r="5" spans="1:51" ht="15.95" customHeight="1" thickBot="1" x14ac:dyDescent="0.25">
      <c r="A5" s="435">
        <v>1</v>
      </c>
      <c r="B5" s="444" t="str">
        <f ca="1">INDIRECT("'Imp. Qualif.'!L"&amp;INDIRECT("f"&amp;ROW()))</f>
        <v/>
      </c>
      <c r="C5" s="444" t="str">
        <f ca="1">INDIRECT("'Imp. Qualif.'!M"&amp;INDIRECT("f"&amp;ROW()))</f>
        <v/>
      </c>
      <c r="D5" s="444" t="str">
        <f ca="1">INDIRECT("'Imp. Qualif.'!N"&amp;INDIRECT("f"&amp;ROW()))</f>
        <v/>
      </c>
      <c r="E5" s="486">
        <f ca="1">INDIRECT("'Imp. Qualif.'!O"&amp;INDIRECT("f"&amp;ROW()))</f>
        <v>0</v>
      </c>
      <c r="F5" s="489">
        <v>11</v>
      </c>
      <c r="G5" s="488" t="str">
        <f ca="1">B5&amp;C5</f>
        <v/>
      </c>
      <c r="H5" s="898" t="str">
        <f ca="1">IF(B5&lt;&gt;"",B5,"")</f>
        <v/>
      </c>
      <c r="I5" s="898" t="str">
        <f t="shared" ref="I5:J20" ca="1" si="0">IF(C5&lt;&gt;"",C5,"")</f>
        <v/>
      </c>
      <c r="J5" s="898" t="str">
        <f t="shared" ca="1" si="0"/>
        <v/>
      </c>
      <c r="L5" s="516"/>
      <c r="M5" s="457"/>
      <c r="N5" s="457"/>
      <c r="O5" s="443"/>
      <c r="P5" s="443"/>
      <c r="R5" s="516"/>
      <c r="S5" s="457"/>
      <c r="T5" s="457"/>
      <c r="U5" s="443"/>
      <c r="V5" s="443"/>
      <c r="W5" s="445"/>
      <c r="X5" s="516"/>
      <c r="Y5" s="457"/>
      <c r="Z5" s="457"/>
      <c r="AA5" s="443"/>
      <c r="AH5" s="981"/>
      <c r="AI5" s="981"/>
      <c r="AJ5" s="981"/>
      <c r="AN5" s="494" t="s">
        <v>839</v>
      </c>
      <c r="AO5" s="494" t="s">
        <v>840</v>
      </c>
      <c r="AP5" s="494" t="s">
        <v>841</v>
      </c>
      <c r="AQ5" s="496" t="s">
        <v>793</v>
      </c>
      <c r="AR5" s="494" t="s">
        <v>842</v>
      </c>
      <c r="AS5" s="494" t="s">
        <v>843</v>
      </c>
      <c r="AT5" s="494" t="s">
        <v>844</v>
      </c>
      <c r="AU5" s="496" t="s">
        <v>793</v>
      </c>
      <c r="AV5" s="494" t="s">
        <v>845</v>
      </c>
      <c r="AW5" s="494" t="s">
        <v>846</v>
      </c>
      <c r="AX5" s="494" t="s">
        <v>847</v>
      </c>
      <c r="AY5" s="496" t="s">
        <v>793</v>
      </c>
    </row>
    <row r="6" spans="1:51" ht="15.95" customHeight="1" thickBot="1" x14ac:dyDescent="0.25">
      <c r="A6" s="435">
        <v>2</v>
      </c>
      <c r="B6" s="444" t="str">
        <f t="shared" ref="B6:B14" ca="1" si="1">INDIRECT("'Imp. Qualif.'!L"&amp;INDIRECT("f"&amp;ROW()))</f>
        <v/>
      </c>
      <c r="C6" s="444" t="str">
        <f t="shared" ref="C6:C14" ca="1" si="2">INDIRECT("'Imp. Qualif.'!M"&amp;INDIRECT("f"&amp;ROW()))</f>
        <v/>
      </c>
      <c r="D6" s="444" t="str">
        <f t="shared" ref="D6:D14" ca="1" si="3">INDIRECT("'Imp. Qualif.'!N"&amp;INDIRECT("f"&amp;ROW()))</f>
        <v/>
      </c>
      <c r="E6" s="486">
        <f t="shared" ref="E6:E14" ca="1" si="4">INDIRECT("'Imp. Qualif.'!O"&amp;INDIRECT("f"&amp;ROW()))</f>
        <v>0</v>
      </c>
      <c r="F6" s="489">
        <v>12</v>
      </c>
      <c r="G6" s="488" t="str">
        <f t="shared" ref="G6:G28" ca="1" si="5">B6&amp;C6</f>
        <v/>
      </c>
      <c r="H6" s="898" t="str">
        <f t="shared" ref="H6:J28" ca="1" si="6">IF(B6&lt;&gt;"",B6,"")</f>
        <v/>
      </c>
      <c r="I6" s="898" t="str">
        <f t="shared" ca="1" si="0"/>
        <v/>
      </c>
      <c r="J6" s="898" t="str">
        <f t="shared" ca="1" si="0"/>
        <v/>
      </c>
      <c r="K6" s="450"/>
      <c r="M6" s="982" t="s">
        <v>1325</v>
      </c>
      <c r="N6" s="983"/>
      <c r="O6" s="983"/>
      <c r="P6" s="983"/>
      <c r="Q6" s="983"/>
      <c r="R6" s="983"/>
      <c r="S6" s="983"/>
      <c r="T6" s="983"/>
      <c r="U6" s="983"/>
      <c r="V6" s="983"/>
      <c r="W6" s="983"/>
      <c r="X6" s="983"/>
      <c r="Y6" s="983"/>
      <c r="Z6" s="984"/>
      <c r="AH6" s="483" t="s">
        <v>782</v>
      </c>
      <c r="AI6" s="484" t="s">
        <v>375</v>
      </c>
      <c r="AJ6" s="485" t="s">
        <v>783</v>
      </c>
      <c r="AN6" s="494">
        <f>K10</f>
        <v>1</v>
      </c>
      <c r="AO6" s="495" t="str">
        <f ca="1">L11</f>
        <v/>
      </c>
      <c r="AP6" s="784" t="str">
        <f ca="1">L13</f>
        <v/>
      </c>
      <c r="AQ6" s="496" t="s">
        <v>793</v>
      </c>
      <c r="AR6" s="494">
        <f>Q10</f>
        <v>1</v>
      </c>
      <c r="AS6" s="495" t="str">
        <f ca="1">R11</f>
        <v/>
      </c>
      <c r="AT6" s="784" t="str">
        <f ca="1">R13</f>
        <v/>
      </c>
      <c r="AU6" s="496" t="s">
        <v>793</v>
      </c>
      <c r="AV6" s="494">
        <f>AR6</f>
        <v>1</v>
      </c>
      <c r="AW6" s="494" t="str">
        <f t="shared" ref="AW6:AX7" ca="1" si="7">AS6</f>
        <v/>
      </c>
      <c r="AX6" s="494" t="str">
        <f t="shared" ca="1" si="7"/>
        <v/>
      </c>
      <c r="AY6" s="496" t="s">
        <v>793</v>
      </c>
    </row>
    <row r="7" spans="1:51" ht="15.95" customHeight="1" thickBot="1" x14ac:dyDescent="0.25">
      <c r="A7" s="435">
        <v>3</v>
      </c>
      <c r="B7" s="444" t="str">
        <f t="shared" ca="1" si="1"/>
        <v/>
      </c>
      <c r="C7" s="444" t="str">
        <f t="shared" ca="1" si="2"/>
        <v/>
      </c>
      <c r="D7" s="444" t="str">
        <f t="shared" ca="1" si="3"/>
        <v/>
      </c>
      <c r="E7" s="486">
        <f t="shared" ca="1" si="4"/>
        <v>0</v>
      </c>
      <c r="F7" s="489">
        <v>13</v>
      </c>
      <c r="G7" s="488" t="str">
        <f t="shared" ca="1" si="5"/>
        <v/>
      </c>
      <c r="H7" s="898" t="str">
        <f t="shared" ca="1" si="6"/>
        <v/>
      </c>
      <c r="I7" s="898" t="str">
        <f t="shared" ca="1" si="0"/>
        <v/>
      </c>
      <c r="J7" s="898" t="str">
        <f t="shared" ca="1" si="0"/>
        <v/>
      </c>
      <c r="M7" s="985"/>
      <c r="N7" s="986"/>
      <c r="O7" s="986"/>
      <c r="P7" s="986"/>
      <c r="Q7" s="986"/>
      <c r="R7" s="986"/>
      <c r="S7" s="986"/>
      <c r="T7" s="986"/>
      <c r="U7" s="986"/>
      <c r="V7" s="986"/>
      <c r="W7" s="986"/>
      <c r="X7" s="986"/>
      <c r="Y7" s="986"/>
      <c r="Z7" s="987"/>
      <c r="AF7" s="448" t="s">
        <v>784</v>
      </c>
      <c r="AG7" s="435" t="str">
        <f ca="1">IF(ISBLANK(T16),"",IF(T16+U16&gt;Z16+AA16,R17,X17))</f>
        <v/>
      </c>
      <c r="AH7" s="939" t="str">
        <f ca="1">IFERROR(VLOOKUP(AG7,$G$5:$J$28,2,FALSE),"")</f>
        <v/>
      </c>
      <c r="AI7" s="476" t="str">
        <f ca="1">IFERROR(VLOOKUP(AG7,$G$5:$J$28,3,FALSE),"")</f>
        <v/>
      </c>
      <c r="AJ7" s="933" t="str">
        <f ca="1">IFERROR(VLOOKUP(AG7,$G$5:$J$28,4,FALSE),"")</f>
        <v/>
      </c>
      <c r="AN7" s="494">
        <f>K12</f>
        <v>2</v>
      </c>
      <c r="AO7" s="495" t="str">
        <f ca="1">L13</f>
        <v/>
      </c>
      <c r="AP7" s="784"/>
      <c r="AQ7" s="496" t="s">
        <v>793</v>
      </c>
      <c r="AR7" s="494">
        <f>Q12</f>
        <v>2</v>
      </c>
      <c r="AS7" s="495" t="str">
        <f ca="1">R13</f>
        <v/>
      </c>
      <c r="AT7" s="784" t="str">
        <f ca="1">R11</f>
        <v/>
      </c>
      <c r="AU7" s="496" t="s">
        <v>793</v>
      </c>
      <c r="AV7" s="494">
        <f>AR7</f>
        <v>2</v>
      </c>
      <c r="AW7" s="494" t="str">
        <f t="shared" ca="1" si="7"/>
        <v/>
      </c>
      <c r="AX7" s="494" t="str">
        <f t="shared" ca="1" si="7"/>
        <v/>
      </c>
      <c r="AY7" s="496" t="s">
        <v>793</v>
      </c>
    </row>
    <row r="8" spans="1:51" ht="15.95" customHeight="1" thickBot="1" x14ac:dyDescent="0.25">
      <c r="A8" s="435">
        <v>4</v>
      </c>
      <c r="B8" s="444" t="str">
        <f t="shared" ca="1" si="1"/>
        <v/>
      </c>
      <c r="C8" s="444" t="str">
        <f t="shared" ca="1" si="2"/>
        <v/>
      </c>
      <c r="D8" s="444" t="str">
        <f t="shared" ca="1" si="3"/>
        <v/>
      </c>
      <c r="E8" s="486">
        <f t="shared" ca="1" si="4"/>
        <v>0</v>
      </c>
      <c r="F8" s="489">
        <v>14</v>
      </c>
      <c r="G8" s="488" t="str">
        <f t="shared" ca="1" si="5"/>
        <v/>
      </c>
      <c r="H8" s="898" t="str">
        <f t="shared" ca="1" si="6"/>
        <v/>
      </c>
      <c r="I8" s="898" t="str">
        <f t="shared" ca="1" si="0"/>
        <v/>
      </c>
      <c r="J8" s="898" t="str">
        <f t="shared" ca="1" si="0"/>
        <v/>
      </c>
      <c r="AF8" s="449" t="s">
        <v>785</v>
      </c>
      <c r="AG8" s="435" t="str">
        <f ca="1">IF(ISBLANK(T16),"",IF(T16+U16&lt;Z16+AA16,R17,X17))</f>
        <v/>
      </c>
      <c r="AH8" s="480" t="str">
        <f ca="1">IFERROR(VLOOKUP(AG8,$G$5:$J$28,2,FALSE),"")</f>
        <v/>
      </c>
      <c r="AI8" s="481" t="str">
        <f ca="1">IFERROR(VLOOKUP(AG8,$G$5:$J$28,3,FALSE),"")</f>
        <v/>
      </c>
      <c r="AJ8" s="916" t="str">
        <f ca="1">IFERROR(VLOOKUP(AG8,$G$5:$J$28,4,FALSE),"")</f>
        <v/>
      </c>
      <c r="AN8" s="494"/>
      <c r="AO8" s="495"/>
      <c r="AP8" s="784"/>
      <c r="AQ8" s="496" t="s">
        <v>793</v>
      </c>
      <c r="AR8" s="494"/>
      <c r="AS8" s="495"/>
      <c r="AT8" s="495"/>
      <c r="AU8" s="496" t="s">
        <v>793</v>
      </c>
      <c r="AV8" s="494"/>
      <c r="AW8" s="495"/>
      <c r="AX8" s="495"/>
      <c r="AY8" s="496" t="s">
        <v>793</v>
      </c>
    </row>
    <row r="9" spans="1:51" ht="15.95" customHeight="1" thickBot="1" x14ac:dyDescent="0.25">
      <c r="A9" s="435">
        <v>5</v>
      </c>
      <c r="B9" s="444" t="str">
        <f t="shared" ca="1" si="1"/>
        <v/>
      </c>
      <c r="C9" s="444" t="str">
        <f t="shared" ca="1" si="2"/>
        <v/>
      </c>
      <c r="D9" s="444" t="str">
        <f t="shared" ca="1" si="3"/>
        <v/>
      </c>
      <c r="E9" s="486">
        <f t="shared" ca="1" si="4"/>
        <v>0</v>
      </c>
      <c r="F9" s="489">
        <v>15</v>
      </c>
      <c r="G9" s="488" t="str">
        <f t="shared" ca="1" si="5"/>
        <v/>
      </c>
      <c r="H9" s="898" t="str">
        <f t="shared" ca="1" si="6"/>
        <v/>
      </c>
      <c r="I9" s="898" t="str">
        <f t="shared" ca="1" si="0"/>
        <v/>
      </c>
      <c r="J9" s="898" t="str">
        <f t="shared" ca="1" si="0"/>
        <v/>
      </c>
      <c r="K9" s="445" t="s">
        <v>779</v>
      </c>
      <c r="L9" s="463" t="s">
        <v>1083</v>
      </c>
      <c r="M9" s="456" t="s">
        <v>481</v>
      </c>
      <c r="N9" s="464" t="s">
        <v>3</v>
      </c>
      <c r="O9" s="446" t="s">
        <v>781</v>
      </c>
      <c r="P9" s="445"/>
      <c r="Q9" s="445" t="s">
        <v>779</v>
      </c>
      <c r="R9" s="463" t="s">
        <v>1083</v>
      </c>
      <c r="S9" s="456" t="s">
        <v>481</v>
      </c>
      <c r="T9" s="464" t="s">
        <v>3</v>
      </c>
      <c r="U9" s="446" t="s">
        <v>781</v>
      </c>
      <c r="V9" s="445"/>
      <c r="W9" s="445" t="s">
        <v>779</v>
      </c>
      <c r="X9" s="463" t="s">
        <v>1083</v>
      </c>
      <c r="Y9" s="456" t="s">
        <v>481</v>
      </c>
      <c r="Z9" s="464" t="s">
        <v>3</v>
      </c>
      <c r="AA9" s="446" t="s">
        <v>781</v>
      </c>
      <c r="AF9" s="453"/>
      <c r="AH9" s="441"/>
      <c r="AI9" s="441"/>
      <c r="AJ9" s="938"/>
      <c r="AN9" s="494"/>
      <c r="AO9" s="495"/>
      <c r="AP9" s="495"/>
      <c r="AQ9" s="496" t="s">
        <v>793</v>
      </c>
      <c r="AR9" s="494"/>
      <c r="AS9" s="495"/>
      <c r="AT9" s="495"/>
      <c r="AU9" s="496" t="s">
        <v>793</v>
      </c>
      <c r="AV9" s="494"/>
      <c r="AW9" s="495"/>
      <c r="AX9" s="495"/>
      <c r="AY9" s="496" t="s">
        <v>793</v>
      </c>
    </row>
    <row r="10" spans="1:51" ht="15.95" customHeight="1" thickBot="1" x14ac:dyDescent="0.25">
      <c r="A10" s="435">
        <v>6</v>
      </c>
      <c r="B10" s="444" t="str">
        <f t="shared" ca="1" si="1"/>
        <v/>
      </c>
      <c r="C10" s="444" t="str">
        <f t="shared" ca="1" si="2"/>
        <v/>
      </c>
      <c r="D10" s="444" t="str">
        <f t="shared" ca="1" si="3"/>
        <v/>
      </c>
      <c r="E10" s="486">
        <f t="shared" ca="1" si="4"/>
        <v>0</v>
      </c>
      <c r="F10" s="489">
        <v>16</v>
      </c>
      <c r="G10" s="488" t="str">
        <f t="shared" ca="1" si="5"/>
        <v/>
      </c>
      <c r="H10" s="898" t="str">
        <f t="shared" ca="1" si="6"/>
        <v/>
      </c>
      <c r="I10" s="898" t="str">
        <f t="shared" ca="1" si="0"/>
        <v/>
      </c>
      <c r="J10" s="898" t="str">
        <f t="shared" ca="1" si="0"/>
        <v/>
      </c>
      <c r="K10" s="447">
        <f>Num_Cible</f>
        <v>1</v>
      </c>
      <c r="L10" s="472">
        <v>1</v>
      </c>
      <c r="M10" s="465" t="str">
        <f ca="1">IFERROR(VLOOKUP(L11,$G$5:$J$28,2,FALSE),"")</f>
        <v/>
      </c>
      <c r="N10" s="966"/>
      <c r="O10" s="780"/>
      <c r="Q10" s="447">
        <f>K10</f>
        <v>1</v>
      </c>
      <c r="R10" s="472">
        <v>1</v>
      </c>
      <c r="S10" s="465" t="str">
        <f ca="1">IFERROR(VLOOKUP(R11,$G$5:$J$28,2,FALSE),"")</f>
        <v/>
      </c>
      <c r="T10" s="966"/>
      <c r="U10" s="780"/>
      <c r="W10" s="447">
        <f>Q10</f>
        <v>1</v>
      </c>
      <c r="X10" s="472">
        <v>1</v>
      </c>
      <c r="Y10" s="465" t="str">
        <f ca="1">IFERROR(VLOOKUP(X11,$G$5:$J$28,2,FALSE),"")</f>
        <v/>
      </c>
      <c r="Z10" s="966"/>
      <c r="AA10" s="780"/>
      <c r="AF10" s="453"/>
      <c r="AH10" s="441"/>
      <c r="AI10" s="441"/>
      <c r="AJ10" s="938"/>
      <c r="AN10" s="494"/>
      <c r="AO10" s="495"/>
      <c r="AP10" s="495"/>
      <c r="AQ10" s="496" t="s">
        <v>793</v>
      </c>
      <c r="AR10" s="494"/>
      <c r="AS10" s="495"/>
      <c r="AT10" s="784"/>
      <c r="AU10" s="496" t="s">
        <v>793</v>
      </c>
      <c r="AV10" s="494"/>
      <c r="AW10" s="495"/>
      <c r="AX10" s="495"/>
      <c r="AY10" s="496" t="s">
        <v>793</v>
      </c>
    </row>
    <row r="11" spans="1:51" ht="15.95" customHeight="1" thickBot="1" x14ac:dyDescent="0.25">
      <c r="A11" s="435">
        <v>7</v>
      </c>
      <c r="B11" s="444" t="str">
        <f t="shared" ca="1" si="1"/>
        <v/>
      </c>
      <c r="C11" s="444" t="str">
        <f t="shared" ca="1" si="2"/>
        <v/>
      </c>
      <c r="D11" s="444" t="str">
        <f t="shared" ca="1" si="3"/>
        <v/>
      </c>
      <c r="E11" s="486">
        <f t="shared" ca="1" si="4"/>
        <v>0</v>
      </c>
      <c r="F11" s="489">
        <v>17</v>
      </c>
      <c r="G11" s="488" t="str">
        <f t="shared" ca="1" si="5"/>
        <v/>
      </c>
      <c r="H11" s="898" t="str">
        <f t="shared" ca="1" si="6"/>
        <v/>
      </c>
      <c r="I11" s="898" t="str">
        <f t="shared" ca="1" si="0"/>
        <v/>
      </c>
      <c r="J11" s="898" t="str">
        <f t="shared" ca="1" si="0"/>
        <v/>
      </c>
      <c r="K11" s="447"/>
      <c r="L11" s="473" t="str">
        <f ca="1">VLOOKUP(L10,$A$5:$G$24,7,FALSE)</f>
        <v/>
      </c>
      <c r="M11" s="466" t="str">
        <f ca="1">IFERROR(VLOOKUP(L11,$G$5:$J$28,3,FALSE),"")</f>
        <v/>
      </c>
      <c r="N11" s="967"/>
      <c r="Q11" s="447"/>
      <c r="R11" s="473" t="str">
        <f ca="1">L11</f>
        <v/>
      </c>
      <c r="S11" s="466" t="str">
        <f ca="1">IFERROR(VLOOKUP(R11,$G$5:$J$28,3,FALSE),"")</f>
        <v/>
      </c>
      <c r="T11" s="967"/>
      <c r="W11" s="447"/>
      <c r="X11" s="473" t="str">
        <f ca="1">R11</f>
        <v/>
      </c>
      <c r="Y11" s="466" t="str">
        <f ca="1">IFERROR(VLOOKUP(X11,$G$5:$J$28,3,FALSE),"")</f>
        <v/>
      </c>
      <c r="Z11" s="967"/>
      <c r="AF11" s="453"/>
      <c r="AH11" s="441"/>
      <c r="AI11" s="441"/>
      <c r="AJ11" s="938"/>
      <c r="AN11" s="494"/>
      <c r="AO11" s="495"/>
      <c r="AP11" s="495"/>
      <c r="AQ11" s="496" t="s">
        <v>793</v>
      </c>
      <c r="AR11" s="494"/>
      <c r="AS11" s="495"/>
      <c r="AT11" s="784"/>
      <c r="AU11" s="496" t="s">
        <v>793</v>
      </c>
      <c r="AV11" s="494"/>
      <c r="AW11" s="495"/>
      <c r="AX11" s="495"/>
      <c r="AY11" s="496" t="s">
        <v>793</v>
      </c>
    </row>
    <row r="12" spans="1:51" ht="15.95" customHeight="1" thickBot="1" x14ac:dyDescent="0.25">
      <c r="A12" s="435">
        <v>8</v>
      </c>
      <c r="B12" s="444" t="str">
        <f t="shared" ca="1" si="1"/>
        <v/>
      </c>
      <c r="C12" s="444" t="str">
        <f t="shared" ca="1" si="2"/>
        <v/>
      </c>
      <c r="D12" s="444" t="str">
        <f t="shared" ca="1" si="3"/>
        <v/>
      </c>
      <c r="E12" s="486">
        <f t="shared" ca="1" si="4"/>
        <v>0</v>
      </c>
      <c r="F12" s="489">
        <v>18</v>
      </c>
      <c r="G12" s="488" t="str">
        <f t="shared" ca="1" si="5"/>
        <v/>
      </c>
      <c r="H12" s="898" t="str">
        <f t="shared" ca="1" si="6"/>
        <v/>
      </c>
      <c r="I12" s="898" t="str">
        <f t="shared" ca="1" si="0"/>
        <v/>
      </c>
      <c r="J12" s="898" t="str">
        <f t="shared" ca="1" si="0"/>
        <v/>
      </c>
      <c r="K12" s="447">
        <f>K10+1</f>
        <v>2</v>
      </c>
      <c r="L12" s="472">
        <v>2</v>
      </c>
      <c r="M12" s="465" t="str">
        <f ca="1">IFERROR(VLOOKUP(L13,$G$5:$J$28,2,FALSE),"")</f>
        <v/>
      </c>
      <c r="N12" s="966"/>
      <c r="O12" s="780"/>
      <c r="Q12" s="447">
        <f>K12</f>
        <v>2</v>
      </c>
      <c r="R12" s="472">
        <v>2</v>
      </c>
      <c r="S12" s="465" t="str">
        <f ca="1">IFERROR(VLOOKUP(R13,$G$5:$J$28,2,FALSE),"")</f>
        <v/>
      </c>
      <c r="T12" s="966"/>
      <c r="U12" s="780"/>
      <c r="W12" s="447">
        <f>Q12</f>
        <v>2</v>
      </c>
      <c r="X12" s="472">
        <v>2</v>
      </c>
      <c r="Y12" s="465" t="str">
        <f ca="1">IFERROR(VLOOKUP(X13,$G$5:$J$28,2,FALSE),"")</f>
        <v/>
      </c>
      <c r="Z12" s="966"/>
      <c r="AA12" s="780"/>
      <c r="AF12" s="453"/>
      <c r="AH12" s="441"/>
      <c r="AI12" s="441"/>
      <c r="AJ12" s="938"/>
      <c r="AN12" s="494"/>
      <c r="AO12" s="495"/>
      <c r="AP12" s="495"/>
      <c r="AQ12" s="496" t="s">
        <v>793</v>
      </c>
      <c r="AR12" s="494"/>
      <c r="AS12" s="495"/>
      <c r="AT12" s="784"/>
      <c r="AU12" s="496" t="s">
        <v>793</v>
      </c>
      <c r="AV12" s="494"/>
      <c r="AW12" s="495"/>
      <c r="AX12" s="495"/>
      <c r="AY12" s="496" t="s">
        <v>793</v>
      </c>
    </row>
    <row r="13" spans="1:51" ht="15.95" customHeight="1" thickBot="1" x14ac:dyDescent="0.25">
      <c r="A13" s="435">
        <v>9</v>
      </c>
      <c r="B13" s="444" t="str">
        <f t="shared" ca="1" si="1"/>
        <v/>
      </c>
      <c r="C13" s="444" t="str">
        <f t="shared" ca="1" si="2"/>
        <v/>
      </c>
      <c r="D13" s="444" t="str">
        <f t="shared" ca="1" si="3"/>
        <v/>
      </c>
      <c r="E13" s="486">
        <f t="shared" ca="1" si="4"/>
        <v>0</v>
      </c>
      <c r="F13" s="489">
        <v>19</v>
      </c>
      <c r="G13" s="488" t="str">
        <f t="shared" ca="1" si="5"/>
        <v/>
      </c>
      <c r="H13" s="898" t="str">
        <f t="shared" ca="1" si="6"/>
        <v/>
      </c>
      <c r="I13" s="898" t="str">
        <f t="shared" ca="1" si="0"/>
        <v/>
      </c>
      <c r="J13" s="898" t="str">
        <f t="shared" ca="1" si="0"/>
        <v/>
      </c>
      <c r="K13" s="447"/>
      <c r="L13" s="473" t="str">
        <f ca="1">VLOOKUP(L12,$A$5:$G$24,7,FALSE)</f>
        <v/>
      </c>
      <c r="M13" s="466" t="str">
        <f ca="1">IFERROR(VLOOKUP(L13,$G$5:$J$28,3,FALSE),"")</f>
        <v/>
      </c>
      <c r="N13" s="967"/>
      <c r="Q13" s="447"/>
      <c r="R13" s="473" t="str">
        <f ca="1">L13</f>
        <v/>
      </c>
      <c r="S13" s="466" t="str">
        <f ca="1">IFERROR(VLOOKUP(R13,$G$5:$J$28,3,FALSE),"")</f>
        <v/>
      </c>
      <c r="T13" s="967"/>
      <c r="W13" s="447"/>
      <c r="X13" s="473" t="str">
        <f ca="1">R13</f>
        <v/>
      </c>
      <c r="Y13" s="466" t="str">
        <f ca="1">IFERROR(VLOOKUP(X13,$G$5:$J$28,3,FALSE),"")</f>
        <v/>
      </c>
      <c r="Z13" s="967"/>
      <c r="AF13" s="453"/>
      <c r="AH13" s="441"/>
      <c r="AI13" s="441"/>
      <c r="AJ13" s="938"/>
      <c r="AN13" s="494"/>
      <c r="AO13" s="495"/>
      <c r="AP13" s="784"/>
      <c r="AQ13" s="496" t="s">
        <v>793</v>
      </c>
      <c r="AR13" s="494"/>
      <c r="AS13" s="495"/>
      <c r="AT13" s="784"/>
      <c r="AU13" s="496" t="s">
        <v>793</v>
      </c>
      <c r="AV13" s="494"/>
      <c r="AW13" s="495"/>
      <c r="AX13" s="495"/>
      <c r="AY13" s="496" t="s">
        <v>793</v>
      </c>
    </row>
    <row r="14" spans="1:51" ht="15.95" customHeight="1" thickBot="1" x14ac:dyDescent="0.25">
      <c r="A14" s="435">
        <v>10</v>
      </c>
      <c r="B14" s="444" t="str">
        <f t="shared" ca="1" si="1"/>
        <v/>
      </c>
      <c r="C14" s="444" t="str">
        <f t="shared" ca="1" si="2"/>
        <v/>
      </c>
      <c r="D14" s="444" t="str">
        <f t="shared" ca="1" si="3"/>
        <v/>
      </c>
      <c r="E14" s="486">
        <f t="shared" ca="1" si="4"/>
        <v>0</v>
      </c>
      <c r="F14" s="489">
        <v>20</v>
      </c>
      <c r="G14" s="488" t="str">
        <f t="shared" ca="1" si="5"/>
        <v/>
      </c>
      <c r="H14" s="898" t="str">
        <f t="shared" ca="1" si="6"/>
        <v/>
      </c>
      <c r="I14" s="898" t="str">
        <f t="shared" ca="1" si="0"/>
        <v/>
      </c>
      <c r="J14" s="898" t="str">
        <f t="shared" ca="1" si="0"/>
        <v/>
      </c>
      <c r="AF14" s="453"/>
      <c r="AH14" s="441"/>
      <c r="AI14" s="441"/>
      <c r="AJ14" s="938"/>
      <c r="AN14" s="494"/>
      <c r="AO14" s="495"/>
      <c r="AP14" s="784"/>
      <c r="AQ14" s="496" t="s">
        <v>793</v>
      </c>
      <c r="AR14" s="494"/>
      <c r="AS14" s="495"/>
      <c r="AT14" s="784"/>
      <c r="AU14" s="496" t="s">
        <v>793</v>
      </c>
      <c r="AV14" s="494"/>
      <c r="AW14" s="495"/>
      <c r="AX14" s="495"/>
      <c r="AY14" s="496" t="s">
        <v>793</v>
      </c>
    </row>
    <row r="15" spans="1:51" ht="15.95" customHeight="1" thickBot="1" x14ac:dyDescent="0.25">
      <c r="F15" s="489">
        <v>21</v>
      </c>
      <c r="G15" s="488" t="str">
        <f t="shared" si="5"/>
        <v/>
      </c>
      <c r="H15" s="898" t="str">
        <f t="shared" si="6"/>
        <v/>
      </c>
      <c r="I15" s="898" t="str">
        <f t="shared" si="0"/>
        <v/>
      </c>
      <c r="J15" s="898" t="str">
        <f t="shared" si="0"/>
        <v/>
      </c>
      <c r="K15" s="450"/>
      <c r="L15" s="437"/>
      <c r="M15" s="968" t="s">
        <v>1314</v>
      </c>
      <c r="N15" s="969"/>
      <c r="O15" s="970"/>
      <c r="P15" s="792" t="e">
        <f>IF(Q15=1,5,IF(Q15=2,8,IF(Q15=3,9,"")))</f>
        <v>#REF!</v>
      </c>
      <c r="Q15" s="900" t="e">
        <f>RANK(R15,$R$15:$R$17,0)</f>
        <v>#REF!</v>
      </c>
      <c r="R15" s="901" t="e">
        <f>#REF!+#REF!/100</f>
        <v>#REF!</v>
      </c>
      <c r="S15" s="902" t="e">
        <f>#REF!</f>
        <v>#REF!</v>
      </c>
      <c r="T15" s="903"/>
      <c r="U15" s="904"/>
      <c r="V15" s="905"/>
      <c r="W15" s="905"/>
      <c r="X15" s="905"/>
      <c r="Y15" s="905"/>
      <c r="Z15" s="906"/>
      <c r="AA15" s="907"/>
      <c r="AF15" s="453"/>
      <c r="AH15" s="441"/>
      <c r="AI15" s="441"/>
      <c r="AJ15" s="938"/>
      <c r="AN15" s="494"/>
      <c r="AO15" s="495"/>
      <c r="AP15" s="784"/>
      <c r="AQ15" s="496" t="s">
        <v>793</v>
      </c>
      <c r="AR15" s="494"/>
      <c r="AS15" s="495"/>
      <c r="AT15" s="784"/>
      <c r="AU15" s="496" t="s">
        <v>793</v>
      </c>
      <c r="AV15" s="494"/>
      <c r="AW15" s="495"/>
      <c r="AX15" s="495"/>
      <c r="AY15" s="496" t="s">
        <v>793</v>
      </c>
    </row>
    <row r="16" spans="1:51" ht="15.95" customHeight="1" x14ac:dyDescent="0.2">
      <c r="F16" s="489">
        <v>22</v>
      </c>
      <c r="G16" s="488" t="str">
        <f t="shared" si="5"/>
        <v/>
      </c>
      <c r="H16" s="898" t="str">
        <f t="shared" si="6"/>
        <v/>
      </c>
      <c r="I16" s="898" t="str">
        <f t="shared" si="0"/>
        <v/>
      </c>
      <c r="J16" s="898" t="str">
        <f t="shared" si="0"/>
        <v/>
      </c>
      <c r="L16" s="437"/>
      <c r="M16" s="971"/>
      <c r="N16" s="972"/>
      <c r="O16" s="973"/>
      <c r="P16" s="892"/>
      <c r="Q16" s="908"/>
      <c r="R16" s="472">
        <v>1</v>
      </c>
      <c r="S16" s="465" t="str">
        <f ca="1">IFERROR(VLOOKUP(R17,$G$5:$J$28,2,FALSE),"")</f>
        <v/>
      </c>
      <c r="T16" s="977">
        <f>L58</f>
        <v>0</v>
      </c>
      <c r="U16" s="892"/>
      <c r="V16" s="892"/>
      <c r="W16" s="892"/>
      <c r="X16" s="472">
        <v>2</v>
      </c>
      <c r="Y16" s="465" t="str">
        <f ca="1">IFERROR(VLOOKUP(X17,$G$5:$J$28,2,FALSE),"")</f>
        <v/>
      </c>
      <c r="Z16" s="977">
        <f>L60</f>
        <v>0</v>
      </c>
      <c r="AA16" s="909"/>
      <c r="AF16" s="453"/>
      <c r="AH16" s="441"/>
      <c r="AI16" s="441"/>
      <c r="AJ16" s="938"/>
      <c r="AN16" s="494"/>
      <c r="AO16" s="495"/>
      <c r="AP16" s="495"/>
      <c r="AQ16" s="496"/>
      <c r="AR16" s="494"/>
      <c r="AS16" s="495"/>
      <c r="AT16" s="495"/>
      <c r="AU16" s="496"/>
      <c r="AV16" s="494"/>
      <c r="AW16" s="495"/>
      <c r="AX16" s="495"/>
      <c r="AY16" s="496"/>
    </row>
    <row r="17" spans="6:51" ht="15.95" customHeight="1" thickBot="1" x14ac:dyDescent="0.25">
      <c r="F17" s="489">
        <v>23</v>
      </c>
      <c r="G17" s="488" t="str">
        <f t="shared" si="5"/>
        <v/>
      </c>
      <c r="H17" s="898" t="str">
        <f t="shared" si="6"/>
        <v/>
      </c>
      <c r="I17" s="898" t="str">
        <f t="shared" si="0"/>
        <v/>
      </c>
      <c r="J17" s="898" t="str">
        <f t="shared" si="0"/>
        <v/>
      </c>
      <c r="K17" s="450"/>
      <c r="L17" s="437"/>
      <c r="M17" s="971"/>
      <c r="N17" s="972"/>
      <c r="O17" s="973"/>
      <c r="P17" s="892"/>
      <c r="Q17" s="908"/>
      <c r="R17" s="473" t="str">
        <f ca="1">L11</f>
        <v/>
      </c>
      <c r="S17" s="466" t="str">
        <f ca="1">IFERROR(VLOOKUP(R17,$G$5:$J$28,3,FALSE),"")</f>
        <v/>
      </c>
      <c r="T17" s="978"/>
      <c r="U17" s="892"/>
      <c r="V17" s="892"/>
      <c r="W17" s="892"/>
      <c r="X17" s="473" t="str">
        <f ca="1">L13</f>
        <v/>
      </c>
      <c r="Y17" s="466" t="str">
        <f ca="1">IFERROR(VLOOKUP(X17,$G$5:$J$28,3,FALSE),"")</f>
        <v/>
      </c>
      <c r="Z17" s="978"/>
      <c r="AA17" s="909"/>
      <c r="AF17" s="453"/>
      <c r="AG17" s="453"/>
      <c r="AH17" s="453"/>
      <c r="AI17" s="453"/>
      <c r="AJ17" s="453"/>
      <c r="AN17" s="494"/>
      <c r="AO17" s="495"/>
      <c r="AP17" s="495"/>
      <c r="AQ17" s="496"/>
      <c r="AR17" s="494"/>
      <c r="AS17" s="495"/>
      <c r="AT17" s="495"/>
      <c r="AU17" s="496"/>
      <c r="AV17" s="494"/>
      <c r="AW17" s="495"/>
      <c r="AX17" s="495"/>
      <c r="AY17" s="496"/>
    </row>
    <row r="18" spans="6:51" ht="15.95" customHeight="1" thickBot="1" x14ac:dyDescent="0.25">
      <c r="F18" s="489">
        <v>24</v>
      </c>
      <c r="G18" s="488" t="str">
        <f t="shared" si="5"/>
        <v/>
      </c>
      <c r="H18" s="898" t="str">
        <f t="shared" si="6"/>
        <v/>
      </c>
      <c r="I18" s="898" t="str">
        <f t="shared" si="0"/>
        <v/>
      </c>
      <c r="J18" s="898" t="str">
        <f t="shared" si="0"/>
        <v/>
      </c>
      <c r="K18" s="450"/>
      <c r="L18" s="450"/>
      <c r="M18" s="974"/>
      <c r="N18" s="975"/>
      <c r="O18" s="976"/>
      <c r="P18" s="450"/>
      <c r="Q18" s="910"/>
      <c r="R18" s="911"/>
      <c r="S18" s="911"/>
      <c r="T18" s="912"/>
      <c r="U18" s="466"/>
      <c r="V18" s="911"/>
      <c r="W18" s="911"/>
      <c r="X18" s="911"/>
      <c r="Y18" s="911"/>
      <c r="Z18" s="455"/>
      <c r="AA18" s="913"/>
      <c r="AF18" s="453"/>
      <c r="AG18" s="453"/>
      <c r="AH18" s="453"/>
      <c r="AI18" s="453"/>
      <c r="AJ18" s="453"/>
      <c r="AN18" s="494"/>
      <c r="AO18" s="495"/>
      <c r="AP18" s="495"/>
      <c r="AQ18" s="496"/>
      <c r="AR18" s="494"/>
      <c r="AS18" s="495"/>
      <c r="AT18" s="495"/>
      <c r="AU18" s="496"/>
      <c r="AV18" s="494"/>
      <c r="AW18" s="495"/>
      <c r="AX18" s="495"/>
      <c r="AY18" s="496"/>
    </row>
    <row r="19" spans="6:51" ht="15.95" customHeight="1" x14ac:dyDescent="0.2">
      <c r="F19" s="489">
        <v>25</v>
      </c>
      <c r="G19" s="488" t="str">
        <f t="shared" si="5"/>
        <v/>
      </c>
      <c r="H19" s="898" t="str">
        <f t="shared" si="6"/>
        <v/>
      </c>
      <c r="I19" s="898" t="str">
        <f t="shared" si="0"/>
        <v/>
      </c>
      <c r="J19" s="898" t="str">
        <f t="shared" si="0"/>
        <v/>
      </c>
      <c r="K19" s="523"/>
      <c r="L19" s="523"/>
      <c r="M19" s="523"/>
      <c r="N19" s="523"/>
      <c r="O19" s="778"/>
      <c r="P19" s="450"/>
      <c r="Q19" s="450"/>
      <c r="R19" s="450"/>
      <c r="S19" s="450"/>
      <c r="T19" s="815"/>
      <c r="U19" s="778"/>
      <c r="V19" s="450"/>
      <c r="W19" s="450"/>
      <c r="X19" s="450"/>
      <c r="Y19" s="450"/>
      <c r="Z19" s="451"/>
      <c r="AA19" s="450"/>
      <c r="AF19" s="453"/>
      <c r="AG19" s="453"/>
      <c r="AH19" s="453"/>
      <c r="AI19" s="453"/>
      <c r="AJ19" s="453"/>
      <c r="AN19" s="494"/>
      <c r="AO19" s="495"/>
      <c r="AP19" s="495"/>
      <c r="AQ19" s="496"/>
      <c r="AR19" s="494"/>
      <c r="AS19" s="495"/>
      <c r="AT19" s="495"/>
      <c r="AU19" s="496"/>
      <c r="AV19" s="494"/>
      <c r="AW19" s="495"/>
      <c r="AX19" s="495"/>
      <c r="AY19" s="496"/>
    </row>
    <row r="20" spans="6:51" ht="15.95" customHeight="1" x14ac:dyDescent="0.2">
      <c r="F20" s="489">
        <v>26</v>
      </c>
      <c r="G20" s="488" t="str">
        <f t="shared" si="5"/>
        <v/>
      </c>
      <c r="H20" s="898" t="str">
        <f t="shared" si="6"/>
        <v/>
      </c>
      <c r="I20" s="898" t="str">
        <f t="shared" si="0"/>
        <v/>
      </c>
      <c r="J20" s="898" t="str">
        <f t="shared" si="0"/>
        <v/>
      </c>
      <c r="K20" s="523"/>
      <c r="P20" s="778"/>
      <c r="Q20" s="809"/>
      <c r="R20" s="450"/>
      <c r="S20" s="450"/>
      <c r="T20" s="451"/>
      <c r="U20" s="450"/>
      <c r="V20" s="450"/>
      <c r="W20" s="809"/>
      <c r="X20" s="450"/>
      <c r="Y20" s="450"/>
      <c r="Z20" s="451"/>
      <c r="AA20" s="885"/>
      <c r="AF20" s="453"/>
      <c r="AG20" s="453"/>
      <c r="AH20" s="453"/>
      <c r="AI20" s="453"/>
      <c r="AJ20" s="453"/>
      <c r="AN20" s="494"/>
      <c r="AO20" s="495"/>
      <c r="AP20" s="495"/>
      <c r="AQ20" s="496"/>
      <c r="AR20" s="494"/>
      <c r="AS20" s="495"/>
      <c r="AT20" s="495"/>
      <c r="AU20" s="496"/>
      <c r="AV20" s="494"/>
      <c r="AW20" s="495"/>
      <c r="AX20" s="495"/>
      <c r="AY20" s="496" t="s">
        <v>793</v>
      </c>
    </row>
    <row r="21" spans="6:51" ht="15.95" customHeight="1" x14ac:dyDescent="0.2">
      <c r="F21" s="489">
        <v>27</v>
      </c>
      <c r="G21" s="488" t="str">
        <f t="shared" si="5"/>
        <v/>
      </c>
      <c r="H21" s="898" t="str">
        <f t="shared" si="6"/>
        <v/>
      </c>
      <c r="I21" s="898" t="str">
        <f t="shared" si="6"/>
        <v/>
      </c>
      <c r="J21" s="898" t="str">
        <f t="shared" si="6"/>
        <v/>
      </c>
      <c r="K21" s="786"/>
      <c r="P21" s="778"/>
      <c r="Q21" s="786"/>
      <c r="R21" s="450"/>
      <c r="S21" s="893"/>
      <c r="T21" s="883"/>
      <c r="U21" s="815"/>
      <c r="V21" s="450"/>
      <c r="W21" s="809"/>
      <c r="X21" s="450"/>
      <c r="Y21" s="450"/>
      <c r="Z21" s="451"/>
      <c r="AA21" s="885"/>
      <c r="AF21" s="453"/>
      <c r="AG21" s="453"/>
      <c r="AH21" s="453"/>
      <c r="AI21" s="453"/>
      <c r="AJ21" s="453"/>
      <c r="AN21" s="494"/>
      <c r="AO21" s="495"/>
      <c r="AP21" s="495"/>
      <c r="AQ21" s="496"/>
      <c r="AR21" s="494"/>
      <c r="AS21" s="495"/>
      <c r="AT21" s="495"/>
      <c r="AU21" s="496"/>
      <c r="AV21" s="494"/>
      <c r="AW21" s="495"/>
      <c r="AX21" s="495"/>
      <c r="AY21" s="496" t="s">
        <v>793</v>
      </c>
    </row>
    <row r="22" spans="6:51" ht="15.95" customHeight="1" x14ac:dyDescent="0.2">
      <c r="F22" s="489">
        <v>28</v>
      </c>
      <c r="G22" s="488" t="str">
        <f t="shared" si="5"/>
        <v/>
      </c>
      <c r="H22" s="898" t="str">
        <f t="shared" si="6"/>
        <v/>
      </c>
      <c r="I22" s="898" t="str">
        <f t="shared" si="6"/>
        <v/>
      </c>
      <c r="J22" s="898" t="str">
        <f t="shared" si="6"/>
        <v/>
      </c>
      <c r="K22" s="786"/>
      <c r="P22" s="778"/>
      <c r="Q22" s="786"/>
      <c r="R22" s="450"/>
      <c r="S22" s="893"/>
      <c r="T22" s="883"/>
      <c r="U22" s="815"/>
      <c r="V22" s="450"/>
      <c r="W22" s="809"/>
      <c r="X22" s="450"/>
      <c r="Y22" s="450"/>
      <c r="Z22" s="451"/>
      <c r="AA22" s="885"/>
      <c r="AF22" s="453"/>
      <c r="AG22" s="453"/>
      <c r="AH22" s="453"/>
      <c r="AI22" s="453"/>
      <c r="AJ22" s="453"/>
      <c r="AN22" s="494"/>
      <c r="AO22" s="495"/>
      <c r="AP22" s="495"/>
      <c r="AQ22" s="496"/>
      <c r="AR22" s="494"/>
      <c r="AS22" s="495"/>
      <c r="AT22" s="495"/>
      <c r="AU22" s="496"/>
      <c r="AV22" s="494"/>
      <c r="AW22" s="495"/>
      <c r="AX22" s="495"/>
      <c r="AY22" s="496" t="s">
        <v>793</v>
      </c>
    </row>
    <row r="23" spans="6:51" ht="15.95" customHeight="1" x14ac:dyDescent="0.2">
      <c r="F23" s="489">
        <v>29</v>
      </c>
      <c r="G23" s="488" t="str">
        <f t="shared" si="5"/>
        <v/>
      </c>
      <c r="H23" s="898" t="str">
        <f t="shared" si="6"/>
        <v/>
      </c>
      <c r="I23" s="898" t="str">
        <f t="shared" si="6"/>
        <v/>
      </c>
      <c r="J23" s="898" t="str">
        <f t="shared" si="6"/>
        <v/>
      </c>
      <c r="K23" s="786"/>
      <c r="L23" s="450"/>
      <c r="M23" s="893"/>
      <c r="N23" s="883"/>
      <c r="O23" s="815"/>
      <c r="P23" s="778"/>
      <c r="Q23" s="786"/>
      <c r="R23" s="450"/>
      <c r="S23" s="893"/>
      <c r="T23" s="883"/>
      <c r="U23" s="451"/>
      <c r="V23" s="450"/>
      <c r="W23" s="809"/>
      <c r="X23" s="450"/>
      <c r="Y23" s="450"/>
      <c r="Z23" s="451"/>
      <c r="AA23" s="450"/>
      <c r="AF23" s="453"/>
      <c r="AG23" s="453"/>
      <c r="AH23" s="453"/>
      <c r="AI23" s="453"/>
      <c r="AJ23" s="453"/>
      <c r="AN23" s="494"/>
      <c r="AO23" s="495"/>
      <c r="AP23" s="495"/>
      <c r="AQ23" s="496"/>
      <c r="AR23" s="494"/>
      <c r="AS23" s="495"/>
      <c r="AT23" s="495"/>
      <c r="AU23" s="496"/>
      <c r="AV23" s="494"/>
      <c r="AW23" s="495"/>
      <c r="AX23" s="495"/>
      <c r="AY23" s="496" t="s">
        <v>793</v>
      </c>
    </row>
    <row r="24" spans="6:51" ht="15.95" customHeight="1" x14ac:dyDescent="0.2">
      <c r="F24" s="489">
        <v>30</v>
      </c>
      <c r="G24" s="488" t="str">
        <f t="shared" si="5"/>
        <v/>
      </c>
      <c r="H24" s="898" t="str">
        <f t="shared" si="6"/>
        <v/>
      </c>
      <c r="I24" s="898" t="str">
        <f t="shared" si="6"/>
        <v/>
      </c>
      <c r="J24" s="898" t="str">
        <f t="shared" si="6"/>
        <v/>
      </c>
      <c r="K24" s="523"/>
      <c r="L24" s="523"/>
      <c r="M24" s="523"/>
      <c r="N24" s="523"/>
      <c r="O24" s="778"/>
      <c r="P24" s="778"/>
      <c r="Q24" s="809"/>
      <c r="R24" s="450"/>
      <c r="S24" s="450"/>
      <c r="T24" s="451"/>
      <c r="U24" s="450"/>
      <c r="V24" s="450"/>
      <c r="W24" s="809"/>
      <c r="X24" s="450"/>
      <c r="Y24" s="450"/>
      <c r="Z24" s="451"/>
      <c r="AA24" s="450"/>
      <c r="AF24" s="453"/>
      <c r="AG24" s="453"/>
      <c r="AH24" s="453"/>
      <c r="AI24" s="453"/>
      <c r="AJ24" s="453"/>
      <c r="AN24" s="494"/>
      <c r="AO24" s="495"/>
      <c r="AP24" s="495"/>
      <c r="AQ24" s="496"/>
      <c r="AR24" s="494"/>
      <c r="AS24" s="495"/>
      <c r="AT24" s="495"/>
      <c r="AU24" s="496"/>
      <c r="AV24" s="494"/>
      <c r="AW24" s="495"/>
      <c r="AX24" s="495"/>
      <c r="AY24" s="496" t="s">
        <v>793</v>
      </c>
    </row>
    <row r="25" spans="6:51" ht="15.95" customHeight="1" x14ac:dyDescent="0.2">
      <c r="F25" s="489">
        <v>31</v>
      </c>
      <c r="G25" s="488" t="str">
        <f t="shared" si="5"/>
        <v/>
      </c>
      <c r="H25" s="898" t="str">
        <f t="shared" si="6"/>
        <v/>
      </c>
      <c r="I25" s="898" t="str">
        <f t="shared" si="6"/>
        <v/>
      </c>
      <c r="J25" s="898" t="str">
        <f t="shared" si="6"/>
        <v/>
      </c>
      <c r="K25" s="523"/>
      <c r="L25" s="523"/>
      <c r="M25" s="523"/>
      <c r="N25" s="523"/>
      <c r="O25" s="778"/>
      <c r="P25" s="778"/>
      <c r="Q25" s="809"/>
      <c r="R25" s="450"/>
      <c r="S25" s="450"/>
      <c r="T25" s="451"/>
      <c r="U25" s="450"/>
      <c r="V25" s="450"/>
      <c r="W25" s="809"/>
      <c r="X25" s="450"/>
      <c r="Y25" s="450"/>
      <c r="Z25" s="451"/>
      <c r="AA25" s="450"/>
      <c r="AF25" s="453"/>
      <c r="AG25" s="453"/>
      <c r="AH25" s="453"/>
      <c r="AI25" s="453"/>
      <c r="AJ25" s="453"/>
      <c r="AN25" s="494"/>
      <c r="AO25" s="495"/>
      <c r="AP25" s="495"/>
      <c r="AQ25" s="496"/>
      <c r="AR25" s="494"/>
      <c r="AS25" s="495"/>
      <c r="AT25" s="495"/>
      <c r="AU25" s="496"/>
      <c r="AV25" s="494"/>
      <c r="AW25" s="495"/>
      <c r="AX25" s="495"/>
      <c r="AY25" s="496" t="s">
        <v>793</v>
      </c>
    </row>
    <row r="26" spans="6:51" ht="15.95" customHeight="1" x14ac:dyDescent="0.2">
      <c r="F26" s="489">
        <v>32</v>
      </c>
      <c r="G26" s="488" t="str">
        <f t="shared" si="5"/>
        <v/>
      </c>
      <c r="H26" s="898" t="str">
        <f t="shared" si="6"/>
        <v/>
      </c>
      <c r="I26" s="898" t="str">
        <f t="shared" si="6"/>
        <v/>
      </c>
      <c r="J26" s="898" t="str">
        <f t="shared" si="6"/>
        <v/>
      </c>
      <c r="K26" s="523"/>
      <c r="L26" s="523"/>
      <c r="M26" s="523"/>
      <c r="N26" s="523"/>
      <c r="O26" s="778"/>
      <c r="P26" s="450"/>
      <c r="Q26" s="450"/>
      <c r="R26" s="437"/>
      <c r="S26" s="437"/>
      <c r="T26" s="451"/>
      <c r="U26" s="450"/>
      <c r="V26" s="450"/>
      <c r="W26" s="450"/>
      <c r="X26" s="516"/>
      <c r="Y26" s="457"/>
      <c r="Z26" s="457"/>
      <c r="AA26" s="450"/>
      <c r="AF26" s="453"/>
      <c r="AG26" s="453"/>
      <c r="AH26" s="453"/>
      <c r="AI26" s="453"/>
      <c r="AJ26" s="453"/>
      <c r="AN26" s="494"/>
      <c r="AO26" s="495"/>
      <c r="AP26" s="495"/>
      <c r="AQ26" s="496"/>
      <c r="AR26" s="494"/>
      <c r="AS26" s="495"/>
      <c r="AT26" s="495"/>
      <c r="AU26" s="496"/>
      <c r="AV26" s="494"/>
      <c r="AW26" s="495"/>
      <c r="AX26" s="495"/>
      <c r="AY26" s="496" t="s">
        <v>793</v>
      </c>
    </row>
    <row r="27" spans="6:51" ht="15.95" customHeight="1" x14ac:dyDescent="0.2">
      <c r="F27" s="489">
        <v>33</v>
      </c>
      <c r="G27" s="488" t="str">
        <f t="shared" si="5"/>
        <v/>
      </c>
      <c r="H27" s="898" t="str">
        <f t="shared" si="6"/>
        <v/>
      </c>
      <c r="I27" s="898" t="str">
        <f t="shared" si="6"/>
        <v/>
      </c>
      <c r="J27" s="898" t="str">
        <f t="shared" si="6"/>
        <v/>
      </c>
      <c r="K27" s="523"/>
      <c r="L27" s="523"/>
      <c r="M27" s="523"/>
      <c r="N27" s="523"/>
      <c r="O27" s="778"/>
      <c r="P27" s="778"/>
      <c r="Q27" s="450"/>
      <c r="R27" s="437"/>
      <c r="S27" s="437"/>
      <c r="T27" s="451"/>
      <c r="U27" s="450"/>
      <c r="V27" s="450"/>
      <c r="W27" s="450"/>
      <c r="X27" s="516"/>
      <c r="Y27" s="457"/>
      <c r="Z27" s="457"/>
      <c r="AA27" s="450"/>
      <c r="AF27" s="453"/>
      <c r="AG27" s="453"/>
      <c r="AH27" s="453"/>
      <c r="AI27" s="453"/>
      <c r="AJ27" s="453"/>
      <c r="AN27" s="494"/>
      <c r="AO27" s="495"/>
      <c r="AP27" s="495"/>
      <c r="AQ27" s="496"/>
      <c r="AR27" s="494"/>
      <c r="AS27" s="495"/>
      <c r="AT27" s="495"/>
      <c r="AU27" s="496"/>
      <c r="AV27" s="494"/>
      <c r="AW27" s="495"/>
      <c r="AX27" s="495"/>
      <c r="AY27" s="496" t="s">
        <v>793</v>
      </c>
    </row>
    <row r="28" spans="6:51" ht="15.95" customHeight="1" x14ac:dyDescent="0.2">
      <c r="F28" s="489">
        <v>34</v>
      </c>
      <c r="G28" s="488" t="str">
        <f t="shared" si="5"/>
        <v/>
      </c>
      <c r="H28" s="898" t="str">
        <f t="shared" si="6"/>
        <v/>
      </c>
      <c r="I28" s="898" t="str">
        <f t="shared" si="6"/>
        <v/>
      </c>
      <c r="J28" s="898" t="str">
        <f t="shared" si="6"/>
        <v/>
      </c>
      <c r="K28" s="523"/>
      <c r="L28" s="523"/>
      <c r="M28" s="523"/>
      <c r="N28" s="523"/>
      <c r="O28" s="778"/>
      <c r="P28" s="778"/>
      <c r="Q28" s="450"/>
      <c r="R28" s="437"/>
      <c r="S28" s="437"/>
      <c r="T28" s="451"/>
      <c r="U28" s="450"/>
      <c r="V28" s="450"/>
      <c r="W28" s="450"/>
      <c r="X28" s="516"/>
      <c r="Y28" s="457"/>
      <c r="Z28" s="457"/>
      <c r="AA28" s="450"/>
      <c r="AF28" s="453"/>
      <c r="AG28" s="453"/>
      <c r="AH28" s="453"/>
      <c r="AI28" s="453"/>
      <c r="AJ28" s="453"/>
      <c r="AN28" s="494"/>
      <c r="AO28" s="495"/>
      <c r="AP28" s="495"/>
      <c r="AQ28" s="496"/>
      <c r="AR28" s="494"/>
      <c r="AS28" s="495"/>
      <c r="AT28" s="495"/>
      <c r="AU28" s="496"/>
      <c r="AV28" s="494"/>
      <c r="AW28" s="495"/>
      <c r="AX28" s="495"/>
      <c r="AY28" s="496" t="s">
        <v>793</v>
      </c>
    </row>
    <row r="29" spans="6:51" ht="15.95" customHeight="1" x14ac:dyDescent="0.2">
      <c r="I29" s="437"/>
      <c r="J29" s="437"/>
      <c r="K29" s="523"/>
      <c r="L29" s="523"/>
      <c r="M29" s="523"/>
      <c r="N29" s="523"/>
      <c r="O29" s="778"/>
      <c r="P29" s="778"/>
      <c r="Q29" s="450"/>
      <c r="R29" s="437"/>
      <c r="S29" s="437"/>
      <c r="T29" s="451"/>
      <c r="U29" s="450"/>
      <c r="V29" s="450"/>
      <c r="W29" s="450"/>
      <c r="X29" s="516"/>
      <c r="Y29" s="457"/>
      <c r="Z29" s="457"/>
      <c r="AA29" s="450"/>
      <c r="AF29" s="453"/>
      <c r="AG29" s="453"/>
      <c r="AH29" s="453"/>
      <c r="AI29" s="453"/>
      <c r="AJ29" s="453"/>
      <c r="AN29" s="494"/>
      <c r="AO29" s="495"/>
      <c r="AP29" s="495"/>
      <c r="AQ29" s="496"/>
      <c r="AR29" s="494"/>
      <c r="AS29" s="495"/>
      <c r="AT29" s="495"/>
      <c r="AU29" s="496"/>
      <c r="AV29" s="494"/>
      <c r="AW29" s="495"/>
      <c r="AX29" s="495"/>
      <c r="AY29" s="496" t="s">
        <v>793</v>
      </c>
    </row>
    <row r="30" spans="6:51" ht="15.95" customHeight="1" x14ac:dyDescent="0.2">
      <c r="I30" s="437"/>
      <c r="J30" s="437"/>
      <c r="K30" s="523"/>
      <c r="L30" s="523"/>
      <c r="M30" s="523"/>
      <c r="N30" s="523"/>
      <c r="Q30" s="450"/>
      <c r="R30" s="437"/>
      <c r="S30" s="437"/>
      <c r="T30" s="451"/>
      <c r="U30" s="450"/>
      <c r="V30" s="450"/>
      <c r="W30" s="450"/>
      <c r="X30" s="516"/>
      <c r="Y30" s="457"/>
      <c r="Z30" s="457"/>
      <c r="AA30" s="450"/>
      <c r="AF30" s="453"/>
      <c r="AG30" s="453"/>
      <c r="AH30" s="453"/>
      <c r="AI30" s="453"/>
      <c r="AJ30" s="453"/>
    </row>
    <row r="31" spans="6:51" ht="15.95" customHeight="1" x14ac:dyDescent="0.2">
      <c r="I31" s="437"/>
      <c r="J31" s="437"/>
      <c r="K31" s="523"/>
      <c r="L31" s="523"/>
      <c r="M31" s="523"/>
      <c r="N31" s="523"/>
      <c r="Q31" s="450"/>
      <c r="R31" s="437"/>
      <c r="S31" s="437"/>
      <c r="T31" s="451"/>
      <c r="U31" s="450"/>
      <c r="V31" s="450"/>
      <c r="W31" s="450"/>
      <c r="X31" s="516"/>
      <c r="Y31" s="457"/>
      <c r="Z31" s="457"/>
      <c r="AA31" s="450"/>
      <c r="AF31" s="453"/>
      <c r="AG31" s="453"/>
    </row>
    <row r="32" spans="6:51" ht="15.95" customHeight="1" x14ac:dyDescent="0.2">
      <c r="I32" s="437"/>
      <c r="J32" s="437"/>
      <c r="K32" s="523"/>
      <c r="N32" s="435"/>
      <c r="O32" s="435"/>
      <c r="Q32" s="447"/>
      <c r="X32" s="441"/>
      <c r="Y32" s="441"/>
      <c r="Z32" s="441"/>
      <c r="AF32" s="453"/>
      <c r="AG32" s="453"/>
    </row>
    <row r="33" spans="4:33" ht="15.95" customHeight="1" x14ac:dyDescent="0.2">
      <c r="I33" s="437"/>
      <c r="J33" s="437"/>
      <c r="K33" s="437"/>
      <c r="N33" s="435"/>
      <c r="O33" s="435"/>
      <c r="T33" s="441"/>
      <c r="X33" s="441"/>
      <c r="Y33" s="441"/>
      <c r="Z33" s="441"/>
      <c r="AF33" s="453"/>
      <c r="AG33" s="453"/>
    </row>
    <row r="34" spans="4:33" ht="15.95" customHeight="1" x14ac:dyDescent="0.2">
      <c r="I34" s="437"/>
      <c r="J34" s="437"/>
      <c r="K34" s="437"/>
      <c r="N34" s="435"/>
      <c r="O34" s="435"/>
      <c r="T34" s="441"/>
      <c r="X34" s="441"/>
      <c r="Y34" s="441"/>
      <c r="Z34" s="441"/>
      <c r="AF34" s="453"/>
      <c r="AG34" s="453"/>
    </row>
    <row r="35" spans="4:33" ht="15.95" customHeight="1" x14ac:dyDescent="0.2">
      <c r="I35" s="437"/>
      <c r="J35" s="437"/>
      <c r="K35" s="437"/>
      <c r="N35" s="435"/>
      <c r="O35" s="435"/>
      <c r="T35" s="441"/>
      <c r="X35" s="441"/>
      <c r="Y35" s="441"/>
      <c r="Z35" s="441"/>
      <c r="AF35" s="453"/>
      <c r="AG35" s="453"/>
    </row>
    <row r="36" spans="4:33" ht="15.95" customHeight="1" x14ac:dyDescent="0.2">
      <c r="I36" s="437"/>
      <c r="J36" s="437"/>
      <c r="K36" s="437"/>
      <c r="N36" s="435"/>
      <c r="O36" s="435"/>
      <c r="T36" s="441"/>
      <c r="X36" s="441"/>
      <c r="Y36" s="441"/>
      <c r="Z36" s="441"/>
      <c r="AF36" s="453"/>
      <c r="AG36" s="453"/>
    </row>
    <row r="37" spans="4:33" ht="15.95" customHeight="1" x14ac:dyDescent="0.2">
      <c r="I37" s="437"/>
      <c r="K37" s="437"/>
      <c r="L37" s="437"/>
      <c r="M37" s="437"/>
      <c r="N37" s="437"/>
      <c r="O37" s="437"/>
      <c r="P37" s="437"/>
      <c r="Q37" s="437"/>
      <c r="R37" s="437"/>
      <c r="S37" s="437"/>
      <c r="T37" s="437"/>
      <c r="U37" s="437"/>
      <c r="V37" s="437"/>
      <c r="W37" s="437"/>
      <c r="X37" s="437"/>
      <c r="Y37" s="437"/>
      <c r="Z37" s="437"/>
      <c r="AA37" s="437"/>
      <c r="AF37" s="453"/>
      <c r="AG37" s="453"/>
    </row>
    <row r="38" spans="4:33" ht="15.95" customHeight="1" x14ac:dyDescent="0.2">
      <c r="I38" s="437"/>
      <c r="K38" s="437"/>
      <c r="L38" s="437"/>
      <c r="M38" s="437"/>
      <c r="N38" s="437"/>
      <c r="O38" s="437"/>
      <c r="P38" s="437"/>
      <c r="Q38" s="437"/>
      <c r="R38" s="437"/>
      <c r="S38" s="437"/>
      <c r="T38" s="437"/>
      <c r="U38" s="437"/>
      <c r="V38" s="437"/>
      <c r="W38" s="437"/>
      <c r="X38" s="437"/>
      <c r="Y38" s="437"/>
      <c r="Z38" s="437"/>
      <c r="AA38" s="437"/>
      <c r="AF38" s="453"/>
      <c r="AG38" s="453"/>
    </row>
    <row r="39" spans="4:33" ht="15.95" customHeight="1" x14ac:dyDescent="0.2">
      <c r="I39" s="437"/>
      <c r="K39" s="437"/>
      <c r="L39" s="437"/>
      <c r="M39" s="437"/>
      <c r="N39" s="437"/>
      <c r="O39" s="437"/>
      <c r="P39" s="437"/>
      <c r="Q39" s="437"/>
      <c r="R39" s="437"/>
      <c r="S39" s="437"/>
      <c r="T39" s="437"/>
      <c r="U39" s="437"/>
      <c r="V39" s="437"/>
      <c r="W39" s="437"/>
      <c r="X39" s="437"/>
      <c r="Y39" s="437"/>
      <c r="Z39" s="437"/>
      <c r="AA39" s="437"/>
      <c r="AF39" s="453"/>
      <c r="AG39" s="453"/>
    </row>
    <row r="40" spans="4:33" ht="15.95" customHeight="1" x14ac:dyDescent="0.2">
      <c r="I40" s="437"/>
      <c r="K40" s="450"/>
      <c r="L40" s="450"/>
      <c r="M40" s="450"/>
      <c r="N40" s="521"/>
      <c r="O40" s="521"/>
      <c r="P40" s="450"/>
      <c r="Q40" s="450"/>
      <c r="R40" s="437"/>
      <c r="S40" s="437"/>
      <c r="T40" s="451"/>
      <c r="U40" s="450"/>
      <c r="W40" s="450"/>
      <c r="X40" s="516"/>
      <c r="Y40" s="457"/>
      <c r="Z40" s="457"/>
      <c r="AA40" s="450"/>
      <c r="AF40" s="453"/>
      <c r="AG40" s="453"/>
    </row>
    <row r="41" spans="4:33" ht="15.95" customHeight="1" x14ac:dyDescent="0.2">
      <c r="I41" s="437"/>
      <c r="K41" s="450"/>
      <c r="L41" s="450"/>
      <c r="M41" s="450"/>
      <c r="N41" s="521"/>
      <c r="O41" s="521"/>
      <c r="P41" s="450"/>
      <c r="Q41" s="450"/>
      <c r="R41" s="437"/>
      <c r="S41" s="437"/>
      <c r="T41" s="451"/>
      <c r="U41" s="450"/>
      <c r="W41" s="450"/>
      <c r="X41" s="516"/>
      <c r="Y41" s="457"/>
      <c r="Z41" s="457"/>
      <c r="AA41" s="450"/>
      <c r="AF41" s="453"/>
      <c r="AG41" s="453"/>
    </row>
    <row r="42" spans="4:33" ht="15.95" customHeight="1" x14ac:dyDescent="0.2">
      <c r="I42" s="437"/>
      <c r="K42" s="450"/>
      <c r="L42" s="450"/>
      <c r="M42" s="450"/>
      <c r="N42" s="521"/>
      <c r="O42" s="521"/>
      <c r="P42" s="450"/>
      <c r="Q42" s="450"/>
      <c r="R42" s="437"/>
      <c r="S42" s="437"/>
      <c r="T42" s="451"/>
      <c r="U42" s="450"/>
      <c r="W42" s="450"/>
      <c r="X42" s="516"/>
      <c r="Y42" s="457"/>
      <c r="Z42" s="457"/>
      <c r="AA42" s="450"/>
      <c r="AF42" s="453"/>
      <c r="AG42" s="453"/>
    </row>
    <row r="43" spans="4:33" ht="15.95" customHeight="1" x14ac:dyDescent="0.2">
      <c r="I43" s="437"/>
      <c r="K43" s="450"/>
      <c r="L43" s="450"/>
      <c r="M43" s="450"/>
      <c r="N43" s="521"/>
      <c r="O43" s="521"/>
      <c r="P43" s="450"/>
      <c r="Q43" s="450"/>
      <c r="R43" s="437"/>
      <c r="S43" s="437"/>
      <c r="T43" s="451"/>
      <c r="U43" s="450"/>
      <c r="W43" s="450"/>
      <c r="X43" s="516"/>
      <c r="Y43" s="457"/>
      <c r="Z43" s="457"/>
      <c r="AA43" s="450"/>
      <c r="AF43" s="453"/>
      <c r="AG43" s="453"/>
    </row>
    <row r="44" spans="4:33" ht="15.95" customHeight="1" x14ac:dyDescent="0.2">
      <c r="I44" s="437"/>
      <c r="K44" s="450"/>
      <c r="L44" s="450"/>
      <c r="M44" s="450"/>
      <c r="N44" s="521"/>
      <c r="O44" s="521"/>
      <c r="P44" s="450"/>
      <c r="Q44" s="450"/>
      <c r="R44" s="437"/>
      <c r="S44" s="437"/>
      <c r="T44" s="451"/>
      <c r="U44" s="450"/>
      <c r="W44" s="450"/>
      <c r="X44" s="516"/>
      <c r="Y44" s="457"/>
      <c r="Z44" s="457"/>
      <c r="AA44" s="450"/>
      <c r="AF44" s="453"/>
      <c r="AG44" s="453"/>
    </row>
    <row r="45" spans="4:33" ht="15.95" customHeight="1" x14ac:dyDescent="0.2">
      <c r="I45" s="437"/>
      <c r="K45" s="450"/>
      <c r="L45" s="450"/>
      <c r="M45" s="450"/>
      <c r="N45" s="521"/>
      <c r="O45" s="521"/>
      <c r="P45" s="450"/>
      <c r="Q45" s="450"/>
      <c r="R45" s="437"/>
      <c r="S45" s="437"/>
      <c r="T45" s="451"/>
      <c r="U45" s="450"/>
      <c r="W45" s="450"/>
      <c r="X45" s="516"/>
      <c r="Y45" s="457"/>
      <c r="Z45" s="457"/>
      <c r="AA45" s="450"/>
      <c r="AF45" s="453"/>
      <c r="AG45" s="453"/>
    </row>
    <row r="46" spans="4:33" ht="15.95" customHeight="1" x14ac:dyDescent="0.2">
      <c r="I46" s="437"/>
      <c r="K46" s="450"/>
      <c r="L46" s="450"/>
      <c r="M46" s="450"/>
      <c r="N46" s="521"/>
      <c r="O46" s="521"/>
      <c r="P46" s="450"/>
      <c r="Q46" s="450"/>
      <c r="R46" s="437"/>
      <c r="S46" s="437"/>
      <c r="T46" s="451"/>
      <c r="U46" s="450"/>
      <c r="W46" s="450"/>
      <c r="X46" s="516"/>
      <c r="Y46" s="457"/>
      <c r="Z46" s="457"/>
      <c r="AA46" s="450"/>
      <c r="AF46" s="453"/>
      <c r="AG46" s="453"/>
    </row>
    <row r="47" spans="4:33" ht="15.95" customHeight="1" x14ac:dyDescent="0.2">
      <c r="D47" s="816"/>
      <c r="E47" s="816"/>
      <c r="F47" s="816"/>
      <c r="G47" s="816"/>
      <c r="H47" s="816"/>
      <c r="I47" s="437"/>
      <c r="J47" s="816"/>
      <c r="K47" s="450"/>
      <c r="L47" s="450"/>
      <c r="M47" s="450"/>
      <c r="N47" s="521"/>
      <c r="O47" s="521"/>
      <c r="P47" s="450"/>
      <c r="Q47" s="450"/>
      <c r="R47" s="437"/>
      <c r="S47" s="437"/>
      <c r="T47" s="451"/>
      <c r="U47" s="450"/>
      <c r="W47" s="450"/>
      <c r="X47" s="516"/>
      <c r="Y47" s="457"/>
      <c r="Z47" s="457"/>
      <c r="AA47" s="450"/>
      <c r="AF47" s="453"/>
      <c r="AG47" s="453"/>
    </row>
    <row r="48" spans="4:33" ht="15.95" customHeight="1" x14ac:dyDescent="0.2">
      <c r="D48" s="816"/>
      <c r="E48" s="816"/>
      <c r="F48" s="816"/>
      <c r="G48" s="816"/>
      <c r="H48" s="816"/>
      <c r="I48" s="437"/>
      <c r="J48" s="816"/>
      <c r="K48" s="450"/>
      <c r="L48" s="450"/>
      <c r="M48" s="450"/>
      <c r="N48" s="521"/>
      <c r="O48" s="521"/>
      <c r="P48" s="450"/>
      <c r="Q48" s="450"/>
      <c r="R48" s="437"/>
      <c r="S48" s="437"/>
      <c r="T48" s="451"/>
      <c r="U48" s="450"/>
      <c r="W48" s="450"/>
      <c r="X48" s="516"/>
      <c r="Y48" s="457"/>
      <c r="Z48" s="457"/>
      <c r="AA48" s="450"/>
      <c r="AF48" s="453"/>
      <c r="AG48" s="453"/>
    </row>
    <row r="49" spans="4:33" ht="15.95" customHeight="1" x14ac:dyDescent="0.2">
      <c r="D49" s="816"/>
      <c r="E49" s="816"/>
      <c r="F49" s="816"/>
      <c r="G49" s="816"/>
      <c r="H49" s="816"/>
      <c r="I49" s="437"/>
      <c r="J49" s="437"/>
      <c r="K49" s="447"/>
      <c r="L49" s="450"/>
      <c r="M49" s="450"/>
      <c r="N49" s="521"/>
      <c r="O49" s="521"/>
      <c r="P49" s="450"/>
      <c r="Q49" s="450"/>
      <c r="R49" s="450"/>
      <c r="S49" s="450"/>
      <c r="T49" s="451"/>
      <c r="U49" s="450"/>
      <c r="W49" s="450"/>
      <c r="X49" s="450"/>
      <c r="Y49" s="450"/>
      <c r="Z49" s="451"/>
      <c r="AA49" s="450"/>
      <c r="AF49" s="453"/>
      <c r="AG49" s="453"/>
    </row>
    <row r="50" spans="4:33" ht="15.95" customHeight="1" x14ac:dyDescent="0.2">
      <c r="D50" s="816"/>
      <c r="E50" s="816"/>
      <c r="F50" s="816"/>
      <c r="G50" s="816"/>
      <c r="H50" s="816"/>
      <c r="I50" s="437"/>
      <c r="J50" s="437"/>
      <c r="K50" s="447"/>
      <c r="L50" s="450"/>
      <c r="M50" s="450"/>
      <c r="N50" s="521"/>
      <c r="O50" s="521"/>
      <c r="P50" s="450"/>
      <c r="Q50" s="450"/>
      <c r="R50" s="450"/>
      <c r="S50" s="450"/>
      <c r="T50" s="451"/>
      <c r="U50" s="450"/>
      <c r="W50" s="450"/>
      <c r="X50" s="450"/>
      <c r="Y50" s="450"/>
      <c r="Z50" s="451"/>
      <c r="AA50" s="450"/>
    </row>
    <row r="51" spans="4:33" ht="15.95" customHeight="1" x14ac:dyDescent="0.2">
      <c r="D51" s="816"/>
      <c r="E51" s="816"/>
      <c r="F51" s="816"/>
      <c r="G51" s="816"/>
      <c r="H51" s="816"/>
      <c r="I51" s="437"/>
      <c r="J51" s="437"/>
      <c r="K51" s="447"/>
      <c r="L51" s="450"/>
      <c r="M51" s="450"/>
      <c r="N51" s="521"/>
      <c r="O51" s="521"/>
      <c r="P51" s="450"/>
      <c r="Q51" s="450"/>
      <c r="R51" s="450"/>
      <c r="S51" s="450"/>
      <c r="T51" s="451"/>
      <c r="U51" s="450"/>
      <c r="W51" s="450"/>
      <c r="X51" s="450"/>
      <c r="Y51" s="450"/>
      <c r="Z51" s="451"/>
      <c r="AA51" s="450"/>
    </row>
    <row r="52" spans="4:33" ht="15.95" customHeight="1" x14ac:dyDescent="0.2">
      <c r="D52" s="816"/>
      <c r="E52" s="816"/>
      <c r="F52" s="816"/>
      <c r="G52" s="816"/>
      <c r="H52" s="816"/>
      <c r="I52" s="437"/>
      <c r="J52" s="437"/>
      <c r="K52" s="447"/>
      <c r="L52" s="450"/>
      <c r="M52" s="450"/>
      <c r="N52" s="521"/>
      <c r="O52" s="521"/>
      <c r="P52" s="450"/>
      <c r="Q52" s="450"/>
      <c r="R52" s="450"/>
      <c r="S52" s="450"/>
      <c r="T52" s="451"/>
      <c r="U52" s="450"/>
      <c r="W52" s="450"/>
      <c r="X52" s="450"/>
      <c r="Y52" s="450"/>
      <c r="Z52" s="451"/>
      <c r="AA52" s="450"/>
    </row>
    <row r="53" spans="4:33" ht="15.95" customHeight="1" x14ac:dyDescent="0.2">
      <c r="D53" s="816"/>
      <c r="E53" s="816"/>
      <c r="F53" s="816"/>
      <c r="G53" s="816"/>
      <c r="H53" s="816"/>
      <c r="I53" s="437"/>
      <c r="J53" s="437"/>
      <c r="K53" s="447"/>
      <c r="L53" s="450"/>
      <c r="M53" s="450"/>
      <c r="N53" s="521"/>
      <c r="O53" s="521"/>
      <c r="P53" s="450"/>
      <c r="Q53" s="450"/>
      <c r="R53" s="450"/>
      <c r="S53" s="450"/>
      <c r="T53" s="451"/>
      <c r="U53" s="450"/>
      <c r="W53" s="450"/>
      <c r="X53" s="450"/>
      <c r="Y53" s="450"/>
      <c r="Z53" s="451"/>
      <c r="AA53" s="450"/>
    </row>
    <row r="54" spans="4:33" ht="15.95" customHeight="1" x14ac:dyDescent="0.2">
      <c r="D54" s="816"/>
      <c r="E54" s="816"/>
      <c r="F54" s="816"/>
      <c r="G54" s="816"/>
      <c r="H54" s="816"/>
      <c r="I54" s="437"/>
      <c r="J54" s="437"/>
      <c r="K54" s="450"/>
      <c r="N54" s="435"/>
      <c r="O54" s="435"/>
      <c r="P54" s="450"/>
      <c r="Q54" s="450"/>
      <c r="R54" s="450"/>
      <c r="S54" s="450"/>
      <c r="T54" s="451"/>
      <c r="U54" s="450"/>
      <c r="W54" s="450"/>
      <c r="X54" s="450"/>
      <c r="Y54" s="450"/>
      <c r="Z54" s="451"/>
      <c r="AA54" s="450"/>
    </row>
    <row r="55" spans="4:33" ht="15.95" customHeight="1" x14ac:dyDescent="0.2">
      <c r="D55" s="816"/>
      <c r="E55" s="816"/>
      <c r="F55" s="816"/>
      <c r="G55" s="816"/>
      <c r="H55" s="816"/>
      <c r="I55" s="437"/>
      <c r="J55" s="437"/>
      <c r="K55" s="445"/>
      <c r="N55" s="435"/>
      <c r="O55" s="435"/>
      <c r="P55" s="450"/>
      <c r="Q55" s="450"/>
      <c r="R55" s="450"/>
      <c r="S55" s="450"/>
      <c r="T55" s="451"/>
      <c r="U55" s="450"/>
      <c r="W55" s="450"/>
      <c r="X55" s="450"/>
      <c r="Y55" s="450"/>
      <c r="Z55" s="451"/>
      <c r="AA55" s="450"/>
    </row>
    <row r="56" spans="4:33" ht="15.95" customHeight="1" x14ac:dyDescent="0.2">
      <c r="D56" s="816"/>
      <c r="E56" s="816"/>
      <c r="F56" s="816"/>
      <c r="G56" s="816"/>
      <c r="H56" s="816"/>
      <c r="I56" s="437"/>
      <c r="J56" s="437"/>
      <c r="K56" s="447"/>
      <c r="N56" s="435"/>
      <c r="O56" s="435"/>
      <c r="P56" s="450"/>
      <c r="Q56" s="450"/>
      <c r="R56" s="450"/>
      <c r="S56" s="450"/>
      <c r="T56" s="451"/>
      <c r="U56" s="450"/>
      <c r="W56" s="450"/>
      <c r="X56" s="450"/>
      <c r="Y56" s="450"/>
      <c r="Z56" s="451"/>
      <c r="AA56" s="450"/>
    </row>
    <row r="57" spans="4:33" ht="15.95" customHeight="1" x14ac:dyDescent="0.2">
      <c r="D57" s="816"/>
      <c r="E57" s="816"/>
      <c r="F57" s="816"/>
      <c r="G57" s="816"/>
      <c r="H57" s="816"/>
      <c r="I57" s="437"/>
      <c r="J57" s="437"/>
      <c r="K57" s="447"/>
      <c r="L57" s="1277" t="s">
        <v>1315</v>
      </c>
      <c r="M57" s="1277"/>
      <c r="N57" s="1278"/>
      <c r="O57" s="1278"/>
      <c r="P57" s="1277"/>
      <c r="Q57" s="450"/>
      <c r="R57" s="450"/>
      <c r="S57" s="450"/>
      <c r="T57" s="451"/>
      <c r="U57" s="450"/>
      <c r="W57" s="450"/>
      <c r="X57" s="450"/>
      <c r="Y57" s="450"/>
      <c r="Z57" s="451"/>
      <c r="AA57" s="450"/>
    </row>
    <row r="58" spans="4:33" ht="15.95" customHeight="1" x14ac:dyDescent="0.2">
      <c r="I58" s="437"/>
      <c r="J58" s="437"/>
      <c r="K58" s="447"/>
      <c r="L58" s="1279">
        <f>SUM(M58:O58)</f>
        <v>0</v>
      </c>
      <c r="M58" s="1280" t="str">
        <f>IF(ISBLANK(N10),"",IF(O10+N10&gt;N12+O12,1,0))</f>
        <v/>
      </c>
      <c r="N58" s="1280" t="str">
        <f>IF(ISBLANK(T10),"",IF(U10+T10&gt;T12+U12,1,0))</f>
        <v/>
      </c>
      <c r="O58" s="1280" t="str">
        <f>IF(ISBLANK(Z10),"",IF(AA10+Z10&gt;AA12+Z12,1,0))</f>
        <v/>
      </c>
      <c r="P58" s="1277"/>
      <c r="Q58" s="450"/>
      <c r="R58" s="450"/>
      <c r="S58" s="450"/>
      <c r="T58" s="451"/>
      <c r="U58" s="450"/>
      <c r="W58" s="450"/>
      <c r="X58" s="450"/>
      <c r="Y58" s="450"/>
      <c r="Z58" s="451"/>
      <c r="AA58" s="450"/>
    </row>
    <row r="59" spans="4:33" ht="15.95" customHeight="1" x14ac:dyDescent="0.2">
      <c r="I59" s="437"/>
      <c r="J59" s="437"/>
      <c r="K59" s="447"/>
      <c r="L59" s="1281"/>
      <c r="M59" s="1282"/>
      <c r="N59" s="1282"/>
      <c r="O59" s="1282"/>
      <c r="P59" s="1277"/>
      <c r="Q59" s="450"/>
      <c r="R59" s="450"/>
      <c r="S59" s="450"/>
      <c r="T59" s="451"/>
      <c r="U59" s="450"/>
      <c r="W59" s="450"/>
      <c r="X59" s="450"/>
      <c r="Y59" s="450"/>
      <c r="Z59" s="451"/>
      <c r="AA59" s="450"/>
    </row>
    <row r="60" spans="4:33" ht="15.95" customHeight="1" x14ac:dyDescent="0.2">
      <c r="I60" s="437"/>
      <c r="J60" s="437"/>
      <c r="L60" s="1283">
        <f>SUM(M60:O60)</f>
        <v>0</v>
      </c>
      <c r="M60" s="1280" t="str">
        <f>IF(ISBLANK(N10),"",IF(O10+N10&lt;N12+O12,1,0))</f>
        <v/>
      </c>
      <c r="N60" s="1280" t="str">
        <f>IF(ISBLANK(T10),"",IF(U10+T10&lt;T12+U12,1,0))</f>
        <v/>
      </c>
      <c r="O60" s="1280" t="str">
        <f>IF(ISBLANK(Z10),"",IF(AA10+Z10&lt;Z12+AA12,1,0))</f>
        <v/>
      </c>
      <c r="P60" s="1277"/>
      <c r="Q60" s="450"/>
      <c r="R60" s="450"/>
      <c r="S60" s="450"/>
      <c r="T60" s="451"/>
      <c r="U60" s="450"/>
      <c r="W60" s="450"/>
      <c r="X60" s="450"/>
      <c r="Y60" s="450"/>
      <c r="Z60" s="451"/>
      <c r="AA60" s="450"/>
    </row>
    <row r="61" spans="4:33" ht="15.95" customHeight="1" x14ac:dyDescent="0.2">
      <c r="I61" s="437"/>
      <c r="J61" s="437"/>
      <c r="K61" s="435"/>
      <c r="L61" s="437"/>
      <c r="M61" s="437"/>
      <c r="N61" s="437"/>
      <c r="O61" s="521"/>
      <c r="P61" s="450"/>
      <c r="Q61" s="450"/>
      <c r="R61" s="450"/>
      <c r="S61" s="450"/>
      <c r="T61" s="451"/>
      <c r="U61" s="450"/>
      <c r="W61" s="450"/>
      <c r="X61" s="450"/>
      <c r="Y61" s="450"/>
      <c r="Z61" s="451"/>
      <c r="AA61" s="450"/>
    </row>
    <row r="62" spans="4:33" ht="15.95" customHeight="1" x14ac:dyDescent="0.2">
      <c r="I62" s="437"/>
      <c r="J62" s="437"/>
      <c r="K62" s="435"/>
      <c r="R62" s="450"/>
      <c r="S62" s="450"/>
      <c r="T62" s="451"/>
      <c r="U62" s="450"/>
      <c r="W62" s="450"/>
      <c r="X62" s="450"/>
      <c r="Y62" s="450"/>
      <c r="Z62" s="451"/>
    </row>
    <row r="63" spans="4:33" ht="15.95" customHeight="1" x14ac:dyDescent="0.2">
      <c r="I63" s="437"/>
      <c r="J63" s="437"/>
      <c r="K63" s="435"/>
    </row>
    <row r="64" spans="4:33" ht="15.95" customHeight="1" x14ac:dyDescent="0.2">
      <c r="I64" s="437"/>
      <c r="J64" s="437"/>
      <c r="K64" s="435"/>
      <c r="N64" s="435"/>
      <c r="O64" s="435"/>
      <c r="P64" s="435"/>
      <c r="Q64" s="435"/>
      <c r="R64" s="435"/>
      <c r="S64" s="435"/>
      <c r="T64" s="435"/>
      <c r="U64" s="435"/>
      <c r="V64" s="435"/>
      <c r="W64" s="435"/>
      <c r="Z64" s="435"/>
      <c r="AA64" s="435"/>
    </row>
    <row r="65" spans="9:36" ht="15.95" customHeight="1" x14ac:dyDescent="0.2">
      <c r="I65" s="437"/>
      <c r="J65" s="437"/>
      <c r="K65" s="435"/>
      <c r="N65" s="435"/>
      <c r="O65" s="435"/>
      <c r="P65" s="435"/>
      <c r="Q65" s="435"/>
      <c r="R65" s="435"/>
      <c r="S65" s="435"/>
      <c r="T65" s="435"/>
      <c r="U65" s="435"/>
      <c r="V65" s="435"/>
      <c r="W65" s="435"/>
      <c r="Z65" s="435"/>
      <c r="AA65" s="435"/>
      <c r="AH65" s="441"/>
      <c r="AI65" s="441"/>
      <c r="AJ65" s="447"/>
    </row>
    <row r="66" spans="9:36" ht="15.95" customHeight="1" x14ac:dyDescent="0.2">
      <c r="I66" s="437"/>
      <c r="J66" s="437"/>
      <c r="K66" s="435"/>
      <c r="N66" s="435"/>
      <c r="O66" s="435"/>
      <c r="P66" s="435"/>
      <c r="Q66" s="435"/>
      <c r="R66" s="435"/>
      <c r="S66" s="435"/>
      <c r="T66" s="435"/>
      <c r="U66" s="435"/>
      <c r="V66" s="435"/>
      <c r="W66" s="435"/>
      <c r="Z66" s="435"/>
      <c r="AA66" s="435"/>
      <c r="AH66" s="441"/>
      <c r="AI66" s="441"/>
      <c r="AJ66" s="447"/>
    </row>
    <row r="67" spans="9:36" ht="15.95" customHeight="1" x14ac:dyDescent="0.2">
      <c r="I67" s="437"/>
      <c r="J67" s="437"/>
      <c r="K67" s="435"/>
      <c r="N67" s="435"/>
      <c r="O67" s="435"/>
      <c r="P67" s="435"/>
      <c r="Q67" s="435"/>
      <c r="R67" s="435"/>
      <c r="S67" s="435"/>
      <c r="T67" s="435"/>
      <c r="U67" s="435"/>
      <c r="V67" s="435"/>
      <c r="W67" s="435"/>
      <c r="Z67" s="435"/>
      <c r="AA67" s="435"/>
      <c r="AH67" s="441"/>
      <c r="AI67" s="441"/>
      <c r="AJ67" s="441"/>
    </row>
    <row r="68" spans="9:36" ht="15.95" customHeight="1" x14ac:dyDescent="0.2">
      <c r="I68" s="437"/>
      <c r="J68" s="437"/>
      <c r="K68" s="435"/>
      <c r="N68" s="435"/>
      <c r="O68" s="435"/>
      <c r="P68" s="435"/>
      <c r="Q68" s="435"/>
      <c r="R68" s="435"/>
      <c r="S68" s="435"/>
      <c r="T68" s="435"/>
      <c r="U68" s="435"/>
      <c r="V68" s="435"/>
      <c r="W68" s="435"/>
      <c r="Z68" s="435"/>
      <c r="AA68" s="435"/>
      <c r="AH68" s="441"/>
      <c r="AI68" s="441"/>
      <c r="AJ68" s="441"/>
    </row>
    <row r="69" spans="9:36" ht="15.95" customHeight="1" x14ac:dyDescent="0.2">
      <c r="I69" s="437"/>
      <c r="J69" s="437"/>
      <c r="K69" s="435"/>
      <c r="N69" s="435"/>
      <c r="O69" s="435"/>
      <c r="P69" s="435"/>
      <c r="Q69" s="435"/>
      <c r="R69" s="435"/>
      <c r="S69" s="435"/>
      <c r="T69" s="435"/>
      <c r="U69" s="435"/>
      <c r="V69" s="435"/>
      <c r="W69" s="435"/>
      <c r="Z69" s="435"/>
      <c r="AA69" s="435"/>
      <c r="AH69" s="441"/>
      <c r="AI69" s="441"/>
      <c r="AJ69" s="450"/>
    </row>
    <row r="70" spans="9:36" ht="15.95" customHeight="1" x14ac:dyDescent="0.2">
      <c r="I70" s="437"/>
      <c r="J70" s="437"/>
      <c r="K70" s="435"/>
      <c r="N70" s="435"/>
      <c r="O70" s="435"/>
      <c r="P70" s="435"/>
      <c r="Q70" s="435"/>
      <c r="R70" s="435"/>
      <c r="S70" s="435"/>
      <c r="T70" s="435"/>
      <c r="U70" s="435"/>
      <c r="V70" s="435"/>
      <c r="W70" s="435"/>
      <c r="Z70" s="435"/>
      <c r="AA70" s="435"/>
      <c r="AH70" s="441"/>
      <c r="AI70" s="441"/>
      <c r="AJ70" s="450"/>
    </row>
    <row r="71" spans="9:36" ht="15.95" customHeight="1" x14ac:dyDescent="0.2">
      <c r="I71" s="437"/>
      <c r="J71" s="437"/>
      <c r="K71" s="435"/>
      <c r="N71" s="435"/>
      <c r="O71" s="435"/>
      <c r="P71" s="435"/>
      <c r="Q71" s="435"/>
      <c r="R71" s="435"/>
      <c r="S71" s="435"/>
      <c r="T71" s="435"/>
      <c r="U71" s="435"/>
      <c r="V71" s="435"/>
      <c r="W71" s="435"/>
      <c r="Z71" s="435"/>
      <c r="AA71" s="435"/>
      <c r="AH71" s="441"/>
      <c r="AI71" s="441"/>
      <c r="AJ71" s="445"/>
    </row>
    <row r="72" spans="9:36" ht="15.95" customHeight="1" x14ac:dyDescent="0.2">
      <c r="I72" s="437"/>
      <c r="J72" s="437"/>
      <c r="K72" s="435"/>
      <c r="N72" s="435"/>
      <c r="O72" s="435"/>
      <c r="P72" s="435"/>
      <c r="Q72" s="435"/>
      <c r="R72" s="435"/>
      <c r="S72" s="435"/>
      <c r="T72" s="435"/>
      <c r="U72" s="435"/>
      <c r="V72" s="435"/>
      <c r="W72" s="435"/>
      <c r="Z72" s="435"/>
      <c r="AA72" s="435"/>
      <c r="AH72" s="441"/>
      <c r="AI72" s="441"/>
      <c r="AJ72" s="447"/>
    </row>
    <row r="73" spans="9:36" ht="15.95" customHeight="1" x14ac:dyDescent="0.2">
      <c r="I73" s="437"/>
      <c r="J73" s="437"/>
      <c r="K73" s="435"/>
      <c r="N73" s="435"/>
      <c r="O73" s="435"/>
      <c r="P73" s="435"/>
      <c r="Q73" s="435"/>
      <c r="R73" s="435"/>
      <c r="S73" s="435"/>
      <c r="T73" s="435"/>
      <c r="U73" s="435"/>
      <c r="V73" s="435"/>
      <c r="W73" s="435"/>
      <c r="Z73" s="435"/>
      <c r="AA73" s="435"/>
      <c r="AH73" s="441"/>
      <c r="AI73" s="441"/>
      <c r="AJ73" s="447"/>
    </row>
    <row r="74" spans="9:36" ht="15.95" customHeight="1" x14ac:dyDescent="0.2">
      <c r="I74" s="437"/>
      <c r="J74" s="437"/>
      <c r="K74" s="435"/>
      <c r="N74" s="435"/>
      <c r="O74" s="435"/>
      <c r="P74" s="435"/>
      <c r="Q74" s="435"/>
      <c r="R74" s="435"/>
      <c r="S74" s="435"/>
      <c r="T74" s="435"/>
      <c r="U74" s="435"/>
      <c r="V74" s="435"/>
      <c r="W74" s="435"/>
      <c r="Z74" s="435"/>
      <c r="AA74" s="435"/>
      <c r="AH74" s="441"/>
      <c r="AI74" s="441"/>
      <c r="AJ74" s="450"/>
    </row>
    <row r="75" spans="9:36" ht="15.95" customHeight="1" x14ac:dyDescent="0.2">
      <c r="I75" s="437"/>
      <c r="J75" s="437"/>
      <c r="K75" s="435"/>
      <c r="N75" s="435"/>
      <c r="O75" s="435"/>
      <c r="P75" s="435"/>
      <c r="Q75" s="435"/>
      <c r="R75" s="435"/>
      <c r="S75" s="435"/>
      <c r="T75" s="435"/>
      <c r="U75" s="435"/>
      <c r="V75" s="435"/>
      <c r="W75" s="435"/>
      <c r="Z75" s="435"/>
      <c r="AA75" s="435"/>
      <c r="AH75" s="441"/>
      <c r="AI75" s="441"/>
      <c r="AJ75" s="450"/>
    </row>
    <row r="76" spans="9:36" ht="15.95" customHeight="1" x14ac:dyDescent="0.2">
      <c r="I76" s="437"/>
      <c r="J76" s="437"/>
      <c r="K76" s="435"/>
      <c r="N76" s="435"/>
      <c r="O76" s="435"/>
      <c r="P76" s="435"/>
      <c r="Q76" s="435"/>
      <c r="R76" s="435"/>
      <c r="S76" s="435"/>
      <c r="T76" s="435"/>
      <c r="U76" s="435"/>
      <c r="V76" s="435"/>
      <c r="W76" s="435"/>
      <c r="Z76" s="435"/>
      <c r="AA76" s="435"/>
      <c r="AH76" s="441"/>
      <c r="AI76" s="441"/>
      <c r="AJ76" s="450"/>
    </row>
    <row r="77" spans="9:36" ht="15.95" customHeight="1" x14ac:dyDescent="0.2">
      <c r="I77" s="437"/>
      <c r="J77" s="437"/>
      <c r="K77" s="435"/>
      <c r="N77" s="435"/>
      <c r="O77" s="435"/>
      <c r="P77" s="435"/>
      <c r="Q77" s="435"/>
      <c r="R77" s="435"/>
      <c r="S77" s="435"/>
      <c r="T77" s="435"/>
      <c r="U77" s="435"/>
      <c r="V77" s="435"/>
      <c r="W77" s="435"/>
      <c r="Z77" s="435"/>
      <c r="AA77" s="435"/>
      <c r="AH77" s="441"/>
      <c r="AI77" s="441"/>
      <c r="AJ77" s="450"/>
    </row>
    <row r="78" spans="9:36" ht="15.95" customHeight="1" x14ac:dyDescent="0.2">
      <c r="I78" s="437"/>
      <c r="J78" s="437"/>
      <c r="K78" s="435"/>
      <c r="N78" s="435"/>
      <c r="O78" s="435"/>
      <c r="P78" s="435"/>
      <c r="Q78" s="435"/>
      <c r="R78" s="435"/>
      <c r="S78" s="435"/>
      <c r="T78" s="435"/>
      <c r="U78" s="435"/>
      <c r="V78" s="435"/>
      <c r="W78" s="435"/>
      <c r="Z78" s="435"/>
      <c r="AA78" s="435"/>
      <c r="AH78" s="441"/>
      <c r="AI78" s="441"/>
      <c r="AJ78" s="445"/>
    </row>
    <row r="79" spans="9:36" ht="15.95" customHeight="1" x14ac:dyDescent="0.2">
      <c r="I79" s="437"/>
      <c r="J79" s="437"/>
      <c r="K79" s="435"/>
      <c r="N79" s="435"/>
      <c r="O79" s="435"/>
      <c r="P79" s="435"/>
      <c r="Q79" s="435"/>
      <c r="R79" s="435"/>
      <c r="S79" s="435"/>
      <c r="T79" s="435"/>
      <c r="U79" s="435"/>
      <c r="V79" s="435"/>
      <c r="W79" s="435"/>
      <c r="Z79" s="435"/>
      <c r="AA79" s="435"/>
      <c r="AH79" s="441"/>
      <c r="AI79" s="441"/>
      <c r="AJ79" s="447"/>
    </row>
    <row r="80" spans="9:36" ht="15.95" customHeight="1" x14ac:dyDescent="0.2">
      <c r="I80" s="437"/>
      <c r="J80" s="437"/>
      <c r="K80" s="435"/>
      <c r="N80" s="435"/>
      <c r="O80" s="435"/>
      <c r="P80" s="435"/>
      <c r="Q80" s="435"/>
      <c r="R80" s="435"/>
      <c r="S80" s="435"/>
      <c r="T80" s="435"/>
      <c r="U80" s="435"/>
      <c r="V80" s="435"/>
      <c r="W80" s="435"/>
      <c r="Z80" s="435"/>
      <c r="AA80" s="435"/>
      <c r="AH80" s="441"/>
      <c r="AI80" s="441"/>
      <c r="AJ80" s="447"/>
    </row>
    <row r="81" spans="9:36" ht="15.95" customHeight="1" x14ac:dyDescent="0.2">
      <c r="I81" s="437"/>
      <c r="J81" s="437"/>
      <c r="K81" s="435"/>
      <c r="N81" s="435"/>
      <c r="O81" s="435"/>
      <c r="P81" s="435"/>
      <c r="Q81" s="435"/>
      <c r="R81" s="435"/>
      <c r="S81" s="435"/>
      <c r="T81" s="435"/>
      <c r="U81" s="435"/>
      <c r="V81" s="435"/>
      <c r="W81" s="435"/>
      <c r="Z81" s="435"/>
      <c r="AA81" s="435"/>
      <c r="AH81" s="441"/>
      <c r="AI81" s="441"/>
      <c r="AJ81" s="447"/>
    </row>
    <row r="82" spans="9:36" ht="15.95" customHeight="1" x14ac:dyDescent="0.2">
      <c r="I82" s="437"/>
      <c r="J82" s="437"/>
      <c r="K82" s="435"/>
      <c r="N82" s="435"/>
      <c r="O82" s="435"/>
      <c r="P82" s="435"/>
      <c r="Q82" s="435"/>
      <c r="R82" s="435"/>
      <c r="S82" s="435"/>
      <c r="T82" s="435"/>
      <c r="U82" s="435"/>
      <c r="V82" s="435"/>
      <c r="W82" s="435"/>
      <c r="Z82" s="435"/>
      <c r="AA82" s="435"/>
      <c r="AH82" s="441"/>
      <c r="AI82" s="441"/>
      <c r="AJ82" s="450"/>
    </row>
    <row r="83" spans="9:36" ht="15.95" customHeight="1" x14ac:dyDescent="0.2">
      <c r="I83" s="437"/>
      <c r="J83" s="437"/>
      <c r="K83" s="435"/>
      <c r="N83" s="435"/>
      <c r="O83" s="435"/>
      <c r="P83" s="435"/>
      <c r="Q83" s="435"/>
      <c r="R83" s="435"/>
      <c r="S83" s="435"/>
      <c r="T83" s="435"/>
      <c r="U83" s="435"/>
      <c r="V83" s="435"/>
      <c r="W83" s="435"/>
      <c r="Z83" s="435"/>
      <c r="AA83" s="435"/>
      <c r="AH83" s="441"/>
      <c r="AI83" s="441"/>
      <c r="AJ83" s="445"/>
    </row>
    <row r="84" spans="9:36" ht="15.95" customHeight="1" x14ac:dyDescent="0.2">
      <c r="I84" s="437"/>
      <c r="J84" s="437"/>
      <c r="K84" s="435"/>
      <c r="N84" s="435"/>
      <c r="O84" s="435"/>
      <c r="P84" s="435"/>
      <c r="Q84" s="435"/>
      <c r="R84" s="435"/>
      <c r="S84" s="435"/>
      <c r="T84" s="435"/>
      <c r="U84" s="435"/>
      <c r="V84" s="435"/>
      <c r="W84" s="435"/>
      <c r="Z84" s="435"/>
      <c r="AA84" s="435"/>
      <c r="AH84" s="441"/>
      <c r="AI84" s="441"/>
      <c r="AJ84" s="447"/>
    </row>
    <row r="85" spans="9:36" ht="15.95" customHeight="1" x14ac:dyDescent="0.2">
      <c r="I85" s="437"/>
      <c r="J85" s="437"/>
      <c r="K85" s="435"/>
      <c r="N85" s="435"/>
      <c r="O85" s="435"/>
      <c r="P85" s="435"/>
      <c r="Q85" s="435"/>
      <c r="R85" s="435"/>
      <c r="S85" s="435"/>
      <c r="T85" s="435"/>
      <c r="U85" s="435"/>
      <c r="V85" s="435"/>
      <c r="W85" s="435"/>
      <c r="Z85" s="435"/>
      <c r="AA85" s="435"/>
      <c r="AH85" s="441"/>
      <c r="AI85" s="441"/>
      <c r="AJ85" s="447"/>
    </row>
    <row r="86" spans="9:36" ht="15.95" customHeight="1" x14ac:dyDescent="0.2">
      <c r="K86" s="435"/>
      <c r="N86" s="435"/>
      <c r="O86" s="435"/>
      <c r="P86" s="435"/>
      <c r="Q86" s="435"/>
      <c r="R86" s="435"/>
      <c r="S86" s="435"/>
      <c r="T86" s="435"/>
      <c r="U86" s="435"/>
      <c r="V86" s="435"/>
      <c r="W86" s="435"/>
      <c r="Z86" s="435"/>
      <c r="AA86" s="435"/>
      <c r="AH86" s="441"/>
      <c r="AI86" s="441"/>
      <c r="AJ86" s="441"/>
    </row>
    <row r="87" spans="9:36" ht="15.95" customHeight="1" x14ac:dyDescent="0.2">
      <c r="K87" s="435"/>
      <c r="N87" s="435"/>
      <c r="O87" s="435"/>
      <c r="P87" s="435"/>
      <c r="Q87" s="435"/>
      <c r="R87" s="435"/>
      <c r="S87" s="435"/>
      <c r="T87" s="435"/>
      <c r="U87" s="435"/>
      <c r="V87" s="435"/>
      <c r="W87" s="435"/>
      <c r="Z87" s="435"/>
      <c r="AA87" s="435"/>
      <c r="AH87" s="441"/>
      <c r="AI87" s="441"/>
      <c r="AJ87" s="441"/>
    </row>
    <row r="88" spans="9:36" ht="15.95" customHeight="1" x14ac:dyDescent="0.2">
      <c r="K88" s="435"/>
      <c r="N88" s="435"/>
      <c r="O88" s="435"/>
      <c r="P88" s="435"/>
      <c r="Q88" s="435"/>
      <c r="R88" s="435"/>
      <c r="S88" s="435"/>
      <c r="T88" s="435"/>
      <c r="U88" s="435"/>
      <c r="V88" s="435"/>
      <c r="W88" s="435"/>
      <c r="Z88" s="435"/>
      <c r="AA88" s="435"/>
    </row>
    <row r="89" spans="9:36" ht="15.95" customHeight="1" x14ac:dyDescent="0.2">
      <c r="K89" s="435"/>
      <c r="N89" s="435"/>
      <c r="O89" s="435"/>
      <c r="P89" s="435"/>
      <c r="Q89" s="435"/>
      <c r="R89" s="435"/>
      <c r="S89" s="435"/>
      <c r="T89" s="435"/>
      <c r="U89" s="435"/>
      <c r="V89" s="435"/>
      <c r="W89" s="435"/>
      <c r="Z89" s="435"/>
      <c r="AA89" s="435"/>
    </row>
    <row r="90" spans="9:36" ht="15.95" customHeight="1" x14ac:dyDescent="0.2">
      <c r="K90" s="435"/>
      <c r="N90" s="435"/>
      <c r="O90" s="435"/>
      <c r="P90" s="435"/>
      <c r="Q90" s="435"/>
      <c r="R90" s="435"/>
      <c r="S90" s="435"/>
      <c r="T90" s="435"/>
      <c r="U90" s="435"/>
      <c r="V90" s="435"/>
      <c r="W90" s="435"/>
      <c r="Z90" s="435"/>
      <c r="AA90" s="435"/>
    </row>
    <row r="91" spans="9:36" ht="15.95" customHeight="1" x14ac:dyDescent="0.2">
      <c r="K91" s="435"/>
      <c r="N91" s="435"/>
      <c r="O91" s="435"/>
      <c r="P91" s="435"/>
      <c r="Q91" s="435"/>
      <c r="R91" s="435"/>
      <c r="S91" s="435"/>
      <c r="T91" s="435"/>
      <c r="U91" s="435"/>
      <c r="V91" s="435"/>
      <c r="W91" s="435"/>
      <c r="Z91" s="435"/>
      <c r="AA91" s="435"/>
    </row>
    <row r="92" spans="9:36" ht="15.95" customHeight="1" x14ac:dyDescent="0.2">
      <c r="K92" s="435"/>
    </row>
    <row r="93" spans="9:36" ht="15.95" customHeight="1" x14ac:dyDescent="0.2">
      <c r="K93" s="435"/>
    </row>
    <row r="94" spans="9:36" ht="15.95" customHeight="1" x14ac:dyDescent="0.2">
      <c r="K94" s="435"/>
    </row>
    <row r="95" spans="9:36" ht="15.95" customHeight="1" x14ac:dyDescent="0.2">
      <c r="K95" s="435"/>
      <c r="S95" s="450"/>
    </row>
    <row r="96" spans="9:36" ht="15.95" customHeight="1" x14ac:dyDescent="0.2">
      <c r="K96" s="435"/>
      <c r="S96" s="450"/>
    </row>
    <row r="97" ht="15.95" customHeight="1" x14ac:dyDescent="0.2"/>
    <row r="98" ht="15.95" customHeight="1" x14ac:dyDescent="0.2"/>
    <row r="99" ht="15.95" customHeight="1" x14ac:dyDescent="0.2"/>
    <row r="100" ht="15.95" customHeight="1" x14ac:dyDescent="0.2"/>
    <row r="101" ht="15.95" customHeight="1" x14ac:dyDescent="0.2"/>
    <row r="102" ht="15.95" customHeight="1" x14ac:dyDescent="0.2"/>
    <row r="103" ht="15.95" customHeight="1" x14ac:dyDescent="0.2"/>
    <row r="104" ht="15.95" customHeight="1" x14ac:dyDescent="0.2"/>
    <row r="105" ht="15.95" customHeight="1" x14ac:dyDescent="0.2"/>
    <row r="106" ht="15.95" customHeight="1" x14ac:dyDescent="0.2"/>
    <row r="107" ht="15.95" customHeight="1" x14ac:dyDescent="0.2"/>
    <row r="108" ht="15.95" customHeight="1" x14ac:dyDescent="0.2"/>
    <row r="109" ht="15.95" customHeight="1" x14ac:dyDescent="0.2"/>
    <row r="110" ht="15.95" customHeight="1" x14ac:dyDescent="0.2"/>
    <row r="111" ht="15.95" customHeight="1" x14ac:dyDescent="0.2"/>
    <row r="112" ht="15.95" customHeight="1" x14ac:dyDescent="0.2"/>
    <row r="113" ht="15.95" customHeight="1" x14ac:dyDescent="0.2"/>
    <row r="114" ht="15.95" customHeight="1" x14ac:dyDescent="0.2"/>
    <row r="115" ht="15.95" customHeight="1" x14ac:dyDescent="0.2"/>
    <row r="116" ht="15.95" customHeight="1" x14ac:dyDescent="0.2"/>
    <row r="117" ht="15.95" customHeight="1" x14ac:dyDescent="0.2"/>
    <row r="118" ht="15.95" customHeight="1" x14ac:dyDescent="0.2"/>
    <row r="119" ht="15.95" customHeight="1" x14ac:dyDescent="0.2"/>
    <row r="120" ht="15.95" customHeight="1" x14ac:dyDescent="0.2"/>
    <row r="121" ht="15.95" customHeight="1" x14ac:dyDescent="0.2"/>
    <row r="122" ht="15.95" customHeight="1" x14ac:dyDescent="0.2"/>
    <row r="123" ht="15.95" customHeight="1" x14ac:dyDescent="0.2"/>
    <row r="124" ht="15.95" customHeight="1" x14ac:dyDescent="0.2"/>
    <row r="125" ht="15.95" customHeight="1" x14ac:dyDescent="0.2"/>
    <row r="126" ht="15.95" customHeight="1" x14ac:dyDescent="0.2"/>
    <row r="127" ht="15.95" customHeight="1" x14ac:dyDescent="0.2"/>
    <row r="128" ht="15.95" customHeight="1" x14ac:dyDescent="0.2"/>
    <row r="129" ht="15.95" customHeight="1" x14ac:dyDescent="0.2"/>
    <row r="130" ht="15.95" customHeight="1" x14ac:dyDescent="0.2"/>
    <row r="131" ht="15.95" customHeight="1" x14ac:dyDescent="0.2"/>
    <row r="132" ht="15.95" customHeight="1" x14ac:dyDescent="0.2"/>
    <row r="133" ht="15.95" customHeight="1" x14ac:dyDescent="0.2"/>
    <row r="134" ht="15.95" customHeight="1" x14ac:dyDescent="0.2"/>
    <row r="135" ht="15.95" customHeight="1" x14ac:dyDescent="0.2"/>
    <row r="136" ht="15.95" customHeight="1" x14ac:dyDescent="0.2"/>
    <row r="137" ht="15.95" customHeight="1" x14ac:dyDescent="0.2"/>
    <row r="138" ht="15.95" customHeight="1" x14ac:dyDescent="0.2"/>
    <row r="139" ht="15.95" customHeight="1" x14ac:dyDescent="0.2"/>
    <row r="140" ht="15.95" customHeight="1" x14ac:dyDescent="0.2"/>
    <row r="141" ht="15.95" customHeight="1" x14ac:dyDescent="0.2"/>
    <row r="142" ht="15.95" customHeight="1" x14ac:dyDescent="0.2"/>
    <row r="143" ht="15.95" customHeight="1" x14ac:dyDescent="0.2"/>
    <row r="144" ht="15.95" customHeight="1" x14ac:dyDescent="0.2"/>
    <row r="145" ht="15.95" customHeight="1" x14ac:dyDescent="0.2"/>
    <row r="146" ht="15.95" customHeight="1" x14ac:dyDescent="0.2"/>
    <row r="147" ht="15.95" customHeight="1" x14ac:dyDescent="0.2"/>
    <row r="148" ht="15.95" customHeight="1" x14ac:dyDescent="0.2"/>
  </sheetData>
  <sheetProtection sheet="1" objects="1" scenarios="1" selectLockedCells="1"/>
  <mergeCells count="20">
    <mergeCell ref="N12:N13"/>
    <mergeCell ref="T12:T13"/>
    <mergeCell ref="Z12:Z13"/>
    <mergeCell ref="M15:O18"/>
    <mergeCell ref="T16:T17"/>
    <mergeCell ref="Z16:Z17"/>
    <mergeCell ref="K4:N4"/>
    <mergeCell ref="Q4:T4"/>
    <mergeCell ref="W4:Z4"/>
    <mergeCell ref="AH4:AJ5"/>
    <mergeCell ref="M6:Z7"/>
    <mergeCell ref="N10:N11"/>
    <mergeCell ref="T10:T11"/>
    <mergeCell ref="Z10:Z11"/>
    <mergeCell ref="K1:AA1"/>
    <mergeCell ref="AF1:AJ1"/>
    <mergeCell ref="K2:Z2"/>
    <mergeCell ref="AF2:AJ2"/>
    <mergeCell ref="N3:X3"/>
    <mergeCell ref="AF3:AJ3"/>
  </mergeCells>
  <conditionalFormatting sqref="O10:O11">
    <cfRule type="expression" priority="19" stopIfTrue="1">
      <formula>IF(N10="",1)</formula>
    </cfRule>
    <cfRule type="expression" dxfId="14" priority="21">
      <formula>IF(N10=N12,1,0)</formula>
    </cfRule>
  </conditionalFormatting>
  <conditionalFormatting sqref="O12">
    <cfRule type="expression" priority="18" stopIfTrue="1">
      <formula>IF(N12="",1,0)</formula>
    </cfRule>
    <cfRule type="expression" dxfId="13" priority="20">
      <formula>IF(N10=N12,1,0)</formula>
    </cfRule>
  </conditionalFormatting>
  <conditionalFormatting sqref="U10:U11">
    <cfRule type="expression" priority="15" stopIfTrue="1">
      <formula>IF(T10="",1)</formula>
    </cfRule>
    <cfRule type="expression" dxfId="12" priority="17">
      <formula>IF(T10=T12,1,0)</formula>
    </cfRule>
  </conditionalFormatting>
  <conditionalFormatting sqref="U12">
    <cfRule type="expression" priority="14" stopIfTrue="1">
      <formula>IF(T12="",1,0)</formula>
    </cfRule>
    <cfRule type="expression" dxfId="11" priority="16">
      <formula>IF(T10=T12,1,0)</formula>
    </cfRule>
  </conditionalFormatting>
  <conditionalFormatting sqref="AA10:AA11">
    <cfRule type="expression" priority="11" stopIfTrue="1">
      <formula>IF(Z10="",1)</formula>
    </cfRule>
    <cfRule type="expression" dxfId="10" priority="13">
      <formula>IF(Z10=Z12,1,0)</formula>
    </cfRule>
  </conditionalFormatting>
  <conditionalFormatting sqref="AA12">
    <cfRule type="expression" priority="10" stopIfTrue="1">
      <formula>IF(Z12="",1,0)</formula>
    </cfRule>
    <cfRule type="expression" dxfId="9" priority="12">
      <formula>IF(Z10=Z12,1,0)</formula>
    </cfRule>
  </conditionalFormatting>
  <conditionalFormatting sqref="M15">
    <cfRule type="expression" dxfId="8" priority="9">
      <formula>IF(N16+O16&gt;#REF!+#REF!,1,0)</formula>
    </cfRule>
  </conditionalFormatting>
  <conditionalFormatting sqref="S16">
    <cfRule type="expression" dxfId="7" priority="8">
      <formula>IF(T16&gt;Z16,1,0)</formula>
    </cfRule>
  </conditionalFormatting>
  <conditionalFormatting sqref="Y16">
    <cfRule type="expression" dxfId="6" priority="7">
      <formula>IF(T16&lt;Z16,1,0)</formula>
    </cfRule>
  </conditionalFormatting>
  <conditionalFormatting sqref="M10">
    <cfRule type="expression" dxfId="5" priority="6">
      <formula>IF(N10+O10&gt;N12+O12,1,0)</formula>
    </cfRule>
  </conditionalFormatting>
  <conditionalFormatting sqref="M12">
    <cfRule type="expression" dxfId="4" priority="5">
      <formula>IF(N12+O12&gt;N14+O14,1,0)</formula>
    </cfRule>
  </conditionalFormatting>
  <conditionalFormatting sqref="S10">
    <cfRule type="expression" dxfId="3" priority="4">
      <formula>IF(T10+U10&gt;T12+U12,1,0)</formula>
    </cfRule>
  </conditionalFormatting>
  <conditionalFormatting sqref="S12">
    <cfRule type="expression" dxfId="2" priority="3">
      <formula>IF(T12+U12&gt;T14+U14,1,0)</formula>
    </cfRule>
  </conditionalFormatting>
  <conditionalFormatting sqref="Y10">
    <cfRule type="expression" dxfId="1" priority="2">
      <formula>IF(Z10+AA10&gt;Z12+AA12,1,0)</formula>
    </cfRule>
  </conditionalFormatting>
  <conditionalFormatting sqref="Y12">
    <cfRule type="expression" dxfId="0" priority="1">
      <formula>IF(Z12+AA12&gt;Z14+AA14,1,0)</formula>
    </cfRule>
  </conditionalFormatting>
  <pageMargins left="0.70866141732283472" right="0.70866141732283472" top="0.74803149606299213" bottom="0.74803149606299213" header="0.31496062992125984" footer="0.31496062992125984"/>
  <pageSetup paperSize="9" scale="17"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4">
    <pageSetUpPr fitToPage="1"/>
  </sheetPr>
  <dimension ref="A1:BP120"/>
  <sheetViews>
    <sheetView topLeftCell="A25" zoomScale="72" workbookViewId="0">
      <selection activeCell="AZ19" sqref="AZ19"/>
    </sheetView>
  </sheetViews>
  <sheetFormatPr baseColWidth="10" defaultRowHeight="15" x14ac:dyDescent="0.2"/>
  <cols>
    <col min="1" max="14" width="3.28515625" style="185" customWidth="1"/>
    <col min="15" max="22" width="3.7109375" style="185" customWidth="1"/>
    <col min="23" max="38" width="3.28515625" style="185" customWidth="1"/>
    <col min="39" max="46" width="3.7109375" style="185" customWidth="1"/>
    <col min="47" max="47" width="1" style="185" customWidth="1"/>
    <col min="48" max="48" width="8.85546875" style="185" customWidth="1"/>
    <col min="49" max="49" width="43.140625" style="185" bestFit="1" customWidth="1"/>
    <col min="50" max="50" width="9.28515625" style="185" customWidth="1"/>
    <col min="51" max="51" width="33.7109375" style="208" bestFit="1" customWidth="1"/>
    <col min="52" max="52" width="9.7109375" style="185" bestFit="1" customWidth="1"/>
    <col min="53" max="53" width="27.28515625" style="185" bestFit="1" customWidth="1"/>
    <col min="54" max="54" width="4.140625" style="185" bestFit="1" customWidth="1"/>
    <col min="55" max="55" width="15" style="185" customWidth="1"/>
    <col min="56" max="56" width="10" style="185" customWidth="1"/>
    <col min="57" max="57" width="13.85546875" style="185" customWidth="1"/>
    <col min="58" max="58" width="10.42578125" style="187" customWidth="1"/>
    <col min="59" max="59" width="14.28515625" style="204" customWidth="1"/>
    <col min="60" max="60" width="7.5703125" style="204" customWidth="1"/>
    <col min="61" max="62" width="14.42578125" style="187" customWidth="1"/>
    <col min="63" max="65" width="11.42578125" style="187"/>
    <col min="66" max="16384" width="11.42578125" style="185"/>
  </cols>
  <sheetData>
    <row r="1" spans="1:65" s="184" customFormat="1" ht="20.100000000000001" customHeight="1" x14ac:dyDescent="0.2">
      <c r="A1" s="1018" t="s">
        <v>492</v>
      </c>
      <c r="B1" s="1018"/>
      <c r="C1" s="1018"/>
      <c r="D1" s="1018"/>
      <c r="E1" s="1018"/>
      <c r="F1" s="1018"/>
      <c r="G1" s="1018"/>
      <c r="H1" s="1018"/>
      <c r="I1" s="1018"/>
      <c r="J1" s="1018"/>
      <c r="K1" s="1018"/>
      <c r="L1" s="1018"/>
      <c r="M1" s="1018"/>
      <c r="N1" s="1018"/>
      <c r="O1" s="1018"/>
      <c r="P1" s="1018"/>
      <c r="Q1" s="1018"/>
      <c r="R1" s="1018"/>
      <c r="S1" s="1018"/>
      <c r="T1" s="1018"/>
      <c r="U1" s="1018"/>
      <c r="V1" s="1018"/>
      <c r="W1" s="183"/>
      <c r="X1" s="1019" t="s">
        <v>492</v>
      </c>
      <c r="Y1" s="1018"/>
      <c r="Z1" s="1018"/>
      <c r="AA1" s="1018"/>
      <c r="AB1" s="1018"/>
      <c r="AC1" s="1018"/>
      <c r="AD1" s="1018"/>
      <c r="AE1" s="1018"/>
      <c r="AF1" s="1018"/>
      <c r="AG1" s="1018"/>
      <c r="AH1" s="1018"/>
      <c r="AI1" s="1018"/>
      <c r="AJ1" s="1018"/>
      <c r="AK1" s="1018"/>
      <c r="AL1" s="1018"/>
      <c r="AM1" s="1018"/>
      <c r="AN1" s="1018"/>
      <c r="AO1" s="1018"/>
      <c r="AP1" s="1018"/>
      <c r="AQ1" s="1018"/>
      <c r="AR1" s="1018"/>
      <c r="AS1" s="1018"/>
      <c r="AT1" s="182"/>
      <c r="AU1" s="182"/>
      <c r="AV1" s="182"/>
      <c r="AW1" s="275" t="s">
        <v>525</v>
      </c>
      <c r="AX1" s="278">
        <f>'Fiches Qualif'!$AX$18</f>
        <v>24</v>
      </c>
      <c r="AY1" s="275" t="str">
        <f ca="1">IF(AX1=0,"",LOOKUP(AX1,académie))</f>
        <v/>
      </c>
      <c r="AZ1" s="209"/>
      <c r="BA1" s="209"/>
      <c r="BF1" s="182"/>
      <c r="BG1" s="203"/>
      <c r="BH1" s="203"/>
      <c r="BI1" s="182"/>
      <c r="BJ1" s="182"/>
      <c r="BK1" s="182"/>
      <c r="BL1" s="182"/>
      <c r="BM1" s="182"/>
    </row>
    <row r="2" spans="1:65" s="184" customFormat="1" ht="20.100000000000001" customHeight="1" x14ac:dyDescent="0.2">
      <c r="A2" s="1020" t="str">
        <f>LIEU&amp;" - "&amp;DATE&amp;" - "&amp;CATEG</f>
        <v>L’Isle sur la Sorgue - 27 au 31 mars 2023 - Collèges Mixtes Etablissement</v>
      </c>
      <c r="B2" s="1020"/>
      <c r="C2" s="1020"/>
      <c r="D2" s="1020"/>
      <c r="E2" s="1020"/>
      <c r="F2" s="1020"/>
      <c r="G2" s="1020"/>
      <c r="H2" s="1020"/>
      <c r="I2" s="1020"/>
      <c r="J2" s="1020"/>
      <c r="K2" s="1020"/>
      <c r="L2" s="1020"/>
      <c r="M2" s="1020"/>
      <c r="N2" s="1020"/>
      <c r="O2" s="1020"/>
      <c r="P2" s="1020"/>
      <c r="Q2" s="1020"/>
      <c r="R2" s="1020"/>
      <c r="S2" s="1020"/>
      <c r="T2" s="1020"/>
      <c r="U2" s="1020"/>
      <c r="V2" s="1020"/>
      <c r="W2" s="183"/>
      <c r="X2" s="1020" t="str">
        <f>LIEU&amp;" - "&amp;DATE&amp;" - "&amp;CATEG</f>
        <v>L’Isle sur la Sorgue - 27 au 31 mars 2023 - Collèges Mixtes Etablissement</v>
      </c>
      <c r="Y2" s="1020"/>
      <c r="Z2" s="1020"/>
      <c r="AA2" s="1020"/>
      <c r="AB2" s="1020"/>
      <c r="AC2" s="1020"/>
      <c r="AD2" s="1020"/>
      <c r="AE2" s="1020"/>
      <c r="AF2" s="1020"/>
      <c r="AG2" s="1020"/>
      <c r="AH2" s="1020"/>
      <c r="AI2" s="1020"/>
      <c r="AJ2" s="1020"/>
      <c r="AK2" s="1020"/>
      <c r="AL2" s="1020"/>
      <c r="AM2" s="1020"/>
      <c r="AN2" s="1020"/>
      <c r="AO2" s="1020"/>
      <c r="AP2" s="1020"/>
      <c r="AQ2" s="1020"/>
      <c r="AR2" s="1020"/>
      <c r="AS2" s="1020"/>
      <c r="AT2" s="182"/>
      <c r="AU2" s="182"/>
      <c r="AV2" s="182"/>
      <c r="AW2" s="276" t="s">
        <v>523</v>
      </c>
      <c r="AX2" s="279">
        <f>'Fiches Qualif'!$AX$1</f>
        <v>24</v>
      </c>
      <c r="AY2" s="276" t="str">
        <f ca="1">IF(AX2=0,"",LOOKUP(AX2,établissement))</f>
        <v/>
      </c>
      <c r="AZ2" s="210"/>
      <c r="BA2" s="210"/>
      <c r="BF2" s="182"/>
      <c r="BG2" s="203"/>
      <c r="BH2" s="203"/>
      <c r="BI2" s="182"/>
      <c r="BJ2" s="182"/>
      <c r="BK2" s="182"/>
      <c r="BL2" s="182"/>
      <c r="BM2" s="182"/>
    </row>
    <row r="3" spans="1:65" s="184" customFormat="1" ht="14.25" customHeight="1" x14ac:dyDescent="0.2">
      <c r="A3" s="182"/>
      <c r="B3" s="182"/>
      <c r="C3" s="182"/>
      <c r="D3" s="182"/>
      <c r="E3" s="182"/>
      <c r="F3" s="182"/>
      <c r="G3" s="182"/>
      <c r="H3" s="182"/>
      <c r="I3" s="182"/>
      <c r="J3" s="182"/>
      <c r="K3" s="182"/>
      <c r="L3" s="182"/>
      <c r="M3" s="182"/>
      <c r="N3" s="182"/>
      <c r="O3" s="182"/>
      <c r="P3" s="182"/>
      <c r="Q3" s="182"/>
      <c r="R3" s="182"/>
      <c r="S3" s="182"/>
      <c r="T3" s="182"/>
      <c r="U3" s="182"/>
      <c r="V3" s="182"/>
      <c r="W3" s="183"/>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276" t="s">
        <v>524</v>
      </c>
      <c r="AX3" s="279">
        <f>'Fiches Qualif'!$AX$1</f>
        <v>24</v>
      </c>
      <c r="AY3" s="276" t="str">
        <f ca="1">IF(AX3=0,"",LOOKUP(AX3,ville))</f>
        <v/>
      </c>
      <c r="AZ3" s="210"/>
      <c r="BA3" s="210"/>
      <c r="BF3" s="182"/>
      <c r="BG3" s="203"/>
      <c r="BH3" s="203"/>
      <c r="BI3" s="182"/>
      <c r="BJ3" s="182"/>
      <c r="BK3" s="182"/>
      <c r="BL3" s="182"/>
      <c r="BM3" s="182"/>
    </row>
    <row r="4" spans="1:65" s="184" customFormat="1" ht="20.100000000000001" customHeight="1" x14ac:dyDescent="0.2">
      <c r="A4" s="182"/>
      <c r="B4" s="182"/>
      <c r="C4" s="182"/>
      <c r="D4" s="182"/>
      <c r="E4" s="182"/>
      <c r="F4" s="182"/>
      <c r="G4" s="992" t="s">
        <v>374</v>
      </c>
      <c r="H4" s="992"/>
      <c r="I4" s="992"/>
      <c r="J4" s="992"/>
      <c r="K4" s="992"/>
      <c r="L4" s="992"/>
      <c r="M4" s="992"/>
      <c r="N4" s="992"/>
      <c r="O4" s="992"/>
      <c r="P4" s="992"/>
      <c r="Q4" s="182"/>
      <c r="R4" s="182"/>
      <c r="S4" s="182"/>
      <c r="T4" s="182"/>
      <c r="U4" s="182"/>
      <c r="V4" s="182"/>
      <c r="W4" s="183"/>
      <c r="X4" s="182"/>
      <c r="Y4" s="182"/>
      <c r="Z4" s="182"/>
      <c r="AA4" s="182"/>
      <c r="AB4" s="182"/>
      <c r="AC4" s="182"/>
      <c r="AD4" s="992" t="s">
        <v>374</v>
      </c>
      <c r="AE4" s="992"/>
      <c r="AF4" s="992"/>
      <c r="AG4" s="992"/>
      <c r="AH4" s="992"/>
      <c r="AI4" s="992"/>
      <c r="AJ4" s="992"/>
      <c r="AK4" s="992"/>
      <c r="AL4" s="992"/>
      <c r="AM4" s="992"/>
      <c r="AN4" s="182"/>
      <c r="AO4" s="182"/>
      <c r="AP4" s="182"/>
      <c r="AQ4" s="182"/>
      <c r="AR4" s="182"/>
      <c r="AS4" s="182"/>
      <c r="AT4" s="182"/>
      <c r="AU4" s="182"/>
      <c r="AV4" s="182"/>
      <c r="AW4" s="276" t="s">
        <v>526</v>
      </c>
      <c r="AX4" s="279">
        <f>'Fiches Qualif'!$AX$1</f>
        <v>24</v>
      </c>
      <c r="AY4" s="276" t="str">
        <f ca="1">IF(AX4=0,"",LOOKUP(AX4,nom))</f>
        <v/>
      </c>
      <c r="AZ4" s="210"/>
      <c r="BA4" s="210"/>
      <c r="BF4" s="182"/>
      <c r="BG4" s="203"/>
      <c r="BH4" s="203"/>
      <c r="BI4" s="182"/>
      <c r="BJ4" s="182"/>
      <c r="BK4" s="182"/>
      <c r="BL4" s="182"/>
      <c r="BM4" s="182"/>
    </row>
    <row r="5" spans="1:65" s="184" customFormat="1" ht="25.15" customHeight="1" x14ac:dyDescent="0.2">
      <c r="A5" s="182"/>
      <c r="B5" s="182"/>
      <c r="C5" s="182"/>
      <c r="D5" s="182"/>
      <c r="E5" s="182"/>
      <c r="F5" s="182"/>
      <c r="G5" s="1022" t="s">
        <v>11</v>
      </c>
      <c r="H5" s="1023"/>
      <c r="I5" s="1023"/>
      <c r="J5" s="1023"/>
      <c r="K5" s="1023"/>
      <c r="L5" s="1023"/>
      <c r="M5" s="1023"/>
      <c r="N5" s="1023"/>
      <c r="O5" s="1023"/>
      <c r="P5" s="1024"/>
      <c r="Q5" s="182"/>
      <c r="R5" s="182"/>
      <c r="S5" s="182"/>
      <c r="T5" s="182"/>
      <c r="U5" s="182"/>
      <c r="V5" s="182"/>
      <c r="W5" s="183"/>
      <c r="X5" s="182"/>
      <c r="Y5" s="182"/>
      <c r="Z5" s="182"/>
      <c r="AA5" s="182"/>
      <c r="AB5" s="182"/>
      <c r="AC5" s="182"/>
      <c r="AD5" s="1022" t="s">
        <v>597</v>
      </c>
      <c r="AE5" s="1023"/>
      <c r="AF5" s="1023"/>
      <c r="AG5" s="1023"/>
      <c r="AH5" s="1023"/>
      <c r="AI5" s="1023"/>
      <c r="AJ5" s="1023"/>
      <c r="AK5" s="1023"/>
      <c r="AL5" s="1023"/>
      <c r="AM5" s="1024"/>
      <c r="AN5" s="182"/>
      <c r="AO5" s="182"/>
      <c r="AP5" s="182"/>
      <c r="AQ5" s="182"/>
      <c r="AR5" s="182"/>
      <c r="AS5" s="182"/>
      <c r="AT5" s="182"/>
      <c r="AU5" s="182"/>
      <c r="AV5" s="182"/>
      <c r="AW5" s="276" t="s">
        <v>527</v>
      </c>
      <c r="AX5" s="279">
        <f>'Fiches Qualif'!$AX$1</f>
        <v>24</v>
      </c>
      <c r="AY5" s="276" t="str">
        <f ca="1">IF(AX5=0,"",LOOKUP(AX5,prénom))</f>
        <v/>
      </c>
      <c r="AZ5" s="210"/>
      <c r="BA5" s="210"/>
      <c r="BF5" s="182"/>
      <c r="BG5" s="203"/>
      <c r="BH5" s="203"/>
      <c r="BI5" s="182"/>
      <c r="BJ5" s="182"/>
      <c r="BK5" s="182"/>
      <c r="BL5" s="182"/>
      <c r="BM5" s="182"/>
    </row>
    <row r="6" spans="1:65" ht="9" customHeight="1" x14ac:dyDescent="0.2">
      <c r="W6" s="186"/>
      <c r="AV6" s="182"/>
      <c r="AW6" s="276"/>
      <c r="AX6" s="279"/>
      <c r="AY6" s="276"/>
      <c r="AZ6" s="211"/>
      <c r="BA6" s="211"/>
    </row>
    <row r="7" spans="1:65" ht="20.100000000000001" customHeight="1" x14ac:dyDescent="0.2">
      <c r="A7" s="1021" t="s">
        <v>0</v>
      </c>
      <c r="B7" s="1021"/>
      <c r="C7" s="1021"/>
      <c r="D7" s="1021"/>
      <c r="E7" s="1021"/>
      <c r="F7" s="1021"/>
      <c r="G7" s="1021"/>
      <c r="H7" s="1021"/>
      <c r="I7" s="1021"/>
      <c r="J7" s="1021"/>
      <c r="K7" s="1021"/>
      <c r="L7" s="187"/>
      <c r="O7" s="992" t="s">
        <v>375</v>
      </c>
      <c r="P7" s="992"/>
      <c r="Q7" s="992"/>
      <c r="R7" s="992"/>
      <c r="S7" s="992"/>
      <c r="T7" s="992"/>
      <c r="U7" s="992"/>
      <c r="V7" s="992"/>
      <c r="W7" s="188"/>
      <c r="Y7" s="1021" t="s">
        <v>0</v>
      </c>
      <c r="Z7" s="1021"/>
      <c r="AA7" s="1021"/>
      <c r="AB7" s="1021"/>
      <c r="AC7" s="1021"/>
      <c r="AD7" s="1021"/>
      <c r="AE7" s="1021"/>
      <c r="AF7" s="1021"/>
      <c r="AG7" s="1021"/>
      <c r="AH7" s="1021"/>
      <c r="AI7" s="1021"/>
      <c r="AJ7" s="187"/>
      <c r="AM7" s="992" t="s">
        <v>375</v>
      </c>
      <c r="AN7" s="992"/>
      <c r="AO7" s="992"/>
      <c r="AP7" s="992"/>
      <c r="AQ7" s="992"/>
      <c r="AR7" s="992"/>
      <c r="AS7" s="992"/>
      <c r="AT7" s="992"/>
      <c r="AU7" s="187"/>
      <c r="AV7" s="182"/>
      <c r="AW7" s="276" t="s">
        <v>529</v>
      </c>
      <c r="AX7" s="279">
        <f>'Fiches Qualif'!$AX$1</f>
        <v>24</v>
      </c>
      <c r="AY7" s="281" t="str">
        <f ca="1">IF(AX7=0,"",LOOKUP(AX7,n_licence))</f>
        <v/>
      </c>
      <c r="AZ7" s="211"/>
      <c r="BA7" s="211"/>
    </row>
    <row r="8" spans="1:65" ht="24.95" customHeight="1" x14ac:dyDescent="0.2">
      <c r="A8" s="999" t="s">
        <v>11</v>
      </c>
      <c r="B8" s="1000"/>
      <c r="C8" s="1000"/>
      <c r="D8" s="1000"/>
      <c r="E8" s="1000"/>
      <c r="F8" s="1000"/>
      <c r="G8" s="1000"/>
      <c r="H8" s="1000"/>
      <c r="I8" s="1000"/>
      <c r="J8" s="1000"/>
      <c r="K8" s="1000"/>
      <c r="L8" s="1001"/>
      <c r="O8" s="999" t="s">
        <v>11</v>
      </c>
      <c r="P8" s="1000"/>
      <c r="Q8" s="1000"/>
      <c r="R8" s="1000"/>
      <c r="S8" s="1000"/>
      <c r="T8" s="1000"/>
      <c r="U8" s="1000"/>
      <c r="V8" s="1001"/>
      <c r="W8" s="186"/>
      <c r="Y8" s="999" t="s">
        <v>596</v>
      </c>
      <c r="Z8" s="1000"/>
      <c r="AA8" s="1000"/>
      <c r="AB8" s="1000"/>
      <c r="AC8" s="1000"/>
      <c r="AD8" s="1000"/>
      <c r="AE8" s="1000"/>
      <c r="AF8" s="1000"/>
      <c r="AG8" s="1000"/>
      <c r="AH8" s="1000"/>
      <c r="AI8" s="1000"/>
      <c r="AJ8" s="1001"/>
      <c r="AM8" s="999" t="s">
        <v>585</v>
      </c>
      <c r="AN8" s="1000"/>
      <c r="AO8" s="1000"/>
      <c r="AP8" s="1000"/>
      <c r="AQ8" s="1000"/>
      <c r="AR8" s="1000"/>
      <c r="AS8" s="1000"/>
      <c r="AT8" s="1001"/>
      <c r="AU8" s="187"/>
      <c r="AV8" s="182"/>
      <c r="AW8" s="276" t="s">
        <v>530</v>
      </c>
      <c r="AX8" s="279">
        <f>'Fiches Qualif'!$AX$1</f>
        <v>24</v>
      </c>
      <c r="AY8" s="282" t="str">
        <f ca="1">IF(AX8=0,"",LOOKUP(AX8,date_de_naissance))</f>
        <v/>
      </c>
      <c r="AZ8" s="211"/>
      <c r="BA8" s="211"/>
    </row>
    <row r="9" spans="1:65" ht="9" customHeight="1" x14ac:dyDescent="0.2">
      <c r="W9" s="186"/>
      <c r="AV9" s="182"/>
      <c r="AW9" s="276"/>
      <c r="AX9" s="279"/>
      <c r="AY9" s="276"/>
      <c r="AZ9" s="211"/>
      <c r="BA9" s="211"/>
    </row>
    <row r="10" spans="1:65" ht="20.100000000000001" customHeight="1" thickBot="1" x14ac:dyDescent="0.25">
      <c r="A10" s="1017" t="s">
        <v>1</v>
      </c>
      <c r="B10" s="1017"/>
      <c r="C10" s="1017"/>
      <c r="D10" s="1017"/>
      <c r="E10" s="1017"/>
      <c r="F10" s="1017"/>
      <c r="G10" s="1017"/>
      <c r="H10" s="1017"/>
      <c r="I10" s="1017"/>
      <c r="K10" s="1017" t="s">
        <v>505</v>
      </c>
      <c r="L10" s="1017"/>
      <c r="M10" s="1017"/>
      <c r="N10" s="1017"/>
      <c r="O10" s="1017"/>
      <c r="P10" s="1017"/>
      <c r="R10" s="992" t="s">
        <v>506</v>
      </c>
      <c r="S10" s="992"/>
      <c r="T10" s="992"/>
      <c r="U10" s="992"/>
      <c r="V10" s="992"/>
      <c r="W10" s="188"/>
      <c r="Y10" s="1017" t="s">
        <v>1</v>
      </c>
      <c r="Z10" s="1017"/>
      <c r="AA10" s="1017"/>
      <c r="AB10" s="1017"/>
      <c r="AC10" s="1017"/>
      <c r="AD10" s="1017"/>
      <c r="AE10" s="1017"/>
      <c r="AF10" s="1017"/>
      <c r="AG10" s="1017"/>
      <c r="AH10" s="197"/>
      <c r="AI10" s="1017" t="s">
        <v>505</v>
      </c>
      <c r="AJ10" s="1017"/>
      <c r="AK10" s="1017"/>
      <c r="AL10" s="1017"/>
      <c r="AM10" s="1017"/>
      <c r="AN10" s="1017"/>
      <c r="AP10" s="992" t="s">
        <v>506</v>
      </c>
      <c r="AQ10" s="992"/>
      <c r="AR10" s="992"/>
      <c r="AS10" s="992"/>
      <c r="AT10" s="992"/>
      <c r="AU10" s="187"/>
      <c r="AV10" s="182"/>
      <c r="AW10" s="276" t="s">
        <v>504</v>
      </c>
      <c r="AX10" s="279">
        <f>'Fiches Qualif'!$AX$1</f>
        <v>24</v>
      </c>
      <c r="AY10" s="276" t="str">
        <f ca="1">IF(AX10=0,"",LOOKUP(AX10,catégorie))</f>
        <v/>
      </c>
      <c r="AZ10" s="206" t="e">
        <f ca="1">IF(AX10=0,"",LOOKUP(AY10,BF))</f>
        <v>#N/A</v>
      </c>
      <c r="BA10" s="191"/>
    </row>
    <row r="11" spans="1:65" ht="24.95" customHeight="1" thickBot="1" x14ac:dyDescent="0.25">
      <c r="A11" s="1014" t="s">
        <v>11</v>
      </c>
      <c r="B11" s="1015"/>
      <c r="C11" s="1015"/>
      <c r="D11" s="1015"/>
      <c r="E11" s="1015"/>
      <c r="F11" s="1015"/>
      <c r="G11" s="1015"/>
      <c r="H11" s="1015"/>
      <c r="I11" s="1016"/>
      <c r="K11" s="1014" t="s">
        <v>11</v>
      </c>
      <c r="L11" s="1015"/>
      <c r="M11" s="1015"/>
      <c r="N11" s="1015"/>
      <c r="O11" s="1015"/>
      <c r="P11" s="1016"/>
      <c r="R11" s="999" t="s">
        <v>11</v>
      </c>
      <c r="S11" s="1000"/>
      <c r="T11" s="1000"/>
      <c r="U11" s="1000"/>
      <c r="V11" s="1001"/>
      <c r="W11" s="186"/>
      <c r="Y11" s="1014" t="s">
        <v>586</v>
      </c>
      <c r="Z11" s="1015"/>
      <c r="AA11" s="1015"/>
      <c r="AB11" s="1015"/>
      <c r="AC11" s="1015"/>
      <c r="AD11" s="1015"/>
      <c r="AE11" s="1015"/>
      <c r="AF11" s="1015"/>
      <c r="AG11" s="1016"/>
      <c r="AI11" s="1014" t="s">
        <v>587</v>
      </c>
      <c r="AJ11" s="1015"/>
      <c r="AK11" s="1015"/>
      <c r="AL11" s="1015"/>
      <c r="AM11" s="1015"/>
      <c r="AN11" s="1016"/>
      <c r="AP11" s="999" t="s">
        <v>598</v>
      </c>
      <c r="AQ11" s="1000"/>
      <c r="AR11" s="1000"/>
      <c r="AS11" s="1000"/>
      <c r="AT11" s="1001"/>
      <c r="AU11" s="187"/>
      <c r="AW11" s="277" t="s">
        <v>39</v>
      </c>
      <c r="AX11" s="280">
        <f>'Fiches Qualif'!$AX$1</f>
        <v>24</v>
      </c>
      <c r="AY11" s="277" t="str">
        <f ca="1">IF(AX11=0,"",LOOKUP(AX11,blason))</f>
        <v/>
      </c>
      <c r="AZ11" s="201"/>
      <c r="BA11" s="201"/>
    </row>
    <row r="12" spans="1:65" ht="9" customHeight="1" x14ac:dyDescent="0.2">
      <c r="W12" s="186"/>
    </row>
    <row r="13" spans="1:65" ht="20.100000000000001" customHeight="1" x14ac:dyDescent="0.2">
      <c r="A13" s="992" t="s">
        <v>530</v>
      </c>
      <c r="B13" s="992"/>
      <c r="C13" s="992"/>
      <c r="D13" s="992"/>
      <c r="E13" s="992"/>
      <c r="F13" s="187"/>
      <c r="G13" s="992" t="s">
        <v>504</v>
      </c>
      <c r="H13" s="992"/>
      <c r="I13" s="992"/>
      <c r="J13" s="992"/>
      <c r="L13" s="992" t="s">
        <v>39</v>
      </c>
      <c r="M13" s="992"/>
      <c r="N13" s="992"/>
      <c r="P13" s="992" t="s">
        <v>507</v>
      </c>
      <c r="Q13" s="992"/>
      <c r="R13" s="992"/>
      <c r="T13" s="992" t="s">
        <v>508</v>
      </c>
      <c r="U13" s="992"/>
      <c r="V13" s="992"/>
      <c r="W13" s="188"/>
      <c r="Y13" s="992" t="s">
        <v>530</v>
      </c>
      <c r="Z13" s="992"/>
      <c r="AA13" s="992"/>
      <c r="AB13" s="992"/>
      <c r="AC13" s="992"/>
      <c r="AD13" s="187"/>
      <c r="AE13" s="992" t="s">
        <v>504</v>
      </c>
      <c r="AF13" s="992"/>
      <c r="AG13" s="992"/>
      <c r="AH13" s="992"/>
      <c r="AJ13" s="992" t="s">
        <v>39</v>
      </c>
      <c r="AK13" s="992"/>
      <c r="AL13" s="992"/>
      <c r="AN13" s="992" t="s">
        <v>507</v>
      </c>
      <c r="AO13" s="992"/>
      <c r="AP13" s="992"/>
      <c r="AR13" s="992" t="s">
        <v>508</v>
      </c>
      <c r="AS13" s="992"/>
      <c r="AT13" s="992"/>
      <c r="AU13" s="187"/>
      <c r="AW13" s="215"/>
    </row>
    <row r="14" spans="1:65" ht="20.100000000000001" customHeight="1" x14ac:dyDescent="0.2">
      <c r="A14" s="999" t="s">
        <v>11</v>
      </c>
      <c r="B14" s="1000"/>
      <c r="C14" s="1000"/>
      <c r="D14" s="1000"/>
      <c r="E14" s="1001"/>
      <c r="G14" s="999" t="e">
        <v>#N/A</v>
      </c>
      <c r="H14" s="1000"/>
      <c r="I14" s="1000"/>
      <c r="J14" s="1001"/>
      <c r="L14" s="999" t="s">
        <v>11</v>
      </c>
      <c r="M14" s="1000"/>
      <c r="N14" s="1001"/>
      <c r="P14" s="996">
        <f>IF('Fiches Qualif'!$AW$22="","",'Fiches Qualif'!$AW$22)</f>
        <v>22</v>
      </c>
      <c r="Q14" s="997"/>
      <c r="R14" s="998"/>
      <c r="S14" s="187"/>
      <c r="T14" s="996" t="str">
        <f>IF('Fiches Qualif'!$AW$25="","",'Fiches Qualif'!$AW$25)</f>
        <v>C</v>
      </c>
      <c r="U14" s="997"/>
      <c r="V14" s="998"/>
      <c r="W14" s="188"/>
      <c r="Y14" s="1011">
        <v>35983</v>
      </c>
      <c r="Z14" s="1012"/>
      <c r="AA14" s="1012"/>
      <c r="AB14" s="1012"/>
      <c r="AC14" s="1013"/>
      <c r="AE14" s="993" t="s">
        <v>542</v>
      </c>
      <c r="AF14" s="994"/>
      <c r="AG14" s="994"/>
      <c r="AH14" s="995"/>
      <c r="AJ14" s="999">
        <v>60</v>
      </c>
      <c r="AK14" s="1000"/>
      <c r="AL14" s="1001"/>
      <c r="AN14" s="996">
        <f>IF('Fiches Qualif'!$AY$22="","",'Fiches Qualif'!$AY$22)</f>
        <v>22</v>
      </c>
      <c r="AO14" s="997"/>
      <c r="AP14" s="998"/>
      <c r="AQ14" s="187"/>
      <c r="AR14" s="996" t="str">
        <f>IF('Fiches Qualif'!$AY$25="","",'Fiches Qualif'!$AY$25)</f>
        <v>D</v>
      </c>
      <c r="AS14" s="997"/>
      <c r="AT14" s="998"/>
      <c r="AU14" s="187"/>
    </row>
    <row r="15" spans="1:65" ht="9" customHeight="1" x14ac:dyDescent="0.2">
      <c r="W15" s="186"/>
    </row>
    <row r="16" spans="1:65" ht="20.100000000000001" customHeight="1" x14ac:dyDescent="0.2">
      <c r="A16" s="185" t="s">
        <v>509</v>
      </c>
      <c r="D16" s="992" t="s">
        <v>510</v>
      </c>
      <c r="E16" s="992"/>
      <c r="F16" s="992"/>
      <c r="G16" s="992"/>
      <c r="H16" s="992"/>
      <c r="I16" s="992"/>
      <c r="J16" s="992"/>
      <c r="K16" s="992"/>
      <c r="L16" s="992"/>
      <c r="M16" s="992"/>
      <c r="O16" s="992" t="s">
        <v>511</v>
      </c>
      <c r="P16" s="992"/>
      <c r="Q16" s="992"/>
      <c r="W16" s="186"/>
      <c r="Y16" s="185" t="s">
        <v>509</v>
      </c>
      <c r="AB16" s="992" t="s">
        <v>510</v>
      </c>
      <c r="AC16" s="992"/>
      <c r="AD16" s="992"/>
      <c r="AE16" s="992"/>
      <c r="AF16" s="992"/>
      <c r="AG16" s="992"/>
      <c r="AH16" s="992"/>
      <c r="AI16" s="992"/>
      <c r="AJ16" s="992"/>
      <c r="AK16" s="992"/>
      <c r="AM16" s="992" t="s">
        <v>511</v>
      </c>
      <c r="AN16" s="992"/>
      <c r="AO16" s="992"/>
    </row>
    <row r="17" spans="1:68" ht="24.95" customHeight="1" thickBot="1" x14ac:dyDescent="0.25">
      <c r="A17" s="1009" t="s">
        <v>513</v>
      </c>
      <c r="B17" s="1009"/>
      <c r="D17" s="189"/>
      <c r="E17" s="191"/>
      <c r="F17" s="189"/>
      <c r="G17" s="191"/>
      <c r="H17" s="189"/>
      <c r="I17" s="191"/>
      <c r="J17" s="189"/>
      <c r="K17" s="191"/>
      <c r="L17" s="189"/>
      <c r="M17" s="191"/>
      <c r="O17" s="189"/>
      <c r="P17" s="190"/>
      <c r="Q17" s="191"/>
      <c r="S17" s="992" t="s">
        <v>512</v>
      </c>
      <c r="T17" s="992"/>
      <c r="U17" s="992"/>
      <c r="V17" s="992"/>
      <c r="W17" s="188"/>
      <c r="Y17" s="1009" t="s">
        <v>513</v>
      </c>
      <c r="Z17" s="1009"/>
      <c r="AB17" s="189"/>
      <c r="AC17" s="191"/>
      <c r="AD17" s="189"/>
      <c r="AE17" s="191"/>
      <c r="AF17" s="189"/>
      <c r="AG17" s="191"/>
      <c r="AH17" s="189"/>
      <c r="AI17" s="191"/>
      <c r="AJ17" s="189"/>
      <c r="AK17" s="191"/>
      <c r="AM17" s="189"/>
      <c r="AN17" s="190"/>
      <c r="AO17" s="191"/>
      <c r="AQ17" s="992" t="s">
        <v>512</v>
      </c>
      <c r="AR17" s="992"/>
      <c r="AS17" s="992"/>
      <c r="AT17" s="992"/>
      <c r="AU17" s="187"/>
      <c r="AX17" s="216" t="s">
        <v>577</v>
      </c>
    </row>
    <row r="18" spans="1:68" ht="24.95" customHeight="1" x14ac:dyDescent="0.2">
      <c r="A18" s="1009" t="s">
        <v>514</v>
      </c>
      <c r="B18" s="1009"/>
      <c r="D18" s="189"/>
      <c r="E18" s="191"/>
      <c r="F18" s="189"/>
      <c r="G18" s="191"/>
      <c r="H18" s="189"/>
      <c r="I18" s="191"/>
      <c r="J18" s="189"/>
      <c r="K18" s="191"/>
      <c r="L18" s="189"/>
      <c r="M18" s="191"/>
      <c r="O18" s="189"/>
      <c r="P18" s="190"/>
      <c r="Q18" s="191"/>
      <c r="S18" s="189"/>
      <c r="T18" s="190"/>
      <c r="U18" s="190"/>
      <c r="V18" s="191"/>
      <c r="W18" s="186"/>
      <c r="Y18" s="1009" t="s">
        <v>514</v>
      </c>
      <c r="Z18" s="1009"/>
      <c r="AB18" s="189"/>
      <c r="AC18" s="191"/>
      <c r="AD18" s="189"/>
      <c r="AE18" s="191"/>
      <c r="AF18" s="189"/>
      <c r="AG18" s="191"/>
      <c r="AH18" s="189"/>
      <c r="AI18" s="191"/>
      <c r="AJ18" s="189"/>
      <c r="AK18" s="191"/>
      <c r="AM18" s="189"/>
      <c r="AN18" s="190"/>
      <c r="AO18" s="191"/>
      <c r="AQ18" s="189"/>
      <c r="AR18" s="190"/>
      <c r="AS18" s="190"/>
      <c r="AT18" s="191"/>
      <c r="AX18" s="1002">
        <v>24</v>
      </c>
    </row>
    <row r="19" spans="1:68" ht="24.95" customHeight="1" thickBot="1" x14ac:dyDescent="0.25">
      <c r="A19" s="1009" t="s">
        <v>515</v>
      </c>
      <c r="B19" s="1009"/>
      <c r="D19" s="189"/>
      <c r="E19" s="191"/>
      <c r="F19" s="189"/>
      <c r="G19" s="191"/>
      <c r="H19" s="189"/>
      <c r="I19" s="191"/>
      <c r="J19" s="189"/>
      <c r="K19" s="191"/>
      <c r="L19" s="189"/>
      <c r="M19" s="191"/>
      <c r="O19" s="189"/>
      <c r="P19" s="190"/>
      <c r="Q19" s="191"/>
      <c r="S19" s="189"/>
      <c r="T19" s="190"/>
      <c r="U19" s="190"/>
      <c r="V19" s="191"/>
      <c r="W19" s="186"/>
      <c r="Y19" s="1009" t="s">
        <v>515</v>
      </c>
      <c r="Z19" s="1009"/>
      <c r="AB19" s="189"/>
      <c r="AC19" s="191"/>
      <c r="AD19" s="189"/>
      <c r="AE19" s="191"/>
      <c r="AF19" s="189"/>
      <c r="AG19" s="191"/>
      <c r="AH19" s="189"/>
      <c r="AI19" s="191"/>
      <c r="AJ19" s="189"/>
      <c r="AK19" s="191"/>
      <c r="AM19" s="189"/>
      <c r="AN19" s="190"/>
      <c r="AO19" s="191"/>
      <c r="AQ19" s="189"/>
      <c r="AR19" s="190"/>
      <c r="AS19" s="190"/>
      <c r="AT19" s="191"/>
      <c r="AX19" s="1003"/>
    </row>
    <row r="20" spans="1:68" ht="24.95" customHeight="1" x14ac:dyDescent="0.25">
      <c r="A20" s="1009" t="s">
        <v>516</v>
      </c>
      <c r="B20" s="1009"/>
      <c r="D20" s="189"/>
      <c r="E20" s="191"/>
      <c r="F20" s="189"/>
      <c r="G20" s="191"/>
      <c r="H20" s="189"/>
      <c r="I20" s="191"/>
      <c r="J20" s="189"/>
      <c r="K20" s="191"/>
      <c r="L20" s="189"/>
      <c r="M20" s="191"/>
      <c r="O20" s="189"/>
      <c r="P20" s="190"/>
      <c r="Q20" s="191"/>
      <c r="S20" s="189"/>
      <c r="T20" s="190"/>
      <c r="U20" s="190"/>
      <c r="V20" s="191"/>
      <c r="W20" s="186"/>
      <c r="Y20" s="1009" t="s">
        <v>516</v>
      </c>
      <c r="Z20" s="1009"/>
      <c r="AB20" s="189"/>
      <c r="AC20" s="191"/>
      <c r="AD20" s="189"/>
      <c r="AE20" s="191"/>
      <c r="AF20" s="189"/>
      <c r="AG20" s="191"/>
      <c r="AH20" s="189"/>
      <c r="AI20" s="191"/>
      <c r="AJ20" s="189"/>
      <c r="AK20" s="191"/>
      <c r="AM20" s="189"/>
      <c r="AN20" s="190"/>
      <c r="AO20" s="191"/>
      <c r="AQ20" s="189"/>
      <c r="AR20" s="190"/>
      <c r="AS20" s="190"/>
      <c r="AT20" s="191"/>
      <c r="AW20" s="283" t="s">
        <v>578</v>
      </c>
      <c r="AY20" s="283" t="s">
        <v>579</v>
      </c>
    </row>
    <row r="21" spans="1:68" ht="24.95" customHeight="1" x14ac:dyDescent="0.2">
      <c r="A21" s="1009" t="s">
        <v>517</v>
      </c>
      <c r="B21" s="1009"/>
      <c r="D21" s="189"/>
      <c r="E21" s="191"/>
      <c r="F21" s="189"/>
      <c r="G21" s="191"/>
      <c r="H21" s="189"/>
      <c r="I21" s="191"/>
      <c r="J21" s="189"/>
      <c r="K21" s="191"/>
      <c r="L21" s="189"/>
      <c r="M21" s="191"/>
      <c r="O21" s="189"/>
      <c r="P21" s="190"/>
      <c r="Q21" s="191"/>
      <c r="S21" s="189"/>
      <c r="T21" s="190"/>
      <c r="U21" s="190"/>
      <c r="V21" s="191"/>
      <c r="W21" s="186"/>
      <c r="Y21" s="1009" t="s">
        <v>517</v>
      </c>
      <c r="Z21" s="1009"/>
      <c r="AB21" s="189"/>
      <c r="AC21" s="191"/>
      <c r="AD21" s="189"/>
      <c r="AE21" s="191"/>
      <c r="AF21" s="189"/>
      <c r="AG21" s="191"/>
      <c r="AH21" s="189"/>
      <c r="AI21" s="191"/>
      <c r="AJ21" s="189"/>
      <c r="AK21" s="191"/>
      <c r="AM21" s="189"/>
      <c r="AN21" s="190"/>
      <c r="AO21" s="191"/>
      <c r="AQ21" s="189"/>
      <c r="AR21" s="190"/>
      <c r="AS21" s="190"/>
      <c r="AT21" s="191"/>
      <c r="AW21" s="46" t="s">
        <v>507</v>
      </c>
      <c r="AY21" s="46" t="s">
        <v>507</v>
      </c>
    </row>
    <row r="22" spans="1:68" ht="24.95" customHeight="1" x14ac:dyDescent="0.2">
      <c r="A22" s="1009" t="s">
        <v>518</v>
      </c>
      <c r="B22" s="1009"/>
      <c r="D22" s="189"/>
      <c r="E22" s="191"/>
      <c r="F22" s="189"/>
      <c r="G22" s="191"/>
      <c r="H22" s="189"/>
      <c r="I22" s="191"/>
      <c r="J22" s="189"/>
      <c r="K22" s="191"/>
      <c r="L22" s="189"/>
      <c r="M22" s="191"/>
      <c r="O22" s="189"/>
      <c r="P22" s="190"/>
      <c r="Q22" s="191"/>
      <c r="S22" s="189"/>
      <c r="T22" s="190"/>
      <c r="U22" s="190"/>
      <c r="V22" s="191"/>
      <c r="W22" s="186"/>
      <c r="Y22" s="1009" t="s">
        <v>518</v>
      </c>
      <c r="Z22" s="1009"/>
      <c r="AB22" s="189"/>
      <c r="AC22" s="191"/>
      <c r="AD22" s="189"/>
      <c r="AE22" s="191"/>
      <c r="AF22" s="189"/>
      <c r="AG22" s="191"/>
      <c r="AH22" s="189"/>
      <c r="AI22" s="191"/>
      <c r="AJ22" s="189"/>
      <c r="AK22" s="191"/>
      <c r="AM22" s="189"/>
      <c r="AN22" s="190"/>
      <c r="AO22" s="191"/>
      <c r="AQ22" s="189"/>
      <c r="AR22" s="190"/>
      <c r="AS22" s="190"/>
      <c r="AT22" s="191"/>
      <c r="AW22" s="284">
        <v>22</v>
      </c>
      <c r="AY22" s="284">
        <v>22</v>
      </c>
    </row>
    <row r="23" spans="1:68" ht="9" customHeight="1" thickBot="1" x14ac:dyDescent="0.25">
      <c r="A23" s="187"/>
      <c r="B23" s="187"/>
      <c r="W23" s="186"/>
      <c r="Y23" s="187"/>
      <c r="Z23" s="187"/>
      <c r="AY23" s="185"/>
    </row>
    <row r="24" spans="1:68" ht="24.95" customHeight="1" thickBot="1" x14ac:dyDescent="0.25">
      <c r="O24" s="197" t="s">
        <v>519</v>
      </c>
      <c r="P24" s="197"/>
      <c r="Q24" s="197"/>
      <c r="R24" s="197"/>
      <c r="S24" s="192"/>
      <c r="T24" s="193"/>
      <c r="U24" s="193"/>
      <c r="V24" s="194"/>
      <c r="W24" s="186"/>
      <c r="AM24" s="197" t="s">
        <v>519</v>
      </c>
      <c r="AN24" s="197"/>
      <c r="AO24" s="197"/>
      <c r="AP24" s="197"/>
      <c r="AQ24" s="192"/>
      <c r="AR24" s="193"/>
      <c r="AS24" s="193"/>
      <c r="AT24" s="194"/>
      <c r="AW24" s="46" t="s">
        <v>508</v>
      </c>
      <c r="AY24" s="46" t="s">
        <v>508</v>
      </c>
    </row>
    <row r="25" spans="1:68" ht="27" customHeight="1" x14ac:dyDescent="0.2">
      <c r="D25" s="196"/>
      <c r="E25" s="196"/>
      <c r="F25" s="196"/>
      <c r="G25" s="196"/>
      <c r="H25" s="196"/>
      <c r="I25" s="196"/>
      <c r="J25" s="196"/>
      <c r="K25" s="196"/>
      <c r="L25" s="196"/>
      <c r="W25" s="186"/>
      <c r="AB25" s="196"/>
      <c r="AC25" s="196"/>
      <c r="AD25" s="196"/>
      <c r="AE25" s="196"/>
      <c r="AF25" s="196"/>
      <c r="AG25" s="196"/>
      <c r="AH25" s="196"/>
      <c r="AI25" s="196"/>
      <c r="AJ25" s="196"/>
      <c r="AW25" s="284" t="s">
        <v>483</v>
      </c>
      <c r="AY25" s="284" t="s">
        <v>554</v>
      </c>
    </row>
    <row r="26" spans="1:68" s="195" customFormat="1" x14ac:dyDescent="0.2">
      <c r="A26" s="1010" t="s">
        <v>521</v>
      </c>
      <c r="B26" s="1010"/>
      <c r="C26" s="1010"/>
      <c r="D26" s="1010"/>
      <c r="E26" s="1010"/>
      <c r="F26" s="1010"/>
      <c r="H26" s="1010" t="s">
        <v>522</v>
      </c>
      <c r="I26" s="1010"/>
      <c r="J26" s="1010"/>
      <c r="K26" s="1010"/>
      <c r="L26" s="1010"/>
      <c r="M26" s="1010"/>
      <c r="N26" s="1010"/>
      <c r="O26" s="1010"/>
      <c r="P26" s="1010"/>
      <c r="Q26" s="1010"/>
      <c r="R26" s="1010"/>
      <c r="S26" s="1010"/>
      <c r="T26" s="1010"/>
      <c r="U26" s="1010"/>
      <c r="V26" s="1010"/>
      <c r="W26" s="198"/>
      <c r="Y26" s="1010" t="s">
        <v>521</v>
      </c>
      <c r="Z26" s="1010"/>
      <c r="AA26" s="1010"/>
      <c r="AB26" s="1010"/>
      <c r="AC26" s="1010"/>
      <c r="AD26" s="1010"/>
      <c r="AF26" s="1004" t="s">
        <v>522</v>
      </c>
      <c r="AG26" s="1004"/>
      <c r="AH26" s="1004"/>
      <c r="AI26" s="1004"/>
      <c r="AJ26" s="1004"/>
      <c r="AK26" s="1004"/>
      <c r="AL26" s="1004"/>
      <c r="AM26" s="1004"/>
      <c r="AN26" s="1004"/>
      <c r="AO26" s="1004"/>
      <c r="AP26" s="1004"/>
      <c r="AQ26" s="1004"/>
      <c r="AR26" s="1004"/>
      <c r="AS26" s="1004"/>
      <c r="AT26" s="1004"/>
      <c r="AU26" s="46"/>
      <c r="BF26" s="196"/>
      <c r="BG26" s="205"/>
      <c r="BH26" s="205"/>
      <c r="BI26" s="196"/>
      <c r="BJ26" s="196"/>
      <c r="BK26" s="196"/>
      <c r="BL26" s="196"/>
      <c r="BM26" s="196"/>
    </row>
    <row r="27" spans="1:68" x14ac:dyDescent="0.2">
      <c r="A27" s="1005" t="s">
        <v>520</v>
      </c>
      <c r="B27" s="1006"/>
      <c r="C27" s="1006"/>
      <c r="D27" s="1006"/>
      <c r="E27" s="1006"/>
      <c r="F27" s="1007"/>
      <c r="H27" s="1005" t="s">
        <v>0</v>
      </c>
      <c r="I27" s="1006"/>
      <c r="J27" s="1006"/>
      <c r="K27" s="1006"/>
      <c r="L27" s="1006"/>
      <c r="M27" s="1006"/>
      <c r="N27" s="1006"/>
      <c r="O27" s="1006"/>
      <c r="P27" s="1006"/>
      <c r="Q27" s="1006"/>
      <c r="R27" s="1006"/>
      <c r="S27" s="1006"/>
      <c r="T27" s="1006"/>
      <c r="U27" s="1006"/>
      <c r="V27" s="1007"/>
      <c r="W27" s="186"/>
      <c r="Y27" s="1005" t="s">
        <v>520</v>
      </c>
      <c r="Z27" s="1006"/>
      <c r="AA27" s="1006"/>
      <c r="AB27" s="1006"/>
      <c r="AC27" s="1006"/>
      <c r="AD27" s="1007"/>
      <c r="AF27" s="1005" t="s">
        <v>0</v>
      </c>
      <c r="AG27" s="1006"/>
      <c r="AH27" s="1006"/>
      <c r="AI27" s="1006"/>
      <c r="AJ27" s="1006"/>
      <c r="AK27" s="1006"/>
      <c r="AL27" s="1006"/>
      <c r="AM27" s="1006"/>
      <c r="AN27" s="1006"/>
      <c r="AO27" s="1006"/>
      <c r="AP27" s="1006"/>
      <c r="AQ27" s="1006"/>
      <c r="AR27" s="1006"/>
      <c r="AS27" s="1006"/>
      <c r="AT27" s="1007"/>
      <c r="AU27" s="196"/>
    </row>
    <row r="28" spans="1:68" ht="21.95" customHeight="1" x14ac:dyDescent="0.2">
      <c r="A28" s="199"/>
      <c r="B28" s="200"/>
      <c r="C28" s="200"/>
      <c r="D28" s="200"/>
      <c r="E28" s="200"/>
      <c r="F28" s="201"/>
      <c r="H28" s="199"/>
      <c r="I28" s="200"/>
      <c r="J28" s="200"/>
      <c r="K28" s="200"/>
      <c r="L28" s="200"/>
      <c r="M28" s="200"/>
      <c r="N28" s="200"/>
      <c r="O28" s="200"/>
      <c r="P28" s="200"/>
      <c r="Q28" s="200"/>
      <c r="R28" s="200"/>
      <c r="S28" s="200"/>
      <c r="T28" s="200"/>
      <c r="U28" s="200"/>
      <c r="V28" s="201"/>
      <c r="W28" s="186"/>
      <c r="Y28" s="199"/>
      <c r="Z28" s="200"/>
      <c r="AA28" s="200"/>
      <c r="AB28" s="200"/>
      <c r="AC28" s="200"/>
      <c r="AD28" s="201"/>
      <c r="AF28" s="199"/>
      <c r="AG28" s="200"/>
      <c r="AH28" s="200"/>
      <c r="AI28" s="200"/>
      <c r="AJ28" s="200"/>
      <c r="AK28" s="200"/>
      <c r="AL28" s="200"/>
      <c r="AM28" s="200"/>
      <c r="AN28" s="200"/>
      <c r="AO28" s="200"/>
      <c r="AP28" s="200"/>
      <c r="AQ28" s="200"/>
      <c r="AR28" s="200"/>
      <c r="AS28" s="200"/>
      <c r="AT28" s="201"/>
    </row>
    <row r="29" spans="1:68" ht="8.25" customHeight="1" x14ac:dyDescent="0.2">
      <c r="W29" s="186"/>
    </row>
    <row r="30" spans="1:68" x14ac:dyDescent="0.2">
      <c r="H30" s="1005" t="s">
        <v>481</v>
      </c>
      <c r="I30" s="1006"/>
      <c r="J30" s="1006"/>
      <c r="K30" s="1006"/>
      <c r="L30" s="1006"/>
      <c r="M30" s="1006"/>
      <c r="N30" s="1006"/>
      <c r="O30" s="1006"/>
      <c r="P30" s="1007"/>
      <c r="Q30" s="1005" t="s">
        <v>520</v>
      </c>
      <c r="R30" s="1006"/>
      <c r="S30" s="1006"/>
      <c r="T30" s="1006"/>
      <c r="U30" s="1006"/>
      <c r="V30" s="1007"/>
      <c r="W30" s="186"/>
      <c r="AF30" s="1005" t="s">
        <v>481</v>
      </c>
      <c r="AG30" s="1006"/>
      <c r="AH30" s="1006"/>
      <c r="AI30" s="1006"/>
      <c r="AJ30" s="1006"/>
      <c r="AK30" s="1006"/>
      <c r="AL30" s="1006"/>
      <c r="AM30" s="1006"/>
      <c r="AN30" s="1007"/>
      <c r="AO30" s="1005" t="s">
        <v>520</v>
      </c>
      <c r="AP30" s="1006"/>
      <c r="AQ30" s="1006"/>
      <c r="AR30" s="1006"/>
      <c r="AS30" s="1006"/>
      <c r="AT30" s="1007"/>
      <c r="AU30" s="196"/>
    </row>
    <row r="31" spans="1:68" ht="21.95" customHeight="1" x14ac:dyDescent="0.2">
      <c r="H31" s="199"/>
      <c r="I31" s="200"/>
      <c r="J31" s="200"/>
      <c r="K31" s="200"/>
      <c r="L31" s="200"/>
      <c r="M31" s="200"/>
      <c r="N31" s="200"/>
      <c r="O31" s="200"/>
      <c r="P31" s="200"/>
      <c r="Q31" s="199"/>
      <c r="R31" s="200"/>
      <c r="S31" s="200"/>
      <c r="T31" s="200"/>
      <c r="U31" s="200"/>
      <c r="V31" s="201"/>
      <c r="W31" s="186"/>
      <c r="AF31" s="199"/>
      <c r="AG31" s="200"/>
      <c r="AH31" s="200"/>
      <c r="AI31" s="200"/>
      <c r="AJ31" s="200"/>
      <c r="AK31" s="200"/>
      <c r="AL31" s="200"/>
      <c r="AM31" s="200"/>
      <c r="AN31" s="200"/>
      <c r="AO31" s="199"/>
      <c r="AP31" s="200"/>
      <c r="AQ31" s="200"/>
      <c r="AR31" s="200"/>
      <c r="AS31" s="200"/>
      <c r="AT31" s="201"/>
    </row>
    <row r="32" spans="1:68" x14ac:dyDescent="0.2">
      <c r="AV32" s="992" t="s">
        <v>523</v>
      </c>
      <c r="AW32" s="992"/>
      <c r="AX32" s="992" t="s">
        <v>524</v>
      </c>
      <c r="AY32" s="992"/>
      <c r="AZ32" s="992" t="s">
        <v>525</v>
      </c>
      <c r="BA32" s="992"/>
      <c r="BB32" s="992" t="s">
        <v>526</v>
      </c>
      <c r="BC32" s="992"/>
      <c r="BD32" s="992" t="s">
        <v>527</v>
      </c>
      <c r="BE32" s="992"/>
      <c r="BF32" s="992" t="s">
        <v>528</v>
      </c>
      <c r="BG32" s="992"/>
      <c r="BH32" s="1008" t="s">
        <v>531</v>
      </c>
      <c r="BI32" s="1008"/>
      <c r="BJ32" s="992" t="s">
        <v>504</v>
      </c>
      <c r="BK32" s="992"/>
      <c r="BL32" s="992" t="s">
        <v>39</v>
      </c>
      <c r="BM32" s="992"/>
      <c r="BP32" s="185">
        <f>32+(22*4)</f>
        <v>120</v>
      </c>
    </row>
    <row r="33" spans="35:65" x14ac:dyDescent="0.2">
      <c r="AV33" s="206">
        <f>Engagements!A6</f>
        <v>1</v>
      </c>
      <c r="AW33" s="206" t="str">
        <f>Engagements!B6</f>
        <v/>
      </c>
      <c r="AX33" s="206">
        <f>'Fiches Qualif'!AV33</f>
        <v>1</v>
      </c>
      <c r="AY33" s="212" t="str">
        <f>Engagements!C6</f>
        <v/>
      </c>
      <c r="AZ33" s="206">
        <f>'Fiches Qualif'!AV33</f>
        <v>1</v>
      </c>
      <c r="BA33" s="206" t="str">
        <f>Engagements!D6</f>
        <v/>
      </c>
      <c r="BB33" s="206">
        <f>'Fiches Qualif'!AV33</f>
        <v>1</v>
      </c>
      <c r="BC33" s="206" t="str">
        <f>Engagements!E6</f>
        <v/>
      </c>
      <c r="BD33" s="206">
        <f>'Fiches Qualif'!AV33</f>
        <v>1</v>
      </c>
      <c r="BE33" s="206" t="str">
        <f>Engagements!F6</f>
        <v/>
      </c>
      <c r="BF33" s="202">
        <f>'Fiches Qualif'!AV33</f>
        <v>1</v>
      </c>
      <c r="BG33" s="207" t="str">
        <f>Engagements!G6</f>
        <v/>
      </c>
      <c r="BH33" s="202">
        <f>'Fiches Qualif'!AV33</f>
        <v>1</v>
      </c>
      <c r="BI33" s="214" t="str">
        <f>Engagements!H6</f>
        <v/>
      </c>
      <c r="BJ33" s="202">
        <f>'Fiches Qualif'!AV33</f>
        <v>1</v>
      </c>
      <c r="BK33" s="202" t="str">
        <f>Engagements!I6</f>
        <v/>
      </c>
      <c r="BL33" s="202">
        <f>'Fiches Qualif'!AV33</f>
        <v>1</v>
      </c>
      <c r="BM33" s="202" t="str">
        <f>Engagements!J6</f>
        <v/>
      </c>
    </row>
    <row r="34" spans="35:65" x14ac:dyDescent="0.2">
      <c r="AI34" s="185">
        <v>1</v>
      </c>
      <c r="AK34" s="185" t="s">
        <v>553</v>
      </c>
      <c r="AO34" s="185" t="s">
        <v>497</v>
      </c>
      <c r="AP34" s="185" t="s">
        <v>541</v>
      </c>
      <c r="AV34" s="206">
        <f>Engagements!A7</f>
        <v>2</v>
      </c>
      <c r="AW34" s="206" t="str">
        <f>Engagements!B7</f>
        <v/>
      </c>
      <c r="AX34" s="206">
        <f>'Fiches Qualif'!AV34</f>
        <v>2</v>
      </c>
      <c r="AY34" s="212" t="str">
        <f>Engagements!C7</f>
        <v/>
      </c>
      <c r="AZ34" s="206">
        <f>'Fiches Qualif'!AV34</f>
        <v>2</v>
      </c>
      <c r="BA34" s="206" t="str">
        <f>Engagements!D7</f>
        <v/>
      </c>
      <c r="BB34" s="206">
        <f>'Fiches Qualif'!AV34</f>
        <v>2</v>
      </c>
      <c r="BC34" s="206" t="str">
        <f>Engagements!E7</f>
        <v/>
      </c>
      <c r="BD34" s="206">
        <f>'Fiches Qualif'!AV34</f>
        <v>2</v>
      </c>
      <c r="BE34" s="206" t="str">
        <f>Engagements!F7</f>
        <v/>
      </c>
      <c r="BF34" s="202">
        <f>'Fiches Qualif'!AV34</f>
        <v>2</v>
      </c>
      <c r="BG34" s="207" t="str">
        <f>Engagements!G7</f>
        <v/>
      </c>
      <c r="BH34" s="202">
        <f>'Fiches Qualif'!AV34</f>
        <v>2</v>
      </c>
      <c r="BI34" s="213" t="str">
        <f>Engagements!H7</f>
        <v/>
      </c>
      <c r="BJ34" s="202">
        <f>'Fiches Qualif'!AV34</f>
        <v>2</v>
      </c>
      <c r="BK34" s="202" t="str">
        <f>Engagements!I7</f>
        <v/>
      </c>
      <c r="BL34" s="202">
        <f>'Fiches Qualif'!AV34</f>
        <v>2</v>
      </c>
      <c r="BM34" s="202" t="str">
        <f>Engagements!J7</f>
        <v/>
      </c>
    </row>
    <row r="35" spans="35:65" x14ac:dyDescent="0.2">
      <c r="AI35" s="185">
        <f>AI34+1</f>
        <v>2</v>
      </c>
      <c r="AK35" s="185" t="s">
        <v>482</v>
      </c>
      <c r="AO35" s="185" t="s">
        <v>534</v>
      </c>
      <c r="AP35" s="185" t="s">
        <v>541</v>
      </c>
      <c r="AV35" s="206">
        <f>Engagements!A8</f>
        <v>3</v>
      </c>
      <c r="AW35" s="206" t="str">
        <f>Engagements!B8</f>
        <v/>
      </c>
      <c r="AX35" s="206">
        <f>'Fiches Qualif'!AV35</f>
        <v>3</v>
      </c>
      <c r="AY35" s="212" t="str">
        <f>Engagements!C8</f>
        <v/>
      </c>
      <c r="AZ35" s="206">
        <f>'Fiches Qualif'!AV35</f>
        <v>3</v>
      </c>
      <c r="BA35" s="206" t="str">
        <f>Engagements!D8</f>
        <v/>
      </c>
      <c r="BB35" s="206">
        <f>'Fiches Qualif'!AV35</f>
        <v>3</v>
      </c>
      <c r="BC35" s="206" t="str">
        <f>Engagements!E8</f>
        <v/>
      </c>
      <c r="BD35" s="206">
        <f>'Fiches Qualif'!AV35</f>
        <v>3</v>
      </c>
      <c r="BE35" s="206" t="str">
        <f>Engagements!F8</f>
        <v/>
      </c>
      <c r="BF35" s="202">
        <f>'Fiches Qualif'!AV35</f>
        <v>3</v>
      </c>
      <c r="BG35" s="207" t="str">
        <f>Engagements!G8</f>
        <v/>
      </c>
      <c r="BH35" s="202">
        <f>'Fiches Qualif'!AV35</f>
        <v>3</v>
      </c>
      <c r="BI35" s="213" t="str">
        <f>Engagements!H8</f>
        <v/>
      </c>
      <c r="BJ35" s="202">
        <f>'Fiches Qualif'!AV35</f>
        <v>3</v>
      </c>
      <c r="BK35" s="202" t="str">
        <f>Engagements!I8</f>
        <v/>
      </c>
      <c r="BL35" s="202">
        <f>'Fiches Qualif'!AV35</f>
        <v>3</v>
      </c>
      <c r="BM35" s="202" t="str">
        <f>Engagements!J8</f>
        <v/>
      </c>
    </row>
    <row r="36" spans="35:65" x14ac:dyDescent="0.2">
      <c r="AI36" s="185">
        <f t="shared" ref="AI36:AI99" si="0">AI35+1</f>
        <v>3</v>
      </c>
      <c r="AK36" s="185" t="s">
        <v>483</v>
      </c>
      <c r="AO36" s="185" t="s">
        <v>535</v>
      </c>
      <c r="AP36" s="185" t="s">
        <v>543</v>
      </c>
      <c r="AV36" s="206">
        <f>Engagements!A9</f>
        <v>4</v>
      </c>
      <c r="AW36" s="206" t="str">
        <f>Engagements!B9</f>
        <v/>
      </c>
      <c r="AX36" s="206">
        <f>'Fiches Qualif'!AV36</f>
        <v>4</v>
      </c>
      <c r="AY36" s="212" t="str">
        <f>Engagements!C9</f>
        <v/>
      </c>
      <c r="AZ36" s="206">
        <f>'Fiches Qualif'!AV36</f>
        <v>4</v>
      </c>
      <c r="BA36" s="206" t="str">
        <f>Engagements!D9</f>
        <v/>
      </c>
      <c r="BB36" s="206">
        <f>'Fiches Qualif'!AV36</f>
        <v>4</v>
      </c>
      <c r="BC36" s="206" t="str">
        <f>Engagements!E9</f>
        <v/>
      </c>
      <c r="BD36" s="206">
        <f>'Fiches Qualif'!AV36</f>
        <v>4</v>
      </c>
      <c r="BE36" s="206" t="str">
        <f>Engagements!F9</f>
        <v/>
      </c>
      <c r="BF36" s="202">
        <f>'Fiches Qualif'!AV36</f>
        <v>4</v>
      </c>
      <c r="BG36" s="207" t="str">
        <f>Engagements!G9</f>
        <v/>
      </c>
      <c r="BH36" s="202">
        <f>'Fiches Qualif'!AV36</f>
        <v>4</v>
      </c>
      <c r="BI36" s="213" t="str">
        <f>Engagements!H9</f>
        <v/>
      </c>
      <c r="BJ36" s="202">
        <f>'Fiches Qualif'!AV36</f>
        <v>4</v>
      </c>
      <c r="BK36" s="202" t="str">
        <f>Engagements!I9</f>
        <v/>
      </c>
      <c r="BL36" s="202">
        <f>'Fiches Qualif'!AV36</f>
        <v>4</v>
      </c>
      <c r="BM36" s="202" t="str">
        <f>Engagements!J9</f>
        <v/>
      </c>
    </row>
    <row r="37" spans="35:65" x14ac:dyDescent="0.2">
      <c r="AI37" s="185">
        <f t="shared" si="0"/>
        <v>4</v>
      </c>
      <c r="AK37" s="185" t="s">
        <v>554</v>
      </c>
      <c r="AO37" s="185" t="s">
        <v>479</v>
      </c>
      <c r="AP37" s="185" t="s">
        <v>543</v>
      </c>
      <c r="AV37" s="206">
        <f>Engagements!A10</f>
        <v>5</v>
      </c>
      <c r="AW37" s="206" t="str">
        <f>Engagements!B10</f>
        <v/>
      </c>
      <c r="AX37" s="206">
        <f>'Fiches Qualif'!AV37</f>
        <v>5</v>
      </c>
      <c r="AY37" s="212" t="str">
        <f>Engagements!C10</f>
        <v/>
      </c>
      <c r="AZ37" s="206">
        <f>'Fiches Qualif'!AV37</f>
        <v>5</v>
      </c>
      <c r="BA37" s="206" t="str">
        <f>Engagements!D10</f>
        <v/>
      </c>
      <c r="BB37" s="206">
        <f>'Fiches Qualif'!AV37</f>
        <v>5</v>
      </c>
      <c r="BC37" s="206" t="str">
        <f>Engagements!E10</f>
        <v/>
      </c>
      <c r="BD37" s="206">
        <f>'Fiches Qualif'!AV37</f>
        <v>5</v>
      </c>
      <c r="BE37" s="206" t="str">
        <f>Engagements!F10</f>
        <v/>
      </c>
      <c r="BF37" s="202">
        <f>'Fiches Qualif'!AV37</f>
        <v>5</v>
      </c>
      <c r="BG37" s="207" t="str">
        <f>Engagements!G10</f>
        <v/>
      </c>
      <c r="BH37" s="202">
        <f>'Fiches Qualif'!AV37</f>
        <v>5</v>
      </c>
      <c r="BI37" s="213" t="str">
        <f>Engagements!H10</f>
        <v/>
      </c>
      <c r="BJ37" s="202">
        <f>'Fiches Qualif'!AV37</f>
        <v>5</v>
      </c>
      <c r="BK37" s="202" t="str">
        <f>Engagements!I10</f>
        <v/>
      </c>
      <c r="BL37" s="202">
        <f>'Fiches Qualif'!AV37</f>
        <v>5</v>
      </c>
      <c r="BM37" s="202" t="str">
        <f>Engagements!J10</f>
        <v/>
      </c>
    </row>
    <row r="38" spans="35:65" x14ac:dyDescent="0.2">
      <c r="AI38" s="185">
        <f t="shared" si="0"/>
        <v>5</v>
      </c>
      <c r="AO38" s="185" t="s">
        <v>537</v>
      </c>
      <c r="AP38" s="185" t="s">
        <v>544</v>
      </c>
      <c r="AV38" s="206">
        <f>Engagements!A11</f>
        <v>6</v>
      </c>
      <c r="AW38" s="206" t="str">
        <f>Engagements!B11</f>
        <v/>
      </c>
      <c r="AX38" s="206">
        <f>'Fiches Qualif'!AV38</f>
        <v>6</v>
      </c>
      <c r="AY38" s="212" t="str">
        <f>Engagements!C11</f>
        <v/>
      </c>
      <c r="AZ38" s="206">
        <f>'Fiches Qualif'!AV38</f>
        <v>6</v>
      </c>
      <c r="BA38" s="206" t="str">
        <f>Engagements!D11</f>
        <v/>
      </c>
      <c r="BB38" s="206">
        <f>'Fiches Qualif'!AV38</f>
        <v>6</v>
      </c>
      <c r="BC38" s="206" t="str">
        <f>Engagements!E11</f>
        <v/>
      </c>
      <c r="BD38" s="206">
        <f>'Fiches Qualif'!AV38</f>
        <v>6</v>
      </c>
      <c r="BE38" s="206" t="str">
        <f>Engagements!F11</f>
        <v/>
      </c>
      <c r="BF38" s="202">
        <f>'Fiches Qualif'!AV38</f>
        <v>6</v>
      </c>
      <c r="BG38" s="207" t="str">
        <f>Engagements!G11</f>
        <v/>
      </c>
      <c r="BH38" s="202">
        <f>'Fiches Qualif'!AV38</f>
        <v>6</v>
      </c>
      <c r="BI38" s="213" t="str">
        <f>Engagements!H11</f>
        <v/>
      </c>
      <c r="BJ38" s="202">
        <f>'Fiches Qualif'!AV38</f>
        <v>6</v>
      </c>
      <c r="BK38" s="202" t="str">
        <f>Engagements!I11</f>
        <v/>
      </c>
      <c r="BL38" s="202">
        <f>'Fiches Qualif'!AV38</f>
        <v>6</v>
      </c>
      <c r="BM38" s="202" t="str">
        <f>Engagements!J11</f>
        <v/>
      </c>
    </row>
    <row r="39" spans="35:65" x14ac:dyDescent="0.2">
      <c r="AI39" s="185">
        <f t="shared" si="0"/>
        <v>6</v>
      </c>
      <c r="AO39" s="185" t="s">
        <v>536</v>
      </c>
      <c r="AP39" s="185" t="s">
        <v>544</v>
      </c>
      <c r="AV39" s="206">
        <f>Engagements!A12</f>
        <v>7</v>
      </c>
      <c r="AW39" s="206" t="str">
        <f>Engagements!B12</f>
        <v/>
      </c>
      <c r="AX39" s="206">
        <f>'Fiches Qualif'!AV39</f>
        <v>7</v>
      </c>
      <c r="AY39" s="212" t="str">
        <f>Engagements!C12</f>
        <v/>
      </c>
      <c r="AZ39" s="206">
        <f>'Fiches Qualif'!AV39</f>
        <v>7</v>
      </c>
      <c r="BA39" s="206" t="str">
        <f>Engagements!D12</f>
        <v/>
      </c>
      <c r="BB39" s="206">
        <f>'Fiches Qualif'!AV39</f>
        <v>7</v>
      </c>
      <c r="BC39" s="206" t="str">
        <f>Engagements!E12</f>
        <v/>
      </c>
      <c r="BD39" s="206">
        <f>'Fiches Qualif'!AV39</f>
        <v>7</v>
      </c>
      <c r="BE39" s="206" t="str">
        <f>Engagements!F12</f>
        <v/>
      </c>
      <c r="BF39" s="202">
        <f>'Fiches Qualif'!AV39</f>
        <v>7</v>
      </c>
      <c r="BG39" s="207" t="str">
        <f>Engagements!G12</f>
        <v/>
      </c>
      <c r="BH39" s="202">
        <f>'Fiches Qualif'!AV39</f>
        <v>7</v>
      </c>
      <c r="BI39" s="213" t="str">
        <f>Engagements!H12</f>
        <v/>
      </c>
      <c r="BJ39" s="202">
        <f>'Fiches Qualif'!AV39</f>
        <v>7</v>
      </c>
      <c r="BK39" s="202" t="str">
        <f>Engagements!I12</f>
        <v/>
      </c>
      <c r="BL39" s="202">
        <f>'Fiches Qualif'!AV39</f>
        <v>7</v>
      </c>
      <c r="BM39" s="202" t="str">
        <f>Engagements!J12</f>
        <v/>
      </c>
    </row>
    <row r="40" spans="35:65" x14ac:dyDescent="0.2">
      <c r="AI40" s="185">
        <f t="shared" si="0"/>
        <v>7</v>
      </c>
      <c r="AO40" s="185" t="s">
        <v>496</v>
      </c>
      <c r="AP40" s="185" t="s">
        <v>542</v>
      </c>
      <c r="AV40" s="206">
        <f>Engagements!A13</f>
        <v>8</v>
      </c>
      <c r="AW40" s="206" t="str">
        <f>Engagements!B13</f>
        <v/>
      </c>
      <c r="AX40" s="206">
        <f>'Fiches Qualif'!AV40</f>
        <v>8</v>
      </c>
      <c r="AY40" s="212" t="str">
        <f>Engagements!C13</f>
        <v/>
      </c>
      <c r="AZ40" s="206">
        <f>'Fiches Qualif'!AV40</f>
        <v>8</v>
      </c>
      <c r="BA40" s="206" t="str">
        <f>Engagements!D13</f>
        <v/>
      </c>
      <c r="BB40" s="206">
        <f>'Fiches Qualif'!AV40</f>
        <v>8</v>
      </c>
      <c r="BC40" s="206" t="str">
        <f>Engagements!E13</f>
        <v/>
      </c>
      <c r="BD40" s="206">
        <f>'Fiches Qualif'!AV40</f>
        <v>8</v>
      </c>
      <c r="BE40" s="206" t="str">
        <f>Engagements!F13</f>
        <v/>
      </c>
      <c r="BF40" s="202">
        <f>'Fiches Qualif'!AV40</f>
        <v>8</v>
      </c>
      <c r="BG40" s="207" t="str">
        <f>Engagements!G13</f>
        <v/>
      </c>
      <c r="BH40" s="202">
        <f>'Fiches Qualif'!AV40</f>
        <v>8</v>
      </c>
      <c r="BI40" s="213" t="str">
        <f>Engagements!H13</f>
        <v/>
      </c>
      <c r="BJ40" s="202">
        <f>'Fiches Qualif'!AV40</f>
        <v>8</v>
      </c>
      <c r="BK40" s="202" t="str">
        <f>Engagements!I13</f>
        <v/>
      </c>
      <c r="BL40" s="202">
        <f>'Fiches Qualif'!AV40</f>
        <v>8</v>
      </c>
      <c r="BM40" s="202" t="str">
        <f>Engagements!J13</f>
        <v/>
      </c>
    </row>
    <row r="41" spans="35:65" x14ac:dyDescent="0.2">
      <c r="AI41" s="185">
        <f t="shared" si="0"/>
        <v>8</v>
      </c>
      <c r="AO41" s="185" t="s">
        <v>478</v>
      </c>
      <c r="AP41" s="185" t="s">
        <v>542</v>
      </c>
      <c r="AV41" s="206">
        <f>Engagements!A14</f>
        <v>9</v>
      </c>
      <c r="AW41" s="206" t="str">
        <f>Engagements!B14</f>
        <v/>
      </c>
      <c r="AX41" s="206">
        <f>'Fiches Qualif'!AV41</f>
        <v>9</v>
      </c>
      <c r="AY41" s="212" t="str">
        <f>Engagements!C14</f>
        <v/>
      </c>
      <c r="AZ41" s="206">
        <f>'Fiches Qualif'!AV41</f>
        <v>9</v>
      </c>
      <c r="BA41" s="206" t="str">
        <f>Engagements!D14</f>
        <v/>
      </c>
      <c r="BB41" s="206">
        <f>'Fiches Qualif'!AV41</f>
        <v>9</v>
      </c>
      <c r="BC41" s="206" t="str">
        <f>Engagements!E14</f>
        <v/>
      </c>
      <c r="BD41" s="206">
        <f>'Fiches Qualif'!AV41</f>
        <v>9</v>
      </c>
      <c r="BE41" s="206" t="str">
        <f>Engagements!F14</f>
        <v/>
      </c>
      <c r="BF41" s="202">
        <f>'Fiches Qualif'!AV41</f>
        <v>9</v>
      </c>
      <c r="BG41" s="207" t="str">
        <f>Engagements!G14</f>
        <v/>
      </c>
      <c r="BH41" s="202">
        <f>'Fiches Qualif'!AV41</f>
        <v>9</v>
      </c>
      <c r="BI41" s="213" t="str">
        <f>Engagements!H14</f>
        <v/>
      </c>
      <c r="BJ41" s="202">
        <f>'Fiches Qualif'!AV41</f>
        <v>9</v>
      </c>
      <c r="BK41" s="202" t="str">
        <f>Engagements!I14</f>
        <v/>
      </c>
      <c r="BL41" s="202">
        <f>'Fiches Qualif'!AV41</f>
        <v>9</v>
      </c>
      <c r="BM41" s="202" t="str">
        <f>Engagements!J14</f>
        <v/>
      </c>
    </row>
    <row r="42" spans="35:65" x14ac:dyDescent="0.2">
      <c r="AI42" s="185">
        <f t="shared" si="0"/>
        <v>9</v>
      </c>
      <c r="AO42" s="185" t="s">
        <v>532</v>
      </c>
      <c r="AP42" s="185" t="s">
        <v>540</v>
      </c>
      <c r="AV42" s="206">
        <f>Engagements!A15</f>
        <v>10</v>
      </c>
      <c r="AW42" s="206" t="str">
        <f>Engagements!B15</f>
        <v/>
      </c>
      <c r="AX42" s="206">
        <f>'Fiches Qualif'!AV42</f>
        <v>10</v>
      </c>
      <c r="AY42" s="212" t="str">
        <f>Engagements!C15</f>
        <v/>
      </c>
      <c r="AZ42" s="206">
        <f>'Fiches Qualif'!AV42</f>
        <v>10</v>
      </c>
      <c r="BA42" s="206" t="str">
        <f>Engagements!D15</f>
        <v/>
      </c>
      <c r="BB42" s="206">
        <f>'Fiches Qualif'!AV42</f>
        <v>10</v>
      </c>
      <c r="BC42" s="206" t="str">
        <f>Engagements!E15</f>
        <v/>
      </c>
      <c r="BD42" s="206">
        <f>'Fiches Qualif'!AV42</f>
        <v>10</v>
      </c>
      <c r="BE42" s="206" t="str">
        <f>Engagements!F15</f>
        <v/>
      </c>
      <c r="BF42" s="202">
        <f>'Fiches Qualif'!AV42</f>
        <v>10</v>
      </c>
      <c r="BG42" s="207" t="str">
        <f>Engagements!G15</f>
        <v/>
      </c>
      <c r="BH42" s="202">
        <f>'Fiches Qualif'!AV42</f>
        <v>10</v>
      </c>
      <c r="BI42" s="213" t="str">
        <f>Engagements!H15</f>
        <v/>
      </c>
      <c r="BJ42" s="202">
        <f>'Fiches Qualif'!AV42</f>
        <v>10</v>
      </c>
      <c r="BK42" s="202" t="str">
        <f>Engagements!I15</f>
        <v/>
      </c>
      <c r="BL42" s="202">
        <f>'Fiches Qualif'!AV42</f>
        <v>10</v>
      </c>
      <c r="BM42" s="202" t="str">
        <f>Engagements!J15</f>
        <v/>
      </c>
    </row>
    <row r="43" spans="35:65" x14ac:dyDescent="0.2">
      <c r="AI43" s="185">
        <f t="shared" si="0"/>
        <v>10</v>
      </c>
      <c r="AO43" s="185" t="s">
        <v>533</v>
      </c>
      <c r="AP43" s="185" t="s">
        <v>540</v>
      </c>
      <c r="AV43" s="206">
        <f>Engagements!A16</f>
        <v>11</v>
      </c>
      <c r="AW43" s="206" t="str">
        <f>Engagements!B16</f>
        <v/>
      </c>
      <c r="AX43" s="206">
        <f>'Fiches Qualif'!AV43</f>
        <v>11</v>
      </c>
      <c r="AY43" s="212" t="str">
        <f>Engagements!C16</f>
        <v/>
      </c>
      <c r="AZ43" s="206">
        <f>'Fiches Qualif'!AV43</f>
        <v>11</v>
      </c>
      <c r="BA43" s="206" t="str">
        <f>Engagements!D16</f>
        <v/>
      </c>
      <c r="BB43" s="206">
        <f>'Fiches Qualif'!AV43</f>
        <v>11</v>
      </c>
      <c r="BC43" s="206" t="str">
        <f>Engagements!E16</f>
        <v/>
      </c>
      <c r="BD43" s="206">
        <f>'Fiches Qualif'!AV43</f>
        <v>11</v>
      </c>
      <c r="BE43" s="206" t="str">
        <f>Engagements!F16</f>
        <v/>
      </c>
      <c r="BF43" s="202">
        <f>'Fiches Qualif'!AV43</f>
        <v>11</v>
      </c>
      <c r="BG43" s="207" t="str">
        <f>Engagements!G16</f>
        <v/>
      </c>
      <c r="BH43" s="202">
        <f>'Fiches Qualif'!AV43</f>
        <v>11</v>
      </c>
      <c r="BI43" s="213" t="str">
        <f>Engagements!H16</f>
        <v/>
      </c>
      <c r="BJ43" s="202">
        <f>'Fiches Qualif'!AV43</f>
        <v>11</v>
      </c>
      <c r="BK43" s="202" t="str">
        <f>Engagements!I16</f>
        <v/>
      </c>
      <c r="BL43" s="202">
        <f>'Fiches Qualif'!AV43</f>
        <v>11</v>
      </c>
      <c r="BM43" s="202" t="str">
        <f>Engagements!J16</f>
        <v/>
      </c>
    </row>
    <row r="44" spans="35:65" x14ac:dyDescent="0.2">
      <c r="AI44" s="185">
        <f t="shared" si="0"/>
        <v>11</v>
      </c>
      <c r="AO44" s="185" t="s">
        <v>539</v>
      </c>
      <c r="AP44" s="185" t="s">
        <v>545</v>
      </c>
      <c r="AV44" s="206">
        <f>Engagements!A17</f>
        <v>12</v>
      </c>
      <c r="AW44" s="206" t="str">
        <f>Engagements!B17</f>
        <v/>
      </c>
      <c r="AX44" s="206">
        <f>'Fiches Qualif'!AV44</f>
        <v>12</v>
      </c>
      <c r="AY44" s="212" t="str">
        <f>Engagements!C17</f>
        <v/>
      </c>
      <c r="AZ44" s="206">
        <f>'Fiches Qualif'!AV44</f>
        <v>12</v>
      </c>
      <c r="BA44" s="206" t="str">
        <f>Engagements!D17</f>
        <v/>
      </c>
      <c r="BB44" s="206">
        <f>'Fiches Qualif'!AV44</f>
        <v>12</v>
      </c>
      <c r="BC44" s="206" t="str">
        <f>Engagements!E17</f>
        <v/>
      </c>
      <c r="BD44" s="206">
        <f>'Fiches Qualif'!AV44</f>
        <v>12</v>
      </c>
      <c r="BE44" s="206" t="str">
        <f>Engagements!F17</f>
        <v/>
      </c>
      <c r="BF44" s="202">
        <f>'Fiches Qualif'!AV44</f>
        <v>12</v>
      </c>
      <c r="BG44" s="207" t="str">
        <f>Engagements!G17</f>
        <v/>
      </c>
      <c r="BH44" s="202">
        <f>'Fiches Qualif'!AV44</f>
        <v>12</v>
      </c>
      <c r="BI44" s="213" t="str">
        <f>Engagements!H17</f>
        <v/>
      </c>
      <c r="BJ44" s="202">
        <f>'Fiches Qualif'!AV44</f>
        <v>12</v>
      </c>
      <c r="BK44" s="202" t="str">
        <f>Engagements!I17</f>
        <v/>
      </c>
      <c r="BL44" s="202">
        <f>'Fiches Qualif'!AV44</f>
        <v>12</v>
      </c>
      <c r="BM44" s="202" t="str">
        <f>Engagements!J17</f>
        <v/>
      </c>
    </row>
    <row r="45" spans="35:65" x14ac:dyDescent="0.2">
      <c r="AI45" s="185">
        <f t="shared" si="0"/>
        <v>12</v>
      </c>
      <c r="AO45" s="185" t="s">
        <v>538</v>
      </c>
      <c r="AP45" s="185" t="s">
        <v>545</v>
      </c>
      <c r="AV45" s="206">
        <f>Engagements!A18</f>
        <v>13</v>
      </c>
      <c r="AW45" s="206" t="str">
        <f>Engagements!B18</f>
        <v/>
      </c>
      <c r="AX45" s="206">
        <f>'Fiches Qualif'!AV45</f>
        <v>13</v>
      </c>
      <c r="AY45" s="212" t="str">
        <f>Engagements!C18</f>
        <v/>
      </c>
      <c r="AZ45" s="206">
        <f>'Fiches Qualif'!AV45</f>
        <v>13</v>
      </c>
      <c r="BA45" s="206" t="str">
        <f>Engagements!D18</f>
        <v/>
      </c>
      <c r="BB45" s="206">
        <f>'Fiches Qualif'!AV45</f>
        <v>13</v>
      </c>
      <c r="BC45" s="206" t="str">
        <f>Engagements!E18</f>
        <v/>
      </c>
      <c r="BD45" s="206">
        <f>'Fiches Qualif'!AV45</f>
        <v>13</v>
      </c>
      <c r="BE45" s="206" t="str">
        <f>Engagements!F18</f>
        <v/>
      </c>
      <c r="BF45" s="202">
        <f>'Fiches Qualif'!AV45</f>
        <v>13</v>
      </c>
      <c r="BG45" s="207" t="str">
        <f>Engagements!G18</f>
        <v/>
      </c>
      <c r="BH45" s="202">
        <f>'Fiches Qualif'!AV45</f>
        <v>13</v>
      </c>
      <c r="BI45" s="213" t="str">
        <f>Engagements!H18</f>
        <v/>
      </c>
      <c r="BJ45" s="202">
        <f>'Fiches Qualif'!AV45</f>
        <v>13</v>
      </c>
      <c r="BK45" s="202" t="str">
        <f>Engagements!I18</f>
        <v/>
      </c>
      <c r="BL45" s="202">
        <f>'Fiches Qualif'!AV45</f>
        <v>13</v>
      </c>
      <c r="BM45" s="202" t="str">
        <f>Engagements!J18</f>
        <v/>
      </c>
    </row>
    <row r="46" spans="35:65" x14ac:dyDescent="0.2">
      <c r="AI46" s="185">
        <f t="shared" si="0"/>
        <v>13</v>
      </c>
      <c r="AV46" s="206">
        <f>Engagements!A19</f>
        <v>14</v>
      </c>
      <c r="AW46" s="206" t="str">
        <f>Engagements!B19</f>
        <v/>
      </c>
      <c r="AX46" s="206">
        <f>'Fiches Qualif'!AV46</f>
        <v>14</v>
      </c>
      <c r="AY46" s="212" t="str">
        <f>Engagements!C19</f>
        <v/>
      </c>
      <c r="AZ46" s="206">
        <f>'Fiches Qualif'!AV46</f>
        <v>14</v>
      </c>
      <c r="BA46" s="206" t="str">
        <f>Engagements!D19</f>
        <v/>
      </c>
      <c r="BB46" s="206">
        <f>'Fiches Qualif'!AV46</f>
        <v>14</v>
      </c>
      <c r="BC46" s="206" t="str">
        <f>Engagements!E19</f>
        <v/>
      </c>
      <c r="BD46" s="206">
        <f>'Fiches Qualif'!AV46</f>
        <v>14</v>
      </c>
      <c r="BE46" s="206" t="str">
        <f>Engagements!F19</f>
        <v/>
      </c>
      <c r="BF46" s="202">
        <f>'Fiches Qualif'!AV46</f>
        <v>14</v>
      </c>
      <c r="BG46" s="207" t="str">
        <f>Engagements!G19</f>
        <v/>
      </c>
      <c r="BH46" s="202">
        <f>'Fiches Qualif'!AV46</f>
        <v>14</v>
      </c>
      <c r="BI46" s="213" t="str">
        <f>Engagements!H19</f>
        <v/>
      </c>
      <c r="BJ46" s="202">
        <f>'Fiches Qualif'!AV46</f>
        <v>14</v>
      </c>
      <c r="BK46" s="202" t="str">
        <f>Engagements!I19</f>
        <v/>
      </c>
      <c r="BL46" s="202">
        <f>'Fiches Qualif'!AV46</f>
        <v>14</v>
      </c>
      <c r="BM46" s="202" t="str">
        <f>Engagements!J19</f>
        <v/>
      </c>
    </row>
    <row r="47" spans="35:65" x14ac:dyDescent="0.2">
      <c r="AI47" s="185">
        <f t="shared" si="0"/>
        <v>14</v>
      </c>
      <c r="AV47" s="206">
        <f>Engagements!A20</f>
        <v>15</v>
      </c>
      <c r="AW47" s="206" t="str">
        <f>Engagements!B20</f>
        <v/>
      </c>
      <c r="AX47" s="206">
        <f>'Fiches Qualif'!AV47</f>
        <v>15</v>
      </c>
      <c r="AY47" s="212" t="str">
        <f>Engagements!C20</f>
        <v/>
      </c>
      <c r="AZ47" s="206">
        <f>'Fiches Qualif'!AV47</f>
        <v>15</v>
      </c>
      <c r="BA47" s="206" t="str">
        <f>Engagements!D20</f>
        <v/>
      </c>
      <c r="BB47" s="206">
        <f>'Fiches Qualif'!AV47</f>
        <v>15</v>
      </c>
      <c r="BC47" s="206" t="str">
        <f>Engagements!E20</f>
        <v/>
      </c>
      <c r="BD47" s="206">
        <f>'Fiches Qualif'!AV47</f>
        <v>15</v>
      </c>
      <c r="BE47" s="206" t="str">
        <f>Engagements!F20</f>
        <v/>
      </c>
      <c r="BF47" s="202">
        <f>'Fiches Qualif'!AV47</f>
        <v>15</v>
      </c>
      <c r="BG47" s="207" t="str">
        <f>Engagements!G20</f>
        <v/>
      </c>
      <c r="BH47" s="202">
        <f>'Fiches Qualif'!AV47</f>
        <v>15</v>
      </c>
      <c r="BI47" s="213" t="str">
        <f>Engagements!H20</f>
        <v/>
      </c>
      <c r="BJ47" s="202">
        <f>'Fiches Qualif'!AV47</f>
        <v>15</v>
      </c>
      <c r="BK47" s="202" t="str">
        <f>Engagements!I20</f>
        <v/>
      </c>
      <c r="BL47" s="202">
        <f>'Fiches Qualif'!AV47</f>
        <v>15</v>
      </c>
      <c r="BM47" s="202" t="str">
        <f>Engagements!J20</f>
        <v/>
      </c>
    </row>
    <row r="48" spans="35:65" x14ac:dyDescent="0.2">
      <c r="AI48" s="185">
        <f t="shared" si="0"/>
        <v>15</v>
      </c>
      <c r="AV48" s="206">
        <f>Engagements!A21</f>
        <v>16</v>
      </c>
      <c r="AW48" s="206" t="str">
        <f>Engagements!B21</f>
        <v/>
      </c>
      <c r="AX48" s="206">
        <f>'Fiches Qualif'!AV48</f>
        <v>16</v>
      </c>
      <c r="AY48" s="212" t="str">
        <f>Engagements!C21</f>
        <v/>
      </c>
      <c r="AZ48" s="206">
        <f>'Fiches Qualif'!AV48</f>
        <v>16</v>
      </c>
      <c r="BA48" s="206" t="str">
        <f>Engagements!D21</f>
        <v/>
      </c>
      <c r="BB48" s="206">
        <f>'Fiches Qualif'!AV48</f>
        <v>16</v>
      </c>
      <c r="BC48" s="206" t="str">
        <f>Engagements!E21</f>
        <v/>
      </c>
      <c r="BD48" s="206">
        <f>'Fiches Qualif'!AV48</f>
        <v>16</v>
      </c>
      <c r="BE48" s="206" t="str">
        <f>Engagements!F21</f>
        <v/>
      </c>
      <c r="BF48" s="202">
        <f>'Fiches Qualif'!AV48</f>
        <v>16</v>
      </c>
      <c r="BG48" s="207" t="str">
        <f>Engagements!G21</f>
        <v/>
      </c>
      <c r="BH48" s="202">
        <f>'Fiches Qualif'!AV48</f>
        <v>16</v>
      </c>
      <c r="BI48" s="213" t="str">
        <f>Engagements!H21</f>
        <v/>
      </c>
      <c r="BJ48" s="202">
        <f>'Fiches Qualif'!AV48</f>
        <v>16</v>
      </c>
      <c r="BK48" s="202" t="str">
        <f>Engagements!I21</f>
        <v/>
      </c>
      <c r="BL48" s="202">
        <f>'Fiches Qualif'!AV48</f>
        <v>16</v>
      </c>
      <c r="BM48" s="202" t="str">
        <f>Engagements!J21</f>
        <v/>
      </c>
    </row>
    <row r="49" spans="35:65" x14ac:dyDescent="0.2">
      <c r="AI49" s="185">
        <f t="shared" si="0"/>
        <v>16</v>
      </c>
      <c r="AV49" s="206">
        <f>Engagements!A22</f>
        <v>17</v>
      </c>
      <c r="AW49" s="206" t="str">
        <f>Engagements!B22</f>
        <v/>
      </c>
      <c r="AX49" s="206">
        <f>'Fiches Qualif'!AV49</f>
        <v>17</v>
      </c>
      <c r="AY49" s="212" t="str">
        <f>Engagements!C22</f>
        <v/>
      </c>
      <c r="AZ49" s="206">
        <f>'Fiches Qualif'!AV49</f>
        <v>17</v>
      </c>
      <c r="BA49" s="206" t="str">
        <f>Engagements!D22</f>
        <v/>
      </c>
      <c r="BB49" s="206">
        <f>'Fiches Qualif'!AV49</f>
        <v>17</v>
      </c>
      <c r="BC49" s="206" t="str">
        <f>Engagements!E22</f>
        <v/>
      </c>
      <c r="BD49" s="206">
        <f>'Fiches Qualif'!AV49</f>
        <v>17</v>
      </c>
      <c r="BE49" s="206" t="str">
        <f>Engagements!F22</f>
        <v/>
      </c>
      <c r="BF49" s="202">
        <f>'Fiches Qualif'!AV49</f>
        <v>17</v>
      </c>
      <c r="BG49" s="207" t="str">
        <f>Engagements!G22</f>
        <v/>
      </c>
      <c r="BH49" s="202">
        <f>'Fiches Qualif'!AV49</f>
        <v>17</v>
      </c>
      <c r="BI49" s="213" t="str">
        <f>Engagements!H22</f>
        <v/>
      </c>
      <c r="BJ49" s="202">
        <f>'Fiches Qualif'!AV49</f>
        <v>17</v>
      </c>
      <c r="BK49" s="202" t="str">
        <f>Engagements!I22</f>
        <v/>
      </c>
      <c r="BL49" s="202">
        <f>'Fiches Qualif'!AV49</f>
        <v>17</v>
      </c>
      <c r="BM49" s="202" t="str">
        <f>Engagements!J22</f>
        <v/>
      </c>
    </row>
    <row r="50" spans="35:65" x14ac:dyDescent="0.2">
      <c r="AI50" s="185">
        <f t="shared" si="0"/>
        <v>17</v>
      </c>
      <c r="AV50" s="206">
        <f>Engagements!A23</f>
        <v>18</v>
      </c>
      <c r="AW50" s="206" t="str">
        <f>Engagements!B23</f>
        <v/>
      </c>
      <c r="AX50" s="206">
        <f>'Fiches Qualif'!AV50</f>
        <v>18</v>
      </c>
      <c r="AY50" s="212" t="str">
        <f>Engagements!C23</f>
        <v/>
      </c>
      <c r="AZ50" s="206">
        <f>'Fiches Qualif'!AV50</f>
        <v>18</v>
      </c>
      <c r="BA50" s="206" t="str">
        <f>Engagements!D23</f>
        <v/>
      </c>
      <c r="BB50" s="206">
        <f>'Fiches Qualif'!AV50</f>
        <v>18</v>
      </c>
      <c r="BC50" s="206" t="str">
        <f>Engagements!E23</f>
        <v/>
      </c>
      <c r="BD50" s="206">
        <f>'Fiches Qualif'!AV50</f>
        <v>18</v>
      </c>
      <c r="BE50" s="206" t="str">
        <f>Engagements!F23</f>
        <v/>
      </c>
      <c r="BF50" s="202">
        <f>'Fiches Qualif'!AV50</f>
        <v>18</v>
      </c>
      <c r="BG50" s="207" t="str">
        <f>Engagements!G23</f>
        <v/>
      </c>
      <c r="BH50" s="202">
        <f>'Fiches Qualif'!AV50</f>
        <v>18</v>
      </c>
      <c r="BI50" s="213" t="str">
        <f>Engagements!H23</f>
        <v/>
      </c>
      <c r="BJ50" s="202">
        <f>'Fiches Qualif'!AV50</f>
        <v>18</v>
      </c>
      <c r="BK50" s="202" t="str">
        <f>Engagements!I23</f>
        <v/>
      </c>
      <c r="BL50" s="202">
        <f>'Fiches Qualif'!AV50</f>
        <v>18</v>
      </c>
      <c r="BM50" s="202" t="str">
        <f>Engagements!J23</f>
        <v/>
      </c>
    </row>
    <row r="51" spans="35:65" x14ac:dyDescent="0.2">
      <c r="AI51" s="185">
        <f t="shared" si="0"/>
        <v>18</v>
      </c>
      <c r="AV51" s="206">
        <f>Engagements!A24</f>
        <v>19</v>
      </c>
      <c r="AW51" s="206" t="str">
        <f>Engagements!B24</f>
        <v/>
      </c>
      <c r="AX51" s="206">
        <f>'Fiches Qualif'!AV51</f>
        <v>19</v>
      </c>
      <c r="AY51" s="212" t="str">
        <f>Engagements!C24</f>
        <v/>
      </c>
      <c r="AZ51" s="206">
        <f>'Fiches Qualif'!AV51</f>
        <v>19</v>
      </c>
      <c r="BA51" s="206" t="str">
        <f>Engagements!D24</f>
        <v/>
      </c>
      <c r="BB51" s="206">
        <f>'Fiches Qualif'!AV51</f>
        <v>19</v>
      </c>
      <c r="BC51" s="206" t="str">
        <f>Engagements!E24</f>
        <v/>
      </c>
      <c r="BD51" s="206">
        <f>'Fiches Qualif'!AV51</f>
        <v>19</v>
      </c>
      <c r="BE51" s="206" t="str">
        <f>Engagements!F24</f>
        <v/>
      </c>
      <c r="BF51" s="202">
        <f>'Fiches Qualif'!AV51</f>
        <v>19</v>
      </c>
      <c r="BG51" s="207" t="str">
        <f>Engagements!G24</f>
        <v/>
      </c>
      <c r="BH51" s="202">
        <f>'Fiches Qualif'!AV51</f>
        <v>19</v>
      </c>
      <c r="BI51" s="213" t="str">
        <f>Engagements!H24</f>
        <v/>
      </c>
      <c r="BJ51" s="202">
        <f>'Fiches Qualif'!AV51</f>
        <v>19</v>
      </c>
      <c r="BK51" s="202" t="str">
        <f>Engagements!I24</f>
        <v/>
      </c>
      <c r="BL51" s="202">
        <f>'Fiches Qualif'!AV51</f>
        <v>19</v>
      </c>
      <c r="BM51" s="202" t="str">
        <f>Engagements!J24</f>
        <v/>
      </c>
    </row>
    <row r="52" spans="35:65" x14ac:dyDescent="0.2">
      <c r="AI52" s="185">
        <f t="shared" si="0"/>
        <v>19</v>
      </c>
      <c r="AV52" s="206">
        <f>Engagements!A25</f>
        <v>20</v>
      </c>
      <c r="AW52" s="206" t="str">
        <f>Engagements!B25</f>
        <v/>
      </c>
      <c r="AX52" s="206">
        <f>'Fiches Qualif'!AV52</f>
        <v>20</v>
      </c>
      <c r="AY52" s="212" t="str">
        <f>Engagements!C25</f>
        <v/>
      </c>
      <c r="AZ52" s="206">
        <f>'Fiches Qualif'!AV52</f>
        <v>20</v>
      </c>
      <c r="BA52" s="206" t="str">
        <f>Engagements!D25</f>
        <v/>
      </c>
      <c r="BB52" s="206">
        <f>'Fiches Qualif'!AV52</f>
        <v>20</v>
      </c>
      <c r="BC52" s="206" t="str">
        <f>Engagements!E25</f>
        <v/>
      </c>
      <c r="BD52" s="206">
        <f>'Fiches Qualif'!AV52</f>
        <v>20</v>
      </c>
      <c r="BE52" s="206" t="str">
        <f>Engagements!F25</f>
        <v/>
      </c>
      <c r="BF52" s="202">
        <f>'Fiches Qualif'!AV52</f>
        <v>20</v>
      </c>
      <c r="BG52" s="207" t="str">
        <f>Engagements!G25</f>
        <v/>
      </c>
      <c r="BH52" s="202">
        <f>'Fiches Qualif'!AV52</f>
        <v>20</v>
      </c>
      <c r="BI52" s="213" t="str">
        <f>Engagements!H25</f>
        <v/>
      </c>
      <c r="BJ52" s="202">
        <f>'Fiches Qualif'!AV52</f>
        <v>20</v>
      </c>
      <c r="BK52" s="202" t="str">
        <f>Engagements!I25</f>
        <v/>
      </c>
      <c r="BL52" s="202">
        <f>'Fiches Qualif'!AV52</f>
        <v>20</v>
      </c>
      <c r="BM52" s="202" t="str">
        <f>Engagements!J25</f>
        <v/>
      </c>
    </row>
    <row r="53" spans="35:65" x14ac:dyDescent="0.2">
      <c r="AI53" s="185">
        <f t="shared" si="0"/>
        <v>20</v>
      </c>
      <c r="AV53" s="206">
        <f>Engagements!A26</f>
        <v>21</v>
      </c>
      <c r="AW53" s="206" t="str">
        <f>Engagements!B26</f>
        <v/>
      </c>
      <c r="AX53" s="206">
        <f>'Fiches Qualif'!AV53</f>
        <v>21</v>
      </c>
      <c r="AY53" s="212" t="str">
        <f>Engagements!C26</f>
        <v/>
      </c>
      <c r="AZ53" s="206">
        <f>'Fiches Qualif'!AV53</f>
        <v>21</v>
      </c>
      <c r="BA53" s="206" t="str">
        <f>Engagements!D26</f>
        <v/>
      </c>
      <c r="BB53" s="206">
        <f>'Fiches Qualif'!AV53</f>
        <v>21</v>
      </c>
      <c r="BC53" s="206" t="str">
        <f>Engagements!E26</f>
        <v/>
      </c>
      <c r="BD53" s="206">
        <f>'Fiches Qualif'!AV53</f>
        <v>21</v>
      </c>
      <c r="BE53" s="206" t="str">
        <f>Engagements!F26</f>
        <v/>
      </c>
      <c r="BF53" s="202">
        <f>'Fiches Qualif'!AV53</f>
        <v>21</v>
      </c>
      <c r="BG53" s="207" t="str">
        <f>Engagements!G26</f>
        <v/>
      </c>
      <c r="BH53" s="202">
        <f>'Fiches Qualif'!AV53</f>
        <v>21</v>
      </c>
      <c r="BI53" s="213" t="str">
        <f>Engagements!H26</f>
        <v/>
      </c>
      <c r="BJ53" s="202">
        <f>'Fiches Qualif'!AV53</f>
        <v>21</v>
      </c>
      <c r="BK53" s="202" t="str">
        <f>Engagements!I26</f>
        <v/>
      </c>
      <c r="BL53" s="202">
        <f>'Fiches Qualif'!AV53</f>
        <v>21</v>
      </c>
      <c r="BM53" s="202" t="str">
        <f>Engagements!J26</f>
        <v/>
      </c>
    </row>
    <row r="54" spans="35:65" x14ac:dyDescent="0.2">
      <c r="AI54" s="185">
        <f t="shared" si="0"/>
        <v>21</v>
      </c>
      <c r="AV54" s="206">
        <f>Engagements!A27</f>
        <v>22</v>
      </c>
      <c r="AW54" s="206" t="str">
        <f>Engagements!B27</f>
        <v/>
      </c>
      <c r="AX54" s="206">
        <f>'Fiches Qualif'!AV54</f>
        <v>22</v>
      </c>
      <c r="AY54" s="212" t="str">
        <f>Engagements!C27</f>
        <v/>
      </c>
      <c r="AZ54" s="206">
        <f>'Fiches Qualif'!AV54</f>
        <v>22</v>
      </c>
      <c r="BA54" s="206" t="str">
        <f>Engagements!D27</f>
        <v/>
      </c>
      <c r="BB54" s="206">
        <f>'Fiches Qualif'!AV54</f>
        <v>22</v>
      </c>
      <c r="BC54" s="206" t="str">
        <f>Engagements!E27</f>
        <v/>
      </c>
      <c r="BD54" s="206">
        <f>'Fiches Qualif'!AV54</f>
        <v>22</v>
      </c>
      <c r="BE54" s="206" t="str">
        <f>Engagements!F27</f>
        <v/>
      </c>
      <c r="BF54" s="202">
        <f>'Fiches Qualif'!AV54</f>
        <v>22</v>
      </c>
      <c r="BG54" s="207" t="str">
        <f>Engagements!G27</f>
        <v/>
      </c>
      <c r="BH54" s="202">
        <f>'Fiches Qualif'!AV54</f>
        <v>22</v>
      </c>
      <c r="BI54" s="213" t="str">
        <f>Engagements!H27</f>
        <v/>
      </c>
      <c r="BJ54" s="202">
        <f>'Fiches Qualif'!AV54</f>
        <v>22</v>
      </c>
      <c r="BK54" s="202" t="str">
        <f>Engagements!I27</f>
        <v/>
      </c>
      <c r="BL54" s="202">
        <f>'Fiches Qualif'!AV54</f>
        <v>22</v>
      </c>
      <c r="BM54" s="202" t="str">
        <f>Engagements!J27</f>
        <v/>
      </c>
    </row>
    <row r="55" spans="35:65" x14ac:dyDescent="0.2">
      <c r="AI55" s="185">
        <f t="shared" si="0"/>
        <v>22</v>
      </c>
      <c r="AV55" s="206">
        <f>Engagements!A28</f>
        <v>23</v>
      </c>
      <c r="AW55" s="206" t="str">
        <f>Engagements!B28</f>
        <v/>
      </c>
      <c r="AX55" s="206">
        <f>'Fiches Qualif'!AV55</f>
        <v>23</v>
      </c>
      <c r="AY55" s="212" t="str">
        <f>Engagements!C28</f>
        <v/>
      </c>
      <c r="AZ55" s="206">
        <f>'Fiches Qualif'!AV55</f>
        <v>23</v>
      </c>
      <c r="BA55" s="206" t="str">
        <f>Engagements!D28</f>
        <v/>
      </c>
      <c r="BB55" s="206">
        <f>'Fiches Qualif'!AV55</f>
        <v>23</v>
      </c>
      <c r="BC55" s="206" t="str">
        <f>Engagements!E28</f>
        <v/>
      </c>
      <c r="BD55" s="206">
        <f>'Fiches Qualif'!AV55</f>
        <v>23</v>
      </c>
      <c r="BE55" s="206" t="str">
        <f>Engagements!F28</f>
        <v/>
      </c>
      <c r="BF55" s="202">
        <f>'Fiches Qualif'!AV55</f>
        <v>23</v>
      </c>
      <c r="BG55" s="207" t="str">
        <f>Engagements!G28</f>
        <v/>
      </c>
      <c r="BH55" s="202">
        <f>'Fiches Qualif'!AV55</f>
        <v>23</v>
      </c>
      <c r="BI55" s="213" t="str">
        <f>Engagements!H28</f>
        <v/>
      </c>
      <c r="BJ55" s="202">
        <f>'Fiches Qualif'!AV55</f>
        <v>23</v>
      </c>
      <c r="BK55" s="202" t="str">
        <f>Engagements!I28</f>
        <v/>
      </c>
      <c r="BL55" s="202">
        <f>'Fiches Qualif'!AV55</f>
        <v>23</v>
      </c>
      <c r="BM55" s="202" t="str">
        <f>Engagements!J28</f>
        <v/>
      </c>
    </row>
    <row r="56" spans="35:65" x14ac:dyDescent="0.2">
      <c r="AI56" s="185">
        <f t="shared" si="0"/>
        <v>23</v>
      </c>
      <c r="AV56" s="206">
        <f>Engagements!A29</f>
        <v>24</v>
      </c>
      <c r="AW56" s="206" t="str">
        <f>Engagements!B29</f>
        <v/>
      </c>
      <c r="AX56" s="206">
        <f>'Fiches Qualif'!AV56</f>
        <v>24</v>
      </c>
      <c r="AY56" s="212" t="str">
        <f>Engagements!C29</f>
        <v/>
      </c>
      <c r="AZ56" s="206">
        <f>'Fiches Qualif'!AV56</f>
        <v>24</v>
      </c>
      <c r="BA56" s="206" t="str">
        <f>Engagements!D29</f>
        <v/>
      </c>
      <c r="BB56" s="206">
        <f>'Fiches Qualif'!AV56</f>
        <v>24</v>
      </c>
      <c r="BC56" s="206" t="str">
        <f>Engagements!E29</f>
        <v/>
      </c>
      <c r="BD56" s="206">
        <f>'Fiches Qualif'!AV56</f>
        <v>24</v>
      </c>
      <c r="BE56" s="206" t="str">
        <f>Engagements!F29</f>
        <v/>
      </c>
      <c r="BF56" s="202">
        <f>'Fiches Qualif'!AV56</f>
        <v>24</v>
      </c>
      <c r="BG56" s="207" t="str">
        <f>Engagements!G29</f>
        <v/>
      </c>
      <c r="BH56" s="202">
        <f>'Fiches Qualif'!AV56</f>
        <v>24</v>
      </c>
      <c r="BI56" s="213" t="str">
        <f>Engagements!H29</f>
        <v/>
      </c>
      <c r="BJ56" s="202">
        <f>'Fiches Qualif'!AV56</f>
        <v>24</v>
      </c>
      <c r="BK56" s="202" t="str">
        <f>Engagements!I29</f>
        <v/>
      </c>
      <c r="BL56" s="202">
        <f>'Fiches Qualif'!AV56</f>
        <v>24</v>
      </c>
      <c r="BM56" s="202" t="str">
        <f>Engagements!J29</f>
        <v/>
      </c>
    </row>
    <row r="57" spans="35:65" x14ac:dyDescent="0.2">
      <c r="AI57" s="185">
        <f t="shared" si="0"/>
        <v>24</v>
      </c>
      <c r="AV57" s="206">
        <f>Engagements!A30</f>
        <v>25</v>
      </c>
      <c r="AW57" s="206" t="str">
        <f>Engagements!B30</f>
        <v/>
      </c>
      <c r="AX57" s="206">
        <f>'Fiches Qualif'!AV57</f>
        <v>25</v>
      </c>
      <c r="AY57" s="212" t="str">
        <f>Engagements!C30</f>
        <v/>
      </c>
      <c r="AZ57" s="206">
        <f>'Fiches Qualif'!AV57</f>
        <v>25</v>
      </c>
      <c r="BA57" s="206" t="str">
        <f>Engagements!D30</f>
        <v/>
      </c>
      <c r="BB57" s="206">
        <f>'Fiches Qualif'!AV57</f>
        <v>25</v>
      </c>
      <c r="BC57" s="206" t="str">
        <f>Engagements!E30</f>
        <v/>
      </c>
      <c r="BD57" s="206">
        <f>'Fiches Qualif'!AV57</f>
        <v>25</v>
      </c>
      <c r="BE57" s="206" t="str">
        <f>Engagements!F30</f>
        <v/>
      </c>
      <c r="BF57" s="202">
        <f>'Fiches Qualif'!AV57</f>
        <v>25</v>
      </c>
      <c r="BG57" s="207" t="str">
        <f>Engagements!G30</f>
        <v/>
      </c>
      <c r="BH57" s="202">
        <f>'Fiches Qualif'!AV57</f>
        <v>25</v>
      </c>
      <c r="BI57" s="213" t="str">
        <f>Engagements!H30</f>
        <v/>
      </c>
      <c r="BJ57" s="202">
        <f>'Fiches Qualif'!AV57</f>
        <v>25</v>
      </c>
      <c r="BK57" s="202" t="str">
        <f>Engagements!I30</f>
        <v/>
      </c>
      <c r="BL57" s="202">
        <f>'Fiches Qualif'!AV57</f>
        <v>25</v>
      </c>
      <c r="BM57" s="202" t="str">
        <f>Engagements!J30</f>
        <v/>
      </c>
    </row>
    <row r="58" spans="35:65" x14ac:dyDescent="0.2">
      <c r="AI58" s="185">
        <f t="shared" si="0"/>
        <v>25</v>
      </c>
      <c r="AV58" s="206">
        <f>Engagements!A31</f>
        <v>26</v>
      </c>
      <c r="AW58" s="206" t="str">
        <f>Engagements!B31</f>
        <v/>
      </c>
      <c r="AX58" s="206">
        <f>'Fiches Qualif'!AV58</f>
        <v>26</v>
      </c>
      <c r="AY58" s="212" t="str">
        <f>Engagements!C31</f>
        <v/>
      </c>
      <c r="AZ58" s="206">
        <f>'Fiches Qualif'!AV58</f>
        <v>26</v>
      </c>
      <c r="BA58" s="206" t="str">
        <f>Engagements!D31</f>
        <v/>
      </c>
      <c r="BB58" s="206">
        <f>'Fiches Qualif'!AV58</f>
        <v>26</v>
      </c>
      <c r="BC58" s="206" t="str">
        <f>Engagements!E31</f>
        <v/>
      </c>
      <c r="BD58" s="206">
        <f>'Fiches Qualif'!AV58</f>
        <v>26</v>
      </c>
      <c r="BE58" s="206" t="str">
        <f>Engagements!F31</f>
        <v/>
      </c>
      <c r="BF58" s="202">
        <f>'Fiches Qualif'!AV58</f>
        <v>26</v>
      </c>
      <c r="BG58" s="207" t="str">
        <f>Engagements!G31</f>
        <v/>
      </c>
      <c r="BH58" s="202">
        <f>'Fiches Qualif'!AV58</f>
        <v>26</v>
      </c>
      <c r="BI58" s="213" t="str">
        <f>Engagements!H31</f>
        <v/>
      </c>
      <c r="BJ58" s="202">
        <f>'Fiches Qualif'!AV58</f>
        <v>26</v>
      </c>
      <c r="BK58" s="202" t="str">
        <f>Engagements!I31</f>
        <v/>
      </c>
      <c r="BL58" s="202">
        <f>'Fiches Qualif'!AV58</f>
        <v>26</v>
      </c>
      <c r="BM58" s="202" t="str">
        <f>Engagements!J31</f>
        <v/>
      </c>
    </row>
    <row r="59" spans="35:65" x14ac:dyDescent="0.2">
      <c r="AI59" s="185">
        <f t="shared" si="0"/>
        <v>26</v>
      </c>
      <c r="AV59" s="206">
        <f>Engagements!A32</f>
        <v>27</v>
      </c>
      <c r="AW59" s="206" t="str">
        <f>Engagements!B32</f>
        <v/>
      </c>
      <c r="AX59" s="206">
        <f>'Fiches Qualif'!AV59</f>
        <v>27</v>
      </c>
      <c r="AY59" s="212" t="str">
        <f>Engagements!C32</f>
        <v/>
      </c>
      <c r="AZ59" s="206">
        <f>'Fiches Qualif'!AV59</f>
        <v>27</v>
      </c>
      <c r="BA59" s="206" t="str">
        <f>Engagements!D32</f>
        <v/>
      </c>
      <c r="BB59" s="206">
        <f>'Fiches Qualif'!AV59</f>
        <v>27</v>
      </c>
      <c r="BC59" s="206" t="str">
        <f>Engagements!E32</f>
        <v/>
      </c>
      <c r="BD59" s="206">
        <f>'Fiches Qualif'!AV59</f>
        <v>27</v>
      </c>
      <c r="BE59" s="206" t="str">
        <f>Engagements!F32</f>
        <v/>
      </c>
      <c r="BF59" s="202">
        <f>'Fiches Qualif'!AV59</f>
        <v>27</v>
      </c>
      <c r="BG59" s="207" t="str">
        <f>Engagements!G32</f>
        <v/>
      </c>
      <c r="BH59" s="202">
        <f>'Fiches Qualif'!AV59</f>
        <v>27</v>
      </c>
      <c r="BI59" s="213" t="str">
        <f>Engagements!H32</f>
        <v/>
      </c>
      <c r="BJ59" s="202">
        <f>'Fiches Qualif'!AV59</f>
        <v>27</v>
      </c>
      <c r="BK59" s="202" t="str">
        <f>Engagements!I32</f>
        <v/>
      </c>
      <c r="BL59" s="202">
        <f>'Fiches Qualif'!AV59</f>
        <v>27</v>
      </c>
      <c r="BM59" s="202" t="str">
        <f>Engagements!J32</f>
        <v/>
      </c>
    </row>
    <row r="60" spans="35:65" x14ac:dyDescent="0.2">
      <c r="AI60" s="185">
        <f t="shared" si="0"/>
        <v>27</v>
      </c>
      <c r="AV60" s="206">
        <f>Engagements!A33</f>
        <v>28</v>
      </c>
      <c r="AW60" s="206" t="str">
        <f>Engagements!B33</f>
        <v/>
      </c>
      <c r="AX60" s="206">
        <f>'Fiches Qualif'!AV60</f>
        <v>28</v>
      </c>
      <c r="AY60" s="212" t="str">
        <f>Engagements!C33</f>
        <v/>
      </c>
      <c r="AZ60" s="206">
        <f>'Fiches Qualif'!AV60</f>
        <v>28</v>
      </c>
      <c r="BA60" s="206" t="str">
        <f>Engagements!D33</f>
        <v/>
      </c>
      <c r="BB60" s="206">
        <f>'Fiches Qualif'!AV60</f>
        <v>28</v>
      </c>
      <c r="BC60" s="206" t="str">
        <f>Engagements!E33</f>
        <v/>
      </c>
      <c r="BD60" s="206">
        <f>'Fiches Qualif'!AV60</f>
        <v>28</v>
      </c>
      <c r="BE60" s="206" t="str">
        <f>Engagements!F33</f>
        <v/>
      </c>
      <c r="BF60" s="202">
        <f>'Fiches Qualif'!AV60</f>
        <v>28</v>
      </c>
      <c r="BG60" s="207" t="str">
        <f>Engagements!G33</f>
        <v/>
      </c>
      <c r="BH60" s="202">
        <f>'Fiches Qualif'!AV60</f>
        <v>28</v>
      </c>
      <c r="BI60" s="213" t="str">
        <f>Engagements!H33</f>
        <v/>
      </c>
      <c r="BJ60" s="202">
        <f>'Fiches Qualif'!AV60</f>
        <v>28</v>
      </c>
      <c r="BK60" s="202" t="str">
        <f>Engagements!I33</f>
        <v/>
      </c>
      <c r="BL60" s="202">
        <f>'Fiches Qualif'!AV60</f>
        <v>28</v>
      </c>
      <c r="BM60" s="202" t="str">
        <f>Engagements!J33</f>
        <v/>
      </c>
    </row>
    <row r="61" spans="35:65" x14ac:dyDescent="0.2">
      <c r="AI61" s="185">
        <f t="shared" si="0"/>
        <v>28</v>
      </c>
      <c r="AV61" s="206">
        <f>Engagements!A34</f>
        <v>29</v>
      </c>
      <c r="AW61" s="206" t="str">
        <f>Engagements!B34</f>
        <v/>
      </c>
      <c r="AX61" s="206">
        <f>'Fiches Qualif'!AV61</f>
        <v>29</v>
      </c>
      <c r="AY61" s="212" t="str">
        <f>Engagements!C34</f>
        <v/>
      </c>
      <c r="AZ61" s="206">
        <f>'Fiches Qualif'!AV61</f>
        <v>29</v>
      </c>
      <c r="BA61" s="206" t="str">
        <f>Engagements!D34</f>
        <v/>
      </c>
      <c r="BB61" s="206">
        <f>'Fiches Qualif'!AV61</f>
        <v>29</v>
      </c>
      <c r="BC61" s="206" t="str">
        <f>Engagements!E34</f>
        <v/>
      </c>
      <c r="BD61" s="206">
        <f>'Fiches Qualif'!AV61</f>
        <v>29</v>
      </c>
      <c r="BE61" s="206" t="str">
        <f>Engagements!F34</f>
        <v/>
      </c>
      <c r="BF61" s="202">
        <f>'Fiches Qualif'!AV61</f>
        <v>29</v>
      </c>
      <c r="BG61" s="207" t="str">
        <f>Engagements!G34</f>
        <v/>
      </c>
      <c r="BH61" s="202">
        <f>'Fiches Qualif'!AV61</f>
        <v>29</v>
      </c>
      <c r="BI61" s="213" t="str">
        <f>Engagements!H34</f>
        <v/>
      </c>
      <c r="BJ61" s="202">
        <f>'Fiches Qualif'!AV61</f>
        <v>29</v>
      </c>
      <c r="BK61" s="202" t="str">
        <f>Engagements!I34</f>
        <v/>
      </c>
      <c r="BL61" s="202">
        <f>'Fiches Qualif'!AV61</f>
        <v>29</v>
      </c>
      <c r="BM61" s="202" t="str">
        <f>Engagements!J34</f>
        <v/>
      </c>
    </row>
    <row r="62" spans="35:65" x14ac:dyDescent="0.2">
      <c r="AI62" s="185">
        <f t="shared" si="0"/>
        <v>29</v>
      </c>
      <c r="AV62" s="206">
        <f>Engagements!A35</f>
        <v>30</v>
      </c>
      <c r="AW62" s="206" t="str">
        <f>Engagements!B35</f>
        <v/>
      </c>
      <c r="AX62" s="206">
        <f>'Fiches Qualif'!AV62</f>
        <v>30</v>
      </c>
      <c r="AY62" s="212" t="str">
        <f>Engagements!C35</f>
        <v/>
      </c>
      <c r="AZ62" s="206">
        <f>'Fiches Qualif'!AV62</f>
        <v>30</v>
      </c>
      <c r="BA62" s="206" t="str">
        <f>Engagements!D35</f>
        <v/>
      </c>
      <c r="BB62" s="206">
        <f>'Fiches Qualif'!AV62</f>
        <v>30</v>
      </c>
      <c r="BC62" s="206" t="str">
        <f>Engagements!E35</f>
        <v/>
      </c>
      <c r="BD62" s="206">
        <f>'Fiches Qualif'!AV62</f>
        <v>30</v>
      </c>
      <c r="BE62" s="206" t="str">
        <f>Engagements!F35</f>
        <v/>
      </c>
      <c r="BF62" s="202">
        <f>'Fiches Qualif'!AV62</f>
        <v>30</v>
      </c>
      <c r="BG62" s="207" t="str">
        <f>Engagements!G35</f>
        <v/>
      </c>
      <c r="BH62" s="202">
        <f>'Fiches Qualif'!AV62</f>
        <v>30</v>
      </c>
      <c r="BI62" s="213" t="str">
        <f>Engagements!H35</f>
        <v/>
      </c>
      <c r="BJ62" s="202">
        <f>'Fiches Qualif'!AV62</f>
        <v>30</v>
      </c>
      <c r="BK62" s="202" t="str">
        <f>Engagements!I35</f>
        <v/>
      </c>
      <c r="BL62" s="202">
        <f>'Fiches Qualif'!AV62</f>
        <v>30</v>
      </c>
      <c r="BM62" s="202" t="str">
        <f>Engagements!J35</f>
        <v/>
      </c>
    </row>
    <row r="63" spans="35:65" x14ac:dyDescent="0.2">
      <c r="AI63" s="185">
        <f t="shared" si="0"/>
        <v>30</v>
      </c>
      <c r="AV63" s="206">
        <f>Engagements!A36</f>
        <v>31</v>
      </c>
      <c r="AW63" s="206" t="str">
        <f>Engagements!B36</f>
        <v/>
      </c>
      <c r="AX63" s="206">
        <f>'Fiches Qualif'!AV63</f>
        <v>31</v>
      </c>
      <c r="AY63" s="212" t="str">
        <f>Engagements!C36</f>
        <v/>
      </c>
      <c r="AZ63" s="206">
        <f>'Fiches Qualif'!AV63</f>
        <v>31</v>
      </c>
      <c r="BA63" s="206" t="str">
        <f>Engagements!D36</f>
        <v/>
      </c>
      <c r="BB63" s="206">
        <f>'Fiches Qualif'!AV63</f>
        <v>31</v>
      </c>
      <c r="BC63" s="206" t="str">
        <f>Engagements!E36</f>
        <v/>
      </c>
      <c r="BD63" s="206">
        <f>'Fiches Qualif'!AV63</f>
        <v>31</v>
      </c>
      <c r="BE63" s="206" t="str">
        <f>Engagements!F36</f>
        <v/>
      </c>
      <c r="BF63" s="202">
        <f>'Fiches Qualif'!AV63</f>
        <v>31</v>
      </c>
      <c r="BG63" s="207" t="str">
        <f>Engagements!G36</f>
        <v/>
      </c>
      <c r="BH63" s="202">
        <f>'Fiches Qualif'!AV63</f>
        <v>31</v>
      </c>
      <c r="BI63" s="213" t="str">
        <f>Engagements!H36</f>
        <v/>
      </c>
      <c r="BJ63" s="202">
        <f>'Fiches Qualif'!AV63</f>
        <v>31</v>
      </c>
      <c r="BK63" s="202" t="str">
        <f>Engagements!I36</f>
        <v/>
      </c>
      <c r="BL63" s="202">
        <f>'Fiches Qualif'!AV63</f>
        <v>31</v>
      </c>
      <c r="BM63" s="202" t="str">
        <f>Engagements!J36</f>
        <v/>
      </c>
    </row>
    <row r="64" spans="35:65" x14ac:dyDescent="0.2">
      <c r="AI64" s="185">
        <f t="shared" si="0"/>
        <v>31</v>
      </c>
      <c r="AV64" s="206">
        <f>Engagements!A37</f>
        <v>32</v>
      </c>
      <c r="AW64" s="206" t="str">
        <f>Engagements!B37</f>
        <v/>
      </c>
      <c r="AX64" s="206">
        <f>'Fiches Qualif'!AV64</f>
        <v>32</v>
      </c>
      <c r="AY64" s="212" t="str">
        <f>Engagements!C37</f>
        <v/>
      </c>
      <c r="AZ64" s="206">
        <f>'Fiches Qualif'!AV64</f>
        <v>32</v>
      </c>
      <c r="BA64" s="206" t="str">
        <f>Engagements!D37</f>
        <v/>
      </c>
      <c r="BB64" s="206">
        <f>'Fiches Qualif'!AV64</f>
        <v>32</v>
      </c>
      <c r="BC64" s="206" t="str">
        <f>Engagements!E37</f>
        <v/>
      </c>
      <c r="BD64" s="206">
        <f>'Fiches Qualif'!AV64</f>
        <v>32</v>
      </c>
      <c r="BE64" s="206" t="str">
        <f>Engagements!F37</f>
        <v/>
      </c>
      <c r="BF64" s="202">
        <f>'Fiches Qualif'!AV64</f>
        <v>32</v>
      </c>
      <c r="BG64" s="207" t="str">
        <f>Engagements!G37</f>
        <v/>
      </c>
      <c r="BH64" s="202">
        <f>'Fiches Qualif'!AV64</f>
        <v>32</v>
      </c>
      <c r="BI64" s="213" t="str">
        <f>Engagements!H37</f>
        <v/>
      </c>
      <c r="BJ64" s="202">
        <f>'Fiches Qualif'!AV64</f>
        <v>32</v>
      </c>
      <c r="BK64" s="202" t="str">
        <f>Engagements!I37</f>
        <v/>
      </c>
      <c r="BL64" s="202">
        <f>'Fiches Qualif'!AV64</f>
        <v>32</v>
      </c>
      <c r="BM64" s="202" t="str">
        <f>Engagements!J37</f>
        <v/>
      </c>
    </row>
    <row r="65" spans="35:65" x14ac:dyDescent="0.2">
      <c r="AI65" s="185">
        <f t="shared" si="0"/>
        <v>32</v>
      </c>
      <c r="AV65" s="206">
        <f>Engagements!A38</f>
        <v>33</v>
      </c>
      <c r="AW65" s="206" t="str">
        <f>Engagements!B38</f>
        <v/>
      </c>
      <c r="AX65" s="206">
        <f>'Fiches Qualif'!AV65</f>
        <v>33</v>
      </c>
      <c r="AY65" s="212" t="str">
        <f>Engagements!C38</f>
        <v/>
      </c>
      <c r="AZ65" s="206">
        <f>'Fiches Qualif'!AV65</f>
        <v>33</v>
      </c>
      <c r="BA65" s="206" t="str">
        <f>Engagements!D38</f>
        <v/>
      </c>
      <c r="BB65" s="206">
        <f>'Fiches Qualif'!AV65</f>
        <v>33</v>
      </c>
      <c r="BC65" s="206" t="str">
        <f>Engagements!E38</f>
        <v/>
      </c>
      <c r="BD65" s="206">
        <f>'Fiches Qualif'!AV65</f>
        <v>33</v>
      </c>
      <c r="BE65" s="206" t="str">
        <f>Engagements!F38</f>
        <v/>
      </c>
      <c r="BF65" s="202">
        <f>'Fiches Qualif'!AV65</f>
        <v>33</v>
      </c>
      <c r="BG65" s="207" t="str">
        <f>Engagements!G38</f>
        <v/>
      </c>
      <c r="BH65" s="202">
        <f>'Fiches Qualif'!AV65</f>
        <v>33</v>
      </c>
      <c r="BI65" s="213" t="str">
        <f>Engagements!H38</f>
        <v/>
      </c>
      <c r="BJ65" s="202">
        <f>'Fiches Qualif'!AV65</f>
        <v>33</v>
      </c>
      <c r="BK65" s="202" t="str">
        <f>Engagements!I38</f>
        <v/>
      </c>
      <c r="BL65" s="202">
        <f>'Fiches Qualif'!AV65</f>
        <v>33</v>
      </c>
      <c r="BM65" s="202" t="str">
        <f>Engagements!J38</f>
        <v/>
      </c>
    </row>
    <row r="66" spans="35:65" x14ac:dyDescent="0.2">
      <c r="AI66" s="185">
        <f t="shared" si="0"/>
        <v>33</v>
      </c>
      <c r="AV66" s="206">
        <f>Engagements!A39</f>
        <v>34</v>
      </c>
      <c r="AW66" s="206" t="str">
        <f>Engagements!B39</f>
        <v/>
      </c>
      <c r="AX66" s="206">
        <f>'Fiches Qualif'!AV66</f>
        <v>34</v>
      </c>
      <c r="AY66" s="212" t="str">
        <f>Engagements!C39</f>
        <v/>
      </c>
      <c r="AZ66" s="206">
        <f>'Fiches Qualif'!AV66</f>
        <v>34</v>
      </c>
      <c r="BA66" s="206" t="str">
        <f>Engagements!D39</f>
        <v/>
      </c>
      <c r="BB66" s="206">
        <f>'Fiches Qualif'!AV66</f>
        <v>34</v>
      </c>
      <c r="BC66" s="206" t="str">
        <f>Engagements!E39</f>
        <v/>
      </c>
      <c r="BD66" s="206">
        <f>'Fiches Qualif'!AV66</f>
        <v>34</v>
      </c>
      <c r="BE66" s="206" t="str">
        <f>Engagements!F39</f>
        <v/>
      </c>
      <c r="BF66" s="202">
        <f>'Fiches Qualif'!AV66</f>
        <v>34</v>
      </c>
      <c r="BG66" s="207" t="str">
        <f>Engagements!G39</f>
        <v/>
      </c>
      <c r="BH66" s="202">
        <f>'Fiches Qualif'!AV66</f>
        <v>34</v>
      </c>
      <c r="BI66" s="213" t="str">
        <f>Engagements!H39</f>
        <v/>
      </c>
      <c r="BJ66" s="202">
        <f>'Fiches Qualif'!AV66</f>
        <v>34</v>
      </c>
      <c r="BK66" s="202" t="str">
        <f>Engagements!I39</f>
        <v/>
      </c>
      <c r="BL66" s="202">
        <f>'Fiches Qualif'!AV66</f>
        <v>34</v>
      </c>
      <c r="BM66" s="202" t="str">
        <f>Engagements!J39</f>
        <v/>
      </c>
    </row>
    <row r="67" spans="35:65" x14ac:dyDescent="0.2">
      <c r="AI67" s="185">
        <f t="shared" si="0"/>
        <v>34</v>
      </c>
      <c r="AV67" s="206">
        <f>Engagements!A40</f>
        <v>35</v>
      </c>
      <c r="AW67" s="206" t="str">
        <f>Engagements!B40</f>
        <v/>
      </c>
      <c r="AX67" s="206">
        <f>'Fiches Qualif'!AV67</f>
        <v>35</v>
      </c>
      <c r="AY67" s="212" t="str">
        <f>Engagements!C40</f>
        <v/>
      </c>
      <c r="AZ67" s="206">
        <f>'Fiches Qualif'!AV67</f>
        <v>35</v>
      </c>
      <c r="BA67" s="206" t="str">
        <f>Engagements!D40</f>
        <v/>
      </c>
      <c r="BB67" s="206">
        <f>'Fiches Qualif'!AV67</f>
        <v>35</v>
      </c>
      <c r="BC67" s="206" t="str">
        <f>Engagements!E40</f>
        <v/>
      </c>
      <c r="BD67" s="206">
        <f>'Fiches Qualif'!AV67</f>
        <v>35</v>
      </c>
      <c r="BE67" s="206" t="str">
        <f>Engagements!F40</f>
        <v/>
      </c>
      <c r="BF67" s="202">
        <f>'Fiches Qualif'!AV67</f>
        <v>35</v>
      </c>
      <c r="BG67" s="207" t="str">
        <f>Engagements!G40</f>
        <v/>
      </c>
      <c r="BH67" s="202">
        <f>'Fiches Qualif'!AV67</f>
        <v>35</v>
      </c>
      <c r="BI67" s="213" t="str">
        <f>Engagements!H40</f>
        <v/>
      </c>
      <c r="BJ67" s="202">
        <f>'Fiches Qualif'!AV67</f>
        <v>35</v>
      </c>
      <c r="BK67" s="202" t="str">
        <f>Engagements!I40</f>
        <v/>
      </c>
      <c r="BL67" s="202">
        <f>'Fiches Qualif'!AV67</f>
        <v>35</v>
      </c>
      <c r="BM67" s="202" t="str">
        <f>Engagements!J40</f>
        <v/>
      </c>
    </row>
    <row r="68" spans="35:65" x14ac:dyDescent="0.2">
      <c r="AI68" s="185">
        <f>AI67+1</f>
        <v>35</v>
      </c>
      <c r="AV68" s="206">
        <f>Engagements!A41</f>
        <v>36</v>
      </c>
      <c r="AW68" s="206" t="str">
        <f>Engagements!B41</f>
        <v/>
      </c>
      <c r="AX68" s="206">
        <f>'Fiches Qualif'!AV68</f>
        <v>36</v>
      </c>
      <c r="AY68" s="212" t="str">
        <f>Engagements!C41</f>
        <v/>
      </c>
      <c r="AZ68" s="206">
        <f>'Fiches Qualif'!AV68</f>
        <v>36</v>
      </c>
      <c r="BA68" s="206" t="str">
        <f>Engagements!D41</f>
        <v/>
      </c>
      <c r="BB68" s="206">
        <f>'Fiches Qualif'!AV68</f>
        <v>36</v>
      </c>
      <c r="BC68" s="206" t="str">
        <f>Engagements!E41</f>
        <v/>
      </c>
      <c r="BD68" s="206">
        <f>'Fiches Qualif'!AV68</f>
        <v>36</v>
      </c>
      <c r="BE68" s="206" t="str">
        <f>Engagements!F41</f>
        <v/>
      </c>
      <c r="BF68" s="202">
        <f>'Fiches Qualif'!AV68</f>
        <v>36</v>
      </c>
      <c r="BG68" s="207" t="str">
        <f>Engagements!G41</f>
        <v/>
      </c>
      <c r="BH68" s="202">
        <f>'Fiches Qualif'!AV68</f>
        <v>36</v>
      </c>
      <c r="BI68" s="213" t="str">
        <f>Engagements!H41</f>
        <v/>
      </c>
      <c r="BJ68" s="202">
        <f>'Fiches Qualif'!AV68</f>
        <v>36</v>
      </c>
      <c r="BK68" s="202" t="str">
        <f>Engagements!I41</f>
        <v/>
      </c>
      <c r="BL68" s="202">
        <f>'Fiches Qualif'!AV68</f>
        <v>36</v>
      </c>
      <c r="BM68" s="202" t="str">
        <f>Engagements!J41</f>
        <v/>
      </c>
    </row>
    <row r="69" spans="35:65" x14ac:dyDescent="0.2">
      <c r="AI69" s="185">
        <f t="shared" si="0"/>
        <v>36</v>
      </c>
      <c r="AV69" s="206">
        <f>Engagements!A42</f>
        <v>37</v>
      </c>
      <c r="AW69" s="206" t="str">
        <f>Engagements!B42</f>
        <v/>
      </c>
      <c r="AX69" s="206">
        <f>'Fiches Qualif'!AV69</f>
        <v>37</v>
      </c>
      <c r="AY69" s="212" t="str">
        <f>Engagements!C42</f>
        <v/>
      </c>
      <c r="AZ69" s="206">
        <f>'Fiches Qualif'!AV69</f>
        <v>37</v>
      </c>
      <c r="BA69" s="206" t="str">
        <f>Engagements!D42</f>
        <v/>
      </c>
      <c r="BB69" s="206">
        <f>'Fiches Qualif'!AV69</f>
        <v>37</v>
      </c>
      <c r="BC69" s="206" t="str">
        <f>Engagements!E42</f>
        <v/>
      </c>
      <c r="BD69" s="206">
        <f>'Fiches Qualif'!AV69</f>
        <v>37</v>
      </c>
      <c r="BE69" s="206" t="str">
        <f>Engagements!F42</f>
        <v/>
      </c>
      <c r="BF69" s="202">
        <f>'Fiches Qualif'!AV69</f>
        <v>37</v>
      </c>
      <c r="BG69" s="207" t="str">
        <f>Engagements!G42</f>
        <v/>
      </c>
      <c r="BH69" s="202">
        <f>'Fiches Qualif'!AV69</f>
        <v>37</v>
      </c>
      <c r="BI69" s="213" t="str">
        <f>Engagements!H42</f>
        <v/>
      </c>
      <c r="BJ69" s="202">
        <f>'Fiches Qualif'!AV69</f>
        <v>37</v>
      </c>
      <c r="BK69" s="202" t="str">
        <f>Engagements!I42</f>
        <v/>
      </c>
      <c r="BL69" s="202">
        <f>'Fiches Qualif'!AV69</f>
        <v>37</v>
      </c>
      <c r="BM69" s="202" t="str">
        <f>Engagements!J42</f>
        <v/>
      </c>
    </row>
    <row r="70" spans="35:65" x14ac:dyDescent="0.2">
      <c r="AI70" s="185">
        <f t="shared" si="0"/>
        <v>37</v>
      </c>
      <c r="AV70" s="206">
        <f>Engagements!A43</f>
        <v>38</v>
      </c>
      <c r="AW70" s="206" t="str">
        <f>Engagements!B43</f>
        <v/>
      </c>
      <c r="AX70" s="206">
        <f>'Fiches Qualif'!AV70</f>
        <v>38</v>
      </c>
      <c r="AY70" s="212" t="str">
        <f>Engagements!C43</f>
        <v/>
      </c>
      <c r="AZ70" s="206">
        <f>'Fiches Qualif'!AV70</f>
        <v>38</v>
      </c>
      <c r="BA70" s="206" t="str">
        <f>Engagements!D43</f>
        <v/>
      </c>
      <c r="BB70" s="206">
        <f>'Fiches Qualif'!AV70</f>
        <v>38</v>
      </c>
      <c r="BC70" s="206" t="str">
        <f>Engagements!E43</f>
        <v/>
      </c>
      <c r="BD70" s="206">
        <f>'Fiches Qualif'!AV70</f>
        <v>38</v>
      </c>
      <c r="BE70" s="206" t="str">
        <f>Engagements!F43</f>
        <v/>
      </c>
      <c r="BF70" s="202">
        <f>'Fiches Qualif'!AV70</f>
        <v>38</v>
      </c>
      <c r="BG70" s="207" t="str">
        <f>Engagements!G43</f>
        <v/>
      </c>
      <c r="BH70" s="202">
        <f>'Fiches Qualif'!AV70</f>
        <v>38</v>
      </c>
      <c r="BI70" s="213" t="str">
        <f>Engagements!H43</f>
        <v/>
      </c>
      <c r="BJ70" s="202">
        <f>'Fiches Qualif'!AV70</f>
        <v>38</v>
      </c>
      <c r="BK70" s="202" t="str">
        <f>Engagements!I43</f>
        <v/>
      </c>
      <c r="BL70" s="202">
        <f>'Fiches Qualif'!AV70</f>
        <v>38</v>
      </c>
      <c r="BM70" s="202" t="str">
        <f>Engagements!J43</f>
        <v/>
      </c>
    </row>
    <row r="71" spans="35:65" x14ac:dyDescent="0.2">
      <c r="AI71" s="185">
        <f t="shared" si="0"/>
        <v>38</v>
      </c>
      <c r="AV71" s="206">
        <f>Engagements!A44</f>
        <v>39</v>
      </c>
      <c r="AW71" s="206" t="str">
        <f>Engagements!B44</f>
        <v/>
      </c>
      <c r="AX71" s="206">
        <f>'Fiches Qualif'!AV71</f>
        <v>39</v>
      </c>
      <c r="AY71" s="212" t="str">
        <f>Engagements!C44</f>
        <v/>
      </c>
      <c r="AZ71" s="206">
        <f>'Fiches Qualif'!AV71</f>
        <v>39</v>
      </c>
      <c r="BA71" s="206" t="str">
        <f>Engagements!D44</f>
        <v/>
      </c>
      <c r="BB71" s="206">
        <f>'Fiches Qualif'!AV71</f>
        <v>39</v>
      </c>
      <c r="BC71" s="206" t="str">
        <f>Engagements!E44</f>
        <v/>
      </c>
      <c r="BD71" s="206">
        <f>'Fiches Qualif'!AV71</f>
        <v>39</v>
      </c>
      <c r="BE71" s="206" t="str">
        <f>Engagements!F44</f>
        <v/>
      </c>
      <c r="BF71" s="202">
        <f>'Fiches Qualif'!AV71</f>
        <v>39</v>
      </c>
      <c r="BG71" s="207" t="str">
        <f>Engagements!G44</f>
        <v/>
      </c>
      <c r="BH71" s="202">
        <f>'Fiches Qualif'!AV71</f>
        <v>39</v>
      </c>
      <c r="BI71" s="213" t="str">
        <f>Engagements!H44</f>
        <v/>
      </c>
      <c r="BJ71" s="202">
        <f>'Fiches Qualif'!AV71</f>
        <v>39</v>
      </c>
      <c r="BK71" s="202" t="str">
        <f>Engagements!I44</f>
        <v/>
      </c>
      <c r="BL71" s="202">
        <f>'Fiches Qualif'!AV71</f>
        <v>39</v>
      </c>
      <c r="BM71" s="202" t="str">
        <f>Engagements!J44</f>
        <v/>
      </c>
    </row>
    <row r="72" spans="35:65" x14ac:dyDescent="0.2">
      <c r="AI72" s="185">
        <f t="shared" si="0"/>
        <v>39</v>
      </c>
      <c r="AV72" s="206">
        <f>Engagements!A45</f>
        <v>40</v>
      </c>
      <c r="AW72" s="206" t="str">
        <f>Engagements!B45</f>
        <v/>
      </c>
      <c r="AX72" s="206">
        <f>'Fiches Qualif'!AV72</f>
        <v>40</v>
      </c>
      <c r="AY72" s="212" t="str">
        <f>Engagements!C45</f>
        <v/>
      </c>
      <c r="AZ72" s="206">
        <f>'Fiches Qualif'!AV72</f>
        <v>40</v>
      </c>
      <c r="BA72" s="206" t="str">
        <f>Engagements!D45</f>
        <v/>
      </c>
      <c r="BB72" s="206">
        <f>'Fiches Qualif'!AV72</f>
        <v>40</v>
      </c>
      <c r="BC72" s="206" t="str">
        <f>Engagements!E45</f>
        <v/>
      </c>
      <c r="BD72" s="206">
        <f>'Fiches Qualif'!AV72</f>
        <v>40</v>
      </c>
      <c r="BE72" s="206" t="str">
        <f>Engagements!F45</f>
        <v/>
      </c>
      <c r="BF72" s="202">
        <f>'Fiches Qualif'!AV72</f>
        <v>40</v>
      </c>
      <c r="BG72" s="207" t="str">
        <f>Engagements!G45</f>
        <v/>
      </c>
      <c r="BH72" s="202">
        <f>'Fiches Qualif'!AV72</f>
        <v>40</v>
      </c>
      <c r="BI72" s="213" t="str">
        <f>Engagements!H45</f>
        <v/>
      </c>
      <c r="BJ72" s="202">
        <f>'Fiches Qualif'!AV72</f>
        <v>40</v>
      </c>
      <c r="BK72" s="202" t="str">
        <f>Engagements!I45</f>
        <v/>
      </c>
      <c r="BL72" s="202">
        <f>'Fiches Qualif'!AV72</f>
        <v>40</v>
      </c>
      <c r="BM72" s="202" t="str">
        <f>Engagements!J45</f>
        <v/>
      </c>
    </row>
    <row r="73" spans="35:65" x14ac:dyDescent="0.2">
      <c r="AI73" s="185">
        <f t="shared" si="0"/>
        <v>40</v>
      </c>
      <c r="AV73" s="206">
        <f>Engagements!A46</f>
        <v>41</v>
      </c>
      <c r="AW73" s="206" t="str">
        <f>Engagements!B46</f>
        <v/>
      </c>
      <c r="AX73" s="206">
        <f>'Fiches Qualif'!AV73</f>
        <v>41</v>
      </c>
      <c r="AY73" s="212" t="str">
        <f>Engagements!C46</f>
        <v/>
      </c>
      <c r="AZ73" s="206">
        <f>'Fiches Qualif'!AV73</f>
        <v>41</v>
      </c>
      <c r="BA73" s="206" t="str">
        <f>Engagements!D46</f>
        <v/>
      </c>
      <c r="BB73" s="206">
        <f>'Fiches Qualif'!AV73</f>
        <v>41</v>
      </c>
      <c r="BC73" s="206" t="str">
        <f>Engagements!E46</f>
        <v/>
      </c>
      <c r="BD73" s="206">
        <f>'Fiches Qualif'!AV73</f>
        <v>41</v>
      </c>
      <c r="BE73" s="206" t="str">
        <f>Engagements!F46</f>
        <v/>
      </c>
      <c r="BF73" s="202">
        <f>'Fiches Qualif'!AV73</f>
        <v>41</v>
      </c>
      <c r="BG73" s="207" t="str">
        <f>Engagements!G46</f>
        <v/>
      </c>
      <c r="BH73" s="202">
        <f>'Fiches Qualif'!AV73</f>
        <v>41</v>
      </c>
      <c r="BI73" s="213" t="str">
        <f>Engagements!H46</f>
        <v/>
      </c>
      <c r="BJ73" s="202">
        <f>'Fiches Qualif'!AV73</f>
        <v>41</v>
      </c>
      <c r="BK73" s="202" t="str">
        <f>Engagements!I46</f>
        <v/>
      </c>
      <c r="BL73" s="202">
        <f>'Fiches Qualif'!AV73</f>
        <v>41</v>
      </c>
      <c r="BM73" s="202" t="str">
        <f>Engagements!J46</f>
        <v/>
      </c>
    </row>
    <row r="74" spans="35:65" x14ac:dyDescent="0.2">
      <c r="AI74" s="185">
        <f t="shared" si="0"/>
        <v>41</v>
      </c>
      <c r="AV74" s="206">
        <f>Engagements!A47</f>
        <v>42</v>
      </c>
      <c r="AW74" s="206" t="str">
        <f>Engagements!B47</f>
        <v/>
      </c>
      <c r="AX74" s="206">
        <f>'Fiches Qualif'!AV74</f>
        <v>42</v>
      </c>
      <c r="AY74" s="212" t="str">
        <f>Engagements!C47</f>
        <v/>
      </c>
      <c r="AZ74" s="206">
        <f>'Fiches Qualif'!AV74</f>
        <v>42</v>
      </c>
      <c r="BA74" s="206" t="str">
        <f>Engagements!D47</f>
        <v/>
      </c>
      <c r="BB74" s="206">
        <f>'Fiches Qualif'!AV74</f>
        <v>42</v>
      </c>
      <c r="BC74" s="206" t="str">
        <f>Engagements!E47</f>
        <v/>
      </c>
      <c r="BD74" s="206">
        <f>'Fiches Qualif'!AV74</f>
        <v>42</v>
      </c>
      <c r="BE74" s="206" t="str">
        <f>Engagements!F47</f>
        <v/>
      </c>
      <c r="BF74" s="202">
        <f>'Fiches Qualif'!AV74</f>
        <v>42</v>
      </c>
      <c r="BG74" s="207" t="str">
        <f>Engagements!G47</f>
        <v/>
      </c>
      <c r="BH74" s="202">
        <f>'Fiches Qualif'!AV74</f>
        <v>42</v>
      </c>
      <c r="BI74" s="213" t="str">
        <f>Engagements!H47</f>
        <v/>
      </c>
      <c r="BJ74" s="202">
        <f>'Fiches Qualif'!AV74</f>
        <v>42</v>
      </c>
      <c r="BK74" s="202" t="str">
        <f>Engagements!I47</f>
        <v/>
      </c>
      <c r="BL74" s="202">
        <f>'Fiches Qualif'!AV74</f>
        <v>42</v>
      </c>
      <c r="BM74" s="202" t="str">
        <f>Engagements!J47</f>
        <v/>
      </c>
    </row>
    <row r="75" spans="35:65" x14ac:dyDescent="0.2">
      <c r="AI75" s="185">
        <f t="shared" si="0"/>
        <v>42</v>
      </c>
      <c r="AV75" s="206">
        <f>Engagements!A48</f>
        <v>43</v>
      </c>
      <c r="AW75" s="206" t="str">
        <f>Engagements!B48</f>
        <v/>
      </c>
      <c r="AX75" s="206">
        <f>'Fiches Qualif'!AV75</f>
        <v>43</v>
      </c>
      <c r="AY75" s="212" t="str">
        <f>Engagements!C48</f>
        <v/>
      </c>
      <c r="AZ75" s="206">
        <f>'Fiches Qualif'!AV75</f>
        <v>43</v>
      </c>
      <c r="BA75" s="206" t="str">
        <f>Engagements!D48</f>
        <v/>
      </c>
      <c r="BB75" s="206">
        <f>'Fiches Qualif'!AV75</f>
        <v>43</v>
      </c>
      <c r="BC75" s="206" t="str">
        <f>Engagements!E48</f>
        <v/>
      </c>
      <c r="BD75" s="206">
        <f>'Fiches Qualif'!AV75</f>
        <v>43</v>
      </c>
      <c r="BE75" s="206" t="str">
        <f>Engagements!F48</f>
        <v/>
      </c>
      <c r="BF75" s="202">
        <f>'Fiches Qualif'!AV75</f>
        <v>43</v>
      </c>
      <c r="BG75" s="207" t="str">
        <f>Engagements!G48</f>
        <v/>
      </c>
      <c r="BH75" s="202">
        <f>'Fiches Qualif'!AV75</f>
        <v>43</v>
      </c>
      <c r="BI75" s="213" t="str">
        <f>Engagements!H48</f>
        <v/>
      </c>
      <c r="BJ75" s="202">
        <f>'Fiches Qualif'!AV75</f>
        <v>43</v>
      </c>
      <c r="BK75" s="202" t="str">
        <f>Engagements!I48</f>
        <v/>
      </c>
      <c r="BL75" s="202">
        <f>'Fiches Qualif'!AV75</f>
        <v>43</v>
      </c>
      <c r="BM75" s="202" t="str">
        <f>Engagements!J48</f>
        <v/>
      </c>
    </row>
    <row r="76" spans="35:65" x14ac:dyDescent="0.2">
      <c r="AI76" s="185">
        <f t="shared" si="0"/>
        <v>43</v>
      </c>
      <c r="AV76" s="206">
        <f>Engagements!A49</f>
        <v>44</v>
      </c>
      <c r="AW76" s="206" t="str">
        <f>Engagements!B49</f>
        <v/>
      </c>
      <c r="AX76" s="206">
        <f>'Fiches Qualif'!AV76</f>
        <v>44</v>
      </c>
      <c r="AY76" s="212" t="str">
        <f>Engagements!C49</f>
        <v/>
      </c>
      <c r="AZ76" s="206">
        <f>'Fiches Qualif'!AV76</f>
        <v>44</v>
      </c>
      <c r="BA76" s="206" t="str">
        <f>Engagements!D49</f>
        <v/>
      </c>
      <c r="BB76" s="206">
        <f>'Fiches Qualif'!AV76</f>
        <v>44</v>
      </c>
      <c r="BC76" s="206" t="str">
        <f>Engagements!E49</f>
        <v/>
      </c>
      <c r="BD76" s="206">
        <f>'Fiches Qualif'!AV76</f>
        <v>44</v>
      </c>
      <c r="BE76" s="206" t="str">
        <f>Engagements!F49</f>
        <v/>
      </c>
      <c r="BF76" s="202">
        <f>'Fiches Qualif'!AV76</f>
        <v>44</v>
      </c>
      <c r="BG76" s="207" t="str">
        <f>Engagements!G49</f>
        <v/>
      </c>
      <c r="BH76" s="202">
        <f>'Fiches Qualif'!AV76</f>
        <v>44</v>
      </c>
      <c r="BI76" s="213" t="str">
        <f>Engagements!H49</f>
        <v/>
      </c>
      <c r="BJ76" s="202">
        <f>'Fiches Qualif'!AV76</f>
        <v>44</v>
      </c>
      <c r="BK76" s="202" t="str">
        <f>Engagements!I49</f>
        <v/>
      </c>
      <c r="BL76" s="202">
        <f>'Fiches Qualif'!AV76</f>
        <v>44</v>
      </c>
      <c r="BM76" s="202" t="str">
        <f>Engagements!J49</f>
        <v/>
      </c>
    </row>
    <row r="77" spans="35:65" x14ac:dyDescent="0.2">
      <c r="AI77" s="185">
        <f t="shared" si="0"/>
        <v>44</v>
      </c>
      <c r="AV77" s="206">
        <f>Engagements!A50</f>
        <v>45</v>
      </c>
      <c r="AW77" s="206" t="str">
        <f>Engagements!B50</f>
        <v/>
      </c>
      <c r="AX77" s="206">
        <f>'Fiches Qualif'!AV77</f>
        <v>45</v>
      </c>
      <c r="AY77" s="212" t="str">
        <f>Engagements!C50</f>
        <v/>
      </c>
      <c r="AZ77" s="206">
        <f>'Fiches Qualif'!AV77</f>
        <v>45</v>
      </c>
      <c r="BA77" s="206" t="str">
        <f>Engagements!D50</f>
        <v/>
      </c>
      <c r="BB77" s="206">
        <f>'Fiches Qualif'!AV77</f>
        <v>45</v>
      </c>
      <c r="BC77" s="206" t="str">
        <f>Engagements!E50</f>
        <v/>
      </c>
      <c r="BD77" s="206">
        <f>'Fiches Qualif'!AV77</f>
        <v>45</v>
      </c>
      <c r="BE77" s="206" t="str">
        <f>Engagements!F50</f>
        <v/>
      </c>
      <c r="BF77" s="202">
        <f>'Fiches Qualif'!AV77</f>
        <v>45</v>
      </c>
      <c r="BG77" s="207" t="str">
        <f>Engagements!G50</f>
        <v/>
      </c>
      <c r="BH77" s="202">
        <f>'Fiches Qualif'!AV77</f>
        <v>45</v>
      </c>
      <c r="BI77" s="213" t="str">
        <f>Engagements!H50</f>
        <v/>
      </c>
      <c r="BJ77" s="202">
        <f>'Fiches Qualif'!AV77</f>
        <v>45</v>
      </c>
      <c r="BK77" s="202" t="str">
        <f>Engagements!I50</f>
        <v/>
      </c>
      <c r="BL77" s="202">
        <f>'Fiches Qualif'!AV77</f>
        <v>45</v>
      </c>
      <c r="BM77" s="202" t="str">
        <f>Engagements!J50</f>
        <v/>
      </c>
    </row>
    <row r="78" spans="35:65" x14ac:dyDescent="0.2">
      <c r="AI78" s="185">
        <f t="shared" si="0"/>
        <v>45</v>
      </c>
      <c r="AV78" s="206">
        <f>Engagements!A51</f>
        <v>46</v>
      </c>
      <c r="AW78" s="206" t="str">
        <f>Engagements!B51</f>
        <v/>
      </c>
      <c r="AX78" s="206">
        <f>'Fiches Qualif'!AV78</f>
        <v>46</v>
      </c>
      <c r="AY78" s="212" t="str">
        <f>Engagements!C51</f>
        <v/>
      </c>
      <c r="AZ78" s="206">
        <f>'Fiches Qualif'!AV78</f>
        <v>46</v>
      </c>
      <c r="BA78" s="206" t="str">
        <f>Engagements!D51</f>
        <v/>
      </c>
      <c r="BB78" s="206">
        <f>'Fiches Qualif'!AV78</f>
        <v>46</v>
      </c>
      <c r="BC78" s="206" t="str">
        <f>Engagements!E51</f>
        <v/>
      </c>
      <c r="BD78" s="206">
        <f>'Fiches Qualif'!AV78</f>
        <v>46</v>
      </c>
      <c r="BE78" s="206" t="str">
        <f>Engagements!F51</f>
        <v/>
      </c>
      <c r="BF78" s="202">
        <f>'Fiches Qualif'!AV78</f>
        <v>46</v>
      </c>
      <c r="BG78" s="207" t="str">
        <f>Engagements!G51</f>
        <v/>
      </c>
      <c r="BH78" s="202">
        <f>'Fiches Qualif'!AV78</f>
        <v>46</v>
      </c>
      <c r="BI78" s="213" t="str">
        <f>Engagements!H51</f>
        <v/>
      </c>
      <c r="BJ78" s="202">
        <f>'Fiches Qualif'!AV78</f>
        <v>46</v>
      </c>
      <c r="BK78" s="202" t="str">
        <f>Engagements!I51</f>
        <v/>
      </c>
      <c r="BL78" s="202">
        <f>'Fiches Qualif'!AV78</f>
        <v>46</v>
      </c>
      <c r="BM78" s="202" t="str">
        <f>Engagements!J51</f>
        <v/>
      </c>
    </row>
    <row r="79" spans="35:65" x14ac:dyDescent="0.2">
      <c r="AI79" s="185">
        <f t="shared" si="0"/>
        <v>46</v>
      </c>
      <c r="AV79" s="206">
        <f>Engagements!A52</f>
        <v>47</v>
      </c>
      <c r="AW79" s="206" t="str">
        <f>Engagements!B52</f>
        <v/>
      </c>
      <c r="AX79" s="206">
        <f>'Fiches Qualif'!AV79</f>
        <v>47</v>
      </c>
      <c r="AY79" s="212" t="str">
        <f>Engagements!C52</f>
        <v/>
      </c>
      <c r="AZ79" s="206">
        <f>'Fiches Qualif'!AV79</f>
        <v>47</v>
      </c>
      <c r="BA79" s="206" t="str">
        <f>Engagements!D52</f>
        <v/>
      </c>
      <c r="BB79" s="206">
        <f>'Fiches Qualif'!AV79</f>
        <v>47</v>
      </c>
      <c r="BC79" s="206" t="str">
        <f>Engagements!E52</f>
        <v/>
      </c>
      <c r="BD79" s="206">
        <f>'Fiches Qualif'!AV79</f>
        <v>47</v>
      </c>
      <c r="BE79" s="206" t="str">
        <f>Engagements!F52</f>
        <v/>
      </c>
      <c r="BF79" s="202">
        <f>'Fiches Qualif'!AV79</f>
        <v>47</v>
      </c>
      <c r="BG79" s="207" t="str">
        <f>Engagements!G52</f>
        <v/>
      </c>
      <c r="BH79" s="202">
        <f>'Fiches Qualif'!AV79</f>
        <v>47</v>
      </c>
      <c r="BI79" s="213" t="str">
        <f>Engagements!H52</f>
        <v/>
      </c>
      <c r="BJ79" s="202">
        <f>'Fiches Qualif'!AV79</f>
        <v>47</v>
      </c>
      <c r="BK79" s="202" t="str">
        <f>Engagements!I52</f>
        <v/>
      </c>
      <c r="BL79" s="202">
        <f>'Fiches Qualif'!AV79</f>
        <v>47</v>
      </c>
      <c r="BM79" s="202" t="str">
        <f>Engagements!J52</f>
        <v/>
      </c>
    </row>
    <row r="80" spans="35:65" x14ac:dyDescent="0.2">
      <c r="AI80" s="185">
        <f t="shared" si="0"/>
        <v>47</v>
      </c>
      <c r="AV80" s="206">
        <f>Engagements!A53</f>
        <v>48</v>
      </c>
      <c r="AW80" s="206" t="str">
        <f>Engagements!B53</f>
        <v/>
      </c>
      <c r="AX80" s="206">
        <f>'Fiches Qualif'!AV80</f>
        <v>48</v>
      </c>
      <c r="AY80" s="212" t="str">
        <f>Engagements!C53</f>
        <v/>
      </c>
      <c r="AZ80" s="206">
        <f>'Fiches Qualif'!AV80</f>
        <v>48</v>
      </c>
      <c r="BA80" s="206" t="str">
        <f>Engagements!D53</f>
        <v/>
      </c>
      <c r="BB80" s="206">
        <f>'Fiches Qualif'!AV80</f>
        <v>48</v>
      </c>
      <c r="BC80" s="206" t="str">
        <f>Engagements!E53</f>
        <v/>
      </c>
      <c r="BD80" s="206">
        <f>'Fiches Qualif'!AV80</f>
        <v>48</v>
      </c>
      <c r="BE80" s="206" t="str">
        <f>Engagements!F53</f>
        <v/>
      </c>
      <c r="BF80" s="202">
        <f>'Fiches Qualif'!AV80</f>
        <v>48</v>
      </c>
      <c r="BG80" s="207" t="str">
        <f>Engagements!G53</f>
        <v/>
      </c>
      <c r="BH80" s="202">
        <f>'Fiches Qualif'!AV80</f>
        <v>48</v>
      </c>
      <c r="BI80" s="213" t="str">
        <f>Engagements!H53</f>
        <v/>
      </c>
      <c r="BJ80" s="202">
        <f>'Fiches Qualif'!AV80</f>
        <v>48</v>
      </c>
      <c r="BK80" s="202" t="str">
        <f>Engagements!I53</f>
        <v/>
      </c>
      <c r="BL80" s="202">
        <f>'Fiches Qualif'!AV80</f>
        <v>48</v>
      </c>
      <c r="BM80" s="202" t="str">
        <f>Engagements!J53</f>
        <v/>
      </c>
    </row>
    <row r="81" spans="35:65" x14ac:dyDescent="0.2">
      <c r="AI81" s="185">
        <f t="shared" si="0"/>
        <v>48</v>
      </c>
      <c r="AV81" s="206">
        <f>Engagements!A54</f>
        <v>49</v>
      </c>
      <c r="AW81" s="206" t="str">
        <f>Engagements!B54</f>
        <v/>
      </c>
      <c r="AX81" s="206">
        <f>'Fiches Qualif'!AV81</f>
        <v>49</v>
      </c>
      <c r="AY81" s="212" t="str">
        <f>Engagements!C54</f>
        <v/>
      </c>
      <c r="AZ81" s="206">
        <f>'Fiches Qualif'!AV81</f>
        <v>49</v>
      </c>
      <c r="BA81" s="206" t="str">
        <f>Engagements!D54</f>
        <v/>
      </c>
      <c r="BB81" s="206">
        <f>'Fiches Qualif'!AV81</f>
        <v>49</v>
      </c>
      <c r="BC81" s="206" t="str">
        <f>Engagements!E54</f>
        <v/>
      </c>
      <c r="BD81" s="206">
        <f>'Fiches Qualif'!AV81</f>
        <v>49</v>
      </c>
      <c r="BE81" s="206" t="str">
        <f>Engagements!F54</f>
        <v/>
      </c>
      <c r="BF81" s="202">
        <f>'Fiches Qualif'!AV81</f>
        <v>49</v>
      </c>
      <c r="BG81" s="207" t="str">
        <f>Engagements!G54</f>
        <v/>
      </c>
      <c r="BH81" s="202">
        <f>'Fiches Qualif'!AV81</f>
        <v>49</v>
      </c>
      <c r="BI81" s="213" t="str">
        <f>Engagements!H54</f>
        <v/>
      </c>
      <c r="BJ81" s="202">
        <f>'Fiches Qualif'!AV81</f>
        <v>49</v>
      </c>
      <c r="BK81" s="202" t="str">
        <f>Engagements!I54</f>
        <v/>
      </c>
      <c r="BL81" s="202">
        <f>'Fiches Qualif'!AV81</f>
        <v>49</v>
      </c>
      <c r="BM81" s="202" t="str">
        <f>Engagements!J54</f>
        <v/>
      </c>
    </row>
    <row r="82" spans="35:65" x14ac:dyDescent="0.2">
      <c r="AI82" s="185">
        <f t="shared" si="0"/>
        <v>49</v>
      </c>
      <c r="AV82" s="206">
        <f>Engagements!A55</f>
        <v>50</v>
      </c>
      <c r="AW82" s="206" t="str">
        <f>Engagements!B55</f>
        <v/>
      </c>
      <c r="AX82" s="206">
        <f>'Fiches Qualif'!AV82</f>
        <v>50</v>
      </c>
      <c r="AY82" s="212" t="str">
        <f>Engagements!C55</f>
        <v/>
      </c>
      <c r="AZ82" s="206">
        <f>'Fiches Qualif'!AV82</f>
        <v>50</v>
      </c>
      <c r="BA82" s="206" t="str">
        <f>Engagements!D55</f>
        <v/>
      </c>
      <c r="BB82" s="206">
        <f>'Fiches Qualif'!AV82</f>
        <v>50</v>
      </c>
      <c r="BC82" s="206" t="str">
        <f>Engagements!E55</f>
        <v/>
      </c>
      <c r="BD82" s="206">
        <f>'Fiches Qualif'!AV82</f>
        <v>50</v>
      </c>
      <c r="BE82" s="206" t="str">
        <f>Engagements!F55</f>
        <v/>
      </c>
      <c r="BF82" s="202">
        <f>'Fiches Qualif'!AV82</f>
        <v>50</v>
      </c>
      <c r="BG82" s="207" t="str">
        <f>Engagements!G55</f>
        <v/>
      </c>
      <c r="BH82" s="202">
        <f>'Fiches Qualif'!AV82</f>
        <v>50</v>
      </c>
      <c r="BI82" s="213" t="str">
        <f>Engagements!H55</f>
        <v/>
      </c>
      <c r="BJ82" s="202">
        <f>'Fiches Qualif'!AV82</f>
        <v>50</v>
      </c>
      <c r="BK82" s="202" t="str">
        <f>Engagements!I55</f>
        <v/>
      </c>
      <c r="BL82" s="202">
        <f>'Fiches Qualif'!AV82</f>
        <v>50</v>
      </c>
      <c r="BM82" s="202" t="str">
        <f>Engagements!J55</f>
        <v/>
      </c>
    </row>
    <row r="83" spans="35:65" x14ac:dyDescent="0.2">
      <c r="AI83" s="185">
        <f t="shared" si="0"/>
        <v>50</v>
      </c>
      <c r="AV83" s="206">
        <f>Engagements!A56</f>
        <v>51</v>
      </c>
      <c r="AW83" s="206" t="str">
        <f>Engagements!B56</f>
        <v/>
      </c>
      <c r="AX83" s="206">
        <f>'Fiches Qualif'!AV83</f>
        <v>51</v>
      </c>
      <c r="AY83" s="212" t="str">
        <f>Engagements!C56</f>
        <v/>
      </c>
      <c r="AZ83" s="206">
        <f>'Fiches Qualif'!AV83</f>
        <v>51</v>
      </c>
      <c r="BA83" s="206" t="str">
        <f>Engagements!D56</f>
        <v/>
      </c>
      <c r="BB83" s="206">
        <f>'Fiches Qualif'!AV83</f>
        <v>51</v>
      </c>
      <c r="BC83" s="206" t="str">
        <f>Engagements!E56</f>
        <v/>
      </c>
      <c r="BD83" s="206">
        <f>'Fiches Qualif'!AV83</f>
        <v>51</v>
      </c>
      <c r="BE83" s="206" t="str">
        <f>Engagements!F56</f>
        <v/>
      </c>
      <c r="BF83" s="202">
        <f>'Fiches Qualif'!AV83</f>
        <v>51</v>
      </c>
      <c r="BG83" s="207" t="str">
        <f>Engagements!G56</f>
        <v/>
      </c>
      <c r="BH83" s="202">
        <f>'Fiches Qualif'!AV83</f>
        <v>51</v>
      </c>
      <c r="BI83" s="213" t="str">
        <f>Engagements!H56</f>
        <v/>
      </c>
      <c r="BJ83" s="202">
        <f>'Fiches Qualif'!AV83</f>
        <v>51</v>
      </c>
      <c r="BK83" s="202" t="str">
        <f>Engagements!I56</f>
        <v/>
      </c>
      <c r="BL83" s="202">
        <f>'Fiches Qualif'!AV83</f>
        <v>51</v>
      </c>
      <c r="BM83" s="202" t="str">
        <f>Engagements!J56</f>
        <v/>
      </c>
    </row>
    <row r="84" spans="35:65" x14ac:dyDescent="0.2">
      <c r="AI84" s="185">
        <f t="shared" si="0"/>
        <v>51</v>
      </c>
      <c r="AV84" s="206">
        <f>Engagements!A57</f>
        <v>52</v>
      </c>
      <c r="AW84" s="206" t="str">
        <f>Engagements!B57</f>
        <v/>
      </c>
      <c r="AX84" s="206">
        <f>'Fiches Qualif'!AV84</f>
        <v>52</v>
      </c>
      <c r="AY84" s="212" t="str">
        <f>Engagements!C57</f>
        <v/>
      </c>
      <c r="AZ84" s="206">
        <f>'Fiches Qualif'!AV84</f>
        <v>52</v>
      </c>
      <c r="BA84" s="206" t="str">
        <f>Engagements!D57</f>
        <v/>
      </c>
      <c r="BB84" s="206">
        <f>'Fiches Qualif'!AV84</f>
        <v>52</v>
      </c>
      <c r="BC84" s="206" t="str">
        <f>Engagements!E57</f>
        <v/>
      </c>
      <c r="BD84" s="206">
        <f>'Fiches Qualif'!AV84</f>
        <v>52</v>
      </c>
      <c r="BE84" s="206" t="str">
        <f>Engagements!F57</f>
        <v/>
      </c>
      <c r="BF84" s="202">
        <f>'Fiches Qualif'!AV84</f>
        <v>52</v>
      </c>
      <c r="BG84" s="207" t="str">
        <f>Engagements!G57</f>
        <v/>
      </c>
      <c r="BH84" s="202">
        <f>'Fiches Qualif'!AV84</f>
        <v>52</v>
      </c>
      <c r="BI84" s="213" t="str">
        <f>Engagements!H57</f>
        <v/>
      </c>
      <c r="BJ84" s="202">
        <f>'Fiches Qualif'!AV84</f>
        <v>52</v>
      </c>
      <c r="BK84" s="202" t="str">
        <f>Engagements!I57</f>
        <v/>
      </c>
      <c r="BL84" s="202">
        <f>'Fiches Qualif'!AV84</f>
        <v>52</v>
      </c>
      <c r="BM84" s="202" t="str">
        <f>Engagements!J57</f>
        <v/>
      </c>
    </row>
    <row r="85" spans="35:65" x14ac:dyDescent="0.2">
      <c r="AI85" s="185">
        <f t="shared" si="0"/>
        <v>52</v>
      </c>
      <c r="AV85" s="206">
        <f>Engagements!A58</f>
        <v>53</v>
      </c>
      <c r="AW85" s="206" t="str">
        <f>Engagements!B58</f>
        <v/>
      </c>
      <c r="AX85" s="206">
        <f>'Fiches Qualif'!AV85</f>
        <v>53</v>
      </c>
      <c r="AY85" s="212" t="str">
        <f>Engagements!C58</f>
        <v/>
      </c>
      <c r="AZ85" s="206">
        <f>'Fiches Qualif'!AV85</f>
        <v>53</v>
      </c>
      <c r="BA85" s="206" t="str">
        <f>Engagements!D58</f>
        <v/>
      </c>
      <c r="BB85" s="206">
        <f>'Fiches Qualif'!AV85</f>
        <v>53</v>
      </c>
      <c r="BC85" s="206" t="str">
        <f>Engagements!E58</f>
        <v/>
      </c>
      <c r="BD85" s="206">
        <f>'Fiches Qualif'!AV85</f>
        <v>53</v>
      </c>
      <c r="BE85" s="206" t="str">
        <f>Engagements!F58</f>
        <v/>
      </c>
      <c r="BF85" s="202">
        <f>'Fiches Qualif'!AV85</f>
        <v>53</v>
      </c>
      <c r="BG85" s="207" t="str">
        <f>Engagements!G58</f>
        <v/>
      </c>
      <c r="BH85" s="202">
        <f>'Fiches Qualif'!AV85</f>
        <v>53</v>
      </c>
      <c r="BI85" s="213" t="str">
        <f>Engagements!H58</f>
        <v/>
      </c>
      <c r="BJ85" s="202">
        <f>'Fiches Qualif'!AV85</f>
        <v>53</v>
      </c>
      <c r="BK85" s="202" t="str">
        <f>Engagements!I58</f>
        <v/>
      </c>
      <c r="BL85" s="202">
        <f>'Fiches Qualif'!AV85</f>
        <v>53</v>
      </c>
      <c r="BM85" s="202" t="str">
        <f>Engagements!J58</f>
        <v/>
      </c>
    </row>
    <row r="86" spans="35:65" x14ac:dyDescent="0.2">
      <c r="AI86" s="185">
        <f t="shared" si="0"/>
        <v>53</v>
      </c>
      <c r="AV86" s="206">
        <f>Engagements!A59</f>
        <v>54</v>
      </c>
      <c r="AW86" s="206" t="str">
        <f>Engagements!B59</f>
        <v/>
      </c>
      <c r="AX86" s="206">
        <f>'Fiches Qualif'!AV86</f>
        <v>54</v>
      </c>
      <c r="AY86" s="212" t="str">
        <f>Engagements!C59</f>
        <v/>
      </c>
      <c r="AZ86" s="206">
        <f>'Fiches Qualif'!AV86</f>
        <v>54</v>
      </c>
      <c r="BA86" s="206" t="str">
        <f>Engagements!D59</f>
        <v/>
      </c>
      <c r="BB86" s="206">
        <f>'Fiches Qualif'!AV86</f>
        <v>54</v>
      </c>
      <c r="BC86" s="206" t="str">
        <f>Engagements!E59</f>
        <v/>
      </c>
      <c r="BD86" s="206">
        <f>'Fiches Qualif'!AV86</f>
        <v>54</v>
      </c>
      <c r="BE86" s="206" t="str">
        <f>Engagements!F59</f>
        <v/>
      </c>
      <c r="BF86" s="202">
        <f>'Fiches Qualif'!AV86</f>
        <v>54</v>
      </c>
      <c r="BG86" s="207" t="str">
        <f>Engagements!G59</f>
        <v/>
      </c>
      <c r="BH86" s="202">
        <f>'Fiches Qualif'!AV86</f>
        <v>54</v>
      </c>
      <c r="BI86" s="213" t="str">
        <f>Engagements!H59</f>
        <v/>
      </c>
      <c r="BJ86" s="202">
        <f>'Fiches Qualif'!AV86</f>
        <v>54</v>
      </c>
      <c r="BK86" s="202" t="str">
        <f>Engagements!I59</f>
        <v/>
      </c>
      <c r="BL86" s="202">
        <f>'Fiches Qualif'!AV86</f>
        <v>54</v>
      </c>
      <c r="BM86" s="202" t="str">
        <f>Engagements!J59</f>
        <v/>
      </c>
    </row>
    <row r="87" spans="35:65" x14ac:dyDescent="0.2">
      <c r="AI87" s="185">
        <f t="shared" si="0"/>
        <v>54</v>
      </c>
      <c r="AV87" s="206">
        <f>Engagements!A60</f>
        <v>55</v>
      </c>
      <c r="AW87" s="206" t="str">
        <f>Engagements!B60</f>
        <v/>
      </c>
      <c r="AX87" s="206">
        <f>'Fiches Qualif'!AV87</f>
        <v>55</v>
      </c>
      <c r="AY87" s="212" t="str">
        <f>Engagements!C60</f>
        <v/>
      </c>
      <c r="AZ87" s="206">
        <f>'Fiches Qualif'!AV87</f>
        <v>55</v>
      </c>
      <c r="BA87" s="206" t="str">
        <f>Engagements!D60</f>
        <v/>
      </c>
      <c r="BB87" s="206">
        <f>'Fiches Qualif'!AV87</f>
        <v>55</v>
      </c>
      <c r="BC87" s="206" t="str">
        <f>Engagements!E60</f>
        <v/>
      </c>
      <c r="BD87" s="206">
        <f>'Fiches Qualif'!AV87</f>
        <v>55</v>
      </c>
      <c r="BE87" s="206" t="str">
        <f>Engagements!F60</f>
        <v/>
      </c>
      <c r="BF87" s="202">
        <f>'Fiches Qualif'!AV87</f>
        <v>55</v>
      </c>
      <c r="BG87" s="207" t="str">
        <f>Engagements!G60</f>
        <v/>
      </c>
      <c r="BH87" s="202">
        <f>'Fiches Qualif'!AV87</f>
        <v>55</v>
      </c>
      <c r="BI87" s="213" t="str">
        <f>Engagements!H60</f>
        <v/>
      </c>
      <c r="BJ87" s="202">
        <f>'Fiches Qualif'!AV87</f>
        <v>55</v>
      </c>
      <c r="BK87" s="202" t="str">
        <f>Engagements!I60</f>
        <v/>
      </c>
      <c r="BL87" s="202">
        <f>'Fiches Qualif'!AV87</f>
        <v>55</v>
      </c>
      <c r="BM87" s="202" t="str">
        <f>Engagements!J60</f>
        <v/>
      </c>
    </row>
    <row r="88" spans="35:65" x14ac:dyDescent="0.2">
      <c r="AI88" s="185">
        <f t="shared" si="0"/>
        <v>55</v>
      </c>
      <c r="AV88" s="206">
        <f>Engagements!A61</f>
        <v>56</v>
      </c>
      <c r="AW88" s="206" t="str">
        <f>Engagements!B61</f>
        <v/>
      </c>
      <c r="AX88" s="206">
        <f>'Fiches Qualif'!AV88</f>
        <v>56</v>
      </c>
      <c r="AY88" s="212" t="str">
        <f>Engagements!C61</f>
        <v/>
      </c>
      <c r="AZ88" s="206">
        <f>'Fiches Qualif'!AV88</f>
        <v>56</v>
      </c>
      <c r="BA88" s="206" t="str">
        <f>Engagements!D61</f>
        <v/>
      </c>
      <c r="BB88" s="206">
        <f>'Fiches Qualif'!AV88</f>
        <v>56</v>
      </c>
      <c r="BC88" s="206" t="str">
        <f>Engagements!E61</f>
        <v/>
      </c>
      <c r="BD88" s="206">
        <f>'Fiches Qualif'!AV88</f>
        <v>56</v>
      </c>
      <c r="BE88" s="206" t="str">
        <f>Engagements!F61</f>
        <v/>
      </c>
      <c r="BF88" s="202">
        <f>'Fiches Qualif'!AV88</f>
        <v>56</v>
      </c>
      <c r="BG88" s="207" t="str">
        <f>Engagements!G61</f>
        <v/>
      </c>
      <c r="BH88" s="202">
        <f>'Fiches Qualif'!AV88</f>
        <v>56</v>
      </c>
      <c r="BI88" s="213" t="str">
        <f>Engagements!H61</f>
        <v/>
      </c>
      <c r="BJ88" s="202">
        <f>'Fiches Qualif'!AV88</f>
        <v>56</v>
      </c>
      <c r="BK88" s="202" t="str">
        <f>Engagements!I61</f>
        <v/>
      </c>
      <c r="BL88" s="202">
        <f>'Fiches Qualif'!AV88</f>
        <v>56</v>
      </c>
      <c r="BM88" s="202" t="str">
        <f>Engagements!J61</f>
        <v/>
      </c>
    </row>
    <row r="89" spans="35:65" x14ac:dyDescent="0.2">
      <c r="AI89" s="185">
        <f t="shared" si="0"/>
        <v>56</v>
      </c>
      <c r="AV89" s="206">
        <f>Engagements!A62</f>
        <v>57</v>
      </c>
      <c r="AW89" s="206" t="str">
        <f>Engagements!B62</f>
        <v/>
      </c>
      <c r="AX89" s="206">
        <f>'Fiches Qualif'!AV89</f>
        <v>57</v>
      </c>
      <c r="AY89" s="212" t="str">
        <f>Engagements!C62</f>
        <v/>
      </c>
      <c r="AZ89" s="206">
        <f>'Fiches Qualif'!AV89</f>
        <v>57</v>
      </c>
      <c r="BA89" s="206" t="str">
        <f>Engagements!D62</f>
        <v/>
      </c>
      <c r="BB89" s="206">
        <f>'Fiches Qualif'!AV89</f>
        <v>57</v>
      </c>
      <c r="BC89" s="206" t="str">
        <f>Engagements!E62</f>
        <v/>
      </c>
      <c r="BD89" s="206">
        <f>'Fiches Qualif'!AV89</f>
        <v>57</v>
      </c>
      <c r="BE89" s="206" t="str">
        <f>Engagements!F62</f>
        <v/>
      </c>
      <c r="BF89" s="202">
        <f>'Fiches Qualif'!AV89</f>
        <v>57</v>
      </c>
      <c r="BG89" s="207" t="str">
        <f>Engagements!G62</f>
        <v/>
      </c>
      <c r="BH89" s="202">
        <f>'Fiches Qualif'!AV89</f>
        <v>57</v>
      </c>
      <c r="BI89" s="213" t="str">
        <f>Engagements!H62</f>
        <v/>
      </c>
      <c r="BJ89" s="202">
        <f>'Fiches Qualif'!AV89</f>
        <v>57</v>
      </c>
      <c r="BK89" s="202" t="str">
        <f>Engagements!I62</f>
        <v/>
      </c>
      <c r="BL89" s="202">
        <f>'Fiches Qualif'!AV89</f>
        <v>57</v>
      </c>
      <c r="BM89" s="202" t="str">
        <f>Engagements!J62</f>
        <v/>
      </c>
    </row>
    <row r="90" spans="35:65" x14ac:dyDescent="0.2">
      <c r="AI90" s="185">
        <f t="shared" si="0"/>
        <v>57</v>
      </c>
      <c r="AV90" s="206">
        <f>Engagements!A63</f>
        <v>58</v>
      </c>
      <c r="AW90" s="206" t="str">
        <f>Engagements!B63</f>
        <v/>
      </c>
      <c r="AX90" s="206">
        <f>'Fiches Qualif'!AV90</f>
        <v>58</v>
      </c>
      <c r="AY90" s="212" t="str">
        <f>Engagements!C63</f>
        <v/>
      </c>
      <c r="AZ90" s="206">
        <f>'Fiches Qualif'!AV90</f>
        <v>58</v>
      </c>
      <c r="BA90" s="206" t="str">
        <f>Engagements!D63</f>
        <v/>
      </c>
      <c r="BB90" s="206">
        <f>'Fiches Qualif'!AV90</f>
        <v>58</v>
      </c>
      <c r="BC90" s="206" t="str">
        <f>Engagements!E63</f>
        <v/>
      </c>
      <c r="BD90" s="206">
        <f>'Fiches Qualif'!AV90</f>
        <v>58</v>
      </c>
      <c r="BE90" s="206" t="str">
        <f>Engagements!F63</f>
        <v/>
      </c>
      <c r="BF90" s="202">
        <f>'Fiches Qualif'!AV90</f>
        <v>58</v>
      </c>
      <c r="BG90" s="207" t="str">
        <f>Engagements!G63</f>
        <v/>
      </c>
      <c r="BH90" s="202">
        <f>'Fiches Qualif'!AV90</f>
        <v>58</v>
      </c>
      <c r="BI90" s="213" t="str">
        <f>Engagements!H63</f>
        <v/>
      </c>
      <c r="BJ90" s="202">
        <f>'Fiches Qualif'!AV90</f>
        <v>58</v>
      </c>
      <c r="BK90" s="202" t="str">
        <f>Engagements!I63</f>
        <v/>
      </c>
      <c r="BL90" s="202">
        <f>'Fiches Qualif'!AV90</f>
        <v>58</v>
      </c>
      <c r="BM90" s="202" t="str">
        <f>Engagements!J63</f>
        <v/>
      </c>
    </row>
    <row r="91" spans="35:65" x14ac:dyDescent="0.2">
      <c r="AI91" s="185">
        <f t="shared" si="0"/>
        <v>58</v>
      </c>
      <c r="AV91" s="206">
        <f>Engagements!A64</f>
        <v>59</v>
      </c>
      <c r="AW91" s="206" t="str">
        <f>Engagements!B64</f>
        <v/>
      </c>
      <c r="AX91" s="206">
        <f>'Fiches Qualif'!AV91</f>
        <v>59</v>
      </c>
      <c r="AY91" s="212" t="str">
        <f>Engagements!C64</f>
        <v/>
      </c>
      <c r="AZ91" s="206">
        <f>'Fiches Qualif'!AV91</f>
        <v>59</v>
      </c>
      <c r="BA91" s="206" t="str">
        <f>Engagements!D64</f>
        <v/>
      </c>
      <c r="BB91" s="206">
        <f>'Fiches Qualif'!AV91</f>
        <v>59</v>
      </c>
      <c r="BC91" s="206" t="str">
        <f>Engagements!E64</f>
        <v/>
      </c>
      <c r="BD91" s="206">
        <f>'Fiches Qualif'!AV91</f>
        <v>59</v>
      </c>
      <c r="BE91" s="206" t="str">
        <f>Engagements!F64</f>
        <v/>
      </c>
      <c r="BF91" s="202">
        <f>'Fiches Qualif'!AV91</f>
        <v>59</v>
      </c>
      <c r="BG91" s="207" t="str">
        <f>Engagements!G64</f>
        <v/>
      </c>
      <c r="BH91" s="202">
        <f>'Fiches Qualif'!AV91</f>
        <v>59</v>
      </c>
      <c r="BI91" s="213" t="str">
        <f>Engagements!H64</f>
        <v/>
      </c>
      <c r="BJ91" s="202">
        <f>'Fiches Qualif'!AV91</f>
        <v>59</v>
      </c>
      <c r="BK91" s="202" t="str">
        <f>Engagements!I64</f>
        <v/>
      </c>
      <c r="BL91" s="202">
        <f>'Fiches Qualif'!AV91</f>
        <v>59</v>
      </c>
      <c r="BM91" s="202" t="str">
        <f>Engagements!J64</f>
        <v/>
      </c>
    </row>
    <row r="92" spans="35:65" x14ac:dyDescent="0.2">
      <c r="AI92" s="185">
        <f t="shared" si="0"/>
        <v>59</v>
      </c>
      <c r="AV92" s="206">
        <f>Engagements!A65</f>
        <v>60</v>
      </c>
      <c r="AW92" s="206" t="str">
        <f>Engagements!B65</f>
        <v/>
      </c>
      <c r="AX92" s="206">
        <f>'Fiches Qualif'!AV92</f>
        <v>60</v>
      </c>
      <c r="AY92" s="212" t="str">
        <f>Engagements!C65</f>
        <v/>
      </c>
      <c r="AZ92" s="206">
        <f>'Fiches Qualif'!AV92</f>
        <v>60</v>
      </c>
      <c r="BA92" s="206" t="str">
        <f>Engagements!D65</f>
        <v/>
      </c>
      <c r="BB92" s="206">
        <f>'Fiches Qualif'!AV92</f>
        <v>60</v>
      </c>
      <c r="BC92" s="206" t="str">
        <f>Engagements!E65</f>
        <v/>
      </c>
      <c r="BD92" s="206">
        <f>'Fiches Qualif'!AV92</f>
        <v>60</v>
      </c>
      <c r="BE92" s="206" t="str">
        <f>Engagements!F65</f>
        <v/>
      </c>
      <c r="BF92" s="202">
        <f>'Fiches Qualif'!AV92</f>
        <v>60</v>
      </c>
      <c r="BG92" s="207" t="str">
        <f>Engagements!G65</f>
        <v/>
      </c>
      <c r="BH92" s="202">
        <f>'Fiches Qualif'!AV92</f>
        <v>60</v>
      </c>
      <c r="BI92" s="213" t="str">
        <f>Engagements!H65</f>
        <v/>
      </c>
      <c r="BJ92" s="202">
        <f>'Fiches Qualif'!AV92</f>
        <v>60</v>
      </c>
      <c r="BK92" s="202" t="str">
        <f>Engagements!I65</f>
        <v/>
      </c>
      <c r="BL92" s="202">
        <f>'Fiches Qualif'!AV92</f>
        <v>60</v>
      </c>
      <c r="BM92" s="202" t="str">
        <f>Engagements!J65</f>
        <v/>
      </c>
    </row>
    <row r="93" spans="35:65" x14ac:dyDescent="0.2">
      <c r="AI93" s="185">
        <f t="shared" si="0"/>
        <v>60</v>
      </c>
      <c r="AV93" s="206">
        <f>Engagements!A66</f>
        <v>61</v>
      </c>
      <c r="AW93" s="206" t="str">
        <f>Engagements!B66</f>
        <v/>
      </c>
      <c r="AX93" s="206">
        <f>'Fiches Qualif'!AV93</f>
        <v>61</v>
      </c>
      <c r="AY93" s="212" t="str">
        <f>Engagements!C66</f>
        <v/>
      </c>
      <c r="AZ93" s="206">
        <f>'Fiches Qualif'!AV93</f>
        <v>61</v>
      </c>
      <c r="BA93" s="206" t="str">
        <f>Engagements!D66</f>
        <v/>
      </c>
      <c r="BB93" s="206">
        <f>'Fiches Qualif'!AV93</f>
        <v>61</v>
      </c>
      <c r="BC93" s="206" t="str">
        <f>Engagements!E66</f>
        <v/>
      </c>
      <c r="BD93" s="206">
        <f>'Fiches Qualif'!AV93</f>
        <v>61</v>
      </c>
      <c r="BE93" s="206" t="str">
        <f>Engagements!F66</f>
        <v/>
      </c>
      <c r="BF93" s="202">
        <f>'Fiches Qualif'!AV93</f>
        <v>61</v>
      </c>
      <c r="BG93" s="207" t="str">
        <f>Engagements!G66</f>
        <v/>
      </c>
      <c r="BH93" s="202">
        <f>'Fiches Qualif'!AV93</f>
        <v>61</v>
      </c>
      <c r="BI93" s="213" t="str">
        <f>Engagements!H66</f>
        <v/>
      </c>
      <c r="BJ93" s="202">
        <f>'Fiches Qualif'!AV93</f>
        <v>61</v>
      </c>
      <c r="BK93" s="202" t="str">
        <f>Engagements!I66</f>
        <v/>
      </c>
      <c r="BL93" s="202">
        <f>'Fiches Qualif'!AV93</f>
        <v>61</v>
      </c>
      <c r="BM93" s="202" t="str">
        <f>Engagements!J66</f>
        <v/>
      </c>
    </row>
    <row r="94" spans="35:65" x14ac:dyDescent="0.2">
      <c r="AI94" s="185">
        <f t="shared" si="0"/>
        <v>61</v>
      </c>
      <c r="AV94" s="206">
        <f>Engagements!A67</f>
        <v>62</v>
      </c>
      <c r="AW94" s="206" t="str">
        <f>Engagements!B67</f>
        <v/>
      </c>
      <c r="AX94" s="206">
        <f>'Fiches Qualif'!AV94</f>
        <v>62</v>
      </c>
      <c r="AY94" s="212" t="str">
        <f>Engagements!C67</f>
        <v/>
      </c>
      <c r="AZ94" s="206">
        <f>'Fiches Qualif'!AV94</f>
        <v>62</v>
      </c>
      <c r="BA94" s="206" t="str">
        <f>Engagements!D67</f>
        <v/>
      </c>
      <c r="BB94" s="206">
        <f>'Fiches Qualif'!AV94</f>
        <v>62</v>
      </c>
      <c r="BC94" s="206" t="str">
        <f>Engagements!E67</f>
        <v/>
      </c>
      <c r="BD94" s="206">
        <f>'Fiches Qualif'!AV94</f>
        <v>62</v>
      </c>
      <c r="BE94" s="206" t="str">
        <f>Engagements!F67</f>
        <v/>
      </c>
      <c r="BF94" s="202">
        <f>'Fiches Qualif'!AV94</f>
        <v>62</v>
      </c>
      <c r="BG94" s="207" t="str">
        <f>Engagements!G67</f>
        <v/>
      </c>
      <c r="BH94" s="202">
        <f>'Fiches Qualif'!AV94</f>
        <v>62</v>
      </c>
      <c r="BI94" s="213" t="str">
        <f>Engagements!H67</f>
        <v/>
      </c>
      <c r="BJ94" s="202">
        <f>'Fiches Qualif'!AV94</f>
        <v>62</v>
      </c>
      <c r="BK94" s="202" t="str">
        <f>Engagements!I67</f>
        <v/>
      </c>
      <c r="BL94" s="202">
        <f>'Fiches Qualif'!AV94</f>
        <v>62</v>
      </c>
      <c r="BM94" s="202" t="str">
        <f>Engagements!J67</f>
        <v/>
      </c>
    </row>
    <row r="95" spans="35:65" x14ac:dyDescent="0.2">
      <c r="AI95" s="185">
        <f t="shared" si="0"/>
        <v>62</v>
      </c>
      <c r="AV95" s="206">
        <f>Engagements!A68</f>
        <v>63</v>
      </c>
      <c r="AW95" s="206" t="str">
        <f>Engagements!B68</f>
        <v/>
      </c>
      <c r="AX95" s="206">
        <f>'Fiches Qualif'!AV95</f>
        <v>63</v>
      </c>
      <c r="AY95" s="212" t="str">
        <f>Engagements!C68</f>
        <v/>
      </c>
      <c r="AZ95" s="206">
        <f>'Fiches Qualif'!AV95</f>
        <v>63</v>
      </c>
      <c r="BA95" s="206" t="str">
        <f>Engagements!D68</f>
        <v/>
      </c>
      <c r="BB95" s="206">
        <f>'Fiches Qualif'!AV95</f>
        <v>63</v>
      </c>
      <c r="BC95" s="206" t="str">
        <f>Engagements!E68</f>
        <v/>
      </c>
      <c r="BD95" s="206">
        <f>'Fiches Qualif'!AV95</f>
        <v>63</v>
      </c>
      <c r="BE95" s="206" t="str">
        <f>Engagements!F68</f>
        <v/>
      </c>
      <c r="BF95" s="202">
        <f>'Fiches Qualif'!AV95</f>
        <v>63</v>
      </c>
      <c r="BG95" s="207" t="str">
        <f>Engagements!G68</f>
        <v/>
      </c>
      <c r="BH95" s="202">
        <f>'Fiches Qualif'!AV95</f>
        <v>63</v>
      </c>
      <c r="BI95" s="213" t="str">
        <f>Engagements!H68</f>
        <v/>
      </c>
      <c r="BJ95" s="202">
        <f>'Fiches Qualif'!AV95</f>
        <v>63</v>
      </c>
      <c r="BK95" s="202" t="str">
        <f>Engagements!I68</f>
        <v/>
      </c>
      <c r="BL95" s="202">
        <f>'Fiches Qualif'!AV95</f>
        <v>63</v>
      </c>
      <c r="BM95" s="202" t="str">
        <f>Engagements!J68</f>
        <v/>
      </c>
    </row>
    <row r="96" spans="35:65" x14ac:dyDescent="0.2">
      <c r="AI96" s="185">
        <f t="shared" si="0"/>
        <v>63</v>
      </c>
      <c r="AV96" s="206">
        <f>Engagements!A69</f>
        <v>64</v>
      </c>
      <c r="AW96" s="206" t="str">
        <f>Engagements!B69</f>
        <v/>
      </c>
      <c r="AX96" s="206">
        <f>'Fiches Qualif'!AV96</f>
        <v>64</v>
      </c>
      <c r="AY96" s="212" t="str">
        <f>Engagements!C69</f>
        <v/>
      </c>
      <c r="AZ96" s="206">
        <f>'Fiches Qualif'!AV96</f>
        <v>64</v>
      </c>
      <c r="BA96" s="206" t="str">
        <f>Engagements!D69</f>
        <v/>
      </c>
      <c r="BB96" s="206">
        <f>'Fiches Qualif'!AV96</f>
        <v>64</v>
      </c>
      <c r="BC96" s="206" t="str">
        <f>Engagements!E69</f>
        <v/>
      </c>
      <c r="BD96" s="206">
        <f>'Fiches Qualif'!AV96</f>
        <v>64</v>
      </c>
      <c r="BE96" s="206" t="str">
        <f>Engagements!F69</f>
        <v/>
      </c>
      <c r="BF96" s="202">
        <f>'Fiches Qualif'!AV96</f>
        <v>64</v>
      </c>
      <c r="BG96" s="207" t="str">
        <f>Engagements!G69</f>
        <v/>
      </c>
      <c r="BH96" s="202">
        <f>'Fiches Qualif'!AV96</f>
        <v>64</v>
      </c>
      <c r="BI96" s="213" t="str">
        <f>Engagements!H69</f>
        <v/>
      </c>
      <c r="BJ96" s="202">
        <f>'Fiches Qualif'!AV96</f>
        <v>64</v>
      </c>
      <c r="BK96" s="202" t="str">
        <f>Engagements!I69</f>
        <v/>
      </c>
      <c r="BL96" s="202">
        <f>'Fiches Qualif'!AV96</f>
        <v>64</v>
      </c>
      <c r="BM96" s="202" t="str">
        <f>Engagements!J69</f>
        <v/>
      </c>
    </row>
    <row r="97" spans="35:65" x14ac:dyDescent="0.2">
      <c r="AI97" s="185">
        <f t="shared" si="0"/>
        <v>64</v>
      </c>
      <c r="AV97" s="206">
        <f>Engagements!A70</f>
        <v>65</v>
      </c>
      <c r="AW97" s="206" t="str">
        <f>Engagements!B70</f>
        <v/>
      </c>
      <c r="AX97" s="206">
        <f>'Fiches Qualif'!AV97</f>
        <v>65</v>
      </c>
      <c r="AY97" s="212" t="str">
        <f>Engagements!C70</f>
        <v/>
      </c>
      <c r="AZ97" s="206">
        <f>'Fiches Qualif'!AV97</f>
        <v>65</v>
      </c>
      <c r="BA97" s="206" t="str">
        <f>Engagements!D70</f>
        <v/>
      </c>
      <c r="BB97" s="206">
        <f>'Fiches Qualif'!AV97</f>
        <v>65</v>
      </c>
      <c r="BC97" s="206" t="str">
        <f>Engagements!E70</f>
        <v/>
      </c>
      <c r="BD97" s="206">
        <f>'Fiches Qualif'!AV97</f>
        <v>65</v>
      </c>
      <c r="BE97" s="206" t="str">
        <f>Engagements!F70</f>
        <v/>
      </c>
      <c r="BF97" s="202">
        <f>'Fiches Qualif'!AV97</f>
        <v>65</v>
      </c>
      <c r="BG97" s="207" t="str">
        <f>Engagements!G70</f>
        <v/>
      </c>
      <c r="BH97" s="202">
        <f>'Fiches Qualif'!AV97</f>
        <v>65</v>
      </c>
      <c r="BI97" s="213" t="str">
        <f>Engagements!H70</f>
        <v/>
      </c>
      <c r="BJ97" s="202">
        <f>'Fiches Qualif'!AV97</f>
        <v>65</v>
      </c>
      <c r="BK97" s="202" t="str">
        <f>Engagements!I70</f>
        <v/>
      </c>
      <c r="BL97" s="202">
        <f>'Fiches Qualif'!AV97</f>
        <v>65</v>
      </c>
      <c r="BM97" s="202" t="str">
        <f>Engagements!J70</f>
        <v/>
      </c>
    </row>
    <row r="98" spans="35:65" x14ac:dyDescent="0.2">
      <c r="AI98" s="185">
        <f t="shared" si="0"/>
        <v>65</v>
      </c>
      <c r="AV98" s="206">
        <f>Engagements!A71</f>
        <v>66</v>
      </c>
      <c r="AW98" s="206" t="str">
        <f>Engagements!B71</f>
        <v/>
      </c>
      <c r="AX98" s="206">
        <f>'Fiches Qualif'!AV98</f>
        <v>66</v>
      </c>
      <c r="AY98" s="212" t="str">
        <f>Engagements!C71</f>
        <v/>
      </c>
      <c r="AZ98" s="206">
        <f>'Fiches Qualif'!AV98</f>
        <v>66</v>
      </c>
      <c r="BA98" s="206" t="str">
        <f>Engagements!D71</f>
        <v/>
      </c>
      <c r="BB98" s="206">
        <f>'Fiches Qualif'!AV98</f>
        <v>66</v>
      </c>
      <c r="BC98" s="206" t="str">
        <f>Engagements!E71</f>
        <v/>
      </c>
      <c r="BD98" s="206">
        <f>'Fiches Qualif'!AV98</f>
        <v>66</v>
      </c>
      <c r="BE98" s="206" t="str">
        <f>Engagements!F71</f>
        <v/>
      </c>
      <c r="BF98" s="202">
        <f>'Fiches Qualif'!AV98</f>
        <v>66</v>
      </c>
      <c r="BG98" s="207" t="str">
        <f>Engagements!G71</f>
        <v/>
      </c>
      <c r="BH98" s="202">
        <f>'Fiches Qualif'!AV98</f>
        <v>66</v>
      </c>
      <c r="BI98" s="213" t="str">
        <f>Engagements!H71</f>
        <v/>
      </c>
      <c r="BJ98" s="202">
        <f>'Fiches Qualif'!AV98</f>
        <v>66</v>
      </c>
      <c r="BK98" s="202" t="str">
        <f>Engagements!I71</f>
        <v/>
      </c>
      <c r="BL98" s="202">
        <f>'Fiches Qualif'!AV98</f>
        <v>66</v>
      </c>
      <c r="BM98" s="202" t="str">
        <f>Engagements!J71</f>
        <v/>
      </c>
    </row>
    <row r="99" spans="35:65" x14ac:dyDescent="0.2">
      <c r="AI99" s="185">
        <f t="shared" si="0"/>
        <v>66</v>
      </c>
      <c r="AV99" s="206">
        <f>Engagements!A72</f>
        <v>67</v>
      </c>
      <c r="AW99" s="206" t="str">
        <f>Engagements!B72</f>
        <v/>
      </c>
      <c r="AX99" s="206">
        <f>'Fiches Qualif'!AV99</f>
        <v>67</v>
      </c>
      <c r="AY99" s="212" t="str">
        <f>Engagements!C72</f>
        <v/>
      </c>
      <c r="AZ99" s="206">
        <f>'Fiches Qualif'!AV99</f>
        <v>67</v>
      </c>
      <c r="BA99" s="206" t="str">
        <f>Engagements!D72</f>
        <v/>
      </c>
      <c r="BB99" s="206">
        <f>'Fiches Qualif'!AV99</f>
        <v>67</v>
      </c>
      <c r="BC99" s="206" t="str">
        <f>Engagements!E72</f>
        <v/>
      </c>
      <c r="BD99" s="206">
        <f>'Fiches Qualif'!AV99</f>
        <v>67</v>
      </c>
      <c r="BE99" s="206" t="str">
        <f>Engagements!F72</f>
        <v/>
      </c>
      <c r="BF99" s="202">
        <f>'Fiches Qualif'!AV99</f>
        <v>67</v>
      </c>
      <c r="BG99" s="207" t="str">
        <f>Engagements!G72</f>
        <v/>
      </c>
      <c r="BH99" s="202">
        <f>'Fiches Qualif'!AV99</f>
        <v>67</v>
      </c>
      <c r="BI99" s="213" t="str">
        <f>Engagements!H72</f>
        <v/>
      </c>
      <c r="BJ99" s="202">
        <f>'Fiches Qualif'!AV99</f>
        <v>67</v>
      </c>
      <c r="BK99" s="202" t="str">
        <f>Engagements!I72</f>
        <v/>
      </c>
      <c r="BL99" s="202">
        <f>'Fiches Qualif'!AV99</f>
        <v>67</v>
      </c>
      <c r="BM99" s="202" t="str">
        <f>Engagements!J72</f>
        <v/>
      </c>
    </row>
    <row r="100" spans="35:65" x14ac:dyDescent="0.2">
      <c r="AI100" s="185">
        <f t="shared" ref="AI100:AI120" si="1">AI99+1</f>
        <v>67</v>
      </c>
      <c r="AV100" s="206">
        <f>Engagements!A73</f>
        <v>68</v>
      </c>
      <c r="AW100" s="206" t="str">
        <f>Engagements!B73</f>
        <v/>
      </c>
      <c r="AX100" s="206">
        <f>'Fiches Qualif'!AV100</f>
        <v>68</v>
      </c>
      <c r="AY100" s="212" t="str">
        <f>Engagements!C73</f>
        <v/>
      </c>
      <c r="AZ100" s="206">
        <f>'Fiches Qualif'!AV100</f>
        <v>68</v>
      </c>
      <c r="BA100" s="206" t="str">
        <f>Engagements!D73</f>
        <v/>
      </c>
      <c r="BB100" s="206">
        <f>'Fiches Qualif'!AV100</f>
        <v>68</v>
      </c>
      <c r="BC100" s="206" t="str">
        <f>Engagements!E73</f>
        <v/>
      </c>
      <c r="BD100" s="206">
        <f>'Fiches Qualif'!AV100</f>
        <v>68</v>
      </c>
      <c r="BE100" s="206" t="str">
        <f>Engagements!F73</f>
        <v/>
      </c>
      <c r="BF100" s="202">
        <f>'Fiches Qualif'!AV100</f>
        <v>68</v>
      </c>
      <c r="BG100" s="207" t="str">
        <f>Engagements!G73</f>
        <v/>
      </c>
      <c r="BH100" s="202">
        <f>'Fiches Qualif'!AV100</f>
        <v>68</v>
      </c>
      <c r="BI100" s="213" t="str">
        <f>Engagements!H73</f>
        <v/>
      </c>
      <c r="BJ100" s="202">
        <f>'Fiches Qualif'!AV100</f>
        <v>68</v>
      </c>
      <c r="BK100" s="202" t="str">
        <f>Engagements!I73</f>
        <v/>
      </c>
      <c r="BL100" s="202">
        <f>'Fiches Qualif'!AV100</f>
        <v>68</v>
      </c>
      <c r="BM100" s="202" t="str">
        <f>Engagements!J73</f>
        <v/>
      </c>
    </row>
    <row r="101" spans="35:65" x14ac:dyDescent="0.2">
      <c r="AI101" s="185">
        <f t="shared" si="1"/>
        <v>68</v>
      </c>
      <c r="AV101" s="206">
        <f>Engagements!A74</f>
        <v>69</v>
      </c>
      <c r="AW101" s="206" t="str">
        <f>Engagements!B74</f>
        <v/>
      </c>
      <c r="AX101" s="206">
        <f>'Fiches Qualif'!AV101</f>
        <v>69</v>
      </c>
      <c r="AY101" s="212" t="str">
        <f>Engagements!C74</f>
        <v/>
      </c>
      <c r="AZ101" s="206">
        <f>'Fiches Qualif'!AV101</f>
        <v>69</v>
      </c>
      <c r="BA101" s="206" t="str">
        <f>Engagements!D74</f>
        <v/>
      </c>
      <c r="BB101" s="206">
        <f>'Fiches Qualif'!AV101</f>
        <v>69</v>
      </c>
      <c r="BC101" s="206" t="str">
        <f>Engagements!E74</f>
        <v/>
      </c>
      <c r="BD101" s="206">
        <f>'Fiches Qualif'!AV101</f>
        <v>69</v>
      </c>
      <c r="BE101" s="206" t="str">
        <f>Engagements!F74</f>
        <v/>
      </c>
      <c r="BF101" s="202">
        <f>'Fiches Qualif'!AV101</f>
        <v>69</v>
      </c>
      <c r="BG101" s="207" t="str">
        <f>Engagements!G74</f>
        <v/>
      </c>
      <c r="BH101" s="202">
        <f>'Fiches Qualif'!AV101</f>
        <v>69</v>
      </c>
      <c r="BI101" s="213" t="str">
        <f>Engagements!H74</f>
        <v/>
      </c>
      <c r="BJ101" s="202">
        <f>'Fiches Qualif'!AV101</f>
        <v>69</v>
      </c>
      <c r="BK101" s="202" t="str">
        <f>Engagements!I74</f>
        <v/>
      </c>
      <c r="BL101" s="202">
        <f>'Fiches Qualif'!AV101</f>
        <v>69</v>
      </c>
      <c r="BM101" s="202" t="str">
        <f>Engagements!J74</f>
        <v/>
      </c>
    </row>
    <row r="102" spans="35:65" x14ac:dyDescent="0.2">
      <c r="AI102" s="185">
        <f t="shared" si="1"/>
        <v>69</v>
      </c>
      <c r="AV102" s="206">
        <f>Engagements!A75</f>
        <v>70</v>
      </c>
      <c r="AW102" s="206" t="str">
        <f>Engagements!B75</f>
        <v/>
      </c>
      <c r="AX102" s="206">
        <f>'Fiches Qualif'!AV102</f>
        <v>70</v>
      </c>
      <c r="AY102" s="212" t="str">
        <f>Engagements!C75</f>
        <v/>
      </c>
      <c r="AZ102" s="206">
        <f>'Fiches Qualif'!AV102</f>
        <v>70</v>
      </c>
      <c r="BA102" s="206" t="str">
        <f>Engagements!D75</f>
        <v/>
      </c>
      <c r="BB102" s="206">
        <f>'Fiches Qualif'!AV102</f>
        <v>70</v>
      </c>
      <c r="BC102" s="206" t="str">
        <f>Engagements!E75</f>
        <v/>
      </c>
      <c r="BD102" s="206">
        <f>'Fiches Qualif'!AV102</f>
        <v>70</v>
      </c>
      <c r="BE102" s="206" t="str">
        <f>Engagements!F75</f>
        <v/>
      </c>
      <c r="BF102" s="202">
        <f>'Fiches Qualif'!AV102</f>
        <v>70</v>
      </c>
      <c r="BG102" s="207" t="str">
        <f>Engagements!G75</f>
        <v/>
      </c>
      <c r="BH102" s="202">
        <f>'Fiches Qualif'!AV102</f>
        <v>70</v>
      </c>
      <c r="BI102" s="213" t="str">
        <f>Engagements!H75</f>
        <v/>
      </c>
      <c r="BJ102" s="202">
        <f>'Fiches Qualif'!AV102</f>
        <v>70</v>
      </c>
      <c r="BK102" s="202" t="str">
        <f>Engagements!I75</f>
        <v/>
      </c>
      <c r="BL102" s="202">
        <f>'Fiches Qualif'!AV102</f>
        <v>70</v>
      </c>
      <c r="BM102" s="202" t="str">
        <f>Engagements!J75</f>
        <v/>
      </c>
    </row>
    <row r="103" spans="35:65" x14ac:dyDescent="0.2">
      <c r="AI103" s="185">
        <f t="shared" si="1"/>
        <v>70</v>
      </c>
      <c r="AV103" s="206">
        <f>Engagements!A76</f>
        <v>71</v>
      </c>
      <c r="AW103" s="206" t="str">
        <f>Engagements!B76</f>
        <v/>
      </c>
      <c r="AX103" s="206">
        <f>'Fiches Qualif'!AV103</f>
        <v>71</v>
      </c>
      <c r="AY103" s="212" t="str">
        <f>Engagements!C76</f>
        <v/>
      </c>
      <c r="AZ103" s="206">
        <f>'Fiches Qualif'!AV103</f>
        <v>71</v>
      </c>
      <c r="BA103" s="206" t="str">
        <f>Engagements!D76</f>
        <v/>
      </c>
      <c r="BB103" s="206">
        <f>'Fiches Qualif'!AV103</f>
        <v>71</v>
      </c>
      <c r="BC103" s="206" t="str">
        <f>Engagements!E76</f>
        <v/>
      </c>
      <c r="BD103" s="206">
        <f>'Fiches Qualif'!AV103</f>
        <v>71</v>
      </c>
      <c r="BE103" s="206" t="str">
        <f>Engagements!F76</f>
        <v/>
      </c>
      <c r="BF103" s="202">
        <f>'Fiches Qualif'!AV103</f>
        <v>71</v>
      </c>
      <c r="BG103" s="207" t="str">
        <f>Engagements!G76</f>
        <v/>
      </c>
      <c r="BH103" s="202">
        <f>'Fiches Qualif'!AV103</f>
        <v>71</v>
      </c>
      <c r="BI103" s="213" t="str">
        <f>Engagements!H76</f>
        <v/>
      </c>
      <c r="BJ103" s="202">
        <f>'Fiches Qualif'!AV103</f>
        <v>71</v>
      </c>
      <c r="BK103" s="202" t="str">
        <f>Engagements!I76</f>
        <v/>
      </c>
      <c r="BL103" s="202">
        <f>'Fiches Qualif'!AV103</f>
        <v>71</v>
      </c>
      <c r="BM103" s="202" t="str">
        <f>Engagements!J76</f>
        <v/>
      </c>
    </row>
    <row r="104" spans="35:65" x14ac:dyDescent="0.2">
      <c r="AI104" s="185">
        <f t="shared" si="1"/>
        <v>71</v>
      </c>
      <c r="AV104" s="206">
        <f>Engagements!A77</f>
        <v>72</v>
      </c>
      <c r="AW104" s="206" t="str">
        <f>Engagements!B77</f>
        <v/>
      </c>
      <c r="AX104" s="206">
        <f>'Fiches Qualif'!AV104</f>
        <v>72</v>
      </c>
      <c r="AY104" s="212" t="str">
        <f>Engagements!C77</f>
        <v/>
      </c>
      <c r="AZ104" s="206">
        <f>'Fiches Qualif'!AV104</f>
        <v>72</v>
      </c>
      <c r="BA104" s="206" t="str">
        <f>Engagements!D77</f>
        <v/>
      </c>
      <c r="BB104" s="206">
        <f>'Fiches Qualif'!AV104</f>
        <v>72</v>
      </c>
      <c r="BC104" s="206" t="str">
        <f>Engagements!E77</f>
        <v/>
      </c>
      <c r="BD104" s="206">
        <f>'Fiches Qualif'!AV104</f>
        <v>72</v>
      </c>
      <c r="BE104" s="206" t="str">
        <f>Engagements!F77</f>
        <v/>
      </c>
      <c r="BF104" s="202">
        <f>'Fiches Qualif'!AV104</f>
        <v>72</v>
      </c>
      <c r="BG104" s="207" t="str">
        <f>Engagements!G77</f>
        <v/>
      </c>
      <c r="BH104" s="202">
        <f>'Fiches Qualif'!AV104</f>
        <v>72</v>
      </c>
      <c r="BI104" s="213" t="str">
        <f>Engagements!H77</f>
        <v/>
      </c>
      <c r="BJ104" s="202">
        <f>'Fiches Qualif'!AV104</f>
        <v>72</v>
      </c>
      <c r="BK104" s="202" t="str">
        <f>Engagements!I77</f>
        <v/>
      </c>
      <c r="BL104" s="202">
        <f>'Fiches Qualif'!AV104</f>
        <v>72</v>
      </c>
      <c r="BM104" s="202" t="str">
        <f>Engagements!J77</f>
        <v/>
      </c>
    </row>
    <row r="105" spans="35:65" x14ac:dyDescent="0.2">
      <c r="AI105" s="185">
        <f t="shared" si="1"/>
        <v>72</v>
      </c>
      <c r="AV105" s="206">
        <f>Engagements!A78</f>
        <v>73</v>
      </c>
      <c r="AW105" s="206" t="str">
        <f>Engagements!B78</f>
        <v/>
      </c>
      <c r="AX105" s="206">
        <f>'Fiches Qualif'!AV105</f>
        <v>73</v>
      </c>
      <c r="AY105" s="212" t="str">
        <f>Engagements!C78</f>
        <v/>
      </c>
      <c r="AZ105" s="206">
        <f>'Fiches Qualif'!AV105</f>
        <v>73</v>
      </c>
      <c r="BA105" s="206" t="str">
        <f>Engagements!D78</f>
        <v/>
      </c>
      <c r="BB105" s="206">
        <f>'Fiches Qualif'!AV105</f>
        <v>73</v>
      </c>
      <c r="BC105" s="206" t="str">
        <f>Engagements!E78</f>
        <v/>
      </c>
      <c r="BD105" s="206">
        <f>'Fiches Qualif'!AV105</f>
        <v>73</v>
      </c>
      <c r="BE105" s="206" t="str">
        <f>Engagements!F78</f>
        <v/>
      </c>
      <c r="BF105" s="202">
        <f>'Fiches Qualif'!AV105</f>
        <v>73</v>
      </c>
      <c r="BG105" s="207" t="str">
        <f>Engagements!G78</f>
        <v/>
      </c>
      <c r="BH105" s="202">
        <f>'Fiches Qualif'!AV105</f>
        <v>73</v>
      </c>
      <c r="BI105" s="213" t="str">
        <f>Engagements!H78</f>
        <v/>
      </c>
      <c r="BJ105" s="202">
        <f>'Fiches Qualif'!AV105</f>
        <v>73</v>
      </c>
      <c r="BK105" s="202" t="str">
        <f>Engagements!I78</f>
        <v/>
      </c>
      <c r="BL105" s="202">
        <f>'Fiches Qualif'!AV105</f>
        <v>73</v>
      </c>
      <c r="BM105" s="202" t="str">
        <f>Engagements!J78</f>
        <v/>
      </c>
    </row>
    <row r="106" spans="35:65" x14ac:dyDescent="0.2">
      <c r="AI106" s="185">
        <f t="shared" si="1"/>
        <v>73</v>
      </c>
      <c r="AV106" s="206">
        <f>Engagements!A79</f>
        <v>74</v>
      </c>
      <c r="AW106" s="206" t="str">
        <f>Engagements!B79</f>
        <v/>
      </c>
      <c r="AX106" s="206">
        <f>'Fiches Qualif'!AV106</f>
        <v>74</v>
      </c>
      <c r="AY106" s="212" t="str">
        <f>Engagements!C79</f>
        <v/>
      </c>
      <c r="AZ106" s="206">
        <f>'Fiches Qualif'!AV106</f>
        <v>74</v>
      </c>
      <c r="BA106" s="206" t="str">
        <f>Engagements!D79</f>
        <v/>
      </c>
      <c r="BB106" s="206">
        <f>'Fiches Qualif'!AV106</f>
        <v>74</v>
      </c>
      <c r="BC106" s="206" t="str">
        <f>Engagements!E79</f>
        <v/>
      </c>
      <c r="BD106" s="206">
        <f>'Fiches Qualif'!AV106</f>
        <v>74</v>
      </c>
      <c r="BE106" s="206" t="str">
        <f>Engagements!F79</f>
        <v/>
      </c>
      <c r="BF106" s="202">
        <f>'Fiches Qualif'!AV106</f>
        <v>74</v>
      </c>
      <c r="BG106" s="207" t="str">
        <f>Engagements!G79</f>
        <v/>
      </c>
      <c r="BH106" s="202">
        <f>'Fiches Qualif'!AV106</f>
        <v>74</v>
      </c>
      <c r="BI106" s="213" t="str">
        <f>Engagements!H79</f>
        <v/>
      </c>
      <c r="BJ106" s="202">
        <f>'Fiches Qualif'!AV106</f>
        <v>74</v>
      </c>
      <c r="BK106" s="202" t="str">
        <f>Engagements!I79</f>
        <v/>
      </c>
      <c r="BL106" s="202">
        <f>'Fiches Qualif'!AV106</f>
        <v>74</v>
      </c>
      <c r="BM106" s="202" t="str">
        <f>Engagements!J79</f>
        <v/>
      </c>
    </row>
    <row r="107" spans="35:65" x14ac:dyDescent="0.2">
      <c r="AI107" s="185">
        <f t="shared" si="1"/>
        <v>74</v>
      </c>
      <c r="AV107" s="206">
        <f>Engagements!A80</f>
        <v>75</v>
      </c>
      <c r="AW107" s="206" t="str">
        <f>Engagements!B80</f>
        <v/>
      </c>
      <c r="AX107" s="206">
        <f>'Fiches Qualif'!AV107</f>
        <v>75</v>
      </c>
      <c r="AY107" s="212" t="str">
        <f>Engagements!C80</f>
        <v/>
      </c>
      <c r="AZ107" s="206">
        <f>'Fiches Qualif'!AV107</f>
        <v>75</v>
      </c>
      <c r="BA107" s="206" t="str">
        <f>Engagements!D80</f>
        <v/>
      </c>
      <c r="BB107" s="206">
        <f>'Fiches Qualif'!AV107</f>
        <v>75</v>
      </c>
      <c r="BC107" s="206" t="str">
        <f>Engagements!E80</f>
        <v/>
      </c>
      <c r="BD107" s="206">
        <f>'Fiches Qualif'!AV107</f>
        <v>75</v>
      </c>
      <c r="BE107" s="206" t="str">
        <f>Engagements!F80</f>
        <v/>
      </c>
      <c r="BF107" s="202">
        <f>'Fiches Qualif'!AV107</f>
        <v>75</v>
      </c>
      <c r="BG107" s="207" t="str">
        <f>Engagements!G80</f>
        <v/>
      </c>
      <c r="BH107" s="202">
        <f>'Fiches Qualif'!AV107</f>
        <v>75</v>
      </c>
      <c r="BI107" s="213" t="str">
        <f>Engagements!H80</f>
        <v/>
      </c>
      <c r="BJ107" s="202">
        <f>'Fiches Qualif'!AV107</f>
        <v>75</v>
      </c>
      <c r="BK107" s="202" t="str">
        <f>Engagements!I80</f>
        <v/>
      </c>
      <c r="BL107" s="202">
        <f>'Fiches Qualif'!AV107</f>
        <v>75</v>
      </c>
      <c r="BM107" s="202" t="str">
        <f>Engagements!J80</f>
        <v/>
      </c>
    </row>
    <row r="108" spans="35:65" x14ac:dyDescent="0.2">
      <c r="AI108" s="185">
        <f t="shared" si="1"/>
        <v>75</v>
      </c>
      <c r="AV108" s="206">
        <f>Engagements!A81</f>
        <v>76</v>
      </c>
      <c r="AW108" s="206" t="str">
        <f>Engagements!B81</f>
        <v/>
      </c>
      <c r="AX108" s="206">
        <f>'Fiches Qualif'!AV108</f>
        <v>76</v>
      </c>
      <c r="AY108" s="212" t="str">
        <f>Engagements!C81</f>
        <v/>
      </c>
      <c r="AZ108" s="206">
        <f>'Fiches Qualif'!AV108</f>
        <v>76</v>
      </c>
      <c r="BA108" s="206" t="str">
        <f>Engagements!D81</f>
        <v/>
      </c>
      <c r="BB108" s="206">
        <f>'Fiches Qualif'!AV108</f>
        <v>76</v>
      </c>
      <c r="BC108" s="206" t="str">
        <f>Engagements!E81</f>
        <v/>
      </c>
      <c r="BD108" s="206">
        <f>'Fiches Qualif'!AV108</f>
        <v>76</v>
      </c>
      <c r="BE108" s="206" t="str">
        <f>Engagements!F81</f>
        <v/>
      </c>
      <c r="BF108" s="202">
        <f>'Fiches Qualif'!AV108</f>
        <v>76</v>
      </c>
      <c r="BG108" s="207" t="str">
        <f>Engagements!G81</f>
        <v/>
      </c>
      <c r="BH108" s="202">
        <f>'Fiches Qualif'!AV108</f>
        <v>76</v>
      </c>
      <c r="BI108" s="213" t="str">
        <f>Engagements!H81</f>
        <v/>
      </c>
      <c r="BJ108" s="202">
        <f>'Fiches Qualif'!AV108</f>
        <v>76</v>
      </c>
      <c r="BK108" s="202" t="str">
        <f>Engagements!I81</f>
        <v/>
      </c>
      <c r="BL108" s="202">
        <f>'Fiches Qualif'!AV108</f>
        <v>76</v>
      </c>
      <c r="BM108" s="202" t="str">
        <f>Engagements!J81</f>
        <v/>
      </c>
    </row>
    <row r="109" spans="35:65" x14ac:dyDescent="0.2">
      <c r="AI109" s="185">
        <f t="shared" si="1"/>
        <v>76</v>
      </c>
      <c r="AV109" s="206">
        <f>Engagements!A82</f>
        <v>77</v>
      </c>
      <c r="AW109" s="206" t="str">
        <f>Engagements!B82</f>
        <v/>
      </c>
      <c r="AX109" s="206">
        <f>'Fiches Qualif'!AV109</f>
        <v>77</v>
      </c>
      <c r="AY109" s="212" t="str">
        <f>Engagements!C82</f>
        <v/>
      </c>
      <c r="AZ109" s="206">
        <f>'Fiches Qualif'!AV109</f>
        <v>77</v>
      </c>
      <c r="BA109" s="206" t="str">
        <f>Engagements!D82</f>
        <v/>
      </c>
      <c r="BB109" s="206">
        <f>'Fiches Qualif'!AV109</f>
        <v>77</v>
      </c>
      <c r="BC109" s="206" t="str">
        <f>Engagements!E82</f>
        <v/>
      </c>
      <c r="BD109" s="206">
        <f>'Fiches Qualif'!AV109</f>
        <v>77</v>
      </c>
      <c r="BE109" s="206" t="str">
        <f>Engagements!F82</f>
        <v/>
      </c>
      <c r="BF109" s="202">
        <f>'Fiches Qualif'!AV109</f>
        <v>77</v>
      </c>
      <c r="BG109" s="207" t="str">
        <f>Engagements!G82</f>
        <v/>
      </c>
      <c r="BH109" s="202">
        <f>'Fiches Qualif'!AV109</f>
        <v>77</v>
      </c>
      <c r="BI109" s="213" t="str">
        <f>Engagements!H82</f>
        <v/>
      </c>
      <c r="BJ109" s="202">
        <f>'Fiches Qualif'!AV109</f>
        <v>77</v>
      </c>
      <c r="BK109" s="202" t="str">
        <f>Engagements!I82</f>
        <v/>
      </c>
      <c r="BL109" s="202">
        <f>'Fiches Qualif'!AV109</f>
        <v>77</v>
      </c>
      <c r="BM109" s="202" t="str">
        <f>Engagements!J82</f>
        <v/>
      </c>
    </row>
    <row r="110" spans="35:65" x14ac:dyDescent="0.2">
      <c r="AI110" s="185">
        <f t="shared" si="1"/>
        <v>77</v>
      </c>
      <c r="AV110" s="206">
        <f>Engagements!A83</f>
        <v>78</v>
      </c>
      <c r="AW110" s="206" t="str">
        <f>Engagements!B83</f>
        <v/>
      </c>
      <c r="AX110" s="206">
        <f>'Fiches Qualif'!AV110</f>
        <v>78</v>
      </c>
      <c r="AY110" s="212" t="str">
        <f>Engagements!C83</f>
        <v/>
      </c>
      <c r="AZ110" s="206">
        <f>'Fiches Qualif'!AV110</f>
        <v>78</v>
      </c>
      <c r="BA110" s="206" t="str">
        <f>Engagements!D83</f>
        <v/>
      </c>
      <c r="BB110" s="206">
        <f>'Fiches Qualif'!AV110</f>
        <v>78</v>
      </c>
      <c r="BC110" s="206" t="str">
        <f>Engagements!E83</f>
        <v/>
      </c>
      <c r="BD110" s="206">
        <f>'Fiches Qualif'!AV110</f>
        <v>78</v>
      </c>
      <c r="BE110" s="206" t="str">
        <f>Engagements!F83</f>
        <v/>
      </c>
      <c r="BF110" s="202">
        <f>'Fiches Qualif'!AV110</f>
        <v>78</v>
      </c>
      <c r="BG110" s="207" t="str">
        <f>Engagements!G83</f>
        <v/>
      </c>
      <c r="BH110" s="202">
        <f>'Fiches Qualif'!AV110</f>
        <v>78</v>
      </c>
      <c r="BI110" s="213" t="str">
        <f>Engagements!H83</f>
        <v/>
      </c>
      <c r="BJ110" s="202">
        <f>'Fiches Qualif'!AV110</f>
        <v>78</v>
      </c>
      <c r="BK110" s="202" t="str">
        <f>Engagements!I83</f>
        <v/>
      </c>
      <c r="BL110" s="202">
        <f>'Fiches Qualif'!AV110</f>
        <v>78</v>
      </c>
      <c r="BM110" s="202" t="str">
        <f>Engagements!J83</f>
        <v/>
      </c>
    </row>
    <row r="111" spans="35:65" x14ac:dyDescent="0.2">
      <c r="AI111" s="185">
        <f t="shared" si="1"/>
        <v>78</v>
      </c>
      <c r="AV111" s="206">
        <f>Engagements!A84</f>
        <v>79</v>
      </c>
      <c r="AW111" s="206" t="str">
        <f>Engagements!B84</f>
        <v/>
      </c>
      <c r="AX111" s="206">
        <f>'Fiches Qualif'!AV111</f>
        <v>79</v>
      </c>
      <c r="AY111" s="212" t="str">
        <f>Engagements!C84</f>
        <v/>
      </c>
      <c r="AZ111" s="206">
        <f>'Fiches Qualif'!AV111</f>
        <v>79</v>
      </c>
      <c r="BA111" s="206" t="str">
        <f>Engagements!D84</f>
        <v/>
      </c>
      <c r="BB111" s="206">
        <f>'Fiches Qualif'!AV111</f>
        <v>79</v>
      </c>
      <c r="BC111" s="206" t="str">
        <f>Engagements!E84</f>
        <v/>
      </c>
      <c r="BD111" s="206">
        <f>'Fiches Qualif'!AV111</f>
        <v>79</v>
      </c>
      <c r="BE111" s="206" t="str">
        <f>Engagements!F84</f>
        <v/>
      </c>
      <c r="BF111" s="202">
        <f>'Fiches Qualif'!AV111</f>
        <v>79</v>
      </c>
      <c r="BG111" s="207" t="str">
        <f>Engagements!G84</f>
        <v/>
      </c>
      <c r="BH111" s="202">
        <f>'Fiches Qualif'!AV111</f>
        <v>79</v>
      </c>
      <c r="BI111" s="213" t="str">
        <f>Engagements!H84</f>
        <v/>
      </c>
      <c r="BJ111" s="202">
        <f>'Fiches Qualif'!AV111</f>
        <v>79</v>
      </c>
      <c r="BK111" s="202" t="str">
        <f>Engagements!I84</f>
        <v/>
      </c>
      <c r="BL111" s="202">
        <f>'Fiches Qualif'!AV111</f>
        <v>79</v>
      </c>
      <c r="BM111" s="202" t="str">
        <f>Engagements!J84</f>
        <v/>
      </c>
    </row>
    <row r="112" spans="35:65" x14ac:dyDescent="0.2">
      <c r="AI112" s="185">
        <f t="shared" si="1"/>
        <v>79</v>
      </c>
      <c r="AV112" s="206">
        <f>Engagements!A85</f>
        <v>80</v>
      </c>
      <c r="AW112" s="206" t="str">
        <f>Engagements!B85</f>
        <v/>
      </c>
      <c r="AX112" s="206">
        <f>'Fiches Qualif'!AV112</f>
        <v>80</v>
      </c>
      <c r="AY112" s="212" t="str">
        <f>Engagements!C85</f>
        <v/>
      </c>
      <c r="AZ112" s="206">
        <f>'Fiches Qualif'!AV112</f>
        <v>80</v>
      </c>
      <c r="BA112" s="206" t="str">
        <f>Engagements!D85</f>
        <v/>
      </c>
      <c r="BB112" s="206">
        <f>'Fiches Qualif'!AV112</f>
        <v>80</v>
      </c>
      <c r="BC112" s="206" t="str">
        <f>Engagements!E85</f>
        <v/>
      </c>
      <c r="BD112" s="206">
        <f>'Fiches Qualif'!AV112</f>
        <v>80</v>
      </c>
      <c r="BE112" s="206" t="str">
        <f>Engagements!F85</f>
        <v/>
      </c>
      <c r="BF112" s="202">
        <f>'Fiches Qualif'!AV112</f>
        <v>80</v>
      </c>
      <c r="BG112" s="207" t="str">
        <f>Engagements!G85</f>
        <v/>
      </c>
      <c r="BH112" s="202">
        <f>'Fiches Qualif'!AV112</f>
        <v>80</v>
      </c>
      <c r="BI112" s="213" t="str">
        <f>Engagements!H85</f>
        <v/>
      </c>
      <c r="BJ112" s="202">
        <f>'Fiches Qualif'!AV112</f>
        <v>80</v>
      </c>
      <c r="BK112" s="202" t="str">
        <f>Engagements!I85</f>
        <v/>
      </c>
      <c r="BL112" s="202">
        <f>'Fiches Qualif'!AV112</f>
        <v>80</v>
      </c>
      <c r="BM112" s="202" t="str">
        <f>Engagements!J85</f>
        <v/>
      </c>
    </row>
    <row r="113" spans="35:65" x14ac:dyDescent="0.2">
      <c r="AI113" s="185">
        <f t="shared" si="1"/>
        <v>80</v>
      </c>
      <c r="AV113" s="206">
        <f>Engagements!A86</f>
        <v>81</v>
      </c>
      <c r="AW113" s="206" t="str">
        <f>Engagements!B86</f>
        <v/>
      </c>
      <c r="AX113" s="206">
        <f>'Fiches Qualif'!AV113</f>
        <v>81</v>
      </c>
      <c r="AY113" s="212" t="str">
        <f>Engagements!C86</f>
        <v/>
      </c>
      <c r="AZ113" s="206">
        <f>'Fiches Qualif'!AV113</f>
        <v>81</v>
      </c>
      <c r="BA113" s="206" t="str">
        <f>Engagements!D86</f>
        <v/>
      </c>
      <c r="BB113" s="206">
        <f>'Fiches Qualif'!AV113</f>
        <v>81</v>
      </c>
      <c r="BC113" s="206" t="str">
        <f>Engagements!E86</f>
        <v/>
      </c>
      <c r="BD113" s="206">
        <f>'Fiches Qualif'!AV113</f>
        <v>81</v>
      </c>
      <c r="BE113" s="206" t="str">
        <f>Engagements!F86</f>
        <v/>
      </c>
      <c r="BF113" s="202">
        <f>'Fiches Qualif'!AV113</f>
        <v>81</v>
      </c>
      <c r="BG113" s="207" t="str">
        <f>Engagements!G86</f>
        <v/>
      </c>
      <c r="BH113" s="202">
        <f>'Fiches Qualif'!AV113</f>
        <v>81</v>
      </c>
      <c r="BI113" s="213" t="str">
        <f>Engagements!H86</f>
        <v/>
      </c>
      <c r="BJ113" s="202">
        <f>'Fiches Qualif'!AV113</f>
        <v>81</v>
      </c>
      <c r="BK113" s="202" t="str">
        <f>Engagements!I86</f>
        <v/>
      </c>
      <c r="BL113" s="202">
        <f>'Fiches Qualif'!AV113</f>
        <v>81</v>
      </c>
      <c r="BM113" s="202" t="str">
        <f>Engagements!J86</f>
        <v/>
      </c>
    </row>
    <row r="114" spans="35:65" x14ac:dyDescent="0.2">
      <c r="AI114" s="185">
        <f t="shared" si="1"/>
        <v>81</v>
      </c>
      <c r="AV114" s="206">
        <f>Engagements!A87</f>
        <v>82</v>
      </c>
      <c r="AW114" s="206" t="str">
        <f>Engagements!B87</f>
        <v/>
      </c>
      <c r="AX114" s="206">
        <f>'Fiches Qualif'!AV114</f>
        <v>82</v>
      </c>
      <c r="AY114" s="212" t="str">
        <f>Engagements!C87</f>
        <v/>
      </c>
      <c r="AZ114" s="206">
        <f>'Fiches Qualif'!AV114</f>
        <v>82</v>
      </c>
      <c r="BA114" s="206" t="str">
        <f>Engagements!D87</f>
        <v/>
      </c>
      <c r="BB114" s="206">
        <f>'Fiches Qualif'!AV114</f>
        <v>82</v>
      </c>
      <c r="BC114" s="206" t="str">
        <f>Engagements!E87</f>
        <v/>
      </c>
      <c r="BD114" s="206">
        <f>'Fiches Qualif'!AV114</f>
        <v>82</v>
      </c>
      <c r="BE114" s="206" t="str">
        <f>Engagements!F87</f>
        <v/>
      </c>
      <c r="BF114" s="202">
        <f>'Fiches Qualif'!AV114</f>
        <v>82</v>
      </c>
      <c r="BG114" s="207" t="str">
        <f>Engagements!G87</f>
        <v/>
      </c>
      <c r="BH114" s="202">
        <f>'Fiches Qualif'!AV114</f>
        <v>82</v>
      </c>
      <c r="BI114" s="213" t="str">
        <f>Engagements!H87</f>
        <v/>
      </c>
      <c r="BJ114" s="202">
        <f>'Fiches Qualif'!AV114</f>
        <v>82</v>
      </c>
      <c r="BK114" s="202" t="str">
        <f>Engagements!I87</f>
        <v/>
      </c>
      <c r="BL114" s="202">
        <f>'Fiches Qualif'!AV114</f>
        <v>82</v>
      </c>
      <c r="BM114" s="202" t="str">
        <f>Engagements!J87</f>
        <v/>
      </c>
    </row>
    <row r="115" spans="35:65" x14ac:dyDescent="0.2">
      <c r="AI115" s="185">
        <f t="shared" si="1"/>
        <v>82</v>
      </c>
      <c r="AV115" s="206">
        <f>Engagements!A88</f>
        <v>83</v>
      </c>
      <c r="AW115" s="206" t="str">
        <f>Engagements!B88</f>
        <v/>
      </c>
      <c r="AX115" s="206">
        <f>'Fiches Qualif'!AV115</f>
        <v>83</v>
      </c>
      <c r="AY115" s="212" t="str">
        <f>Engagements!C88</f>
        <v/>
      </c>
      <c r="AZ115" s="206">
        <f>'Fiches Qualif'!AV115</f>
        <v>83</v>
      </c>
      <c r="BA115" s="206" t="str">
        <f>Engagements!D88</f>
        <v/>
      </c>
      <c r="BB115" s="206">
        <f>'Fiches Qualif'!AV115</f>
        <v>83</v>
      </c>
      <c r="BC115" s="206" t="str">
        <f>Engagements!E88</f>
        <v/>
      </c>
      <c r="BD115" s="206">
        <f>'Fiches Qualif'!AV115</f>
        <v>83</v>
      </c>
      <c r="BE115" s="206" t="str">
        <f>Engagements!F88</f>
        <v/>
      </c>
      <c r="BF115" s="202">
        <f>'Fiches Qualif'!AV115</f>
        <v>83</v>
      </c>
      <c r="BG115" s="207" t="str">
        <f>Engagements!G88</f>
        <v/>
      </c>
      <c r="BH115" s="202">
        <f>'Fiches Qualif'!AV115</f>
        <v>83</v>
      </c>
      <c r="BI115" s="213" t="str">
        <f>Engagements!H88</f>
        <v/>
      </c>
      <c r="BJ115" s="202">
        <f>'Fiches Qualif'!AV115</f>
        <v>83</v>
      </c>
      <c r="BK115" s="202" t="str">
        <f>Engagements!I88</f>
        <v/>
      </c>
      <c r="BL115" s="202">
        <f>'Fiches Qualif'!AV115</f>
        <v>83</v>
      </c>
      <c r="BM115" s="202" t="str">
        <f>Engagements!J88</f>
        <v/>
      </c>
    </row>
    <row r="116" spans="35:65" x14ac:dyDescent="0.2">
      <c r="AI116" s="185">
        <f t="shared" si="1"/>
        <v>83</v>
      </c>
      <c r="AV116" s="206">
        <f>Engagements!A89</f>
        <v>84</v>
      </c>
      <c r="AW116" s="206" t="str">
        <f>Engagements!B89</f>
        <v/>
      </c>
      <c r="AX116" s="206">
        <f>'Fiches Qualif'!AV116</f>
        <v>84</v>
      </c>
      <c r="AY116" s="212" t="str">
        <f>Engagements!C89</f>
        <v/>
      </c>
      <c r="AZ116" s="206">
        <f>'Fiches Qualif'!AV116</f>
        <v>84</v>
      </c>
      <c r="BA116" s="206" t="str">
        <f>Engagements!D89</f>
        <v/>
      </c>
      <c r="BB116" s="206">
        <f>'Fiches Qualif'!AV116</f>
        <v>84</v>
      </c>
      <c r="BC116" s="206" t="str">
        <f>Engagements!E89</f>
        <v/>
      </c>
      <c r="BD116" s="206">
        <f>'Fiches Qualif'!AV116</f>
        <v>84</v>
      </c>
      <c r="BE116" s="206" t="str">
        <f>Engagements!F89</f>
        <v/>
      </c>
      <c r="BF116" s="202">
        <f>'Fiches Qualif'!AV116</f>
        <v>84</v>
      </c>
      <c r="BG116" s="207" t="str">
        <f>Engagements!G89</f>
        <v/>
      </c>
      <c r="BH116" s="202">
        <f>'Fiches Qualif'!AV116</f>
        <v>84</v>
      </c>
      <c r="BI116" s="213" t="str">
        <f>Engagements!H89</f>
        <v/>
      </c>
      <c r="BJ116" s="202">
        <f>'Fiches Qualif'!AV116</f>
        <v>84</v>
      </c>
      <c r="BK116" s="202" t="str">
        <f>Engagements!I89</f>
        <v/>
      </c>
      <c r="BL116" s="202">
        <f>'Fiches Qualif'!AV116</f>
        <v>84</v>
      </c>
      <c r="BM116" s="202" t="str">
        <f>Engagements!J89</f>
        <v/>
      </c>
    </row>
    <row r="117" spans="35:65" x14ac:dyDescent="0.2">
      <c r="AI117" s="185">
        <f t="shared" si="1"/>
        <v>84</v>
      </c>
      <c r="AV117" s="206">
        <f>Engagements!A90</f>
        <v>85</v>
      </c>
      <c r="AW117" s="206" t="str">
        <f>Engagements!B90</f>
        <v/>
      </c>
      <c r="AX117" s="206">
        <f>'Fiches Qualif'!AV117</f>
        <v>85</v>
      </c>
      <c r="AY117" s="212" t="str">
        <f>Engagements!C90</f>
        <v/>
      </c>
      <c r="AZ117" s="206">
        <f>'Fiches Qualif'!AV117</f>
        <v>85</v>
      </c>
      <c r="BA117" s="206" t="str">
        <f>Engagements!D90</f>
        <v/>
      </c>
      <c r="BB117" s="206">
        <f>'Fiches Qualif'!AV117</f>
        <v>85</v>
      </c>
      <c r="BC117" s="206" t="str">
        <f>Engagements!E90</f>
        <v/>
      </c>
      <c r="BD117" s="206">
        <f>'Fiches Qualif'!AV117</f>
        <v>85</v>
      </c>
      <c r="BE117" s="206" t="str">
        <f>Engagements!F90</f>
        <v/>
      </c>
      <c r="BF117" s="202">
        <f>'Fiches Qualif'!AV117</f>
        <v>85</v>
      </c>
      <c r="BG117" s="207" t="str">
        <f>Engagements!G90</f>
        <v/>
      </c>
      <c r="BH117" s="202">
        <f>'Fiches Qualif'!AV117</f>
        <v>85</v>
      </c>
      <c r="BI117" s="213" t="str">
        <f>Engagements!H90</f>
        <v/>
      </c>
      <c r="BJ117" s="202">
        <f>'Fiches Qualif'!AV117</f>
        <v>85</v>
      </c>
      <c r="BK117" s="202" t="str">
        <f>Engagements!I90</f>
        <v/>
      </c>
      <c r="BL117" s="202">
        <f>'Fiches Qualif'!AV117</f>
        <v>85</v>
      </c>
      <c r="BM117" s="202" t="str">
        <f>Engagements!J90</f>
        <v/>
      </c>
    </row>
    <row r="118" spans="35:65" x14ac:dyDescent="0.2">
      <c r="AI118" s="185">
        <f t="shared" si="1"/>
        <v>85</v>
      </c>
      <c r="AV118" s="206">
        <f>Engagements!A91</f>
        <v>86</v>
      </c>
      <c r="AW118" s="206" t="str">
        <f>Engagements!B91</f>
        <v/>
      </c>
      <c r="AX118" s="206">
        <f>'Fiches Qualif'!AV118</f>
        <v>86</v>
      </c>
      <c r="AY118" s="212" t="str">
        <f>Engagements!C91</f>
        <v/>
      </c>
      <c r="AZ118" s="206">
        <f>'Fiches Qualif'!AV118</f>
        <v>86</v>
      </c>
      <c r="BA118" s="206" t="str">
        <f>Engagements!D91</f>
        <v/>
      </c>
      <c r="BB118" s="206">
        <f>'Fiches Qualif'!AV118</f>
        <v>86</v>
      </c>
      <c r="BC118" s="206" t="str">
        <f>Engagements!E91</f>
        <v/>
      </c>
      <c r="BD118" s="206">
        <f>'Fiches Qualif'!AV118</f>
        <v>86</v>
      </c>
      <c r="BE118" s="206" t="str">
        <f>Engagements!F91</f>
        <v/>
      </c>
      <c r="BF118" s="202">
        <f>'Fiches Qualif'!AV118</f>
        <v>86</v>
      </c>
      <c r="BG118" s="207" t="str">
        <f>Engagements!G91</f>
        <v/>
      </c>
      <c r="BH118" s="202">
        <f>'Fiches Qualif'!AV118</f>
        <v>86</v>
      </c>
      <c r="BI118" s="213" t="str">
        <f>Engagements!H91</f>
        <v/>
      </c>
      <c r="BJ118" s="202">
        <f>'Fiches Qualif'!AV118</f>
        <v>86</v>
      </c>
      <c r="BK118" s="202" t="str">
        <f>Engagements!I91</f>
        <v/>
      </c>
      <c r="BL118" s="202">
        <f>'Fiches Qualif'!AV118</f>
        <v>86</v>
      </c>
      <c r="BM118" s="202" t="str">
        <f>Engagements!J91</f>
        <v/>
      </c>
    </row>
    <row r="119" spans="35:65" x14ac:dyDescent="0.2">
      <c r="AI119" s="185">
        <f t="shared" si="1"/>
        <v>86</v>
      </c>
      <c r="AV119" s="206">
        <f>Engagements!A92</f>
        <v>87</v>
      </c>
      <c r="AW119" s="206" t="str">
        <f>Engagements!B92</f>
        <v/>
      </c>
      <c r="AX119" s="206">
        <f>'Fiches Qualif'!AV119</f>
        <v>87</v>
      </c>
      <c r="AY119" s="212" t="str">
        <f>Engagements!C92</f>
        <v/>
      </c>
      <c r="AZ119" s="206">
        <f>'Fiches Qualif'!AV119</f>
        <v>87</v>
      </c>
      <c r="BA119" s="206" t="str">
        <f>Engagements!D92</f>
        <v/>
      </c>
      <c r="BB119" s="206">
        <f>'Fiches Qualif'!AV119</f>
        <v>87</v>
      </c>
      <c r="BC119" s="206" t="str">
        <f>Engagements!E92</f>
        <v/>
      </c>
      <c r="BD119" s="206">
        <f>'Fiches Qualif'!AV119</f>
        <v>87</v>
      </c>
      <c r="BE119" s="206" t="str">
        <f>Engagements!F92</f>
        <v/>
      </c>
      <c r="BF119" s="202">
        <f>'Fiches Qualif'!AV119</f>
        <v>87</v>
      </c>
      <c r="BG119" s="207" t="str">
        <f>Engagements!G92</f>
        <v/>
      </c>
      <c r="BH119" s="202">
        <f>'Fiches Qualif'!AV119</f>
        <v>87</v>
      </c>
      <c r="BI119" s="213" t="str">
        <f>Engagements!H92</f>
        <v/>
      </c>
      <c r="BJ119" s="202">
        <f>'Fiches Qualif'!AV119</f>
        <v>87</v>
      </c>
      <c r="BK119" s="202" t="str">
        <f>Engagements!I92</f>
        <v/>
      </c>
      <c r="BL119" s="202">
        <f>'Fiches Qualif'!AV119</f>
        <v>87</v>
      </c>
      <c r="BM119" s="202" t="str">
        <f>Engagements!J92</f>
        <v/>
      </c>
    </row>
    <row r="120" spans="35:65" x14ac:dyDescent="0.2">
      <c r="AI120" s="185">
        <f t="shared" si="1"/>
        <v>87</v>
      </c>
      <c r="AV120" s="206">
        <f>Engagements!A93</f>
        <v>88</v>
      </c>
      <c r="AW120" s="206" t="str">
        <f>Engagements!B93</f>
        <v/>
      </c>
      <c r="AX120" s="206">
        <f>'Fiches Qualif'!AV120</f>
        <v>88</v>
      </c>
      <c r="AY120" s="212" t="str">
        <f>Engagements!C93</f>
        <v/>
      </c>
      <c r="AZ120" s="206">
        <f>'Fiches Qualif'!AV120</f>
        <v>88</v>
      </c>
      <c r="BA120" s="206" t="str">
        <f>Engagements!D93</f>
        <v/>
      </c>
      <c r="BB120" s="206">
        <f>'Fiches Qualif'!AV120</f>
        <v>88</v>
      </c>
      <c r="BC120" s="206" t="str">
        <f>Engagements!E93</f>
        <v/>
      </c>
      <c r="BD120" s="206">
        <f>'Fiches Qualif'!AV120</f>
        <v>88</v>
      </c>
      <c r="BE120" s="206" t="str">
        <f>Engagements!F93</f>
        <v/>
      </c>
      <c r="BF120" s="202">
        <f>'Fiches Qualif'!AV120</f>
        <v>88</v>
      </c>
      <c r="BG120" s="207" t="str">
        <f>Engagements!G93</f>
        <v/>
      </c>
      <c r="BH120" s="202">
        <f>'Fiches Qualif'!AV120</f>
        <v>88</v>
      </c>
      <c r="BI120" s="213" t="str">
        <f>Engagements!H93</f>
        <v/>
      </c>
      <c r="BJ120" s="202">
        <f>'Fiches Qualif'!AV120</f>
        <v>88</v>
      </c>
      <c r="BK120" s="202" t="str">
        <f>Engagements!I93</f>
        <v/>
      </c>
      <c r="BL120" s="202">
        <f>'Fiches Qualif'!AV120</f>
        <v>88</v>
      </c>
      <c r="BM120" s="202" t="str">
        <f>Engagements!J93</f>
        <v/>
      </c>
    </row>
  </sheetData>
  <mergeCells count="88">
    <mergeCell ref="AD4:AM4"/>
    <mergeCell ref="A7:K7"/>
    <mergeCell ref="O7:V7"/>
    <mergeCell ref="Y7:AI7"/>
    <mergeCell ref="G5:P5"/>
    <mergeCell ref="G4:P4"/>
    <mergeCell ref="AD5:AM5"/>
    <mergeCell ref="A1:V1"/>
    <mergeCell ref="X1:AS1"/>
    <mergeCell ref="A2:V2"/>
    <mergeCell ref="X2:AS2"/>
    <mergeCell ref="Y13:AC13"/>
    <mergeCell ref="AM7:AT7"/>
    <mergeCell ref="R11:V11"/>
    <mergeCell ref="AM8:AT8"/>
    <mergeCell ref="Y11:AG11"/>
    <mergeCell ref="AI11:AN11"/>
    <mergeCell ref="AP11:AT11"/>
    <mergeCell ref="Y10:AG10"/>
    <mergeCell ref="R10:V10"/>
    <mergeCell ref="AP10:AT10"/>
    <mergeCell ref="A8:L8"/>
    <mergeCell ref="O8:V8"/>
    <mergeCell ref="A11:I11"/>
    <mergeCell ref="AI10:AN10"/>
    <mergeCell ref="K10:P10"/>
    <mergeCell ref="Y8:AJ8"/>
    <mergeCell ref="K11:P11"/>
    <mergeCell ref="A10:I10"/>
    <mergeCell ref="A13:E13"/>
    <mergeCell ref="G13:J13"/>
    <mergeCell ref="L14:N14"/>
    <mergeCell ref="T13:V13"/>
    <mergeCell ref="G14:J14"/>
    <mergeCell ref="L13:N13"/>
    <mergeCell ref="P13:R13"/>
    <mergeCell ref="AQ17:AT17"/>
    <mergeCell ref="D16:M16"/>
    <mergeCell ref="O16:Q16"/>
    <mergeCell ref="AB16:AK16"/>
    <mergeCell ref="AM16:AO16"/>
    <mergeCell ref="Y17:Z17"/>
    <mergeCell ref="S17:V17"/>
    <mergeCell ref="A21:B21"/>
    <mergeCell ref="A20:B20"/>
    <mergeCell ref="Y21:Z21"/>
    <mergeCell ref="Y14:AC14"/>
    <mergeCell ref="Y20:Z20"/>
    <mergeCell ref="A14:E14"/>
    <mergeCell ref="P14:R14"/>
    <mergeCell ref="T14:V14"/>
    <mergeCell ref="Y18:Z18"/>
    <mergeCell ref="A19:B19"/>
    <mergeCell ref="Y19:Z19"/>
    <mergeCell ref="A18:B18"/>
    <mergeCell ref="A17:B17"/>
    <mergeCell ref="H30:P30"/>
    <mergeCell ref="Q30:V30"/>
    <mergeCell ref="BH32:BI32"/>
    <mergeCell ref="A22:B22"/>
    <mergeCell ref="AV32:AW32"/>
    <mergeCell ref="AX32:AY32"/>
    <mergeCell ref="AZ32:BA32"/>
    <mergeCell ref="BB32:BC32"/>
    <mergeCell ref="Y22:Z22"/>
    <mergeCell ref="A27:F27"/>
    <mergeCell ref="Y27:AD27"/>
    <mergeCell ref="H27:V27"/>
    <mergeCell ref="AF27:AT27"/>
    <mergeCell ref="A26:F26"/>
    <mergeCell ref="H26:V26"/>
    <mergeCell ref="Y26:AD26"/>
    <mergeCell ref="BL32:BM32"/>
    <mergeCell ref="AE13:AH13"/>
    <mergeCell ref="AJ13:AL13"/>
    <mergeCell ref="AN13:AP13"/>
    <mergeCell ref="AR13:AT13"/>
    <mergeCell ref="AE14:AH14"/>
    <mergeCell ref="AN14:AP14"/>
    <mergeCell ref="AR14:AT14"/>
    <mergeCell ref="AJ14:AL14"/>
    <mergeCell ref="BD32:BE32"/>
    <mergeCell ref="BF32:BG32"/>
    <mergeCell ref="BJ32:BK32"/>
    <mergeCell ref="AX18:AX19"/>
    <mergeCell ref="AF26:AT26"/>
    <mergeCell ref="AF30:AN30"/>
    <mergeCell ref="AO30:AT30"/>
  </mergeCells>
  <phoneticPr fontId="34" type="noConversion"/>
  <dataValidations count="3">
    <dataValidation type="list" allowBlank="1" showInputMessage="1" showErrorMessage="1" sqref="AX18:AX19" xr:uid="{00000000-0002-0000-0600-000000000000}">
      <formula1>$AV$33:$AV$120</formula1>
    </dataValidation>
    <dataValidation type="list" allowBlank="1" showInputMessage="1" showErrorMessage="1" sqref="AW22 AY22" xr:uid="{00000000-0002-0000-0600-000001000000}">
      <formula1>$AI$34:$AI$73</formula1>
    </dataValidation>
    <dataValidation type="list" allowBlank="1" showInputMessage="1" showErrorMessage="1" sqref="AW25 AY25" xr:uid="{00000000-0002-0000-0600-000002000000}">
      <formula1>$AK$34:$AK$37</formula1>
    </dataValidation>
  </dataValidations>
  <pageMargins left="0.19685039370078741" right="0.27559055118110237" top="0.6692913385826772" bottom="0.19685039370078741" header="0.31496062992125984" footer="0.11811023622047245"/>
  <pageSetup paperSize="9" scale="9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3" r:id="rId4" name="Button 3">
              <controlPr defaultSize="0" print="0" autoFill="0" autoPict="0" macro="[0]!fiche_de_gauche_QuandClic">
                <anchor moveWithCells="1" sizeWithCells="1">
                  <from>
                    <xdr:col>44</xdr:col>
                    <xdr:colOff>238125</xdr:colOff>
                    <xdr:row>11</xdr:row>
                    <xdr:rowOff>9525</xdr:rowOff>
                  </from>
                  <to>
                    <xdr:col>48</xdr:col>
                    <xdr:colOff>1666875</xdr:colOff>
                    <xdr:row>13</xdr:row>
                    <xdr:rowOff>47625</xdr:rowOff>
                  </to>
                </anchor>
              </controlPr>
            </control>
          </mc:Choice>
        </mc:AlternateContent>
        <mc:AlternateContent xmlns:mc="http://schemas.openxmlformats.org/markup-compatibility/2006">
          <mc:Choice Requires="x14">
            <control shapeId="20484" r:id="rId5" name="Button 4">
              <controlPr defaultSize="0" print="0" autoFill="0" autoPict="0" macro="[0]!fiche_de_droite_QuandClic">
                <anchor moveWithCells="1" sizeWithCells="1">
                  <from>
                    <xdr:col>48</xdr:col>
                    <xdr:colOff>2009775</xdr:colOff>
                    <xdr:row>11</xdr:row>
                    <xdr:rowOff>9525</xdr:rowOff>
                  </from>
                  <to>
                    <xdr:col>50</xdr:col>
                    <xdr:colOff>533400</xdr:colOff>
                    <xdr:row>13</xdr:row>
                    <xdr:rowOff>47625</xdr:rowOff>
                  </to>
                </anchor>
              </controlPr>
            </control>
          </mc:Choice>
        </mc:AlternateContent>
        <mc:AlternateContent xmlns:mc="http://schemas.openxmlformats.org/markup-compatibility/2006">
          <mc:Choice Requires="x14">
            <control shapeId="20505" r:id="rId6" name="Button 25">
              <controlPr defaultSize="0" print="0" autoFill="0" autoPict="0" macro="[0]!Imprime_DUEL">
                <anchor moveWithCells="1" sizeWithCells="1">
                  <from>
                    <xdr:col>44</xdr:col>
                    <xdr:colOff>247650</xdr:colOff>
                    <xdr:row>13</xdr:row>
                    <xdr:rowOff>238125</xdr:rowOff>
                  </from>
                  <to>
                    <xdr:col>48</xdr:col>
                    <xdr:colOff>1200150</xdr:colOff>
                    <xdr:row>16</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2">
    <tabColor indexed="52"/>
    <pageSetUpPr fitToPage="1"/>
  </sheetPr>
  <dimension ref="A2:Y102"/>
  <sheetViews>
    <sheetView topLeftCell="C1" zoomScale="110" zoomScaleNormal="110" workbookViewId="0">
      <pane ySplit="6" topLeftCell="A7" activePane="bottomLeft" state="frozenSplit"/>
      <selection pane="bottomLeft" activeCell="S9" sqref="S9:W32"/>
    </sheetView>
  </sheetViews>
  <sheetFormatPr baseColWidth="10" defaultRowHeight="12.75" x14ac:dyDescent="0.2"/>
  <cols>
    <col min="1" max="1" width="3.42578125" bestFit="1" customWidth="1"/>
    <col min="2" max="2" width="30.42578125" bestFit="1" customWidth="1"/>
    <col min="3" max="3" width="21" bestFit="1" customWidth="1"/>
    <col min="4" max="4" width="19.5703125" bestFit="1" customWidth="1"/>
    <col min="5" max="5" width="20.7109375" customWidth="1"/>
    <col min="6" max="6" width="14.28515625" customWidth="1"/>
    <col min="7" max="12" width="4.140625" style="3" customWidth="1"/>
    <col min="13" max="13" width="7.7109375" style="3" customWidth="1"/>
    <col min="14" max="14" width="9.140625" style="3" customWidth="1"/>
    <col min="15" max="15" width="3.5703125" hidden="1" customWidth="1"/>
    <col min="16" max="16" width="8.140625" customWidth="1"/>
    <col min="17" max="17" width="4.140625" customWidth="1"/>
    <col min="18" max="18" width="3.42578125" bestFit="1" customWidth="1"/>
    <col min="19" max="19" width="27" customWidth="1"/>
    <col min="20" max="20" width="19.85546875" customWidth="1"/>
    <col min="21" max="21" width="18.7109375" customWidth="1"/>
    <col min="22" max="22" width="7.85546875" customWidth="1"/>
    <col min="23" max="23" width="8" bestFit="1" customWidth="1"/>
    <col min="24" max="24" width="9.28515625" bestFit="1" customWidth="1"/>
    <col min="25" max="25" width="8.140625" style="3" bestFit="1" customWidth="1"/>
  </cols>
  <sheetData>
    <row r="2" spans="1:25" s="40" customFormat="1" ht="17.25" customHeight="1" x14ac:dyDescent="0.2">
      <c r="B2" s="1031" t="s">
        <v>503</v>
      </c>
      <c r="C2" s="1031"/>
      <c r="D2" s="1031"/>
      <c r="E2" s="299" t="s">
        <v>28</v>
      </c>
      <c r="F2" s="59" t="str">
        <f>Niveau</f>
        <v>de France de Tir à l'ARC</v>
      </c>
      <c r="G2" s="44"/>
      <c r="H2" s="44"/>
      <c r="I2" s="44"/>
      <c r="J2" s="44"/>
      <c r="K2" s="44"/>
      <c r="L2" s="44"/>
      <c r="M2" s="44"/>
      <c r="N2" s="1032" t="s">
        <v>922</v>
      </c>
      <c r="S2" s="1029" t="s">
        <v>9</v>
      </c>
      <c r="T2" s="1029"/>
      <c r="U2" s="1029"/>
      <c r="V2" s="1029"/>
      <c r="W2" s="1029"/>
      <c r="Y2" s="44"/>
    </row>
    <row r="3" spans="1:25" s="40" customFormat="1" ht="15.75" customHeight="1" x14ac:dyDescent="0.2">
      <c r="B3" s="1025" t="str">
        <f>CATEG</f>
        <v>Collèges Mixtes Etablissement</v>
      </c>
      <c r="C3" s="1025"/>
      <c r="D3" s="1025"/>
      <c r="E3" s="48" t="s">
        <v>44</v>
      </c>
      <c r="F3" s="59" t="str">
        <f>LIEU</f>
        <v>L’Isle sur la Sorgue</v>
      </c>
      <c r="G3" s="44"/>
      <c r="H3" s="44"/>
      <c r="I3" s="44"/>
      <c r="J3" s="44"/>
      <c r="K3" s="44"/>
      <c r="L3" s="44"/>
      <c r="M3" s="44"/>
      <c r="N3" s="1032"/>
      <c r="Q3" s="1041" t="s">
        <v>628</v>
      </c>
      <c r="S3" s="1028" t="s">
        <v>35</v>
      </c>
      <c r="T3" s="1028"/>
      <c r="U3" s="1028"/>
      <c r="V3" s="1028"/>
      <c r="W3" s="1028"/>
      <c r="Y3" s="44"/>
    </row>
    <row r="4" spans="1:25" s="40" customFormat="1" ht="14.25" customHeight="1" x14ac:dyDescent="0.2">
      <c r="B4" s="1025"/>
      <c r="C4" s="1025"/>
      <c r="D4" s="1025"/>
      <c r="E4" s="127"/>
      <c r="G4" s="1030" t="s">
        <v>509</v>
      </c>
      <c r="H4" s="1030"/>
      <c r="I4" s="1030"/>
      <c r="J4" s="1030"/>
      <c r="K4" s="1030"/>
      <c r="L4" s="1030"/>
      <c r="M4" s="47"/>
      <c r="N4" s="1032"/>
      <c r="Q4" s="1041"/>
      <c r="S4" s="1029" t="s">
        <v>43</v>
      </c>
      <c r="T4" s="1029"/>
      <c r="U4" s="1029"/>
      <c r="V4" s="1029"/>
      <c r="W4" s="1029"/>
      <c r="Y4" s="44"/>
    </row>
    <row r="5" spans="1:25" s="40" customFormat="1" ht="12.75" customHeight="1" x14ac:dyDescent="0.2">
      <c r="C5" s="127"/>
      <c r="D5" s="127"/>
      <c r="E5" s="127"/>
      <c r="F5" s="61"/>
      <c r="G5" s="60">
        <v>1</v>
      </c>
      <c r="H5" s="60">
        <v>2</v>
      </c>
      <c r="I5" s="60">
        <v>3</v>
      </c>
      <c r="J5" s="60">
        <v>4</v>
      </c>
      <c r="K5" s="60">
        <v>5</v>
      </c>
      <c r="L5" s="60">
        <v>6</v>
      </c>
      <c r="M5" s="600" t="s">
        <v>7</v>
      </c>
      <c r="N5" s="60"/>
      <c r="O5" s="44"/>
      <c r="P5" s="1036" t="s">
        <v>923</v>
      </c>
      <c r="Q5" s="1041"/>
      <c r="Y5" s="44"/>
    </row>
    <row r="6" spans="1:25" s="40" customFormat="1" ht="22.5" customHeight="1" x14ac:dyDescent="0.2">
      <c r="B6" s="123" t="s">
        <v>0</v>
      </c>
      <c r="C6" s="123" t="s">
        <v>375</v>
      </c>
      <c r="D6" s="123" t="s">
        <v>374</v>
      </c>
      <c r="E6" s="123" t="s">
        <v>1</v>
      </c>
      <c r="F6" s="123" t="s">
        <v>2</v>
      </c>
      <c r="G6" s="124"/>
      <c r="H6" s="124"/>
      <c r="I6" s="124"/>
      <c r="J6" s="124"/>
      <c r="K6" s="124"/>
      <c r="L6" s="124"/>
      <c r="M6" s="600" t="s">
        <v>921</v>
      </c>
      <c r="N6" s="60"/>
      <c r="O6" s="44"/>
      <c r="P6" s="1037"/>
      <c r="Q6" s="1041"/>
      <c r="S6" s="1026" t="str">
        <f>CATEG_IMPORTEE</f>
        <v>Collèges Mixtes Etablissement</v>
      </c>
      <c r="T6" s="1026"/>
      <c r="U6" s="1026"/>
      <c r="V6" s="1026"/>
      <c r="W6" s="1026"/>
      <c r="Y6" s="44"/>
    </row>
    <row r="7" spans="1:25" s="40" customFormat="1" ht="11.45" customHeight="1" x14ac:dyDescent="0.2">
      <c r="A7" s="44">
        <v>1</v>
      </c>
      <c r="B7" s="98" t="str">
        <f>IF(ISBLANK(Engagements!B6),"",(Engagements!B6))</f>
        <v/>
      </c>
      <c r="C7" s="98" t="str">
        <f>IF(ISBLANK(Engagements!C6),"",(Engagements!C6))</f>
        <v/>
      </c>
      <c r="D7" s="98" t="str">
        <f>IF(ISBLANK(Engagements!D6),"",(Engagements!D6))</f>
        <v/>
      </c>
      <c r="E7" s="98" t="str">
        <f>IF(ISBLANK(Engagements!E6),"",(Engagements!E6))</f>
        <v/>
      </c>
      <c r="F7" s="98" t="str">
        <f>IF(ISBLANK(Engagements!F6),"",(Engagements!F6))</f>
        <v/>
      </c>
      <c r="G7" s="598"/>
      <c r="H7" s="599"/>
      <c r="I7" s="598"/>
      <c r="J7" s="599"/>
      <c r="K7" s="598"/>
      <c r="L7" s="599"/>
      <c r="M7" s="601" t="str">
        <f t="shared" ref="M7:M71" si="0">IF(G7="","",SUM(G7:L7))</f>
        <v/>
      </c>
      <c r="N7" s="1033">
        <v>852</v>
      </c>
      <c r="O7" s="62" t="e">
        <f>IF(ISBLANK(#REF!),"",RANK(#REF!,classementindividuel))</f>
        <v>#REF!</v>
      </c>
      <c r="P7" s="1039" t="str">
        <f>IF(G7="","",SUM(G7:L10))</f>
        <v/>
      </c>
      <c r="Q7" s="1038">
        <f>Num_Cible</f>
        <v>1</v>
      </c>
      <c r="S7" s="1027"/>
      <c r="T7" s="1027"/>
      <c r="U7" s="1027"/>
      <c r="V7" s="1027"/>
      <c r="W7" s="1027"/>
      <c r="Y7" s="44"/>
    </row>
    <row r="8" spans="1:25" s="40" customFormat="1" ht="11.45" customHeight="1" x14ac:dyDescent="0.2">
      <c r="A8" s="44">
        <v>2</v>
      </c>
      <c r="B8" s="98" t="str">
        <f>IF(ISBLANK(Engagements!B7),"",(Engagements!B7))</f>
        <v/>
      </c>
      <c r="C8" s="98" t="str">
        <f>IF(ISBLANK(Engagements!C7),"",(Engagements!C7))</f>
        <v/>
      </c>
      <c r="D8" s="98" t="str">
        <f>IF(ISBLANK(Engagements!D7),"",(Engagements!D7))</f>
        <v/>
      </c>
      <c r="E8" s="98" t="str">
        <f>IF(ISBLANK(Engagements!E7),"",(Engagements!E7))</f>
        <v/>
      </c>
      <c r="F8" s="98" t="str">
        <f>IF(ISBLANK(Engagements!F7),"",(Engagements!F7))</f>
        <v/>
      </c>
      <c r="G8" s="265"/>
      <c r="H8" s="266"/>
      <c r="I8" s="265"/>
      <c r="J8" s="266"/>
      <c r="K8" s="265"/>
      <c r="L8" s="266"/>
      <c r="M8" s="601" t="str">
        <f t="shared" si="0"/>
        <v/>
      </c>
      <c r="N8" s="1034"/>
      <c r="O8" s="62" t="e">
        <f>IF(ISBLANK(#REF!),"",RANK(#REF!,classementindividuel))</f>
        <v>#REF!</v>
      </c>
      <c r="P8" s="1039"/>
      <c r="Q8" s="1038"/>
      <c r="S8" s="63" t="s">
        <v>0</v>
      </c>
      <c r="T8" s="63" t="s">
        <v>375</v>
      </c>
      <c r="U8" s="63" t="s">
        <v>374</v>
      </c>
      <c r="V8" s="63" t="s">
        <v>8</v>
      </c>
      <c r="W8" s="63" t="s">
        <v>10</v>
      </c>
      <c r="X8" s="67" t="s">
        <v>389</v>
      </c>
      <c r="Y8" s="44" t="s">
        <v>390</v>
      </c>
    </row>
    <row r="9" spans="1:25" s="40" customFormat="1" ht="11.45" customHeight="1" x14ac:dyDescent="0.2">
      <c r="A9" s="44">
        <v>3</v>
      </c>
      <c r="B9" s="98" t="str">
        <f>IF(ISBLANK(Engagements!B8),"",(Engagements!B8))</f>
        <v/>
      </c>
      <c r="C9" s="98" t="str">
        <f>IF(ISBLANK(Engagements!C8),"",(Engagements!C8))</f>
        <v/>
      </c>
      <c r="D9" s="98" t="str">
        <f>IF(ISBLANK(Engagements!D8),"",(Engagements!D8))</f>
        <v/>
      </c>
      <c r="E9" s="98" t="str">
        <f>IF(ISBLANK(Engagements!E8),"",(Engagements!E8))</f>
        <v/>
      </c>
      <c r="F9" s="98" t="str">
        <f>IF(ISBLANK(Engagements!F8),"",(Engagements!F8))</f>
        <v/>
      </c>
      <c r="G9" s="598"/>
      <c r="H9" s="266"/>
      <c r="I9" s="265"/>
      <c r="J9" s="266"/>
      <c r="K9" s="265"/>
      <c r="L9" s="266"/>
      <c r="M9" s="601" t="str">
        <f t="shared" si="0"/>
        <v/>
      </c>
      <c r="N9" s="1034"/>
      <c r="O9" s="62" t="e">
        <f>IF(ISBLANK(#REF!),"",RANK(#REF!,classementindividuel))</f>
        <v>#REF!</v>
      </c>
      <c r="P9" s="1039"/>
      <c r="Q9" s="1038"/>
      <c r="R9" s="44">
        <v>1</v>
      </c>
      <c r="S9" s="69" t="str">
        <f t="shared" ref="S9:S32" ca="1" si="1">INDIRECT("B"&amp;$X9)</f>
        <v/>
      </c>
      <c r="T9" s="69" t="str">
        <f t="shared" ref="T9:T32" ca="1" si="2">INDIRECT("C"&amp;$X9)</f>
        <v/>
      </c>
      <c r="U9" s="69" t="str">
        <f t="shared" ref="U9:U32" ca="1" si="3">INDIRECT("D"&amp;$X9)</f>
        <v/>
      </c>
      <c r="V9" s="64">
        <f ca="1">IF(ISTEXT(INDIRECT("n"&amp;X9)),"",INDIRECT("n"&amp;X9))</f>
        <v>852</v>
      </c>
      <c r="W9" s="65">
        <f t="shared" ref="W9:W32" ca="1" si="4">IF(ISTEXT(V9),"",RANK(V9,classementequipeacad))</f>
        <v>1</v>
      </c>
      <c r="X9" s="3">
        <f t="shared" ref="X9:X30" si="5">(Nb_equipiers*(R9-1)) + 7</f>
        <v>7</v>
      </c>
      <c r="Y9" s="44">
        <f t="shared" ref="Y9:Y30" si="6">X9+(Nb_equipiers - 1)</f>
        <v>10</v>
      </c>
    </row>
    <row r="10" spans="1:25" s="40" customFormat="1" ht="11.45" customHeight="1" x14ac:dyDescent="0.2">
      <c r="A10" s="44">
        <v>4</v>
      </c>
      <c r="B10" s="98" t="str">
        <f>IF(ISBLANK(Engagements!B9),"",(Engagements!B9))</f>
        <v/>
      </c>
      <c r="C10" s="98" t="str">
        <f>IF(ISBLANK(Engagements!C9),"",(Engagements!C9))</f>
        <v/>
      </c>
      <c r="D10" s="98" t="str">
        <f>IF(ISBLANK(Engagements!D9),"",(Engagements!D9))</f>
        <v/>
      </c>
      <c r="E10" s="98" t="str">
        <f>IF(ISBLANK(Engagements!E9),"",(Engagements!E9))</f>
        <v/>
      </c>
      <c r="F10" s="98" t="str">
        <f>IF(ISBLANK(Engagements!F9),"",(Engagements!F9))</f>
        <v/>
      </c>
      <c r="G10" s="265"/>
      <c r="H10" s="266"/>
      <c r="I10" s="265"/>
      <c r="J10" s="266"/>
      <c r="K10" s="265"/>
      <c r="L10" s="266"/>
      <c r="M10" s="601" t="str">
        <f t="shared" si="0"/>
        <v/>
      </c>
      <c r="N10" s="1035"/>
      <c r="O10" s="62" t="e">
        <f>IF(ISBLANK(#REF!),"",RANK(#REF!,classementindividuel))</f>
        <v>#REF!</v>
      </c>
      <c r="P10" s="1039"/>
      <c r="Q10" s="1038"/>
      <c r="R10" s="44">
        <v>2</v>
      </c>
      <c r="S10" s="69" t="str">
        <f t="shared" ca="1" si="1"/>
        <v/>
      </c>
      <c r="T10" s="69" t="str">
        <f t="shared" ca="1" si="2"/>
        <v/>
      </c>
      <c r="U10" s="69" t="str">
        <f t="shared" ca="1" si="3"/>
        <v/>
      </c>
      <c r="V10" s="64">
        <f t="shared" ref="V10:V32" ca="1" si="7">IF(ISTEXT(INDIRECT("n"&amp;X10)),"",INDIRECT("n"&amp;X10))</f>
        <v>834</v>
      </c>
      <c r="W10" s="65">
        <f t="shared" ca="1" si="4"/>
        <v>2</v>
      </c>
      <c r="X10" s="3">
        <f t="shared" si="5"/>
        <v>11</v>
      </c>
      <c r="Y10" s="44">
        <f t="shared" si="6"/>
        <v>14</v>
      </c>
    </row>
    <row r="11" spans="1:25" s="40" customFormat="1" ht="11.45" customHeight="1" x14ac:dyDescent="0.2">
      <c r="A11" s="44">
        <v>5</v>
      </c>
      <c r="B11" s="98" t="str">
        <f>IF(ISBLANK(Engagements!B10),"",(Engagements!B10))</f>
        <v/>
      </c>
      <c r="C11" s="98" t="str">
        <f>IF(ISBLANK(Engagements!C10),"",(Engagements!C10))</f>
        <v/>
      </c>
      <c r="D11" s="98" t="str">
        <f>IF(ISBLANK(Engagements!D10),"",(Engagements!D10))</f>
        <v/>
      </c>
      <c r="E11" s="98" t="str">
        <f>IF(ISBLANK(Engagements!E10),"",(Engagements!E10))</f>
        <v/>
      </c>
      <c r="F11" s="98" t="str">
        <f>IF(ISBLANK(Engagements!F10),"",(Engagements!F10))</f>
        <v/>
      </c>
      <c r="G11" s="598"/>
      <c r="H11" s="266"/>
      <c r="I11" s="265"/>
      <c r="J11" s="266"/>
      <c r="K11" s="265"/>
      <c r="L11" s="266"/>
      <c r="M11" s="601" t="str">
        <f t="shared" si="0"/>
        <v/>
      </c>
      <c r="N11" s="1033">
        <v>834</v>
      </c>
      <c r="O11" s="62" t="e">
        <f>IF(ISBLANK(#REF!),"",RANK(#REF!,classementindividuel))</f>
        <v>#REF!</v>
      </c>
      <c r="P11" s="1040" t="str">
        <f>IF(G11="","",SUM(G11:L14))</f>
        <v/>
      </c>
      <c r="Q11" s="1038">
        <f>Q7+1</f>
        <v>2</v>
      </c>
      <c r="R11" s="44">
        <v>3</v>
      </c>
      <c r="S11" s="69" t="str">
        <f t="shared" ca="1" si="1"/>
        <v/>
      </c>
      <c r="T11" s="69" t="str">
        <f t="shared" ca="1" si="2"/>
        <v/>
      </c>
      <c r="U11" s="69" t="str">
        <f t="shared" ca="1" si="3"/>
        <v/>
      </c>
      <c r="V11" s="64">
        <f t="shared" ca="1" si="7"/>
        <v>750</v>
      </c>
      <c r="W11" s="65" t="e">
        <f t="shared" ca="1" si="4"/>
        <v>#N/A</v>
      </c>
      <c r="X11" s="3">
        <f t="shared" si="5"/>
        <v>15</v>
      </c>
      <c r="Y11" s="44">
        <f t="shared" si="6"/>
        <v>18</v>
      </c>
    </row>
    <row r="12" spans="1:25" s="40" customFormat="1" ht="11.45" customHeight="1" x14ac:dyDescent="0.2">
      <c r="A12" s="44">
        <v>6</v>
      </c>
      <c r="B12" s="98" t="str">
        <f>IF(ISBLANK(Engagements!B11),"",(Engagements!B11))</f>
        <v/>
      </c>
      <c r="C12" s="98" t="str">
        <f>IF(ISBLANK(Engagements!C11),"",(Engagements!C11))</f>
        <v/>
      </c>
      <c r="D12" s="98" t="str">
        <f>IF(ISBLANK(Engagements!D11),"",(Engagements!D11))</f>
        <v/>
      </c>
      <c r="E12" s="98" t="str">
        <f>IF(ISBLANK(Engagements!E11),"",(Engagements!E11))</f>
        <v/>
      </c>
      <c r="F12" s="98" t="str">
        <f>IF(ISBLANK(Engagements!F11),"",(Engagements!F11))</f>
        <v/>
      </c>
      <c r="G12" s="265"/>
      <c r="H12" s="266"/>
      <c r="I12" s="265"/>
      <c r="J12" s="266"/>
      <c r="K12" s="265"/>
      <c r="L12" s="266"/>
      <c r="M12" s="601" t="str">
        <f t="shared" si="0"/>
        <v/>
      </c>
      <c r="N12" s="1034"/>
      <c r="O12" s="62" t="e">
        <f>IF(ISBLANK(#REF!),"",RANK(#REF!,classementindividuel))</f>
        <v>#REF!</v>
      </c>
      <c r="P12" s="1040"/>
      <c r="Q12" s="1038"/>
      <c r="R12" s="44">
        <v>4</v>
      </c>
      <c r="S12" s="69" t="str">
        <f t="shared" ca="1" si="1"/>
        <v/>
      </c>
      <c r="T12" s="69" t="str">
        <f t="shared" ca="1" si="2"/>
        <v/>
      </c>
      <c r="U12" s="69" t="str">
        <f t="shared" ca="1" si="3"/>
        <v/>
      </c>
      <c r="V12" s="64">
        <f t="shared" ca="1" si="7"/>
        <v>1060</v>
      </c>
      <c r="W12" s="65" t="e">
        <f t="shared" ca="1" si="4"/>
        <v>#N/A</v>
      </c>
      <c r="X12" s="3">
        <f t="shared" si="5"/>
        <v>19</v>
      </c>
      <c r="Y12" s="44">
        <f t="shared" si="6"/>
        <v>22</v>
      </c>
    </row>
    <row r="13" spans="1:25" s="40" customFormat="1" ht="11.45" customHeight="1" x14ac:dyDescent="0.2">
      <c r="A13" s="44">
        <v>7</v>
      </c>
      <c r="B13" s="98" t="str">
        <f>IF(ISBLANK(Engagements!B12),"",(Engagements!B12))</f>
        <v/>
      </c>
      <c r="C13" s="98" t="str">
        <f>IF(ISBLANK(Engagements!C12),"",(Engagements!C12))</f>
        <v/>
      </c>
      <c r="D13" s="98" t="str">
        <f>IF(ISBLANK(Engagements!D12),"",(Engagements!D12))</f>
        <v/>
      </c>
      <c r="E13" s="98" t="str">
        <f>IF(ISBLANK(Engagements!E12),"",(Engagements!E12))</f>
        <v/>
      </c>
      <c r="F13" s="98" t="str">
        <f>IF(ISBLANK(Engagements!F12),"",(Engagements!F12))</f>
        <v/>
      </c>
      <c r="G13" s="598"/>
      <c r="H13" s="266"/>
      <c r="I13" s="265"/>
      <c r="J13" s="266"/>
      <c r="K13" s="265"/>
      <c r="L13" s="266"/>
      <c r="M13" s="601" t="str">
        <f t="shared" si="0"/>
        <v/>
      </c>
      <c r="N13" s="1034"/>
      <c r="O13" s="62" t="e">
        <f>IF(ISBLANK(#REF!),"",RANK(#REF!,classementindividuel))</f>
        <v>#REF!</v>
      </c>
      <c r="P13" s="1040"/>
      <c r="Q13" s="1038"/>
      <c r="R13" s="44">
        <v>5</v>
      </c>
      <c r="S13" s="69" t="str">
        <f t="shared" ca="1" si="1"/>
        <v/>
      </c>
      <c r="T13" s="69" t="str">
        <f t="shared" ca="1" si="2"/>
        <v/>
      </c>
      <c r="U13" s="69" t="str">
        <f t="shared" ca="1" si="3"/>
        <v/>
      </c>
      <c r="V13" s="64">
        <f t="shared" ca="1" si="7"/>
        <v>918</v>
      </c>
      <c r="W13" s="65" t="e">
        <f t="shared" ca="1" si="4"/>
        <v>#N/A</v>
      </c>
      <c r="X13" s="3">
        <f t="shared" si="5"/>
        <v>23</v>
      </c>
      <c r="Y13" s="44">
        <f t="shared" si="6"/>
        <v>26</v>
      </c>
    </row>
    <row r="14" spans="1:25" s="40" customFormat="1" ht="11.45" customHeight="1" x14ac:dyDescent="0.2">
      <c r="A14" s="44">
        <v>8</v>
      </c>
      <c r="B14" s="98" t="str">
        <f>IF(ISBLANK(Engagements!B13),"",(Engagements!B13))</f>
        <v/>
      </c>
      <c r="C14" s="98" t="str">
        <f>IF(ISBLANK(Engagements!C13),"",(Engagements!C13))</f>
        <v/>
      </c>
      <c r="D14" s="98" t="str">
        <f>IF(ISBLANK(Engagements!D13),"",(Engagements!D13))</f>
        <v/>
      </c>
      <c r="E14" s="98" t="str">
        <f>IF(ISBLANK(Engagements!E13),"",(Engagements!E13))</f>
        <v/>
      </c>
      <c r="F14" s="98" t="str">
        <f>IF(ISBLANK(Engagements!F13),"",(Engagements!F13))</f>
        <v/>
      </c>
      <c r="G14" s="265"/>
      <c r="H14" s="266"/>
      <c r="I14" s="265"/>
      <c r="J14" s="266"/>
      <c r="K14" s="265"/>
      <c r="L14" s="266"/>
      <c r="M14" s="601" t="str">
        <f t="shared" si="0"/>
        <v/>
      </c>
      <c r="N14" s="1035"/>
      <c r="O14" s="62" t="e">
        <f>IF(ISBLANK(#REF!),"",RANK(#REF!,classementindividuel))</f>
        <v>#REF!</v>
      </c>
      <c r="P14" s="1040"/>
      <c r="Q14" s="1038"/>
      <c r="R14" s="44">
        <v>6</v>
      </c>
      <c r="S14" s="69" t="str">
        <f t="shared" ca="1" si="1"/>
        <v/>
      </c>
      <c r="T14" s="69" t="str">
        <f t="shared" ca="1" si="2"/>
        <v/>
      </c>
      <c r="U14" s="69" t="str">
        <f t="shared" ca="1" si="3"/>
        <v/>
      </c>
      <c r="V14" s="64">
        <f t="shared" ca="1" si="7"/>
        <v>644</v>
      </c>
      <c r="W14" s="65" t="e">
        <f t="shared" ca="1" si="4"/>
        <v>#N/A</v>
      </c>
      <c r="X14" s="3">
        <f t="shared" si="5"/>
        <v>27</v>
      </c>
      <c r="Y14" s="44">
        <f t="shared" si="6"/>
        <v>30</v>
      </c>
    </row>
    <row r="15" spans="1:25" s="40" customFormat="1" ht="11.45" customHeight="1" x14ac:dyDescent="0.2">
      <c r="A15" s="44">
        <v>9</v>
      </c>
      <c r="B15" s="98" t="str">
        <f>IF(ISBLANK(Engagements!B14),"",(Engagements!B14))</f>
        <v/>
      </c>
      <c r="C15" s="98" t="str">
        <f>IF(ISBLANK(Engagements!C14),"",(Engagements!C14))</f>
        <v/>
      </c>
      <c r="D15" s="98" t="str">
        <f>IF(ISBLANK(Engagements!D14),"",(Engagements!D14))</f>
        <v/>
      </c>
      <c r="E15" s="98" t="str">
        <f>IF(ISBLANK(Engagements!E14),"",(Engagements!E14))</f>
        <v/>
      </c>
      <c r="F15" s="98" t="str">
        <f>IF(ISBLANK(Engagements!F14),"",(Engagements!F14))</f>
        <v/>
      </c>
      <c r="G15" s="598"/>
      <c r="H15" s="266"/>
      <c r="I15" s="265"/>
      <c r="J15" s="266"/>
      <c r="K15" s="265"/>
      <c r="L15" s="266"/>
      <c r="M15" s="601" t="str">
        <f t="shared" si="0"/>
        <v/>
      </c>
      <c r="N15" s="1033">
        <v>750</v>
      </c>
      <c r="O15" s="62" t="e">
        <f>IF(ISBLANK(#REF!),"",RANK(#REF!,classementindividuel))</f>
        <v>#REF!</v>
      </c>
      <c r="P15" s="1040" t="str">
        <f>IF(G15="","",SUM(G15:L18))</f>
        <v/>
      </c>
      <c r="Q15" s="1038">
        <f t="shared" ref="Q15" si="8">Q11+1</f>
        <v>3</v>
      </c>
      <c r="R15" s="44">
        <v>7</v>
      </c>
      <c r="S15" s="69" t="str">
        <f t="shared" ca="1" si="1"/>
        <v/>
      </c>
      <c r="T15" s="69" t="str">
        <f t="shared" ca="1" si="2"/>
        <v/>
      </c>
      <c r="U15" s="69" t="str">
        <f t="shared" ca="1" si="3"/>
        <v/>
      </c>
      <c r="V15" s="64">
        <f t="shared" ca="1" si="7"/>
        <v>883</v>
      </c>
      <c r="W15" s="65" t="e">
        <f t="shared" ca="1" si="4"/>
        <v>#N/A</v>
      </c>
      <c r="X15" s="3">
        <f t="shared" si="5"/>
        <v>31</v>
      </c>
      <c r="Y15" s="44">
        <f t="shared" si="6"/>
        <v>34</v>
      </c>
    </row>
    <row r="16" spans="1:25" s="40" customFormat="1" ht="11.45" customHeight="1" x14ac:dyDescent="0.2">
      <c r="A16" s="44">
        <v>10</v>
      </c>
      <c r="B16" s="98" t="str">
        <f>IF(ISBLANK(Engagements!B15),"",(Engagements!B15))</f>
        <v/>
      </c>
      <c r="C16" s="98" t="str">
        <f>IF(ISBLANK(Engagements!C15),"",(Engagements!C15))</f>
        <v/>
      </c>
      <c r="D16" s="98" t="str">
        <f>IF(ISBLANK(Engagements!D15),"",(Engagements!D15))</f>
        <v/>
      </c>
      <c r="E16" s="98" t="str">
        <f>IF(ISBLANK(Engagements!E15),"",(Engagements!E15))</f>
        <v/>
      </c>
      <c r="F16" s="98" t="str">
        <f>IF(ISBLANK(Engagements!F15),"",(Engagements!F15))</f>
        <v/>
      </c>
      <c r="G16" s="265"/>
      <c r="H16" s="266"/>
      <c r="I16" s="265"/>
      <c r="J16" s="266"/>
      <c r="K16" s="265"/>
      <c r="L16" s="266"/>
      <c r="M16" s="601" t="str">
        <f t="shared" si="0"/>
        <v/>
      </c>
      <c r="N16" s="1034"/>
      <c r="O16" s="62" t="e">
        <f>IF(ISBLANK(#REF!),"",RANK(#REF!,classementindividuel))</f>
        <v>#REF!</v>
      </c>
      <c r="P16" s="1040"/>
      <c r="Q16" s="1038"/>
      <c r="R16" s="44">
        <v>8</v>
      </c>
      <c r="S16" s="69" t="str">
        <f t="shared" ca="1" si="1"/>
        <v/>
      </c>
      <c r="T16" s="69" t="str">
        <f t="shared" ca="1" si="2"/>
        <v/>
      </c>
      <c r="U16" s="69" t="str">
        <f t="shared" ca="1" si="3"/>
        <v/>
      </c>
      <c r="V16" s="64">
        <f t="shared" ca="1" si="7"/>
        <v>922</v>
      </c>
      <c r="W16" s="65" t="e">
        <f t="shared" ca="1" si="4"/>
        <v>#N/A</v>
      </c>
      <c r="X16" s="3">
        <f t="shared" si="5"/>
        <v>35</v>
      </c>
      <c r="Y16" s="44">
        <f t="shared" si="6"/>
        <v>38</v>
      </c>
    </row>
    <row r="17" spans="1:25" s="40" customFormat="1" ht="11.45" customHeight="1" x14ac:dyDescent="0.2">
      <c r="A17" s="44">
        <v>11</v>
      </c>
      <c r="B17" s="98" t="str">
        <f>IF(ISBLANK(Engagements!B16),"",(Engagements!B16))</f>
        <v/>
      </c>
      <c r="C17" s="98" t="str">
        <f>IF(ISBLANK(Engagements!C16),"",(Engagements!C16))</f>
        <v/>
      </c>
      <c r="D17" s="98" t="str">
        <f>IF(ISBLANK(Engagements!D16),"",(Engagements!D16))</f>
        <v/>
      </c>
      <c r="E17" s="98" t="str">
        <f>IF(ISBLANK(Engagements!E16),"",(Engagements!E16))</f>
        <v/>
      </c>
      <c r="F17" s="98" t="str">
        <f>IF(ISBLANK(Engagements!F16),"",(Engagements!F16))</f>
        <v/>
      </c>
      <c r="G17" s="598"/>
      <c r="H17" s="266"/>
      <c r="I17" s="265"/>
      <c r="J17" s="266"/>
      <c r="K17" s="265"/>
      <c r="L17" s="266"/>
      <c r="M17" s="601" t="str">
        <f t="shared" si="0"/>
        <v/>
      </c>
      <c r="N17" s="1034"/>
      <c r="O17" s="62" t="e">
        <f>IF(ISBLANK(#REF!),"",RANK(#REF!,classementindividuel))</f>
        <v>#REF!</v>
      </c>
      <c r="P17" s="1040"/>
      <c r="Q17" s="1038"/>
      <c r="R17" s="44">
        <v>9</v>
      </c>
      <c r="S17" s="69" t="str">
        <f t="shared" ca="1" si="1"/>
        <v/>
      </c>
      <c r="T17" s="69" t="str">
        <f t="shared" ca="1" si="2"/>
        <v/>
      </c>
      <c r="U17" s="69" t="str">
        <f t="shared" ca="1" si="3"/>
        <v/>
      </c>
      <c r="V17" s="64">
        <f t="shared" ca="1" si="7"/>
        <v>873</v>
      </c>
      <c r="W17" s="65" t="e">
        <f t="shared" ca="1" si="4"/>
        <v>#N/A</v>
      </c>
      <c r="X17" s="3">
        <f t="shared" si="5"/>
        <v>39</v>
      </c>
      <c r="Y17" s="44">
        <f t="shared" si="6"/>
        <v>42</v>
      </c>
    </row>
    <row r="18" spans="1:25" s="40" customFormat="1" ht="11.45" customHeight="1" x14ac:dyDescent="0.2">
      <c r="A18" s="44">
        <v>12</v>
      </c>
      <c r="B18" s="98" t="str">
        <f>IF(ISBLANK(Engagements!B17),"",(Engagements!B17))</f>
        <v/>
      </c>
      <c r="C18" s="98" t="str">
        <f>IF(ISBLANK(Engagements!C17),"",(Engagements!C17))</f>
        <v/>
      </c>
      <c r="D18" s="98" t="str">
        <f>IF(ISBLANK(Engagements!D17),"",(Engagements!D17))</f>
        <v/>
      </c>
      <c r="E18" s="98" t="str">
        <f>IF(ISBLANK(Engagements!E17),"",(Engagements!E17))</f>
        <v/>
      </c>
      <c r="F18" s="98" t="str">
        <f>IF(ISBLANK(Engagements!F17),"",(Engagements!F17))</f>
        <v/>
      </c>
      <c r="G18" s="265"/>
      <c r="H18" s="266"/>
      <c r="I18" s="265"/>
      <c r="J18" s="266"/>
      <c r="K18" s="265"/>
      <c r="L18" s="266"/>
      <c r="M18" s="601" t="str">
        <f t="shared" si="0"/>
        <v/>
      </c>
      <c r="N18" s="1035"/>
      <c r="O18" s="62" t="e">
        <f>IF(ISBLANK(#REF!),"",RANK(#REF!,classementindividuel))</f>
        <v>#REF!</v>
      </c>
      <c r="P18" s="1040"/>
      <c r="Q18" s="1038"/>
      <c r="R18" s="44">
        <v>10</v>
      </c>
      <c r="S18" s="69" t="str">
        <f t="shared" ca="1" si="1"/>
        <v/>
      </c>
      <c r="T18" s="69" t="str">
        <f t="shared" ca="1" si="2"/>
        <v/>
      </c>
      <c r="U18" s="69" t="str">
        <f t="shared" ca="1" si="3"/>
        <v/>
      </c>
      <c r="V18" s="64">
        <f t="shared" ca="1" si="7"/>
        <v>938</v>
      </c>
      <c r="W18" s="65" t="e">
        <f t="shared" ca="1" si="4"/>
        <v>#N/A</v>
      </c>
      <c r="X18" s="3">
        <f t="shared" si="5"/>
        <v>43</v>
      </c>
      <c r="Y18" s="44">
        <f t="shared" si="6"/>
        <v>46</v>
      </c>
    </row>
    <row r="19" spans="1:25" s="40" customFormat="1" ht="11.45" customHeight="1" x14ac:dyDescent="0.2">
      <c r="A19" s="44">
        <v>13</v>
      </c>
      <c r="B19" s="98" t="str">
        <f>IF(ISBLANK(Engagements!B18),"",(Engagements!B18))</f>
        <v/>
      </c>
      <c r="C19" s="98" t="str">
        <f>IF(ISBLANK(Engagements!C18),"",(Engagements!C18))</f>
        <v/>
      </c>
      <c r="D19" s="98" t="str">
        <f>IF(ISBLANK(Engagements!D18),"",(Engagements!D18))</f>
        <v/>
      </c>
      <c r="E19" s="98" t="str">
        <f>IF(ISBLANK(Engagements!E18),"",(Engagements!E18))</f>
        <v/>
      </c>
      <c r="F19" s="98" t="str">
        <f>IF(ISBLANK(Engagements!F18),"",(Engagements!F18))</f>
        <v/>
      </c>
      <c r="G19" s="598"/>
      <c r="H19" s="266"/>
      <c r="I19" s="265"/>
      <c r="J19" s="266"/>
      <c r="K19" s="265"/>
      <c r="L19" s="266"/>
      <c r="M19" s="601" t="str">
        <f t="shared" si="0"/>
        <v/>
      </c>
      <c r="N19" s="1033">
        <v>1060</v>
      </c>
      <c r="O19" s="62" t="e">
        <f>IF(ISBLANK(#REF!),"",RANK(#REF!,classementindividuel))</f>
        <v>#REF!</v>
      </c>
      <c r="P19" s="1040" t="str">
        <f>IF(G19="","",SUM(G19:L22))</f>
        <v/>
      </c>
      <c r="Q19" s="1038">
        <f t="shared" ref="Q19" si="9">Q15+1</f>
        <v>4</v>
      </c>
      <c r="R19" s="44">
        <v>11</v>
      </c>
      <c r="S19" s="69" t="str">
        <f t="shared" ca="1" si="1"/>
        <v/>
      </c>
      <c r="T19" s="69" t="str">
        <f t="shared" ca="1" si="2"/>
        <v/>
      </c>
      <c r="U19" s="69" t="str">
        <f t="shared" ca="1" si="3"/>
        <v/>
      </c>
      <c r="V19" s="64">
        <f t="shared" ca="1" si="7"/>
        <v>847</v>
      </c>
      <c r="W19" s="65" t="e">
        <f t="shared" ca="1" si="4"/>
        <v>#N/A</v>
      </c>
      <c r="X19" s="3">
        <f t="shared" si="5"/>
        <v>47</v>
      </c>
      <c r="Y19" s="44">
        <f t="shared" si="6"/>
        <v>50</v>
      </c>
    </row>
    <row r="20" spans="1:25" s="40" customFormat="1" ht="11.45" customHeight="1" x14ac:dyDescent="0.2">
      <c r="A20" s="44">
        <v>14</v>
      </c>
      <c r="B20" s="98" t="str">
        <f>IF(ISBLANK(Engagements!B19),"",(Engagements!B19))</f>
        <v/>
      </c>
      <c r="C20" s="98" t="str">
        <f>IF(ISBLANK(Engagements!C19),"",(Engagements!C19))</f>
        <v/>
      </c>
      <c r="D20" s="98" t="str">
        <f>IF(ISBLANK(Engagements!D19),"",(Engagements!D19))</f>
        <v/>
      </c>
      <c r="E20" s="98" t="str">
        <f>IF(ISBLANK(Engagements!E19),"",(Engagements!E19))</f>
        <v/>
      </c>
      <c r="F20" s="98" t="str">
        <f>IF(ISBLANK(Engagements!F19),"",(Engagements!F19))</f>
        <v/>
      </c>
      <c r="G20" s="265"/>
      <c r="H20" s="266"/>
      <c r="I20" s="265"/>
      <c r="J20" s="266"/>
      <c r="K20" s="265"/>
      <c r="L20" s="266"/>
      <c r="M20" s="601" t="str">
        <f t="shared" si="0"/>
        <v/>
      </c>
      <c r="N20" s="1034"/>
      <c r="O20" s="62" t="e">
        <f>IF(ISBLANK(#REF!),"",RANK(#REF!,classementindividuel))</f>
        <v>#REF!</v>
      </c>
      <c r="P20" s="1040"/>
      <c r="Q20" s="1038"/>
      <c r="R20" s="44">
        <v>12</v>
      </c>
      <c r="S20" s="69" t="str">
        <f t="shared" ca="1" si="1"/>
        <v/>
      </c>
      <c r="T20" s="69" t="str">
        <f t="shared" ca="1" si="2"/>
        <v/>
      </c>
      <c r="U20" s="69" t="str">
        <f t="shared" ca="1" si="3"/>
        <v/>
      </c>
      <c r="V20" s="64">
        <f t="shared" ca="1" si="7"/>
        <v>817</v>
      </c>
      <c r="W20" s="65" t="e">
        <f t="shared" ca="1" si="4"/>
        <v>#N/A</v>
      </c>
      <c r="X20" s="3">
        <f t="shared" si="5"/>
        <v>51</v>
      </c>
      <c r="Y20" s="44">
        <f t="shared" si="6"/>
        <v>54</v>
      </c>
    </row>
    <row r="21" spans="1:25" s="40" customFormat="1" ht="11.45" customHeight="1" x14ac:dyDescent="0.2">
      <c r="A21" s="44">
        <v>15</v>
      </c>
      <c r="B21" s="98" t="str">
        <f>IF(ISBLANK(Engagements!B20),"",(Engagements!B20))</f>
        <v/>
      </c>
      <c r="C21" s="98" t="str">
        <f>IF(ISBLANK(Engagements!C20),"",(Engagements!C20))</f>
        <v/>
      </c>
      <c r="D21" s="98" t="str">
        <f>IF(ISBLANK(Engagements!D20),"",(Engagements!D20))</f>
        <v/>
      </c>
      <c r="E21" s="98" t="str">
        <f>IF(ISBLANK(Engagements!E20),"",(Engagements!E20))</f>
        <v/>
      </c>
      <c r="F21" s="98" t="str">
        <f>IF(ISBLANK(Engagements!F20),"",(Engagements!F20))</f>
        <v/>
      </c>
      <c r="G21" s="598"/>
      <c r="H21" s="266"/>
      <c r="I21" s="265"/>
      <c r="J21" s="266"/>
      <c r="K21" s="265"/>
      <c r="L21" s="266"/>
      <c r="M21" s="601" t="str">
        <f t="shared" si="0"/>
        <v/>
      </c>
      <c r="N21" s="1034"/>
      <c r="O21" s="62" t="e">
        <f>IF(ISBLANK(#REF!),"",RANK(#REF!,classementindividuel))</f>
        <v>#REF!</v>
      </c>
      <c r="P21" s="1040"/>
      <c r="Q21" s="1038"/>
      <c r="R21" s="44">
        <v>13</v>
      </c>
      <c r="S21" s="69" t="str">
        <f t="shared" ca="1" si="1"/>
        <v/>
      </c>
      <c r="T21" s="69" t="str">
        <f t="shared" ca="1" si="2"/>
        <v/>
      </c>
      <c r="U21" s="69" t="str">
        <f t="shared" ca="1" si="3"/>
        <v/>
      </c>
      <c r="V21" s="64">
        <f t="shared" ca="1" si="7"/>
        <v>782</v>
      </c>
      <c r="W21" s="65" t="e">
        <f t="shared" ca="1" si="4"/>
        <v>#N/A</v>
      </c>
      <c r="X21" s="3">
        <f t="shared" si="5"/>
        <v>55</v>
      </c>
      <c r="Y21" s="44">
        <f t="shared" si="6"/>
        <v>58</v>
      </c>
    </row>
    <row r="22" spans="1:25" s="40" customFormat="1" ht="11.45" customHeight="1" x14ac:dyDescent="0.2">
      <c r="A22" s="44">
        <v>16</v>
      </c>
      <c r="B22" s="98" t="str">
        <f>IF(ISBLANK(Engagements!B21),"",(Engagements!B21))</f>
        <v/>
      </c>
      <c r="C22" s="98" t="str">
        <f>IF(ISBLANK(Engagements!C21),"",(Engagements!C21))</f>
        <v/>
      </c>
      <c r="D22" s="98" t="str">
        <f>IF(ISBLANK(Engagements!D21),"",(Engagements!D21))</f>
        <v/>
      </c>
      <c r="E22" s="98" t="str">
        <f>IF(ISBLANK(Engagements!E21),"",(Engagements!E21))</f>
        <v/>
      </c>
      <c r="F22" s="98" t="str">
        <f>IF(ISBLANK(Engagements!F21),"",(Engagements!F21))</f>
        <v/>
      </c>
      <c r="G22" s="265"/>
      <c r="H22" s="266"/>
      <c r="I22" s="265"/>
      <c r="J22" s="266"/>
      <c r="K22" s="265"/>
      <c r="L22" s="266"/>
      <c r="M22" s="601" t="str">
        <f t="shared" si="0"/>
        <v/>
      </c>
      <c r="N22" s="1035"/>
      <c r="O22" s="62" t="e">
        <f>IF(ISBLANK(#REF!),"",RANK(#REF!,classementindividuel))</f>
        <v>#REF!</v>
      </c>
      <c r="P22" s="1040"/>
      <c r="Q22" s="1038"/>
      <c r="R22" s="44">
        <v>14</v>
      </c>
      <c r="S22" s="69" t="str">
        <f t="shared" ca="1" si="1"/>
        <v/>
      </c>
      <c r="T22" s="69" t="str">
        <f t="shared" ca="1" si="2"/>
        <v/>
      </c>
      <c r="U22" s="69" t="str">
        <f t="shared" ca="1" si="3"/>
        <v/>
      </c>
      <c r="V22" s="64">
        <f t="shared" ca="1" si="7"/>
        <v>0</v>
      </c>
      <c r="W22" s="65" t="e">
        <f t="shared" ca="1" si="4"/>
        <v>#N/A</v>
      </c>
      <c r="X22" s="3">
        <f t="shared" si="5"/>
        <v>59</v>
      </c>
      <c r="Y22" s="44">
        <f t="shared" si="6"/>
        <v>62</v>
      </c>
    </row>
    <row r="23" spans="1:25" s="40" customFormat="1" ht="11.45" customHeight="1" x14ac:dyDescent="0.2">
      <c r="A23" s="44">
        <v>17</v>
      </c>
      <c r="B23" s="98" t="str">
        <f>IF(ISBLANK(Engagements!B22),"",(Engagements!B22))</f>
        <v/>
      </c>
      <c r="C23" s="98" t="str">
        <f>IF(ISBLANK(Engagements!C22),"",(Engagements!C22))</f>
        <v/>
      </c>
      <c r="D23" s="98" t="str">
        <f>IF(ISBLANK(Engagements!D22),"",(Engagements!D22))</f>
        <v/>
      </c>
      <c r="E23" s="98" t="str">
        <f>IF(ISBLANK(Engagements!E22),"",(Engagements!E22))</f>
        <v/>
      </c>
      <c r="F23" s="98" t="str">
        <f>IF(ISBLANK(Engagements!F22),"",(Engagements!F22))</f>
        <v/>
      </c>
      <c r="G23" s="598"/>
      <c r="H23" s="266"/>
      <c r="I23" s="265"/>
      <c r="J23" s="266"/>
      <c r="K23" s="265"/>
      <c r="L23" s="266"/>
      <c r="M23" s="601" t="str">
        <f t="shared" si="0"/>
        <v/>
      </c>
      <c r="N23" s="1033">
        <v>918</v>
      </c>
      <c r="O23" s="62" t="e">
        <f>IF(ISBLANK(#REF!),"",RANK(#REF!,classementindividuel))</f>
        <v>#REF!</v>
      </c>
      <c r="P23" s="1040" t="str">
        <f>IF(G23="","",SUM(G23:L26))</f>
        <v/>
      </c>
      <c r="Q23" s="1038">
        <f t="shared" ref="Q23" si="10">Q19+1</f>
        <v>5</v>
      </c>
      <c r="R23" s="44">
        <v>15</v>
      </c>
      <c r="S23" s="69" t="str">
        <f t="shared" ca="1" si="1"/>
        <v/>
      </c>
      <c r="T23" s="69" t="str">
        <f t="shared" ca="1" si="2"/>
        <v/>
      </c>
      <c r="U23" s="69" t="str">
        <f t="shared" ca="1" si="3"/>
        <v/>
      </c>
      <c r="V23" s="64">
        <f t="shared" ca="1" si="7"/>
        <v>0</v>
      </c>
      <c r="W23" s="65" t="e">
        <f t="shared" ca="1" si="4"/>
        <v>#N/A</v>
      </c>
      <c r="X23" s="3">
        <f t="shared" si="5"/>
        <v>63</v>
      </c>
      <c r="Y23" s="44">
        <f t="shared" si="6"/>
        <v>66</v>
      </c>
    </row>
    <row r="24" spans="1:25" s="40" customFormat="1" ht="11.45" customHeight="1" x14ac:dyDescent="0.2">
      <c r="A24" s="44">
        <v>18</v>
      </c>
      <c r="B24" s="98" t="str">
        <f>IF(ISBLANK(Engagements!B23),"",(Engagements!B23))</f>
        <v/>
      </c>
      <c r="C24" s="98" t="str">
        <f>IF(ISBLANK(Engagements!C23),"",(Engagements!C23))</f>
        <v/>
      </c>
      <c r="D24" s="98" t="str">
        <f>IF(ISBLANK(Engagements!D23),"",(Engagements!D23))</f>
        <v/>
      </c>
      <c r="E24" s="98" t="str">
        <f>IF(ISBLANK(Engagements!E23),"",(Engagements!E23))</f>
        <v/>
      </c>
      <c r="F24" s="98" t="str">
        <f>IF(ISBLANK(Engagements!F23),"",(Engagements!F23))</f>
        <v/>
      </c>
      <c r="G24" s="265"/>
      <c r="H24" s="266"/>
      <c r="I24" s="265"/>
      <c r="J24" s="266"/>
      <c r="K24" s="265"/>
      <c r="L24" s="266"/>
      <c r="M24" s="601" t="str">
        <f t="shared" si="0"/>
        <v/>
      </c>
      <c r="N24" s="1034"/>
      <c r="O24" s="62" t="e">
        <f>IF(ISBLANK(#REF!),"",RANK(#REF!,classementindividuel))</f>
        <v>#REF!</v>
      </c>
      <c r="P24" s="1040"/>
      <c r="Q24" s="1038"/>
      <c r="R24" s="44">
        <v>16</v>
      </c>
      <c r="S24" s="69" t="str">
        <f t="shared" ca="1" si="1"/>
        <v/>
      </c>
      <c r="T24" s="69" t="str">
        <f t="shared" ca="1" si="2"/>
        <v/>
      </c>
      <c r="U24" s="69" t="str">
        <f t="shared" ca="1" si="3"/>
        <v/>
      </c>
      <c r="V24" s="64">
        <f t="shared" ca="1" si="7"/>
        <v>0</v>
      </c>
      <c r="W24" s="65" t="e">
        <f t="shared" ca="1" si="4"/>
        <v>#N/A</v>
      </c>
      <c r="X24" s="3">
        <f t="shared" si="5"/>
        <v>67</v>
      </c>
      <c r="Y24" s="44">
        <f t="shared" si="6"/>
        <v>70</v>
      </c>
    </row>
    <row r="25" spans="1:25" s="40" customFormat="1" ht="11.45" customHeight="1" x14ac:dyDescent="0.2">
      <c r="A25" s="44">
        <v>19</v>
      </c>
      <c r="B25" s="98" t="str">
        <f>IF(ISBLANK(Engagements!B24),"",(Engagements!B24))</f>
        <v/>
      </c>
      <c r="C25" s="98" t="str">
        <f>IF(ISBLANK(Engagements!C24),"",(Engagements!C24))</f>
        <v/>
      </c>
      <c r="D25" s="98" t="str">
        <f>IF(ISBLANK(Engagements!D24),"",(Engagements!D24))</f>
        <v/>
      </c>
      <c r="E25" s="98" t="str">
        <f>IF(ISBLANK(Engagements!E24),"",(Engagements!E24))</f>
        <v/>
      </c>
      <c r="F25" s="98" t="str">
        <f>IF(ISBLANK(Engagements!F24),"",(Engagements!F24))</f>
        <v/>
      </c>
      <c r="G25" s="598"/>
      <c r="H25" s="266"/>
      <c r="I25" s="265"/>
      <c r="J25" s="266"/>
      <c r="K25" s="265"/>
      <c r="L25" s="266"/>
      <c r="M25" s="601" t="str">
        <f t="shared" si="0"/>
        <v/>
      </c>
      <c r="N25" s="1034"/>
      <c r="O25" s="62" t="e">
        <f>IF(ISBLANK(#REF!),"",RANK(#REF!,classementindividuel))</f>
        <v>#REF!</v>
      </c>
      <c r="P25" s="1040"/>
      <c r="Q25" s="1038"/>
      <c r="R25" s="44">
        <v>17</v>
      </c>
      <c r="S25" s="69" t="str">
        <f t="shared" ca="1" si="1"/>
        <v/>
      </c>
      <c r="T25" s="69" t="str">
        <f t="shared" ca="1" si="2"/>
        <v/>
      </c>
      <c r="U25" s="69" t="str">
        <f t="shared" ca="1" si="3"/>
        <v/>
      </c>
      <c r="V25" s="64">
        <f t="shared" ca="1" si="7"/>
        <v>0</v>
      </c>
      <c r="W25" s="65" t="e">
        <f t="shared" ca="1" si="4"/>
        <v>#N/A</v>
      </c>
      <c r="X25" s="3">
        <f t="shared" si="5"/>
        <v>71</v>
      </c>
      <c r="Y25" s="44">
        <f t="shared" si="6"/>
        <v>74</v>
      </c>
    </row>
    <row r="26" spans="1:25" s="40" customFormat="1" ht="11.45" customHeight="1" x14ac:dyDescent="0.2">
      <c r="A26" s="44">
        <v>20</v>
      </c>
      <c r="B26" s="98" t="str">
        <f>IF(ISBLANK(Engagements!B25),"",(Engagements!B25))</f>
        <v/>
      </c>
      <c r="C26" s="98" t="str">
        <f>IF(ISBLANK(Engagements!C25),"",(Engagements!C25))</f>
        <v/>
      </c>
      <c r="D26" s="98" t="str">
        <f>IF(ISBLANK(Engagements!D25),"",(Engagements!D25))</f>
        <v/>
      </c>
      <c r="E26" s="98" t="str">
        <f>IF(ISBLANK(Engagements!E25),"",(Engagements!E25))</f>
        <v/>
      </c>
      <c r="F26" s="98" t="str">
        <f>IF(ISBLANK(Engagements!F25),"",(Engagements!F25))</f>
        <v/>
      </c>
      <c r="G26" s="265"/>
      <c r="H26" s="266"/>
      <c r="I26" s="265"/>
      <c r="J26" s="266"/>
      <c r="K26" s="265"/>
      <c r="L26" s="266"/>
      <c r="M26" s="601" t="str">
        <f t="shared" si="0"/>
        <v/>
      </c>
      <c r="N26" s="1035"/>
      <c r="O26" s="62" t="e">
        <f>IF(ISBLANK(#REF!),"",RANK(#REF!,classementindividuel))</f>
        <v>#REF!</v>
      </c>
      <c r="P26" s="1040"/>
      <c r="Q26" s="1038"/>
      <c r="R26" s="44">
        <v>18</v>
      </c>
      <c r="S26" s="69" t="str">
        <f t="shared" ca="1" si="1"/>
        <v/>
      </c>
      <c r="T26" s="69" t="str">
        <f t="shared" ca="1" si="2"/>
        <v/>
      </c>
      <c r="U26" s="69" t="str">
        <f t="shared" ca="1" si="3"/>
        <v/>
      </c>
      <c r="V26" s="64">
        <f t="shared" ca="1" si="7"/>
        <v>0</v>
      </c>
      <c r="W26" s="65" t="e">
        <f t="shared" ca="1" si="4"/>
        <v>#N/A</v>
      </c>
      <c r="X26" s="3">
        <f t="shared" si="5"/>
        <v>75</v>
      </c>
      <c r="Y26" s="44">
        <f t="shared" si="6"/>
        <v>78</v>
      </c>
    </row>
    <row r="27" spans="1:25" s="40" customFormat="1" ht="11.45" customHeight="1" x14ac:dyDescent="0.2">
      <c r="A27" s="44">
        <v>21</v>
      </c>
      <c r="B27" s="98" t="str">
        <f>IF(ISBLANK(Engagements!B26),"",(Engagements!B26))</f>
        <v/>
      </c>
      <c r="C27" s="98" t="str">
        <f>IF(ISBLANK(Engagements!C26),"",(Engagements!C26))</f>
        <v/>
      </c>
      <c r="D27" s="98" t="str">
        <f>IF(ISBLANK(Engagements!D26),"",(Engagements!D26))</f>
        <v/>
      </c>
      <c r="E27" s="98" t="str">
        <f>IF(ISBLANK(Engagements!E26),"",(Engagements!E26))</f>
        <v/>
      </c>
      <c r="F27" s="98" t="str">
        <f>IF(ISBLANK(Engagements!F26),"",(Engagements!F26))</f>
        <v/>
      </c>
      <c r="G27" s="598"/>
      <c r="H27" s="266"/>
      <c r="I27" s="265"/>
      <c r="J27" s="266"/>
      <c r="K27" s="265"/>
      <c r="L27" s="266"/>
      <c r="M27" s="601" t="str">
        <f t="shared" si="0"/>
        <v/>
      </c>
      <c r="N27" s="1033">
        <v>644</v>
      </c>
      <c r="O27" s="62" t="e">
        <f>IF(ISBLANK(#REF!),"",RANK(#REF!,classementindividuel))</f>
        <v>#REF!</v>
      </c>
      <c r="P27" s="1040" t="str">
        <f>IF(G27="","",SUM(G27:L30))</f>
        <v/>
      </c>
      <c r="Q27" s="1038">
        <f t="shared" ref="Q27" si="11">Q23+1</f>
        <v>6</v>
      </c>
      <c r="R27" s="44">
        <v>19</v>
      </c>
      <c r="S27" s="69" t="str">
        <f t="shared" ca="1" si="1"/>
        <v/>
      </c>
      <c r="T27" s="69" t="str">
        <f t="shared" ca="1" si="2"/>
        <v/>
      </c>
      <c r="U27" s="69" t="str">
        <f t="shared" ca="1" si="3"/>
        <v/>
      </c>
      <c r="V27" s="64">
        <f t="shared" ca="1" si="7"/>
        <v>0</v>
      </c>
      <c r="W27" s="65" t="e">
        <f t="shared" ca="1" si="4"/>
        <v>#N/A</v>
      </c>
      <c r="X27" s="3">
        <f t="shared" si="5"/>
        <v>79</v>
      </c>
      <c r="Y27" s="44">
        <f t="shared" si="6"/>
        <v>82</v>
      </c>
    </row>
    <row r="28" spans="1:25" s="40" customFormat="1" ht="11.45" customHeight="1" x14ac:dyDescent="0.2">
      <c r="A28" s="44">
        <v>22</v>
      </c>
      <c r="B28" s="98" t="str">
        <f>IF(ISBLANK(Engagements!B27),"",(Engagements!B27))</f>
        <v/>
      </c>
      <c r="C28" s="98" t="str">
        <f>IF(ISBLANK(Engagements!C27),"",(Engagements!C27))</f>
        <v/>
      </c>
      <c r="D28" s="98" t="str">
        <f>IF(ISBLANK(Engagements!D27),"",(Engagements!D27))</f>
        <v/>
      </c>
      <c r="E28" s="98" t="str">
        <f>IF(ISBLANK(Engagements!E27),"",(Engagements!E27))</f>
        <v/>
      </c>
      <c r="F28" s="98" t="str">
        <f>IF(ISBLANK(Engagements!F27),"",(Engagements!F27))</f>
        <v/>
      </c>
      <c r="G28" s="265"/>
      <c r="H28" s="266"/>
      <c r="I28" s="265"/>
      <c r="J28" s="266"/>
      <c r="K28" s="265"/>
      <c r="L28" s="266"/>
      <c r="M28" s="601" t="str">
        <f t="shared" si="0"/>
        <v/>
      </c>
      <c r="N28" s="1034"/>
      <c r="O28" s="62" t="e">
        <f>IF(ISBLANK(#REF!),"",RANK(#REF!,classementindividuel))</f>
        <v>#REF!</v>
      </c>
      <c r="P28" s="1040"/>
      <c r="Q28" s="1038"/>
      <c r="R28" s="44">
        <v>20</v>
      </c>
      <c r="S28" s="69" t="str">
        <f t="shared" ca="1" si="1"/>
        <v/>
      </c>
      <c r="T28" s="69" t="str">
        <f t="shared" ca="1" si="2"/>
        <v/>
      </c>
      <c r="U28" s="69" t="str">
        <f t="shared" ca="1" si="3"/>
        <v/>
      </c>
      <c r="V28" s="64">
        <f t="shared" ca="1" si="7"/>
        <v>0</v>
      </c>
      <c r="W28" s="65" t="e">
        <f t="shared" ca="1" si="4"/>
        <v>#N/A</v>
      </c>
      <c r="X28" s="3">
        <f t="shared" si="5"/>
        <v>83</v>
      </c>
      <c r="Y28" s="44">
        <f t="shared" si="6"/>
        <v>86</v>
      </c>
    </row>
    <row r="29" spans="1:25" s="40" customFormat="1" ht="11.45" customHeight="1" x14ac:dyDescent="0.2">
      <c r="A29" s="44">
        <v>23</v>
      </c>
      <c r="B29" s="98" t="str">
        <f>IF(ISBLANK(Engagements!B28),"",(Engagements!B28))</f>
        <v/>
      </c>
      <c r="C29" s="98" t="str">
        <f>IF(ISBLANK(Engagements!C28),"",(Engagements!C28))</f>
        <v/>
      </c>
      <c r="D29" s="98" t="str">
        <f>IF(ISBLANK(Engagements!D28),"",(Engagements!D28))</f>
        <v/>
      </c>
      <c r="E29" s="98" t="str">
        <f>IF(ISBLANK(Engagements!E28),"",(Engagements!E28))</f>
        <v/>
      </c>
      <c r="F29" s="98" t="str">
        <f>IF(ISBLANK(Engagements!F28),"",(Engagements!F28))</f>
        <v/>
      </c>
      <c r="G29" s="598"/>
      <c r="H29" s="266"/>
      <c r="I29" s="265"/>
      <c r="J29" s="266"/>
      <c r="K29" s="265"/>
      <c r="L29" s="266"/>
      <c r="M29" s="601" t="str">
        <f t="shared" si="0"/>
        <v/>
      </c>
      <c r="N29" s="1034"/>
      <c r="O29" s="62" t="e">
        <f>IF(ISBLANK(#REF!),"",RANK(#REF!,classementindividuel))</f>
        <v>#REF!</v>
      </c>
      <c r="P29" s="1040"/>
      <c r="Q29" s="1038"/>
      <c r="R29" s="44">
        <v>21</v>
      </c>
      <c r="S29" s="69" t="str">
        <f t="shared" ca="1" si="1"/>
        <v/>
      </c>
      <c r="T29" s="69" t="str">
        <f t="shared" ca="1" si="2"/>
        <v/>
      </c>
      <c r="U29" s="69" t="str">
        <f t="shared" ca="1" si="3"/>
        <v/>
      </c>
      <c r="V29" s="64">
        <f t="shared" ca="1" si="7"/>
        <v>0</v>
      </c>
      <c r="W29" s="65" t="e">
        <f t="shared" ca="1" si="4"/>
        <v>#N/A</v>
      </c>
      <c r="X29" s="3">
        <f t="shared" si="5"/>
        <v>87</v>
      </c>
      <c r="Y29" s="44">
        <f t="shared" si="6"/>
        <v>90</v>
      </c>
    </row>
    <row r="30" spans="1:25" s="40" customFormat="1" ht="11.45" customHeight="1" x14ac:dyDescent="0.2">
      <c r="A30" s="44">
        <v>24</v>
      </c>
      <c r="B30" s="98" t="str">
        <f>IF(ISBLANK(Engagements!B29),"",(Engagements!B29))</f>
        <v/>
      </c>
      <c r="C30" s="98" t="str">
        <f>IF(ISBLANK(Engagements!C29),"",(Engagements!C29))</f>
        <v/>
      </c>
      <c r="D30" s="98" t="str">
        <f>IF(ISBLANK(Engagements!D29),"",(Engagements!D29))</f>
        <v/>
      </c>
      <c r="E30" s="98" t="str">
        <f>IF(ISBLANK(Engagements!E29),"",(Engagements!E29))</f>
        <v/>
      </c>
      <c r="F30" s="98" t="str">
        <f>IF(ISBLANK(Engagements!F29),"",(Engagements!F29))</f>
        <v/>
      </c>
      <c r="G30" s="265"/>
      <c r="H30" s="266"/>
      <c r="I30" s="265"/>
      <c r="J30" s="266"/>
      <c r="K30" s="265"/>
      <c r="L30" s="266"/>
      <c r="M30" s="601" t="str">
        <f t="shared" si="0"/>
        <v/>
      </c>
      <c r="N30" s="1035"/>
      <c r="O30" s="62" t="e">
        <f>IF(ISBLANK(#REF!),"",RANK(#REF!,classementindividuel))</f>
        <v>#REF!</v>
      </c>
      <c r="P30" s="1040"/>
      <c r="Q30" s="1038"/>
      <c r="R30" s="44">
        <v>22</v>
      </c>
      <c r="S30" s="69" t="str">
        <f t="shared" ca="1" si="1"/>
        <v/>
      </c>
      <c r="T30" s="69" t="str">
        <f t="shared" ca="1" si="2"/>
        <v/>
      </c>
      <c r="U30" s="69" t="str">
        <f t="shared" ca="1" si="3"/>
        <v/>
      </c>
      <c r="V30" s="64">
        <f t="shared" ca="1" si="7"/>
        <v>0</v>
      </c>
      <c r="W30" s="65" t="e">
        <f t="shared" ca="1" si="4"/>
        <v>#N/A</v>
      </c>
      <c r="X30" s="3">
        <f t="shared" si="5"/>
        <v>91</v>
      </c>
      <c r="Y30" s="44">
        <f t="shared" si="6"/>
        <v>94</v>
      </c>
    </row>
    <row r="31" spans="1:25" s="40" customFormat="1" ht="11.45" customHeight="1" x14ac:dyDescent="0.2">
      <c r="A31" s="44">
        <v>25</v>
      </c>
      <c r="B31" s="98" t="str">
        <f>IF(ISBLANK(Engagements!B30),"",(Engagements!B30))</f>
        <v/>
      </c>
      <c r="C31" s="98" t="str">
        <f>IF(ISBLANK(Engagements!C30),"",(Engagements!C30))</f>
        <v/>
      </c>
      <c r="D31" s="98" t="str">
        <f>IF(ISBLANK(Engagements!D30),"",(Engagements!D30))</f>
        <v/>
      </c>
      <c r="E31" s="98" t="str">
        <f>IF(ISBLANK(Engagements!E30),"",(Engagements!E30))</f>
        <v/>
      </c>
      <c r="F31" s="98" t="str">
        <f>IF(ISBLANK(Engagements!F30),"",(Engagements!F30))</f>
        <v/>
      </c>
      <c r="G31" s="598"/>
      <c r="H31" s="266"/>
      <c r="I31" s="265"/>
      <c r="J31" s="266"/>
      <c r="K31" s="265"/>
      <c r="L31" s="266"/>
      <c r="M31" s="601" t="str">
        <f t="shared" si="0"/>
        <v/>
      </c>
      <c r="N31" s="1033">
        <v>883</v>
      </c>
      <c r="O31" s="62" t="e">
        <f>IF(ISBLANK(#REF!),"",RANK(#REF!,classementindividuel))</f>
        <v>#REF!</v>
      </c>
      <c r="P31" s="1040" t="str">
        <f>IF(G31="","",SUM(G31:L34))</f>
        <v/>
      </c>
      <c r="Q31" s="1038">
        <f t="shared" ref="Q31" si="12">Q27+1</f>
        <v>7</v>
      </c>
      <c r="R31" s="40">
        <v>23</v>
      </c>
      <c r="S31" s="69" t="str">
        <f t="shared" ca="1" si="1"/>
        <v/>
      </c>
      <c r="T31" s="69" t="str">
        <f t="shared" ca="1" si="2"/>
        <v/>
      </c>
      <c r="U31" s="69" t="str">
        <f t="shared" ca="1" si="3"/>
        <v/>
      </c>
      <c r="V31" s="64">
        <f t="shared" ca="1" si="7"/>
        <v>0</v>
      </c>
      <c r="W31" s="65" t="e">
        <f t="shared" ca="1" si="4"/>
        <v>#N/A</v>
      </c>
      <c r="X31" s="3">
        <f>(Nb_equipiers*(R31-1)) + 7</f>
        <v>95</v>
      </c>
      <c r="Y31" s="44">
        <f>X31+(Nb_equipiers - 1)</f>
        <v>98</v>
      </c>
    </row>
    <row r="32" spans="1:25" s="40" customFormat="1" ht="11.45" customHeight="1" x14ac:dyDescent="0.2">
      <c r="A32" s="44">
        <v>26</v>
      </c>
      <c r="B32" s="98" t="str">
        <f>IF(ISBLANK(Engagements!B31),"",(Engagements!B31))</f>
        <v/>
      </c>
      <c r="C32" s="98" t="str">
        <f>IF(ISBLANK(Engagements!C31),"",(Engagements!C31))</f>
        <v/>
      </c>
      <c r="D32" s="98" t="str">
        <f>IF(ISBLANK(Engagements!D31),"",(Engagements!D31))</f>
        <v/>
      </c>
      <c r="E32" s="98" t="str">
        <f>IF(ISBLANK(Engagements!E31),"",(Engagements!E31))</f>
        <v/>
      </c>
      <c r="F32" s="98" t="str">
        <f>IF(ISBLANK(Engagements!F31),"",(Engagements!F31))</f>
        <v/>
      </c>
      <c r="G32" s="265"/>
      <c r="H32" s="266"/>
      <c r="I32" s="265"/>
      <c r="J32" s="266"/>
      <c r="K32" s="265"/>
      <c r="L32" s="266"/>
      <c r="M32" s="601" t="str">
        <f t="shared" si="0"/>
        <v/>
      </c>
      <c r="N32" s="1034"/>
      <c r="O32" s="62" t="e">
        <f>IF(ISBLANK(#REF!),"",RANK(#REF!,classementindividuel))</f>
        <v>#REF!</v>
      </c>
      <c r="P32" s="1040"/>
      <c r="Q32" s="1038"/>
      <c r="R32" s="40">
        <v>24</v>
      </c>
      <c r="S32" s="69" t="str">
        <f t="shared" ca="1" si="1"/>
        <v/>
      </c>
      <c r="T32" s="69" t="str">
        <f t="shared" ca="1" si="2"/>
        <v/>
      </c>
      <c r="U32" s="69" t="str">
        <f t="shared" ca="1" si="3"/>
        <v/>
      </c>
      <c r="V32" s="64">
        <f t="shared" ca="1" si="7"/>
        <v>0</v>
      </c>
      <c r="W32" s="65" t="e">
        <f t="shared" ca="1" si="4"/>
        <v>#N/A</v>
      </c>
      <c r="X32" s="3">
        <f>(Nb_equipiers*(R32-1)) + 7</f>
        <v>99</v>
      </c>
      <c r="Y32" s="44">
        <f>X32+(Nb_equipiers - 1)</f>
        <v>102</v>
      </c>
    </row>
    <row r="33" spans="1:25" s="40" customFormat="1" ht="11.45" customHeight="1" x14ac:dyDescent="0.2">
      <c r="A33" s="44">
        <v>27</v>
      </c>
      <c r="B33" s="98" t="str">
        <f>IF(ISBLANK(Engagements!B32),"",(Engagements!B32))</f>
        <v/>
      </c>
      <c r="C33" s="98" t="str">
        <f>IF(ISBLANK(Engagements!C32),"",(Engagements!C32))</f>
        <v/>
      </c>
      <c r="D33" s="98" t="str">
        <f>IF(ISBLANK(Engagements!D32),"",(Engagements!D32))</f>
        <v/>
      </c>
      <c r="E33" s="98" t="str">
        <f>IF(ISBLANK(Engagements!E32),"",(Engagements!E32))</f>
        <v/>
      </c>
      <c r="F33" s="98" t="str">
        <f>IF(ISBLANK(Engagements!F32),"",(Engagements!F32))</f>
        <v/>
      </c>
      <c r="G33" s="598"/>
      <c r="H33" s="266"/>
      <c r="I33" s="265"/>
      <c r="J33" s="266"/>
      <c r="K33" s="265"/>
      <c r="L33" s="266"/>
      <c r="M33" s="601" t="str">
        <f t="shared" si="0"/>
        <v/>
      </c>
      <c r="N33" s="1034"/>
      <c r="O33" s="62" t="e">
        <f>IF(ISBLANK(#REF!),"",RANK(#REF!,classementindividuel))</f>
        <v>#REF!</v>
      </c>
      <c r="P33" s="1040"/>
      <c r="Q33" s="1038"/>
      <c r="Y33" s="44"/>
    </row>
    <row r="34" spans="1:25" s="40" customFormat="1" ht="11.45" customHeight="1" x14ac:dyDescent="0.2">
      <c r="A34" s="44">
        <v>28</v>
      </c>
      <c r="B34" s="98" t="str">
        <f>IF(ISBLANK(Engagements!B33),"",(Engagements!B33))</f>
        <v/>
      </c>
      <c r="C34" s="98" t="str">
        <f>IF(ISBLANK(Engagements!C33),"",(Engagements!C33))</f>
        <v/>
      </c>
      <c r="D34" s="98" t="str">
        <f>IF(ISBLANK(Engagements!D33),"",(Engagements!D33))</f>
        <v/>
      </c>
      <c r="E34" s="98" t="str">
        <f>IF(ISBLANK(Engagements!E33),"",(Engagements!E33))</f>
        <v/>
      </c>
      <c r="F34" s="98" t="str">
        <f>IF(ISBLANK(Engagements!F33),"",(Engagements!F33))</f>
        <v/>
      </c>
      <c r="G34" s="265"/>
      <c r="H34" s="266"/>
      <c r="I34" s="265"/>
      <c r="J34" s="266"/>
      <c r="K34" s="265"/>
      <c r="L34" s="266"/>
      <c r="M34" s="601" t="str">
        <f t="shared" si="0"/>
        <v/>
      </c>
      <c r="N34" s="1035"/>
      <c r="O34" s="62" t="e">
        <f>IF(ISBLANK(#REF!),"",RANK(#REF!,classementindividuel))</f>
        <v>#REF!</v>
      </c>
      <c r="P34" s="1040"/>
      <c r="Q34" s="1038"/>
      <c r="Y34" s="44"/>
    </row>
    <row r="35" spans="1:25" s="40" customFormat="1" ht="11.45" customHeight="1" x14ac:dyDescent="0.2">
      <c r="A35" s="44">
        <v>29</v>
      </c>
      <c r="B35" s="98" t="str">
        <f>IF(ISBLANK(Engagements!B34),"",(Engagements!B34))</f>
        <v/>
      </c>
      <c r="C35" s="98" t="str">
        <f>IF(ISBLANK(Engagements!C34),"",(Engagements!C34))</f>
        <v/>
      </c>
      <c r="D35" s="98" t="str">
        <f>IF(ISBLANK(Engagements!D34),"",(Engagements!D34))</f>
        <v/>
      </c>
      <c r="E35" s="98" t="str">
        <f>IF(ISBLANK(Engagements!E34),"",(Engagements!E34))</f>
        <v/>
      </c>
      <c r="F35" s="98" t="str">
        <f>IF(ISBLANK(Engagements!F34),"",(Engagements!F34))</f>
        <v/>
      </c>
      <c r="G35" s="598"/>
      <c r="H35" s="266"/>
      <c r="I35" s="265"/>
      <c r="J35" s="266"/>
      <c r="K35" s="265"/>
      <c r="L35" s="266"/>
      <c r="M35" s="601" t="str">
        <f t="shared" si="0"/>
        <v/>
      </c>
      <c r="N35" s="1033">
        <v>922</v>
      </c>
      <c r="O35" s="62" t="e">
        <f>IF(ISBLANK(#REF!),"",RANK(#REF!,classementindividuel))</f>
        <v>#REF!</v>
      </c>
      <c r="P35" s="1040" t="str">
        <f>IF(G35="","",SUM(G35:L38))</f>
        <v/>
      </c>
      <c r="Q35" s="1038">
        <f t="shared" ref="Q35" si="13">Q31+1</f>
        <v>8</v>
      </c>
      <c r="Y35" s="44"/>
    </row>
    <row r="36" spans="1:25" s="40" customFormat="1" ht="11.45" customHeight="1" x14ac:dyDescent="0.2">
      <c r="A36" s="44">
        <v>30</v>
      </c>
      <c r="B36" s="98" t="str">
        <f>IF(ISBLANK(Engagements!B35),"",(Engagements!B35))</f>
        <v/>
      </c>
      <c r="C36" s="98" t="str">
        <f>IF(ISBLANK(Engagements!C35),"",(Engagements!C35))</f>
        <v/>
      </c>
      <c r="D36" s="98" t="str">
        <f>IF(ISBLANK(Engagements!D35),"",(Engagements!D35))</f>
        <v/>
      </c>
      <c r="E36" s="98" t="str">
        <f>IF(ISBLANK(Engagements!E35),"",(Engagements!E35))</f>
        <v/>
      </c>
      <c r="F36" s="98" t="str">
        <f>IF(ISBLANK(Engagements!F35),"",(Engagements!F35))</f>
        <v/>
      </c>
      <c r="G36" s="265"/>
      <c r="H36" s="266"/>
      <c r="I36" s="265"/>
      <c r="J36" s="266"/>
      <c r="K36" s="265"/>
      <c r="L36" s="266"/>
      <c r="M36" s="601" t="str">
        <f t="shared" si="0"/>
        <v/>
      </c>
      <c r="N36" s="1034"/>
      <c r="O36" s="62" t="e">
        <f>IF(ISBLANK(#REF!),"",RANK(#REF!,classementindividuel))</f>
        <v>#REF!</v>
      </c>
      <c r="P36" s="1040"/>
      <c r="Q36" s="1038"/>
      <c r="Y36" s="44"/>
    </row>
    <row r="37" spans="1:25" s="40" customFormat="1" ht="11.45" customHeight="1" x14ac:dyDescent="0.2">
      <c r="A37" s="44">
        <v>31</v>
      </c>
      <c r="B37" s="98" t="str">
        <f>IF(ISBLANK(Engagements!B36),"",(Engagements!B36))</f>
        <v/>
      </c>
      <c r="C37" s="98" t="str">
        <f>IF(ISBLANK(Engagements!C36),"",(Engagements!C36))</f>
        <v/>
      </c>
      <c r="D37" s="98" t="str">
        <f>IF(ISBLANK(Engagements!D36),"",(Engagements!D36))</f>
        <v/>
      </c>
      <c r="E37" s="98" t="str">
        <f>IF(ISBLANK(Engagements!E36),"",(Engagements!E36))</f>
        <v/>
      </c>
      <c r="F37" s="98" t="str">
        <f>IF(ISBLANK(Engagements!F36),"",(Engagements!F36))</f>
        <v/>
      </c>
      <c r="G37" s="598"/>
      <c r="H37" s="266"/>
      <c r="I37" s="265"/>
      <c r="J37" s="266"/>
      <c r="K37" s="265"/>
      <c r="L37" s="266"/>
      <c r="M37" s="601" t="str">
        <f t="shared" si="0"/>
        <v/>
      </c>
      <c r="N37" s="1034"/>
      <c r="O37" s="62" t="e">
        <f>IF(ISBLANK(#REF!),"",RANK(#REF!,classementindividuel))</f>
        <v>#REF!</v>
      </c>
      <c r="P37" s="1040"/>
      <c r="Q37" s="1038"/>
      <c r="Y37" s="44"/>
    </row>
    <row r="38" spans="1:25" s="40" customFormat="1" ht="11.45" customHeight="1" x14ac:dyDescent="0.2">
      <c r="A38" s="44">
        <v>32</v>
      </c>
      <c r="B38" s="98" t="str">
        <f>IF(ISBLANK(Engagements!B37),"",(Engagements!B37))</f>
        <v/>
      </c>
      <c r="C38" s="98" t="str">
        <f>IF(ISBLANK(Engagements!C37),"",(Engagements!C37))</f>
        <v/>
      </c>
      <c r="D38" s="98" t="str">
        <f>IF(ISBLANK(Engagements!D37),"",(Engagements!D37))</f>
        <v/>
      </c>
      <c r="E38" s="98" t="str">
        <f>IF(ISBLANK(Engagements!E37),"",(Engagements!E37))</f>
        <v/>
      </c>
      <c r="F38" s="98" t="str">
        <f>IF(ISBLANK(Engagements!F37),"",(Engagements!F37))</f>
        <v/>
      </c>
      <c r="G38" s="265"/>
      <c r="H38" s="266"/>
      <c r="I38" s="265"/>
      <c r="J38" s="266"/>
      <c r="K38" s="265"/>
      <c r="L38" s="266"/>
      <c r="M38" s="601" t="str">
        <f t="shared" si="0"/>
        <v/>
      </c>
      <c r="N38" s="1035"/>
      <c r="O38" s="62" t="e">
        <f>IF(ISBLANK(#REF!),"",RANK(#REF!,classementindividuel))</f>
        <v>#REF!</v>
      </c>
      <c r="P38" s="1040"/>
      <c r="Q38" s="1038"/>
      <c r="Y38" s="44"/>
    </row>
    <row r="39" spans="1:25" s="40" customFormat="1" ht="11.45" customHeight="1" x14ac:dyDescent="0.2">
      <c r="A39" s="44">
        <v>33</v>
      </c>
      <c r="B39" s="98" t="str">
        <f>IF(ISBLANK(Engagements!B38),"",(Engagements!B38))</f>
        <v/>
      </c>
      <c r="C39" s="98" t="str">
        <f>IF(ISBLANK(Engagements!C38),"",(Engagements!C38))</f>
        <v/>
      </c>
      <c r="D39" s="98" t="str">
        <f>IF(ISBLANK(Engagements!D38),"",(Engagements!D38))</f>
        <v/>
      </c>
      <c r="E39" s="98" t="str">
        <f>IF(ISBLANK(Engagements!E38),"",(Engagements!E38))</f>
        <v/>
      </c>
      <c r="F39" s="98" t="str">
        <f>IF(ISBLANK(Engagements!F38),"",(Engagements!F38))</f>
        <v/>
      </c>
      <c r="G39" s="598"/>
      <c r="H39" s="266"/>
      <c r="I39" s="265"/>
      <c r="J39" s="266"/>
      <c r="K39" s="265"/>
      <c r="L39" s="266"/>
      <c r="M39" s="601" t="str">
        <f t="shared" si="0"/>
        <v/>
      </c>
      <c r="N39" s="1033">
        <v>873</v>
      </c>
      <c r="O39" s="62" t="e">
        <f>IF(ISBLANK(#REF!),"",RANK(#REF!,classementindividuel))</f>
        <v>#REF!</v>
      </c>
      <c r="P39" s="1040" t="str">
        <f>IF(G39="","",SUM(G39:L42))</f>
        <v/>
      </c>
      <c r="Q39" s="1038">
        <f t="shared" ref="Q39" si="14">Q35+1</f>
        <v>9</v>
      </c>
      <c r="Y39" s="44"/>
    </row>
    <row r="40" spans="1:25" s="40" customFormat="1" ht="11.45" customHeight="1" x14ac:dyDescent="0.2">
      <c r="A40" s="44">
        <v>34</v>
      </c>
      <c r="B40" s="98" t="str">
        <f>IF(ISBLANK(Engagements!B39),"",(Engagements!B39))</f>
        <v/>
      </c>
      <c r="C40" s="98" t="str">
        <f>IF(ISBLANK(Engagements!C39),"",(Engagements!C39))</f>
        <v/>
      </c>
      <c r="D40" s="98" t="str">
        <f>IF(ISBLANK(Engagements!D39),"",(Engagements!D39))</f>
        <v/>
      </c>
      <c r="E40" s="98" t="str">
        <f>IF(ISBLANK(Engagements!E39),"",(Engagements!E39))</f>
        <v/>
      </c>
      <c r="F40" s="98" t="str">
        <f>IF(ISBLANK(Engagements!F39),"",(Engagements!F39))</f>
        <v/>
      </c>
      <c r="G40" s="265"/>
      <c r="H40" s="266"/>
      <c r="I40" s="265"/>
      <c r="J40" s="266"/>
      <c r="K40" s="265"/>
      <c r="L40" s="266"/>
      <c r="M40" s="601" t="str">
        <f t="shared" si="0"/>
        <v/>
      </c>
      <c r="N40" s="1034"/>
      <c r="O40" s="62" t="e">
        <f>IF(ISBLANK(#REF!),"",RANK(#REF!,classementindividuel))</f>
        <v>#REF!</v>
      </c>
      <c r="P40" s="1040"/>
      <c r="Q40" s="1038"/>
      <c r="Y40" s="44"/>
    </row>
    <row r="41" spans="1:25" s="40" customFormat="1" ht="11.45" customHeight="1" x14ac:dyDescent="0.2">
      <c r="A41" s="44">
        <v>35</v>
      </c>
      <c r="B41" s="98" t="str">
        <f>IF(ISBLANK(Engagements!B40),"",(Engagements!B40))</f>
        <v/>
      </c>
      <c r="C41" s="98" t="str">
        <f>IF(ISBLANK(Engagements!C40),"",(Engagements!C40))</f>
        <v/>
      </c>
      <c r="D41" s="98" t="str">
        <f>IF(ISBLANK(Engagements!D40),"",(Engagements!D40))</f>
        <v/>
      </c>
      <c r="E41" s="98" t="str">
        <f>IF(ISBLANK(Engagements!E40),"",(Engagements!E40))</f>
        <v/>
      </c>
      <c r="F41" s="98" t="str">
        <f>IF(ISBLANK(Engagements!F40),"",(Engagements!F40))</f>
        <v/>
      </c>
      <c r="G41" s="598"/>
      <c r="H41" s="266"/>
      <c r="I41" s="265"/>
      <c r="J41" s="266"/>
      <c r="K41" s="265"/>
      <c r="L41" s="266"/>
      <c r="M41" s="601" t="str">
        <f t="shared" si="0"/>
        <v/>
      </c>
      <c r="N41" s="1034"/>
      <c r="O41" s="62" t="e">
        <f>IF(ISBLANK(#REF!),"",RANK(#REF!,classementindividuel))</f>
        <v>#REF!</v>
      </c>
      <c r="P41" s="1040"/>
      <c r="Q41" s="1038"/>
      <c r="Y41" s="44"/>
    </row>
    <row r="42" spans="1:25" s="40" customFormat="1" ht="11.45" customHeight="1" x14ac:dyDescent="0.2">
      <c r="A42" s="44">
        <v>36</v>
      </c>
      <c r="B42" s="98" t="str">
        <f>IF(ISBLANK(Engagements!B41),"",(Engagements!B41))</f>
        <v/>
      </c>
      <c r="C42" s="98" t="str">
        <f>IF(ISBLANK(Engagements!C41),"",(Engagements!C41))</f>
        <v/>
      </c>
      <c r="D42" s="98" t="str">
        <f>IF(ISBLANK(Engagements!D41),"",(Engagements!D41))</f>
        <v/>
      </c>
      <c r="E42" s="98" t="str">
        <f>IF(ISBLANK(Engagements!E41),"",(Engagements!E41))</f>
        <v/>
      </c>
      <c r="F42" s="98" t="str">
        <f>IF(ISBLANK(Engagements!F41),"",(Engagements!F41))</f>
        <v/>
      </c>
      <c r="G42" s="265"/>
      <c r="H42" s="266"/>
      <c r="I42" s="265"/>
      <c r="J42" s="266"/>
      <c r="K42" s="265"/>
      <c r="L42" s="266"/>
      <c r="M42" s="601" t="str">
        <f t="shared" si="0"/>
        <v/>
      </c>
      <c r="N42" s="1035"/>
      <c r="O42" s="62" t="e">
        <f>IF(ISBLANK(#REF!),"",RANK(#REF!,classementindividuel))</f>
        <v>#REF!</v>
      </c>
      <c r="P42" s="1040"/>
      <c r="Q42" s="1038"/>
      <c r="Y42" s="44"/>
    </row>
    <row r="43" spans="1:25" s="40" customFormat="1" ht="11.45" customHeight="1" x14ac:dyDescent="0.2">
      <c r="A43" s="44">
        <v>37</v>
      </c>
      <c r="B43" s="98" t="str">
        <f>IF(ISBLANK(Engagements!B42),"",(Engagements!B42))</f>
        <v/>
      </c>
      <c r="C43" s="98" t="str">
        <f>IF(ISBLANK(Engagements!C42),"",(Engagements!C42))</f>
        <v/>
      </c>
      <c r="D43" s="98" t="str">
        <f>IF(ISBLANK(Engagements!D42),"",(Engagements!D42))</f>
        <v/>
      </c>
      <c r="E43" s="98" t="str">
        <f>IF(ISBLANK(Engagements!E42),"",(Engagements!E42))</f>
        <v/>
      </c>
      <c r="F43" s="98" t="str">
        <f>IF(ISBLANK(Engagements!F42),"",(Engagements!F42))</f>
        <v/>
      </c>
      <c r="G43" s="598"/>
      <c r="H43" s="266"/>
      <c r="I43" s="265"/>
      <c r="J43" s="266"/>
      <c r="K43" s="265"/>
      <c r="L43" s="266"/>
      <c r="M43" s="601" t="str">
        <f t="shared" si="0"/>
        <v/>
      </c>
      <c r="N43" s="1033">
        <v>938</v>
      </c>
      <c r="O43" s="62" t="e">
        <f>IF(ISBLANK(#REF!),"",RANK(#REF!,classementindividuel))</f>
        <v>#REF!</v>
      </c>
      <c r="P43" s="1040" t="str">
        <f>IF(G43="","",SUM(G43:L46))</f>
        <v/>
      </c>
      <c r="Q43" s="1038">
        <f t="shared" ref="Q43" si="15">Q39+1</f>
        <v>10</v>
      </c>
      <c r="Y43" s="44"/>
    </row>
    <row r="44" spans="1:25" s="40" customFormat="1" ht="11.45" customHeight="1" x14ac:dyDescent="0.2">
      <c r="A44" s="44">
        <v>38</v>
      </c>
      <c r="B44" s="98" t="str">
        <f>IF(ISBLANK(Engagements!B43),"",(Engagements!B43))</f>
        <v/>
      </c>
      <c r="C44" s="98" t="str">
        <f>IF(ISBLANK(Engagements!C43),"",(Engagements!C43))</f>
        <v/>
      </c>
      <c r="D44" s="98" t="str">
        <f>IF(ISBLANK(Engagements!D43),"",(Engagements!D43))</f>
        <v/>
      </c>
      <c r="E44" s="98" t="str">
        <f>IF(ISBLANK(Engagements!E43),"",(Engagements!E43))</f>
        <v/>
      </c>
      <c r="F44" s="98" t="str">
        <f>IF(ISBLANK(Engagements!F43),"",(Engagements!F43))</f>
        <v/>
      </c>
      <c r="G44" s="265"/>
      <c r="H44" s="266"/>
      <c r="I44" s="265"/>
      <c r="J44" s="266"/>
      <c r="K44" s="265"/>
      <c r="L44" s="266"/>
      <c r="M44" s="601" t="str">
        <f t="shared" si="0"/>
        <v/>
      </c>
      <c r="N44" s="1034"/>
      <c r="O44" s="62" t="e">
        <f>IF(ISBLANK(#REF!),"",RANK(#REF!,classementindividuel))</f>
        <v>#REF!</v>
      </c>
      <c r="P44" s="1040"/>
      <c r="Q44" s="1038"/>
      <c r="Y44" s="44"/>
    </row>
    <row r="45" spans="1:25" s="40" customFormat="1" ht="11.45" customHeight="1" x14ac:dyDescent="0.2">
      <c r="A45" s="44">
        <v>39</v>
      </c>
      <c r="B45" s="98" t="str">
        <f>IF(ISBLANK(Engagements!B44),"",(Engagements!B44))</f>
        <v/>
      </c>
      <c r="C45" s="98" t="str">
        <f>IF(ISBLANK(Engagements!C44),"",(Engagements!C44))</f>
        <v/>
      </c>
      <c r="D45" s="98" t="str">
        <f>IF(ISBLANK(Engagements!D44),"",(Engagements!D44))</f>
        <v/>
      </c>
      <c r="E45" s="98" t="str">
        <f>IF(ISBLANK(Engagements!E44),"",(Engagements!E44))</f>
        <v/>
      </c>
      <c r="F45" s="98" t="str">
        <f>IF(ISBLANK(Engagements!F44),"",(Engagements!F44))</f>
        <v/>
      </c>
      <c r="G45" s="598"/>
      <c r="H45" s="266"/>
      <c r="I45" s="265"/>
      <c r="J45" s="266"/>
      <c r="K45" s="265"/>
      <c r="L45" s="266"/>
      <c r="M45" s="601" t="str">
        <f t="shared" si="0"/>
        <v/>
      </c>
      <c r="N45" s="1034"/>
      <c r="O45" s="62" t="e">
        <f>IF(ISBLANK(#REF!),"",RANK(#REF!,classementindividuel))</f>
        <v>#REF!</v>
      </c>
      <c r="P45" s="1040"/>
      <c r="Q45" s="1038"/>
      <c r="Y45" s="44"/>
    </row>
    <row r="46" spans="1:25" s="40" customFormat="1" ht="11.45" customHeight="1" x14ac:dyDescent="0.2">
      <c r="A46" s="44">
        <v>40</v>
      </c>
      <c r="B46" s="98" t="str">
        <f>IF(ISBLANK(Engagements!B45),"",(Engagements!B45))</f>
        <v/>
      </c>
      <c r="C46" s="98" t="str">
        <f>IF(ISBLANK(Engagements!C45),"",(Engagements!C45))</f>
        <v/>
      </c>
      <c r="D46" s="98" t="str">
        <f>IF(ISBLANK(Engagements!D45),"",(Engagements!D45))</f>
        <v/>
      </c>
      <c r="E46" s="98" t="str">
        <f>IF(ISBLANK(Engagements!E45),"",(Engagements!E45))</f>
        <v/>
      </c>
      <c r="F46" s="98" t="str">
        <f>IF(ISBLANK(Engagements!F45),"",(Engagements!F45))</f>
        <v/>
      </c>
      <c r="G46" s="265"/>
      <c r="H46" s="266"/>
      <c r="I46" s="265"/>
      <c r="J46" s="266"/>
      <c r="K46" s="265"/>
      <c r="L46" s="266"/>
      <c r="M46" s="601" t="str">
        <f t="shared" si="0"/>
        <v/>
      </c>
      <c r="N46" s="1035"/>
      <c r="O46" s="62" t="e">
        <f>IF(ISBLANK(#REF!),"",RANK(#REF!,classementindividuel))</f>
        <v>#REF!</v>
      </c>
      <c r="P46" s="1040"/>
      <c r="Q46" s="1038"/>
      <c r="Y46" s="44"/>
    </row>
    <row r="47" spans="1:25" s="40" customFormat="1" ht="11.45" customHeight="1" x14ac:dyDescent="0.2">
      <c r="A47" s="44">
        <v>41</v>
      </c>
      <c r="B47" s="98" t="str">
        <f>IF(ISBLANK(Engagements!B46),"",(Engagements!B46))</f>
        <v/>
      </c>
      <c r="C47" s="98" t="str">
        <f>IF(ISBLANK(Engagements!C46),"",(Engagements!C46))</f>
        <v/>
      </c>
      <c r="D47" s="98" t="str">
        <f>IF(ISBLANK(Engagements!D46),"",(Engagements!D46))</f>
        <v/>
      </c>
      <c r="E47" s="98" t="str">
        <f>IF(ISBLANK(Engagements!E46),"",(Engagements!E46))</f>
        <v/>
      </c>
      <c r="F47" s="98" t="str">
        <f>IF(ISBLANK(Engagements!F46),"",(Engagements!F46))</f>
        <v/>
      </c>
      <c r="G47" s="598"/>
      <c r="H47" s="266"/>
      <c r="I47" s="265"/>
      <c r="J47" s="266"/>
      <c r="K47" s="265"/>
      <c r="L47" s="266"/>
      <c r="M47" s="601" t="str">
        <f t="shared" si="0"/>
        <v/>
      </c>
      <c r="N47" s="1033">
        <v>847</v>
      </c>
      <c r="O47" s="62" t="e">
        <f>IF(ISBLANK(#REF!),"",RANK(#REF!,classementindividuel))</f>
        <v>#REF!</v>
      </c>
      <c r="P47" s="1040" t="str">
        <f>IF(G47="","",SUM(G47:L50))</f>
        <v/>
      </c>
      <c r="Q47" s="1038">
        <f t="shared" ref="Q47" si="16">Q43+1</f>
        <v>11</v>
      </c>
      <c r="Y47" s="44"/>
    </row>
    <row r="48" spans="1:25" s="40" customFormat="1" ht="11.45" customHeight="1" x14ac:dyDescent="0.2">
      <c r="A48" s="44">
        <v>42</v>
      </c>
      <c r="B48" s="98" t="str">
        <f>IF(ISBLANK(Engagements!B47),"",(Engagements!B47))</f>
        <v/>
      </c>
      <c r="C48" s="98" t="str">
        <f>IF(ISBLANK(Engagements!C47),"",(Engagements!C47))</f>
        <v/>
      </c>
      <c r="D48" s="98" t="str">
        <f>IF(ISBLANK(Engagements!D47),"",(Engagements!D47))</f>
        <v/>
      </c>
      <c r="E48" s="98" t="str">
        <f>IF(ISBLANK(Engagements!E47),"",(Engagements!E47))</f>
        <v/>
      </c>
      <c r="F48" s="98" t="str">
        <f>IF(ISBLANK(Engagements!F47),"",(Engagements!F47))</f>
        <v/>
      </c>
      <c r="G48" s="265"/>
      <c r="H48" s="266"/>
      <c r="I48" s="265"/>
      <c r="J48" s="266"/>
      <c r="K48" s="265"/>
      <c r="L48" s="266"/>
      <c r="M48" s="601" t="str">
        <f t="shared" si="0"/>
        <v/>
      </c>
      <c r="N48" s="1034"/>
      <c r="O48" s="62" t="e">
        <f>IF(ISBLANK(#REF!),"",RANK(#REF!,classementindividuel))</f>
        <v>#REF!</v>
      </c>
      <c r="P48" s="1040"/>
      <c r="Q48" s="1038"/>
      <c r="Y48" s="44"/>
    </row>
    <row r="49" spans="1:25" s="40" customFormat="1" ht="11.45" customHeight="1" x14ac:dyDescent="0.2">
      <c r="A49" s="44">
        <v>43</v>
      </c>
      <c r="B49" s="98" t="str">
        <f>IF(ISBLANK(Engagements!B48),"",(Engagements!B48))</f>
        <v/>
      </c>
      <c r="C49" s="98" t="str">
        <f>IF(ISBLANK(Engagements!C48),"",(Engagements!C48))</f>
        <v/>
      </c>
      <c r="D49" s="98" t="str">
        <f>IF(ISBLANK(Engagements!D48),"",(Engagements!D48))</f>
        <v/>
      </c>
      <c r="E49" s="98" t="str">
        <f>IF(ISBLANK(Engagements!E48),"",(Engagements!E48))</f>
        <v/>
      </c>
      <c r="F49" s="98" t="str">
        <f>IF(ISBLANK(Engagements!F48),"",(Engagements!F48))</f>
        <v/>
      </c>
      <c r="G49" s="598"/>
      <c r="H49" s="266"/>
      <c r="I49" s="265"/>
      <c r="J49" s="266"/>
      <c r="K49" s="265"/>
      <c r="L49" s="266"/>
      <c r="M49" s="601" t="str">
        <f t="shared" si="0"/>
        <v/>
      </c>
      <c r="N49" s="1034"/>
      <c r="O49" s="62" t="e">
        <f>IF(ISBLANK(#REF!),"",RANK(#REF!,classementindividuel))</f>
        <v>#REF!</v>
      </c>
      <c r="P49" s="1040"/>
      <c r="Q49" s="1038"/>
      <c r="Y49" s="44"/>
    </row>
    <row r="50" spans="1:25" s="40" customFormat="1" ht="11.45" customHeight="1" x14ac:dyDescent="0.2">
      <c r="A50" s="44">
        <v>44</v>
      </c>
      <c r="B50" s="98" t="str">
        <f>IF(ISBLANK(Engagements!B49),"",(Engagements!B49))</f>
        <v/>
      </c>
      <c r="C50" s="98" t="str">
        <f>IF(ISBLANK(Engagements!C49),"",(Engagements!C49))</f>
        <v/>
      </c>
      <c r="D50" s="98" t="str">
        <f>IF(ISBLANK(Engagements!D49),"",(Engagements!D49))</f>
        <v/>
      </c>
      <c r="E50" s="98" t="str">
        <f>IF(ISBLANK(Engagements!E49),"",(Engagements!E49))</f>
        <v/>
      </c>
      <c r="F50" s="98" t="str">
        <f>IF(ISBLANK(Engagements!F49),"",(Engagements!F49))</f>
        <v/>
      </c>
      <c r="G50" s="265"/>
      <c r="H50" s="266"/>
      <c r="I50" s="265"/>
      <c r="J50" s="266"/>
      <c r="K50" s="265"/>
      <c r="L50" s="266"/>
      <c r="M50" s="601" t="str">
        <f t="shared" si="0"/>
        <v/>
      </c>
      <c r="N50" s="1035"/>
      <c r="O50" s="62" t="e">
        <f>IF(ISBLANK(#REF!),"",RANK(#REF!,classementindividuel))</f>
        <v>#REF!</v>
      </c>
      <c r="P50" s="1040"/>
      <c r="Q50" s="1038"/>
      <c r="Y50" s="44"/>
    </row>
    <row r="51" spans="1:25" s="40" customFormat="1" ht="11.45" customHeight="1" x14ac:dyDescent="0.2">
      <c r="A51" s="44">
        <v>45</v>
      </c>
      <c r="B51" s="98" t="str">
        <f>IF(ISBLANK(Engagements!B50),"",(Engagements!B50))</f>
        <v/>
      </c>
      <c r="C51" s="98" t="str">
        <f>IF(ISBLANK(Engagements!C50),"",(Engagements!C50))</f>
        <v/>
      </c>
      <c r="D51" s="98" t="str">
        <f>IF(ISBLANK(Engagements!D50),"",(Engagements!D50))</f>
        <v/>
      </c>
      <c r="E51" s="98" t="str">
        <f>IF(ISBLANK(Engagements!E50),"",(Engagements!E50))</f>
        <v/>
      </c>
      <c r="F51" s="98" t="str">
        <f>IF(ISBLANK(Engagements!F50),"",(Engagements!F50))</f>
        <v/>
      </c>
      <c r="G51" s="598"/>
      <c r="H51" s="266"/>
      <c r="I51" s="265"/>
      <c r="J51" s="266"/>
      <c r="K51" s="265"/>
      <c r="L51" s="266"/>
      <c r="M51" s="601" t="str">
        <f t="shared" si="0"/>
        <v/>
      </c>
      <c r="N51" s="1033">
        <v>817</v>
      </c>
      <c r="O51" s="62" t="e">
        <f>IF(ISBLANK(#REF!),"",RANK(#REF!,classementindividuel))</f>
        <v>#REF!</v>
      </c>
      <c r="P51" s="1040" t="str">
        <f>IF(G51="","",SUM(G51:L54))</f>
        <v/>
      </c>
      <c r="Q51" s="1038">
        <f t="shared" ref="Q51" si="17">Q47+1</f>
        <v>12</v>
      </c>
      <c r="Y51" s="44"/>
    </row>
    <row r="52" spans="1:25" s="40" customFormat="1" ht="11.45" customHeight="1" x14ac:dyDescent="0.2">
      <c r="A52" s="44">
        <v>46</v>
      </c>
      <c r="B52" s="98" t="str">
        <f>IF(ISBLANK(Engagements!B51),"",(Engagements!B51))</f>
        <v/>
      </c>
      <c r="C52" s="98" t="str">
        <f>IF(ISBLANK(Engagements!C51),"",(Engagements!C51))</f>
        <v/>
      </c>
      <c r="D52" s="98" t="str">
        <f>IF(ISBLANK(Engagements!D51),"",(Engagements!D51))</f>
        <v/>
      </c>
      <c r="E52" s="98" t="str">
        <f>IF(ISBLANK(Engagements!E51),"",(Engagements!E51))</f>
        <v/>
      </c>
      <c r="F52" s="98" t="str">
        <f>IF(ISBLANK(Engagements!F51),"",(Engagements!F51))</f>
        <v/>
      </c>
      <c r="G52" s="265"/>
      <c r="H52" s="266"/>
      <c r="I52" s="265"/>
      <c r="J52" s="266"/>
      <c r="K52" s="265"/>
      <c r="L52" s="266"/>
      <c r="M52" s="601" t="str">
        <f t="shared" si="0"/>
        <v/>
      </c>
      <c r="N52" s="1034"/>
      <c r="O52" s="62" t="e">
        <f>IF(ISBLANK(#REF!),"",RANK(#REF!,classementindividuel))</f>
        <v>#REF!</v>
      </c>
      <c r="P52" s="1040"/>
      <c r="Q52" s="1038"/>
      <c r="Y52" s="44"/>
    </row>
    <row r="53" spans="1:25" s="40" customFormat="1" ht="11.45" customHeight="1" x14ac:dyDescent="0.2">
      <c r="A53" s="44">
        <v>47</v>
      </c>
      <c r="B53" s="98" t="str">
        <f>IF(ISBLANK(Engagements!B52),"",(Engagements!B52))</f>
        <v/>
      </c>
      <c r="C53" s="98" t="str">
        <f>IF(ISBLANK(Engagements!C52),"",(Engagements!C52))</f>
        <v/>
      </c>
      <c r="D53" s="98" t="str">
        <f>IF(ISBLANK(Engagements!D52),"",(Engagements!D52))</f>
        <v/>
      </c>
      <c r="E53" s="98" t="str">
        <f>IF(ISBLANK(Engagements!E52),"",(Engagements!E52))</f>
        <v/>
      </c>
      <c r="F53" s="98" t="str">
        <f>IF(ISBLANK(Engagements!F52),"",(Engagements!F52))</f>
        <v/>
      </c>
      <c r="G53" s="598"/>
      <c r="H53" s="266"/>
      <c r="I53" s="265"/>
      <c r="J53" s="266"/>
      <c r="K53" s="265"/>
      <c r="L53" s="266"/>
      <c r="M53" s="601" t="str">
        <f t="shared" si="0"/>
        <v/>
      </c>
      <c r="N53" s="1034"/>
      <c r="O53" s="62" t="e">
        <f>IF(ISBLANK(#REF!),"",RANK(#REF!,classementindividuel))</f>
        <v>#REF!</v>
      </c>
      <c r="P53" s="1040"/>
      <c r="Q53" s="1038"/>
      <c r="Y53" s="44"/>
    </row>
    <row r="54" spans="1:25" s="40" customFormat="1" ht="11.45" customHeight="1" x14ac:dyDescent="0.2">
      <c r="A54" s="44">
        <v>48</v>
      </c>
      <c r="B54" s="98" t="str">
        <f>IF(ISBLANK(Engagements!B53),"",(Engagements!B53))</f>
        <v/>
      </c>
      <c r="C54" s="98" t="str">
        <f>IF(ISBLANK(Engagements!C53),"",(Engagements!C53))</f>
        <v/>
      </c>
      <c r="D54" s="98" t="str">
        <f>IF(ISBLANK(Engagements!D53),"",(Engagements!D53))</f>
        <v/>
      </c>
      <c r="E54" s="98" t="str">
        <f>IF(ISBLANK(Engagements!E53),"",(Engagements!E53))</f>
        <v/>
      </c>
      <c r="F54" s="98" t="str">
        <f>IF(ISBLANK(Engagements!F53),"",(Engagements!F53))</f>
        <v/>
      </c>
      <c r="G54" s="265"/>
      <c r="H54" s="266"/>
      <c r="I54" s="265"/>
      <c r="J54" s="266"/>
      <c r="K54" s="265"/>
      <c r="L54" s="266"/>
      <c r="M54" s="601" t="str">
        <f t="shared" si="0"/>
        <v/>
      </c>
      <c r="N54" s="1035"/>
      <c r="O54" s="62" t="e">
        <f>IF(ISBLANK(#REF!),"",RANK(#REF!,classementindividuel))</f>
        <v>#REF!</v>
      </c>
      <c r="P54" s="1040"/>
      <c r="Q54" s="1038"/>
      <c r="Y54" s="44"/>
    </row>
    <row r="55" spans="1:25" s="40" customFormat="1" ht="11.45" customHeight="1" x14ac:dyDescent="0.2">
      <c r="A55" s="44">
        <v>49</v>
      </c>
      <c r="B55" s="98" t="str">
        <f>IF(ISBLANK(Engagements!B54),"",(Engagements!B54))</f>
        <v/>
      </c>
      <c r="C55" s="98" t="str">
        <f>IF(ISBLANK(Engagements!C54),"",(Engagements!C54))</f>
        <v/>
      </c>
      <c r="D55" s="98" t="str">
        <f>IF(ISBLANK(Engagements!D54),"",(Engagements!D54))</f>
        <v/>
      </c>
      <c r="E55" s="98" t="str">
        <f>IF(ISBLANK(Engagements!E54),"",(Engagements!E54))</f>
        <v/>
      </c>
      <c r="F55" s="98" t="str">
        <f>IF(ISBLANK(Engagements!F54),"",(Engagements!F54))</f>
        <v/>
      </c>
      <c r="G55" s="598"/>
      <c r="H55" s="266"/>
      <c r="I55" s="265"/>
      <c r="J55" s="266"/>
      <c r="K55" s="265"/>
      <c r="L55" s="266"/>
      <c r="M55" s="601" t="str">
        <f t="shared" si="0"/>
        <v/>
      </c>
      <c r="N55" s="1033">
        <v>782</v>
      </c>
      <c r="O55" s="62" t="e">
        <f>IF(ISBLANK(#REF!),"",RANK(#REF!,classementindividuel))</f>
        <v>#REF!</v>
      </c>
      <c r="P55" s="1040" t="str">
        <f>IF(G55="","",SUM(G55:L58))</f>
        <v/>
      </c>
      <c r="Q55" s="1038">
        <f t="shared" ref="Q55" si="18">Q51+1</f>
        <v>13</v>
      </c>
      <c r="Y55" s="44"/>
    </row>
    <row r="56" spans="1:25" s="40" customFormat="1" ht="11.45" customHeight="1" x14ac:dyDescent="0.2">
      <c r="A56" s="44">
        <v>50</v>
      </c>
      <c r="B56" s="98" t="str">
        <f>IF(ISBLANK(Engagements!B55),"",(Engagements!B55))</f>
        <v/>
      </c>
      <c r="C56" s="98" t="str">
        <f>IF(ISBLANK(Engagements!C55),"",(Engagements!C55))</f>
        <v/>
      </c>
      <c r="D56" s="98" t="str">
        <f>IF(ISBLANK(Engagements!D55),"",(Engagements!D55))</f>
        <v/>
      </c>
      <c r="E56" s="98" t="str">
        <f>IF(ISBLANK(Engagements!E55),"",(Engagements!E55))</f>
        <v/>
      </c>
      <c r="F56" s="98" t="str">
        <f>IF(ISBLANK(Engagements!F55),"",(Engagements!F55))</f>
        <v/>
      </c>
      <c r="G56" s="265"/>
      <c r="H56" s="266"/>
      <c r="I56" s="265"/>
      <c r="J56" s="266"/>
      <c r="K56" s="265"/>
      <c r="L56" s="266"/>
      <c r="M56" s="601" t="str">
        <f t="shared" si="0"/>
        <v/>
      </c>
      <c r="N56" s="1034"/>
      <c r="O56" s="62" t="e">
        <f>IF(ISBLANK(#REF!),"",RANK(#REF!,classementindividuel))</f>
        <v>#REF!</v>
      </c>
      <c r="P56" s="1040"/>
      <c r="Q56" s="1038"/>
      <c r="Y56" s="44"/>
    </row>
    <row r="57" spans="1:25" s="40" customFormat="1" ht="11.45" customHeight="1" x14ac:dyDescent="0.2">
      <c r="A57" s="44">
        <v>51</v>
      </c>
      <c r="B57" s="98" t="str">
        <f>IF(ISBLANK(Engagements!B56),"",(Engagements!B56))</f>
        <v/>
      </c>
      <c r="C57" s="98" t="str">
        <f>IF(ISBLANK(Engagements!C56),"",(Engagements!C56))</f>
        <v/>
      </c>
      <c r="D57" s="98" t="str">
        <f>IF(ISBLANK(Engagements!D56),"",(Engagements!D56))</f>
        <v/>
      </c>
      <c r="E57" s="98" t="str">
        <f>IF(ISBLANK(Engagements!E56),"",(Engagements!E56))</f>
        <v/>
      </c>
      <c r="F57" s="98" t="str">
        <f>IF(ISBLANK(Engagements!F56),"",(Engagements!F56))</f>
        <v/>
      </c>
      <c r="G57" s="598"/>
      <c r="H57" s="266"/>
      <c r="I57" s="265"/>
      <c r="J57" s="266"/>
      <c r="K57" s="265"/>
      <c r="L57" s="266"/>
      <c r="M57" s="601" t="str">
        <f t="shared" si="0"/>
        <v/>
      </c>
      <c r="N57" s="1034"/>
      <c r="O57" s="62" t="e">
        <f>IF(ISBLANK(#REF!),"",RANK(#REF!,classementindividuel))</f>
        <v>#REF!</v>
      </c>
      <c r="P57" s="1040"/>
      <c r="Q57" s="1038"/>
      <c r="Y57" s="44"/>
    </row>
    <row r="58" spans="1:25" s="40" customFormat="1" ht="11.45" customHeight="1" x14ac:dyDescent="0.2">
      <c r="A58" s="44">
        <v>52</v>
      </c>
      <c r="B58" s="98" t="str">
        <f>IF(ISBLANK(Engagements!B57),"",(Engagements!B57))</f>
        <v/>
      </c>
      <c r="C58" s="98" t="str">
        <f>IF(ISBLANK(Engagements!C57),"",(Engagements!C57))</f>
        <v/>
      </c>
      <c r="D58" s="98" t="str">
        <f>IF(ISBLANK(Engagements!D57),"",(Engagements!D57))</f>
        <v/>
      </c>
      <c r="E58" s="98" t="str">
        <f>IF(ISBLANK(Engagements!E57),"",(Engagements!E57))</f>
        <v/>
      </c>
      <c r="F58" s="98" t="str">
        <f>IF(ISBLANK(Engagements!F57),"",(Engagements!F57))</f>
        <v/>
      </c>
      <c r="G58" s="265"/>
      <c r="H58" s="266"/>
      <c r="I58" s="265"/>
      <c r="J58" s="266"/>
      <c r="K58" s="265"/>
      <c r="L58" s="266"/>
      <c r="M58" s="601" t="str">
        <f t="shared" si="0"/>
        <v/>
      </c>
      <c r="N58" s="1035"/>
      <c r="O58" s="62" t="e">
        <f>IF(ISBLANK(#REF!),"",RANK(#REF!,classementindividuel))</f>
        <v>#REF!</v>
      </c>
      <c r="P58" s="1040"/>
      <c r="Q58" s="1038"/>
      <c r="Y58" s="44"/>
    </row>
    <row r="59" spans="1:25" s="40" customFormat="1" ht="11.45" customHeight="1" x14ac:dyDescent="0.2">
      <c r="A59" s="44">
        <v>53</v>
      </c>
      <c r="B59" s="98" t="str">
        <f>IF(ISBLANK(Engagements!B58),"",(Engagements!B58))</f>
        <v/>
      </c>
      <c r="C59" s="98" t="str">
        <f>IF(ISBLANK(Engagements!C58),"",(Engagements!C58))</f>
        <v/>
      </c>
      <c r="D59" s="98" t="str">
        <f>IF(ISBLANK(Engagements!D58),"",(Engagements!D58))</f>
        <v/>
      </c>
      <c r="E59" s="98" t="str">
        <f>IF(ISBLANK(Engagements!E58),"",(Engagements!E58))</f>
        <v/>
      </c>
      <c r="F59" s="98" t="str">
        <f>IF(ISBLANK(Engagements!F58),"",(Engagements!F58))</f>
        <v/>
      </c>
      <c r="G59" s="598"/>
      <c r="H59" s="266"/>
      <c r="I59" s="265"/>
      <c r="J59" s="266"/>
      <c r="K59" s="265"/>
      <c r="L59" s="266"/>
      <c r="M59" s="601" t="str">
        <f t="shared" si="0"/>
        <v/>
      </c>
      <c r="N59" s="1033"/>
      <c r="O59" s="62" t="e">
        <f>IF(ISBLANK(#REF!),"",RANK(#REF!,classementindividuel))</f>
        <v>#REF!</v>
      </c>
      <c r="P59" s="1040" t="str">
        <f>IF(G59="","",SUM(G59:L62))</f>
        <v/>
      </c>
      <c r="Q59" s="1038">
        <f t="shared" ref="Q59" si="19">Q55+1</f>
        <v>14</v>
      </c>
      <c r="Y59" s="44"/>
    </row>
    <row r="60" spans="1:25" s="40" customFormat="1" ht="11.45" customHeight="1" x14ac:dyDescent="0.2">
      <c r="A60" s="44">
        <v>54</v>
      </c>
      <c r="B60" s="98" t="str">
        <f>IF(ISBLANK(Engagements!B59),"",(Engagements!B59))</f>
        <v/>
      </c>
      <c r="C60" s="98" t="str">
        <f>IF(ISBLANK(Engagements!C59),"",(Engagements!C59))</f>
        <v/>
      </c>
      <c r="D60" s="98" t="str">
        <f>IF(ISBLANK(Engagements!D59),"",(Engagements!D59))</f>
        <v/>
      </c>
      <c r="E60" s="98" t="str">
        <f>IF(ISBLANK(Engagements!E59),"",(Engagements!E59))</f>
        <v/>
      </c>
      <c r="F60" s="98" t="str">
        <f>IF(ISBLANK(Engagements!F59),"",(Engagements!F59))</f>
        <v/>
      </c>
      <c r="G60" s="265"/>
      <c r="H60" s="266"/>
      <c r="I60" s="265"/>
      <c r="J60" s="266"/>
      <c r="K60" s="265"/>
      <c r="L60" s="266"/>
      <c r="M60" s="601" t="str">
        <f t="shared" si="0"/>
        <v/>
      </c>
      <c r="N60" s="1034"/>
      <c r="O60" s="62" t="e">
        <f>IF(ISBLANK(#REF!),"",RANK(#REF!,classementindividuel))</f>
        <v>#REF!</v>
      </c>
      <c r="P60" s="1040"/>
      <c r="Q60" s="1038"/>
      <c r="Y60" s="44"/>
    </row>
    <row r="61" spans="1:25" s="40" customFormat="1" ht="11.45" customHeight="1" x14ac:dyDescent="0.2">
      <c r="A61" s="44">
        <v>55</v>
      </c>
      <c r="B61" s="98" t="str">
        <f>IF(ISBLANK(Engagements!B60),"",(Engagements!B60))</f>
        <v/>
      </c>
      <c r="C61" s="98" t="str">
        <f>IF(ISBLANK(Engagements!C60),"",(Engagements!C60))</f>
        <v/>
      </c>
      <c r="D61" s="98" t="str">
        <f>IF(ISBLANK(Engagements!D60),"",(Engagements!D60))</f>
        <v/>
      </c>
      <c r="E61" s="98" t="str">
        <f>IF(ISBLANK(Engagements!E60),"",(Engagements!E60))</f>
        <v/>
      </c>
      <c r="F61" s="98" t="str">
        <f>IF(ISBLANK(Engagements!F60),"",(Engagements!F60))</f>
        <v/>
      </c>
      <c r="G61" s="598"/>
      <c r="H61" s="266"/>
      <c r="I61" s="265"/>
      <c r="J61" s="266"/>
      <c r="K61" s="265"/>
      <c r="L61" s="266"/>
      <c r="M61" s="601" t="str">
        <f t="shared" si="0"/>
        <v/>
      </c>
      <c r="N61" s="1034"/>
      <c r="O61" s="62" t="e">
        <f>IF(ISBLANK(#REF!),"",RANK(#REF!,classementindividuel))</f>
        <v>#REF!</v>
      </c>
      <c r="P61" s="1040"/>
      <c r="Q61" s="1038"/>
      <c r="Y61" s="44"/>
    </row>
    <row r="62" spans="1:25" s="40" customFormat="1" ht="11.45" customHeight="1" x14ac:dyDescent="0.2">
      <c r="A62" s="44">
        <v>56</v>
      </c>
      <c r="B62" s="98" t="str">
        <f>IF(ISBLANK(Engagements!B61),"",(Engagements!B61))</f>
        <v/>
      </c>
      <c r="C62" s="98" t="str">
        <f>IF(ISBLANK(Engagements!C61),"",(Engagements!C61))</f>
        <v/>
      </c>
      <c r="D62" s="98" t="str">
        <f>IF(ISBLANK(Engagements!D61),"",(Engagements!D61))</f>
        <v/>
      </c>
      <c r="E62" s="98" t="str">
        <f>IF(ISBLANK(Engagements!E61),"",(Engagements!E61))</f>
        <v/>
      </c>
      <c r="F62" s="98" t="str">
        <f>IF(ISBLANK(Engagements!F61),"",(Engagements!F61))</f>
        <v/>
      </c>
      <c r="G62" s="265"/>
      <c r="H62" s="266"/>
      <c r="I62" s="265"/>
      <c r="J62" s="266"/>
      <c r="K62" s="265"/>
      <c r="L62" s="266"/>
      <c r="M62" s="601" t="str">
        <f t="shared" si="0"/>
        <v/>
      </c>
      <c r="N62" s="1035"/>
      <c r="O62" s="62" t="e">
        <f>IF(ISBLANK(#REF!),"",RANK(#REF!,classementindividuel))</f>
        <v>#REF!</v>
      </c>
      <c r="P62" s="1040"/>
      <c r="Q62" s="1038"/>
      <c r="Y62" s="44"/>
    </row>
    <row r="63" spans="1:25" s="40" customFormat="1" ht="11.45" customHeight="1" x14ac:dyDescent="0.2">
      <c r="A63" s="44">
        <v>57</v>
      </c>
      <c r="B63" s="98" t="str">
        <f>IF(ISBLANK(Engagements!B62),"",(Engagements!B62))</f>
        <v/>
      </c>
      <c r="C63" s="98" t="str">
        <f>IF(ISBLANK(Engagements!C62),"",(Engagements!C62))</f>
        <v/>
      </c>
      <c r="D63" s="98" t="str">
        <f>IF(ISBLANK(Engagements!D62),"",(Engagements!D62))</f>
        <v/>
      </c>
      <c r="E63" s="98" t="str">
        <f>IF(ISBLANK(Engagements!E62),"",(Engagements!E62))</f>
        <v/>
      </c>
      <c r="F63" s="98" t="str">
        <f>IF(ISBLANK(Engagements!F62),"",(Engagements!F62))</f>
        <v/>
      </c>
      <c r="G63" s="598"/>
      <c r="H63" s="266"/>
      <c r="I63" s="265"/>
      <c r="J63" s="266"/>
      <c r="K63" s="265"/>
      <c r="L63" s="266"/>
      <c r="M63" s="601" t="str">
        <f t="shared" si="0"/>
        <v/>
      </c>
      <c r="N63" s="1033"/>
      <c r="O63" s="62" t="e">
        <f>IF(ISBLANK(#REF!),"",RANK(#REF!,classementindividuel))</f>
        <v>#REF!</v>
      </c>
      <c r="P63" s="1040" t="str">
        <f>IF(G63="","",SUM(G63:L66))</f>
        <v/>
      </c>
      <c r="Q63" s="1038">
        <f t="shared" ref="Q63" si="20">Q59+1</f>
        <v>15</v>
      </c>
      <c r="Y63" s="44"/>
    </row>
    <row r="64" spans="1:25" s="40" customFormat="1" ht="11.45" customHeight="1" x14ac:dyDescent="0.2">
      <c r="A64" s="44">
        <v>58</v>
      </c>
      <c r="B64" s="98" t="str">
        <f>IF(ISBLANK(Engagements!B63),"",(Engagements!B63))</f>
        <v/>
      </c>
      <c r="C64" s="98" t="str">
        <f>IF(ISBLANK(Engagements!C63),"",(Engagements!C63))</f>
        <v/>
      </c>
      <c r="D64" s="98" t="str">
        <f>IF(ISBLANK(Engagements!D63),"",(Engagements!D63))</f>
        <v/>
      </c>
      <c r="E64" s="98" t="str">
        <f>IF(ISBLANK(Engagements!E63),"",(Engagements!E63))</f>
        <v/>
      </c>
      <c r="F64" s="98" t="str">
        <f>IF(ISBLANK(Engagements!F63),"",(Engagements!F63))</f>
        <v/>
      </c>
      <c r="G64" s="265"/>
      <c r="H64" s="266"/>
      <c r="I64" s="265"/>
      <c r="J64" s="266"/>
      <c r="K64" s="265"/>
      <c r="L64" s="266"/>
      <c r="M64" s="601" t="str">
        <f t="shared" si="0"/>
        <v/>
      </c>
      <c r="N64" s="1034"/>
      <c r="O64" s="62" t="e">
        <f>IF(ISBLANK(#REF!),"",RANK(#REF!,classementindividuel))</f>
        <v>#REF!</v>
      </c>
      <c r="P64" s="1040"/>
      <c r="Q64" s="1038"/>
      <c r="Y64" s="44"/>
    </row>
    <row r="65" spans="1:25" s="40" customFormat="1" ht="11.45" customHeight="1" x14ac:dyDescent="0.2">
      <c r="A65" s="44">
        <v>59</v>
      </c>
      <c r="B65" s="98" t="str">
        <f>IF(ISBLANK(Engagements!B64),"",(Engagements!B64))</f>
        <v/>
      </c>
      <c r="C65" s="98" t="str">
        <f>IF(ISBLANK(Engagements!C64),"",(Engagements!C64))</f>
        <v/>
      </c>
      <c r="D65" s="98" t="str">
        <f>IF(ISBLANK(Engagements!D64),"",(Engagements!D64))</f>
        <v/>
      </c>
      <c r="E65" s="98" t="str">
        <f>IF(ISBLANK(Engagements!E64),"",(Engagements!E64))</f>
        <v/>
      </c>
      <c r="F65" s="98" t="str">
        <f>IF(ISBLANK(Engagements!F64),"",(Engagements!F64))</f>
        <v/>
      </c>
      <c r="G65" s="598"/>
      <c r="H65" s="266"/>
      <c r="I65" s="265"/>
      <c r="J65" s="266"/>
      <c r="K65" s="265"/>
      <c r="L65" s="266"/>
      <c r="M65" s="601" t="str">
        <f t="shared" si="0"/>
        <v/>
      </c>
      <c r="N65" s="1034"/>
      <c r="O65" s="62" t="e">
        <f>IF(ISBLANK(#REF!),"",RANK(#REF!,classementindividuel))</f>
        <v>#REF!</v>
      </c>
      <c r="P65" s="1040"/>
      <c r="Q65" s="1038"/>
      <c r="Y65" s="44"/>
    </row>
    <row r="66" spans="1:25" s="40" customFormat="1" ht="11.45" customHeight="1" x14ac:dyDescent="0.2">
      <c r="A66" s="44">
        <v>60</v>
      </c>
      <c r="B66" s="98" t="str">
        <f>IF(ISBLANK(Engagements!B65),"",(Engagements!B65))</f>
        <v/>
      </c>
      <c r="C66" s="98" t="str">
        <f>IF(ISBLANK(Engagements!C65),"",(Engagements!C65))</f>
        <v/>
      </c>
      <c r="D66" s="98" t="str">
        <f>IF(ISBLANK(Engagements!D65),"",(Engagements!D65))</f>
        <v/>
      </c>
      <c r="E66" s="98" t="str">
        <f>IF(ISBLANK(Engagements!E65),"",(Engagements!E65))</f>
        <v/>
      </c>
      <c r="F66" s="98" t="str">
        <f>IF(ISBLANK(Engagements!F65),"",(Engagements!F65))</f>
        <v/>
      </c>
      <c r="G66" s="265"/>
      <c r="H66" s="266"/>
      <c r="I66" s="265"/>
      <c r="J66" s="266"/>
      <c r="K66" s="265"/>
      <c r="L66" s="266"/>
      <c r="M66" s="601" t="str">
        <f t="shared" si="0"/>
        <v/>
      </c>
      <c r="N66" s="1035"/>
      <c r="O66" s="62" t="e">
        <f>IF(ISBLANK(#REF!),"",RANK(#REF!,classementindividuel))</f>
        <v>#REF!</v>
      </c>
      <c r="P66" s="1040"/>
      <c r="Q66" s="1038"/>
      <c r="Y66" s="44"/>
    </row>
    <row r="67" spans="1:25" s="40" customFormat="1" ht="11.45" customHeight="1" x14ac:dyDescent="0.2">
      <c r="A67" s="44">
        <v>61</v>
      </c>
      <c r="B67" s="98" t="str">
        <f>IF(ISBLANK(Engagements!B66),"",(Engagements!B66))</f>
        <v/>
      </c>
      <c r="C67" s="98" t="str">
        <f>IF(ISBLANK(Engagements!C66),"",(Engagements!C66))</f>
        <v/>
      </c>
      <c r="D67" s="98" t="str">
        <f>IF(ISBLANK(Engagements!D66),"",(Engagements!D66))</f>
        <v/>
      </c>
      <c r="E67" s="98" t="str">
        <f>IF(ISBLANK(Engagements!E66),"",(Engagements!E66))</f>
        <v/>
      </c>
      <c r="F67" s="98" t="str">
        <f>IF(ISBLANK(Engagements!F66),"",(Engagements!F66))</f>
        <v/>
      </c>
      <c r="G67" s="598"/>
      <c r="H67" s="266"/>
      <c r="I67" s="265"/>
      <c r="J67" s="266"/>
      <c r="K67" s="265"/>
      <c r="L67" s="266"/>
      <c r="M67" s="601" t="str">
        <f t="shared" si="0"/>
        <v/>
      </c>
      <c r="N67" s="1033"/>
      <c r="O67" s="62" t="e">
        <f>IF(ISBLANK(#REF!),"",RANK(#REF!,classementindividuel))</f>
        <v>#REF!</v>
      </c>
      <c r="P67" s="1040" t="str">
        <f>IF(G67="","",SUM(G67:L70))</f>
        <v/>
      </c>
      <c r="Q67" s="1038">
        <f t="shared" ref="Q67" si="21">Q63+1</f>
        <v>16</v>
      </c>
      <c r="Y67" s="44"/>
    </row>
    <row r="68" spans="1:25" s="40" customFormat="1" ht="11.45" customHeight="1" x14ac:dyDescent="0.2">
      <c r="A68" s="44">
        <v>62</v>
      </c>
      <c r="B68" s="98" t="str">
        <f>IF(ISBLANK(Engagements!B67),"",(Engagements!B67))</f>
        <v/>
      </c>
      <c r="C68" s="98" t="str">
        <f>IF(ISBLANK(Engagements!C67),"",(Engagements!C67))</f>
        <v/>
      </c>
      <c r="D68" s="98" t="str">
        <f>IF(ISBLANK(Engagements!D67),"",(Engagements!D67))</f>
        <v/>
      </c>
      <c r="E68" s="98" t="str">
        <f>IF(ISBLANK(Engagements!E67),"",(Engagements!E67))</f>
        <v/>
      </c>
      <c r="F68" s="98" t="str">
        <f>IF(ISBLANK(Engagements!F67),"",(Engagements!F67))</f>
        <v/>
      </c>
      <c r="G68" s="265"/>
      <c r="H68" s="266"/>
      <c r="I68" s="265"/>
      <c r="J68" s="266"/>
      <c r="K68" s="265"/>
      <c r="L68" s="266"/>
      <c r="M68" s="601" t="str">
        <f t="shared" si="0"/>
        <v/>
      </c>
      <c r="N68" s="1034"/>
      <c r="O68" s="62" t="e">
        <f>IF(ISBLANK(#REF!),"",RANK(#REF!,classementindividuel))</f>
        <v>#REF!</v>
      </c>
      <c r="P68" s="1040"/>
      <c r="Q68" s="1038"/>
      <c r="Y68" s="44"/>
    </row>
    <row r="69" spans="1:25" s="40" customFormat="1" ht="11.45" customHeight="1" x14ac:dyDescent="0.2">
      <c r="A69" s="44">
        <v>63</v>
      </c>
      <c r="B69" s="98" t="str">
        <f>IF(ISBLANK(Engagements!B68),"",(Engagements!B68))</f>
        <v/>
      </c>
      <c r="C69" s="98" t="str">
        <f>IF(ISBLANK(Engagements!C68),"",(Engagements!C68))</f>
        <v/>
      </c>
      <c r="D69" s="98" t="str">
        <f>IF(ISBLANK(Engagements!D68),"",(Engagements!D68))</f>
        <v/>
      </c>
      <c r="E69" s="98" t="str">
        <f>IF(ISBLANK(Engagements!E68),"",(Engagements!E68))</f>
        <v/>
      </c>
      <c r="F69" s="98" t="str">
        <f>IF(ISBLANK(Engagements!F68),"",(Engagements!F68))</f>
        <v/>
      </c>
      <c r="G69" s="598"/>
      <c r="H69" s="266"/>
      <c r="I69" s="265"/>
      <c r="J69" s="266"/>
      <c r="K69" s="265"/>
      <c r="L69" s="266"/>
      <c r="M69" s="601" t="str">
        <f t="shared" si="0"/>
        <v/>
      </c>
      <c r="N69" s="1034"/>
      <c r="O69" s="62" t="e">
        <f>IF(ISBLANK(#REF!),"",RANK(#REF!,classementindividuel))</f>
        <v>#REF!</v>
      </c>
      <c r="P69" s="1040"/>
      <c r="Q69" s="1038"/>
      <c r="Y69" s="44"/>
    </row>
    <row r="70" spans="1:25" s="40" customFormat="1" ht="11.45" customHeight="1" x14ac:dyDescent="0.2">
      <c r="A70" s="44">
        <v>64</v>
      </c>
      <c r="B70" s="98" t="str">
        <f>IF(ISBLANK(Engagements!B69),"",(Engagements!B69))</f>
        <v/>
      </c>
      <c r="C70" s="98" t="str">
        <f>IF(ISBLANK(Engagements!C69),"",(Engagements!C69))</f>
        <v/>
      </c>
      <c r="D70" s="98" t="str">
        <f>IF(ISBLANK(Engagements!D69),"",(Engagements!D69))</f>
        <v/>
      </c>
      <c r="E70" s="98" t="str">
        <f>IF(ISBLANK(Engagements!E69),"",(Engagements!E69))</f>
        <v/>
      </c>
      <c r="F70" s="98" t="str">
        <f>IF(ISBLANK(Engagements!F69),"",(Engagements!F69))</f>
        <v/>
      </c>
      <c r="G70" s="265"/>
      <c r="H70" s="266"/>
      <c r="I70" s="265"/>
      <c r="J70" s="266"/>
      <c r="K70" s="265"/>
      <c r="L70" s="266"/>
      <c r="M70" s="601" t="str">
        <f t="shared" si="0"/>
        <v/>
      </c>
      <c r="N70" s="1035"/>
      <c r="O70" s="62" t="e">
        <f>IF(ISBLANK(#REF!),"",RANK(#REF!,classementindividuel))</f>
        <v>#REF!</v>
      </c>
      <c r="P70" s="1040"/>
      <c r="Q70" s="1038"/>
      <c r="Y70" s="44"/>
    </row>
    <row r="71" spans="1:25" s="40" customFormat="1" ht="11.45" customHeight="1" x14ac:dyDescent="0.2">
      <c r="A71" s="44">
        <v>65</v>
      </c>
      <c r="B71" s="98" t="str">
        <f>IF(ISBLANK(Engagements!B70),"",(Engagements!B70))</f>
        <v/>
      </c>
      <c r="C71" s="98" t="str">
        <f>IF(ISBLANK(Engagements!C70),"",(Engagements!C70))</f>
        <v/>
      </c>
      <c r="D71" s="98" t="str">
        <f>IF(ISBLANK(Engagements!D70),"",(Engagements!D70))</f>
        <v/>
      </c>
      <c r="E71" s="98" t="str">
        <f>IF(ISBLANK(Engagements!E70),"",(Engagements!E70))</f>
        <v/>
      </c>
      <c r="F71" s="98" t="str">
        <f>IF(ISBLANK(Engagements!F70),"",(Engagements!F70))</f>
        <v/>
      </c>
      <c r="G71" s="598"/>
      <c r="H71" s="266"/>
      <c r="I71" s="265"/>
      <c r="J71" s="266"/>
      <c r="K71" s="265"/>
      <c r="L71" s="266"/>
      <c r="M71" s="601" t="str">
        <f t="shared" si="0"/>
        <v/>
      </c>
      <c r="N71" s="1033"/>
      <c r="O71" s="62" t="e">
        <f>IF(ISBLANK(#REF!),"",RANK(#REF!,classementindividuel))</f>
        <v>#REF!</v>
      </c>
      <c r="P71" s="1040" t="str">
        <f>IF(G71="","",SUM(G71:L74))</f>
        <v/>
      </c>
      <c r="Q71" s="1038">
        <f t="shared" ref="Q71" si="22">Q67+1</f>
        <v>17</v>
      </c>
      <c r="Y71" s="44"/>
    </row>
    <row r="72" spans="1:25" s="40" customFormat="1" ht="11.45" customHeight="1" x14ac:dyDescent="0.2">
      <c r="A72" s="44">
        <v>66</v>
      </c>
      <c r="B72" s="98" t="str">
        <f>IF(ISBLANK(Engagements!B71),"",(Engagements!B71))</f>
        <v/>
      </c>
      <c r="C72" s="98" t="str">
        <f>IF(ISBLANK(Engagements!C71),"",(Engagements!C71))</f>
        <v/>
      </c>
      <c r="D72" s="98" t="str">
        <f>IF(ISBLANK(Engagements!D71),"",(Engagements!D71))</f>
        <v/>
      </c>
      <c r="E72" s="98" t="str">
        <f>IF(ISBLANK(Engagements!E71),"",(Engagements!E71))</f>
        <v/>
      </c>
      <c r="F72" s="98" t="str">
        <f>IF(ISBLANK(Engagements!F71),"",(Engagements!F71))</f>
        <v/>
      </c>
      <c r="G72" s="265"/>
      <c r="H72" s="266"/>
      <c r="I72" s="265"/>
      <c r="J72" s="266"/>
      <c r="K72" s="265"/>
      <c r="L72" s="266"/>
      <c r="M72" s="601" t="str">
        <f t="shared" ref="M72:M102" si="23">IF(G72="","",SUM(G72:L72))</f>
        <v/>
      </c>
      <c r="N72" s="1034"/>
      <c r="O72" s="62" t="e">
        <f>IF(ISBLANK(#REF!),"",RANK(#REF!,classementindividuel))</f>
        <v>#REF!</v>
      </c>
      <c r="P72" s="1040"/>
      <c r="Q72" s="1038"/>
      <c r="Y72" s="44"/>
    </row>
    <row r="73" spans="1:25" s="40" customFormat="1" ht="11.45" customHeight="1" x14ac:dyDescent="0.2">
      <c r="A73" s="44">
        <v>67</v>
      </c>
      <c r="B73" s="98" t="str">
        <f>IF(ISBLANK(Engagements!B72),"",(Engagements!B72))</f>
        <v/>
      </c>
      <c r="C73" s="98" t="str">
        <f>IF(ISBLANK(Engagements!C72),"",(Engagements!C72))</f>
        <v/>
      </c>
      <c r="D73" s="98" t="str">
        <f>IF(ISBLANK(Engagements!D72),"",(Engagements!D72))</f>
        <v/>
      </c>
      <c r="E73" s="98" t="str">
        <f>IF(ISBLANK(Engagements!E72),"",(Engagements!E72))</f>
        <v/>
      </c>
      <c r="F73" s="98" t="str">
        <f>IF(ISBLANK(Engagements!F72),"",(Engagements!F72))</f>
        <v/>
      </c>
      <c r="G73" s="598"/>
      <c r="H73" s="266"/>
      <c r="I73" s="265"/>
      <c r="J73" s="266"/>
      <c r="K73" s="265"/>
      <c r="L73" s="266"/>
      <c r="M73" s="601" t="str">
        <f t="shared" si="23"/>
        <v/>
      </c>
      <c r="N73" s="1034"/>
      <c r="O73" s="62" t="e">
        <f>IF(ISBLANK(#REF!),"",RANK(#REF!,classementindividuel))</f>
        <v>#REF!</v>
      </c>
      <c r="P73" s="1040"/>
      <c r="Q73" s="1038"/>
      <c r="Y73" s="44"/>
    </row>
    <row r="74" spans="1:25" s="40" customFormat="1" ht="11.45" customHeight="1" x14ac:dyDescent="0.2">
      <c r="A74" s="44">
        <v>68</v>
      </c>
      <c r="B74" s="98" t="str">
        <f>IF(ISBLANK(Engagements!B73),"",(Engagements!B73))</f>
        <v/>
      </c>
      <c r="C74" s="98" t="str">
        <f>IF(ISBLANK(Engagements!C73),"",(Engagements!C73))</f>
        <v/>
      </c>
      <c r="D74" s="98" t="str">
        <f>IF(ISBLANK(Engagements!D73),"",(Engagements!D73))</f>
        <v/>
      </c>
      <c r="E74" s="98" t="str">
        <f>IF(ISBLANK(Engagements!E73),"",(Engagements!E73))</f>
        <v/>
      </c>
      <c r="F74" s="98" t="str">
        <f>IF(ISBLANK(Engagements!F73),"",(Engagements!F73))</f>
        <v/>
      </c>
      <c r="G74" s="265"/>
      <c r="H74" s="266"/>
      <c r="I74" s="265"/>
      <c r="J74" s="266"/>
      <c r="K74" s="265"/>
      <c r="L74" s="266"/>
      <c r="M74" s="601" t="str">
        <f t="shared" si="23"/>
        <v/>
      </c>
      <c r="N74" s="1035"/>
      <c r="O74" s="62" t="e">
        <f>IF(ISBLANK(#REF!),"",RANK(#REF!,classementindividuel))</f>
        <v>#REF!</v>
      </c>
      <c r="P74" s="1040"/>
      <c r="Q74" s="1038"/>
      <c r="Y74" s="44"/>
    </row>
    <row r="75" spans="1:25" s="40" customFormat="1" ht="11.45" customHeight="1" x14ac:dyDescent="0.2">
      <c r="A75" s="44">
        <v>69</v>
      </c>
      <c r="B75" s="98" t="str">
        <f>IF(ISBLANK(Engagements!B74),"",(Engagements!B74))</f>
        <v/>
      </c>
      <c r="C75" s="98" t="str">
        <f>IF(ISBLANK(Engagements!C74),"",(Engagements!C74))</f>
        <v/>
      </c>
      <c r="D75" s="98" t="str">
        <f>IF(ISBLANK(Engagements!D74),"",(Engagements!D74))</f>
        <v/>
      </c>
      <c r="E75" s="98" t="str">
        <f>IF(ISBLANK(Engagements!E74),"",(Engagements!E74))</f>
        <v/>
      </c>
      <c r="F75" s="98" t="str">
        <f>IF(ISBLANK(Engagements!F74),"",(Engagements!F74))</f>
        <v/>
      </c>
      <c r="G75" s="598"/>
      <c r="H75" s="266"/>
      <c r="I75" s="265"/>
      <c r="J75" s="266"/>
      <c r="K75" s="265"/>
      <c r="L75" s="266"/>
      <c r="M75" s="601" t="str">
        <f t="shared" si="23"/>
        <v/>
      </c>
      <c r="N75" s="1033"/>
      <c r="O75" s="62" t="e">
        <f>IF(ISBLANK(#REF!),"",RANK(#REF!,classementindividuel))</f>
        <v>#REF!</v>
      </c>
      <c r="P75" s="1040" t="str">
        <f>IF(G75="","",SUM(G75:L78))</f>
        <v/>
      </c>
      <c r="Q75" s="1038">
        <f t="shared" ref="Q75" si="24">Q71+1</f>
        <v>18</v>
      </c>
      <c r="Y75" s="44"/>
    </row>
    <row r="76" spans="1:25" s="40" customFormat="1" ht="11.45" customHeight="1" x14ac:dyDescent="0.2">
      <c r="A76" s="44">
        <v>70</v>
      </c>
      <c r="B76" s="98" t="str">
        <f>IF(ISBLANK(Engagements!B75),"",(Engagements!B75))</f>
        <v/>
      </c>
      <c r="C76" s="98" t="str">
        <f>IF(ISBLANK(Engagements!C75),"",(Engagements!C75))</f>
        <v/>
      </c>
      <c r="D76" s="98" t="str">
        <f>IF(ISBLANK(Engagements!D75),"",(Engagements!D75))</f>
        <v/>
      </c>
      <c r="E76" s="98" t="str">
        <f>IF(ISBLANK(Engagements!E75),"",(Engagements!E75))</f>
        <v/>
      </c>
      <c r="F76" s="98" t="str">
        <f>IF(ISBLANK(Engagements!F75),"",(Engagements!F75))</f>
        <v/>
      </c>
      <c r="G76" s="265"/>
      <c r="H76" s="266"/>
      <c r="I76" s="265"/>
      <c r="J76" s="266"/>
      <c r="K76" s="265"/>
      <c r="L76" s="266"/>
      <c r="M76" s="601" t="str">
        <f t="shared" si="23"/>
        <v/>
      </c>
      <c r="N76" s="1034"/>
      <c r="O76" s="62" t="e">
        <f>IF(ISBLANK(#REF!),"",RANK(#REF!,classementindividuel))</f>
        <v>#REF!</v>
      </c>
      <c r="P76" s="1040"/>
      <c r="Q76" s="1038"/>
      <c r="Y76" s="44"/>
    </row>
    <row r="77" spans="1:25" s="40" customFormat="1" ht="11.45" customHeight="1" x14ac:dyDescent="0.2">
      <c r="A77" s="44">
        <v>71</v>
      </c>
      <c r="B77" s="98" t="str">
        <f>IF(ISBLANK(Engagements!B76),"",(Engagements!B76))</f>
        <v/>
      </c>
      <c r="C77" s="98" t="str">
        <f>IF(ISBLANK(Engagements!C76),"",(Engagements!C76))</f>
        <v/>
      </c>
      <c r="D77" s="98" t="str">
        <f>IF(ISBLANK(Engagements!D76),"",(Engagements!D76))</f>
        <v/>
      </c>
      <c r="E77" s="98" t="str">
        <f>IF(ISBLANK(Engagements!E76),"",(Engagements!E76))</f>
        <v/>
      </c>
      <c r="F77" s="98" t="str">
        <f>IF(ISBLANK(Engagements!F76),"",(Engagements!F76))</f>
        <v/>
      </c>
      <c r="G77" s="598"/>
      <c r="H77" s="266"/>
      <c r="I77" s="265"/>
      <c r="J77" s="266"/>
      <c r="K77" s="265"/>
      <c r="L77" s="266"/>
      <c r="M77" s="601" t="str">
        <f t="shared" si="23"/>
        <v/>
      </c>
      <c r="N77" s="1034"/>
      <c r="O77" s="62" t="e">
        <f>IF(ISBLANK(#REF!),"",RANK(#REF!,classementindividuel))</f>
        <v>#REF!</v>
      </c>
      <c r="P77" s="1040"/>
      <c r="Q77" s="1038"/>
      <c r="Y77" s="44"/>
    </row>
    <row r="78" spans="1:25" s="40" customFormat="1" ht="11.45" customHeight="1" x14ac:dyDescent="0.2">
      <c r="A78" s="44">
        <v>72</v>
      </c>
      <c r="B78" s="98" t="str">
        <f>IF(ISBLANK(Engagements!B77),"",(Engagements!B77))</f>
        <v/>
      </c>
      <c r="C78" s="98" t="str">
        <f>IF(ISBLANK(Engagements!C77),"",(Engagements!C77))</f>
        <v/>
      </c>
      <c r="D78" s="98" t="str">
        <f>IF(ISBLANK(Engagements!D77),"",(Engagements!D77))</f>
        <v/>
      </c>
      <c r="E78" s="98" t="str">
        <f>IF(ISBLANK(Engagements!E77),"",(Engagements!E77))</f>
        <v/>
      </c>
      <c r="F78" s="98" t="str">
        <f>IF(ISBLANK(Engagements!F77),"",(Engagements!F77))</f>
        <v/>
      </c>
      <c r="G78" s="265"/>
      <c r="H78" s="266"/>
      <c r="I78" s="265"/>
      <c r="J78" s="266"/>
      <c r="K78" s="265"/>
      <c r="L78" s="266"/>
      <c r="M78" s="601" t="str">
        <f t="shared" si="23"/>
        <v/>
      </c>
      <c r="N78" s="1035"/>
      <c r="O78" s="62" t="e">
        <f>IF(ISBLANK(#REF!),"",RANK(#REF!,classementindividuel))</f>
        <v>#REF!</v>
      </c>
      <c r="P78" s="1040"/>
      <c r="Q78" s="1038"/>
      <c r="Y78" s="44"/>
    </row>
    <row r="79" spans="1:25" s="40" customFormat="1" ht="11.45" customHeight="1" x14ac:dyDescent="0.2">
      <c r="A79" s="44">
        <v>73</v>
      </c>
      <c r="B79" s="98" t="str">
        <f>IF(ISBLANK(Engagements!B78),"",(Engagements!B78))</f>
        <v/>
      </c>
      <c r="C79" s="98" t="str">
        <f>IF(ISBLANK(Engagements!C78),"",(Engagements!C78))</f>
        <v/>
      </c>
      <c r="D79" s="98" t="str">
        <f>IF(ISBLANK(Engagements!D78),"",(Engagements!D78))</f>
        <v/>
      </c>
      <c r="E79" s="98" t="str">
        <f>IF(ISBLANK(Engagements!E78),"",(Engagements!E78))</f>
        <v/>
      </c>
      <c r="F79" s="98" t="str">
        <f>IF(ISBLANK(Engagements!F78),"",(Engagements!F78))</f>
        <v/>
      </c>
      <c r="G79" s="598"/>
      <c r="H79" s="266"/>
      <c r="I79" s="265"/>
      <c r="J79" s="266"/>
      <c r="K79" s="265"/>
      <c r="L79" s="266"/>
      <c r="M79" s="601" t="str">
        <f t="shared" si="23"/>
        <v/>
      </c>
      <c r="N79" s="1033"/>
      <c r="O79" s="62" t="e">
        <f>IF(ISBLANK(#REF!),"",RANK(#REF!,classementindividuel))</f>
        <v>#REF!</v>
      </c>
      <c r="P79" s="1040" t="str">
        <f>IF(G79="","",SUM(G79:L82))</f>
        <v/>
      </c>
      <c r="Q79" s="1038">
        <f t="shared" ref="Q79" si="25">Q75+1</f>
        <v>19</v>
      </c>
      <c r="Y79" s="44"/>
    </row>
    <row r="80" spans="1:25" s="40" customFormat="1" ht="11.45" customHeight="1" x14ac:dyDescent="0.2">
      <c r="A80" s="44">
        <v>74</v>
      </c>
      <c r="B80" s="98" t="str">
        <f>IF(ISBLANK(Engagements!B79),"",(Engagements!B79))</f>
        <v/>
      </c>
      <c r="C80" s="98" t="str">
        <f>IF(ISBLANK(Engagements!C79),"",(Engagements!C79))</f>
        <v/>
      </c>
      <c r="D80" s="98" t="str">
        <f>IF(ISBLANK(Engagements!D79),"",(Engagements!D79))</f>
        <v/>
      </c>
      <c r="E80" s="98" t="str">
        <f>IF(ISBLANK(Engagements!E79),"",(Engagements!E79))</f>
        <v/>
      </c>
      <c r="F80" s="98" t="str">
        <f>IF(ISBLANK(Engagements!F79),"",(Engagements!F79))</f>
        <v/>
      </c>
      <c r="G80" s="265"/>
      <c r="H80" s="266"/>
      <c r="I80" s="265"/>
      <c r="J80" s="266"/>
      <c r="K80" s="265"/>
      <c r="L80" s="266"/>
      <c r="M80" s="601" t="str">
        <f t="shared" si="23"/>
        <v/>
      </c>
      <c r="N80" s="1034"/>
      <c r="O80" s="62" t="e">
        <f>IF(ISBLANK(#REF!),"",RANK(#REF!,classementindividuel))</f>
        <v>#REF!</v>
      </c>
      <c r="P80" s="1040"/>
      <c r="Q80" s="1038"/>
      <c r="Y80" s="44"/>
    </row>
    <row r="81" spans="1:25" s="40" customFormat="1" ht="11.45" customHeight="1" x14ac:dyDescent="0.2">
      <c r="A81" s="44">
        <v>75</v>
      </c>
      <c r="B81" s="98" t="str">
        <f>IF(ISBLANK(Engagements!B80),"",(Engagements!B80))</f>
        <v/>
      </c>
      <c r="C81" s="98" t="str">
        <f>IF(ISBLANK(Engagements!C80),"",(Engagements!C80))</f>
        <v/>
      </c>
      <c r="D81" s="98" t="str">
        <f>IF(ISBLANK(Engagements!D80),"",(Engagements!D80))</f>
        <v/>
      </c>
      <c r="E81" s="98" t="str">
        <f>IF(ISBLANK(Engagements!E80),"",(Engagements!E80))</f>
        <v/>
      </c>
      <c r="F81" s="98" t="str">
        <f>IF(ISBLANK(Engagements!F80),"",(Engagements!F80))</f>
        <v/>
      </c>
      <c r="G81" s="598"/>
      <c r="H81" s="266"/>
      <c r="I81" s="265"/>
      <c r="J81" s="266"/>
      <c r="K81" s="265"/>
      <c r="L81" s="266"/>
      <c r="M81" s="601" t="str">
        <f t="shared" si="23"/>
        <v/>
      </c>
      <c r="N81" s="1034"/>
      <c r="O81" s="62" t="e">
        <f>IF(ISBLANK(#REF!),"",RANK(#REF!,classementindividuel))</f>
        <v>#REF!</v>
      </c>
      <c r="P81" s="1040"/>
      <c r="Q81" s="1038"/>
      <c r="Y81" s="44"/>
    </row>
    <row r="82" spans="1:25" s="40" customFormat="1" ht="11.45" customHeight="1" x14ac:dyDescent="0.2">
      <c r="A82" s="44">
        <v>76</v>
      </c>
      <c r="B82" s="98" t="str">
        <f>IF(ISBLANK(Engagements!B81),"",(Engagements!B81))</f>
        <v/>
      </c>
      <c r="C82" s="98" t="str">
        <f>IF(ISBLANK(Engagements!C81),"",(Engagements!C81))</f>
        <v/>
      </c>
      <c r="D82" s="98" t="str">
        <f>IF(ISBLANK(Engagements!D81),"",(Engagements!D81))</f>
        <v/>
      </c>
      <c r="E82" s="98" t="str">
        <f>IF(ISBLANK(Engagements!E81),"",(Engagements!E81))</f>
        <v/>
      </c>
      <c r="F82" s="98" t="str">
        <f>IF(ISBLANK(Engagements!F81),"",(Engagements!F81))</f>
        <v/>
      </c>
      <c r="G82" s="265"/>
      <c r="H82" s="266"/>
      <c r="I82" s="265"/>
      <c r="J82" s="266"/>
      <c r="K82" s="265"/>
      <c r="L82" s="266"/>
      <c r="M82" s="601" t="str">
        <f t="shared" si="23"/>
        <v/>
      </c>
      <c r="N82" s="1035"/>
      <c r="O82" s="62" t="e">
        <f>IF(ISBLANK(#REF!),"",RANK(#REF!,classementindividuel))</f>
        <v>#REF!</v>
      </c>
      <c r="P82" s="1040"/>
      <c r="Q82" s="1038"/>
      <c r="Y82" s="44"/>
    </row>
    <row r="83" spans="1:25" s="40" customFormat="1" ht="11.45" customHeight="1" x14ac:dyDescent="0.2">
      <c r="A83" s="44">
        <v>77</v>
      </c>
      <c r="B83" s="98" t="str">
        <f>IF(ISBLANK(Engagements!B82),"",(Engagements!B82))</f>
        <v/>
      </c>
      <c r="C83" s="98" t="str">
        <f>IF(ISBLANK(Engagements!C82),"",(Engagements!C82))</f>
        <v/>
      </c>
      <c r="D83" s="98" t="str">
        <f>IF(ISBLANK(Engagements!D82),"",(Engagements!D82))</f>
        <v/>
      </c>
      <c r="E83" s="98" t="str">
        <f>IF(ISBLANK(Engagements!E82),"",(Engagements!E82))</f>
        <v/>
      </c>
      <c r="F83" s="98" t="str">
        <f>IF(ISBLANK(Engagements!F82),"",(Engagements!F82))</f>
        <v/>
      </c>
      <c r="G83" s="265"/>
      <c r="H83" s="266"/>
      <c r="I83" s="265"/>
      <c r="J83" s="266"/>
      <c r="K83" s="265"/>
      <c r="L83" s="266"/>
      <c r="M83" s="601" t="str">
        <f t="shared" si="23"/>
        <v/>
      </c>
      <c r="N83" s="1033"/>
      <c r="O83" s="62" t="e">
        <f>IF(ISBLANK(#REF!),"",RANK(#REF!,classementindividuel))</f>
        <v>#REF!</v>
      </c>
      <c r="P83" s="1040" t="str">
        <f>IF(G83="","",SUM(G83:L86))</f>
        <v/>
      </c>
      <c r="Q83" s="1038">
        <f t="shared" ref="Q83" si="26">Q79+1</f>
        <v>20</v>
      </c>
      <c r="Y83" s="44"/>
    </row>
    <row r="84" spans="1:25" s="40" customFormat="1" ht="11.45" customHeight="1" x14ac:dyDescent="0.2">
      <c r="A84" s="44">
        <v>78</v>
      </c>
      <c r="B84" s="98" t="str">
        <f>IF(ISBLANK(Engagements!B83),"",(Engagements!B83))</f>
        <v/>
      </c>
      <c r="C84" s="98" t="str">
        <f>IF(ISBLANK(Engagements!C83),"",(Engagements!C83))</f>
        <v/>
      </c>
      <c r="D84" s="98" t="str">
        <f>IF(ISBLANK(Engagements!D83),"",(Engagements!D83))</f>
        <v/>
      </c>
      <c r="E84" s="98" t="str">
        <f>IF(ISBLANK(Engagements!E83),"",(Engagements!E83))</f>
        <v/>
      </c>
      <c r="F84" s="98" t="str">
        <f>IF(ISBLANK(Engagements!F83),"",(Engagements!F83))</f>
        <v/>
      </c>
      <c r="G84" s="265"/>
      <c r="H84" s="266"/>
      <c r="I84" s="265"/>
      <c r="J84" s="266"/>
      <c r="K84" s="265"/>
      <c r="L84" s="266"/>
      <c r="M84" s="601" t="str">
        <f t="shared" si="23"/>
        <v/>
      </c>
      <c r="N84" s="1034"/>
      <c r="O84" s="62" t="e">
        <f>IF(ISBLANK(#REF!),"",RANK(#REF!,classementindividuel))</f>
        <v>#REF!</v>
      </c>
      <c r="P84" s="1040"/>
      <c r="Q84" s="1038"/>
      <c r="Y84" s="44"/>
    </row>
    <row r="85" spans="1:25" s="40" customFormat="1" ht="11.45" customHeight="1" x14ac:dyDescent="0.2">
      <c r="A85" s="44">
        <v>79</v>
      </c>
      <c r="B85" s="98" t="str">
        <f>IF(ISBLANK(Engagements!B84),"",(Engagements!B84))</f>
        <v/>
      </c>
      <c r="C85" s="98" t="str">
        <f>IF(ISBLANK(Engagements!C84),"",(Engagements!C84))</f>
        <v/>
      </c>
      <c r="D85" s="98" t="str">
        <f>IF(ISBLANK(Engagements!D84),"",(Engagements!D84))</f>
        <v/>
      </c>
      <c r="E85" s="98" t="str">
        <f>IF(ISBLANK(Engagements!E84),"",(Engagements!E84))</f>
        <v/>
      </c>
      <c r="F85" s="98" t="str">
        <f>IF(ISBLANK(Engagements!F84),"",(Engagements!F84))</f>
        <v/>
      </c>
      <c r="G85" s="265"/>
      <c r="H85" s="266"/>
      <c r="I85" s="265"/>
      <c r="J85" s="266"/>
      <c r="K85" s="265"/>
      <c r="L85" s="266"/>
      <c r="M85" s="601" t="str">
        <f t="shared" si="23"/>
        <v/>
      </c>
      <c r="N85" s="1034"/>
      <c r="O85" s="62" t="e">
        <f>IF(ISBLANK(#REF!),"",RANK(#REF!,classementindividuel))</f>
        <v>#REF!</v>
      </c>
      <c r="P85" s="1040"/>
      <c r="Q85" s="1038"/>
      <c r="Y85" s="44"/>
    </row>
    <row r="86" spans="1:25" s="40" customFormat="1" ht="11.45" customHeight="1" x14ac:dyDescent="0.2">
      <c r="A86" s="44">
        <v>80</v>
      </c>
      <c r="B86" s="98" t="str">
        <f>IF(ISBLANK(Engagements!B85),"",(Engagements!B85))</f>
        <v/>
      </c>
      <c r="C86" s="98" t="str">
        <f>IF(ISBLANK(Engagements!C85),"",(Engagements!C85))</f>
        <v/>
      </c>
      <c r="D86" s="98" t="str">
        <f>IF(ISBLANK(Engagements!D85),"",(Engagements!D85))</f>
        <v/>
      </c>
      <c r="E86" s="98" t="str">
        <f>IF(ISBLANK(Engagements!E85),"",(Engagements!E85))</f>
        <v/>
      </c>
      <c r="F86" s="98" t="str">
        <f>IF(ISBLANK(Engagements!F85),"",(Engagements!F85))</f>
        <v/>
      </c>
      <c r="G86" s="265"/>
      <c r="H86" s="266"/>
      <c r="I86" s="265"/>
      <c r="J86" s="266"/>
      <c r="K86" s="265"/>
      <c r="L86" s="266"/>
      <c r="M86" s="601" t="str">
        <f t="shared" si="23"/>
        <v/>
      </c>
      <c r="N86" s="1035"/>
      <c r="O86" s="62" t="e">
        <f>IF(ISBLANK(#REF!),"",RANK(#REF!,classementindividuel))</f>
        <v>#REF!</v>
      </c>
      <c r="P86" s="1040"/>
      <c r="Q86" s="1038"/>
      <c r="Y86" s="44"/>
    </row>
    <row r="87" spans="1:25" x14ac:dyDescent="0.2">
      <c r="A87" s="44">
        <v>81</v>
      </c>
      <c r="B87" s="98" t="str">
        <f>IF(ISBLANK(Engagements!B86),"",(Engagements!B86))</f>
        <v/>
      </c>
      <c r="C87" s="98" t="str">
        <f>IF(ISBLANK(Engagements!C86),"",(Engagements!C86))</f>
        <v/>
      </c>
      <c r="D87" s="98" t="str">
        <f>IF(ISBLANK(Engagements!D86),"",(Engagements!D86))</f>
        <v/>
      </c>
      <c r="E87" s="98" t="str">
        <f>IF(ISBLANK(Engagements!E86),"",(Engagements!E86))</f>
        <v/>
      </c>
      <c r="F87" s="98" t="str">
        <f>IF(ISBLANK(Engagements!F86),"",(Engagements!F86))</f>
        <v/>
      </c>
      <c r="G87" s="265"/>
      <c r="H87" s="266"/>
      <c r="I87" s="265"/>
      <c r="J87" s="266"/>
      <c r="K87" s="265"/>
      <c r="L87" s="266"/>
      <c r="M87" s="601" t="str">
        <f t="shared" si="23"/>
        <v/>
      </c>
      <c r="N87" s="1033"/>
      <c r="P87" s="1040" t="str">
        <f>IF(G87="","",SUM(G87:L90))</f>
        <v/>
      </c>
      <c r="Q87" s="1038">
        <f t="shared" ref="Q87" si="27">Q83+1</f>
        <v>21</v>
      </c>
    </row>
    <row r="88" spans="1:25" x14ac:dyDescent="0.2">
      <c r="A88" s="44">
        <v>82</v>
      </c>
      <c r="B88" s="98" t="str">
        <f>IF(ISBLANK(Engagements!B87),"",(Engagements!B87))</f>
        <v/>
      </c>
      <c r="C88" s="98" t="str">
        <f>IF(ISBLANK(Engagements!C87),"",(Engagements!C87))</f>
        <v/>
      </c>
      <c r="D88" s="98" t="str">
        <f>IF(ISBLANK(Engagements!D87),"",(Engagements!D87))</f>
        <v/>
      </c>
      <c r="E88" s="98" t="str">
        <f>IF(ISBLANK(Engagements!E87),"",(Engagements!E87))</f>
        <v/>
      </c>
      <c r="F88" s="98" t="str">
        <f>IF(ISBLANK(Engagements!F87),"",(Engagements!F87))</f>
        <v/>
      </c>
      <c r="G88" s="265"/>
      <c r="H88" s="266"/>
      <c r="I88" s="265"/>
      <c r="J88" s="266"/>
      <c r="K88" s="265"/>
      <c r="L88" s="266"/>
      <c r="M88" s="601" t="str">
        <f t="shared" si="23"/>
        <v/>
      </c>
      <c r="N88" s="1034"/>
      <c r="P88" s="1040"/>
      <c r="Q88" s="1038"/>
    </row>
    <row r="89" spans="1:25" x14ac:dyDescent="0.2">
      <c r="A89" s="44">
        <v>83</v>
      </c>
      <c r="B89" s="98" t="str">
        <f>IF(ISBLANK(Engagements!B88),"",(Engagements!B88))</f>
        <v/>
      </c>
      <c r="C89" s="98" t="str">
        <f>IF(ISBLANK(Engagements!C88),"",(Engagements!C88))</f>
        <v/>
      </c>
      <c r="D89" s="98" t="str">
        <f>IF(ISBLANK(Engagements!D88),"",(Engagements!D88))</f>
        <v/>
      </c>
      <c r="E89" s="98" t="str">
        <f>IF(ISBLANK(Engagements!E88),"",(Engagements!E88))</f>
        <v/>
      </c>
      <c r="F89" s="98" t="str">
        <f>IF(ISBLANK(Engagements!F88),"",(Engagements!F88))</f>
        <v/>
      </c>
      <c r="G89" s="265"/>
      <c r="H89" s="266"/>
      <c r="I89" s="265"/>
      <c r="J89" s="266"/>
      <c r="K89" s="265"/>
      <c r="L89" s="266"/>
      <c r="M89" s="601" t="str">
        <f t="shared" si="23"/>
        <v/>
      </c>
      <c r="N89" s="1034"/>
      <c r="P89" s="1040"/>
      <c r="Q89" s="1038"/>
    </row>
    <row r="90" spans="1:25" x14ac:dyDescent="0.2">
      <c r="A90" s="44">
        <v>84</v>
      </c>
      <c r="B90" s="98" t="str">
        <f>IF(ISBLANK(Engagements!B89),"",(Engagements!B89))</f>
        <v/>
      </c>
      <c r="C90" s="98" t="str">
        <f>IF(ISBLANK(Engagements!C89),"",(Engagements!C89))</f>
        <v/>
      </c>
      <c r="D90" s="98" t="str">
        <f>IF(ISBLANK(Engagements!D89),"",(Engagements!D89))</f>
        <v/>
      </c>
      <c r="E90" s="98" t="str">
        <f>IF(ISBLANK(Engagements!E89),"",(Engagements!E89))</f>
        <v/>
      </c>
      <c r="F90" s="98" t="str">
        <f>IF(ISBLANK(Engagements!F89),"",(Engagements!F89))</f>
        <v/>
      </c>
      <c r="G90" s="265"/>
      <c r="H90" s="266"/>
      <c r="I90" s="265"/>
      <c r="J90" s="266"/>
      <c r="K90" s="265"/>
      <c r="L90" s="266"/>
      <c r="M90" s="601" t="str">
        <f t="shared" si="23"/>
        <v/>
      </c>
      <c r="N90" s="1035"/>
      <c r="P90" s="1040"/>
      <c r="Q90" s="1038"/>
    </row>
    <row r="91" spans="1:25" x14ac:dyDescent="0.2">
      <c r="A91" s="44">
        <v>85</v>
      </c>
      <c r="B91" s="98" t="str">
        <f>IF(ISBLANK(Engagements!B90),"",(Engagements!B90))</f>
        <v/>
      </c>
      <c r="C91" s="98" t="str">
        <f>IF(ISBLANK(Engagements!C90),"",(Engagements!C90))</f>
        <v/>
      </c>
      <c r="D91" s="98" t="str">
        <f>IF(ISBLANK(Engagements!D90),"",(Engagements!D90))</f>
        <v/>
      </c>
      <c r="E91" s="98" t="str">
        <f>IF(ISBLANK(Engagements!E90),"",(Engagements!E90))</f>
        <v/>
      </c>
      <c r="F91" s="98" t="str">
        <f>IF(ISBLANK(Engagements!F90),"",(Engagements!F90))</f>
        <v/>
      </c>
      <c r="G91" s="265"/>
      <c r="H91" s="266"/>
      <c r="I91" s="265"/>
      <c r="J91" s="266"/>
      <c r="K91" s="265"/>
      <c r="L91" s="266"/>
      <c r="M91" s="601" t="str">
        <f t="shared" si="23"/>
        <v/>
      </c>
      <c r="N91" s="1033"/>
      <c r="P91" s="1040" t="str">
        <f>IF(G91="","",SUM(G91:L94))</f>
        <v/>
      </c>
      <c r="Q91" s="1038">
        <f t="shared" ref="Q91" si="28">Q87+1</f>
        <v>22</v>
      </c>
    </row>
    <row r="92" spans="1:25" x14ac:dyDescent="0.2">
      <c r="A92" s="44">
        <v>86</v>
      </c>
      <c r="B92" s="98" t="str">
        <f>IF(ISBLANK(Engagements!B91),"",(Engagements!B91))</f>
        <v/>
      </c>
      <c r="C92" s="98" t="str">
        <f>IF(ISBLANK(Engagements!C91),"",(Engagements!C91))</f>
        <v/>
      </c>
      <c r="D92" s="98" t="str">
        <f>IF(ISBLANK(Engagements!D91),"",(Engagements!D91))</f>
        <v/>
      </c>
      <c r="E92" s="98" t="str">
        <f>IF(ISBLANK(Engagements!E91),"",(Engagements!E91))</f>
        <v/>
      </c>
      <c r="F92" s="98" t="str">
        <f>IF(ISBLANK(Engagements!F91),"",(Engagements!F91))</f>
        <v/>
      </c>
      <c r="G92" s="265"/>
      <c r="H92" s="266"/>
      <c r="I92" s="265"/>
      <c r="J92" s="266"/>
      <c r="K92" s="265"/>
      <c r="L92" s="266"/>
      <c r="M92" s="601" t="str">
        <f t="shared" si="23"/>
        <v/>
      </c>
      <c r="N92" s="1034"/>
      <c r="P92" s="1040"/>
      <c r="Q92" s="1038"/>
    </row>
    <row r="93" spans="1:25" x14ac:dyDescent="0.2">
      <c r="A93" s="44">
        <v>87</v>
      </c>
      <c r="B93" s="98" t="str">
        <f>IF(ISBLANK(Engagements!B92),"",(Engagements!B92))</f>
        <v/>
      </c>
      <c r="C93" s="98" t="str">
        <f>IF(ISBLANK(Engagements!C92),"",(Engagements!C92))</f>
        <v/>
      </c>
      <c r="D93" s="98" t="str">
        <f>IF(ISBLANK(Engagements!D92),"",(Engagements!D92))</f>
        <v/>
      </c>
      <c r="E93" s="98" t="str">
        <f>IF(ISBLANK(Engagements!E92),"",(Engagements!E92))</f>
        <v/>
      </c>
      <c r="F93" s="98" t="str">
        <f>IF(ISBLANK(Engagements!F92),"",(Engagements!F92))</f>
        <v/>
      </c>
      <c r="G93" s="265"/>
      <c r="H93" s="266"/>
      <c r="I93" s="265"/>
      <c r="J93" s="266"/>
      <c r="K93" s="265"/>
      <c r="L93" s="266"/>
      <c r="M93" s="601" t="str">
        <f t="shared" si="23"/>
        <v/>
      </c>
      <c r="N93" s="1034"/>
      <c r="P93" s="1040"/>
      <c r="Q93" s="1038"/>
    </row>
    <row r="94" spans="1:25" x14ac:dyDescent="0.2">
      <c r="A94" s="44">
        <v>88</v>
      </c>
      <c r="B94" s="98" t="str">
        <f>IF(ISBLANK(Engagements!B93),"",(Engagements!B93))</f>
        <v/>
      </c>
      <c r="C94" s="98" t="str">
        <f>IF(ISBLANK(Engagements!C93),"",(Engagements!C93))</f>
        <v/>
      </c>
      <c r="D94" s="98" t="str">
        <f>IF(ISBLANK(Engagements!D93),"",(Engagements!D93))</f>
        <v/>
      </c>
      <c r="E94" s="98" t="str">
        <f>IF(ISBLANK(Engagements!E93),"",(Engagements!E93))</f>
        <v/>
      </c>
      <c r="F94" s="98" t="str">
        <f>IF(ISBLANK(Engagements!F93),"",(Engagements!F93))</f>
        <v/>
      </c>
      <c r="G94" s="265"/>
      <c r="H94" s="266"/>
      <c r="I94" s="265"/>
      <c r="J94" s="266"/>
      <c r="K94" s="265"/>
      <c r="L94" s="266"/>
      <c r="M94" s="601" t="str">
        <f t="shared" si="23"/>
        <v/>
      </c>
      <c r="N94" s="1035"/>
      <c r="P94" s="1040"/>
      <c r="Q94" s="1038"/>
    </row>
    <row r="95" spans="1:25" x14ac:dyDescent="0.2">
      <c r="A95" s="44">
        <v>89</v>
      </c>
      <c r="B95" s="98" t="str">
        <f>IF(ISBLANK(Engagements!B94),"",(Engagements!B94))</f>
        <v/>
      </c>
      <c r="C95" s="98" t="str">
        <f>IF(ISBLANK(Engagements!C94),"",(Engagements!C94))</f>
        <v/>
      </c>
      <c r="D95" s="98" t="str">
        <f>IF(ISBLANK(Engagements!D94),"",(Engagements!D94))</f>
        <v/>
      </c>
      <c r="E95" s="98" t="str">
        <f>IF(ISBLANK(Engagements!E94),"",(Engagements!E94))</f>
        <v/>
      </c>
      <c r="F95" s="98" t="str">
        <f>IF(ISBLANK(Engagements!F94),"",(Engagements!F94))</f>
        <v/>
      </c>
      <c r="G95" s="265"/>
      <c r="H95" s="266"/>
      <c r="I95" s="265"/>
      <c r="J95" s="266"/>
      <c r="K95" s="265"/>
      <c r="L95" s="266"/>
      <c r="M95" s="601" t="str">
        <f t="shared" si="23"/>
        <v/>
      </c>
      <c r="N95" s="1033"/>
      <c r="P95" s="1040" t="str">
        <f>IF(G95="","",SUM(G95:L98))</f>
        <v/>
      </c>
      <c r="Q95" s="1038">
        <f t="shared" ref="Q95" si="29">Q91+1</f>
        <v>23</v>
      </c>
    </row>
    <row r="96" spans="1:25" x14ac:dyDescent="0.2">
      <c r="A96" s="44">
        <v>90</v>
      </c>
      <c r="B96" s="98" t="str">
        <f>IF(ISBLANK(Engagements!B95),"",(Engagements!B95))</f>
        <v/>
      </c>
      <c r="C96" s="98" t="str">
        <f>IF(ISBLANK(Engagements!C95),"",(Engagements!C95))</f>
        <v/>
      </c>
      <c r="D96" s="98" t="str">
        <f>IF(ISBLANK(Engagements!D95),"",(Engagements!D95))</f>
        <v/>
      </c>
      <c r="E96" s="98" t="str">
        <f>IF(ISBLANK(Engagements!E95),"",(Engagements!E95))</f>
        <v/>
      </c>
      <c r="F96" s="98" t="str">
        <f>IF(ISBLANK(Engagements!F95),"",(Engagements!F95))</f>
        <v/>
      </c>
      <c r="G96" s="265"/>
      <c r="H96" s="266"/>
      <c r="I96" s="265"/>
      <c r="J96" s="266"/>
      <c r="K96" s="265"/>
      <c r="L96" s="266"/>
      <c r="M96" s="601" t="str">
        <f t="shared" si="23"/>
        <v/>
      </c>
      <c r="N96" s="1034"/>
      <c r="P96" s="1040"/>
      <c r="Q96" s="1038"/>
    </row>
    <row r="97" spans="1:17" customFormat="1" x14ac:dyDescent="0.2">
      <c r="A97" s="44">
        <v>91</v>
      </c>
      <c r="B97" s="98" t="str">
        <f>IF(ISBLANK(Engagements!B96),"",(Engagements!B96))</f>
        <v/>
      </c>
      <c r="C97" s="98" t="str">
        <f>IF(ISBLANK(Engagements!C96),"",(Engagements!C96))</f>
        <v/>
      </c>
      <c r="D97" s="98" t="str">
        <f>IF(ISBLANK(Engagements!D96),"",(Engagements!D96))</f>
        <v/>
      </c>
      <c r="E97" s="98" t="str">
        <f>IF(ISBLANK(Engagements!E96),"",(Engagements!E96))</f>
        <v/>
      </c>
      <c r="F97" s="98" t="str">
        <f>IF(ISBLANK(Engagements!F96),"",(Engagements!F96))</f>
        <v/>
      </c>
      <c r="G97" s="265"/>
      <c r="H97" s="266"/>
      <c r="I97" s="265"/>
      <c r="J97" s="266"/>
      <c r="K97" s="265"/>
      <c r="L97" s="266"/>
      <c r="M97" s="601" t="str">
        <f t="shared" si="23"/>
        <v/>
      </c>
      <c r="N97" s="1034"/>
      <c r="P97" s="1040"/>
      <c r="Q97" s="1038"/>
    </row>
    <row r="98" spans="1:17" customFormat="1" x14ac:dyDescent="0.2">
      <c r="A98" s="44">
        <v>92</v>
      </c>
      <c r="B98" s="98" t="str">
        <f>IF(ISBLANK(Engagements!B97),"",(Engagements!B97))</f>
        <v/>
      </c>
      <c r="C98" s="98" t="str">
        <f>IF(ISBLANK(Engagements!C97),"",(Engagements!C97))</f>
        <v/>
      </c>
      <c r="D98" s="98" t="str">
        <f>IF(ISBLANK(Engagements!D97),"",(Engagements!D97))</f>
        <v/>
      </c>
      <c r="E98" s="98" t="str">
        <f>IF(ISBLANK(Engagements!E97),"",(Engagements!E97))</f>
        <v/>
      </c>
      <c r="F98" s="98" t="str">
        <f>IF(ISBLANK(Engagements!F97),"",(Engagements!F97))</f>
        <v/>
      </c>
      <c r="G98" s="265"/>
      <c r="H98" s="266"/>
      <c r="I98" s="265"/>
      <c r="J98" s="266"/>
      <c r="K98" s="265"/>
      <c r="L98" s="266"/>
      <c r="M98" s="601" t="str">
        <f t="shared" si="23"/>
        <v/>
      </c>
      <c r="N98" s="1035"/>
      <c r="P98" s="1040"/>
      <c r="Q98" s="1038"/>
    </row>
    <row r="99" spans="1:17" customFormat="1" x14ac:dyDescent="0.2">
      <c r="A99" s="44">
        <v>93</v>
      </c>
      <c r="B99" s="98" t="str">
        <f>IF(ISBLANK(Engagements!B98),"",(Engagements!B98))</f>
        <v/>
      </c>
      <c r="C99" s="98" t="str">
        <f>IF(ISBLANK(Engagements!C98),"",(Engagements!C98))</f>
        <v/>
      </c>
      <c r="D99" s="98" t="str">
        <f>IF(ISBLANK(Engagements!D98),"",(Engagements!D98))</f>
        <v/>
      </c>
      <c r="E99" s="98" t="str">
        <f>IF(ISBLANK(Engagements!E98),"",(Engagements!E98))</f>
        <v/>
      </c>
      <c r="F99" s="98" t="str">
        <f>IF(ISBLANK(Engagements!F98),"",(Engagements!F98))</f>
        <v/>
      </c>
      <c r="G99" s="265"/>
      <c r="H99" s="266"/>
      <c r="I99" s="265"/>
      <c r="J99" s="266"/>
      <c r="K99" s="265"/>
      <c r="L99" s="266"/>
      <c r="M99" s="601" t="str">
        <f t="shared" si="23"/>
        <v/>
      </c>
      <c r="N99" s="1033"/>
      <c r="P99" s="1040" t="str">
        <f>IF(G99="","",SUM(G99:L102))</f>
        <v/>
      </c>
      <c r="Q99" s="1038">
        <f t="shared" ref="Q99" si="30">Q95+1</f>
        <v>24</v>
      </c>
    </row>
    <row r="100" spans="1:17" customFormat="1" x14ac:dyDescent="0.2">
      <c r="A100" s="44">
        <v>94</v>
      </c>
      <c r="B100" s="98" t="str">
        <f>IF(ISBLANK(Engagements!B99),"",(Engagements!B99))</f>
        <v/>
      </c>
      <c r="C100" s="98" t="str">
        <f>IF(ISBLANK(Engagements!C99),"",(Engagements!C99))</f>
        <v/>
      </c>
      <c r="D100" s="98" t="str">
        <f>IF(ISBLANK(Engagements!D99),"",(Engagements!D99))</f>
        <v/>
      </c>
      <c r="E100" s="98" t="str">
        <f>IF(ISBLANK(Engagements!E99),"",(Engagements!E99))</f>
        <v/>
      </c>
      <c r="F100" s="98" t="str">
        <f>IF(ISBLANK(Engagements!F99),"",(Engagements!F99))</f>
        <v/>
      </c>
      <c r="G100" s="265"/>
      <c r="H100" s="266"/>
      <c r="I100" s="265"/>
      <c r="J100" s="266"/>
      <c r="K100" s="265"/>
      <c r="L100" s="266"/>
      <c r="M100" s="601" t="str">
        <f t="shared" si="23"/>
        <v/>
      </c>
      <c r="N100" s="1034"/>
      <c r="P100" s="1040"/>
      <c r="Q100" s="1038"/>
    </row>
    <row r="101" spans="1:17" customFormat="1" x14ac:dyDescent="0.2">
      <c r="A101" s="44">
        <v>95</v>
      </c>
      <c r="B101" s="98" t="str">
        <f>IF(ISBLANK(Engagements!B100),"",(Engagements!B100))</f>
        <v/>
      </c>
      <c r="C101" s="98" t="str">
        <f>IF(ISBLANK(Engagements!C100),"",(Engagements!C100))</f>
        <v/>
      </c>
      <c r="D101" s="98" t="str">
        <f>IF(ISBLANK(Engagements!D100),"",(Engagements!D100))</f>
        <v/>
      </c>
      <c r="E101" s="98" t="str">
        <f>IF(ISBLANK(Engagements!E100),"",(Engagements!E100))</f>
        <v/>
      </c>
      <c r="F101" s="98" t="str">
        <f>IF(ISBLANK(Engagements!F100),"",(Engagements!F100))</f>
        <v/>
      </c>
      <c r="G101" s="265"/>
      <c r="H101" s="266"/>
      <c r="I101" s="265"/>
      <c r="J101" s="266"/>
      <c r="K101" s="265"/>
      <c r="L101" s="266"/>
      <c r="M101" s="601" t="str">
        <f t="shared" si="23"/>
        <v/>
      </c>
      <c r="N101" s="1034"/>
      <c r="P101" s="1040"/>
      <c r="Q101" s="1038"/>
    </row>
    <row r="102" spans="1:17" customFormat="1" x14ac:dyDescent="0.2">
      <c r="A102" s="44">
        <v>96</v>
      </c>
      <c r="B102" s="98" t="str">
        <f>IF(ISBLANK(Engagements!B101),"",(Engagements!B101))</f>
        <v/>
      </c>
      <c r="C102" s="98" t="str">
        <f>IF(ISBLANK(Engagements!C101),"",(Engagements!C101))</f>
        <v/>
      </c>
      <c r="D102" s="98" t="str">
        <f>IF(ISBLANK(Engagements!D101),"",(Engagements!D101))</f>
        <v/>
      </c>
      <c r="E102" s="98" t="str">
        <f>IF(ISBLANK(Engagements!E101),"",(Engagements!E101))</f>
        <v/>
      </c>
      <c r="F102" s="98" t="str">
        <f>IF(ISBLANK(Engagements!F101),"",(Engagements!F101))</f>
        <v/>
      </c>
      <c r="G102" s="265"/>
      <c r="H102" s="266"/>
      <c r="I102" s="265"/>
      <c r="J102" s="266"/>
      <c r="K102" s="265"/>
      <c r="L102" s="266"/>
      <c r="M102" s="601" t="str">
        <f t="shared" si="23"/>
        <v/>
      </c>
      <c r="N102" s="1035"/>
      <c r="P102" s="1040"/>
      <c r="Q102" s="1038"/>
    </row>
  </sheetData>
  <mergeCells count="82">
    <mergeCell ref="Q91:Q94"/>
    <mergeCell ref="Q95:Q98"/>
    <mergeCell ref="Q99:Q102"/>
    <mergeCell ref="Q3:Q6"/>
    <mergeCell ref="Q71:Q74"/>
    <mergeCell ref="Q75:Q78"/>
    <mergeCell ref="Q79:Q82"/>
    <mergeCell ref="Q83:Q86"/>
    <mergeCell ref="Q87:Q90"/>
    <mergeCell ref="Q51:Q54"/>
    <mergeCell ref="Q55:Q58"/>
    <mergeCell ref="Q59:Q62"/>
    <mergeCell ref="Q63:Q66"/>
    <mergeCell ref="Q67:Q70"/>
    <mergeCell ref="Q31:Q34"/>
    <mergeCell ref="Q35:Q38"/>
    <mergeCell ref="Q39:Q42"/>
    <mergeCell ref="Q43:Q46"/>
    <mergeCell ref="Q47:Q50"/>
    <mergeCell ref="Q11:Q14"/>
    <mergeCell ref="Q15:Q18"/>
    <mergeCell ref="Q19:Q22"/>
    <mergeCell ref="Q23:Q26"/>
    <mergeCell ref="Q27:Q30"/>
    <mergeCell ref="P99:P102"/>
    <mergeCell ref="P79:P82"/>
    <mergeCell ref="P83:P86"/>
    <mergeCell ref="P87:P90"/>
    <mergeCell ref="P91:P94"/>
    <mergeCell ref="P95:P98"/>
    <mergeCell ref="P59:P62"/>
    <mergeCell ref="P63:P66"/>
    <mergeCell ref="P67:P70"/>
    <mergeCell ref="P71:P74"/>
    <mergeCell ref="P75:P78"/>
    <mergeCell ref="N91:N94"/>
    <mergeCell ref="N95:N98"/>
    <mergeCell ref="N99:N102"/>
    <mergeCell ref="P7:P10"/>
    <mergeCell ref="P11:P14"/>
    <mergeCell ref="P15:P18"/>
    <mergeCell ref="P19:P22"/>
    <mergeCell ref="P23:P26"/>
    <mergeCell ref="P27:P30"/>
    <mergeCell ref="P31:P34"/>
    <mergeCell ref="P35:P38"/>
    <mergeCell ref="P39:P42"/>
    <mergeCell ref="P43:P46"/>
    <mergeCell ref="P47:P50"/>
    <mergeCell ref="P51:P54"/>
    <mergeCell ref="P55:P58"/>
    <mergeCell ref="N71:N74"/>
    <mergeCell ref="N75:N78"/>
    <mergeCell ref="N79:N82"/>
    <mergeCell ref="N83:N86"/>
    <mergeCell ref="N87:N90"/>
    <mergeCell ref="N51:N54"/>
    <mergeCell ref="N55:N58"/>
    <mergeCell ref="N59:N62"/>
    <mergeCell ref="N63:N66"/>
    <mergeCell ref="N67:N70"/>
    <mergeCell ref="N31:N34"/>
    <mergeCell ref="N35:N38"/>
    <mergeCell ref="N39:N42"/>
    <mergeCell ref="N43:N46"/>
    <mergeCell ref="N47:N50"/>
    <mergeCell ref="N11:N14"/>
    <mergeCell ref="N15:N18"/>
    <mergeCell ref="N19:N22"/>
    <mergeCell ref="N23:N26"/>
    <mergeCell ref="N27:N30"/>
    <mergeCell ref="B3:D4"/>
    <mergeCell ref="S6:W7"/>
    <mergeCell ref="S3:W3"/>
    <mergeCell ref="S2:W2"/>
    <mergeCell ref="S4:W4"/>
    <mergeCell ref="G4:L4"/>
    <mergeCell ref="B2:D2"/>
    <mergeCell ref="N2:N4"/>
    <mergeCell ref="N7:N10"/>
    <mergeCell ref="P5:P6"/>
    <mergeCell ref="Q7:Q10"/>
  </mergeCells>
  <phoneticPr fontId="0" type="noConversion"/>
  <conditionalFormatting sqref="J87:L102 G87:H102">
    <cfRule type="cellIs" dxfId="2216" priority="15" stopIfTrue="1" operator="notBetween">
      <formula>0</formula>
      <formula>300</formula>
    </cfRule>
  </conditionalFormatting>
  <printOptions horizontalCentered="1" verticalCentered="1"/>
  <pageMargins left="0.23622047244094491" right="0.23622047244094491" top="0.74803149606299213" bottom="0.74803149606299213" header="0.31496062992125984" footer="0.31496062992125984"/>
  <pageSetup paperSize="9" scale="62"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L V K V p 2 X q t a l A A A A 9 g A A A B I A H A B D b 2 5 m a W c v U G F j a 2 F n Z S 5 4 b W w g o h g A K K A U A A A A A A A A A A A A A A A A A A A A A A A A A A A A h Y 8 9 C s I w A I W v U r I 3 f 0 W Q k q a D 4 G R B F M Q 1 p G k b b F N J U t O 7 O X g k r 2 B F q 2 6 O 7 3 v f 8 N 7 9 e m P 5 2 L X R R V m n e 5 M B A j G I l J F 9 q U 2 d g c F X 8 R L k n G 2 F P I l a R Z N s X D q 6 M g O N 9 + c U o R A C D A n s b Y 0 o x g Q d i 8 1 e N q o T 4 C P r / 3 K s j f P C S A U 4 O 7 z G c A o J o X B B E 4 g Z m i E r t P k K d N r 7 b H 8 g W w 2 t H 6 z i l Y 3 X O 4 b m y N D 7 A 3 8 A U E s D B B Q A A g A I A P i 1 S l 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4 t U p W K I p H u A 4 A A A A R A A A A E w A c A E Z v c m 1 1 b G F z L 1 N l Y 3 R p b 2 4 x L m 0 g o h g A K K A U A A A A A A A A A A A A A A A A A A A A A A A A A A A A K 0 5 N L s n M z 1 M I h t C G 1 g B Q S w E C L Q A U A A I A C A D 4 t U p W n Z e q 1 q U A A A D 2 A A A A E g A A A A A A A A A A A A A A A A A A A A A A Q 2 9 u Z m l n L 1 B h Y 2 t h Z 2 U u e G 1 s U E s B A i 0 A F A A C A A g A + L V K V g / K 6 a u k A A A A 6 Q A A A B M A A A A A A A A A A A A A A A A A 8 Q A A A F t D b 2 5 0 Z W 5 0 X 1 R 5 c G V z X S 5 4 b W x Q S w E C L Q A U A A I A C A D 4 t U p 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Z U 3 C b y v Y U 0 O w L 9 X I T A F p O w A A A A A C A A A A A A A Q Z g A A A A E A A C A A A A C 4 O S q O f I 0 b X 8 E I l s n M w 3 M T 3 N o L T 9 M W l S J Z Y 3 k z p 3 7 n A Q A A A A A O g A A A A A I A A C A A A A A X y e X C R 4 w g V 5 Z 8 0 h l / G + / w S U R + Y a k B n y F N A V h J 1 u U P / F A A A A D o L H K k T a t C y 3 H m Z v M 1 A p b + 0 i / W y W c 3 P r p h V h V P t G M d n y K 4 U H 3 j N T A q C G e M z U c W V k 6 F x p Z R h n B D N e j e F T Y K E z a / q h J P z v D 5 4 u 7 B W 2 9 N r w 0 F 4 k A A A A D V M O Y U G L 2 z c A h A z J X A 2 v N t 9 E F T B w J F B 7 N j Q e u V y o m 0 o g Q m x 3 C s 8 c n F L 8 / w i h s u t I 8 v f M g / j H u 8 j n f 8 o e 1 i c s t q < / D a t a M a s h u p > 
</file>

<file path=customXml/itemProps1.xml><?xml version="1.0" encoding="utf-8"?>
<ds:datastoreItem xmlns:ds="http://schemas.openxmlformats.org/officeDocument/2006/customXml" ds:itemID="{A714F245-C60E-4C0F-9375-9A3A5F02AB4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63</vt:i4>
      </vt:variant>
      <vt:variant>
        <vt:lpstr>Plages nommées</vt:lpstr>
      </vt:variant>
      <vt:variant>
        <vt:i4>93</vt:i4>
      </vt:variant>
    </vt:vector>
  </HeadingPairs>
  <TitlesOfParts>
    <vt:vector size="156" baseType="lpstr">
      <vt:lpstr>Menu</vt:lpstr>
      <vt:lpstr>Paramétres</vt:lpstr>
      <vt:lpstr>Import Internet</vt:lpstr>
      <vt:lpstr>Listing</vt:lpstr>
      <vt:lpstr>Etiquettes</vt:lpstr>
      <vt:lpstr>Engagements</vt:lpstr>
      <vt:lpstr>DUELS</vt:lpstr>
      <vt:lpstr>Fiches Qualif</vt:lpstr>
      <vt:lpstr>Saisie Qualif</vt:lpstr>
      <vt:lpstr>Qualif</vt:lpstr>
      <vt:lpstr>Etab</vt:lpstr>
      <vt:lpstr>affQualif</vt:lpstr>
      <vt:lpstr>Phase_Finale Pair</vt:lpstr>
      <vt:lpstr>Phase_Finale Impair</vt:lpstr>
      <vt:lpstr>Classement Pair</vt:lpstr>
      <vt:lpstr>Res. Indiv</vt:lpstr>
      <vt:lpstr>Fiche cible Ql</vt:lpstr>
      <vt:lpstr>Imp DUELS</vt:lpstr>
      <vt:lpstr>ciblesD2</vt:lpstr>
      <vt:lpstr>ciblesD1</vt:lpstr>
      <vt:lpstr>FicheD1</vt:lpstr>
      <vt:lpstr>FicheD2</vt:lpstr>
      <vt:lpstr>ciblesD3</vt:lpstr>
      <vt:lpstr>FicheD3</vt:lpstr>
      <vt:lpstr>Fiches Duels 1</vt:lpstr>
      <vt:lpstr>Imp_DUELS2018</vt:lpstr>
      <vt:lpstr>Imp_DUELS2023</vt:lpstr>
      <vt:lpstr>Feuil1</vt:lpstr>
      <vt:lpstr>FI - Qualif</vt:lpstr>
      <vt:lpstr>Qualif 3</vt:lpstr>
      <vt:lpstr>Qualif2018</vt:lpstr>
      <vt:lpstr>Barèmes</vt:lpstr>
      <vt:lpstr>OUTILS</vt:lpstr>
      <vt:lpstr>Tables</vt:lpstr>
      <vt:lpstr>Fiches Duels  2</vt:lpstr>
      <vt:lpstr>Fiches Duels 3</vt:lpstr>
      <vt:lpstr>Imp_aff_Qual</vt:lpstr>
      <vt:lpstr>Imp. Qualif.</vt:lpstr>
      <vt:lpstr>2 Equipes</vt:lpstr>
      <vt:lpstr>3 Equipes</vt:lpstr>
      <vt:lpstr>4 Equipes</vt:lpstr>
      <vt:lpstr>5 Equipes</vt:lpstr>
      <vt:lpstr>6 Equipes</vt:lpstr>
      <vt:lpstr>7 Equipes</vt:lpstr>
      <vt:lpstr>8 Equipes</vt:lpstr>
      <vt:lpstr>9 Equipes</vt:lpstr>
      <vt:lpstr>10 Equipes</vt:lpstr>
      <vt:lpstr>11 Equipes</vt:lpstr>
      <vt:lpstr>12 Equipes</vt:lpstr>
      <vt:lpstr>13 Equipes</vt:lpstr>
      <vt:lpstr>14 Equipes</vt:lpstr>
      <vt:lpstr>15 Equipes</vt:lpstr>
      <vt:lpstr>16 Equipes</vt:lpstr>
      <vt:lpstr>17 Equipes</vt:lpstr>
      <vt:lpstr>18 Equipes</vt:lpstr>
      <vt:lpstr>19 Equipes</vt:lpstr>
      <vt:lpstr>20 Equipes</vt:lpstr>
      <vt:lpstr>21 Equipes</vt:lpstr>
      <vt:lpstr>22 Equipes</vt:lpstr>
      <vt:lpstr>23 Equipes</vt:lpstr>
      <vt:lpstr>24 Equipes</vt:lpstr>
      <vt:lpstr>Podium</vt:lpstr>
      <vt:lpstr>F Engagement</vt:lpstr>
      <vt:lpstr>Barèmecatégorie</vt:lpstr>
      <vt:lpstr>barèmecible</vt:lpstr>
      <vt:lpstr>BASE_IMPAIR_11</vt:lpstr>
      <vt:lpstr>BASE_IMPAIR_13</vt:lpstr>
      <vt:lpstr>BASE_IMPAIR_15</vt:lpstr>
      <vt:lpstr>BASE_IMPAIR_17</vt:lpstr>
      <vt:lpstr>BASE_IMPAIR_19</vt:lpstr>
      <vt:lpstr>BASE_IMPAIR_21</vt:lpstr>
      <vt:lpstr>BASE_IMPAIR_5</vt:lpstr>
      <vt:lpstr>BASE_IMPAIR_7</vt:lpstr>
      <vt:lpstr>BASE_IMPAIR_9</vt:lpstr>
      <vt:lpstr>BASE_PAIR_10</vt:lpstr>
      <vt:lpstr>BASE_PAIR_12</vt:lpstr>
      <vt:lpstr>BASE_PAIR_14</vt:lpstr>
      <vt:lpstr>BASE_PAIR_16</vt:lpstr>
      <vt:lpstr>BASE_PAIR_18</vt:lpstr>
      <vt:lpstr>BASE_PAIR_20</vt:lpstr>
      <vt:lpstr>BASE_PAIR_22</vt:lpstr>
      <vt:lpstr>BASE_PAIR_6</vt:lpstr>
      <vt:lpstr>BASE_PAIR_8</vt:lpstr>
      <vt:lpstr>BF</vt:lpstr>
      <vt:lpstr>CATEG</vt:lpstr>
      <vt:lpstr>CATEG_IMPORTEE</vt:lpstr>
      <vt:lpstr>Championnat</vt:lpstr>
      <vt:lpstr>'Phase_Finale Impair'!CLT_FINAL</vt:lpstr>
      <vt:lpstr>DATE</vt:lpstr>
      <vt:lpstr>ID_archer_cible</vt:lpstr>
      <vt:lpstr>IMP_DUEL</vt:lpstr>
      <vt:lpstr>Info_D1</vt:lpstr>
      <vt:lpstr>Info_D2</vt:lpstr>
      <vt:lpstr>Info_D3</vt:lpstr>
      <vt:lpstr>Info_Engagement</vt:lpstr>
      <vt:lpstr>Info_TirQ</vt:lpstr>
      <vt:lpstr>LIEU</vt:lpstr>
      <vt:lpstr>LISTE_CATEGORIE</vt:lpstr>
      <vt:lpstr>LISTING_BLANC</vt:lpstr>
      <vt:lpstr>N°LicPRO</vt:lpstr>
      <vt:lpstr>NB_EQUIPES</vt:lpstr>
      <vt:lpstr>Nb_equipiers</vt:lpstr>
      <vt:lpstr>NB_PARTICIPANTS</vt:lpstr>
      <vt:lpstr>Niveau</vt:lpstr>
      <vt:lpstr>NOMBRE_EQUIPES</vt:lpstr>
      <vt:lpstr>Num_AS</vt:lpstr>
      <vt:lpstr>Num_Cible</vt:lpstr>
      <vt:lpstr>PRO_Rang</vt:lpstr>
      <vt:lpstr>PTS_SP</vt:lpstr>
      <vt:lpstr>SENIOR1</vt:lpstr>
      <vt:lpstr>Tab_etab_ville</vt:lpstr>
      <vt:lpstr>Table_acad</vt:lpstr>
      <vt:lpstr>Table_Podium</vt:lpstr>
      <vt:lpstr>TBL_equipe</vt:lpstr>
      <vt:lpstr>'12 Equipes'!Zone_d_impression</vt:lpstr>
      <vt:lpstr>'13 Equipes'!Zone_d_impression</vt:lpstr>
      <vt:lpstr>'15 Equipes'!Zone_d_impression</vt:lpstr>
      <vt:lpstr>'17 Equipes'!Zone_d_impression</vt:lpstr>
      <vt:lpstr>'18 Equipes'!Zone_d_impression</vt:lpstr>
      <vt:lpstr>'19 Equipes'!Zone_d_impression</vt:lpstr>
      <vt:lpstr>'20 Equipes'!Zone_d_impression</vt:lpstr>
      <vt:lpstr>'24 Equipes'!Zone_d_impression</vt:lpstr>
      <vt:lpstr>'3 Equipes'!Zone_d_impression</vt:lpstr>
      <vt:lpstr>'4 Equipes'!Zone_d_impression</vt:lpstr>
      <vt:lpstr>'5 Equipes'!Zone_d_impression</vt:lpstr>
      <vt:lpstr>'7 Equipes'!Zone_d_impression</vt:lpstr>
      <vt:lpstr>affQualif!Zone_d_impression</vt:lpstr>
      <vt:lpstr>Barèmes!Zone_d_impression</vt:lpstr>
      <vt:lpstr>ciblesD1!Zone_d_impression</vt:lpstr>
      <vt:lpstr>ciblesD2!Zone_d_impression</vt:lpstr>
      <vt:lpstr>ciblesD3!Zone_d_impression</vt:lpstr>
      <vt:lpstr>'Classement Pair'!Zone_d_impression</vt:lpstr>
      <vt:lpstr>Engagements!Zone_d_impression</vt:lpstr>
      <vt:lpstr>Etiquettes!Zone_d_impression</vt:lpstr>
      <vt:lpstr>'F Engagement'!Zone_d_impression</vt:lpstr>
      <vt:lpstr>FicheD1!Zone_d_impression</vt:lpstr>
      <vt:lpstr>FicheD2!Zone_d_impression</vt:lpstr>
      <vt:lpstr>FicheD3!Zone_d_impression</vt:lpstr>
      <vt:lpstr>'Fiches Duels 1'!Zone_d_impression</vt:lpstr>
      <vt:lpstr>'Fiches Duels 3'!Zone_d_impression</vt:lpstr>
      <vt:lpstr>'Fiches Qualif'!Zone_d_impression</vt:lpstr>
      <vt:lpstr>'Imp DUELS'!Zone_d_impression</vt:lpstr>
      <vt:lpstr>'Imp. Qualif.'!Zone_d_impression</vt:lpstr>
      <vt:lpstr>Imp_aff_Qual!Zone_d_impression</vt:lpstr>
      <vt:lpstr>Imp_DUELS2018!Zone_d_impression</vt:lpstr>
      <vt:lpstr>Imp_DUELS2023!Zone_d_impression</vt:lpstr>
      <vt:lpstr>Listing!Zone_d_impression</vt:lpstr>
      <vt:lpstr>'Phase_Finale Impair'!Zone_d_impression</vt:lpstr>
      <vt:lpstr>'Phase_Finale Pair'!Zone_d_impression</vt:lpstr>
      <vt:lpstr>Qualif!Zone_d_impression</vt:lpstr>
      <vt:lpstr>'Qualif 3'!Zone_d_impression</vt:lpstr>
      <vt:lpstr>Qualif2018!Zone_d_impression</vt:lpstr>
      <vt:lpstr>'Res. Indiv'!Zone_d_impression</vt:lpstr>
      <vt:lpstr>'Saisie Qualif'!Zone_d_impression</vt:lpstr>
      <vt:lpstr>Tables!Zone_d_impression</vt:lpstr>
      <vt:lpstr>ZONE_INTERNET</vt:lpstr>
    </vt:vector>
  </TitlesOfParts>
  <Manager>KIEFFER J.Michel</Manager>
  <Company>Informatique - UNSS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Gestion des CF de Tir à l'ARC</dc:title>
  <dc:creator>Equipe Informatique UNSS;KIEFFER J.Michel</dc:creator>
  <cp:lastModifiedBy>JMK</cp:lastModifiedBy>
  <cp:lastPrinted>2023-02-12T10:20:39Z</cp:lastPrinted>
  <dcterms:created xsi:type="dcterms:W3CDTF">1997-01-01T06:30:36Z</dcterms:created>
  <dcterms:modified xsi:type="dcterms:W3CDTF">2023-02-12T13:06:28Z</dcterms:modified>
</cp:coreProperties>
</file>